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현재_통합_문서" hidePivotFieldList="1" defaultThemeVersion="166925"/>
  <mc:AlternateContent xmlns:mc="http://schemas.openxmlformats.org/markup-compatibility/2006">
    <mc:Choice Requires="x15">
      <x15ac:absPath xmlns:x15ac="http://schemas.microsoft.com/office/spreadsheetml/2010/11/ac" url="https://onedrive-global.kpmg.com/personal/hoh2_kr_kpmg_com/Documents/2021/17. Linus/본실사/4주차/WP/Finalize/0211/0414/"/>
    </mc:Choice>
  </mc:AlternateContent>
  <xr:revisionPtr revIDLastSave="38" documentId="13_ncr:1_{FA83259B-DA3A-4037-BCC4-97FAA481E928}" xr6:coauthVersionLast="47" xr6:coauthVersionMax="47" xr10:uidLastSave="{F8389ED8-85AE-45B0-882C-304C318D1ABB}"/>
  <bookViews>
    <workbookView xWindow="-120" yWindow="-120" windowWidth="29040" windowHeight="17520" tabRatio="860" firstSheet="1" activeTab="3" xr2:uid="{CE25EEEC-D9E4-48A5-91E2-46472F5CA838}"/>
  </bookViews>
  <sheets>
    <sheet name="Sheet9" sheetId="73" state="hidden" r:id="rId1"/>
    <sheet name="IRR" sheetId="88" r:id="rId2"/>
    <sheet name="RIM" sheetId="91" r:id="rId3"/>
    <sheet name="Proforma" sheetId="34" r:id="rId4"/>
    <sheet name="Report" sheetId="89" state="hidden" r:id="rId5"/>
    <sheet name="General" sheetId="1" r:id="rId6"/>
    <sheet name="Assumption" sheetId="2" r:id="rId7"/>
    <sheet name="DCF" sheetId="3" r:id="rId8"/>
    <sheet name="Revenue" sheetId="4" r:id="rId9"/>
    <sheet name="COGS" sheetId="5" r:id="rId10"/>
    <sheet name="SG&amp;A" sheetId="6" r:id="rId11"/>
    <sheet name="CAPEX" sheetId="7" r:id="rId12"/>
    <sheet name="WACC" sheetId="61" r:id="rId13"/>
    <sheet name="NWC" sheetId="8" r:id="rId14"/>
    <sheet name="Sheet3" sheetId="55" state="hidden" r:id="rId15"/>
    <sheet name="Data&gt;&gt;" sheetId="9" r:id="rId16"/>
    <sheet name="표준편차" sheetId="93" r:id="rId17"/>
    <sheet name="CD금리추정" sheetId="94" r:id="rId18"/>
    <sheet name="IRR_Backup" sheetId="75" r:id="rId19"/>
    <sheet name="Review log" sheetId="85" r:id="rId20"/>
    <sheet name="유무형자산명세서" sheetId="64" r:id="rId21"/>
    <sheet name="에너지비" sheetId="86" r:id="rId22"/>
    <sheet name="Torecom_인건비" sheetId="82" r:id="rId23"/>
    <sheet name="Torecom_제조원가명세서" sheetId="81" r:id="rId24"/>
    <sheet name="Torecom_제품별 PQ" sheetId="77" r:id="rId25"/>
    <sheet name="Torecom_판관비" sheetId="84" r:id="rId26"/>
    <sheet name="Torecom_제조경비" sheetId="83" r:id="rId27"/>
    <sheet name="Torecom_원재료명세서" sheetId="80" r:id="rId28"/>
    <sheet name="Torecom_BSPL" sheetId="79" r:id="rId29"/>
    <sheet name="Torecom_판매추정" sheetId="78" r:id="rId30"/>
    <sheet name="FDD_매출MASTER" sheetId="71" r:id="rId31"/>
    <sheet name="파견임원" sheetId="48" r:id="rId32"/>
    <sheet name="연결정산표" sheetId="25" r:id="rId33"/>
    <sheet name="연결FS" sheetId="10" r:id="rId34"/>
    <sheet name="종속회사FS" sheetId="76" r:id="rId35"/>
    <sheet name="환율전망" sheetId="51" r:id="rId36"/>
    <sheet name="인력data" sheetId="47" r:id="rId37"/>
    <sheet name="사업계획D&amp;A" sheetId="74" r:id="rId38"/>
    <sheet name="원재료별품위" sheetId="66" r:id="rId39"/>
    <sheet name="재고자산수불부" sheetId="65" r:id="rId40"/>
    <sheet name="국내Peer" sheetId="36" r:id="rId41"/>
    <sheet name="Bloomberg" sheetId="40" r:id="rId42"/>
    <sheet name="감가상각명세서" sheetId="43" r:id="rId43"/>
    <sheet name="Libor" sheetId="32" r:id="rId44"/>
    <sheet name="차입금" sheetId="42" r:id="rId45"/>
    <sheet name="별도FS_본체" sheetId="12" r:id="rId46"/>
    <sheet name="연결조정_3Q" sheetId="41" r:id="rId47"/>
    <sheet name="과거손익(Summary)" sheetId="62" r:id="rId48"/>
    <sheet name="과거손익_본체" sheetId="14" r:id="rId49"/>
    <sheet name="사업계획_본체" sheetId="17" r:id="rId50"/>
    <sheet name="판매량" sheetId="57" r:id="rId51"/>
    <sheet name="CDD추정치" sheetId="59" r:id="rId52"/>
    <sheet name="원료지표" sheetId="15" r:id="rId53"/>
    <sheet name="주요지표_New" sheetId="58" r:id="rId54"/>
    <sheet name="Sheet1" sheetId="63" r:id="rId55"/>
    <sheet name="금속가격" sheetId="16" r:id="rId56"/>
    <sheet name="부산물가격" sheetId="56" r:id="rId57"/>
    <sheet name="환율" sheetId="19" r:id="rId58"/>
    <sheet name="가동율" sheetId="18" r:id="rId59"/>
    <sheet name="CAPEX계획" sheetId="21" r:id="rId60"/>
    <sheet name="Backdata_Torecom" sheetId="22" r:id="rId61"/>
    <sheet name="Backdata_GRM" sheetId="23" r:id="rId62"/>
    <sheet name="Backdata_CS,선우" sheetId="24" r:id="rId63"/>
    <sheet name="BP_Torecom" sheetId="26" r:id="rId64"/>
    <sheet name="종속회사BP_New" sheetId="60" r:id="rId65"/>
    <sheet name="BP_GRM" sheetId="27" r:id="rId66"/>
  </sheets>
  <externalReferences>
    <externalReference r:id="rId67"/>
  </externalReferences>
  <definedNames>
    <definedName name="_xlnm._FilterDatabase" localSheetId="31" hidden="1">파견임원!$B$2:$DV$150</definedName>
    <definedName name="_xlnm._FilterDatabase" localSheetId="16" hidden="1">표준편차!$A$3:$D$2468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57" i="4" l="1"/>
  <c r="L248" i="88"/>
  <c r="Y242" i="88"/>
  <c r="K241" i="88"/>
  <c r="C320" i="88" l="1"/>
  <c r="F15" i="88"/>
  <c r="G29" i="3"/>
  <c r="G6" i="62"/>
  <c r="AD163" i="88" l="1"/>
  <c r="AC163" i="88"/>
  <c r="AB163" i="88"/>
  <c r="AA163" i="88"/>
  <c r="Z163" i="88"/>
  <c r="AD162" i="88"/>
  <c r="AC162" i="88"/>
  <c r="AB162" i="88"/>
  <c r="AA162" i="88"/>
  <c r="Z162" i="88"/>
  <c r="AD161" i="88"/>
  <c r="AC161" i="88"/>
  <c r="AB161" i="88"/>
  <c r="AA161" i="88"/>
  <c r="Z161" i="88"/>
  <c r="AD160" i="88"/>
  <c r="AC160" i="88"/>
  <c r="AB160" i="88"/>
  <c r="AA160" i="88"/>
  <c r="Z160" i="88"/>
  <c r="AD159" i="88"/>
  <c r="AC159" i="88"/>
  <c r="AB159" i="88"/>
  <c r="AA159" i="88"/>
  <c r="Z159" i="88"/>
  <c r="AD155" i="88"/>
  <c r="AC155" i="88"/>
  <c r="AB155" i="88"/>
  <c r="AA155" i="88"/>
  <c r="Z155" i="88"/>
  <c r="AD154" i="88"/>
  <c r="AC154" i="88"/>
  <c r="AB154" i="88"/>
  <c r="AA154" i="88"/>
  <c r="Z154" i="88"/>
  <c r="AD153" i="88"/>
  <c r="AC153" i="88"/>
  <c r="AB153" i="88"/>
  <c r="AA153" i="88"/>
  <c r="Z153" i="88"/>
  <c r="AD152" i="88"/>
  <c r="AC152" i="88"/>
  <c r="AB152" i="88"/>
  <c r="AA152" i="88"/>
  <c r="Z152" i="88"/>
  <c r="AD151" i="88"/>
  <c r="AC151" i="88"/>
  <c r="AB151" i="88"/>
  <c r="AA151" i="88"/>
  <c r="Z151" i="88"/>
  <c r="E143" i="88"/>
  <c r="X313" i="88" l="1"/>
  <c r="X312" i="88"/>
  <c r="X311" i="88"/>
  <c r="X310" i="88"/>
  <c r="X309" i="88"/>
  <c r="X308" i="88"/>
  <c r="X307" i="88"/>
  <c r="X306" i="88"/>
  <c r="X305" i="88"/>
  <c r="X304" i="88"/>
  <c r="X303" i="88"/>
  <c r="X302" i="88"/>
  <c r="X301" i="88"/>
  <c r="X300" i="88"/>
  <c r="X299" i="88"/>
  <c r="X298" i="88"/>
  <c r="X297" i="88"/>
  <c r="X296" i="88"/>
  <c r="X295" i="88"/>
  <c r="X294" i="88"/>
  <c r="X293" i="88"/>
  <c r="X292" i="88"/>
  <c r="X291" i="88"/>
  <c r="X290" i="88"/>
  <c r="X289" i="88"/>
  <c r="X288" i="88"/>
  <c r="X287" i="88"/>
  <c r="X286" i="88"/>
  <c r="X285" i="88"/>
  <c r="X284" i="88"/>
  <c r="X283" i="88"/>
  <c r="X282" i="88"/>
  <c r="X281" i="88"/>
  <c r="X280" i="88"/>
  <c r="X279" i="88"/>
  <c r="X278" i="88"/>
  <c r="X277" i="88"/>
  <c r="X276" i="88"/>
  <c r="X275" i="88"/>
  <c r="X274" i="88"/>
  <c r="X273" i="88"/>
  <c r="X272" i="88"/>
  <c r="X271" i="88"/>
  <c r="X270" i="88"/>
  <c r="X269" i="88"/>
  <c r="X268" i="88"/>
  <c r="D49" i="88"/>
  <c r="F48" i="88"/>
  <c r="F37" i="88"/>
  <c r="F42" i="88"/>
  <c r="F43" i="88" s="1"/>
  <c r="F41" i="88"/>
  <c r="F52" i="88" s="1"/>
  <c r="F40" i="88"/>
  <c r="F51" i="88" s="1"/>
  <c r="T114" i="2"/>
  <c r="S114" i="2"/>
  <c r="R114" i="2"/>
  <c r="Q114" i="2"/>
  <c r="P114" i="2"/>
  <c r="N114" i="2"/>
  <c r="T113" i="2"/>
  <c r="S113" i="2"/>
  <c r="R113" i="2"/>
  <c r="Q113" i="2"/>
  <c r="P113" i="2"/>
  <c r="N113" i="2"/>
  <c r="T112" i="2"/>
  <c r="S112" i="2"/>
  <c r="R112" i="2"/>
  <c r="Q112" i="2"/>
  <c r="P112" i="2"/>
  <c r="N112" i="2"/>
  <c r="T111" i="2"/>
  <c r="S111" i="2"/>
  <c r="R111" i="2"/>
  <c r="Q111" i="2"/>
  <c r="P111" i="2"/>
  <c r="N111" i="2"/>
  <c r="T110" i="2"/>
  <c r="S110" i="2"/>
  <c r="R110" i="2"/>
  <c r="Q110" i="2"/>
  <c r="P110" i="2"/>
  <c r="N110" i="2"/>
  <c r="T109" i="2"/>
  <c r="S109" i="2"/>
  <c r="R109" i="2"/>
  <c r="Q109" i="2"/>
  <c r="P109" i="2"/>
  <c r="N109" i="2"/>
  <c r="T108" i="2"/>
  <c r="S108" i="2"/>
  <c r="R108" i="2"/>
  <c r="Q108" i="2"/>
  <c r="P108" i="2"/>
  <c r="N108" i="2"/>
  <c r="T107" i="2"/>
  <c r="S107" i="2"/>
  <c r="R107" i="2"/>
  <c r="Q107" i="2"/>
  <c r="P107" i="2"/>
  <c r="N107" i="2"/>
  <c r="T106" i="2"/>
  <c r="S106" i="2"/>
  <c r="R106" i="2"/>
  <c r="Q106" i="2"/>
  <c r="P106" i="2"/>
  <c r="N106" i="2"/>
  <c r="T105" i="2"/>
  <c r="S105" i="2"/>
  <c r="R105" i="2"/>
  <c r="Q105" i="2"/>
  <c r="P105" i="2"/>
  <c r="N105" i="2"/>
  <c r="N104" i="2"/>
  <c r="T103" i="2"/>
  <c r="S103" i="2"/>
  <c r="R103" i="2"/>
  <c r="Q103" i="2"/>
  <c r="P103" i="2"/>
  <c r="N103" i="2"/>
  <c r="G114" i="2"/>
  <c r="G113" i="2"/>
  <c r="G112" i="2"/>
  <c r="F111" i="2"/>
  <c r="G111" i="2" s="1"/>
  <c r="F110" i="2"/>
  <c r="G109" i="2"/>
  <c r="G108" i="2"/>
  <c r="G107" i="2"/>
  <c r="G106" i="2"/>
  <c r="F106" i="2"/>
  <c r="F105" i="2"/>
  <c r="G105" i="2" s="1"/>
  <c r="G104" i="2"/>
  <c r="G103" i="2"/>
  <c r="B14" i="94"/>
  <c r="Q12" i="94"/>
  <c r="P12" i="94"/>
  <c r="W11" i="94"/>
  <c r="W12" i="94" s="1"/>
  <c r="V11" i="94"/>
  <c r="V12" i="94" s="1"/>
  <c r="U11" i="94"/>
  <c r="U12" i="94" s="1"/>
  <c r="T11" i="94"/>
  <c r="T12" i="94" s="1"/>
  <c r="S11" i="94"/>
  <c r="S12" i="94" s="1"/>
  <c r="R11" i="94"/>
  <c r="R12" i="94" s="1"/>
  <c r="Q11" i="94"/>
  <c r="P11" i="94"/>
  <c r="O11" i="94"/>
  <c r="O12" i="94" s="1"/>
  <c r="N11" i="94"/>
  <c r="N12" i="94" s="1"/>
  <c r="F44" i="88" l="1"/>
  <c r="F54" i="88"/>
  <c r="F53" i="88"/>
  <c r="G110" i="2"/>
  <c r="B242" i="88"/>
  <c r="F45" i="88" l="1"/>
  <c r="F55" i="88"/>
  <c r="Q56" i="59"/>
  <c r="O58" i="59"/>
  <c r="N58" i="59"/>
  <c r="M58" i="59"/>
  <c r="L58" i="59"/>
  <c r="K58" i="59"/>
  <c r="P56" i="59"/>
  <c r="E114" i="88"/>
  <c r="V53" i="34"/>
  <c r="V51" i="34"/>
  <c r="V49" i="34"/>
  <c r="V43" i="34"/>
  <c r="V41" i="34"/>
  <c r="V40" i="34"/>
  <c r="V39" i="34"/>
  <c r="AA39" i="34"/>
  <c r="Z39" i="34"/>
  <c r="Y39" i="34"/>
  <c r="X39" i="34"/>
  <c r="W39" i="34"/>
  <c r="O57" i="59"/>
  <c r="N57" i="59"/>
  <c r="M57" i="59"/>
  <c r="L57" i="59"/>
  <c r="K57" i="59"/>
  <c r="U84" i="34"/>
  <c r="U86" i="34"/>
  <c r="U85" i="34"/>
  <c r="O86" i="34"/>
  <c r="N86" i="34"/>
  <c r="M86" i="34"/>
  <c r="L86" i="34"/>
  <c r="K86" i="34"/>
  <c r="J86" i="34"/>
  <c r="O85" i="34"/>
  <c r="L85" i="34"/>
  <c r="K85" i="34"/>
  <c r="J85" i="34"/>
  <c r="O84" i="34"/>
  <c r="N84" i="34"/>
  <c r="M84" i="34"/>
  <c r="L84" i="34"/>
  <c r="K84" i="34"/>
  <c r="J84" i="34"/>
  <c r="T83" i="34"/>
  <c r="S83" i="34"/>
  <c r="R83" i="34"/>
  <c r="Q83" i="34"/>
  <c r="P83" i="34"/>
  <c r="O83" i="34"/>
  <c r="N83" i="34"/>
  <c r="M83" i="34"/>
  <c r="L83" i="34"/>
  <c r="K83" i="34"/>
  <c r="J83" i="34"/>
  <c r="P53" i="3"/>
  <c r="O53" i="3"/>
  <c r="N53" i="3"/>
  <c r="J53" i="3"/>
  <c r="K53" i="3"/>
  <c r="L53" i="3"/>
  <c r="AP4" i="93"/>
  <c r="AP3" i="93"/>
  <c r="AG4" i="93"/>
  <c r="AG3" i="93"/>
  <c r="F4" i="93"/>
  <c r="M69" i="3" s="1"/>
  <c r="F3" i="93"/>
  <c r="D4" i="93"/>
  <c r="D5" i="93"/>
  <c r="D6" i="93"/>
  <c r="D7" i="93"/>
  <c r="D8" i="93"/>
  <c r="D9" i="93"/>
  <c r="D10" i="93"/>
  <c r="D11" i="93"/>
  <c r="D12" i="93"/>
  <c r="D13" i="93"/>
  <c r="D14" i="93"/>
  <c r="D15" i="93"/>
  <c r="D16" i="93"/>
  <c r="D17" i="93"/>
  <c r="D18" i="93"/>
  <c r="D19" i="93"/>
  <c r="D20" i="93"/>
  <c r="D21" i="93"/>
  <c r="D22" i="93"/>
  <c r="D23" i="93"/>
  <c r="D24" i="93"/>
  <c r="D25" i="93"/>
  <c r="D26" i="93"/>
  <c r="D27" i="93"/>
  <c r="D28" i="93"/>
  <c r="D29" i="93"/>
  <c r="D30" i="93"/>
  <c r="D31" i="93"/>
  <c r="D32" i="93"/>
  <c r="D33" i="93"/>
  <c r="D34" i="93"/>
  <c r="D35" i="93"/>
  <c r="D36" i="93"/>
  <c r="D37" i="93"/>
  <c r="D38" i="93"/>
  <c r="D39" i="93"/>
  <c r="D40" i="93"/>
  <c r="D41" i="93"/>
  <c r="D42" i="93"/>
  <c r="D43" i="93"/>
  <c r="D44" i="93"/>
  <c r="D45" i="93"/>
  <c r="D46" i="93"/>
  <c r="D47" i="93"/>
  <c r="D48" i="93"/>
  <c r="D49" i="93"/>
  <c r="D50" i="93"/>
  <c r="D51" i="93"/>
  <c r="D52" i="93"/>
  <c r="D53" i="93"/>
  <c r="D54" i="93"/>
  <c r="D55" i="93"/>
  <c r="D56" i="93"/>
  <c r="D57" i="93"/>
  <c r="D58" i="93"/>
  <c r="D59" i="93"/>
  <c r="D60" i="93"/>
  <c r="D61" i="93"/>
  <c r="D62" i="93"/>
  <c r="D63" i="93"/>
  <c r="D64" i="93"/>
  <c r="D65" i="93"/>
  <c r="D66" i="93"/>
  <c r="D67" i="93"/>
  <c r="D68" i="93"/>
  <c r="D69" i="93"/>
  <c r="D70" i="93"/>
  <c r="D71" i="93"/>
  <c r="D72" i="93"/>
  <c r="D73" i="93"/>
  <c r="D74" i="93"/>
  <c r="D75" i="93"/>
  <c r="D76" i="93"/>
  <c r="D77" i="93"/>
  <c r="D78" i="93"/>
  <c r="D79" i="93"/>
  <c r="D80" i="93"/>
  <c r="D81" i="93"/>
  <c r="D82" i="93"/>
  <c r="D83" i="93"/>
  <c r="D84" i="93"/>
  <c r="D85" i="93"/>
  <c r="D86" i="93"/>
  <c r="D87" i="93"/>
  <c r="D88" i="93"/>
  <c r="D89" i="93"/>
  <c r="D90" i="93"/>
  <c r="D91" i="93"/>
  <c r="D92" i="93"/>
  <c r="D93" i="93"/>
  <c r="D94" i="93"/>
  <c r="D95" i="93"/>
  <c r="D96" i="93"/>
  <c r="D97" i="93"/>
  <c r="D98" i="93"/>
  <c r="D99" i="93"/>
  <c r="D100" i="93"/>
  <c r="D101" i="93"/>
  <c r="D102" i="93"/>
  <c r="D103" i="93"/>
  <c r="D104" i="93"/>
  <c r="D105" i="93"/>
  <c r="D106" i="93"/>
  <c r="D107" i="93"/>
  <c r="D108" i="93"/>
  <c r="D109" i="93"/>
  <c r="D110" i="93"/>
  <c r="D111" i="93"/>
  <c r="D112" i="93"/>
  <c r="D113" i="93"/>
  <c r="D114" i="93"/>
  <c r="D115" i="93"/>
  <c r="D116" i="93"/>
  <c r="D117" i="93"/>
  <c r="D118" i="93"/>
  <c r="D119" i="93"/>
  <c r="D120" i="93"/>
  <c r="D121" i="93"/>
  <c r="D122" i="93"/>
  <c r="D123" i="93"/>
  <c r="D124" i="93"/>
  <c r="D125" i="93"/>
  <c r="D126" i="93"/>
  <c r="D127" i="93"/>
  <c r="D128" i="93"/>
  <c r="D129" i="93"/>
  <c r="D130" i="93"/>
  <c r="D131" i="93"/>
  <c r="D132" i="93"/>
  <c r="D133" i="93"/>
  <c r="D134" i="93"/>
  <c r="D135" i="93"/>
  <c r="D136" i="93"/>
  <c r="D137" i="93"/>
  <c r="D138" i="93"/>
  <c r="D139" i="93"/>
  <c r="D140" i="93"/>
  <c r="D141" i="93"/>
  <c r="D142" i="93"/>
  <c r="D143" i="93"/>
  <c r="D144" i="93"/>
  <c r="D145" i="93"/>
  <c r="D146" i="93"/>
  <c r="D147" i="93"/>
  <c r="D148" i="93"/>
  <c r="D149" i="93"/>
  <c r="D150" i="93"/>
  <c r="D151" i="93"/>
  <c r="D152" i="93"/>
  <c r="D153" i="93"/>
  <c r="D154" i="93"/>
  <c r="D155" i="93"/>
  <c r="D156" i="93"/>
  <c r="D157" i="93"/>
  <c r="D158" i="93"/>
  <c r="D159" i="93"/>
  <c r="D160" i="93"/>
  <c r="D161" i="93"/>
  <c r="D162" i="93"/>
  <c r="D163" i="93"/>
  <c r="D164" i="93"/>
  <c r="D165" i="93"/>
  <c r="D166" i="93"/>
  <c r="D167" i="93"/>
  <c r="D168" i="93"/>
  <c r="D169" i="93"/>
  <c r="D170" i="93"/>
  <c r="D171" i="93"/>
  <c r="D172" i="93"/>
  <c r="D173" i="93"/>
  <c r="D174" i="93"/>
  <c r="D175" i="93"/>
  <c r="D176" i="93"/>
  <c r="D177" i="93"/>
  <c r="D178" i="93"/>
  <c r="D179" i="93"/>
  <c r="D180" i="93"/>
  <c r="D181" i="93"/>
  <c r="D182" i="93"/>
  <c r="D183" i="93"/>
  <c r="D184" i="93"/>
  <c r="D185" i="93"/>
  <c r="D186" i="93"/>
  <c r="D187" i="93"/>
  <c r="D188" i="93"/>
  <c r="D189" i="93"/>
  <c r="D190" i="93"/>
  <c r="D191" i="93"/>
  <c r="D192" i="93"/>
  <c r="D193" i="93"/>
  <c r="D194" i="93"/>
  <c r="D195" i="93"/>
  <c r="D196" i="93"/>
  <c r="D197" i="93"/>
  <c r="D198" i="93"/>
  <c r="D199" i="93"/>
  <c r="D200" i="93"/>
  <c r="D201" i="93"/>
  <c r="D202" i="93"/>
  <c r="D203" i="93"/>
  <c r="D204" i="93"/>
  <c r="D205" i="93"/>
  <c r="D206" i="93"/>
  <c r="D207" i="93"/>
  <c r="D208" i="93"/>
  <c r="D209" i="93"/>
  <c r="D210" i="93"/>
  <c r="D211" i="93"/>
  <c r="D212" i="93"/>
  <c r="D213" i="93"/>
  <c r="D214" i="93"/>
  <c r="D215" i="93"/>
  <c r="D216" i="93"/>
  <c r="D217" i="93"/>
  <c r="D218" i="93"/>
  <c r="D219" i="93"/>
  <c r="D220" i="93"/>
  <c r="D221" i="93"/>
  <c r="D222" i="93"/>
  <c r="D223" i="93"/>
  <c r="D224" i="93"/>
  <c r="D225" i="93"/>
  <c r="D226" i="93"/>
  <c r="D227" i="93"/>
  <c r="D228" i="93"/>
  <c r="D229" i="93"/>
  <c r="D230" i="93"/>
  <c r="D231" i="93"/>
  <c r="D232" i="93"/>
  <c r="D233" i="93"/>
  <c r="D234" i="93"/>
  <c r="D235" i="93"/>
  <c r="D236" i="93"/>
  <c r="D237" i="93"/>
  <c r="D238" i="93"/>
  <c r="D239" i="93"/>
  <c r="D240" i="93"/>
  <c r="D241" i="93"/>
  <c r="D242" i="93"/>
  <c r="D243" i="93"/>
  <c r="D244" i="93"/>
  <c r="D245" i="93"/>
  <c r="D246" i="93"/>
  <c r="D247" i="93"/>
  <c r="D248" i="93"/>
  <c r="D249" i="93"/>
  <c r="D250" i="93"/>
  <c r="D251" i="93"/>
  <c r="D252" i="93"/>
  <c r="D253" i="93"/>
  <c r="D254" i="93"/>
  <c r="D255" i="93"/>
  <c r="D256" i="93"/>
  <c r="D257" i="93"/>
  <c r="D258" i="93"/>
  <c r="D259" i="93"/>
  <c r="D260" i="93"/>
  <c r="D261" i="93"/>
  <c r="D262" i="93"/>
  <c r="D263" i="93"/>
  <c r="D264" i="93"/>
  <c r="D265" i="93"/>
  <c r="D266" i="93"/>
  <c r="D267" i="93"/>
  <c r="D268" i="93"/>
  <c r="D269" i="93"/>
  <c r="D270" i="93"/>
  <c r="D271" i="93"/>
  <c r="D272" i="93"/>
  <c r="D273" i="93"/>
  <c r="D274" i="93"/>
  <c r="D275" i="93"/>
  <c r="D276" i="93"/>
  <c r="D277" i="93"/>
  <c r="D278" i="93"/>
  <c r="D279" i="93"/>
  <c r="D280" i="93"/>
  <c r="D281" i="93"/>
  <c r="D282" i="93"/>
  <c r="D283" i="93"/>
  <c r="D284" i="93"/>
  <c r="D285" i="93"/>
  <c r="D286" i="93"/>
  <c r="D287" i="93"/>
  <c r="D288" i="93"/>
  <c r="D289" i="93"/>
  <c r="D290" i="93"/>
  <c r="D291" i="93"/>
  <c r="D292" i="93"/>
  <c r="D293" i="93"/>
  <c r="D294" i="93"/>
  <c r="D295" i="93"/>
  <c r="D296" i="93"/>
  <c r="D297" i="93"/>
  <c r="D298" i="93"/>
  <c r="D299" i="93"/>
  <c r="D300" i="93"/>
  <c r="D301" i="93"/>
  <c r="D302" i="93"/>
  <c r="D303" i="93"/>
  <c r="D304" i="93"/>
  <c r="D305" i="93"/>
  <c r="D306" i="93"/>
  <c r="D307" i="93"/>
  <c r="D308" i="93"/>
  <c r="D309" i="93"/>
  <c r="D310" i="93"/>
  <c r="D311" i="93"/>
  <c r="D312" i="93"/>
  <c r="D313" i="93"/>
  <c r="D314" i="93"/>
  <c r="D315" i="93"/>
  <c r="D316" i="93"/>
  <c r="D317" i="93"/>
  <c r="D318" i="93"/>
  <c r="D319" i="93"/>
  <c r="D320" i="93"/>
  <c r="D321" i="93"/>
  <c r="D322" i="93"/>
  <c r="D323" i="93"/>
  <c r="D324" i="93"/>
  <c r="D325" i="93"/>
  <c r="D326" i="93"/>
  <c r="D327" i="93"/>
  <c r="D328" i="93"/>
  <c r="D329" i="93"/>
  <c r="D330" i="93"/>
  <c r="D331" i="93"/>
  <c r="D332" i="93"/>
  <c r="D333" i="93"/>
  <c r="D334" i="93"/>
  <c r="D335" i="93"/>
  <c r="D336" i="93"/>
  <c r="D337" i="93"/>
  <c r="D338" i="93"/>
  <c r="D339" i="93"/>
  <c r="D340" i="93"/>
  <c r="D341" i="93"/>
  <c r="D342" i="93"/>
  <c r="D343" i="93"/>
  <c r="D344" i="93"/>
  <c r="D345" i="93"/>
  <c r="D346" i="93"/>
  <c r="D347" i="93"/>
  <c r="D348" i="93"/>
  <c r="D349" i="93"/>
  <c r="D350" i="93"/>
  <c r="D351" i="93"/>
  <c r="D352" i="93"/>
  <c r="D353" i="93"/>
  <c r="D354" i="93"/>
  <c r="D355" i="93"/>
  <c r="D356" i="93"/>
  <c r="D357" i="93"/>
  <c r="D358" i="93"/>
  <c r="D359" i="93"/>
  <c r="D360" i="93"/>
  <c r="D361" i="93"/>
  <c r="D362" i="93"/>
  <c r="D363" i="93"/>
  <c r="D364" i="93"/>
  <c r="D365" i="93"/>
  <c r="D366" i="93"/>
  <c r="D367" i="93"/>
  <c r="D368" i="93"/>
  <c r="D369" i="93"/>
  <c r="D370" i="93"/>
  <c r="D371" i="93"/>
  <c r="D372" i="93"/>
  <c r="D373" i="93"/>
  <c r="D374" i="93"/>
  <c r="D375" i="93"/>
  <c r="D376" i="93"/>
  <c r="D377" i="93"/>
  <c r="D378" i="93"/>
  <c r="D379" i="93"/>
  <c r="D380" i="93"/>
  <c r="D381" i="93"/>
  <c r="D382" i="93"/>
  <c r="D383" i="93"/>
  <c r="D384" i="93"/>
  <c r="D385" i="93"/>
  <c r="D386" i="93"/>
  <c r="D387" i="93"/>
  <c r="D388" i="93"/>
  <c r="D389" i="93"/>
  <c r="D390" i="93"/>
  <c r="D391" i="93"/>
  <c r="D392" i="93"/>
  <c r="D393" i="93"/>
  <c r="D394" i="93"/>
  <c r="D395" i="93"/>
  <c r="D396" i="93"/>
  <c r="D397" i="93"/>
  <c r="D398" i="93"/>
  <c r="D399" i="93"/>
  <c r="D400" i="93"/>
  <c r="D401" i="93"/>
  <c r="D402" i="93"/>
  <c r="D403" i="93"/>
  <c r="D404" i="93"/>
  <c r="D405" i="93"/>
  <c r="D406" i="93"/>
  <c r="D407" i="93"/>
  <c r="D408" i="93"/>
  <c r="D409" i="93"/>
  <c r="D410" i="93"/>
  <c r="D411" i="93"/>
  <c r="D412" i="93"/>
  <c r="D413" i="93"/>
  <c r="D414" i="93"/>
  <c r="D415" i="93"/>
  <c r="D416" i="93"/>
  <c r="D417" i="93"/>
  <c r="D418" i="93"/>
  <c r="D419" i="93"/>
  <c r="D420" i="93"/>
  <c r="D421" i="93"/>
  <c r="D422" i="93"/>
  <c r="D423" i="93"/>
  <c r="D424" i="93"/>
  <c r="D425" i="93"/>
  <c r="D426" i="93"/>
  <c r="D427" i="93"/>
  <c r="D428" i="93"/>
  <c r="D429" i="93"/>
  <c r="D430" i="93"/>
  <c r="D431" i="93"/>
  <c r="D432" i="93"/>
  <c r="D433" i="93"/>
  <c r="D434" i="93"/>
  <c r="D435" i="93"/>
  <c r="D436" i="93"/>
  <c r="D437" i="93"/>
  <c r="D438" i="93"/>
  <c r="D439" i="93"/>
  <c r="D440" i="93"/>
  <c r="D441" i="93"/>
  <c r="D442" i="93"/>
  <c r="D443" i="93"/>
  <c r="D444" i="93"/>
  <c r="D445" i="93"/>
  <c r="D446" i="93"/>
  <c r="D447" i="93"/>
  <c r="D448" i="93"/>
  <c r="D449" i="93"/>
  <c r="D450" i="93"/>
  <c r="D451" i="93"/>
  <c r="D452" i="93"/>
  <c r="D453" i="93"/>
  <c r="D454" i="93"/>
  <c r="D455" i="93"/>
  <c r="D456" i="93"/>
  <c r="D457" i="93"/>
  <c r="D458" i="93"/>
  <c r="D459" i="93"/>
  <c r="D460" i="93"/>
  <c r="D461" i="93"/>
  <c r="D462" i="93"/>
  <c r="D463" i="93"/>
  <c r="D464" i="93"/>
  <c r="D465" i="93"/>
  <c r="D466" i="93"/>
  <c r="D467" i="93"/>
  <c r="D468" i="93"/>
  <c r="D469" i="93"/>
  <c r="D470" i="93"/>
  <c r="D471" i="93"/>
  <c r="D472" i="93"/>
  <c r="D473" i="93"/>
  <c r="D474" i="93"/>
  <c r="D475" i="93"/>
  <c r="D476" i="93"/>
  <c r="D477" i="93"/>
  <c r="D478" i="93"/>
  <c r="D479" i="93"/>
  <c r="D480" i="93"/>
  <c r="D481" i="93"/>
  <c r="D482" i="93"/>
  <c r="D483" i="93"/>
  <c r="D484" i="93"/>
  <c r="D485" i="93"/>
  <c r="D486" i="93"/>
  <c r="D487" i="93"/>
  <c r="D488" i="93"/>
  <c r="D489" i="93"/>
  <c r="D490" i="93"/>
  <c r="D491" i="93"/>
  <c r="D492" i="93"/>
  <c r="D493" i="93"/>
  <c r="D494" i="93"/>
  <c r="D495" i="93"/>
  <c r="D496" i="93"/>
  <c r="D497" i="93"/>
  <c r="D498" i="93"/>
  <c r="D499" i="93"/>
  <c r="D500" i="93"/>
  <c r="D501" i="93"/>
  <c r="D502" i="93"/>
  <c r="D503" i="93"/>
  <c r="D504" i="93"/>
  <c r="D505" i="93"/>
  <c r="D506" i="93"/>
  <c r="D507" i="93"/>
  <c r="D508" i="93"/>
  <c r="D509" i="93"/>
  <c r="D510" i="93"/>
  <c r="D511" i="93"/>
  <c r="D512" i="93"/>
  <c r="D513" i="93"/>
  <c r="D514" i="93"/>
  <c r="D515" i="93"/>
  <c r="D516" i="93"/>
  <c r="D517" i="93"/>
  <c r="D518" i="93"/>
  <c r="D519" i="93"/>
  <c r="D520" i="93"/>
  <c r="D521" i="93"/>
  <c r="D522" i="93"/>
  <c r="D523" i="93"/>
  <c r="D524" i="93"/>
  <c r="D525" i="93"/>
  <c r="D526" i="93"/>
  <c r="D527" i="93"/>
  <c r="D528" i="93"/>
  <c r="D529" i="93"/>
  <c r="D530" i="93"/>
  <c r="D531" i="93"/>
  <c r="D532" i="93"/>
  <c r="D533" i="93"/>
  <c r="D534" i="93"/>
  <c r="D535" i="93"/>
  <c r="D536" i="93"/>
  <c r="D537" i="93"/>
  <c r="D538" i="93"/>
  <c r="D539" i="93"/>
  <c r="D540" i="93"/>
  <c r="D541" i="93"/>
  <c r="D542" i="93"/>
  <c r="D543" i="93"/>
  <c r="D544" i="93"/>
  <c r="D545" i="93"/>
  <c r="D546" i="93"/>
  <c r="D547" i="93"/>
  <c r="D548" i="93"/>
  <c r="D549" i="93"/>
  <c r="D550" i="93"/>
  <c r="D551" i="93"/>
  <c r="D552" i="93"/>
  <c r="D553" i="93"/>
  <c r="D554" i="93"/>
  <c r="D555" i="93"/>
  <c r="D556" i="93"/>
  <c r="D557" i="93"/>
  <c r="D558" i="93"/>
  <c r="D559" i="93"/>
  <c r="D560" i="93"/>
  <c r="D561" i="93"/>
  <c r="D562" i="93"/>
  <c r="D563" i="93"/>
  <c r="D564" i="93"/>
  <c r="D565" i="93"/>
  <c r="D566" i="93"/>
  <c r="D567" i="93"/>
  <c r="D568" i="93"/>
  <c r="D569" i="93"/>
  <c r="D570" i="93"/>
  <c r="D571" i="93"/>
  <c r="D572" i="93"/>
  <c r="D573" i="93"/>
  <c r="D574" i="93"/>
  <c r="D575" i="93"/>
  <c r="D576" i="93"/>
  <c r="D577" i="93"/>
  <c r="D578" i="93"/>
  <c r="D579" i="93"/>
  <c r="D580" i="93"/>
  <c r="D581" i="93"/>
  <c r="D582" i="93"/>
  <c r="D583" i="93"/>
  <c r="D584" i="93"/>
  <c r="D585" i="93"/>
  <c r="D586" i="93"/>
  <c r="D587" i="93"/>
  <c r="D588" i="93"/>
  <c r="D589" i="93"/>
  <c r="D590" i="93"/>
  <c r="D591" i="93"/>
  <c r="D592" i="93"/>
  <c r="D593" i="93"/>
  <c r="D594" i="93"/>
  <c r="D595" i="93"/>
  <c r="D596" i="93"/>
  <c r="D597" i="93"/>
  <c r="D598" i="93"/>
  <c r="D599" i="93"/>
  <c r="D600" i="93"/>
  <c r="D601" i="93"/>
  <c r="D602" i="93"/>
  <c r="D603" i="93"/>
  <c r="D604" i="93"/>
  <c r="D605" i="93"/>
  <c r="D606" i="93"/>
  <c r="D607" i="93"/>
  <c r="D608" i="93"/>
  <c r="D609" i="93"/>
  <c r="D610" i="93"/>
  <c r="D611" i="93"/>
  <c r="D612" i="93"/>
  <c r="D613" i="93"/>
  <c r="D614" i="93"/>
  <c r="D615" i="93"/>
  <c r="D616" i="93"/>
  <c r="D617" i="93"/>
  <c r="D618" i="93"/>
  <c r="D619" i="93"/>
  <c r="D620" i="93"/>
  <c r="D621" i="93"/>
  <c r="D622" i="93"/>
  <c r="D623" i="93"/>
  <c r="D624" i="93"/>
  <c r="D625" i="93"/>
  <c r="D626" i="93"/>
  <c r="D627" i="93"/>
  <c r="D628" i="93"/>
  <c r="D629" i="93"/>
  <c r="D630" i="93"/>
  <c r="D631" i="93"/>
  <c r="D632" i="93"/>
  <c r="D633" i="93"/>
  <c r="D634" i="93"/>
  <c r="D635" i="93"/>
  <c r="D636" i="93"/>
  <c r="D637" i="93"/>
  <c r="D638" i="93"/>
  <c r="D639" i="93"/>
  <c r="D640" i="93"/>
  <c r="D641" i="93"/>
  <c r="D642" i="93"/>
  <c r="D643" i="93"/>
  <c r="D644" i="93"/>
  <c r="D645" i="93"/>
  <c r="D646" i="93"/>
  <c r="D647" i="93"/>
  <c r="D648" i="93"/>
  <c r="D649" i="93"/>
  <c r="D650" i="93"/>
  <c r="D651" i="93"/>
  <c r="D652" i="93"/>
  <c r="D653" i="93"/>
  <c r="D654" i="93"/>
  <c r="D655" i="93"/>
  <c r="D656" i="93"/>
  <c r="D657" i="93"/>
  <c r="D658" i="93"/>
  <c r="D659" i="93"/>
  <c r="D660" i="93"/>
  <c r="D661" i="93"/>
  <c r="D662" i="93"/>
  <c r="D663" i="93"/>
  <c r="D664" i="93"/>
  <c r="D665" i="93"/>
  <c r="D666" i="93"/>
  <c r="D667" i="93"/>
  <c r="D668" i="93"/>
  <c r="D669" i="93"/>
  <c r="D670" i="93"/>
  <c r="D671" i="93"/>
  <c r="D672" i="93"/>
  <c r="D673" i="93"/>
  <c r="D674" i="93"/>
  <c r="D675" i="93"/>
  <c r="D676" i="93"/>
  <c r="D677" i="93"/>
  <c r="D678" i="93"/>
  <c r="D679" i="93"/>
  <c r="D680" i="93"/>
  <c r="D681" i="93"/>
  <c r="D682" i="93"/>
  <c r="D683" i="93"/>
  <c r="D684" i="93"/>
  <c r="D685" i="93"/>
  <c r="D686" i="93"/>
  <c r="D687" i="93"/>
  <c r="D688" i="93"/>
  <c r="D689" i="93"/>
  <c r="D690" i="93"/>
  <c r="D691" i="93"/>
  <c r="D692" i="93"/>
  <c r="D693" i="93"/>
  <c r="D694" i="93"/>
  <c r="D695" i="93"/>
  <c r="D696" i="93"/>
  <c r="D697" i="93"/>
  <c r="D698" i="93"/>
  <c r="D699" i="93"/>
  <c r="D700" i="93"/>
  <c r="D701" i="93"/>
  <c r="D702" i="93"/>
  <c r="D703" i="93"/>
  <c r="D704" i="93"/>
  <c r="D705" i="93"/>
  <c r="D706" i="93"/>
  <c r="D707" i="93"/>
  <c r="D708" i="93"/>
  <c r="D709" i="93"/>
  <c r="D710" i="93"/>
  <c r="D711" i="93"/>
  <c r="D712" i="93"/>
  <c r="D713" i="93"/>
  <c r="D714" i="93"/>
  <c r="D715" i="93"/>
  <c r="D716" i="93"/>
  <c r="D717" i="93"/>
  <c r="D718" i="93"/>
  <c r="D719" i="93"/>
  <c r="D720" i="93"/>
  <c r="D721" i="93"/>
  <c r="D722" i="93"/>
  <c r="D723" i="93"/>
  <c r="D724" i="93"/>
  <c r="D725" i="93"/>
  <c r="D726" i="93"/>
  <c r="D727" i="93"/>
  <c r="D728" i="93"/>
  <c r="D729" i="93"/>
  <c r="D730" i="93"/>
  <c r="D731" i="93"/>
  <c r="D732" i="93"/>
  <c r="D733" i="93"/>
  <c r="D734" i="93"/>
  <c r="D735" i="93"/>
  <c r="D736" i="93"/>
  <c r="D737" i="93"/>
  <c r="D738" i="93"/>
  <c r="D739" i="93"/>
  <c r="D740" i="93"/>
  <c r="D741" i="93"/>
  <c r="D742" i="93"/>
  <c r="D743" i="93"/>
  <c r="D744" i="93"/>
  <c r="D745" i="93"/>
  <c r="D746" i="93"/>
  <c r="D747" i="93"/>
  <c r="D748" i="93"/>
  <c r="D749" i="93"/>
  <c r="D750" i="93"/>
  <c r="D751" i="93"/>
  <c r="D752" i="93"/>
  <c r="D753" i="93"/>
  <c r="D754" i="93"/>
  <c r="D755" i="93"/>
  <c r="D756" i="93"/>
  <c r="D757" i="93"/>
  <c r="D758" i="93"/>
  <c r="D759" i="93"/>
  <c r="D760" i="93"/>
  <c r="D761" i="93"/>
  <c r="D762" i="93"/>
  <c r="D763" i="93"/>
  <c r="D764" i="93"/>
  <c r="D765" i="93"/>
  <c r="D766" i="93"/>
  <c r="D767" i="93"/>
  <c r="D768" i="93"/>
  <c r="D769" i="93"/>
  <c r="D770" i="93"/>
  <c r="D771" i="93"/>
  <c r="D772" i="93"/>
  <c r="D773" i="93"/>
  <c r="D774" i="93"/>
  <c r="D775" i="93"/>
  <c r="D776" i="93"/>
  <c r="D777" i="93"/>
  <c r="D778" i="93"/>
  <c r="D779" i="93"/>
  <c r="D780" i="93"/>
  <c r="D781" i="93"/>
  <c r="D782" i="93"/>
  <c r="D783" i="93"/>
  <c r="D784" i="93"/>
  <c r="D785" i="93"/>
  <c r="D786" i="93"/>
  <c r="D787" i="93"/>
  <c r="D788" i="93"/>
  <c r="D789" i="93"/>
  <c r="D790" i="93"/>
  <c r="D791" i="93"/>
  <c r="D792" i="93"/>
  <c r="D793" i="93"/>
  <c r="D794" i="93"/>
  <c r="D795" i="93"/>
  <c r="D796" i="93"/>
  <c r="D797" i="93"/>
  <c r="D798" i="93"/>
  <c r="D799" i="93"/>
  <c r="D800" i="93"/>
  <c r="D801" i="93"/>
  <c r="D802" i="93"/>
  <c r="D803" i="93"/>
  <c r="D804" i="93"/>
  <c r="D805" i="93"/>
  <c r="D806" i="93"/>
  <c r="D807" i="93"/>
  <c r="D808" i="93"/>
  <c r="D809" i="93"/>
  <c r="D810" i="93"/>
  <c r="D811" i="93"/>
  <c r="D812" i="93"/>
  <c r="D813" i="93"/>
  <c r="D814" i="93"/>
  <c r="D815" i="93"/>
  <c r="D816" i="93"/>
  <c r="D817" i="93"/>
  <c r="D818" i="93"/>
  <c r="D819" i="93"/>
  <c r="D820" i="93"/>
  <c r="D821" i="93"/>
  <c r="D822" i="93"/>
  <c r="D823" i="93"/>
  <c r="D824" i="93"/>
  <c r="D825" i="93"/>
  <c r="D826" i="93"/>
  <c r="D827" i="93"/>
  <c r="D828" i="93"/>
  <c r="D829" i="93"/>
  <c r="D830" i="93"/>
  <c r="D831" i="93"/>
  <c r="D832" i="93"/>
  <c r="D833" i="93"/>
  <c r="D834" i="93"/>
  <c r="D835" i="93"/>
  <c r="D836" i="93"/>
  <c r="D837" i="93"/>
  <c r="D838" i="93"/>
  <c r="D839" i="93"/>
  <c r="D840" i="93"/>
  <c r="D841" i="93"/>
  <c r="D842" i="93"/>
  <c r="D843" i="93"/>
  <c r="D844" i="93"/>
  <c r="D845" i="93"/>
  <c r="D846" i="93"/>
  <c r="D847" i="93"/>
  <c r="D848" i="93"/>
  <c r="D849" i="93"/>
  <c r="D850" i="93"/>
  <c r="D851" i="93"/>
  <c r="D852" i="93"/>
  <c r="D853" i="93"/>
  <c r="D854" i="93"/>
  <c r="D855" i="93"/>
  <c r="D856" i="93"/>
  <c r="D857" i="93"/>
  <c r="D858" i="93"/>
  <c r="D859" i="93"/>
  <c r="D860" i="93"/>
  <c r="D861" i="93"/>
  <c r="D862" i="93"/>
  <c r="D863" i="93"/>
  <c r="D864" i="93"/>
  <c r="D865" i="93"/>
  <c r="D866" i="93"/>
  <c r="D867" i="93"/>
  <c r="D868" i="93"/>
  <c r="D869" i="93"/>
  <c r="D870" i="93"/>
  <c r="D871" i="93"/>
  <c r="D872" i="93"/>
  <c r="D873" i="93"/>
  <c r="D874" i="93"/>
  <c r="D875" i="93"/>
  <c r="D876" i="93"/>
  <c r="D877" i="93"/>
  <c r="D878" i="93"/>
  <c r="D879" i="93"/>
  <c r="D880" i="93"/>
  <c r="D881" i="93"/>
  <c r="D882" i="93"/>
  <c r="D883" i="93"/>
  <c r="D884" i="93"/>
  <c r="D885" i="93"/>
  <c r="D886" i="93"/>
  <c r="D887" i="93"/>
  <c r="D888" i="93"/>
  <c r="D889" i="93"/>
  <c r="D890" i="93"/>
  <c r="D891" i="93"/>
  <c r="D892" i="93"/>
  <c r="D893" i="93"/>
  <c r="D894" i="93"/>
  <c r="D895" i="93"/>
  <c r="D896" i="93"/>
  <c r="D897" i="93"/>
  <c r="D898" i="93"/>
  <c r="D899" i="93"/>
  <c r="D900" i="93"/>
  <c r="D901" i="93"/>
  <c r="D902" i="93"/>
  <c r="D903" i="93"/>
  <c r="D904" i="93"/>
  <c r="D905" i="93"/>
  <c r="D906" i="93"/>
  <c r="D907" i="93"/>
  <c r="D908" i="93"/>
  <c r="D909" i="93"/>
  <c r="D910" i="93"/>
  <c r="D911" i="93"/>
  <c r="D912" i="93"/>
  <c r="D913" i="93"/>
  <c r="D914" i="93"/>
  <c r="D915" i="93"/>
  <c r="D916" i="93"/>
  <c r="D917" i="93"/>
  <c r="D918" i="93"/>
  <c r="D919" i="93"/>
  <c r="D920" i="93"/>
  <c r="D921" i="93"/>
  <c r="D922" i="93"/>
  <c r="D923" i="93"/>
  <c r="D924" i="93"/>
  <c r="D925" i="93"/>
  <c r="D926" i="93"/>
  <c r="D927" i="93"/>
  <c r="D928" i="93"/>
  <c r="D929" i="93"/>
  <c r="D930" i="93"/>
  <c r="D931" i="93"/>
  <c r="D932" i="93"/>
  <c r="D933" i="93"/>
  <c r="D934" i="93"/>
  <c r="D935" i="93"/>
  <c r="D936" i="93"/>
  <c r="D937" i="93"/>
  <c r="D938" i="93"/>
  <c r="D939" i="93"/>
  <c r="D940" i="93"/>
  <c r="D941" i="93"/>
  <c r="D942" i="93"/>
  <c r="D943" i="93"/>
  <c r="D944" i="93"/>
  <c r="D945" i="93"/>
  <c r="D946" i="93"/>
  <c r="D947" i="93"/>
  <c r="D948" i="93"/>
  <c r="D949" i="93"/>
  <c r="D950" i="93"/>
  <c r="D951" i="93"/>
  <c r="D952" i="93"/>
  <c r="D953" i="93"/>
  <c r="D954" i="93"/>
  <c r="D955" i="93"/>
  <c r="D956" i="93"/>
  <c r="D957" i="93"/>
  <c r="D958" i="93"/>
  <c r="D959" i="93"/>
  <c r="D960" i="93"/>
  <c r="D961" i="93"/>
  <c r="D962" i="93"/>
  <c r="D963" i="93"/>
  <c r="D964" i="93"/>
  <c r="D965" i="93"/>
  <c r="D966" i="93"/>
  <c r="D967" i="93"/>
  <c r="D968" i="93"/>
  <c r="D969" i="93"/>
  <c r="D970" i="93"/>
  <c r="D971" i="93"/>
  <c r="D972" i="93"/>
  <c r="D973" i="93"/>
  <c r="D974" i="93"/>
  <c r="D975" i="93"/>
  <c r="D976" i="93"/>
  <c r="D977" i="93"/>
  <c r="D978" i="93"/>
  <c r="D979" i="93"/>
  <c r="D980" i="93"/>
  <c r="D981" i="93"/>
  <c r="D982" i="93"/>
  <c r="D983" i="93"/>
  <c r="D984" i="93"/>
  <c r="D985" i="93"/>
  <c r="D986" i="93"/>
  <c r="D987" i="93"/>
  <c r="D988" i="93"/>
  <c r="D989" i="93"/>
  <c r="D990" i="93"/>
  <c r="D991" i="93"/>
  <c r="D992" i="93"/>
  <c r="D993" i="93"/>
  <c r="D994" i="93"/>
  <c r="D995" i="93"/>
  <c r="D996" i="93"/>
  <c r="D997" i="93"/>
  <c r="D998" i="93"/>
  <c r="D999" i="93"/>
  <c r="D1000" i="93"/>
  <c r="D1001" i="93"/>
  <c r="D1002" i="93"/>
  <c r="D1003" i="93"/>
  <c r="D1004" i="93"/>
  <c r="D1005" i="93"/>
  <c r="D1006" i="93"/>
  <c r="D1007" i="93"/>
  <c r="D1008" i="93"/>
  <c r="D1009" i="93"/>
  <c r="D1010" i="93"/>
  <c r="D1011" i="93"/>
  <c r="D1012" i="93"/>
  <c r="D1013" i="93"/>
  <c r="D1014" i="93"/>
  <c r="D1015" i="93"/>
  <c r="D1016" i="93"/>
  <c r="D1017" i="93"/>
  <c r="D1018" i="93"/>
  <c r="D1019" i="93"/>
  <c r="D1020" i="93"/>
  <c r="D1021" i="93"/>
  <c r="D1022" i="93"/>
  <c r="D1023" i="93"/>
  <c r="D1024" i="93"/>
  <c r="D1025" i="93"/>
  <c r="D1026" i="93"/>
  <c r="D1027" i="93"/>
  <c r="D1028" i="93"/>
  <c r="D1029" i="93"/>
  <c r="D1030" i="93"/>
  <c r="D1031" i="93"/>
  <c r="D1032" i="93"/>
  <c r="D1033" i="93"/>
  <c r="D1034" i="93"/>
  <c r="D1035" i="93"/>
  <c r="D1036" i="93"/>
  <c r="D1037" i="93"/>
  <c r="D1038" i="93"/>
  <c r="D1039" i="93"/>
  <c r="D1040" i="93"/>
  <c r="D1041" i="93"/>
  <c r="D1042" i="93"/>
  <c r="D1043" i="93"/>
  <c r="D1044" i="93"/>
  <c r="D1045" i="93"/>
  <c r="D1046" i="93"/>
  <c r="D1047" i="93"/>
  <c r="D1048" i="93"/>
  <c r="D1049" i="93"/>
  <c r="D1050" i="93"/>
  <c r="D1051" i="93"/>
  <c r="D1052" i="93"/>
  <c r="D1053" i="93"/>
  <c r="D1054" i="93"/>
  <c r="D1055" i="93"/>
  <c r="D1056" i="93"/>
  <c r="D1057" i="93"/>
  <c r="D1058" i="93"/>
  <c r="D1059" i="93"/>
  <c r="D1060" i="93"/>
  <c r="D1061" i="93"/>
  <c r="D1062" i="93"/>
  <c r="D1063" i="93"/>
  <c r="D1064" i="93"/>
  <c r="D1065" i="93"/>
  <c r="D1066" i="93"/>
  <c r="D1067" i="93"/>
  <c r="D1068" i="93"/>
  <c r="D1069" i="93"/>
  <c r="D1070" i="93"/>
  <c r="D1071" i="93"/>
  <c r="D1072" i="93"/>
  <c r="D1073" i="93"/>
  <c r="D1074" i="93"/>
  <c r="D1075" i="93"/>
  <c r="D1076" i="93"/>
  <c r="D1077" i="93"/>
  <c r="D1078" i="93"/>
  <c r="D1079" i="93"/>
  <c r="D1080" i="93"/>
  <c r="D1081" i="93"/>
  <c r="D1082" i="93"/>
  <c r="D1083" i="93"/>
  <c r="D1084" i="93"/>
  <c r="D1085" i="93"/>
  <c r="D1086" i="93"/>
  <c r="D1087" i="93"/>
  <c r="D1088" i="93"/>
  <c r="D1089" i="93"/>
  <c r="D1090" i="93"/>
  <c r="D1091" i="93"/>
  <c r="D1092" i="93"/>
  <c r="D1093" i="93"/>
  <c r="D1094" i="93"/>
  <c r="D1095" i="93"/>
  <c r="D1096" i="93"/>
  <c r="D1097" i="93"/>
  <c r="D1098" i="93"/>
  <c r="D1099" i="93"/>
  <c r="D1100" i="93"/>
  <c r="D1101" i="93"/>
  <c r="D1102" i="93"/>
  <c r="D1103" i="93"/>
  <c r="D1104" i="93"/>
  <c r="D1105" i="93"/>
  <c r="D1106" i="93"/>
  <c r="D1107" i="93"/>
  <c r="D1108" i="93"/>
  <c r="D1109" i="93"/>
  <c r="D1110" i="93"/>
  <c r="D1111" i="93"/>
  <c r="D1112" i="93"/>
  <c r="D1113" i="93"/>
  <c r="D1114" i="93"/>
  <c r="D1115" i="93"/>
  <c r="D1116" i="93"/>
  <c r="D1117" i="93"/>
  <c r="D1118" i="93"/>
  <c r="D1119" i="93"/>
  <c r="D1120" i="93"/>
  <c r="D1121" i="93"/>
  <c r="D1122" i="93"/>
  <c r="D1123" i="93"/>
  <c r="D1124" i="93"/>
  <c r="D1125" i="93"/>
  <c r="D1126" i="93"/>
  <c r="D1127" i="93"/>
  <c r="D1128" i="93"/>
  <c r="D1129" i="93"/>
  <c r="D1130" i="93"/>
  <c r="D1131" i="93"/>
  <c r="D1132" i="93"/>
  <c r="D1133" i="93"/>
  <c r="D1134" i="93"/>
  <c r="D1135" i="93"/>
  <c r="D1136" i="93"/>
  <c r="D1137" i="93"/>
  <c r="D1138" i="93"/>
  <c r="D1139" i="93"/>
  <c r="D1140" i="93"/>
  <c r="D1141" i="93"/>
  <c r="D1142" i="93"/>
  <c r="D1143" i="93"/>
  <c r="D1144" i="93"/>
  <c r="D1145" i="93"/>
  <c r="D1146" i="93"/>
  <c r="D1147" i="93"/>
  <c r="D1148" i="93"/>
  <c r="D1149" i="93"/>
  <c r="D1150" i="93"/>
  <c r="D1151" i="93"/>
  <c r="D1152" i="93"/>
  <c r="D1153" i="93"/>
  <c r="D1154" i="93"/>
  <c r="D1155" i="93"/>
  <c r="D1156" i="93"/>
  <c r="D1157" i="93"/>
  <c r="D1158" i="93"/>
  <c r="D1159" i="93"/>
  <c r="D1160" i="93"/>
  <c r="D1161" i="93"/>
  <c r="D1162" i="93"/>
  <c r="D1163" i="93"/>
  <c r="D1164" i="93"/>
  <c r="D1165" i="93"/>
  <c r="D1166" i="93"/>
  <c r="D1167" i="93"/>
  <c r="D1168" i="93"/>
  <c r="D1169" i="93"/>
  <c r="D1170" i="93"/>
  <c r="D1171" i="93"/>
  <c r="D1172" i="93"/>
  <c r="D1173" i="93"/>
  <c r="D1174" i="93"/>
  <c r="D1175" i="93"/>
  <c r="D1176" i="93"/>
  <c r="D1177" i="93"/>
  <c r="D1178" i="93"/>
  <c r="D1179" i="93"/>
  <c r="D1180" i="93"/>
  <c r="D1181" i="93"/>
  <c r="D1182" i="93"/>
  <c r="D1183" i="93"/>
  <c r="D1184" i="93"/>
  <c r="D1185" i="93"/>
  <c r="D1186" i="93"/>
  <c r="D1187" i="93"/>
  <c r="D1188" i="93"/>
  <c r="D1189" i="93"/>
  <c r="D1190" i="93"/>
  <c r="D1191" i="93"/>
  <c r="D1192" i="93"/>
  <c r="D1193" i="93"/>
  <c r="D1194" i="93"/>
  <c r="D1195" i="93"/>
  <c r="D1196" i="93"/>
  <c r="D1197" i="93"/>
  <c r="D1198" i="93"/>
  <c r="D1199" i="93"/>
  <c r="D1200" i="93"/>
  <c r="D1201" i="93"/>
  <c r="D1202" i="93"/>
  <c r="D1203" i="93"/>
  <c r="D1204" i="93"/>
  <c r="D1205" i="93"/>
  <c r="D1206" i="93"/>
  <c r="D1207" i="93"/>
  <c r="D1208" i="93"/>
  <c r="D1209" i="93"/>
  <c r="D1210" i="93"/>
  <c r="D1211" i="93"/>
  <c r="D1212" i="93"/>
  <c r="D1213" i="93"/>
  <c r="D1214" i="93"/>
  <c r="D1215" i="93"/>
  <c r="D1216" i="93"/>
  <c r="D1217" i="93"/>
  <c r="D1218" i="93"/>
  <c r="D1219" i="93"/>
  <c r="D1220" i="93"/>
  <c r="D1221" i="93"/>
  <c r="D1222" i="93"/>
  <c r="D1223" i="93"/>
  <c r="D1224" i="93"/>
  <c r="D1225" i="93"/>
  <c r="D1226" i="93"/>
  <c r="D1227" i="93"/>
  <c r="D1228" i="93"/>
  <c r="D1229" i="93"/>
  <c r="D1230" i="93"/>
  <c r="D1231" i="93"/>
  <c r="D1232" i="93"/>
  <c r="D1233" i="93"/>
  <c r="D1234" i="93"/>
  <c r="D1235" i="93"/>
  <c r="D1236" i="93"/>
  <c r="D1237" i="93"/>
  <c r="D1238" i="93"/>
  <c r="D1239" i="93"/>
  <c r="D1240" i="93"/>
  <c r="D1241" i="93"/>
  <c r="D1242" i="93"/>
  <c r="D1243" i="93"/>
  <c r="D1244" i="93"/>
  <c r="D1245" i="93"/>
  <c r="D1246" i="93"/>
  <c r="D1247" i="93"/>
  <c r="D1248" i="93"/>
  <c r="D1249" i="93"/>
  <c r="D1250" i="93"/>
  <c r="D1251" i="93"/>
  <c r="D1252" i="93"/>
  <c r="D1253" i="93"/>
  <c r="D1254" i="93"/>
  <c r="D1255" i="93"/>
  <c r="D1256" i="93"/>
  <c r="D1257" i="93"/>
  <c r="D1258" i="93"/>
  <c r="D1259" i="93"/>
  <c r="D1260" i="93"/>
  <c r="D1261" i="93"/>
  <c r="D1262" i="93"/>
  <c r="D1263" i="93"/>
  <c r="D1264" i="93"/>
  <c r="D1265" i="93"/>
  <c r="D1266" i="93"/>
  <c r="D1267" i="93"/>
  <c r="D1268" i="93"/>
  <c r="D1269" i="93"/>
  <c r="D1270" i="93"/>
  <c r="D1271" i="93"/>
  <c r="D1272" i="93"/>
  <c r="D1273" i="93"/>
  <c r="D1274" i="93"/>
  <c r="D1275" i="93"/>
  <c r="D1276" i="93"/>
  <c r="D1277" i="93"/>
  <c r="D1278" i="93"/>
  <c r="D1279" i="93"/>
  <c r="D1280" i="93"/>
  <c r="D1281" i="93"/>
  <c r="D1282" i="93"/>
  <c r="D1283" i="93"/>
  <c r="D1284" i="93"/>
  <c r="D1285" i="93"/>
  <c r="D1286" i="93"/>
  <c r="D1287" i="93"/>
  <c r="D1288" i="93"/>
  <c r="D1289" i="93"/>
  <c r="D1290" i="93"/>
  <c r="D1291" i="93"/>
  <c r="D1292" i="93"/>
  <c r="D1293" i="93"/>
  <c r="D1294" i="93"/>
  <c r="D1295" i="93"/>
  <c r="D1296" i="93"/>
  <c r="D1297" i="93"/>
  <c r="D1298" i="93"/>
  <c r="D1299" i="93"/>
  <c r="D1300" i="93"/>
  <c r="D1301" i="93"/>
  <c r="D1302" i="93"/>
  <c r="D1303" i="93"/>
  <c r="D1304" i="93"/>
  <c r="D1305" i="93"/>
  <c r="D1306" i="93"/>
  <c r="D1307" i="93"/>
  <c r="D1308" i="93"/>
  <c r="D1309" i="93"/>
  <c r="D1310" i="93"/>
  <c r="D1311" i="93"/>
  <c r="D1312" i="93"/>
  <c r="D1313" i="93"/>
  <c r="D1314" i="93"/>
  <c r="D1315" i="93"/>
  <c r="D1316" i="93"/>
  <c r="D1317" i="93"/>
  <c r="D1318" i="93"/>
  <c r="D1319" i="93"/>
  <c r="D1320" i="93"/>
  <c r="D1321" i="93"/>
  <c r="D1322" i="93"/>
  <c r="D1323" i="93"/>
  <c r="D1324" i="93"/>
  <c r="D1325" i="93"/>
  <c r="D1326" i="93"/>
  <c r="D1327" i="93"/>
  <c r="D1328" i="93"/>
  <c r="D1329" i="93"/>
  <c r="D1330" i="93"/>
  <c r="D1331" i="93"/>
  <c r="D1332" i="93"/>
  <c r="D1333" i="93"/>
  <c r="D1334" i="93"/>
  <c r="D1335" i="93"/>
  <c r="D1336" i="93"/>
  <c r="D1337" i="93"/>
  <c r="D1338" i="93"/>
  <c r="D1339" i="93"/>
  <c r="D1340" i="93"/>
  <c r="D1341" i="93"/>
  <c r="D1342" i="93"/>
  <c r="D1343" i="93"/>
  <c r="D1344" i="93"/>
  <c r="D1345" i="93"/>
  <c r="D1346" i="93"/>
  <c r="D1347" i="93"/>
  <c r="D1348" i="93"/>
  <c r="D1349" i="93"/>
  <c r="D1350" i="93"/>
  <c r="D1351" i="93"/>
  <c r="D1352" i="93"/>
  <c r="D1353" i="93"/>
  <c r="D1354" i="93"/>
  <c r="D1355" i="93"/>
  <c r="D1356" i="93"/>
  <c r="D1357" i="93"/>
  <c r="D1358" i="93"/>
  <c r="D1359" i="93"/>
  <c r="D1360" i="93"/>
  <c r="D1361" i="93"/>
  <c r="D1362" i="93"/>
  <c r="D1363" i="93"/>
  <c r="D1364" i="93"/>
  <c r="D1365" i="93"/>
  <c r="D1366" i="93"/>
  <c r="D1367" i="93"/>
  <c r="D1368" i="93"/>
  <c r="D1369" i="93"/>
  <c r="D1370" i="93"/>
  <c r="D1371" i="93"/>
  <c r="D1372" i="93"/>
  <c r="D1373" i="93"/>
  <c r="D1374" i="93"/>
  <c r="D1375" i="93"/>
  <c r="D1376" i="93"/>
  <c r="D1377" i="93"/>
  <c r="D1378" i="93"/>
  <c r="D1379" i="93"/>
  <c r="D1380" i="93"/>
  <c r="D1381" i="93"/>
  <c r="D1382" i="93"/>
  <c r="D1383" i="93"/>
  <c r="D1384" i="93"/>
  <c r="D1385" i="93"/>
  <c r="D1386" i="93"/>
  <c r="D1387" i="93"/>
  <c r="D1388" i="93"/>
  <c r="D1389" i="93"/>
  <c r="D1390" i="93"/>
  <c r="D1391" i="93"/>
  <c r="D1392" i="93"/>
  <c r="D1393" i="93"/>
  <c r="D1394" i="93"/>
  <c r="D1395" i="93"/>
  <c r="D1396" i="93"/>
  <c r="D1397" i="93"/>
  <c r="D1398" i="93"/>
  <c r="D1399" i="93"/>
  <c r="D1400" i="93"/>
  <c r="D1401" i="93"/>
  <c r="D1402" i="93"/>
  <c r="D1403" i="93"/>
  <c r="D1404" i="93"/>
  <c r="D1405" i="93"/>
  <c r="D1406" i="93"/>
  <c r="D1407" i="93"/>
  <c r="D1408" i="93"/>
  <c r="D1409" i="93"/>
  <c r="D1410" i="93"/>
  <c r="D1411" i="93"/>
  <c r="D1412" i="93"/>
  <c r="D1413" i="93"/>
  <c r="D1414" i="93"/>
  <c r="D1415" i="93"/>
  <c r="D1416" i="93"/>
  <c r="D1417" i="93"/>
  <c r="D1418" i="93"/>
  <c r="D1419" i="93"/>
  <c r="D1420" i="93"/>
  <c r="D1421" i="93"/>
  <c r="D1422" i="93"/>
  <c r="D1423" i="93"/>
  <c r="D1424" i="93"/>
  <c r="D1425" i="93"/>
  <c r="D1426" i="93"/>
  <c r="D1427" i="93"/>
  <c r="D1428" i="93"/>
  <c r="D1429" i="93"/>
  <c r="D1430" i="93"/>
  <c r="D1431" i="93"/>
  <c r="D1432" i="93"/>
  <c r="D1433" i="93"/>
  <c r="D1434" i="93"/>
  <c r="D1435" i="93"/>
  <c r="D1436" i="93"/>
  <c r="D1437" i="93"/>
  <c r="D1438" i="93"/>
  <c r="D1439" i="93"/>
  <c r="D1440" i="93"/>
  <c r="D1441" i="93"/>
  <c r="D1442" i="93"/>
  <c r="D1443" i="93"/>
  <c r="D1444" i="93"/>
  <c r="D1445" i="93"/>
  <c r="D1446" i="93"/>
  <c r="D1447" i="93"/>
  <c r="D1448" i="93"/>
  <c r="D1449" i="93"/>
  <c r="D1450" i="93"/>
  <c r="D1451" i="93"/>
  <c r="D1452" i="93"/>
  <c r="D1453" i="93"/>
  <c r="D1454" i="93"/>
  <c r="D1455" i="93"/>
  <c r="D1456" i="93"/>
  <c r="D1457" i="93"/>
  <c r="D1458" i="93"/>
  <c r="D1459" i="93"/>
  <c r="D1460" i="93"/>
  <c r="D1461" i="93"/>
  <c r="D1462" i="93"/>
  <c r="D1463" i="93"/>
  <c r="D1464" i="93"/>
  <c r="D1465" i="93"/>
  <c r="D1466" i="93"/>
  <c r="D1467" i="93"/>
  <c r="D1468" i="93"/>
  <c r="D1469" i="93"/>
  <c r="D1470" i="93"/>
  <c r="D1471" i="93"/>
  <c r="D1472" i="93"/>
  <c r="D1473" i="93"/>
  <c r="D1474" i="93"/>
  <c r="D1475" i="93"/>
  <c r="D1476" i="93"/>
  <c r="D1477" i="93"/>
  <c r="D1478" i="93"/>
  <c r="D1479" i="93"/>
  <c r="D1480" i="93"/>
  <c r="D1481" i="93"/>
  <c r="D1482" i="93"/>
  <c r="D1483" i="93"/>
  <c r="D1484" i="93"/>
  <c r="D1485" i="93"/>
  <c r="D1486" i="93"/>
  <c r="D1487" i="93"/>
  <c r="D1488" i="93"/>
  <c r="D1489" i="93"/>
  <c r="D1490" i="93"/>
  <c r="D1491" i="93"/>
  <c r="D1492" i="93"/>
  <c r="D1493" i="93"/>
  <c r="D1494" i="93"/>
  <c r="D1495" i="93"/>
  <c r="D1496" i="93"/>
  <c r="D1497" i="93"/>
  <c r="D1498" i="93"/>
  <c r="D1499" i="93"/>
  <c r="D1500" i="93"/>
  <c r="D1501" i="93"/>
  <c r="D1502" i="93"/>
  <c r="D1503" i="93"/>
  <c r="D1504" i="93"/>
  <c r="D1505" i="93"/>
  <c r="D1506" i="93"/>
  <c r="D1507" i="93"/>
  <c r="D1508" i="93"/>
  <c r="D1509" i="93"/>
  <c r="D1510" i="93"/>
  <c r="D1511" i="93"/>
  <c r="D1512" i="93"/>
  <c r="D1513" i="93"/>
  <c r="D1514" i="93"/>
  <c r="D1515" i="93"/>
  <c r="D1516" i="93"/>
  <c r="D1517" i="93"/>
  <c r="D1518" i="93"/>
  <c r="D1519" i="93"/>
  <c r="D1520" i="93"/>
  <c r="D1521" i="93"/>
  <c r="D1522" i="93"/>
  <c r="D1523" i="93"/>
  <c r="D1524" i="93"/>
  <c r="D1525" i="93"/>
  <c r="D1526" i="93"/>
  <c r="D1527" i="93"/>
  <c r="D1528" i="93"/>
  <c r="D1529" i="93"/>
  <c r="D1530" i="93"/>
  <c r="D1531" i="93"/>
  <c r="D1532" i="93"/>
  <c r="D1533" i="93"/>
  <c r="D1534" i="93"/>
  <c r="D1535" i="93"/>
  <c r="D1536" i="93"/>
  <c r="D1537" i="93"/>
  <c r="D1538" i="93"/>
  <c r="D1539" i="93"/>
  <c r="D1540" i="93"/>
  <c r="D1541" i="93"/>
  <c r="D1542" i="93"/>
  <c r="D1543" i="93"/>
  <c r="D1544" i="93"/>
  <c r="D1545" i="93"/>
  <c r="D1546" i="93"/>
  <c r="D1547" i="93"/>
  <c r="D1548" i="93"/>
  <c r="D1549" i="93"/>
  <c r="D1550" i="93"/>
  <c r="D1551" i="93"/>
  <c r="D1552" i="93"/>
  <c r="D1553" i="93"/>
  <c r="D1554" i="93"/>
  <c r="D1555" i="93"/>
  <c r="D1556" i="93"/>
  <c r="D1557" i="93"/>
  <c r="D1558" i="93"/>
  <c r="D1559" i="93"/>
  <c r="D1560" i="93"/>
  <c r="D1561" i="93"/>
  <c r="D1562" i="93"/>
  <c r="D1563" i="93"/>
  <c r="D1564" i="93"/>
  <c r="D1565" i="93"/>
  <c r="D1566" i="93"/>
  <c r="D1567" i="93"/>
  <c r="D1568" i="93"/>
  <c r="D1569" i="93"/>
  <c r="D1570" i="93"/>
  <c r="D1571" i="93"/>
  <c r="D1572" i="93"/>
  <c r="D1573" i="93"/>
  <c r="D1574" i="93"/>
  <c r="D1575" i="93"/>
  <c r="D1576" i="93"/>
  <c r="D1577" i="93"/>
  <c r="D1578" i="93"/>
  <c r="D1579" i="93"/>
  <c r="D1580" i="93"/>
  <c r="D1581" i="93"/>
  <c r="D1582" i="93"/>
  <c r="D1583" i="93"/>
  <c r="D1584" i="93"/>
  <c r="D1585" i="93"/>
  <c r="D1586" i="93"/>
  <c r="D1587" i="93"/>
  <c r="D1588" i="93"/>
  <c r="D1589" i="93"/>
  <c r="D1590" i="93"/>
  <c r="D1591" i="93"/>
  <c r="D1592" i="93"/>
  <c r="D1593" i="93"/>
  <c r="D1594" i="93"/>
  <c r="D1595" i="93"/>
  <c r="D1596" i="93"/>
  <c r="D1597" i="93"/>
  <c r="D1598" i="93"/>
  <c r="D1599" i="93"/>
  <c r="D1600" i="93"/>
  <c r="D1601" i="93"/>
  <c r="D1602" i="93"/>
  <c r="D1603" i="93"/>
  <c r="D1604" i="93"/>
  <c r="D1605" i="93"/>
  <c r="D1606" i="93"/>
  <c r="D1607" i="93"/>
  <c r="D1608" i="93"/>
  <c r="D1609" i="93"/>
  <c r="D1610" i="93"/>
  <c r="D1611" i="93"/>
  <c r="D1612" i="93"/>
  <c r="D1613" i="93"/>
  <c r="D1614" i="93"/>
  <c r="D1615" i="93"/>
  <c r="D1616" i="93"/>
  <c r="D1617" i="93"/>
  <c r="D1618" i="93"/>
  <c r="D1619" i="93"/>
  <c r="D1620" i="93"/>
  <c r="D1621" i="93"/>
  <c r="D1622" i="93"/>
  <c r="D1623" i="93"/>
  <c r="D1624" i="93"/>
  <c r="D1625" i="93"/>
  <c r="D1626" i="93"/>
  <c r="D1627" i="93"/>
  <c r="D1628" i="93"/>
  <c r="D1629" i="93"/>
  <c r="D1630" i="93"/>
  <c r="D1631" i="93"/>
  <c r="D1632" i="93"/>
  <c r="D1633" i="93"/>
  <c r="D1634" i="93"/>
  <c r="D1635" i="93"/>
  <c r="D1636" i="93"/>
  <c r="D1637" i="93"/>
  <c r="D1638" i="93"/>
  <c r="D1639" i="93"/>
  <c r="D1640" i="93"/>
  <c r="D1641" i="93"/>
  <c r="D1642" i="93"/>
  <c r="D1643" i="93"/>
  <c r="D1644" i="93"/>
  <c r="D1645" i="93"/>
  <c r="D1646" i="93"/>
  <c r="D1647" i="93"/>
  <c r="D1648" i="93"/>
  <c r="D1649" i="93"/>
  <c r="D1650" i="93"/>
  <c r="D1651" i="93"/>
  <c r="D1652" i="93"/>
  <c r="D1653" i="93"/>
  <c r="D1654" i="93"/>
  <c r="D1655" i="93"/>
  <c r="D1656" i="93"/>
  <c r="D1657" i="93"/>
  <c r="D1658" i="93"/>
  <c r="D1659" i="93"/>
  <c r="D1660" i="93"/>
  <c r="D1661" i="93"/>
  <c r="D1662" i="93"/>
  <c r="D1663" i="93"/>
  <c r="D1664" i="93"/>
  <c r="D1665" i="93"/>
  <c r="D1666" i="93"/>
  <c r="D1667" i="93"/>
  <c r="D1668" i="93"/>
  <c r="D1669" i="93"/>
  <c r="D1670" i="93"/>
  <c r="D1671" i="93"/>
  <c r="D1672" i="93"/>
  <c r="D1673" i="93"/>
  <c r="D1674" i="93"/>
  <c r="D1675" i="93"/>
  <c r="D1676" i="93"/>
  <c r="D1677" i="93"/>
  <c r="D1678" i="93"/>
  <c r="D1679" i="93"/>
  <c r="D1680" i="93"/>
  <c r="D1681" i="93"/>
  <c r="D1682" i="93"/>
  <c r="D1683" i="93"/>
  <c r="D1684" i="93"/>
  <c r="D1685" i="93"/>
  <c r="D1686" i="93"/>
  <c r="D1687" i="93"/>
  <c r="D1688" i="93"/>
  <c r="D1689" i="93"/>
  <c r="D1690" i="93"/>
  <c r="D1691" i="93"/>
  <c r="D1692" i="93"/>
  <c r="D1693" i="93"/>
  <c r="D1694" i="93"/>
  <c r="D1695" i="93"/>
  <c r="D1696" i="93"/>
  <c r="D1697" i="93"/>
  <c r="D1698" i="93"/>
  <c r="D1699" i="93"/>
  <c r="D1700" i="93"/>
  <c r="D1701" i="93"/>
  <c r="D1702" i="93"/>
  <c r="D1703" i="93"/>
  <c r="D1704" i="93"/>
  <c r="D1705" i="93"/>
  <c r="D1706" i="93"/>
  <c r="D1707" i="93"/>
  <c r="D1708" i="93"/>
  <c r="D1709" i="93"/>
  <c r="D1710" i="93"/>
  <c r="D1711" i="93"/>
  <c r="D1712" i="93"/>
  <c r="D1713" i="93"/>
  <c r="D1714" i="93"/>
  <c r="D1715" i="93"/>
  <c r="D1716" i="93"/>
  <c r="D1717" i="93"/>
  <c r="D1718" i="93"/>
  <c r="D1719" i="93"/>
  <c r="D1720" i="93"/>
  <c r="D1721" i="93"/>
  <c r="D1722" i="93"/>
  <c r="D1723" i="93"/>
  <c r="D1724" i="93"/>
  <c r="D1725" i="93"/>
  <c r="D1726" i="93"/>
  <c r="D1727" i="93"/>
  <c r="D1728" i="93"/>
  <c r="D1729" i="93"/>
  <c r="D1730" i="93"/>
  <c r="D1731" i="93"/>
  <c r="D1732" i="93"/>
  <c r="D1733" i="93"/>
  <c r="D1734" i="93"/>
  <c r="D1735" i="93"/>
  <c r="D1736" i="93"/>
  <c r="D1737" i="93"/>
  <c r="D1738" i="93"/>
  <c r="D1739" i="93"/>
  <c r="D1740" i="93"/>
  <c r="D1741" i="93"/>
  <c r="D1742" i="93"/>
  <c r="D1743" i="93"/>
  <c r="D1744" i="93"/>
  <c r="D1745" i="93"/>
  <c r="D1746" i="93"/>
  <c r="D1747" i="93"/>
  <c r="D1748" i="93"/>
  <c r="D1749" i="93"/>
  <c r="D1750" i="93"/>
  <c r="D1751" i="93"/>
  <c r="D1752" i="93"/>
  <c r="D1753" i="93"/>
  <c r="D1754" i="93"/>
  <c r="D1755" i="93"/>
  <c r="D1756" i="93"/>
  <c r="D1757" i="93"/>
  <c r="D1758" i="93"/>
  <c r="D1759" i="93"/>
  <c r="D1760" i="93"/>
  <c r="D1761" i="93"/>
  <c r="D1762" i="93"/>
  <c r="D1763" i="93"/>
  <c r="D1764" i="93"/>
  <c r="D1765" i="93"/>
  <c r="D1766" i="93"/>
  <c r="D1767" i="93"/>
  <c r="D1768" i="93"/>
  <c r="D1769" i="93"/>
  <c r="D1770" i="93"/>
  <c r="D1771" i="93"/>
  <c r="D1772" i="93"/>
  <c r="D1773" i="93"/>
  <c r="D1774" i="93"/>
  <c r="D1775" i="93"/>
  <c r="D1776" i="93"/>
  <c r="D1777" i="93"/>
  <c r="D1778" i="93"/>
  <c r="D1779" i="93"/>
  <c r="D1780" i="93"/>
  <c r="D1781" i="93"/>
  <c r="D1782" i="93"/>
  <c r="D1783" i="93"/>
  <c r="D1784" i="93"/>
  <c r="D1785" i="93"/>
  <c r="D1786" i="93"/>
  <c r="D1787" i="93"/>
  <c r="D1788" i="93"/>
  <c r="D1789" i="93"/>
  <c r="D1790" i="93"/>
  <c r="D1791" i="93"/>
  <c r="D1792" i="93"/>
  <c r="D1793" i="93"/>
  <c r="D1794" i="93"/>
  <c r="D1795" i="93"/>
  <c r="D1796" i="93"/>
  <c r="D1797" i="93"/>
  <c r="D1798" i="93"/>
  <c r="D1799" i="93"/>
  <c r="D1800" i="93"/>
  <c r="D1801" i="93"/>
  <c r="D1802" i="93"/>
  <c r="D1803" i="93"/>
  <c r="D1804" i="93"/>
  <c r="D1805" i="93"/>
  <c r="D1806" i="93"/>
  <c r="D1807" i="93"/>
  <c r="D1808" i="93"/>
  <c r="D1809" i="93"/>
  <c r="D1810" i="93"/>
  <c r="D1811" i="93"/>
  <c r="D1812" i="93"/>
  <c r="D1813" i="93"/>
  <c r="D1814" i="93"/>
  <c r="D1815" i="93"/>
  <c r="D1816" i="93"/>
  <c r="D1817" i="93"/>
  <c r="D1818" i="93"/>
  <c r="D1819" i="93"/>
  <c r="D1820" i="93"/>
  <c r="D1821" i="93"/>
  <c r="D1822" i="93"/>
  <c r="D1823" i="93"/>
  <c r="D1824" i="93"/>
  <c r="D1825" i="93"/>
  <c r="D1826" i="93"/>
  <c r="D1827" i="93"/>
  <c r="D1828" i="93"/>
  <c r="D1829" i="93"/>
  <c r="D1830" i="93"/>
  <c r="D1831" i="93"/>
  <c r="D1832" i="93"/>
  <c r="D1833" i="93"/>
  <c r="D1834" i="93"/>
  <c r="D1835" i="93"/>
  <c r="D1836" i="93"/>
  <c r="D1837" i="93"/>
  <c r="D1838" i="93"/>
  <c r="D1839" i="93"/>
  <c r="D1840" i="93"/>
  <c r="D1841" i="93"/>
  <c r="D1842" i="93"/>
  <c r="D1843" i="93"/>
  <c r="D1844" i="93"/>
  <c r="D1845" i="93"/>
  <c r="D1846" i="93"/>
  <c r="D1847" i="93"/>
  <c r="D1848" i="93"/>
  <c r="D1849" i="93"/>
  <c r="D1850" i="93"/>
  <c r="D1851" i="93"/>
  <c r="D1852" i="93"/>
  <c r="D1853" i="93"/>
  <c r="D1854" i="93"/>
  <c r="D1855" i="93"/>
  <c r="D1856" i="93"/>
  <c r="D1857" i="93"/>
  <c r="D1858" i="93"/>
  <c r="D1859" i="93"/>
  <c r="D1860" i="93"/>
  <c r="D1861" i="93"/>
  <c r="D1862" i="93"/>
  <c r="D1863" i="93"/>
  <c r="D1864" i="93"/>
  <c r="D1865" i="93"/>
  <c r="D1866" i="93"/>
  <c r="D1867" i="93"/>
  <c r="D1868" i="93"/>
  <c r="D1869" i="93"/>
  <c r="D1870" i="93"/>
  <c r="D1871" i="93"/>
  <c r="D1872" i="93"/>
  <c r="D1873" i="93"/>
  <c r="D1874" i="93"/>
  <c r="D1875" i="93"/>
  <c r="D1876" i="93"/>
  <c r="D1877" i="93"/>
  <c r="D1878" i="93"/>
  <c r="D1879" i="93"/>
  <c r="D1880" i="93"/>
  <c r="D1881" i="93"/>
  <c r="D1882" i="93"/>
  <c r="D1883" i="93"/>
  <c r="D1884" i="93"/>
  <c r="D1885" i="93"/>
  <c r="D1886" i="93"/>
  <c r="D1887" i="93"/>
  <c r="D1888" i="93"/>
  <c r="D1889" i="93"/>
  <c r="D1890" i="93"/>
  <c r="D1891" i="93"/>
  <c r="D1892" i="93"/>
  <c r="D1893" i="93"/>
  <c r="D1894" i="93"/>
  <c r="D1895" i="93"/>
  <c r="D1896" i="93"/>
  <c r="D1897" i="93"/>
  <c r="D1898" i="93"/>
  <c r="D1899" i="93"/>
  <c r="D1900" i="93"/>
  <c r="D1901" i="93"/>
  <c r="D1902" i="93"/>
  <c r="D1903" i="93"/>
  <c r="D1904" i="93"/>
  <c r="D1905" i="93"/>
  <c r="D1906" i="93"/>
  <c r="D1907" i="93"/>
  <c r="D1908" i="93"/>
  <c r="D1909" i="93"/>
  <c r="D1910" i="93"/>
  <c r="D1911" i="93"/>
  <c r="D1912" i="93"/>
  <c r="D1913" i="93"/>
  <c r="D1914" i="93"/>
  <c r="D1915" i="93"/>
  <c r="D1916" i="93"/>
  <c r="D1917" i="93"/>
  <c r="D1918" i="93"/>
  <c r="D1919" i="93"/>
  <c r="D1920" i="93"/>
  <c r="D1921" i="93"/>
  <c r="D1922" i="93"/>
  <c r="D1923" i="93"/>
  <c r="D1924" i="93"/>
  <c r="D1925" i="93"/>
  <c r="D1926" i="93"/>
  <c r="D1927" i="93"/>
  <c r="D1928" i="93"/>
  <c r="D1929" i="93"/>
  <c r="D1930" i="93"/>
  <c r="D1931" i="93"/>
  <c r="D1932" i="93"/>
  <c r="D1933" i="93"/>
  <c r="D1934" i="93"/>
  <c r="D1935" i="93"/>
  <c r="D1936" i="93"/>
  <c r="D1937" i="93"/>
  <c r="D1938" i="93"/>
  <c r="D1939" i="93"/>
  <c r="D1940" i="93"/>
  <c r="D1941" i="93"/>
  <c r="D1942" i="93"/>
  <c r="D1943" i="93"/>
  <c r="D1944" i="93"/>
  <c r="D1945" i="93"/>
  <c r="D1946" i="93"/>
  <c r="D1947" i="93"/>
  <c r="D1948" i="93"/>
  <c r="D1949" i="93"/>
  <c r="D1950" i="93"/>
  <c r="D1951" i="93"/>
  <c r="D1952" i="93"/>
  <c r="D1953" i="93"/>
  <c r="D1954" i="93"/>
  <c r="D1955" i="93"/>
  <c r="D1956" i="93"/>
  <c r="D1957" i="93"/>
  <c r="D1958" i="93"/>
  <c r="D1959" i="93"/>
  <c r="D1960" i="93"/>
  <c r="D1961" i="93"/>
  <c r="D1962" i="93"/>
  <c r="D1963" i="93"/>
  <c r="D1964" i="93"/>
  <c r="D1965" i="93"/>
  <c r="D1966" i="93"/>
  <c r="D1967" i="93"/>
  <c r="D1968" i="93"/>
  <c r="D1969" i="93"/>
  <c r="D1970" i="93"/>
  <c r="D1971" i="93"/>
  <c r="D1972" i="93"/>
  <c r="D1973" i="93"/>
  <c r="D1974" i="93"/>
  <c r="D1975" i="93"/>
  <c r="D1976" i="93"/>
  <c r="D1977" i="93"/>
  <c r="D1978" i="93"/>
  <c r="D1979" i="93"/>
  <c r="D1980" i="93"/>
  <c r="D1981" i="93"/>
  <c r="D1982" i="93"/>
  <c r="D1983" i="93"/>
  <c r="D1984" i="93"/>
  <c r="D1985" i="93"/>
  <c r="D1986" i="93"/>
  <c r="D1987" i="93"/>
  <c r="D1988" i="93"/>
  <c r="D1989" i="93"/>
  <c r="D1990" i="93"/>
  <c r="D1991" i="93"/>
  <c r="D1992" i="93"/>
  <c r="D1993" i="93"/>
  <c r="D1994" i="93"/>
  <c r="D1995" i="93"/>
  <c r="D1996" i="93"/>
  <c r="D1997" i="93"/>
  <c r="D1998" i="93"/>
  <c r="D1999" i="93"/>
  <c r="D2000" i="93"/>
  <c r="D2001" i="93"/>
  <c r="D2002" i="93"/>
  <c r="D2003" i="93"/>
  <c r="D2004" i="93"/>
  <c r="D2005" i="93"/>
  <c r="D2006" i="93"/>
  <c r="D2007" i="93"/>
  <c r="D2008" i="93"/>
  <c r="D2009" i="93"/>
  <c r="D2010" i="93"/>
  <c r="D2011" i="93"/>
  <c r="D2012" i="93"/>
  <c r="D2013" i="93"/>
  <c r="D2014" i="93"/>
  <c r="D2015" i="93"/>
  <c r="D2016" i="93"/>
  <c r="D2017" i="93"/>
  <c r="D2018" i="93"/>
  <c r="D2019" i="93"/>
  <c r="D2020" i="93"/>
  <c r="D2021" i="93"/>
  <c r="D2022" i="93"/>
  <c r="D2023" i="93"/>
  <c r="D2024" i="93"/>
  <c r="D2025" i="93"/>
  <c r="D2026" i="93"/>
  <c r="D2027" i="93"/>
  <c r="D2028" i="93"/>
  <c r="D2029" i="93"/>
  <c r="D2030" i="93"/>
  <c r="D2031" i="93"/>
  <c r="D2032" i="93"/>
  <c r="D2033" i="93"/>
  <c r="D2034" i="93"/>
  <c r="D2035" i="93"/>
  <c r="D2036" i="93"/>
  <c r="D2037" i="93"/>
  <c r="D2038" i="93"/>
  <c r="D2039" i="93"/>
  <c r="D2040" i="93"/>
  <c r="D2041" i="93"/>
  <c r="D2042" i="93"/>
  <c r="D2043" i="93"/>
  <c r="D2044" i="93"/>
  <c r="D2045" i="93"/>
  <c r="D2046" i="93"/>
  <c r="D2047" i="93"/>
  <c r="D2048" i="93"/>
  <c r="D2049" i="93"/>
  <c r="D2050" i="93"/>
  <c r="D2051" i="93"/>
  <c r="D2052" i="93"/>
  <c r="D2053" i="93"/>
  <c r="D2054" i="93"/>
  <c r="D2055" i="93"/>
  <c r="D2056" i="93"/>
  <c r="D2057" i="93"/>
  <c r="D2058" i="93"/>
  <c r="D2059" i="93"/>
  <c r="D2060" i="93"/>
  <c r="D2061" i="93"/>
  <c r="D2062" i="93"/>
  <c r="D2063" i="93"/>
  <c r="D2064" i="93"/>
  <c r="D2065" i="93"/>
  <c r="D2066" i="93"/>
  <c r="D2067" i="93"/>
  <c r="D2068" i="93"/>
  <c r="D2069" i="93"/>
  <c r="D2070" i="93"/>
  <c r="D2071" i="93"/>
  <c r="D2072" i="93"/>
  <c r="D2073" i="93"/>
  <c r="D2074" i="93"/>
  <c r="D2075" i="93"/>
  <c r="D2076" i="93"/>
  <c r="D2077" i="93"/>
  <c r="D2078" i="93"/>
  <c r="D2079" i="93"/>
  <c r="D2080" i="93"/>
  <c r="D2081" i="93"/>
  <c r="D2082" i="93"/>
  <c r="D2083" i="93"/>
  <c r="D2084" i="93"/>
  <c r="D2085" i="93"/>
  <c r="D2086" i="93"/>
  <c r="D2087" i="93"/>
  <c r="D2088" i="93"/>
  <c r="D2089" i="93"/>
  <c r="D2090" i="93"/>
  <c r="D2091" i="93"/>
  <c r="D2092" i="93"/>
  <c r="D2093" i="93"/>
  <c r="D2094" i="93"/>
  <c r="D2095" i="93"/>
  <c r="D2096" i="93"/>
  <c r="D2097" i="93"/>
  <c r="D2098" i="93"/>
  <c r="D2099" i="93"/>
  <c r="D2100" i="93"/>
  <c r="D2101" i="93"/>
  <c r="D2102" i="93"/>
  <c r="D2103" i="93"/>
  <c r="D2104" i="93"/>
  <c r="D2105" i="93"/>
  <c r="D2106" i="93"/>
  <c r="D2107" i="93"/>
  <c r="D2108" i="93"/>
  <c r="D2109" i="93"/>
  <c r="D2110" i="93"/>
  <c r="D2111" i="93"/>
  <c r="D2112" i="93"/>
  <c r="D2113" i="93"/>
  <c r="D2114" i="93"/>
  <c r="D2115" i="93"/>
  <c r="D2116" i="93"/>
  <c r="D2117" i="93"/>
  <c r="D2118" i="93"/>
  <c r="D2119" i="93"/>
  <c r="D2120" i="93"/>
  <c r="D2121" i="93"/>
  <c r="D2122" i="93"/>
  <c r="D2123" i="93"/>
  <c r="D2124" i="93"/>
  <c r="D2125" i="93"/>
  <c r="D2126" i="93"/>
  <c r="D2127" i="93"/>
  <c r="D2128" i="93"/>
  <c r="D2129" i="93"/>
  <c r="D2130" i="93"/>
  <c r="D2131" i="93"/>
  <c r="D2132" i="93"/>
  <c r="D2133" i="93"/>
  <c r="D2134" i="93"/>
  <c r="D2135" i="93"/>
  <c r="D2136" i="93"/>
  <c r="D2137" i="93"/>
  <c r="D2138" i="93"/>
  <c r="D2139" i="93"/>
  <c r="D2140" i="93"/>
  <c r="D2141" i="93"/>
  <c r="D2142" i="93"/>
  <c r="D2143" i="93"/>
  <c r="D2144" i="93"/>
  <c r="D2145" i="93"/>
  <c r="D2146" i="93"/>
  <c r="D2147" i="93"/>
  <c r="D2148" i="93"/>
  <c r="D2149" i="93"/>
  <c r="D2150" i="93"/>
  <c r="D2151" i="93"/>
  <c r="D2152" i="93"/>
  <c r="D2153" i="93"/>
  <c r="D2154" i="93"/>
  <c r="D2155" i="93"/>
  <c r="D2156" i="93"/>
  <c r="D2157" i="93"/>
  <c r="D2158" i="93"/>
  <c r="D2159" i="93"/>
  <c r="D2160" i="93"/>
  <c r="D2161" i="93"/>
  <c r="D2162" i="93"/>
  <c r="D2163" i="93"/>
  <c r="D2164" i="93"/>
  <c r="D2165" i="93"/>
  <c r="D2166" i="93"/>
  <c r="D2167" i="93"/>
  <c r="D2168" i="93"/>
  <c r="D2169" i="93"/>
  <c r="D2170" i="93"/>
  <c r="D2171" i="93"/>
  <c r="D2172" i="93"/>
  <c r="D2173" i="93"/>
  <c r="D2174" i="93"/>
  <c r="D2175" i="93"/>
  <c r="D2176" i="93"/>
  <c r="D2177" i="93"/>
  <c r="D2178" i="93"/>
  <c r="D2179" i="93"/>
  <c r="D2180" i="93"/>
  <c r="D2181" i="93"/>
  <c r="D2182" i="93"/>
  <c r="D2183" i="93"/>
  <c r="D2184" i="93"/>
  <c r="D2185" i="93"/>
  <c r="D2186" i="93"/>
  <c r="D2187" i="93"/>
  <c r="D2188" i="93"/>
  <c r="D2189" i="93"/>
  <c r="D2190" i="93"/>
  <c r="D2191" i="93"/>
  <c r="D2192" i="93"/>
  <c r="D2193" i="93"/>
  <c r="D2194" i="93"/>
  <c r="D2195" i="93"/>
  <c r="D2196" i="93"/>
  <c r="D2197" i="93"/>
  <c r="D2198" i="93"/>
  <c r="D2199" i="93"/>
  <c r="D2200" i="93"/>
  <c r="D2201" i="93"/>
  <c r="D2202" i="93"/>
  <c r="D2203" i="93"/>
  <c r="D2204" i="93"/>
  <c r="D2205" i="93"/>
  <c r="D2206" i="93"/>
  <c r="D2207" i="93"/>
  <c r="D2208" i="93"/>
  <c r="D2209" i="93"/>
  <c r="D2210" i="93"/>
  <c r="D2211" i="93"/>
  <c r="D2212" i="93"/>
  <c r="D2213" i="93"/>
  <c r="D2214" i="93"/>
  <c r="D2215" i="93"/>
  <c r="D2216" i="93"/>
  <c r="D2217" i="93"/>
  <c r="D2218" i="93"/>
  <c r="D2219" i="93"/>
  <c r="D2220" i="93"/>
  <c r="D2221" i="93"/>
  <c r="D2222" i="93"/>
  <c r="D2223" i="93"/>
  <c r="D2224" i="93"/>
  <c r="D2225" i="93"/>
  <c r="D2226" i="93"/>
  <c r="D2227" i="93"/>
  <c r="D2228" i="93"/>
  <c r="D2229" i="93"/>
  <c r="D2230" i="93"/>
  <c r="D2231" i="93"/>
  <c r="D2232" i="93"/>
  <c r="D2233" i="93"/>
  <c r="D2234" i="93"/>
  <c r="D2235" i="93"/>
  <c r="D2236" i="93"/>
  <c r="D2237" i="93"/>
  <c r="D2238" i="93"/>
  <c r="D2239" i="93"/>
  <c r="D2240" i="93"/>
  <c r="D2241" i="93"/>
  <c r="D2242" i="93"/>
  <c r="D2243" i="93"/>
  <c r="D2244" i="93"/>
  <c r="D2245" i="93"/>
  <c r="D2246" i="93"/>
  <c r="D2247" i="93"/>
  <c r="D2248" i="93"/>
  <c r="D2249" i="93"/>
  <c r="D2250" i="93"/>
  <c r="D2251" i="93"/>
  <c r="D2252" i="93"/>
  <c r="D2253" i="93"/>
  <c r="D2254" i="93"/>
  <c r="D2255" i="93"/>
  <c r="D2256" i="93"/>
  <c r="D2257" i="93"/>
  <c r="D2258" i="93"/>
  <c r="D2259" i="93"/>
  <c r="D2260" i="93"/>
  <c r="D2261" i="93"/>
  <c r="D2262" i="93"/>
  <c r="D2263" i="93"/>
  <c r="D2264" i="93"/>
  <c r="D2265" i="93"/>
  <c r="D2266" i="93"/>
  <c r="D2267" i="93"/>
  <c r="D2268" i="93"/>
  <c r="D2269" i="93"/>
  <c r="D2270" i="93"/>
  <c r="D2271" i="93"/>
  <c r="D2272" i="93"/>
  <c r="D2273" i="93"/>
  <c r="D2274" i="93"/>
  <c r="D2275" i="93"/>
  <c r="D2276" i="93"/>
  <c r="D2277" i="93"/>
  <c r="D2278" i="93"/>
  <c r="D2279" i="93"/>
  <c r="D2280" i="93"/>
  <c r="D2281" i="93"/>
  <c r="D2282" i="93"/>
  <c r="D2283" i="93"/>
  <c r="D2284" i="93"/>
  <c r="D2285" i="93"/>
  <c r="D2286" i="93"/>
  <c r="D2287" i="93"/>
  <c r="D2288" i="93"/>
  <c r="D2289" i="93"/>
  <c r="D2290" i="93"/>
  <c r="D2291" i="93"/>
  <c r="D2292" i="93"/>
  <c r="D2293" i="93"/>
  <c r="D2294" i="93"/>
  <c r="D2295" i="93"/>
  <c r="D2296" i="93"/>
  <c r="D2297" i="93"/>
  <c r="D2298" i="93"/>
  <c r="D2299" i="93"/>
  <c r="D2300" i="93"/>
  <c r="D2301" i="93"/>
  <c r="D2302" i="93"/>
  <c r="D2303" i="93"/>
  <c r="D2304" i="93"/>
  <c r="D2305" i="93"/>
  <c r="D2306" i="93"/>
  <c r="D2307" i="93"/>
  <c r="D2308" i="93"/>
  <c r="D2309" i="93"/>
  <c r="D2310" i="93"/>
  <c r="D2311" i="93"/>
  <c r="D2312" i="93"/>
  <c r="D2313" i="93"/>
  <c r="D2314" i="93"/>
  <c r="D2315" i="93"/>
  <c r="D2316" i="93"/>
  <c r="D2317" i="93"/>
  <c r="D2318" i="93"/>
  <c r="D2319" i="93"/>
  <c r="D2320" i="93"/>
  <c r="D2321" i="93"/>
  <c r="D2322" i="93"/>
  <c r="D2323" i="93"/>
  <c r="D2324" i="93"/>
  <c r="D2325" i="93"/>
  <c r="D2326" i="93"/>
  <c r="D2327" i="93"/>
  <c r="D2328" i="93"/>
  <c r="D2329" i="93"/>
  <c r="D2330" i="93"/>
  <c r="D2331" i="93"/>
  <c r="D2332" i="93"/>
  <c r="D2333" i="93"/>
  <c r="D2334" i="93"/>
  <c r="D2335" i="93"/>
  <c r="D2336" i="93"/>
  <c r="D2337" i="93"/>
  <c r="D2338" i="93"/>
  <c r="D2339" i="93"/>
  <c r="D2340" i="93"/>
  <c r="D2341" i="93"/>
  <c r="D2342" i="93"/>
  <c r="D2343" i="93"/>
  <c r="D2344" i="93"/>
  <c r="D2345" i="93"/>
  <c r="D2346" i="93"/>
  <c r="D2347" i="93"/>
  <c r="D2348" i="93"/>
  <c r="D2349" i="93"/>
  <c r="D2350" i="93"/>
  <c r="D2351" i="93"/>
  <c r="D2352" i="93"/>
  <c r="D2353" i="93"/>
  <c r="D2354" i="93"/>
  <c r="D2355" i="93"/>
  <c r="D2356" i="93"/>
  <c r="D2357" i="93"/>
  <c r="D2358" i="93"/>
  <c r="D2359" i="93"/>
  <c r="D2360" i="93"/>
  <c r="D2361" i="93"/>
  <c r="D2362" i="93"/>
  <c r="D2363" i="93"/>
  <c r="D2364" i="93"/>
  <c r="D2365" i="93"/>
  <c r="D2366" i="93"/>
  <c r="D2367" i="93"/>
  <c r="D2368" i="93"/>
  <c r="D2369" i="93"/>
  <c r="D2370" i="93"/>
  <c r="D2371" i="93"/>
  <c r="D2372" i="93"/>
  <c r="D2373" i="93"/>
  <c r="D2374" i="93"/>
  <c r="D2375" i="93"/>
  <c r="D2376" i="93"/>
  <c r="D2377" i="93"/>
  <c r="D2378" i="93"/>
  <c r="D2379" i="93"/>
  <c r="D2380" i="93"/>
  <c r="D2381" i="93"/>
  <c r="D2382" i="93"/>
  <c r="D2383" i="93"/>
  <c r="D2384" i="93"/>
  <c r="D2385" i="93"/>
  <c r="D2386" i="93"/>
  <c r="D2387" i="93"/>
  <c r="D2388" i="93"/>
  <c r="D2389" i="93"/>
  <c r="D2390" i="93"/>
  <c r="D2391" i="93"/>
  <c r="D2392" i="93"/>
  <c r="D2393" i="93"/>
  <c r="D2394" i="93"/>
  <c r="D2395" i="93"/>
  <c r="D2396" i="93"/>
  <c r="D2397" i="93"/>
  <c r="D2398" i="93"/>
  <c r="D2399" i="93"/>
  <c r="D2400" i="93"/>
  <c r="D2401" i="93"/>
  <c r="D2402" i="93"/>
  <c r="D2403" i="93"/>
  <c r="D2404" i="93"/>
  <c r="D2405" i="93"/>
  <c r="D2406" i="93"/>
  <c r="D2407" i="93"/>
  <c r="D2408" i="93"/>
  <c r="D2409" i="93"/>
  <c r="D2410" i="93"/>
  <c r="D2411" i="93"/>
  <c r="D2412" i="93"/>
  <c r="D2413" i="93"/>
  <c r="D2414" i="93"/>
  <c r="D2415" i="93"/>
  <c r="D2416" i="93"/>
  <c r="D2417" i="93"/>
  <c r="D2418" i="93"/>
  <c r="D2419" i="93"/>
  <c r="D2420" i="93"/>
  <c r="D2421" i="93"/>
  <c r="D2422" i="93"/>
  <c r="D2423" i="93"/>
  <c r="D2424" i="93"/>
  <c r="D2425" i="93"/>
  <c r="D2426" i="93"/>
  <c r="D2427" i="93"/>
  <c r="D2428" i="93"/>
  <c r="D2429" i="93"/>
  <c r="D2430" i="93"/>
  <c r="D2431" i="93"/>
  <c r="D2432" i="93"/>
  <c r="D2433" i="93"/>
  <c r="D2434" i="93"/>
  <c r="D2435" i="93"/>
  <c r="D2436" i="93"/>
  <c r="D2437" i="93"/>
  <c r="D2438" i="93"/>
  <c r="D2439" i="93"/>
  <c r="D2440" i="93"/>
  <c r="D2441" i="93"/>
  <c r="D2442" i="93"/>
  <c r="D2443" i="93"/>
  <c r="D2444" i="93"/>
  <c r="D2445" i="93"/>
  <c r="D2446" i="93"/>
  <c r="D2447" i="93"/>
  <c r="D2448" i="93"/>
  <c r="D2449" i="93"/>
  <c r="D2450" i="93"/>
  <c r="D2451" i="93"/>
  <c r="D2452" i="93"/>
  <c r="D2453" i="93"/>
  <c r="D2454" i="93"/>
  <c r="D2455" i="93"/>
  <c r="D2456" i="93"/>
  <c r="D2457" i="93"/>
  <c r="D2458" i="93"/>
  <c r="D2459" i="93"/>
  <c r="D2460" i="93"/>
  <c r="D2461" i="93"/>
  <c r="D2462" i="93"/>
  <c r="D2463" i="93"/>
  <c r="D2464" i="93"/>
  <c r="D2465" i="93"/>
  <c r="D2466" i="93"/>
  <c r="D2467" i="93"/>
  <c r="D2468" i="93"/>
  <c r="T23" i="2"/>
  <c r="S23" i="2"/>
  <c r="R23" i="2"/>
  <c r="Q23" i="2"/>
  <c r="P23" i="2"/>
  <c r="N23" i="2"/>
  <c r="T22" i="2"/>
  <c r="S22" i="2"/>
  <c r="R22" i="2"/>
  <c r="Q22" i="2"/>
  <c r="P22" i="2"/>
  <c r="N22" i="2"/>
  <c r="AE69" i="3"/>
  <c r="AD69" i="3" s="1"/>
  <c r="AC69" i="3" s="1"/>
  <c r="AB69" i="3" s="1"/>
  <c r="V69" i="3"/>
  <c r="T69" i="3" s="1"/>
  <c r="AH65" i="3"/>
  <c r="AG65" i="3"/>
  <c r="AF65" i="3"/>
  <c r="AB65" i="3"/>
  <c r="AC65" i="3"/>
  <c r="AD65" i="3"/>
  <c r="Y3" i="93"/>
  <c r="Y65" i="3"/>
  <c r="X65" i="3"/>
  <c r="W65" i="3"/>
  <c r="S65" i="3"/>
  <c r="T65" i="3"/>
  <c r="U65" i="3"/>
  <c r="P3" i="93"/>
  <c r="AD10" i="93"/>
  <c r="AD14" i="93"/>
  <c r="X4" i="93"/>
  <c r="U240" i="93" s="1"/>
  <c r="X3" i="93"/>
  <c r="O4" i="93"/>
  <c r="L774" i="93" s="1"/>
  <c r="O3" i="93"/>
  <c r="F46" i="88" l="1"/>
  <c r="F57" i="88" s="1"/>
  <c r="F56" i="88"/>
  <c r="Z22" i="2"/>
  <c r="Z23" i="2"/>
  <c r="G3" i="93"/>
  <c r="J65" i="3" s="1"/>
  <c r="L69" i="3"/>
  <c r="K69" i="3" s="1"/>
  <c r="J69" i="3" s="1"/>
  <c r="AD5" i="93"/>
  <c r="AM15" i="93"/>
  <c r="AP5" i="93"/>
  <c r="AM9" i="93"/>
  <c r="AM10" i="93"/>
  <c r="AM8" i="93"/>
  <c r="AQ3" i="93"/>
  <c r="AM11" i="93"/>
  <c r="AM4" i="93"/>
  <c r="AM12" i="93"/>
  <c r="AM5" i="93"/>
  <c r="AM13" i="93"/>
  <c r="AM6" i="93"/>
  <c r="AM14" i="93"/>
  <c r="AM7" i="93"/>
  <c r="W69" i="3"/>
  <c r="X69" i="3" s="1"/>
  <c r="Y69" i="3" s="1"/>
  <c r="AF69" i="3"/>
  <c r="AG69" i="3" s="1"/>
  <c r="AH69" i="3" s="1"/>
  <c r="N69" i="3"/>
  <c r="O69" i="3" s="1"/>
  <c r="P69" i="3" s="1"/>
  <c r="U69" i="3"/>
  <c r="S69" i="3" s="1"/>
  <c r="AP6" i="93"/>
  <c r="AD6" i="93"/>
  <c r="AD8" i="93"/>
  <c r="AD13" i="93"/>
  <c r="AD12" i="93"/>
  <c r="AD11" i="93"/>
  <c r="AD9" i="93"/>
  <c r="AG6" i="93"/>
  <c r="AD15" i="93"/>
  <c r="AD7" i="93"/>
  <c r="AD4" i="93"/>
  <c r="L11" i="93"/>
  <c r="L19" i="93"/>
  <c r="L27" i="93"/>
  <c r="L35" i="93"/>
  <c r="L43" i="93"/>
  <c r="L51" i="93"/>
  <c r="L59" i="93"/>
  <c r="L67" i="93"/>
  <c r="L75" i="93"/>
  <c r="L83" i="93"/>
  <c r="L91" i="93"/>
  <c r="L99" i="93"/>
  <c r="L107" i="93"/>
  <c r="L115" i="93"/>
  <c r="L123" i="93"/>
  <c r="L131" i="93"/>
  <c r="L139" i="93"/>
  <c r="L147" i="93"/>
  <c r="L155" i="93"/>
  <c r="L163" i="93"/>
  <c r="L171" i="93"/>
  <c r="L179" i="93"/>
  <c r="L187" i="93"/>
  <c r="L195" i="93"/>
  <c r="L203" i="93"/>
  <c r="L211" i="93"/>
  <c r="L219" i="93"/>
  <c r="L227" i="93"/>
  <c r="L235" i="93"/>
  <c r="L243" i="93"/>
  <c r="L251" i="93"/>
  <c r="L259" i="93"/>
  <c r="L267" i="93"/>
  <c r="L275" i="93"/>
  <c r="L283" i="93"/>
  <c r="L291" i="93"/>
  <c r="L299" i="93"/>
  <c r="L307" i="93"/>
  <c r="L315" i="93"/>
  <c r="L323" i="93"/>
  <c r="L331" i="93"/>
  <c r="L339" i="93"/>
  <c r="L347" i="93"/>
  <c r="L355" i="93"/>
  <c r="L363" i="93"/>
  <c r="L371" i="93"/>
  <c r="L379" i="93"/>
  <c r="L387" i="93"/>
  <c r="L395" i="93"/>
  <c r="L403" i="93"/>
  <c r="L411" i="93"/>
  <c r="L419" i="93"/>
  <c r="L427" i="93"/>
  <c r="L435" i="93"/>
  <c r="L443" i="93"/>
  <c r="L451" i="93"/>
  <c r="L459" i="93"/>
  <c r="L467" i="93"/>
  <c r="L475" i="93"/>
  <c r="L483" i="93"/>
  <c r="L491" i="93"/>
  <c r="L499" i="93"/>
  <c r="L507" i="93"/>
  <c r="L515" i="93"/>
  <c r="L523" i="93"/>
  <c r="L531" i="93"/>
  <c r="L539" i="93"/>
  <c r="L547" i="93"/>
  <c r="L555" i="93"/>
  <c r="L563" i="93"/>
  <c r="L573" i="93"/>
  <c r="L582" i="93"/>
  <c r="L591" i="93"/>
  <c r="L600" i="93"/>
  <c r="L611" i="93"/>
  <c r="L625" i="93"/>
  <c r="L637" i="93"/>
  <c r="L653" i="93"/>
  <c r="L669" i="93"/>
  <c r="L690" i="93"/>
  <c r="L710" i="93"/>
  <c r="L742" i="93"/>
  <c r="L2451" i="93"/>
  <c r="L2443" i="93"/>
  <c r="L2435" i="93"/>
  <c r="L2427" i="93"/>
  <c r="L2419" i="93"/>
  <c r="L2411" i="93"/>
  <c r="L2403" i="93"/>
  <c r="L2395" i="93"/>
  <c r="L2387" i="93"/>
  <c r="L2379" i="93"/>
  <c r="L2371" i="93"/>
  <c r="L2363" i="93"/>
  <c r="L2355" i="93"/>
  <c r="L2347" i="93"/>
  <c r="L2339" i="93"/>
  <c r="L2331" i="93"/>
  <c r="L2323" i="93"/>
  <c r="L2315" i="93"/>
  <c r="L2307" i="93"/>
  <c r="L2299" i="93"/>
  <c r="L2291" i="93"/>
  <c r="L2283" i="93"/>
  <c r="L2275" i="93"/>
  <c r="L2267" i="93"/>
  <c r="L2259" i="93"/>
  <c r="L2251" i="93"/>
  <c r="L2243" i="93"/>
  <c r="L2235" i="93"/>
  <c r="L2227" i="93"/>
  <c r="L2219" i="93"/>
  <c r="L2211" i="93"/>
  <c r="L2203" i="93"/>
  <c r="L2195" i="93"/>
  <c r="L2187" i="93"/>
  <c r="L2179" i="93"/>
  <c r="L2171" i="93"/>
  <c r="L2163" i="93"/>
  <c r="L2155" i="93"/>
  <c r="L2147" i="93"/>
  <c r="L2139" i="93"/>
  <c r="L2131" i="93"/>
  <c r="L2123" i="93"/>
  <c r="L2115" i="93"/>
  <c r="L2107" i="93"/>
  <c r="L2099" i="93"/>
  <c r="L2091" i="93"/>
  <c r="L2083" i="93"/>
  <c r="L2075" i="93"/>
  <c r="L2067" i="93"/>
  <c r="L2059" i="93"/>
  <c r="L2051" i="93"/>
  <c r="L2043" i="93"/>
  <c r="L2035" i="93"/>
  <c r="L2027" i="93"/>
  <c r="L9" i="93"/>
  <c r="L2450" i="93"/>
  <c r="L2442" i="93"/>
  <c r="L2434" i="93"/>
  <c r="L2426" i="93"/>
  <c r="L2418" i="93"/>
  <c r="L2410" i="93"/>
  <c r="L2402" i="93"/>
  <c r="L2394" i="93"/>
  <c r="L2386" i="93"/>
  <c r="L2378" i="93"/>
  <c r="L2370" i="93"/>
  <c r="L2362" i="93"/>
  <c r="L2354" i="93"/>
  <c r="L2346" i="93"/>
  <c r="L2338" i="93"/>
  <c r="L2330" i="93"/>
  <c r="L2322" i="93"/>
  <c r="L2314" i="93"/>
  <c r="L2306" i="93"/>
  <c r="L2298" i="93"/>
  <c r="L2290" i="93"/>
  <c r="L2282" i="93"/>
  <c r="L2274" i="93"/>
  <c r="L2266" i="93"/>
  <c r="L2258" i="93"/>
  <c r="L2250" i="93"/>
  <c r="L2242" i="93"/>
  <c r="L2234" i="93"/>
  <c r="L2226" i="93"/>
  <c r="L2218" i="93"/>
  <c r="L2210" i="93"/>
  <c r="L2202" i="93"/>
  <c r="L2194" i="93"/>
  <c r="L2186" i="93"/>
  <c r="L2178" i="93"/>
  <c r="L2170" i="93"/>
  <c r="L2162" i="93"/>
  <c r="L2154" i="93"/>
  <c r="L2146" i="93"/>
  <c r="L2138" i="93"/>
  <c r="L2130" i="93"/>
  <c r="L2122" i="93"/>
  <c r="L2114" i="93"/>
  <c r="L2106" i="93"/>
  <c r="L2098" i="93"/>
  <c r="L2090" i="93"/>
  <c r="L2082" i="93"/>
  <c r="L2074" i="93"/>
  <c r="L2066" i="93"/>
  <c r="L2058" i="93"/>
  <c r="L2050" i="93"/>
  <c r="L2042" i="93"/>
  <c r="L2034" i="93"/>
  <c r="L2457" i="93"/>
  <c r="L2449" i="93"/>
  <c r="L2441" i="93"/>
  <c r="L2433" i="93"/>
  <c r="L2425" i="93"/>
  <c r="L2417" i="93"/>
  <c r="L2409" i="93"/>
  <c r="L2401" i="93"/>
  <c r="L2393" i="93"/>
  <c r="L2385" i="93"/>
  <c r="L2377" i="93"/>
  <c r="L2369" i="93"/>
  <c r="L2361" i="93"/>
  <c r="L2353" i="93"/>
  <c r="L2345" i="93"/>
  <c r="L2337" i="93"/>
  <c r="L2329" i="93"/>
  <c r="L2321" i="93"/>
  <c r="L2313" i="93"/>
  <c r="L2305" i="93"/>
  <c r="L2297" i="93"/>
  <c r="L2289" i="93"/>
  <c r="L2281" i="93"/>
  <c r="L2273" i="93"/>
  <c r="L2265" i="93"/>
  <c r="L2257" i="93"/>
  <c r="L2249" i="93"/>
  <c r="L2241" i="93"/>
  <c r="L2233" i="93"/>
  <c r="L2225" i="93"/>
  <c r="L2217" i="93"/>
  <c r="L2209" i="93"/>
  <c r="L2201" i="93"/>
  <c r="L2193" i="93"/>
  <c r="L2185" i="93"/>
  <c r="L2177" i="93"/>
  <c r="L2169" i="93"/>
  <c r="L2161" i="93"/>
  <c r="L2153" i="93"/>
  <c r="L2145" i="93"/>
  <c r="L2137" i="93"/>
  <c r="L2129" i="93"/>
  <c r="L2121" i="93"/>
  <c r="L2113" i="93"/>
  <c r="L2105" i="93"/>
  <c r="L2097" i="93"/>
  <c r="L2089" i="93"/>
  <c r="L2081" i="93"/>
  <c r="L2073" i="93"/>
  <c r="L2065" i="93"/>
  <c r="L2057" i="93"/>
  <c r="L2049" i="93"/>
  <c r="L2041" i="93"/>
  <c r="L2033" i="93"/>
  <c r="L2025" i="93"/>
  <c r="L2017" i="93"/>
  <c r="L2009" i="93"/>
  <c r="L2001" i="93"/>
  <c r="L1993" i="93"/>
  <c r="L1985" i="93"/>
  <c r="L1977" i="93"/>
  <c r="L2456" i="93"/>
  <c r="L2448" i="93"/>
  <c r="L2440" i="93"/>
  <c r="L2432" i="93"/>
  <c r="L2424" i="93"/>
  <c r="L2416" i="93"/>
  <c r="L2408" i="93"/>
  <c r="L2400" i="93"/>
  <c r="L2392" i="93"/>
  <c r="L2384" i="93"/>
  <c r="L2376" i="93"/>
  <c r="L2368" i="93"/>
  <c r="L2360" i="93"/>
  <c r="L2352" i="93"/>
  <c r="L2344" i="93"/>
  <c r="L2336" i="93"/>
  <c r="L2328" i="93"/>
  <c r="L2320" i="93"/>
  <c r="L2312" i="93"/>
  <c r="L2304" i="93"/>
  <c r="L2296" i="93"/>
  <c r="L2288" i="93"/>
  <c r="L2280" i="93"/>
  <c r="L2272" i="93"/>
  <c r="L2264" i="93"/>
  <c r="L2256" i="93"/>
  <c r="L2248" i="93"/>
  <c r="L2240" i="93"/>
  <c r="L2232" i="93"/>
  <c r="L2224" i="93"/>
  <c r="L2216" i="93"/>
  <c r="L2208" i="93"/>
  <c r="L2200" i="93"/>
  <c r="L2192" i="93"/>
  <c r="L2184" i="93"/>
  <c r="L2176" i="93"/>
  <c r="L2168" i="93"/>
  <c r="L2160" i="93"/>
  <c r="L2152" i="93"/>
  <c r="L2144" i="93"/>
  <c r="L2136" i="93"/>
  <c r="L2128" i="93"/>
  <c r="L2120" i="93"/>
  <c r="L2112" i="93"/>
  <c r="L2104" i="93"/>
  <c r="L2096" i="93"/>
  <c r="L2088" i="93"/>
  <c r="L2080" i="93"/>
  <c r="L2072" i="93"/>
  <c r="L2064" i="93"/>
  <c r="L2056" i="93"/>
  <c r="L2048" i="93"/>
  <c r="L2040" i="93"/>
  <c r="L2032" i="93"/>
  <c r="L2024" i="93"/>
  <c r="L2016" i="93"/>
  <c r="L2008" i="93"/>
  <c r="L2000" i="93"/>
  <c r="L1992" i="93"/>
  <c r="L1984" i="93"/>
  <c r="L2455" i="93"/>
  <c r="L2447" i="93"/>
  <c r="L2439" i="93"/>
  <c r="L2431" i="93"/>
  <c r="L2423" i="93"/>
  <c r="L2415" i="93"/>
  <c r="L2407" i="93"/>
  <c r="L2399" i="93"/>
  <c r="L2391" i="93"/>
  <c r="L2383" i="93"/>
  <c r="L2375" i="93"/>
  <c r="L2367" i="93"/>
  <c r="L2359" i="93"/>
  <c r="L2351" i="93"/>
  <c r="L2343" i="93"/>
  <c r="L2335" i="93"/>
  <c r="L2327" i="93"/>
  <c r="L2319" i="93"/>
  <c r="L2311" i="93"/>
  <c r="L2303" i="93"/>
  <c r="L2295" i="93"/>
  <c r="L2287" i="93"/>
  <c r="L2279" i="93"/>
  <c r="L2271" i="93"/>
  <c r="L2263" i="93"/>
  <c r="L2255" i="93"/>
  <c r="L2247" i="93"/>
  <c r="L2239" i="93"/>
  <c r="L2231" i="93"/>
  <c r="L2223" i="93"/>
  <c r="L2215" i="93"/>
  <c r="L2207" i="93"/>
  <c r="L2199" i="93"/>
  <c r="L2191" i="93"/>
  <c r="L2183" i="93"/>
  <c r="L2175" i="93"/>
  <c r="L2167" i="93"/>
  <c r="L2159" i="93"/>
  <c r="L2151" i="93"/>
  <c r="L2143" i="93"/>
  <c r="L2135" i="93"/>
  <c r="L2127" i="93"/>
  <c r="L2119" i="93"/>
  <c r="L2111" i="93"/>
  <c r="L2103" i="93"/>
  <c r="L2095" i="93"/>
  <c r="L2087" i="93"/>
  <c r="L2079" i="93"/>
  <c r="L2071" i="93"/>
  <c r="L2063" i="93"/>
  <c r="L2055" i="93"/>
  <c r="L2047" i="93"/>
  <c r="L2039" i="93"/>
  <c r="L2031" i="93"/>
  <c r="L2023" i="93"/>
  <c r="L2015" i="93"/>
  <c r="L2007" i="93"/>
  <c r="L1999" i="93"/>
  <c r="L1991" i="93"/>
  <c r="L1983" i="93"/>
  <c r="L1975" i="93"/>
  <c r="L2454" i="93"/>
  <c r="L2446" i="93"/>
  <c r="L2438" i="93"/>
  <c r="L2430" i="93"/>
  <c r="L2422" i="93"/>
  <c r="L2414" i="93"/>
  <c r="L2406" i="93"/>
  <c r="L2398" i="93"/>
  <c r="L2390" i="93"/>
  <c r="L2382" i="93"/>
  <c r="L2374" i="93"/>
  <c r="L2366" i="93"/>
  <c r="L2358" i="93"/>
  <c r="L2350" i="93"/>
  <c r="L2342" i="93"/>
  <c r="L2334" i="93"/>
  <c r="L2326" i="93"/>
  <c r="L2318" i="93"/>
  <c r="L2310" i="93"/>
  <c r="L2302" i="93"/>
  <c r="L2294" i="93"/>
  <c r="L2286" i="93"/>
  <c r="L2278" i="93"/>
  <c r="L2270" i="93"/>
  <c r="L2262" i="93"/>
  <c r="L2254" i="93"/>
  <c r="L2246" i="93"/>
  <c r="L2238" i="93"/>
  <c r="L2230" i="93"/>
  <c r="L2222" i="93"/>
  <c r="L2214" i="93"/>
  <c r="L2206" i="93"/>
  <c r="L2198" i="93"/>
  <c r="L2190" i="93"/>
  <c r="L2182" i="93"/>
  <c r="L2174" i="93"/>
  <c r="L2166" i="93"/>
  <c r="L2158" i="93"/>
  <c r="L2150" i="93"/>
  <c r="L2142" i="93"/>
  <c r="L2134" i="93"/>
  <c r="L2126" i="93"/>
  <c r="L2118" i="93"/>
  <c r="L2110" i="93"/>
  <c r="L2102" i="93"/>
  <c r="L2094" i="93"/>
  <c r="L2086" i="93"/>
  <c r="L2078" i="93"/>
  <c r="L2070" i="93"/>
  <c r="L2062" i="93"/>
  <c r="L2054" i="93"/>
  <c r="L2046" i="93"/>
  <c r="L2038" i="93"/>
  <c r="L2030" i="93"/>
  <c r="L2022" i="93"/>
  <c r="L2014" i="93"/>
  <c r="L2006" i="93"/>
  <c r="L1998" i="93"/>
  <c r="L1990" i="93"/>
  <c r="L1982" i="93"/>
  <c r="L1974" i="93"/>
  <c r="L2444" i="93"/>
  <c r="L2412" i="93"/>
  <c r="L2380" i="93"/>
  <c r="L2348" i="93"/>
  <c r="L2316" i="93"/>
  <c r="L2284" i="93"/>
  <c r="L2252" i="93"/>
  <c r="L2220" i="93"/>
  <c r="L2188" i="93"/>
  <c r="L2156" i="93"/>
  <c r="L2124" i="93"/>
  <c r="L2092" i="93"/>
  <c r="L2060" i="93"/>
  <c r="L2028" i="93"/>
  <c r="L2011" i="93"/>
  <c r="L1995" i="93"/>
  <c r="L1979" i="93"/>
  <c r="L1968" i="93"/>
  <c r="L1960" i="93"/>
  <c r="L1952" i="93"/>
  <c r="L1944" i="93"/>
  <c r="L1936" i="93"/>
  <c r="L1928" i="93"/>
  <c r="L1920" i="93"/>
  <c r="L1912" i="93"/>
  <c r="L1904" i="93"/>
  <c r="L1896" i="93"/>
  <c r="L1888" i="93"/>
  <c r="L1880" i="93"/>
  <c r="L1872" i="93"/>
  <c r="L1864" i="93"/>
  <c r="L1856" i="93"/>
  <c r="L1848" i="93"/>
  <c r="L1840" i="93"/>
  <c r="L1832" i="93"/>
  <c r="L1824" i="93"/>
  <c r="L1816" i="93"/>
  <c r="L1808" i="93"/>
  <c r="L1800" i="93"/>
  <c r="L1792" i="93"/>
  <c r="L1784" i="93"/>
  <c r="L1776" i="93"/>
  <c r="L1768" i="93"/>
  <c r="L1760" i="93"/>
  <c r="L1752" i="93"/>
  <c r="L1744" i="93"/>
  <c r="L1736" i="93"/>
  <c r="L1728" i="93"/>
  <c r="L1720" i="93"/>
  <c r="L1712" i="93"/>
  <c r="L1704" i="93"/>
  <c r="L1696" i="93"/>
  <c r="L1688" i="93"/>
  <c r="L1680" i="93"/>
  <c r="L1672" i="93"/>
  <c r="L1664" i="93"/>
  <c r="L1656" i="93"/>
  <c r="L1648" i="93"/>
  <c r="L1640" i="93"/>
  <c r="L1632" i="93"/>
  <c r="L1624" i="93"/>
  <c r="L1616" i="93"/>
  <c r="L1608" i="93"/>
  <c r="L1600" i="93"/>
  <c r="L1592" i="93"/>
  <c r="L1584" i="93"/>
  <c r="L1576" i="93"/>
  <c r="L1568" i="93"/>
  <c r="L1560" i="93"/>
  <c r="L1552" i="93"/>
  <c r="L1544" i="93"/>
  <c r="L1536" i="93"/>
  <c r="L1528" i="93"/>
  <c r="L1520" i="93"/>
  <c r="L1512" i="93"/>
  <c r="L1504" i="93"/>
  <c r="L1496" i="93"/>
  <c r="L1488" i="93"/>
  <c r="L1480" i="93"/>
  <c r="L1472" i="93"/>
  <c r="L1464" i="93"/>
  <c r="L1456" i="93"/>
  <c r="L1448" i="93"/>
  <c r="L1440" i="93"/>
  <c r="L1432" i="93"/>
  <c r="L2437" i="93"/>
  <c r="L2405" i="93"/>
  <c r="L2373" i="93"/>
  <c r="L2341" i="93"/>
  <c r="L2309" i="93"/>
  <c r="L2277" i="93"/>
  <c r="L2245" i="93"/>
  <c r="L2213" i="93"/>
  <c r="L2181" i="93"/>
  <c r="L2149" i="93"/>
  <c r="L2117" i="93"/>
  <c r="L2085" i="93"/>
  <c r="L2053" i="93"/>
  <c r="L2026" i="93"/>
  <c r="L2010" i="93"/>
  <c r="L1994" i="93"/>
  <c r="L1978" i="93"/>
  <c r="L1967" i="93"/>
  <c r="L1959" i="93"/>
  <c r="L1951" i="93"/>
  <c r="L1943" i="93"/>
  <c r="L1935" i="93"/>
  <c r="L1927" i="93"/>
  <c r="L1919" i="93"/>
  <c r="L1911" i="93"/>
  <c r="L1903" i="93"/>
  <c r="L1895" i="93"/>
  <c r="L1887" i="93"/>
  <c r="L1879" i="93"/>
  <c r="L1871" i="93"/>
  <c r="L1863" i="93"/>
  <c r="L1855" i="93"/>
  <c r="L1847" i="93"/>
  <c r="L1839" i="93"/>
  <c r="L1831" i="93"/>
  <c r="L1823" i="93"/>
  <c r="L1815" i="93"/>
  <c r="L1807" i="93"/>
  <c r="L1799" i="93"/>
  <c r="L1791" i="93"/>
  <c r="L1783" i="93"/>
  <c r="L1775" i="93"/>
  <c r="L1767" i="93"/>
  <c r="L1759" i="93"/>
  <c r="L1751" i="93"/>
  <c r="L1743" i="93"/>
  <c r="L1735" i="93"/>
  <c r="L1727" i="93"/>
  <c r="L1719" i="93"/>
  <c r="L1711" i="93"/>
  <c r="L1703" i="93"/>
  <c r="L1695" i="93"/>
  <c r="L1687" i="93"/>
  <c r="L1679" i="93"/>
  <c r="L1671" i="93"/>
  <c r="L1663" i="93"/>
  <c r="L1655" i="93"/>
  <c r="L1647" i="93"/>
  <c r="L1639" i="93"/>
  <c r="L1631" i="93"/>
  <c r="L1623" i="93"/>
  <c r="L1615" i="93"/>
  <c r="L1607" i="93"/>
  <c r="L1599" i="93"/>
  <c r="L1591" i="93"/>
  <c r="L1583" i="93"/>
  <c r="L1575" i="93"/>
  <c r="L1567" i="93"/>
  <c r="L1559" i="93"/>
  <c r="L1551" i="93"/>
  <c r="L1543" i="93"/>
  <c r="L1535" i="93"/>
  <c r="L1527" i="93"/>
  <c r="L1519" i="93"/>
  <c r="L1511" i="93"/>
  <c r="L1503" i="93"/>
  <c r="L1495" i="93"/>
  <c r="L1487" i="93"/>
  <c r="L1479" i="93"/>
  <c r="L1471" i="93"/>
  <c r="L1463" i="93"/>
  <c r="L1455" i="93"/>
  <c r="L1447" i="93"/>
  <c r="L1439" i="93"/>
  <c r="L1431" i="93"/>
  <c r="L1423" i="93"/>
  <c r="L1415" i="93"/>
  <c r="L1407" i="93"/>
  <c r="L1399" i="93"/>
  <c r="L1391" i="93"/>
  <c r="L2436" i="93"/>
  <c r="L2404" i="93"/>
  <c r="L2372" i="93"/>
  <c r="L2340" i="93"/>
  <c r="L2308" i="93"/>
  <c r="L2276" i="93"/>
  <c r="L2244" i="93"/>
  <c r="L2212" i="93"/>
  <c r="L2180" i="93"/>
  <c r="L2148" i="93"/>
  <c r="L2116" i="93"/>
  <c r="L2084" i="93"/>
  <c r="L2052" i="93"/>
  <c r="L2021" i="93"/>
  <c r="L2005" i="93"/>
  <c r="L1989" i="93"/>
  <c r="L1976" i="93"/>
  <c r="L1966" i="93"/>
  <c r="L1958" i="93"/>
  <c r="L1950" i="93"/>
  <c r="L1942" i="93"/>
  <c r="L1934" i="93"/>
  <c r="L1926" i="93"/>
  <c r="L1918" i="93"/>
  <c r="L1910" i="93"/>
  <c r="L1902" i="93"/>
  <c r="L1894" i="93"/>
  <c r="L1886" i="93"/>
  <c r="L1878" i="93"/>
  <c r="L1870" i="93"/>
  <c r="L1862" i="93"/>
  <c r="L1854" i="93"/>
  <c r="L1846" i="93"/>
  <c r="L1838" i="93"/>
  <c r="L1830" i="93"/>
  <c r="L1822" i="93"/>
  <c r="L1814" i="93"/>
  <c r="L1806" i="93"/>
  <c r="L1798" i="93"/>
  <c r="L1790" i="93"/>
  <c r="L1782" i="93"/>
  <c r="L1774" i="93"/>
  <c r="L1766" i="93"/>
  <c r="L1758" i="93"/>
  <c r="L1750" i="93"/>
  <c r="L1742" i="93"/>
  <c r="L1734" i="93"/>
  <c r="L1726" i="93"/>
  <c r="L1718" i="93"/>
  <c r="L1710" i="93"/>
  <c r="L1702" i="93"/>
  <c r="L1694" i="93"/>
  <c r="L1686" i="93"/>
  <c r="L1678" i="93"/>
  <c r="L1670" i="93"/>
  <c r="L1662" i="93"/>
  <c r="L1654" i="93"/>
  <c r="L1646" i="93"/>
  <c r="L1638" i="93"/>
  <c r="L1630" i="93"/>
  <c r="L1622" i="93"/>
  <c r="L1614" i="93"/>
  <c r="L1606" i="93"/>
  <c r="L1598" i="93"/>
  <c r="L1590" i="93"/>
  <c r="L1582" i="93"/>
  <c r="L2429" i="93"/>
  <c r="L2397" i="93"/>
  <c r="L2365" i="93"/>
  <c r="L2333" i="93"/>
  <c r="L2301" i="93"/>
  <c r="L2269" i="93"/>
  <c r="L2237" i="93"/>
  <c r="L2205" i="93"/>
  <c r="L2173" i="93"/>
  <c r="L2141" i="93"/>
  <c r="L2109" i="93"/>
  <c r="L2077" i="93"/>
  <c r="L2045" i="93"/>
  <c r="L2020" i="93"/>
  <c r="L2004" i="93"/>
  <c r="L1988" i="93"/>
  <c r="L1973" i="93"/>
  <c r="L1965" i="93"/>
  <c r="L1957" i="93"/>
  <c r="L1949" i="93"/>
  <c r="L1941" i="93"/>
  <c r="L1933" i="93"/>
  <c r="L1925" i="93"/>
  <c r="L1917" i="93"/>
  <c r="L1909" i="93"/>
  <c r="L1901" i="93"/>
  <c r="L1893" i="93"/>
  <c r="L1885" i="93"/>
  <c r="L1877" i="93"/>
  <c r="L1869" i="93"/>
  <c r="L1861" i="93"/>
  <c r="L1853" i="93"/>
  <c r="L1845" i="93"/>
  <c r="L1837" i="93"/>
  <c r="L1829" i="93"/>
  <c r="L1821" i="93"/>
  <c r="L1813" i="93"/>
  <c r="L1805" i="93"/>
  <c r="L1797" i="93"/>
  <c r="L1789" i="93"/>
  <c r="L1781" i="93"/>
  <c r="L1773" i="93"/>
  <c r="L1765" i="93"/>
  <c r="L1757" i="93"/>
  <c r="L1749" i="93"/>
  <c r="L1741" i="93"/>
  <c r="L1733" i="93"/>
  <c r="L1725" i="93"/>
  <c r="L1717" i="93"/>
  <c r="L1709" i="93"/>
  <c r="L1701" i="93"/>
  <c r="L1693" i="93"/>
  <c r="L1685" i="93"/>
  <c r="L1677" i="93"/>
  <c r="L1669" i="93"/>
  <c r="L1661" i="93"/>
  <c r="L1653" i="93"/>
  <c r="L1645" i="93"/>
  <c r="L1637" i="93"/>
  <c r="L1629" i="93"/>
  <c r="L1621" i="93"/>
  <c r="L1613" i="93"/>
  <c r="L1605" i="93"/>
  <c r="L1597" i="93"/>
  <c r="L1589" i="93"/>
  <c r="L1581" i="93"/>
  <c r="L1573" i="93"/>
  <c r="L1565" i="93"/>
  <c r="L2428" i="93"/>
  <c r="L2396" i="93"/>
  <c r="L2364" i="93"/>
  <c r="L2332" i="93"/>
  <c r="L2300" i="93"/>
  <c r="L2268" i="93"/>
  <c r="L2236" i="93"/>
  <c r="L2204" i="93"/>
  <c r="L2172" i="93"/>
  <c r="L2140" i="93"/>
  <c r="L2108" i="93"/>
  <c r="L2076" i="93"/>
  <c r="L2044" i="93"/>
  <c r="L2019" i="93"/>
  <c r="L2003" i="93"/>
  <c r="L1987" i="93"/>
  <c r="L1972" i="93"/>
  <c r="L1964" i="93"/>
  <c r="L1956" i="93"/>
  <c r="L1948" i="93"/>
  <c r="L1940" i="93"/>
  <c r="L1932" i="93"/>
  <c r="L1924" i="93"/>
  <c r="L1916" i="93"/>
  <c r="L1908" i="93"/>
  <c r="L1900" i="93"/>
  <c r="L1892" i="93"/>
  <c r="L1884" i="93"/>
  <c r="L1876" i="93"/>
  <c r="L1868" i="93"/>
  <c r="L1860" i="93"/>
  <c r="L1852" i="93"/>
  <c r="L1844" i="93"/>
  <c r="L1836" i="93"/>
  <c r="L1828" i="93"/>
  <c r="L1820" i="93"/>
  <c r="L1812" i="93"/>
  <c r="L1804" i="93"/>
  <c r="L1796" i="93"/>
  <c r="L1788" i="93"/>
  <c r="L1780" i="93"/>
  <c r="L1772" i="93"/>
  <c r="L1764" i="93"/>
  <c r="L1756" i="93"/>
  <c r="L1748" i="93"/>
  <c r="L1740" i="93"/>
  <c r="L1732" i="93"/>
  <c r="L1724" i="93"/>
  <c r="L1716" i="93"/>
  <c r="L1708" i="93"/>
  <c r="L1700" i="93"/>
  <c r="L1692" i="93"/>
  <c r="L1684" i="93"/>
  <c r="L1676" i="93"/>
  <c r="L1668" i="93"/>
  <c r="L1660" i="93"/>
  <c r="L1652" i="93"/>
  <c r="L1644" i="93"/>
  <c r="L1636" i="93"/>
  <c r="L1628" i="93"/>
  <c r="L1620" i="93"/>
  <c r="L1612" i="93"/>
  <c r="L1604" i="93"/>
  <c r="L1596" i="93"/>
  <c r="L1588" i="93"/>
  <c r="L1580" i="93"/>
  <c r="L1572" i="93"/>
  <c r="L1564" i="93"/>
  <c r="L1556" i="93"/>
  <c r="L1548" i="93"/>
  <c r="L1540" i="93"/>
  <c r="L1532" i="93"/>
  <c r="L1524" i="93"/>
  <c r="L1516" i="93"/>
  <c r="L1508" i="93"/>
  <c r="L1500" i="93"/>
  <c r="L1492" i="93"/>
  <c r="L1484" i="93"/>
  <c r="L1476" i="93"/>
  <c r="L1468" i="93"/>
  <c r="L1460" i="93"/>
  <c r="L1452" i="93"/>
  <c r="L1444" i="93"/>
  <c r="L1436" i="93"/>
  <c r="L1428" i="93"/>
  <c r="L1420" i="93"/>
  <c r="L1412" i="93"/>
  <c r="L1404" i="93"/>
  <c r="L1396" i="93"/>
  <c r="L1388" i="93"/>
  <c r="L2453" i="93"/>
  <c r="L2421" i="93"/>
  <c r="L2389" i="93"/>
  <c r="L2357" i="93"/>
  <c r="L2325" i="93"/>
  <c r="L2293" i="93"/>
  <c r="L2261" i="93"/>
  <c r="L2229" i="93"/>
  <c r="L2197" i="93"/>
  <c r="L2165" i="93"/>
  <c r="L2133" i="93"/>
  <c r="L2101" i="93"/>
  <c r="L2069" i="93"/>
  <c r="L2037" i="93"/>
  <c r="L2018" i="93"/>
  <c r="L2002" i="93"/>
  <c r="L1986" i="93"/>
  <c r="L1971" i="93"/>
  <c r="L1963" i="93"/>
  <c r="L1955" i="93"/>
  <c r="L1947" i="93"/>
  <c r="L1939" i="93"/>
  <c r="L1931" i="93"/>
  <c r="L1923" i="93"/>
  <c r="L1915" i="93"/>
  <c r="L1907" i="93"/>
  <c r="L1899" i="93"/>
  <c r="L1891" i="93"/>
  <c r="L1883" i="93"/>
  <c r="L1875" i="93"/>
  <c r="L1867" i="93"/>
  <c r="L1859" i="93"/>
  <c r="L1851" i="93"/>
  <c r="L1843" i="93"/>
  <c r="L1835" i="93"/>
  <c r="L1827" i="93"/>
  <c r="L1819" i="93"/>
  <c r="L1811" i="93"/>
  <c r="L1803" i="93"/>
  <c r="L1795" i="93"/>
  <c r="L1787" i="93"/>
  <c r="L1779" i="93"/>
  <c r="L1771" i="93"/>
  <c r="L1763" i="93"/>
  <c r="L1755" i="93"/>
  <c r="L1747" i="93"/>
  <c r="L1739" i="93"/>
  <c r="L1731" i="93"/>
  <c r="L1723" i="93"/>
  <c r="L1715" i="93"/>
  <c r="L1707" i="93"/>
  <c r="L1699" i="93"/>
  <c r="L1691" i="93"/>
  <c r="L1683" i="93"/>
  <c r="L1675" i="93"/>
  <c r="L1667" i="93"/>
  <c r="L1659" i="93"/>
  <c r="L1651" i="93"/>
  <c r="L1643" i="93"/>
  <c r="L1635" i="93"/>
  <c r="L1627" i="93"/>
  <c r="L1619" i="93"/>
  <c r="L1611" i="93"/>
  <c r="L1603" i="93"/>
  <c r="L1595" i="93"/>
  <c r="L1587" i="93"/>
  <c r="L1579" i="93"/>
  <c r="L1571" i="93"/>
  <c r="L1563" i="93"/>
  <c r="L1555" i="93"/>
  <c r="L1547" i="93"/>
  <c r="L1539" i="93"/>
  <c r="L1531" i="93"/>
  <c r="L1523" i="93"/>
  <c r="L1515" i="93"/>
  <c r="L1507" i="93"/>
  <c r="L1499" i="93"/>
  <c r="L1491" i="93"/>
  <c r="L1483" i="93"/>
  <c r="L1475" i="93"/>
  <c r="L1467" i="93"/>
  <c r="L1459" i="93"/>
  <c r="L1451" i="93"/>
  <c r="L1443" i="93"/>
  <c r="L2452" i="93"/>
  <c r="L2420" i="93"/>
  <c r="L2388" i="93"/>
  <c r="L2356" i="93"/>
  <c r="L2324" i="93"/>
  <c r="L2292" i="93"/>
  <c r="L2260" i="93"/>
  <c r="L2228" i="93"/>
  <c r="L2196" i="93"/>
  <c r="L2164" i="93"/>
  <c r="L2132" i="93"/>
  <c r="L2100" i="93"/>
  <c r="L2068" i="93"/>
  <c r="L2036" i="93"/>
  <c r="L2013" i="93"/>
  <c r="L1997" i="93"/>
  <c r="L1981" i="93"/>
  <c r="L1970" i="93"/>
  <c r="L1962" i="93"/>
  <c r="L1954" i="93"/>
  <c r="L1946" i="93"/>
  <c r="L1938" i="93"/>
  <c r="L1930" i="93"/>
  <c r="L1922" i="93"/>
  <c r="L1914" i="93"/>
  <c r="L1906" i="93"/>
  <c r="L1898" i="93"/>
  <c r="L1890" i="93"/>
  <c r="L1882" i="93"/>
  <c r="L1874" i="93"/>
  <c r="L1866" i="93"/>
  <c r="L1858" i="93"/>
  <c r="L1850" i="93"/>
  <c r="L1842" i="93"/>
  <c r="L1834" i="93"/>
  <c r="L1826" i="93"/>
  <c r="L1818" i="93"/>
  <c r="L1810" i="93"/>
  <c r="L1802" i="93"/>
  <c r="L1794" i="93"/>
  <c r="L1786" i="93"/>
  <c r="L1778" i="93"/>
  <c r="L1770" i="93"/>
  <c r="L1762" i="93"/>
  <c r="L1754" i="93"/>
  <c r="L1746" i="93"/>
  <c r="L1738" i="93"/>
  <c r="L1730" i="93"/>
  <c r="L1722" i="93"/>
  <c r="L1714" i="93"/>
  <c r="L1706" i="93"/>
  <c r="L1698" i="93"/>
  <c r="L1690" i="93"/>
  <c r="L1682" i="93"/>
  <c r="L1674" i="93"/>
  <c r="L1666" i="93"/>
  <c r="L1658" i="93"/>
  <c r="L1650" i="93"/>
  <c r="L1642" i="93"/>
  <c r="L1634" i="93"/>
  <c r="L1626" i="93"/>
  <c r="L1618" i="93"/>
  <c r="L1610" i="93"/>
  <c r="L1602" i="93"/>
  <c r="L1594" i="93"/>
  <c r="L1586" i="93"/>
  <c r="L1578" i="93"/>
  <c r="L1570" i="93"/>
  <c r="L1562" i="93"/>
  <c r="L1554" i="93"/>
  <c r="L1546" i="93"/>
  <c r="L1538" i="93"/>
  <c r="L1530" i="93"/>
  <c r="L1522" i="93"/>
  <c r="L1514" i="93"/>
  <c r="L1506" i="93"/>
  <c r="L1498" i="93"/>
  <c r="L1490" i="93"/>
  <c r="L1482" i="93"/>
  <c r="L1474" i="93"/>
  <c r="L1466" i="93"/>
  <c r="L2445" i="93"/>
  <c r="L2413" i="93"/>
  <c r="L2381" i="93"/>
  <c r="L2349" i="93"/>
  <c r="L2317" i="93"/>
  <c r="L2285" i="93"/>
  <c r="L2253" i="93"/>
  <c r="L2221" i="93"/>
  <c r="L2189" i="93"/>
  <c r="L2157" i="93"/>
  <c r="L2125" i="93"/>
  <c r="L2093" i="93"/>
  <c r="L2061" i="93"/>
  <c r="L2029" i="93"/>
  <c r="L2012" i="93"/>
  <c r="L1996" i="93"/>
  <c r="L1980" i="93"/>
  <c r="L1969" i="93"/>
  <c r="L1961" i="93"/>
  <c r="L1953" i="93"/>
  <c r="L1945" i="93"/>
  <c r="L1937" i="93"/>
  <c r="L1929" i="93"/>
  <c r="L1921" i="93"/>
  <c r="L1913" i="93"/>
  <c r="L1905" i="93"/>
  <c r="L1897" i="93"/>
  <c r="L1889" i="93"/>
  <c r="L1881" i="93"/>
  <c r="L1873" i="93"/>
  <c r="L1865" i="93"/>
  <c r="L1857" i="93"/>
  <c r="L1849" i="93"/>
  <c r="L1841" i="93"/>
  <c r="L1833" i="93"/>
  <c r="L1825" i="93"/>
  <c r="L1817" i="93"/>
  <c r="L1809" i="93"/>
  <c r="L1801" i="93"/>
  <c r="L1793" i="93"/>
  <c r="L1785" i="93"/>
  <c r="L1777" i="93"/>
  <c r="L1769" i="93"/>
  <c r="L1761" i="93"/>
  <c r="L1753" i="93"/>
  <c r="L1745" i="93"/>
  <c r="L1737" i="93"/>
  <c r="L1729" i="93"/>
  <c r="L1721" i="93"/>
  <c r="L1713" i="93"/>
  <c r="L1705" i="93"/>
  <c r="L1697" i="93"/>
  <c r="L1689" i="93"/>
  <c r="L1681" i="93"/>
  <c r="L1673" i="93"/>
  <c r="L1665" i="93"/>
  <c r="L1657" i="93"/>
  <c r="L1649" i="93"/>
  <c r="L1641" i="93"/>
  <c r="L1633" i="93"/>
  <c r="L1625" i="93"/>
  <c r="L1617" i="93"/>
  <c r="L1609" i="93"/>
  <c r="L1601" i="93"/>
  <c r="L1593" i="93"/>
  <c r="L1585" i="93"/>
  <c r="L1577" i="93"/>
  <c r="L1569" i="93"/>
  <c r="L1561" i="93"/>
  <c r="L1553" i="93"/>
  <c r="L1545" i="93"/>
  <c r="L1537" i="93"/>
  <c r="L1529" i="93"/>
  <c r="L1521" i="93"/>
  <c r="L1513" i="93"/>
  <c r="L1505" i="93"/>
  <c r="L1497" i="93"/>
  <c r="L1489" i="93"/>
  <c r="L1481" i="93"/>
  <c r="L1473" i="93"/>
  <c r="L1465" i="93"/>
  <c r="L1457" i="93"/>
  <c r="L1449" i="93"/>
  <c r="L1441" i="93"/>
  <c r="L1557" i="93"/>
  <c r="L1525" i="93"/>
  <c r="L1493" i="93"/>
  <c r="L1461" i="93"/>
  <c r="L1438" i="93"/>
  <c r="L1426" i="93"/>
  <c r="L1416" i="93"/>
  <c r="L1405" i="93"/>
  <c r="L1394" i="93"/>
  <c r="L1384" i="93"/>
  <c r="L1376" i="93"/>
  <c r="L1368" i="93"/>
  <c r="L1360" i="93"/>
  <c r="L1352" i="93"/>
  <c r="L1344" i="93"/>
  <c r="L1336" i="93"/>
  <c r="L1328" i="93"/>
  <c r="L1320" i="93"/>
  <c r="L1312" i="93"/>
  <c r="L1304" i="93"/>
  <c r="L1296" i="93"/>
  <c r="L1288" i="93"/>
  <c r="L1280" i="93"/>
  <c r="L1272" i="93"/>
  <c r="L1264" i="93"/>
  <c r="L1256" i="93"/>
  <c r="L1248" i="93"/>
  <c r="L1240" i="93"/>
  <c r="L1232" i="93"/>
  <c r="L1224" i="93"/>
  <c r="L1216" i="93"/>
  <c r="L1208" i="93"/>
  <c r="L1200" i="93"/>
  <c r="L1192" i="93"/>
  <c r="L1184" i="93"/>
  <c r="L1176" i="93"/>
  <c r="L1168" i="93"/>
  <c r="L1160" i="93"/>
  <c r="L1152" i="93"/>
  <c r="L1144" i="93"/>
  <c r="L1136" i="93"/>
  <c r="L1128" i="93"/>
  <c r="L1120" i="93"/>
  <c r="L1112" i="93"/>
  <c r="L1104" i="93"/>
  <c r="L1096" i="93"/>
  <c r="L1088" i="93"/>
  <c r="L1080" i="93"/>
  <c r="L1072" i="93"/>
  <c r="L1064" i="93"/>
  <c r="L1056" i="93"/>
  <c r="L1048" i="93"/>
  <c r="L1040" i="93"/>
  <c r="L1032" i="93"/>
  <c r="L1024" i="93"/>
  <c r="L1016" i="93"/>
  <c r="L1008" i="93"/>
  <c r="L1000" i="93"/>
  <c r="L992" i="93"/>
  <c r="L984" i="93"/>
  <c r="L976" i="93"/>
  <c r="L968" i="93"/>
  <c r="L960" i="93"/>
  <c r="L952" i="93"/>
  <c r="L944" i="93"/>
  <c r="L936" i="93"/>
  <c r="L928" i="93"/>
  <c r="L920" i="93"/>
  <c r="L912" i="93"/>
  <c r="L904" i="93"/>
  <c r="L896" i="93"/>
  <c r="L888" i="93"/>
  <c r="L880" i="93"/>
  <c r="L872" i="93"/>
  <c r="L864" i="93"/>
  <c r="L856" i="93"/>
  <c r="L848" i="93"/>
  <c r="L840" i="93"/>
  <c r="L832" i="93"/>
  <c r="L824" i="93"/>
  <c r="L816" i="93"/>
  <c r="L808" i="93"/>
  <c r="L800" i="93"/>
  <c r="L792" i="93"/>
  <c r="L784" i="93"/>
  <c r="L776" i="93"/>
  <c r="L768" i="93"/>
  <c r="L760" i="93"/>
  <c r="L752" i="93"/>
  <c r="L744" i="93"/>
  <c r="L736" i="93"/>
  <c r="L728" i="93"/>
  <c r="L720" i="93"/>
  <c r="L712" i="93"/>
  <c r="L704" i="93"/>
  <c r="L696" i="93"/>
  <c r="L688" i="93"/>
  <c r="L680" i="93"/>
  <c r="L672" i="93"/>
  <c r="L664" i="93"/>
  <c r="L656" i="93"/>
  <c r="L648" i="93"/>
  <c r="L640" i="93"/>
  <c r="L632" i="93"/>
  <c r="L624" i="93"/>
  <c r="L616" i="93"/>
  <c r="L608" i="93"/>
  <c r="L1550" i="93"/>
  <c r="L1518" i="93"/>
  <c r="L1486" i="93"/>
  <c r="L1458" i="93"/>
  <c r="L1437" i="93"/>
  <c r="L1425" i="93"/>
  <c r="L1414" i="93"/>
  <c r="L1403" i="93"/>
  <c r="L1393" i="93"/>
  <c r="L1383" i="93"/>
  <c r="L1375" i="93"/>
  <c r="L1367" i="93"/>
  <c r="L1359" i="93"/>
  <c r="L1351" i="93"/>
  <c r="L1343" i="93"/>
  <c r="L1335" i="93"/>
  <c r="L1327" i="93"/>
  <c r="L1319" i="93"/>
  <c r="L1311" i="93"/>
  <c r="L1303" i="93"/>
  <c r="L1295" i="93"/>
  <c r="L1287" i="93"/>
  <c r="L1279" i="93"/>
  <c r="L1271" i="93"/>
  <c r="L1263" i="93"/>
  <c r="L1255" i="93"/>
  <c r="L1247" i="93"/>
  <c r="L1239" i="93"/>
  <c r="L1231" i="93"/>
  <c r="L1223" i="93"/>
  <c r="L1215" i="93"/>
  <c r="L1207" i="93"/>
  <c r="L1199" i="93"/>
  <c r="L1191" i="93"/>
  <c r="L1183" i="93"/>
  <c r="L1175" i="93"/>
  <c r="L1167" i="93"/>
  <c r="L1159" i="93"/>
  <c r="L1151" i="93"/>
  <c r="L1143" i="93"/>
  <c r="L1135" i="93"/>
  <c r="L1127" i="93"/>
  <c r="L1119" i="93"/>
  <c r="L1111" i="93"/>
  <c r="L1103" i="93"/>
  <c r="L1095" i="93"/>
  <c r="L1087" i="93"/>
  <c r="L1079" i="93"/>
  <c r="L1071" i="93"/>
  <c r="L1063" i="93"/>
  <c r="L1055" i="93"/>
  <c r="L1047" i="93"/>
  <c r="L1039" i="93"/>
  <c r="L1031" i="93"/>
  <c r="L1023" i="93"/>
  <c r="L1015" i="93"/>
  <c r="L1007" i="93"/>
  <c r="L999" i="93"/>
  <c r="L991" i="93"/>
  <c r="L983" i="93"/>
  <c r="L975" i="93"/>
  <c r="L967" i="93"/>
  <c r="L959" i="93"/>
  <c r="L951" i="93"/>
  <c r="L943" i="93"/>
  <c r="L935" i="93"/>
  <c r="L927" i="93"/>
  <c r="L919" i="93"/>
  <c r="L911" i="93"/>
  <c r="L903" i="93"/>
  <c r="L895" i="93"/>
  <c r="L887" i="93"/>
  <c r="L879" i="93"/>
  <c r="L871" i="93"/>
  <c r="L863" i="93"/>
  <c r="L855" i="93"/>
  <c r="L847" i="93"/>
  <c r="L839" i="93"/>
  <c r="L831" i="93"/>
  <c r="L823" i="93"/>
  <c r="L815" i="93"/>
  <c r="L807" i="93"/>
  <c r="L799" i="93"/>
  <c r="L791" i="93"/>
  <c r="L783" i="93"/>
  <c r="L775" i="93"/>
  <c r="L767" i="93"/>
  <c r="L759" i="93"/>
  <c r="L751" i="93"/>
  <c r="L743" i="93"/>
  <c r="L735" i="93"/>
  <c r="L727" i="93"/>
  <c r="L719" i="93"/>
  <c r="L711" i="93"/>
  <c r="L703" i="93"/>
  <c r="L695" i="93"/>
  <c r="L687" i="93"/>
  <c r="L679" i="93"/>
  <c r="L671" i="93"/>
  <c r="L663" i="93"/>
  <c r="L655" i="93"/>
  <c r="L647" i="93"/>
  <c r="L639" i="93"/>
  <c r="L631" i="93"/>
  <c r="L623" i="93"/>
  <c r="L615" i="93"/>
  <c r="L607" i="93"/>
  <c r="L1549" i="93"/>
  <c r="L1517" i="93"/>
  <c r="L1485" i="93"/>
  <c r="L1454" i="93"/>
  <c r="L1435" i="93"/>
  <c r="L1424" i="93"/>
  <c r="L1413" i="93"/>
  <c r="L1402" i="93"/>
  <c r="L1392" i="93"/>
  <c r="L1382" i="93"/>
  <c r="L1374" i="93"/>
  <c r="L1366" i="93"/>
  <c r="L1358" i="93"/>
  <c r="L1350" i="93"/>
  <c r="L1342" i="93"/>
  <c r="L1334" i="93"/>
  <c r="L1326" i="93"/>
  <c r="L1318" i="93"/>
  <c r="L1310" i="93"/>
  <c r="L1302" i="93"/>
  <c r="L1294" i="93"/>
  <c r="L1286" i="93"/>
  <c r="L1278" i="93"/>
  <c r="L1270" i="93"/>
  <c r="L1262" i="93"/>
  <c r="L1254" i="93"/>
  <c r="L1246" i="93"/>
  <c r="L1238" i="93"/>
  <c r="L1230" i="93"/>
  <c r="L1222" i="93"/>
  <c r="L1214" i="93"/>
  <c r="L1206" i="93"/>
  <c r="L1198" i="93"/>
  <c r="L1190" i="93"/>
  <c r="L1182" i="93"/>
  <c r="L1174" i="93"/>
  <c r="L1166" i="93"/>
  <c r="L1158" i="93"/>
  <c r="L1150" i="93"/>
  <c r="L1142" i="93"/>
  <c r="L1134" i="93"/>
  <c r="L1126" i="93"/>
  <c r="L1118" i="93"/>
  <c r="L1110" i="93"/>
  <c r="L1102" i="93"/>
  <c r="L1094" i="93"/>
  <c r="L1086" i="93"/>
  <c r="L1078" i="93"/>
  <c r="L1070" i="93"/>
  <c r="L1062" i="93"/>
  <c r="L1054" i="93"/>
  <c r="L1046" i="93"/>
  <c r="L1038" i="93"/>
  <c r="L1030" i="93"/>
  <c r="L1022" i="93"/>
  <c r="L1014" i="93"/>
  <c r="L1006" i="93"/>
  <c r="L998" i="93"/>
  <c r="L990" i="93"/>
  <c r="L982" i="93"/>
  <c r="L974" i="93"/>
  <c r="L966" i="93"/>
  <c r="L958" i="93"/>
  <c r="L950" i="93"/>
  <c r="L942" i="93"/>
  <c r="L934" i="93"/>
  <c r="L926" i="93"/>
  <c r="L918" i="93"/>
  <c r="L910" i="93"/>
  <c r="L902" i="93"/>
  <c r="L894" i="93"/>
  <c r="L886" i="93"/>
  <c r="L878" i="93"/>
  <c r="L870" i="93"/>
  <c r="L862" i="93"/>
  <c r="L854" i="93"/>
  <c r="L846" i="93"/>
  <c r="L838" i="93"/>
  <c r="L830" i="93"/>
  <c r="L822" i="93"/>
  <c r="L814" i="93"/>
  <c r="L806" i="93"/>
  <c r="L798" i="93"/>
  <c r="L790" i="93"/>
  <c r="L782" i="93"/>
  <c r="L1542" i="93"/>
  <c r="L1510" i="93"/>
  <c r="L1478" i="93"/>
  <c r="L1453" i="93"/>
  <c r="L1434" i="93"/>
  <c r="L1422" i="93"/>
  <c r="L1411" i="93"/>
  <c r="L1401" i="93"/>
  <c r="L1390" i="93"/>
  <c r="L1381" i="93"/>
  <c r="L1373" i="93"/>
  <c r="L1365" i="93"/>
  <c r="L1357" i="93"/>
  <c r="L1349" i="93"/>
  <c r="L1341" i="93"/>
  <c r="L1333" i="93"/>
  <c r="L1325" i="93"/>
  <c r="L1317" i="93"/>
  <c r="L1309" i="93"/>
  <c r="L1301" i="93"/>
  <c r="L1293" i="93"/>
  <c r="L1285" i="93"/>
  <c r="L1277" i="93"/>
  <c r="L1269" i="93"/>
  <c r="L1261" i="93"/>
  <c r="L1253" i="93"/>
  <c r="L1245" i="93"/>
  <c r="L1237" i="93"/>
  <c r="L1229" i="93"/>
  <c r="L1221" i="93"/>
  <c r="L1213" i="93"/>
  <c r="L1205" i="93"/>
  <c r="L1197" i="93"/>
  <c r="L1189" i="93"/>
  <c r="L1181" i="93"/>
  <c r="L1173" i="93"/>
  <c r="L1165" i="93"/>
  <c r="L1157" i="93"/>
  <c r="L1149" i="93"/>
  <c r="L1141" i="93"/>
  <c r="L1133" i="93"/>
  <c r="L1125" i="93"/>
  <c r="L1117" i="93"/>
  <c r="L1109" i="93"/>
  <c r="L1101" i="93"/>
  <c r="L1093" i="93"/>
  <c r="L1085" i="93"/>
  <c r="L1077" i="93"/>
  <c r="L1069" i="93"/>
  <c r="L1061" i="93"/>
  <c r="L1053" i="93"/>
  <c r="L1045" i="93"/>
  <c r="L1037" i="93"/>
  <c r="L1029" i="93"/>
  <c r="L1021" i="93"/>
  <c r="L1013" i="93"/>
  <c r="L1005" i="93"/>
  <c r="L997" i="93"/>
  <c r="L989" i="93"/>
  <c r="L981" i="93"/>
  <c r="L973" i="93"/>
  <c r="L965" i="93"/>
  <c r="L957" i="93"/>
  <c r="L949" i="93"/>
  <c r="L941" i="93"/>
  <c r="L933" i="93"/>
  <c r="L925" i="93"/>
  <c r="L917" i="93"/>
  <c r="L909" i="93"/>
  <c r="L901" i="93"/>
  <c r="L893" i="93"/>
  <c r="L885" i="93"/>
  <c r="L877" i="93"/>
  <c r="L869" i="93"/>
  <c r="L861" i="93"/>
  <c r="L853" i="93"/>
  <c r="L845" i="93"/>
  <c r="L837" i="93"/>
  <c r="L829" i="93"/>
  <c r="L821" i="93"/>
  <c r="L813" i="93"/>
  <c r="L805" i="93"/>
  <c r="L797" i="93"/>
  <c r="L1541" i="93"/>
  <c r="L1509" i="93"/>
  <c r="L1477" i="93"/>
  <c r="L1450" i="93"/>
  <c r="L1433" i="93"/>
  <c r="L1421" i="93"/>
  <c r="L1410" i="93"/>
  <c r="L1400" i="93"/>
  <c r="L1389" i="93"/>
  <c r="L1380" i="93"/>
  <c r="L1372" i="93"/>
  <c r="L1364" i="93"/>
  <c r="L1356" i="93"/>
  <c r="L1348" i="93"/>
  <c r="L1340" i="93"/>
  <c r="L1332" i="93"/>
  <c r="L1324" i="93"/>
  <c r="L1316" i="93"/>
  <c r="L1308" i="93"/>
  <c r="L1300" i="93"/>
  <c r="L1292" i="93"/>
  <c r="L1284" i="93"/>
  <c r="L1276" i="93"/>
  <c r="L1268" i="93"/>
  <c r="L1260" i="93"/>
  <c r="L1252" i="93"/>
  <c r="L1244" i="93"/>
  <c r="L1236" i="93"/>
  <c r="L1228" i="93"/>
  <c r="L1220" i="93"/>
  <c r="L1212" i="93"/>
  <c r="L1204" i="93"/>
  <c r="L1196" i="93"/>
  <c r="L1188" i="93"/>
  <c r="L1180" i="93"/>
  <c r="L1172" i="93"/>
  <c r="L1164" i="93"/>
  <c r="L1156" i="93"/>
  <c r="L1148" i="93"/>
  <c r="L1140" i="93"/>
  <c r="L1132" i="93"/>
  <c r="L1124" i="93"/>
  <c r="L1116" i="93"/>
  <c r="L1108" i="93"/>
  <c r="L1100" i="93"/>
  <c r="L1092" i="93"/>
  <c r="L1084" i="93"/>
  <c r="L1076" i="93"/>
  <c r="L1068" i="93"/>
  <c r="L1060" i="93"/>
  <c r="L1052" i="93"/>
  <c r="L1044" i="93"/>
  <c r="L1036" i="93"/>
  <c r="L1028" i="93"/>
  <c r="L1020" i="93"/>
  <c r="L1012" i="93"/>
  <c r="L1004" i="93"/>
  <c r="L996" i="93"/>
  <c r="L988" i="93"/>
  <c r="L980" i="93"/>
  <c r="L972" i="93"/>
  <c r="L964" i="93"/>
  <c r="L956" i="93"/>
  <c r="L948" i="93"/>
  <c r="L940" i="93"/>
  <c r="L932" i="93"/>
  <c r="L924" i="93"/>
  <c r="L916" i="93"/>
  <c r="L908" i="93"/>
  <c r="L900" i="93"/>
  <c r="L892" i="93"/>
  <c r="L884" i="93"/>
  <c r="L876" i="93"/>
  <c r="L868" i="93"/>
  <c r="L860" i="93"/>
  <c r="L852" i="93"/>
  <c r="L844" i="93"/>
  <c r="L836" i="93"/>
  <c r="L828" i="93"/>
  <c r="L820" i="93"/>
  <c r="L812" i="93"/>
  <c r="L804" i="93"/>
  <c r="L796" i="93"/>
  <c r="L788" i="93"/>
  <c r="L780" i="93"/>
  <c r="L772" i="93"/>
  <c r="L764" i="93"/>
  <c r="L756" i="93"/>
  <c r="L748" i="93"/>
  <c r="L740" i="93"/>
  <c r="L732" i="93"/>
  <c r="L724" i="93"/>
  <c r="L716" i="93"/>
  <c r="L708" i="93"/>
  <c r="L700" i="93"/>
  <c r="L692" i="93"/>
  <c r="L684" i="93"/>
  <c r="L676" i="93"/>
  <c r="L668" i="93"/>
  <c r="L660" i="93"/>
  <c r="L652" i="93"/>
  <c r="L644" i="93"/>
  <c r="L636" i="93"/>
  <c r="L628" i="93"/>
  <c r="L620" i="93"/>
  <c r="L612" i="93"/>
  <c r="L604" i="93"/>
  <c r="L596" i="93"/>
  <c r="L588" i="93"/>
  <c r="L580" i="93"/>
  <c r="L572" i="93"/>
  <c r="L564" i="93"/>
  <c r="L1574" i="93"/>
  <c r="L1534" i="93"/>
  <c r="L1502" i="93"/>
  <c r="L1470" i="93"/>
  <c r="L1446" i="93"/>
  <c r="L1430" i="93"/>
  <c r="L1419" i="93"/>
  <c r="L1409" i="93"/>
  <c r="L1398" i="93"/>
  <c r="L1387" i="93"/>
  <c r="L1379" i="93"/>
  <c r="L1371" i="93"/>
  <c r="L1363" i="93"/>
  <c r="L1355" i="93"/>
  <c r="L1347" i="93"/>
  <c r="L1339" i="93"/>
  <c r="L1331" i="93"/>
  <c r="L1323" i="93"/>
  <c r="L1315" i="93"/>
  <c r="L1307" i="93"/>
  <c r="L1299" i="93"/>
  <c r="L1291" i="93"/>
  <c r="L1283" i="93"/>
  <c r="L1275" i="93"/>
  <c r="L1267" i="93"/>
  <c r="L1259" i="93"/>
  <c r="L1251" i="93"/>
  <c r="L1243" i="93"/>
  <c r="L1235" i="93"/>
  <c r="L1227" i="93"/>
  <c r="L1219" i="93"/>
  <c r="L1211" i="93"/>
  <c r="L1203" i="93"/>
  <c r="L1195" i="93"/>
  <c r="L1187" i="93"/>
  <c r="L1179" i="93"/>
  <c r="L1171" i="93"/>
  <c r="L1163" i="93"/>
  <c r="L1155" i="93"/>
  <c r="L1147" i="93"/>
  <c r="L1139" i="93"/>
  <c r="L1131" i="93"/>
  <c r="L1123" i="93"/>
  <c r="L1115" i="93"/>
  <c r="L1107" i="93"/>
  <c r="L1099" i="93"/>
  <c r="L1091" i="93"/>
  <c r="L1083" i="93"/>
  <c r="L1075" i="93"/>
  <c r="L1067" i="93"/>
  <c r="L1059" i="93"/>
  <c r="L1051" i="93"/>
  <c r="L1043" i="93"/>
  <c r="L1035" i="93"/>
  <c r="L1027" i="93"/>
  <c r="L1019" i="93"/>
  <c r="L1011" i="93"/>
  <c r="L1003" i="93"/>
  <c r="L995" i="93"/>
  <c r="L987" i="93"/>
  <c r="L979" i="93"/>
  <c r="L971" i="93"/>
  <c r="L963" i="93"/>
  <c r="L955" i="93"/>
  <c r="L947" i="93"/>
  <c r="L939" i="93"/>
  <c r="L931" i="93"/>
  <c r="L923" i="93"/>
  <c r="L915" i="93"/>
  <c r="L907" i="93"/>
  <c r="L899" i="93"/>
  <c r="L891" i="93"/>
  <c r="L883" i="93"/>
  <c r="L875" i="93"/>
  <c r="L867" i="93"/>
  <c r="L859" i="93"/>
  <c r="L851" i="93"/>
  <c r="L843" i="93"/>
  <c r="L835" i="93"/>
  <c r="L827" i="93"/>
  <c r="L819" i="93"/>
  <c r="L811" i="93"/>
  <c r="L803" i="93"/>
  <c r="L795" i="93"/>
  <c r="L787" i="93"/>
  <c r="L779" i="93"/>
  <c r="L771" i="93"/>
  <c r="L763" i="93"/>
  <c r="L755" i="93"/>
  <c r="L747" i="93"/>
  <c r="L739" i="93"/>
  <c r="L731" i="93"/>
  <c r="L723" i="93"/>
  <c r="L715" i="93"/>
  <c r="L707" i="93"/>
  <c r="L699" i="93"/>
  <c r="L691" i="93"/>
  <c r="L683" i="93"/>
  <c r="L675" i="93"/>
  <c r="L667" i="93"/>
  <c r="L659" i="93"/>
  <c r="L651" i="93"/>
  <c r="L643" i="93"/>
  <c r="L1566" i="93"/>
  <c r="L1533" i="93"/>
  <c r="L1501" i="93"/>
  <c r="L1469" i="93"/>
  <c r="L1445" i="93"/>
  <c r="L1429" i="93"/>
  <c r="L1418" i="93"/>
  <c r="L1408" i="93"/>
  <c r="L1397" i="93"/>
  <c r="L1386" i="93"/>
  <c r="L1378" i="93"/>
  <c r="L1370" i="93"/>
  <c r="L1362" i="93"/>
  <c r="L1354" i="93"/>
  <c r="L1346" i="93"/>
  <c r="L1338" i="93"/>
  <c r="L1330" i="93"/>
  <c r="L1322" i="93"/>
  <c r="L1314" i="93"/>
  <c r="L1306" i="93"/>
  <c r="L1298" i="93"/>
  <c r="L1290" i="93"/>
  <c r="L1282" i="93"/>
  <c r="L1274" i="93"/>
  <c r="L1266" i="93"/>
  <c r="L1258" i="93"/>
  <c r="L1250" i="93"/>
  <c r="L1242" i="93"/>
  <c r="L1234" i="93"/>
  <c r="L1226" i="93"/>
  <c r="L1218" i="93"/>
  <c r="L1210" i="93"/>
  <c r="L1202" i="93"/>
  <c r="L1194" i="93"/>
  <c r="L1186" i="93"/>
  <c r="L1178" i="93"/>
  <c r="L1170" i="93"/>
  <c r="L1162" i="93"/>
  <c r="L1154" i="93"/>
  <c r="L1146" i="93"/>
  <c r="L1138" i="93"/>
  <c r="L1130" i="93"/>
  <c r="L1122" i="93"/>
  <c r="L1114" i="93"/>
  <c r="L1106" i="93"/>
  <c r="L1098" i="93"/>
  <c r="L1090" i="93"/>
  <c r="L1082" i="93"/>
  <c r="L1074" i="93"/>
  <c r="L1066" i="93"/>
  <c r="L1058" i="93"/>
  <c r="L1050" i="93"/>
  <c r="L1042" i="93"/>
  <c r="L1034" i="93"/>
  <c r="L1026" i="93"/>
  <c r="L1018" i="93"/>
  <c r="L1010" i="93"/>
  <c r="L1002" i="93"/>
  <c r="L994" i="93"/>
  <c r="L986" i="93"/>
  <c r="L978" i="93"/>
  <c r="L970" i="93"/>
  <c r="L962" i="93"/>
  <c r="L954" i="93"/>
  <c r="L946" i="93"/>
  <c r="L938" i="93"/>
  <c r="L930" i="93"/>
  <c r="L922" i="93"/>
  <c r="L914" i="93"/>
  <c r="L906" i="93"/>
  <c r="L898" i="93"/>
  <c r="L890" i="93"/>
  <c r="L882" i="93"/>
  <c r="L874" i="93"/>
  <c r="L866" i="93"/>
  <c r="L858" i="93"/>
  <c r="L850" i="93"/>
  <c r="L842" i="93"/>
  <c r="L834" i="93"/>
  <c r="L826" i="93"/>
  <c r="L818" i="93"/>
  <c r="L810" i="93"/>
  <c r="L802" i="93"/>
  <c r="L794" i="93"/>
  <c r="L786" i="93"/>
  <c r="L778" i="93"/>
  <c r="L770" i="93"/>
  <c r="L762" i="93"/>
  <c r="L754" i="93"/>
  <c r="L746" i="93"/>
  <c r="L738" i="93"/>
  <c r="L730" i="93"/>
  <c r="L722" i="93"/>
  <c r="L714" i="93"/>
  <c r="L1558" i="93"/>
  <c r="L1526" i="93"/>
  <c r="L1494" i="93"/>
  <c r="L1462" i="93"/>
  <c r="L1442" i="93"/>
  <c r="L1427" i="93"/>
  <c r="L1417" i="93"/>
  <c r="L1406" i="93"/>
  <c r="L1395" i="93"/>
  <c r="L1385" i="93"/>
  <c r="L1377" i="93"/>
  <c r="L1369" i="93"/>
  <c r="L1361" i="93"/>
  <c r="L1353" i="93"/>
  <c r="L1345" i="93"/>
  <c r="L1337" i="93"/>
  <c r="L1329" i="93"/>
  <c r="L1321" i="93"/>
  <c r="L1313" i="93"/>
  <c r="L1305" i="93"/>
  <c r="L1297" i="93"/>
  <c r="L1289" i="93"/>
  <c r="L1281" i="93"/>
  <c r="L1273" i="93"/>
  <c r="L1265" i="93"/>
  <c r="L1257" i="93"/>
  <c r="L1249" i="93"/>
  <c r="L1241" i="93"/>
  <c r="L1233" i="93"/>
  <c r="L1225" i="93"/>
  <c r="L1217" i="93"/>
  <c r="L1209" i="93"/>
  <c r="L1201" i="93"/>
  <c r="L1193" i="93"/>
  <c r="L1185" i="93"/>
  <c r="L1177" i="93"/>
  <c r="L1169" i="93"/>
  <c r="L1161" i="93"/>
  <c r="L1153" i="93"/>
  <c r="L1145" i="93"/>
  <c r="L1137" i="93"/>
  <c r="L1129" i="93"/>
  <c r="L1121" i="93"/>
  <c r="L1113" i="93"/>
  <c r="L1105" i="93"/>
  <c r="L1097" i="93"/>
  <c r="L1089" i="93"/>
  <c r="L1081" i="93"/>
  <c r="L1073" i="93"/>
  <c r="L1065" i="93"/>
  <c r="L1057" i="93"/>
  <c r="L1049" i="93"/>
  <c r="L1041" i="93"/>
  <c r="L1033" i="93"/>
  <c r="L1025" i="93"/>
  <c r="L1017" i="93"/>
  <c r="L1009" i="93"/>
  <c r="L1001" i="93"/>
  <c r="L993" i="93"/>
  <c r="L985" i="93"/>
  <c r="L977" i="93"/>
  <c r="L969" i="93"/>
  <c r="L961" i="93"/>
  <c r="L953" i="93"/>
  <c r="L945" i="93"/>
  <c r="L937" i="93"/>
  <c r="L929" i="93"/>
  <c r="L921" i="93"/>
  <c r="L913" i="93"/>
  <c r="L905" i="93"/>
  <c r="L897" i="93"/>
  <c r="L889" i="93"/>
  <c r="L881" i="93"/>
  <c r="L873" i="93"/>
  <c r="L865" i="93"/>
  <c r="L857" i="93"/>
  <c r="L849" i="93"/>
  <c r="L841" i="93"/>
  <c r="L833" i="93"/>
  <c r="L825" i="93"/>
  <c r="L817" i="93"/>
  <c r="L809" i="93"/>
  <c r="L801" i="93"/>
  <c r="L793" i="93"/>
  <c r="L785" i="93"/>
  <c r="L777" i="93"/>
  <c r="L769" i="93"/>
  <c r="L761" i="93"/>
  <c r="L753" i="93"/>
  <c r="L745" i="93"/>
  <c r="L737" i="93"/>
  <c r="L729" i="93"/>
  <c r="L721" i="93"/>
  <c r="L713" i="93"/>
  <c r="L705" i="93"/>
  <c r="L697" i="93"/>
  <c r="L689" i="93"/>
  <c r="L681" i="93"/>
  <c r="L673" i="93"/>
  <c r="L12" i="93"/>
  <c r="L20" i="93"/>
  <c r="L28" i="93"/>
  <c r="L36" i="93"/>
  <c r="L44" i="93"/>
  <c r="L52" i="93"/>
  <c r="L60" i="93"/>
  <c r="L68" i="93"/>
  <c r="L76" i="93"/>
  <c r="L84" i="93"/>
  <c r="L92" i="93"/>
  <c r="L100" i="93"/>
  <c r="L108" i="93"/>
  <c r="L116" i="93"/>
  <c r="L124" i="93"/>
  <c r="L132" i="93"/>
  <c r="L140" i="93"/>
  <c r="L148" i="93"/>
  <c r="L156" i="93"/>
  <c r="L164" i="93"/>
  <c r="L172" i="93"/>
  <c r="L180" i="93"/>
  <c r="L188" i="93"/>
  <c r="L196" i="93"/>
  <c r="L204" i="93"/>
  <c r="L212" i="93"/>
  <c r="L220" i="93"/>
  <c r="L228" i="93"/>
  <c r="L236" i="93"/>
  <c r="L244" i="93"/>
  <c r="L252" i="93"/>
  <c r="L260" i="93"/>
  <c r="L268" i="93"/>
  <c r="L276" i="93"/>
  <c r="L284" i="93"/>
  <c r="L292" i="93"/>
  <c r="L300" i="93"/>
  <c r="L308" i="93"/>
  <c r="L316" i="93"/>
  <c r="L324" i="93"/>
  <c r="L332" i="93"/>
  <c r="L340" i="93"/>
  <c r="L348" i="93"/>
  <c r="L356" i="93"/>
  <c r="L364" i="93"/>
  <c r="L372" i="93"/>
  <c r="L380" i="93"/>
  <c r="L388" i="93"/>
  <c r="L396" i="93"/>
  <c r="L404" i="93"/>
  <c r="L412" i="93"/>
  <c r="L420" i="93"/>
  <c r="L428" i="93"/>
  <c r="L436" i="93"/>
  <c r="L444" i="93"/>
  <c r="L452" i="93"/>
  <c r="L460" i="93"/>
  <c r="L468" i="93"/>
  <c r="L476" i="93"/>
  <c r="L484" i="93"/>
  <c r="L492" i="93"/>
  <c r="L500" i="93"/>
  <c r="L508" i="93"/>
  <c r="L516" i="93"/>
  <c r="L524" i="93"/>
  <c r="L532" i="93"/>
  <c r="L540" i="93"/>
  <c r="L548" i="93"/>
  <c r="L556" i="93"/>
  <c r="L565" i="93"/>
  <c r="L574" i="93"/>
  <c r="L583" i="93"/>
  <c r="L592" i="93"/>
  <c r="L601" i="93"/>
  <c r="L613" i="93"/>
  <c r="L626" i="93"/>
  <c r="L638" i="93"/>
  <c r="L654" i="93"/>
  <c r="L670" i="93"/>
  <c r="L693" i="93"/>
  <c r="L717" i="93"/>
  <c r="L749" i="93"/>
  <c r="L781" i="93"/>
  <c r="L4" i="93"/>
  <c r="L13" i="93"/>
  <c r="L21" i="93"/>
  <c r="L29" i="93"/>
  <c r="L37" i="93"/>
  <c r="L45" i="93"/>
  <c r="L53" i="93"/>
  <c r="L61" i="93"/>
  <c r="L69" i="93"/>
  <c r="L77" i="93"/>
  <c r="L85" i="93"/>
  <c r="L93" i="93"/>
  <c r="L101" i="93"/>
  <c r="L109" i="93"/>
  <c r="L117" i="93"/>
  <c r="L125" i="93"/>
  <c r="L133" i="93"/>
  <c r="L141" i="93"/>
  <c r="L149" i="93"/>
  <c r="L157" i="93"/>
  <c r="L165" i="93"/>
  <c r="L173" i="93"/>
  <c r="L181" i="93"/>
  <c r="L189" i="93"/>
  <c r="L197" i="93"/>
  <c r="L205" i="93"/>
  <c r="L213" i="93"/>
  <c r="L221" i="93"/>
  <c r="L229" i="93"/>
  <c r="L237" i="93"/>
  <c r="L245" i="93"/>
  <c r="L253" i="93"/>
  <c r="L261" i="93"/>
  <c r="L269" i="93"/>
  <c r="L277" i="93"/>
  <c r="L285" i="93"/>
  <c r="L293" i="93"/>
  <c r="L301" i="93"/>
  <c r="L309" i="93"/>
  <c r="L317" i="93"/>
  <c r="L325" i="93"/>
  <c r="L333" i="93"/>
  <c r="L341" i="93"/>
  <c r="L349" i="93"/>
  <c r="L357" i="93"/>
  <c r="L365" i="93"/>
  <c r="L373" i="93"/>
  <c r="L381" i="93"/>
  <c r="L389" i="93"/>
  <c r="L397" i="93"/>
  <c r="L405" i="93"/>
  <c r="L413" i="93"/>
  <c r="L421" i="93"/>
  <c r="L429" i="93"/>
  <c r="L437" i="93"/>
  <c r="L445" i="93"/>
  <c r="L453" i="93"/>
  <c r="L461" i="93"/>
  <c r="L469" i="93"/>
  <c r="L477" i="93"/>
  <c r="L485" i="93"/>
  <c r="L493" i="93"/>
  <c r="L501" i="93"/>
  <c r="L509" i="93"/>
  <c r="L517" i="93"/>
  <c r="L525" i="93"/>
  <c r="L533" i="93"/>
  <c r="L541" i="93"/>
  <c r="L549" i="93"/>
  <c r="L557" i="93"/>
  <c r="L566" i="93"/>
  <c r="L575" i="93"/>
  <c r="L584" i="93"/>
  <c r="L593" i="93"/>
  <c r="L602" i="93"/>
  <c r="L614" i="93"/>
  <c r="L627" i="93"/>
  <c r="L641" i="93"/>
  <c r="L657" i="93"/>
  <c r="L674" i="93"/>
  <c r="L694" i="93"/>
  <c r="L718" i="93"/>
  <c r="L750" i="93"/>
  <c r="L789" i="93"/>
  <c r="L5" i="93"/>
  <c r="L14" i="93"/>
  <c r="L22" i="93"/>
  <c r="L30" i="93"/>
  <c r="L38" i="93"/>
  <c r="L46" i="93"/>
  <c r="L54" i="93"/>
  <c r="L62" i="93"/>
  <c r="L70" i="93"/>
  <c r="L78" i="93"/>
  <c r="L86" i="93"/>
  <c r="L94" i="93"/>
  <c r="L102" i="93"/>
  <c r="L110" i="93"/>
  <c r="L118" i="93"/>
  <c r="L126" i="93"/>
  <c r="L134" i="93"/>
  <c r="L142" i="93"/>
  <c r="L150" i="93"/>
  <c r="L158" i="93"/>
  <c r="L166" i="93"/>
  <c r="L174" i="93"/>
  <c r="L182" i="93"/>
  <c r="L190" i="93"/>
  <c r="L198" i="93"/>
  <c r="L206" i="93"/>
  <c r="L214" i="93"/>
  <c r="L222" i="93"/>
  <c r="L230" i="93"/>
  <c r="L238" i="93"/>
  <c r="L246" i="93"/>
  <c r="L254" i="93"/>
  <c r="L262" i="93"/>
  <c r="L270" i="93"/>
  <c r="L278" i="93"/>
  <c r="L286" i="93"/>
  <c r="L294" i="93"/>
  <c r="L302" i="93"/>
  <c r="L310" i="93"/>
  <c r="L318" i="93"/>
  <c r="L326" i="93"/>
  <c r="L334" i="93"/>
  <c r="L342" i="93"/>
  <c r="L350" i="93"/>
  <c r="L358" i="93"/>
  <c r="L366" i="93"/>
  <c r="L374" i="93"/>
  <c r="L382" i="93"/>
  <c r="L390" i="93"/>
  <c r="L398" i="93"/>
  <c r="L406" i="93"/>
  <c r="L414" i="93"/>
  <c r="L422" i="93"/>
  <c r="L430" i="93"/>
  <c r="L438" i="93"/>
  <c r="L446" i="93"/>
  <c r="L454" i="93"/>
  <c r="L462" i="93"/>
  <c r="L470" i="93"/>
  <c r="L478" i="93"/>
  <c r="L486" i="93"/>
  <c r="L494" i="93"/>
  <c r="L502" i="93"/>
  <c r="L510" i="93"/>
  <c r="L518" i="93"/>
  <c r="L526" i="93"/>
  <c r="L534" i="93"/>
  <c r="L542" i="93"/>
  <c r="L550" i="93"/>
  <c r="L558" i="93"/>
  <c r="L567" i="93"/>
  <c r="L576" i="93"/>
  <c r="L585" i="93"/>
  <c r="L594" i="93"/>
  <c r="L603" i="93"/>
  <c r="L617" i="93"/>
  <c r="L629" i="93"/>
  <c r="L642" i="93"/>
  <c r="L658" i="93"/>
  <c r="L677" i="93"/>
  <c r="L698" i="93"/>
  <c r="L725" i="93"/>
  <c r="L757" i="93"/>
  <c r="L6" i="93"/>
  <c r="L15" i="93"/>
  <c r="L23" i="93"/>
  <c r="L31" i="93"/>
  <c r="L39" i="93"/>
  <c r="L47" i="93"/>
  <c r="L55" i="93"/>
  <c r="L63" i="93"/>
  <c r="L71" i="93"/>
  <c r="L79" i="93"/>
  <c r="L87" i="93"/>
  <c r="L95" i="93"/>
  <c r="L103" i="93"/>
  <c r="L111" i="93"/>
  <c r="L119" i="93"/>
  <c r="L127" i="93"/>
  <c r="L135" i="93"/>
  <c r="L143" i="93"/>
  <c r="L151" i="93"/>
  <c r="L159" i="93"/>
  <c r="L167" i="93"/>
  <c r="L175" i="93"/>
  <c r="L183" i="93"/>
  <c r="L191" i="93"/>
  <c r="L199" i="93"/>
  <c r="L207" i="93"/>
  <c r="L215" i="93"/>
  <c r="L223" i="93"/>
  <c r="L231" i="93"/>
  <c r="L239" i="93"/>
  <c r="L247" i="93"/>
  <c r="L255" i="93"/>
  <c r="L263" i="93"/>
  <c r="L271" i="93"/>
  <c r="L279" i="93"/>
  <c r="L287" i="93"/>
  <c r="L295" i="93"/>
  <c r="L303" i="93"/>
  <c r="L311" i="93"/>
  <c r="L319" i="93"/>
  <c r="L327" i="93"/>
  <c r="L335" i="93"/>
  <c r="L343" i="93"/>
  <c r="L351" i="93"/>
  <c r="L359" i="93"/>
  <c r="L367" i="93"/>
  <c r="L375" i="93"/>
  <c r="L383" i="93"/>
  <c r="L391" i="93"/>
  <c r="L399" i="93"/>
  <c r="L407" i="93"/>
  <c r="L415" i="93"/>
  <c r="L423" i="93"/>
  <c r="L431" i="93"/>
  <c r="L439" i="93"/>
  <c r="L447" i="93"/>
  <c r="L455" i="93"/>
  <c r="L463" i="93"/>
  <c r="L471" i="93"/>
  <c r="L479" i="93"/>
  <c r="L487" i="93"/>
  <c r="L495" i="93"/>
  <c r="L503" i="93"/>
  <c r="L511" i="93"/>
  <c r="L519" i="93"/>
  <c r="L527" i="93"/>
  <c r="L535" i="93"/>
  <c r="L543" i="93"/>
  <c r="L551" i="93"/>
  <c r="L559" i="93"/>
  <c r="L568" i="93"/>
  <c r="L577" i="93"/>
  <c r="L586" i="93"/>
  <c r="L595" i="93"/>
  <c r="L605" i="93"/>
  <c r="L618" i="93"/>
  <c r="L630" i="93"/>
  <c r="L645" i="93"/>
  <c r="L661" i="93"/>
  <c r="L678" i="93"/>
  <c r="L701" i="93"/>
  <c r="L726" i="93"/>
  <c r="L758" i="93"/>
  <c r="L7" i="93"/>
  <c r="L16" i="93"/>
  <c r="L24" i="93"/>
  <c r="L32" i="93"/>
  <c r="L40" i="93"/>
  <c r="L48" i="93"/>
  <c r="L56" i="93"/>
  <c r="L64" i="93"/>
  <c r="L72" i="93"/>
  <c r="L80" i="93"/>
  <c r="L88" i="93"/>
  <c r="L96" i="93"/>
  <c r="L104" i="93"/>
  <c r="L112" i="93"/>
  <c r="L120" i="93"/>
  <c r="L128" i="93"/>
  <c r="L136" i="93"/>
  <c r="L144" i="93"/>
  <c r="L152" i="93"/>
  <c r="L160" i="93"/>
  <c r="L168" i="93"/>
  <c r="L176" i="93"/>
  <c r="L184" i="93"/>
  <c r="L192" i="93"/>
  <c r="L200" i="93"/>
  <c r="L208" i="93"/>
  <c r="L216" i="93"/>
  <c r="L224" i="93"/>
  <c r="L232" i="93"/>
  <c r="L240" i="93"/>
  <c r="L248" i="93"/>
  <c r="L256" i="93"/>
  <c r="L264" i="93"/>
  <c r="L272" i="93"/>
  <c r="L280" i="93"/>
  <c r="L288" i="93"/>
  <c r="L296" i="93"/>
  <c r="L304" i="93"/>
  <c r="L312" i="93"/>
  <c r="L320" i="93"/>
  <c r="L328" i="93"/>
  <c r="L336" i="93"/>
  <c r="L344" i="93"/>
  <c r="L352" i="93"/>
  <c r="L360" i="93"/>
  <c r="L368" i="93"/>
  <c r="L376" i="93"/>
  <c r="L384" i="93"/>
  <c r="L392" i="93"/>
  <c r="L400" i="93"/>
  <c r="L408" i="93"/>
  <c r="L416" i="93"/>
  <c r="L424" i="93"/>
  <c r="L432" i="93"/>
  <c r="L440" i="93"/>
  <c r="L448" i="93"/>
  <c r="L456" i="93"/>
  <c r="L464" i="93"/>
  <c r="L472" i="93"/>
  <c r="L480" i="93"/>
  <c r="L488" i="93"/>
  <c r="L496" i="93"/>
  <c r="L504" i="93"/>
  <c r="L512" i="93"/>
  <c r="L520" i="93"/>
  <c r="L528" i="93"/>
  <c r="L536" i="93"/>
  <c r="L544" i="93"/>
  <c r="L552" i="93"/>
  <c r="L560" i="93"/>
  <c r="L569" i="93"/>
  <c r="L578" i="93"/>
  <c r="L587" i="93"/>
  <c r="L597" i="93"/>
  <c r="L606" i="93"/>
  <c r="L619" i="93"/>
  <c r="L633" i="93"/>
  <c r="L646" i="93"/>
  <c r="L662" i="93"/>
  <c r="L682" i="93"/>
  <c r="L702" i="93"/>
  <c r="L733" i="93"/>
  <c r="L765" i="93"/>
  <c r="L8" i="93"/>
  <c r="L17" i="93"/>
  <c r="L25" i="93"/>
  <c r="L33" i="93"/>
  <c r="L41" i="93"/>
  <c r="L49" i="93"/>
  <c r="L57" i="93"/>
  <c r="L65" i="93"/>
  <c r="L73" i="93"/>
  <c r="L81" i="93"/>
  <c r="L89" i="93"/>
  <c r="L97" i="93"/>
  <c r="L105" i="93"/>
  <c r="L113" i="93"/>
  <c r="L121" i="93"/>
  <c r="L129" i="93"/>
  <c r="L137" i="93"/>
  <c r="L145" i="93"/>
  <c r="L153" i="93"/>
  <c r="L161" i="93"/>
  <c r="L169" i="93"/>
  <c r="L177" i="93"/>
  <c r="L185" i="93"/>
  <c r="L193" i="93"/>
  <c r="L201" i="93"/>
  <c r="L209" i="93"/>
  <c r="L217" i="93"/>
  <c r="L225" i="93"/>
  <c r="L233" i="93"/>
  <c r="L241" i="93"/>
  <c r="L249" i="93"/>
  <c r="L257" i="93"/>
  <c r="L265" i="93"/>
  <c r="L273" i="93"/>
  <c r="L281" i="93"/>
  <c r="L289" i="93"/>
  <c r="L297" i="93"/>
  <c r="L305" i="93"/>
  <c r="L313" i="93"/>
  <c r="L321" i="93"/>
  <c r="L329" i="93"/>
  <c r="L337" i="93"/>
  <c r="L345" i="93"/>
  <c r="L353" i="93"/>
  <c r="L361" i="93"/>
  <c r="L369" i="93"/>
  <c r="L377" i="93"/>
  <c r="L385" i="93"/>
  <c r="L393" i="93"/>
  <c r="L401" i="93"/>
  <c r="L409" i="93"/>
  <c r="L417" i="93"/>
  <c r="L425" i="93"/>
  <c r="L433" i="93"/>
  <c r="L441" i="93"/>
  <c r="L449" i="93"/>
  <c r="L457" i="93"/>
  <c r="L465" i="93"/>
  <c r="L473" i="93"/>
  <c r="L481" i="93"/>
  <c r="L489" i="93"/>
  <c r="L497" i="93"/>
  <c r="L505" i="93"/>
  <c r="L513" i="93"/>
  <c r="L521" i="93"/>
  <c r="L529" i="93"/>
  <c r="L537" i="93"/>
  <c r="L545" i="93"/>
  <c r="L553" i="93"/>
  <c r="L561" i="93"/>
  <c r="L570" i="93"/>
  <c r="L579" i="93"/>
  <c r="L589" i="93"/>
  <c r="L598" i="93"/>
  <c r="L609" i="93"/>
  <c r="L621" i="93"/>
  <c r="L634" i="93"/>
  <c r="L649" i="93"/>
  <c r="L665" i="93"/>
  <c r="L685" i="93"/>
  <c r="L706" i="93"/>
  <c r="L734" i="93"/>
  <c r="L766" i="93"/>
  <c r="L10" i="93"/>
  <c r="L18" i="93"/>
  <c r="L26" i="93"/>
  <c r="L34" i="93"/>
  <c r="L42" i="93"/>
  <c r="L50" i="93"/>
  <c r="L58" i="93"/>
  <c r="L66" i="93"/>
  <c r="L74" i="93"/>
  <c r="L82" i="93"/>
  <c r="L90" i="93"/>
  <c r="L98" i="93"/>
  <c r="L106" i="93"/>
  <c r="L114" i="93"/>
  <c r="L122" i="93"/>
  <c r="L130" i="93"/>
  <c r="L138" i="93"/>
  <c r="L146" i="93"/>
  <c r="L154" i="93"/>
  <c r="L162" i="93"/>
  <c r="L170" i="93"/>
  <c r="L178" i="93"/>
  <c r="L186" i="93"/>
  <c r="L194" i="93"/>
  <c r="L202" i="93"/>
  <c r="L210" i="93"/>
  <c r="L218" i="93"/>
  <c r="L226" i="93"/>
  <c r="L234" i="93"/>
  <c r="L242" i="93"/>
  <c r="L250" i="93"/>
  <c r="L258" i="93"/>
  <c r="L266" i="93"/>
  <c r="L274" i="93"/>
  <c r="L282" i="93"/>
  <c r="L290" i="93"/>
  <c r="L298" i="93"/>
  <c r="L306" i="93"/>
  <c r="L314" i="93"/>
  <c r="L322" i="93"/>
  <c r="L330" i="93"/>
  <c r="L338" i="93"/>
  <c r="L346" i="93"/>
  <c r="L354" i="93"/>
  <c r="L362" i="93"/>
  <c r="L370" i="93"/>
  <c r="L378" i="93"/>
  <c r="L386" i="93"/>
  <c r="L394" i="93"/>
  <c r="L402" i="93"/>
  <c r="L410" i="93"/>
  <c r="L418" i="93"/>
  <c r="L426" i="93"/>
  <c r="L434" i="93"/>
  <c r="L442" i="93"/>
  <c r="L450" i="93"/>
  <c r="L458" i="93"/>
  <c r="L466" i="93"/>
  <c r="L474" i="93"/>
  <c r="L482" i="93"/>
  <c r="L490" i="93"/>
  <c r="L498" i="93"/>
  <c r="L506" i="93"/>
  <c r="L514" i="93"/>
  <c r="L522" i="93"/>
  <c r="L530" i="93"/>
  <c r="L538" i="93"/>
  <c r="L546" i="93"/>
  <c r="L554" i="93"/>
  <c r="L562" i="93"/>
  <c r="L571" i="93"/>
  <c r="L581" i="93"/>
  <c r="L590" i="93"/>
  <c r="L599" i="93"/>
  <c r="L610" i="93"/>
  <c r="L622" i="93"/>
  <c r="L635" i="93"/>
  <c r="L650" i="93"/>
  <c r="L666" i="93"/>
  <c r="L686" i="93"/>
  <c r="L709" i="93"/>
  <c r="L741" i="93"/>
  <c r="L773" i="93"/>
  <c r="X5" i="93"/>
  <c r="U10" i="93"/>
  <c r="U18" i="93"/>
  <c r="U26" i="93"/>
  <c r="U34" i="93"/>
  <c r="U42" i="93"/>
  <c r="U50" i="93"/>
  <c r="U58" i="93"/>
  <c r="U66" i="93"/>
  <c r="U74" i="93"/>
  <c r="U82" i="93"/>
  <c r="U90" i="93"/>
  <c r="U98" i="93"/>
  <c r="U106" i="93"/>
  <c r="U114" i="93"/>
  <c r="U122" i="93"/>
  <c r="U130" i="93"/>
  <c r="U138" i="93"/>
  <c r="U146" i="93"/>
  <c r="U154" i="93"/>
  <c r="U162" i="93"/>
  <c r="U170" i="93"/>
  <c r="U178" i="93"/>
  <c r="U186" i="93"/>
  <c r="U194" i="93"/>
  <c r="U202" i="93"/>
  <c r="U210" i="93"/>
  <c r="U218" i="93"/>
  <c r="U226" i="93"/>
  <c r="U234" i="93"/>
  <c r="U242" i="93"/>
  <c r="X6" i="93"/>
  <c r="U11" i="93"/>
  <c r="U19" i="93"/>
  <c r="U27" i="93"/>
  <c r="U35" i="93"/>
  <c r="U43" i="93"/>
  <c r="U51" i="93"/>
  <c r="U59" i="93"/>
  <c r="U67" i="93"/>
  <c r="U75" i="93"/>
  <c r="U83" i="93"/>
  <c r="U91" i="93"/>
  <c r="U99" i="93"/>
  <c r="U107" i="93"/>
  <c r="U115" i="93"/>
  <c r="U123" i="93"/>
  <c r="U131" i="93"/>
  <c r="U139" i="93"/>
  <c r="U147" i="93"/>
  <c r="U155" i="93"/>
  <c r="U163" i="93"/>
  <c r="U171" i="93"/>
  <c r="U179" i="93"/>
  <c r="U187" i="93"/>
  <c r="U195" i="93"/>
  <c r="U203" i="93"/>
  <c r="U211" i="93"/>
  <c r="U219" i="93"/>
  <c r="U227" i="93"/>
  <c r="U235" i="93"/>
  <c r="U243" i="93"/>
  <c r="U4" i="93"/>
  <c r="U12" i="93"/>
  <c r="U20" i="93"/>
  <c r="U28" i="93"/>
  <c r="U36" i="93"/>
  <c r="U44" i="93"/>
  <c r="U52" i="93"/>
  <c r="U60" i="93"/>
  <c r="U68" i="93"/>
  <c r="U76" i="93"/>
  <c r="U84" i="93"/>
  <c r="U92" i="93"/>
  <c r="U100" i="93"/>
  <c r="U108" i="93"/>
  <c r="U116" i="93"/>
  <c r="U124" i="93"/>
  <c r="U132" i="93"/>
  <c r="U140" i="93"/>
  <c r="U148" i="93"/>
  <c r="U156" i="93"/>
  <c r="U164" i="93"/>
  <c r="U172" i="93"/>
  <c r="U180" i="93"/>
  <c r="U188" i="93"/>
  <c r="U196" i="93"/>
  <c r="U204" i="93"/>
  <c r="U212" i="93"/>
  <c r="U220" i="93"/>
  <c r="U228" i="93"/>
  <c r="U236" i="93"/>
  <c r="U244" i="93"/>
  <c r="U5" i="93"/>
  <c r="U13" i="93"/>
  <c r="U21" i="93"/>
  <c r="U29" i="93"/>
  <c r="U37" i="93"/>
  <c r="U45" i="93"/>
  <c r="U53" i="93"/>
  <c r="U61" i="93"/>
  <c r="U69" i="93"/>
  <c r="U77" i="93"/>
  <c r="U85" i="93"/>
  <c r="U93" i="93"/>
  <c r="U101" i="93"/>
  <c r="U109" i="93"/>
  <c r="U117" i="93"/>
  <c r="U125" i="93"/>
  <c r="U133" i="93"/>
  <c r="U141" i="93"/>
  <c r="U149" i="93"/>
  <c r="U157" i="93"/>
  <c r="U165" i="93"/>
  <c r="U173" i="93"/>
  <c r="U181" i="93"/>
  <c r="U189" i="93"/>
  <c r="U197" i="93"/>
  <c r="U205" i="93"/>
  <c r="U213" i="93"/>
  <c r="U221" i="93"/>
  <c r="U229" i="93"/>
  <c r="U237" i="93"/>
  <c r="U245" i="93"/>
  <c r="U6" i="93"/>
  <c r="U14" i="93"/>
  <c r="U22" i="93"/>
  <c r="U30" i="93"/>
  <c r="U38" i="93"/>
  <c r="U46" i="93"/>
  <c r="U54" i="93"/>
  <c r="U62" i="93"/>
  <c r="U70" i="93"/>
  <c r="U78" i="93"/>
  <c r="U86" i="93"/>
  <c r="U94" i="93"/>
  <c r="U102" i="93"/>
  <c r="U110" i="93"/>
  <c r="U118" i="93"/>
  <c r="U126" i="93"/>
  <c r="U134" i="93"/>
  <c r="U142" i="93"/>
  <c r="U150" i="93"/>
  <c r="U158" i="93"/>
  <c r="U166" i="93"/>
  <c r="U174" i="93"/>
  <c r="U182" i="93"/>
  <c r="U190" i="93"/>
  <c r="U198" i="93"/>
  <c r="U206" i="93"/>
  <c r="U214" i="93"/>
  <c r="U222" i="93"/>
  <c r="U230" i="93"/>
  <c r="U238" i="93"/>
  <c r="U247" i="93"/>
  <c r="U7" i="93"/>
  <c r="U15" i="93"/>
  <c r="U23" i="93"/>
  <c r="U31" i="93"/>
  <c r="U39" i="93"/>
  <c r="U47" i="93"/>
  <c r="U55" i="93"/>
  <c r="U63" i="93"/>
  <c r="U71" i="93"/>
  <c r="U79" i="93"/>
  <c r="U87" i="93"/>
  <c r="U95" i="93"/>
  <c r="U103" i="93"/>
  <c r="U111" i="93"/>
  <c r="U119" i="93"/>
  <c r="U127" i="93"/>
  <c r="U135" i="93"/>
  <c r="U143" i="93"/>
  <c r="U151" i="93"/>
  <c r="U159" i="93"/>
  <c r="U167" i="93"/>
  <c r="U175" i="93"/>
  <c r="U183" i="93"/>
  <c r="U191" i="93"/>
  <c r="U199" i="93"/>
  <c r="U207" i="93"/>
  <c r="U215" i="93"/>
  <c r="U223" i="93"/>
  <c r="U231" i="93"/>
  <c r="U239" i="93"/>
  <c r="U248" i="93"/>
  <c r="U8" i="93"/>
  <c r="U16" i="93"/>
  <c r="U24" i="93"/>
  <c r="U32" i="93"/>
  <c r="U40" i="93"/>
  <c r="U48" i="93"/>
  <c r="U56" i="93"/>
  <c r="U64" i="93"/>
  <c r="U72" i="93"/>
  <c r="U80" i="93"/>
  <c r="U88" i="93"/>
  <c r="U96" i="93"/>
  <c r="U104" i="93"/>
  <c r="U112" i="93"/>
  <c r="U120" i="93"/>
  <c r="U128" i="93"/>
  <c r="U136" i="93"/>
  <c r="U144" i="93"/>
  <c r="U152" i="93"/>
  <c r="U160" i="93"/>
  <c r="U168" i="93"/>
  <c r="U176" i="93"/>
  <c r="U184" i="93"/>
  <c r="U192" i="93"/>
  <c r="U200" i="93"/>
  <c r="U208" i="93"/>
  <c r="U216" i="93"/>
  <c r="U224" i="93"/>
  <c r="U232" i="93"/>
  <c r="U2466" i="93"/>
  <c r="U2458" i="93"/>
  <c r="U2450" i="93"/>
  <c r="U2442" i="93"/>
  <c r="U2434" i="93"/>
  <c r="U2426" i="93"/>
  <c r="U2418" i="93"/>
  <c r="U2410" i="93"/>
  <c r="U2402" i="93"/>
  <c r="U2394" i="93"/>
  <c r="U2386" i="93"/>
  <c r="U2378" i="93"/>
  <c r="U2370" i="93"/>
  <c r="U2362" i="93"/>
  <c r="U2354" i="93"/>
  <c r="U2346" i="93"/>
  <c r="U2338" i="93"/>
  <c r="U2330" i="93"/>
  <c r="U2322" i="93"/>
  <c r="U2314" i="93"/>
  <c r="U2306" i="93"/>
  <c r="U2462" i="93"/>
  <c r="U2454" i="93"/>
  <c r="U2468" i="93"/>
  <c r="U2460" i="93"/>
  <c r="U2452" i="93"/>
  <c r="U2444" i="93"/>
  <c r="U2436" i="93"/>
  <c r="U2428" i="93"/>
  <c r="U2420" i="93"/>
  <c r="U2412" i="93"/>
  <c r="U2404" i="93"/>
  <c r="U2396" i="93"/>
  <c r="U2388" i="93"/>
  <c r="U2380" i="93"/>
  <c r="U2372" i="93"/>
  <c r="U2364" i="93"/>
  <c r="U2356" i="93"/>
  <c r="U2348" i="93"/>
  <c r="U2340" i="93"/>
  <c r="U2332" i="93"/>
  <c r="U2324" i="93"/>
  <c r="U2316" i="93"/>
  <c r="U2308" i="93"/>
  <c r="U2300" i="93"/>
  <c r="U2292" i="93"/>
  <c r="U2284" i="93"/>
  <c r="U2276" i="93"/>
  <c r="U2268" i="93"/>
  <c r="U2260" i="93"/>
  <c r="U2252" i="93"/>
  <c r="U2244" i="93"/>
  <c r="U2236" i="93"/>
  <c r="U2228" i="93"/>
  <c r="U2220" i="93"/>
  <c r="U2212" i="93"/>
  <c r="U2204" i="93"/>
  <c r="U2196" i="93"/>
  <c r="U2188" i="93"/>
  <c r="U2180" i="93"/>
  <c r="U2172" i="93"/>
  <c r="U2164" i="93"/>
  <c r="U2156" i="93"/>
  <c r="U2148" i="93"/>
  <c r="U2140" i="93"/>
  <c r="U2132" i="93"/>
  <c r="U2124" i="93"/>
  <c r="U2116" i="93"/>
  <c r="U2108" i="93"/>
  <c r="U2100" i="93"/>
  <c r="U2092" i="93"/>
  <c r="U2084" i="93"/>
  <c r="U2076" i="93"/>
  <c r="U2068" i="93"/>
  <c r="U2060" i="93"/>
  <c r="U2052" i="93"/>
  <c r="U2044" i="93"/>
  <c r="U2036" i="93"/>
  <c r="U2028" i="93"/>
  <c r="U2020" i="93"/>
  <c r="U2012" i="93"/>
  <c r="U2004" i="93"/>
  <c r="U1996" i="93"/>
  <c r="U1988" i="93"/>
  <c r="U1980" i="93"/>
  <c r="U1972" i="93"/>
  <c r="U1964" i="93"/>
  <c r="U1956" i="93"/>
  <c r="U1948" i="93"/>
  <c r="U1940" i="93"/>
  <c r="U1932" i="93"/>
  <c r="U1924" i="93"/>
  <c r="U1916" i="93"/>
  <c r="U1908" i="93"/>
  <c r="U1900" i="93"/>
  <c r="U1892" i="93"/>
  <c r="U1884" i="93"/>
  <c r="U1876" i="93"/>
  <c r="U1868" i="93"/>
  <c r="U1860" i="93"/>
  <c r="U1852" i="93"/>
  <c r="U1844" i="93"/>
  <c r="U1836" i="93"/>
  <c r="U1828" i="93"/>
  <c r="U1820" i="93"/>
  <c r="U1812" i="93"/>
  <c r="U1804" i="93"/>
  <c r="U1796" i="93"/>
  <c r="U2467" i="93"/>
  <c r="U2459" i="93"/>
  <c r="U2451" i="93"/>
  <c r="U2443" i="93"/>
  <c r="U2435" i="93"/>
  <c r="U2427" i="93"/>
  <c r="U2419" i="93"/>
  <c r="U2411" i="93"/>
  <c r="U2403" i="93"/>
  <c r="U2395" i="93"/>
  <c r="U2387" i="93"/>
  <c r="U2379" i="93"/>
  <c r="U2371" i="93"/>
  <c r="U2363" i="93"/>
  <c r="U2355" i="93"/>
  <c r="U2347" i="93"/>
  <c r="U2339" i="93"/>
  <c r="U2331" i="93"/>
  <c r="U2323" i="93"/>
  <c r="U2315" i="93"/>
  <c r="U2307" i="93"/>
  <c r="U2299" i="93"/>
  <c r="U2291" i="93"/>
  <c r="U2283" i="93"/>
  <c r="U2275" i="93"/>
  <c r="U2267" i="93"/>
  <c r="U2259" i="93"/>
  <c r="U2251" i="93"/>
  <c r="U2243" i="93"/>
  <c r="U2235" i="93"/>
  <c r="U2227" i="93"/>
  <c r="U2219" i="93"/>
  <c r="U2211" i="93"/>
  <c r="U2203" i="93"/>
  <c r="U2195" i="93"/>
  <c r="U2187" i="93"/>
  <c r="U2179" i="93"/>
  <c r="U2171" i="93"/>
  <c r="U2163" i="93"/>
  <c r="U2155" i="93"/>
  <c r="U2147" i="93"/>
  <c r="U2139" i="93"/>
  <c r="U2131" i="93"/>
  <c r="U2123" i="93"/>
  <c r="U2115" i="93"/>
  <c r="U2107" i="93"/>
  <c r="U2099" i="93"/>
  <c r="U2091" i="93"/>
  <c r="U2083" i="93"/>
  <c r="U2075" i="93"/>
  <c r="U2067" i="93"/>
  <c r="U2059" i="93"/>
  <c r="U2051" i="93"/>
  <c r="U2043" i="93"/>
  <c r="U2035" i="93"/>
  <c r="U2027" i="93"/>
  <c r="U2019" i="93"/>
  <c r="U2011" i="93"/>
  <c r="U2003" i="93"/>
  <c r="U1995" i="93"/>
  <c r="U1987" i="93"/>
  <c r="U1979" i="93"/>
  <c r="U1971" i="93"/>
  <c r="U1963" i="93"/>
  <c r="U1955" i="93"/>
  <c r="U1947" i="93"/>
  <c r="U1939" i="93"/>
  <c r="U1931" i="93"/>
  <c r="U1923" i="93"/>
  <c r="U1915" i="93"/>
  <c r="U1907" i="93"/>
  <c r="U1899" i="93"/>
  <c r="U1891" i="93"/>
  <c r="U1883" i="93"/>
  <c r="U1875" i="93"/>
  <c r="U1867" i="93"/>
  <c r="U1859" i="93"/>
  <c r="U1851" i="93"/>
  <c r="U1843" i="93"/>
  <c r="U1835" i="93"/>
  <c r="U1827" i="93"/>
  <c r="U1819" i="93"/>
  <c r="U1811" i="93"/>
  <c r="U1803" i="93"/>
  <c r="U1795" i="93"/>
  <c r="U2461" i="93"/>
  <c r="U2446" i="93"/>
  <c r="U2432" i="93"/>
  <c r="U2421" i="93"/>
  <c r="U2407" i="93"/>
  <c r="U2393" i="93"/>
  <c r="U2382" i="93"/>
  <c r="U2368" i="93"/>
  <c r="U2357" i="93"/>
  <c r="U2343" i="93"/>
  <c r="U2329" i="93"/>
  <c r="U2318" i="93"/>
  <c r="U2304" i="93"/>
  <c r="U2294" i="93"/>
  <c r="U2282" i="93"/>
  <c r="U2272" i="93"/>
  <c r="U2262" i="93"/>
  <c r="U2250" i="93"/>
  <c r="U2240" i="93"/>
  <c r="U2230" i="93"/>
  <c r="U2218" i="93"/>
  <c r="U2208" i="93"/>
  <c r="U2198" i="93"/>
  <c r="U2186" i="93"/>
  <c r="U2176" i="93"/>
  <c r="U2166" i="93"/>
  <c r="U2154" i="93"/>
  <c r="U2144" i="93"/>
  <c r="U2134" i="93"/>
  <c r="U2122" i="93"/>
  <c r="U2112" i="93"/>
  <c r="U2102" i="93"/>
  <c r="U2090" i="93"/>
  <c r="U2080" i="93"/>
  <c r="U2070" i="93"/>
  <c r="U2058" i="93"/>
  <c r="U2048" i="93"/>
  <c r="U2038" i="93"/>
  <c r="U2026" i="93"/>
  <c r="U2016" i="93"/>
  <c r="U2006" i="93"/>
  <c r="U1994" i="93"/>
  <c r="U1984" i="93"/>
  <c r="U1974" i="93"/>
  <c r="U1962" i="93"/>
  <c r="U1952" i="93"/>
  <c r="U1942" i="93"/>
  <c r="U1930" i="93"/>
  <c r="U1920" i="93"/>
  <c r="U1910" i="93"/>
  <c r="U1898" i="93"/>
  <c r="U1888" i="93"/>
  <c r="U1878" i="93"/>
  <c r="U1866" i="93"/>
  <c r="U1856" i="93"/>
  <c r="U1846" i="93"/>
  <c r="U1834" i="93"/>
  <c r="U1824" i="93"/>
  <c r="U1814" i="93"/>
  <c r="U1802" i="93"/>
  <c r="U1792" i="93"/>
  <c r="U1784" i="93"/>
  <c r="U1776" i="93"/>
  <c r="U1768" i="93"/>
  <c r="U1760" i="93"/>
  <c r="U1752" i="93"/>
  <c r="U1744" i="93"/>
  <c r="U1736" i="93"/>
  <c r="U1728" i="93"/>
  <c r="U1720" i="93"/>
  <c r="U1712" i="93"/>
  <c r="U1704" i="93"/>
  <c r="U1696" i="93"/>
  <c r="U1688" i="93"/>
  <c r="U1680" i="93"/>
  <c r="U1672" i="93"/>
  <c r="U1664" i="93"/>
  <c r="U1656" i="93"/>
  <c r="U1648" i="93"/>
  <c r="U1640" i="93"/>
  <c r="U1632" i="93"/>
  <c r="U1624" i="93"/>
  <c r="U1616" i="93"/>
  <c r="U1608" i="93"/>
  <c r="U2457" i="93"/>
  <c r="U2445" i="93"/>
  <c r="U2431" i="93"/>
  <c r="U2417" i="93"/>
  <c r="U2406" i="93"/>
  <c r="U2392" i="93"/>
  <c r="U2381" i="93"/>
  <c r="U2367" i="93"/>
  <c r="U2353" i="93"/>
  <c r="U2342" i="93"/>
  <c r="U2328" i="93"/>
  <c r="U2317" i="93"/>
  <c r="U2303" i="93"/>
  <c r="U2293" i="93"/>
  <c r="U2281" i="93"/>
  <c r="U2271" i="93"/>
  <c r="U2261" i="93"/>
  <c r="U2249" i="93"/>
  <c r="U2239" i="93"/>
  <c r="U2229" i="93"/>
  <c r="U2217" i="93"/>
  <c r="U2207" i="93"/>
  <c r="U2197" i="93"/>
  <c r="U2185" i="93"/>
  <c r="U2175" i="93"/>
  <c r="U2165" i="93"/>
  <c r="U2153" i="93"/>
  <c r="U2143" i="93"/>
  <c r="U2133" i="93"/>
  <c r="U2121" i="93"/>
  <c r="U2111" i="93"/>
  <c r="U2101" i="93"/>
  <c r="U2089" i="93"/>
  <c r="U2079" i="93"/>
  <c r="U2069" i="93"/>
  <c r="U2057" i="93"/>
  <c r="U2047" i="93"/>
  <c r="U2037" i="93"/>
  <c r="U2025" i="93"/>
  <c r="U2015" i="93"/>
  <c r="U2005" i="93"/>
  <c r="U1993" i="93"/>
  <c r="U1983" i="93"/>
  <c r="U1973" i="93"/>
  <c r="U1961" i="93"/>
  <c r="U1951" i="93"/>
  <c r="U1941" i="93"/>
  <c r="U1929" i="93"/>
  <c r="U1919" i="93"/>
  <c r="U1909" i="93"/>
  <c r="U1897" i="93"/>
  <c r="U1887" i="93"/>
  <c r="U1877" i="93"/>
  <c r="U1865" i="93"/>
  <c r="U1855" i="93"/>
  <c r="U1845" i="93"/>
  <c r="U1833" i="93"/>
  <c r="U1823" i="93"/>
  <c r="U1813" i="93"/>
  <c r="U1801" i="93"/>
  <c r="U1791" i="93"/>
  <c r="U1783" i="93"/>
  <c r="U1775" i="93"/>
  <c r="U1767" i="93"/>
  <c r="U1759" i="93"/>
  <c r="U1751" i="93"/>
  <c r="U1743" i="93"/>
  <c r="U1735" i="93"/>
  <c r="U1727" i="93"/>
  <c r="U1719" i="93"/>
  <c r="U1711" i="93"/>
  <c r="U1703" i="93"/>
  <c r="U1695" i="93"/>
  <c r="U1687" i="93"/>
  <c r="U1679" i="93"/>
  <c r="U1671" i="93"/>
  <c r="U1663" i="93"/>
  <c r="U1655" i="93"/>
  <c r="U1647" i="93"/>
  <c r="U1639" i="93"/>
  <c r="U1631" i="93"/>
  <c r="U1623" i="93"/>
  <c r="U1615" i="93"/>
  <c r="U1607" i="93"/>
  <c r="U2456" i="93"/>
  <c r="U2441" i="93"/>
  <c r="U2430" i="93"/>
  <c r="U2416" i="93"/>
  <c r="U2405" i="93"/>
  <c r="U2391" i="93"/>
  <c r="U2377" i="93"/>
  <c r="U2366" i="93"/>
  <c r="U2352" i="93"/>
  <c r="U2341" i="93"/>
  <c r="U2327" i="93"/>
  <c r="U2313" i="93"/>
  <c r="U2302" i="93"/>
  <c r="U2290" i="93"/>
  <c r="U2280" i="93"/>
  <c r="U2270" i="93"/>
  <c r="U2258" i="93"/>
  <c r="U2248" i="93"/>
  <c r="U2238" i="93"/>
  <c r="U2226" i="93"/>
  <c r="U2216" i="93"/>
  <c r="U2206" i="93"/>
  <c r="U2194" i="93"/>
  <c r="U2184" i="93"/>
  <c r="U2174" i="93"/>
  <c r="U2162" i="93"/>
  <c r="U2152" i="93"/>
  <c r="U2142" i="93"/>
  <c r="U2130" i="93"/>
  <c r="U2120" i="93"/>
  <c r="U2110" i="93"/>
  <c r="U2098" i="93"/>
  <c r="U2088" i="93"/>
  <c r="U2078" i="93"/>
  <c r="U2066" i="93"/>
  <c r="U2056" i="93"/>
  <c r="U2046" i="93"/>
  <c r="U2034" i="93"/>
  <c r="U2024" i="93"/>
  <c r="U2014" i="93"/>
  <c r="U2002" i="93"/>
  <c r="U1992" i="93"/>
  <c r="U1982" i="93"/>
  <c r="U1970" i="93"/>
  <c r="U1960" i="93"/>
  <c r="U1950" i="93"/>
  <c r="U1938" i="93"/>
  <c r="U1928" i="93"/>
  <c r="U1918" i="93"/>
  <c r="U1906" i="93"/>
  <c r="U1896" i="93"/>
  <c r="U1886" i="93"/>
  <c r="U1874" i="93"/>
  <c r="U1864" i="93"/>
  <c r="U1854" i="93"/>
  <c r="U1842" i="93"/>
  <c r="U1832" i="93"/>
  <c r="U1822" i="93"/>
  <c r="U1810" i="93"/>
  <c r="U1800" i="93"/>
  <c r="U1790" i="93"/>
  <c r="U1782" i="93"/>
  <c r="U1774" i="93"/>
  <c r="U1766" i="93"/>
  <c r="U1758" i="93"/>
  <c r="U1750" i="93"/>
  <c r="U1742" i="93"/>
  <c r="U1734" i="93"/>
  <c r="U1726" i="93"/>
  <c r="U1718" i="93"/>
  <c r="U1710" i="93"/>
  <c r="U1702" i="93"/>
  <c r="U1694" i="93"/>
  <c r="U1686" i="93"/>
  <c r="U1678" i="93"/>
  <c r="U1670" i="93"/>
  <c r="U1662" i="93"/>
  <c r="U1654" i="93"/>
  <c r="U1646" i="93"/>
  <c r="U1638" i="93"/>
  <c r="U2455" i="93"/>
  <c r="U2440" i="93"/>
  <c r="U2429" i="93"/>
  <c r="U2415" i="93"/>
  <c r="U2401" i="93"/>
  <c r="U2390" i="93"/>
  <c r="U2376" i="93"/>
  <c r="U2365" i="93"/>
  <c r="U2351" i="93"/>
  <c r="U2337" i="93"/>
  <c r="U2326" i="93"/>
  <c r="U2312" i="93"/>
  <c r="U2301" i="93"/>
  <c r="U2289" i="93"/>
  <c r="U2279" i="93"/>
  <c r="U2269" i="93"/>
  <c r="U2257" i="93"/>
  <c r="U2247" i="93"/>
  <c r="U2237" i="93"/>
  <c r="U2225" i="93"/>
  <c r="U2215" i="93"/>
  <c r="U2205" i="93"/>
  <c r="U2193" i="93"/>
  <c r="U2183" i="93"/>
  <c r="U2173" i="93"/>
  <c r="U2161" i="93"/>
  <c r="U2151" i="93"/>
  <c r="U2141" i="93"/>
  <c r="U2129" i="93"/>
  <c r="U2119" i="93"/>
  <c r="U2109" i="93"/>
  <c r="U2097" i="93"/>
  <c r="U2087" i="93"/>
  <c r="U2077" i="93"/>
  <c r="U2065" i="93"/>
  <c r="U2055" i="93"/>
  <c r="U2045" i="93"/>
  <c r="U2033" i="93"/>
  <c r="U2023" i="93"/>
  <c r="U2013" i="93"/>
  <c r="U2001" i="93"/>
  <c r="U1991" i="93"/>
  <c r="U1981" i="93"/>
  <c r="U1969" i="93"/>
  <c r="U1959" i="93"/>
  <c r="U1949" i="93"/>
  <c r="U1937" i="93"/>
  <c r="U1927" i="93"/>
  <c r="U1917" i="93"/>
  <c r="U1905" i="93"/>
  <c r="U1895" i="93"/>
  <c r="U1885" i="93"/>
  <c r="U1873" i="93"/>
  <c r="U1863" i="93"/>
  <c r="U1853" i="93"/>
  <c r="U1841" i="93"/>
  <c r="U1831" i="93"/>
  <c r="U1821" i="93"/>
  <c r="U1809" i="93"/>
  <c r="U1799" i="93"/>
  <c r="U1789" i="93"/>
  <c r="U1781" i="93"/>
  <c r="U1773" i="93"/>
  <c r="U1765" i="93"/>
  <c r="U1757" i="93"/>
  <c r="U1749" i="93"/>
  <c r="U1741" i="93"/>
  <c r="U1733" i="93"/>
  <c r="U1725" i="93"/>
  <c r="U1717" i="93"/>
  <c r="U1709" i="93"/>
  <c r="U1701" i="93"/>
  <c r="U1693" i="93"/>
  <c r="U1685" i="93"/>
  <c r="U1677" i="93"/>
  <c r="U1669" i="93"/>
  <c r="U1661" i="93"/>
  <c r="U1653" i="93"/>
  <c r="U1645" i="93"/>
  <c r="U1637" i="93"/>
  <c r="U2469" i="93"/>
  <c r="U2453" i="93"/>
  <c r="U2439" i="93"/>
  <c r="U2425" i="93"/>
  <c r="U2414" i="93"/>
  <c r="U2400" i="93"/>
  <c r="U2389" i="93"/>
  <c r="U2375" i="93"/>
  <c r="U2361" i="93"/>
  <c r="U2350" i="93"/>
  <c r="U2336" i="93"/>
  <c r="U2325" i="93"/>
  <c r="U2311" i="93"/>
  <c r="U2298" i="93"/>
  <c r="U2288" i="93"/>
  <c r="U2278" i="93"/>
  <c r="U2266" i="93"/>
  <c r="U2256" i="93"/>
  <c r="U2246" i="93"/>
  <c r="U2234" i="93"/>
  <c r="U2224" i="93"/>
  <c r="U2214" i="93"/>
  <c r="U2202" i="93"/>
  <c r="U2192" i="93"/>
  <c r="U2182" i="93"/>
  <c r="U2170" i="93"/>
  <c r="U2160" i="93"/>
  <c r="U2150" i="93"/>
  <c r="U2138" i="93"/>
  <c r="U2128" i="93"/>
  <c r="U2118" i="93"/>
  <c r="U2106" i="93"/>
  <c r="U2096" i="93"/>
  <c r="U2086" i="93"/>
  <c r="U2074" i="93"/>
  <c r="U2064" i="93"/>
  <c r="U2054" i="93"/>
  <c r="U2042" i="93"/>
  <c r="U2032" i="93"/>
  <c r="U2022" i="93"/>
  <c r="U2010" i="93"/>
  <c r="U2000" i="93"/>
  <c r="U1990" i="93"/>
  <c r="U1978" i="93"/>
  <c r="U1968" i="93"/>
  <c r="U1958" i="93"/>
  <c r="U1946" i="93"/>
  <c r="U1936" i="93"/>
  <c r="U1926" i="93"/>
  <c r="U1914" i="93"/>
  <c r="U1904" i="93"/>
  <c r="U1894" i="93"/>
  <c r="U1882" i="93"/>
  <c r="U1872" i="93"/>
  <c r="U1862" i="93"/>
  <c r="U1850" i="93"/>
  <c r="U1840" i="93"/>
  <c r="U1830" i="93"/>
  <c r="U1818" i="93"/>
  <c r="U1808" i="93"/>
  <c r="U1798" i="93"/>
  <c r="U1788" i="93"/>
  <c r="U1780" i="93"/>
  <c r="U1772" i="93"/>
  <c r="U1764" i="93"/>
  <c r="U1756" i="93"/>
  <c r="U1748" i="93"/>
  <c r="U1740" i="93"/>
  <c r="U1732" i="93"/>
  <c r="U1724" i="93"/>
  <c r="U1716" i="93"/>
  <c r="U1708" i="93"/>
  <c r="U1700" i="93"/>
  <c r="U1692" i="93"/>
  <c r="U1684" i="93"/>
  <c r="U1676" i="93"/>
  <c r="U1668" i="93"/>
  <c r="U1660" i="93"/>
  <c r="U1652" i="93"/>
  <c r="U1644" i="93"/>
  <c r="U1636" i="93"/>
  <c r="U1628" i="93"/>
  <c r="U1620" i="93"/>
  <c r="U1612" i="93"/>
  <c r="U1604" i="93"/>
  <c r="U2465" i="93"/>
  <c r="U2449" i="93"/>
  <c r="U2438" i="93"/>
  <c r="U2424" i="93"/>
  <c r="U2413" i="93"/>
  <c r="U2399" i="93"/>
  <c r="U2385" i="93"/>
  <c r="U2374" i="93"/>
  <c r="U2360" i="93"/>
  <c r="U2349" i="93"/>
  <c r="U2335" i="93"/>
  <c r="U2321" i="93"/>
  <c r="U2310" i="93"/>
  <c r="U2297" i="93"/>
  <c r="U2287" i="93"/>
  <c r="U2277" i="93"/>
  <c r="U2265" i="93"/>
  <c r="U2255" i="93"/>
  <c r="U2245" i="93"/>
  <c r="U2233" i="93"/>
  <c r="U2223" i="93"/>
  <c r="U2213" i="93"/>
  <c r="U2201" i="93"/>
  <c r="U2191" i="93"/>
  <c r="U2181" i="93"/>
  <c r="U2169" i="93"/>
  <c r="U2159" i="93"/>
  <c r="U2149" i="93"/>
  <c r="U2137" i="93"/>
  <c r="U2127" i="93"/>
  <c r="U2117" i="93"/>
  <c r="U2105" i="93"/>
  <c r="U2095" i="93"/>
  <c r="U2085" i="93"/>
  <c r="U2073" i="93"/>
  <c r="U2063" i="93"/>
  <c r="U2053" i="93"/>
  <c r="U2041" i="93"/>
  <c r="U2031" i="93"/>
  <c r="U2021" i="93"/>
  <c r="U2009" i="93"/>
  <c r="U1999" i="93"/>
  <c r="U1989" i="93"/>
  <c r="U1977" i="93"/>
  <c r="U1967" i="93"/>
  <c r="U1957" i="93"/>
  <c r="U1945" i="93"/>
  <c r="U1935" i="93"/>
  <c r="U1925" i="93"/>
  <c r="U1913" i="93"/>
  <c r="U1903" i="93"/>
  <c r="U1893" i="93"/>
  <c r="U1881" i="93"/>
  <c r="U1871" i="93"/>
  <c r="U1861" i="93"/>
  <c r="U1849" i="93"/>
  <c r="U1839" i="93"/>
  <c r="U1829" i="93"/>
  <c r="U1817" i="93"/>
  <c r="U1807" i="93"/>
  <c r="U1797" i="93"/>
  <c r="U1787" i="93"/>
  <c r="U1779" i="93"/>
  <c r="U1771" i="93"/>
  <c r="U1763" i="93"/>
  <c r="U1755" i="93"/>
  <c r="U1747" i="93"/>
  <c r="U1739" i="93"/>
  <c r="U1731" i="93"/>
  <c r="U1723" i="93"/>
  <c r="U1715" i="93"/>
  <c r="U1707" i="93"/>
  <c r="U1699" i="93"/>
  <c r="U1691" i="93"/>
  <c r="U1683" i="93"/>
  <c r="U1675" i="93"/>
  <c r="U1667" i="93"/>
  <c r="U1659" i="93"/>
  <c r="U1651" i="93"/>
  <c r="U1643" i="93"/>
  <c r="U1635" i="93"/>
  <c r="U1627" i="93"/>
  <c r="U1619" i="93"/>
  <c r="U1611" i="93"/>
  <c r="U1603" i="93"/>
  <c r="U2464" i="93"/>
  <c r="U2448" i="93"/>
  <c r="U2437" i="93"/>
  <c r="U2423" i="93"/>
  <c r="U2409" i="93"/>
  <c r="U2398" i="93"/>
  <c r="U2384" i="93"/>
  <c r="U2373" i="93"/>
  <c r="U2359" i="93"/>
  <c r="U2345" i="93"/>
  <c r="U2334" i="93"/>
  <c r="U2320" i="93"/>
  <c r="U2309" i="93"/>
  <c r="U2296" i="93"/>
  <c r="U2286" i="93"/>
  <c r="U2274" i="93"/>
  <c r="U2264" i="93"/>
  <c r="U2254" i="93"/>
  <c r="U2242" i="93"/>
  <c r="U2232" i="93"/>
  <c r="U2222" i="93"/>
  <c r="U2210" i="93"/>
  <c r="U2200" i="93"/>
  <c r="U2190" i="93"/>
  <c r="U2178" i="93"/>
  <c r="U2168" i="93"/>
  <c r="U2158" i="93"/>
  <c r="U2146" i="93"/>
  <c r="U2136" i="93"/>
  <c r="U2126" i="93"/>
  <c r="U2114" i="93"/>
  <c r="U2104" i="93"/>
  <c r="U2094" i="93"/>
  <c r="U2082" i="93"/>
  <c r="U2072" i="93"/>
  <c r="U2062" i="93"/>
  <c r="U2050" i="93"/>
  <c r="U2040" i="93"/>
  <c r="U2030" i="93"/>
  <c r="U2018" i="93"/>
  <c r="U2008" i="93"/>
  <c r="U1998" i="93"/>
  <c r="U1986" i="93"/>
  <c r="U1976" i="93"/>
  <c r="U1966" i="93"/>
  <c r="U1954" i="93"/>
  <c r="U1944" i="93"/>
  <c r="U1934" i="93"/>
  <c r="U1922" i="93"/>
  <c r="U1912" i="93"/>
  <c r="U1902" i="93"/>
  <c r="U1890" i="93"/>
  <c r="U1880" i="93"/>
  <c r="U1870" i="93"/>
  <c r="U1858" i="93"/>
  <c r="U1848" i="93"/>
  <c r="U1838" i="93"/>
  <c r="U1826" i="93"/>
  <c r="U1816" i="93"/>
  <c r="U1806" i="93"/>
  <c r="U1794" i="93"/>
  <c r="U1786" i="93"/>
  <c r="U1778" i="93"/>
  <c r="U1770" i="93"/>
  <c r="U1762" i="93"/>
  <c r="U1754" i="93"/>
  <c r="U1746" i="93"/>
  <c r="U1738" i="93"/>
  <c r="U1730" i="93"/>
  <c r="U1722" i="93"/>
  <c r="U1714" i="93"/>
  <c r="U1706" i="93"/>
  <c r="U1698" i="93"/>
  <c r="U1690" i="93"/>
  <c r="U1682" i="93"/>
  <c r="U1674" i="93"/>
  <c r="U1666" i="93"/>
  <c r="U1658" i="93"/>
  <c r="U1650" i="93"/>
  <c r="U1642" i="93"/>
  <c r="U1634" i="93"/>
  <c r="U1626" i="93"/>
  <c r="U1618" i="93"/>
  <c r="U1610" i="93"/>
  <c r="U1602" i="93"/>
  <c r="U2463" i="93"/>
  <c r="U2447" i="93"/>
  <c r="U2433" i="93"/>
  <c r="U2422" i="93"/>
  <c r="U2408" i="93"/>
  <c r="U2397" i="93"/>
  <c r="U2383" i="93"/>
  <c r="U2369" i="93"/>
  <c r="U2358" i="93"/>
  <c r="U2344" i="93"/>
  <c r="U2333" i="93"/>
  <c r="U2319" i="93"/>
  <c r="U2305" i="93"/>
  <c r="U2295" i="93"/>
  <c r="U2285" i="93"/>
  <c r="U2273" i="93"/>
  <c r="U2263" i="93"/>
  <c r="U2253" i="93"/>
  <c r="U2241" i="93"/>
  <c r="U2231" i="93"/>
  <c r="U2221" i="93"/>
  <c r="U2209" i="93"/>
  <c r="U2199" i="93"/>
  <c r="U2189" i="93"/>
  <c r="U2177" i="93"/>
  <c r="U2167" i="93"/>
  <c r="U2157" i="93"/>
  <c r="U2145" i="93"/>
  <c r="U2135" i="93"/>
  <c r="U2125" i="93"/>
  <c r="U2113" i="93"/>
  <c r="U2103" i="93"/>
  <c r="U2093" i="93"/>
  <c r="U2081" i="93"/>
  <c r="U2071" i="93"/>
  <c r="U2061" i="93"/>
  <c r="U2049" i="93"/>
  <c r="U2039" i="93"/>
  <c r="U2029" i="93"/>
  <c r="U2017" i="93"/>
  <c r="U2007" i="93"/>
  <c r="U1997" i="93"/>
  <c r="U1985" i="93"/>
  <c r="U1975" i="93"/>
  <c r="U1965" i="93"/>
  <c r="U1953" i="93"/>
  <c r="U1943" i="93"/>
  <c r="U1933" i="93"/>
  <c r="U1921" i="93"/>
  <c r="U1911" i="93"/>
  <c r="U1901" i="93"/>
  <c r="U1889" i="93"/>
  <c r="U1879" i="93"/>
  <c r="U1869" i="93"/>
  <c r="U1857" i="93"/>
  <c r="U1847" i="93"/>
  <c r="U1837" i="93"/>
  <c r="U1825" i="93"/>
  <c r="U1815" i="93"/>
  <c r="U1805" i="93"/>
  <c r="U1793" i="93"/>
  <c r="U1785" i="93"/>
  <c r="U1777" i="93"/>
  <c r="U1769" i="93"/>
  <c r="U1761" i="93"/>
  <c r="U1753" i="93"/>
  <c r="U1745" i="93"/>
  <c r="U1737" i="93"/>
  <c r="U1729" i="93"/>
  <c r="U1721" i="93"/>
  <c r="U1713" i="93"/>
  <c r="U1705" i="93"/>
  <c r="U1697" i="93"/>
  <c r="U1689" i="93"/>
  <c r="U1681" i="93"/>
  <c r="U1673" i="93"/>
  <c r="U1665" i="93"/>
  <c r="U1657" i="93"/>
  <c r="U1649" i="93"/>
  <c r="U1641" i="93"/>
  <c r="U1633" i="93"/>
  <c r="U1625" i="93"/>
  <c r="U1617" i="93"/>
  <c r="U1609" i="93"/>
  <c r="U1601" i="93"/>
  <c r="U1606" i="93"/>
  <c r="U1594" i="93"/>
  <c r="U1586" i="93"/>
  <c r="U1578" i="93"/>
  <c r="U1570" i="93"/>
  <c r="U1562" i="93"/>
  <c r="U1554" i="93"/>
  <c r="U1546" i="93"/>
  <c r="U1538" i="93"/>
  <c r="U1530" i="93"/>
  <c r="U1522" i="93"/>
  <c r="U1514" i="93"/>
  <c r="U1506" i="93"/>
  <c r="U1498" i="93"/>
  <c r="U1490" i="93"/>
  <c r="U1482" i="93"/>
  <c r="U1474" i="93"/>
  <c r="U1466" i="93"/>
  <c r="U1458" i="93"/>
  <c r="U1450" i="93"/>
  <c r="U1442" i="93"/>
  <c r="U1434" i="93"/>
  <c r="U1426" i="93"/>
  <c r="U1418" i="93"/>
  <c r="U1410" i="93"/>
  <c r="U1402" i="93"/>
  <c r="U1394" i="93"/>
  <c r="U1386" i="93"/>
  <c r="U1378" i="93"/>
  <c r="U1370" i="93"/>
  <c r="U1362" i="93"/>
  <c r="U1354" i="93"/>
  <c r="U1346" i="93"/>
  <c r="U1338" i="93"/>
  <c r="U1330" i="93"/>
  <c r="U1322" i="93"/>
  <c r="U1314" i="93"/>
  <c r="U1306" i="93"/>
  <c r="U1298" i="93"/>
  <c r="U1290" i="93"/>
  <c r="U1282" i="93"/>
  <c r="U1274" i="93"/>
  <c r="U1266" i="93"/>
  <c r="U1258" i="93"/>
  <c r="U1250" i="93"/>
  <c r="U1242" i="93"/>
  <c r="U1234" i="93"/>
  <c r="U1226" i="93"/>
  <c r="U1218" i="93"/>
  <c r="U1210" i="93"/>
  <c r="U1202" i="93"/>
  <c r="U1194" i="93"/>
  <c r="U1186" i="93"/>
  <c r="U1178" i="93"/>
  <c r="U1170" i="93"/>
  <c r="U1162" i="93"/>
  <c r="U1154" i="93"/>
  <c r="U1146" i="93"/>
  <c r="U1138" i="93"/>
  <c r="U1130" i="93"/>
  <c r="U1122" i="93"/>
  <c r="U1114" i="93"/>
  <c r="U1106" i="93"/>
  <c r="U1098" i="93"/>
  <c r="U1090" i="93"/>
  <c r="U1082" i="93"/>
  <c r="U1074" i="93"/>
  <c r="U1066" i="93"/>
  <c r="U1058" i="93"/>
  <c r="U1050" i="93"/>
  <c r="U1042" i="93"/>
  <c r="U1034" i="93"/>
  <c r="U1026" i="93"/>
  <c r="U1018" i="93"/>
  <c r="U1010" i="93"/>
  <c r="U1002" i="93"/>
  <c r="U994" i="93"/>
  <c r="U986" i="93"/>
  <c r="U978" i="93"/>
  <c r="U970" i="93"/>
  <c r="U962" i="93"/>
  <c r="U954" i="93"/>
  <c r="U946" i="93"/>
  <c r="U938" i="93"/>
  <c r="U930" i="93"/>
  <c r="U1605" i="93"/>
  <c r="U1593" i="93"/>
  <c r="U1585" i="93"/>
  <c r="U1577" i="93"/>
  <c r="U1569" i="93"/>
  <c r="U1561" i="93"/>
  <c r="U1553" i="93"/>
  <c r="U1545" i="93"/>
  <c r="U1537" i="93"/>
  <c r="U1529" i="93"/>
  <c r="U1521" i="93"/>
  <c r="U1513" i="93"/>
  <c r="U1505" i="93"/>
  <c r="U1497" i="93"/>
  <c r="U1489" i="93"/>
  <c r="U1481" i="93"/>
  <c r="U1473" i="93"/>
  <c r="U1465" i="93"/>
  <c r="U1457" i="93"/>
  <c r="U1449" i="93"/>
  <c r="U1441" i="93"/>
  <c r="U1433" i="93"/>
  <c r="U1425" i="93"/>
  <c r="U1417" i="93"/>
  <c r="U1409" i="93"/>
  <c r="U1401" i="93"/>
  <c r="U1393" i="93"/>
  <c r="U1385" i="93"/>
  <c r="U1377" i="93"/>
  <c r="U1369" i="93"/>
  <c r="U1361" i="93"/>
  <c r="U1353" i="93"/>
  <c r="U1345" i="93"/>
  <c r="U1337" i="93"/>
  <c r="U1329" i="93"/>
  <c r="U1321" i="93"/>
  <c r="U1313" i="93"/>
  <c r="U1305" i="93"/>
  <c r="U1297" i="93"/>
  <c r="U1289" i="93"/>
  <c r="U1281" i="93"/>
  <c r="U1273" i="93"/>
  <c r="U1265" i="93"/>
  <c r="U1257" i="93"/>
  <c r="U1249" i="93"/>
  <c r="U1241" i="93"/>
  <c r="U1233" i="93"/>
  <c r="U1225" i="93"/>
  <c r="U1217" i="93"/>
  <c r="U1209" i="93"/>
  <c r="U1201" i="93"/>
  <c r="U1193" i="93"/>
  <c r="U1185" i="93"/>
  <c r="U1177" i="93"/>
  <c r="U1169" i="93"/>
  <c r="U1161" i="93"/>
  <c r="U1153" i="93"/>
  <c r="U1145" i="93"/>
  <c r="U1137" i="93"/>
  <c r="U1129" i="93"/>
  <c r="U1121" i="93"/>
  <c r="U1113" i="93"/>
  <c r="U1105" i="93"/>
  <c r="U1097" i="93"/>
  <c r="U1089" i="93"/>
  <c r="U1081" i="93"/>
  <c r="U1073" i="93"/>
  <c r="U1065" i="93"/>
  <c r="U1057" i="93"/>
  <c r="U1049" i="93"/>
  <c r="U1041" i="93"/>
  <c r="U1033" i="93"/>
  <c r="U1025" i="93"/>
  <c r="U1017" i="93"/>
  <c r="U1009" i="93"/>
  <c r="U1001" i="93"/>
  <c r="U993" i="93"/>
  <c r="U985" i="93"/>
  <c r="U977" i="93"/>
  <c r="U969" i="93"/>
  <c r="U961" i="93"/>
  <c r="U953" i="93"/>
  <c r="U945" i="93"/>
  <c r="U937" i="93"/>
  <c r="U929" i="93"/>
  <c r="U1630" i="93"/>
  <c r="U1600" i="93"/>
  <c r="U1592" i="93"/>
  <c r="U1584" i="93"/>
  <c r="U1576" i="93"/>
  <c r="U1568" i="93"/>
  <c r="U1560" i="93"/>
  <c r="U1552" i="93"/>
  <c r="U1544" i="93"/>
  <c r="U1536" i="93"/>
  <c r="U1528" i="93"/>
  <c r="U1520" i="93"/>
  <c r="U1512" i="93"/>
  <c r="U1504" i="93"/>
  <c r="U1496" i="93"/>
  <c r="U1488" i="93"/>
  <c r="U1480" i="93"/>
  <c r="U1472" i="93"/>
  <c r="U1464" i="93"/>
  <c r="U1456" i="93"/>
  <c r="U1448" i="93"/>
  <c r="U1440" i="93"/>
  <c r="U1432" i="93"/>
  <c r="U1424" i="93"/>
  <c r="U1416" i="93"/>
  <c r="U1408" i="93"/>
  <c r="U1400" i="93"/>
  <c r="U1392" i="93"/>
  <c r="U1384" i="93"/>
  <c r="U1376" i="93"/>
  <c r="U1368" i="93"/>
  <c r="U1360" i="93"/>
  <c r="U1352" i="93"/>
  <c r="U1344" i="93"/>
  <c r="U1336" i="93"/>
  <c r="U1328" i="93"/>
  <c r="U1320" i="93"/>
  <c r="U1312" i="93"/>
  <c r="U1304" i="93"/>
  <c r="U1296" i="93"/>
  <c r="U1288" i="93"/>
  <c r="U1280" i="93"/>
  <c r="U1272" i="93"/>
  <c r="U1264" i="93"/>
  <c r="U1256" i="93"/>
  <c r="U1248" i="93"/>
  <c r="U1240" i="93"/>
  <c r="U1232" i="93"/>
  <c r="U1224" i="93"/>
  <c r="U1216" i="93"/>
  <c r="U1208" i="93"/>
  <c r="U1200" i="93"/>
  <c r="U1192" i="93"/>
  <c r="U1184" i="93"/>
  <c r="U1176" i="93"/>
  <c r="U1168" i="93"/>
  <c r="U1160" i="93"/>
  <c r="U1152" i="93"/>
  <c r="U1144" i="93"/>
  <c r="U1136" i="93"/>
  <c r="U1128" i="93"/>
  <c r="U1120" i="93"/>
  <c r="U1112" i="93"/>
  <c r="U1104" i="93"/>
  <c r="U1096" i="93"/>
  <c r="U1088" i="93"/>
  <c r="U1080" i="93"/>
  <c r="U1072" i="93"/>
  <c r="U1064" i="93"/>
  <c r="U1056" i="93"/>
  <c r="U1048" i="93"/>
  <c r="U1040" i="93"/>
  <c r="U1032" i="93"/>
  <c r="U1024" i="93"/>
  <c r="U1016" i="93"/>
  <c r="U1008" i="93"/>
  <c r="U1000" i="93"/>
  <c r="U992" i="93"/>
  <c r="U984" i="93"/>
  <c r="U976" i="93"/>
  <c r="U968" i="93"/>
  <c r="U960" i="93"/>
  <c r="U952" i="93"/>
  <c r="U944" i="93"/>
  <c r="U936" i="93"/>
  <c r="U1629" i="93"/>
  <c r="U1599" i="93"/>
  <c r="U1591" i="93"/>
  <c r="U1583" i="93"/>
  <c r="U1575" i="93"/>
  <c r="U1567" i="93"/>
  <c r="U1559" i="93"/>
  <c r="U1551" i="93"/>
  <c r="U1543" i="93"/>
  <c r="U1535" i="93"/>
  <c r="U1527" i="93"/>
  <c r="U1519" i="93"/>
  <c r="U1511" i="93"/>
  <c r="U1503" i="93"/>
  <c r="U1495" i="93"/>
  <c r="U1487" i="93"/>
  <c r="U1479" i="93"/>
  <c r="U1471" i="93"/>
  <c r="U1463" i="93"/>
  <c r="U1455" i="93"/>
  <c r="U1447" i="93"/>
  <c r="U1439" i="93"/>
  <c r="U1431" i="93"/>
  <c r="U1423" i="93"/>
  <c r="U1415" i="93"/>
  <c r="U1407" i="93"/>
  <c r="U1399" i="93"/>
  <c r="U1391" i="93"/>
  <c r="U1383" i="93"/>
  <c r="U1375" i="93"/>
  <c r="U1367" i="93"/>
  <c r="U1359" i="93"/>
  <c r="U1351" i="93"/>
  <c r="U1343" i="93"/>
  <c r="U1335" i="93"/>
  <c r="U1327" i="93"/>
  <c r="U1319" i="93"/>
  <c r="U1311" i="93"/>
  <c r="U1303" i="93"/>
  <c r="U1295" i="93"/>
  <c r="U1287" i="93"/>
  <c r="U1279" i="93"/>
  <c r="U1271" i="93"/>
  <c r="U1263" i="93"/>
  <c r="U1255" i="93"/>
  <c r="U1247" i="93"/>
  <c r="U1239" i="93"/>
  <c r="U1231" i="93"/>
  <c r="U1223" i="93"/>
  <c r="U1215" i="93"/>
  <c r="U1207" i="93"/>
  <c r="U1199" i="93"/>
  <c r="U1191" i="93"/>
  <c r="U1183" i="93"/>
  <c r="U1175" i="93"/>
  <c r="U1167" i="93"/>
  <c r="U1159" i="93"/>
  <c r="U1151" i="93"/>
  <c r="U1143" i="93"/>
  <c r="U1135" i="93"/>
  <c r="U1127" i="93"/>
  <c r="U1119" i="93"/>
  <c r="U1111" i="93"/>
  <c r="U1103" i="93"/>
  <c r="U1095" i="93"/>
  <c r="U1087" i="93"/>
  <c r="U1079" i="93"/>
  <c r="U1071" i="93"/>
  <c r="U1063" i="93"/>
  <c r="U1055" i="93"/>
  <c r="U1047" i="93"/>
  <c r="U1039" i="93"/>
  <c r="U1031" i="93"/>
  <c r="U1023" i="93"/>
  <c r="U1015" i="93"/>
  <c r="U1007" i="93"/>
  <c r="U999" i="93"/>
  <c r="U991" i="93"/>
  <c r="U983" i="93"/>
  <c r="U975" i="93"/>
  <c r="U967" i="93"/>
  <c r="U959" i="93"/>
  <c r="U951" i="93"/>
  <c r="U943" i="93"/>
  <c r="U935" i="93"/>
  <c r="U1622" i="93"/>
  <c r="U1598" i="93"/>
  <c r="U1590" i="93"/>
  <c r="U1582" i="93"/>
  <c r="U1574" i="93"/>
  <c r="U1566" i="93"/>
  <c r="U1558" i="93"/>
  <c r="U1550" i="93"/>
  <c r="U1542" i="93"/>
  <c r="U1534" i="93"/>
  <c r="U1526" i="93"/>
  <c r="U1518" i="93"/>
  <c r="U1510" i="93"/>
  <c r="U1502" i="93"/>
  <c r="U1494" i="93"/>
  <c r="U1486" i="93"/>
  <c r="U1478" i="93"/>
  <c r="U1470" i="93"/>
  <c r="U1462" i="93"/>
  <c r="U1454" i="93"/>
  <c r="U1446" i="93"/>
  <c r="U1438" i="93"/>
  <c r="U1430" i="93"/>
  <c r="U1422" i="93"/>
  <c r="U1414" i="93"/>
  <c r="U1406" i="93"/>
  <c r="U1398" i="93"/>
  <c r="U1390" i="93"/>
  <c r="U1382" i="93"/>
  <c r="U1374" i="93"/>
  <c r="U1366" i="93"/>
  <c r="U1358" i="93"/>
  <c r="U1350" i="93"/>
  <c r="U1342" i="93"/>
  <c r="U1334" i="93"/>
  <c r="U1326" i="93"/>
  <c r="U1318" i="93"/>
  <c r="U1310" i="93"/>
  <c r="U1302" i="93"/>
  <c r="U1294" i="93"/>
  <c r="U1286" i="93"/>
  <c r="U1278" i="93"/>
  <c r="U1270" i="93"/>
  <c r="U1262" i="93"/>
  <c r="U1254" i="93"/>
  <c r="U1246" i="93"/>
  <c r="U1238" i="93"/>
  <c r="U1230" i="93"/>
  <c r="U1222" i="93"/>
  <c r="U1214" i="93"/>
  <c r="U1206" i="93"/>
  <c r="U1198" i="93"/>
  <c r="U1190" i="93"/>
  <c r="U1182" i="93"/>
  <c r="U1174" i="93"/>
  <c r="U1166" i="93"/>
  <c r="U1158" i="93"/>
  <c r="U1150" i="93"/>
  <c r="U1142" i="93"/>
  <c r="U1134" i="93"/>
  <c r="U1126" i="93"/>
  <c r="U1118" i="93"/>
  <c r="U1110" i="93"/>
  <c r="U1102" i="93"/>
  <c r="U1094" i="93"/>
  <c r="U1086" i="93"/>
  <c r="U1078" i="93"/>
  <c r="U1070" i="93"/>
  <c r="U1062" i="93"/>
  <c r="U1054" i="93"/>
  <c r="U1046" i="93"/>
  <c r="U1038" i="93"/>
  <c r="U1030" i="93"/>
  <c r="U1022" i="93"/>
  <c r="U1014" i="93"/>
  <c r="U1006" i="93"/>
  <c r="U998" i="93"/>
  <c r="U990" i="93"/>
  <c r="U982" i="93"/>
  <c r="U974" i="93"/>
  <c r="U966" i="93"/>
  <c r="U958" i="93"/>
  <c r="U950" i="93"/>
  <c r="U942" i="93"/>
  <c r="U934" i="93"/>
  <c r="U1621" i="93"/>
  <c r="U1597" i="93"/>
  <c r="U1589" i="93"/>
  <c r="U1581" i="93"/>
  <c r="U1573" i="93"/>
  <c r="U1565" i="93"/>
  <c r="U1557" i="93"/>
  <c r="U1549" i="93"/>
  <c r="U1541" i="93"/>
  <c r="U1533" i="93"/>
  <c r="U1525" i="93"/>
  <c r="U1517" i="93"/>
  <c r="U1509" i="93"/>
  <c r="U1501" i="93"/>
  <c r="U1493" i="93"/>
  <c r="U1485" i="93"/>
  <c r="U1477" i="93"/>
  <c r="U1469" i="93"/>
  <c r="U1461" i="93"/>
  <c r="U1453" i="93"/>
  <c r="U1445" i="93"/>
  <c r="U1437" i="93"/>
  <c r="U1429" i="93"/>
  <c r="U1421" i="93"/>
  <c r="U1413" i="93"/>
  <c r="U1405" i="93"/>
  <c r="U1397" i="93"/>
  <c r="U1389" i="93"/>
  <c r="U1381" i="93"/>
  <c r="U1373" i="93"/>
  <c r="U1365" i="93"/>
  <c r="U1357" i="93"/>
  <c r="U1349" i="93"/>
  <c r="U1341" i="93"/>
  <c r="U1333" i="93"/>
  <c r="U1325" i="93"/>
  <c r="U1317" i="93"/>
  <c r="U1309" i="93"/>
  <c r="U1301" i="93"/>
  <c r="U1293" i="93"/>
  <c r="U1285" i="93"/>
  <c r="U1277" i="93"/>
  <c r="U1269" i="93"/>
  <c r="U1261" i="93"/>
  <c r="U1253" i="93"/>
  <c r="U1245" i="93"/>
  <c r="U1237" i="93"/>
  <c r="U1229" i="93"/>
  <c r="U1221" i="93"/>
  <c r="U1213" i="93"/>
  <c r="U1205" i="93"/>
  <c r="U1197" i="93"/>
  <c r="U1189" i="93"/>
  <c r="U1181" i="93"/>
  <c r="U1173" i="93"/>
  <c r="U1165" i="93"/>
  <c r="U1157" i="93"/>
  <c r="U1149" i="93"/>
  <c r="U1141" i="93"/>
  <c r="U1133" i="93"/>
  <c r="U1125" i="93"/>
  <c r="U1117" i="93"/>
  <c r="U1109" i="93"/>
  <c r="U1101" i="93"/>
  <c r="U1093" i="93"/>
  <c r="U1085" i="93"/>
  <c r="U1077" i="93"/>
  <c r="U1069" i="93"/>
  <c r="U1061" i="93"/>
  <c r="U1053" i="93"/>
  <c r="U1045" i="93"/>
  <c r="U1037" i="93"/>
  <c r="U1029" i="93"/>
  <c r="U1021" i="93"/>
  <c r="U1013" i="93"/>
  <c r="U1005" i="93"/>
  <c r="U997" i="93"/>
  <c r="U989" i="93"/>
  <c r="U981" i="93"/>
  <c r="U973" i="93"/>
  <c r="U965" i="93"/>
  <c r="U957" i="93"/>
  <c r="U949" i="93"/>
  <c r="U941" i="93"/>
  <c r="U933" i="93"/>
  <c r="U1614" i="93"/>
  <c r="U1596" i="93"/>
  <c r="U1588" i="93"/>
  <c r="U1580" i="93"/>
  <c r="U1572" i="93"/>
  <c r="U1564" i="93"/>
  <c r="U1556" i="93"/>
  <c r="U1548" i="93"/>
  <c r="U1540" i="93"/>
  <c r="U1532" i="93"/>
  <c r="U1524" i="93"/>
  <c r="U1516" i="93"/>
  <c r="U1508" i="93"/>
  <c r="U1500" i="93"/>
  <c r="U1492" i="93"/>
  <c r="U1484" i="93"/>
  <c r="U1476" i="93"/>
  <c r="U1468" i="93"/>
  <c r="U1460" i="93"/>
  <c r="U1452" i="93"/>
  <c r="U1444" i="93"/>
  <c r="U1436" i="93"/>
  <c r="U1428" i="93"/>
  <c r="U1420" i="93"/>
  <c r="U1412" i="93"/>
  <c r="U1404" i="93"/>
  <c r="U1396" i="93"/>
  <c r="U1388" i="93"/>
  <c r="U1380" i="93"/>
  <c r="U1372" i="93"/>
  <c r="U1364" i="93"/>
  <c r="U1356" i="93"/>
  <c r="U1348" i="93"/>
  <c r="U1340" i="93"/>
  <c r="U1332" i="93"/>
  <c r="U1324" i="93"/>
  <c r="U1316" i="93"/>
  <c r="U1308" i="93"/>
  <c r="U1300" i="93"/>
  <c r="U1292" i="93"/>
  <c r="U1284" i="93"/>
  <c r="U1276" i="93"/>
  <c r="U1268" i="93"/>
  <c r="U1260" i="93"/>
  <c r="U1252" i="93"/>
  <c r="U1244" i="93"/>
  <c r="U1236" i="93"/>
  <c r="U1228" i="93"/>
  <c r="U1220" i="93"/>
  <c r="U1212" i="93"/>
  <c r="U1204" i="93"/>
  <c r="U1196" i="93"/>
  <c r="U1188" i="93"/>
  <c r="U1180" i="93"/>
  <c r="U1172" i="93"/>
  <c r="U1164" i="93"/>
  <c r="U1156" i="93"/>
  <c r="U1148" i="93"/>
  <c r="U1140" i="93"/>
  <c r="U1132" i="93"/>
  <c r="U1124" i="93"/>
  <c r="U1116" i="93"/>
  <c r="U1108" i="93"/>
  <c r="U1100" i="93"/>
  <c r="U1092" i="93"/>
  <c r="U1084" i="93"/>
  <c r="U1076" i="93"/>
  <c r="U1068" i="93"/>
  <c r="U1060" i="93"/>
  <c r="U1052" i="93"/>
  <c r="U1044" i="93"/>
  <c r="U1036" i="93"/>
  <c r="U1028" i="93"/>
  <c r="U1020" i="93"/>
  <c r="U1012" i="93"/>
  <c r="U1004" i="93"/>
  <c r="U996" i="93"/>
  <c r="U988" i="93"/>
  <c r="U980" i="93"/>
  <c r="U972" i="93"/>
  <c r="U964" i="93"/>
  <c r="U956" i="93"/>
  <c r="U948" i="93"/>
  <c r="U940" i="93"/>
  <c r="U932" i="93"/>
  <c r="U1613" i="93"/>
  <c r="U1595" i="93"/>
  <c r="U1587" i="93"/>
  <c r="U1579" i="93"/>
  <c r="U1571" i="93"/>
  <c r="U1563" i="93"/>
  <c r="U1555" i="93"/>
  <c r="U1547" i="93"/>
  <c r="U1539" i="93"/>
  <c r="U1531" i="93"/>
  <c r="U1523" i="93"/>
  <c r="U1515" i="93"/>
  <c r="U1507" i="93"/>
  <c r="U1499" i="93"/>
  <c r="U1491" i="93"/>
  <c r="U1483" i="93"/>
  <c r="U1475" i="93"/>
  <c r="U1467" i="93"/>
  <c r="U1459" i="93"/>
  <c r="U1451" i="93"/>
  <c r="U1443" i="93"/>
  <c r="U1435" i="93"/>
  <c r="U1427" i="93"/>
  <c r="U1419" i="93"/>
  <c r="U1411" i="93"/>
  <c r="U1403" i="93"/>
  <c r="U1395" i="93"/>
  <c r="U1387" i="93"/>
  <c r="U1379" i="93"/>
  <c r="U1371" i="93"/>
  <c r="U1363" i="93"/>
  <c r="U1355" i="93"/>
  <c r="U1347" i="93"/>
  <c r="U1339" i="93"/>
  <c r="U1331" i="93"/>
  <c r="U1323" i="93"/>
  <c r="U1315" i="93"/>
  <c r="U1307" i="93"/>
  <c r="U1299" i="93"/>
  <c r="U1291" i="93"/>
  <c r="U1283" i="93"/>
  <c r="U1275" i="93"/>
  <c r="U1267" i="93"/>
  <c r="U1259" i="93"/>
  <c r="U1251" i="93"/>
  <c r="U1243" i="93"/>
  <c r="U1235" i="93"/>
  <c r="U1227" i="93"/>
  <c r="U1219" i="93"/>
  <c r="U1211" i="93"/>
  <c r="U1203" i="93"/>
  <c r="U1195" i="93"/>
  <c r="U1187" i="93"/>
  <c r="U1179" i="93"/>
  <c r="U1171" i="93"/>
  <c r="U1163" i="93"/>
  <c r="U1155" i="93"/>
  <c r="U1147" i="93"/>
  <c r="U1139" i="93"/>
  <c r="U1131" i="93"/>
  <c r="U1123" i="93"/>
  <c r="U1115" i="93"/>
  <c r="U1107" i="93"/>
  <c r="U1099" i="93"/>
  <c r="U1091" i="93"/>
  <c r="U1083" i="93"/>
  <c r="U1075" i="93"/>
  <c r="U1067" i="93"/>
  <c r="U1059" i="93"/>
  <c r="U1051" i="93"/>
  <c r="U1043" i="93"/>
  <c r="U1035" i="93"/>
  <c r="U1027" i="93"/>
  <c r="U1019" i="93"/>
  <c r="U1011" i="93"/>
  <c r="U1003" i="93"/>
  <c r="U995" i="93"/>
  <c r="U987" i="93"/>
  <c r="U979" i="93"/>
  <c r="U971" i="93"/>
  <c r="U963" i="93"/>
  <c r="U955" i="93"/>
  <c r="U947" i="93"/>
  <c r="U939" i="93"/>
  <c r="U931" i="93"/>
  <c r="U922" i="93"/>
  <c r="U914" i="93"/>
  <c r="U906" i="93"/>
  <c r="U898" i="93"/>
  <c r="U890" i="93"/>
  <c r="U882" i="93"/>
  <c r="U874" i="93"/>
  <c r="U866" i="93"/>
  <c r="U858" i="93"/>
  <c r="U850" i="93"/>
  <c r="U842" i="93"/>
  <c r="U834" i="93"/>
  <c r="U826" i="93"/>
  <c r="U818" i="93"/>
  <c r="U810" i="93"/>
  <c r="U802" i="93"/>
  <c r="U794" i="93"/>
  <c r="U786" i="93"/>
  <c r="U778" i="93"/>
  <c r="U770" i="93"/>
  <c r="U762" i="93"/>
  <c r="U754" i="93"/>
  <c r="U746" i="93"/>
  <c r="U738" i="93"/>
  <c r="U730" i="93"/>
  <c r="U722" i="93"/>
  <c r="U714" i="93"/>
  <c r="U706" i="93"/>
  <c r="U698" i="93"/>
  <c r="U690" i="93"/>
  <c r="U682" i="93"/>
  <c r="U674" i="93"/>
  <c r="U666" i="93"/>
  <c r="U658" i="93"/>
  <c r="U650" i="93"/>
  <c r="U642" i="93"/>
  <c r="U634" i="93"/>
  <c r="U626" i="93"/>
  <c r="U618" i="93"/>
  <c r="U610" i="93"/>
  <c r="U602" i="93"/>
  <c r="U594" i="93"/>
  <c r="U586" i="93"/>
  <c r="U578" i="93"/>
  <c r="U570" i="93"/>
  <c r="U562" i="93"/>
  <c r="U554" i="93"/>
  <c r="U546" i="93"/>
  <c r="U538" i="93"/>
  <c r="U530" i="93"/>
  <c r="U522" i="93"/>
  <c r="U514" i="93"/>
  <c r="U506" i="93"/>
  <c r="U498" i="93"/>
  <c r="U490" i="93"/>
  <c r="U482" i="93"/>
  <c r="U474" i="93"/>
  <c r="U466" i="93"/>
  <c r="U458" i="93"/>
  <c r="U450" i="93"/>
  <c r="U442" i="93"/>
  <c r="U434" i="93"/>
  <c r="U426" i="93"/>
  <c r="U418" i="93"/>
  <c r="U410" i="93"/>
  <c r="U402" i="93"/>
  <c r="U394" i="93"/>
  <c r="U386" i="93"/>
  <c r="U378" i="93"/>
  <c r="U370" i="93"/>
  <c r="U362" i="93"/>
  <c r="U354" i="93"/>
  <c r="U346" i="93"/>
  <c r="U338" i="93"/>
  <c r="U330" i="93"/>
  <c r="U322" i="93"/>
  <c r="U314" i="93"/>
  <c r="U306" i="93"/>
  <c r="U298" i="93"/>
  <c r="U290" i="93"/>
  <c r="U282" i="93"/>
  <c r="U274" i="93"/>
  <c r="U266" i="93"/>
  <c r="U258" i="93"/>
  <c r="U250" i="93"/>
  <c r="U921" i="93"/>
  <c r="U913" i="93"/>
  <c r="U905" i="93"/>
  <c r="U897" i="93"/>
  <c r="U889" i="93"/>
  <c r="U881" i="93"/>
  <c r="U873" i="93"/>
  <c r="U865" i="93"/>
  <c r="U857" i="93"/>
  <c r="U849" i="93"/>
  <c r="U841" i="93"/>
  <c r="U833" i="93"/>
  <c r="U825" i="93"/>
  <c r="U817" i="93"/>
  <c r="U809" i="93"/>
  <c r="U801" i="93"/>
  <c r="U793" i="93"/>
  <c r="U785" i="93"/>
  <c r="U777" i="93"/>
  <c r="U769" i="93"/>
  <c r="U761" i="93"/>
  <c r="U753" i="93"/>
  <c r="U745" i="93"/>
  <c r="U737" i="93"/>
  <c r="U729" i="93"/>
  <c r="U721" i="93"/>
  <c r="U713" i="93"/>
  <c r="U705" i="93"/>
  <c r="U697" i="93"/>
  <c r="U689" i="93"/>
  <c r="U681" i="93"/>
  <c r="U673" i="93"/>
  <c r="U665" i="93"/>
  <c r="U657" i="93"/>
  <c r="U649" i="93"/>
  <c r="U641" i="93"/>
  <c r="U633" i="93"/>
  <c r="U625" i="93"/>
  <c r="U617" i="93"/>
  <c r="U609" i="93"/>
  <c r="U601" i="93"/>
  <c r="U593" i="93"/>
  <c r="U585" i="93"/>
  <c r="U577" i="93"/>
  <c r="U569" i="93"/>
  <c r="U561" i="93"/>
  <c r="U553" i="93"/>
  <c r="U545" i="93"/>
  <c r="U537" i="93"/>
  <c r="U529" i="93"/>
  <c r="U521" i="93"/>
  <c r="U513" i="93"/>
  <c r="U505" i="93"/>
  <c r="U497" i="93"/>
  <c r="U489" i="93"/>
  <c r="U481" i="93"/>
  <c r="U473" i="93"/>
  <c r="U465" i="93"/>
  <c r="U457" i="93"/>
  <c r="U449" i="93"/>
  <c r="U441" i="93"/>
  <c r="U433" i="93"/>
  <c r="U425" i="93"/>
  <c r="U417" i="93"/>
  <c r="U409" i="93"/>
  <c r="U401" i="93"/>
  <c r="U393" i="93"/>
  <c r="U385" i="93"/>
  <c r="U377" i="93"/>
  <c r="U369" i="93"/>
  <c r="U361" i="93"/>
  <c r="U353" i="93"/>
  <c r="U345" i="93"/>
  <c r="U337" i="93"/>
  <c r="U329" i="93"/>
  <c r="U321" i="93"/>
  <c r="U313" i="93"/>
  <c r="U305" i="93"/>
  <c r="U297" i="93"/>
  <c r="U289" i="93"/>
  <c r="U281" i="93"/>
  <c r="U273" i="93"/>
  <c r="U265" i="93"/>
  <c r="U257" i="93"/>
  <c r="U249" i="93"/>
  <c r="U928" i="93"/>
  <c r="U920" i="93"/>
  <c r="U912" i="93"/>
  <c r="U904" i="93"/>
  <c r="U896" i="93"/>
  <c r="U888" i="93"/>
  <c r="U880" i="93"/>
  <c r="U872" i="93"/>
  <c r="U864" i="93"/>
  <c r="U856" i="93"/>
  <c r="U848" i="93"/>
  <c r="U840" i="93"/>
  <c r="U832" i="93"/>
  <c r="U824" i="93"/>
  <c r="U816" i="93"/>
  <c r="U808" i="93"/>
  <c r="U800" i="93"/>
  <c r="U792" i="93"/>
  <c r="U784" i="93"/>
  <c r="U776" i="93"/>
  <c r="U768" i="93"/>
  <c r="U760" i="93"/>
  <c r="U752" i="93"/>
  <c r="U744" i="93"/>
  <c r="U736" i="93"/>
  <c r="U728" i="93"/>
  <c r="U720" i="93"/>
  <c r="U712" i="93"/>
  <c r="U704" i="93"/>
  <c r="U696" i="93"/>
  <c r="U688" i="93"/>
  <c r="U680" i="93"/>
  <c r="U672" i="93"/>
  <c r="U664" i="93"/>
  <c r="U656" i="93"/>
  <c r="U648" i="93"/>
  <c r="U640" i="93"/>
  <c r="U632" i="93"/>
  <c r="U624" i="93"/>
  <c r="U616" i="93"/>
  <c r="U608" i="93"/>
  <c r="U600" i="93"/>
  <c r="U592" i="93"/>
  <c r="U584" i="93"/>
  <c r="U576" i="93"/>
  <c r="U568" i="93"/>
  <c r="U560" i="93"/>
  <c r="U552" i="93"/>
  <c r="U544" i="93"/>
  <c r="U536" i="93"/>
  <c r="U528" i="93"/>
  <c r="U520" i="93"/>
  <c r="U512" i="93"/>
  <c r="U504" i="93"/>
  <c r="U496" i="93"/>
  <c r="U488" i="93"/>
  <c r="U480" i="93"/>
  <c r="U472" i="93"/>
  <c r="U464" i="93"/>
  <c r="U456" i="93"/>
  <c r="U448" i="93"/>
  <c r="U440" i="93"/>
  <c r="U432" i="93"/>
  <c r="U424" i="93"/>
  <c r="U416" i="93"/>
  <c r="U408" i="93"/>
  <c r="U400" i="93"/>
  <c r="U392" i="93"/>
  <c r="U384" i="93"/>
  <c r="U376" i="93"/>
  <c r="U368" i="93"/>
  <c r="U360" i="93"/>
  <c r="U352" i="93"/>
  <c r="U344" i="93"/>
  <c r="U336" i="93"/>
  <c r="U328" i="93"/>
  <c r="U320" i="93"/>
  <c r="U312" i="93"/>
  <c r="U304" i="93"/>
  <c r="U296" i="93"/>
  <c r="U288" i="93"/>
  <c r="U280" i="93"/>
  <c r="U272" i="93"/>
  <c r="U264" i="93"/>
  <c r="U256" i="93"/>
  <c r="U927" i="93"/>
  <c r="U919" i="93"/>
  <c r="U911" i="93"/>
  <c r="U903" i="93"/>
  <c r="U895" i="93"/>
  <c r="U887" i="93"/>
  <c r="U879" i="93"/>
  <c r="U871" i="93"/>
  <c r="U863" i="93"/>
  <c r="U855" i="93"/>
  <c r="U847" i="93"/>
  <c r="U839" i="93"/>
  <c r="U831" i="93"/>
  <c r="U823" i="93"/>
  <c r="U815" i="93"/>
  <c r="U807" i="93"/>
  <c r="U799" i="93"/>
  <c r="U791" i="93"/>
  <c r="U783" i="93"/>
  <c r="U775" i="93"/>
  <c r="U767" i="93"/>
  <c r="U759" i="93"/>
  <c r="U751" i="93"/>
  <c r="U743" i="93"/>
  <c r="U735" i="93"/>
  <c r="U727" i="93"/>
  <c r="U719" i="93"/>
  <c r="U711" i="93"/>
  <c r="U703" i="93"/>
  <c r="U695" i="93"/>
  <c r="U687" i="93"/>
  <c r="U679" i="93"/>
  <c r="U671" i="93"/>
  <c r="U663" i="93"/>
  <c r="U655" i="93"/>
  <c r="U647" i="93"/>
  <c r="U639" i="93"/>
  <c r="U631" i="93"/>
  <c r="U623" i="93"/>
  <c r="U615" i="93"/>
  <c r="U607" i="93"/>
  <c r="U599" i="93"/>
  <c r="U591" i="93"/>
  <c r="U583" i="93"/>
  <c r="U575" i="93"/>
  <c r="U567" i="93"/>
  <c r="U559" i="93"/>
  <c r="U551" i="93"/>
  <c r="U543" i="93"/>
  <c r="U535" i="93"/>
  <c r="U527" i="93"/>
  <c r="U519" i="93"/>
  <c r="U511" i="93"/>
  <c r="U503" i="93"/>
  <c r="U495" i="93"/>
  <c r="U487" i="93"/>
  <c r="U479" i="93"/>
  <c r="U471" i="93"/>
  <c r="U463" i="93"/>
  <c r="U455" i="93"/>
  <c r="U447" i="93"/>
  <c r="U439" i="93"/>
  <c r="U431" i="93"/>
  <c r="U423" i="93"/>
  <c r="U415" i="93"/>
  <c r="U407" i="93"/>
  <c r="U399" i="93"/>
  <c r="U391" i="93"/>
  <c r="U383" i="93"/>
  <c r="U375" i="93"/>
  <c r="U367" i="93"/>
  <c r="U359" i="93"/>
  <c r="U351" i="93"/>
  <c r="U343" i="93"/>
  <c r="U335" i="93"/>
  <c r="U327" i="93"/>
  <c r="U319" i="93"/>
  <c r="U311" i="93"/>
  <c r="U303" i="93"/>
  <c r="U295" i="93"/>
  <c r="U287" i="93"/>
  <c r="U279" i="93"/>
  <c r="U271" i="93"/>
  <c r="U263" i="93"/>
  <c r="U255" i="93"/>
  <c r="U926" i="93"/>
  <c r="U918" i="93"/>
  <c r="U910" i="93"/>
  <c r="U902" i="93"/>
  <c r="U894" i="93"/>
  <c r="U886" i="93"/>
  <c r="U878" i="93"/>
  <c r="U870" i="93"/>
  <c r="U862" i="93"/>
  <c r="U854" i="93"/>
  <c r="U846" i="93"/>
  <c r="U838" i="93"/>
  <c r="U830" i="93"/>
  <c r="U822" i="93"/>
  <c r="U814" i="93"/>
  <c r="U806" i="93"/>
  <c r="U798" i="93"/>
  <c r="U790" i="93"/>
  <c r="U782" i="93"/>
  <c r="U774" i="93"/>
  <c r="U766" i="93"/>
  <c r="U758" i="93"/>
  <c r="U750" i="93"/>
  <c r="U742" i="93"/>
  <c r="U734" i="93"/>
  <c r="U726" i="93"/>
  <c r="U718" i="93"/>
  <c r="U710" i="93"/>
  <c r="U702" i="93"/>
  <c r="U694" i="93"/>
  <c r="U686" i="93"/>
  <c r="U678" i="93"/>
  <c r="U670" i="93"/>
  <c r="U662" i="93"/>
  <c r="U654" i="93"/>
  <c r="U646" i="93"/>
  <c r="U638" i="93"/>
  <c r="U630" i="93"/>
  <c r="U622" i="93"/>
  <c r="U614" i="93"/>
  <c r="U606" i="93"/>
  <c r="U598" i="93"/>
  <c r="U590" i="93"/>
  <c r="U582" i="93"/>
  <c r="U574" i="93"/>
  <c r="U566" i="93"/>
  <c r="U558" i="93"/>
  <c r="U550" i="93"/>
  <c r="U542" i="93"/>
  <c r="U534" i="93"/>
  <c r="U526" i="93"/>
  <c r="U518" i="93"/>
  <c r="U510" i="93"/>
  <c r="U502" i="93"/>
  <c r="U494" i="93"/>
  <c r="U486" i="93"/>
  <c r="U478" i="93"/>
  <c r="U470" i="93"/>
  <c r="U462" i="93"/>
  <c r="U454" i="93"/>
  <c r="U446" i="93"/>
  <c r="U438" i="93"/>
  <c r="U430" i="93"/>
  <c r="U422" i="93"/>
  <c r="U414" i="93"/>
  <c r="U406" i="93"/>
  <c r="U398" i="93"/>
  <c r="U390" i="93"/>
  <c r="U382" i="93"/>
  <c r="U374" i="93"/>
  <c r="U366" i="93"/>
  <c r="U358" i="93"/>
  <c r="U350" i="93"/>
  <c r="U342" i="93"/>
  <c r="U334" i="93"/>
  <c r="U326" i="93"/>
  <c r="U318" i="93"/>
  <c r="U310" i="93"/>
  <c r="U302" i="93"/>
  <c r="U294" i="93"/>
  <c r="U286" i="93"/>
  <c r="U278" i="93"/>
  <c r="U270" i="93"/>
  <c r="U262" i="93"/>
  <c r="U254" i="93"/>
  <c r="U246" i="93"/>
  <c r="U925" i="93"/>
  <c r="U917" i="93"/>
  <c r="U909" i="93"/>
  <c r="U901" i="93"/>
  <c r="U893" i="93"/>
  <c r="U885" i="93"/>
  <c r="U877" i="93"/>
  <c r="U869" i="93"/>
  <c r="U861" i="93"/>
  <c r="U853" i="93"/>
  <c r="U845" i="93"/>
  <c r="U837" i="93"/>
  <c r="U829" i="93"/>
  <c r="U821" i="93"/>
  <c r="U813" i="93"/>
  <c r="U805" i="93"/>
  <c r="U797" i="93"/>
  <c r="U789" i="93"/>
  <c r="U781" i="93"/>
  <c r="U773" i="93"/>
  <c r="U765" i="93"/>
  <c r="U757" i="93"/>
  <c r="U749" i="93"/>
  <c r="U741" i="93"/>
  <c r="U733" i="93"/>
  <c r="U725" i="93"/>
  <c r="U717" i="93"/>
  <c r="U709" i="93"/>
  <c r="U701" i="93"/>
  <c r="U693" i="93"/>
  <c r="U685" i="93"/>
  <c r="U677" i="93"/>
  <c r="U669" i="93"/>
  <c r="U661" i="93"/>
  <c r="U653" i="93"/>
  <c r="U645" i="93"/>
  <c r="U637" i="93"/>
  <c r="U629" i="93"/>
  <c r="U621" i="93"/>
  <c r="U613" i="93"/>
  <c r="U605" i="93"/>
  <c r="U597" i="93"/>
  <c r="U589" i="93"/>
  <c r="U581" i="93"/>
  <c r="U573" i="93"/>
  <c r="U565" i="93"/>
  <c r="U557" i="93"/>
  <c r="U549" i="93"/>
  <c r="U541" i="93"/>
  <c r="U533" i="93"/>
  <c r="U525" i="93"/>
  <c r="U517" i="93"/>
  <c r="U509" i="93"/>
  <c r="U501" i="93"/>
  <c r="U493" i="93"/>
  <c r="U485" i="93"/>
  <c r="U477" i="93"/>
  <c r="U469" i="93"/>
  <c r="U461" i="93"/>
  <c r="U453" i="93"/>
  <c r="U445" i="93"/>
  <c r="U437" i="93"/>
  <c r="U429" i="93"/>
  <c r="U421" i="93"/>
  <c r="U413" i="93"/>
  <c r="U405" i="93"/>
  <c r="U397" i="93"/>
  <c r="U389" i="93"/>
  <c r="U381" i="93"/>
  <c r="U373" i="93"/>
  <c r="U365" i="93"/>
  <c r="U357" i="93"/>
  <c r="U349" i="93"/>
  <c r="U341" i="93"/>
  <c r="U333" i="93"/>
  <c r="U325" i="93"/>
  <c r="U317" i="93"/>
  <c r="U309" i="93"/>
  <c r="U301" i="93"/>
  <c r="U293" i="93"/>
  <c r="U285" i="93"/>
  <c r="U277" i="93"/>
  <c r="U269" i="93"/>
  <c r="U261" i="93"/>
  <c r="U253" i="93"/>
  <c r="U924" i="93"/>
  <c r="U916" i="93"/>
  <c r="U908" i="93"/>
  <c r="U900" i="93"/>
  <c r="U892" i="93"/>
  <c r="U884" i="93"/>
  <c r="U876" i="93"/>
  <c r="U868" i="93"/>
  <c r="U860" i="93"/>
  <c r="U852" i="93"/>
  <c r="U844" i="93"/>
  <c r="U836" i="93"/>
  <c r="U828" i="93"/>
  <c r="U820" i="93"/>
  <c r="U812" i="93"/>
  <c r="U804" i="93"/>
  <c r="U796" i="93"/>
  <c r="U788" i="93"/>
  <c r="U780" i="93"/>
  <c r="U772" i="93"/>
  <c r="U764" i="93"/>
  <c r="U756" i="93"/>
  <c r="U748" i="93"/>
  <c r="U740" i="93"/>
  <c r="U732" i="93"/>
  <c r="U724" i="93"/>
  <c r="U716" i="93"/>
  <c r="U708" i="93"/>
  <c r="U700" i="93"/>
  <c r="U692" i="93"/>
  <c r="U684" i="93"/>
  <c r="U676" i="93"/>
  <c r="U668" i="93"/>
  <c r="U660" i="93"/>
  <c r="U652" i="93"/>
  <c r="U644" i="93"/>
  <c r="U636" i="93"/>
  <c r="U628" i="93"/>
  <c r="U620" i="93"/>
  <c r="U612" i="93"/>
  <c r="U604" i="93"/>
  <c r="U596" i="93"/>
  <c r="U588" i="93"/>
  <c r="U580" i="93"/>
  <c r="U572" i="93"/>
  <c r="U564" i="93"/>
  <c r="U556" i="93"/>
  <c r="U548" i="93"/>
  <c r="U540" i="93"/>
  <c r="U532" i="93"/>
  <c r="U524" i="93"/>
  <c r="U516" i="93"/>
  <c r="U508" i="93"/>
  <c r="U500" i="93"/>
  <c r="U492" i="93"/>
  <c r="U484" i="93"/>
  <c r="U476" i="93"/>
  <c r="U468" i="93"/>
  <c r="U460" i="93"/>
  <c r="U452" i="93"/>
  <c r="U444" i="93"/>
  <c r="U436" i="93"/>
  <c r="U428" i="93"/>
  <c r="U420" i="93"/>
  <c r="U412" i="93"/>
  <c r="U404" i="93"/>
  <c r="U396" i="93"/>
  <c r="U388" i="93"/>
  <c r="U380" i="93"/>
  <c r="U372" i="93"/>
  <c r="U364" i="93"/>
  <c r="U356" i="93"/>
  <c r="U348" i="93"/>
  <c r="U340" i="93"/>
  <c r="U332" i="93"/>
  <c r="U324" i="93"/>
  <c r="U316" i="93"/>
  <c r="U308" i="93"/>
  <c r="U300" i="93"/>
  <c r="U292" i="93"/>
  <c r="U284" i="93"/>
  <c r="U276" i="93"/>
  <c r="U268" i="93"/>
  <c r="U260" i="93"/>
  <c r="U252" i="93"/>
  <c r="U923" i="93"/>
  <c r="U915" i="93"/>
  <c r="U907" i="93"/>
  <c r="U899" i="93"/>
  <c r="U891" i="93"/>
  <c r="U883" i="93"/>
  <c r="U875" i="93"/>
  <c r="U867" i="93"/>
  <c r="U859" i="93"/>
  <c r="U851" i="93"/>
  <c r="U843" i="93"/>
  <c r="U835" i="93"/>
  <c r="U827" i="93"/>
  <c r="U819" i="93"/>
  <c r="U811" i="93"/>
  <c r="U803" i="93"/>
  <c r="U795" i="93"/>
  <c r="U787" i="93"/>
  <c r="U779" i="93"/>
  <c r="U771" i="93"/>
  <c r="U763" i="93"/>
  <c r="U755" i="93"/>
  <c r="U747" i="93"/>
  <c r="U739" i="93"/>
  <c r="U731" i="93"/>
  <c r="U723" i="93"/>
  <c r="U715" i="93"/>
  <c r="U707" i="93"/>
  <c r="U699" i="93"/>
  <c r="U691" i="93"/>
  <c r="U683" i="93"/>
  <c r="U675" i="93"/>
  <c r="U667" i="93"/>
  <c r="U659" i="93"/>
  <c r="U651" i="93"/>
  <c r="U643" i="93"/>
  <c r="U635" i="93"/>
  <c r="U627" i="93"/>
  <c r="U619" i="93"/>
  <c r="U611" i="93"/>
  <c r="U603" i="93"/>
  <c r="U595" i="93"/>
  <c r="U587" i="93"/>
  <c r="U579" i="93"/>
  <c r="U571" i="93"/>
  <c r="U563" i="93"/>
  <c r="U555" i="93"/>
  <c r="U547" i="93"/>
  <c r="U539" i="93"/>
  <c r="U531" i="93"/>
  <c r="U523" i="93"/>
  <c r="U515" i="93"/>
  <c r="U507" i="93"/>
  <c r="U499" i="93"/>
  <c r="U491" i="93"/>
  <c r="U483" i="93"/>
  <c r="U475" i="93"/>
  <c r="U467" i="93"/>
  <c r="U459" i="93"/>
  <c r="U451" i="93"/>
  <c r="U443" i="93"/>
  <c r="U435" i="93"/>
  <c r="U427" i="93"/>
  <c r="U419" i="93"/>
  <c r="U411" i="93"/>
  <c r="U403" i="93"/>
  <c r="U395" i="93"/>
  <c r="U387" i="93"/>
  <c r="U379" i="93"/>
  <c r="U371" i="93"/>
  <c r="U363" i="93"/>
  <c r="U355" i="93"/>
  <c r="U347" i="93"/>
  <c r="U339" i="93"/>
  <c r="U331" i="93"/>
  <c r="U323" i="93"/>
  <c r="U315" i="93"/>
  <c r="U307" i="93"/>
  <c r="U299" i="93"/>
  <c r="U291" i="93"/>
  <c r="U283" i="93"/>
  <c r="U275" i="93"/>
  <c r="U267" i="93"/>
  <c r="U259" i="93"/>
  <c r="U251" i="93"/>
  <c r="U9" i="93"/>
  <c r="U17" i="93"/>
  <c r="U25" i="93"/>
  <c r="U33" i="93"/>
  <c r="U41" i="93"/>
  <c r="U49" i="93"/>
  <c r="U57" i="93"/>
  <c r="U65" i="93"/>
  <c r="U73" i="93"/>
  <c r="U81" i="93"/>
  <c r="U89" i="93"/>
  <c r="U97" i="93"/>
  <c r="U105" i="93"/>
  <c r="U113" i="93"/>
  <c r="U121" i="93"/>
  <c r="U129" i="93"/>
  <c r="U137" i="93"/>
  <c r="U145" i="93"/>
  <c r="U153" i="93"/>
  <c r="U161" i="93"/>
  <c r="U169" i="93"/>
  <c r="U177" i="93"/>
  <c r="U185" i="93"/>
  <c r="U193" i="93"/>
  <c r="U201" i="93"/>
  <c r="U209" i="93"/>
  <c r="U217" i="93"/>
  <c r="U225" i="93"/>
  <c r="U233" i="93"/>
  <c r="U241" i="93"/>
  <c r="AH3" i="93"/>
  <c r="AG5" i="93"/>
  <c r="C79" i="93"/>
  <c r="O6" i="93"/>
  <c r="O5" i="93"/>
  <c r="C28" i="93"/>
  <c r="C60" i="93"/>
  <c r="C68" i="93"/>
  <c r="C76" i="93"/>
  <c r="C5" i="93"/>
  <c r="C52" i="93"/>
  <c r="C21" i="93"/>
  <c r="C53" i="93"/>
  <c r="C30" i="93"/>
  <c r="C38" i="93"/>
  <c r="C46" i="93"/>
  <c r="C54" i="93"/>
  <c r="C62" i="93"/>
  <c r="C70" i="93"/>
  <c r="C78" i="93"/>
  <c r="C20" i="93"/>
  <c r="C13" i="93"/>
  <c r="C45" i="93"/>
  <c r="C61" i="93"/>
  <c r="C6" i="93"/>
  <c r="C22" i="93"/>
  <c r="C7" i="93"/>
  <c r="C15" i="93"/>
  <c r="C23" i="93"/>
  <c r="C31" i="93"/>
  <c r="C39" i="93"/>
  <c r="C47" i="93"/>
  <c r="C55" i="93"/>
  <c r="C63" i="93"/>
  <c r="C71" i="93"/>
  <c r="C2468" i="93"/>
  <c r="C2460" i="93"/>
  <c r="C2467" i="93"/>
  <c r="C2459" i="93"/>
  <c r="C2466" i="93"/>
  <c r="C2458" i="93"/>
  <c r="C2450" i="93"/>
  <c r="C2442" i="93"/>
  <c r="C2434" i="93"/>
  <c r="C2426" i="93"/>
  <c r="C2418" i="93"/>
  <c r="C2410" i="93"/>
  <c r="C2402" i="93"/>
  <c r="C2394" i="93"/>
  <c r="C2386" i="93"/>
  <c r="C2378" i="93"/>
  <c r="C2370" i="93"/>
  <c r="C2362" i="93"/>
  <c r="C2354" i="93"/>
  <c r="C2346" i="93"/>
  <c r="C2338" i="93"/>
  <c r="C2330" i="93"/>
  <c r="C2322" i="93"/>
  <c r="C2314" i="93"/>
  <c r="C2306" i="93"/>
  <c r="C2298" i="93"/>
  <c r="C2290" i="93"/>
  <c r="C2282" i="93"/>
  <c r="C2274" i="93"/>
  <c r="C2266" i="93"/>
  <c r="C2258" i="93"/>
  <c r="C2250" i="93"/>
  <c r="C2242" i="93"/>
  <c r="C2234" i="93"/>
  <c r="C2226" i="93"/>
  <c r="C2218" i="93"/>
  <c r="C2210" i="93"/>
  <c r="C2202" i="93"/>
  <c r="C2194" i="93"/>
  <c r="C2186" i="93"/>
  <c r="C2178" i="93"/>
  <c r="C2170" i="93"/>
  <c r="C2162" i="93"/>
  <c r="C2154" i="93"/>
  <c r="C2146" i="93"/>
  <c r="C2138" i="93"/>
  <c r="C2130" i="93"/>
  <c r="C2122" i="93"/>
  <c r="C2114" i="93"/>
  <c r="C2106" i="93"/>
  <c r="C2098" i="93"/>
  <c r="C2090" i="93"/>
  <c r="C2082" i="93"/>
  <c r="C2074" i="93"/>
  <c r="C2066" i="93"/>
  <c r="C2058" i="93"/>
  <c r="C2050" i="93"/>
  <c r="C2042" i="93"/>
  <c r="C2034" i="93"/>
  <c r="C2026" i="93"/>
  <c r="C2018" i="93"/>
  <c r="C2010" i="93"/>
  <c r="C2002" i="93"/>
  <c r="C1994" i="93"/>
  <c r="C1986" i="93"/>
  <c r="C1978" i="93"/>
  <c r="C1970" i="93"/>
  <c r="C1962" i="93"/>
  <c r="C1954" i="93"/>
  <c r="C1946" i="93"/>
  <c r="C1938" i="93"/>
  <c r="C1930" i="93"/>
  <c r="C1922" i="93"/>
  <c r="C1914" i="93"/>
  <c r="C1906" i="93"/>
  <c r="C1898" i="93"/>
  <c r="C1890" i="93"/>
  <c r="C1882" i="93"/>
  <c r="C1874" i="93"/>
  <c r="C1866" i="93"/>
  <c r="C1858" i="93"/>
  <c r="C1850" i="93"/>
  <c r="C1842" i="93"/>
  <c r="C1834" i="93"/>
  <c r="C1826" i="93"/>
  <c r="C1818" i="93"/>
  <c r="C1810" i="93"/>
  <c r="C1802" i="93"/>
  <c r="C1794" i="93"/>
  <c r="C2465" i="93"/>
  <c r="C2457" i="93"/>
  <c r="C2449" i="93"/>
  <c r="C2441" i="93"/>
  <c r="C2433" i="93"/>
  <c r="C2425" i="93"/>
  <c r="C2417" i="93"/>
  <c r="C2409" i="93"/>
  <c r="C2401" i="93"/>
  <c r="C2393" i="93"/>
  <c r="C2385" i="93"/>
  <c r="C2377" i="93"/>
  <c r="C2369" i="93"/>
  <c r="C2361" i="93"/>
  <c r="C2353" i="93"/>
  <c r="C2345" i="93"/>
  <c r="C2337" i="93"/>
  <c r="C2329" i="93"/>
  <c r="C2321" i="93"/>
  <c r="C2313" i="93"/>
  <c r="C2305" i="93"/>
  <c r="C2297" i="93"/>
  <c r="C2289" i="93"/>
  <c r="C2281" i="93"/>
  <c r="C2273" i="93"/>
  <c r="C2265" i="93"/>
  <c r="C2257" i="93"/>
  <c r="C2249" i="93"/>
  <c r="C2241" i="93"/>
  <c r="C2233" i="93"/>
  <c r="C2225" i="93"/>
  <c r="C2217" i="93"/>
  <c r="C2209" i="93"/>
  <c r="C2201" i="93"/>
  <c r="C2193" i="93"/>
  <c r="C2185" i="93"/>
  <c r="C2177" i="93"/>
  <c r="C2169" i="93"/>
  <c r="C2161" i="93"/>
  <c r="C2153" i="93"/>
  <c r="C2145" i="93"/>
  <c r="C2137" i="93"/>
  <c r="C2129" i="93"/>
  <c r="C2121" i="93"/>
  <c r="C2113" i="93"/>
  <c r="C2105" i="93"/>
  <c r="C2097" i="93"/>
  <c r="C2089" i="93"/>
  <c r="C2081" i="93"/>
  <c r="C2073" i="93"/>
  <c r="C2065" i="93"/>
  <c r="C2057" i="93"/>
  <c r="C2049" i="93"/>
  <c r="C2041" i="93"/>
  <c r="C2033" i="93"/>
  <c r="C2025" i="93"/>
  <c r="C2017" i="93"/>
  <c r="C2009" i="93"/>
  <c r="C2001" i="93"/>
  <c r="C1993" i="93"/>
  <c r="C1985" i="93"/>
  <c r="C1977" i="93"/>
  <c r="C1969" i="93"/>
  <c r="C1961" i="93"/>
  <c r="C1953" i="93"/>
  <c r="C1945" i="93"/>
  <c r="C1937" i="93"/>
  <c r="C1929" i="93"/>
  <c r="C1921" i="93"/>
  <c r="C1913" i="93"/>
  <c r="C1905" i="93"/>
  <c r="C1897" i="93"/>
  <c r="C1889" i="93"/>
  <c r="C1881" i="93"/>
  <c r="C1873" i="93"/>
  <c r="C1865" i="93"/>
  <c r="C1857" i="93"/>
  <c r="C1849" i="93"/>
  <c r="C1841" i="93"/>
  <c r="C1833" i="93"/>
  <c r="C1825" i="93"/>
  <c r="C1817" i="93"/>
  <c r="C1809" i="93"/>
  <c r="C1801" i="93"/>
  <c r="C1793" i="93"/>
  <c r="C2464" i="93"/>
  <c r="C2456" i="93"/>
  <c r="C2448" i="93"/>
  <c r="C2440" i="93"/>
  <c r="C2432" i="93"/>
  <c r="C2424" i="93"/>
  <c r="C2416" i="93"/>
  <c r="C2408" i="93"/>
  <c r="C2400" i="93"/>
  <c r="C2392" i="93"/>
  <c r="C2384" i="93"/>
  <c r="C2376" i="93"/>
  <c r="C2368" i="93"/>
  <c r="C2360" i="93"/>
  <c r="C2352" i="93"/>
  <c r="C2344" i="93"/>
  <c r="C2336" i="93"/>
  <c r="C2328" i="93"/>
  <c r="C2320" i="93"/>
  <c r="C2312" i="93"/>
  <c r="C2304" i="93"/>
  <c r="C2296" i="93"/>
  <c r="C2288" i="93"/>
  <c r="C2280" i="93"/>
  <c r="C2272" i="93"/>
  <c r="C2264" i="93"/>
  <c r="C2256" i="93"/>
  <c r="C2248" i="93"/>
  <c r="C2240" i="93"/>
  <c r="C2232" i="93"/>
  <c r="C2224" i="93"/>
  <c r="C2216" i="93"/>
  <c r="C2208" i="93"/>
  <c r="C2200" i="93"/>
  <c r="C2192" i="93"/>
  <c r="C2184" i="93"/>
  <c r="C2176" i="93"/>
  <c r="C2168" i="93"/>
  <c r="C2160" i="93"/>
  <c r="C2152" i="93"/>
  <c r="C2144" i="93"/>
  <c r="C2136" i="93"/>
  <c r="C2128" i="93"/>
  <c r="C2120" i="93"/>
  <c r="C2112" i="93"/>
  <c r="C2104" i="93"/>
  <c r="C2096" i="93"/>
  <c r="C2088" i="93"/>
  <c r="C2080" i="93"/>
  <c r="C2072" i="93"/>
  <c r="C2064" i="93"/>
  <c r="C2056" i="93"/>
  <c r="C2048" i="93"/>
  <c r="C2040" i="93"/>
  <c r="C2032" i="93"/>
  <c r="C2024" i="93"/>
  <c r="C2016" i="93"/>
  <c r="C2008" i="93"/>
  <c r="C2000" i="93"/>
  <c r="C1992" i="93"/>
  <c r="C1984" i="93"/>
  <c r="C1976" i="93"/>
  <c r="C1968" i="93"/>
  <c r="C1960" i="93"/>
  <c r="C1952" i="93"/>
  <c r="C1944" i="93"/>
  <c r="C1936" i="93"/>
  <c r="C1928" i="93"/>
  <c r="C1920" i="93"/>
  <c r="C1912" i="93"/>
  <c r="C1904" i="93"/>
  <c r="C1896" i="93"/>
  <c r="C1888" i="93"/>
  <c r="C1880" i="93"/>
  <c r="C1872" i="93"/>
  <c r="C1864" i="93"/>
  <c r="C1856" i="93"/>
  <c r="C1848" i="93"/>
  <c r="C1840" i="93"/>
  <c r="C1832" i="93"/>
  <c r="C1824" i="93"/>
  <c r="C1816" i="93"/>
  <c r="C1808" i="93"/>
  <c r="C1800" i="93"/>
  <c r="C2463" i="93"/>
  <c r="C2455" i="93"/>
  <c r="C2447" i="93"/>
  <c r="C2439" i="93"/>
  <c r="C2431" i="93"/>
  <c r="C2423" i="93"/>
  <c r="C2415" i="93"/>
  <c r="C2407" i="93"/>
  <c r="C2399" i="93"/>
  <c r="C2391" i="93"/>
  <c r="C2383" i="93"/>
  <c r="C2375" i="93"/>
  <c r="C2367" i="93"/>
  <c r="C2359" i="93"/>
  <c r="C2351" i="93"/>
  <c r="C2343" i="93"/>
  <c r="C2335" i="93"/>
  <c r="C2327" i="93"/>
  <c r="C2319" i="93"/>
  <c r="C2311" i="93"/>
  <c r="C2303" i="93"/>
  <c r="C2295" i="93"/>
  <c r="C2287" i="93"/>
  <c r="C2279" i="93"/>
  <c r="C2271" i="93"/>
  <c r="C2263" i="93"/>
  <c r="C2255" i="93"/>
  <c r="C2247" i="93"/>
  <c r="C2239" i="93"/>
  <c r="C2231" i="93"/>
  <c r="C2223" i="93"/>
  <c r="C2215" i="93"/>
  <c r="C2207" i="93"/>
  <c r="C2199" i="93"/>
  <c r="C2191" i="93"/>
  <c r="C2183" i="93"/>
  <c r="C2175" i="93"/>
  <c r="C2167" i="93"/>
  <c r="C2159" i="93"/>
  <c r="C2151" i="93"/>
  <c r="C2143" i="93"/>
  <c r="C2135" i="93"/>
  <c r="C2127" i="93"/>
  <c r="C2119" i="93"/>
  <c r="C2111" i="93"/>
  <c r="C2103" i="93"/>
  <c r="C2095" i="93"/>
  <c r="C2087" i="93"/>
  <c r="C2079" i="93"/>
  <c r="C2071" i="93"/>
  <c r="C2063" i="93"/>
  <c r="C2055" i="93"/>
  <c r="C2047" i="93"/>
  <c r="C2039" i="93"/>
  <c r="C2031" i="93"/>
  <c r="C2023" i="93"/>
  <c r="C2015" i="93"/>
  <c r="C2007" i="93"/>
  <c r="C1999" i="93"/>
  <c r="C1991" i="93"/>
  <c r="C1983" i="93"/>
  <c r="C1975" i="93"/>
  <c r="C1967" i="93"/>
  <c r="C1959" i="93"/>
  <c r="C1951" i="93"/>
  <c r="C1943" i="93"/>
  <c r="C1935" i="93"/>
  <c r="C1927" i="93"/>
  <c r="C1919" i="93"/>
  <c r="C1911" i="93"/>
  <c r="C1903" i="93"/>
  <c r="C1895" i="93"/>
  <c r="C1887" i="93"/>
  <c r="C1879" i="93"/>
  <c r="C1871" i="93"/>
  <c r="C1863" i="93"/>
  <c r="C1855" i="93"/>
  <c r="C1847" i="93"/>
  <c r="C1839" i="93"/>
  <c r="C1831" i="93"/>
  <c r="C1823" i="93"/>
  <c r="C1815" i="93"/>
  <c r="C1807" i="93"/>
  <c r="C1799" i="93"/>
  <c r="C1791" i="93"/>
  <c r="C2461" i="93"/>
  <c r="C2462" i="93"/>
  <c r="C2443" i="93"/>
  <c r="C2427" i="93"/>
  <c r="C2411" i="93"/>
  <c r="C2395" i="93"/>
  <c r="C2379" i="93"/>
  <c r="C2363" i="93"/>
  <c r="C2347" i="93"/>
  <c r="C2331" i="93"/>
  <c r="C2315" i="93"/>
  <c r="C2299" i="93"/>
  <c r="C2283" i="93"/>
  <c r="C2267" i="93"/>
  <c r="C2251" i="93"/>
  <c r="C2235" i="93"/>
  <c r="C2219" i="93"/>
  <c r="C2203" i="93"/>
  <c r="C2187" i="93"/>
  <c r="C2171" i="93"/>
  <c r="C2155" i="93"/>
  <c r="C2139" i="93"/>
  <c r="C2123" i="93"/>
  <c r="C2107" i="93"/>
  <c r="C2091" i="93"/>
  <c r="C2075" i="93"/>
  <c r="C2059" i="93"/>
  <c r="C2043" i="93"/>
  <c r="C2027" i="93"/>
  <c r="C2011" i="93"/>
  <c r="C1995" i="93"/>
  <c r="C1979" i="93"/>
  <c r="C1963" i="93"/>
  <c r="C1947" i="93"/>
  <c r="C1931" i="93"/>
  <c r="C1915" i="93"/>
  <c r="C1899" i="93"/>
  <c r="C1883" i="93"/>
  <c r="C1867" i="93"/>
  <c r="C1851" i="93"/>
  <c r="C1835" i="93"/>
  <c r="C1819" i="93"/>
  <c r="C1803" i="93"/>
  <c r="C1788" i="93"/>
  <c r="C1780" i="93"/>
  <c r="C1772" i="93"/>
  <c r="C1764" i="93"/>
  <c r="C1756" i="93"/>
  <c r="C1748" i="93"/>
  <c r="C1740" i="93"/>
  <c r="C1732" i="93"/>
  <c r="C1724" i="93"/>
  <c r="C1716" i="93"/>
  <c r="C1708" i="93"/>
  <c r="C1700" i="93"/>
  <c r="C1692" i="93"/>
  <c r="C1684" i="93"/>
  <c r="C1676" i="93"/>
  <c r="C1668" i="93"/>
  <c r="C1660" i="93"/>
  <c r="C1652" i="93"/>
  <c r="C1644" i="93"/>
  <c r="C1636" i="93"/>
  <c r="C1628" i="93"/>
  <c r="C1620" i="93"/>
  <c r="C1612" i="93"/>
  <c r="C1604" i="93"/>
  <c r="C1596" i="93"/>
  <c r="C1588" i="93"/>
  <c r="C1580" i="93"/>
  <c r="C1572" i="93"/>
  <c r="C1564" i="93"/>
  <c r="C1556" i="93"/>
  <c r="C1548" i="93"/>
  <c r="C1540" i="93"/>
  <c r="C1532" i="93"/>
  <c r="C1524" i="93"/>
  <c r="C1516" i="93"/>
  <c r="C1508" i="93"/>
  <c r="C1500" i="93"/>
  <c r="C1492" i="93"/>
  <c r="C1484" i="93"/>
  <c r="C1476" i="93"/>
  <c r="C1468" i="93"/>
  <c r="C1460" i="93"/>
  <c r="C1452" i="93"/>
  <c r="C2454" i="93"/>
  <c r="C2438" i="93"/>
  <c r="C2422" i="93"/>
  <c r="C2406" i="93"/>
  <c r="C2390" i="93"/>
  <c r="C2374" i="93"/>
  <c r="C2358" i="93"/>
  <c r="C2342" i="93"/>
  <c r="C2326" i="93"/>
  <c r="C2310" i="93"/>
  <c r="C2294" i="93"/>
  <c r="C2278" i="93"/>
  <c r="C2262" i="93"/>
  <c r="C2246" i="93"/>
  <c r="C2230" i="93"/>
  <c r="C2214" i="93"/>
  <c r="C2198" i="93"/>
  <c r="C2182" i="93"/>
  <c r="C2166" i="93"/>
  <c r="C2150" i="93"/>
  <c r="C2134" i="93"/>
  <c r="C2118" i="93"/>
  <c r="C2102" i="93"/>
  <c r="C2086" i="93"/>
  <c r="C2070" i="93"/>
  <c r="C2054" i="93"/>
  <c r="C2038" i="93"/>
  <c r="C2022" i="93"/>
  <c r="C2006" i="93"/>
  <c r="C1990" i="93"/>
  <c r="C1974" i="93"/>
  <c r="C1958" i="93"/>
  <c r="C1942" i="93"/>
  <c r="C1926" i="93"/>
  <c r="C1910" i="93"/>
  <c r="C1894" i="93"/>
  <c r="C1878" i="93"/>
  <c r="C1862" i="93"/>
  <c r="C1846" i="93"/>
  <c r="C1830" i="93"/>
  <c r="C1814" i="93"/>
  <c r="C1798" i="93"/>
  <c r="C1787" i="93"/>
  <c r="C1779" i="93"/>
  <c r="C1771" i="93"/>
  <c r="C1763" i="93"/>
  <c r="C1755" i="93"/>
  <c r="C1747" i="93"/>
  <c r="C1739" i="93"/>
  <c r="C1731" i="93"/>
  <c r="C1723" i="93"/>
  <c r="C1715" i="93"/>
  <c r="C1707" i="93"/>
  <c r="C1699" i="93"/>
  <c r="C1691" i="93"/>
  <c r="C1683" i="93"/>
  <c r="C1675" i="93"/>
  <c r="C1667" i="93"/>
  <c r="C1659" i="93"/>
  <c r="C1651" i="93"/>
  <c r="C1643" i="93"/>
  <c r="C1635" i="93"/>
  <c r="C1627" i="93"/>
  <c r="C1619" i="93"/>
  <c r="C1611" i="93"/>
  <c r="C1603" i="93"/>
  <c r="C1595" i="93"/>
  <c r="C1587" i="93"/>
  <c r="C1579" i="93"/>
  <c r="C1571" i="93"/>
  <c r="C1563" i="93"/>
  <c r="C1555" i="93"/>
  <c r="C1547" i="93"/>
  <c r="C1539" i="93"/>
  <c r="C1531" i="93"/>
  <c r="C1523" i="93"/>
  <c r="C1515" i="93"/>
  <c r="C1507" i="93"/>
  <c r="C1499" i="93"/>
  <c r="C1491" i="93"/>
  <c r="C1483" i="93"/>
  <c r="C1475" i="93"/>
  <c r="C1467" i="93"/>
  <c r="C1459" i="93"/>
  <c r="C1451" i="93"/>
  <c r="C2453" i="93"/>
  <c r="C2437" i="93"/>
  <c r="C2421" i="93"/>
  <c r="C2405" i="93"/>
  <c r="C2389" i="93"/>
  <c r="C2373" i="93"/>
  <c r="C2357" i="93"/>
  <c r="C2341" i="93"/>
  <c r="C2325" i="93"/>
  <c r="C2309" i="93"/>
  <c r="C2293" i="93"/>
  <c r="C2277" i="93"/>
  <c r="C2261" i="93"/>
  <c r="C2245" i="93"/>
  <c r="C2229" i="93"/>
  <c r="C2213" i="93"/>
  <c r="C2197" i="93"/>
  <c r="C2181" i="93"/>
  <c r="C2165" i="93"/>
  <c r="C2149" i="93"/>
  <c r="C2133" i="93"/>
  <c r="C2117" i="93"/>
  <c r="C2101" i="93"/>
  <c r="C2085" i="93"/>
  <c r="C2069" i="93"/>
  <c r="C2053" i="93"/>
  <c r="C2037" i="93"/>
  <c r="C2021" i="93"/>
  <c r="C2005" i="93"/>
  <c r="C1989" i="93"/>
  <c r="C1973" i="93"/>
  <c r="C1957" i="93"/>
  <c r="C1941" i="93"/>
  <c r="C1925" i="93"/>
  <c r="C1909" i="93"/>
  <c r="C1893" i="93"/>
  <c r="C1877" i="93"/>
  <c r="C1861" i="93"/>
  <c r="C1845" i="93"/>
  <c r="C1829" i="93"/>
  <c r="C1813" i="93"/>
  <c r="C1797" i="93"/>
  <c r="C1786" i="93"/>
  <c r="C1778" i="93"/>
  <c r="C1770" i="93"/>
  <c r="C1762" i="93"/>
  <c r="C1754" i="93"/>
  <c r="C1746" i="93"/>
  <c r="C1738" i="93"/>
  <c r="C1730" i="93"/>
  <c r="C1722" i="93"/>
  <c r="C1714" i="93"/>
  <c r="C1706" i="93"/>
  <c r="C1698" i="93"/>
  <c r="C1690" i="93"/>
  <c r="C1682" i="93"/>
  <c r="C1674" i="93"/>
  <c r="C1666" i="93"/>
  <c r="C1658" i="93"/>
  <c r="C1650" i="93"/>
  <c r="C1642" i="93"/>
  <c r="C1634" i="93"/>
  <c r="C1626" i="93"/>
  <c r="C1618" i="93"/>
  <c r="C1610" i="93"/>
  <c r="C1602" i="93"/>
  <c r="C1594" i="93"/>
  <c r="C1586" i="93"/>
  <c r="C1578" i="93"/>
  <c r="C1570" i="93"/>
  <c r="C1562" i="93"/>
  <c r="C1554" i="93"/>
  <c r="C1546" i="93"/>
  <c r="C1538" i="93"/>
  <c r="C1530" i="93"/>
  <c r="C1522" i="93"/>
  <c r="C1514" i="93"/>
  <c r="C1506" i="93"/>
  <c r="C1498" i="93"/>
  <c r="C1490" i="93"/>
  <c r="C1482" i="93"/>
  <c r="C1474" i="93"/>
  <c r="C1466" i="93"/>
  <c r="C1458" i="93"/>
  <c r="C1450" i="93"/>
  <c r="C2452" i="93"/>
  <c r="C2436" i="93"/>
  <c r="C2420" i="93"/>
  <c r="C2404" i="93"/>
  <c r="C2388" i="93"/>
  <c r="C2372" i="93"/>
  <c r="C2356" i="93"/>
  <c r="C2340" i="93"/>
  <c r="C2324" i="93"/>
  <c r="C2308" i="93"/>
  <c r="C2292" i="93"/>
  <c r="C2276" i="93"/>
  <c r="C2260" i="93"/>
  <c r="C2244" i="93"/>
  <c r="C2228" i="93"/>
  <c r="C2212" i="93"/>
  <c r="C2196" i="93"/>
  <c r="C2180" i="93"/>
  <c r="C2164" i="93"/>
  <c r="C2148" i="93"/>
  <c r="C2132" i="93"/>
  <c r="C2116" i="93"/>
  <c r="C2100" i="93"/>
  <c r="C2084" i="93"/>
  <c r="C2068" i="93"/>
  <c r="C2052" i="93"/>
  <c r="C2036" i="93"/>
  <c r="C2020" i="93"/>
  <c r="C2004" i="93"/>
  <c r="C1988" i="93"/>
  <c r="C1972" i="93"/>
  <c r="C1956" i="93"/>
  <c r="C1940" i="93"/>
  <c r="C1924" i="93"/>
  <c r="C1908" i="93"/>
  <c r="C1892" i="93"/>
  <c r="C1876" i="93"/>
  <c r="C1860" i="93"/>
  <c r="C1844" i="93"/>
  <c r="C1828" i="93"/>
  <c r="C1812" i="93"/>
  <c r="C1796" i="93"/>
  <c r="C1785" i="93"/>
  <c r="C1777" i="93"/>
  <c r="C1769" i="93"/>
  <c r="C1761" i="93"/>
  <c r="C1753" i="93"/>
  <c r="C1745" i="93"/>
  <c r="C1737" i="93"/>
  <c r="C1729" i="93"/>
  <c r="C1721" i="93"/>
  <c r="C1713" i="93"/>
  <c r="C1705" i="93"/>
  <c r="C1697" i="93"/>
  <c r="C1689" i="93"/>
  <c r="C1681" i="93"/>
  <c r="C1673" i="93"/>
  <c r="C1665" i="93"/>
  <c r="C1657" i="93"/>
  <c r="C1649" i="93"/>
  <c r="C1641" i="93"/>
  <c r="C1633" i="93"/>
  <c r="C1625" i="93"/>
  <c r="C1617" i="93"/>
  <c r="C1609" i="93"/>
  <c r="C1601" i="93"/>
  <c r="C1593" i="93"/>
  <c r="C1585" i="93"/>
  <c r="C1577" i="93"/>
  <c r="C1569" i="93"/>
  <c r="C1561" i="93"/>
  <c r="C1553" i="93"/>
  <c r="C1545" i="93"/>
  <c r="C1537" i="93"/>
  <c r="C1529" i="93"/>
  <c r="C1521" i="93"/>
  <c r="C1513" i="93"/>
  <c r="C1505" i="93"/>
  <c r="C1497" i="93"/>
  <c r="C1489" i="93"/>
  <c r="C1481" i="93"/>
  <c r="C1473" i="93"/>
  <c r="C1465" i="93"/>
  <c r="C1457" i="93"/>
  <c r="C1449" i="93"/>
  <c r="C2451" i="93"/>
  <c r="C2435" i="93"/>
  <c r="C2419" i="93"/>
  <c r="C2403" i="93"/>
  <c r="C2387" i="93"/>
  <c r="C2371" i="93"/>
  <c r="C2355" i="93"/>
  <c r="C2339" i="93"/>
  <c r="C2323" i="93"/>
  <c r="C2307" i="93"/>
  <c r="C2291" i="93"/>
  <c r="C2275" i="93"/>
  <c r="C2259" i="93"/>
  <c r="C2243" i="93"/>
  <c r="C2227" i="93"/>
  <c r="C2211" i="93"/>
  <c r="C2195" i="93"/>
  <c r="C2179" i="93"/>
  <c r="C2163" i="93"/>
  <c r="C2147" i="93"/>
  <c r="C2131" i="93"/>
  <c r="C2115" i="93"/>
  <c r="C2099" i="93"/>
  <c r="C2083" i="93"/>
  <c r="C2067" i="93"/>
  <c r="C2051" i="93"/>
  <c r="C2035" i="93"/>
  <c r="C2019" i="93"/>
  <c r="C2003" i="93"/>
  <c r="C1987" i="93"/>
  <c r="C1971" i="93"/>
  <c r="C1955" i="93"/>
  <c r="C1939" i="93"/>
  <c r="C1923" i="93"/>
  <c r="C1907" i="93"/>
  <c r="C1891" i="93"/>
  <c r="C1875" i="93"/>
  <c r="C1859" i="93"/>
  <c r="C1843" i="93"/>
  <c r="C1827" i="93"/>
  <c r="C1811" i="93"/>
  <c r="C1795" i="93"/>
  <c r="C1784" i="93"/>
  <c r="C1776" i="93"/>
  <c r="C1768" i="93"/>
  <c r="C1760" i="93"/>
  <c r="C1752" i="93"/>
  <c r="C1744" i="93"/>
  <c r="C1736" i="93"/>
  <c r="C1728" i="93"/>
  <c r="C1720" i="93"/>
  <c r="C1712" i="93"/>
  <c r="C1704" i="93"/>
  <c r="C1696" i="93"/>
  <c r="C1688" i="93"/>
  <c r="C1680" i="93"/>
  <c r="C1672" i="93"/>
  <c r="C1664" i="93"/>
  <c r="C1656" i="93"/>
  <c r="C1648" i="93"/>
  <c r="C1640" i="93"/>
  <c r="C1632" i="93"/>
  <c r="C1624" i="93"/>
  <c r="C1616" i="93"/>
  <c r="C1608" i="93"/>
  <c r="C1600" i="93"/>
  <c r="C1592" i="93"/>
  <c r="C1584" i="93"/>
  <c r="C1576" i="93"/>
  <c r="C1568" i="93"/>
  <c r="C1560" i="93"/>
  <c r="C1552" i="93"/>
  <c r="C1544" i="93"/>
  <c r="C1536" i="93"/>
  <c r="C1528" i="93"/>
  <c r="C1520" i="93"/>
  <c r="C1512" i="93"/>
  <c r="C1504" i="93"/>
  <c r="C1496" i="93"/>
  <c r="C1488" i="93"/>
  <c r="C1480" i="93"/>
  <c r="C1472" i="93"/>
  <c r="C1464" i="93"/>
  <c r="C1456" i="93"/>
  <c r="C1448" i="93"/>
  <c r="C2446" i="93"/>
  <c r="C2430" i="93"/>
  <c r="C2414" i="93"/>
  <c r="C2398" i="93"/>
  <c r="C2382" i="93"/>
  <c r="C2366" i="93"/>
  <c r="C2350" i="93"/>
  <c r="C2334" i="93"/>
  <c r="C2318" i="93"/>
  <c r="C2302" i="93"/>
  <c r="C2286" i="93"/>
  <c r="C2270" i="93"/>
  <c r="C2254" i="93"/>
  <c r="C2238" i="93"/>
  <c r="C2222" i="93"/>
  <c r="C2206" i="93"/>
  <c r="C2190" i="93"/>
  <c r="C2174" i="93"/>
  <c r="C2158" i="93"/>
  <c r="C2142" i="93"/>
  <c r="C2126" i="93"/>
  <c r="C2110" i="93"/>
  <c r="C2094" i="93"/>
  <c r="C2078" i="93"/>
  <c r="C2062" i="93"/>
  <c r="C2046" i="93"/>
  <c r="C2030" i="93"/>
  <c r="C2014" i="93"/>
  <c r="C1998" i="93"/>
  <c r="C1982" i="93"/>
  <c r="C1966" i="93"/>
  <c r="C1950" i="93"/>
  <c r="C1934" i="93"/>
  <c r="C1918" i="93"/>
  <c r="C1902" i="93"/>
  <c r="C1886" i="93"/>
  <c r="C1870" i="93"/>
  <c r="C1854" i="93"/>
  <c r="C1838" i="93"/>
  <c r="C1822" i="93"/>
  <c r="C1806" i="93"/>
  <c r="C1792" i="93"/>
  <c r="C1783" i="93"/>
  <c r="C1775" i="93"/>
  <c r="C1767" i="93"/>
  <c r="C1759" i="93"/>
  <c r="C1751" i="93"/>
  <c r="C1743" i="93"/>
  <c r="C1735" i="93"/>
  <c r="C1727" i="93"/>
  <c r="C1719" i="93"/>
  <c r="C1711" i="93"/>
  <c r="C1703" i="93"/>
  <c r="C1695" i="93"/>
  <c r="C1687" i="93"/>
  <c r="C1679" i="93"/>
  <c r="C1671" i="93"/>
  <c r="C1663" i="93"/>
  <c r="C1655" i="93"/>
  <c r="C1647" i="93"/>
  <c r="C1639" i="93"/>
  <c r="C1631" i="93"/>
  <c r="C1623" i="93"/>
  <c r="C1615" i="93"/>
  <c r="C1607" i="93"/>
  <c r="C1599" i="93"/>
  <c r="C1591" i="93"/>
  <c r="C1583" i="93"/>
  <c r="C1575" i="93"/>
  <c r="C1567" i="93"/>
  <c r="C1559" i="93"/>
  <c r="C1551" i="93"/>
  <c r="C1543" i="93"/>
  <c r="C1535" i="93"/>
  <c r="C1527" i="93"/>
  <c r="C1519" i="93"/>
  <c r="C1511" i="93"/>
  <c r="C1503" i="93"/>
  <c r="C1495" i="93"/>
  <c r="C1487" i="93"/>
  <c r="C1479" i="93"/>
  <c r="C1471" i="93"/>
  <c r="C1463" i="93"/>
  <c r="C1455" i="93"/>
  <c r="C1447" i="93"/>
  <c r="C2445" i="93"/>
  <c r="C2429" i="93"/>
  <c r="C2413" i="93"/>
  <c r="C2397" i="93"/>
  <c r="C2381" i="93"/>
  <c r="C2365" i="93"/>
  <c r="C2349" i="93"/>
  <c r="C2333" i="93"/>
  <c r="C2317" i="93"/>
  <c r="C2301" i="93"/>
  <c r="C2285" i="93"/>
  <c r="C2269" i="93"/>
  <c r="C2253" i="93"/>
  <c r="C2237" i="93"/>
  <c r="C2221" i="93"/>
  <c r="C2205" i="93"/>
  <c r="C2189" i="93"/>
  <c r="C2173" i="93"/>
  <c r="C2157" i="93"/>
  <c r="C2141" i="93"/>
  <c r="C2125" i="93"/>
  <c r="C2109" i="93"/>
  <c r="C2093" i="93"/>
  <c r="C2077" i="93"/>
  <c r="C2061" i="93"/>
  <c r="C2045" i="93"/>
  <c r="C2029" i="93"/>
  <c r="C2013" i="93"/>
  <c r="C1997" i="93"/>
  <c r="C1981" i="93"/>
  <c r="C1965" i="93"/>
  <c r="C1949" i="93"/>
  <c r="C1933" i="93"/>
  <c r="C1917" i="93"/>
  <c r="C1901" i="93"/>
  <c r="C1885" i="93"/>
  <c r="C1869" i="93"/>
  <c r="C1853" i="93"/>
  <c r="C1837" i="93"/>
  <c r="C1821" i="93"/>
  <c r="C1805" i="93"/>
  <c r="C1790" i="93"/>
  <c r="C1782" i="93"/>
  <c r="C1774" i="93"/>
  <c r="C1766" i="93"/>
  <c r="C1758" i="93"/>
  <c r="C1750" i="93"/>
  <c r="C1742" i="93"/>
  <c r="C1734" i="93"/>
  <c r="C1726" i="93"/>
  <c r="C1718" i="93"/>
  <c r="C1710" i="93"/>
  <c r="C1702" i="93"/>
  <c r="C1694" i="93"/>
  <c r="C1686" i="93"/>
  <c r="C1678" i="93"/>
  <c r="C1670" i="93"/>
  <c r="C1662" i="93"/>
  <c r="C1654" i="93"/>
  <c r="C1646" i="93"/>
  <c r="C1638" i="93"/>
  <c r="C1630" i="93"/>
  <c r="C1622" i="93"/>
  <c r="C1614" i="93"/>
  <c r="C1606" i="93"/>
  <c r="C1598" i="93"/>
  <c r="C1590" i="93"/>
  <c r="C1582" i="93"/>
  <c r="C1574" i="93"/>
  <c r="C1566" i="93"/>
  <c r="C1558" i="93"/>
  <c r="C1550" i="93"/>
  <c r="C1542" i="93"/>
  <c r="C1534" i="93"/>
  <c r="C1526" i="93"/>
  <c r="C1518" i="93"/>
  <c r="C1510" i="93"/>
  <c r="C1502" i="93"/>
  <c r="C1494" i="93"/>
  <c r="C1486" i="93"/>
  <c r="C1478" i="93"/>
  <c r="C1470" i="93"/>
  <c r="C1462" i="93"/>
  <c r="C1454" i="93"/>
  <c r="C1446" i="93"/>
  <c r="C2444" i="93"/>
  <c r="C2428" i="93"/>
  <c r="C2412" i="93"/>
  <c r="C2396" i="93"/>
  <c r="C2380" i="93"/>
  <c r="C2364" i="93"/>
  <c r="C2348" i="93"/>
  <c r="C2332" i="93"/>
  <c r="C2316" i="93"/>
  <c r="C2300" i="93"/>
  <c r="C2284" i="93"/>
  <c r="C2268" i="93"/>
  <c r="C2252" i="93"/>
  <c r="C2236" i="93"/>
  <c r="C2220" i="93"/>
  <c r="C2204" i="93"/>
  <c r="C2188" i="93"/>
  <c r="C2172" i="93"/>
  <c r="C2156" i="93"/>
  <c r="C2140" i="93"/>
  <c r="C2124" i="93"/>
  <c r="C2108" i="93"/>
  <c r="C2092" i="93"/>
  <c r="C2076" i="93"/>
  <c r="C2060" i="93"/>
  <c r="C2044" i="93"/>
  <c r="C2028" i="93"/>
  <c r="C2012" i="93"/>
  <c r="C1996" i="93"/>
  <c r="C1980" i="93"/>
  <c r="C1964" i="93"/>
  <c r="C1948" i="93"/>
  <c r="C1932" i="93"/>
  <c r="C1916" i="93"/>
  <c r="C1900" i="93"/>
  <c r="C1884" i="93"/>
  <c r="C1868" i="93"/>
  <c r="C1852" i="93"/>
  <c r="C1836" i="93"/>
  <c r="C1820" i="93"/>
  <c r="C1804" i="93"/>
  <c r="C1789" i="93"/>
  <c r="C1781" i="93"/>
  <c r="C1773" i="93"/>
  <c r="C1765" i="93"/>
  <c r="C1757" i="93"/>
  <c r="C1749" i="93"/>
  <c r="C1741" i="93"/>
  <c r="C1733" i="93"/>
  <c r="C1725" i="93"/>
  <c r="C1717" i="93"/>
  <c r="C1709" i="93"/>
  <c r="C1701" i="93"/>
  <c r="C1693" i="93"/>
  <c r="C1685" i="93"/>
  <c r="C1677" i="93"/>
  <c r="C1669" i="93"/>
  <c r="C1661" i="93"/>
  <c r="C1653" i="93"/>
  <c r="C1645" i="93"/>
  <c r="C1637" i="93"/>
  <c r="C1629" i="93"/>
  <c r="C1621" i="93"/>
  <c r="C1613" i="93"/>
  <c r="C1605" i="93"/>
  <c r="C1597" i="93"/>
  <c r="C1589" i="93"/>
  <c r="C1581" i="93"/>
  <c r="C1573" i="93"/>
  <c r="C1565" i="93"/>
  <c r="C1557" i="93"/>
  <c r="C1549" i="93"/>
  <c r="C1541" i="93"/>
  <c r="C1533" i="93"/>
  <c r="C1525" i="93"/>
  <c r="C1517" i="93"/>
  <c r="C1509" i="93"/>
  <c r="C1501" i="93"/>
  <c r="C1493" i="93"/>
  <c r="C1485" i="93"/>
  <c r="C1477" i="93"/>
  <c r="C1469" i="93"/>
  <c r="C1461" i="93"/>
  <c r="C1453" i="93"/>
  <c r="C1445" i="93"/>
  <c r="C1437" i="93"/>
  <c r="C1429" i="93"/>
  <c r="C1421" i="93"/>
  <c r="C1413" i="93"/>
  <c r="C1405" i="93"/>
  <c r="C1397" i="93"/>
  <c r="C1389" i="93"/>
  <c r="C1381" i="93"/>
  <c r="C1373" i="93"/>
  <c r="C1365" i="93"/>
  <c r="C1357" i="93"/>
  <c r="C1349" i="93"/>
  <c r="C1341" i="93"/>
  <c r="C1333" i="93"/>
  <c r="C1325" i="93"/>
  <c r="C1317" i="93"/>
  <c r="C1309" i="93"/>
  <c r="C1301" i="93"/>
  <c r="C1293" i="93"/>
  <c r="C1285" i="93"/>
  <c r="C1277" i="93"/>
  <c r="C1269" i="93"/>
  <c r="C1261" i="93"/>
  <c r="C1253" i="93"/>
  <c r="C1245" i="93"/>
  <c r="C1237" i="93"/>
  <c r="C1229" i="93"/>
  <c r="C1221" i="93"/>
  <c r="C1213" i="93"/>
  <c r="C1205" i="93"/>
  <c r="C1197" i="93"/>
  <c r="C1189" i="93"/>
  <c r="C1181" i="93"/>
  <c r="C1173" i="93"/>
  <c r="C1165" i="93"/>
  <c r="C1157" i="93"/>
  <c r="C1149" i="93"/>
  <c r="C1141" i="93"/>
  <c r="C1133" i="93"/>
  <c r="C1125" i="93"/>
  <c r="C1117" i="93"/>
  <c r="C1109" i="93"/>
  <c r="C1101" i="93"/>
  <c r="C1093" i="93"/>
  <c r="C1085" i="93"/>
  <c r="C1077" i="93"/>
  <c r="C1069" i="93"/>
  <c r="C1061" i="93"/>
  <c r="C1053" i="93"/>
  <c r="C1045" i="93"/>
  <c r="C1037" i="93"/>
  <c r="C1029" i="93"/>
  <c r="C1021" i="93"/>
  <c r="C1013" i="93"/>
  <c r="C1005" i="93"/>
  <c r="C997" i="93"/>
  <c r="C989" i="93"/>
  <c r="C981" i="93"/>
  <c r="C973" i="93"/>
  <c r="C965" i="93"/>
  <c r="C957" i="93"/>
  <c r="C949" i="93"/>
  <c r="C941" i="93"/>
  <c r="C933" i="93"/>
  <c r="C925" i="93"/>
  <c r="C917" i="93"/>
  <c r="C909" i="93"/>
  <c r="C901" i="93"/>
  <c r="C893" i="93"/>
  <c r="C885" i="93"/>
  <c r="C877" i="93"/>
  <c r="C869" i="93"/>
  <c r="C861" i="93"/>
  <c r="C853" i="93"/>
  <c r="C845" i="93"/>
  <c r="C837" i="93"/>
  <c r="C829" i="93"/>
  <c r="C821" i="93"/>
  <c r="C813" i="93"/>
  <c r="C805" i="93"/>
  <c r="C797" i="93"/>
  <c r="C789" i="93"/>
  <c r="C781" i="93"/>
  <c r="C773" i="93"/>
  <c r="C765" i="93"/>
  <c r="C1444" i="93"/>
  <c r="C1436" i="93"/>
  <c r="C1428" i="93"/>
  <c r="C1420" i="93"/>
  <c r="C1412" i="93"/>
  <c r="C1404" i="93"/>
  <c r="C1396" i="93"/>
  <c r="C1388" i="93"/>
  <c r="C1380" i="93"/>
  <c r="C1372" i="93"/>
  <c r="C1364" i="93"/>
  <c r="C1356" i="93"/>
  <c r="C1348" i="93"/>
  <c r="C1340" i="93"/>
  <c r="C1332" i="93"/>
  <c r="C1324" i="93"/>
  <c r="C1316" i="93"/>
  <c r="C1308" i="93"/>
  <c r="C1300" i="93"/>
  <c r="C1292" i="93"/>
  <c r="C1284" i="93"/>
  <c r="C1276" i="93"/>
  <c r="C1268" i="93"/>
  <c r="C1260" i="93"/>
  <c r="C1252" i="93"/>
  <c r="C1244" i="93"/>
  <c r="C1236" i="93"/>
  <c r="C1228" i="93"/>
  <c r="C1220" i="93"/>
  <c r="C1212" i="93"/>
  <c r="C1204" i="93"/>
  <c r="C1196" i="93"/>
  <c r="C1188" i="93"/>
  <c r="C1180" i="93"/>
  <c r="C1172" i="93"/>
  <c r="C1164" i="93"/>
  <c r="C1156" i="93"/>
  <c r="C1148" i="93"/>
  <c r="C1140" i="93"/>
  <c r="C1132" i="93"/>
  <c r="C1124" i="93"/>
  <c r="C1116" i="93"/>
  <c r="C1108" i="93"/>
  <c r="C1100" i="93"/>
  <c r="C1092" i="93"/>
  <c r="C1084" i="93"/>
  <c r="C1076" i="93"/>
  <c r="C1068" i="93"/>
  <c r="C1060" i="93"/>
  <c r="C1052" i="93"/>
  <c r="C1044" i="93"/>
  <c r="C1036" i="93"/>
  <c r="C1028" i="93"/>
  <c r="C1020" i="93"/>
  <c r="C1012" i="93"/>
  <c r="C1004" i="93"/>
  <c r="C996" i="93"/>
  <c r="C988" i="93"/>
  <c r="C980" i="93"/>
  <c r="C972" i="93"/>
  <c r="C964" i="93"/>
  <c r="C956" i="93"/>
  <c r="C948" i="93"/>
  <c r="C940" i="93"/>
  <c r="C932" i="93"/>
  <c r="C924" i="93"/>
  <c r="C916" i="93"/>
  <c r="C908" i="93"/>
  <c r="C900" i="93"/>
  <c r="C892" i="93"/>
  <c r="C884" i="93"/>
  <c r="C876" i="93"/>
  <c r="C868" i="93"/>
  <c r="C860" i="93"/>
  <c r="C852" i="93"/>
  <c r="C844" i="93"/>
  <c r="C836" i="93"/>
  <c r="C828" i="93"/>
  <c r="C820" i="93"/>
  <c r="C812" i="93"/>
  <c r="C804" i="93"/>
  <c r="C796" i="93"/>
  <c r="C788" i="93"/>
  <c r="C780" i="93"/>
  <c r="C772" i="93"/>
  <c r="C1443" i="93"/>
  <c r="C1435" i="93"/>
  <c r="C1427" i="93"/>
  <c r="C1419" i="93"/>
  <c r="C1411" i="93"/>
  <c r="C1403" i="93"/>
  <c r="C1395" i="93"/>
  <c r="C1387" i="93"/>
  <c r="C1379" i="93"/>
  <c r="C1371" i="93"/>
  <c r="C1363" i="93"/>
  <c r="C1355" i="93"/>
  <c r="C1347" i="93"/>
  <c r="C1339" i="93"/>
  <c r="C1331" i="93"/>
  <c r="C1323" i="93"/>
  <c r="C1315" i="93"/>
  <c r="C1307" i="93"/>
  <c r="C1299" i="93"/>
  <c r="C1291" i="93"/>
  <c r="C1283" i="93"/>
  <c r="C1275" i="93"/>
  <c r="C1267" i="93"/>
  <c r="C1259" i="93"/>
  <c r="C1251" i="93"/>
  <c r="C1243" i="93"/>
  <c r="C1235" i="93"/>
  <c r="C1227" i="93"/>
  <c r="C1219" i="93"/>
  <c r="C1211" i="93"/>
  <c r="C1203" i="93"/>
  <c r="C1195" i="93"/>
  <c r="C1187" i="93"/>
  <c r="C1179" i="93"/>
  <c r="C1171" i="93"/>
  <c r="C1163" i="93"/>
  <c r="C1155" i="93"/>
  <c r="C1147" i="93"/>
  <c r="C1139" i="93"/>
  <c r="C1131" i="93"/>
  <c r="C1123" i="93"/>
  <c r="C1115" i="93"/>
  <c r="C1107" i="93"/>
  <c r="C1099" i="93"/>
  <c r="C1091" i="93"/>
  <c r="C1083" i="93"/>
  <c r="C1075" i="93"/>
  <c r="C1067" i="93"/>
  <c r="C1059" i="93"/>
  <c r="C1051" i="93"/>
  <c r="C1043" i="93"/>
  <c r="C1035" i="93"/>
  <c r="C1027" i="93"/>
  <c r="C1019" i="93"/>
  <c r="C1011" i="93"/>
  <c r="C1003" i="93"/>
  <c r="C995" i="93"/>
  <c r="C987" i="93"/>
  <c r="C979" i="93"/>
  <c r="C971" i="93"/>
  <c r="C963" i="93"/>
  <c r="C955" i="93"/>
  <c r="C947" i="93"/>
  <c r="C939" i="93"/>
  <c r="C931" i="93"/>
  <c r="C923" i="93"/>
  <c r="C915" i="93"/>
  <c r="C907" i="93"/>
  <c r="C899" i="93"/>
  <c r="C891" i="93"/>
  <c r="C883" i="93"/>
  <c r="C875" i="93"/>
  <c r="C867" i="93"/>
  <c r="C859" i="93"/>
  <c r="C851" i="93"/>
  <c r="C843" i="93"/>
  <c r="C835" i="93"/>
  <c r="C827" i="93"/>
  <c r="C819" i="93"/>
  <c r="C811" i="93"/>
  <c r="C803" i="93"/>
  <c r="C795" i="93"/>
  <c r="C787" i="93"/>
  <c r="C779" i="93"/>
  <c r="C771" i="93"/>
  <c r="C1442" i="93"/>
  <c r="C1434" i="93"/>
  <c r="C1426" i="93"/>
  <c r="C1418" i="93"/>
  <c r="C1410" i="93"/>
  <c r="C1402" i="93"/>
  <c r="C1394" i="93"/>
  <c r="C1386" i="93"/>
  <c r="C1378" i="93"/>
  <c r="C1370" i="93"/>
  <c r="C1362" i="93"/>
  <c r="C1354" i="93"/>
  <c r="C1346" i="93"/>
  <c r="C1338" i="93"/>
  <c r="C1330" i="93"/>
  <c r="C1322" i="93"/>
  <c r="C1314" i="93"/>
  <c r="C1306" i="93"/>
  <c r="C1298" i="93"/>
  <c r="C1290" i="93"/>
  <c r="C1282" i="93"/>
  <c r="C1274" i="93"/>
  <c r="C1266" i="93"/>
  <c r="C1258" i="93"/>
  <c r="C1250" i="93"/>
  <c r="C1242" i="93"/>
  <c r="C1234" i="93"/>
  <c r="C1226" i="93"/>
  <c r="C1218" i="93"/>
  <c r="C1210" i="93"/>
  <c r="C1202" i="93"/>
  <c r="C1194" i="93"/>
  <c r="C1186" i="93"/>
  <c r="C1178" i="93"/>
  <c r="C1170" i="93"/>
  <c r="C1162" i="93"/>
  <c r="C1154" i="93"/>
  <c r="C1146" i="93"/>
  <c r="C1138" i="93"/>
  <c r="C1130" i="93"/>
  <c r="C1122" i="93"/>
  <c r="C1114" i="93"/>
  <c r="C1106" i="93"/>
  <c r="C1098" i="93"/>
  <c r="C1090" i="93"/>
  <c r="C1082" i="93"/>
  <c r="C1074" i="93"/>
  <c r="C1066" i="93"/>
  <c r="C1058" i="93"/>
  <c r="C1050" i="93"/>
  <c r="C1042" i="93"/>
  <c r="C1034" i="93"/>
  <c r="C1026" i="93"/>
  <c r="C1018" i="93"/>
  <c r="C1010" i="93"/>
  <c r="C1002" i="93"/>
  <c r="C994" i="93"/>
  <c r="C986" i="93"/>
  <c r="C978" i="93"/>
  <c r="C970" i="93"/>
  <c r="C962" i="93"/>
  <c r="C954" i="93"/>
  <c r="C946" i="93"/>
  <c r="C938" i="93"/>
  <c r="C930" i="93"/>
  <c r="C922" i="93"/>
  <c r="C914" i="93"/>
  <c r="C906" i="93"/>
  <c r="C898" i="93"/>
  <c r="C890" i="93"/>
  <c r="C882" i="93"/>
  <c r="C874" i="93"/>
  <c r="C866" i="93"/>
  <c r="C858" i="93"/>
  <c r="C850" i="93"/>
  <c r="C842" i="93"/>
  <c r="C834" i="93"/>
  <c r="C826" i="93"/>
  <c r="C818" i="93"/>
  <c r="C810" i="93"/>
  <c r="C802" i="93"/>
  <c r="C794" i="93"/>
  <c r="C786" i="93"/>
  <c r="C778" i="93"/>
  <c r="C770" i="93"/>
  <c r="C1441" i="93"/>
  <c r="C1433" i="93"/>
  <c r="C1425" i="93"/>
  <c r="C1417" i="93"/>
  <c r="C1409" i="93"/>
  <c r="C1401" i="93"/>
  <c r="C1393" i="93"/>
  <c r="C1385" i="93"/>
  <c r="C1377" i="93"/>
  <c r="C1369" i="93"/>
  <c r="C1361" i="93"/>
  <c r="C1353" i="93"/>
  <c r="C1345" i="93"/>
  <c r="C1337" i="93"/>
  <c r="C1329" i="93"/>
  <c r="C1321" i="93"/>
  <c r="C1313" i="93"/>
  <c r="C1305" i="93"/>
  <c r="C1297" i="93"/>
  <c r="C1289" i="93"/>
  <c r="C1281" i="93"/>
  <c r="C1273" i="93"/>
  <c r="C1265" i="93"/>
  <c r="C1257" i="93"/>
  <c r="C1249" i="93"/>
  <c r="C1241" i="93"/>
  <c r="C1233" i="93"/>
  <c r="C1225" i="93"/>
  <c r="C1217" i="93"/>
  <c r="C1209" i="93"/>
  <c r="C1201" i="93"/>
  <c r="C1193" i="93"/>
  <c r="C1185" i="93"/>
  <c r="C1177" i="93"/>
  <c r="C1169" i="93"/>
  <c r="C1161" i="93"/>
  <c r="C1153" i="93"/>
  <c r="C1145" i="93"/>
  <c r="C1137" i="93"/>
  <c r="C1129" i="93"/>
  <c r="C1121" i="93"/>
  <c r="C1113" i="93"/>
  <c r="C1105" i="93"/>
  <c r="C1097" i="93"/>
  <c r="C1089" i="93"/>
  <c r="C1081" i="93"/>
  <c r="C1073" i="93"/>
  <c r="C1065" i="93"/>
  <c r="C1057" i="93"/>
  <c r="C1049" i="93"/>
  <c r="C1041" i="93"/>
  <c r="C1033" i="93"/>
  <c r="C1025" i="93"/>
  <c r="C1017" i="93"/>
  <c r="C1009" i="93"/>
  <c r="C1001" i="93"/>
  <c r="C993" i="93"/>
  <c r="C985" i="93"/>
  <c r="C977" i="93"/>
  <c r="C969" i="93"/>
  <c r="C961" i="93"/>
  <c r="C953" i="93"/>
  <c r="C945" i="93"/>
  <c r="C937" i="93"/>
  <c r="C929" i="93"/>
  <c r="C921" i="93"/>
  <c r="C913" i="93"/>
  <c r="C905" i="93"/>
  <c r="C897" i="93"/>
  <c r="C889" i="93"/>
  <c r="C881" i="93"/>
  <c r="C873" i="93"/>
  <c r="C865" i="93"/>
  <c r="C857" i="93"/>
  <c r="C849" i="93"/>
  <c r="C841" i="93"/>
  <c r="C833" i="93"/>
  <c r="C825" i="93"/>
  <c r="C817" i="93"/>
  <c r="C809" i="93"/>
  <c r="C801" i="93"/>
  <c r="C793" i="93"/>
  <c r="C785" i="93"/>
  <c r="C777" i="93"/>
  <c r="C769" i="93"/>
  <c r="C1440" i="93"/>
  <c r="C1432" i="93"/>
  <c r="C1424" i="93"/>
  <c r="C1416" i="93"/>
  <c r="C1408" i="93"/>
  <c r="C1400" i="93"/>
  <c r="C1392" i="93"/>
  <c r="C1384" i="93"/>
  <c r="C1376" i="93"/>
  <c r="C1368" i="93"/>
  <c r="C1360" i="93"/>
  <c r="C1352" i="93"/>
  <c r="C1344" i="93"/>
  <c r="C1336" i="93"/>
  <c r="C1328" i="93"/>
  <c r="C1320" i="93"/>
  <c r="C1312" i="93"/>
  <c r="C1304" i="93"/>
  <c r="C1296" i="93"/>
  <c r="C1288" i="93"/>
  <c r="C1280" i="93"/>
  <c r="C1272" i="93"/>
  <c r="C1264" i="93"/>
  <c r="C1256" i="93"/>
  <c r="C1248" i="93"/>
  <c r="C1240" i="93"/>
  <c r="C1232" i="93"/>
  <c r="C1224" i="93"/>
  <c r="C1216" i="93"/>
  <c r="C1208" i="93"/>
  <c r="C1200" i="93"/>
  <c r="C1192" i="93"/>
  <c r="C1184" i="93"/>
  <c r="C1176" i="93"/>
  <c r="C1168" i="93"/>
  <c r="C1160" i="93"/>
  <c r="C1152" i="93"/>
  <c r="C1144" i="93"/>
  <c r="C1136" i="93"/>
  <c r="C1128" i="93"/>
  <c r="C1120" i="93"/>
  <c r="C1112" i="93"/>
  <c r="C1104" i="93"/>
  <c r="C1096" i="93"/>
  <c r="C1088" i="93"/>
  <c r="C1080" i="93"/>
  <c r="C1072" i="93"/>
  <c r="C1064" i="93"/>
  <c r="C1056" i="93"/>
  <c r="C1048" i="93"/>
  <c r="C1040" i="93"/>
  <c r="C1032" i="93"/>
  <c r="C1024" i="93"/>
  <c r="C1016" i="93"/>
  <c r="C1008" i="93"/>
  <c r="C1000" i="93"/>
  <c r="C992" i="93"/>
  <c r="C984" i="93"/>
  <c r="C976" i="93"/>
  <c r="C968" i="93"/>
  <c r="C960" i="93"/>
  <c r="C952" i="93"/>
  <c r="C944" i="93"/>
  <c r="C936" i="93"/>
  <c r="C928" i="93"/>
  <c r="C920" i="93"/>
  <c r="C912" i="93"/>
  <c r="C904" i="93"/>
  <c r="C896" i="93"/>
  <c r="C888" i="93"/>
  <c r="C880" i="93"/>
  <c r="C872" i="93"/>
  <c r="C864" i="93"/>
  <c r="C856" i="93"/>
  <c r="C848" i="93"/>
  <c r="C840" i="93"/>
  <c r="C832" i="93"/>
  <c r="C824" i="93"/>
  <c r="C816" i="93"/>
  <c r="C808" i="93"/>
  <c r="C800" i="93"/>
  <c r="C792" i="93"/>
  <c r="C784" i="93"/>
  <c r="C776" i="93"/>
  <c r="C768" i="93"/>
  <c r="C1439" i="93"/>
  <c r="C1431" i="93"/>
  <c r="C1423" i="93"/>
  <c r="C1415" i="93"/>
  <c r="C1407" i="93"/>
  <c r="C1399" i="93"/>
  <c r="C1391" i="93"/>
  <c r="C1383" i="93"/>
  <c r="C1375" i="93"/>
  <c r="C1367" i="93"/>
  <c r="C1359" i="93"/>
  <c r="C1351" i="93"/>
  <c r="C1343" i="93"/>
  <c r="C1335" i="93"/>
  <c r="C1327" i="93"/>
  <c r="C1319" i="93"/>
  <c r="C1311" i="93"/>
  <c r="C1303" i="93"/>
  <c r="C1295" i="93"/>
  <c r="C1287" i="93"/>
  <c r="C1279" i="93"/>
  <c r="C1271" i="93"/>
  <c r="C1263" i="93"/>
  <c r="C1255" i="93"/>
  <c r="C1247" i="93"/>
  <c r="C1239" i="93"/>
  <c r="C1231" i="93"/>
  <c r="C1223" i="93"/>
  <c r="C1215" i="93"/>
  <c r="C1207" i="93"/>
  <c r="C1199" i="93"/>
  <c r="C1191" i="93"/>
  <c r="C1183" i="93"/>
  <c r="C1175" i="93"/>
  <c r="C1167" i="93"/>
  <c r="C1159" i="93"/>
  <c r="C1151" i="93"/>
  <c r="C1143" i="93"/>
  <c r="C1135" i="93"/>
  <c r="C1127" i="93"/>
  <c r="C1119" i="93"/>
  <c r="C1111" i="93"/>
  <c r="C1103" i="93"/>
  <c r="C1095" i="93"/>
  <c r="C1087" i="93"/>
  <c r="C1079" i="93"/>
  <c r="C1071" i="93"/>
  <c r="C1063" i="93"/>
  <c r="C1055" i="93"/>
  <c r="C1047" i="93"/>
  <c r="C1039" i="93"/>
  <c r="C1031" i="93"/>
  <c r="C1023" i="93"/>
  <c r="C1015" i="93"/>
  <c r="C1007" i="93"/>
  <c r="C999" i="93"/>
  <c r="C991" i="93"/>
  <c r="C983" i="93"/>
  <c r="C975" i="93"/>
  <c r="C967" i="93"/>
  <c r="C959" i="93"/>
  <c r="C951" i="93"/>
  <c r="C943" i="93"/>
  <c r="C935" i="93"/>
  <c r="C927" i="93"/>
  <c r="C919" i="93"/>
  <c r="C911" i="93"/>
  <c r="C903" i="93"/>
  <c r="C895" i="93"/>
  <c r="C887" i="93"/>
  <c r="C879" i="93"/>
  <c r="C871" i="93"/>
  <c r="C863" i="93"/>
  <c r="C855" i="93"/>
  <c r="C847" i="93"/>
  <c r="C839" i="93"/>
  <c r="C831" i="93"/>
  <c r="C823" i="93"/>
  <c r="C815" i="93"/>
  <c r="C807" i="93"/>
  <c r="C799" i="93"/>
  <c r="C791" i="93"/>
  <c r="C783" i="93"/>
  <c r="C775" i="93"/>
  <c r="C767" i="93"/>
  <c r="C1438" i="93"/>
  <c r="C1430" i="93"/>
  <c r="C1422" i="93"/>
  <c r="C1414" i="93"/>
  <c r="C1406" i="93"/>
  <c r="C1398" i="93"/>
  <c r="C1390" i="93"/>
  <c r="C1382" i="93"/>
  <c r="C1374" i="93"/>
  <c r="C1366" i="93"/>
  <c r="C1358" i="93"/>
  <c r="C1350" i="93"/>
  <c r="C1342" i="93"/>
  <c r="C1334" i="93"/>
  <c r="C1326" i="93"/>
  <c r="C1318" i="93"/>
  <c r="C1310" i="93"/>
  <c r="C1302" i="93"/>
  <c r="C1294" i="93"/>
  <c r="C1286" i="93"/>
  <c r="C1278" i="93"/>
  <c r="C1270" i="93"/>
  <c r="C1262" i="93"/>
  <c r="C1254" i="93"/>
  <c r="C1246" i="93"/>
  <c r="C1238" i="93"/>
  <c r="C1230" i="93"/>
  <c r="C1222" i="93"/>
  <c r="C1214" i="93"/>
  <c r="C1206" i="93"/>
  <c r="C1198" i="93"/>
  <c r="C1190" i="93"/>
  <c r="C1182" i="93"/>
  <c r="C1174" i="93"/>
  <c r="C1166" i="93"/>
  <c r="C1158" i="93"/>
  <c r="C1150" i="93"/>
  <c r="C1142" i="93"/>
  <c r="C1134" i="93"/>
  <c r="C1126" i="93"/>
  <c r="C1118" i="93"/>
  <c r="C1110" i="93"/>
  <c r="C1102" i="93"/>
  <c r="C1094" i="93"/>
  <c r="C1086" i="93"/>
  <c r="C1078" i="93"/>
  <c r="C1070" i="93"/>
  <c r="C1062" i="93"/>
  <c r="C1054" i="93"/>
  <c r="C1046" i="93"/>
  <c r="C1038" i="93"/>
  <c r="C1030" i="93"/>
  <c r="C1022" i="93"/>
  <c r="C1014" i="93"/>
  <c r="C1006" i="93"/>
  <c r="C998" i="93"/>
  <c r="C990" i="93"/>
  <c r="C982" i="93"/>
  <c r="C974" i="93"/>
  <c r="C966" i="93"/>
  <c r="C958" i="93"/>
  <c r="C950" i="93"/>
  <c r="C942" i="93"/>
  <c r="C934" i="93"/>
  <c r="C926" i="93"/>
  <c r="C918" i="93"/>
  <c r="C910" i="93"/>
  <c r="C902" i="93"/>
  <c r="C894" i="93"/>
  <c r="C886" i="93"/>
  <c r="C878" i="93"/>
  <c r="C870" i="93"/>
  <c r="C862" i="93"/>
  <c r="C854" i="93"/>
  <c r="C846" i="93"/>
  <c r="C838" i="93"/>
  <c r="C830" i="93"/>
  <c r="C822" i="93"/>
  <c r="C814" i="93"/>
  <c r="C806" i="93"/>
  <c r="C798" i="93"/>
  <c r="C790" i="93"/>
  <c r="C782" i="93"/>
  <c r="C774" i="93"/>
  <c r="C766" i="93"/>
  <c r="C764" i="93"/>
  <c r="C756" i="93"/>
  <c r="C748" i="93"/>
  <c r="C740" i="93"/>
  <c r="C732" i="93"/>
  <c r="C724" i="93"/>
  <c r="C716" i="93"/>
  <c r="C708" i="93"/>
  <c r="C700" i="93"/>
  <c r="C692" i="93"/>
  <c r="C684" i="93"/>
  <c r="C676" i="93"/>
  <c r="C668" i="93"/>
  <c r="C660" i="93"/>
  <c r="C652" i="93"/>
  <c r="C644" i="93"/>
  <c r="C636" i="93"/>
  <c r="C628" i="93"/>
  <c r="C620" i="93"/>
  <c r="C612" i="93"/>
  <c r="C604" i="93"/>
  <c r="C596" i="93"/>
  <c r="C588" i="93"/>
  <c r="C580" i="93"/>
  <c r="C572" i="93"/>
  <c r="C564" i="93"/>
  <c r="C556" i="93"/>
  <c r="C548" i="93"/>
  <c r="C540" i="93"/>
  <c r="C532" i="93"/>
  <c r="C524" i="93"/>
  <c r="C516" i="93"/>
  <c r="C508" i="93"/>
  <c r="C500" i="93"/>
  <c r="C492" i="93"/>
  <c r="C484" i="93"/>
  <c r="C476" i="93"/>
  <c r="C468" i="93"/>
  <c r="C460" i="93"/>
  <c r="C452" i="93"/>
  <c r="C444" i="93"/>
  <c r="C436" i="93"/>
  <c r="C428" i="93"/>
  <c r="C420" i="93"/>
  <c r="C412" i="93"/>
  <c r="C404" i="93"/>
  <c r="C396" i="93"/>
  <c r="C388" i="93"/>
  <c r="C380" i="93"/>
  <c r="C372" i="93"/>
  <c r="C364" i="93"/>
  <c r="C356" i="93"/>
  <c r="C348" i="93"/>
  <c r="C340" i="93"/>
  <c r="C332" i="93"/>
  <c r="C324" i="93"/>
  <c r="C316" i="93"/>
  <c r="C308" i="93"/>
  <c r="C300" i="93"/>
  <c r="C292" i="93"/>
  <c r="C284" i="93"/>
  <c r="C276" i="93"/>
  <c r="C268" i="93"/>
  <c r="C260" i="93"/>
  <c r="C252" i="93"/>
  <c r="C244" i="93"/>
  <c r="C236" i="93"/>
  <c r="C228" i="93"/>
  <c r="C220" i="93"/>
  <c r="C212" i="93"/>
  <c r="C204" i="93"/>
  <c r="C196" i="93"/>
  <c r="C188" i="93"/>
  <c r="C180" i="93"/>
  <c r="C172" i="93"/>
  <c r="C164" i="93"/>
  <c r="C156" i="93"/>
  <c r="C148" i="93"/>
  <c r="C140" i="93"/>
  <c r="C132" i="93"/>
  <c r="C124" i="93"/>
  <c r="C116" i="93"/>
  <c r="C108" i="93"/>
  <c r="C100" i="93"/>
  <c r="C92" i="93"/>
  <c r="C84" i="93"/>
  <c r="C763" i="93"/>
  <c r="C755" i="93"/>
  <c r="C747" i="93"/>
  <c r="C739" i="93"/>
  <c r="C731" i="93"/>
  <c r="C723" i="93"/>
  <c r="C715" i="93"/>
  <c r="C707" i="93"/>
  <c r="C699" i="93"/>
  <c r="C691" i="93"/>
  <c r="C683" i="93"/>
  <c r="C675" i="93"/>
  <c r="C667" i="93"/>
  <c r="C659" i="93"/>
  <c r="C651" i="93"/>
  <c r="C643" i="93"/>
  <c r="C635" i="93"/>
  <c r="C627" i="93"/>
  <c r="C619" i="93"/>
  <c r="C611" i="93"/>
  <c r="C603" i="93"/>
  <c r="C595" i="93"/>
  <c r="C587" i="93"/>
  <c r="C579" i="93"/>
  <c r="C571" i="93"/>
  <c r="C563" i="93"/>
  <c r="C555" i="93"/>
  <c r="C547" i="93"/>
  <c r="C539" i="93"/>
  <c r="C531" i="93"/>
  <c r="C523" i="93"/>
  <c r="C515" i="93"/>
  <c r="C507" i="93"/>
  <c r="C499" i="93"/>
  <c r="C491" i="93"/>
  <c r="C483" i="93"/>
  <c r="C475" i="93"/>
  <c r="C467" i="93"/>
  <c r="C459" i="93"/>
  <c r="C451" i="93"/>
  <c r="C443" i="93"/>
  <c r="C435" i="93"/>
  <c r="C427" i="93"/>
  <c r="C419" i="93"/>
  <c r="C411" i="93"/>
  <c r="C403" i="93"/>
  <c r="C395" i="93"/>
  <c r="C387" i="93"/>
  <c r="C379" i="93"/>
  <c r="C371" i="93"/>
  <c r="C363" i="93"/>
  <c r="C355" i="93"/>
  <c r="C347" i="93"/>
  <c r="C339" i="93"/>
  <c r="C331" i="93"/>
  <c r="C323" i="93"/>
  <c r="C315" i="93"/>
  <c r="C307" i="93"/>
  <c r="C299" i="93"/>
  <c r="C291" i="93"/>
  <c r="C283" i="93"/>
  <c r="C275" i="93"/>
  <c r="C267" i="93"/>
  <c r="C259" i="93"/>
  <c r="C251" i="93"/>
  <c r="C243" i="93"/>
  <c r="C235" i="93"/>
  <c r="C227" i="93"/>
  <c r="C219" i="93"/>
  <c r="C211" i="93"/>
  <c r="C203" i="93"/>
  <c r="C195" i="93"/>
  <c r="C187" i="93"/>
  <c r="C179" i="93"/>
  <c r="C171" i="93"/>
  <c r="C163" i="93"/>
  <c r="C155" i="93"/>
  <c r="C147" i="93"/>
  <c r="C139" i="93"/>
  <c r="C131" i="93"/>
  <c r="C123" i="93"/>
  <c r="C115" i="93"/>
  <c r="C107" i="93"/>
  <c r="C99" i="93"/>
  <c r="C91" i="93"/>
  <c r="C762" i="93"/>
  <c r="C754" i="93"/>
  <c r="C746" i="93"/>
  <c r="C738" i="93"/>
  <c r="C730" i="93"/>
  <c r="C722" i="93"/>
  <c r="C714" i="93"/>
  <c r="C706" i="93"/>
  <c r="C698" i="93"/>
  <c r="C690" i="93"/>
  <c r="C682" i="93"/>
  <c r="C674" i="93"/>
  <c r="C666" i="93"/>
  <c r="C658" i="93"/>
  <c r="C650" i="93"/>
  <c r="C642" i="93"/>
  <c r="C634" i="93"/>
  <c r="C626" i="93"/>
  <c r="C618" i="93"/>
  <c r="C610" i="93"/>
  <c r="C602" i="93"/>
  <c r="C594" i="93"/>
  <c r="C586" i="93"/>
  <c r="C578" i="93"/>
  <c r="C570" i="93"/>
  <c r="C562" i="93"/>
  <c r="C554" i="93"/>
  <c r="C546" i="93"/>
  <c r="C538" i="93"/>
  <c r="C530" i="93"/>
  <c r="C522" i="93"/>
  <c r="C514" i="93"/>
  <c r="C506" i="93"/>
  <c r="C498" i="93"/>
  <c r="C490" i="93"/>
  <c r="C482" i="93"/>
  <c r="C474" i="93"/>
  <c r="C466" i="93"/>
  <c r="C458" i="93"/>
  <c r="C450" i="93"/>
  <c r="C442" i="93"/>
  <c r="C434" i="93"/>
  <c r="C426" i="93"/>
  <c r="C418" i="93"/>
  <c r="C410" i="93"/>
  <c r="C402" i="93"/>
  <c r="C394" i="93"/>
  <c r="C386" i="93"/>
  <c r="C378" i="93"/>
  <c r="C370" i="93"/>
  <c r="C362" i="93"/>
  <c r="C354" i="93"/>
  <c r="C346" i="93"/>
  <c r="C338" i="93"/>
  <c r="C330" i="93"/>
  <c r="C322" i="93"/>
  <c r="C314" i="93"/>
  <c r="C306" i="93"/>
  <c r="C298" i="93"/>
  <c r="C290" i="93"/>
  <c r="C282" i="93"/>
  <c r="C274" i="93"/>
  <c r="C266" i="93"/>
  <c r="C258" i="93"/>
  <c r="C250" i="93"/>
  <c r="C242" i="93"/>
  <c r="C234" i="93"/>
  <c r="C226" i="93"/>
  <c r="C218" i="93"/>
  <c r="C210" i="93"/>
  <c r="C202" i="93"/>
  <c r="C194" i="93"/>
  <c r="C186" i="93"/>
  <c r="C178" i="93"/>
  <c r="C170" i="93"/>
  <c r="C162" i="93"/>
  <c r="C154" i="93"/>
  <c r="C146" i="93"/>
  <c r="C138" i="93"/>
  <c r="C130" i="93"/>
  <c r="C122" i="93"/>
  <c r="C114" i="93"/>
  <c r="C106" i="93"/>
  <c r="C98" i="93"/>
  <c r="C90" i="93"/>
  <c r="C761" i="93"/>
  <c r="C753" i="93"/>
  <c r="C745" i="93"/>
  <c r="C737" i="93"/>
  <c r="C729" i="93"/>
  <c r="C721" i="93"/>
  <c r="C713" i="93"/>
  <c r="C705" i="93"/>
  <c r="C697" i="93"/>
  <c r="C689" i="93"/>
  <c r="C681" i="93"/>
  <c r="C673" i="93"/>
  <c r="C665" i="93"/>
  <c r="C657" i="93"/>
  <c r="C649" i="93"/>
  <c r="C641" i="93"/>
  <c r="C633" i="93"/>
  <c r="C625" i="93"/>
  <c r="C617" i="93"/>
  <c r="C609" i="93"/>
  <c r="C601" i="93"/>
  <c r="C593" i="93"/>
  <c r="C585" i="93"/>
  <c r="C577" i="93"/>
  <c r="C569" i="93"/>
  <c r="C561" i="93"/>
  <c r="C553" i="93"/>
  <c r="C545" i="93"/>
  <c r="C537" i="93"/>
  <c r="C529" i="93"/>
  <c r="C521" i="93"/>
  <c r="C513" i="93"/>
  <c r="C505" i="93"/>
  <c r="C497" i="93"/>
  <c r="C489" i="93"/>
  <c r="C481" i="93"/>
  <c r="C473" i="93"/>
  <c r="C465" i="93"/>
  <c r="C457" i="93"/>
  <c r="C449" i="93"/>
  <c r="C441" i="93"/>
  <c r="C433" i="93"/>
  <c r="C425" i="93"/>
  <c r="C417" i="93"/>
  <c r="C409" i="93"/>
  <c r="C401" i="93"/>
  <c r="C393" i="93"/>
  <c r="C385" i="93"/>
  <c r="C377" i="93"/>
  <c r="C369" i="93"/>
  <c r="C361" i="93"/>
  <c r="C353" i="93"/>
  <c r="C345" i="93"/>
  <c r="C337" i="93"/>
  <c r="C329" i="93"/>
  <c r="C321" i="93"/>
  <c r="C313" i="93"/>
  <c r="C305" i="93"/>
  <c r="C297" i="93"/>
  <c r="C289" i="93"/>
  <c r="C281" i="93"/>
  <c r="C273" i="93"/>
  <c r="C265" i="93"/>
  <c r="C257" i="93"/>
  <c r="C249" i="93"/>
  <c r="C241" i="93"/>
  <c r="C233" i="93"/>
  <c r="C225" i="93"/>
  <c r="C217" i="93"/>
  <c r="C209" i="93"/>
  <c r="C201" i="93"/>
  <c r="C193" i="93"/>
  <c r="C185" i="93"/>
  <c r="C177" i="93"/>
  <c r="C169" i="93"/>
  <c r="C161" i="93"/>
  <c r="C153" i="93"/>
  <c r="C145" i="93"/>
  <c r="C137" i="93"/>
  <c r="C129" i="93"/>
  <c r="C121" i="93"/>
  <c r="C113" i="93"/>
  <c r="C105" i="93"/>
  <c r="C97" i="93"/>
  <c r="C89" i="93"/>
  <c r="C760" i="93"/>
  <c r="C752" i="93"/>
  <c r="C744" i="93"/>
  <c r="C736" i="93"/>
  <c r="C728" i="93"/>
  <c r="C720" i="93"/>
  <c r="C712" i="93"/>
  <c r="C704" i="93"/>
  <c r="C696" i="93"/>
  <c r="C688" i="93"/>
  <c r="C680" i="93"/>
  <c r="C672" i="93"/>
  <c r="C664" i="93"/>
  <c r="C656" i="93"/>
  <c r="C648" i="93"/>
  <c r="C640" i="93"/>
  <c r="C632" i="93"/>
  <c r="C624" i="93"/>
  <c r="C616" i="93"/>
  <c r="C608" i="93"/>
  <c r="C600" i="93"/>
  <c r="C592" i="93"/>
  <c r="C584" i="93"/>
  <c r="C576" i="93"/>
  <c r="C568" i="93"/>
  <c r="C560" i="93"/>
  <c r="C552" i="93"/>
  <c r="C544" i="93"/>
  <c r="C536" i="93"/>
  <c r="C528" i="93"/>
  <c r="C520" i="93"/>
  <c r="C512" i="93"/>
  <c r="C504" i="93"/>
  <c r="C496" i="93"/>
  <c r="C488" i="93"/>
  <c r="C480" i="93"/>
  <c r="C472" i="93"/>
  <c r="C464" i="93"/>
  <c r="C456" i="93"/>
  <c r="C448" i="93"/>
  <c r="C440" i="93"/>
  <c r="C432" i="93"/>
  <c r="C424" i="93"/>
  <c r="C416" i="93"/>
  <c r="C408" i="93"/>
  <c r="C400" i="93"/>
  <c r="C392" i="93"/>
  <c r="C384" i="93"/>
  <c r="C376" i="93"/>
  <c r="C368" i="93"/>
  <c r="C360" i="93"/>
  <c r="C352" i="93"/>
  <c r="C344" i="93"/>
  <c r="C336" i="93"/>
  <c r="C328" i="93"/>
  <c r="C320" i="93"/>
  <c r="C312" i="93"/>
  <c r="C304" i="93"/>
  <c r="C296" i="93"/>
  <c r="C288" i="93"/>
  <c r="C280" i="93"/>
  <c r="C272" i="93"/>
  <c r="C264" i="93"/>
  <c r="C256" i="93"/>
  <c r="C248" i="93"/>
  <c r="C240" i="93"/>
  <c r="C232" i="93"/>
  <c r="C224" i="93"/>
  <c r="C216" i="93"/>
  <c r="C208" i="93"/>
  <c r="C200" i="93"/>
  <c r="C192" i="93"/>
  <c r="C184" i="93"/>
  <c r="C176" i="93"/>
  <c r="C168" i="93"/>
  <c r="C160" i="93"/>
  <c r="C152" i="93"/>
  <c r="C144" i="93"/>
  <c r="C136" i="93"/>
  <c r="C128" i="93"/>
  <c r="C120" i="93"/>
  <c r="C112" i="93"/>
  <c r="C104" i="93"/>
  <c r="C96" i="93"/>
  <c r="C88" i="93"/>
  <c r="C759" i="93"/>
  <c r="C751" i="93"/>
  <c r="C743" i="93"/>
  <c r="C735" i="93"/>
  <c r="C727" i="93"/>
  <c r="C719" i="93"/>
  <c r="C711" i="93"/>
  <c r="C703" i="93"/>
  <c r="C695" i="93"/>
  <c r="C687" i="93"/>
  <c r="C679" i="93"/>
  <c r="C671" i="93"/>
  <c r="C663" i="93"/>
  <c r="C655" i="93"/>
  <c r="C647" i="93"/>
  <c r="C639" i="93"/>
  <c r="C631" i="93"/>
  <c r="C623" i="93"/>
  <c r="C615" i="93"/>
  <c r="C607" i="93"/>
  <c r="C599" i="93"/>
  <c r="C591" i="93"/>
  <c r="C583" i="93"/>
  <c r="C575" i="93"/>
  <c r="C567" i="93"/>
  <c r="C559" i="93"/>
  <c r="C551" i="93"/>
  <c r="C543" i="93"/>
  <c r="C535" i="93"/>
  <c r="C527" i="93"/>
  <c r="C519" i="93"/>
  <c r="C511" i="93"/>
  <c r="C503" i="93"/>
  <c r="C495" i="93"/>
  <c r="C487" i="93"/>
  <c r="C479" i="93"/>
  <c r="C471" i="93"/>
  <c r="C463" i="93"/>
  <c r="C455" i="93"/>
  <c r="C447" i="93"/>
  <c r="C439" i="93"/>
  <c r="C431" i="93"/>
  <c r="C423" i="93"/>
  <c r="C415" i="93"/>
  <c r="C407" i="93"/>
  <c r="C399" i="93"/>
  <c r="C391" i="93"/>
  <c r="C383" i="93"/>
  <c r="C375" i="93"/>
  <c r="C367" i="93"/>
  <c r="C359" i="93"/>
  <c r="C351" i="93"/>
  <c r="C343" i="93"/>
  <c r="C335" i="93"/>
  <c r="C327" i="93"/>
  <c r="C319" i="93"/>
  <c r="C311" i="93"/>
  <c r="C303" i="93"/>
  <c r="C295" i="93"/>
  <c r="C287" i="93"/>
  <c r="C279" i="93"/>
  <c r="C271" i="93"/>
  <c r="C263" i="93"/>
  <c r="C255" i="93"/>
  <c r="C247" i="93"/>
  <c r="C239" i="93"/>
  <c r="C231" i="93"/>
  <c r="C223" i="93"/>
  <c r="C215" i="93"/>
  <c r="C207" i="93"/>
  <c r="C199" i="93"/>
  <c r="C191" i="93"/>
  <c r="C183" i="93"/>
  <c r="C175" i="93"/>
  <c r="C167" i="93"/>
  <c r="C159" i="93"/>
  <c r="C151" i="93"/>
  <c r="C143" i="93"/>
  <c r="C135" i="93"/>
  <c r="C127" i="93"/>
  <c r="C119" i="93"/>
  <c r="C111" i="93"/>
  <c r="C103" i="93"/>
  <c r="C95" i="93"/>
  <c r="C87" i="93"/>
  <c r="C758" i="93"/>
  <c r="C750" i="93"/>
  <c r="C742" i="93"/>
  <c r="C734" i="93"/>
  <c r="C726" i="93"/>
  <c r="C718" i="93"/>
  <c r="C710" i="93"/>
  <c r="C702" i="93"/>
  <c r="C694" i="93"/>
  <c r="C686" i="93"/>
  <c r="C678" i="93"/>
  <c r="C670" i="93"/>
  <c r="C662" i="93"/>
  <c r="C654" i="93"/>
  <c r="C646" i="93"/>
  <c r="C638" i="93"/>
  <c r="C630" i="93"/>
  <c r="C622" i="93"/>
  <c r="C614" i="93"/>
  <c r="C606" i="93"/>
  <c r="C598" i="93"/>
  <c r="C590" i="93"/>
  <c r="C582" i="93"/>
  <c r="C574" i="93"/>
  <c r="C566" i="93"/>
  <c r="C558" i="93"/>
  <c r="C550" i="93"/>
  <c r="C542" i="93"/>
  <c r="C534" i="93"/>
  <c r="C526" i="93"/>
  <c r="C518" i="93"/>
  <c r="C510" i="93"/>
  <c r="C502" i="93"/>
  <c r="C494" i="93"/>
  <c r="C486" i="93"/>
  <c r="C478" i="93"/>
  <c r="C470" i="93"/>
  <c r="C462" i="93"/>
  <c r="C454" i="93"/>
  <c r="C446" i="93"/>
  <c r="C438" i="93"/>
  <c r="C430" i="93"/>
  <c r="C422" i="93"/>
  <c r="C414" i="93"/>
  <c r="C406" i="93"/>
  <c r="C398" i="93"/>
  <c r="C390" i="93"/>
  <c r="C382" i="93"/>
  <c r="C374" i="93"/>
  <c r="C366" i="93"/>
  <c r="C358" i="93"/>
  <c r="C350" i="93"/>
  <c r="C342" i="93"/>
  <c r="C334" i="93"/>
  <c r="C326" i="93"/>
  <c r="C318" i="93"/>
  <c r="C310" i="93"/>
  <c r="C302" i="93"/>
  <c r="C294" i="93"/>
  <c r="C286" i="93"/>
  <c r="C278" i="93"/>
  <c r="C270" i="93"/>
  <c r="C262" i="93"/>
  <c r="C254" i="93"/>
  <c r="C246" i="93"/>
  <c r="C238" i="93"/>
  <c r="C230" i="93"/>
  <c r="C222" i="93"/>
  <c r="C214" i="93"/>
  <c r="C206" i="93"/>
  <c r="C198" i="93"/>
  <c r="C190" i="93"/>
  <c r="C182" i="93"/>
  <c r="C174" i="93"/>
  <c r="C166" i="93"/>
  <c r="C158" i="93"/>
  <c r="C150" i="93"/>
  <c r="C142" i="93"/>
  <c r="C134" i="93"/>
  <c r="C126" i="93"/>
  <c r="C118" i="93"/>
  <c r="C110" i="93"/>
  <c r="C102" i="93"/>
  <c r="C94" i="93"/>
  <c r="C86" i="93"/>
  <c r="C757" i="93"/>
  <c r="C749" i="93"/>
  <c r="C741" i="93"/>
  <c r="C733" i="93"/>
  <c r="C725" i="93"/>
  <c r="C717" i="93"/>
  <c r="C709" i="93"/>
  <c r="C701" i="93"/>
  <c r="C693" i="93"/>
  <c r="C685" i="93"/>
  <c r="C677" i="93"/>
  <c r="C669" i="93"/>
  <c r="C661" i="93"/>
  <c r="C653" i="93"/>
  <c r="C645" i="93"/>
  <c r="C637" i="93"/>
  <c r="C629" i="93"/>
  <c r="C621" i="93"/>
  <c r="C613" i="93"/>
  <c r="C605" i="93"/>
  <c r="C597" i="93"/>
  <c r="C589" i="93"/>
  <c r="C581" i="93"/>
  <c r="C573" i="93"/>
  <c r="C565" i="93"/>
  <c r="C557" i="93"/>
  <c r="C549" i="93"/>
  <c r="C541" i="93"/>
  <c r="C533" i="93"/>
  <c r="C525" i="93"/>
  <c r="C517" i="93"/>
  <c r="C509" i="93"/>
  <c r="C501" i="93"/>
  <c r="C493" i="93"/>
  <c r="C485" i="93"/>
  <c r="C477" i="93"/>
  <c r="C469" i="93"/>
  <c r="C461" i="93"/>
  <c r="C453" i="93"/>
  <c r="C445" i="93"/>
  <c r="C437" i="93"/>
  <c r="C429" i="93"/>
  <c r="C421" i="93"/>
  <c r="C413" i="93"/>
  <c r="C405" i="93"/>
  <c r="C397" i="93"/>
  <c r="C389" i="93"/>
  <c r="C381" i="93"/>
  <c r="C373" i="93"/>
  <c r="C365" i="93"/>
  <c r="C357" i="93"/>
  <c r="C349" i="93"/>
  <c r="C341" i="93"/>
  <c r="C333" i="93"/>
  <c r="C325" i="93"/>
  <c r="C317" i="93"/>
  <c r="C309" i="93"/>
  <c r="C301" i="93"/>
  <c r="C293" i="93"/>
  <c r="C285" i="93"/>
  <c r="C277" i="93"/>
  <c r="C269" i="93"/>
  <c r="C261" i="93"/>
  <c r="C253" i="93"/>
  <c r="C245" i="93"/>
  <c r="C237" i="93"/>
  <c r="C229" i="93"/>
  <c r="C221" i="93"/>
  <c r="C213" i="93"/>
  <c r="C205" i="93"/>
  <c r="C197" i="93"/>
  <c r="C189" i="93"/>
  <c r="C181" i="93"/>
  <c r="C173" i="93"/>
  <c r="C165" i="93"/>
  <c r="C157" i="93"/>
  <c r="C149" i="93"/>
  <c r="C141" i="93"/>
  <c r="C133" i="93"/>
  <c r="C125" i="93"/>
  <c r="C117" i="93"/>
  <c r="C109" i="93"/>
  <c r="C101" i="93"/>
  <c r="C93" i="93"/>
  <c r="C85" i="93"/>
  <c r="C24" i="93"/>
  <c r="C32" i="93"/>
  <c r="C40" i="93"/>
  <c r="C48" i="93"/>
  <c r="C56" i="93"/>
  <c r="C64" i="93"/>
  <c r="C72" i="93"/>
  <c r="C80" i="93"/>
  <c r="C9" i="93"/>
  <c r="C17" i="93"/>
  <c r="C25" i="93"/>
  <c r="C33" i="93"/>
  <c r="C41" i="93"/>
  <c r="C49" i="93"/>
  <c r="C57" i="93"/>
  <c r="C65" i="93"/>
  <c r="C73" i="93"/>
  <c r="C81" i="93"/>
  <c r="C12" i="93"/>
  <c r="C44" i="93"/>
  <c r="C29" i="93"/>
  <c r="C69" i="93"/>
  <c r="C14" i="93"/>
  <c r="C16" i="93"/>
  <c r="F5" i="93"/>
  <c r="C10" i="93"/>
  <c r="C18" i="93"/>
  <c r="C26" i="93"/>
  <c r="C34" i="93"/>
  <c r="C42" i="93"/>
  <c r="C50" i="93"/>
  <c r="C58" i="93"/>
  <c r="C66" i="93"/>
  <c r="C74" i="93"/>
  <c r="C82" i="93"/>
  <c r="C4" i="93"/>
  <c r="C36" i="93"/>
  <c r="C37" i="93"/>
  <c r="C77" i="93"/>
  <c r="C8" i="93"/>
  <c r="F6" i="93"/>
  <c r="C11" i="93"/>
  <c r="C19" i="93"/>
  <c r="C27" i="93"/>
  <c r="C35" i="93"/>
  <c r="C43" i="93"/>
  <c r="C51" i="93"/>
  <c r="C59" i="93"/>
  <c r="C67" i="93"/>
  <c r="C75" i="93"/>
  <c r="C83" i="93"/>
  <c r="K65" i="3" l="1"/>
  <c r="O65" i="3"/>
  <c r="N65" i="3"/>
  <c r="P65" i="3"/>
  <c r="L65" i="3"/>
  <c r="P57" i="3"/>
  <c r="O57" i="3"/>
  <c r="N57" i="3"/>
  <c r="J57" i="3"/>
  <c r="K57" i="3"/>
  <c r="L57" i="3"/>
  <c r="F71" i="88"/>
  <c r="AD61" i="3" l="1"/>
  <c r="AC61" i="3" s="1"/>
  <c r="AB61" i="3" s="1"/>
  <c r="AF61" i="3"/>
  <c r="AG61" i="3" s="1"/>
  <c r="AH61" i="3" s="1"/>
  <c r="AH10" i="88"/>
  <c r="AB18" i="88"/>
  <c r="AB21" i="88"/>
  <c r="AB16" i="88" s="1"/>
  <c r="AB23" i="88"/>
  <c r="AB24" i="88"/>
  <c r="AB25" i="88"/>
  <c r="AB26" i="88"/>
  <c r="AH7" i="88"/>
  <c r="AB8" i="88"/>
  <c r="AB9" i="88"/>
  <c r="AB10" i="88" s="1"/>
  <c r="AH9" i="88"/>
  <c r="AB11" i="88"/>
  <c r="AB12" i="88" s="1"/>
  <c r="AH11" i="88"/>
  <c r="AH12" i="88"/>
  <c r="AB20" i="88" l="1"/>
  <c r="AB17" i="88"/>
  <c r="AB15" i="88" s="1"/>
  <c r="T78" i="2" l="1"/>
  <c r="S78" i="2"/>
  <c r="R78" i="2"/>
  <c r="Q78" i="2"/>
  <c r="P78" i="2"/>
  <c r="N78" i="2"/>
  <c r="N73" i="3"/>
  <c r="O73" i="3" s="1"/>
  <c r="P73" i="3" s="1"/>
  <c r="L73" i="3"/>
  <c r="K73" i="3" s="1"/>
  <c r="J73" i="3" s="1"/>
  <c r="F34" i="88" l="1"/>
  <c r="P166" i="88"/>
  <c r="P167" i="88" s="1"/>
  <c r="P168" i="88" s="1"/>
  <c r="P169" i="88" s="1"/>
  <c r="P170" i="88" s="1"/>
  <c r="P171" i="88" s="1"/>
  <c r="P172" i="88" s="1"/>
  <c r="P173" i="88" s="1"/>
  <c r="P152" i="88"/>
  <c r="P153" i="88" s="1"/>
  <c r="P154" i="88" s="1"/>
  <c r="P155" i="88" s="1"/>
  <c r="P156" i="88" s="1"/>
  <c r="P157" i="88" s="1"/>
  <c r="P158" i="88" s="1"/>
  <c r="P159" i="88" s="1"/>
  <c r="E142" i="88"/>
  <c r="E141" i="88"/>
  <c r="E139" i="88"/>
  <c r="E146" i="88" s="1"/>
  <c r="E140" i="88" l="1"/>
  <c r="E138" i="88" s="1"/>
  <c r="O52" i="34"/>
  <c r="L52" i="34" l="1"/>
  <c r="K52" i="34"/>
  <c r="J52" i="34"/>
  <c r="G226" i="88"/>
  <c r="D226" i="88"/>
  <c r="G221" i="88"/>
  <c r="D221" i="88"/>
  <c r="F60" i="2"/>
  <c r="N60" i="2" s="1"/>
  <c r="F21" i="2"/>
  <c r="F153" i="2"/>
  <c r="G209" i="88"/>
  <c r="D209" i="88"/>
  <c r="D204" i="88"/>
  <c r="AB7" i="88" s="1"/>
  <c r="G204" i="88"/>
  <c r="AH15" i="88" s="1"/>
  <c r="P75" i="34"/>
  <c r="G21" i="2" l="1"/>
  <c r="R21" i="2"/>
  <c r="Q21" i="2"/>
  <c r="T21" i="2"/>
  <c r="P21" i="2"/>
  <c r="S21" i="2"/>
  <c r="N21" i="2"/>
  <c r="AB22" i="88"/>
  <c r="F30" i="88"/>
  <c r="AB19" i="88" s="1"/>
  <c r="H22" i="91"/>
  <c r="H23" i="91" s="1"/>
  <c r="H21" i="91"/>
  <c r="G17" i="91"/>
  <c r="J8" i="91" s="1"/>
  <c r="A1" i="91"/>
  <c r="Z21" i="2" l="1"/>
  <c r="J10" i="91"/>
  <c r="J11" i="91" s="1"/>
  <c r="K10" i="91"/>
  <c r="L10" i="91" s="1"/>
  <c r="M10" i="91" s="1"/>
  <c r="M8" i="91"/>
  <c r="N8" i="91"/>
  <c r="K11" i="91"/>
  <c r="O8" i="91"/>
  <c r="K8" i="91"/>
  <c r="L11" i="91"/>
  <c r="L8" i="91"/>
  <c r="N10" i="91" l="1"/>
  <c r="M11" i="91"/>
  <c r="E168" i="88"/>
  <c r="E167" i="88"/>
  <c r="G153" i="2" l="1"/>
  <c r="O10" i="91"/>
  <c r="N11" i="91"/>
  <c r="L241" i="88"/>
  <c r="T155" i="2"/>
  <c r="S155" i="2"/>
  <c r="R155" i="2"/>
  <c r="Q155" i="2"/>
  <c r="P155" i="2"/>
  <c r="T154" i="2"/>
  <c r="S154" i="2"/>
  <c r="R154" i="2"/>
  <c r="Q154" i="2"/>
  <c r="P154" i="2"/>
  <c r="P10" i="91" l="1"/>
  <c r="P11" i="91" s="1"/>
  <c r="O11" i="91"/>
  <c r="B64" i="10" l="1"/>
  <c r="P80" i="7" l="1"/>
  <c r="O79" i="34"/>
  <c r="N79" i="34" s="1"/>
  <c r="O75" i="34"/>
  <c r="O73" i="34"/>
  <c r="O72" i="34"/>
  <c r="O60" i="34"/>
  <c r="O71" i="34"/>
  <c r="O70" i="34"/>
  <c r="O69" i="34"/>
  <c r="O64" i="34"/>
  <c r="K298" i="89" s="1"/>
  <c r="O50" i="34"/>
  <c r="K302" i="89" s="1"/>
  <c r="O47" i="34"/>
  <c r="O45" i="34"/>
  <c r="L51" i="10"/>
  <c r="O44" i="34"/>
  <c r="K301" i="89" s="1"/>
  <c r="O42" i="34"/>
  <c r="K295" i="89" s="1"/>
  <c r="O40" i="34"/>
  <c r="O39" i="34"/>
  <c r="K291" i="89" s="1"/>
  <c r="O30" i="34"/>
  <c r="N30" i="34" s="1"/>
  <c r="O28" i="34"/>
  <c r="O27" i="34"/>
  <c r="O26" i="34"/>
  <c r="C300" i="89" s="1"/>
  <c r="O25" i="34"/>
  <c r="O22" i="34"/>
  <c r="O20" i="34"/>
  <c r="N20" i="34" s="1"/>
  <c r="O21" i="34"/>
  <c r="O19" i="34"/>
  <c r="C295" i="89" s="1"/>
  <c r="O14" i="34"/>
  <c r="C291" i="89" s="1"/>
  <c r="O17" i="34"/>
  <c r="O16" i="34"/>
  <c r="O15" i="34"/>
  <c r="C292" i="89" s="1"/>
  <c r="C293" i="89" l="1"/>
  <c r="C294" i="89" s="1"/>
  <c r="C298" i="89"/>
  <c r="O48" i="34"/>
  <c r="N21" i="34"/>
  <c r="N22" i="34"/>
  <c r="C296" i="89"/>
  <c r="C297" i="89" s="1"/>
  <c r="K292" i="89"/>
  <c r="K293" i="89" s="1"/>
  <c r="O29" i="34"/>
  <c r="N29" i="34" s="1"/>
  <c r="C299" i="89"/>
  <c r="C301" i="89" s="1"/>
  <c r="C302" i="89"/>
  <c r="O23" i="34"/>
  <c r="N23" i="34" s="1"/>
  <c r="O18" i="34"/>
  <c r="N18" i="34" s="1"/>
  <c r="C303" i="89" l="1"/>
  <c r="K294" i="89"/>
  <c r="K296" i="89"/>
  <c r="C304" i="89"/>
  <c r="E320" i="88"/>
  <c r="E197" i="88" s="1"/>
  <c r="AH243" i="88"/>
  <c r="AH242" i="88"/>
  <c r="K299" i="89" l="1"/>
  <c r="K300" i="89" s="1"/>
  <c r="K303" i="89"/>
  <c r="K304" i="89" s="1"/>
  <c r="K297" i="89"/>
  <c r="E122" i="88"/>
  <c r="C124" i="88"/>
  <c r="D121" i="88" l="1"/>
  <c r="E82" i="88"/>
  <c r="D122" i="88"/>
  <c r="D123" i="88"/>
  <c r="E121" i="88"/>
  <c r="J282" i="89"/>
  <c r="I282" i="89"/>
  <c r="H282" i="89"/>
  <c r="G282" i="89"/>
  <c r="F282" i="89"/>
  <c r="E265" i="89"/>
  <c r="D265" i="89"/>
  <c r="E264" i="89"/>
  <c r="D264" i="89"/>
  <c r="E258" i="89"/>
  <c r="D258" i="89"/>
  <c r="E257" i="89"/>
  <c r="E256" i="89"/>
  <c r="E255" i="89"/>
  <c r="E254" i="89"/>
  <c r="E253" i="89"/>
  <c r="D253" i="89"/>
  <c r="G61" i="89"/>
  <c r="F61" i="89"/>
  <c r="E61" i="89"/>
  <c r="D61" i="89"/>
  <c r="L11" i="89"/>
  <c r="L10" i="89"/>
  <c r="K244" i="89"/>
  <c r="K243" i="89"/>
  <c r="K242" i="89"/>
  <c r="K241" i="89"/>
  <c r="K240" i="89"/>
  <c r="K239" i="89"/>
  <c r="K238" i="89"/>
  <c r="K237" i="89"/>
  <c r="K235" i="89"/>
  <c r="K234" i="89"/>
  <c r="K233" i="89"/>
  <c r="K232" i="89"/>
  <c r="K231" i="89"/>
  <c r="K230" i="89"/>
  <c r="K229" i="89"/>
  <c r="K228" i="89"/>
  <c r="K227" i="89"/>
  <c r="K226" i="89"/>
  <c r="K225" i="89"/>
  <c r="K224" i="89"/>
  <c r="D95" i="75" l="1"/>
  <c r="E95" i="75"/>
  <c r="F95" i="75"/>
  <c r="AH20" i="88" l="1"/>
  <c r="S150" i="88"/>
  <c r="B321" i="88"/>
  <c r="B322" i="88" s="1"/>
  <c r="A322" i="88" s="1"/>
  <c r="A320" i="88"/>
  <c r="Y241" i="88"/>
  <c r="A241" i="88"/>
  <c r="G129" i="88"/>
  <c r="H129" i="88" s="1"/>
  <c r="I129" i="88" s="1"/>
  <c r="J129" i="88" s="1"/>
  <c r="K129" i="88" s="1"/>
  <c r="E124" i="88"/>
  <c r="G121" i="88"/>
  <c r="G124" i="88" s="1"/>
  <c r="E115" i="88"/>
  <c r="AH21" i="88" s="1"/>
  <c r="E98" i="88"/>
  <c r="E96" i="88"/>
  <c r="E90" i="88"/>
  <c r="A1" i="88"/>
  <c r="A242" i="88" l="1"/>
  <c r="G242" i="88"/>
  <c r="L242" i="88"/>
  <c r="T150" i="88"/>
  <c r="R150" i="88"/>
  <c r="B243" i="88"/>
  <c r="F242" i="88"/>
  <c r="M242" i="88"/>
  <c r="AE242" i="88" s="1"/>
  <c r="H121" i="88"/>
  <c r="F123" i="88"/>
  <c r="F121" i="88"/>
  <c r="E91" i="88"/>
  <c r="F122" i="88"/>
  <c r="E99" i="88"/>
  <c r="E97" i="88" s="1"/>
  <c r="E88" i="88"/>
  <c r="I123" i="88" s="1"/>
  <c r="H123" i="88"/>
  <c r="H122" i="88"/>
  <c r="O242" i="88"/>
  <c r="AB242" i="88" s="1"/>
  <c r="E242" i="88"/>
  <c r="B323" i="88"/>
  <c r="A321" i="88"/>
  <c r="A243" i="88" l="1"/>
  <c r="G243" i="88"/>
  <c r="F243" i="88"/>
  <c r="L243" i="88"/>
  <c r="U150" i="88"/>
  <c r="Q150" i="88"/>
  <c r="B244" i="88"/>
  <c r="M243" i="88"/>
  <c r="AE243" i="88" s="1"/>
  <c r="O243" i="88"/>
  <c r="AB243" i="88" s="1"/>
  <c r="E243" i="88"/>
  <c r="Y243" i="88" s="1"/>
  <c r="E100" i="88"/>
  <c r="I121" i="88"/>
  <c r="E92" i="88"/>
  <c r="A323" i="88"/>
  <c r="B324" i="88"/>
  <c r="X263" i="88" l="1"/>
  <c r="X255" i="88"/>
  <c r="X247" i="88"/>
  <c r="X262" i="88"/>
  <c r="X254" i="88"/>
  <c r="X246" i="88"/>
  <c r="X261" i="88"/>
  <c r="X253" i="88"/>
  <c r="X245" i="88"/>
  <c r="X260" i="88"/>
  <c r="X252" i="88"/>
  <c r="X244" i="88"/>
  <c r="X267" i="88"/>
  <c r="X259" i="88"/>
  <c r="X251" i="88"/>
  <c r="X243" i="88"/>
  <c r="X266" i="88"/>
  <c r="X258" i="88"/>
  <c r="X250" i="88"/>
  <c r="X242" i="88"/>
  <c r="X265" i="88"/>
  <c r="X257" i="88"/>
  <c r="X249" i="88"/>
  <c r="X264" i="88"/>
  <c r="X256" i="88"/>
  <c r="X248" i="88"/>
  <c r="G244" i="88"/>
  <c r="A244" i="88"/>
  <c r="F244" i="88"/>
  <c r="L244" i="88"/>
  <c r="B245" i="88"/>
  <c r="E104" i="88"/>
  <c r="I241" i="88"/>
  <c r="Z242" i="88"/>
  <c r="I124" i="88"/>
  <c r="J121" i="88" s="1"/>
  <c r="B325" i="88"/>
  <c r="A324" i="88"/>
  <c r="J241" i="88" l="1"/>
  <c r="AL238" i="88"/>
  <c r="O245" i="88"/>
  <c r="AB245" i="88" s="1"/>
  <c r="G245" i="88"/>
  <c r="A245" i="88"/>
  <c r="B246" i="88"/>
  <c r="L245" i="88"/>
  <c r="E245" i="88"/>
  <c r="Y245" i="88" s="1"/>
  <c r="M245" i="88"/>
  <c r="AE245" i="88" s="1"/>
  <c r="F245" i="88"/>
  <c r="N245" i="88"/>
  <c r="AH245" i="88" s="1"/>
  <c r="E105" i="88"/>
  <c r="E106" i="88" s="1"/>
  <c r="Z243" i="88"/>
  <c r="E244" i="88" s="1"/>
  <c r="B326" i="88"/>
  <c r="A325" i="88"/>
  <c r="J122" i="88"/>
  <c r="J123" i="88"/>
  <c r="G246" i="88" l="1"/>
  <c r="A246" i="88"/>
  <c r="B247" i="88"/>
  <c r="E246" i="88"/>
  <c r="Y246" i="88" s="1"/>
  <c r="F246" i="88"/>
  <c r="N246" i="88"/>
  <c r="AH246" i="88" s="1"/>
  <c r="M246" i="88"/>
  <c r="AE246" i="88" s="1"/>
  <c r="L246" i="88"/>
  <c r="O246" i="88"/>
  <c r="AB246" i="88" s="1"/>
  <c r="C241" i="88"/>
  <c r="B327" i="88"/>
  <c r="A326" i="88"/>
  <c r="Y244" i="88"/>
  <c r="Z244" i="88" s="1"/>
  <c r="Z245" i="88" s="1"/>
  <c r="D241" i="88"/>
  <c r="F320" i="88" l="1"/>
  <c r="E198" i="88" s="1"/>
  <c r="D210" i="88"/>
  <c r="G247" i="88"/>
  <c r="A247" i="88"/>
  <c r="B248" i="88"/>
  <c r="L247" i="88"/>
  <c r="F247" i="88"/>
  <c r="Z246" i="88"/>
  <c r="E107" i="88"/>
  <c r="H241" i="88"/>
  <c r="T241" i="88" s="1"/>
  <c r="AK241" i="88"/>
  <c r="U241" i="88"/>
  <c r="A327" i="88"/>
  <c r="B328" i="88"/>
  <c r="AA242" i="88" l="1"/>
  <c r="AC242" i="88" s="1"/>
  <c r="E248" i="88"/>
  <c r="Y248" i="88" s="1"/>
  <c r="D320" i="88"/>
  <c r="D212" i="88"/>
  <c r="D222" i="88" s="1"/>
  <c r="I216" i="88"/>
  <c r="G210" i="88"/>
  <c r="D217" i="88"/>
  <c r="M248" i="88"/>
  <c r="AE248" i="88" s="1"/>
  <c r="N248" i="88"/>
  <c r="AH248" i="88" s="1"/>
  <c r="F248" i="88"/>
  <c r="G248" i="88"/>
  <c r="A248" i="88"/>
  <c r="E247" i="88"/>
  <c r="Y247" i="88" s="1"/>
  <c r="Z247" i="88" s="1"/>
  <c r="B249" i="88"/>
  <c r="O248" i="88"/>
  <c r="AB248" i="88" s="1"/>
  <c r="B329" i="88"/>
  <c r="A328" i="88"/>
  <c r="V241" i="88"/>
  <c r="AD242" i="88" s="1"/>
  <c r="AG242" i="88" l="1"/>
  <c r="AI242" i="88" s="1"/>
  <c r="G320" i="88"/>
  <c r="E196" i="88"/>
  <c r="E195" i="88" s="1"/>
  <c r="E249" i="88"/>
  <c r="Y249" i="88" s="1"/>
  <c r="B250" i="88"/>
  <c r="O249" i="88"/>
  <c r="AB249" i="88" s="1"/>
  <c r="N249" i="88"/>
  <c r="AH249" i="88" s="1"/>
  <c r="L249" i="88"/>
  <c r="G249" i="88"/>
  <c r="A249" i="88"/>
  <c r="M249" i="88"/>
  <c r="AE249" i="88" s="1"/>
  <c r="F249" i="88"/>
  <c r="AL241" i="88"/>
  <c r="AF242" i="88"/>
  <c r="K242" i="88"/>
  <c r="H242" i="88" s="1"/>
  <c r="P242" i="88" s="1"/>
  <c r="Z248" i="88"/>
  <c r="B330" i="88"/>
  <c r="A329" i="88"/>
  <c r="L250" i="88" l="1"/>
  <c r="F250" i="88"/>
  <c r="B251" i="88"/>
  <c r="G250" i="88"/>
  <c r="A250" i="88"/>
  <c r="Z249" i="88"/>
  <c r="V242" i="88"/>
  <c r="AD243" i="88" s="1"/>
  <c r="A330" i="88"/>
  <c r="B331" i="88"/>
  <c r="F251" i="88" l="1"/>
  <c r="E251" i="88"/>
  <c r="Y251" i="88" s="1"/>
  <c r="E250" i="88"/>
  <c r="Y250" i="88" s="1"/>
  <c r="Z250" i="88" s="1"/>
  <c r="N251" i="88"/>
  <c r="AH251" i="88" s="1"/>
  <c r="L251" i="88"/>
  <c r="G251" i="88"/>
  <c r="B252" i="88"/>
  <c r="A252" i="88" s="1"/>
  <c r="M251" i="88"/>
  <c r="AE251" i="88" s="1"/>
  <c r="O251" i="88"/>
  <c r="AB251" i="88" s="1"/>
  <c r="A251" i="88"/>
  <c r="AF243" i="88"/>
  <c r="AL242" i="88"/>
  <c r="B332" i="88"/>
  <c r="A331" i="88"/>
  <c r="G252" i="88" l="1"/>
  <c r="M252" i="88"/>
  <c r="AE252" i="88" s="1"/>
  <c r="F252" i="88"/>
  <c r="N252" i="88"/>
  <c r="AH252" i="88" s="1"/>
  <c r="E252" i="88"/>
  <c r="Y252" i="88" s="1"/>
  <c r="L252" i="88"/>
  <c r="O252" i="88"/>
  <c r="AB252" i="88" s="1"/>
  <c r="B253" i="88"/>
  <c r="G253" i="88" s="1"/>
  <c r="Z251" i="88"/>
  <c r="A332" i="88"/>
  <c r="B333" i="88"/>
  <c r="B254" i="88" l="1"/>
  <c r="N254" i="88" s="1"/>
  <c r="AH254" i="88" s="1"/>
  <c r="L253" i="88"/>
  <c r="A253" i="88"/>
  <c r="F253" i="88"/>
  <c r="Z252" i="88"/>
  <c r="B334" i="88"/>
  <c r="A333" i="88"/>
  <c r="A254" i="88" l="1"/>
  <c r="Q254" i="88"/>
  <c r="B255" i="88"/>
  <c r="G255" i="88" s="1"/>
  <c r="L254" i="88"/>
  <c r="E254" i="88"/>
  <c r="Y254" i="88" s="1"/>
  <c r="G254" i="88"/>
  <c r="M254" i="88"/>
  <c r="AE254" i="88" s="1"/>
  <c r="O254" i="88"/>
  <c r="AB254" i="88" s="1"/>
  <c r="F254" i="88"/>
  <c r="E253" i="88"/>
  <c r="Y253" i="88" s="1"/>
  <c r="Z253" i="88" s="1"/>
  <c r="A334" i="88"/>
  <c r="B335" i="88"/>
  <c r="O255" i="88" l="1"/>
  <c r="AB255" i="88" s="1"/>
  <c r="E255" i="88"/>
  <c r="Y255" i="88" s="1"/>
  <c r="Q255" i="88"/>
  <c r="B256" i="88"/>
  <c r="Q256" i="88" s="1"/>
  <c r="F255" i="88"/>
  <c r="N255" i="88"/>
  <c r="AH255" i="88" s="1"/>
  <c r="L255" i="88"/>
  <c r="Z254" i="88"/>
  <c r="A255" i="88"/>
  <c r="M255" i="88"/>
  <c r="AE255" i="88" s="1"/>
  <c r="A335" i="88"/>
  <c r="B336" i="88"/>
  <c r="F256" i="88" l="1"/>
  <c r="L256" i="88"/>
  <c r="G256" i="88"/>
  <c r="A256" i="88"/>
  <c r="B257" i="88"/>
  <c r="L257" i="88" s="1"/>
  <c r="Z255" i="88"/>
  <c r="A336" i="88"/>
  <c r="B337" i="88"/>
  <c r="E256" i="88" l="1"/>
  <c r="G257" i="88"/>
  <c r="O257" i="88"/>
  <c r="AB257" i="88" s="1"/>
  <c r="Q257" i="88"/>
  <c r="A257" i="88"/>
  <c r="E257" i="88"/>
  <c r="Y257" i="88" s="1"/>
  <c r="B258" i="88"/>
  <c r="Q258" i="88" s="1"/>
  <c r="F257" i="88"/>
  <c r="N257" i="88"/>
  <c r="AH257" i="88" s="1"/>
  <c r="M257" i="88"/>
  <c r="AE257" i="88" s="1"/>
  <c r="Y256" i="88"/>
  <c r="Z256" i="88" s="1"/>
  <c r="B338" i="88"/>
  <c r="A337" i="88"/>
  <c r="B259" i="88" l="1"/>
  <c r="Q259" i="88" s="1"/>
  <c r="F258" i="88"/>
  <c r="N258" i="88"/>
  <c r="AH258" i="88" s="1"/>
  <c r="O258" i="88"/>
  <c r="AB258" i="88" s="1"/>
  <c r="G258" i="88"/>
  <c r="M258" i="88"/>
  <c r="AE258" i="88" s="1"/>
  <c r="L258" i="88"/>
  <c r="E258" i="88"/>
  <c r="Y258" i="88" s="1"/>
  <c r="A258" i="88"/>
  <c r="Z257" i="88"/>
  <c r="A338" i="88"/>
  <c r="B339" i="88"/>
  <c r="B260" i="88" l="1"/>
  <c r="N260" i="88" s="1"/>
  <c r="AH260" i="88" s="1"/>
  <c r="L259" i="88"/>
  <c r="F259" i="88"/>
  <c r="G259" i="88"/>
  <c r="A259" i="88"/>
  <c r="Z258" i="88"/>
  <c r="A339" i="88"/>
  <c r="B340" i="88"/>
  <c r="E259" i="88" l="1"/>
  <c r="Y259" i="88" s="1"/>
  <c r="Z259" i="88" s="1"/>
  <c r="E260" i="88" s="1"/>
  <c r="Y260" i="88" s="1"/>
  <c r="L260" i="88"/>
  <c r="Q260" i="88"/>
  <c r="A260" i="88"/>
  <c r="G260" i="88"/>
  <c r="B261" i="88"/>
  <c r="G261" i="88" s="1"/>
  <c r="M260" i="88"/>
  <c r="AE260" i="88" s="1"/>
  <c r="F260" i="88"/>
  <c r="O260" i="88"/>
  <c r="AB260" i="88" s="1"/>
  <c r="A340" i="88"/>
  <c r="B341" i="88"/>
  <c r="M261" i="88" l="1"/>
  <c r="AE261" i="88" s="1"/>
  <c r="O261" i="88"/>
  <c r="AB261" i="88" s="1"/>
  <c r="N261" i="88"/>
  <c r="AH261" i="88" s="1"/>
  <c r="F261" i="88"/>
  <c r="L261" i="88"/>
  <c r="B262" i="88"/>
  <c r="G262" i="88" s="1"/>
  <c r="A261" i="88"/>
  <c r="Q261" i="88"/>
  <c r="Z260" i="88"/>
  <c r="E261" i="88" s="1"/>
  <c r="B342" i="88"/>
  <c r="A341" i="88"/>
  <c r="B263" i="88" l="1"/>
  <c r="L263" i="88" s="1"/>
  <c r="L262" i="88"/>
  <c r="Q262" i="88"/>
  <c r="F262" i="88"/>
  <c r="A262" i="88"/>
  <c r="G263" i="88"/>
  <c r="A263" i="88"/>
  <c r="N263" i="88"/>
  <c r="AH263" i="88" s="1"/>
  <c r="F263" i="88"/>
  <c r="A342" i="88"/>
  <c r="B343" i="88"/>
  <c r="Y261" i="88"/>
  <c r="Z261" i="88" s="1"/>
  <c r="Q263" i="88"/>
  <c r="E263" i="88"/>
  <c r="O263" i="88"/>
  <c r="AB263" i="88" s="1"/>
  <c r="M263" i="88"/>
  <c r="AE263" i="88" s="1"/>
  <c r="B264" i="88"/>
  <c r="G264" i="88" l="1"/>
  <c r="A264" i="88"/>
  <c r="L264" i="88"/>
  <c r="N264" i="88"/>
  <c r="AH264" i="88" s="1"/>
  <c r="F264" i="88"/>
  <c r="E262" i="88"/>
  <c r="B344" i="88"/>
  <c r="A343" i="88"/>
  <c r="O264" i="88"/>
  <c r="AB264" i="88" s="1"/>
  <c r="M264" i="88"/>
  <c r="AE264" i="88" s="1"/>
  <c r="B265" i="88"/>
  <c r="Q264" i="88"/>
  <c r="E264" i="88"/>
  <c r="Y263" i="88"/>
  <c r="G265" i="88" l="1"/>
  <c r="A265" i="88"/>
  <c r="F265" i="88"/>
  <c r="L265" i="88"/>
  <c r="B266" i="88"/>
  <c r="Q265" i="88"/>
  <c r="A344" i="88"/>
  <c r="B345" i="88"/>
  <c r="Y262" i="88"/>
  <c r="Z262" i="88" s="1"/>
  <c r="Z263" i="88" s="1"/>
  <c r="Y264" i="88"/>
  <c r="A266" i="88" l="1"/>
  <c r="G266" i="88"/>
  <c r="L266" i="88"/>
  <c r="N266" i="88"/>
  <c r="AH266" i="88" s="1"/>
  <c r="F266" i="88"/>
  <c r="Q266" i="88"/>
  <c r="E266" i="88"/>
  <c r="O266" i="88"/>
  <c r="AB266" i="88" s="1"/>
  <c r="M266" i="88"/>
  <c r="AE266" i="88" s="1"/>
  <c r="B267" i="88"/>
  <c r="B346" i="88"/>
  <c r="A345" i="88"/>
  <c r="Z264" i="88"/>
  <c r="A267" i="88" l="1"/>
  <c r="G267" i="88"/>
  <c r="L267" i="88"/>
  <c r="N267" i="88"/>
  <c r="AH267" i="88" s="1"/>
  <c r="F267" i="88"/>
  <c r="A346" i="88"/>
  <c r="B347" i="88"/>
  <c r="Y266" i="88"/>
  <c r="M267" i="88"/>
  <c r="AE267" i="88" s="1"/>
  <c r="B268" i="88"/>
  <c r="Q267" i="88"/>
  <c r="E267" i="88"/>
  <c r="O267" i="88"/>
  <c r="AB267" i="88" s="1"/>
  <c r="E265" i="88"/>
  <c r="G268" i="88" l="1"/>
  <c r="A268" i="88"/>
  <c r="F268" i="88"/>
  <c r="L268" i="88"/>
  <c r="Y265" i="88"/>
  <c r="Z265" i="88" s="1"/>
  <c r="Z266" i="88" s="1"/>
  <c r="Y267" i="88"/>
  <c r="B269" i="88"/>
  <c r="Q268" i="88"/>
  <c r="B348" i="88"/>
  <c r="A347" i="88"/>
  <c r="A269" i="88" l="1"/>
  <c r="G269" i="88"/>
  <c r="L269" i="88"/>
  <c r="N269" i="88"/>
  <c r="AH269" i="88" s="1"/>
  <c r="F269" i="88"/>
  <c r="O269" i="88"/>
  <c r="AB269" i="88" s="1"/>
  <c r="M269" i="88"/>
  <c r="AE269" i="88" s="1"/>
  <c r="B270" i="88"/>
  <c r="Q269" i="88"/>
  <c r="Z267" i="88"/>
  <c r="A348" i="88"/>
  <c r="B349" i="88"/>
  <c r="G270" i="88" l="1"/>
  <c r="A270" i="88"/>
  <c r="L270" i="88"/>
  <c r="N270" i="88"/>
  <c r="AH270" i="88" s="1"/>
  <c r="F270" i="88"/>
  <c r="B271" i="88"/>
  <c r="Q270" i="88"/>
  <c r="O270" i="88"/>
  <c r="AB270" i="88" s="1"/>
  <c r="M270" i="88"/>
  <c r="AE270" i="88" s="1"/>
  <c r="B350" i="88"/>
  <c r="A349" i="88"/>
  <c r="E268" i="88"/>
  <c r="G271" i="88" l="1"/>
  <c r="A271" i="88"/>
  <c r="F271" i="88"/>
  <c r="L271" i="88"/>
  <c r="Y268" i="88"/>
  <c r="Z268" i="88" s="1"/>
  <c r="Q271" i="88"/>
  <c r="B272" i="88"/>
  <c r="A350" i="88"/>
  <c r="B351" i="88"/>
  <c r="E269" i="88" l="1"/>
  <c r="Y269" i="88" s="1"/>
  <c r="Z269" i="88" s="1"/>
  <c r="G272" i="88"/>
  <c r="A272" i="88"/>
  <c r="L272" i="88"/>
  <c r="N272" i="88"/>
  <c r="AH272" i="88" s="1"/>
  <c r="F272" i="88"/>
  <c r="B352" i="88"/>
  <c r="A351" i="88"/>
  <c r="O272" i="88"/>
  <c r="AB272" i="88" s="1"/>
  <c r="M272" i="88"/>
  <c r="AE272" i="88" s="1"/>
  <c r="B273" i="88"/>
  <c r="Q272" i="88"/>
  <c r="E272" i="88"/>
  <c r="E270" i="88" l="1"/>
  <c r="Y270" i="88" s="1"/>
  <c r="Z270" i="88" s="1"/>
  <c r="E271" i="88" s="1"/>
  <c r="G273" i="88"/>
  <c r="A273" i="88"/>
  <c r="L273" i="88"/>
  <c r="N273" i="88"/>
  <c r="AH273" i="88" s="1"/>
  <c r="F273" i="88"/>
  <c r="Y272" i="88"/>
  <c r="B274" i="88"/>
  <c r="Q273" i="88"/>
  <c r="E273" i="88"/>
  <c r="O273" i="88"/>
  <c r="AB273" i="88" s="1"/>
  <c r="M273" i="88"/>
  <c r="AE273" i="88" s="1"/>
  <c r="A352" i="88"/>
  <c r="B353" i="88"/>
  <c r="A274" i="88" l="1"/>
  <c r="G274" i="88"/>
  <c r="L274" i="88"/>
  <c r="Q274" i="88"/>
  <c r="B275" i="88"/>
  <c r="Y271" i="88"/>
  <c r="Z271" i="88" s="1"/>
  <c r="Z272" i="88" s="1"/>
  <c r="B354" i="88"/>
  <c r="A353" i="88"/>
  <c r="Y273" i="88"/>
  <c r="A275" i="88" l="1"/>
  <c r="G275" i="88"/>
  <c r="L275" i="88"/>
  <c r="N275" i="88"/>
  <c r="AH275" i="88" s="1"/>
  <c r="F275" i="88"/>
  <c r="Z273" i="88"/>
  <c r="A354" i="88"/>
  <c r="B355" i="88"/>
  <c r="M275" i="88"/>
  <c r="AE275" i="88" s="1"/>
  <c r="B276" i="88"/>
  <c r="Q275" i="88"/>
  <c r="E275" i="88"/>
  <c r="O275" i="88"/>
  <c r="AB275" i="88" s="1"/>
  <c r="G276" i="88" l="1"/>
  <c r="A276" i="88"/>
  <c r="L276" i="88"/>
  <c r="N276" i="88"/>
  <c r="AH276" i="88" s="1"/>
  <c r="F276" i="88"/>
  <c r="B356" i="88"/>
  <c r="A355" i="88"/>
  <c r="E274" i="88"/>
  <c r="B277" i="88"/>
  <c r="A277" i="88" s="1"/>
  <c r="Q276" i="88"/>
  <c r="E276" i="88"/>
  <c r="O276" i="88"/>
  <c r="AB276" i="88" s="1"/>
  <c r="M276" i="88"/>
  <c r="AE276" i="88" s="1"/>
  <c r="Y275" i="88"/>
  <c r="F277" i="88" l="1"/>
  <c r="L277" i="88"/>
  <c r="Q277" i="88"/>
  <c r="B278" i="88"/>
  <c r="Y274" i="88"/>
  <c r="Z274" i="88" s="1"/>
  <c r="Z275" i="88" s="1"/>
  <c r="Y276" i="88"/>
  <c r="A356" i="88"/>
  <c r="B357" i="88"/>
  <c r="G278" i="88" l="1"/>
  <c r="A278" i="88"/>
  <c r="L278" i="88"/>
  <c r="F278" i="88"/>
  <c r="B279" i="88"/>
  <c r="Q278" i="88"/>
  <c r="E278" i="88"/>
  <c r="Z276" i="88"/>
  <c r="B358" i="88"/>
  <c r="A357" i="88"/>
  <c r="G279" i="88" l="1"/>
  <c r="A279" i="88"/>
  <c r="F279" i="88"/>
  <c r="L279" i="88"/>
  <c r="Y278" i="88"/>
  <c r="E277" i="88"/>
  <c r="Q279" i="88"/>
  <c r="E279" i="88"/>
  <c r="B280" i="88"/>
  <c r="A358" i="88"/>
  <c r="B359" i="88"/>
  <c r="G280" i="88" l="1"/>
  <c r="A280" i="88"/>
  <c r="F280" i="88"/>
  <c r="L280" i="88"/>
  <c r="Y279" i="88"/>
  <c r="B281" i="88"/>
  <c r="Q280" i="88"/>
  <c r="Y277" i="88"/>
  <c r="Z277" i="88" s="1"/>
  <c r="Z278" i="88" s="1"/>
  <c r="B360" i="88"/>
  <c r="A359" i="88"/>
  <c r="G281" i="88" l="1"/>
  <c r="A281" i="88"/>
  <c r="L281" i="88"/>
  <c r="N281" i="88"/>
  <c r="AH281" i="88" s="1"/>
  <c r="F281" i="88"/>
  <c r="Z279" i="88"/>
  <c r="E280" i="88" s="1"/>
  <c r="A360" i="88"/>
  <c r="B361" i="88"/>
  <c r="B282" i="88"/>
  <c r="Q281" i="88"/>
  <c r="E281" i="88"/>
  <c r="O281" i="88"/>
  <c r="AB281" i="88" s="1"/>
  <c r="M281" i="88"/>
  <c r="AE281" i="88" s="1"/>
  <c r="G282" i="88" l="1"/>
  <c r="A282" i="88"/>
  <c r="L282" i="88"/>
  <c r="N282" i="88"/>
  <c r="AH282" i="88" s="1"/>
  <c r="F282" i="88"/>
  <c r="Q282" i="88"/>
  <c r="E282" i="88"/>
  <c r="O282" i="88"/>
  <c r="AB282" i="88" s="1"/>
  <c r="M282" i="88"/>
  <c r="AE282" i="88" s="1"/>
  <c r="B283" i="88"/>
  <c r="B362" i="88"/>
  <c r="A361" i="88"/>
  <c r="Y280" i="88"/>
  <c r="Z280" i="88" s="1"/>
  <c r="Y281" i="88"/>
  <c r="A283" i="88" l="1"/>
  <c r="G283" i="88"/>
  <c r="F283" i="88"/>
  <c r="L283" i="88"/>
  <c r="Z281" i="88"/>
  <c r="A362" i="88"/>
  <c r="B363" i="88"/>
  <c r="B284" i="88"/>
  <c r="Q283" i="88"/>
  <c r="Y282" i="88"/>
  <c r="G284" i="88" l="1"/>
  <c r="A284" i="88"/>
  <c r="L284" i="88"/>
  <c r="N284" i="88"/>
  <c r="AH284" i="88" s="1"/>
  <c r="F284" i="88"/>
  <c r="Z282" i="88"/>
  <c r="E283" i="88" s="1"/>
  <c r="AH16" i="88" s="1"/>
  <c r="B285" i="88"/>
  <c r="Q284" i="88"/>
  <c r="E284" i="88"/>
  <c r="O284" i="88"/>
  <c r="AB284" i="88" s="1"/>
  <c r="M284" i="88"/>
  <c r="AE284" i="88" s="1"/>
  <c r="B364" i="88"/>
  <c r="A363" i="88"/>
  <c r="A285" i="88" l="1"/>
  <c r="G285" i="88"/>
  <c r="L285" i="88"/>
  <c r="N285" i="88"/>
  <c r="AH285" i="88" s="1"/>
  <c r="F285" i="88"/>
  <c r="A364" i="88"/>
  <c r="B365" i="88"/>
  <c r="Y284" i="88"/>
  <c r="O285" i="88"/>
  <c r="AB285" i="88" s="1"/>
  <c r="M285" i="88"/>
  <c r="AE285" i="88" s="1"/>
  <c r="Q285" i="88"/>
  <c r="E285" i="88"/>
  <c r="B286" i="88"/>
  <c r="Y283" i="88"/>
  <c r="Z283" i="88" s="1"/>
  <c r="G286" i="88" l="1"/>
  <c r="A286" i="88"/>
  <c r="L286" i="88"/>
  <c r="Z284" i="88"/>
  <c r="B287" i="88"/>
  <c r="Q286" i="88"/>
  <c r="Y285" i="88"/>
  <c r="B366" i="88"/>
  <c r="A365" i="88"/>
  <c r="G287" i="88" l="1"/>
  <c r="A287" i="88"/>
  <c r="L287" i="88"/>
  <c r="N287" i="88"/>
  <c r="AH287" i="88" s="1"/>
  <c r="F287" i="88"/>
  <c r="Z285" i="88"/>
  <c r="E286" i="88" s="1"/>
  <c r="Q287" i="88"/>
  <c r="E287" i="88"/>
  <c r="O287" i="88"/>
  <c r="AB287" i="88" s="1"/>
  <c r="M287" i="88"/>
  <c r="AE287" i="88" s="1"/>
  <c r="B288" i="88"/>
  <c r="A366" i="88"/>
  <c r="B367" i="88"/>
  <c r="G288" i="88" l="1"/>
  <c r="A288" i="88"/>
  <c r="L288" i="88"/>
  <c r="N288" i="88"/>
  <c r="AH288" i="88" s="1"/>
  <c r="F288" i="88"/>
  <c r="A367" i="88"/>
  <c r="B368" i="88"/>
  <c r="Y287" i="88"/>
  <c r="O288" i="88"/>
  <c r="AB288" i="88" s="1"/>
  <c r="M288" i="88"/>
  <c r="AE288" i="88" s="1"/>
  <c r="B289" i="88"/>
  <c r="Q288" i="88"/>
  <c r="E288" i="88"/>
  <c r="Y286" i="88"/>
  <c r="Z286" i="88" s="1"/>
  <c r="G289" i="88" l="1"/>
  <c r="A289" i="88"/>
  <c r="F289" i="88"/>
  <c r="L289" i="88"/>
  <c r="Z287" i="88"/>
  <c r="Y288" i="88"/>
  <c r="A368" i="88"/>
  <c r="B369" i="88"/>
  <c r="B290" i="88"/>
  <c r="Q289" i="88"/>
  <c r="G290" i="88" l="1"/>
  <c r="A290" i="88"/>
  <c r="L290" i="88"/>
  <c r="N290" i="88"/>
  <c r="AH290" i="88" s="1"/>
  <c r="F290" i="88"/>
  <c r="Z288" i="88"/>
  <c r="E289" i="88" s="1"/>
  <c r="Y289" i="88" s="1"/>
  <c r="Z289" i="88" s="1"/>
  <c r="Q290" i="88"/>
  <c r="E290" i="88"/>
  <c r="O290" i="88"/>
  <c r="AB290" i="88" s="1"/>
  <c r="M290" i="88"/>
  <c r="AE290" i="88" s="1"/>
  <c r="B291" i="88"/>
  <c r="B370" i="88"/>
  <c r="A369" i="88"/>
  <c r="A291" i="88" l="1"/>
  <c r="G291" i="88"/>
  <c r="L291" i="88"/>
  <c r="N291" i="88"/>
  <c r="AH291" i="88" s="1"/>
  <c r="F291" i="88"/>
  <c r="A370" i="88"/>
  <c r="B371" i="88"/>
  <c r="M291" i="88"/>
  <c r="AE291" i="88" s="1"/>
  <c r="B292" i="88"/>
  <c r="Q291" i="88"/>
  <c r="E291" i="88"/>
  <c r="O291" i="88"/>
  <c r="AB291" i="88" s="1"/>
  <c r="Y290" i="88"/>
  <c r="Z290" i="88" s="1"/>
  <c r="G292" i="88" l="1"/>
  <c r="A292" i="88"/>
  <c r="F292" i="88"/>
  <c r="L292" i="88"/>
  <c r="A371" i="88"/>
  <c r="B372" i="88"/>
  <c r="Y291" i="88"/>
  <c r="Z291" i="88" s="1"/>
  <c r="B293" i="88"/>
  <c r="Q292" i="88"/>
  <c r="A293" i="88" l="1"/>
  <c r="G293" i="88"/>
  <c r="L293" i="88"/>
  <c r="N293" i="88"/>
  <c r="AH293" i="88" s="1"/>
  <c r="F293" i="88"/>
  <c r="E292" i="88"/>
  <c r="B294" i="88"/>
  <c r="Q293" i="88"/>
  <c r="E293" i="88"/>
  <c r="O293" i="88"/>
  <c r="AB293" i="88" s="1"/>
  <c r="M293" i="88"/>
  <c r="AE293" i="88" s="1"/>
  <c r="A372" i="88"/>
  <c r="B373" i="88"/>
  <c r="G294" i="88" l="1"/>
  <c r="A294" i="88"/>
  <c r="L294" i="88"/>
  <c r="N294" i="88"/>
  <c r="AH294" i="88" s="1"/>
  <c r="F294" i="88"/>
  <c r="B374" i="88"/>
  <c r="A373" i="88"/>
  <c r="O294" i="88"/>
  <c r="AB294" i="88" s="1"/>
  <c r="M294" i="88"/>
  <c r="AE294" i="88" s="1"/>
  <c r="Q294" i="88"/>
  <c r="E294" i="88"/>
  <c r="B295" i="88"/>
  <c r="Y292" i="88"/>
  <c r="Z292" i="88" s="1"/>
  <c r="Y293" i="88"/>
  <c r="G295" i="88" l="1"/>
  <c r="A295" i="88"/>
  <c r="F295" i="88"/>
  <c r="L295" i="88"/>
  <c r="Z293" i="88"/>
  <c r="B296" i="88"/>
  <c r="Q295" i="88"/>
  <c r="Y294" i="88"/>
  <c r="A374" i="88"/>
  <c r="B375" i="88"/>
  <c r="G296" i="88" l="1"/>
  <c r="A296" i="88"/>
  <c r="L296" i="88"/>
  <c r="N296" i="88"/>
  <c r="AH296" i="88" s="1"/>
  <c r="F296" i="88"/>
  <c r="Z294" i="88"/>
  <c r="E295" i="88" s="1"/>
  <c r="B297" i="88"/>
  <c r="Q296" i="88"/>
  <c r="E296" i="88"/>
  <c r="O296" i="88"/>
  <c r="AB296" i="88" s="1"/>
  <c r="M296" i="88"/>
  <c r="AE296" i="88" s="1"/>
  <c r="B376" i="88"/>
  <c r="A375" i="88"/>
  <c r="G297" i="88" l="1"/>
  <c r="A297" i="88"/>
  <c r="L297" i="88"/>
  <c r="N297" i="88"/>
  <c r="AH297" i="88" s="1"/>
  <c r="F297" i="88"/>
  <c r="B298" i="88"/>
  <c r="Q297" i="88"/>
  <c r="E297" i="88"/>
  <c r="O297" i="88"/>
  <c r="AB297" i="88" s="1"/>
  <c r="M297" i="88"/>
  <c r="AE297" i="88" s="1"/>
  <c r="A376" i="88"/>
  <c r="B377" i="88"/>
  <c r="Y295" i="88"/>
  <c r="Z295" i="88" s="1"/>
  <c r="Y296" i="88"/>
  <c r="G298" i="88" l="1"/>
  <c r="A298" i="88"/>
  <c r="F298" i="88"/>
  <c r="L298" i="88"/>
  <c r="Z296" i="88"/>
  <c r="B378" i="88"/>
  <c r="A377" i="88"/>
  <c r="Y297" i="88"/>
  <c r="B299" i="88"/>
  <c r="Q298" i="88"/>
  <c r="A299" i="88" l="1"/>
  <c r="G299" i="88"/>
  <c r="L299" i="88"/>
  <c r="N299" i="88"/>
  <c r="AH299" i="88" s="1"/>
  <c r="F299" i="88"/>
  <c r="Z297" i="88"/>
  <c r="E298" i="88" s="1"/>
  <c r="B300" i="88"/>
  <c r="Q299" i="88"/>
  <c r="E299" i="88"/>
  <c r="M299" i="88"/>
  <c r="AE299" i="88" s="1"/>
  <c r="O299" i="88"/>
  <c r="AB299" i="88" s="1"/>
  <c r="A378" i="88"/>
  <c r="B379" i="88"/>
  <c r="G300" i="88" l="1"/>
  <c r="A300" i="88"/>
  <c r="L300" i="88"/>
  <c r="N300" i="88"/>
  <c r="AH300" i="88" s="1"/>
  <c r="F300" i="88"/>
  <c r="Y299" i="88"/>
  <c r="B301" i="88"/>
  <c r="Q300" i="88"/>
  <c r="E300" i="88"/>
  <c r="O300" i="88"/>
  <c r="AB300" i="88" s="1"/>
  <c r="M300" i="88"/>
  <c r="AE300" i="88" s="1"/>
  <c r="B380" i="88"/>
  <c r="A379" i="88"/>
  <c r="Y298" i="88"/>
  <c r="Z298" i="88" s="1"/>
  <c r="A301" i="88" l="1"/>
  <c r="G301" i="88"/>
  <c r="F301" i="88"/>
  <c r="L301" i="88"/>
  <c r="Z299" i="88"/>
  <c r="A380" i="88"/>
  <c r="B381" i="88"/>
  <c r="Y300" i="88"/>
  <c r="B302" i="88"/>
  <c r="Q301" i="88"/>
  <c r="G302" i="88" l="1"/>
  <c r="A302" i="88"/>
  <c r="L302" i="88"/>
  <c r="N302" i="88"/>
  <c r="AH302" i="88" s="1"/>
  <c r="F302" i="88"/>
  <c r="Z300" i="88"/>
  <c r="E301" i="88" s="1"/>
  <c r="M302" i="88"/>
  <c r="AE302" i="88" s="1"/>
  <c r="B303" i="88"/>
  <c r="O302" i="88"/>
  <c r="AB302" i="88" s="1"/>
  <c r="E302" i="88"/>
  <c r="Q302" i="88"/>
  <c r="B382" i="88"/>
  <c r="A381" i="88"/>
  <c r="G303" i="88" l="1"/>
  <c r="A303" i="88"/>
  <c r="L303" i="88"/>
  <c r="N303" i="88"/>
  <c r="AH303" i="88" s="1"/>
  <c r="F303" i="88"/>
  <c r="B304" i="88"/>
  <c r="Q303" i="88"/>
  <c r="E303" i="88"/>
  <c r="M303" i="88"/>
  <c r="AE303" i="88" s="1"/>
  <c r="O303" i="88"/>
  <c r="AB303" i="88" s="1"/>
  <c r="Y301" i="88"/>
  <c r="Z301" i="88" s="1"/>
  <c r="A382" i="88"/>
  <c r="B383" i="88"/>
  <c r="Y302" i="88"/>
  <c r="G304" i="88" l="1"/>
  <c r="A304" i="88"/>
  <c r="F304" i="88"/>
  <c r="L304" i="88"/>
  <c r="Z302" i="88"/>
  <c r="Y303" i="88"/>
  <c r="B384" i="88"/>
  <c r="A383" i="88"/>
  <c r="B305" i="88"/>
  <c r="Q304" i="88"/>
  <c r="G305" i="88" l="1"/>
  <c r="A305" i="88"/>
  <c r="L305" i="88"/>
  <c r="N305" i="88"/>
  <c r="AH305" i="88" s="1"/>
  <c r="F305" i="88"/>
  <c r="Z303" i="88"/>
  <c r="E304" i="88" s="1"/>
  <c r="Y304" i="88" s="1"/>
  <c r="Z304" i="88" s="1"/>
  <c r="O305" i="88"/>
  <c r="AB305" i="88" s="1"/>
  <c r="M305" i="88"/>
  <c r="AE305" i="88" s="1"/>
  <c r="B306" i="88"/>
  <c r="Q305" i="88"/>
  <c r="E305" i="88"/>
  <c r="A384" i="88"/>
  <c r="B385" i="88"/>
  <c r="G306" i="88" l="1"/>
  <c r="A306" i="88"/>
  <c r="L306" i="88"/>
  <c r="N306" i="88"/>
  <c r="AH306" i="88" s="1"/>
  <c r="F306" i="88"/>
  <c r="Y305" i="88"/>
  <c r="Z305" i="88" s="1"/>
  <c r="B386" i="88"/>
  <c r="A385" i="88"/>
  <c r="M306" i="88"/>
  <c r="AE306" i="88" s="1"/>
  <c r="B307" i="88"/>
  <c r="Q306" i="88"/>
  <c r="E306" i="88"/>
  <c r="O306" i="88"/>
  <c r="AB306" i="88" s="1"/>
  <c r="A307" i="88" l="1"/>
  <c r="G307" i="88"/>
  <c r="F307" i="88"/>
  <c r="L307" i="88"/>
  <c r="A386" i="88"/>
  <c r="B387" i="88"/>
  <c r="Y306" i="88"/>
  <c r="Z306" i="88" s="1"/>
  <c r="B308" i="88"/>
  <c r="Q307" i="88"/>
  <c r="G308" i="88" l="1"/>
  <c r="A308" i="88"/>
  <c r="L308" i="88"/>
  <c r="N308" i="88"/>
  <c r="AH308" i="88" s="1"/>
  <c r="F308" i="88"/>
  <c r="E307" i="88"/>
  <c r="B309" i="88"/>
  <c r="Q308" i="88"/>
  <c r="E308" i="88"/>
  <c r="O308" i="88"/>
  <c r="AB308" i="88" s="1"/>
  <c r="M308" i="88"/>
  <c r="AE308" i="88" s="1"/>
  <c r="B388" i="88"/>
  <c r="A387" i="88"/>
  <c r="A309" i="88" l="1"/>
  <c r="G309" i="88"/>
  <c r="L309" i="88"/>
  <c r="N309" i="88"/>
  <c r="AH309" i="88" s="1"/>
  <c r="F309" i="88"/>
  <c r="Y308" i="88"/>
  <c r="A388" i="88"/>
  <c r="B389" i="88"/>
  <c r="O309" i="88"/>
  <c r="AB309" i="88" s="1"/>
  <c r="M309" i="88"/>
  <c r="AE309" i="88" s="1"/>
  <c r="B310" i="88"/>
  <c r="Q309" i="88"/>
  <c r="E309" i="88"/>
  <c r="Y307" i="88"/>
  <c r="Z307" i="88" s="1"/>
  <c r="G310" i="88" l="1"/>
  <c r="A310" i="88"/>
  <c r="F310" i="88"/>
  <c r="L310" i="88"/>
  <c r="Z308" i="88"/>
  <c r="B390" i="88"/>
  <c r="A389" i="88"/>
  <c r="B311" i="88"/>
  <c r="Q310" i="88"/>
  <c r="Y309" i="88"/>
  <c r="G311" i="88" l="1"/>
  <c r="A311" i="88"/>
  <c r="L311" i="88"/>
  <c r="N311" i="88"/>
  <c r="AH311" i="88" s="1"/>
  <c r="F311" i="88"/>
  <c r="Z309" i="88"/>
  <c r="E310" i="88" s="1"/>
  <c r="B312" i="88"/>
  <c r="Q311" i="88"/>
  <c r="E311" i="88"/>
  <c r="O311" i="88"/>
  <c r="AB311" i="88" s="1"/>
  <c r="M311" i="88"/>
  <c r="AE311" i="88" s="1"/>
  <c r="A390" i="88"/>
  <c r="B391" i="88"/>
  <c r="G312" i="88" l="1"/>
  <c r="A312" i="88"/>
  <c r="L312" i="88"/>
  <c r="N312" i="88"/>
  <c r="AH312" i="88" s="1"/>
  <c r="F312" i="88"/>
  <c r="Q312" i="88"/>
  <c r="E312" i="88"/>
  <c r="O312" i="88"/>
  <c r="AB312" i="88" s="1"/>
  <c r="M312" i="88"/>
  <c r="AE312" i="88" s="1"/>
  <c r="B313" i="88"/>
  <c r="A313" i="88" s="1"/>
  <c r="Y311" i="88"/>
  <c r="B392" i="88"/>
  <c r="A391" i="88"/>
  <c r="Y310" i="88"/>
  <c r="Z310" i="88" s="1"/>
  <c r="A392" i="88" l="1"/>
  <c r="D205" i="88"/>
  <c r="F214" i="88" s="1"/>
  <c r="F215" i="88" s="1"/>
  <c r="D227" i="88"/>
  <c r="K151" i="88"/>
  <c r="K177" i="88" s="1"/>
  <c r="J156" i="88"/>
  <c r="K152" i="88"/>
  <c r="K159" i="88"/>
  <c r="K158" i="88"/>
  <c r="K185" i="88" s="1"/>
  <c r="F313" i="88"/>
  <c r="L313" i="88"/>
  <c r="E169" i="88" s="1"/>
  <c r="Z311" i="88"/>
  <c r="Y312" i="88"/>
  <c r="E155" i="88"/>
  <c r="E180" i="88" s="1"/>
  <c r="Q313" i="88"/>
  <c r="K165" i="88" s="1"/>
  <c r="K155" i="88" l="1"/>
  <c r="K180" i="88" s="1"/>
  <c r="K169" i="88"/>
  <c r="K186" i="88" s="1"/>
  <c r="G169" i="88"/>
  <c r="G186" i="88" s="1"/>
  <c r="J169" i="88"/>
  <c r="J186" i="88" s="1"/>
  <c r="F169" i="88"/>
  <c r="F186" i="88" s="1"/>
  <c r="H169" i="88"/>
  <c r="H186" i="88" s="1"/>
  <c r="E186" i="88"/>
  <c r="I169" i="88"/>
  <c r="I186" i="88" s="1"/>
  <c r="J165" i="88"/>
  <c r="J181" i="88"/>
  <c r="J159" i="88"/>
  <c r="J152" i="88"/>
  <c r="J155" i="88"/>
  <c r="J180" i="88" s="1"/>
  <c r="J154" i="88"/>
  <c r="J179" i="88" s="1"/>
  <c r="J158" i="88"/>
  <c r="J185" i="88" s="1"/>
  <c r="J151" i="88"/>
  <c r="J177" i="88" s="1"/>
  <c r="Z312" i="88"/>
  <c r="E313" i="88" s="1"/>
  <c r="E156" i="88"/>
  <c r="E181" i="88" s="1"/>
  <c r="H152" i="88"/>
  <c r="G154" i="88"/>
  <c r="G179" i="88" s="1"/>
  <c r="G152" i="88"/>
  <c r="F154" i="88"/>
  <c r="F179" i="88" s="1"/>
  <c r="F156" i="88"/>
  <c r="F181" i="88" s="1"/>
  <c r="I151" i="88"/>
  <c r="I177" i="88" s="1"/>
  <c r="G158" i="88"/>
  <c r="G185" i="88" s="1"/>
  <c r="H165" i="88"/>
  <c r="I165" i="88"/>
  <c r="I152" i="88"/>
  <c r="F159" i="88"/>
  <c r="I158" i="88"/>
  <c r="I185" i="88" s="1"/>
  <c r="F155" i="88"/>
  <c r="F180" i="88" s="1"/>
  <c r="F158" i="88"/>
  <c r="F185" i="88" s="1"/>
  <c r="H154" i="88"/>
  <c r="H179" i="88" s="1"/>
  <c r="H151" i="88"/>
  <c r="H177" i="88" s="1"/>
  <c r="I154" i="88"/>
  <c r="I179" i="88" s="1"/>
  <c r="H158" i="88"/>
  <c r="H185" i="88" s="1"/>
  <c r="H159" i="88"/>
  <c r="G151" i="88"/>
  <c r="G177" i="88" s="1"/>
  <c r="I159" i="88"/>
  <c r="G165" i="88"/>
  <c r="G159" i="88"/>
  <c r="F152" i="88"/>
  <c r="E159" i="88"/>
  <c r="E154" i="88"/>
  <c r="E179" i="88" s="1"/>
  <c r="F151" i="88"/>
  <c r="F177" i="88" s="1"/>
  <c r="E158" i="88"/>
  <c r="E185" i="88" s="1"/>
  <c r="E151" i="88"/>
  <c r="E177" i="88" s="1"/>
  <c r="E152" i="88"/>
  <c r="Y313" i="88" l="1"/>
  <c r="Z313" i="88" s="1"/>
  <c r="K154" i="88"/>
  <c r="K179" i="88" s="1"/>
  <c r="J158" i="5"/>
  <c r="K165" i="5"/>
  <c r="K160" i="5"/>
  <c r="L165" i="5"/>
  <c r="M165" i="5"/>
  <c r="M160" i="5"/>
  <c r="L160" i="5"/>
  <c r="K65" i="18" l="1"/>
  <c r="K64" i="18"/>
  <c r="K63" i="18"/>
  <c r="G18" i="57"/>
  <c r="E80" i="18"/>
  <c r="G215" i="2"/>
  <c r="F216" i="2"/>
  <c r="G45" i="86"/>
  <c r="L70" i="18"/>
  <c r="L71" i="18" s="1"/>
  <c r="P140" i="5" s="1"/>
  <c r="M70" i="18"/>
  <c r="M71" i="18" s="1"/>
  <c r="Q140" i="5" s="1"/>
  <c r="P70" i="18"/>
  <c r="P71" i="18" s="1"/>
  <c r="T140" i="5" s="1"/>
  <c r="O70" i="18"/>
  <c r="O71" i="18" s="1"/>
  <c r="S140" i="5" s="1"/>
  <c r="M17" i="8"/>
  <c r="N70" i="18" l="1"/>
  <c r="N71" i="18" s="1"/>
  <c r="R140" i="5" s="1"/>
  <c r="N232" i="86"/>
  <c r="M232" i="86" l="1"/>
  <c r="L232" i="86"/>
  <c r="K232" i="86"/>
  <c r="J232" i="86"/>
  <c r="I232" i="86"/>
  <c r="H232" i="86"/>
  <c r="G232" i="86"/>
  <c r="F232" i="86"/>
  <c r="E232" i="86"/>
  <c r="M171" i="86"/>
  <c r="L171" i="86"/>
  <c r="K171" i="86"/>
  <c r="J171" i="86"/>
  <c r="AA167" i="86"/>
  <c r="O148" i="86" l="1"/>
  <c r="N148" i="86"/>
  <c r="M148" i="86"/>
  <c r="L148" i="86"/>
  <c r="O146" i="86" l="1"/>
  <c r="N146" i="86"/>
  <c r="M146" i="86"/>
  <c r="L146" i="86"/>
  <c r="O145" i="86"/>
  <c r="N145" i="86"/>
  <c r="M145" i="86"/>
  <c r="L145" i="86"/>
  <c r="O144" i="86"/>
  <c r="N144" i="86"/>
  <c r="M144" i="86"/>
  <c r="L144" i="86"/>
  <c r="K66" i="86"/>
  <c r="L66" i="86"/>
  <c r="M66" i="86"/>
  <c r="N66" i="86"/>
  <c r="J114" i="5" l="1"/>
  <c r="K114" i="5"/>
  <c r="L114" i="5"/>
  <c r="M114" i="5"/>
  <c r="M113" i="5"/>
  <c r="L113" i="5"/>
  <c r="K113" i="5"/>
  <c r="J113" i="5"/>
  <c r="O95" i="86"/>
  <c r="N95" i="86"/>
  <c r="M95" i="86"/>
  <c r="L95" i="86"/>
  <c r="G358" i="2"/>
  <c r="G275" i="2" l="1"/>
  <c r="I13" i="3"/>
  <c r="S16" i="47"/>
  <c r="T262" i="2"/>
  <c r="T263" i="2"/>
  <c r="S262" i="2"/>
  <c r="S263" i="2"/>
  <c r="R262" i="2"/>
  <c r="R263" i="2"/>
  <c r="Q262" i="2"/>
  <c r="Q263" i="2"/>
  <c r="P262" i="2"/>
  <c r="N262" i="2"/>
  <c r="P263" i="2"/>
  <c r="N263" i="2"/>
  <c r="G13" i="2" l="1"/>
  <c r="L124" i="5" l="1"/>
  <c r="Y292" i="2"/>
  <c r="Y291" i="2"/>
  <c r="Y290" i="2"/>
  <c r="Y289" i="2"/>
  <c r="G292" i="2"/>
  <c r="G291" i="2"/>
  <c r="F435" i="2"/>
  <c r="G435" i="2" s="1"/>
  <c r="F434" i="2"/>
  <c r="G434" i="2" s="1"/>
  <c r="R434" i="2" l="1"/>
  <c r="R10" i="7" s="1"/>
  <c r="Y435" i="2"/>
  <c r="Y434" i="2"/>
  <c r="G290" i="2"/>
  <c r="G289" i="2"/>
  <c r="G16" i="18"/>
  <c r="G15" i="18"/>
  <c r="N289" i="2"/>
  <c r="M49" i="86" s="1"/>
  <c r="K58" i="18"/>
  <c r="O50" i="18" s="1"/>
  <c r="N38" i="86"/>
  <c r="M38" i="86"/>
  <c r="L38" i="86"/>
  <c r="K40" i="86"/>
  <c r="J40" i="86"/>
  <c r="I40" i="86"/>
  <c r="H40" i="86"/>
  <c r="G40" i="86"/>
  <c r="F40" i="86"/>
  <c r="E40" i="86"/>
  <c r="D40" i="86"/>
  <c r="L40" i="86" s="1"/>
  <c r="R38" i="86" s="1"/>
  <c r="R39" i="86" s="1"/>
  <c r="T39" i="86" s="1"/>
  <c r="T38" i="86" s="1"/>
  <c r="C40" i="86"/>
  <c r="S39" i="86"/>
  <c r="Q39" i="86"/>
  <c r="S38" i="86"/>
  <c r="Q38" i="86"/>
  <c r="T37" i="86"/>
  <c r="S37" i="86"/>
  <c r="R37" i="86"/>
  <c r="Q37" i="86"/>
  <c r="T36" i="86"/>
  <c r="S36" i="86"/>
  <c r="R36" i="86"/>
  <c r="Q36" i="86"/>
  <c r="T35" i="86"/>
  <c r="S35" i="86"/>
  <c r="R35" i="86"/>
  <c r="Q35" i="86"/>
  <c r="M139" i="5"/>
  <c r="M289" i="2" s="1"/>
  <c r="L139" i="5"/>
  <c r="L289" i="2" s="1"/>
  <c r="K49" i="86" s="1"/>
  <c r="K139" i="5"/>
  <c r="K289" i="2" s="1"/>
  <c r="J49" i="86" s="1"/>
  <c r="J139" i="5"/>
  <c r="J289" i="2" s="1"/>
  <c r="I49" i="86" s="1"/>
  <c r="K38" i="86"/>
  <c r="J38" i="86"/>
  <c r="I38" i="86"/>
  <c r="H38" i="86"/>
  <c r="G38" i="86"/>
  <c r="F38" i="86"/>
  <c r="E38" i="86"/>
  <c r="D38" i="86"/>
  <c r="C38" i="86"/>
  <c r="N36" i="86"/>
  <c r="M36" i="86"/>
  <c r="L36" i="86"/>
  <c r="K36" i="86"/>
  <c r="J36" i="86"/>
  <c r="I36" i="86"/>
  <c r="H36" i="86"/>
  <c r="G36" i="86"/>
  <c r="F36" i="86"/>
  <c r="E36" i="86"/>
  <c r="D36" i="86"/>
  <c r="C36" i="86"/>
  <c r="N35" i="86"/>
  <c r="M35" i="86"/>
  <c r="L35" i="86"/>
  <c r="K35" i="86"/>
  <c r="J35" i="86"/>
  <c r="I35" i="86"/>
  <c r="H35" i="86"/>
  <c r="G35" i="86"/>
  <c r="F35" i="86"/>
  <c r="E35" i="86"/>
  <c r="D35" i="86"/>
  <c r="C35" i="86"/>
  <c r="O35" i="86"/>
  <c r="N37" i="86"/>
  <c r="M37" i="86"/>
  <c r="L37" i="86"/>
  <c r="K37" i="86"/>
  <c r="J37" i="86"/>
  <c r="I37" i="86"/>
  <c r="H37" i="86"/>
  <c r="G37" i="86"/>
  <c r="F37" i="86"/>
  <c r="E37" i="86"/>
  <c r="D37" i="86"/>
  <c r="C37" i="86"/>
  <c r="P32" i="86"/>
  <c r="P28" i="86"/>
  <c r="P24" i="86"/>
  <c r="P20" i="86"/>
  <c r="O33" i="86"/>
  <c r="O32" i="86"/>
  <c r="O29" i="86"/>
  <c r="O28" i="86"/>
  <c r="G10" i="86"/>
  <c r="G9" i="86"/>
  <c r="G6" i="86"/>
  <c r="G5" i="86"/>
  <c r="G7" i="86"/>
  <c r="F10" i="86"/>
  <c r="E10" i="86"/>
  <c r="D10" i="86"/>
  <c r="C10" i="86"/>
  <c r="F9" i="86"/>
  <c r="E9" i="86"/>
  <c r="D9" i="86"/>
  <c r="C9" i="86"/>
  <c r="F7" i="86"/>
  <c r="E7" i="86"/>
  <c r="D7" i="86"/>
  <c r="C7" i="86"/>
  <c r="T435" i="2" l="1"/>
  <c r="S435" i="2"/>
  <c r="R435" i="2"/>
  <c r="O289" i="2"/>
  <c r="L49" i="86"/>
  <c r="W49" i="86"/>
  <c r="M40" i="86"/>
  <c r="G10" i="2"/>
  <c r="G12" i="2"/>
  <c r="F92" i="59"/>
  <c r="F91" i="59"/>
  <c r="F94" i="59"/>
  <c r="F93" i="59"/>
  <c r="F222" i="2"/>
  <c r="F219" i="2"/>
  <c r="F213" i="2"/>
  <c r="F210" i="2"/>
  <c r="G9" i="2"/>
  <c r="F140" i="2"/>
  <c r="G140" i="2" s="1"/>
  <c r="G8" i="2"/>
  <c r="G11" i="2"/>
  <c r="F90" i="59"/>
  <c r="R140" i="2" l="1"/>
  <c r="S140" i="2"/>
  <c r="Q140" i="2"/>
  <c r="P140" i="2"/>
  <c r="P141" i="2" s="1"/>
  <c r="T140" i="2"/>
  <c r="R173" i="5"/>
  <c r="R39" i="7"/>
  <c r="N49" i="86"/>
  <c r="O49" i="86" s="1"/>
  <c r="P289" i="2" s="1"/>
  <c r="P139" i="5" s="1"/>
  <c r="O139" i="5"/>
  <c r="N40" i="86"/>
  <c r="P49" i="86" l="1"/>
  <c r="Q49" i="86" l="1"/>
  <c r="R289" i="2" s="1"/>
  <c r="R139" i="5" s="1"/>
  <c r="Q289" i="2"/>
  <c r="Q139" i="5" s="1"/>
  <c r="R49" i="86" l="1"/>
  <c r="S289" i="2" s="1"/>
  <c r="S139" i="5" s="1"/>
  <c r="S49" i="86" l="1"/>
  <c r="T289" i="2" s="1"/>
  <c r="T139" i="5" s="1"/>
  <c r="T49" i="86" l="1"/>
  <c r="U49" i="86" s="1"/>
  <c r="V49" i="86" s="1"/>
  <c r="A1" i="85" l="1"/>
  <c r="AD57" i="3" l="1"/>
  <c r="AC57" i="3" s="1"/>
  <c r="AB57" i="3" s="1"/>
  <c r="AF57" i="3"/>
  <c r="AG57" i="3" s="1"/>
  <c r="AH57" i="3" s="1"/>
  <c r="U57" i="3"/>
  <c r="T57" i="3" s="1"/>
  <c r="S57" i="3" s="1"/>
  <c r="W57" i="3"/>
  <c r="X57" i="3" s="1"/>
  <c r="Y57" i="3" s="1"/>
  <c r="AF53" i="3"/>
  <c r="AG53" i="3" s="1"/>
  <c r="AH53" i="3" s="1"/>
  <c r="AD53" i="3"/>
  <c r="AC53" i="3" s="1"/>
  <c r="AB53" i="3" s="1"/>
  <c r="W61" i="3"/>
  <c r="X61" i="3" s="1"/>
  <c r="Y61" i="3" s="1"/>
  <c r="U61" i="3"/>
  <c r="T61" i="3" s="1"/>
  <c r="S61" i="3" s="1"/>
  <c r="W53" i="3"/>
  <c r="X53" i="3" s="1"/>
  <c r="Y53" i="3" s="1"/>
  <c r="U53" i="3"/>
  <c r="T53" i="3" s="1"/>
  <c r="S53" i="3" s="1"/>
  <c r="N61" i="3"/>
  <c r="O61" i="3" s="1"/>
  <c r="P61" i="3" s="1"/>
  <c r="L61" i="3"/>
  <c r="K61" i="3" s="1"/>
  <c r="J61" i="3" s="1"/>
  <c r="T14" i="7"/>
  <c r="S14" i="7"/>
  <c r="S13" i="7" s="1"/>
  <c r="S16" i="7"/>
  <c r="T16" i="7" s="1"/>
  <c r="O15" i="7"/>
  <c r="R13" i="7"/>
  <c r="Q13" i="7"/>
  <c r="P13" i="7"/>
  <c r="O13" i="7"/>
  <c r="M75" i="34" l="1"/>
  <c r="N75" i="34" s="1"/>
  <c r="M76" i="34"/>
  <c r="L75" i="34"/>
  <c r="K75" i="34"/>
  <c r="J75" i="34"/>
  <c r="G533" i="2" l="1"/>
  <c r="N414" i="2"/>
  <c r="G222" i="2"/>
  <c r="G219" i="2"/>
  <c r="G213" i="2"/>
  <c r="G210" i="2"/>
  <c r="G216" i="2"/>
  <c r="R48" i="7"/>
  <c r="Q48" i="7"/>
  <c r="P48" i="7"/>
  <c r="N48" i="7"/>
  <c r="O48" i="7" s="1"/>
  <c r="R119" i="6"/>
  <c r="Q119" i="6"/>
  <c r="P119" i="6"/>
  <c r="O119" i="6"/>
  <c r="R118" i="6"/>
  <c r="Q118" i="6"/>
  <c r="P118" i="6"/>
  <c r="O118" i="6"/>
  <c r="N119" i="6"/>
  <c r="N118" i="6"/>
  <c r="N117" i="6"/>
  <c r="R117" i="6"/>
  <c r="Q117" i="6"/>
  <c r="P117" i="6"/>
  <c r="O117" i="6"/>
  <c r="G414" i="2" l="1"/>
  <c r="N49" i="7"/>
  <c r="Y588" i="2" l="1"/>
  <c r="Y598" i="2"/>
  <c r="Y609" i="2"/>
  <c r="Y608" i="2"/>
  <c r="Y607" i="2"/>
  <c r="R127" i="6"/>
  <c r="S127" i="6" s="1"/>
  <c r="T127" i="6" s="1"/>
  <c r="Q127" i="6"/>
  <c r="P127" i="6"/>
  <c r="Q126" i="6"/>
  <c r="R126" i="6" s="1"/>
  <c r="S126" i="6" s="1"/>
  <c r="T126" i="6" s="1"/>
  <c r="P126" i="6"/>
  <c r="T125" i="6"/>
  <c r="S125" i="6"/>
  <c r="R125" i="6"/>
  <c r="Q125" i="6"/>
  <c r="P125" i="6"/>
  <c r="Q124" i="6"/>
  <c r="R124" i="6" s="1"/>
  <c r="S124" i="6" s="1"/>
  <c r="T124" i="6" s="1"/>
  <c r="P124" i="6"/>
  <c r="R123" i="6"/>
  <c r="S123" i="6" s="1"/>
  <c r="T123" i="6" s="1"/>
  <c r="Q123" i="6"/>
  <c r="P123" i="6"/>
  <c r="Q122" i="6"/>
  <c r="R122" i="6" s="1"/>
  <c r="S122" i="6" s="1"/>
  <c r="T122" i="6" s="1"/>
  <c r="P122" i="6"/>
  <c r="R121" i="6"/>
  <c r="S121" i="6" s="1"/>
  <c r="T121" i="6" s="1"/>
  <c r="Q121" i="6"/>
  <c r="P121" i="6"/>
  <c r="Q120" i="6"/>
  <c r="R120" i="6" s="1"/>
  <c r="S120" i="6" s="1"/>
  <c r="T120" i="6" s="1"/>
  <c r="P120" i="6"/>
  <c r="P116" i="6"/>
  <c r="Q116" i="6" s="1"/>
  <c r="R116" i="6" s="1"/>
  <c r="S116" i="6" s="1"/>
  <c r="T116" i="6" s="1"/>
  <c r="P115" i="6"/>
  <c r="Q115" i="6" s="1"/>
  <c r="R115" i="6" s="1"/>
  <c r="S115" i="6" s="1"/>
  <c r="T115" i="6" s="1"/>
  <c r="Q114" i="6"/>
  <c r="R114" i="6" s="1"/>
  <c r="S114" i="6" s="1"/>
  <c r="T114" i="6" s="1"/>
  <c r="P114" i="6"/>
  <c r="P113" i="6"/>
  <c r="Q113" i="6" s="1"/>
  <c r="R113" i="6" s="1"/>
  <c r="S113" i="6" s="1"/>
  <c r="T113" i="6" s="1"/>
  <c r="P112" i="6"/>
  <c r="Q112" i="6" s="1"/>
  <c r="R112" i="6" s="1"/>
  <c r="S112" i="6" s="1"/>
  <c r="T112" i="6" s="1"/>
  <c r="Q111" i="6"/>
  <c r="R111" i="6" s="1"/>
  <c r="S111" i="6" s="1"/>
  <c r="T111" i="6" s="1"/>
  <c r="P111" i="6"/>
  <c r="O127" i="6"/>
  <c r="O126" i="6"/>
  <c r="O125" i="6"/>
  <c r="O124" i="6"/>
  <c r="O123" i="6"/>
  <c r="O122" i="6"/>
  <c r="O121" i="6"/>
  <c r="O120" i="6"/>
  <c r="O116" i="6"/>
  <c r="O115" i="6"/>
  <c r="O114" i="6"/>
  <c r="O113" i="6"/>
  <c r="O112" i="6"/>
  <c r="O111" i="6"/>
  <c r="N127" i="6"/>
  <c r="N126" i="6"/>
  <c r="N125" i="6"/>
  <c r="N124" i="6"/>
  <c r="N123" i="6"/>
  <c r="N122" i="6"/>
  <c r="N121" i="6"/>
  <c r="N120" i="6"/>
  <c r="N116" i="6"/>
  <c r="N115" i="6"/>
  <c r="N114" i="6"/>
  <c r="N113" i="6"/>
  <c r="N112" i="6"/>
  <c r="N111" i="6"/>
  <c r="Y651" i="2"/>
  <c r="Y673" i="2"/>
  <c r="Y672" i="2"/>
  <c r="Y671" i="2"/>
  <c r="Y661" i="2"/>
  <c r="Y682" i="2"/>
  <c r="M105" i="6"/>
  <c r="L105" i="6"/>
  <c r="K105" i="6"/>
  <c r="J105" i="6"/>
  <c r="G682" i="2"/>
  <c r="M264" i="5"/>
  <c r="L264" i="5"/>
  <c r="K264" i="5"/>
  <c r="J264" i="5"/>
  <c r="G618" i="2"/>
  <c r="Y618" i="2"/>
  <c r="M266" i="5"/>
  <c r="L266" i="5"/>
  <c r="K266" i="5"/>
  <c r="J266" i="5"/>
  <c r="R270" i="5"/>
  <c r="R50" i="7" s="1"/>
  <c r="S50" i="7" s="1"/>
  <c r="T50" i="7" s="1"/>
  <c r="Q270" i="5"/>
  <c r="Q50" i="7" s="1"/>
  <c r="P270" i="5"/>
  <c r="P50" i="7" s="1"/>
  <c r="P22" i="34" s="1"/>
  <c r="O270" i="5"/>
  <c r="R269" i="5"/>
  <c r="R46" i="7" s="1"/>
  <c r="Q269" i="5"/>
  <c r="P269" i="5"/>
  <c r="O269" i="5"/>
  <c r="Q173" i="5"/>
  <c r="P173" i="5"/>
  <c r="R16" i="7"/>
  <c r="Q16" i="7"/>
  <c r="R15" i="7"/>
  <c r="Q15" i="7"/>
  <c r="P16" i="7"/>
  <c r="R20" i="7"/>
  <c r="Q20" i="7"/>
  <c r="P20" i="7"/>
  <c r="R19" i="7"/>
  <c r="Q19" i="7"/>
  <c r="P19" i="7"/>
  <c r="O20" i="7"/>
  <c r="O14" i="7"/>
  <c r="T66" i="7"/>
  <c r="S66" i="7"/>
  <c r="R66" i="7"/>
  <c r="Q66" i="7"/>
  <c r="P66" i="7"/>
  <c r="O66" i="7"/>
  <c r="N66" i="7"/>
  <c r="Q73" i="7"/>
  <c r="P73" i="7"/>
  <c r="O73" i="7"/>
  <c r="N73" i="7"/>
  <c r="T95" i="7"/>
  <c r="S95" i="7"/>
  <c r="R95" i="7"/>
  <c r="Q95" i="7"/>
  <c r="P95" i="7"/>
  <c r="O95" i="7"/>
  <c r="N95" i="7"/>
  <c r="P98" i="7"/>
  <c r="O98" i="7"/>
  <c r="N98" i="7"/>
  <c r="O71" i="7"/>
  <c r="P71" i="7"/>
  <c r="N71" i="7"/>
  <c r="P69" i="7"/>
  <c r="P97" i="7" s="1"/>
  <c r="Q69" i="7" s="1"/>
  <c r="O97" i="7"/>
  <c r="N97" i="7"/>
  <c r="O94" i="7"/>
  <c r="P94" i="7" s="1"/>
  <c r="Q94" i="7" s="1"/>
  <c r="R94" i="7" s="1"/>
  <c r="S94" i="7" s="1"/>
  <c r="T94" i="7" s="1"/>
  <c r="N94" i="7"/>
  <c r="O69" i="7"/>
  <c r="N69" i="7"/>
  <c r="P96" i="7"/>
  <c r="O96" i="7"/>
  <c r="N96" i="7"/>
  <c r="O67" i="7"/>
  <c r="Q67" i="7"/>
  <c r="Q96" i="7" s="1"/>
  <c r="P67" i="7"/>
  <c r="N67" i="7"/>
  <c r="N26" i="7"/>
  <c r="R26" i="7"/>
  <c r="Q26" i="7"/>
  <c r="P26" i="7"/>
  <c r="N28" i="7"/>
  <c r="N27" i="7"/>
  <c r="O26" i="7"/>
  <c r="O27" i="7"/>
  <c r="S27" i="7"/>
  <c r="T27" i="7" s="1"/>
  <c r="T26" i="7" s="1"/>
  <c r="R27" i="7"/>
  <c r="Q27" i="7"/>
  <c r="P27" i="7"/>
  <c r="O64" i="7"/>
  <c r="N64" i="7"/>
  <c r="T22" i="7"/>
  <c r="S22" i="7"/>
  <c r="S25" i="7"/>
  <c r="T25" i="7" s="1"/>
  <c r="S24" i="7"/>
  <c r="T24" i="7" s="1"/>
  <c r="S23" i="7"/>
  <c r="T23" i="7" s="1"/>
  <c r="Q23" i="7"/>
  <c r="N22" i="7"/>
  <c r="N85" i="7"/>
  <c r="O49" i="7" s="1"/>
  <c r="T13" i="7"/>
  <c r="R14" i="7"/>
  <c r="Q14" i="7"/>
  <c r="P14" i="7"/>
  <c r="Q17" i="7"/>
  <c r="R17" i="7" s="1"/>
  <c r="S17" i="7" s="1"/>
  <c r="T17" i="7" s="1"/>
  <c r="P17" i="7"/>
  <c r="N15" i="7"/>
  <c r="O17" i="7"/>
  <c r="N17" i="7"/>
  <c r="O16" i="7"/>
  <c r="N16" i="7" s="1"/>
  <c r="P15" i="7"/>
  <c r="P90" i="7"/>
  <c r="Q57" i="7" s="1"/>
  <c r="O90" i="7"/>
  <c r="N90" i="7"/>
  <c r="P57" i="7"/>
  <c r="O57" i="7"/>
  <c r="N57" i="7"/>
  <c r="N18" i="7"/>
  <c r="N20" i="7"/>
  <c r="N55" i="7" s="1"/>
  <c r="N52" i="7" s="1"/>
  <c r="N19" i="7"/>
  <c r="N53" i="7" s="1"/>
  <c r="O53" i="7" s="1"/>
  <c r="S20" i="7"/>
  <c r="T20" i="7" s="1"/>
  <c r="T18" i="7" s="1"/>
  <c r="S19" i="7"/>
  <c r="T19" i="7" s="1"/>
  <c r="R18" i="7"/>
  <c r="Q18" i="7"/>
  <c r="P18" i="7"/>
  <c r="O18" i="7"/>
  <c r="Q21" i="7"/>
  <c r="R21" i="7" s="1"/>
  <c r="S21" i="7" s="1"/>
  <c r="T21" i="7" s="1"/>
  <c r="P21" i="7"/>
  <c r="O21" i="7"/>
  <c r="N21" i="7"/>
  <c r="O19" i="7"/>
  <c r="R22" i="7"/>
  <c r="Q22" i="7"/>
  <c r="P22" i="7"/>
  <c r="O22" i="7"/>
  <c r="P43" i="7"/>
  <c r="P38" i="7" s="1"/>
  <c r="R41" i="7"/>
  <c r="Q41" i="7"/>
  <c r="P41" i="7"/>
  <c r="P81" i="7" s="1"/>
  <c r="Q39" i="7"/>
  <c r="P39" i="7"/>
  <c r="K58" i="7"/>
  <c r="J58" i="7"/>
  <c r="L58" i="7"/>
  <c r="M58" i="7"/>
  <c r="N58" i="7" s="1"/>
  <c r="O58" i="7" s="1"/>
  <c r="P58" i="7" s="1"/>
  <c r="Q58" i="7" s="1"/>
  <c r="R58" i="7" s="1"/>
  <c r="S58" i="7" s="1"/>
  <c r="T58" i="7" s="1"/>
  <c r="O82" i="7"/>
  <c r="O81" i="7"/>
  <c r="O80" i="7"/>
  <c r="O79" i="7"/>
  <c r="N79" i="7"/>
  <c r="N82" i="7"/>
  <c r="N81" i="7"/>
  <c r="N80" i="7"/>
  <c r="O43" i="7"/>
  <c r="N43" i="7"/>
  <c r="O41" i="7"/>
  <c r="N41" i="7"/>
  <c r="O39" i="7"/>
  <c r="N39" i="7"/>
  <c r="M72" i="7"/>
  <c r="N72" i="7" s="1"/>
  <c r="O72" i="7" s="1"/>
  <c r="P72" i="7" s="1"/>
  <c r="Q72" i="7" s="1"/>
  <c r="R72" i="7" s="1"/>
  <c r="S72" i="7" s="1"/>
  <c r="T72" i="7" s="1"/>
  <c r="M70" i="7"/>
  <c r="N70" i="7" s="1"/>
  <c r="O70" i="7" s="1"/>
  <c r="P70" i="7" s="1"/>
  <c r="Q70" i="7" s="1"/>
  <c r="R70" i="7" s="1"/>
  <c r="S70" i="7" s="1"/>
  <c r="T70" i="7" s="1"/>
  <c r="M68" i="7"/>
  <c r="M65" i="7"/>
  <c r="N65" i="7" s="1"/>
  <c r="O65" i="7" s="1"/>
  <c r="P65" i="7" s="1"/>
  <c r="Q65" i="7" s="1"/>
  <c r="R65" i="7" s="1"/>
  <c r="S65" i="7" s="1"/>
  <c r="T65" i="7" s="1"/>
  <c r="M56" i="7"/>
  <c r="M54" i="7"/>
  <c r="M51" i="7"/>
  <c r="M49" i="7"/>
  <c r="M47" i="7"/>
  <c r="M42" i="7"/>
  <c r="M44" i="7"/>
  <c r="M40" i="7"/>
  <c r="N38" i="7"/>
  <c r="O38" i="7"/>
  <c r="N74" i="7"/>
  <c r="O74" i="7" s="1"/>
  <c r="P74" i="7" s="1"/>
  <c r="Q74" i="7" s="1"/>
  <c r="R74" i="7" s="1"/>
  <c r="S74" i="7" s="1"/>
  <c r="T74" i="7" s="1"/>
  <c r="N68" i="7"/>
  <c r="O68" i="7" s="1"/>
  <c r="P68" i="7" s="1"/>
  <c r="Q68" i="7" s="1"/>
  <c r="R68" i="7" s="1"/>
  <c r="S68" i="7" s="1"/>
  <c r="T68" i="7" s="1"/>
  <c r="L93" i="7"/>
  <c r="L91" i="7" s="1"/>
  <c r="N56" i="7"/>
  <c r="O56" i="7" s="1"/>
  <c r="P56" i="7" s="1"/>
  <c r="Q56" i="7" s="1"/>
  <c r="R56" i="7" s="1"/>
  <c r="S56" i="7" s="1"/>
  <c r="T56" i="7" s="1"/>
  <c r="N54" i="7"/>
  <c r="O54" i="7" s="1"/>
  <c r="P54" i="7" s="1"/>
  <c r="Q54" i="7" s="1"/>
  <c r="R54" i="7" s="1"/>
  <c r="S54" i="7" s="1"/>
  <c r="T54" i="7" s="1"/>
  <c r="N44" i="7"/>
  <c r="O44" i="7" s="1"/>
  <c r="P44" i="7" s="1"/>
  <c r="Q44" i="7" s="1"/>
  <c r="R44" i="7" s="1"/>
  <c r="S44" i="7" s="1"/>
  <c r="T44" i="7" s="1"/>
  <c r="N42" i="7"/>
  <c r="O42" i="7" s="1"/>
  <c r="P42" i="7" s="1"/>
  <c r="Q42" i="7" s="1"/>
  <c r="R42" i="7" s="1"/>
  <c r="S42" i="7" s="1"/>
  <c r="T42" i="7" s="1"/>
  <c r="N40" i="7"/>
  <c r="O40" i="7" s="1"/>
  <c r="P40" i="7" s="1"/>
  <c r="Q40" i="7" s="1"/>
  <c r="R40" i="7" s="1"/>
  <c r="S40" i="7" s="1"/>
  <c r="T40" i="7" s="1"/>
  <c r="L40" i="7"/>
  <c r="K40" i="7"/>
  <c r="M78" i="7"/>
  <c r="L78" i="7"/>
  <c r="K78" i="7"/>
  <c r="K99" i="7" s="1"/>
  <c r="J78" i="7"/>
  <c r="J81" i="7"/>
  <c r="L73" i="7"/>
  <c r="K73" i="7"/>
  <c r="J73" i="7"/>
  <c r="M38" i="7"/>
  <c r="L38" i="7"/>
  <c r="K38" i="7"/>
  <c r="J38" i="7"/>
  <c r="K43" i="7"/>
  <c r="M98" i="7"/>
  <c r="L98" i="7"/>
  <c r="K98" i="7"/>
  <c r="M97" i="7"/>
  <c r="L97" i="7"/>
  <c r="K97" i="7"/>
  <c r="J97" i="7"/>
  <c r="M96" i="7"/>
  <c r="L96" i="7"/>
  <c r="K96" i="7"/>
  <c r="J96" i="7"/>
  <c r="M94" i="7"/>
  <c r="L94" i="7"/>
  <c r="K94" i="7"/>
  <c r="M93" i="7"/>
  <c r="K93" i="7"/>
  <c r="J93" i="7"/>
  <c r="M92" i="7"/>
  <c r="L92" i="7"/>
  <c r="K92" i="7"/>
  <c r="J92" i="7"/>
  <c r="M90" i="7"/>
  <c r="L90" i="7"/>
  <c r="K90" i="7"/>
  <c r="M89" i="7"/>
  <c r="L89" i="7"/>
  <c r="K89" i="7"/>
  <c r="J89" i="7"/>
  <c r="M88" i="7"/>
  <c r="M87" i="7" s="1"/>
  <c r="L88" i="7"/>
  <c r="K88" i="7"/>
  <c r="J88" i="7"/>
  <c r="M86" i="7"/>
  <c r="L86" i="7"/>
  <c r="K86" i="7"/>
  <c r="M85" i="7"/>
  <c r="L85" i="7"/>
  <c r="K85" i="7"/>
  <c r="J85" i="7"/>
  <c r="M84" i="7"/>
  <c r="L84" i="7"/>
  <c r="K84" i="7"/>
  <c r="J84" i="7"/>
  <c r="M82" i="7"/>
  <c r="L82" i="7"/>
  <c r="K82" i="7"/>
  <c r="J82" i="7"/>
  <c r="J79" i="7" s="1"/>
  <c r="I82" i="7"/>
  <c r="M81" i="7"/>
  <c r="L81" i="7"/>
  <c r="K81" i="7"/>
  <c r="I81" i="7"/>
  <c r="M80" i="7"/>
  <c r="L80" i="7"/>
  <c r="K80" i="7"/>
  <c r="J80" i="7"/>
  <c r="I80" i="7"/>
  <c r="I97" i="7"/>
  <c r="M95" i="7"/>
  <c r="L95" i="7"/>
  <c r="K95" i="7"/>
  <c r="J95" i="7"/>
  <c r="I96" i="7"/>
  <c r="I93" i="7"/>
  <c r="M91" i="7"/>
  <c r="K91" i="7"/>
  <c r="I92" i="7"/>
  <c r="J91" i="7"/>
  <c r="I89" i="7"/>
  <c r="I88" i="7"/>
  <c r="K87" i="7"/>
  <c r="J87" i="7"/>
  <c r="I85" i="7"/>
  <c r="M83" i="7"/>
  <c r="I84" i="7"/>
  <c r="L83" i="7"/>
  <c r="K83" i="7"/>
  <c r="J83" i="7"/>
  <c r="L79" i="7"/>
  <c r="K79" i="7"/>
  <c r="M79" i="7"/>
  <c r="B78" i="7"/>
  <c r="M73" i="7"/>
  <c r="M71" i="7"/>
  <c r="L71" i="7"/>
  <c r="L72" i="7" s="1"/>
  <c r="K71" i="7"/>
  <c r="J71" i="7"/>
  <c r="M69" i="7"/>
  <c r="L69" i="7"/>
  <c r="L70" i="7" s="1"/>
  <c r="K69" i="7"/>
  <c r="J69" i="7"/>
  <c r="M67" i="7"/>
  <c r="L67" i="7"/>
  <c r="L68" i="7" s="1"/>
  <c r="K67" i="7"/>
  <c r="J67" i="7"/>
  <c r="M64" i="7"/>
  <c r="L64" i="7"/>
  <c r="K64" i="7"/>
  <c r="J64" i="7"/>
  <c r="L62" i="7"/>
  <c r="L63" i="7" s="1"/>
  <c r="K62" i="7"/>
  <c r="J62" i="7"/>
  <c r="L60" i="7"/>
  <c r="L59" i="7" s="1"/>
  <c r="K60" i="7"/>
  <c r="J60" i="7"/>
  <c r="M57" i="7"/>
  <c r="L57" i="7"/>
  <c r="K57" i="7"/>
  <c r="J57" i="7"/>
  <c r="M55" i="7"/>
  <c r="L55" i="7"/>
  <c r="L56" i="7" s="1"/>
  <c r="K55" i="7"/>
  <c r="J55" i="7"/>
  <c r="M53" i="7"/>
  <c r="L53" i="7"/>
  <c r="L54" i="7" s="1"/>
  <c r="K53" i="7"/>
  <c r="J53" i="7"/>
  <c r="M50" i="7"/>
  <c r="L50" i="7"/>
  <c r="L51" i="7" s="1"/>
  <c r="K50" i="7"/>
  <c r="J50" i="7"/>
  <c r="M48" i="7"/>
  <c r="L48" i="7"/>
  <c r="L49" i="7" s="1"/>
  <c r="K48" i="7"/>
  <c r="J48" i="7"/>
  <c r="M46" i="7"/>
  <c r="L46" i="7"/>
  <c r="L47" i="7" s="1"/>
  <c r="K46" i="7"/>
  <c r="J46" i="7"/>
  <c r="M43" i="7"/>
  <c r="L43" i="7"/>
  <c r="L44" i="7" s="1"/>
  <c r="J43" i="7"/>
  <c r="M41" i="7"/>
  <c r="L41" i="7"/>
  <c r="K41" i="7"/>
  <c r="J41" i="7"/>
  <c r="M39" i="7"/>
  <c r="L39" i="7"/>
  <c r="K39" i="7"/>
  <c r="J39" i="7"/>
  <c r="L37" i="7"/>
  <c r="K37" i="7"/>
  <c r="J37" i="7"/>
  <c r="K72" i="7"/>
  <c r="J72" i="7"/>
  <c r="K70" i="7"/>
  <c r="J70" i="7"/>
  <c r="K68" i="7"/>
  <c r="J68" i="7"/>
  <c r="M66" i="7"/>
  <c r="K65" i="7"/>
  <c r="J65" i="7"/>
  <c r="K63" i="7"/>
  <c r="J63" i="7"/>
  <c r="K61" i="7"/>
  <c r="J61" i="7"/>
  <c r="K59" i="7"/>
  <c r="J59" i="7"/>
  <c r="K56" i="7"/>
  <c r="J56" i="7"/>
  <c r="K54" i="7"/>
  <c r="J54" i="7"/>
  <c r="M52" i="7"/>
  <c r="K51" i="7"/>
  <c r="J51" i="7"/>
  <c r="K49" i="7"/>
  <c r="J49" i="7"/>
  <c r="K47" i="7"/>
  <c r="J47" i="7"/>
  <c r="M45" i="7"/>
  <c r="K45" i="7"/>
  <c r="J45" i="7"/>
  <c r="K44" i="7"/>
  <c r="J44" i="7"/>
  <c r="K42" i="7"/>
  <c r="J42" i="7"/>
  <c r="J40" i="7"/>
  <c r="M74" i="7"/>
  <c r="J23" i="7"/>
  <c r="M32" i="7"/>
  <c r="L32" i="7"/>
  <c r="L33" i="7" s="1"/>
  <c r="K32" i="7"/>
  <c r="J32" i="7"/>
  <c r="M30" i="7"/>
  <c r="L30" i="7"/>
  <c r="K30" i="7"/>
  <c r="J30" i="7"/>
  <c r="L29" i="7"/>
  <c r="K29" i="7"/>
  <c r="J29" i="7"/>
  <c r="M28" i="7"/>
  <c r="L28" i="7"/>
  <c r="K28" i="7"/>
  <c r="J28" i="7"/>
  <c r="J26" i="7" s="1"/>
  <c r="M27" i="7"/>
  <c r="L27" i="7"/>
  <c r="K27" i="7"/>
  <c r="J27" i="7"/>
  <c r="L25" i="7"/>
  <c r="M25" i="7" s="1"/>
  <c r="M22" i="7" s="1"/>
  <c r="K25" i="7"/>
  <c r="J25" i="7"/>
  <c r="L24" i="7"/>
  <c r="K24" i="7"/>
  <c r="J24" i="7"/>
  <c r="L23" i="7"/>
  <c r="K23" i="7"/>
  <c r="L21" i="7"/>
  <c r="M21" i="7" s="1"/>
  <c r="M18" i="7" s="1"/>
  <c r="K21" i="7"/>
  <c r="J21" i="7"/>
  <c r="M20" i="7"/>
  <c r="L20" i="7"/>
  <c r="K20" i="7"/>
  <c r="J20" i="7"/>
  <c r="M19" i="7"/>
  <c r="L19" i="7"/>
  <c r="L18" i="7" s="1"/>
  <c r="K19" i="7"/>
  <c r="J19" i="7"/>
  <c r="J18" i="7" s="1"/>
  <c r="L17" i="7"/>
  <c r="K17" i="7"/>
  <c r="J17" i="7"/>
  <c r="M16" i="7"/>
  <c r="L16" i="7"/>
  <c r="K16" i="7"/>
  <c r="J16" i="7"/>
  <c r="M15" i="7"/>
  <c r="L15" i="7"/>
  <c r="L14" i="7" s="1"/>
  <c r="K15" i="7"/>
  <c r="J15" i="7"/>
  <c r="L12" i="7"/>
  <c r="L9" i="7" s="1"/>
  <c r="K12" i="7"/>
  <c r="M11" i="7"/>
  <c r="L11" i="7"/>
  <c r="K11" i="7"/>
  <c r="J11" i="7"/>
  <c r="M10" i="7"/>
  <c r="M33" i="7" s="1"/>
  <c r="L10" i="7"/>
  <c r="K10" i="7"/>
  <c r="K9" i="7" s="1"/>
  <c r="J10" i="7"/>
  <c r="M31" i="7"/>
  <c r="L31" i="7"/>
  <c r="K31" i="7"/>
  <c r="J31" i="7"/>
  <c r="M29" i="7"/>
  <c r="L26" i="7"/>
  <c r="K18" i="7"/>
  <c r="M17" i="7"/>
  <c r="M12" i="7"/>
  <c r="J9" i="7"/>
  <c r="Q22" i="34" l="1"/>
  <c r="F257" i="89"/>
  <c r="J268" i="5"/>
  <c r="R45" i="7"/>
  <c r="K268" i="5"/>
  <c r="L268" i="5"/>
  <c r="M268" i="5"/>
  <c r="P46" i="7"/>
  <c r="P45" i="7" s="1"/>
  <c r="Q46" i="7"/>
  <c r="Q45" i="7" s="1"/>
  <c r="O85" i="7"/>
  <c r="P49" i="7" s="1"/>
  <c r="N88" i="7"/>
  <c r="O88" i="7" s="1"/>
  <c r="N89" i="7"/>
  <c r="O89" i="7"/>
  <c r="N87" i="7"/>
  <c r="S18" i="7"/>
  <c r="O55" i="7"/>
  <c r="O52" i="7" s="1"/>
  <c r="S15" i="7"/>
  <c r="Q71" i="7"/>
  <c r="Q98" i="7" s="1"/>
  <c r="Q97" i="7"/>
  <c r="R69" i="7" s="1"/>
  <c r="R67" i="7"/>
  <c r="R96" i="7" s="1"/>
  <c r="S26" i="7"/>
  <c r="N14" i="7"/>
  <c r="Q90" i="7"/>
  <c r="P82" i="7"/>
  <c r="Q43" i="7" s="1"/>
  <c r="Q81" i="7"/>
  <c r="Q80" i="7"/>
  <c r="M99" i="7"/>
  <c r="J99" i="7"/>
  <c r="L42" i="7"/>
  <c r="L65" i="7"/>
  <c r="L87" i="7"/>
  <c r="L99" i="7" s="1"/>
  <c r="L45" i="7"/>
  <c r="L61" i="7"/>
  <c r="J52" i="7"/>
  <c r="J66" i="7"/>
  <c r="K52" i="7"/>
  <c r="K74" i="7" s="1"/>
  <c r="K66" i="7"/>
  <c r="L52" i="7"/>
  <c r="L66" i="7"/>
  <c r="K33" i="7"/>
  <c r="K14" i="7"/>
  <c r="K26" i="7"/>
  <c r="J33" i="7"/>
  <c r="K22" i="7"/>
  <c r="M26" i="7"/>
  <c r="J14" i="7"/>
  <c r="J13" i="7" s="1"/>
  <c r="J8" i="7" s="1"/>
  <c r="J22" i="7"/>
  <c r="L22" i="7"/>
  <c r="L13" i="7" s="1"/>
  <c r="L8" i="7" s="1"/>
  <c r="M9" i="7"/>
  <c r="M14" i="7"/>
  <c r="R22" i="34" l="1"/>
  <c r="G257" i="89"/>
  <c r="P85" i="7"/>
  <c r="Q49" i="7" s="1"/>
  <c r="P53" i="7"/>
  <c r="P88" i="7" s="1"/>
  <c r="P55" i="7"/>
  <c r="P52" i="7" s="1"/>
  <c r="O87" i="7"/>
  <c r="T15" i="7"/>
  <c r="R71" i="7"/>
  <c r="R98" i="7" s="1"/>
  <c r="R97" i="7"/>
  <c r="S69" i="7" s="1"/>
  <c r="S67" i="7"/>
  <c r="S96" i="7"/>
  <c r="R57" i="7"/>
  <c r="R90" i="7"/>
  <c r="P79" i="7"/>
  <c r="R81" i="7"/>
  <c r="S41" i="7" s="1"/>
  <c r="R80" i="7"/>
  <c r="J74" i="7"/>
  <c r="L74" i="7"/>
  <c r="K13" i="7"/>
  <c r="K8" i="7" s="1"/>
  <c r="M13" i="7"/>
  <c r="M8" i="7" s="1"/>
  <c r="S22" i="34" l="1"/>
  <c r="H257" i="89"/>
  <c r="Q53" i="7"/>
  <c r="Q88" i="7"/>
  <c r="P89" i="7"/>
  <c r="S71" i="7"/>
  <c r="S98" i="7" s="1"/>
  <c r="S97" i="7"/>
  <c r="T69" i="7" s="1"/>
  <c r="T67" i="7"/>
  <c r="T96" i="7"/>
  <c r="S57" i="7"/>
  <c r="S90" i="7"/>
  <c r="S81" i="7"/>
  <c r="T41" i="7" s="1"/>
  <c r="T22" i="34" l="1"/>
  <c r="J257" i="89" s="1"/>
  <c r="I257" i="89"/>
  <c r="Q85" i="7"/>
  <c r="R49" i="7" s="1"/>
  <c r="S49" i="7" s="1"/>
  <c r="T49" i="7" s="1"/>
  <c r="R53" i="7"/>
  <c r="R88" i="7" s="1"/>
  <c r="Q55" i="7"/>
  <c r="Q52" i="7" s="1"/>
  <c r="P87" i="7"/>
  <c r="Q89" i="7"/>
  <c r="T71" i="7"/>
  <c r="T98" i="7" s="1"/>
  <c r="T97" i="7"/>
  <c r="T57" i="7"/>
  <c r="T90" i="7" s="1"/>
  <c r="T81" i="7"/>
  <c r="T270" i="5" l="1"/>
  <c r="S270" i="5"/>
  <c r="S119" i="6" s="1"/>
  <c r="S53" i="7"/>
  <c r="S88" i="7"/>
  <c r="T53" i="7" s="1"/>
  <c r="T88" i="7" s="1"/>
  <c r="Q87" i="7"/>
  <c r="R55" i="7"/>
  <c r="T119" i="6" l="1"/>
  <c r="R85" i="7"/>
  <c r="R89" i="7"/>
  <c r="R52" i="7"/>
  <c r="S48" i="7" l="1"/>
  <c r="S85" i="7" s="1"/>
  <c r="R87" i="7"/>
  <c r="S55" i="7"/>
  <c r="S52" i="7" s="1"/>
  <c r="S118" i="6" l="1"/>
  <c r="T48" i="7"/>
  <c r="T118" i="6" s="1"/>
  <c r="S89" i="7"/>
  <c r="T85" i="7" l="1"/>
  <c r="S87" i="7"/>
  <c r="T55" i="7"/>
  <c r="T89" i="7" l="1"/>
  <c r="T87" i="7" s="1"/>
  <c r="T52" i="7"/>
  <c r="G561" i="2" l="1"/>
  <c r="G560" i="2"/>
  <c r="G559" i="2"/>
  <c r="G558" i="2"/>
  <c r="P179" i="4"/>
  <c r="Y521" i="2"/>
  <c r="Y520" i="2"/>
  <c r="Y519" i="2"/>
  <c r="Y518" i="2"/>
  <c r="T237" i="5"/>
  <c r="S237" i="5"/>
  <c r="R237" i="5"/>
  <c r="Q237" i="5"/>
  <c r="P237" i="5"/>
  <c r="N237" i="5"/>
  <c r="K237" i="5"/>
  <c r="L237" i="5"/>
  <c r="M237" i="5"/>
  <c r="M235" i="5"/>
  <c r="L235" i="5"/>
  <c r="K235" i="5"/>
  <c r="T140" i="4"/>
  <c r="S140" i="4"/>
  <c r="R140" i="4"/>
  <c r="Q140" i="4"/>
  <c r="P140" i="4"/>
  <c r="O141" i="4"/>
  <c r="O140" i="4"/>
  <c r="N140" i="4"/>
  <c r="M141" i="4"/>
  <c r="L141" i="4"/>
  <c r="K141" i="4"/>
  <c r="M140" i="4"/>
  <c r="L140" i="4"/>
  <c r="K140" i="4"/>
  <c r="M142" i="4"/>
  <c r="L142" i="4"/>
  <c r="K142" i="4"/>
  <c r="L110" i="4"/>
  <c r="K110" i="4"/>
  <c r="P146" i="4"/>
  <c r="P110" i="4" s="1"/>
  <c r="O503" i="2"/>
  <c r="O149" i="4" s="1"/>
  <c r="T503" i="2"/>
  <c r="T154" i="4" s="1"/>
  <c r="S503" i="2"/>
  <c r="S154" i="4" s="1"/>
  <c r="R503" i="2"/>
  <c r="R154" i="4" s="1"/>
  <c r="Q503" i="2"/>
  <c r="Q154" i="4" s="1"/>
  <c r="P503" i="2"/>
  <c r="M151" i="4"/>
  <c r="N151" i="4" s="1"/>
  <c r="L151" i="4"/>
  <c r="K151" i="4"/>
  <c r="J151" i="4"/>
  <c r="M147" i="4"/>
  <c r="M146" i="4" s="1"/>
  <c r="M110" i="4" s="1"/>
  <c r="L147" i="4"/>
  <c r="L146" i="4" s="1"/>
  <c r="K147" i="4"/>
  <c r="K146" i="4" s="1"/>
  <c r="J147" i="4"/>
  <c r="J146" i="4" s="1"/>
  <c r="J110" i="4" s="1"/>
  <c r="G521" i="2"/>
  <c r="G520" i="2"/>
  <c r="G519" i="2"/>
  <c r="G518" i="2"/>
  <c r="M230" i="5"/>
  <c r="L230" i="5"/>
  <c r="K230" i="5"/>
  <c r="J230" i="5"/>
  <c r="M225" i="5"/>
  <c r="L225" i="5"/>
  <c r="K225" i="5"/>
  <c r="J225" i="5"/>
  <c r="M220" i="5"/>
  <c r="L220" i="5"/>
  <c r="K220" i="5"/>
  <c r="J220" i="5"/>
  <c r="M215" i="5"/>
  <c r="L215" i="5"/>
  <c r="K215" i="5"/>
  <c r="J215" i="5"/>
  <c r="M231" i="5"/>
  <c r="O231" i="5" s="1"/>
  <c r="L231" i="5"/>
  <c r="K231" i="5"/>
  <c r="M226" i="5"/>
  <c r="L226" i="5"/>
  <c r="K226" i="5"/>
  <c r="M221" i="5"/>
  <c r="L221" i="5"/>
  <c r="K221" i="5"/>
  <c r="M216" i="5"/>
  <c r="L216" i="5"/>
  <c r="K216" i="5"/>
  <c r="M211" i="5"/>
  <c r="L211" i="5"/>
  <c r="K211" i="5"/>
  <c r="J231" i="5"/>
  <c r="J226" i="5"/>
  <c r="J221" i="5"/>
  <c r="J216" i="5"/>
  <c r="J211" i="5"/>
  <c r="M135" i="4"/>
  <c r="M521" i="2" s="1"/>
  <c r="O521" i="2" s="1"/>
  <c r="L135" i="4"/>
  <c r="L521" i="2" s="1"/>
  <c r="K135" i="4"/>
  <c r="K521" i="2" s="1"/>
  <c r="J135" i="4"/>
  <c r="J521" i="2" s="1"/>
  <c r="M130" i="4"/>
  <c r="M520" i="2" s="1"/>
  <c r="O520" i="2" s="1"/>
  <c r="L130" i="4"/>
  <c r="L520" i="2" s="1"/>
  <c r="K130" i="4"/>
  <c r="K520" i="2" s="1"/>
  <c r="J130" i="4"/>
  <c r="J520" i="2" s="1"/>
  <c r="M125" i="4"/>
  <c r="M519" i="2" s="1"/>
  <c r="O519" i="2" s="1"/>
  <c r="L125" i="4"/>
  <c r="L519" i="2" s="1"/>
  <c r="K125" i="4"/>
  <c r="K519" i="2" s="1"/>
  <c r="J125" i="4"/>
  <c r="J519" i="2" s="1"/>
  <c r="M120" i="4"/>
  <c r="M518" i="2" s="1"/>
  <c r="O518" i="2" s="1"/>
  <c r="L120" i="4"/>
  <c r="L518" i="2" s="1"/>
  <c r="K120" i="4"/>
  <c r="K518" i="2" s="1"/>
  <c r="J120" i="4"/>
  <c r="J518" i="2" s="1"/>
  <c r="M136" i="4"/>
  <c r="O136" i="4" s="1"/>
  <c r="L136" i="4"/>
  <c r="K136" i="4"/>
  <c r="J136" i="4"/>
  <c r="M131" i="4"/>
  <c r="L131" i="4"/>
  <c r="K131" i="4"/>
  <c r="J131" i="4"/>
  <c r="M126" i="4"/>
  <c r="L126" i="4"/>
  <c r="K126" i="4"/>
  <c r="J126" i="4"/>
  <c r="M121" i="4"/>
  <c r="L121" i="4"/>
  <c r="K121" i="4"/>
  <c r="J121" i="4"/>
  <c r="M116" i="4"/>
  <c r="L116" i="4"/>
  <c r="K116" i="4"/>
  <c r="J116" i="4"/>
  <c r="T533" i="2"/>
  <c r="T157" i="4" s="1"/>
  <c r="T158" i="4" s="1"/>
  <c r="S533" i="2"/>
  <c r="S157" i="4" s="1"/>
  <c r="S158" i="4" s="1"/>
  <c r="R533" i="2"/>
  <c r="R157" i="4" s="1"/>
  <c r="R158" i="4" s="1"/>
  <c r="Q533" i="2"/>
  <c r="Q159" i="4" s="1"/>
  <c r="Y533" i="2"/>
  <c r="T512" i="2"/>
  <c r="T155" i="4" s="1"/>
  <c r="S512" i="2"/>
  <c r="S155" i="4" s="1"/>
  <c r="R512" i="2"/>
  <c r="R155" i="4" s="1"/>
  <c r="Q512" i="2"/>
  <c r="Q155" i="4" s="1"/>
  <c r="Q64" i="16"/>
  <c r="J212" i="5" l="1"/>
  <c r="L236" i="5"/>
  <c r="O237" i="5"/>
  <c r="M236" i="5"/>
  <c r="N236" i="5" s="1"/>
  <c r="N235" i="5" s="1"/>
  <c r="O235" i="5" s="1"/>
  <c r="K236" i="5"/>
  <c r="Q158" i="4"/>
  <c r="J148" i="4"/>
  <c r="K148" i="4"/>
  <c r="L148" i="4"/>
  <c r="M148" i="4"/>
  <c r="O151" i="4"/>
  <c r="K115" i="4"/>
  <c r="J115" i="4"/>
  <c r="M115" i="4"/>
  <c r="R521" i="2"/>
  <c r="R135" i="4" s="1"/>
  <c r="R230" i="5" s="1"/>
  <c r="Q521" i="2"/>
  <c r="Q135" i="4" s="1"/>
  <c r="Q230" i="5" s="1"/>
  <c r="P521" i="2"/>
  <c r="P135" i="4" s="1"/>
  <c r="P230" i="5" s="1"/>
  <c r="T521" i="2"/>
  <c r="T135" i="4" s="1"/>
  <c r="T230" i="5" s="1"/>
  <c r="O135" i="4"/>
  <c r="S521" i="2"/>
  <c r="S135" i="4" s="1"/>
  <c r="S230" i="5" s="1"/>
  <c r="T518" i="2"/>
  <c r="T120" i="4" s="1"/>
  <c r="T215" i="5" s="1"/>
  <c r="S518" i="2"/>
  <c r="S120" i="4" s="1"/>
  <c r="S215" i="5" s="1"/>
  <c r="R518" i="2"/>
  <c r="R120" i="4" s="1"/>
  <c r="R215" i="5" s="1"/>
  <c r="Q518" i="2"/>
  <c r="Q120" i="4" s="1"/>
  <c r="Q215" i="5" s="1"/>
  <c r="O120" i="4"/>
  <c r="P518" i="2"/>
  <c r="P120" i="4" s="1"/>
  <c r="P215" i="5" s="1"/>
  <c r="N518" i="2"/>
  <c r="N120" i="4" s="1"/>
  <c r="N215" i="5" s="1"/>
  <c r="O215" i="5" s="1"/>
  <c r="N519" i="2"/>
  <c r="N125" i="4" s="1"/>
  <c r="N220" i="5" s="1"/>
  <c r="O220" i="5" s="1"/>
  <c r="T519" i="2"/>
  <c r="T125" i="4" s="1"/>
  <c r="T220" i="5" s="1"/>
  <c r="S519" i="2"/>
  <c r="S125" i="4" s="1"/>
  <c r="S220" i="5" s="1"/>
  <c r="R519" i="2"/>
  <c r="R125" i="4" s="1"/>
  <c r="R220" i="5" s="1"/>
  <c r="Q519" i="2"/>
  <c r="Q125" i="4" s="1"/>
  <c r="Q220" i="5" s="1"/>
  <c r="P519" i="2"/>
  <c r="P125" i="4" s="1"/>
  <c r="P220" i="5" s="1"/>
  <c r="O125" i="4"/>
  <c r="S520" i="2"/>
  <c r="S130" i="4" s="1"/>
  <c r="S225" i="5" s="1"/>
  <c r="R520" i="2"/>
  <c r="R130" i="4" s="1"/>
  <c r="R225" i="5" s="1"/>
  <c r="O130" i="4"/>
  <c r="Q520" i="2"/>
  <c r="Q130" i="4" s="1"/>
  <c r="Q225" i="5" s="1"/>
  <c r="P520" i="2"/>
  <c r="P130" i="4" s="1"/>
  <c r="P225" i="5" s="1"/>
  <c r="L117" i="4"/>
  <c r="N521" i="2"/>
  <c r="N135" i="4" s="1"/>
  <c r="N230" i="5" s="1"/>
  <c r="O230" i="5" s="1"/>
  <c r="T520" i="2"/>
  <c r="T130" i="4" s="1"/>
  <c r="T225" i="5" s="1"/>
  <c r="N520" i="2"/>
  <c r="N130" i="4" s="1"/>
  <c r="N225" i="5" s="1"/>
  <c r="O225" i="5" s="1"/>
  <c r="L212" i="5"/>
  <c r="M212" i="5"/>
  <c r="J227" i="5"/>
  <c r="K227" i="5"/>
  <c r="L227" i="5"/>
  <c r="M227" i="5"/>
  <c r="L115" i="4"/>
  <c r="K212" i="5"/>
  <c r="J222" i="5"/>
  <c r="K222" i="5"/>
  <c r="L222" i="5"/>
  <c r="M222" i="5"/>
  <c r="J217" i="5"/>
  <c r="K217" i="5"/>
  <c r="L217" i="5"/>
  <c r="M217" i="5"/>
  <c r="L210" i="5"/>
  <c r="M210" i="5"/>
  <c r="J210" i="5"/>
  <c r="K210" i="5"/>
  <c r="K117" i="4"/>
  <c r="Q244" i="5"/>
  <c r="Q247" i="5" s="1"/>
  <c r="Q245" i="5" s="1"/>
  <c r="J117" i="4"/>
  <c r="M117" i="4"/>
  <c r="K127" i="4"/>
  <c r="L127" i="4"/>
  <c r="M127" i="4"/>
  <c r="J122" i="4"/>
  <c r="J132" i="4"/>
  <c r="K122" i="4"/>
  <c r="K132" i="4"/>
  <c r="J127" i="4"/>
  <c r="L122" i="4"/>
  <c r="L132" i="4"/>
  <c r="M122" i="4"/>
  <c r="M132" i="4"/>
  <c r="T244" i="5"/>
  <c r="T247" i="5" s="1"/>
  <c r="T245" i="5" s="1"/>
  <c r="S244" i="5"/>
  <c r="S247" i="5" s="1"/>
  <c r="S245" i="5" s="1"/>
  <c r="R244" i="5"/>
  <c r="R247" i="5" s="1"/>
  <c r="R245" i="5" s="1"/>
  <c r="K204" i="5" l="1"/>
  <c r="L204" i="5"/>
  <c r="J204" i="5"/>
  <c r="M204" i="5"/>
  <c r="O236" i="5"/>
  <c r="P236" i="5" s="1"/>
  <c r="P235" i="5" s="1"/>
  <c r="K108" i="4"/>
  <c r="L108" i="4"/>
  <c r="M108" i="4"/>
  <c r="J108" i="4"/>
  <c r="M127" i="6"/>
  <c r="L127" i="6"/>
  <c r="K127" i="6"/>
  <c r="J127" i="6"/>
  <c r="M126" i="6"/>
  <c r="L126" i="6"/>
  <c r="K126" i="6"/>
  <c r="J126" i="6"/>
  <c r="M125" i="6"/>
  <c r="L125" i="6"/>
  <c r="K125" i="6"/>
  <c r="J125" i="6"/>
  <c r="M124" i="6"/>
  <c r="L124" i="6"/>
  <c r="K124" i="6"/>
  <c r="J124" i="6"/>
  <c r="M123" i="6"/>
  <c r="L123" i="6"/>
  <c r="K123" i="6"/>
  <c r="J123" i="6"/>
  <c r="M122" i="6"/>
  <c r="L122" i="6"/>
  <c r="K122" i="6"/>
  <c r="J122" i="6"/>
  <c r="M121" i="6"/>
  <c r="L121" i="6"/>
  <c r="K121" i="6"/>
  <c r="J121" i="6"/>
  <c r="M120" i="6"/>
  <c r="L120" i="6"/>
  <c r="K120" i="6"/>
  <c r="J120" i="6"/>
  <c r="M119" i="6"/>
  <c r="L119" i="6"/>
  <c r="K119" i="6"/>
  <c r="J119" i="6"/>
  <c r="M118" i="6"/>
  <c r="L118" i="6"/>
  <c r="K118" i="6"/>
  <c r="J118" i="6"/>
  <c r="M117" i="6"/>
  <c r="L117" i="6"/>
  <c r="K117" i="6"/>
  <c r="J117" i="6"/>
  <c r="M116" i="6"/>
  <c r="L116" i="6"/>
  <c r="K116" i="6"/>
  <c r="J116" i="6"/>
  <c r="M115" i="6"/>
  <c r="L115" i="6"/>
  <c r="K115" i="6"/>
  <c r="J115" i="6"/>
  <c r="M114" i="6"/>
  <c r="L114" i="6"/>
  <c r="K114" i="6"/>
  <c r="J114" i="6"/>
  <c r="M113" i="6"/>
  <c r="L113" i="6"/>
  <c r="K113" i="6"/>
  <c r="J113" i="6"/>
  <c r="M112" i="6"/>
  <c r="L112" i="6"/>
  <c r="K112" i="6"/>
  <c r="J112" i="6"/>
  <c r="M111" i="6"/>
  <c r="L111" i="6"/>
  <c r="K111" i="6"/>
  <c r="J111" i="6"/>
  <c r="G673" i="2"/>
  <c r="G672" i="2"/>
  <c r="G671" i="2"/>
  <c r="G661" i="2"/>
  <c r="P651" i="2"/>
  <c r="Q651" i="2" s="1"/>
  <c r="R651" i="2" s="1"/>
  <c r="S651" i="2" s="1"/>
  <c r="T651" i="2" s="1"/>
  <c r="T94" i="6" s="1"/>
  <c r="M100" i="6"/>
  <c r="L100" i="6"/>
  <c r="K100" i="6"/>
  <c r="J100" i="6"/>
  <c r="M98" i="6"/>
  <c r="L98" i="6"/>
  <c r="K98" i="6"/>
  <c r="J98" i="6"/>
  <c r="M96" i="6"/>
  <c r="L96" i="6"/>
  <c r="K96" i="6"/>
  <c r="J96" i="6"/>
  <c r="M94" i="6"/>
  <c r="M651" i="2" s="1"/>
  <c r="N651" i="2" s="1"/>
  <c r="O651" i="2" s="1"/>
  <c r="O94" i="6" s="1"/>
  <c r="L94" i="6"/>
  <c r="L651" i="2" s="1"/>
  <c r="K94" i="6"/>
  <c r="K651" i="2" s="1"/>
  <c r="J94" i="6"/>
  <c r="J651" i="2" s="1"/>
  <c r="M93" i="6"/>
  <c r="L93" i="6"/>
  <c r="K93" i="6"/>
  <c r="J93" i="6"/>
  <c r="L110" i="6"/>
  <c r="L88" i="6" s="1"/>
  <c r="K197" i="5"/>
  <c r="L197" i="5"/>
  <c r="M197" i="5"/>
  <c r="O197" i="5" s="1"/>
  <c r="M198" i="5"/>
  <c r="O198" i="5" s="1"/>
  <c r="L198" i="5"/>
  <c r="K198" i="5"/>
  <c r="J198" i="5"/>
  <c r="J197" i="5"/>
  <c r="G651" i="2"/>
  <c r="M270" i="5"/>
  <c r="N270" i="5" s="1"/>
  <c r="N50" i="7" s="1"/>
  <c r="L270" i="5"/>
  <c r="K270" i="5"/>
  <c r="J270" i="5"/>
  <c r="M269" i="5"/>
  <c r="L269" i="5"/>
  <c r="K269" i="5"/>
  <c r="J269" i="5"/>
  <c r="G609" i="2"/>
  <c r="G608" i="2"/>
  <c r="G607" i="2"/>
  <c r="G598" i="2"/>
  <c r="P588" i="2"/>
  <c r="Q588" i="2" s="1"/>
  <c r="R588" i="2" s="1"/>
  <c r="S588" i="2" s="1"/>
  <c r="T588" i="2" s="1"/>
  <c r="T253" i="5" s="1"/>
  <c r="G588" i="2"/>
  <c r="M259" i="5"/>
  <c r="L259" i="5"/>
  <c r="K259" i="5"/>
  <c r="J259" i="5"/>
  <c r="M257" i="5"/>
  <c r="L257" i="5"/>
  <c r="K257" i="5"/>
  <c r="J257" i="5"/>
  <c r="M255" i="5"/>
  <c r="L255" i="5"/>
  <c r="K255" i="5"/>
  <c r="J255" i="5"/>
  <c r="M253" i="5"/>
  <c r="M588" i="2" s="1"/>
  <c r="N588" i="2" s="1"/>
  <c r="L253" i="5"/>
  <c r="L588" i="2" s="1"/>
  <c r="K253" i="5"/>
  <c r="K588" i="2" s="1"/>
  <c r="J253" i="5"/>
  <c r="J588" i="2" s="1"/>
  <c r="M252" i="5"/>
  <c r="L252" i="5"/>
  <c r="K252" i="5"/>
  <c r="J252" i="5"/>
  <c r="M244" i="5"/>
  <c r="L244" i="5"/>
  <c r="K244" i="5"/>
  <c r="J244" i="5"/>
  <c r="M242" i="5"/>
  <c r="M241" i="5" s="1"/>
  <c r="L242" i="5"/>
  <c r="L241" i="5" s="1"/>
  <c r="K242" i="5"/>
  <c r="K241" i="5" s="1"/>
  <c r="J242" i="5"/>
  <c r="P206" i="5"/>
  <c r="J205" i="5"/>
  <c r="M111" i="4"/>
  <c r="O111" i="4" s="1"/>
  <c r="L111" i="4"/>
  <c r="K111" i="4"/>
  <c r="J111" i="4"/>
  <c r="J109" i="4"/>
  <c r="M109" i="4"/>
  <c r="L271" i="5" l="1"/>
  <c r="K271" i="5"/>
  <c r="J271" i="5"/>
  <c r="N269" i="5"/>
  <c r="N46" i="7" s="1"/>
  <c r="M271" i="5"/>
  <c r="O50" i="7"/>
  <c r="N51" i="7"/>
  <c r="N86" i="7"/>
  <c r="M110" i="6"/>
  <c r="M88" i="6" s="1"/>
  <c r="J110" i="6"/>
  <c r="J88" i="6" s="1"/>
  <c r="K110" i="6"/>
  <c r="K88" i="6" s="1"/>
  <c r="Q236" i="5"/>
  <c r="R236" i="5" s="1"/>
  <c r="N142" i="4"/>
  <c r="O142" i="4" s="1"/>
  <c r="P142" i="4" s="1"/>
  <c r="Q142" i="4" s="1"/>
  <c r="R142" i="4" s="1"/>
  <c r="S142" i="4" s="1"/>
  <c r="T142" i="4" s="1"/>
  <c r="M87" i="6"/>
  <c r="J258" i="5"/>
  <c r="J608" i="2" s="1"/>
  <c r="P94" i="6"/>
  <c r="Q94" i="6"/>
  <c r="R94" i="6"/>
  <c r="S94" i="6"/>
  <c r="N94" i="6"/>
  <c r="J97" i="6"/>
  <c r="J671" i="2" s="1"/>
  <c r="K101" i="6"/>
  <c r="K673" i="2" s="1"/>
  <c r="J95" i="6"/>
  <c r="J661" i="2" s="1"/>
  <c r="M99" i="6"/>
  <c r="M672" i="2" s="1"/>
  <c r="N672" i="2" s="1"/>
  <c r="O672" i="2" s="1"/>
  <c r="O99" i="6" s="1"/>
  <c r="J92" i="6"/>
  <c r="J86" i="6" s="1"/>
  <c r="K87" i="6"/>
  <c r="J99" i="6"/>
  <c r="J672" i="2" s="1"/>
  <c r="K99" i="6"/>
  <c r="K672" i="2" s="1"/>
  <c r="K92" i="6"/>
  <c r="K86" i="6" s="1"/>
  <c r="L101" i="6"/>
  <c r="L673" i="2" s="1"/>
  <c r="L97" i="6"/>
  <c r="L671" i="2" s="1"/>
  <c r="M95" i="6"/>
  <c r="M661" i="2" s="1"/>
  <c r="N661" i="2" s="1"/>
  <c r="O661" i="2" s="1"/>
  <c r="O95" i="6" s="1"/>
  <c r="M97" i="6"/>
  <c r="M671" i="2" s="1"/>
  <c r="N671" i="2" s="1"/>
  <c r="O671" i="2" s="1"/>
  <c r="O97" i="6" s="1"/>
  <c r="L87" i="6"/>
  <c r="K95" i="6"/>
  <c r="K661" i="2" s="1"/>
  <c r="K97" i="6"/>
  <c r="K671" i="2" s="1"/>
  <c r="J101" i="6"/>
  <c r="J673" i="2" s="1"/>
  <c r="J87" i="6"/>
  <c r="M101" i="6"/>
  <c r="M673" i="2" s="1"/>
  <c r="N673" i="2" s="1"/>
  <c r="L99" i="6"/>
  <c r="L672" i="2" s="1"/>
  <c r="L92" i="6"/>
  <c r="L86" i="6" s="1"/>
  <c r="M92" i="6"/>
  <c r="M86" i="6" s="1"/>
  <c r="L95" i="6"/>
  <c r="L661" i="2" s="1"/>
  <c r="K258" i="5"/>
  <c r="K608" i="2" s="1"/>
  <c r="J251" i="5"/>
  <c r="J195" i="5" s="1"/>
  <c r="J256" i="5"/>
  <c r="J607" i="2" s="1"/>
  <c r="J260" i="5"/>
  <c r="J609" i="2" s="1"/>
  <c r="K256" i="5"/>
  <c r="K607" i="2" s="1"/>
  <c r="K260" i="5"/>
  <c r="K609" i="2" s="1"/>
  <c r="L256" i="5"/>
  <c r="L607" i="2" s="1"/>
  <c r="L260" i="5"/>
  <c r="L609" i="2" s="1"/>
  <c r="M256" i="5"/>
  <c r="M607" i="2" s="1"/>
  <c r="N607" i="2" s="1"/>
  <c r="O607" i="2" s="1"/>
  <c r="O256" i="5" s="1"/>
  <c r="M260" i="5"/>
  <c r="M609" i="2" s="1"/>
  <c r="N609" i="2" s="1"/>
  <c r="L258" i="5"/>
  <c r="L608" i="2" s="1"/>
  <c r="M258" i="5"/>
  <c r="M608" i="2" s="1"/>
  <c r="O588" i="2"/>
  <c r="O253" i="5" s="1"/>
  <c r="N253" i="5"/>
  <c r="P253" i="5"/>
  <c r="Q253" i="5"/>
  <c r="R253" i="5"/>
  <c r="S253" i="5"/>
  <c r="M254" i="5"/>
  <c r="M598" i="2" s="1"/>
  <c r="N598" i="2" s="1"/>
  <c r="K254" i="5"/>
  <c r="K598" i="2" s="1"/>
  <c r="L254" i="5"/>
  <c r="L598" i="2" s="1"/>
  <c r="J254" i="5"/>
  <c r="J598" i="2" s="1"/>
  <c r="K251" i="5"/>
  <c r="K195" i="5" s="1"/>
  <c r="L251" i="5"/>
  <c r="L195" i="5" s="1"/>
  <c r="M251" i="5"/>
  <c r="M195" i="5" s="1"/>
  <c r="J243" i="5"/>
  <c r="M243" i="5"/>
  <c r="K243" i="5"/>
  <c r="J241" i="5"/>
  <c r="M205" i="5"/>
  <c r="K205" i="5"/>
  <c r="K206" i="5"/>
  <c r="M206" i="5"/>
  <c r="L206" i="5"/>
  <c r="L243" i="5"/>
  <c r="N244" i="5"/>
  <c r="K109" i="4"/>
  <c r="L109" i="4"/>
  <c r="N141" i="4"/>
  <c r="D257" i="89" l="1"/>
  <c r="O86" i="7"/>
  <c r="O51" i="7"/>
  <c r="N271" i="5"/>
  <c r="N268" i="5" s="1"/>
  <c r="N260" i="5"/>
  <c r="O609" i="2"/>
  <c r="O260" i="5" s="1"/>
  <c r="N47" i="7"/>
  <c r="N45" i="7"/>
  <c r="O46" i="7"/>
  <c r="O45" i="7" s="1"/>
  <c r="N84" i="7"/>
  <c r="Q235" i="5"/>
  <c r="S236" i="5"/>
  <c r="R235" i="5"/>
  <c r="K196" i="5"/>
  <c r="P671" i="2"/>
  <c r="P97" i="6" s="1"/>
  <c r="K202" i="5"/>
  <c r="M202" i="5"/>
  <c r="J196" i="5"/>
  <c r="L196" i="5"/>
  <c r="S672" i="2"/>
  <c r="S99" i="6" s="1"/>
  <c r="P673" i="2"/>
  <c r="P101" i="6" s="1"/>
  <c r="M196" i="5"/>
  <c r="R671" i="2"/>
  <c r="R97" i="6" s="1"/>
  <c r="S673" i="2"/>
  <c r="S101" i="6" s="1"/>
  <c r="Q671" i="2"/>
  <c r="Q97" i="6" s="1"/>
  <c r="T671" i="2"/>
  <c r="T97" i="6" s="1"/>
  <c r="R672" i="2"/>
  <c r="R99" i="6" s="1"/>
  <c r="N97" i="6"/>
  <c r="Q673" i="2"/>
  <c r="Q101" i="6" s="1"/>
  <c r="P672" i="2"/>
  <c r="P99" i="6" s="1"/>
  <c r="R673" i="2"/>
  <c r="R101" i="6" s="1"/>
  <c r="N99" i="6"/>
  <c r="S671" i="2"/>
  <c r="S97" i="6" s="1"/>
  <c r="T673" i="2"/>
  <c r="T101" i="6" s="1"/>
  <c r="Q672" i="2"/>
  <c r="Q99" i="6" s="1"/>
  <c r="N95" i="6"/>
  <c r="N93" i="6" s="1"/>
  <c r="P661" i="2"/>
  <c r="Q661" i="2" s="1"/>
  <c r="T672" i="2"/>
  <c r="T99" i="6" s="1"/>
  <c r="O244" i="5"/>
  <c r="J107" i="4"/>
  <c r="J106" i="6" s="1"/>
  <c r="J682" i="2" s="1"/>
  <c r="N256" i="5"/>
  <c r="T607" i="2"/>
  <c r="T256" i="5" s="1"/>
  <c r="N110" i="6"/>
  <c r="N88" i="6" s="1"/>
  <c r="Q609" i="2"/>
  <c r="Q260" i="5" s="1"/>
  <c r="O673" i="2"/>
  <c r="O101" i="6" s="1"/>
  <c r="N101" i="6"/>
  <c r="M84" i="6"/>
  <c r="M71" i="6" s="1"/>
  <c r="L84" i="6"/>
  <c r="L71" i="6" s="1"/>
  <c r="K84" i="6"/>
  <c r="K71" i="6" s="1"/>
  <c r="J84" i="6"/>
  <c r="J71" i="6" s="1"/>
  <c r="R608" i="2"/>
  <c r="R258" i="5" s="1"/>
  <c r="Q607" i="2"/>
  <c r="Q256" i="5" s="1"/>
  <c r="S607" i="2"/>
  <c r="S256" i="5" s="1"/>
  <c r="R607" i="2"/>
  <c r="R256" i="5" s="1"/>
  <c r="P607" i="2"/>
  <c r="P256" i="5" s="1"/>
  <c r="S608" i="2"/>
  <c r="S258" i="5" s="1"/>
  <c r="R609" i="2"/>
  <c r="R260" i="5" s="1"/>
  <c r="P609" i="2"/>
  <c r="P260" i="5" s="1"/>
  <c r="Q608" i="2"/>
  <c r="Q258" i="5" s="1"/>
  <c r="T608" i="2"/>
  <c r="T258" i="5" s="1"/>
  <c r="S609" i="2"/>
  <c r="S260" i="5" s="1"/>
  <c r="P608" i="2"/>
  <c r="P258" i="5" s="1"/>
  <c r="N608" i="2"/>
  <c r="N258" i="5" s="1"/>
  <c r="T609" i="2"/>
  <c r="T260" i="5" s="1"/>
  <c r="O598" i="2"/>
  <c r="N254" i="5"/>
  <c r="N252" i="5" s="1"/>
  <c r="N205" i="5"/>
  <c r="J206" i="5"/>
  <c r="J202" i="5" s="1"/>
  <c r="L205" i="5"/>
  <c r="L202" i="5" s="1"/>
  <c r="M107" i="4"/>
  <c r="M106" i="6" s="1"/>
  <c r="M682" i="2" s="1"/>
  <c r="K107" i="4"/>
  <c r="K106" i="6" s="1"/>
  <c r="K682" i="2" s="1"/>
  <c r="L107" i="4"/>
  <c r="L106" i="6" s="1"/>
  <c r="L682" i="2" s="1"/>
  <c r="O271" i="5" l="1"/>
  <c r="P51" i="7"/>
  <c r="P86" i="7"/>
  <c r="O47" i="7"/>
  <c r="N83" i="7"/>
  <c r="O84" i="7"/>
  <c r="R682" i="2"/>
  <c r="R106" i="6" s="1"/>
  <c r="T682" i="2"/>
  <c r="T106" i="6" s="1"/>
  <c r="S682" i="2"/>
  <c r="S106" i="6" s="1"/>
  <c r="Q682" i="2"/>
  <c r="Q106" i="6" s="1"/>
  <c r="P682" i="2"/>
  <c r="P106" i="6" s="1"/>
  <c r="N682" i="2"/>
  <c r="K267" i="5"/>
  <c r="K618" i="2" s="1"/>
  <c r="K265" i="5"/>
  <c r="M267" i="5"/>
  <c r="M618" i="2" s="1"/>
  <c r="N618" i="2" s="1"/>
  <c r="N267" i="5" s="1"/>
  <c r="M265" i="5"/>
  <c r="L267" i="5"/>
  <c r="L618" i="2" s="1"/>
  <c r="L265" i="5"/>
  <c r="J267" i="5"/>
  <c r="J618" i="2" s="1"/>
  <c r="J265" i="5"/>
  <c r="J203" i="5"/>
  <c r="L203" i="5"/>
  <c r="M203" i="5"/>
  <c r="K203" i="5"/>
  <c r="T236" i="5"/>
  <c r="T235" i="5" s="1"/>
  <c r="S235" i="5"/>
  <c r="N98" i="6"/>
  <c r="P95" i="6"/>
  <c r="P93" i="6" s="1"/>
  <c r="P100" i="6" s="1"/>
  <c r="M98" i="4"/>
  <c r="M72" i="6" s="1"/>
  <c r="M85" i="6"/>
  <c r="J85" i="6"/>
  <c r="L98" i="4"/>
  <c r="L72" i="6" s="1"/>
  <c r="L85" i="6"/>
  <c r="K98" i="4"/>
  <c r="K72" i="6" s="1"/>
  <c r="K85" i="6"/>
  <c r="J98" i="4"/>
  <c r="J72" i="6" s="1"/>
  <c r="O93" i="6"/>
  <c r="O96" i="6" s="1"/>
  <c r="N96" i="6"/>
  <c r="O608" i="2"/>
  <c r="O258" i="5" s="1"/>
  <c r="N100" i="6"/>
  <c r="R661" i="2"/>
  <c r="Q95" i="6"/>
  <c r="Q93" i="6" s="1"/>
  <c r="N259" i="5"/>
  <c r="O259" i="5" s="1"/>
  <c r="O252" i="5"/>
  <c r="N255" i="5"/>
  <c r="N257" i="5"/>
  <c r="O257" i="5" s="1"/>
  <c r="O254" i="5"/>
  <c r="P598" i="2"/>
  <c r="O205" i="5"/>
  <c r="N109" i="4"/>
  <c r="Q51" i="7" l="1"/>
  <c r="Q86" i="7"/>
  <c r="P271" i="5"/>
  <c r="O268" i="5"/>
  <c r="P47" i="7"/>
  <c r="O83" i="7"/>
  <c r="P84" i="7"/>
  <c r="P618" i="2"/>
  <c r="P267" i="5" s="1"/>
  <c r="Q618" i="2"/>
  <c r="Q267" i="5" s="1"/>
  <c r="R618" i="2"/>
  <c r="R267" i="5" s="1"/>
  <c r="S618" i="2"/>
  <c r="S267" i="5" s="1"/>
  <c r="T618" i="2"/>
  <c r="T267" i="5" s="1"/>
  <c r="O109" i="4"/>
  <c r="P141" i="4"/>
  <c r="P98" i="6"/>
  <c r="P96" i="6"/>
  <c r="O110" i="6"/>
  <c r="O88" i="6" s="1"/>
  <c r="Q96" i="6"/>
  <c r="Q98" i="6"/>
  <c r="Q100" i="6"/>
  <c r="S661" i="2"/>
  <c r="R95" i="6"/>
  <c r="R93" i="6" s="1"/>
  <c r="L194" i="5"/>
  <c r="J194" i="5"/>
  <c r="K194" i="5"/>
  <c r="K192" i="5" s="1"/>
  <c r="K193" i="5" s="1"/>
  <c r="M194" i="5"/>
  <c r="P254" i="5"/>
  <c r="P252" i="5" s="1"/>
  <c r="Q598" i="2"/>
  <c r="O255" i="5"/>
  <c r="O251" i="5" s="1"/>
  <c r="O195" i="5" s="1"/>
  <c r="N251" i="5"/>
  <c r="N195" i="5" s="1"/>
  <c r="P205" i="5"/>
  <c r="Q271" i="5" l="1"/>
  <c r="P268" i="5"/>
  <c r="R51" i="7"/>
  <c r="S51" i="7" s="1"/>
  <c r="T51" i="7" s="1"/>
  <c r="R86" i="7"/>
  <c r="Q47" i="7"/>
  <c r="P83" i="7"/>
  <c r="Q84" i="7"/>
  <c r="Q141" i="4"/>
  <c r="P109" i="4"/>
  <c r="P110" i="6"/>
  <c r="P88" i="6" s="1"/>
  <c r="R96" i="6"/>
  <c r="R98" i="6"/>
  <c r="R100" i="6"/>
  <c r="T661" i="2"/>
  <c r="T95" i="6" s="1"/>
  <c r="T93" i="6" s="1"/>
  <c r="S95" i="6"/>
  <c r="S93" i="6" s="1"/>
  <c r="K183" i="5"/>
  <c r="M192" i="5"/>
  <c r="M193" i="5" s="1"/>
  <c r="J192" i="5"/>
  <c r="J193" i="5" s="1"/>
  <c r="L192" i="5"/>
  <c r="L193" i="5" s="1"/>
  <c r="R598" i="2"/>
  <c r="Q254" i="5"/>
  <c r="Q252" i="5" s="1"/>
  <c r="P255" i="5"/>
  <c r="P257" i="5"/>
  <c r="P259" i="5"/>
  <c r="Q205" i="5"/>
  <c r="S86" i="7" l="1"/>
  <c r="R271" i="5"/>
  <c r="Q268" i="5"/>
  <c r="R47" i="7"/>
  <c r="S47" i="7" s="1"/>
  <c r="T47" i="7" s="1"/>
  <c r="Q83" i="7"/>
  <c r="R84" i="7"/>
  <c r="R141" i="4"/>
  <c r="Q109" i="4"/>
  <c r="Q110" i="6"/>
  <c r="Q88" i="6" s="1"/>
  <c r="S96" i="6"/>
  <c r="S98" i="6"/>
  <c r="S100" i="6"/>
  <c r="T98" i="6"/>
  <c r="T100" i="6"/>
  <c r="T96" i="6"/>
  <c r="J183" i="5"/>
  <c r="M183" i="5"/>
  <c r="L183" i="5"/>
  <c r="P251" i="5"/>
  <c r="P195" i="5" s="1"/>
  <c r="Q255" i="5"/>
  <c r="Q259" i="5"/>
  <c r="Q257" i="5"/>
  <c r="S598" i="2"/>
  <c r="R254" i="5"/>
  <c r="R252" i="5" s="1"/>
  <c r="R205" i="5"/>
  <c r="S271" i="5" l="1"/>
  <c r="T271" i="5" s="1"/>
  <c r="R268" i="5"/>
  <c r="T86" i="7"/>
  <c r="S46" i="7"/>
  <c r="S84" i="7" s="1"/>
  <c r="R83" i="7"/>
  <c r="S141" i="4"/>
  <c r="R109" i="4"/>
  <c r="R110" i="6"/>
  <c r="R88" i="6" s="1"/>
  <c r="Q251" i="5"/>
  <c r="T598" i="2"/>
  <c r="T254" i="5" s="1"/>
  <c r="T252" i="5" s="1"/>
  <c r="S254" i="5"/>
  <c r="S252" i="5" s="1"/>
  <c r="R259" i="5"/>
  <c r="R257" i="5"/>
  <c r="R255" i="5"/>
  <c r="S205" i="5"/>
  <c r="T46" i="7" l="1"/>
  <c r="T84" i="7" s="1"/>
  <c r="T83" i="7" s="1"/>
  <c r="S83" i="7"/>
  <c r="S45" i="7"/>
  <c r="S269" i="5" s="1"/>
  <c r="S268" i="5" s="1"/>
  <c r="T205" i="5"/>
  <c r="T141" i="4"/>
  <c r="T109" i="4" s="1"/>
  <c r="S109" i="4"/>
  <c r="Q195" i="5"/>
  <c r="R251" i="5"/>
  <c r="S257" i="5"/>
  <c r="S259" i="5"/>
  <c r="S255" i="5"/>
  <c r="T255" i="5"/>
  <c r="T259" i="5"/>
  <c r="T257" i="5"/>
  <c r="S117" i="6" l="1"/>
  <c r="S110" i="6" s="1"/>
  <c r="S88" i="6" s="1"/>
  <c r="T45" i="7"/>
  <c r="T269" i="5" s="1"/>
  <c r="T268" i="5" s="1"/>
  <c r="R195" i="5"/>
  <c r="T251" i="5"/>
  <c r="S251" i="5"/>
  <c r="T117" i="6" l="1"/>
  <c r="T110" i="6" s="1"/>
  <c r="T88" i="6" s="1"/>
  <c r="S195" i="5"/>
  <c r="T195" i="5"/>
  <c r="F35" i="64" l="1"/>
  <c r="E35" i="64"/>
  <c r="D35" i="64"/>
  <c r="C35" i="64"/>
  <c r="F34" i="64"/>
  <c r="F36" i="64" s="1"/>
  <c r="F37" i="64" s="1"/>
  <c r="E34" i="64"/>
  <c r="E36" i="64" s="1"/>
  <c r="E37" i="64" s="1"/>
  <c r="D34" i="64"/>
  <c r="D36" i="64" s="1"/>
  <c r="D37" i="64" s="1"/>
  <c r="C34" i="64"/>
  <c r="C36" i="64" s="1"/>
  <c r="C37" i="64" s="1"/>
  <c r="T546" i="2" l="1"/>
  <c r="S546" i="2"/>
  <c r="R546" i="2"/>
  <c r="Q546" i="2"/>
  <c r="P546" i="2"/>
  <c r="T545" i="2"/>
  <c r="S545" i="2"/>
  <c r="R545" i="2"/>
  <c r="Q545" i="2"/>
  <c r="P545" i="2"/>
  <c r="T544" i="2"/>
  <c r="S544" i="2"/>
  <c r="R544" i="2"/>
  <c r="Q544" i="2"/>
  <c r="P544" i="2"/>
  <c r="T157" i="2"/>
  <c r="S157" i="2"/>
  <c r="R157" i="2"/>
  <c r="Q157" i="2"/>
  <c r="P157" i="2"/>
  <c r="T156" i="2"/>
  <c r="S156" i="2"/>
  <c r="R156" i="2"/>
  <c r="Q156" i="2"/>
  <c r="P156" i="2"/>
  <c r="G157" i="2"/>
  <c r="T57" i="5"/>
  <c r="S57" i="5"/>
  <c r="R57" i="5"/>
  <c r="Q57" i="5"/>
  <c r="P57" i="5"/>
  <c r="T46" i="5"/>
  <c r="S46" i="5"/>
  <c r="R46" i="5"/>
  <c r="Q46" i="5"/>
  <c r="P46" i="5"/>
  <c r="N157" i="2"/>
  <c r="N156" i="2"/>
  <c r="N155" i="2"/>
  <c r="N57" i="5" s="1"/>
  <c r="N154" i="2"/>
  <c r="N46" i="5" s="1"/>
  <c r="V28" i="59"/>
  <c r="V27" i="59"/>
  <c r="M78" i="2" l="1"/>
  <c r="M145" i="5" l="1"/>
  <c r="N67" i="86"/>
  <c r="N68" i="86" s="1"/>
  <c r="M150" i="5"/>
  <c r="N145" i="5"/>
  <c r="N150" i="5"/>
  <c r="M60" i="7"/>
  <c r="M62" i="7"/>
  <c r="M63" i="7" s="1"/>
  <c r="N63" i="7" s="1"/>
  <c r="N229" i="5"/>
  <c r="N214" i="5"/>
  <c r="N219" i="5"/>
  <c r="N224" i="5"/>
  <c r="N150" i="4"/>
  <c r="N129" i="4"/>
  <c r="N124" i="4"/>
  <c r="N119" i="4"/>
  <c r="M119" i="4"/>
  <c r="M118" i="4" s="1"/>
  <c r="M493" i="2" s="1"/>
  <c r="M150" i="4"/>
  <c r="M149" i="4" s="1"/>
  <c r="N134" i="4"/>
  <c r="M229" i="5"/>
  <c r="M228" i="5" s="1"/>
  <c r="M581" i="2" s="1"/>
  <c r="M224" i="5"/>
  <c r="M223" i="5" s="1"/>
  <c r="M580" i="2" s="1"/>
  <c r="M219" i="5"/>
  <c r="M218" i="5" s="1"/>
  <c r="M579" i="2" s="1"/>
  <c r="M214" i="5"/>
  <c r="M213" i="5" s="1"/>
  <c r="M578" i="2" s="1"/>
  <c r="M129" i="4"/>
  <c r="M128" i="4" s="1"/>
  <c r="M496" i="2" s="1"/>
  <c r="M134" i="4"/>
  <c r="M133" i="4" s="1"/>
  <c r="M495" i="2" s="1"/>
  <c r="M124" i="4"/>
  <c r="M123" i="4" s="1"/>
  <c r="M494" i="2" s="1"/>
  <c r="N33" i="75"/>
  <c r="M33" i="75"/>
  <c r="N32" i="75"/>
  <c r="M32" i="75"/>
  <c r="N31" i="75"/>
  <c r="M31" i="75"/>
  <c r="N30" i="75"/>
  <c r="M30" i="75"/>
  <c r="N29" i="75"/>
  <c r="M29" i="75"/>
  <c r="R39" i="75"/>
  <c r="R40" i="75" s="1"/>
  <c r="R38" i="75"/>
  <c r="Q40" i="75"/>
  <c r="P40" i="75"/>
  <c r="O40" i="75"/>
  <c r="N40" i="75"/>
  <c r="M40" i="75"/>
  <c r="I80" i="75"/>
  <c r="I79" i="75"/>
  <c r="I78" i="75"/>
  <c r="I77" i="75"/>
  <c r="I76" i="75"/>
  <c r="I75" i="75"/>
  <c r="I73" i="75"/>
  <c r="I71" i="75"/>
  <c r="I70" i="75"/>
  <c r="I69" i="75"/>
  <c r="I68" i="75"/>
  <c r="I67" i="75"/>
  <c r="I66" i="75"/>
  <c r="I65" i="75"/>
  <c r="I64" i="75"/>
  <c r="I63" i="75"/>
  <c r="I62" i="75"/>
  <c r="I61" i="75"/>
  <c r="G58" i="75"/>
  <c r="F58" i="75"/>
  <c r="E58" i="75"/>
  <c r="D58" i="75"/>
  <c r="C58" i="75"/>
  <c r="O63" i="7" l="1"/>
  <c r="P63" i="7" s="1"/>
  <c r="Q63" i="7" s="1"/>
  <c r="R63" i="7" s="1"/>
  <c r="S63" i="7" s="1"/>
  <c r="T63" i="7" s="1"/>
  <c r="N62" i="7"/>
  <c r="M61" i="7"/>
  <c r="N61" i="7" s="1"/>
  <c r="M59" i="7"/>
  <c r="M37" i="7" s="1"/>
  <c r="M52" i="34" s="1"/>
  <c r="N52" i="34" s="1"/>
  <c r="N106" i="3"/>
  <c r="N98" i="3"/>
  <c r="O98" i="3" s="1"/>
  <c r="M106" i="3"/>
  <c r="L106" i="3"/>
  <c r="K106" i="3"/>
  <c r="J106" i="3"/>
  <c r="Y359" i="2"/>
  <c r="Y358" i="2"/>
  <c r="Y357" i="2"/>
  <c r="Y356" i="2"/>
  <c r="G359" i="2"/>
  <c r="G357" i="2"/>
  <c r="L46" i="6"/>
  <c r="M32" i="6"/>
  <c r="M42" i="6" s="1"/>
  <c r="L32" i="6"/>
  <c r="L42" i="6" s="1"/>
  <c r="K32" i="6"/>
  <c r="K42" i="6" s="1"/>
  <c r="J32" i="6"/>
  <c r="J42" i="6" s="1"/>
  <c r="M30" i="6"/>
  <c r="M40" i="6" s="1"/>
  <c r="L30" i="6"/>
  <c r="L40" i="6" s="1"/>
  <c r="K30" i="6"/>
  <c r="K40" i="6" s="1"/>
  <c r="J30" i="6"/>
  <c r="J40" i="6" s="1"/>
  <c r="V24" i="71"/>
  <c r="U24" i="71"/>
  <c r="T24" i="71"/>
  <c r="S24" i="71"/>
  <c r="O61" i="7" l="1"/>
  <c r="P61" i="7" s="1"/>
  <c r="Q61" i="7" s="1"/>
  <c r="R61" i="7" s="1"/>
  <c r="S61" i="7" s="1"/>
  <c r="T61" i="7" s="1"/>
  <c r="N60" i="7"/>
  <c r="N93" i="7"/>
  <c r="O62" i="7"/>
  <c r="O106" i="3"/>
  <c r="P30" i="6"/>
  <c r="F196" i="89" s="1"/>
  <c r="O93" i="7" l="1"/>
  <c r="D256" i="89"/>
  <c r="N92" i="7"/>
  <c r="O60" i="7"/>
  <c r="O59" i="7" s="1"/>
  <c r="O37" i="7" s="1"/>
  <c r="E44" i="89" s="1"/>
  <c r="N59" i="7"/>
  <c r="N37" i="7" s="1"/>
  <c r="D44" i="89" s="1"/>
  <c r="Y394" i="2"/>
  <c r="G394" i="2"/>
  <c r="P62" i="7" l="1"/>
  <c r="N91" i="7"/>
  <c r="O92" i="7"/>
  <c r="G72" i="75"/>
  <c r="F72" i="75"/>
  <c r="E72" i="75"/>
  <c r="D72" i="75"/>
  <c r="C74" i="75"/>
  <c r="I74" i="75" s="1"/>
  <c r="P93" i="7" l="1"/>
  <c r="P21" i="34"/>
  <c r="C72" i="75"/>
  <c r="I72" i="75" s="1"/>
  <c r="Q62" i="7"/>
  <c r="Q93" i="7" s="1"/>
  <c r="P60" i="7"/>
  <c r="O91" i="7"/>
  <c r="P59" i="7" l="1"/>
  <c r="P37" i="7" s="1"/>
  <c r="F44" i="89" s="1"/>
  <c r="P20" i="34"/>
  <c r="Q21" i="34"/>
  <c r="F256" i="89"/>
  <c r="R62" i="7"/>
  <c r="R93" i="7" s="1"/>
  <c r="S62" i="7" s="1"/>
  <c r="S93" i="7" s="1"/>
  <c r="P92" i="7"/>
  <c r="Q60" i="7" s="1"/>
  <c r="Q59" i="7" s="1"/>
  <c r="Q37" i="7" s="1"/>
  <c r="G44" i="89" s="1"/>
  <c r="R21" i="34" l="1"/>
  <c r="G256" i="89"/>
  <c r="D296" i="89"/>
  <c r="Q20" i="34"/>
  <c r="F255" i="89"/>
  <c r="P91" i="7"/>
  <c r="T62" i="7"/>
  <c r="T93" i="7" s="1"/>
  <c r="Q92" i="7"/>
  <c r="R9" i="58"/>
  <c r="Q9" i="58"/>
  <c r="P9" i="58"/>
  <c r="O9" i="58"/>
  <c r="N9" i="58"/>
  <c r="M9" i="58"/>
  <c r="R8" i="58"/>
  <c r="Q8" i="58"/>
  <c r="P8" i="58"/>
  <c r="O8" i="58"/>
  <c r="N8" i="58"/>
  <c r="M8" i="58"/>
  <c r="R7" i="58"/>
  <c r="Q7" i="58"/>
  <c r="P7" i="58"/>
  <c r="O7" i="58"/>
  <c r="N7" i="58"/>
  <c r="M7" i="58"/>
  <c r="R4" i="58"/>
  <c r="R3" i="58"/>
  <c r="P3" i="58"/>
  <c r="M6" i="58"/>
  <c r="G31" i="58"/>
  <c r="M61" i="4"/>
  <c r="M91" i="5" s="1"/>
  <c r="L61" i="4"/>
  <c r="L91" i="5" s="1"/>
  <c r="K61" i="4"/>
  <c r="K91" i="5" s="1"/>
  <c r="J61" i="4"/>
  <c r="J91" i="5" s="1"/>
  <c r="M54" i="4"/>
  <c r="L54" i="4"/>
  <c r="K54" i="4"/>
  <c r="J54" i="4"/>
  <c r="H21" i="71"/>
  <c r="M47" i="4"/>
  <c r="M80" i="5" s="1"/>
  <c r="L47" i="4"/>
  <c r="L80" i="5" s="1"/>
  <c r="K47" i="4"/>
  <c r="K80" i="5" s="1"/>
  <c r="J47" i="4"/>
  <c r="J80" i="5" s="1"/>
  <c r="M40" i="4"/>
  <c r="M58" i="5" s="1"/>
  <c r="L40" i="4"/>
  <c r="L58" i="5" s="1"/>
  <c r="K40" i="4"/>
  <c r="K58" i="5" s="1"/>
  <c r="J40" i="4"/>
  <c r="J58" i="5" s="1"/>
  <c r="M33" i="4"/>
  <c r="M47" i="5" s="1"/>
  <c r="L33" i="4"/>
  <c r="L47" i="5" s="1"/>
  <c r="K33" i="4"/>
  <c r="K47" i="5" s="1"/>
  <c r="J33" i="4"/>
  <c r="J47" i="5" s="1"/>
  <c r="M26" i="4"/>
  <c r="M36" i="5" s="1"/>
  <c r="L26" i="4"/>
  <c r="L36" i="5" s="1"/>
  <c r="K26" i="4"/>
  <c r="K36" i="5" s="1"/>
  <c r="J26" i="4"/>
  <c r="J36" i="5" s="1"/>
  <c r="K7" i="71"/>
  <c r="N9" i="71"/>
  <c r="M9" i="71"/>
  <c r="L9" i="71"/>
  <c r="K9" i="71"/>
  <c r="J9" i="71"/>
  <c r="N8" i="71"/>
  <c r="M8" i="71"/>
  <c r="L8" i="71"/>
  <c r="K8" i="71"/>
  <c r="J8" i="71"/>
  <c r="N7" i="71"/>
  <c r="M7" i="71"/>
  <c r="L7" i="71"/>
  <c r="J7" i="71"/>
  <c r="N6" i="71"/>
  <c r="M6" i="71"/>
  <c r="L6" i="71"/>
  <c r="K6" i="71"/>
  <c r="J6" i="71"/>
  <c r="N5" i="71"/>
  <c r="M5" i="71"/>
  <c r="L5" i="71"/>
  <c r="K5" i="71"/>
  <c r="J5" i="71"/>
  <c r="N4" i="71"/>
  <c r="M4" i="71"/>
  <c r="L4" i="71"/>
  <c r="K4" i="71"/>
  <c r="J4" i="71"/>
  <c r="E296" i="89" l="1"/>
  <c r="G255" i="89"/>
  <c r="S21" i="34"/>
  <c r="H256" i="89"/>
  <c r="Q91" i="7"/>
  <c r="R60" i="7"/>
  <c r="R59" i="7" s="1"/>
  <c r="T12" i="62"/>
  <c r="Q12" i="62"/>
  <c r="P12" i="62"/>
  <c r="N12" i="62"/>
  <c r="L12" i="62"/>
  <c r="O12" i="62" s="1"/>
  <c r="K12" i="62"/>
  <c r="I12" i="62"/>
  <c r="H12" i="62"/>
  <c r="J12" i="62" s="1"/>
  <c r="G12" i="62"/>
  <c r="F12" i="62"/>
  <c r="T21" i="34" l="1"/>
  <c r="J256" i="89" s="1"/>
  <c r="I256" i="89"/>
  <c r="R92" i="7"/>
  <c r="R91" i="7" s="1"/>
  <c r="S12" i="62"/>
  <c r="S60" i="7" l="1"/>
  <c r="S59" i="7" s="1"/>
  <c r="M16" i="8"/>
  <c r="S92" i="7" l="1"/>
  <c r="S91" i="7" s="1"/>
  <c r="T60" i="7" l="1"/>
  <c r="T92" i="7" s="1"/>
  <c r="T91" i="7" s="1"/>
  <c r="T59" i="7" l="1"/>
  <c r="M339" i="5" l="1"/>
  <c r="L339" i="5"/>
  <c r="K339" i="5"/>
  <c r="J339" i="5"/>
  <c r="R332" i="5"/>
  <c r="Q332" i="5"/>
  <c r="P332" i="5"/>
  <c r="O332" i="5"/>
  <c r="R313" i="5"/>
  <c r="Q313" i="5"/>
  <c r="P313" i="5"/>
  <c r="R312" i="5"/>
  <c r="Q312" i="5"/>
  <c r="P312" i="5"/>
  <c r="R311" i="5"/>
  <c r="Q311" i="5"/>
  <c r="P311" i="5"/>
  <c r="R310" i="5"/>
  <c r="Q310" i="5"/>
  <c r="P310" i="5"/>
  <c r="R309" i="5"/>
  <c r="Q309" i="5"/>
  <c r="P309" i="5"/>
  <c r="R308" i="5"/>
  <c r="Q308" i="5"/>
  <c r="P308" i="5"/>
  <c r="R307" i="5"/>
  <c r="Q307" i="5"/>
  <c r="P307" i="5"/>
  <c r="O313" i="5"/>
  <c r="O312" i="5"/>
  <c r="O311" i="5"/>
  <c r="O310" i="5"/>
  <c r="O309" i="5"/>
  <c r="O308" i="5"/>
  <c r="O307" i="5"/>
  <c r="M313" i="5"/>
  <c r="L313" i="5"/>
  <c r="K313" i="5"/>
  <c r="M312" i="5"/>
  <c r="L312" i="5"/>
  <c r="K312" i="5"/>
  <c r="M311" i="5"/>
  <c r="L311" i="5"/>
  <c r="K311" i="5"/>
  <c r="M310" i="5"/>
  <c r="L310" i="5"/>
  <c r="K310" i="5"/>
  <c r="M309" i="5"/>
  <c r="L309" i="5"/>
  <c r="K309" i="5"/>
  <c r="M308" i="5"/>
  <c r="L308" i="5"/>
  <c r="K308" i="5"/>
  <c r="M307" i="5"/>
  <c r="L307" i="5"/>
  <c r="K307" i="5"/>
  <c r="K332" i="5" s="1"/>
  <c r="J313" i="5"/>
  <c r="J312" i="5"/>
  <c r="J311" i="5"/>
  <c r="J310" i="5"/>
  <c r="J309" i="5"/>
  <c r="J308" i="5"/>
  <c r="J307" i="5"/>
  <c r="I337" i="5"/>
  <c r="I336" i="5"/>
  <c r="I335" i="5"/>
  <c r="I334" i="5"/>
  <c r="I333" i="5"/>
  <c r="I332" i="5"/>
  <c r="M331" i="5"/>
  <c r="L331" i="5"/>
  <c r="K331" i="5"/>
  <c r="J331" i="5"/>
  <c r="O75" i="66"/>
  <c r="O74" i="66"/>
  <c r="O73" i="66"/>
  <c r="O72" i="66"/>
  <c r="O71" i="66"/>
  <c r="O70" i="66"/>
  <c r="N75" i="66"/>
  <c r="N74" i="66"/>
  <c r="N73" i="66"/>
  <c r="N72" i="66"/>
  <c r="N71" i="66"/>
  <c r="N70" i="66"/>
  <c r="M75" i="66"/>
  <c r="M74" i="66"/>
  <c r="M73" i="66"/>
  <c r="M72" i="66"/>
  <c r="M71" i="66"/>
  <c r="M70" i="66"/>
  <c r="L76" i="66"/>
  <c r="L75" i="66"/>
  <c r="L74" i="66"/>
  <c r="L73" i="66"/>
  <c r="L72" i="66"/>
  <c r="L71" i="66"/>
  <c r="L70" i="66"/>
  <c r="K76" i="66"/>
  <c r="K75" i="66"/>
  <c r="K74" i="66"/>
  <c r="K73" i="66"/>
  <c r="K72" i="66"/>
  <c r="K71" i="66"/>
  <c r="K70" i="66"/>
  <c r="J76" i="66"/>
  <c r="J75" i="66"/>
  <c r="J74" i="66"/>
  <c r="J73" i="66"/>
  <c r="J72" i="66"/>
  <c r="J71" i="66"/>
  <c r="J70" i="66"/>
  <c r="O76" i="66"/>
  <c r="O305" i="5"/>
  <c r="O304" i="5"/>
  <c r="O303" i="5"/>
  <c r="O302" i="5"/>
  <c r="O301" i="5"/>
  <c r="O300" i="5"/>
  <c r="O299" i="5"/>
  <c r="I75" i="66"/>
  <c r="I74" i="66"/>
  <c r="I76" i="66"/>
  <c r="I73" i="66"/>
  <c r="I72" i="66"/>
  <c r="I71" i="66"/>
  <c r="I70" i="66"/>
  <c r="H75" i="66"/>
  <c r="H74" i="66"/>
  <c r="H76" i="66"/>
  <c r="H73" i="66"/>
  <c r="H72" i="66"/>
  <c r="H71" i="66"/>
  <c r="H70" i="66"/>
  <c r="G75" i="66"/>
  <c r="G74" i="66"/>
  <c r="G76" i="66"/>
  <c r="G73" i="66"/>
  <c r="G72" i="66"/>
  <c r="G71" i="66"/>
  <c r="G70" i="66"/>
  <c r="R305" i="5"/>
  <c r="S305" i="5" s="1"/>
  <c r="T305" i="5" s="1"/>
  <c r="Q305" i="5"/>
  <c r="R304" i="5"/>
  <c r="S304" i="5" s="1"/>
  <c r="Q304" i="5"/>
  <c r="Q321" i="5" s="1"/>
  <c r="R303" i="5"/>
  <c r="R320" i="5" s="1"/>
  <c r="Q303" i="5"/>
  <c r="Q320" i="5" s="1"/>
  <c r="R302" i="5"/>
  <c r="R319" i="5" s="1"/>
  <c r="Q302" i="5"/>
  <c r="Q319" i="5" s="1"/>
  <c r="R301" i="5"/>
  <c r="Q301" i="5"/>
  <c r="Q318" i="5" s="1"/>
  <c r="R300" i="5"/>
  <c r="S300" i="5" s="1"/>
  <c r="Q300" i="5"/>
  <c r="R299" i="5"/>
  <c r="S299" i="5" s="1"/>
  <c r="Q299" i="5"/>
  <c r="P305" i="5"/>
  <c r="P304" i="5"/>
  <c r="P321" i="5" s="1"/>
  <c r="P303" i="5"/>
  <c r="P320" i="5" s="1"/>
  <c r="P302" i="5"/>
  <c r="P319" i="5" s="1"/>
  <c r="P301" i="5"/>
  <c r="P300" i="5"/>
  <c r="P299" i="5"/>
  <c r="M315" i="5"/>
  <c r="L315" i="5"/>
  <c r="K315" i="5"/>
  <c r="J315" i="5"/>
  <c r="M305" i="5"/>
  <c r="L305" i="5"/>
  <c r="K305" i="5"/>
  <c r="M304" i="5"/>
  <c r="L304" i="5"/>
  <c r="K304" i="5"/>
  <c r="M303" i="5"/>
  <c r="L303" i="5"/>
  <c r="K303" i="5"/>
  <c r="M302" i="5"/>
  <c r="L302" i="5"/>
  <c r="K302" i="5"/>
  <c r="M301" i="5"/>
  <c r="L301" i="5"/>
  <c r="K301" i="5"/>
  <c r="M300" i="5"/>
  <c r="L300" i="5"/>
  <c r="K300" i="5"/>
  <c r="M299" i="5"/>
  <c r="L299" i="5"/>
  <c r="K299" i="5"/>
  <c r="J305" i="5"/>
  <c r="J304" i="5"/>
  <c r="J303" i="5"/>
  <c r="J302" i="5"/>
  <c r="J301" i="5"/>
  <c r="J300" i="5"/>
  <c r="J299" i="5"/>
  <c r="I319" i="5"/>
  <c r="I318" i="5"/>
  <c r="I317" i="5"/>
  <c r="D76" i="66"/>
  <c r="F75" i="66"/>
  <c r="E75" i="66"/>
  <c r="D75" i="66"/>
  <c r="I321" i="5" s="1"/>
  <c r="F74" i="66"/>
  <c r="E74" i="66"/>
  <c r="D74" i="66"/>
  <c r="I320" i="5" s="1"/>
  <c r="F76" i="66"/>
  <c r="E76" i="66"/>
  <c r="F73" i="66"/>
  <c r="E73" i="66"/>
  <c r="D73" i="66"/>
  <c r="F72" i="66"/>
  <c r="E72" i="66"/>
  <c r="D72" i="66"/>
  <c r="F71" i="66"/>
  <c r="E71" i="66"/>
  <c r="D71" i="66"/>
  <c r="F70" i="66"/>
  <c r="E70" i="66"/>
  <c r="D70" i="66"/>
  <c r="I316" i="5" s="1"/>
  <c r="Q336" i="5" l="1"/>
  <c r="L337" i="5"/>
  <c r="O306" i="5"/>
  <c r="Q333" i="5"/>
  <c r="P333" i="5"/>
  <c r="M333" i="5"/>
  <c r="J332" i="5"/>
  <c r="L332" i="5"/>
  <c r="J334" i="5"/>
  <c r="K333" i="5"/>
  <c r="P336" i="5"/>
  <c r="O335" i="5"/>
  <c r="J337" i="5"/>
  <c r="K337" i="5"/>
  <c r="L340" i="5"/>
  <c r="M340" i="5"/>
  <c r="M337" i="5"/>
  <c r="R333" i="5"/>
  <c r="L336" i="5"/>
  <c r="R334" i="5"/>
  <c r="Q337" i="5"/>
  <c r="J335" i="5"/>
  <c r="L333" i="5"/>
  <c r="K336" i="5"/>
  <c r="O333" i="5"/>
  <c r="P335" i="5"/>
  <c r="R337" i="5"/>
  <c r="O334" i="5"/>
  <c r="Q335" i="5"/>
  <c r="K306" i="5"/>
  <c r="M336" i="5"/>
  <c r="R335" i="5"/>
  <c r="K340" i="5"/>
  <c r="O336" i="5"/>
  <c r="M334" i="5"/>
  <c r="K335" i="5"/>
  <c r="P306" i="5"/>
  <c r="R336" i="5"/>
  <c r="J333" i="5"/>
  <c r="M332" i="5"/>
  <c r="N332" i="5" s="1"/>
  <c r="Q334" i="5"/>
  <c r="P337" i="5"/>
  <c r="J336" i="5"/>
  <c r="L306" i="5"/>
  <c r="O337" i="5"/>
  <c r="L335" i="5"/>
  <c r="R306" i="5"/>
  <c r="Q306" i="5"/>
  <c r="P334" i="5"/>
  <c r="J340" i="5"/>
  <c r="M335" i="5"/>
  <c r="M306" i="5"/>
  <c r="J306" i="5"/>
  <c r="K334" i="5"/>
  <c r="L334" i="5"/>
  <c r="L319" i="5"/>
  <c r="L327" i="5" s="1"/>
  <c r="O317" i="5"/>
  <c r="N300" i="5"/>
  <c r="M318" i="5"/>
  <c r="M326" i="5" s="1"/>
  <c r="N299" i="5"/>
  <c r="S303" i="5"/>
  <c r="S320" i="5" s="1"/>
  <c r="O319" i="5"/>
  <c r="R321" i="5"/>
  <c r="M321" i="5"/>
  <c r="M329" i="5" s="1"/>
  <c r="P316" i="5"/>
  <c r="R317" i="5"/>
  <c r="O298" i="5"/>
  <c r="Q298" i="5"/>
  <c r="P318" i="5"/>
  <c r="O318" i="5"/>
  <c r="M316" i="5"/>
  <c r="M324" i="5" s="1"/>
  <c r="O316" i="5"/>
  <c r="T300" i="5"/>
  <c r="T317" i="5" s="1"/>
  <c r="S317" i="5"/>
  <c r="T304" i="5"/>
  <c r="T321" i="5" s="1"/>
  <c r="S321" i="5"/>
  <c r="O320" i="5"/>
  <c r="O321" i="5"/>
  <c r="R298" i="5"/>
  <c r="R316" i="5"/>
  <c r="S302" i="5"/>
  <c r="L320" i="5"/>
  <c r="L328" i="5" s="1"/>
  <c r="J319" i="5"/>
  <c r="J327" i="5" s="1"/>
  <c r="K320" i="5"/>
  <c r="K328" i="5" s="1"/>
  <c r="S316" i="5"/>
  <c r="P317" i="5"/>
  <c r="Q317" i="5"/>
  <c r="N302" i="5"/>
  <c r="N303" i="5"/>
  <c r="N301" i="5"/>
  <c r="K321" i="5"/>
  <c r="K329" i="5" s="1"/>
  <c r="S301" i="5"/>
  <c r="N304" i="5"/>
  <c r="J320" i="5"/>
  <c r="J328" i="5" s="1"/>
  <c r="J321" i="5"/>
  <c r="J329" i="5" s="1"/>
  <c r="M320" i="5"/>
  <c r="M328" i="5" s="1"/>
  <c r="T299" i="5"/>
  <c r="L321" i="5"/>
  <c r="L329" i="5" s="1"/>
  <c r="Q316" i="5"/>
  <c r="R318" i="5"/>
  <c r="N305" i="5"/>
  <c r="K317" i="5"/>
  <c r="K325" i="5" s="1"/>
  <c r="L317" i="5"/>
  <c r="L325" i="5" s="1"/>
  <c r="K298" i="5"/>
  <c r="L318" i="5"/>
  <c r="L326" i="5" s="1"/>
  <c r="K316" i="5"/>
  <c r="K324" i="5" s="1"/>
  <c r="J316" i="5"/>
  <c r="J324" i="5" s="1"/>
  <c r="L316" i="5"/>
  <c r="L324" i="5" s="1"/>
  <c r="P298" i="5"/>
  <c r="J318" i="5"/>
  <c r="J326" i="5" s="1"/>
  <c r="M317" i="5"/>
  <c r="J317" i="5"/>
  <c r="J325" i="5" s="1"/>
  <c r="K319" i="5"/>
  <c r="K327" i="5" s="1"/>
  <c r="L298" i="5"/>
  <c r="M298" i="5"/>
  <c r="M319" i="5"/>
  <c r="K318" i="5"/>
  <c r="K326" i="5" s="1"/>
  <c r="J298" i="5"/>
  <c r="T49" i="18"/>
  <c r="T48" i="18"/>
  <c r="N57" i="18"/>
  <c r="N64" i="18" s="1"/>
  <c r="O64" i="18" s="1"/>
  <c r="S48" i="18"/>
  <c r="S49" i="18"/>
  <c r="M33" i="8"/>
  <c r="M31" i="8"/>
  <c r="Q138" i="64"/>
  <c r="P138" i="64"/>
  <c r="O138" i="64"/>
  <c r="N138" i="64"/>
  <c r="M138" i="64"/>
  <c r="L138" i="64"/>
  <c r="K138" i="64"/>
  <c r="J138" i="64"/>
  <c r="I138" i="64"/>
  <c r="H138" i="64"/>
  <c r="G138" i="64"/>
  <c r="M50" i="34"/>
  <c r="M49" i="34"/>
  <c r="M47" i="34"/>
  <c r="N47" i="34" s="1"/>
  <c r="M45" i="34"/>
  <c r="N45" i="34" s="1"/>
  <c r="M44" i="34"/>
  <c r="M42" i="34"/>
  <c r="N42" i="34" s="1"/>
  <c r="M40" i="34"/>
  <c r="N40" i="34" s="1"/>
  <c r="M39" i="34"/>
  <c r="N39" i="34" s="1"/>
  <c r="M30" i="34"/>
  <c r="M28" i="34"/>
  <c r="M25" i="34"/>
  <c r="M22" i="34"/>
  <c r="M21" i="34"/>
  <c r="M20" i="34"/>
  <c r="M19" i="34"/>
  <c r="M15" i="34"/>
  <c r="H14" i="65"/>
  <c r="T63" i="2"/>
  <c r="S63" i="2"/>
  <c r="R63" i="2"/>
  <c r="Q63" i="2"/>
  <c r="P63" i="2"/>
  <c r="N63" i="2"/>
  <c r="O57" i="18" l="1"/>
  <c r="P64" i="18"/>
  <c r="P57" i="18" s="1"/>
  <c r="N336" i="5"/>
  <c r="N333" i="5"/>
  <c r="K338" i="5"/>
  <c r="N335" i="5"/>
  <c r="N337" i="5"/>
  <c r="L338" i="5"/>
  <c r="M338" i="5"/>
  <c r="J338" i="5"/>
  <c r="N334" i="5"/>
  <c r="N317" i="5"/>
  <c r="N319" i="5"/>
  <c r="S298" i="5"/>
  <c r="N298" i="5"/>
  <c r="N318" i="5"/>
  <c r="T303" i="5"/>
  <c r="T320" i="5" s="1"/>
  <c r="N321" i="5"/>
  <c r="S319" i="5"/>
  <c r="T302" i="5"/>
  <c r="T319" i="5" s="1"/>
  <c r="N316" i="5"/>
  <c r="J322" i="5"/>
  <c r="J330" i="5" s="1"/>
  <c r="J323" i="5" s="1"/>
  <c r="T316" i="5"/>
  <c r="N320" i="5"/>
  <c r="T301" i="5"/>
  <c r="T318" i="5" s="1"/>
  <c r="S318" i="5"/>
  <c r="L322" i="5"/>
  <c r="L330" i="5" s="1"/>
  <c r="L323" i="5" s="1"/>
  <c r="K322" i="5"/>
  <c r="K330" i="5" s="1"/>
  <c r="K323" i="5" s="1"/>
  <c r="M325" i="5"/>
  <c r="M327" i="5"/>
  <c r="M322" i="5"/>
  <c r="W49" i="65"/>
  <c r="W66" i="65"/>
  <c r="I338" i="5" l="1"/>
  <c r="R338" i="5" s="1"/>
  <c r="R331" i="5" s="1"/>
  <c r="J11" i="57"/>
  <c r="J5" i="57"/>
  <c r="I7" i="57"/>
  <c r="J13" i="57"/>
  <c r="I15" i="57"/>
  <c r="I6" i="57"/>
  <c r="I14" i="57"/>
  <c r="I5" i="57"/>
  <c r="J10" i="57"/>
  <c r="I13" i="57"/>
  <c r="J9" i="57"/>
  <c r="I11" i="57"/>
  <c r="J8" i="57"/>
  <c r="I10" i="57"/>
  <c r="J7" i="57"/>
  <c r="I9" i="57"/>
  <c r="J15" i="57"/>
  <c r="J6" i="57"/>
  <c r="I8" i="57"/>
  <c r="P338" i="5"/>
  <c r="P331" i="5" s="1"/>
  <c r="O338" i="5"/>
  <c r="N338" i="5" s="1"/>
  <c r="N331" i="5" s="1"/>
  <c r="Q338" i="5"/>
  <c r="Q331" i="5" s="1"/>
  <c r="I322" i="5"/>
  <c r="O322" i="5" s="1"/>
  <c r="N322" i="5" s="1"/>
  <c r="T298" i="5"/>
  <c r="M330" i="5"/>
  <c r="M323" i="5" s="1"/>
  <c r="F56" i="58"/>
  <c r="G56" i="58"/>
  <c r="F55" i="58"/>
  <c r="G55" i="58"/>
  <c r="O331" i="5" l="1"/>
  <c r="J14" i="57"/>
  <c r="U119" i="64"/>
  <c r="T119" i="64"/>
  <c r="S119" i="64"/>
  <c r="R119" i="64"/>
  <c r="Q119" i="64"/>
  <c r="P119" i="64"/>
  <c r="O119" i="64"/>
  <c r="N119" i="64"/>
  <c r="M119" i="64"/>
  <c r="L119" i="64"/>
  <c r="K119" i="64"/>
  <c r="J119" i="64"/>
  <c r="I119" i="64"/>
  <c r="J64" i="34" l="1"/>
  <c r="N31" i="7" l="1"/>
  <c r="O31" i="7" s="1"/>
  <c r="P31" i="7" s="1"/>
  <c r="Q31" i="7" s="1"/>
  <c r="R31" i="7" s="1"/>
  <c r="S31" i="7" s="1"/>
  <c r="T31" i="7" s="1"/>
  <c r="K64" i="34"/>
  <c r="L64" i="34"/>
  <c r="O10" i="7"/>
  <c r="O11" i="7"/>
  <c r="Q10" i="7"/>
  <c r="P10" i="7"/>
  <c r="P11" i="7"/>
  <c r="Q11" i="7"/>
  <c r="R11" i="7"/>
  <c r="R61" i="6" l="1"/>
  <c r="P61" i="6"/>
  <c r="Q61" i="6"/>
  <c r="N11" i="7"/>
  <c r="N10" i="7"/>
  <c r="S10" i="7"/>
  <c r="M64" i="34"/>
  <c r="N64" i="34" s="1"/>
  <c r="S11" i="7"/>
  <c r="S39" i="7" l="1"/>
  <c r="S80" i="7" s="1"/>
  <c r="T10" i="7"/>
  <c r="T11" i="7"/>
  <c r="T39" i="7" l="1"/>
  <c r="T80" i="7"/>
  <c r="S38" i="7"/>
  <c r="I61" i="89" s="1"/>
  <c r="N12" i="7"/>
  <c r="S73" i="7" l="1"/>
  <c r="S37" i="7"/>
  <c r="I44" i="89" s="1"/>
  <c r="T38" i="7"/>
  <c r="J61" i="89" s="1"/>
  <c r="K61" i="89" s="1"/>
  <c r="N33" i="7"/>
  <c r="O33" i="7"/>
  <c r="T73" i="7" l="1"/>
  <c r="T37" i="7" s="1"/>
  <c r="J44" i="89" s="1"/>
  <c r="K44" i="89" s="1"/>
  <c r="O32" i="7"/>
  <c r="O30" i="7" s="1"/>
  <c r="N29" i="7"/>
  <c r="O29" i="7" s="1"/>
  <c r="P17" i="3"/>
  <c r="P64" i="34"/>
  <c r="L298" i="89" s="1"/>
  <c r="N13" i="7"/>
  <c r="M72" i="34"/>
  <c r="N72" i="34" s="1"/>
  <c r="P33" i="7"/>
  <c r="G10" i="89" l="1"/>
  <c r="P52" i="34"/>
  <c r="P32" i="7"/>
  <c r="P30" i="7" s="1"/>
  <c r="P29" i="7"/>
  <c r="N17" i="3"/>
  <c r="E10" i="89" s="1"/>
  <c r="Q33" i="7"/>
  <c r="Q32" i="7" l="1"/>
  <c r="Q30" i="7" s="1"/>
  <c r="Q29" i="7"/>
  <c r="Q17" i="3"/>
  <c r="Q64" i="34"/>
  <c r="M298" i="89" s="1"/>
  <c r="R33" i="7"/>
  <c r="H10" i="89" l="1"/>
  <c r="Q52" i="34"/>
  <c r="R32" i="7"/>
  <c r="R30" i="7" s="1"/>
  <c r="R29" i="7"/>
  <c r="S33" i="7"/>
  <c r="S32" i="7" s="1"/>
  <c r="S30" i="7" s="1"/>
  <c r="S29" i="7" l="1"/>
  <c r="T33" i="7"/>
  <c r="S64" i="34"/>
  <c r="O298" i="89" s="1"/>
  <c r="S17" i="3"/>
  <c r="T29" i="7"/>
  <c r="T10" i="51"/>
  <c r="S10" i="51"/>
  <c r="R10" i="51"/>
  <c r="Q10" i="51"/>
  <c r="P10" i="51"/>
  <c r="J10" i="89" l="1"/>
  <c r="S52" i="34"/>
  <c r="T32" i="7"/>
  <c r="T30" i="7" s="1"/>
  <c r="T64" i="34"/>
  <c r="P298" i="89" s="1"/>
  <c r="T17" i="3"/>
  <c r="Y381" i="2"/>
  <c r="V16" i="47"/>
  <c r="U16" i="47"/>
  <c r="T16" i="47"/>
  <c r="V15" i="47"/>
  <c r="U15" i="47"/>
  <c r="T15" i="47"/>
  <c r="S15" i="47"/>
  <c r="Z14" i="47"/>
  <c r="Z13" i="47"/>
  <c r="Z12" i="47"/>
  <c r="Z11" i="47"/>
  <c r="Z10" i="47"/>
  <c r="Z9" i="47"/>
  <c r="Z8" i="47"/>
  <c r="Z7" i="47"/>
  <c r="Z6" i="47"/>
  <c r="Z5" i="47"/>
  <c r="Z4" i="47"/>
  <c r="Z3" i="47"/>
  <c r="Z2" i="47"/>
  <c r="T126" i="5"/>
  <c r="S126" i="5"/>
  <c r="R126" i="5"/>
  <c r="Q126" i="5"/>
  <c r="P126" i="5"/>
  <c r="M126" i="5"/>
  <c r="M263" i="2" s="1"/>
  <c r="L126" i="5"/>
  <c r="L263" i="2" s="1"/>
  <c r="K126" i="5"/>
  <c r="K263" i="2" s="1"/>
  <c r="J126" i="5"/>
  <c r="J263" i="2" s="1"/>
  <c r="M38" i="6"/>
  <c r="M381" i="2" s="1"/>
  <c r="S381" i="2" s="1"/>
  <c r="S38" i="6" s="1"/>
  <c r="L38" i="6"/>
  <c r="L381" i="2" s="1"/>
  <c r="K38" i="6"/>
  <c r="K381" i="2" s="1"/>
  <c r="J38" i="6"/>
  <c r="J381" i="2" s="1"/>
  <c r="K172" i="5"/>
  <c r="J172" i="5"/>
  <c r="Y338" i="2"/>
  <c r="Y336" i="2"/>
  <c r="Y334" i="2"/>
  <c r="G338" i="2"/>
  <c r="G336" i="2"/>
  <c r="G334" i="2"/>
  <c r="Y317" i="2"/>
  <c r="Y316" i="2"/>
  <c r="G317" i="2"/>
  <c r="G316" i="2"/>
  <c r="T125" i="5"/>
  <c r="S125" i="5"/>
  <c r="R125" i="5"/>
  <c r="Q125" i="5"/>
  <c r="P125" i="5"/>
  <c r="N125" i="5"/>
  <c r="Y264" i="2"/>
  <c r="Y262" i="2"/>
  <c r="Y263" i="2"/>
  <c r="M125" i="5"/>
  <c r="M262" i="2" s="1"/>
  <c r="L125" i="5"/>
  <c r="L262" i="2" s="1"/>
  <c r="K125" i="5"/>
  <c r="K262" i="2" s="1"/>
  <c r="J125" i="5"/>
  <c r="J262" i="2" s="1"/>
  <c r="M124" i="5"/>
  <c r="K124" i="5"/>
  <c r="J124" i="5"/>
  <c r="J49" i="58"/>
  <c r="I49" i="58"/>
  <c r="H49" i="58"/>
  <c r="G49" i="58"/>
  <c r="F49" i="58"/>
  <c r="R48" i="58"/>
  <c r="R31" i="58"/>
  <c r="F44" i="58"/>
  <c r="J48" i="58"/>
  <c r="I48" i="58"/>
  <c r="H48" i="58"/>
  <c r="G48" i="58"/>
  <c r="F48" i="58"/>
  <c r="E48" i="58"/>
  <c r="J47" i="58"/>
  <c r="I47" i="58"/>
  <c r="H47" i="58"/>
  <c r="G47" i="58"/>
  <c r="F47" i="58"/>
  <c r="E47" i="58"/>
  <c r="J46" i="58"/>
  <c r="I46" i="58"/>
  <c r="H46" i="58"/>
  <c r="G46" i="58"/>
  <c r="F46" i="58"/>
  <c r="E46" i="58"/>
  <c r="J45" i="58"/>
  <c r="I45" i="58"/>
  <c r="H45" i="58"/>
  <c r="G45" i="58"/>
  <c r="F45" i="58"/>
  <c r="E45" i="58"/>
  <c r="J44" i="58"/>
  <c r="I44" i="58"/>
  <c r="H44" i="58"/>
  <c r="G44" i="58"/>
  <c r="E44" i="58"/>
  <c r="J40" i="58"/>
  <c r="I40" i="58"/>
  <c r="H40" i="58"/>
  <c r="G40" i="58"/>
  <c r="F40" i="58"/>
  <c r="E40" i="58"/>
  <c r="J39" i="58"/>
  <c r="I39" i="58"/>
  <c r="H39" i="58"/>
  <c r="G39" i="58"/>
  <c r="F39" i="58"/>
  <c r="E39" i="58"/>
  <c r="J38" i="58"/>
  <c r="I38" i="58"/>
  <c r="H38" i="58"/>
  <c r="G38" i="58"/>
  <c r="F38" i="58"/>
  <c r="E38" i="58"/>
  <c r="J37" i="58"/>
  <c r="I37" i="58"/>
  <c r="H37" i="58"/>
  <c r="G37" i="58"/>
  <c r="F37" i="58"/>
  <c r="E37" i="58"/>
  <c r="J36" i="58"/>
  <c r="I36" i="58"/>
  <c r="H36" i="58"/>
  <c r="G36" i="58"/>
  <c r="F36" i="58"/>
  <c r="E36" i="58"/>
  <c r="J32" i="58"/>
  <c r="I32" i="58"/>
  <c r="H32" i="58"/>
  <c r="G32" i="58"/>
  <c r="F32" i="58"/>
  <c r="E32" i="58"/>
  <c r="J31" i="58"/>
  <c r="I31" i="58"/>
  <c r="H31" i="58"/>
  <c r="F31" i="58"/>
  <c r="E31" i="58"/>
  <c r="J30" i="58"/>
  <c r="I30" i="58"/>
  <c r="H30" i="58"/>
  <c r="G30" i="58"/>
  <c r="F30" i="58"/>
  <c r="E30" i="58"/>
  <c r="J29" i="58"/>
  <c r="I29" i="58"/>
  <c r="H29" i="58"/>
  <c r="G29" i="58"/>
  <c r="F29" i="58"/>
  <c r="E29" i="58"/>
  <c r="J28" i="58"/>
  <c r="I28" i="58"/>
  <c r="H28" i="58"/>
  <c r="G28" i="58"/>
  <c r="F28" i="58"/>
  <c r="E28" i="58"/>
  <c r="J16" i="58"/>
  <c r="I16" i="58"/>
  <c r="H16" i="58"/>
  <c r="G16" i="58"/>
  <c r="F16" i="58"/>
  <c r="E16" i="58"/>
  <c r="J15" i="58"/>
  <c r="I15" i="58"/>
  <c r="H15" i="58"/>
  <c r="G15" i="58"/>
  <c r="F15" i="58"/>
  <c r="E15" i="58"/>
  <c r="J14" i="58"/>
  <c r="I14" i="58"/>
  <c r="H14" i="58"/>
  <c r="G14" i="58"/>
  <c r="F14" i="58"/>
  <c r="E14" i="58"/>
  <c r="J13" i="58"/>
  <c r="I13" i="58"/>
  <c r="H13" i="58"/>
  <c r="G13" i="58"/>
  <c r="F13" i="58"/>
  <c r="E13" i="58"/>
  <c r="J12" i="58"/>
  <c r="I12" i="58"/>
  <c r="H12" i="58"/>
  <c r="G12" i="58"/>
  <c r="F12" i="58"/>
  <c r="E12" i="58"/>
  <c r="J8" i="58"/>
  <c r="I8" i="58"/>
  <c r="H8" i="58"/>
  <c r="G8" i="58"/>
  <c r="F8" i="58"/>
  <c r="E8" i="58"/>
  <c r="J7" i="58"/>
  <c r="I7" i="58"/>
  <c r="H7" i="58"/>
  <c r="G7" i="58"/>
  <c r="F7" i="58"/>
  <c r="E7" i="58"/>
  <c r="J6" i="58"/>
  <c r="I6" i="58"/>
  <c r="H6" i="58"/>
  <c r="G6" i="58"/>
  <c r="F6" i="58"/>
  <c r="E6" i="58"/>
  <c r="J5" i="58"/>
  <c r="I5" i="58"/>
  <c r="H5" i="58"/>
  <c r="G5" i="58"/>
  <c r="F5" i="58"/>
  <c r="E5" i="58"/>
  <c r="J4" i="58"/>
  <c r="I4" i="58"/>
  <c r="H4" i="58"/>
  <c r="G4" i="58"/>
  <c r="F4" i="58"/>
  <c r="E4" i="58"/>
  <c r="G156" i="2"/>
  <c r="G155" i="2"/>
  <c r="G154" i="2"/>
  <c r="T41" i="2"/>
  <c r="T65" i="4" s="1"/>
  <c r="J91" i="89" s="1"/>
  <c r="S41" i="2"/>
  <c r="S65" i="4" s="1"/>
  <c r="I91" i="89" s="1"/>
  <c r="R41" i="2"/>
  <c r="R65" i="4" s="1"/>
  <c r="H91" i="89" s="1"/>
  <c r="Q41" i="2"/>
  <c r="Q65" i="4" s="1"/>
  <c r="G91" i="89" s="1"/>
  <c r="P41" i="2"/>
  <c r="P65" i="4" s="1"/>
  <c r="F91" i="89" s="1"/>
  <c r="U10" i="59"/>
  <c r="V10" i="59" s="1"/>
  <c r="R10" i="59"/>
  <c r="N41" i="2"/>
  <c r="N65" i="4" s="1"/>
  <c r="D91" i="89" s="1"/>
  <c r="G45" i="62"/>
  <c r="G32" i="62"/>
  <c r="G19" i="62"/>
  <c r="K10" i="89" l="1"/>
  <c r="T52" i="34"/>
  <c r="Q243" i="5"/>
  <c r="Q242" i="5" s="1"/>
  <c r="Q179" i="4" s="1"/>
  <c r="R243" i="5"/>
  <c r="R242" i="5" s="1"/>
  <c r="R179" i="4" s="1"/>
  <c r="S243" i="5"/>
  <c r="S242" i="5" s="1"/>
  <c r="S179" i="4" s="1"/>
  <c r="N243" i="5"/>
  <c r="N242" i="5" s="1"/>
  <c r="T243" i="5"/>
  <c r="T242" i="5" s="1"/>
  <c r="T179" i="4" s="1"/>
  <c r="R381" i="2"/>
  <c r="R38" i="6" s="1"/>
  <c r="T381" i="2"/>
  <c r="T38" i="6" s="1"/>
  <c r="P381" i="2"/>
  <c r="P38" i="6" s="1"/>
  <c r="N381" i="2"/>
  <c r="N38" i="6" s="1"/>
  <c r="O38" i="6" s="1"/>
  <c r="O381" i="2" s="1"/>
  <c r="Q381" i="2"/>
  <c r="Q38" i="6" s="1"/>
  <c r="J169" i="5"/>
  <c r="L127" i="5"/>
  <c r="L264" i="2" s="1"/>
  <c r="M127" i="5"/>
  <c r="M264" i="2" s="1"/>
  <c r="O263" i="2"/>
  <c r="O126" i="5" s="1"/>
  <c r="J127" i="5"/>
  <c r="J264" i="2" s="1"/>
  <c r="O262" i="2"/>
  <c r="O125" i="5" s="1"/>
  <c r="K127" i="5"/>
  <c r="K264" i="2" s="1"/>
  <c r="N126" i="5"/>
  <c r="N179" i="4" l="1"/>
  <c r="N241" i="5"/>
  <c r="N206" i="5" s="1"/>
  <c r="O242" i="5"/>
  <c r="T264" i="2"/>
  <c r="T127" i="5" s="1"/>
  <c r="T124" i="5" s="1"/>
  <c r="J178" i="89" s="1"/>
  <c r="S264" i="2"/>
  <c r="S127" i="5" s="1"/>
  <c r="S124" i="5" s="1"/>
  <c r="I178" i="89" s="1"/>
  <c r="R264" i="2"/>
  <c r="R127" i="5" s="1"/>
  <c r="R124" i="5" s="1"/>
  <c r="H178" i="89" s="1"/>
  <c r="Q264" i="2"/>
  <c r="Q127" i="5" s="1"/>
  <c r="Q124" i="5" s="1"/>
  <c r="G178" i="89" s="1"/>
  <c r="P264" i="2"/>
  <c r="P127" i="5" s="1"/>
  <c r="P124" i="5" s="1"/>
  <c r="F178" i="89" s="1"/>
  <c r="N264" i="2"/>
  <c r="N127" i="5" s="1"/>
  <c r="N124" i="5" s="1"/>
  <c r="D178" i="89" s="1"/>
  <c r="O243" i="5" l="1"/>
  <c r="O241" i="5"/>
  <c r="O206" i="5" s="1"/>
  <c r="O179" i="4"/>
  <c r="Q241" i="5"/>
  <c r="R241" i="5"/>
  <c r="S241" i="5"/>
  <c r="T241" i="5"/>
  <c r="O264" i="2"/>
  <c r="O127" i="5" s="1"/>
  <c r="O124" i="5" s="1"/>
  <c r="E178" i="89" s="1"/>
  <c r="K178" i="89" s="1"/>
  <c r="R206" i="5" l="1"/>
  <c r="Q206" i="5"/>
  <c r="T206" i="5"/>
  <c r="S206" i="5"/>
  <c r="Y172" i="2"/>
  <c r="G172" i="2"/>
  <c r="K24" i="15"/>
  <c r="Y41" i="2" l="1"/>
  <c r="G41" i="2"/>
  <c r="K10" i="59"/>
  <c r="J10" i="59"/>
  <c r="I10" i="59"/>
  <c r="H10" i="59"/>
  <c r="G10" i="59"/>
  <c r="E10" i="59"/>
  <c r="T45" i="2"/>
  <c r="S45" i="2"/>
  <c r="R45" i="2"/>
  <c r="Q45" i="2"/>
  <c r="P45" i="2"/>
  <c r="N45" i="2"/>
  <c r="F15" i="56"/>
  <c r="T65" i="2"/>
  <c r="S65" i="2"/>
  <c r="R65" i="2"/>
  <c r="Q65" i="2"/>
  <c r="P65" i="2"/>
  <c r="T64" i="2"/>
  <c r="S64" i="2"/>
  <c r="R64" i="2"/>
  <c r="Q64" i="2"/>
  <c r="P64" i="2"/>
  <c r="T62" i="2"/>
  <c r="T39" i="4" s="1"/>
  <c r="V39" i="4" s="1"/>
  <c r="S62" i="2"/>
  <c r="S39" i="4" s="1"/>
  <c r="R62" i="2"/>
  <c r="R39" i="4" s="1"/>
  <c r="Q62" i="2"/>
  <c r="Q39" i="4" s="1"/>
  <c r="P62" i="2"/>
  <c r="P39" i="4" s="1"/>
  <c r="T61" i="2"/>
  <c r="T32" i="4" s="1"/>
  <c r="V32" i="4" s="1"/>
  <c r="S61" i="2"/>
  <c r="S32" i="4" s="1"/>
  <c r="R61" i="2"/>
  <c r="R32" i="4" s="1"/>
  <c r="Q61" i="2"/>
  <c r="Q32" i="4" s="1"/>
  <c r="P61" i="2"/>
  <c r="P32" i="4" s="1"/>
  <c r="N65" i="2"/>
  <c r="N64" i="2"/>
  <c r="N62" i="2"/>
  <c r="N39" i="4" s="1"/>
  <c r="N61" i="2"/>
  <c r="N32" i="4" s="1"/>
  <c r="K22" i="59"/>
  <c r="J22" i="59"/>
  <c r="I22" i="59"/>
  <c r="H22" i="59"/>
  <c r="G22" i="59"/>
  <c r="E22" i="59"/>
  <c r="V19" i="59"/>
  <c r="U19" i="59"/>
  <c r="T19" i="59"/>
  <c r="S19" i="59"/>
  <c r="R19" i="59"/>
  <c r="U16" i="59"/>
  <c r="V16" i="59" s="1"/>
  <c r="V7" i="59"/>
  <c r="U7" i="59"/>
  <c r="T7" i="59"/>
  <c r="S7" i="59"/>
  <c r="V8" i="59"/>
  <c r="U8" i="59"/>
  <c r="T8" i="59"/>
  <c r="S8" i="59"/>
  <c r="R8" i="59"/>
  <c r="R7" i="59"/>
  <c r="V6" i="59"/>
  <c r="U6" i="59"/>
  <c r="T6" i="59"/>
  <c r="S6" i="59"/>
  <c r="R6" i="59"/>
  <c r="V5" i="59"/>
  <c r="U5" i="59"/>
  <c r="T5" i="59"/>
  <c r="S5" i="59"/>
  <c r="R5" i="59"/>
  <c r="U4" i="59"/>
  <c r="K21" i="59"/>
  <c r="T46" i="4" s="1"/>
  <c r="J21" i="59"/>
  <c r="S46" i="4" s="1"/>
  <c r="I21" i="59"/>
  <c r="R46" i="4" s="1"/>
  <c r="H21" i="59"/>
  <c r="Q46" i="4" s="1"/>
  <c r="G21" i="59"/>
  <c r="P46" i="4" s="1"/>
  <c r="E21" i="59"/>
  <c r="N46" i="4" s="1"/>
  <c r="V4" i="59" l="1"/>
  <c r="G190" i="2" l="1"/>
  <c r="G189" i="2"/>
  <c r="Y190" i="2"/>
  <c r="J64" i="5"/>
  <c r="Y222" i="2"/>
  <c r="Y221" i="2"/>
  <c r="Y219" i="2"/>
  <c r="Y218" i="2"/>
  <c r="Y216" i="2"/>
  <c r="Y215" i="2"/>
  <c r="Y213" i="2"/>
  <c r="Y212" i="2"/>
  <c r="Y210" i="2"/>
  <c r="Y209" i="2"/>
  <c r="G221" i="2"/>
  <c r="G218" i="2"/>
  <c r="G212" i="2"/>
  <c r="G209" i="2"/>
  <c r="P32" i="58" l="1"/>
  <c r="O32" i="58"/>
  <c r="P31" i="58"/>
  <c r="O31" i="58"/>
  <c r="P30" i="58"/>
  <c r="O30" i="58"/>
  <c r="P29" i="58"/>
  <c r="O29" i="58"/>
  <c r="P28" i="58"/>
  <c r="O28" i="58"/>
  <c r="T32" i="58"/>
  <c r="M218" i="2" s="1"/>
  <c r="N218" i="2" s="1"/>
  <c r="S32" i="58"/>
  <c r="L218" i="2" s="1"/>
  <c r="R32" i="58"/>
  <c r="K218" i="2" s="1"/>
  <c r="Q32" i="58"/>
  <c r="J218" i="2" s="1"/>
  <c r="T31" i="58"/>
  <c r="M221" i="2" s="1"/>
  <c r="S31" i="58"/>
  <c r="L221" i="2" s="1"/>
  <c r="K221" i="2"/>
  <c r="Q31" i="58"/>
  <c r="J221" i="2" s="1"/>
  <c r="T30" i="58"/>
  <c r="M215" i="2" s="1"/>
  <c r="N215" i="2" s="1"/>
  <c r="S30" i="58"/>
  <c r="L215" i="2" s="1"/>
  <c r="R30" i="58"/>
  <c r="K215" i="2" s="1"/>
  <c r="Q30" i="58"/>
  <c r="J215" i="2" s="1"/>
  <c r="T29" i="58"/>
  <c r="M212" i="2" s="1"/>
  <c r="S29" i="58"/>
  <c r="L212" i="2" s="1"/>
  <c r="R29" i="58"/>
  <c r="K212" i="2" s="1"/>
  <c r="Q29" i="58"/>
  <c r="J212" i="2" s="1"/>
  <c r="T28" i="58"/>
  <c r="M209" i="2" s="1"/>
  <c r="N209" i="2" s="1"/>
  <c r="S28" i="58"/>
  <c r="L209" i="2" s="1"/>
  <c r="R28" i="58"/>
  <c r="K209" i="2" s="1"/>
  <c r="Q28" i="58"/>
  <c r="J209" i="2" s="1"/>
  <c r="Q14" i="58"/>
  <c r="G54" i="62"/>
  <c r="M82" i="4" s="1"/>
  <c r="G41" i="62"/>
  <c r="L82" i="4" s="1"/>
  <c r="G28" i="62"/>
  <c r="K82" i="4" s="1"/>
  <c r="G15" i="62"/>
  <c r="J82" i="4" s="1"/>
  <c r="G43" i="62"/>
  <c r="M70" i="4" s="1"/>
  <c r="G30" i="62"/>
  <c r="L70" i="4" s="1"/>
  <c r="G17" i="62"/>
  <c r="K70" i="4" s="1"/>
  <c r="G4" i="62"/>
  <c r="J70" i="4" s="1"/>
  <c r="M66" i="4"/>
  <c r="L66" i="4"/>
  <c r="K66" i="4"/>
  <c r="J66" i="4"/>
  <c r="G52" i="62"/>
  <c r="M62" i="4" s="1"/>
  <c r="J23" i="58" s="1"/>
  <c r="T23" i="58" s="1"/>
  <c r="T39" i="58" s="1"/>
  <c r="G39" i="62"/>
  <c r="L62" i="4" s="1"/>
  <c r="I23" i="58" s="1"/>
  <c r="S23" i="58" s="1"/>
  <c r="S39" i="58" s="1"/>
  <c r="G26" i="62"/>
  <c r="K62" i="4" s="1"/>
  <c r="H23" i="58" s="1"/>
  <c r="R23" i="58" s="1"/>
  <c r="R39" i="58" s="1"/>
  <c r="G13" i="62"/>
  <c r="J62" i="4" s="1"/>
  <c r="G53" i="62"/>
  <c r="M55" i="4" s="1"/>
  <c r="J24" i="58" s="1"/>
  <c r="T24" i="58" s="1"/>
  <c r="G40" i="62"/>
  <c r="L55" i="4" s="1"/>
  <c r="I24" i="58" s="1"/>
  <c r="S24" i="58" s="1"/>
  <c r="S40" i="58" s="1"/>
  <c r="G27" i="62"/>
  <c r="K55" i="4" s="1"/>
  <c r="G14" i="62"/>
  <c r="J55" i="4" s="1"/>
  <c r="G24" i="58" s="1"/>
  <c r="Q24" i="58" s="1"/>
  <c r="Q40" i="58" s="1"/>
  <c r="J48" i="4"/>
  <c r="G51" i="62"/>
  <c r="M48" i="4" s="1"/>
  <c r="G38" i="62"/>
  <c r="L48" i="4" s="1"/>
  <c r="G25" i="62"/>
  <c r="K48" i="4" s="1"/>
  <c r="G50" i="62"/>
  <c r="M41" i="4" s="1"/>
  <c r="J22" i="58" s="1"/>
  <c r="T22" i="58" s="1"/>
  <c r="T38" i="58" s="1"/>
  <c r="G37" i="62"/>
  <c r="L41" i="4" s="1"/>
  <c r="I22" i="58" s="1"/>
  <c r="G24" i="62"/>
  <c r="K41" i="4" s="1"/>
  <c r="G11" i="62"/>
  <c r="J41" i="4" s="1"/>
  <c r="G23" i="62"/>
  <c r="K34" i="4" s="1"/>
  <c r="H21" i="58" s="1"/>
  <c r="R21" i="58" s="1"/>
  <c r="R37" i="58" s="1"/>
  <c r="G49" i="62"/>
  <c r="M34" i="4" s="1"/>
  <c r="J21" i="58" s="1"/>
  <c r="T21" i="58" s="1"/>
  <c r="M211" i="2" s="1"/>
  <c r="G36" i="62"/>
  <c r="L34" i="4" s="1"/>
  <c r="I21" i="58" s="1"/>
  <c r="S21" i="58" s="1"/>
  <c r="G10" i="62"/>
  <c r="J34" i="4" s="1"/>
  <c r="T44" i="62"/>
  <c r="J42" i="4"/>
  <c r="J65" i="5" s="1"/>
  <c r="T54" i="62"/>
  <c r="R54" i="62"/>
  <c r="Q54" i="62"/>
  <c r="P54" i="62"/>
  <c r="N54" i="62"/>
  <c r="M54" i="62"/>
  <c r="L54" i="62"/>
  <c r="K54" i="62"/>
  <c r="I54" i="62"/>
  <c r="T53" i="62"/>
  <c r="R53" i="62"/>
  <c r="Q53" i="62"/>
  <c r="P53" i="62"/>
  <c r="N53" i="62"/>
  <c r="M53" i="62"/>
  <c r="L53" i="62"/>
  <c r="K53" i="62"/>
  <c r="I53" i="62"/>
  <c r="T52" i="62"/>
  <c r="R52" i="62"/>
  <c r="Q52" i="62"/>
  <c r="P52" i="62"/>
  <c r="N52" i="62"/>
  <c r="M52" i="62"/>
  <c r="L52" i="62"/>
  <c r="K52" i="62"/>
  <c r="I52" i="62"/>
  <c r="T51" i="62"/>
  <c r="R51" i="62"/>
  <c r="Q51" i="62"/>
  <c r="P51" i="62"/>
  <c r="N51" i="62"/>
  <c r="M51" i="62"/>
  <c r="L51" i="62"/>
  <c r="K51" i="62"/>
  <c r="I51" i="62"/>
  <c r="T50" i="62"/>
  <c r="R50" i="62"/>
  <c r="Q50" i="62"/>
  <c r="P50" i="62"/>
  <c r="N50" i="62"/>
  <c r="M50" i="62"/>
  <c r="L50" i="62"/>
  <c r="K50" i="62"/>
  <c r="I50" i="62"/>
  <c r="T49" i="62"/>
  <c r="R49" i="62"/>
  <c r="Q49" i="62"/>
  <c r="P49" i="62"/>
  <c r="N49" i="62"/>
  <c r="M49" i="62"/>
  <c r="L49" i="62"/>
  <c r="K49" i="62"/>
  <c r="I49" i="62"/>
  <c r="T48" i="62"/>
  <c r="R48" i="62"/>
  <c r="Q48" i="62"/>
  <c r="P48" i="62"/>
  <c r="N48" i="62"/>
  <c r="M48" i="62"/>
  <c r="L48" i="62"/>
  <c r="K48" i="62"/>
  <c r="I48" i="62"/>
  <c r="T47" i="62"/>
  <c r="R47" i="62"/>
  <c r="Q47" i="62"/>
  <c r="P47" i="62"/>
  <c r="N47" i="62"/>
  <c r="M47" i="62"/>
  <c r="M164" i="5" s="1"/>
  <c r="M168" i="5" s="1"/>
  <c r="L47" i="62"/>
  <c r="K47" i="62"/>
  <c r="I47" i="62"/>
  <c r="M112" i="5" s="1"/>
  <c r="M116" i="5" s="1"/>
  <c r="O116" i="5" s="1"/>
  <c r="T46" i="62"/>
  <c r="R46" i="62"/>
  <c r="Q46" i="62"/>
  <c r="P46" i="62"/>
  <c r="N46" i="62"/>
  <c r="M153" i="5" s="1"/>
  <c r="M46" i="62"/>
  <c r="L46" i="62"/>
  <c r="K46" i="62"/>
  <c r="I46" i="62"/>
  <c r="T45" i="62"/>
  <c r="R45" i="62"/>
  <c r="Q45" i="62"/>
  <c r="P45" i="62"/>
  <c r="N45" i="62"/>
  <c r="M45" i="62"/>
  <c r="L45" i="62"/>
  <c r="K45" i="62"/>
  <c r="I45" i="62"/>
  <c r="R44" i="62"/>
  <c r="Q44" i="62"/>
  <c r="P44" i="62"/>
  <c r="N44" i="62"/>
  <c r="M44" i="62"/>
  <c r="L44" i="62"/>
  <c r="K44" i="62"/>
  <c r="I44" i="62"/>
  <c r="T43" i="62"/>
  <c r="R43" i="62"/>
  <c r="Q43" i="62"/>
  <c r="P43" i="62"/>
  <c r="N43" i="62"/>
  <c r="M43" i="62"/>
  <c r="L43" i="62"/>
  <c r="K43" i="62"/>
  <c r="I43" i="62"/>
  <c r="T42" i="62"/>
  <c r="R42" i="62"/>
  <c r="M172" i="5" s="1"/>
  <c r="Q42" i="62"/>
  <c r="P42" i="62"/>
  <c r="N42" i="62"/>
  <c r="M152" i="5" s="1"/>
  <c r="M42" i="62"/>
  <c r="L42" i="62"/>
  <c r="F14" i="86" s="1"/>
  <c r="K42" i="62"/>
  <c r="I42" i="62"/>
  <c r="M111" i="5" s="1"/>
  <c r="H54" i="62"/>
  <c r="M105" i="5" s="1"/>
  <c r="H53" i="62"/>
  <c r="M75" i="5" s="1"/>
  <c r="H52" i="62"/>
  <c r="M86" i="5" s="1"/>
  <c r="H51" i="62"/>
  <c r="M64" i="5" s="1"/>
  <c r="H50" i="62"/>
  <c r="M53" i="5" s="1"/>
  <c r="H49" i="62"/>
  <c r="M42" i="5" s="1"/>
  <c r="H48" i="62"/>
  <c r="M103" i="5" s="1"/>
  <c r="H47" i="62"/>
  <c r="M31" i="5" s="1"/>
  <c r="H46" i="62"/>
  <c r="M107" i="5" s="1"/>
  <c r="H45" i="62"/>
  <c r="M97" i="5" s="1"/>
  <c r="H44" i="62"/>
  <c r="M109" i="5" s="1"/>
  <c r="H43" i="62"/>
  <c r="M99" i="5" s="1"/>
  <c r="H42" i="62"/>
  <c r="M101" i="5" s="1"/>
  <c r="H41" i="62"/>
  <c r="L105" i="5" s="1"/>
  <c r="H40" i="62"/>
  <c r="L75" i="5" s="1"/>
  <c r="H39" i="62"/>
  <c r="L86" i="5" s="1"/>
  <c r="H38" i="62"/>
  <c r="H37" i="62"/>
  <c r="L53" i="5" s="1"/>
  <c r="H36" i="62"/>
  <c r="L42" i="5" s="1"/>
  <c r="H35" i="62"/>
  <c r="L103" i="5" s="1"/>
  <c r="H34" i="62"/>
  <c r="L31" i="5" s="1"/>
  <c r="H33" i="62"/>
  <c r="L107" i="5" s="1"/>
  <c r="H32" i="62"/>
  <c r="L97" i="5" s="1"/>
  <c r="H31" i="62"/>
  <c r="L109" i="5" s="1"/>
  <c r="H30" i="62"/>
  <c r="H29" i="62"/>
  <c r="L101" i="5" s="1"/>
  <c r="H28" i="62"/>
  <c r="K105" i="5" s="1"/>
  <c r="H27" i="62"/>
  <c r="K75" i="5" s="1"/>
  <c r="H26" i="62"/>
  <c r="K86" i="5" s="1"/>
  <c r="H25" i="62"/>
  <c r="K64" i="5" s="1"/>
  <c r="H24" i="62"/>
  <c r="K53" i="5" s="1"/>
  <c r="H23" i="62"/>
  <c r="K42" i="5" s="1"/>
  <c r="H22" i="62"/>
  <c r="K103" i="5" s="1"/>
  <c r="H21" i="62"/>
  <c r="H20" i="62"/>
  <c r="K107" i="5" s="1"/>
  <c r="H19" i="62"/>
  <c r="K97" i="5" s="1"/>
  <c r="H18" i="62"/>
  <c r="K109" i="5" s="1"/>
  <c r="H17" i="62"/>
  <c r="K99" i="5" s="1"/>
  <c r="H16" i="62"/>
  <c r="K101" i="5" s="1"/>
  <c r="H15" i="62"/>
  <c r="J105" i="5" s="1"/>
  <c r="H14" i="62"/>
  <c r="J75" i="5" s="1"/>
  <c r="H13" i="62"/>
  <c r="J86" i="5" s="1"/>
  <c r="H11" i="62"/>
  <c r="J53" i="5" s="1"/>
  <c r="H10" i="62"/>
  <c r="J42" i="5" s="1"/>
  <c r="H9" i="62"/>
  <c r="J103" i="5" s="1"/>
  <c r="H8" i="62"/>
  <c r="J31" i="5" s="1"/>
  <c r="H7" i="62"/>
  <c r="J107" i="5" s="1"/>
  <c r="H6" i="62"/>
  <c r="J97" i="5" s="1"/>
  <c r="H5" i="62"/>
  <c r="J109" i="5" s="1"/>
  <c r="H4" i="62"/>
  <c r="J99" i="5" s="1"/>
  <c r="H3" i="62"/>
  <c r="J101" i="5" s="1"/>
  <c r="G48" i="62"/>
  <c r="M78" i="4" s="1"/>
  <c r="G47" i="62"/>
  <c r="M27" i="4" s="1"/>
  <c r="J20" i="58" s="1"/>
  <c r="T20" i="58" s="1"/>
  <c r="G46" i="62"/>
  <c r="M86" i="4" s="1"/>
  <c r="G44" i="62"/>
  <c r="G42" i="62"/>
  <c r="M74" i="4" s="1"/>
  <c r="F54" i="62"/>
  <c r="M79" i="4" s="1"/>
  <c r="F53" i="62"/>
  <c r="M49" i="4" s="1"/>
  <c r="F52" i="62"/>
  <c r="M56" i="4" s="1"/>
  <c r="F51" i="62"/>
  <c r="M42" i="4" s="1"/>
  <c r="F50" i="62"/>
  <c r="M35" i="4" s="1"/>
  <c r="F49" i="62"/>
  <c r="M28" i="4" s="1"/>
  <c r="F48" i="62"/>
  <c r="M75" i="4" s="1"/>
  <c r="F47" i="62"/>
  <c r="M21" i="4" s="1"/>
  <c r="F46" i="62"/>
  <c r="M83" i="4" s="1"/>
  <c r="F45" i="62"/>
  <c r="M63" i="4" s="1"/>
  <c r="F44" i="62"/>
  <c r="M87" i="4" s="1"/>
  <c r="F43" i="62"/>
  <c r="M67" i="4" s="1"/>
  <c r="F42" i="62"/>
  <c r="M71" i="4" s="1"/>
  <c r="T30" i="62"/>
  <c r="M41" i="62"/>
  <c r="M40" i="62"/>
  <c r="M39" i="62"/>
  <c r="M38" i="62"/>
  <c r="M37" i="62"/>
  <c r="M36" i="62"/>
  <c r="M35" i="62"/>
  <c r="M34" i="62"/>
  <c r="L164" i="5" s="1"/>
  <c r="L168" i="5" s="1"/>
  <c r="M33" i="62"/>
  <c r="M32" i="62"/>
  <c r="M31" i="62"/>
  <c r="M30" i="62"/>
  <c r="M29" i="62"/>
  <c r="M28" i="62"/>
  <c r="M27" i="62"/>
  <c r="M26" i="62"/>
  <c r="M25" i="62"/>
  <c r="M24" i="62"/>
  <c r="M23" i="62"/>
  <c r="M22" i="62"/>
  <c r="M21" i="62"/>
  <c r="K164" i="5" s="1"/>
  <c r="K168" i="5" s="1"/>
  <c r="M20" i="62"/>
  <c r="M19" i="62"/>
  <c r="M18" i="62"/>
  <c r="M17" i="62"/>
  <c r="M16" i="62"/>
  <c r="T41" i="62"/>
  <c r="R41" i="62"/>
  <c r="T40" i="62"/>
  <c r="R40" i="62"/>
  <c r="T39" i="62"/>
  <c r="R39" i="62"/>
  <c r="T38" i="62"/>
  <c r="R38" i="62"/>
  <c r="T37" i="62"/>
  <c r="R37" i="62"/>
  <c r="T36" i="62"/>
  <c r="R36" i="62"/>
  <c r="T35" i="62"/>
  <c r="R35" i="62"/>
  <c r="T34" i="62"/>
  <c r="R34" i="62"/>
  <c r="T33" i="62"/>
  <c r="R33" i="62"/>
  <c r="T32" i="62"/>
  <c r="R32" i="62"/>
  <c r="T31" i="62"/>
  <c r="R31" i="62"/>
  <c r="R30" i="62"/>
  <c r="R29" i="62"/>
  <c r="T29" i="62"/>
  <c r="Q41" i="62"/>
  <c r="P41" i="62"/>
  <c r="Q40" i="62"/>
  <c r="P40" i="62"/>
  <c r="Q39" i="62"/>
  <c r="P39" i="62"/>
  <c r="Q38" i="62"/>
  <c r="P38" i="62"/>
  <c r="Q37" i="62"/>
  <c r="P37" i="62"/>
  <c r="Q36" i="62"/>
  <c r="P36" i="62"/>
  <c r="Q35" i="62"/>
  <c r="P35" i="62"/>
  <c r="Q34" i="62"/>
  <c r="P34" i="62"/>
  <c r="Q33" i="62"/>
  <c r="P33" i="62"/>
  <c r="Q32" i="62"/>
  <c r="P32" i="62"/>
  <c r="Q31" i="62"/>
  <c r="P31" i="62"/>
  <c r="Q30" i="62"/>
  <c r="P30" i="62"/>
  <c r="Q29" i="62"/>
  <c r="P29" i="62"/>
  <c r="N41" i="62"/>
  <c r="N40" i="62"/>
  <c r="N39" i="62"/>
  <c r="N38" i="62"/>
  <c r="N37" i="62"/>
  <c r="N36" i="62"/>
  <c r="N35" i="62"/>
  <c r="N34" i="62"/>
  <c r="N33" i="62"/>
  <c r="N32" i="62"/>
  <c r="N31" i="62"/>
  <c r="N30" i="62"/>
  <c r="N29" i="62"/>
  <c r="L41" i="62"/>
  <c r="L40" i="62"/>
  <c r="L39" i="62"/>
  <c r="L38" i="62"/>
  <c r="L37" i="62"/>
  <c r="L36" i="62"/>
  <c r="L35" i="62"/>
  <c r="L34" i="62"/>
  <c r="L33" i="62"/>
  <c r="L32" i="62"/>
  <c r="L31" i="62"/>
  <c r="L30" i="62"/>
  <c r="L29" i="62"/>
  <c r="K41" i="62"/>
  <c r="K40" i="62"/>
  <c r="K39" i="62"/>
  <c r="K38" i="62"/>
  <c r="K37" i="62"/>
  <c r="K36" i="62"/>
  <c r="K35" i="62"/>
  <c r="K34" i="62"/>
  <c r="K33" i="62"/>
  <c r="K32" i="62"/>
  <c r="K31" i="62"/>
  <c r="K30" i="62"/>
  <c r="K29" i="62"/>
  <c r="I41" i="62"/>
  <c r="I40" i="62"/>
  <c r="I39" i="62"/>
  <c r="I38" i="62"/>
  <c r="I37" i="62"/>
  <c r="I36" i="62"/>
  <c r="I35" i="62"/>
  <c r="I34" i="62"/>
  <c r="L112" i="5" s="1"/>
  <c r="L116" i="5" s="1"/>
  <c r="I33" i="62"/>
  <c r="I32" i="62"/>
  <c r="I31" i="62"/>
  <c r="I30" i="62"/>
  <c r="I29" i="62"/>
  <c r="F41" i="62"/>
  <c r="L79" i="4" s="1"/>
  <c r="F40" i="62"/>
  <c r="L49" i="4" s="1"/>
  <c r="F39" i="62"/>
  <c r="L56" i="4" s="1"/>
  <c r="F38" i="62"/>
  <c r="L42" i="4" s="1"/>
  <c r="F37" i="62"/>
  <c r="L35" i="4" s="1"/>
  <c r="F36" i="62"/>
  <c r="L28" i="4" s="1"/>
  <c r="G35" i="62"/>
  <c r="L78" i="4" s="1"/>
  <c r="F35" i="62"/>
  <c r="L75" i="4" s="1"/>
  <c r="G34" i="62"/>
  <c r="L27" i="4" s="1"/>
  <c r="I20" i="58" s="1"/>
  <c r="S20" i="58" s="1"/>
  <c r="F34" i="62"/>
  <c r="L21" i="4" s="1"/>
  <c r="G33" i="62"/>
  <c r="L86" i="4" s="1"/>
  <c r="F33" i="62"/>
  <c r="L83" i="4" s="1"/>
  <c r="F32" i="62"/>
  <c r="L63" i="4" s="1"/>
  <c r="G31" i="62"/>
  <c r="F31" i="62"/>
  <c r="L87" i="4" s="1"/>
  <c r="F30" i="62"/>
  <c r="L67" i="4" s="1"/>
  <c r="G29" i="62"/>
  <c r="L74" i="4" s="1"/>
  <c r="F29" i="62"/>
  <c r="L71" i="4" s="1"/>
  <c r="T28" i="62"/>
  <c r="T27" i="62"/>
  <c r="T26" i="62"/>
  <c r="T25" i="62"/>
  <c r="T24" i="62"/>
  <c r="T23" i="62"/>
  <c r="T22" i="62"/>
  <c r="T21" i="62"/>
  <c r="T20" i="62"/>
  <c r="T19" i="62"/>
  <c r="T18" i="62"/>
  <c r="T17" i="62"/>
  <c r="T16" i="62"/>
  <c r="Q28" i="62"/>
  <c r="Q27" i="62"/>
  <c r="Q26" i="62"/>
  <c r="Q25" i="62"/>
  <c r="Q24" i="62"/>
  <c r="Q23" i="62"/>
  <c r="Q22" i="62"/>
  <c r="Q21" i="62"/>
  <c r="Q20" i="62"/>
  <c r="Q19" i="62"/>
  <c r="Q18" i="62"/>
  <c r="Q17" i="62"/>
  <c r="Q16" i="62"/>
  <c r="P28" i="62"/>
  <c r="P27" i="62"/>
  <c r="P26" i="62"/>
  <c r="P25" i="62"/>
  <c r="P24" i="62"/>
  <c r="P23" i="62"/>
  <c r="P22" i="62"/>
  <c r="P21" i="62"/>
  <c r="P20" i="62"/>
  <c r="P19" i="62"/>
  <c r="P18" i="62"/>
  <c r="P17" i="62"/>
  <c r="P16" i="62"/>
  <c r="N28" i="62"/>
  <c r="N27" i="62"/>
  <c r="N26" i="62"/>
  <c r="N25" i="62"/>
  <c r="N24" i="62"/>
  <c r="N23" i="62"/>
  <c r="N22" i="62"/>
  <c r="N21" i="62"/>
  <c r="N20" i="62"/>
  <c r="K153" i="5" s="1"/>
  <c r="N19" i="62"/>
  <c r="N18" i="62"/>
  <c r="N17" i="62"/>
  <c r="N16" i="62"/>
  <c r="L28" i="62"/>
  <c r="L27" i="62"/>
  <c r="L26" i="62"/>
  <c r="L25" i="62"/>
  <c r="L24" i="62"/>
  <c r="L23" i="62"/>
  <c r="L22" i="62"/>
  <c r="L21" i="62"/>
  <c r="L20" i="62"/>
  <c r="L19" i="62"/>
  <c r="L18" i="62"/>
  <c r="L17" i="62"/>
  <c r="L16" i="62"/>
  <c r="K28" i="62"/>
  <c r="K27" i="62"/>
  <c r="K26" i="62"/>
  <c r="K25" i="62"/>
  <c r="K24" i="62"/>
  <c r="K23" i="62"/>
  <c r="K22" i="62"/>
  <c r="K21" i="62"/>
  <c r="K20" i="62"/>
  <c r="K19" i="62"/>
  <c r="K18" i="62"/>
  <c r="K17" i="62"/>
  <c r="K16" i="62"/>
  <c r="I28" i="62"/>
  <c r="I27" i="62"/>
  <c r="I26" i="62"/>
  <c r="I25" i="62"/>
  <c r="I24" i="62"/>
  <c r="I23" i="62"/>
  <c r="I22" i="62"/>
  <c r="I21" i="62"/>
  <c r="K112" i="5" s="1"/>
  <c r="K116" i="5" s="1"/>
  <c r="I20" i="62"/>
  <c r="I19" i="62"/>
  <c r="I18" i="62"/>
  <c r="I17" i="62"/>
  <c r="I16" i="62"/>
  <c r="G22" i="62"/>
  <c r="K78" i="4" s="1"/>
  <c r="G21" i="62"/>
  <c r="K27" i="4" s="1"/>
  <c r="H20" i="58" s="1"/>
  <c r="R20" i="58" s="1"/>
  <c r="G20" i="62"/>
  <c r="K86" i="4" s="1"/>
  <c r="G18" i="62"/>
  <c r="G16" i="62"/>
  <c r="K74" i="4" s="1"/>
  <c r="F28" i="62"/>
  <c r="K79" i="4" s="1"/>
  <c r="F27" i="62"/>
  <c r="K49" i="4" s="1"/>
  <c r="F26" i="62"/>
  <c r="K56" i="4" s="1"/>
  <c r="F25" i="62"/>
  <c r="K42" i="4" s="1"/>
  <c r="F24" i="62"/>
  <c r="K35" i="4" s="1"/>
  <c r="F23" i="62"/>
  <c r="K28" i="4" s="1"/>
  <c r="F22" i="62"/>
  <c r="K75" i="4" s="1"/>
  <c r="F21" i="62"/>
  <c r="K21" i="4" s="1"/>
  <c r="F20" i="62"/>
  <c r="K83" i="4" s="1"/>
  <c r="F19" i="62"/>
  <c r="K63" i="4" s="1"/>
  <c r="F18" i="62"/>
  <c r="K87" i="4" s="1"/>
  <c r="F17" i="62"/>
  <c r="K67" i="4" s="1"/>
  <c r="F16" i="62"/>
  <c r="K71" i="4" s="1"/>
  <c r="T15" i="62"/>
  <c r="T14" i="62"/>
  <c r="T13" i="62"/>
  <c r="T11" i="62"/>
  <c r="T10" i="62"/>
  <c r="T9" i="62"/>
  <c r="T8" i="62"/>
  <c r="T7" i="62"/>
  <c r="T6" i="62"/>
  <c r="T5" i="62"/>
  <c r="T4" i="62"/>
  <c r="T3" i="62"/>
  <c r="Q15" i="62"/>
  <c r="Q14" i="62"/>
  <c r="Q13" i="62"/>
  <c r="Q11" i="62"/>
  <c r="Q10" i="62"/>
  <c r="Q9" i="62"/>
  <c r="Q8" i="62"/>
  <c r="Q7" i="62"/>
  <c r="Q6" i="62"/>
  <c r="Q5" i="62"/>
  <c r="Q4" i="62"/>
  <c r="Q3" i="62"/>
  <c r="N15" i="62"/>
  <c r="N14" i="62"/>
  <c r="N13" i="62"/>
  <c r="N11" i="62"/>
  <c r="N10" i="62"/>
  <c r="N9" i="62"/>
  <c r="N8" i="62"/>
  <c r="N7" i="62"/>
  <c r="N6" i="62"/>
  <c r="N5" i="62"/>
  <c r="N4" i="62"/>
  <c r="N3" i="62"/>
  <c r="P3" i="62"/>
  <c r="P4" i="62"/>
  <c r="P5" i="62"/>
  <c r="P6" i="62"/>
  <c r="P7" i="62"/>
  <c r="P8" i="62"/>
  <c r="P9" i="62"/>
  <c r="P10" i="62"/>
  <c r="P11" i="62"/>
  <c r="P13" i="62"/>
  <c r="P14" i="62"/>
  <c r="P15" i="62"/>
  <c r="L15" i="62"/>
  <c r="O15" i="62" s="1"/>
  <c r="L14" i="62"/>
  <c r="O14" i="62" s="1"/>
  <c r="L13" i="62"/>
  <c r="O13" i="62" s="1"/>
  <c r="L11" i="62"/>
  <c r="O11" i="62" s="1"/>
  <c r="L10" i="62"/>
  <c r="O10" i="62" s="1"/>
  <c r="L9" i="62"/>
  <c r="L8" i="62"/>
  <c r="O8" i="62" s="1"/>
  <c r="L7" i="62"/>
  <c r="L6" i="62"/>
  <c r="L5" i="62"/>
  <c r="O5" i="62" s="1"/>
  <c r="L4" i="62"/>
  <c r="O4" i="62" s="1"/>
  <c r="L3" i="62"/>
  <c r="K15" i="62"/>
  <c r="K14" i="62"/>
  <c r="K13" i="62"/>
  <c r="K11" i="62"/>
  <c r="K10" i="62"/>
  <c r="K9" i="62"/>
  <c r="K8" i="62"/>
  <c r="K7" i="62"/>
  <c r="K6" i="62"/>
  <c r="K5" i="62"/>
  <c r="K4" i="62"/>
  <c r="K3" i="62"/>
  <c r="I15" i="62"/>
  <c r="I14" i="62"/>
  <c r="I13" i="62"/>
  <c r="I11" i="62"/>
  <c r="I10" i="62"/>
  <c r="I9" i="62"/>
  <c r="I8" i="62"/>
  <c r="J112" i="5" s="1"/>
  <c r="J116" i="5" s="1"/>
  <c r="I7" i="62"/>
  <c r="I6" i="62"/>
  <c r="I5" i="62"/>
  <c r="I4" i="62"/>
  <c r="I3" i="62"/>
  <c r="G9" i="62"/>
  <c r="J78" i="4" s="1"/>
  <c r="G8" i="62"/>
  <c r="J27" i="4" s="1"/>
  <c r="G20" i="58" s="1"/>
  <c r="Q20" i="58" s="1"/>
  <c r="Q36" i="58" s="1"/>
  <c r="G7" i="62"/>
  <c r="J86" i="4" s="1"/>
  <c r="G5" i="62"/>
  <c r="G3" i="62"/>
  <c r="J74" i="4" s="1"/>
  <c r="F15" i="62"/>
  <c r="J79" i="4" s="1"/>
  <c r="F14" i="62"/>
  <c r="J49" i="4" s="1"/>
  <c r="F13" i="62"/>
  <c r="J56" i="4" s="1"/>
  <c r="F11" i="62"/>
  <c r="J35" i="4" s="1"/>
  <c r="F10" i="62"/>
  <c r="J28" i="4" s="1"/>
  <c r="F9" i="62"/>
  <c r="J75" i="4" s="1"/>
  <c r="F8" i="62"/>
  <c r="J21" i="4" s="1"/>
  <c r="F7" i="62"/>
  <c r="J83" i="4" s="1"/>
  <c r="F6" i="62"/>
  <c r="J63" i="4" s="1"/>
  <c r="F5" i="62"/>
  <c r="J87" i="4" s="1"/>
  <c r="F4" i="62"/>
  <c r="J67" i="4" s="1"/>
  <c r="F3" i="62"/>
  <c r="J71" i="4" s="1"/>
  <c r="I5" i="14"/>
  <c r="M117" i="5" l="1"/>
  <c r="K173" i="5"/>
  <c r="K61" i="6" s="1"/>
  <c r="J111" i="5"/>
  <c r="J117" i="5" s="1"/>
  <c r="C14" i="86"/>
  <c r="D14" i="86"/>
  <c r="L173" i="5"/>
  <c r="L61" i="6" s="1"/>
  <c r="M173" i="5"/>
  <c r="K161" i="5"/>
  <c r="K162" i="5" s="1"/>
  <c r="K335" i="2" s="1"/>
  <c r="K143" i="5"/>
  <c r="L161" i="5"/>
  <c r="L162" i="5" s="1"/>
  <c r="L335" i="2" s="1"/>
  <c r="L143" i="5"/>
  <c r="M161" i="5"/>
  <c r="M162" i="5" s="1"/>
  <c r="M335" i="2" s="1"/>
  <c r="N335" i="2" s="1"/>
  <c r="N162" i="5" s="1"/>
  <c r="M143" i="5"/>
  <c r="J143" i="5"/>
  <c r="L111" i="5"/>
  <c r="L117" i="5" s="1"/>
  <c r="J173" i="5"/>
  <c r="J61" i="6" s="1"/>
  <c r="F16" i="86"/>
  <c r="F15" i="86"/>
  <c r="M137" i="5" s="1"/>
  <c r="E14" i="86"/>
  <c r="K111" i="5"/>
  <c r="K117" i="5" s="1"/>
  <c r="T40" i="58"/>
  <c r="M217" i="2"/>
  <c r="N212" i="2"/>
  <c r="O212" i="2" s="1"/>
  <c r="P212" i="2" s="1"/>
  <c r="Q212" i="2" s="1"/>
  <c r="R212" i="2" s="1"/>
  <c r="S212" i="2" s="1"/>
  <c r="T212" i="2" s="1"/>
  <c r="N221" i="2"/>
  <c r="O221" i="2" s="1"/>
  <c r="P221" i="2" s="1"/>
  <c r="Q221" i="2" s="1"/>
  <c r="R221" i="2" s="1"/>
  <c r="S221" i="2" s="1"/>
  <c r="T221" i="2" s="1"/>
  <c r="H22" i="58"/>
  <c r="R22" i="58" s="1"/>
  <c r="R38" i="58" s="1"/>
  <c r="M156" i="5"/>
  <c r="M157" i="5" s="1"/>
  <c r="M317" i="2" s="1"/>
  <c r="P317" i="2" s="1"/>
  <c r="P157" i="5" s="1"/>
  <c r="O3" i="62"/>
  <c r="J152" i="5"/>
  <c r="O47" i="62"/>
  <c r="G21" i="58"/>
  <c r="Q21" i="58" s="1"/>
  <c r="Q37" i="58" s="1"/>
  <c r="G23" i="58"/>
  <c r="Q23" i="58" s="1"/>
  <c r="Q39" i="58" s="1"/>
  <c r="O172" i="5"/>
  <c r="L152" i="5"/>
  <c r="L172" i="5"/>
  <c r="K158" i="5"/>
  <c r="K159" i="5"/>
  <c r="K163" i="5" s="1"/>
  <c r="O49" i="62"/>
  <c r="O7" i="62"/>
  <c r="J153" i="5"/>
  <c r="K65" i="5"/>
  <c r="O42" i="62"/>
  <c r="G22" i="58"/>
  <c r="Q22" i="58" s="1"/>
  <c r="Q38" i="58" s="1"/>
  <c r="K152" i="5"/>
  <c r="M158" i="5"/>
  <c r="M159" i="5"/>
  <c r="L153" i="5"/>
  <c r="M65" i="5"/>
  <c r="L158" i="5"/>
  <c r="L159" i="5"/>
  <c r="K82" i="5"/>
  <c r="H24" i="58"/>
  <c r="R24" i="58" s="1"/>
  <c r="R40" i="58" s="1"/>
  <c r="S22" i="58"/>
  <c r="S38" i="58" s="1"/>
  <c r="P209" i="2"/>
  <c r="Q209" i="2" s="1"/>
  <c r="R209" i="2" s="1"/>
  <c r="S209" i="2" s="1"/>
  <c r="T209" i="2" s="1"/>
  <c r="M213" i="2"/>
  <c r="N213" i="2" s="1"/>
  <c r="S37" i="58"/>
  <c r="R36" i="58"/>
  <c r="T36" i="58"/>
  <c r="S36" i="58"/>
  <c r="O218" i="2"/>
  <c r="P218" i="2" s="1"/>
  <c r="Q218" i="2" s="1"/>
  <c r="R218" i="2" s="1"/>
  <c r="S218" i="2" s="1"/>
  <c r="T218" i="2" s="1"/>
  <c r="O215" i="2"/>
  <c r="P215" i="2" s="1"/>
  <c r="Q215" i="2" s="1"/>
  <c r="R215" i="2" s="1"/>
  <c r="S215" i="2" s="1"/>
  <c r="T215" i="2" s="1"/>
  <c r="T37" i="58"/>
  <c r="J49" i="62"/>
  <c r="O6" i="62"/>
  <c r="O44" i="62"/>
  <c r="O45" i="62"/>
  <c r="J47" i="62"/>
  <c r="S47" i="62" s="1"/>
  <c r="O53" i="62"/>
  <c r="J38" i="62"/>
  <c r="L64" i="5"/>
  <c r="L65" i="5" s="1"/>
  <c r="J30" i="62"/>
  <c r="L99" i="5"/>
  <c r="O34" i="62"/>
  <c r="O46" i="62"/>
  <c r="J48" i="62"/>
  <c r="O54" i="62"/>
  <c r="J42" i="62"/>
  <c r="S42" i="62" s="1"/>
  <c r="O48" i="62"/>
  <c r="J50" i="62"/>
  <c r="J51" i="62"/>
  <c r="J43" i="62"/>
  <c r="O50" i="62"/>
  <c r="J52" i="62"/>
  <c r="O31" i="62"/>
  <c r="O39" i="62"/>
  <c r="J44" i="62"/>
  <c r="J45" i="62"/>
  <c r="O51" i="62"/>
  <c r="J53" i="62"/>
  <c r="J21" i="62"/>
  <c r="K31" i="5"/>
  <c r="O43" i="62"/>
  <c r="J46" i="62"/>
  <c r="S46" i="62" s="1"/>
  <c r="O52" i="62"/>
  <c r="J54" i="62"/>
  <c r="S49" i="62"/>
  <c r="J31" i="62"/>
  <c r="J39" i="62"/>
  <c r="O32" i="62"/>
  <c r="O40" i="62"/>
  <c r="O37" i="62"/>
  <c r="J5" i="62"/>
  <c r="S5" i="62" s="1"/>
  <c r="J23" i="62"/>
  <c r="J32" i="62"/>
  <c r="J40" i="62"/>
  <c r="O33" i="62"/>
  <c r="O41" i="62"/>
  <c r="J14" i="62"/>
  <c r="S14" i="62" s="1"/>
  <c r="J34" i="62"/>
  <c r="O35" i="62"/>
  <c r="J19" i="62"/>
  <c r="J27" i="62"/>
  <c r="J36" i="62"/>
  <c r="O29" i="62"/>
  <c r="J8" i="62"/>
  <c r="S8" i="62" s="1"/>
  <c r="O19" i="62"/>
  <c r="O27" i="62"/>
  <c r="J29" i="62"/>
  <c r="J37" i="62"/>
  <c r="O30" i="62"/>
  <c r="O38" i="62"/>
  <c r="J9" i="62"/>
  <c r="J33" i="62"/>
  <c r="J41" i="62"/>
  <c r="O9" i="62"/>
  <c r="J10" i="62"/>
  <c r="S10" i="62" s="1"/>
  <c r="O17" i="62"/>
  <c r="O25" i="62"/>
  <c r="J35" i="62"/>
  <c r="O36" i="62"/>
  <c r="J17" i="62"/>
  <c r="J25" i="62"/>
  <c r="O16" i="62"/>
  <c r="O24" i="62"/>
  <c r="J22" i="62"/>
  <c r="O21" i="62"/>
  <c r="J4" i="62"/>
  <c r="S4" i="62" s="1"/>
  <c r="O23" i="62"/>
  <c r="J6" i="62"/>
  <c r="J15" i="62"/>
  <c r="S15" i="62" s="1"/>
  <c r="J18" i="62"/>
  <c r="J26" i="62"/>
  <c r="J20" i="62"/>
  <c r="J28" i="62"/>
  <c r="O18" i="62"/>
  <c r="O26" i="62"/>
  <c r="J11" i="62"/>
  <c r="S11" i="62" s="1"/>
  <c r="O20" i="62"/>
  <c r="O28" i="62"/>
  <c r="J13" i="62"/>
  <c r="S13" i="62" s="1"/>
  <c r="J16" i="62"/>
  <c r="J24" i="62"/>
  <c r="O22" i="62"/>
  <c r="J3" i="62"/>
  <c r="S3" i="62" s="1"/>
  <c r="J7" i="62"/>
  <c r="S7" i="62" s="1"/>
  <c r="CA29" i="14"/>
  <c r="CA51" i="14"/>
  <c r="BY299" i="14"/>
  <c r="BY298" i="14"/>
  <c r="BY297" i="14"/>
  <c r="BY296" i="14"/>
  <c r="BY295" i="14"/>
  <c r="BY294" i="14"/>
  <c r="BY293" i="14"/>
  <c r="BY292" i="14"/>
  <c r="BY291" i="14"/>
  <c r="BY290" i="14"/>
  <c r="BY289" i="14"/>
  <c r="BY288" i="14"/>
  <c r="BY287" i="14"/>
  <c r="BY286" i="14"/>
  <c r="BY285" i="14"/>
  <c r="BY284" i="14"/>
  <c r="BY283" i="14"/>
  <c r="BY282" i="14"/>
  <c r="BY281" i="14"/>
  <c r="BY280" i="14"/>
  <c r="BY279" i="14"/>
  <c r="CA299" i="14"/>
  <c r="CA298" i="14"/>
  <c r="CA297" i="14"/>
  <c r="CA296" i="14"/>
  <c r="CA295" i="14"/>
  <c r="CA294" i="14"/>
  <c r="CA293" i="14"/>
  <c r="CA292" i="14"/>
  <c r="CA291" i="14"/>
  <c r="CA290" i="14"/>
  <c r="CA289" i="14"/>
  <c r="CA288" i="14"/>
  <c r="CA287" i="14"/>
  <c r="CA286" i="14"/>
  <c r="CA285" i="14"/>
  <c r="CA284" i="14"/>
  <c r="CA283" i="14"/>
  <c r="CA282" i="14"/>
  <c r="CA281" i="14"/>
  <c r="CA280" i="14"/>
  <c r="CA279" i="14"/>
  <c r="BY248" i="14"/>
  <c r="BY247" i="14"/>
  <c r="BY246" i="14"/>
  <c r="BY245" i="14"/>
  <c r="BY244" i="14"/>
  <c r="BY243" i="14"/>
  <c r="BY242" i="14"/>
  <c r="BY241" i="14"/>
  <c r="BY240" i="14"/>
  <c r="BY239" i="14"/>
  <c r="BY238" i="14"/>
  <c r="BY237" i="14"/>
  <c r="BY236" i="14"/>
  <c r="BY235" i="14"/>
  <c r="BY234" i="14"/>
  <c r="BY233" i="14"/>
  <c r="BY232" i="14"/>
  <c r="BY231" i="14"/>
  <c r="BY230" i="14"/>
  <c r="BY229" i="14"/>
  <c r="BY228" i="14"/>
  <c r="CA248" i="14"/>
  <c r="CA247" i="14"/>
  <c r="CA246" i="14"/>
  <c r="CA245" i="14"/>
  <c r="CA244" i="14"/>
  <c r="CA243" i="14"/>
  <c r="CA242" i="14"/>
  <c r="CA241" i="14"/>
  <c r="CA240" i="14"/>
  <c r="CA239" i="14"/>
  <c r="CA238" i="14"/>
  <c r="CA237" i="14"/>
  <c r="CA236" i="14"/>
  <c r="CA235" i="14"/>
  <c r="CA234" i="14"/>
  <c r="CA233" i="14"/>
  <c r="CA232" i="14"/>
  <c r="CA231" i="14"/>
  <c r="CA230" i="14"/>
  <c r="CA229" i="14"/>
  <c r="CA228" i="14"/>
  <c r="BY197" i="14"/>
  <c r="BY196" i="14"/>
  <c r="BY195" i="14"/>
  <c r="BY194" i="14"/>
  <c r="BY193" i="14"/>
  <c r="BY192" i="14"/>
  <c r="BY191" i="14"/>
  <c r="BY190" i="14"/>
  <c r="BY189" i="14"/>
  <c r="BY188" i="14"/>
  <c r="BY187" i="14"/>
  <c r="BY186" i="14"/>
  <c r="BY185" i="14"/>
  <c r="BY184" i="14"/>
  <c r="BY183" i="14"/>
  <c r="BY182" i="14"/>
  <c r="BY181" i="14"/>
  <c r="BY180" i="14"/>
  <c r="BY179" i="14"/>
  <c r="BY178" i="14"/>
  <c r="BY177" i="14"/>
  <c r="CA197" i="14"/>
  <c r="CA196" i="14"/>
  <c r="CA195" i="14"/>
  <c r="CA194" i="14"/>
  <c r="CA193" i="14"/>
  <c r="CA192" i="14"/>
  <c r="CA191" i="14"/>
  <c r="CA190" i="14"/>
  <c r="CA189" i="14"/>
  <c r="CA188" i="14"/>
  <c r="CA187" i="14"/>
  <c r="CA186" i="14"/>
  <c r="CA185" i="14"/>
  <c r="CA184" i="14"/>
  <c r="CA183" i="14"/>
  <c r="CA182" i="14"/>
  <c r="CA181" i="14"/>
  <c r="CA180" i="14"/>
  <c r="CA179" i="14"/>
  <c r="CA178" i="14"/>
  <c r="CA177" i="14"/>
  <c r="BY172" i="14"/>
  <c r="BY171" i="14"/>
  <c r="BY170" i="14"/>
  <c r="BY169" i="14"/>
  <c r="BY168" i="14"/>
  <c r="BY167" i="14"/>
  <c r="BY166" i="14"/>
  <c r="BY165" i="14"/>
  <c r="BY164" i="14"/>
  <c r="BY163" i="14"/>
  <c r="BY162" i="14"/>
  <c r="BY161" i="14"/>
  <c r="BY160" i="14"/>
  <c r="BY159" i="14"/>
  <c r="BY158" i="14"/>
  <c r="BY157" i="14"/>
  <c r="BY156" i="14"/>
  <c r="BY155" i="14"/>
  <c r="BY154" i="14"/>
  <c r="BY153" i="14"/>
  <c r="BY152" i="14"/>
  <c r="CA172" i="14"/>
  <c r="CA171" i="14"/>
  <c r="CA170" i="14"/>
  <c r="CA169" i="14"/>
  <c r="CA168" i="14"/>
  <c r="CA167" i="14"/>
  <c r="CA166" i="14"/>
  <c r="CA165" i="14"/>
  <c r="CA164" i="14"/>
  <c r="CA163" i="14"/>
  <c r="CA162" i="14"/>
  <c r="CA161" i="14"/>
  <c r="CA160" i="14"/>
  <c r="CA159" i="14"/>
  <c r="CA158" i="14"/>
  <c r="CA157" i="14"/>
  <c r="CA156" i="14"/>
  <c r="CA155" i="14"/>
  <c r="CA154" i="14"/>
  <c r="CA153" i="14"/>
  <c r="CA152" i="14"/>
  <c r="BY118" i="14"/>
  <c r="BY117" i="14"/>
  <c r="BY116" i="14"/>
  <c r="BY115" i="14"/>
  <c r="BY114" i="14"/>
  <c r="BY113" i="14"/>
  <c r="BY112" i="14"/>
  <c r="BY111" i="14"/>
  <c r="BY110" i="14"/>
  <c r="BY109" i="14"/>
  <c r="BY108" i="14"/>
  <c r="BY107" i="14"/>
  <c r="BY106" i="14"/>
  <c r="BY105" i="14"/>
  <c r="BY104" i="14"/>
  <c r="BY103" i="14"/>
  <c r="BY102" i="14"/>
  <c r="BY101" i="14"/>
  <c r="BY100" i="14"/>
  <c r="BY99" i="14"/>
  <c r="BY98" i="14"/>
  <c r="CA118" i="14"/>
  <c r="CA117" i="14"/>
  <c r="CA116" i="14"/>
  <c r="CA115" i="14"/>
  <c r="CA114" i="14"/>
  <c r="CA113" i="14"/>
  <c r="CA112" i="14"/>
  <c r="CA111" i="14"/>
  <c r="CA110" i="14"/>
  <c r="CA109" i="14"/>
  <c r="CA108" i="14"/>
  <c r="CA107" i="14"/>
  <c r="CA106" i="14"/>
  <c r="CA105" i="14"/>
  <c r="CA104" i="14"/>
  <c r="CA103" i="14"/>
  <c r="CA102" i="14"/>
  <c r="CA101" i="14"/>
  <c r="CA100" i="14"/>
  <c r="CA99" i="14"/>
  <c r="CA98" i="14"/>
  <c r="BY47" i="14"/>
  <c r="BY46" i="14"/>
  <c r="BY45" i="14"/>
  <c r="BY44" i="14"/>
  <c r="BY43" i="14"/>
  <c r="BY42" i="14"/>
  <c r="BY41" i="14"/>
  <c r="BY40" i="14"/>
  <c r="BY39" i="14"/>
  <c r="BY38" i="14"/>
  <c r="BY37" i="14"/>
  <c r="BY36" i="14"/>
  <c r="BY35" i="14"/>
  <c r="BY34" i="14"/>
  <c r="BY33" i="14"/>
  <c r="BY32" i="14"/>
  <c r="BY31" i="14"/>
  <c r="BY30" i="14"/>
  <c r="BY29" i="14"/>
  <c r="BY28" i="14"/>
  <c r="BY27" i="14"/>
  <c r="BY26" i="14"/>
  <c r="BY25" i="14"/>
  <c r="BY70" i="14"/>
  <c r="BY69" i="14"/>
  <c r="BY68" i="14"/>
  <c r="BY67" i="14"/>
  <c r="BY66" i="14"/>
  <c r="BY65" i="14"/>
  <c r="BY64" i="14"/>
  <c r="BY63" i="14"/>
  <c r="BY62" i="14"/>
  <c r="BY61" i="14"/>
  <c r="BY60" i="14"/>
  <c r="BY59" i="14"/>
  <c r="BY58" i="14"/>
  <c r="BY57" i="14"/>
  <c r="BY56" i="14"/>
  <c r="BY55" i="14"/>
  <c r="BY54" i="14"/>
  <c r="BY53" i="14"/>
  <c r="BY52" i="14"/>
  <c r="BY51" i="14"/>
  <c r="CA70" i="14"/>
  <c r="CA69" i="14"/>
  <c r="CA68" i="14"/>
  <c r="CA67" i="14"/>
  <c r="CA66" i="14"/>
  <c r="CA65" i="14"/>
  <c r="CA64" i="14"/>
  <c r="CA63" i="14"/>
  <c r="CA62" i="14"/>
  <c r="CA61" i="14"/>
  <c r="CA60" i="14"/>
  <c r="CA59" i="14"/>
  <c r="CA58" i="14"/>
  <c r="CA57" i="14"/>
  <c r="CA56" i="14"/>
  <c r="CA55" i="14"/>
  <c r="CA54" i="14"/>
  <c r="CA53" i="14"/>
  <c r="CA52" i="14"/>
  <c r="CA47" i="14"/>
  <c r="CA46" i="14"/>
  <c r="CA45" i="14"/>
  <c r="CA44" i="14"/>
  <c r="CA43" i="14"/>
  <c r="CA42" i="14"/>
  <c r="CA41" i="14"/>
  <c r="CA40" i="14"/>
  <c r="CA39" i="14"/>
  <c r="CA38" i="14"/>
  <c r="CA37" i="14"/>
  <c r="CA36" i="14"/>
  <c r="CA35" i="14"/>
  <c r="CA34" i="14"/>
  <c r="CA33" i="14"/>
  <c r="CA32" i="14"/>
  <c r="CA31" i="14"/>
  <c r="CA30" i="14"/>
  <c r="CA28" i="14"/>
  <c r="CA27" i="14"/>
  <c r="CA26" i="14"/>
  <c r="CA25" i="14"/>
  <c r="M163" i="5" l="1"/>
  <c r="M334" i="2" s="1"/>
  <c r="L163" i="5"/>
  <c r="L334" i="2" s="1"/>
  <c r="K334" i="2"/>
  <c r="M174" i="5"/>
  <c r="M171" i="5" s="1"/>
  <c r="J174" i="5"/>
  <c r="J171" i="5" s="1"/>
  <c r="E16" i="86"/>
  <c r="L141" i="5" s="1"/>
  <c r="E15" i="86"/>
  <c r="L137" i="5" s="1"/>
  <c r="S6" i="62"/>
  <c r="M138" i="5"/>
  <c r="M290" i="2" s="1"/>
  <c r="N290" i="2" s="1"/>
  <c r="O290" i="2" s="1"/>
  <c r="D16" i="86"/>
  <c r="K141" i="5" s="1"/>
  <c r="D15" i="86"/>
  <c r="K137" i="5" s="1"/>
  <c r="M141" i="5"/>
  <c r="M136" i="5" s="1"/>
  <c r="M135" i="5" s="1"/>
  <c r="C16" i="86"/>
  <c r="J141" i="5" s="1"/>
  <c r="C15" i="86"/>
  <c r="J137" i="5" s="1"/>
  <c r="S45" i="62"/>
  <c r="S44" i="62"/>
  <c r="M61" i="6"/>
  <c r="N173" i="5"/>
  <c r="N61" i="6" s="1"/>
  <c r="K156" i="5"/>
  <c r="K157" i="5" s="1"/>
  <c r="K317" i="2" s="1"/>
  <c r="R317" i="2"/>
  <c r="R157" i="5" s="1"/>
  <c r="T317" i="2"/>
  <c r="T157" i="5" s="1"/>
  <c r="Q317" i="2"/>
  <c r="Q157" i="5" s="1"/>
  <c r="S317" i="2"/>
  <c r="S157" i="5" s="1"/>
  <c r="N317" i="2"/>
  <c r="N157" i="5" s="1"/>
  <c r="L156" i="5"/>
  <c r="L157" i="5" s="1"/>
  <c r="L317" i="2" s="1"/>
  <c r="L169" i="5"/>
  <c r="L170" i="5" s="1"/>
  <c r="L338" i="2" s="1"/>
  <c r="J156" i="5"/>
  <c r="J157" i="5" s="1"/>
  <c r="J317" i="2" s="1"/>
  <c r="M169" i="5"/>
  <c r="M170" i="5" s="1"/>
  <c r="M338" i="2" s="1"/>
  <c r="K169" i="5"/>
  <c r="K170" i="5" s="1"/>
  <c r="K338" i="2" s="1"/>
  <c r="O209" i="2"/>
  <c r="S52" i="62"/>
  <c r="S38" i="62"/>
  <c r="S31" i="62"/>
  <c r="S21" i="62"/>
  <c r="S30" i="62"/>
  <c r="S48" i="62"/>
  <c r="S53" i="62"/>
  <c r="S50" i="62"/>
  <c r="S43" i="62"/>
  <c r="S54" i="62"/>
  <c r="S51" i="62"/>
  <c r="S27" i="62"/>
  <c r="S32" i="62"/>
  <c r="S22" i="62"/>
  <c r="S28" i="62"/>
  <c r="S16" i="62"/>
  <c r="K174" i="5" s="1"/>
  <c r="K171" i="5" s="1"/>
  <c r="S37" i="62"/>
  <c r="S20" i="62"/>
  <c r="S19" i="62"/>
  <c r="S40" i="62"/>
  <c r="S34" i="62"/>
  <c r="S26" i="62"/>
  <c r="S23" i="62"/>
  <c r="S36" i="62"/>
  <c r="S39" i="62"/>
  <c r="S33" i="62"/>
  <c r="S41" i="62"/>
  <c r="S35" i="62"/>
  <c r="S29" i="62"/>
  <c r="L174" i="5" s="1"/>
  <c r="L171" i="5" s="1"/>
  <c r="S18" i="62"/>
  <c r="S25" i="62"/>
  <c r="S17" i="62"/>
  <c r="S24" i="62"/>
  <c r="S9" i="62"/>
  <c r="V74" i="16"/>
  <c r="U74" i="16"/>
  <c r="T74" i="16"/>
  <c r="S74" i="16"/>
  <c r="R74" i="16"/>
  <c r="Q74" i="16"/>
  <c r="U84" i="16"/>
  <c r="V84" i="16" s="1"/>
  <c r="R83" i="16"/>
  <c r="R77" i="16" s="1"/>
  <c r="U82" i="16"/>
  <c r="T82" i="16"/>
  <c r="T83" i="16" s="1"/>
  <c r="T77" i="16" s="1"/>
  <c r="S82" i="16"/>
  <c r="S83" i="16" s="1"/>
  <c r="S77" i="16" s="1"/>
  <c r="R82" i="16"/>
  <c r="Q82" i="16"/>
  <c r="Q83" i="16" s="1"/>
  <c r="Q77" i="16" s="1"/>
  <c r="V81" i="16"/>
  <c r="V82" i="16" s="1"/>
  <c r="U81" i="16"/>
  <c r="N334" i="2" l="1"/>
  <c r="N163" i="5" s="1"/>
  <c r="P334" i="2"/>
  <c r="T334" i="2" s="1"/>
  <c r="T163" i="5" s="1"/>
  <c r="O61" i="6"/>
  <c r="O173" i="5"/>
  <c r="J136" i="5"/>
  <c r="J135" i="5" s="1"/>
  <c r="J138" i="5"/>
  <c r="J290" i="2" s="1"/>
  <c r="K142" i="5"/>
  <c r="K144" i="5" s="1"/>
  <c r="J142" i="5"/>
  <c r="J144" i="5" s="1"/>
  <c r="M142" i="5"/>
  <c r="M144" i="5" s="1"/>
  <c r="M146" i="5" s="1"/>
  <c r="M292" i="2" s="1"/>
  <c r="L138" i="5"/>
  <c r="L290" i="2" s="1"/>
  <c r="L136" i="5"/>
  <c r="L135" i="5" s="1"/>
  <c r="L134" i="5" s="1"/>
  <c r="K136" i="5"/>
  <c r="K135" i="5" s="1"/>
  <c r="K138" i="5"/>
  <c r="K290" i="2" s="1"/>
  <c r="L142" i="5"/>
  <c r="L144" i="5" s="1"/>
  <c r="K134" i="5"/>
  <c r="N338" i="2"/>
  <c r="N170" i="5" s="1"/>
  <c r="S338" i="2"/>
  <c r="S170" i="5" s="1"/>
  <c r="Q338" i="2"/>
  <c r="Q170" i="5" s="1"/>
  <c r="T338" i="2"/>
  <c r="T170" i="5" s="1"/>
  <c r="R338" i="2"/>
  <c r="R170" i="5" s="1"/>
  <c r="P338" i="2"/>
  <c r="P170" i="5" s="1"/>
  <c r="J134" i="5"/>
  <c r="N174" i="5"/>
  <c r="O174" i="5" s="1"/>
  <c r="O171" i="5" s="1"/>
  <c r="E187" i="89" s="1"/>
  <c r="M134" i="5"/>
  <c r="H181" i="61"/>
  <c r="C179" i="61"/>
  <c r="H169" i="61"/>
  <c r="H168" i="61"/>
  <c r="H167" i="61"/>
  <c r="H166" i="61" s="1"/>
  <c r="C47" i="61" s="1"/>
  <c r="H47" i="61" s="1"/>
  <c r="S42" i="61" s="1"/>
  <c r="H145" i="61"/>
  <c r="B89" i="61"/>
  <c r="B90" i="61" s="1"/>
  <c r="B91" i="61" s="1"/>
  <c r="B92" i="61" s="1"/>
  <c r="B93" i="61" s="1"/>
  <c r="B94" i="61" s="1"/>
  <c r="B95" i="61" s="1"/>
  <c r="B96" i="61" s="1"/>
  <c r="B97" i="61" s="1"/>
  <c r="B98" i="61" s="1"/>
  <c r="B99" i="61" s="1"/>
  <c r="B100" i="61" s="1"/>
  <c r="B101" i="61" s="1"/>
  <c r="B102" i="61" s="1"/>
  <c r="B103" i="61" s="1"/>
  <c r="B104" i="61" s="1"/>
  <c r="B105" i="61" s="1"/>
  <c r="B106" i="61" s="1"/>
  <c r="B88" i="61"/>
  <c r="O87" i="61"/>
  <c r="H150" i="61" s="1"/>
  <c r="J6" i="61"/>
  <c r="B66" i="61"/>
  <c r="B67" i="61" s="1"/>
  <c r="B68" i="61" s="1"/>
  <c r="B69" i="61" s="1"/>
  <c r="B70" i="61" s="1"/>
  <c r="B71" i="61" s="1"/>
  <c r="B72" i="61" s="1"/>
  <c r="B73" i="61" s="1"/>
  <c r="B74" i="61" s="1"/>
  <c r="B75" i="61" s="1"/>
  <c r="B76" i="61" s="1"/>
  <c r="B77" i="61" s="1"/>
  <c r="B78" i="61" s="1"/>
  <c r="B79" i="61" s="1"/>
  <c r="B80" i="61" s="1"/>
  <c r="B81" i="61" s="1"/>
  <c r="B82" i="61" s="1"/>
  <c r="B83" i="61" s="1"/>
  <c r="B65" i="61"/>
  <c r="D58" i="61"/>
  <c r="D56" i="61"/>
  <c r="F47" i="61"/>
  <c r="F41" i="61"/>
  <c r="C41" i="61"/>
  <c r="H41" i="61" s="1"/>
  <c r="S41" i="61" s="1"/>
  <c r="O36" i="61"/>
  <c r="D57" i="61" s="1"/>
  <c r="K36" i="61"/>
  <c r="H36" i="61"/>
  <c r="C36" i="61"/>
  <c r="U25" i="61"/>
  <c r="T25" i="61"/>
  <c r="Q25" i="61"/>
  <c r="M25" i="61"/>
  <c r="L25" i="61"/>
  <c r="K25" i="61"/>
  <c r="J25" i="61"/>
  <c r="H25" i="61"/>
  <c r="O25" i="61"/>
  <c r="Q24" i="61"/>
  <c r="O24" i="61"/>
  <c r="Q23" i="61"/>
  <c r="M23" i="61"/>
  <c r="L23" i="61"/>
  <c r="H23" i="61"/>
  <c r="K23" i="61"/>
  <c r="M22" i="61"/>
  <c r="K22" i="61"/>
  <c r="U22" i="61"/>
  <c r="U21" i="61"/>
  <c r="T21" i="61"/>
  <c r="Q21" i="61"/>
  <c r="M21" i="61"/>
  <c r="L21" i="61"/>
  <c r="K21" i="61"/>
  <c r="J21" i="61"/>
  <c r="H21" i="61"/>
  <c r="O21" i="61"/>
  <c r="T20" i="61"/>
  <c r="Q20" i="61"/>
  <c r="O20" i="61"/>
  <c r="Q19" i="61"/>
  <c r="M19" i="61"/>
  <c r="L19" i="61"/>
  <c r="H19" i="61"/>
  <c r="K19" i="61"/>
  <c r="AF18" i="61"/>
  <c r="L18" i="61"/>
  <c r="K18" i="61"/>
  <c r="AF17" i="61"/>
  <c r="M17" i="61"/>
  <c r="K17" i="61"/>
  <c r="U17" i="61"/>
  <c r="T16" i="61"/>
  <c r="L16" i="61"/>
  <c r="K16" i="61"/>
  <c r="H16" i="61"/>
  <c r="Q16" i="61"/>
  <c r="T15" i="61"/>
  <c r="Q15" i="61"/>
  <c r="O15" i="61"/>
  <c r="Q14" i="61"/>
  <c r="M14" i="61"/>
  <c r="L14" i="61"/>
  <c r="H14" i="61"/>
  <c r="K14" i="61"/>
  <c r="AG13" i="61"/>
  <c r="AE13" i="61"/>
  <c r="Q13" i="61"/>
  <c r="M13" i="61"/>
  <c r="L13" i="61"/>
  <c r="H13" i="61"/>
  <c r="K13" i="61"/>
  <c r="AG11" i="61"/>
  <c r="AE11" i="61"/>
  <c r="H10" i="61"/>
  <c r="L10" i="61"/>
  <c r="AG9" i="61"/>
  <c r="AE9" i="61"/>
  <c r="L9" i="61"/>
  <c r="K9" i="61"/>
  <c r="J9" i="61"/>
  <c r="AG7" i="61"/>
  <c r="AE7" i="61"/>
  <c r="B7" i="61"/>
  <c r="B8" i="61" s="1"/>
  <c r="B9" i="61" s="1"/>
  <c r="B10" i="61" s="1"/>
  <c r="B11" i="61" s="1"/>
  <c r="B12" i="61" s="1"/>
  <c r="B13" i="61" s="1"/>
  <c r="B14" i="61" s="1"/>
  <c r="B15" i="61" s="1"/>
  <c r="B16" i="61" s="1"/>
  <c r="B17" i="61" s="1"/>
  <c r="B18" i="61" s="1"/>
  <c r="B19" i="61" s="1"/>
  <c r="B20" i="61" s="1"/>
  <c r="B21" i="61" s="1"/>
  <c r="B22" i="61" s="1"/>
  <c r="B23" i="61" s="1"/>
  <c r="B24" i="61" s="1"/>
  <c r="B25" i="61" s="1"/>
  <c r="K6" i="61"/>
  <c r="D53" i="61"/>
  <c r="S334" i="2" l="1"/>
  <c r="S163" i="5" s="1"/>
  <c r="P163" i="5"/>
  <c r="R334" i="2"/>
  <c r="R163" i="5" s="1"/>
  <c r="Q334" i="2"/>
  <c r="Q163" i="5" s="1"/>
  <c r="J147" i="5"/>
  <c r="P292" i="2"/>
  <c r="P146" i="5" s="1"/>
  <c r="Q292" i="2"/>
  <c r="Q146" i="5" s="1"/>
  <c r="S292" i="2"/>
  <c r="S146" i="5" s="1"/>
  <c r="R292" i="2"/>
  <c r="R146" i="5" s="1"/>
  <c r="N292" i="2"/>
  <c r="N146" i="5" s="1"/>
  <c r="N144" i="5" s="1"/>
  <c r="T292" i="2"/>
  <c r="T146" i="5" s="1"/>
  <c r="M147" i="5"/>
  <c r="L147" i="5"/>
  <c r="K147" i="5"/>
  <c r="N171" i="5"/>
  <c r="D187" i="89" s="1"/>
  <c r="P174" i="5"/>
  <c r="P171" i="5" s="1"/>
  <c r="F187" i="89" s="1"/>
  <c r="O9" i="61"/>
  <c r="L6" i="61"/>
  <c r="O6" i="61" s="1"/>
  <c r="H8" i="61"/>
  <c r="M9" i="61"/>
  <c r="O13" i="61"/>
  <c r="O14" i="61"/>
  <c r="H15" i="61"/>
  <c r="J16" i="61"/>
  <c r="U16" i="61"/>
  <c r="L17" i="61"/>
  <c r="M18" i="61"/>
  <c r="O19" i="61"/>
  <c r="H20" i="61"/>
  <c r="L22" i="61"/>
  <c r="O23" i="61"/>
  <c r="H24" i="61"/>
  <c r="D55" i="61"/>
  <c r="J8" i="61"/>
  <c r="O18" i="61"/>
  <c r="T24" i="61"/>
  <c r="D54" i="61"/>
  <c r="Q9" i="61"/>
  <c r="J15" i="61"/>
  <c r="U15" i="61"/>
  <c r="O17" i="61"/>
  <c r="Q18" i="61"/>
  <c r="J20" i="61"/>
  <c r="U20" i="61"/>
  <c r="O22" i="61"/>
  <c r="J24" i="61"/>
  <c r="U24" i="61"/>
  <c r="K8" i="61"/>
  <c r="O8" i="61" s="1"/>
  <c r="L8" i="61"/>
  <c r="Q8" i="61" s="1"/>
  <c r="J10" i="61"/>
  <c r="Q10" i="61" s="1"/>
  <c r="T13" i="61"/>
  <c r="T14" i="61"/>
  <c r="K15" i="61"/>
  <c r="M16" i="61"/>
  <c r="Q17" i="61"/>
  <c r="H18" i="61"/>
  <c r="T19" i="61"/>
  <c r="K20" i="61"/>
  <c r="Q22" i="61"/>
  <c r="T23" i="61"/>
  <c r="K24" i="61"/>
  <c r="H6" i="61"/>
  <c r="H9" i="61"/>
  <c r="T9" i="61" s="1"/>
  <c r="K10" i="61"/>
  <c r="J13" i="61"/>
  <c r="U13" i="61"/>
  <c r="J14" i="61"/>
  <c r="U14" i="61"/>
  <c r="L15" i="61"/>
  <c r="O16" i="61"/>
  <c r="H17" i="61"/>
  <c r="T18" i="61"/>
  <c r="J19" i="61"/>
  <c r="U19" i="61"/>
  <c r="L20" i="61"/>
  <c r="H22" i="61"/>
  <c r="J23" i="61"/>
  <c r="U23" i="61"/>
  <c r="L24" i="61"/>
  <c r="D51" i="61"/>
  <c r="M15" i="61"/>
  <c r="T17" i="61"/>
  <c r="J18" i="61"/>
  <c r="U18" i="61"/>
  <c r="M20" i="61"/>
  <c r="T22" i="61"/>
  <c r="M24" i="61"/>
  <c r="D52" i="61"/>
  <c r="J17" i="61"/>
  <c r="J22" i="61"/>
  <c r="Q174" i="5" l="1"/>
  <c r="Q171" i="5" s="1"/>
  <c r="G187" i="89" s="1"/>
  <c r="M10" i="61"/>
  <c r="T10" i="61" s="1"/>
  <c r="O10" i="61"/>
  <c r="O27" i="61" s="1"/>
  <c r="O31" i="61" s="1"/>
  <c r="Q41" i="61" s="1"/>
  <c r="M6" i="61"/>
  <c r="M8" i="61"/>
  <c r="Q6" i="61"/>
  <c r="T8" i="61"/>
  <c r="H28" i="61"/>
  <c r="H29" i="61"/>
  <c r="H26" i="61"/>
  <c r="H27" i="61"/>
  <c r="Z2" i="61"/>
  <c r="R174" i="5" l="1"/>
  <c r="R171" i="5" s="1"/>
  <c r="H187" i="89" s="1"/>
  <c r="U41" i="61"/>
  <c r="O28" i="61"/>
  <c r="O26" i="61"/>
  <c r="Q29" i="61"/>
  <c r="Q26" i="61"/>
  <c r="Q27" i="61"/>
  <c r="Q31" i="61" s="1"/>
  <c r="Q42" i="61" s="1"/>
  <c r="U42" i="61" s="1"/>
  <c r="Q28" i="61"/>
  <c r="O29" i="61"/>
  <c r="M28" i="61"/>
  <c r="M29" i="61"/>
  <c r="M26" i="61"/>
  <c r="M27" i="61"/>
  <c r="T6" i="61"/>
  <c r="S174" i="5" l="1"/>
  <c r="T29" i="61"/>
  <c r="T26" i="61"/>
  <c r="T27" i="61"/>
  <c r="T31" i="61" s="1"/>
  <c r="T28" i="61"/>
  <c r="Q43" i="61"/>
  <c r="Q44" i="61" s="1"/>
  <c r="U31" i="61" l="1"/>
  <c r="F36" i="61" s="1"/>
  <c r="U36" i="61" s="1"/>
  <c r="S43" i="61" s="1"/>
  <c r="U43" i="61" s="1"/>
  <c r="U45" i="61" s="1"/>
  <c r="U2" i="61" s="1"/>
  <c r="T174" i="5"/>
  <c r="U9" i="61"/>
  <c r="U10" i="61"/>
  <c r="U8" i="61"/>
  <c r="U6" i="61"/>
  <c r="U26" i="61" l="1"/>
  <c r="U27" i="61"/>
  <c r="U28" i="61"/>
  <c r="U29" i="61"/>
  <c r="G41" i="3" l="1"/>
  <c r="G40" i="3"/>
  <c r="G39" i="3"/>
  <c r="T147" i="6"/>
  <c r="T13" i="6" s="1"/>
  <c r="T291" i="5"/>
  <c r="T189" i="4"/>
  <c r="V71" i="15"/>
  <c r="U71" i="15"/>
  <c r="T71" i="15"/>
  <c r="S71" i="15"/>
  <c r="R71" i="15"/>
  <c r="Q71" i="15"/>
  <c r="V70" i="15"/>
  <c r="U70" i="15"/>
  <c r="T70" i="15"/>
  <c r="S70" i="15"/>
  <c r="R70" i="15"/>
  <c r="Q70" i="15"/>
  <c r="V69" i="15"/>
  <c r="U69" i="15"/>
  <c r="T69" i="15"/>
  <c r="S69" i="15"/>
  <c r="R69" i="15"/>
  <c r="Q69" i="15"/>
  <c r="U63" i="15"/>
  <c r="V63" i="15" s="1"/>
  <c r="U62" i="15"/>
  <c r="V62" i="15" s="1"/>
  <c r="V61" i="15"/>
  <c r="U61" i="15"/>
  <c r="H61" i="59"/>
  <c r="I61" i="59" s="1"/>
  <c r="E102" i="18"/>
  <c r="D102" i="18"/>
  <c r="C102" i="18"/>
  <c r="E101" i="18"/>
  <c r="D101" i="18"/>
  <c r="C101" i="18"/>
  <c r="E100" i="18"/>
  <c r="D100" i="18"/>
  <c r="C100" i="18"/>
  <c r="E98" i="18"/>
  <c r="D98" i="18"/>
  <c r="C98" i="18"/>
  <c r="E97" i="18"/>
  <c r="D97" i="18"/>
  <c r="C97" i="18"/>
  <c r="E96" i="18"/>
  <c r="D96" i="18"/>
  <c r="C96" i="18"/>
  <c r="E95" i="18"/>
  <c r="D95" i="18"/>
  <c r="C95" i="18"/>
  <c r="E94" i="18"/>
  <c r="D94" i="18"/>
  <c r="C94" i="18"/>
  <c r="E93" i="18"/>
  <c r="D93" i="18"/>
  <c r="C93" i="18"/>
  <c r="E92" i="18"/>
  <c r="D92" i="18"/>
  <c r="C92" i="18"/>
  <c r="E91" i="18"/>
  <c r="D91" i="18"/>
  <c r="C91" i="18"/>
  <c r="J61" i="59" l="1"/>
  <c r="K61" i="59" s="1"/>
  <c r="L61" i="59" s="1"/>
  <c r="M61" i="59" s="1"/>
  <c r="N61" i="59" s="1"/>
  <c r="E86" i="18" l="1"/>
  <c r="F86" i="18" s="1"/>
  <c r="G86" i="18" s="1"/>
  <c r="C85" i="18"/>
  <c r="D80" i="18"/>
  <c r="M57" i="18" s="1"/>
  <c r="M64" i="18" s="1"/>
  <c r="C80" i="18"/>
  <c r="L57" i="18" s="1"/>
  <c r="L64" i="18" s="1"/>
  <c r="E79" i="18"/>
  <c r="D79" i="18"/>
  <c r="C79" i="18"/>
  <c r="L56" i="18" s="1"/>
  <c r="C50" i="18"/>
  <c r="G50" i="18" s="1"/>
  <c r="C49" i="18"/>
  <c r="G49" i="18" s="1"/>
  <c r="H27" i="57"/>
  <c r="G27" i="57"/>
  <c r="F27" i="57"/>
  <c r="E27" i="57"/>
  <c r="G74" i="18"/>
  <c r="G80" i="18" s="1"/>
  <c r="F74" i="18"/>
  <c r="F80" i="18" s="1"/>
  <c r="G73" i="18"/>
  <c r="F73" i="18"/>
  <c r="E58" i="18"/>
  <c r="E57" i="18" s="1"/>
  <c r="D58" i="18"/>
  <c r="F58" i="18" s="1"/>
  <c r="C58" i="18"/>
  <c r="G58" i="18" s="1"/>
  <c r="E50" i="18"/>
  <c r="E49" i="18" s="1"/>
  <c r="D50" i="18"/>
  <c r="D49" i="18" s="1"/>
  <c r="H25" i="57"/>
  <c r="G25" i="57"/>
  <c r="F25" i="57"/>
  <c r="H24" i="57"/>
  <c r="G24" i="57"/>
  <c r="F24" i="57"/>
  <c r="H23" i="57"/>
  <c r="G23" i="57"/>
  <c r="F23" i="57"/>
  <c r="E25" i="57"/>
  <c r="E24" i="57"/>
  <c r="E23" i="57"/>
  <c r="H22" i="57"/>
  <c r="G22" i="57"/>
  <c r="F22" i="57"/>
  <c r="E22" i="57"/>
  <c r="H21" i="57"/>
  <c r="G21" i="57"/>
  <c r="F21" i="57"/>
  <c r="E21" i="57"/>
  <c r="D85" i="18" l="1"/>
  <c r="M56" i="18"/>
  <c r="E85" i="18"/>
  <c r="F85" i="18" s="1"/>
  <c r="G85" i="18" s="1"/>
  <c r="N56" i="18"/>
  <c r="C86" i="18"/>
  <c r="C87" i="18" s="1"/>
  <c r="C57" i="18"/>
  <c r="G57" i="18" s="1"/>
  <c r="D86" i="18"/>
  <c r="D87" i="18" s="1"/>
  <c r="P50" i="18"/>
  <c r="L58" i="18"/>
  <c r="L63" i="18"/>
  <c r="L65" i="18" s="1"/>
  <c r="D57" i="18"/>
  <c r="F57" i="18" s="1"/>
  <c r="E87" i="18"/>
  <c r="F50" i="18"/>
  <c r="G87" i="18"/>
  <c r="C81" i="18"/>
  <c r="C75" i="18" s="1"/>
  <c r="D81" i="18"/>
  <c r="D75" i="18" s="1"/>
  <c r="F87" i="18"/>
  <c r="E81" i="18"/>
  <c r="E75" i="18" s="1"/>
  <c r="F79" i="18"/>
  <c r="F81" i="18" s="1"/>
  <c r="F91" i="18" s="1"/>
  <c r="G79" i="18"/>
  <c r="G81" i="18" s="1"/>
  <c r="G91" i="18" s="1"/>
  <c r="U76" i="16"/>
  <c r="V76" i="16" s="1"/>
  <c r="U75" i="16"/>
  <c r="V75" i="16" s="1"/>
  <c r="U73" i="16"/>
  <c r="V73" i="16" s="1"/>
  <c r="U72" i="16"/>
  <c r="V72" i="16" s="1"/>
  <c r="J3" i="25"/>
  <c r="E151" i="41"/>
  <c r="E3" i="25"/>
  <c r="F3" i="25"/>
  <c r="H3" i="25"/>
  <c r="G3" i="25"/>
  <c r="M282" i="5"/>
  <c r="M186" i="5" s="1"/>
  <c r="M280" i="5"/>
  <c r="M185" i="5" s="1"/>
  <c r="M278" i="5"/>
  <c r="N58" i="18" l="1"/>
  <c r="R50" i="18" s="1"/>
  <c r="N63" i="18"/>
  <c r="F75" i="18"/>
  <c r="F98" i="18" s="1"/>
  <c r="M58" i="18"/>
  <c r="Q50" i="18" s="1"/>
  <c r="M63" i="18"/>
  <c r="M65" i="18" s="1"/>
  <c r="M184" i="5"/>
  <c r="M182" i="5" s="1"/>
  <c r="M11" i="5" s="1"/>
  <c r="M277" i="5"/>
  <c r="G75" i="18"/>
  <c r="F93" i="18"/>
  <c r="F100" i="18"/>
  <c r="F94" i="18"/>
  <c r="F102" i="18"/>
  <c r="F96" i="18"/>
  <c r="F92" i="18"/>
  <c r="F101" i="18"/>
  <c r="Q2" i="32"/>
  <c r="L2" i="32"/>
  <c r="M34" i="8"/>
  <c r="M25" i="8"/>
  <c r="M22" i="8"/>
  <c r="M18" i="8"/>
  <c r="M11" i="8"/>
  <c r="M139" i="6"/>
  <c r="M77" i="6" s="1"/>
  <c r="M137" i="6"/>
  <c r="M75" i="6" s="1"/>
  <c r="M135" i="6"/>
  <c r="M60" i="6"/>
  <c r="N60" i="6" s="1"/>
  <c r="M52" i="6"/>
  <c r="M46" i="6"/>
  <c r="D148" i="48"/>
  <c r="D149" i="48"/>
  <c r="D150" i="48"/>
  <c r="D145" i="48"/>
  <c r="D146" i="48"/>
  <c r="D147" i="48"/>
  <c r="D142" i="48"/>
  <c r="D143" i="48"/>
  <c r="D144" i="48"/>
  <c r="D141" i="48"/>
  <c r="D140" i="48"/>
  <c r="D139" i="48"/>
  <c r="F95" i="18" l="1"/>
  <c r="O63" i="18"/>
  <c r="N65" i="18"/>
  <c r="F97" i="18"/>
  <c r="M134" i="6"/>
  <c r="M73" i="6"/>
  <c r="I24" i="57"/>
  <c r="G97" i="18"/>
  <c r="J24" i="57" s="1"/>
  <c r="G94" i="18"/>
  <c r="J21" i="57" s="1"/>
  <c r="I21" i="57"/>
  <c r="G96" i="18"/>
  <c r="J23" i="57" s="1"/>
  <c r="I23" i="57"/>
  <c r="G101" i="18"/>
  <c r="I27" i="57"/>
  <c r="G100" i="18"/>
  <c r="J27" i="57" s="1"/>
  <c r="G92" i="18"/>
  <c r="G93" i="18"/>
  <c r="G98" i="18"/>
  <c r="J25" i="57" s="1"/>
  <c r="I25" i="57"/>
  <c r="G102" i="18"/>
  <c r="G95" i="18"/>
  <c r="J22" i="57" s="1"/>
  <c r="I22" i="57"/>
  <c r="M29" i="6"/>
  <c r="M129" i="5"/>
  <c r="M123" i="5"/>
  <c r="T86" i="4"/>
  <c r="J110" i="89" s="1"/>
  <c r="T82" i="4"/>
  <c r="J107" i="89" s="1"/>
  <c r="T78" i="4"/>
  <c r="J104" i="89" s="1"/>
  <c r="T70" i="4"/>
  <c r="J95" i="89" s="1"/>
  <c r="T66" i="4"/>
  <c r="J92" i="89" s="1"/>
  <c r="S66" i="4"/>
  <c r="I92" i="89" s="1"/>
  <c r="T62" i="4"/>
  <c r="J89" i="89" s="1"/>
  <c r="T55" i="4"/>
  <c r="J86" i="89" s="1"/>
  <c r="T48" i="4"/>
  <c r="J80" i="89" s="1"/>
  <c r="T41" i="4"/>
  <c r="J77" i="89" s="1"/>
  <c r="T74" i="4"/>
  <c r="J98" i="89" s="1"/>
  <c r="R66" i="4"/>
  <c r="H92" i="89" s="1"/>
  <c r="Q66" i="4"/>
  <c r="G92" i="89" s="1"/>
  <c r="P66" i="4"/>
  <c r="F92" i="89" s="1"/>
  <c r="M65" i="2"/>
  <c r="L65" i="2"/>
  <c r="M64" i="2"/>
  <c r="L64" i="2"/>
  <c r="L53" i="4" s="1"/>
  <c r="K65" i="2"/>
  <c r="J65" i="2"/>
  <c r="K64" i="2"/>
  <c r="J64" i="2"/>
  <c r="M62" i="2"/>
  <c r="L62" i="2"/>
  <c r="L39" i="4" s="1"/>
  <c r="M61" i="2"/>
  <c r="L61" i="2"/>
  <c r="L32" i="4" s="1"/>
  <c r="M60" i="2"/>
  <c r="L60" i="2"/>
  <c r="L25" i="4" s="1"/>
  <c r="L87" i="3" s="1"/>
  <c r="K62" i="2"/>
  <c r="J62" i="2"/>
  <c r="K61" i="2"/>
  <c r="J61" i="2"/>
  <c r="K60" i="2"/>
  <c r="J60" i="2"/>
  <c r="T143" i="5" l="1"/>
  <c r="O56" i="18"/>
  <c r="O65" i="18"/>
  <c r="P63" i="18"/>
  <c r="N25" i="4"/>
  <c r="P60" i="2"/>
  <c r="P25" i="4" s="1"/>
  <c r="S60" i="2"/>
  <c r="S25" i="4" s="1"/>
  <c r="T60" i="2"/>
  <c r="T25" i="4" s="1"/>
  <c r="Q60" i="2"/>
  <c r="Q25" i="4" s="1"/>
  <c r="R60" i="2"/>
  <c r="R25" i="4" s="1"/>
  <c r="M70" i="6"/>
  <c r="M11" i="6" s="1"/>
  <c r="L60" i="4"/>
  <c r="M33" i="6"/>
  <c r="M358" i="2" s="1"/>
  <c r="M356" i="2"/>
  <c r="M31" i="6"/>
  <c r="M357" i="2" s="1"/>
  <c r="T161" i="5"/>
  <c r="T27" i="4"/>
  <c r="J71" i="89" s="1"/>
  <c r="M25" i="4"/>
  <c r="M87" i="3" s="1"/>
  <c r="O60" i="2"/>
  <c r="M53" i="4"/>
  <c r="O64" i="2"/>
  <c r="M32" i="4"/>
  <c r="O61" i="2"/>
  <c r="M39" i="4"/>
  <c r="O62" i="2"/>
  <c r="M60" i="4"/>
  <c r="O65" i="2"/>
  <c r="M37" i="6"/>
  <c r="T93" i="5"/>
  <c r="T60" i="5"/>
  <c r="T71" i="5"/>
  <c r="T82" i="5"/>
  <c r="T48" i="58"/>
  <c r="M156" i="2" s="1"/>
  <c r="P47" i="58"/>
  <c r="T46" i="58"/>
  <c r="M155" i="2" s="1"/>
  <c r="S46" i="58"/>
  <c r="L155" i="2" s="1"/>
  <c r="P45" i="58"/>
  <c r="M220" i="2"/>
  <c r="J220" i="2"/>
  <c r="L208" i="2"/>
  <c r="L210" i="2" s="1"/>
  <c r="T16" i="58"/>
  <c r="M248" i="2" s="1"/>
  <c r="S248" i="2" s="1"/>
  <c r="S48" i="58"/>
  <c r="L156" i="2" s="1"/>
  <c r="Q48" i="58"/>
  <c r="J156" i="2" s="1"/>
  <c r="T15" i="58"/>
  <c r="M249" i="2" s="1"/>
  <c r="T249" i="2" s="1"/>
  <c r="T96" i="5" s="1"/>
  <c r="R15" i="58"/>
  <c r="K249" i="2" s="1"/>
  <c r="Q15" i="58"/>
  <c r="J249" i="2" s="1"/>
  <c r="P15" i="58"/>
  <c r="O47" i="58"/>
  <c r="R14" i="58"/>
  <c r="K247" i="2" s="1"/>
  <c r="Q46" i="58"/>
  <c r="J155" i="2" s="1"/>
  <c r="R45" i="58"/>
  <c r="K154" i="2" s="1"/>
  <c r="Q45" i="58"/>
  <c r="J154" i="2" s="1"/>
  <c r="P13" i="58"/>
  <c r="T44" i="58"/>
  <c r="M153" i="2" s="1"/>
  <c r="S12" i="58"/>
  <c r="L245" i="2" s="1"/>
  <c r="R12" i="58"/>
  <c r="K245" i="2" s="1"/>
  <c r="K217" i="2"/>
  <c r="K219" i="2" s="1"/>
  <c r="J217" i="2"/>
  <c r="J219" i="2" s="1"/>
  <c r="T14" i="58"/>
  <c r="M247" i="2" s="1"/>
  <c r="Q247" i="2" s="1"/>
  <c r="K214" i="2"/>
  <c r="K216" i="2" s="1"/>
  <c r="J214" i="2"/>
  <c r="J216" i="2" s="1"/>
  <c r="R13" i="58"/>
  <c r="K246" i="2" s="1"/>
  <c r="J211" i="2"/>
  <c r="J213" i="2" s="1"/>
  <c r="T12" i="58"/>
  <c r="M245" i="2" s="1"/>
  <c r="T245" i="2" s="1"/>
  <c r="T41" i="5" s="1"/>
  <c r="K208" i="2"/>
  <c r="K210" i="2" s="1"/>
  <c r="J208" i="2"/>
  <c r="J210" i="2" s="1"/>
  <c r="Q153" i="2" l="1"/>
  <c r="Q35" i="5" s="1"/>
  <c r="W35" i="5" s="1"/>
  <c r="R153" i="2"/>
  <c r="R35" i="5" s="1"/>
  <c r="X35" i="5" s="1"/>
  <c r="N153" i="2"/>
  <c r="N35" i="5" s="1"/>
  <c r="T153" i="2"/>
  <c r="T35" i="5" s="1"/>
  <c r="Z35" i="5" s="1"/>
  <c r="P153" i="2"/>
  <c r="P35" i="5" s="1"/>
  <c r="V35" i="5" s="1"/>
  <c r="S153" i="2"/>
  <c r="S35" i="5" s="1"/>
  <c r="Y35" i="5" s="1"/>
  <c r="P56" i="18"/>
  <c r="P65" i="18"/>
  <c r="O58" i="18"/>
  <c r="S50" i="18"/>
  <c r="N358" i="2"/>
  <c r="N33" i="6" s="1"/>
  <c r="J222" i="2"/>
  <c r="M222" i="2"/>
  <c r="N222" i="2" s="1"/>
  <c r="S357" i="2"/>
  <c r="S31" i="6" s="1"/>
  <c r="R357" i="2"/>
  <c r="R31" i="6" s="1"/>
  <c r="Q357" i="2"/>
  <c r="Q31" i="6" s="1"/>
  <c r="P357" i="2"/>
  <c r="P31" i="6" s="1"/>
  <c r="T357" i="2"/>
  <c r="T31" i="6" s="1"/>
  <c r="N357" i="2"/>
  <c r="N31" i="6" s="1"/>
  <c r="M41" i="6"/>
  <c r="M393" i="2" s="1"/>
  <c r="N393" i="2" s="1"/>
  <c r="N41" i="6" s="1"/>
  <c r="M43" i="6"/>
  <c r="M39" i="6"/>
  <c r="M34" i="6"/>
  <c r="T38" i="5"/>
  <c r="Q248" i="2"/>
  <c r="P248" i="2"/>
  <c r="O248" i="2"/>
  <c r="T248" i="2"/>
  <c r="T85" i="5" s="1"/>
  <c r="O247" i="2"/>
  <c r="R248" i="2"/>
  <c r="S245" i="2"/>
  <c r="R245" i="2"/>
  <c r="O249" i="2"/>
  <c r="R247" i="2"/>
  <c r="P247" i="2"/>
  <c r="Q245" i="2"/>
  <c r="S247" i="2"/>
  <c r="P249" i="2"/>
  <c r="T247" i="2"/>
  <c r="T63" i="5" s="1"/>
  <c r="O245" i="2"/>
  <c r="S249" i="2"/>
  <c r="R249" i="2"/>
  <c r="P245" i="2"/>
  <c r="Q249" i="2"/>
  <c r="T47" i="58"/>
  <c r="M157" i="2" s="1"/>
  <c r="Q44" i="58"/>
  <c r="J153" i="2" s="1"/>
  <c r="S15" i="58"/>
  <c r="L249" i="2" s="1"/>
  <c r="R16" i="58"/>
  <c r="K248" i="2" s="1"/>
  <c r="P44" i="58"/>
  <c r="R46" i="58"/>
  <c r="K155" i="2" s="1"/>
  <c r="S47" i="58"/>
  <c r="L157" i="2" s="1"/>
  <c r="S13" i="58"/>
  <c r="L246" i="2" s="1"/>
  <c r="S14" i="58"/>
  <c r="L247" i="2" s="1"/>
  <c r="M208" i="2"/>
  <c r="R44" i="58"/>
  <c r="K153" i="2" s="1"/>
  <c r="S45" i="58"/>
  <c r="L154" i="2" s="1"/>
  <c r="T13" i="58"/>
  <c r="M246" i="2" s="1"/>
  <c r="Q16" i="58"/>
  <c r="J248" i="2" s="1"/>
  <c r="S44" i="58"/>
  <c r="L153" i="2" s="1"/>
  <c r="T45" i="58"/>
  <c r="M154" i="2" s="1"/>
  <c r="O48" i="58"/>
  <c r="Q12" i="58"/>
  <c r="J245" i="2" s="1"/>
  <c r="K220" i="2"/>
  <c r="P48" i="58"/>
  <c r="Q13" i="58"/>
  <c r="J246" i="2" s="1"/>
  <c r="O16" i="58"/>
  <c r="L220" i="2"/>
  <c r="L217" i="2"/>
  <c r="L219" i="2" s="1"/>
  <c r="O46" i="58"/>
  <c r="O12" i="58"/>
  <c r="O13" i="58"/>
  <c r="O14" i="58"/>
  <c r="P16" i="58"/>
  <c r="K211" i="2"/>
  <c r="K213" i="2" s="1"/>
  <c r="L214" i="2"/>
  <c r="L216" i="2" s="1"/>
  <c r="M219" i="2"/>
  <c r="N219" i="2" s="1"/>
  <c r="O45" i="58"/>
  <c r="P46" i="58"/>
  <c r="Q47" i="58"/>
  <c r="J157" i="2" s="1"/>
  <c r="K156" i="2"/>
  <c r="P12" i="58"/>
  <c r="P14" i="58"/>
  <c r="L211" i="2"/>
  <c r="L213" i="2" s="1"/>
  <c r="M214" i="2"/>
  <c r="M216" i="2" s="1"/>
  <c r="N216" i="2" s="1"/>
  <c r="O44" i="58"/>
  <c r="R47" i="58"/>
  <c r="K157" i="2" s="1"/>
  <c r="J247" i="2"/>
  <c r="O15" i="58"/>
  <c r="S16" i="58"/>
  <c r="L248" i="2" s="1"/>
  <c r="V36" i="5" l="1"/>
  <c r="V37" i="5" s="1"/>
  <c r="V38" i="5" s="1"/>
  <c r="P216" i="2"/>
  <c r="O358" i="2"/>
  <c r="Q216" i="2"/>
  <c r="T216" i="2"/>
  <c r="I4" i="57"/>
  <c r="P58" i="18"/>
  <c r="J4" i="57" s="1"/>
  <c r="T50" i="18"/>
  <c r="T154" i="5"/>
  <c r="T166" i="5" s="1"/>
  <c r="T148" i="5"/>
  <c r="Q219" i="2"/>
  <c r="Q217" i="2" s="1"/>
  <c r="S213" i="2"/>
  <c r="S211" i="2" s="1"/>
  <c r="S50" i="5" s="1"/>
  <c r="R219" i="2"/>
  <c r="R217" i="2" s="1"/>
  <c r="S219" i="2"/>
  <c r="S217" i="2" s="1"/>
  <c r="T219" i="2"/>
  <c r="T217" i="2" s="1"/>
  <c r="T83" i="5" s="1"/>
  <c r="T84" i="5" s="1"/>
  <c r="T81" i="5" s="1"/>
  <c r="J150" i="89" s="1"/>
  <c r="P213" i="2"/>
  <c r="P211" i="2" s="1"/>
  <c r="P50" i="5" s="1"/>
  <c r="P219" i="2"/>
  <c r="P217" i="2" s="1"/>
  <c r="R213" i="2"/>
  <c r="R211" i="2" s="1"/>
  <c r="R50" i="5" s="1"/>
  <c r="T213" i="2"/>
  <c r="T211" i="2" s="1"/>
  <c r="Q213" i="2"/>
  <c r="Q211" i="2" s="1"/>
  <c r="Q50" i="5" s="1"/>
  <c r="L222" i="2"/>
  <c r="K222" i="2"/>
  <c r="M35" i="6"/>
  <c r="M359" i="2" s="1"/>
  <c r="M28" i="6"/>
  <c r="N214" i="2"/>
  <c r="N61" i="5" s="1"/>
  <c r="N217" i="2"/>
  <c r="N220" i="2"/>
  <c r="N211" i="2"/>
  <c r="N50" i="5" s="1"/>
  <c r="M210" i="2"/>
  <c r="T74" i="5"/>
  <c r="V74" i="5" s="1"/>
  <c r="O246" i="2"/>
  <c r="R246" i="2"/>
  <c r="Q246" i="2"/>
  <c r="P246" i="2"/>
  <c r="T246" i="2"/>
  <c r="T52" i="5" s="1"/>
  <c r="S246" i="2"/>
  <c r="M170" i="4"/>
  <c r="M101" i="4" s="1"/>
  <c r="M78" i="6" s="1"/>
  <c r="M168" i="4"/>
  <c r="M100" i="4" s="1"/>
  <c r="M76" i="6" s="1"/>
  <c r="M166" i="4"/>
  <c r="M99" i="4" s="1"/>
  <c r="M74" i="6" s="1"/>
  <c r="S222" i="2" l="1"/>
  <c r="S220" i="2" s="1"/>
  <c r="T50" i="5"/>
  <c r="N210" i="2"/>
  <c r="N208" i="2" s="1"/>
  <c r="N39" i="5" s="1"/>
  <c r="P210" i="2"/>
  <c r="T222" i="2"/>
  <c r="T220" i="2" s="1"/>
  <c r="P222" i="2"/>
  <c r="P220" i="2" s="1"/>
  <c r="R210" i="2"/>
  <c r="R208" i="2" s="1"/>
  <c r="R39" i="5" s="1"/>
  <c r="P208" i="2"/>
  <c r="P39" i="5" s="1"/>
  <c r="T210" i="2"/>
  <c r="T208" i="2" s="1"/>
  <c r="Q210" i="2"/>
  <c r="Q208" i="2" s="1"/>
  <c r="Q39" i="5" s="1"/>
  <c r="S210" i="2"/>
  <c r="S208" i="2" s="1"/>
  <c r="S39" i="5" s="1"/>
  <c r="Q222" i="2"/>
  <c r="Q220" i="2" s="1"/>
  <c r="R222" i="2"/>
  <c r="R220" i="2" s="1"/>
  <c r="M97" i="4"/>
  <c r="M11" i="4" s="1"/>
  <c r="M165" i="4"/>
  <c r="T359" i="2"/>
  <c r="T35" i="6" s="1"/>
  <c r="Q359" i="2"/>
  <c r="Q35" i="6" s="1"/>
  <c r="S359" i="2"/>
  <c r="S35" i="6" s="1"/>
  <c r="P359" i="2"/>
  <c r="P35" i="6" s="1"/>
  <c r="R359" i="2"/>
  <c r="R35" i="6" s="1"/>
  <c r="M394" i="2"/>
  <c r="K48" i="15"/>
  <c r="L140" i="2"/>
  <c r="N394" i="2" l="1"/>
  <c r="N43" i="6" s="1"/>
  <c r="O394" i="2"/>
  <c r="T39" i="5"/>
  <c r="T94" i="5"/>
  <c r="T95" i="5" s="1"/>
  <c r="T92" i="5" s="1"/>
  <c r="J154" i="89" s="1"/>
  <c r="C51" i="18"/>
  <c r="G48" i="18"/>
  <c r="G51" i="18" s="1"/>
  <c r="G64" i="18" s="1"/>
  <c r="F49" i="18"/>
  <c r="C59" i="18"/>
  <c r="E51" i="18"/>
  <c r="D51" i="18"/>
  <c r="I42" i="18"/>
  <c r="H42" i="18"/>
  <c r="G42" i="18"/>
  <c r="F42" i="18"/>
  <c r="E42" i="18"/>
  <c r="D42" i="18"/>
  <c r="I41" i="18"/>
  <c r="H41" i="18"/>
  <c r="G41" i="18"/>
  <c r="F41" i="18"/>
  <c r="E41" i="18"/>
  <c r="D41" i="18"/>
  <c r="I32" i="18"/>
  <c r="H32" i="18"/>
  <c r="G32" i="18"/>
  <c r="F32" i="18"/>
  <c r="E32" i="18"/>
  <c r="I31" i="18"/>
  <c r="H31" i="18"/>
  <c r="G31" i="18"/>
  <c r="F31" i="18"/>
  <c r="E31" i="18"/>
  <c r="D32" i="18"/>
  <c r="D31" i="18"/>
  <c r="N66" i="4"/>
  <c r="D92" i="89" s="1"/>
  <c r="H29" i="57"/>
  <c r="G29" i="57"/>
  <c r="F29" i="57"/>
  <c r="E29" i="57"/>
  <c r="D29" i="57"/>
  <c r="H28" i="57"/>
  <c r="G28" i="57"/>
  <c r="F28" i="57"/>
  <c r="E28" i="57"/>
  <c r="D28" i="57"/>
  <c r="H20" i="57"/>
  <c r="G20" i="57"/>
  <c r="F20" i="57"/>
  <c r="E20" i="57"/>
  <c r="D20" i="57"/>
  <c r="H19" i="57"/>
  <c r="G19" i="57"/>
  <c r="F19" i="57"/>
  <c r="E19" i="57"/>
  <c r="D19" i="57"/>
  <c r="H18" i="57"/>
  <c r="F18" i="57"/>
  <c r="E18" i="57"/>
  <c r="D18" i="57"/>
  <c r="I29" i="57"/>
  <c r="I28" i="57"/>
  <c r="J20" i="57"/>
  <c r="I19" i="57"/>
  <c r="I18" i="57"/>
  <c r="CD299" i="14"/>
  <c r="CC299" i="14"/>
  <c r="CB299" i="14"/>
  <c r="BZ299" i="14"/>
  <c r="BX299" i="14"/>
  <c r="BW299" i="14"/>
  <c r="CD298" i="14"/>
  <c r="CC298" i="14"/>
  <c r="CB298" i="14"/>
  <c r="BX298" i="14"/>
  <c r="BW298" i="14"/>
  <c r="CD297" i="14"/>
  <c r="CC297" i="14"/>
  <c r="CB297" i="14"/>
  <c r="BZ297" i="14"/>
  <c r="BX297" i="14"/>
  <c r="BW297" i="14"/>
  <c r="CD296" i="14"/>
  <c r="CC296" i="14"/>
  <c r="CB296" i="14"/>
  <c r="BX296" i="14"/>
  <c r="BZ296" i="14" s="1"/>
  <c r="BW296" i="14"/>
  <c r="CD295" i="14"/>
  <c r="CC295" i="14"/>
  <c r="CB295" i="14"/>
  <c r="BX295" i="14"/>
  <c r="BW295" i="14"/>
  <c r="CD294" i="14"/>
  <c r="CC294" i="14"/>
  <c r="CB294" i="14"/>
  <c r="BZ294" i="14"/>
  <c r="BX294" i="14"/>
  <c r="BW294" i="14"/>
  <c r="CD293" i="14"/>
  <c r="CC293" i="14"/>
  <c r="CB293" i="14"/>
  <c r="BX293" i="14"/>
  <c r="BZ293" i="14" s="1"/>
  <c r="BW293" i="14"/>
  <c r="CD292" i="14"/>
  <c r="CC292" i="14"/>
  <c r="CB292" i="14"/>
  <c r="BZ292" i="14"/>
  <c r="BX292" i="14"/>
  <c r="BW292" i="14"/>
  <c r="CD291" i="14"/>
  <c r="CC291" i="14"/>
  <c r="CB291" i="14"/>
  <c r="BZ291" i="14"/>
  <c r="BX291" i="14"/>
  <c r="BW291" i="14"/>
  <c r="CD290" i="14"/>
  <c r="CC290" i="14"/>
  <c r="CB290" i="14"/>
  <c r="BZ290" i="14"/>
  <c r="BX290" i="14"/>
  <c r="BW290" i="14"/>
  <c r="CD289" i="14"/>
  <c r="CC289" i="14"/>
  <c r="CB289" i="14"/>
  <c r="BX289" i="14"/>
  <c r="BZ289" i="14" s="1"/>
  <c r="BW289" i="14"/>
  <c r="CD288" i="14"/>
  <c r="CC288" i="14"/>
  <c r="CB288" i="14"/>
  <c r="BZ288" i="14"/>
  <c r="BX288" i="14"/>
  <c r="BW288" i="14"/>
  <c r="CD287" i="14"/>
  <c r="CC287" i="14"/>
  <c r="CB287" i="14"/>
  <c r="BX287" i="14"/>
  <c r="BW287" i="14"/>
  <c r="CD286" i="14"/>
  <c r="CC286" i="14"/>
  <c r="CB286" i="14"/>
  <c r="BZ286" i="14"/>
  <c r="BX286" i="14"/>
  <c r="BW286" i="14"/>
  <c r="CD285" i="14"/>
  <c r="CC285" i="14"/>
  <c r="CB285" i="14"/>
  <c r="BX285" i="14"/>
  <c r="BZ285" i="14" s="1"/>
  <c r="BW285" i="14"/>
  <c r="CD284" i="14"/>
  <c r="CC284" i="14"/>
  <c r="CB284" i="14"/>
  <c r="BX284" i="14"/>
  <c r="BZ284" i="14" s="1"/>
  <c r="BW284" i="14"/>
  <c r="CD283" i="14"/>
  <c r="CC283" i="14"/>
  <c r="CB283" i="14"/>
  <c r="BX283" i="14"/>
  <c r="BZ283" i="14" s="1"/>
  <c r="BW283" i="14"/>
  <c r="CD282" i="14"/>
  <c r="CC282" i="14"/>
  <c r="CB282" i="14"/>
  <c r="BZ282" i="14"/>
  <c r="BX282" i="14"/>
  <c r="BW282" i="14"/>
  <c r="CD281" i="14"/>
  <c r="CC281" i="14"/>
  <c r="CB281" i="14"/>
  <c r="BX281" i="14"/>
  <c r="BZ281" i="14" s="1"/>
  <c r="BW281" i="14"/>
  <c r="CD280" i="14"/>
  <c r="CC280" i="14"/>
  <c r="CB280" i="14"/>
  <c r="BX280" i="14"/>
  <c r="BZ280" i="14" s="1"/>
  <c r="BW280" i="14"/>
  <c r="CD279" i="14"/>
  <c r="CC279" i="14"/>
  <c r="CB279" i="14"/>
  <c r="BX279" i="14"/>
  <c r="BZ279" i="14" s="1"/>
  <c r="BW279" i="14"/>
  <c r="K8" i="51"/>
  <c r="K11" i="51"/>
  <c r="O78" i="2"/>
  <c r="G63" i="2"/>
  <c r="T60" i="4"/>
  <c r="V60" i="4" s="1"/>
  <c r="T53" i="4"/>
  <c r="V53" i="4" s="1"/>
  <c r="U71" i="16"/>
  <c r="V71" i="16" s="1"/>
  <c r="T40" i="5" l="1"/>
  <c r="T114" i="5" s="1"/>
  <c r="R145" i="5"/>
  <c r="R144" i="5" s="1"/>
  <c r="R150" i="5"/>
  <c r="S145" i="5"/>
  <c r="S144" i="5" s="1"/>
  <c r="S150" i="5"/>
  <c r="Q145" i="5"/>
  <c r="Q144" i="5" s="1"/>
  <c r="Q150" i="5"/>
  <c r="O145" i="5"/>
  <c r="O150" i="5"/>
  <c r="T145" i="5"/>
  <c r="T144" i="5" s="1"/>
  <c r="T142" i="5" s="1"/>
  <c r="T150" i="5"/>
  <c r="P145" i="5"/>
  <c r="P144" i="5" s="1"/>
  <c r="P150" i="5"/>
  <c r="O150" i="4"/>
  <c r="P229" i="5"/>
  <c r="P214" i="5"/>
  <c r="P219" i="5"/>
  <c r="P224" i="5"/>
  <c r="Q214" i="5"/>
  <c r="Q219" i="5"/>
  <c r="Q224" i="5"/>
  <c r="Q229" i="5"/>
  <c r="S219" i="5"/>
  <c r="S224" i="5"/>
  <c r="S229" i="5"/>
  <c r="S214" i="5"/>
  <c r="T219" i="5"/>
  <c r="T224" i="5"/>
  <c r="T229" i="5"/>
  <c r="T214" i="5"/>
  <c r="R214" i="5"/>
  <c r="R219" i="5"/>
  <c r="R224" i="5"/>
  <c r="R229" i="5"/>
  <c r="S119" i="4"/>
  <c r="S156" i="4"/>
  <c r="S152" i="4" s="1"/>
  <c r="S129" i="4"/>
  <c r="S124" i="4"/>
  <c r="P124" i="4"/>
  <c r="P119" i="4"/>
  <c r="P129" i="4"/>
  <c r="Q124" i="4"/>
  <c r="Q119" i="4"/>
  <c r="Q156" i="4"/>
  <c r="Q152" i="4" s="1"/>
  <c r="Q129" i="4"/>
  <c r="T156" i="4"/>
  <c r="T152" i="4" s="1"/>
  <c r="T129" i="4"/>
  <c r="T124" i="4"/>
  <c r="T119" i="4"/>
  <c r="R119" i="4"/>
  <c r="R156" i="4"/>
  <c r="R152" i="4" s="1"/>
  <c r="R129" i="4"/>
  <c r="R124" i="4"/>
  <c r="S134" i="4"/>
  <c r="T134" i="4"/>
  <c r="P134" i="4"/>
  <c r="Q134" i="4"/>
  <c r="R134" i="4"/>
  <c r="BZ287" i="14"/>
  <c r="BZ295" i="14"/>
  <c r="BZ298" i="14"/>
  <c r="T58" i="5"/>
  <c r="T91" i="5"/>
  <c r="T61" i="4"/>
  <c r="T69" i="5"/>
  <c r="T54" i="4"/>
  <c r="T80" i="5"/>
  <c r="T36" i="5"/>
  <c r="T40" i="4"/>
  <c r="T47" i="5"/>
  <c r="T33" i="4"/>
  <c r="T47" i="4"/>
  <c r="T26" i="4"/>
  <c r="C60" i="18"/>
  <c r="C65" i="18"/>
  <c r="E52" i="18"/>
  <c r="E64" i="18"/>
  <c r="D52" i="18"/>
  <c r="D64" i="18"/>
  <c r="C52" i="18"/>
  <c r="C64" i="18"/>
  <c r="G52" i="18"/>
  <c r="I20" i="57"/>
  <c r="D59" i="18"/>
  <c r="G56" i="18"/>
  <c r="G59" i="18" s="1"/>
  <c r="F48" i="18"/>
  <c r="F51" i="18" s="1"/>
  <c r="F64" i="18" s="1"/>
  <c r="F56" i="18"/>
  <c r="F59" i="18" s="1"/>
  <c r="E59" i="18"/>
  <c r="J18" i="57"/>
  <c r="J19" i="57"/>
  <c r="J28" i="57"/>
  <c r="J29" i="57"/>
  <c r="T46" i="2"/>
  <c r="T85" i="4" s="1"/>
  <c r="J109" i="89" s="1"/>
  <c r="T81" i="4"/>
  <c r="J106" i="89" s="1"/>
  <c r="T44" i="2"/>
  <c r="T77" i="4" s="1"/>
  <c r="J103" i="89" s="1"/>
  <c r="T43" i="2"/>
  <c r="T73" i="4" s="1"/>
  <c r="J97" i="89" s="1"/>
  <c r="T42" i="2"/>
  <c r="T69" i="4" s="1"/>
  <c r="J94" i="89" s="1"/>
  <c r="S46" i="2"/>
  <c r="R46" i="2"/>
  <c r="Q46" i="2"/>
  <c r="P46" i="2"/>
  <c r="S44" i="2"/>
  <c r="R44" i="2"/>
  <c r="Q44" i="2"/>
  <c r="P44" i="2"/>
  <c r="S43" i="2"/>
  <c r="R43" i="2"/>
  <c r="Q43" i="2"/>
  <c r="P43" i="2"/>
  <c r="S42" i="2"/>
  <c r="R42" i="2"/>
  <c r="Q42" i="2"/>
  <c r="P42" i="2"/>
  <c r="N46" i="2"/>
  <c r="N44" i="2"/>
  <c r="N43" i="2"/>
  <c r="N42" i="2"/>
  <c r="J16" i="56"/>
  <c r="K16" i="56" s="1"/>
  <c r="J14" i="56"/>
  <c r="K14" i="56" s="1"/>
  <c r="J13" i="56"/>
  <c r="K13" i="56" s="1"/>
  <c r="H15" i="56"/>
  <c r="I15" i="56" s="1"/>
  <c r="J15" i="56" s="1"/>
  <c r="K15" i="56" s="1"/>
  <c r="G15" i="56"/>
  <c r="J12" i="56"/>
  <c r="K12" i="56" s="1"/>
  <c r="T37" i="5" l="1"/>
  <c r="J132" i="89" s="1"/>
  <c r="T315" i="5"/>
  <c r="T324" i="5" s="1"/>
  <c r="T146" i="4"/>
  <c r="T110" i="4" s="1"/>
  <c r="T153" i="4"/>
  <c r="Q146" i="4"/>
  <c r="Q110" i="4" s="1"/>
  <c r="Q153" i="4"/>
  <c r="S146" i="4"/>
  <c r="S110" i="4" s="1"/>
  <c r="S153" i="4"/>
  <c r="R146" i="4"/>
  <c r="R110" i="4" s="1"/>
  <c r="R153" i="4"/>
  <c r="T79" i="4"/>
  <c r="J105" i="89" s="1"/>
  <c r="T83" i="4"/>
  <c r="J108" i="89" s="1"/>
  <c r="T67" i="4"/>
  <c r="T71" i="4"/>
  <c r="J96" i="89" s="1"/>
  <c r="T75" i="4"/>
  <c r="J102" i="89" s="1"/>
  <c r="E60" i="18"/>
  <c r="E65" i="18"/>
  <c r="G60" i="18"/>
  <c r="G65" i="18"/>
  <c r="F52" i="18"/>
  <c r="D60" i="18"/>
  <c r="D65" i="18"/>
  <c r="F60" i="18"/>
  <c r="F65" i="18"/>
  <c r="T25" i="2"/>
  <c r="T24" i="2"/>
  <c r="S25" i="2"/>
  <c r="R25" i="2"/>
  <c r="Q25" i="2"/>
  <c r="P25" i="2"/>
  <c r="S24" i="2"/>
  <c r="R24" i="2"/>
  <c r="Q24" i="2"/>
  <c r="P24" i="2"/>
  <c r="Z24" i="2" s="1"/>
  <c r="N25" i="2"/>
  <c r="N24" i="2"/>
  <c r="G25" i="2"/>
  <c r="G24" i="2"/>
  <c r="U62" i="16"/>
  <c r="T62" i="16"/>
  <c r="S62" i="16"/>
  <c r="R62" i="16"/>
  <c r="P62" i="16"/>
  <c r="U61" i="16"/>
  <c r="T61" i="16"/>
  <c r="S61" i="16"/>
  <c r="R61" i="16"/>
  <c r="P61" i="16"/>
  <c r="U60" i="16"/>
  <c r="T60" i="16"/>
  <c r="S60" i="16"/>
  <c r="R60" i="16"/>
  <c r="P60" i="16"/>
  <c r="U59" i="16"/>
  <c r="T59" i="16"/>
  <c r="S59" i="16"/>
  <c r="R59" i="16"/>
  <c r="P59" i="16"/>
  <c r="V65" i="16"/>
  <c r="W65" i="16" s="1"/>
  <c r="V63" i="16"/>
  <c r="W63" i="16" s="1"/>
  <c r="V58" i="16"/>
  <c r="W58" i="16" s="1"/>
  <c r="V55" i="16"/>
  <c r="W55" i="16" s="1"/>
  <c r="V54" i="16"/>
  <c r="V53" i="16"/>
  <c r="W53" i="16" s="1"/>
  <c r="V52" i="16"/>
  <c r="W52" i="16" s="1"/>
  <c r="W62" i="16" s="1"/>
  <c r="V51" i="16"/>
  <c r="W51" i="16" s="1"/>
  <c r="W61" i="16" s="1"/>
  <c r="V50" i="16"/>
  <c r="V60" i="16" s="1"/>
  <c r="V49" i="16"/>
  <c r="W49" i="16" s="1"/>
  <c r="W59" i="16" s="1"/>
  <c r="V48" i="16"/>
  <c r="W48" i="16" s="1"/>
  <c r="T328" i="5" l="1"/>
  <c r="T329" i="5"/>
  <c r="T327" i="5"/>
  <c r="T322" i="5"/>
  <c r="T330" i="5" s="1"/>
  <c r="T325" i="5"/>
  <c r="T326" i="5"/>
  <c r="Z25" i="2"/>
  <c r="J53" i="89"/>
  <c r="J93" i="89"/>
  <c r="N56" i="5"/>
  <c r="T103" i="5"/>
  <c r="T101" i="5"/>
  <c r="J159" i="89" s="1"/>
  <c r="Q56" i="5"/>
  <c r="Q67" i="5"/>
  <c r="N31" i="4"/>
  <c r="N45" i="5"/>
  <c r="R56" i="5"/>
  <c r="R67" i="5"/>
  <c r="S56" i="5"/>
  <c r="S67" i="5"/>
  <c r="P31" i="4"/>
  <c r="P45" i="5"/>
  <c r="Q31" i="4"/>
  <c r="Q45" i="5"/>
  <c r="R31" i="4"/>
  <c r="R45" i="5"/>
  <c r="S31" i="4"/>
  <c r="S45" i="5"/>
  <c r="T31" i="4"/>
  <c r="T30" i="4" s="1"/>
  <c r="J73" i="89" s="1"/>
  <c r="T45" i="5"/>
  <c r="P67" i="5"/>
  <c r="P56" i="5"/>
  <c r="T67" i="5"/>
  <c r="T56" i="5"/>
  <c r="S24" i="4"/>
  <c r="S34" i="5"/>
  <c r="N24" i="4"/>
  <c r="N34" i="5"/>
  <c r="P24" i="4"/>
  <c r="P34" i="5"/>
  <c r="T24" i="4"/>
  <c r="T23" i="4" s="1"/>
  <c r="J70" i="89" s="1"/>
  <c r="T34" i="5"/>
  <c r="Q24" i="4"/>
  <c r="Q34" i="5"/>
  <c r="R24" i="4"/>
  <c r="R34" i="5"/>
  <c r="P38" i="4"/>
  <c r="P45" i="4"/>
  <c r="T45" i="4"/>
  <c r="T44" i="4" s="1"/>
  <c r="J79" i="89" s="1"/>
  <c r="T38" i="4"/>
  <c r="T37" i="4" s="1"/>
  <c r="J76" i="89" s="1"/>
  <c r="Q45" i="4"/>
  <c r="Q38" i="4"/>
  <c r="R38" i="4"/>
  <c r="R45" i="4"/>
  <c r="S45" i="4"/>
  <c r="S38" i="4"/>
  <c r="N38" i="4"/>
  <c r="N45" i="4"/>
  <c r="W54" i="16"/>
  <c r="V83" i="16" s="1"/>
  <c r="V77" i="16" s="1"/>
  <c r="U83" i="16"/>
  <c r="U77" i="16" s="1"/>
  <c r="T59" i="4"/>
  <c r="T58" i="4" s="1"/>
  <c r="J88" i="89" s="1"/>
  <c r="T89" i="5"/>
  <c r="T52" i="4"/>
  <c r="T51" i="4" s="1"/>
  <c r="J85" i="89" s="1"/>
  <c r="T78" i="5"/>
  <c r="V59" i="16"/>
  <c r="W50" i="16"/>
  <c r="W60" i="16" s="1"/>
  <c r="V62" i="16"/>
  <c r="V61" i="16"/>
  <c r="T323" i="5" l="1"/>
  <c r="T104" i="5"/>
  <c r="J163" i="89"/>
  <c r="T56" i="4"/>
  <c r="J87" i="89" s="1"/>
  <c r="T35" i="4"/>
  <c r="J75" i="89" s="1"/>
  <c r="T21" i="4"/>
  <c r="T49" i="4"/>
  <c r="J84" i="89" s="1"/>
  <c r="T42" i="4"/>
  <c r="J78" i="89" s="1"/>
  <c r="T102" i="5"/>
  <c r="T63" i="4"/>
  <c r="J90" i="89" s="1"/>
  <c r="E950" i="16"/>
  <c r="D950" i="16"/>
  <c r="C950" i="16"/>
  <c r="E949" i="16"/>
  <c r="D949" i="16"/>
  <c r="C949" i="16"/>
  <c r="E948" i="16"/>
  <c r="D948" i="16"/>
  <c r="C948" i="16"/>
  <c r="E947" i="16"/>
  <c r="D947" i="16"/>
  <c r="C947" i="16"/>
  <c r="E946" i="16"/>
  <c r="D946" i="16"/>
  <c r="C946" i="16"/>
  <c r="E945" i="16"/>
  <c r="D945" i="16"/>
  <c r="C945" i="16"/>
  <c r="E944" i="16"/>
  <c r="D944" i="16"/>
  <c r="C944" i="16"/>
  <c r="E943" i="16"/>
  <c r="D943" i="16"/>
  <c r="C943" i="16"/>
  <c r="E942" i="16"/>
  <c r="D942" i="16"/>
  <c r="C942" i="16"/>
  <c r="E941" i="16"/>
  <c r="D941" i="16"/>
  <c r="C941" i="16"/>
  <c r="E940" i="16"/>
  <c r="D940" i="16"/>
  <c r="C940" i="16"/>
  <c r="E939" i="16"/>
  <c r="D939" i="16"/>
  <c r="C939" i="16"/>
  <c r="E938" i="16"/>
  <c r="D938" i="16"/>
  <c r="C938" i="16"/>
  <c r="E937" i="16"/>
  <c r="D937" i="16"/>
  <c r="C937" i="16"/>
  <c r="E936" i="16"/>
  <c r="D936" i="16"/>
  <c r="C936" i="16"/>
  <c r="E935" i="16"/>
  <c r="D935" i="16"/>
  <c r="C935" i="16"/>
  <c r="E934" i="16"/>
  <c r="D934" i="16"/>
  <c r="C934" i="16"/>
  <c r="E933" i="16"/>
  <c r="D933" i="16"/>
  <c r="C933" i="16"/>
  <c r="E932" i="16"/>
  <c r="D932" i="16"/>
  <c r="C932" i="16"/>
  <c r="E931" i="16"/>
  <c r="D931" i="16"/>
  <c r="C931" i="16"/>
  <c r="E930" i="16"/>
  <c r="D930" i="16"/>
  <c r="C930" i="16"/>
  <c r="E929" i="16"/>
  <c r="D929" i="16"/>
  <c r="C929" i="16"/>
  <c r="E928" i="16"/>
  <c r="D928" i="16"/>
  <c r="C928" i="16"/>
  <c r="E927" i="16"/>
  <c r="D927" i="16"/>
  <c r="C927" i="16"/>
  <c r="E926" i="16"/>
  <c r="D926" i="16"/>
  <c r="C926" i="16"/>
  <c r="E925" i="16"/>
  <c r="D925" i="16"/>
  <c r="C925" i="16"/>
  <c r="E924" i="16"/>
  <c r="D924" i="16"/>
  <c r="C924" i="16"/>
  <c r="E923" i="16"/>
  <c r="D923" i="16"/>
  <c r="C923" i="16"/>
  <c r="E922" i="16"/>
  <c r="D922" i="16"/>
  <c r="C922" i="16"/>
  <c r="E921" i="16"/>
  <c r="D921" i="16"/>
  <c r="C921" i="16"/>
  <c r="E920" i="16"/>
  <c r="D920" i="16"/>
  <c r="C920" i="16"/>
  <c r="E919" i="16"/>
  <c r="D919" i="16"/>
  <c r="C919" i="16"/>
  <c r="E918" i="16"/>
  <c r="D918" i="16"/>
  <c r="C918" i="16"/>
  <c r="E917" i="16"/>
  <c r="D917" i="16"/>
  <c r="C917" i="16"/>
  <c r="E916" i="16"/>
  <c r="D916" i="16"/>
  <c r="C916" i="16"/>
  <c r="E915" i="16"/>
  <c r="D915" i="16"/>
  <c r="C915" i="16"/>
  <c r="E914" i="16"/>
  <c r="D914" i="16"/>
  <c r="C914" i="16"/>
  <c r="E913" i="16"/>
  <c r="D913" i="16"/>
  <c r="C913" i="16"/>
  <c r="E912" i="16"/>
  <c r="D912" i="16"/>
  <c r="C912" i="16"/>
  <c r="E911" i="16"/>
  <c r="D911" i="16"/>
  <c r="C911" i="16"/>
  <c r="E910" i="16"/>
  <c r="D910" i="16"/>
  <c r="C910" i="16"/>
  <c r="E909" i="16"/>
  <c r="D909" i="16"/>
  <c r="C909" i="16"/>
  <c r="E908" i="16"/>
  <c r="D908" i="16"/>
  <c r="C908" i="16"/>
  <c r="E907" i="16"/>
  <c r="D907" i="16"/>
  <c r="C907" i="16"/>
  <c r="E906" i="16"/>
  <c r="D906" i="16"/>
  <c r="C906" i="16"/>
  <c r="E905" i="16"/>
  <c r="D905" i="16"/>
  <c r="C905" i="16"/>
  <c r="E904" i="16"/>
  <c r="D904" i="16"/>
  <c r="C904" i="16"/>
  <c r="E903" i="16"/>
  <c r="D903" i="16"/>
  <c r="C903" i="16"/>
  <c r="E902" i="16"/>
  <c r="D902" i="16"/>
  <c r="C902" i="16"/>
  <c r="E901" i="16"/>
  <c r="D901" i="16"/>
  <c r="C901" i="16"/>
  <c r="E900" i="16"/>
  <c r="D900" i="16"/>
  <c r="C900" i="16"/>
  <c r="E899" i="16"/>
  <c r="D899" i="16"/>
  <c r="C899" i="16"/>
  <c r="E898" i="16"/>
  <c r="D898" i="16"/>
  <c r="C898" i="16"/>
  <c r="E897" i="16"/>
  <c r="D897" i="16"/>
  <c r="C897" i="16"/>
  <c r="E896" i="16"/>
  <c r="D896" i="16"/>
  <c r="C896" i="16"/>
  <c r="E895" i="16"/>
  <c r="D895" i="16"/>
  <c r="C895" i="16"/>
  <c r="E894" i="16"/>
  <c r="D894" i="16"/>
  <c r="C894" i="16"/>
  <c r="E893" i="16"/>
  <c r="D893" i="16"/>
  <c r="C893" i="16"/>
  <c r="E892" i="16"/>
  <c r="D892" i="16"/>
  <c r="C892" i="16"/>
  <c r="E891" i="16"/>
  <c r="D891" i="16"/>
  <c r="C891" i="16"/>
  <c r="E890" i="16"/>
  <c r="D890" i="16"/>
  <c r="C890" i="16"/>
  <c r="E889" i="16"/>
  <c r="D889" i="16"/>
  <c r="C889" i="16"/>
  <c r="E888" i="16"/>
  <c r="D888" i="16"/>
  <c r="C888" i="16"/>
  <c r="E887" i="16"/>
  <c r="D887" i="16"/>
  <c r="C887" i="16"/>
  <c r="E886" i="16"/>
  <c r="D886" i="16"/>
  <c r="C886" i="16"/>
  <c r="E951" i="16"/>
  <c r="D951" i="16"/>
  <c r="C951" i="16"/>
  <c r="J160" i="89" l="1"/>
  <c r="J164" i="89"/>
  <c r="J69" i="89"/>
  <c r="T180" i="4"/>
  <c r="K46" i="15"/>
  <c r="K45" i="15"/>
  <c r="G43" i="15"/>
  <c r="G41" i="15"/>
  <c r="G40" i="15"/>
  <c r="G39" i="15"/>
  <c r="G38" i="15"/>
  <c r="K37" i="15"/>
  <c r="F37" i="15"/>
  <c r="J37" i="15" s="1"/>
  <c r="K35" i="15"/>
  <c r="F35" i="15"/>
  <c r="F41" i="15" s="1"/>
  <c r="K34" i="15"/>
  <c r="F34" i="15"/>
  <c r="J34" i="15" s="1"/>
  <c r="H39" i="15"/>
  <c r="K39" i="15" s="1"/>
  <c r="F33" i="15"/>
  <c r="F39" i="15" s="1"/>
  <c r="J39" i="15" s="1"/>
  <c r="K32" i="15"/>
  <c r="F32" i="15"/>
  <c r="J32" i="15" s="1"/>
  <c r="F38" i="15" l="1"/>
  <c r="J38" i="15" s="1"/>
  <c r="H40" i="15"/>
  <c r="K40" i="15" s="1"/>
  <c r="J41" i="15"/>
  <c r="H41" i="15"/>
  <c r="K41" i="15" s="1"/>
  <c r="J33" i="15"/>
  <c r="J35" i="15"/>
  <c r="H38" i="15"/>
  <c r="K38" i="15" s="1"/>
  <c r="F40" i="15"/>
  <c r="J40" i="15" s="1"/>
  <c r="K33" i="15"/>
  <c r="F43" i="15"/>
  <c r="J43" i="15" s="1"/>
  <c r="H43" i="15"/>
  <c r="K43" i="15" s="1"/>
  <c r="K47" i="15" l="1"/>
  <c r="K49" i="15"/>
  <c r="F4" i="55" l="1"/>
  <c r="F5" i="55" s="1"/>
  <c r="F6" i="55" s="1"/>
  <c r="F7" i="55" s="1"/>
  <c r="F8" i="55" s="1"/>
  <c r="F9" i="55" s="1"/>
  <c r="F10" i="55" s="1"/>
  <c r="F11" i="55" s="1"/>
  <c r="F12" i="55" s="1"/>
  <c r="F13" i="55" s="1"/>
  <c r="F14" i="55" s="1"/>
  <c r="F15" i="55" s="1"/>
  <c r="F16" i="55" s="1"/>
  <c r="F17" i="55" s="1"/>
  <c r="F18" i="55" s="1"/>
  <c r="F19" i="55" s="1"/>
  <c r="F20" i="55" s="1"/>
  <c r="F21" i="55" s="1"/>
  <c r="F22" i="55" s="1"/>
  <c r="F23" i="55" s="1"/>
  <c r="F24" i="55" s="1"/>
  <c r="F25" i="55" s="1"/>
  <c r="F26" i="55" s="1"/>
  <c r="F27" i="55" s="1"/>
  <c r="F28" i="55" s="1"/>
  <c r="F29" i="55" s="1"/>
  <c r="F30" i="55" s="1"/>
  <c r="F31" i="55" s="1"/>
  <c r="F32" i="55" s="1"/>
  <c r="F33" i="55" s="1"/>
  <c r="F34" i="55" s="1"/>
  <c r="F35" i="55" s="1"/>
  <c r="F36" i="55" s="1"/>
  <c r="F37" i="55" s="1"/>
  <c r="F38" i="55" s="1"/>
  <c r="F39" i="55" s="1"/>
  <c r="F40" i="55" s="1"/>
  <c r="F41" i="55" s="1"/>
  <c r="F42" i="55" s="1"/>
  <c r="F43" i="55" s="1"/>
  <c r="F44" i="55" s="1"/>
  <c r="F45" i="55" s="1"/>
  <c r="F46" i="55" s="1"/>
  <c r="F47" i="55" s="1"/>
  <c r="F48" i="55" s="1"/>
  <c r="F49" i="55" s="1"/>
  <c r="F50" i="55" s="1"/>
  <c r="F51" i="55" s="1"/>
  <c r="F52" i="55" s="1"/>
  <c r="F53" i="55" s="1"/>
  <c r="F54" i="55" s="1"/>
  <c r="F55" i="55" s="1"/>
  <c r="F56" i="55" s="1"/>
  <c r="F57" i="55" s="1"/>
  <c r="F58" i="55" s="1"/>
  <c r="F59" i="55" s="1"/>
  <c r="F60" i="55" s="1"/>
  <c r="F61" i="55" s="1"/>
  <c r="F62" i="55" s="1"/>
  <c r="F63" i="55" s="1"/>
  <c r="F64" i="55" s="1"/>
  <c r="F65" i="55" s="1"/>
  <c r="F66" i="55" s="1"/>
  <c r="F67" i="55" s="1"/>
  <c r="F68" i="55" s="1"/>
  <c r="F69" i="55" s="1"/>
  <c r="F70" i="55" s="1"/>
  <c r="F71" i="55" s="1"/>
  <c r="F72" i="55" s="1"/>
  <c r="F73" i="55" s="1"/>
  <c r="F74" i="55" s="1"/>
  <c r="F75" i="55" s="1"/>
  <c r="F76" i="55" s="1"/>
  <c r="F77" i="55" s="1"/>
  <c r="F78" i="55" s="1"/>
  <c r="F79" i="55" s="1"/>
  <c r="F80" i="55" s="1"/>
  <c r="F81" i="55" s="1"/>
  <c r="F82" i="55" s="1"/>
  <c r="F83" i="55" s="1"/>
  <c r="F84" i="55" s="1"/>
  <c r="F85" i="55" s="1"/>
  <c r="F86" i="55" s="1"/>
  <c r="F87" i="55" s="1"/>
  <c r="F88" i="55" s="1"/>
  <c r="F89" i="55" s="1"/>
  <c r="F90" i="55" s="1"/>
  <c r="Y67" i="36" l="1"/>
  <c r="Y50" i="36"/>
  <c r="Y32" i="36"/>
  <c r="Y16" i="36"/>
  <c r="Y249" i="2" l="1"/>
  <c r="Y697" i="2"/>
  <c r="Y696" i="2"/>
  <c r="Y695" i="2"/>
  <c r="Y633" i="2"/>
  <c r="Y632" i="2"/>
  <c r="Y631" i="2"/>
  <c r="Y561" i="2"/>
  <c r="Y560" i="2"/>
  <c r="Y559" i="2"/>
  <c r="Y558" i="2"/>
  <c r="Y546" i="2"/>
  <c r="Y545" i="2"/>
  <c r="Y544" i="2"/>
  <c r="Y476" i="2"/>
  <c r="Y452" i="2"/>
  <c r="Y451" i="2"/>
  <c r="Y450" i="2"/>
  <c r="Y449" i="2"/>
  <c r="Y414" i="2"/>
  <c r="Y413" i="2"/>
  <c r="Y396" i="2"/>
  <c r="Y395" i="2"/>
  <c r="Y393" i="2"/>
  <c r="Y275" i="2"/>
  <c r="Y248" i="2"/>
  <c r="Y247" i="2"/>
  <c r="Y246" i="2"/>
  <c r="Y245" i="2"/>
  <c r="Y189" i="2"/>
  <c r="Y178" i="2"/>
  <c r="Y176" i="2"/>
  <c r="Y157" i="2"/>
  <c r="Y156" i="2"/>
  <c r="Y155" i="2"/>
  <c r="Y154" i="2"/>
  <c r="Y153" i="2"/>
  <c r="Y140" i="2"/>
  <c r="Y114" i="2"/>
  <c r="Y113" i="2"/>
  <c r="Y112" i="2"/>
  <c r="Y111" i="2"/>
  <c r="Y110" i="2"/>
  <c r="Y109" i="2"/>
  <c r="Y108" i="2"/>
  <c r="Y107" i="2"/>
  <c r="Y106" i="2"/>
  <c r="Y105" i="2"/>
  <c r="Y104" i="2"/>
  <c r="Y103" i="2"/>
  <c r="Y90" i="2"/>
  <c r="Y78" i="2"/>
  <c r="Y65" i="2"/>
  <c r="Y64" i="2"/>
  <c r="Y63" i="2"/>
  <c r="Y62" i="2"/>
  <c r="Y61" i="2"/>
  <c r="Y60" i="2"/>
  <c r="Y46" i="2"/>
  <c r="Y45" i="2"/>
  <c r="Y44" i="2"/>
  <c r="Y43" i="2"/>
  <c r="Y42" i="2"/>
  <c r="Y503" i="2"/>
  <c r="Y25" i="2"/>
  <c r="Y24" i="2"/>
  <c r="Y23" i="2"/>
  <c r="Y22" i="2"/>
  <c r="Y21" i="2"/>
  <c r="J8" i="51" l="1"/>
  <c r="I8" i="51"/>
  <c r="P34" i="6" l="1"/>
  <c r="F197" i="89" s="1"/>
  <c r="P356" i="2"/>
  <c r="G356" i="2"/>
  <c r="Q356" i="2" l="1"/>
  <c r="P29" i="6"/>
  <c r="F195" i="89" s="1"/>
  <c r="Q30" i="6"/>
  <c r="G196" i="89" s="1"/>
  <c r="Q34" i="6"/>
  <c r="G197" i="89" s="1"/>
  <c r="R30" i="6"/>
  <c r="H196" i="89" s="1"/>
  <c r="R356" i="2" l="1"/>
  <c r="Q29" i="6"/>
  <c r="G195" i="89" s="1"/>
  <c r="R34" i="6"/>
  <c r="H197" i="89" s="1"/>
  <c r="S30" i="6"/>
  <c r="I196" i="89" s="1"/>
  <c r="S356" i="2" l="1"/>
  <c r="R29" i="6"/>
  <c r="H195" i="89" s="1"/>
  <c r="S34" i="6"/>
  <c r="I197" i="89" s="1"/>
  <c r="T30" i="6"/>
  <c r="J196" i="89" s="1"/>
  <c r="G393" i="2"/>
  <c r="T356" i="2" l="1"/>
  <c r="T29" i="6" s="1"/>
  <c r="J195" i="89" s="1"/>
  <c r="S29" i="6"/>
  <c r="I195" i="89" s="1"/>
  <c r="T34" i="6"/>
  <c r="J197" i="89" s="1"/>
  <c r="M44" i="6"/>
  <c r="M36" i="6" s="1"/>
  <c r="L29" i="6"/>
  <c r="K29" i="6"/>
  <c r="J29" i="6"/>
  <c r="L33" i="6" l="1"/>
  <c r="L358" i="2" s="1"/>
  <c r="K33" i="6"/>
  <c r="K358" i="2" s="1"/>
  <c r="J31" i="6"/>
  <c r="J357" i="2" s="1"/>
  <c r="J33" i="6"/>
  <c r="J358" i="2" s="1"/>
  <c r="K356" i="2"/>
  <c r="K31" i="6"/>
  <c r="K357" i="2" s="1"/>
  <c r="L356" i="2"/>
  <c r="L31" i="6"/>
  <c r="L357" i="2" s="1"/>
  <c r="J34" i="6"/>
  <c r="J28" i="6" s="1"/>
  <c r="J37" i="6"/>
  <c r="J356" i="2"/>
  <c r="L37" i="6"/>
  <c r="K37" i="6"/>
  <c r="N356" i="2"/>
  <c r="N29" i="6" s="1"/>
  <c r="N32" i="6" l="1"/>
  <c r="O32" i="6" s="1"/>
  <c r="D195" i="89"/>
  <c r="N30" i="6"/>
  <c r="D196" i="89" s="1"/>
  <c r="J44" i="6"/>
  <c r="J35" i="6"/>
  <c r="J359" i="2" s="1"/>
  <c r="L43" i="6"/>
  <c r="L41" i="6"/>
  <c r="L393" i="2" s="1"/>
  <c r="J43" i="6"/>
  <c r="J41" i="6"/>
  <c r="J393" i="2" s="1"/>
  <c r="K41" i="6"/>
  <c r="K393" i="2" s="1"/>
  <c r="K43" i="6"/>
  <c r="N34" i="6"/>
  <c r="D197" i="89" s="1"/>
  <c r="L34" i="6"/>
  <c r="K34" i="6"/>
  <c r="O356" i="2"/>
  <c r="T393" i="2"/>
  <c r="T41" i="6" s="1"/>
  <c r="O29" i="6"/>
  <c r="E195" i="89" s="1"/>
  <c r="K195" i="89" s="1"/>
  <c r="K35" i="6" l="1"/>
  <c r="K359" i="2" s="1"/>
  <c r="K28" i="6"/>
  <c r="O30" i="6"/>
  <c r="E196" i="89" s="1"/>
  <c r="K196" i="89" s="1"/>
  <c r="L44" i="6"/>
  <c r="L35" i="6"/>
  <c r="L359" i="2" s="1"/>
  <c r="L28" i="6"/>
  <c r="O34" i="6"/>
  <c r="E197" i="89" s="1"/>
  <c r="K197" i="89" s="1"/>
  <c r="J394" i="2"/>
  <c r="K44" i="6"/>
  <c r="R393" i="2"/>
  <c r="R41" i="6" s="1"/>
  <c r="S393" i="2"/>
  <c r="S41" i="6" s="1"/>
  <c r="Q393" i="2"/>
  <c r="Q41" i="6" s="1"/>
  <c r="P393" i="2"/>
  <c r="P41" i="6" s="1"/>
  <c r="O31" i="6" l="1"/>
  <c r="N28" i="6"/>
  <c r="D194" i="89" s="1"/>
  <c r="O35" i="6"/>
  <c r="L394" i="2"/>
  <c r="L39" i="6"/>
  <c r="O359" i="2" l="1"/>
  <c r="V35" i="6"/>
  <c r="O357" i="2"/>
  <c r="V31" i="6"/>
  <c r="K394" i="2"/>
  <c r="M128" i="5"/>
  <c r="K39" i="6" l="1"/>
  <c r="J39" i="6"/>
  <c r="N39" i="6"/>
  <c r="O39" i="6" s="1"/>
  <c r="P39" i="6" l="1"/>
  <c r="Q39" i="6" s="1"/>
  <c r="R39" i="6" s="1"/>
  <c r="S39" i="6" s="1"/>
  <c r="T39" i="6" s="1"/>
  <c r="N37" i="6"/>
  <c r="D199" i="89" s="1"/>
  <c r="O37" i="6" l="1"/>
  <c r="E199" i="89" s="1"/>
  <c r="N42" i="6"/>
  <c r="O42" i="6" s="1"/>
  <c r="O43" i="6" s="1"/>
  <c r="N40" i="6"/>
  <c r="D200" i="89" s="1"/>
  <c r="P37" i="6"/>
  <c r="F199" i="89" s="1"/>
  <c r="O40" i="6" l="1"/>
  <c r="E200" i="89" s="1"/>
  <c r="P40" i="6"/>
  <c r="F200" i="89" s="1"/>
  <c r="Q37" i="6"/>
  <c r="G199" i="89" s="1"/>
  <c r="O41" i="6" l="1"/>
  <c r="Q40" i="6"/>
  <c r="G200" i="89" s="1"/>
  <c r="R37" i="6"/>
  <c r="H199" i="89" s="1"/>
  <c r="O393" i="2" l="1"/>
  <c r="V41" i="6"/>
  <c r="R40" i="6"/>
  <c r="H200" i="89" s="1"/>
  <c r="S37" i="6"/>
  <c r="I199" i="89" s="1"/>
  <c r="T37" i="6"/>
  <c r="J199" i="89" s="1"/>
  <c r="K199" i="89" s="1"/>
  <c r="N12" i="14"/>
  <c r="M12" i="14"/>
  <c r="L3" i="14"/>
  <c r="C2" i="32" a="1"/>
  <c r="C2" i="32" s="1"/>
  <c r="B2" i="32" a="1"/>
  <c r="B2" i="32" s="1"/>
  <c r="S40" i="6" l="1"/>
  <c r="I200" i="89" s="1"/>
  <c r="T40" i="6"/>
  <c r="J200" i="89" s="1"/>
  <c r="K200" i="89" s="1"/>
  <c r="M23" i="34"/>
  <c r="K2" i="32"/>
  <c r="I12" i="43"/>
  <c r="H12" i="43"/>
  <c r="G12" i="43"/>
  <c r="F12" i="43"/>
  <c r="E12" i="43"/>
  <c r="I11" i="43"/>
  <c r="H11" i="43"/>
  <c r="G11" i="43"/>
  <c r="F11" i="43"/>
  <c r="E11" i="43"/>
  <c r="D12" i="43"/>
  <c r="D11" i="43"/>
  <c r="D5" i="43"/>
  <c r="I10" i="43"/>
  <c r="H10" i="43"/>
  <c r="G10" i="43"/>
  <c r="F10" i="43"/>
  <c r="E10" i="43"/>
  <c r="D10" i="43"/>
  <c r="I9" i="43"/>
  <c r="H9" i="43"/>
  <c r="G9" i="43"/>
  <c r="F9" i="43"/>
  <c r="E9" i="43"/>
  <c r="D9" i="43"/>
  <c r="I8" i="43"/>
  <c r="H8" i="43"/>
  <c r="G8" i="43"/>
  <c r="F8" i="43"/>
  <c r="E8" i="43"/>
  <c r="D8" i="43"/>
  <c r="I7" i="43"/>
  <c r="H7" i="43"/>
  <c r="G7" i="43"/>
  <c r="F7" i="43"/>
  <c r="E7" i="43"/>
  <c r="D7" i="43"/>
  <c r="I6" i="43"/>
  <c r="H6" i="43"/>
  <c r="G6" i="43"/>
  <c r="F6" i="43"/>
  <c r="E6" i="43"/>
  <c r="D6" i="43"/>
  <c r="I5" i="43"/>
  <c r="H5" i="43"/>
  <c r="G5" i="43"/>
  <c r="F5" i="43"/>
  <c r="E5" i="43"/>
  <c r="P30" i="34" l="1"/>
  <c r="D13" i="43"/>
  <c r="E13" i="43"/>
  <c r="F13" i="43"/>
  <c r="H13" i="43"/>
  <c r="I13" i="43"/>
  <c r="G13" i="43"/>
  <c r="K42" i="42"/>
  <c r="H42" i="42"/>
  <c r="G42" i="42"/>
  <c r="F42" i="42"/>
  <c r="E42" i="42"/>
  <c r="D42" i="42"/>
  <c r="I41" i="42"/>
  <c r="I40" i="42"/>
  <c r="I39" i="42"/>
  <c r="I38" i="42"/>
  <c r="I37" i="42"/>
  <c r="I36" i="42"/>
  <c r="I35" i="42"/>
  <c r="I34" i="42"/>
  <c r="I33" i="42"/>
  <c r="I32" i="42"/>
  <c r="I31" i="42"/>
  <c r="I30" i="42"/>
  <c r="I29" i="42"/>
  <c r="I28" i="42"/>
  <c r="I27" i="42"/>
  <c r="I26" i="42"/>
  <c r="K21" i="42"/>
  <c r="H21" i="42"/>
  <c r="G21" i="42"/>
  <c r="F21" i="42"/>
  <c r="E21" i="42"/>
  <c r="D21" i="42"/>
  <c r="I20" i="42"/>
  <c r="I18" i="42"/>
  <c r="I17" i="42"/>
  <c r="I16" i="42"/>
  <c r="I15" i="42"/>
  <c r="I14" i="42"/>
  <c r="I13" i="42"/>
  <c r="I12" i="42"/>
  <c r="I11" i="42"/>
  <c r="I10" i="42"/>
  <c r="I9" i="42"/>
  <c r="I8" i="42"/>
  <c r="I7" i="42"/>
  <c r="I6" i="42"/>
  <c r="I5" i="42"/>
  <c r="M17" i="34"/>
  <c r="F265" i="89" l="1"/>
  <c r="D302" i="89"/>
  <c r="Q30" i="34"/>
  <c r="P23" i="34"/>
  <c r="F258" i="89" s="1"/>
  <c r="I21" i="42"/>
  <c r="M44" i="8"/>
  <c r="I42" i="42"/>
  <c r="L44" i="8"/>
  <c r="M15" i="8"/>
  <c r="M449" i="2" s="1"/>
  <c r="T449" i="2" s="1"/>
  <c r="T17" i="8" s="1"/>
  <c r="T16" i="8" s="1"/>
  <c r="M16" i="34"/>
  <c r="G46" i="3"/>
  <c r="G45" i="3" s="1"/>
  <c r="M27" i="34"/>
  <c r="M26" i="34"/>
  <c r="M21" i="8"/>
  <c r="G265" i="89" l="1"/>
  <c r="E302" i="89"/>
  <c r="Q23" i="34"/>
  <c r="G258" i="89" s="1"/>
  <c r="R30" i="34"/>
  <c r="M18" i="34"/>
  <c r="R449" i="2"/>
  <c r="R17" i="8" s="1"/>
  <c r="O449" i="2"/>
  <c r="O17" i="8" s="1"/>
  <c r="Q449" i="2"/>
  <c r="Q17" i="8" s="1"/>
  <c r="S449" i="2"/>
  <c r="S17" i="8" s="1"/>
  <c r="U17" i="8" s="1"/>
  <c r="U16" i="8" s="1"/>
  <c r="P449" i="2"/>
  <c r="P17" i="8" s="1"/>
  <c r="M29" i="34"/>
  <c r="M27" i="6"/>
  <c r="M45" i="6"/>
  <c r="M395" i="2" s="1"/>
  <c r="T395" i="2" s="1"/>
  <c r="T45" i="6" s="1"/>
  <c r="N13" i="14"/>
  <c r="N10" i="14"/>
  <c r="N9" i="14"/>
  <c r="N8" i="14"/>
  <c r="N6" i="14"/>
  <c r="N5" i="14"/>
  <c r="N4" i="14"/>
  <c r="N3" i="14"/>
  <c r="M13" i="14"/>
  <c r="M10" i="14"/>
  <c r="M9" i="14"/>
  <c r="M8" i="14"/>
  <c r="M6" i="14"/>
  <c r="M5" i="14"/>
  <c r="M4" i="14"/>
  <c r="M3" i="14"/>
  <c r="N128" i="5"/>
  <c r="D179" i="89" s="1"/>
  <c r="L129" i="5"/>
  <c r="L123" i="5"/>
  <c r="L128" i="5" s="1"/>
  <c r="CD248" i="14"/>
  <c r="CC248" i="14"/>
  <c r="CB248" i="14"/>
  <c r="BX248" i="14"/>
  <c r="BZ248" i="14" s="1"/>
  <c r="BW248" i="14"/>
  <c r="CD247" i="14"/>
  <c r="CC247" i="14"/>
  <c r="CB247" i="14"/>
  <c r="BX247" i="14"/>
  <c r="BZ247" i="14" s="1"/>
  <c r="BW247" i="14"/>
  <c r="CD246" i="14"/>
  <c r="CC246" i="14"/>
  <c r="CB246" i="14"/>
  <c r="BX246" i="14"/>
  <c r="BZ246" i="14" s="1"/>
  <c r="BW246" i="14"/>
  <c r="CD245" i="14"/>
  <c r="CC245" i="14"/>
  <c r="CB245" i="14"/>
  <c r="BX245" i="14"/>
  <c r="BZ245" i="14" s="1"/>
  <c r="BW245" i="14"/>
  <c r="CD244" i="14"/>
  <c r="CC244" i="14"/>
  <c r="CB244" i="14"/>
  <c r="BX244" i="14"/>
  <c r="BZ244" i="14" s="1"/>
  <c r="BW244" i="14"/>
  <c r="CD243" i="14"/>
  <c r="CC243" i="14"/>
  <c r="CB243" i="14"/>
  <c r="BX243" i="14"/>
  <c r="BZ243" i="14" s="1"/>
  <c r="BW243" i="14"/>
  <c r="CD242" i="14"/>
  <c r="CC242" i="14"/>
  <c r="CB242" i="14"/>
  <c r="BX242" i="14"/>
  <c r="BZ242" i="14" s="1"/>
  <c r="BW242" i="14"/>
  <c r="CD241" i="14"/>
  <c r="CC241" i="14"/>
  <c r="CB241" i="14"/>
  <c r="BX241" i="14"/>
  <c r="BZ241" i="14" s="1"/>
  <c r="BW241" i="14"/>
  <c r="CD240" i="14"/>
  <c r="CC240" i="14"/>
  <c r="CB240" i="14"/>
  <c r="BX240" i="14"/>
  <c r="BZ240" i="14" s="1"/>
  <c r="BW240" i="14"/>
  <c r="CD239" i="14"/>
  <c r="CC239" i="14"/>
  <c r="CB239" i="14"/>
  <c r="BX239" i="14"/>
  <c r="BZ239" i="14" s="1"/>
  <c r="BW239" i="14"/>
  <c r="CD238" i="14"/>
  <c r="CC238" i="14"/>
  <c r="CB238" i="14"/>
  <c r="BX238" i="14"/>
  <c r="BZ238" i="14" s="1"/>
  <c r="BW238" i="14"/>
  <c r="CD237" i="14"/>
  <c r="CC237" i="14"/>
  <c r="CB237" i="14"/>
  <c r="BX237" i="14"/>
  <c r="BZ237" i="14" s="1"/>
  <c r="BW237" i="14"/>
  <c r="CD236" i="14"/>
  <c r="CC236" i="14"/>
  <c r="CB236" i="14"/>
  <c r="BX236" i="14"/>
  <c r="BZ236" i="14" s="1"/>
  <c r="BW236" i="14"/>
  <c r="CD235" i="14"/>
  <c r="CC235" i="14"/>
  <c r="CB235" i="14"/>
  <c r="BX235" i="14"/>
  <c r="BZ235" i="14" s="1"/>
  <c r="BW235" i="14"/>
  <c r="CD234" i="14"/>
  <c r="CC234" i="14"/>
  <c r="CB234" i="14"/>
  <c r="BX234" i="14"/>
  <c r="BZ234" i="14" s="1"/>
  <c r="BW234" i="14"/>
  <c r="CD233" i="14"/>
  <c r="CC233" i="14"/>
  <c r="CB233" i="14"/>
  <c r="BX233" i="14"/>
  <c r="BZ233" i="14" s="1"/>
  <c r="BW233" i="14"/>
  <c r="CD232" i="14"/>
  <c r="CC232" i="14"/>
  <c r="CB232" i="14"/>
  <c r="BX232" i="14"/>
  <c r="BZ232" i="14" s="1"/>
  <c r="BW232" i="14"/>
  <c r="CD231" i="14"/>
  <c r="CC231" i="14"/>
  <c r="CB231" i="14"/>
  <c r="BX231" i="14"/>
  <c r="BZ231" i="14" s="1"/>
  <c r="BW231" i="14"/>
  <c r="CD230" i="14"/>
  <c r="CC230" i="14"/>
  <c r="CB230" i="14"/>
  <c r="BX230" i="14"/>
  <c r="BZ230" i="14" s="1"/>
  <c r="BW230" i="14"/>
  <c r="CD229" i="14"/>
  <c r="CC229" i="14"/>
  <c r="CB229" i="14"/>
  <c r="BX229" i="14"/>
  <c r="BZ229" i="14" s="1"/>
  <c r="BW229" i="14"/>
  <c r="CD228" i="14"/>
  <c r="CC228" i="14"/>
  <c r="CB228" i="14"/>
  <c r="BX228" i="14"/>
  <c r="BZ228" i="14" s="1"/>
  <c r="BW228" i="14"/>
  <c r="CD197" i="14"/>
  <c r="CC197" i="14"/>
  <c r="CB197" i="14"/>
  <c r="BX197" i="14"/>
  <c r="BZ197" i="14" s="1"/>
  <c r="BW197" i="14"/>
  <c r="CD196" i="14"/>
  <c r="CC196" i="14"/>
  <c r="CB196" i="14"/>
  <c r="BX196" i="14"/>
  <c r="BZ196" i="14" s="1"/>
  <c r="BW196" i="14"/>
  <c r="CD195" i="14"/>
  <c r="CC195" i="14"/>
  <c r="CB195" i="14"/>
  <c r="BX195" i="14"/>
  <c r="BZ195" i="14" s="1"/>
  <c r="BW195" i="14"/>
  <c r="CD194" i="14"/>
  <c r="CC194" i="14"/>
  <c r="CB194" i="14"/>
  <c r="BX194" i="14"/>
  <c r="BZ194" i="14" s="1"/>
  <c r="BW194" i="14"/>
  <c r="CD193" i="14"/>
  <c r="CC193" i="14"/>
  <c r="CB193" i="14"/>
  <c r="BX193" i="14"/>
  <c r="BZ193" i="14" s="1"/>
  <c r="BW193" i="14"/>
  <c r="CD192" i="14"/>
  <c r="CC192" i="14"/>
  <c r="CB192" i="14"/>
  <c r="BX192" i="14"/>
  <c r="BZ192" i="14" s="1"/>
  <c r="BW192" i="14"/>
  <c r="CD191" i="14"/>
  <c r="CC191" i="14"/>
  <c r="CB191" i="14"/>
  <c r="BX191" i="14"/>
  <c r="BZ191" i="14" s="1"/>
  <c r="BW191" i="14"/>
  <c r="CD190" i="14"/>
  <c r="CC190" i="14"/>
  <c r="CB190" i="14"/>
  <c r="BX190" i="14"/>
  <c r="BZ190" i="14" s="1"/>
  <c r="BW190" i="14"/>
  <c r="CD189" i="14"/>
  <c r="CC189" i="14"/>
  <c r="CB189" i="14"/>
  <c r="BX189" i="14"/>
  <c r="BZ189" i="14" s="1"/>
  <c r="BW189" i="14"/>
  <c r="CD188" i="14"/>
  <c r="CC188" i="14"/>
  <c r="CB188" i="14"/>
  <c r="BX188" i="14"/>
  <c r="BZ188" i="14" s="1"/>
  <c r="BW188" i="14"/>
  <c r="CD187" i="14"/>
  <c r="CC187" i="14"/>
  <c r="CB187" i="14"/>
  <c r="BX187" i="14"/>
  <c r="BZ187" i="14" s="1"/>
  <c r="BW187" i="14"/>
  <c r="CD186" i="14"/>
  <c r="CC186" i="14"/>
  <c r="CB186" i="14"/>
  <c r="BX186" i="14"/>
  <c r="BZ186" i="14" s="1"/>
  <c r="BW186" i="14"/>
  <c r="CD185" i="14"/>
  <c r="CC185" i="14"/>
  <c r="CB185" i="14"/>
  <c r="BX185" i="14"/>
  <c r="BZ185" i="14" s="1"/>
  <c r="BW185" i="14"/>
  <c r="CD184" i="14"/>
  <c r="CC184" i="14"/>
  <c r="CB184" i="14"/>
  <c r="BX184" i="14"/>
  <c r="BZ184" i="14" s="1"/>
  <c r="BW184" i="14"/>
  <c r="CD183" i="14"/>
  <c r="CC183" i="14"/>
  <c r="CB183" i="14"/>
  <c r="BX183" i="14"/>
  <c r="BZ183" i="14" s="1"/>
  <c r="BW183" i="14"/>
  <c r="CD182" i="14"/>
  <c r="CC182" i="14"/>
  <c r="CB182" i="14"/>
  <c r="BX182" i="14"/>
  <c r="BZ182" i="14" s="1"/>
  <c r="BW182" i="14"/>
  <c r="CD181" i="14"/>
  <c r="CC181" i="14"/>
  <c r="CB181" i="14"/>
  <c r="BX181" i="14"/>
  <c r="BZ181" i="14" s="1"/>
  <c r="BW181" i="14"/>
  <c r="CD180" i="14"/>
  <c r="CC180" i="14"/>
  <c r="CB180" i="14"/>
  <c r="BX180" i="14"/>
  <c r="BZ180" i="14" s="1"/>
  <c r="BW180" i="14"/>
  <c r="CD179" i="14"/>
  <c r="CC179" i="14"/>
  <c r="CB179" i="14"/>
  <c r="BX179" i="14"/>
  <c r="BZ179" i="14" s="1"/>
  <c r="BW179" i="14"/>
  <c r="CD178" i="14"/>
  <c r="CC178" i="14"/>
  <c r="CB178" i="14"/>
  <c r="BX178" i="14"/>
  <c r="BZ178" i="14" s="1"/>
  <c r="BW178" i="14"/>
  <c r="CD177" i="14"/>
  <c r="CC177" i="14"/>
  <c r="CB177" i="14"/>
  <c r="BX177" i="14"/>
  <c r="BZ177" i="14" s="1"/>
  <c r="BW177" i="14"/>
  <c r="BW39" i="14"/>
  <c r="F153" i="41"/>
  <c r="F152" i="41"/>
  <c r="F151" i="41"/>
  <c r="F150" i="41"/>
  <c r="F149" i="41"/>
  <c r="E153" i="41"/>
  <c r="E152" i="41"/>
  <c r="E150" i="41"/>
  <c r="E149" i="41"/>
  <c r="M546" i="2"/>
  <c r="E76" i="59" s="1"/>
  <c r="F76" i="59" s="1"/>
  <c r="N546" i="2" s="1"/>
  <c r="M545" i="2"/>
  <c r="E75" i="59" s="1"/>
  <c r="F75" i="59" s="1"/>
  <c r="N545" i="2" s="1"/>
  <c r="M544" i="2"/>
  <c r="E73" i="59" s="1"/>
  <c r="F73" i="59" s="1"/>
  <c r="N544" i="2" s="1"/>
  <c r="E74" i="59"/>
  <c r="F74" i="59" s="1"/>
  <c r="T44" i="6" l="1"/>
  <c r="J201" i="89" s="1"/>
  <c r="H265" i="89"/>
  <c r="F302" i="89"/>
  <c r="S30" i="34"/>
  <c r="R23" i="34"/>
  <c r="H258" i="89" s="1"/>
  <c r="N123" i="5"/>
  <c r="D177" i="89" s="1"/>
  <c r="O546" i="2"/>
  <c r="N166" i="4"/>
  <c r="N99" i="4" s="1"/>
  <c r="O545" i="2"/>
  <c r="M187" i="4"/>
  <c r="M188" i="4" s="1"/>
  <c r="M561" i="2" s="1"/>
  <c r="M183" i="4"/>
  <c r="M184" i="4" s="1"/>
  <c r="M559" i="2" s="1"/>
  <c r="M181" i="4"/>
  <c r="M7" i="14"/>
  <c r="M11" i="14" s="1"/>
  <c r="M185" i="4"/>
  <c r="M186" i="4" s="1"/>
  <c r="M560" i="2" s="1"/>
  <c r="M179" i="4"/>
  <c r="M283" i="5"/>
  <c r="M633" i="2" s="1"/>
  <c r="M140" i="6"/>
  <c r="M697" i="2" s="1"/>
  <c r="L30" i="5"/>
  <c r="M30" i="5"/>
  <c r="M279" i="5"/>
  <c r="M631" i="2" s="1"/>
  <c r="M136" i="6"/>
  <c r="M695" i="2" s="1"/>
  <c r="O695" i="2" s="1"/>
  <c r="M281" i="5"/>
  <c r="M632" i="2" s="1"/>
  <c r="M138" i="6"/>
  <c r="M696" i="2" s="1"/>
  <c r="O128" i="5"/>
  <c r="E179" i="89" s="1"/>
  <c r="P395" i="2"/>
  <c r="Q395" i="2"/>
  <c r="S395" i="2"/>
  <c r="R395" i="2"/>
  <c r="N395" i="2"/>
  <c r="O60" i="6"/>
  <c r="M47" i="6"/>
  <c r="M396" i="2" s="1"/>
  <c r="T396" i="2" s="1"/>
  <c r="T47" i="6" s="1"/>
  <c r="L122" i="5"/>
  <c r="M130" i="5"/>
  <c r="M275" i="2" s="1"/>
  <c r="N275" i="2" s="1"/>
  <c r="M122" i="5"/>
  <c r="N7" i="14"/>
  <c r="N11" i="14" s="1"/>
  <c r="M114" i="2"/>
  <c r="O114" i="2" s="1"/>
  <c r="L114" i="2"/>
  <c r="M113" i="2"/>
  <c r="O113" i="2" s="1"/>
  <c r="L113" i="2"/>
  <c r="M112" i="2"/>
  <c r="O112" i="2" s="1"/>
  <c r="L112" i="2"/>
  <c r="M111" i="2"/>
  <c r="O111" i="2" s="1"/>
  <c r="L111" i="2"/>
  <c r="M110" i="2"/>
  <c r="O110" i="2" s="1"/>
  <c r="L110" i="2"/>
  <c r="M109" i="2"/>
  <c r="O109" i="2" s="1"/>
  <c r="L109" i="2"/>
  <c r="M108" i="2"/>
  <c r="O108" i="2" s="1"/>
  <c r="L108" i="2"/>
  <c r="M107" i="2"/>
  <c r="O107" i="2" s="1"/>
  <c r="L107" i="2"/>
  <c r="M105" i="2"/>
  <c r="O105" i="2" s="1"/>
  <c r="L105" i="2"/>
  <c r="M104" i="2"/>
  <c r="O104" i="2" s="1"/>
  <c r="L104" i="2"/>
  <c r="M103" i="2"/>
  <c r="O103" i="2" s="1"/>
  <c r="L103" i="2"/>
  <c r="J274" i="14"/>
  <c r="I274" i="14"/>
  <c r="H274" i="14"/>
  <c r="K273" i="14"/>
  <c r="L273" i="14" s="1"/>
  <c r="G273" i="14"/>
  <c r="K272" i="14"/>
  <c r="L272" i="14" s="1"/>
  <c r="G272" i="14"/>
  <c r="K271" i="14"/>
  <c r="L271" i="14" s="1"/>
  <c r="G271" i="14"/>
  <c r="K270" i="14"/>
  <c r="L270" i="14" s="1"/>
  <c r="G270" i="14"/>
  <c r="K269" i="14"/>
  <c r="L269" i="14" s="1"/>
  <c r="G269" i="14"/>
  <c r="K268" i="14"/>
  <c r="L268" i="14" s="1"/>
  <c r="G268" i="14"/>
  <c r="K267" i="14"/>
  <c r="L267" i="14" s="1"/>
  <c r="G267" i="14"/>
  <c r="K266" i="14"/>
  <c r="L266" i="14" s="1"/>
  <c r="G266" i="14"/>
  <c r="K265" i="14"/>
  <c r="L265" i="14" s="1"/>
  <c r="G265" i="14"/>
  <c r="K264" i="14"/>
  <c r="L264" i="14" s="1"/>
  <c r="G264" i="14"/>
  <c r="K263" i="14"/>
  <c r="L263" i="14" s="1"/>
  <c r="G263" i="14"/>
  <c r="K262" i="14"/>
  <c r="L262" i="14" s="1"/>
  <c r="G262" i="14"/>
  <c r="K261" i="14"/>
  <c r="L261" i="14" s="1"/>
  <c r="G261" i="14"/>
  <c r="K260" i="14"/>
  <c r="L260" i="14" s="1"/>
  <c r="G260" i="14"/>
  <c r="K259" i="14"/>
  <c r="L259" i="14" s="1"/>
  <c r="G259" i="14"/>
  <c r="K258" i="14"/>
  <c r="L258" i="14" s="1"/>
  <c r="G258" i="14"/>
  <c r="K257" i="14"/>
  <c r="L257" i="14" s="1"/>
  <c r="G257" i="14"/>
  <c r="K256" i="14"/>
  <c r="L256" i="14" s="1"/>
  <c r="G256" i="14"/>
  <c r="K255" i="14"/>
  <c r="L255" i="14" s="1"/>
  <c r="G255" i="14"/>
  <c r="K254" i="14"/>
  <c r="L254" i="14" s="1"/>
  <c r="G254" i="14"/>
  <c r="BU249" i="14"/>
  <c r="BT249" i="14"/>
  <c r="BS249" i="14"/>
  <c r="BR249" i="14"/>
  <c r="BQ249" i="14"/>
  <c r="BP249" i="14"/>
  <c r="BO249" i="14"/>
  <c r="BN249" i="14"/>
  <c r="BM249" i="14"/>
  <c r="BL249" i="14"/>
  <c r="BK249" i="14"/>
  <c r="BJ249" i="14"/>
  <c r="BI249" i="14"/>
  <c r="BH249" i="14"/>
  <c r="BG249" i="14"/>
  <c r="BF249" i="14"/>
  <c r="BE249" i="14"/>
  <c r="BD249" i="14"/>
  <c r="BC249" i="14"/>
  <c r="BB249" i="14"/>
  <c r="BA249" i="14"/>
  <c r="AZ249" i="14"/>
  <c r="AY249" i="14"/>
  <c r="AX249" i="14"/>
  <c r="AW249" i="14"/>
  <c r="AV249" i="14"/>
  <c r="AU249" i="14"/>
  <c r="AT249" i="14"/>
  <c r="AS249" i="14"/>
  <c r="AR249" i="14"/>
  <c r="AQ249" i="14"/>
  <c r="AP249" i="14"/>
  <c r="AO249" i="14"/>
  <c r="AN249" i="14"/>
  <c r="AM249" i="14"/>
  <c r="AL249" i="14"/>
  <c r="AK249" i="14"/>
  <c r="AJ249" i="14"/>
  <c r="AI249" i="14"/>
  <c r="AH249" i="14"/>
  <c r="AG249" i="14"/>
  <c r="AF249" i="14"/>
  <c r="AE249" i="14"/>
  <c r="AD249" i="14"/>
  <c r="AC249" i="14"/>
  <c r="AB249" i="14"/>
  <c r="AA249" i="14"/>
  <c r="Z249" i="14"/>
  <c r="Y249" i="14"/>
  <c r="X249" i="14"/>
  <c r="W249" i="14"/>
  <c r="V249" i="14"/>
  <c r="U249" i="14"/>
  <c r="T249" i="14"/>
  <c r="S249" i="14"/>
  <c r="R249" i="14"/>
  <c r="Q249" i="14"/>
  <c r="P249" i="14"/>
  <c r="O249" i="14"/>
  <c r="N249" i="14"/>
  <c r="M249" i="14"/>
  <c r="L249" i="14"/>
  <c r="K249" i="14"/>
  <c r="J249" i="14"/>
  <c r="I249" i="14"/>
  <c r="H249" i="14"/>
  <c r="G249" i="14"/>
  <c r="F249" i="14"/>
  <c r="E249" i="14"/>
  <c r="J223" i="14"/>
  <c r="I223" i="14"/>
  <c r="H223" i="14"/>
  <c r="K222" i="14"/>
  <c r="L222" i="14" s="1"/>
  <c r="G222" i="14"/>
  <c r="K221" i="14"/>
  <c r="L221" i="14" s="1"/>
  <c r="G221" i="14"/>
  <c r="K220" i="14"/>
  <c r="L220" i="14" s="1"/>
  <c r="G220" i="14"/>
  <c r="K219" i="14"/>
  <c r="L219" i="14" s="1"/>
  <c r="G219" i="14"/>
  <c r="K218" i="14"/>
  <c r="L218" i="14" s="1"/>
  <c r="G218" i="14"/>
  <c r="K217" i="14"/>
  <c r="L217" i="14" s="1"/>
  <c r="G217" i="14"/>
  <c r="K216" i="14"/>
  <c r="L216" i="14" s="1"/>
  <c r="G216" i="14"/>
  <c r="K215" i="14"/>
  <c r="L215" i="14" s="1"/>
  <c r="G215" i="14"/>
  <c r="K214" i="14"/>
  <c r="L214" i="14" s="1"/>
  <c r="G214" i="14"/>
  <c r="K213" i="14"/>
  <c r="L213" i="14" s="1"/>
  <c r="G213" i="14"/>
  <c r="K212" i="14"/>
  <c r="L212" i="14" s="1"/>
  <c r="G212" i="14"/>
  <c r="K211" i="14"/>
  <c r="L211" i="14" s="1"/>
  <c r="G211" i="14"/>
  <c r="K210" i="14"/>
  <c r="L210" i="14" s="1"/>
  <c r="G210" i="14"/>
  <c r="K209" i="14"/>
  <c r="L209" i="14" s="1"/>
  <c r="G209" i="14"/>
  <c r="K208" i="14"/>
  <c r="L208" i="14" s="1"/>
  <c r="G208" i="14"/>
  <c r="K207" i="14"/>
  <c r="L207" i="14" s="1"/>
  <c r="G207" i="14"/>
  <c r="K206" i="14"/>
  <c r="L206" i="14" s="1"/>
  <c r="G206" i="14"/>
  <c r="K205" i="14"/>
  <c r="L205" i="14" s="1"/>
  <c r="G205" i="14"/>
  <c r="K204" i="14"/>
  <c r="L204" i="14" s="1"/>
  <c r="G204" i="14"/>
  <c r="K203" i="14"/>
  <c r="L203" i="14" s="1"/>
  <c r="G203" i="14"/>
  <c r="BU198" i="14"/>
  <c r="BT198" i="14"/>
  <c r="BS198" i="14"/>
  <c r="BR198" i="14"/>
  <c r="BQ198" i="14"/>
  <c r="BP198" i="14"/>
  <c r="BO198" i="14"/>
  <c r="BN198" i="14"/>
  <c r="BM198" i="14"/>
  <c r="BL198" i="14"/>
  <c r="BK198" i="14"/>
  <c r="BJ198" i="14"/>
  <c r="BI198" i="14"/>
  <c r="BH198" i="14"/>
  <c r="BG198" i="14"/>
  <c r="BF198" i="14"/>
  <c r="BE198" i="14"/>
  <c r="BD198" i="14"/>
  <c r="BC198" i="14"/>
  <c r="BB198" i="14"/>
  <c r="BA198" i="14"/>
  <c r="AZ198" i="14"/>
  <c r="AY198" i="14"/>
  <c r="AX198" i="14"/>
  <c r="AW198" i="14"/>
  <c r="AV198" i="14"/>
  <c r="AU198" i="14"/>
  <c r="AT198" i="14"/>
  <c r="AS198" i="14"/>
  <c r="AR198" i="14"/>
  <c r="AQ198" i="14"/>
  <c r="AP198" i="14"/>
  <c r="AO198" i="14"/>
  <c r="AN198" i="14"/>
  <c r="AM198" i="14"/>
  <c r="AL198" i="14"/>
  <c r="AK198" i="14"/>
  <c r="AJ198" i="14"/>
  <c r="AI198" i="14"/>
  <c r="AH198" i="14"/>
  <c r="AG198" i="14"/>
  <c r="AF198" i="14"/>
  <c r="AE198" i="14"/>
  <c r="AD198" i="14"/>
  <c r="AC198" i="14"/>
  <c r="AB198" i="14"/>
  <c r="AA198" i="14"/>
  <c r="Z198" i="14"/>
  <c r="Y198" i="14"/>
  <c r="X198" i="14"/>
  <c r="W198" i="14"/>
  <c r="V198" i="14"/>
  <c r="U198" i="14"/>
  <c r="T198" i="14"/>
  <c r="S198" i="14"/>
  <c r="R198" i="14"/>
  <c r="Q198" i="14"/>
  <c r="P198" i="14"/>
  <c r="O198" i="14"/>
  <c r="N198" i="14"/>
  <c r="M198" i="14"/>
  <c r="L198" i="14"/>
  <c r="K198" i="14"/>
  <c r="J198" i="14"/>
  <c r="I198" i="14"/>
  <c r="H198" i="14"/>
  <c r="G198" i="14"/>
  <c r="F198" i="14"/>
  <c r="E198" i="14"/>
  <c r="R104" i="2" l="1"/>
  <c r="T104" i="2"/>
  <c r="T34" i="4" s="1"/>
  <c r="S104" i="2"/>
  <c r="Q104" i="2"/>
  <c r="P104" i="2"/>
  <c r="T46" i="6"/>
  <c r="J202" i="89" s="1"/>
  <c r="I265" i="89"/>
  <c r="G302" i="89"/>
  <c r="L29" i="5"/>
  <c r="L118" i="5"/>
  <c r="L190" i="2" s="1"/>
  <c r="M29" i="5"/>
  <c r="M118" i="5"/>
  <c r="M190" i="2" s="1"/>
  <c r="N190" i="2" s="1"/>
  <c r="N118" i="5" s="1"/>
  <c r="S23" i="34"/>
  <c r="I258" i="89" s="1"/>
  <c r="T30" i="34"/>
  <c r="P18" i="34"/>
  <c r="F253" i="89" s="1"/>
  <c r="M182" i="4"/>
  <c r="M558" i="2" s="1"/>
  <c r="N558" i="2" s="1"/>
  <c r="O558" i="2" s="1"/>
  <c r="O123" i="5"/>
  <c r="E177" i="89" s="1"/>
  <c r="P128" i="5"/>
  <c r="F179" i="89" s="1"/>
  <c r="P29" i="34"/>
  <c r="F264" i="89" s="1"/>
  <c r="O544" i="2"/>
  <c r="T168" i="4"/>
  <c r="T100" i="4" s="1"/>
  <c r="T170" i="4"/>
  <c r="T101" i="4" s="1"/>
  <c r="S631" i="2"/>
  <c r="T631" i="2"/>
  <c r="T279" i="5" s="1"/>
  <c r="Q696" i="2"/>
  <c r="T696" i="2"/>
  <c r="T138" i="6" s="1"/>
  <c r="Q697" i="2"/>
  <c r="T697" i="2"/>
  <c r="T140" i="6" s="1"/>
  <c r="O632" i="2"/>
  <c r="T632" i="2"/>
  <c r="T281" i="5" s="1"/>
  <c r="P633" i="2"/>
  <c r="T633" i="2"/>
  <c r="T283" i="5" s="1"/>
  <c r="S695" i="2"/>
  <c r="T695" i="2"/>
  <c r="T136" i="6" s="1"/>
  <c r="N559" i="2"/>
  <c r="O559" i="2" s="1"/>
  <c r="N561" i="2"/>
  <c r="O561" i="2" s="1"/>
  <c r="N560" i="2"/>
  <c r="O560" i="2" s="1"/>
  <c r="R633" i="2"/>
  <c r="Q695" i="2"/>
  <c r="M85" i="4"/>
  <c r="O633" i="2"/>
  <c r="Q633" i="2"/>
  <c r="P632" i="2"/>
  <c r="Q632" i="2"/>
  <c r="Q281" i="5" s="1"/>
  <c r="M77" i="4"/>
  <c r="M44" i="2" s="1"/>
  <c r="S632" i="2"/>
  <c r="S633" i="2"/>
  <c r="R632" i="2"/>
  <c r="R697" i="2"/>
  <c r="N633" i="2"/>
  <c r="N632" i="2"/>
  <c r="S697" i="2"/>
  <c r="N695" i="2"/>
  <c r="N631" i="2"/>
  <c r="O697" i="2"/>
  <c r="P631" i="2"/>
  <c r="N697" i="2"/>
  <c r="P697" i="2"/>
  <c r="N696" i="2"/>
  <c r="O631" i="2"/>
  <c r="P695" i="2"/>
  <c r="Q631" i="2"/>
  <c r="Q279" i="5" s="1"/>
  <c r="R695" i="2"/>
  <c r="R631" i="2"/>
  <c r="K223" i="14"/>
  <c r="L223" i="14" s="1"/>
  <c r="S696" i="2"/>
  <c r="K274" i="14"/>
  <c r="L274" i="14" s="1"/>
  <c r="O696" i="2"/>
  <c r="L44" i="4"/>
  <c r="R696" i="2"/>
  <c r="P696" i="2"/>
  <c r="M180" i="4"/>
  <c r="M81" i="4"/>
  <c r="M45" i="2" s="1"/>
  <c r="O45" i="2" s="1"/>
  <c r="L85" i="4"/>
  <c r="L46" i="2" s="1"/>
  <c r="L30" i="4"/>
  <c r="L31" i="4" s="1"/>
  <c r="L88" i="3" s="1"/>
  <c r="L58" i="4"/>
  <c r="L59" i="4" s="1"/>
  <c r="L92" i="3" s="1"/>
  <c r="L73" i="4"/>
  <c r="L43" i="2" s="1"/>
  <c r="L69" i="4"/>
  <c r="L42" i="2" s="1"/>
  <c r="L106" i="2"/>
  <c r="M30" i="4"/>
  <c r="M31" i="4" s="1"/>
  <c r="M88" i="3" s="1"/>
  <c r="M44" i="4"/>
  <c r="M58" i="4"/>
  <c r="M59" i="4" s="1"/>
  <c r="M92" i="3" s="1"/>
  <c r="M73" i="4"/>
  <c r="M69" i="4"/>
  <c r="M42" i="2" s="1"/>
  <c r="M106" i="2"/>
  <c r="O106" i="2" s="1"/>
  <c r="L77" i="4"/>
  <c r="L44" i="2" s="1"/>
  <c r="L20" i="4"/>
  <c r="L23" i="4"/>
  <c r="L24" i="4" s="1"/>
  <c r="L37" i="4"/>
  <c r="L38" i="4" s="1"/>
  <c r="L89" i="3" s="1"/>
  <c r="L51" i="4"/>
  <c r="L52" i="4" s="1"/>
  <c r="L91" i="3" s="1"/>
  <c r="L65" i="4"/>
  <c r="L41" i="2" s="1"/>
  <c r="L81" i="4"/>
  <c r="L45" i="2" s="1"/>
  <c r="M23" i="4"/>
  <c r="M24" i="4" s="1"/>
  <c r="M37" i="4"/>
  <c r="M38" i="4" s="1"/>
  <c r="M89" i="3" s="1"/>
  <c r="M51" i="4"/>
  <c r="M52" i="4" s="1"/>
  <c r="M91" i="3" s="1"/>
  <c r="M65" i="4"/>
  <c r="M41" i="2" s="1"/>
  <c r="M21" i="6"/>
  <c r="S396" i="2"/>
  <c r="R396" i="2"/>
  <c r="Q396" i="2"/>
  <c r="P396" i="2"/>
  <c r="N396" i="2"/>
  <c r="M24" i="5"/>
  <c r="M20" i="4"/>
  <c r="M46" i="2" l="1"/>
  <c r="W85" i="4"/>
  <c r="M43" i="2"/>
  <c r="W73" i="4"/>
  <c r="J74" i="89"/>
  <c r="T49" i="5"/>
  <c r="T51" i="5" s="1"/>
  <c r="T48" i="5" s="1"/>
  <c r="J136" i="89" s="1"/>
  <c r="T28" i="4"/>
  <c r="J265" i="89"/>
  <c r="H302" i="89"/>
  <c r="Q18" i="34"/>
  <c r="G253" i="89" s="1"/>
  <c r="T23" i="34"/>
  <c r="J258" i="89" s="1"/>
  <c r="P123" i="5"/>
  <c r="F177" i="89" s="1"/>
  <c r="Q128" i="5"/>
  <c r="G179" i="89" s="1"/>
  <c r="T139" i="6"/>
  <c r="T77" i="6" s="1"/>
  <c r="T78" i="6" s="1"/>
  <c r="T280" i="5"/>
  <c r="T185" i="5" s="1"/>
  <c r="L85" i="3"/>
  <c r="M85" i="3"/>
  <c r="Q29" i="34"/>
  <c r="G264" i="89" s="1"/>
  <c r="D13" i="56"/>
  <c r="E13" i="56" s="1"/>
  <c r="O43" i="2"/>
  <c r="D16" i="56"/>
  <c r="E16" i="56" s="1"/>
  <c r="O46" i="2"/>
  <c r="D12" i="56"/>
  <c r="E12" i="56" s="1"/>
  <c r="O42" i="2"/>
  <c r="D14" i="56"/>
  <c r="E14" i="56" s="1"/>
  <c r="O44" i="2"/>
  <c r="L89" i="4"/>
  <c r="L90" i="2" s="1"/>
  <c r="L9" i="4"/>
  <c r="T137" i="6"/>
  <c r="T75" i="6" s="1"/>
  <c r="T76" i="6" s="1"/>
  <c r="T282" i="5"/>
  <c r="T186" i="5" s="1"/>
  <c r="T166" i="4"/>
  <c r="D15" i="56"/>
  <c r="E15" i="56" s="1"/>
  <c r="M89" i="4"/>
  <c r="M90" i="2" s="1"/>
  <c r="M9" i="4"/>
  <c r="L24" i="5"/>
  <c r="B1" i="40"/>
  <c r="C1" i="40" s="1"/>
  <c r="D1" i="40" s="1"/>
  <c r="E1" i="40" s="1"/>
  <c r="F1" i="40" s="1"/>
  <c r="G1" i="40" s="1"/>
  <c r="H1" i="40" s="1"/>
  <c r="I1" i="40" s="1"/>
  <c r="J1" i="40" s="1"/>
  <c r="K1" i="40" s="1"/>
  <c r="L1" i="40" s="1"/>
  <c r="M1" i="40" s="1"/>
  <c r="N1" i="40" s="1"/>
  <c r="O1" i="40" s="1"/>
  <c r="P1" i="40" s="1"/>
  <c r="Q1" i="40" s="1"/>
  <c r="R1" i="40" s="1"/>
  <c r="S1" i="40" s="1"/>
  <c r="T1" i="40" s="1"/>
  <c r="U1" i="40" s="1"/>
  <c r="V1" i="40" s="1"/>
  <c r="W1" i="40" s="1"/>
  <c r="X1" i="40" s="1"/>
  <c r="Y1" i="40" s="1"/>
  <c r="Z1" i="40" s="1"/>
  <c r="AA1" i="40" s="1"/>
  <c r="AB1" i="40" s="1"/>
  <c r="AC1" i="40" s="1"/>
  <c r="AD1" i="40" s="1"/>
  <c r="AE1" i="40" s="1"/>
  <c r="AF1" i="40" s="1"/>
  <c r="AG1" i="40" s="1"/>
  <c r="AH1" i="40" s="1"/>
  <c r="AI1" i="40" s="1"/>
  <c r="AJ1" i="40" s="1"/>
  <c r="AK1" i="40" s="1"/>
  <c r="AL1" i="40" s="1"/>
  <c r="AM1" i="40" s="1"/>
  <c r="J72" i="89" l="1"/>
  <c r="J52" i="89"/>
  <c r="R18" i="34"/>
  <c r="H253" i="89" s="1"/>
  <c r="Q123" i="5"/>
  <c r="G177" i="89" s="1"/>
  <c r="R128" i="5"/>
  <c r="H179" i="89" s="1"/>
  <c r="T165" i="4"/>
  <c r="T99" i="4"/>
  <c r="R29" i="34"/>
  <c r="H264" i="89" s="1"/>
  <c r="M189" i="4"/>
  <c r="T135" i="6"/>
  <c r="T73" i="6" s="1"/>
  <c r="T278" i="5"/>
  <c r="M53" i="6"/>
  <c r="M413" i="2" s="1"/>
  <c r="S18" i="34" l="1"/>
  <c r="I253" i="89" s="1"/>
  <c r="T74" i="6"/>
  <c r="T134" i="6"/>
  <c r="S128" i="5"/>
  <c r="I179" i="89" s="1"/>
  <c r="R123" i="5"/>
  <c r="H177" i="89" s="1"/>
  <c r="T184" i="5"/>
  <c r="T277" i="5"/>
  <c r="S29" i="34"/>
  <c r="I264" i="89" s="1"/>
  <c r="M178" i="4"/>
  <c r="M562" i="2"/>
  <c r="O562" i="2" s="1"/>
  <c r="T18" i="34" l="1"/>
  <c r="J253" i="89" s="1"/>
  <c r="S123" i="5"/>
  <c r="I177" i="89" s="1"/>
  <c r="T128" i="5"/>
  <c r="T29" i="34"/>
  <c r="J264" i="89" s="1"/>
  <c r="M13" i="4"/>
  <c r="Y58" i="36"/>
  <c r="Y57" i="36"/>
  <c r="Y56" i="36"/>
  <c r="Y55" i="36"/>
  <c r="X54" i="36"/>
  <c r="X59" i="36"/>
  <c r="V54" i="36"/>
  <c r="V59" i="36"/>
  <c r="W54" i="36"/>
  <c r="U54" i="36"/>
  <c r="U59" i="36"/>
  <c r="R54" i="36"/>
  <c r="V36" i="36"/>
  <c r="V41" i="36"/>
  <c r="X36" i="36"/>
  <c r="X41" i="36"/>
  <c r="W36" i="36"/>
  <c r="U36" i="36"/>
  <c r="W41" i="36"/>
  <c r="U41" i="36"/>
  <c r="T123" i="5" l="1"/>
  <c r="J177" i="89" s="1"/>
  <c r="K177" i="89" s="1"/>
  <c r="J179" i="89"/>
  <c r="K179" i="89" s="1"/>
  <c r="Y54" i="36"/>
  <c r="Y36" i="36"/>
  <c r="W59" i="36"/>
  <c r="S54" i="36"/>
  <c r="R59" i="36"/>
  <c r="T54" i="36"/>
  <c r="S59" i="36"/>
  <c r="T59" i="36"/>
  <c r="T36" i="36"/>
  <c r="S36" i="36"/>
  <c r="R36" i="36"/>
  <c r="T41" i="36"/>
  <c r="Y24" i="36"/>
  <c r="Y23" i="36"/>
  <c r="Y22" i="36"/>
  <c r="Y21" i="36"/>
  <c r="V20" i="36"/>
  <c r="X20" i="36"/>
  <c r="X25" i="36"/>
  <c r="W20" i="36"/>
  <c r="U20" i="36"/>
  <c r="W25" i="36"/>
  <c r="U25" i="36"/>
  <c r="R20" i="36"/>
  <c r="R25" i="36"/>
  <c r="T20" i="36"/>
  <c r="S20" i="36"/>
  <c r="V15" i="36"/>
  <c r="V6" i="36"/>
  <c r="V7" i="36"/>
  <c r="V5" i="36"/>
  <c r="V14" i="36"/>
  <c r="V13" i="36"/>
  <c r="V12" i="36"/>
  <c r="V11" i="36"/>
  <c r="V10" i="36"/>
  <c r="V9" i="36"/>
  <c r="V4" i="36"/>
  <c r="X6" i="36"/>
  <c r="X7" i="36"/>
  <c r="X5" i="36"/>
  <c r="X4" i="36"/>
  <c r="X15" i="36"/>
  <c r="X14" i="36"/>
  <c r="X13" i="36"/>
  <c r="X12" i="36"/>
  <c r="X11" i="36"/>
  <c r="X10" i="36"/>
  <c r="X9" i="36"/>
  <c r="U6" i="36"/>
  <c r="W6" i="36"/>
  <c r="U7" i="36"/>
  <c r="W7" i="36"/>
  <c r="Y7" i="36" s="1"/>
  <c r="U5" i="36"/>
  <c r="W5" i="36"/>
  <c r="U4" i="36"/>
  <c r="W4" i="36"/>
  <c r="W15" i="36"/>
  <c r="U15" i="36"/>
  <c r="U14" i="36"/>
  <c r="W14" i="36"/>
  <c r="U13" i="36"/>
  <c r="W13" i="36"/>
  <c r="U12" i="36"/>
  <c r="W12" i="36"/>
  <c r="U11" i="36"/>
  <c r="W11" i="36"/>
  <c r="U10" i="36"/>
  <c r="W10" i="36"/>
  <c r="W9" i="36"/>
  <c r="U9" i="36"/>
  <c r="R6" i="36"/>
  <c r="R5" i="36"/>
  <c r="T14" i="36"/>
  <c r="S14" i="36"/>
  <c r="R14" i="36"/>
  <c r="T13" i="36"/>
  <c r="S13" i="36"/>
  <c r="R13" i="36"/>
  <c r="T12" i="36"/>
  <c r="S12" i="36"/>
  <c r="R12" i="36"/>
  <c r="T11" i="36"/>
  <c r="S11" i="36"/>
  <c r="R11" i="36"/>
  <c r="T10" i="36"/>
  <c r="S10" i="36"/>
  <c r="R10" i="36"/>
  <c r="T9" i="36"/>
  <c r="S9" i="36"/>
  <c r="R9" i="36"/>
  <c r="T15" i="36"/>
  <c r="S15" i="36"/>
  <c r="R15" i="36"/>
  <c r="S6" i="36"/>
  <c r="T6" i="36"/>
  <c r="S5" i="36"/>
  <c r="T5" i="36"/>
  <c r="T4" i="36"/>
  <c r="S4" i="36"/>
  <c r="R4" i="36"/>
  <c r="R3" i="36" s="1"/>
  <c r="C1358" i="36"/>
  <c r="C1357" i="36"/>
  <c r="C1356" i="36"/>
  <c r="C1355" i="36"/>
  <c r="C1354" i="36"/>
  <c r="C1353" i="36"/>
  <c r="C1352" i="36"/>
  <c r="C1351" i="36"/>
  <c r="C1350" i="36"/>
  <c r="C1349" i="36"/>
  <c r="C1348" i="36"/>
  <c r="C1347" i="36"/>
  <c r="C1346" i="36"/>
  <c r="C1345" i="36"/>
  <c r="C1344" i="36"/>
  <c r="C1343" i="36"/>
  <c r="C1342" i="36"/>
  <c r="C1341" i="36"/>
  <c r="C1340" i="36"/>
  <c r="C1339" i="36"/>
  <c r="C1338" i="36"/>
  <c r="C1337" i="36"/>
  <c r="C1336" i="36"/>
  <c r="C1335" i="36"/>
  <c r="C1334" i="36"/>
  <c r="C1333" i="36"/>
  <c r="C1332" i="36"/>
  <c r="C1331" i="36"/>
  <c r="C1330" i="36"/>
  <c r="C1329" i="36"/>
  <c r="C1328" i="36"/>
  <c r="C1327" i="36"/>
  <c r="C1326" i="36"/>
  <c r="C1325" i="36"/>
  <c r="C1324" i="36"/>
  <c r="C1323" i="36"/>
  <c r="C1322" i="36"/>
  <c r="C1321" i="36"/>
  <c r="C1320" i="36"/>
  <c r="C1319" i="36"/>
  <c r="C1318" i="36"/>
  <c r="C1317" i="36"/>
  <c r="C1316" i="36"/>
  <c r="C1315" i="36"/>
  <c r="C1314" i="36"/>
  <c r="C1313" i="36"/>
  <c r="C1312" i="36"/>
  <c r="C1311" i="36"/>
  <c r="C1310" i="36"/>
  <c r="C1309" i="36"/>
  <c r="C1308" i="36"/>
  <c r="C1307" i="36"/>
  <c r="C1306" i="36"/>
  <c r="C1305" i="36"/>
  <c r="C1304" i="36"/>
  <c r="C1303" i="36"/>
  <c r="C1302" i="36"/>
  <c r="C1301" i="36"/>
  <c r="C1300" i="36"/>
  <c r="C1299" i="36"/>
  <c r="C1298" i="36"/>
  <c r="C1297" i="36"/>
  <c r="C1296" i="36"/>
  <c r="C1295" i="36"/>
  <c r="C1294" i="36"/>
  <c r="C1293" i="36"/>
  <c r="C1292" i="36"/>
  <c r="C1291" i="36"/>
  <c r="C1290" i="36"/>
  <c r="C1289" i="36"/>
  <c r="C1288" i="36"/>
  <c r="C1287" i="36"/>
  <c r="C1286" i="36"/>
  <c r="C1285" i="36"/>
  <c r="C1284" i="36"/>
  <c r="C1283" i="36"/>
  <c r="C1282" i="36"/>
  <c r="C1281" i="36"/>
  <c r="C1280" i="36"/>
  <c r="C1279" i="36"/>
  <c r="C1278" i="36"/>
  <c r="C1277" i="36"/>
  <c r="C1276" i="36"/>
  <c r="C1275" i="36"/>
  <c r="C1274" i="36"/>
  <c r="C1273" i="36"/>
  <c r="C1272" i="36"/>
  <c r="C1271" i="36"/>
  <c r="C1270" i="36"/>
  <c r="C1269" i="36"/>
  <c r="C1268" i="36"/>
  <c r="C1267" i="36"/>
  <c r="C1266" i="36"/>
  <c r="C1265" i="36"/>
  <c r="C1264" i="36"/>
  <c r="C1263" i="36"/>
  <c r="C1262" i="36"/>
  <c r="C1261" i="36"/>
  <c r="C1260" i="36"/>
  <c r="C1259" i="36"/>
  <c r="C1258" i="36"/>
  <c r="C1257" i="36"/>
  <c r="C1256" i="36"/>
  <c r="C1255" i="36"/>
  <c r="C1254" i="36"/>
  <c r="C1253" i="36"/>
  <c r="C1252" i="36"/>
  <c r="C1251" i="36"/>
  <c r="C1250" i="36"/>
  <c r="C1249" i="36"/>
  <c r="C1248" i="36"/>
  <c r="C1247" i="36"/>
  <c r="C1246" i="36"/>
  <c r="C1245" i="36"/>
  <c r="C1244" i="36"/>
  <c r="C1243" i="36"/>
  <c r="C1242" i="36"/>
  <c r="C1241" i="36"/>
  <c r="C1240" i="36"/>
  <c r="C1239" i="36"/>
  <c r="C1238" i="36"/>
  <c r="C1237" i="36"/>
  <c r="C1236" i="36"/>
  <c r="C1235" i="36"/>
  <c r="C1234" i="36"/>
  <c r="C1233" i="36"/>
  <c r="C1232" i="36"/>
  <c r="C1231" i="36"/>
  <c r="C1230" i="36"/>
  <c r="C1229" i="36"/>
  <c r="C1228" i="36"/>
  <c r="C1227" i="36"/>
  <c r="C1226" i="36"/>
  <c r="C1225" i="36"/>
  <c r="C1224" i="36"/>
  <c r="C1223" i="36"/>
  <c r="C1222" i="36"/>
  <c r="C1221" i="36"/>
  <c r="C1220" i="36"/>
  <c r="C1219" i="36"/>
  <c r="C1218" i="36"/>
  <c r="C1217" i="36"/>
  <c r="C1216" i="36"/>
  <c r="C1215" i="36"/>
  <c r="C1214" i="36"/>
  <c r="C1213" i="36"/>
  <c r="C1212" i="36"/>
  <c r="C1211" i="36"/>
  <c r="C1210" i="36"/>
  <c r="C1209" i="36"/>
  <c r="C1208" i="36"/>
  <c r="C1207" i="36"/>
  <c r="C1206" i="36"/>
  <c r="C1205" i="36"/>
  <c r="C1204" i="36"/>
  <c r="C1203" i="36"/>
  <c r="C1202" i="36"/>
  <c r="C1201" i="36"/>
  <c r="C1200" i="36"/>
  <c r="C1199" i="36"/>
  <c r="C1198" i="36"/>
  <c r="C1197" i="36"/>
  <c r="C1196" i="36"/>
  <c r="C1195" i="36"/>
  <c r="C1194" i="36"/>
  <c r="C1193" i="36"/>
  <c r="C1192" i="36"/>
  <c r="C1191" i="36"/>
  <c r="C1190" i="36"/>
  <c r="C1189" i="36"/>
  <c r="C1188" i="36"/>
  <c r="C1187" i="36"/>
  <c r="C1186" i="36"/>
  <c r="C1185" i="36"/>
  <c r="C1184" i="36"/>
  <c r="C1183" i="36"/>
  <c r="C1182" i="36"/>
  <c r="C1181" i="36"/>
  <c r="C1180" i="36"/>
  <c r="C1179" i="36"/>
  <c r="C1178" i="36"/>
  <c r="C1177" i="36"/>
  <c r="C1176" i="36"/>
  <c r="C1175" i="36"/>
  <c r="C1174" i="36"/>
  <c r="C1173" i="36"/>
  <c r="C1172" i="36"/>
  <c r="C1171" i="36"/>
  <c r="C1170" i="36"/>
  <c r="C1169" i="36"/>
  <c r="C1168" i="36"/>
  <c r="C1167" i="36"/>
  <c r="C1166" i="36"/>
  <c r="C1165" i="36"/>
  <c r="C1164" i="36"/>
  <c r="C1163" i="36"/>
  <c r="C1162" i="36"/>
  <c r="C1161" i="36"/>
  <c r="C1160" i="36"/>
  <c r="C1159" i="36"/>
  <c r="C1158" i="36"/>
  <c r="C1157" i="36"/>
  <c r="C1156" i="36"/>
  <c r="C1155" i="36"/>
  <c r="C1154" i="36"/>
  <c r="C1153" i="36"/>
  <c r="C1152" i="36"/>
  <c r="C1151" i="36"/>
  <c r="C1150" i="36"/>
  <c r="C1149" i="36"/>
  <c r="C1148" i="36"/>
  <c r="C1147" i="36"/>
  <c r="C1146" i="36"/>
  <c r="C1145" i="36"/>
  <c r="C1144" i="36"/>
  <c r="C1143" i="36"/>
  <c r="C1142" i="36"/>
  <c r="C1141" i="36"/>
  <c r="C1140" i="36"/>
  <c r="C1139" i="36"/>
  <c r="C1138" i="36"/>
  <c r="C1137" i="36"/>
  <c r="C1136" i="36"/>
  <c r="C1135" i="36"/>
  <c r="C1134" i="36"/>
  <c r="C1133" i="36"/>
  <c r="C1132" i="36"/>
  <c r="C1131" i="36"/>
  <c r="C1130" i="36"/>
  <c r="C1129" i="36"/>
  <c r="C1128" i="36"/>
  <c r="C1127" i="36"/>
  <c r="C1126" i="36"/>
  <c r="C1125" i="36"/>
  <c r="C1124" i="36"/>
  <c r="C1123" i="36"/>
  <c r="C1122" i="36"/>
  <c r="C1121" i="36"/>
  <c r="C1120" i="36"/>
  <c r="C1119" i="36"/>
  <c r="C1118" i="36"/>
  <c r="C1117" i="36"/>
  <c r="C1116" i="36"/>
  <c r="C1115" i="36"/>
  <c r="C1114" i="36"/>
  <c r="C1113" i="36"/>
  <c r="C1112" i="36"/>
  <c r="C1111" i="36"/>
  <c r="C1110" i="36"/>
  <c r="C1109" i="36"/>
  <c r="C1108" i="36"/>
  <c r="C1107" i="36"/>
  <c r="C1106" i="36"/>
  <c r="C1105" i="36"/>
  <c r="C1104" i="36"/>
  <c r="C1103" i="36"/>
  <c r="C1102" i="36"/>
  <c r="C1101" i="36"/>
  <c r="C1100" i="36"/>
  <c r="C1099" i="36"/>
  <c r="C1098" i="36"/>
  <c r="C1097" i="36"/>
  <c r="C1096" i="36"/>
  <c r="C1095" i="36"/>
  <c r="C1094" i="36"/>
  <c r="C1093" i="36"/>
  <c r="C1092" i="36"/>
  <c r="C1091" i="36"/>
  <c r="C1090" i="36"/>
  <c r="C1089" i="36"/>
  <c r="C1088" i="36"/>
  <c r="C1087" i="36"/>
  <c r="C1086" i="36"/>
  <c r="C1085" i="36"/>
  <c r="C1084" i="36"/>
  <c r="C1083" i="36"/>
  <c r="C1082" i="36"/>
  <c r="C1081" i="36"/>
  <c r="C1080" i="36"/>
  <c r="C1079" i="36"/>
  <c r="C1078" i="36"/>
  <c r="C1077" i="36"/>
  <c r="C1076" i="36"/>
  <c r="C1075" i="36"/>
  <c r="C1074" i="36"/>
  <c r="C1073" i="36"/>
  <c r="C1072" i="36"/>
  <c r="C1071" i="36"/>
  <c r="C1070" i="36"/>
  <c r="C1069" i="36"/>
  <c r="C1068" i="36"/>
  <c r="C1067" i="36"/>
  <c r="C1066" i="36"/>
  <c r="C1065" i="36"/>
  <c r="C1064" i="36"/>
  <c r="C1063" i="36"/>
  <c r="C1062" i="36"/>
  <c r="C1061" i="36"/>
  <c r="C1060" i="36"/>
  <c r="C1059" i="36"/>
  <c r="C1058" i="36"/>
  <c r="C1057" i="36"/>
  <c r="C1056" i="36"/>
  <c r="C1055" i="36"/>
  <c r="C1054" i="36"/>
  <c r="C1053" i="36"/>
  <c r="C1052" i="36"/>
  <c r="C1051" i="36"/>
  <c r="C1050" i="36"/>
  <c r="C1049" i="36"/>
  <c r="C1048" i="36"/>
  <c r="C1047" i="36"/>
  <c r="C1046" i="36"/>
  <c r="C1045" i="36"/>
  <c r="C1044" i="36"/>
  <c r="C1043" i="36"/>
  <c r="C1042" i="36"/>
  <c r="C1041" i="36"/>
  <c r="C1040" i="36"/>
  <c r="C1039" i="36"/>
  <c r="C1038" i="36"/>
  <c r="C1037" i="36"/>
  <c r="C1036" i="36"/>
  <c r="C1035" i="36"/>
  <c r="C1034" i="36"/>
  <c r="C1033" i="36"/>
  <c r="C1032" i="36"/>
  <c r="C1031" i="36"/>
  <c r="C1030" i="36"/>
  <c r="C1029" i="36"/>
  <c r="C1028" i="36"/>
  <c r="C1027" i="36"/>
  <c r="C1026" i="36"/>
  <c r="C1025" i="36"/>
  <c r="C1024" i="36"/>
  <c r="C1023" i="36"/>
  <c r="C1022" i="36"/>
  <c r="C1021" i="36"/>
  <c r="C1020" i="36"/>
  <c r="C1019" i="36"/>
  <c r="C1018" i="36"/>
  <c r="C1017" i="36"/>
  <c r="C1016" i="36"/>
  <c r="C1015" i="36"/>
  <c r="C1014" i="36"/>
  <c r="C1013" i="36"/>
  <c r="C1012" i="36"/>
  <c r="C1011" i="36"/>
  <c r="C1010" i="36"/>
  <c r="C1009" i="36"/>
  <c r="C1008" i="36"/>
  <c r="C1007" i="36"/>
  <c r="C1006" i="36"/>
  <c r="C1005" i="36"/>
  <c r="C1004" i="36"/>
  <c r="C1003" i="36"/>
  <c r="C1002" i="36"/>
  <c r="C1001" i="36"/>
  <c r="C1000" i="36"/>
  <c r="C999" i="36"/>
  <c r="C998" i="36"/>
  <c r="C997" i="36"/>
  <c r="C996" i="36"/>
  <c r="C995" i="36"/>
  <c r="C994" i="36"/>
  <c r="C993" i="36"/>
  <c r="C992" i="36"/>
  <c r="C991" i="36"/>
  <c r="C990" i="36"/>
  <c r="C989" i="36"/>
  <c r="C988" i="36"/>
  <c r="C987" i="36"/>
  <c r="C986" i="36"/>
  <c r="C985" i="36"/>
  <c r="C984" i="36"/>
  <c r="C983" i="36"/>
  <c r="C982" i="36"/>
  <c r="C981" i="36"/>
  <c r="C980" i="36"/>
  <c r="C979" i="36"/>
  <c r="C978" i="36"/>
  <c r="C977" i="36"/>
  <c r="C976" i="36"/>
  <c r="C975" i="36"/>
  <c r="C974" i="36"/>
  <c r="C973" i="36"/>
  <c r="C972" i="36"/>
  <c r="C971" i="36"/>
  <c r="C970" i="36"/>
  <c r="C969" i="36"/>
  <c r="C968" i="36"/>
  <c r="C967" i="36"/>
  <c r="C966" i="36"/>
  <c r="C965" i="36"/>
  <c r="C964" i="36"/>
  <c r="C963" i="36"/>
  <c r="C962" i="36"/>
  <c r="C961" i="36"/>
  <c r="C960" i="36"/>
  <c r="C959" i="36"/>
  <c r="C958" i="36"/>
  <c r="C957" i="36"/>
  <c r="C956" i="36"/>
  <c r="C955" i="36"/>
  <c r="C954" i="36"/>
  <c r="C953" i="36"/>
  <c r="C952" i="36"/>
  <c r="C951" i="36"/>
  <c r="C950" i="36"/>
  <c r="C949" i="36"/>
  <c r="C948" i="36"/>
  <c r="C947" i="36"/>
  <c r="C946" i="36"/>
  <c r="C945" i="36"/>
  <c r="C944" i="36"/>
  <c r="C943" i="36"/>
  <c r="C942" i="36"/>
  <c r="C941" i="36"/>
  <c r="C940" i="36"/>
  <c r="C939" i="36"/>
  <c r="C938" i="36"/>
  <c r="C937" i="36"/>
  <c r="C936" i="36"/>
  <c r="C935" i="36"/>
  <c r="C934" i="36"/>
  <c r="C933" i="36"/>
  <c r="C932" i="36"/>
  <c r="C931" i="36"/>
  <c r="C930" i="36"/>
  <c r="C929" i="36"/>
  <c r="C928" i="36"/>
  <c r="C927" i="36"/>
  <c r="C926" i="36"/>
  <c r="C925" i="36"/>
  <c r="C924" i="36"/>
  <c r="C923" i="36"/>
  <c r="C922" i="36"/>
  <c r="C921" i="36"/>
  <c r="C920" i="36"/>
  <c r="C919" i="36"/>
  <c r="C918" i="36"/>
  <c r="C917" i="36"/>
  <c r="C916" i="36"/>
  <c r="C915" i="36"/>
  <c r="C914" i="36"/>
  <c r="C913" i="36"/>
  <c r="C912" i="36"/>
  <c r="C911" i="36"/>
  <c r="C910" i="36"/>
  <c r="C909" i="36"/>
  <c r="C908" i="36"/>
  <c r="C907" i="36"/>
  <c r="C906" i="36"/>
  <c r="C905" i="36"/>
  <c r="C904" i="36"/>
  <c r="C903" i="36"/>
  <c r="C902" i="36"/>
  <c r="C901" i="36"/>
  <c r="C900" i="36"/>
  <c r="C899" i="36"/>
  <c r="C898" i="36"/>
  <c r="C897" i="36"/>
  <c r="C896" i="36"/>
  <c r="C895" i="36"/>
  <c r="C894" i="36"/>
  <c r="C893" i="36"/>
  <c r="C892" i="36"/>
  <c r="C891" i="36"/>
  <c r="C890" i="36"/>
  <c r="C889" i="36"/>
  <c r="C888" i="36"/>
  <c r="C887" i="36"/>
  <c r="C886" i="36"/>
  <c r="C885" i="36"/>
  <c r="C884" i="36"/>
  <c r="C883" i="36"/>
  <c r="C882" i="36"/>
  <c r="C881" i="36"/>
  <c r="C880" i="36"/>
  <c r="C879" i="36"/>
  <c r="C878" i="36"/>
  <c r="C877" i="36"/>
  <c r="C876" i="36"/>
  <c r="C875" i="36"/>
  <c r="C874" i="36"/>
  <c r="C873" i="36"/>
  <c r="C872" i="36"/>
  <c r="C871" i="36"/>
  <c r="C870" i="36"/>
  <c r="C869" i="36"/>
  <c r="C868" i="36"/>
  <c r="C867" i="36"/>
  <c r="C866" i="36"/>
  <c r="C865" i="36"/>
  <c r="C864" i="36"/>
  <c r="C863" i="36"/>
  <c r="C862" i="36"/>
  <c r="C861" i="36"/>
  <c r="C860" i="36"/>
  <c r="C859" i="36"/>
  <c r="C858" i="36"/>
  <c r="C857" i="36"/>
  <c r="C856" i="36"/>
  <c r="C855" i="36"/>
  <c r="C854" i="36"/>
  <c r="C853" i="36"/>
  <c r="C852" i="36"/>
  <c r="C851" i="36"/>
  <c r="C850" i="36"/>
  <c r="C849" i="36"/>
  <c r="C848" i="36"/>
  <c r="C847" i="36"/>
  <c r="C846" i="36"/>
  <c r="C845" i="36"/>
  <c r="C844" i="36"/>
  <c r="C843" i="36"/>
  <c r="C842" i="36"/>
  <c r="C841" i="36"/>
  <c r="C840" i="36"/>
  <c r="C839" i="36"/>
  <c r="C838" i="36"/>
  <c r="C837" i="36"/>
  <c r="C836" i="36"/>
  <c r="C835" i="36"/>
  <c r="C834" i="36"/>
  <c r="C833" i="36"/>
  <c r="C832" i="36"/>
  <c r="C831" i="36"/>
  <c r="C830" i="36"/>
  <c r="C829" i="36"/>
  <c r="C828" i="36"/>
  <c r="C827" i="36"/>
  <c r="C826" i="36"/>
  <c r="C825" i="36"/>
  <c r="C824" i="36"/>
  <c r="C823" i="36"/>
  <c r="C822" i="36"/>
  <c r="C821" i="36"/>
  <c r="C820" i="36"/>
  <c r="C819" i="36"/>
  <c r="C818" i="36"/>
  <c r="C817" i="36"/>
  <c r="C816" i="36"/>
  <c r="C815" i="36"/>
  <c r="C814" i="36"/>
  <c r="C813" i="36"/>
  <c r="C812" i="36"/>
  <c r="C811" i="36"/>
  <c r="C810" i="36"/>
  <c r="C809" i="36"/>
  <c r="C808" i="36"/>
  <c r="C807" i="36"/>
  <c r="C806" i="36"/>
  <c r="C805" i="36"/>
  <c r="C804" i="36"/>
  <c r="C803" i="36"/>
  <c r="C802" i="36"/>
  <c r="C801" i="36"/>
  <c r="C800" i="36"/>
  <c r="C799" i="36"/>
  <c r="C798" i="36"/>
  <c r="C797" i="36"/>
  <c r="C796" i="36"/>
  <c r="C795" i="36"/>
  <c r="C794" i="36"/>
  <c r="C793" i="36"/>
  <c r="C792" i="36"/>
  <c r="C791" i="36"/>
  <c r="C790" i="36"/>
  <c r="C789" i="36"/>
  <c r="C788" i="36"/>
  <c r="C787" i="36"/>
  <c r="C786" i="36"/>
  <c r="C785" i="36"/>
  <c r="C784" i="36"/>
  <c r="C783" i="36"/>
  <c r="C782" i="36"/>
  <c r="C781" i="36"/>
  <c r="C780" i="36"/>
  <c r="C779" i="36"/>
  <c r="C778" i="36"/>
  <c r="C777" i="36"/>
  <c r="C776" i="36"/>
  <c r="C775" i="36"/>
  <c r="C774" i="36"/>
  <c r="C773" i="36"/>
  <c r="C772" i="36"/>
  <c r="C771" i="36"/>
  <c r="C770" i="36"/>
  <c r="C769" i="36"/>
  <c r="C768" i="36"/>
  <c r="C767" i="36"/>
  <c r="C766" i="36"/>
  <c r="C765" i="36"/>
  <c r="C764" i="36"/>
  <c r="C763" i="36"/>
  <c r="C762" i="36"/>
  <c r="C761" i="36"/>
  <c r="C760" i="36"/>
  <c r="C759" i="36"/>
  <c r="C758" i="36"/>
  <c r="C757" i="36"/>
  <c r="C756" i="36"/>
  <c r="C755" i="36"/>
  <c r="C754" i="36"/>
  <c r="C753" i="36"/>
  <c r="C752" i="36"/>
  <c r="C751" i="36"/>
  <c r="C750" i="36"/>
  <c r="C749" i="36"/>
  <c r="C748" i="36"/>
  <c r="C747" i="36"/>
  <c r="C746" i="36"/>
  <c r="C745" i="36"/>
  <c r="C744" i="36"/>
  <c r="C743" i="36"/>
  <c r="C742" i="36"/>
  <c r="C741" i="36"/>
  <c r="C740" i="36"/>
  <c r="C739" i="36"/>
  <c r="C738" i="36"/>
  <c r="C737" i="36"/>
  <c r="C736" i="36"/>
  <c r="C735" i="36"/>
  <c r="C734" i="36"/>
  <c r="C733" i="36"/>
  <c r="C732" i="36"/>
  <c r="C731" i="36"/>
  <c r="C730" i="36"/>
  <c r="C729" i="36"/>
  <c r="C728" i="36"/>
  <c r="C727" i="36"/>
  <c r="C726" i="36"/>
  <c r="C725" i="36"/>
  <c r="C724" i="36"/>
  <c r="C723" i="36"/>
  <c r="C722" i="36"/>
  <c r="C721" i="36"/>
  <c r="C720" i="36"/>
  <c r="C719" i="36"/>
  <c r="C718" i="36"/>
  <c r="C717" i="36"/>
  <c r="C716" i="36"/>
  <c r="C715" i="36"/>
  <c r="C714" i="36"/>
  <c r="C713" i="36"/>
  <c r="C712" i="36"/>
  <c r="C711" i="36"/>
  <c r="C710" i="36"/>
  <c r="C709" i="36"/>
  <c r="C708" i="36"/>
  <c r="C707" i="36"/>
  <c r="C706" i="36"/>
  <c r="C705" i="36"/>
  <c r="C704" i="36"/>
  <c r="C703" i="36"/>
  <c r="C702" i="36"/>
  <c r="C701" i="36"/>
  <c r="C700" i="36"/>
  <c r="C699" i="36"/>
  <c r="C698" i="36"/>
  <c r="C697" i="36"/>
  <c r="C696" i="36"/>
  <c r="C695" i="36"/>
  <c r="C694" i="36"/>
  <c r="C693" i="36"/>
  <c r="C692" i="36"/>
  <c r="C691" i="36"/>
  <c r="C690" i="36"/>
  <c r="C689" i="36"/>
  <c r="C688" i="36"/>
  <c r="C687" i="36"/>
  <c r="C686" i="36"/>
  <c r="C685" i="36"/>
  <c r="C684" i="36"/>
  <c r="C683" i="36"/>
  <c r="C682" i="36"/>
  <c r="C681" i="36"/>
  <c r="C680" i="36"/>
  <c r="C679" i="36"/>
  <c r="C678" i="36"/>
  <c r="C677" i="36"/>
  <c r="C676" i="36"/>
  <c r="C675" i="36"/>
  <c r="C674" i="36"/>
  <c r="C673" i="36"/>
  <c r="C672" i="36"/>
  <c r="C671" i="36"/>
  <c r="C670" i="36"/>
  <c r="C669" i="36"/>
  <c r="C668" i="36"/>
  <c r="C667" i="36"/>
  <c r="C666" i="36"/>
  <c r="C665" i="36"/>
  <c r="C664" i="36"/>
  <c r="C663" i="36"/>
  <c r="C662" i="36"/>
  <c r="C661" i="36"/>
  <c r="C660" i="36"/>
  <c r="C659" i="36"/>
  <c r="C658" i="36"/>
  <c r="C657" i="36"/>
  <c r="C656" i="36"/>
  <c r="C655" i="36"/>
  <c r="C654" i="36"/>
  <c r="C653" i="36"/>
  <c r="C652" i="36"/>
  <c r="C651" i="36"/>
  <c r="C650" i="36"/>
  <c r="C649" i="36"/>
  <c r="C648" i="36"/>
  <c r="C647" i="36"/>
  <c r="C646" i="36"/>
  <c r="C645" i="36"/>
  <c r="C644" i="36"/>
  <c r="C643" i="36"/>
  <c r="C642" i="36"/>
  <c r="C641" i="36"/>
  <c r="C640" i="36"/>
  <c r="C639" i="36"/>
  <c r="C638" i="36"/>
  <c r="C637" i="36"/>
  <c r="C636" i="36"/>
  <c r="C635" i="36"/>
  <c r="C634" i="36"/>
  <c r="C633" i="36"/>
  <c r="C632" i="36"/>
  <c r="C631" i="36"/>
  <c r="C630" i="36"/>
  <c r="C629" i="36"/>
  <c r="C628" i="36"/>
  <c r="C627" i="36"/>
  <c r="C626" i="36"/>
  <c r="C625" i="36"/>
  <c r="C624" i="36"/>
  <c r="C623" i="36"/>
  <c r="C622" i="36"/>
  <c r="C621" i="36"/>
  <c r="C620" i="36"/>
  <c r="C619" i="36"/>
  <c r="C618" i="36"/>
  <c r="C617" i="36"/>
  <c r="C616" i="36"/>
  <c r="C615" i="36"/>
  <c r="C614" i="36"/>
  <c r="C613" i="36"/>
  <c r="C612" i="36"/>
  <c r="C611" i="36"/>
  <c r="C610" i="36"/>
  <c r="C609" i="36"/>
  <c r="C608" i="36"/>
  <c r="C607" i="36"/>
  <c r="C606" i="36"/>
  <c r="C605" i="36"/>
  <c r="C604" i="36"/>
  <c r="C603" i="36"/>
  <c r="C602" i="36"/>
  <c r="C601" i="36"/>
  <c r="C600" i="36"/>
  <c r="C599" i="36"/>
  <c r="C598" i="36"/>
  <c r="C597" i="36"/>
  <c r="C596" i="36"/>
  <c r="C595" i="36"/>
  <c r="C594" i="36"/>
  <c r="C593" i="36"/>
  <c r="C592" i="36"/>
  <c r="C591" i="36"/>
  <c r="C590" i="36"/>
  <c r="C589" i="36"/>
  <c r="C588" i="36"/>
  <c r="C587" i="36"/>
  <c r="C586" i="36"/>
  <c r="C585" i="36"/>
  <c r="C584" i="36"/>
  <c r="C583" i="36"/>
  <c r="C582" i="36"/>
  <c r="C581" i="36"/>
  <c r="C580" i="36"/>
  <c r="C579" i="36"/>
  <c r="C578" i="36"/>
  <c r="C577" i="36"/>
  <c r="C576" i="36"/>
  <c r="C575" i="36"/>
  <c r="C574" i="36"/>
  <c r="C573" i="36"/>
  <c r="C572" i="36"/>
  <c r="C571" i="36"/>
  <c r="C570" i="36"/>
  <c r="C569" i="36"/>
  <c r="C568" i="36"/>
  <c r="C567" i="36"/>
  <c r="C566" i="36"/>
  <c r="C565" i="36"/>
  <c r="C564" i="36"/>
  <c r="C563" i="36"/>
  <c r="C562" i="36"/>
  <c r="C561" i="36"/>
  <c r="C560" i="36"/>
  <c r="C559" i="36"/>
  <c r="C558" i="36"/>
  <c r="C557" i="36"/>
  <c r="C556" i="36"/>
  <c r="C555" i="36"/>
  <c r="C554" i="36"/>
  <c r="C553" i="36"/>
  <c r="C552" i="36"/>
  <c r="C551" i="36"/>
  <c r="C550" i="36"/>
  <c r="C549" i="36"/>
  <c r="C548" i="36"/>
  <c r="C547" i="36"/>
  <c r="C546" i="36"/>
  <c r="C545" i="36"/>
  <c r="C544" i="36"/>
  <c r="C543" i="36"/>
  <c r="C542" i="36"/>
  <c r="C541" i="36"/>
  <c r="C540" i="36"/>
  <c r="C539" i="36"/>
  <c r="C538" i="36"/>
  <c r="C537" i="36"/>
  <c r="C536" i="36"/>
  <c r="C535" i="36"/>
  <c r="C534" i="36"/>
  <c r="C533" i="36"/>
  <c r="C532" i="36"/>
  <c r="C531" i="36"/>
  <c r="C530" i="36"/>
  <c r="C529" i="36"/>
  <c r="C528" i="36"/>
  <c r="C527" i="36"/>
  <c r="C526" i="36"/>
  <c r="C525" i="36"/>
  <c r="C524" i="36"/>
  <c r="C523" i="36"/>
  <c r="C522" i="36"/>
  <c r="C521" i="36"/>
  <c r="C520" i="36"/>
  <c r="C519" i="36"/>
  <c r="C518" i="36"/>
  <c r="C517" i="36"/>
  <c r="C516" i="36"/>
  <c r="C515" i="36"/>
  <c r="C514" i="36"/>
  <c r="C513" i="36"/>
  <c r="C512" i="36"/>
  <c r="C511" i="36"/>
  <c r="C510" i="36"/>
  <c r="C509" i="36"/>
  <c r="C508" i="36"/>
  <c r="C507" i="36"/>
  <c r="C506" i="36"/>
  <c r="C505" i="36"/>
  <c r="C504" i="36"/>
  <c r="C503" i="36"/>
  <c r="C502" i="36"/>
  <c r="C501" i="36"/>
  <c r="C500" i="36"/>
  <c r="C499" i="36"/>
  <c r="C498" i="36"/>
  <c r="C497" i="36"/>
  <c r="C496" i="36"/>
  <c r="C495" i="36"/>
  <c r="C494" i="36"/>
  <c r="C493" i="36"/>
  <c r="C492" i="36"/>
  <c r="C491" i="36"/>
  <c r="C490" i="36"/>
  <c r="C489" i="36"/>
  <c r="C488" i="36"/>
  <c r="C487" i="36"/>
  <c r="C486" i="36"/>
  <c r="C485" i="36"/>
  <c r="C484" i="36"/>
  <c r="C483" i="36"/>
  <c r="C482" i="36"/>
  <c r="C481" i="36"/>
  <c r="C480" i="36"/>
  <c r="C479" i="36"/>
  <c r="C478" i="36"/>
  <c r="C477" i="36"/>
  <c r="C476" i="36"/>
  <c r="C475" i="36"/>
  <c r="C474" i="36"/>
  <c r="C473" i="36"/>
  <c r="C472" i="36"/>
  <c r="C471" i="36"/>
  <c r="C470" i="36"/>
  <c r="C469" i="36"/>
  <c r="C468" i="36"/>
  <c r="C467" i="36"/>
  <c r="C466" i="36"/>
  <c r="C465" i="36"/>
  <c r="C464" i="36"/>
  <c r="C463" i="36"/>
  <c r="C462" i="36"/>
  <c r="C461" i="36"/>
  <c r="C460" i="36"/>
  <c r="C459" i="36"/>
  <c r="C458" i="36"/>
  <c r="C457" i="36"/>
  <c r="C456" i="36"/>
  <c r="C455" i="36"/>
  <c r="C454" i="36"/>
  <c r="C453" i="36"/>
  <c r="C452" i="36"/>
  <c r="C451" i="36"/>
  <c r="C450" i="36"/>
  <c r="C449" i="36"/>
  <c r="C448" i="36"/>
  <c r="C447" i="36"/>
  <c r="C446" i="36"/>
  <c r="C445" i="36"/>
  <c r="C444" i="36"/>
  <c r="C443" i="36"/>
  <c r="C442" i="36"/>
  <c r="C441" i="36"/>
  <c r="C440" i="36"/>
  <c r="C439" i="36"/>
  <c r="C438" i="36"/>
  <c r="C437" i="36"/>
  <c r="C436" i="36"/>
  <c r="C435" i="36"/>
  <c r="C434" i="36"/>
  <c r="C433" i="36"/>
  <c r="C432" i="36"/>
  <c r="C431" i="36"/>
  <c r="C430" i="36"/>
  <c r="C429" i="36"/>
  <c r="C428" i="36"/>
  <c r="C427" i="36"/>
  <c r="C426" i="36"/>
  <c r="C425" i="36"/>
  <c r="C424" i="36"/>
  <c r="C423" i="36"/>
  <c r="C422" i="36"/>
  <c r="C421" i="36"/>
  <c r="C420" i="36"/>
  <c r="C419" i="36"/>
  <c r="C418" i="36"/>
  <c r="C417" i="36"/>
  <c r="C416" i="36"/>
  <c r="C415" i="36"/>
  <c r="C414" i="36"/>
  <c r="C413" i="36"/>
  <c r="C412" i="36"/>
  <c r="C411" i="36"/>
  <c r="C410" i="36"/>
  <c r="C409" i="36"/>
  <c r="C408" i="36"/>
  <c r="C407" i="36"/>
  <c r="C406" i="36"/>
  <c r="C405" i="36"/>
  <c r="C404" i="36"/>
  <c r="C403" i="36"/>
  <c r="C402" i="36"/>
  <c r="C401" i="36"/>
  <c r="C400" i="36"/>
  <c r="C399" i="36"/>
  <c r="C398" i="36"/>
  <c r="C397" i="36"/>
  <c r="C396" i="36"/>
  <c r="C395" i="36"/>
  <c r="C394" i="36"/>
  <c r="C393" i="36"/>
  <c r="C392" i="36"/>
  <c r="C391" i="36"/>
  <c r="C390" i="36"/>
  <c r="C389" i="36"/>
  <c r="C388" i="36"/>
  <c r="C387" i="36"/>
  <c r="C386" i="36"/>
  <c r="C385" i="36"/>
  <c r="C384" i="36"/>
  <c r="C383" i="36"/>
  <c r="C382" i="36"/>
  <c r="C381" i="36"/>
  <c r="C380" i="36"/>
  <c r="C379" i="36"/>
  <c r="C378" i="36"/>
  <c r="C377" i="36"/>
  <c r="C376" i="36"/>
  <c r="C375" i="36"/>
  <c r="C374" i="36"/>
  <c r="C373" i="36"/>
  <c r="C372" i="36"/>
  <c r="C371" i="36"/>
  <c r="C370" i="36"/>
  <c r="C369" i="36"/>
  <c r="C368" i="36"/>
  <c r="C367" i="36"/>
  <c r="C366" i="36"/>
  <c r="C365" i="36"/>
  <c r="C364" i="36"/>
  <c r="C363" i="36"/>
  <c r="C362" i="36"/>
  <c r="C361" i="36"/>
  <c r="C360" i="36"/>
  <c r="C359" i="36"/>
  <c r="C358" i="36"/>
  <c r="C357" i="36"/>
  <c r="C356" i="36"/>
  <c r="C355" i="36"/>
  <c r="C354" i="36"/>
  <c r="C353" i="36"/>
  <c r="C352" i="36"/>
  <c r="C351" i="36"/>
  <c r="C350" i="36"/>
  <c r="C349" i="36"/>
  <c r="C348" i="36"/>
  <c r="C347" i="36"/>
  <c r="C346" i="36"/>
  <c r="C345" i="36"/>
  <c r="C344" i="36"/>
  <c r="C343" i="36"/>
  <c r="C342" i="36"/>
  <c r="C341" i="36"/>
  <c r="C340" i="36"/>
  <c r="C339" i="36"/>
  <c r="C338" i="36"/>
  <c r="C337" i="36"/>
  <c r="C336" i="36"/>
  <c r="C335" i="36"/>
  <c r="C334" i="36"/>
  <c r="C333" i="36"/>
  <c r="C332" i="36"/>
  <c r="C331" i="36"/>
  <c r="C330" i="36"/>
  <c r="C329" i="36"/>
  <c r="C328" i="36"/>
  <c r="C327" i="36"/>
  <c r="C326" i="36"/>
  <c r="C325" i="36"/>
  <c r="C324" i="36"/>
  <c r="C323" i="36"/>
  <c r="C322" i="36"/>
  <c r="C321" i="36"/>
  <c r="C320" i="36"/>
  <c r="C319" i="36"/>
  <c r="C318" i="36"/>
  <c r="C317" i="36"/>
  <c r="C316" i="36"/>
  <c r="C315" i="36"/>
  <c r="C314" i="36"/>
  <c r="C313" i="36"/>
  <c r="C312" i="36"/>
  <c r="C311" i="36"/>
  <c r="C310" i="36"/>
  <c r="C309" i="36"/>
  <c r="C308" i="36"/>
  <c r="C307" i="36"/>
  <c r="C306" i="36"/>
  <c r="C305" i="36"/>
  <c r="C304" i="36"/>
  <c r="C303" i="36"/>
  <c r="C302" i="36"/>
  <c r="C301" i="36"/>
  <c r="C300" i="36"/>
  <c r="C299" i="36"/>
  <c r="C298" i="36"/>
  <c r="C297" i="36"/>
  <c r="C296" i="36"/>
  <c r="C295" i="36"/>
  <c r="C294" i="36"/>
  <c r="C293" i="36"/>
  <c r="C292" i="36"/>
  <c r="C291" i="36"/>
  <c r="C290" i="36"/>
  <c r="C289" i="36"/>
  <c r="C288" i="36"/>
  <c r="C287" i="36"/>
  <c r="C286" i="36"/>
  <c r="C285" i="36"/>
  <c r="C284" i="36"/>
  <c r="C283" i="36"/>
  <c r="C282" i="36"/>
  <c r="C281" i="36"/>
  <c r="C280" i="36"/>
  <c r="C279" i="36"/>
  <c r="C278" i="36"/>
  <c r="C277" i="36"/>
  <c r="C276" i="36"/>
  <c r="C275" i="36"/>
  <c r="C274" i="36"/>
  <c r="C273" i="36"/>
  <c r="C272" i="36"/>
  <c r="C271" i="36"/>
  <c r="C270" i="36"/>
  <c r="C269" i="36"/>
  <c r="C268" i="36"/>
  <c r="C267" i="36"/>
  <c r="C266" i="36"/>
  <c r="C265" i="36"/>
  <c r="C264" i="36"/>
  <c r="C263" i="36"/>
  <c r="C262" i="36"/>
  <c r="C261" i="36"/>
  <c r="C260" i="36"/>
  <c r="C259" i="36"/>
  <c r="C258" i="36"/>
  <c r="C257" i="36"/>
  <c r="C256" i="36"/>
  <c r="C255" i="36"/>
  <c r="C254" i="36"/>
  <c r="C253" i="36"/>
  <c r="C252" i="36"/>
  <c r="C251" i="36"/>
  <c r="C250" i="36"/>
  <c r="C249" i="36"/>
  <c r="C248" i="36"/>
  <c r="C247" i="36"/>
  <c r="C246" i="36"/>
  <c r="C245" i="36"/>
  <c r="C244" i="36"/>
  <c r="C243" i="36"/>
  <c r="C242" i="36"/>
  <c r="C241" i="36"/>
  <c r="C240" i="36"/>
  <c r="C239" i="36"/>
  <c r="C238" i="36"/>
  <c r="C237" i="36"/>
  <c r="C236" i="36"/>
  <c r="C235" i="36"/>
  <c r="C234" i="36"/>
  <c r="C233" i="36"/>
  <c r="C232" i="36"/>
  <c r="C231" i="36"/>
  <c r="C230" i="36"/>
  <c r="C229" i="36"/>
  <c r="C228" i="36"/>
  <c r="C227" i="36"/>
  <c r="C226" i="36"/>
  <c r="C225" i="36"/>
  <c r="C224" i="36"/>
  <c r="C223" i="36"/>
  <c r="C222" i="36"/>
  <c r="C221" i="36"/>
  <c r="C220" i="36"/>
  <c r="C219" i="36"/>
  <c r="C218" i="36"/>
  <c r="C217" i="36"/>
  <c r="C216" i="36"/>
  <c r="C215" i="36"/>
  <c r="C214" i="36"/>
  <c r="C213" i="36"/>
  <c r="C212" i="36"/>
  <c r="C211" i="36"/>
  <c r="C210" i="36"/>
  <c r="C209" i="36"/>
  <c r="C208" i="36"/>
  <c r="C207" i="36"/>
  <c r="C206" i="36"/>
  <c r="C205" i="36"/>
  <c r="C204" i="36"/>
  <c r="C203" i="36"/>
  <c r="C202" i="36"/>
  <c r="C201" i="36"/>
  <c r="C200" i="36"/>
  <c r="C199" i="36"/>
  <c r="C198" i="36"/>
  <c r="C197" i="36"/>
  <c r="C196" i="36"/>
  <c r="C195" i="36"/>
  <c r="C194" i="36"/>
  <c r="C193" i="36"/>
  <c r="C192" i="36"/>
  <c r="C191" i="36"/>
  <c r="C190" i="36"/>
  <c r="C189" i="36"/>
  <c r="C188" i="36"/>
  <c r="C187" i="36"/>
  <c r="C186" i="36"/>
  <c r="C185" i="36"/>
  <c r="C184" i="36"/>
  <c r="C183" i="36"/>
  <c r="C182" i="36"/>
  <c r="C181" i="36"/>
  <c r="C180" i="36"/>
  <c r="C179" i="36"/>
  <c r="C178" i="36"/>
  <c r="C177" i="36"/>
  <c r="C176" i="36"/>
  <c r="C175" i="36"/>
  <c r="C174" i="36"/>
  <c r="C173" i="36"/>
  <c r="C172" i="36"/>
  <c r="C171" i="36"/>
  <c r="C170" i="36"/>
  <c r="C169" i="36"/>
  <c r="C168" i="36"/>
  <c r="C167" i="36"/>
  <c r="C166" i="36"/>
  <c r="C165" i="36"/>
  <c r="C164" i="36"/>
  <c r="C163" i="36"/>
  <c r="C162" i="36"/>
  <c r="C161" i="36"/>
  <c r="C160" i="36"/>
  <c r="C159" i="36"/>
  <c r="C158" i="36"/>
  <c r="C157" i="36"/>
  <c r="C156" i="36"/>
  <c r="C155" i="36"/>
  <c r="C154" i="36"/>
  <c r="C153" i="36"/>
  <c r="C152" i="36"/>
  <c r="C151" i="36"/>
  <c r="C150" i="36"/>
  <c r="C149" i="36"/>
  <c r="C148" i="36"/>
  <c r="C147" i="36"/>
  <c r="C146" i="36"/>
  <c r="C145" i="36"/>
  <c r="C144" i="36"/>
  <c r="C143" i="36"/>
  <c r="C142" i="36"/>
  <c r="C141" i="36"/>
  <c r="C140" i="36"/>
  <c r="C139" i="36"/>
  <c r="C138" i="36"/>
  <c r="C137" i="36"/>
  <c r="C136" i="36"/>
  <c r="C135" i="36"/>
  <c r="C134" i="36"/>
  <c r="C133" i="36"/>
  <c r="C132" i="36"/>
  <c r="C131" i="36"/>
  <c r="C130" i="36"/>
  <c r="C129" i="36"/>
  <c r="C128" i="36"/>
  <c r="C127" i="36"/>
  <c r="C126" i="36"/>
  <c r="C125" i="36"/>
  <c r="C124" i="36"/>
  <c r="C123" i="36"/>
  <c r="C122" i="36"/>
  <c r="C121" i="36"/>
  <c r="C120" i="36"/>
  <c r="C119" i="36"/>
  <c r="C118" i="36"/>
  <c r="C117" i="36"/>
  <c r="C116" i="36"/>
  <c r="C115" i="36"/>
  <c r="C114" i="36"/>
  <c r="C113" i="36"/>
  <c r="C112" i="36"/>
  <c r="C111" i="36"/>
  <c r="C110" i="36"/>
  <c r="C109" i="36"/>
  <c r="C108" i="36"/>
  <c r="C107" i="36"/>
  <c r="C106" i="36"/>
  <c r="C105" i="36"/>
  <c r="C104" i="36"/>
  <c r="C103" i="36"/>
  <c r="C102" i="36"/>
  <c r="C101" i="36"/>
  <c r="C100" i="36"/>
  <c r="C99" i="36"/>
  <c r="C98" i="36"/>
  <c r="C97" i="36"/>
  <c r="C96" i="36"/>
  <c r="C95" i="36"/>
  <c r="C94" i="36"/>
  <c r="C93" i="36"/>
  <c r="C92"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49" i="36"/>
  <c r="C48" i="36"/>
  <c r="C47" i="36"/>
  <c r="C46" i="36"/>
  <c r="C45" i="36"/>
  <c r="C44" i="36"/>
  <c r="C43" i="36"/>
  <c r="C42" i="36"/>
  <c r="C41" i="36"/>
  <c r="C40" i="36"/>
  <c r="C39" i="36"/>
  <c r="C38" i="36"/>
  <c r="C37" i="36"/>
  <c r="C36" i="36"/>
  <c r="C35" i="36"/>
  <c r="C34" i="36"/>
  <c r="C33" i="36"/>
  <c r="C30" i="36"/>
  <c r="C29" i="36"/>
  <c r="C28" i="36"/>
  <c r="C27" i="36"/>
  <c r="C26" i="36"/>
  <c r="C25" i="36"/>
  <c r="C24" i="36"/>
  <c r="C23" i="36"/>
  <c r="C22" i="36"/>
  <c r="C21" i="36"/>
  <c r="C20" i="36"/>
  <c r="C19" i="36"/>
  <c r="C18" i="36"/>
  <c r="C14" i="36"/>
  <c r="C13" i="36"/>
  <c r="C12" i="36"/>
  <c r="C11" i="36"/>
  <c r="C10" i="36"/>
  <c r="C9" i="36"/>
  <c r="C8" i="36"/>
  <c r="C7" i="36"/>
  <c r="C6" i="36"/>
  <c r="C5" i="36"/>
  <c r="C4" i="36"/>
  <c r="C3" i="36"/>
  <c r="B1358" i="36"/>
  <c r="B1357" i="36"/>
  <c r="B1356" i="36"/>
  <c r="B1355" i="36"/>
  <c r="B1354" i="36"/>
  <c r="B1353" i="36"/>
  <c r="B1352" i="36"/>
  <c r="B1351" i="36"/>
  <c r="B1350" i="36"/>
  <c r="B1349" i="36"/>
  <c r="B1348" i="36"/>
  <c r="B1347" i="36"/>
  <c r="B1346" i="36"/>
  <c r="B1345" i="36"/>
  <c r="B1344" i="36"/>
  <c r="B1343" i="36"/>
  <c r="B1342" i="36"/>
  <c r="B1341" i="36"/>
  <c r="B1340" i="36"/>
  <c r="B1339" i="36"/>
  <c r="B1338" i="36"/>
  <c r="B1337" i="36"/>
  <c r="B1336" i="36"/>
  <c r="B1335" i="36"/>
  <c r="B1334" i="36"/>
  <c r="B1333" i="36"/>
  <c r="B1332" i="36"/>
  <c r="B1331" i="36"/>
  <c r="B1330" i="36"/>
  <c r="B1329" i="36"/>
  <c r="B1328" i="36"/>
  <c r="B1327" i="36"/>
  <c r="B1326" i="36"/>
  <c r="B1325" i="36"/>
  <c r="B1324" i="36"/>
  <c r="B1323" i="36"/>
  <c r="B1322" i="36"/>
  <c r="B1321" i="36"/>
  <c r="B1320" i="36"/>
  <c r="B1319" i="36"/>
  <c r="B1318" i="36"/>
  <c r="B1317" i="36"/>
  <c r="B1316" i="36"/>
  <c r="B1315" i="36"/>
  <c r="B1314" i="36"/>
  <c r="B1313" i="36"/>
  <c r="B1312" i="36"/>
  <c r="B1311" i="36"/>
  <c r="B1310" i="36"/>
  <c r="B1309" i="36"/>
  <c r="B1308" i="36"/>
  <c r="B1307" i="36"/>
  <c r="B1306" i="36"/>
  <c r="B1305" i="36"/>
  <c r="B1304" i="36"/>
  <c r="B1303" i="36"/>
  <c r="B1302" i="36"/>
  <c r="B1301" i="36"/>
  <c r="B1300" i="36"/>
  <c r="B1299" i="36"/>
  <c r="B1298" i="36"/>
  <c r="B1297" i="36"/>
  <c r="B1296" i="36"/>
  <c r="B1295" i="36"/>
  <c r="B1294" i="36"/>
  <c r="B1293" i="36"/>
  <c r="B1292" i="36"/>
  <c r="B1291" i="36"/>
  <c r="B1290" i="36"/>
  <c r="B1289" i="36"/>
  <c r="B1288" i="36"/>
  <c r="B1287" i="36"/>
  <c r="B1286" i="36"/>
  <c r="B1285" i="36"/>
  <c r="B1284" i="36"/>
  <c r="B1283" i="36"/>
  <c r="B1282" i="36"/>
  <c r="B1281" i="36"/>
  <c r="B1280" i="36"/>
  <c r="B1279" i="36"/>
  <c r="B1278" i="36"/>
  <c r="B1277" i="36"/>
  <c r="B1276" i="36"/>
  <c r="B1275" i="36"/>
  <c r="B1274" i="36"/>
  <c r="B1273" i="36"/>
  <c r="B1272" i="36"/>
  <c r="B1271" i="36"/>
  <c r="B1270" i="36"/>
  <c r="B1269" i="36"/>
  <c r="B1268" i="36"/>
  <c r="B1267" i="36"/>
  <c r="B1266" i="36"/>
  <c r="B1265" i="36"/>
  <c r="B1264" i="36"/>
  <c r="B1263" i="36"/>
  <c r="B1262" i="36"/>
  <c r="B1261" i="36"/>
  <c r="B1260" i="36"/>
  <c r="B1259" i="36"/>
  <c r="B1258" i="36"/>
  <c r="B1257" i="36"/>
  <c r="B1256" i="36"/>
  <c r="B1255" i="36"/>
  <c r="B1254" i="36"/>
  <c r="B1253" i="36"/>
  <c r="B1252" i="36"/>
  <c r="B1251" i="36"/>
  <c r="B1250" i="36"/>
  <c r="B1249" i="36"/>
  <c r="B1248" i="36"/>
  <c r="B1247" i="36"/>
  <c r="B1246" i="36"/>
  <c r="B1245" i="36"/>
  <c r="B1244" i="36"/>
  <c r="B1243" i="36"/>
  <c r="B1242" i="36"/>
  <c r="B1241" i="36"/>
  <c r="B1240" i="36"/>
  <c r="B1239" i="36"/>
  <c r="B1238" i="36"/>
  <c r="B1237" i="36"/>
  <c r="B1236" i="36"/>
  <c r="B1235" i="36"/>
  <c r="B1234" i="36"/>
  <c r="B1233" i="36"/>
  <c r="B1232" i="36"/>
  <c r="B1231" i="36"/>
  <c r="B1230" i="36"/>
  <c r="B1229" i="36"/>
  <c r="B1228" i="36"/>
  <c r="B1227" i="36"/>
  <c r="B1226" i="36"/>
  <c r="B1225" i="36"/>
  <c r="B1224" i="36"/>
  <c r="B1223" i="36"/>
  <c r="B1222" i="36"/>
  <c r="B1221" i="36"/>
  <c r="B1220" i="36"/>
  <c r="B1219" i="36"/>
  <c r="B1218" i="36"/>
  <c r="B1217" i="36"/>
  <c r="B1216" i="36"/>
  <c r="B1215" i="36"/>
  <c r="B1214" i="36"/>
  <c r="B1213" i="36"/>
  <c r="B1212" i="36"/>
  <c r="B1211" i="36"/>
  <c r="B1210" i="36"/>
  <c r="B1209" i="36"/>
  <c r="B1208" i="36"/>
  <c r="B1207" i="36"/>
  <c r="B1206" i="36"/>
  <c r="B1205" i="36"/>
  <c r="B1204" i="36"/>
  <c r="B1203" i="36"/>
  <c r="B1202" i="36"/>
  <c r="B1201" i="36"/>
  <c r="B1200" i="36"/>
  <c r="B1199" i="36"/>
  <c r="B1198" i="36"/>
  <c r="B1197" i="36"/>
  <c r="B1196" i="36"/>
  <c r="B1195" i="36"/>
  <c r="B1194" i="36"/>
  <c r="B1193" i="36"/>
  <c r="B1192" i="36"/>
  <c r="B1191" i="36"/>
  <c r="B1190" i="36"/>
  <c r="B1189" i="36"/>
  <c r="B1188" i="36"/>
  <c r="B1187" i="36"/>
  <c r="B1186" i="36"/>
  <c r="B1185" i="36"/>
  <c r="B1184" i="36"/>
  <c r="B1183" i="36"/>
  <c r="B1182" i="36"/>
  <c r="B1181" i="36"/>
  <c r="B1180" i="36"/>
  <c r="B1179" i="36"/>
  <c r="B1178" i="36"/>
  <c r="B1177" i="36"/>
  <c r="B1176" i="36"/>
  <c r="B1175" i="36"/>
  <c r="B1174" i="36"/>
  <c r="B1173" i="36"/>
  <c r="B1172" i="36"/>
  <c r="B1171" i="36"/>
  <c r="B1170" i="36"/>
  <c r="B1169" i="36"/>
  <c r="B1168" i="36"/>
  <c r="B1167" i="36"/>
  <c r="B1166" i="36"/>
  <c r="B1165" i="36"/>
  <c r="B1164" i="36"/>
  <c r="B1163" i="36"/>
  <c r="B1162" i="36"/>
  <c r="B1161" i="36"/>
  <c r="B1160" i="36"/>
  <c r="B1159" i="36"/>
  <c r="B1158" i="36"/>
  <c r="B1157" i="36"/>
  <c r="B1156" i="36"/>
  <c r="B1155" i="36"/>
  <c r="B1154" i="36"/>
  <c r="B1153" i="36"/>
  <c r="B1152" i="36"/>
  <c r="B1151" i="36"/>
  <c r="B1150" i="36"/>
  <c r="B1149" i="36"/>
  <c r="B1148" i="36"/>
  <c r="B1147" i="36"/>
  <c r="B1146" i="36"/>
  <c r="B1145" i="36"/>
  <c r="B1144" i="36"/>
  <c r="B1143" i="36"/>
  <c r="B1142" i="36"/>
  <c r="B1141" i="36"/>
  <c r="B1140" i="36"/>
  <c r="B1139" i="36"/>
  <c r="B1138" i="36"/>
  <c r="B1137" i="36"/>
  <c r="B1136" i="36"/>
  <c r="B1135" i="36"/>
  <c r="B1134" i="36"/>
  <c r="B1133" i="36"/>
  <c r="B1132" i="36"/>
  <c r="B1131" i="36"/>
  <c r="B1130" i="36"/>
  <c r="B1129" i="36"/>
  <c r="B1128" i="36"/>
  <c r="B1127" i="36"/>
  <c r="B1126" i="36"/>
  <c r="B1125" i="36"/>
  <c r="B1124" i="36"/>
  <c r="B1123" i="36"/>
  <c r="B1122" i="36"/>
  <c r="B1121" i="36"/>
  <c r="B1120" i="36"/>
  <c r="B1119" i="36"/>
  <c r="B1118" i="36"/>
  <c r="B1117" i="36"/>
  <c r="B1116" i="36"/>
  <c r="B1115" i="36"/>
  <c r="B1114" i="36"/>
  <c r="B1113" i="36"/>
  <c r="B1112" i="36"/>
  <c r="B1111" i="36"/>
  <c r="B1110" i="36"/>
  <c r="B1109" i="36"/>
  <c r="B1108" i="36"/>
  <c r="B1107" i="36"/>
  <c r="B1106" i="36"/>
  <c r="B1105" i="36"/>
  <c r="B1104" i="36"/>
  <c r="B1103" i="36"/>
  <c r="B1102" i="36"/>
  <c r="B1101" i="36"/>
  <c r="B1100" i="36"/>
  <c r="B1099" i="36"/>
  <c r="B1098" i="36"/>
  <c r="B1097" i="36"/>
  <c r="B1096" i="36"/>
  <c r="B1095" i="36"/>
  <c r="B1094" i="36"/>
  <c r="B1093" i="36"/>
  <c r="B1092" i="36"/>
  <c r="B1091" i="36"/>
  <c r="B1090" i="36"/>
  <c r="B1089" i="36"/>
  <c r="B1088" i="36"/>
  <c r="B1087" i="36"/>
  <c r="B1086" i="36"/>
  <c r="B1085" i="36"/>
  <c r="B1084" i="36"/>
  <c r="B1083" i="36"/>
  <c r="B1082" i="36"/>
  <c r="B1081" i="36"/>
  <c r="B1080" i="36"/>
  <c r="B1079" i="36"/>
  <c r="B1078" i="36"/>
  <c r="B1077" i="36"/>
  <c r="B1076" i="36"/>
  <c r="B1075" i="36"/>
  <c r="B1074" i="36"/>
  <c r="B1073" i="36"/>
  <c r="B1072" i="36"/>
  <c r="B1071" i="36"/>
  <c r="B1070" i="36"/>
  <c r="B1069" i="36"/>
  <c r="B1068" i="36"/>
  <c r="B1067" i="36"/>
  <c r="B1066" i="36"/>
  <c r="B1065" i="36"/>
  <c r="B1064" i="36"/>
  <c r="B1063" i="36"/>
  <c r="B1062" i="36"/>
  <c r="B1061" i="36"/>
  <c r="B1060" i="36"/>
  <c r="B1059" i="36"/>
  <c r="B1058" i="36"/>
  <c r="B1057" i="36"/>
  <c r="B1056" i="36"/>
  <c r="B1055" i="36"/>
  <c r="B1054" i="36"/>
  <c r="B1053" i="36"/>
  <c r="B1052" i="36"/>
  <c r="B1051" i="36"/>
  <c r="B1050" i="36"/>
  <c r="B1049" i="36"/>
  <c r="B1048" i="36"/>
  <c r="B1047" i="36"/>
  <c r="B1046" i="36"/>
  <c r="B1045" i="36"/>
  <c r="B1044" i="36"/>
  <c r="B1043" i="36"/>
  <c r="B1042" i="36"/>
  <c r="B1041" i="36"/>
  <c r="B1040" i="36"/>
  <c r="B1039" i="36"/>
  <c r="B1038" i="36"/>
  <c r="B1037" i="36"/>
  <c r="B1036" i="36"/>
  <c r="B1035" i="36"/>
  <c r="B1034" i="36"/>
  <c r="B1033" i="36"/>
  <c r="B1032" i="36"/>
  <c r="B1031" i="36"/>
  <c r="B1030" i="36"/>
  <c r="B1029" i="36"/>
  <c r="B1028" i="36"/>
  <c r="B1027" i="36"/>
  <c r="B1026" i="36"/>
  <c r="B1025" i="36"/>
  <c r="B1024" i="36"/>
  <c r="B1023" i="36"/>
  <c r="B1022" i="36"/>
  <c r="B1021" i="36"/>
  <c r="B1020" i="36"/>
  <c r="B1019" i="36"/>
  <c r="B1018" i="36"/>
  <c r="B1017" i="36"/>
  <c r="B1016" i="36"/>
  <c r="B1015" i="36"/>
  <c r="B1014" i="36"/>
  <c r="B1013" i="36"/>
  <c r="B1012" i="36"/>
  <c r="B1011" i="36"/>
  <c r="B1010" i="36"/>
  <c r="B1009" i="36"/>
  <c r="B1008" i="36"/>
  <c r="B1007" i="36"/>
  <c r="B1006" i="36"/>
  <c r="B1005" i="36"/>
  <c r="B1004" i="36"/>
  <c r="B1003" i="36"/>
  <c r="B1002" i="36"/>
  <c r="B1001" i="36"/>
  <c r="B1000" i="36"/>
  <c r="B999" i="36"/>
  <c r="B998" i="36"/>
  <c r="B997" i="36"/>
  <c r="B996" i="36"/>
  <c r="B995" i="36"/>
  <c r="B994" i="36"/>
  <c r="B993" i="36"/>
  <c r="B992" i="36"/>
  <c r="B991" i="36"/>
  <c r="B990" i="36"/>
  <c r="B989" i="36"/>
  <c r="B988" i="36"/>
  <c r="B987" i="36"/>
  <c r="B986" i="36"/>
  <c r="B985" i="36"/>
  <c r="B984" i="36"/>
  <c r="B983" i="36"/>
  <c r="B982" i="36"/>
  <c r="B981" i="36"/>
  <c r="B980" i="36"/>
  <c r="B979" i="36"/>
  <c r="B978" i="36"/>
  <c r="B977" i="36"/>
  <c r="B976" i="36"/>
  <c r="B975" i="36"/>
  <c r="B974" i="36"/>
  <c r="B973" i="36"/>
  <c r="B972" i="36"/>
  <c r="B971" i="36"/>
  <c r="B970" i="36"/>
  <c r="B969" i="36"/>
  <c r="B968" i="36"/>
  <c r="B967" i="36"/>
  <c r="B966" i="36"/>
  <c r="B965" i="36"/>
  <c r="B964" i="36"/>
  <c r="B963" i="36"/>
  <c r="B962" i="36"/>
  <c r="B961" i="36"/>
  <c r="B960" i="36"/>
  <c r="B959" i="36"/>
  <c r="B958" i="36"/>
  <c r="B957" i="36"/>
  <c r="B956" i="36"/>
  <c r="B955" i="36"/>
  <c r="B954" i="36"/>
  <c r="B953" i="36"/>
  <c r="B952" i="36"/>
  <c r="B951" i="36"/>
  <c r="B950" i="36"/>
  <c r="B949" i="36"/>
  <c r="B948" i="36"/>
  <c r="B947" i="36"/>
  <c r="B946" i="36"/>
  <c r="B945" i="36"/>
  <c r="B944" i="36"/>
  <c r="B943" i="36"/>
  <c r="B942" i="36"/>
  <c r="B941" i="36"/>
  <c r="B940" i="36"/>
  <c r="B939" i="36"/>
  <c r="B938" i="36"/>
  <c r="B937" i="36"/>
  <c r="B936" i="36"/>
  <c r="B935" i="36"/>
  <c r="B934" i="36"/>
  <c r="B933" i="36"/>
  <c r="B932" i="36"/>
  <c r="B931" i="36"/>
  <c r="B930" i="36"/>
  <c r="B929" i="36"/>
  <c r="B928" i="36"/>
  <c r="B927" i="36"/>
  <c r="B926" i="36"/>
  <c r="B925" i="36"/>
  <c r="B924" i="36"/>
  <c r="B923" i="36"/>
  <c r="B922" i="36"/>
  <c r="B921" i="36"/>
  <c r="B920" i="36"/>
  <c r="B919" i="36"/>
  <c r="B918" i="36"/>
  <c r="B917" i="36"/>
  <c r="B916" i="36"/>
  <c r="B915" i="36"/>
  <c r="B914" i="36"/>
  <c r="B913" i="36"/>
  <c r="B912" i="36"/>
  <c r="B911" i="36"/>
  <c r="B910" i="36"/>
  <c r="B909" i="36"/>
  <c r="B908" i="36"/>
  <c r="B907" i="36"/>
  <c r="B906" i="36"/>
  <c r="B905" i="36"/>
  <c r="B904" i="36"/>
  <c r="B903" i="36"/>
  <c r="B902" i="36"/>
  <c r="B901" i="36"/>
  <c r="B900" i="36"/>
  <c r="B899" i="36"/>
  <c r="B898" i="36"/>
  <c r="B897" i="36"/>
  <c r="B896" i="36"/>
  <c r="B895" i="36"/>
  <c r="B894" i="36"/>
  <c r="B893" i="36"/>
  <c r="B892" i="36"/>
  <c r="B891" i="36"/>
  <c r="B890" i="36"/>
  <c r="B889" i="36"/>
  <c r="B888" i="36"/>
  <c r="B887" i="36"/>
  <c r="B886" i="36"/>
  <c r="B885" i="36"/>
  <c r="B884" i="36"/>
  <c r="B883" i="36"/>
  <c r="B882" i="36"/>
  <c r="B881" i="36"/>
  <c r="B880" i="36"/>
  <c r="B879" i="36"/>
  <c r="B878" i="36"/>
  <c r="B877" i="36"/>
  <c r="B876" i="36"/>
  <c r="B875" i="36"/>
  <c r="B874" i="36"/>
  <c r="B873" i="36"/>
  <c r="B872" i="36"/>
  <c r="B871" i="36"/>
  <c r="B870" i="36"/>
  <c r="B869" i="36"/>
  <c r="B868" i="36"/>
  <c r="B867" i="36"/>
  <c r="B866" i="36"/>
  <c r="B865" i="36"/>
  <c r="B864" i="36"/>
  <c r="B863" i="36"/>
  <c r="B862" i="36"/>
  <c r="B861" i="36"/>
  <c r="B860" i="36"/>
  <c r="B859" i="36"/>
  <c r="B858" i="36"/>
  <c r="B857" i="36"/>
  <c r="B856" i="36"/>
  <c r="B855" i="36"/>
  <c r="B854" i="36"/>
  <c r="B853" i="36"/>
  <c r="B852" i="36"/>
  <c r="B851" i="36"/>
  <c r="B850" i="36"/>
  <c r="B849" i="36"/>
  <c r="B848" i="36"/>
  <c r="B847" i="36"/>
  <c r="B846" i="36"/>
  <c r="B845" i="36"/>
  <c r="B844" i="36"/>
  <c r="B843" i="36"/>
  <c r="B842" i="36"/>
  <c r="B841" i="36"/>
  <c r="B840" i="36"/>
  <c r="B839" i="36"/>
  <c r="B838" i="36"/>
  <c r="B837" i="36"/>
  <c r="B836" i="36"/>
  <c r="B835" i="36"/>
  <c r="B834" i="36"/>
  <c r="B833" i="36"/>
  <c r="B832" i="36"/>
  <c r="B831" i="36"/>
  <c r="B830" i="36"/>
  <c r="B829" i="36"/>
  <c r="B828" i="36"/>
  <c r="B827" i="36"/>
  <c r="B826" i="36"/>
  <c r="B825" i="36"/>
  <c r="B824" i="36"/>
  <c r="B823" i="36"/>
  <c r="B822" i="36"/>
  <c r="B821" i="36"/>
  <c r="B820" i="36"/>
  <c r="B819" i="36"/>
  <c r="B818" i="36"/>
  <c r="B817" i="36"/>
  <c r="B816" i="36"/>
  <c r="B815" i="36"/>
  <c r="B814" i="36"/>
  <c r="B813" i="36"/>
  <c r="B812" i="36"/>
  <c r="B811" i="36"/>
  <c r="B810" i="36"/>
  <c r="B809" i="36"/>
  <c r="B808" i="36"/>
  <c r="B807" i="36"/>
  <c r="B806" i="36"/>
  <c r="B805" i="36"/>
  <c r="B804" i="36"/>
  <c r="B803" i="36"/>
  <c r="B802" i="36"/>
  <c r="B801" i="36"/>
  <c r="B800" i="36"/>
  <c r="B799" i="36"/>
  <c r="B798" i="36"/>
  <c r="B797" i="36"/>
  <c r="B796" i="36"/>
  <c r="B795" i="36"/>
  <c r="B794" i="36"/>
  <c r="B793" i="36"/>
  <c r="B792" i="36"/>
  <c r="B791" i="36"/>
  <c r="B790" i="36"/>
  <c r="B789" i="36"/>
  <c r="B788" i="36"/>
  <c r="B787" i="36"/>
  <c r="B786" i="36"/>
  <c r="B785" i="36"/>
  <c r="B784" i="36"/>
  <c r="B783" i="36"/>
  <c r="B782" i="36"/>
  <c r="B781" i="36"/>
  <c r="B780" i="36"/>
  <c r="B779" i="36"/>
  <c r="B778" i="36"/>
  <c r="B777" i="36"/>
  <c r="B776" i="36"/>
  <c r="B775" i="36"/>
  <c r="B774" i="36"/>
  <c r="B773" i="36"/>
  <c r="B772" i="36"/>
  <c r="B771" i="36"/>
  <c r="B770" i="36"/>
  <c r="B769" i="36"/>
  <c r="B768" i="36"/>
  <c r="B767" i="36"/>
  <c r="B766" i="36"/>
  <c r="B765" i="36"/>
  <c r="B764" i="36"/>
  <c r="B763" i="36"/>
  <c r="B762" i="36"/>
  <c r="B761" i="36"/>
  <c r="B760" i="36"/>
  <c r="B759" i="36"/>
  <c r="B758" i="36"/>
  <c r="B757" i="36"/>
  <c r="B756" i="36"/>
  <c r="B755" i="36"/>
  <c r="B754" i="36"/>
  <c r="B753" i="36"/>
  <c r="B752" i="36"/>
  <c r="B751" i="36"/>
  <c r="B750" i="36"/>
  <c r="B749" i="36"/>
  <c r="B748" i="36"/>
  <c r="B747" i="36"/>
  <c r="B746" i="36"/>
  <c r="B745" i="36"/>
  <c r="B744" i="36"/>
  <c r="B743" i="36"/>
  <c r="B742" i="36"/>
  <c r="B741" i="36"/>
  <c r="B740" i="36"/>
  <c r="B739" i="36"/>
  <c r="B738" i="36"/>
  <c r="B737" i="36"/>
  <c r="B736" i="36"/>
  <c r="B735" i="36"/>
  <c r="B734" i="36"/>
  <c r="B733" i="36"/>
  <c r="B732" i="36"/>
  <c r="B731" i="36"/>
  <c r="B730" i="36"/>
  <c r="B729" i="36"/>
  <c r="B728" i="36"/>
  <c r="B727" i="36"/>
  <c r="B726" i="36"/>
  <c r="B725" i="36"/>
  <c r="B724" i="36"/>
  <c r="B723" i="36"/>
  <c r="B722" i="36"/>
  <c r="B721" i="36"/>
  <c r="B720" i="36"/>
  <c r="B719" i="36"/>
  <c r="B718" i="36"/>
  <c r="B717" i="36"/>
  <c r="B716" i="36"/>
  <c r="B715" i="36"/>
  <c r="B714" i="36"/>
  <c r="B713" i="36"/>
  <c r="B712" i="36"/>
  <c r="B711" i="36"/>
  <c r="B710" i="36"/>
  <c r="B709" i="36"/>
  <c r="B708" i="36"/>
  <c r="B707" i="36"/>
  <c r="B706" i="36"/>
  <c r="B705" i="36"/>
  <c r="B704" i="36"/>
  <c r="B703" i="36"/>
  <c r="B702" i="36"/>
  <c r="B701" i="36"/>
  <c r="B700" i="36"/>
  <c r="B699" i="36"/>
  <c r="B698" i="36"/>
  <c r="B697" i="36"/>
  <c r="B696" i="36"/>
  <c r="B695" i="36"/>
  <c r="B694" i="36"/>
  <c r="B693" i="36"/>
  <c r="B692" i="36"/>
  <c r="B691" i="36"/>
  <c r="B690" i="36"/>
  <c r="B689" i="36"/>
  <c r="B688" i="36"/>
  <c r="B687" i="36"/>
  <c r="B686" i="36"/>
  <c r="B685" i="36"/>
  <c r="B684" i="36"/>
  <c r="B683" i="36"/>
  <c r="B682" i="36"/>
  <c r="B681" i="36"/>
  <c r="B680" i="36"/>
  <c r="B679" i="36"/>
  <c r="B678" i="36"/>
  <c r="B677" i="36"/>
  <c r="B676" i="36"/>
  <c r="B675" i="36"/>
  <c r="B674" i="36"/>
  <c r="B673" i="36"/>
  <c r="B672" i="36"/>
  <c r="B671" i="36"/>
  <c r="B670" i="36"/>
  <c r="B669" i="36"/>
  <c r="B668" i="36"/>
  <c r="B667" i="36"/>
  <c r="B666" i="36"/>
  <c r="B665" i="36"/>
  <c r="B664" i="36"/>
  <c r="B663" i="36"/>
  <c r="B662" i="36"/>
  <c r="B661" i="36"/>
  <c r="B660" i="36"/>
  <c r="B659" i="36"/>
  <c r="B658" i="36"/>
  <c r="B657" i="36"/>
  <c r="B656" i="36"/>
  <c r="B655" i="36"/>
  <c r="B654" i="36"/>
  <c r="B653" i="36"/>
  <c r="B652" i="36"/>
  <c r="B651" i="36"/>
  <c r="B650" i="36"/>
  <c r="B649" i="36"/>
  <c r="B648" i="36"/>
  <c r="B647" i="36"/>
  <c r="B646" i="36"/>
  <c r="B645" i="36"/>
  <c r="B644" i="36"/>
  <c r="B643" i="36"/>
  <c r="B642" i="36"/>
  <c r="B641" i="36"/>
  <c r="B640" i="36"/>
  <c r="B639" i="36"/>
  <c r="B638" i="36"/>
  <c r="B637" i="36"/>
  <c r="B636" i="36"/>
  <c r="B635" i="36"/>
  <c r="B634" i="36"/>
  <c r="B633" i="36"/>
  <c r="B632" i="36"/>
  <c r="B631" i="36"/>
  <c r="B630" i="36"/>
  <c r="B629" i="36"/>
  <c r="B628" i="36"/>
  <c r="B627" i="36"/>
  <c r="B626" i="36"/>
  <c r="B625" i="36"/>
  <c r="B624" i="36"/>
  <c r="B623" i="36"/>
  <c r="B622" i="36"/>
  <c r="B621" i="36"/>
  <c r="B620" i="36"/>
  <c r="B619" i="36"/>
  <c r="B618" i="36"/>
  <c r="B617" i="36"/>
  <c r="B616" i="36"/>
  <c r="B615" i="36"/>
  <c r="B614" i="36"/>
  <c r="B613" i="36"/>
  <c r="B612" i="36"/>
  <c r="B611" i="36"/>
  <c r="B610" i="36"/>
  <c r="B609" i="36"/>
  <c r="B608" i="36"/>
  <c r="B607" i="36"/>
  <c r="B606" i="36"/>
  <c r="B605" i="36"/>
  <c r="B604" i="36"/>
  <c r="B603" i="36"/>
  <c r="B602" i="36"/>
  <c r="B601" i="36"/>
  <c r="B600" i="36"/>
  <c r="B599" i="36"/>
  <c r="B598" i="36"/>
  <c r="B597" i="36"/>
  <c r="B596" i="36"/>
  <c r="B595" i="36"/>
  <c r="B594" i="36"/>
  <c r="B593" i="36"/>
  <c r="B592" i="36"/>
  <c r="B591" i="36"/>
  <c r="B590" i="36"/>
  <c r="B589" i="36"/>
  <c r="B588" i="36"/>
  <c r="B587" i="36"/>
  <c r="B586" i="36"/>
  <c r="B585" i="36"/>
  <c r="B584" i="36"/>
  <c r="B583" i="36"/>
  <c r="B582" i="36"/>
  <c r="B581" i="36"/>
  <c r="B580" i="36"/>
  <c r="B579" i="36"/>
  <c r="B578" i="36"/>
  <c r="B577" i="36"/>
  <c r="B576" i="36"/>
  <c r="B575" i="36"/>
  <c r="B574" i="36"/>
  <c r="B573" i="36"/>
  <c r="B572" i="36"/>
  <c r="B571" i="36"/>
  <c r="B570" i="36"/>
  <c r="B569" i="36"/>
  <c r="B568" i="36"/>
  <c r="B567" i="36"/>
  <c r="B566" i="36"/>
  <c r="B565" i="36"/>
  <c r="B564" i="36"/>
  <c r="B563" i="36"/>
  <c r="B562" i="36"/>
  <c r="B561" i="36"/>
  <c r="B560" i="36"/>
  <c r="B559" i="36"/>
  <c r="B558" i="36"/>
  <c r="B557" i="36"/>
  <c r="B556" i="36"/>
  <c r="B555" i="36"/>
  <c r="B554" i="36"/>
  <c r="B553" i="36"/>
  <c r="B552" i="36"/>
  <c r="B551" i="36"/>
  <c r="B550" i="36"/>
  <c r="B549" i="36"/>
  <c r="B548" i="36"/>
  <c r="B547" i="36"/>
  <c r="B546" i="36"/>
  <c r="B545" i="36"/>
  <c r="B544" i="36"/>
  <c r="B543" i="36"/>
  <c r="B542" i="36"/>
  <c r="B541" i="36"/>
  <c r="B540" i="36"/>
  <c r="B539" i="36"/>
  <c r="B538" i="36"/>
  <c r="B537" i="36"/>
  <c r="B536" i="36"/>
  <c r="B535" i="36"/>
  <c r="B534" i="36"/>
  <c r="B533" i="36"/>
  <c r="B532" i="36"/>
  <c r="B531" i="36"/>
  <c r="B530" i="36"/>
  <c r="B529" i="36"/>
  <c r="B528" i="36"/>
  <c r="B527" i="36"/>
  <c r="B526" i="36"/>
  <c r="B525" i="36"/>
  <c r="B524" i="36"/>
  <c r="B523" i="36"/>
  <c r="B522" i="36"/>
  <c r="B521" i="36"/>
  <c r="B520" i="36"/>
  <c r="B519" i="36"/>
  <c r="B518" i="36"/>
  <c r="B517" i="36"/>
  <c r="B516" i="36"/>
  <c r="B515" i="36"/>
  <c r="B514" i="36"/>
  <c r="B513" i="36"/>
  <c r="B512" i="36"/>
  <c r="B511" i="36"/>
  <c r="B510" i="36"/>
  <c r="B509" i="36"/>
  <c r="B508" i="36"/>
  <c r="B507" i="36"/>
  <c r="B506" i="36"/>
  <c r="B505" i="36"/>
  <c r="B504" i="36"/>
  <c r="B503" i="36"/>
  <c r="B502" i="36"/>
  <c r="B501" i="36"/>
  <c r="B500" i="36"/>
  <c r="B499" i="36"/>
  <c r="B498" i="36"/>
  <c r="B497" i="36"/>
  <c r="B496" i="36"/>
  <c r="B495" i="36"/>
  <c r="B494" i="36"/>
  <c r="B493" i="36"/>
  <c r="B492" i="36"/>
  <c r="B491" i="36"/>
  <c r="B490" i="36"/>
  <c r="B489" i="36"/>
  <c r="B488" i="36"/>
  <c r="B487" i="36"/>
  <c r="B486" i="36"/>
  <c r="B485" i="36"/>
  <c r="B484" i="36"/>
  <c r="B483" i="36"/>
  <c r="B482" i="36"/>
  <c r="B481" i="36"/>
  <c r="B480" i="36"/>
  <c r="B479" i="36"/>
  <c r="B478" i="36"/>
  <c r="B477" i="36"/>
  <c r="B476" i="36"/>
  <c r="B475" i="36"/>
  <c r="B474" i="36"/>
  <c r="B473" i="36"/>
  <c r="B472" i="36"/>
  <c r="B471" i="36"/>
  <c r="B470" i="36"/>
  <c r="B469" i="36"/>
  <c r="B468" i="36"/>
  <c r="B467" i="36"/>
  <c r="B466" i="36"/>
  <c r="B465" i="36"/>
  <c r="B464" i="36"/>
  <c r="B463" i="36"/>
  <c r="B462" i="36"/>
  <c r="B461" i="36"/>
  <c r="B460" i="36"/>
  <c r="B459" i="36"/>
  <c r="B458" i="36"/>
  <c r="B457" i="36"/>
  <c r="B456" i="36"/>
  <c r="B455" i="36"/>
  <c r="B454" i="36"/>
  <c r="B453" i="36"/>
  <c r="B452" i="36"/>
  <c r="B451" i="36"/>
  <c r="B450" i="36"/>
  <c r="B449" i="36"/>
  <c r="B448" i="36"/>
  <c r="B447" i="36"/>
  <c r="B446" i="36"/>
  <c r="B445" i="36"/>
  <c r="B444" i="36"/>
  <c r="B443" i="36"/>
  <c r="B442" i="36"/>
  <c r="B441" i="36"/>
  <c r="B440" i="36"/>
  <c r="B439" i="36"/>
  <c r="B438" i="36"/>
  <c r="B437" i="36"/>
  <c r="B436" i="36"/>
  <c r="B435" i="36"/>
  <c r="B434" i="36"/>
  <c r="B433" i="36"/>
  <c r="B432" i="36"/>
  <c r="B431" i="36"/>
  <c r="B430" i="36"/>
  <c r="B429" i="36"/>
  <c r="B428" i="36"/>
  <c r="B427" i="36"/>
  <c r="B426" i="36"/>
  <c r="B425" i="36"/>
  <c r="B424" i="36"/>
  <c r="B423" i="36"/>
  <c r="B422" i="36"/>
  <c r="B421" i="36"/>
  <c r="B420" i="36"/>
  <c r="B419" i="36"/>
  <c r="B418" i="36"/>
  <c r="B417" i="36"/>
  <c r="B416" i="36"/>
  <c r="B415" i="36"/>
  <c r="B414" i="36"/>
  <c r="B413" i="36"/>
  <c r="B412" i="36"/>
  <c r="B411" i="36"/>
  <c r="B410" i="36"/>
  <c r="B409" i="36"/>
  <c r="B408" i="36"/>
  <c r="B407" i="36"/>
  <c r="B406" i="36"/>
  <c r="B405" i="36"/>
  <c r="B404" i="36"/>
  <c r="B403" i="36"/>
  <c r="B402" i="36"/>
  <c r="B401" i="36"/>
  <c r="B400" i="36"/>
  <c r="B399" i="36"/>
  <c r="B398" i="36"/>
  <c r="B397" i="36"/>
  <c r="B396" i="36"/>
  <c r="B395" i="36"/>
  <c r="B394" i="36"/>
  <c r="B393" i="36"/>
  <c r="B392" i="36"/>
  <c r="B391" i="36"/>
  <c r="B390" i="36"/>
  <c r="B389" i="36"/>
  <c r="B388" i="36"/>
  <c r="B387" i="36"/>
  <c r="B386" i="36"/>
  <c r="B385" i="36"/>
  <c r="B384" i="36"/>
  <c r="B383" i="36"/>
  <c r="B382" i="36"/>
  <c r="B381" i="36"/>
  <c r="B380" i="36"/>
  <c r="B379" i="36"/>
  <c r="B378" i="36"/>
  <c r="B377" i="36"/>
  <c r="B376" i="36"/>
  <c r="B375" i="36"/>
  <c r="B374" i="36"/>
  <c r="B373" i="36"/>
  <c r="B372" i="36"/>
  <c r="B371" i="36"/>
  <c r="B370" i="36"/>
  <c r="B369" i="36"/>
  <c r="B368" i="36"/>
  <c r="B367" i="36"/>
  <c r="B366" i="36"/>
  <c r="B365" i="36"/>
  <c r="B364" i="36"/>
  <c r="B363" i="36"/>
  <c r="B362" i="36"/>
  <c r="B361" i="36"/>
  <c r="B360" i="36"/>
  <c r="B359" i="36"/>
  <c r="B358" i="36"/>
  <c r="B357" i="36"/>
  <c r="B356" i="36"/>
  <c r="B355" i="36"/>
  <c r="B354" i="36"/>
  <c r="B353" i="36"/>
  <c r="B352" i="36"/>
  <c r="B351" i="36"/>
  <c r="B350" i="36"/>
  <c r="B349" i="36"/>
  <c r="B348" i="36"/>
  <c r="B347" i="36"/>
  <c r="B346" i="36"/>
  <c r="B345" i="36"/>
  <c r="B344" i="36"/>
  <c r="B343" i="36"/>
  <c r="B342" i="36"/>
  <c r="B341" i="36"/>
  <c r="B340" i="36"/>
  <c r="B339" i="36"/>
  <c r="B338" i="36"/>
  <c r="B337" i="36"/>
  <c r="B336" i="36"/>
  <c r="B335" i="36"/>
  <c r="B334" i="36"/>
  <c r="B333" i="36"/>
  <c r="B332" i="36"/>
  <c r="B331" i="36"/>
  <c r="B330" i="36"/>
  <c r="B329" i="36"/>
  <c r="B328" i="36"/>
  <c r="B327" i="36"/>
  <c r="B326" i="36"/>
  <c r="B325" i="36"/>
  <c r="B324" i="36"/>
  <c r="B323" i="36"/>
  <c r="B322" i="36"/>
  <c r="B321" i="36"/>
  <c r="B320" i="36"/>
  <c r="B319" i="36"/>
  <c r="B318" i="36"/>
  <c r="B317" i="36"/>
  <c r="B316" i="36"/>
  <c r="B315" i="36"/>
  <c r="B314" i="36"/>
  <c r="B313" i="36"/>
  <c r="B312" i="36"/>
  <c r="B311" i="36"/>
  <c r="B310" i="36"/>
  <c r="B309" i="36"/>
  <c r="B308" i="36"/>
  <c r="B307" i="36"/>
  <c r="B306" i="36"/>
  <c r="B305" i="36"/>
  <c r="B304" i="36"/>
  <c r="B303" i="36"/>
  <c r="B302" i="36"/>
  <c r="B301" i="36"/>
  <c r="B300" i="36"/>
  <c r="B299" i="36"/>
  <c r="B298" i="36"/>
  <c r="B297" i="36"/>
  <c r="B296" i="36"/>
  <c r="B295" i="36"/>
  <c r="B294" i="36"/>
  <c r="B293" i="36"/>
  <c r="B292" i="36"/>
  <c r="B291" i="36"/>
  <c r="B290" i="36"/>
  <c r="B289" i="36"/>
  <c r="B288" i="36"/>
  <c r="B287" i="36"/>
  <c r="B286" i="36"/>
  <c r="B285" i="36"/>
  <c r="B284" i="36"/>
  <c r="B283" i="36"/>
  <c r="B282" i="36"/>
  <c r="B281" i="36"/>
  <c r="B280" i="36"/>
  <c r="B279" i="36"/>
  <c r="B278" i="36"/>
  <c r="B277" i="36"/>
  <c r="B276" i="36"/>
  <c r="B275" i="36"/>
  <c r="B274" i="36"/>
  <c r="B273" i="36"/>
  <c r="B272" i="36"/>
  <c r="B271" i="36"/>
  <c r="B270" i="36"/>
  <c r="B269" i="36"/>
  <c r="B268" i="36"/>
  <c r="B267" i="36"/>
  <c r="B266" i="36"/>
  <c r="B265" i="36"/>
  <c r="B264" i="36"/>
  <c r="B263" i="36"/>
  <c r="B262" i="36"/>
  <c r="B261" i="36"/>
  <c r="B260" i="36"/>
  <c r="B259" i="36"/>
  <c r="B258" i="36"/>
  <c r="B257" i="36"/>
  <c r="B256" i="36"/>
  <c r="B255" i="36"/>
  <c r="B254" i="36"/>
  <c r="B253" i="36"/>
  <c r="B252" i="36"/>
  <c r="B251" i="36"/>
  <c r="B250" i="36"/>
  <c r="B249" i="36"/>
  <c r="B248" i="36"/>
  <c r="B247" i="36"/>
  <c r="B246" i="36"/>
  <c r="B245" i="36"/>
  <c r="B244" i="36"/>
  <c r="B243" i="36"/>
  <c r="B242" i="36"/>
  <c r="B241" i="36"/>
  <c r="B240" i="36"/>
  <c r="B239" i="36"/>
  <c r="B238" i="36"/>
  <c r="B237" i="36"/>
  <c r="B236" i="36"/>
  <c r="B235" i="36"/>
  <c r="B234" i="36"/>
  <c r="B233" i="36"/>
  <c r="B232" i="36"/>
  <c r="B231" i="36"/>
  <c r="B230" i="36"/>
  <c r="B229" i="36"/>
  <c r="B228" i="36"/>
  <c r="B227" i="36"/>
  <c r="B226" i="36"/>
  <c r="B225" i="36"/>
  <c r="B224" i="36"/>
  <c r="B223" i="36"/>
  <c r="B222" i="36"/>
  <c r="B221" i="36"/>
  <c r="B220" i="36"/>
  <c r="B219" i="36"/>
  <c r="B218" i="36"/>
  <c r="B217" i="36"/>
  <c r="B216" i="36"/>
  <c r="B215" i="36"/>
  <c r="B214" i="36"/>
  <c r="B213" i="36"/>
  <c r="B212" i="36"/>
  <c r="B211" i="36"/>
  <c r="B210" i="36"/>
  <c r="B209" i="36"/>
  <c r="B208" i="36"/>
  <c r="B207" i="36"/>
  <c r="B206" i="36"/>
  <c r="B205" i="36"/>
  <c r="B204" i="36"/>
  <c r="B203" i="36"/>
  <c r="B202" i="36"/>
  <c r="B201" i="36"/>
  <c r="B200" i="36"/>
  <c r="B199" i="36"/>
  <c r="B198" i="36"/>
  <c r="B197" i="36"/>
  <c r="B196" i="36"/>
  <c r="B195" i="36"/>
  <c r="B194" i="36"/>
  <c r="B193" i="36"/>
  <c r="B192" i="36"/>
  <c r="B191" i="36"/>
  <c r="B190" i="36"/>
  <c r="B189" i="36"/>
  <c r="B188" i="36"/>
  <c r="B187" i="36"/>
  <c r="B186" i="36"/>
  <c r="B185" i="36"/>
  <c r="B184" i="36"/>
  <c r="B183" i="36"/>
  <c r="B182" i="36"/>
  <c r="B181" i="36"/>
  <c r="B180" i="36"/>
  <c r="B179" i="36"/>
  <c r="B178" i="36"/>
  <c r="B177" i="36"/>
  <c r="B176" i="36"/>
  <c r="B175" i="36"/>
  <c r="B174" i="36"/>
  <c r="B173" i="36"/>
  <c r="B172" i="36"/>
  <c r="B171" i="36"/>
  <c r="B170" i="36"/>
  <c r="B169" i="36"/>
  <c r="B168" i="36"/>
  <c r="B167" i="36"/>
  <c r="B166" i="36"/>
  <c r="B165" i="36"/>
  <c r="B164" i="36"/>
  <c r="B163" i="36"/>
  <c r="B162" i="36"/>
  <c r="B161" i="36"/>
  <c r="B160" i="36"/>
  <c r="B159" i="36"/>
  <c r="B158" i="36"/>
  <c r="B157" i="36"/>
  <c r="B156" i="36"/>
  <c r="B155" i="36"/>
  <c r="B154" i="36"/>
  <c r="B153" i="36"/>
  <c r="B152" i="36"/>
  <c r="B151" i="36"/>
  <c r="B150" i="36"/>
  <c r="B149" i="36"/>
  <c r="B148" i="36"/>
  <c r="B147" i="36"/>
  <c r="B146" i="36"/>
  <c r="B145" i="36"/>
  <c r="B144" i="36"/>
  <c r="B143" i="36"/>
  <c r="B142" i="36"/>
  <c r="B141" i="36"/>
  <c r="B140" i="36"/>
  <c r="B139" i="36"/>
  <c r="B138" i="36"/>
  <c r="B137" i="36"/>
  <c r="B136" i="36"/>
  <c r="B135" i="36"/>
  <c r="B134" i="36"/>
  <c r="B133" i="36"/>
  <c r="B132" i="36"/>
  <c r="B131" i="36"/>
  <c r="B130" i="36"/>
  <c r="B129" i="36"/>
  <c r="B128" i="36"/>
  <c r="B127" i="36"/>
  <c r="B126" i="36"/>
  <c r="B125" i="36"/>
  <c r="B124" i="36"/>
  <c r="B123" i="36"/>
  <c r="B122" i="36"/>
  <c r="B121" i="36"/>
  <c r="B120" i="36"/>
  <c r="B119" i="36"/>
  <c r="B118" i="36"/>
  <c r="B117" i="36"/>
  <c r="B116" i="36"/>
  <c r="B115" i="36"/>
  <c r="B114" i="36"/>
  <c r="B113" i="36"/>
  <c r="B112" i="36"/>
  <c r="B111" i="36"/>
  <c r="B110" i="36"/>
  <c r="B109" i="36"/>
  <c r="B108" i="36"/>
  <c r="B107" i="36"/>
  <c r="B106" i="36"/>
  <c r="B105" i="36"/>
  <c r="B104" i="36"/>
  <c r="B103" i="36"/>
  <c r="B102" i="36"/>
  <c r="B101" i="36"/>
  <c r="B100" i="36"/>
  <c r="B99" i="36"/>
  <c r="B98" i="36"/>
  <c r="B97" i="36"/>
  <c r="B96" i="36"/>
  <c r="B95" i="36"/>
  <c r="B94" i="36"/>
  <c r="B93" i="36"/>
  <c r="B92" i="36"/>
  <c r="B91" i="36"/>
  <c r="B90" i="36"/>
  <c r="B89" i="36"/>
  <c r="B88" i="36"/>
  <c r="B87" i="36"/>
  <c r="B86" i="36"/>
  <c r="B85" i="36"/>
  <c r="B84" i="36"/>
  <c r="B83" i="36"/>
  <c r="B82" i="36"/>
  <c r="B81" i="36"/>
  <c r="B80" i="36"/>
  <c r="B79" i="36"/>
  <c r="B78" i="36"/>
  <c r="B77" i="36"/>
  <c r="B76" i="36"/>
  <c r="B75" i="36"/>
  <c r="B74" i="36"/>
  <c r="B73" i="36"/>
  <c r="B72" i="36"/>
  <c r="B71" i="36"/>
  <c r="B70" i="36"/>
  <c r="B69" i="36"/>
  <c r="B68" i="36"/>
  <c r="B67" i="36"/>
  <c r="B66" i="36"/>
  <c r="B65" i="36"/>
  <c r="B64" i="36"/>
  <c r="B63" i="36"/>
  <c r="B62" i="36"/>
  <c r="B61" i="36"/>
  <c r="B60" i="36"/>
  <c r="B59" i="36"/>
  <c r="B58" i="36"/>
  <c r="B57" i="36"/>
  <c r="B56" i="36"/>
  <c r="B55" i="36"/>
  <c r="B54" i="36"/>
  <c r="B53" i="36"/>
  <c r="B52" i="36"/>
  <c r="B49" i="36"/>
  <c r="B48" i="36"/>
  <c r="B47" i="36"/>
  <c r="B46" i="36"/>
  <c r="B45" i="36"/>
  <c r="B44" i="36"/>
  <c r="B43" i="36"/>
  <c r="B42" i="36"/>
  <c r="B41" i="36"/>
  <c r="B40" i="36"/>
  <c r="B39" i="36"/>
  <c r="B38" i="36"/>
  <c r="B37" i="36"/>
  <c r="B36" i="36"/>
  <c r="B35" i="36"/>
  <c r="B34" i="36"/>
  <c r="B33" i="36"/>
  <c r="B30" i="36"/>
  <c r="B29" i="36"/>
  <c r="B28" i="36"/>
  <c r="B27" i="36"/>
  <c r="B26" i="36"/>
  <c r="B25" i="36"/>
  <c r="B24" i="36"/>
  <c r="B23" i="36"/>
  <c r="B22" i="36"/>
  <c r="B21" i="36"/>
  <c r="B20" i="36"/>
  <c r="B19" i="36"/>
  <c r="B18" i="36"/>
  <c r="B14" i="36"/>
  <c r="B13" i="36"/>
  <c r="B12" i="36"/>
  <c r="B11" i="36"/>
  <c r="B10" i="36"/>
  <c r="B9" i="36"/>
  <c r="B8" i="36"/>
  <c r="B7" i="36"/>
  <c r="B6" i="36"/>
  <c r="B5" i="36"/>
  <c r="B4" i="36"/>
  <c r="B3" i="36"/>
  <c r="Y6" i="36" l="1"/>
  <c r="Y5" i="36"/>
  <c r="W8" i="36"/>
  <c r="S3" i="36"/>
  <c r="Y4" i="36"/>
  <c r="X8" i="36"/>
  <c r="V3" i="36"/>
  <c r="T3" i="36"/>
  <c r="S8" i="36"/>
  <c r="R8" i="36"/>
  <c r="N8" i="36"/>
  <c r="W3" i="36"/>
  <c r="T8" i="36"/>
  <c r="U8" i="36"/>
  <c r="Y20" i="36"/>
  <c r="U3" i="36"/>
  <c r="V8" i="36"/>
  <c r="X3" i="36"/>
  <c r="S41" i="36"/>
  <c r="R41" i="36"/>
  <c r="S25" i="36"/>
  <c r="T25" i="36"/>
  <c r="K3" i="36"/>
  <c r="K5" i="36"/>
  <c r="K7" i="36"/>
  <c r="L3" i="36"/>
  <c r="L5" i="36"/>
  <c r="L7" i="36"/>
  <c r="M3" i="36"/>
  <c r="M5" i="36"/>
  <c r="M7" i="36"/>
  <c r="N3" i="36"/>
  <c r="N5" i="36"/>
  <c r="N7" i="36"/>
  <c r="K8" i="36"/>
  <c r="K6" i="36"/>
  <c r="L4" i="36"/>
  <c r="L6" i="36"/>
  <c r="L8" i="36"/>
  <c r="M4" i="36"/>
  <c r="M6" i="36"/>
  <c r="M8" i="36"/>
  <c r="K4" i="36"/>
  <c r="N4" i="36"/>
  <c r="N6" i="36"/>
  <c r="Y3" i="36" l="1"/>
  <c r="M140" i="2"/>
  <c r="K140" i="2"/>
  <c r="J140" i="2"/>
  <c r="Q79" i="5" l="1"/>
  <c r="R79" i="5"/>
  <c r="S79" i="5"/>
  <c r="T79" i="5"/>
  <c r="T77" i="5" s="1"/>
  <c r="J149" i="89" s="1"/>
  <c r="P79" i="5"/>
  <c r="P90" i="5"/>
  <c r="Q90" i="5"/>
  <c r="T44" i="5"/>
  <c r="J135" i="89" s="1"/>
  <c r="R90" i="5"/>
  <c r="S90" i="5"/>
  <c r="N140" i="2"/>
  <c r="L28" i="34"/>
  <c r="M71" i="34" s="1"/>
  <c r="N71" i="34" s="1"/>
  <c r="K28" i="34"/>
  <c r="J28" i="34"/>
  <c r="L79" i="34"/>
  <c r="K79" i="34"/>
  <c r="J79" i="34"/>
  <c r="J78" i="34"/>
  <c r="L73" i="34"/>
  <c r="K73" i="34"/>
  <c r="J73" i="34"/>
  <c r="L72" i="34"/>
  <c r="K72" i="34"/>
  <c r="J72" i="34"/>
  <c r="L71" i="34"/>
  <c r="K71" i="34"/>
  <c r="J71" i="34"/>
  <c r="L70" i="34"/>
  <c r="K70" i="34"/>
  <c r="J70" i="34"/>
  <c r="L69" i="34"/>
  <c r="K69" i="34"/>
  <c r="J69" i="34"/>
  <c r="L60" i="34"/>
  <c r="K60" i="34"/>
  <c r="J60" i="34"/>
  <c r="L47" i="34"/>
  <c r="L66" i="34" s="1"/>
  <c r="L45" i="34"/>
  <c r="L65" i="34" s="1"/>
  <c r="K47" i="34"/>
  <c r="K66" i="34" s="1"/>
  <c r="K45" i="34"/>
  <c r="K65" i="34" s="1"/>
  <c r="J47" i="34"/>
  <c r="J66" i="34" s="1"/>
  <c r="J45" i="34"/>
  <c r="J65" i="34" s="1"/>
  <c r="L51" i="34"/>
  <c r="L61" i="34" s="1"/>
  <c r="K51" i="34"/>
  <c r="K61" i="34" s="1"/>
  <c r="J51" i="34"/>
  <c r="J61" i="34" s="1"/>
  <c r="L50" i="34"/>
  <c r="L67" i="34" s="1"/>
  <c r="K50" i="34"/>
  <c r="K67" i="34" s="1"/>
  <c r="J50" i="34"/>
  <c r="J67" i="34" s="1"/>
  <c r="L49" i="34"/>
  <c r="K49" i="34"/>
  <c r="J49" i="34"/>
  <c r="L43" i="34"/>
  <c r="K43" i="34"/>
  <c r="J43" i="34"/>
  <c r="L42" i="34"/>
  <c r="K42" i="34"/>
  <c r="J42" i="34"/>
  <c r="L41" i="34"/>
  <c r="K41" i="34"/>
  <c r="J41" i="34"/>
  <c r="L40" i="34"/>
  <c r="K40" i="34"/>
  <c r="J40" i="34"/>
  <c r="L39" i="34"/>
  <c r="K39" i="34"/>
  <c r="J39" i="34"/>
  <c r="L30" i="34"/>
  <c r="K30" i="34"/>
  <c r="J30" i="34"/>
  <c r="L25" i="34"/>
  <c r="K25" i="34"/>
  <c r="J25" i="34"/>
  <c r="L26" i="34"/>
  <c r="K26" i="34"/>
  <c r="J26" i="34"/>
  <c r="L22" i="34"/>
  <c r="K22" i="34"/>
  <c r="J22" i="34"/>
  <c r="L21" i="34"/>
  <c r="K21" i="34"/>
  <c r="J21" i="34"/>
  <c r="L20" i="34"/>
  <c r="K20" i="34"/>
  <c r="J20" i="34"/>
  <c r="L19" i="34"/>
  <c r="K19" i="34"/>
  <c r="J19" i="34"/>
  <c r="L17" i="34"/>
  <c r="K17" i="34"/>
  <c r="J17" i="34"/>
  <c r="L16" i="34"/>
  <c r="K16" i="34"/>
  <c r="J16" i="34"/>
  <c r="L14" i="34"/>
  <c r="K14" i="34"/>
  <c r="J14" i="34"/>
  <c r="L15" i="34"/>
  <c r="O46" i="34" s="1"/>
  <c r="N46" i="34" s="1"/>
  <c r="K15" i="34"/>
  <c r="J15" i="34"/>
  <c r="A1" i="34"/>
  <c r="J53" i="34" l="1"/>
  <c r="K53" i="34"/>
  <c r="L53" i="34"/>
  <c r="O63" i="34"/>
  <c r="T75" i="5"/>
  <c r="T42" i="5"/>
  <c r="M46" i="34"/>
  <c r="D280" i="89" s="1"/>
  <c r="T90" i="5"/>
  <c r="T88" i="5" s="1"/>
  <c r="J153" i="89" s="1"/>
  <c r="R68" i="5"/>
  <c r="Q68" i="5"/>
  <c r="T55" i="5"/>
  <c r="J139" i="89" s="1"/>
  <c r="T68" i="5"/>
  <c r="T66" i="5" s="1"/>
  <c r="J143" i="89" s="1"/>
  <c r="K143" i="89" s="1"/>
  <c r="P68" i="5"/>
  <c r="O140" i="2"/>
  <c r="O153" i="2"/>
  <c r="S68" i="5"/>
  <c r="T33" i="5"/>
  <c r="J131" i="89" s="1"/>
  <c r="L46" i="34"/>
  <c r="J46" i="34"/>
  <c r="K46" i="34"/>
  <c r="L77" i="34"/>
  <c r="K62" i="34"/>
  <c r="K77" i="34"/>
  <c r="J77" i="34"/>
  <c r="J80" i="34" s="1"/>
  <c r="J62" i="34"/>
  <c r="L62" i="34"/>
  <c r="K44" i="34"/>
  <c r="K48" i="34" s="1"/>
  <c r="J44" i="34"/>
  <c r="J48" i="34" s="1"/>
  <c r="L44" i="34"/>
  <c r="L48" i="34" s="1"/>
  <c r="L31" i="34"/>
  <c r="K31" i="34"/>
  <c r="J24" i="34"/>
  <c r="K18" i="34"/>
  <c r="L24" i="34"/>
  <c r="J18" i="34"/>
  <c r="L18" i="34"/>
  <c r="K24" i="34"/>
  <c r="J23" i="34"/>
  <c r="J31" i="34"/>
  <c r="K23" i="34"/>
  <c r="L23" i="34"/>
  <c r="T76" i="5" l="1"/>
  <c r="J147" i="89"/>
  <c r="T43" i="5"/>
  <c r="J133" i="89"/>
  <c r="T31" i="5"/>
  <c r="J129" i="89" s="1"/>
  <c r="T86" i="5"/>
  <c r="D279" i="89"/>
  <c r="E280" i="89"/>
  <c r="O157" i="2"/>
  <c r="N90" i="5"/>
  <c r="N79" i="5"/>
  <c r="O156" i="2"/>
  <c r="O154" i="2"/>
  <c r="O155" i="2"/>
  <c r="J81" i="34"/>
  <c r="K78" i="34"/>
  <c r="K80" i="34" s="1"/>
  <c r="L32" i="34"/>
  <c r="J32" i="34"/>
  <c r="K32" i="34"/>
  <c r="E1264" i="32"/>
  <c r="E1263" i="32"/>
  <c r="E1262" i="32"/>
  <c r="E1261" i="32"/>
  <c r="E1260" i="32"/>
  <c r="E1259" i="32"/>
  <c r="E1258" i="32"/>
  <c r="E1257" i="32"/>
  <c r="E1256" i="32"/>
  <c r="E1255" i="32"/>
  <c r="E1254" i="32"/>
  <c r="E1253" i="32"/>
  <c r="E1252" i="32"/>
  <c r="E1251" i="32"/>
  <c r="E1250" i="32"/>
  <c r="E1249" i="32"/>
  <c r="E1248" i="32"/>
  <c r="E1247" i="32"/>
  <c r="E1246" i="32"/>
  <c r="E1245" i="32"/>
  <c r="E1244" i="32"/>
  <c r="E1243" i="32"/>
  <c r="E1242" i="32"/>
  <c r="E1241" i="32"/>
  <c r="E1240" i="32"/>
  <c r="E1239" i="32"/>
  <c r="E1238" i="32"/>
  <c r="E1237" i="32"/>
  <c r="E1236" i="32"/>
  <c r="E1235" i="32"/>
  <c r="E1234" i="32"/>
  <c r="E1233" i="32"/>
  <c r="E1232" i="32"/>
  <c r="E1231" i="32"/>
  <c r="E1230" i="32"/>
  <c r="E1229" i="32"/>
  <c r="E1228" i="32"/>
  <c r="E1227" i="32"/>
  <c r="E1226" i="32"/>
  <c r="E1225" i="32"/>
  <c r="E1224" i="32"/>
  <c r="E1223" i="32"/>
  <c r="E1222" i="32"/>
  <c r="E1221" i="32"/>
  <c r="E1220" i="32"/>
  <c r="E1219" i="32"/>
  <c r="E1218" i="32"/>
  <c r="E1217" i="32"/>
  <c r="E1216" i="32"/>
  <c r="E1215" i="32"/>
  <c r="E1214" i="32"/>
  <c r="E1213" i="32"/>
  <c r="E1212" i="32"/>
  <c r="E1211" i="32"/>
  <c r="E1210" i="32"/>
  <c r="E1209" i="32"/>
  <c r="E1208" i="32"/>
  <c r="E1207" i="32"/>
  <c r="E1206" i="32"/>
  <c r="E1205" i="32"/>
  <c r="E1204" i="32"/>
  <c r="E1203" i="32"/>
  <c r="E1202" i="32"/>
  <c r="E1201" i="32"/>
  <c r="E1200" i="32"/>
  <c r="E1199" i="32"/>
  <c r="E1198" i="32"/>
  <c r="E1197" i="32"/>
  <c r="E1196" i="32"/>
  <c r="E1195" i="32"/>
  <c r="E1194" i="32"/>
  <c r="E1193" i="32"/>
  <c r="E1192" i="32"/>
  <c r="E1191" i="32"/>
  <c r="E1190" i="32"/>
  <c r="E1189" i="32"/>
  <c r="E1188" i="32"/>
  <c r="E1187" i="32"/>
  <c r="E1186" i="32"/>
  <c r="E1185" i="32"/>
  <c r="E1184" i="32"/>
  <c r="E1183" i="32"/>
  <c r="E1182" i="32"/>
  <c r="E1181" i="32"/>
  <c r="E1180" i="32"/>
  <c r="E1179" i="32"/>
  <c r="E1178" i="32"/>
  <c r="E1177" i="32"/>
  <c r="E1176" i="32"/>
  <c r="E1175" i="32"/>
  <c r="E1174" i="32"/>
  <c r="E1173" i="32"/>
  <c r="E1172" i="32"/>
  <c r="E1171" i="32"/>
  <c r="E1170" i="32"/>
  <c r="E1169" i="32"/>
  <c r="E1168" i="32"/>
  <c r="E1167" i="32"/>
  <c r="E1166" i="32"/>
  <c r="E1165" i="32"/>
  <c r="E1164" i="32"/>
  <c r="E1163" i="32"/>
  <c r="E1162" i="32"/>
  <c r="E1161" i="32"/>
  <c r="E1160" i="32"/>
  <c r="E1159" i="32"/>
  <c r="E1158" i="32"/>
  <c r="E1157" i="32"/>
  <c r="E1156" i="32"/>
  <c r="E1155" i="32"/>
  <c r="E1154" i="32"/>
  <c r="E1153" i="32"/>
  <c r="E1152" i="32"/>
  <c r="E1151" i="32"/>
  <c r="E1150" i="32"/>
  <c r="E1149" i="32"/>
  <c r="E1148" i="32"/>
  <c r="E1147" i="32"/>
  <c r="E1146" i="32"/>
  <c r="E1145" i="32"/>
  <c r="E1144" i="32"/>
  <c r="E1143" i="32"/>
  <c r="E1142" i="32"/>
  <c r="E1141" i="32"/>
  <c r="E1140" i="32"/>
  <c r="E1139" i="32"/>
  <c r="E1138" i="32"/>
  <c r="E1137" i="32"/>
  <c r="E1136" i="32"/>
  <c r="E1135" i="32"/>
  <c r="E1134" i="32"/>
  <c r="E1133" i="32"/>
  <c r="E1132" i="32"/>
  <c r="E1131" i="32"/>
  <c r="E1130" i="32"/>
  <c r="E1129" i="32"/>
  <c r="E1128" i="32"/>
  <c r="E1127" i="32"/>
  <c r="E1126" i="32"/>
  <c r="E1125" i="32"/>
  <c r="E1124" i="32"/>
  <c r="E1123" i="32"/>
  <c r="E1122" i="32"/>
  <c r="E1121" i="32"/>
  <c r="E1120" i="32"/>
  <c r="E1119" i="32"/>
  <c r="E1118" i="32"/>
  <c r="E1117" i="32"/>
  <c r="E1116" i="32"/>
  <c r="E1115" i="32"/>
  <c r="E1114" i="32"/>
  <c r="E1113" i="32"/>
  <c r="E1112" i="32"/>
  <c r="E1111" i="32"/>
  <c r="E1110" i="32"/>
  <c r="E1109" i="32"/>
  <c r="E1108" i="32"/>
  <c r="E1107" i="32"/>
  <c r="E1106" i="32"/>
  <c r="E1105" i="32"/>
  <c r="E1104" i="32"/>
  <c r="E1103" i="32"/>
  <c r="E1102" i="32"/>
  <c r="E1101" i="32"/>
  <c r="E1100" i="32"/>
  <c r="E1099" i="32"/>
  <c r="E1098" i="32"/>
  <c r="E1097" i="32"/>
  <c r="E1096" i="32"/>
  <c r="E1095" i="32"/>
  <c r="E1094" i="32"/>
  <c r="E1093" i="32"/>
  <c r="E1092" i="32"/>
  <c r="E1091" i="32"/>
  <c r="E1090" i="32"/>
  <c r="E1089" i="32"/>
  <c r="E1088" i="32"/>
  <c r="E1087" i="32"/>
  <c r="E1086" i="32"/>
  <c r="E1085" i="32"/>
  <c r="E1084" i="32"/>
  <c r="E1083" i="32"/>
  <c r="E1082" i="32"/>
  <c r="E1081" i="32"/>
  <c r="E1080" i="32"/>
  <c r="E1079" i="32"/>
  <c r="E1078" i="32"/>
  <c r="E1077" i="32"/>
  <c r="E1076" i="32"/>
  <c r="E1075" i="32"/>
  <c r="E1074" i="32"/>
  <c r="E1073" i="32"/>
  <c r="E1072" i="32"/>
  <c r="E1071" i="32"/>
  <c r="E1070" i="32"/>
  <c r="E1069" i="32"/>
  <c r="E1068" i="32"/>
  <c r="E1067" i="32"/>
  <c r="E1066" i="32"/>
  <c r="E1065" i="32"/>
  <c r="E1064" i="32"/>
  <c r="E1063" i="32"/>
  <c r="E1062" i="32"/>
  <c r="E1061" i="32"/>
  <c r="E1060" i="32"/>
  <c r="E1059" i="32"/>
  <c r="E1058" i="32"/>
  <c r="E1057" i="32"/>
  <c r="E1056" i="32"/>
  <c r="E1055" i="32"/>
  <c r="E1054" i="32"/>
  <c r="E1053" i="32"/>
  <c r="E1052" i="32"/>
  <c r="E1051" i="32"/>
  <c r="E1050" i="32"/>
  <c r="E1049" i="32"/>
  <c r="E1048" i="32"/>
  <c r="E1047" i="32"/>
  <c r="E1046" i="32"/>
  <c r="E1045" i="32"/>
  <c r="E1044" i="32"/>
  <c r="E1043" i="32"/>
  <c r="E1042" i="32"/>
  <c r="E1041" i="32"/>
  <c r="E1040" i="32"/>
  <c r="E1039" i="32"/>
  <c r="E1038" i="32"/>
  <c r="E1037" i="32"/>
  <c r="E1036" i="32"/>
  <c r="E1035" i="32"/>
  <c r="E1034" i="32"/>
  <c r="E1033" i="32"/>
  <c r="E1032" i="32"/>
  <c r="E1031" i="32"/>
  <c r="E1030" i="32"/>
  <c r="E1029" i="32"/>
  <c r="E1028" i="32"/>
  <c r="E1027" i="32"/>
  <c r="E1026" i="32"/>
  <c r="E1025" i="32"/>
  <c r="E1024" i="32"/>
  <c r="E1023" i="32"/>
  <c r="E1022" i="32"/>
  <c r="E1021" i="32"/>
  <c r="E1020" i="32"/>
  <c r="E1019" i="32"/>
  <c r="E1018" i="32"/>
  <c r="E1017" i="32"/>
  <c r="E1016" i="32"/>
  <c r="E1015" i="32"/>
  <c r="E1014" i="32"/>
  <c r="E1013" i="32"/>
  <c r="E1012" i="32"/>
  <c r="E1011" i="32"/>
  <c r="E1010" i="32"/>
  <c r="E1009" i="32"/>
  <c r="E1008" i="32"/>
  <c r="E1007" i="32"/>
  <c r="E1006" i="32"/>
  <c r="E1005" i="32"/>
  <c r="E1004" i="32"/>
  <c r="E1003" i="32"/>
  <c r="E1002" i="32"/>
  <c r="E1001" i="32"/>
  <c r="E1000" i="32"/>
  <c r="E999" i="32"/>
  <c r="E998" i="32"/>
  <c r="E997" i="32"/>
  <c r="E996" i="32"/>
  <c r="E995" i="32"/>
  <c r="E994" i="32"/>
  <c r="E993" i="32"/>
  <c r="E992" i="32"/>
  <c r="E991" i="32"/>
  <c r="E990" i="32"/>
  <c r="E989" i="32"/>
  <c r="E988" i="32"/>
  <c r="E987" i="32"/>
  <c r="E986" i="32"/>
  <c r="E985" i="32"/>
  <c r="E984" i="32"/>
  <c r="E983" i="32"/>
  <c r="E982" i="32"/>
  <c r="E981" i="32"/>
  <c r="E980" i="32"/>
  <c r="E979" i="32"/>
  <c r="E978" i="32"/>
  <c r="E977" i="32"/>
  <c r="E976" i="32"/>
  <c r="E975" i="32"/>
  <c r="E974" i="32"/>
  <c r="E973" i="32"/>
  <c r="E972" i="32"/>
  <c r="E971" i="32"/>
  <c r="E970" i="32"/>
  <c r="E969" i="32"/>
  <c r="E968" i="32"/>
  <c r="E967" i="32"/>
  <c r="E966" i="32"/>
  <c r="E965" i="32"/>
  <c r="E964" i="32"/>
  <c r="E963" i="32"/>
  <c r="E962" i="32"/>
  <c r="E961" i="32"/>
  <c r="E960" i="32"/>
  <c r="E959" i="32"/>
  <c r="E958" i="32"/>
  <c r="E957" i="32"/>
  <c r="E956" i="32"/>
  <c r="E955" i="32"/>
  <c r="E954" i="32"/>
  <c r="E953" i="32"/>
  <c r="E952" i="32"/>
  <c r="E951" i="32"/>
  <c r="E950" i="32"/>
  <c r="E949" i="32"/>
  <c r="E948" i="32"/>
  <c r="E947" i="32"/>
  <c r="E946" i="32"/>
  <c r="E945" i="32"/>
  <c r="E944" i="32"/>
  <c r="E943" i="32"/>
  <c r="E942" i="32"/>
  <c r="E941" i="32"/>
  <c r="E940" i="32"/>
  <c r="E939" i="32"/>
  <c r="E938" i="32"/>
  <c r="E937" i="32"/>
  <c r="E936" i="32"/>
  <c r="E935" i="32"/>
  <c r="E934" i="32"/>
  <c r="E933" i="32"/>
  <c r="E932" i="32"/>
  <c r="E931" i="32"/>
  <c r="E930" i="32"/>
  <c r="E929" i="32"/>
  <c r="E928" i="32"/>
  <c r="E927" i="32"/>
  <c r="E926" i="32"/>
  <c r="E925" i="32"/>
  <c r="E924" i="32"/>
  <c r="E923" i="32"/>
  <c r="E922" i="32"/>
  <c r="E921" i="32"/>
  <c r="E920" i="32"/>
  <c r="E919" i="32"/>
  <c r="E918" i="32"/>
  <c r="E917" i="32"/>
  <c r="E916" i="32"/>
  <c r="E915" i="32"/>
  <c r="E914" i="32"/>
  <c r="E913" i="32"/>
  <c r="E912" i="32"/>
  <c r="E911" i="32"/>
  <c r="E910" i="32"/>
  <c r="E909" i="32"/>
  <c r="E908" i="32"/>
  <c r="E907" i="32"/>
  <c r="E906" i="32"/>
  <c r="E905" i="32"/>
  <c r="E904" i="32"/>
  <c r="E903" i="32"/>
  <c r="E902" i="32"/>
  <c r="E901" i="32"/>
  <c r="E900" i="32"/>
  <c r="E899" i="32"/>
  <c r="E898" i="32"/>
  <c r="E897" i="32"/>
  <c r="E896" i="32"/>
  <c r="E895" i="32"/>
  <c r="E894" i="32"/>
  <c r="E893" i="32"/>
  <c r="E892" i="32"/>
  <c r="E891" i="32"/>
  <c r="E890" i="32"/>
  <c r="E889" i="32"/>
  <c r="E888" i="32"/>
  <c r="E887" i="32"/>
  <c r="E886" i="32"/>
  <c r="E885" i="32"/>
  <c r="E884" i="32"/>
  <c r="E883" i="32"/>
  <c r="E882" i="32"/>
  <c r="E881" i="32"/>
  <c r="E880" i="32"/>
  <c r="E879" i="32"/>
  <c r="E878" i="32"/>
  <c r="E877" i="32"/>
  <c r="E876" i="32"/>
  <c r="E875" i="32"/>
  <c r="E874" i="32"/>
  <c r="E873" i="32"/>
  <c r="E872" i="32"/>
  <c r="E871" i="32"/>
  <c r="E870" i="32"/>
  <c r="E869" i="32"/>
  <c r="E868" i="32"/>
  <c r="E867" i="32"/>
  <c r="E866" i="32"/>
  <c r="E865" i="32"/>
  <c r="E864" i="32"/>
  <c r="E863" i="32"/>
  <c r="E862" i="32"/>
  <c r="E861" i="32"/>
  <c r="E860" i="32"/>
  <c r="E859" i="32"/>
  <c r="E858" i="32"/>
  <c r="E857" i="32"/>
  <c r="E856" i="32"/>
  <c r="E855" i="32"/>
  <c r="E854" i="32"/>
  <c r="E853" i="32"/>
  <c r="E852" i="32"/>
  <c r="E851" i="32"/>
  <c r="E850" i="32"/>
  <c r="E849" i="32"/>
  <c r="E848" i="32"/>
  <c r="E847" i="32"/>
  <c r="E846" i="32"/>
  <c r="E845" i="32"/>
  <c r="E844" i="32"/>
  <c r="E843" i="32"/>
  <c r="E842" i="32"/>
  <c r="E841" i="32"/>
  <c r="E840" i="32"/>
  <c r="E839" i="32"/>
  <c r="E838" i="32"/>
  <c r="E837" i="32"/>
  <c r="E836" i="32"/>
  <c r="E835" i="32"/>
  <c r="E834" i="32"/>
  <c r="E833" i="32"/>
  <c r="E832" i="32"/>
  <c r="E831" i="32"/>
  <c r="E830" i="32"/>
  <c r="E829" i="32"/>
  <c r="E828" i="32"/>
  <c r="E827" i="32"/>
  <c r="E826" i="32"/>
  <c r="E825" i="32"/>
  <c r="E824" i="32"/>
  <c r="E823" i="32"/>
  <c r="E822" i="32"/>
  <c r="E821" i="32"/>
  <c r="E820" i="32"/>
  <c r="E819" i="32"/>
  <c r="E818" i="32"/>
  <c r="E817" i="32"/>
  <c r="E816" i="32"/>
  <c r="E815" i="32"/>
  <c r="E814" i="32"/>
  <c r="E813" i="32"/>
  <c r="E812" i="32"/>
  <c r="E811" i="32"/>
  <c r="E810" i="32"/>
  <c r="E809" i="32"/>
  <c r="E808" i="32"/>
  <c r="E807" i="32"/>
  <c r="E806" i="32"/>
  <c r="E805" i="32"/>
  <c r="E804" i="32"/>
  <c r="E803" i="32"/>
  <c r="E802" i="32"/>
  <c r="E801" i="32"/>
  <c r="E800" i="32"/>
  <c r="E799" i="32"/>
  <c r="E798" i="32"/>
  <c r="E797" i="32"/>
  <c r="E796" i="32"/>
  <c r="E795" i="32"/>
  <c r="E794" i="32"/>
  <c r="E793" i="32"/>
  <c r="E792" i="32"/>
  <c r="E791" i="32"/>
  <c r="E790" i="32"/>
  <c r="E789" i="32"/>
  <c r="E788" i="32"/>
  <c r="E787" i="32"/>
  <c r="E786" i="32"/>
  <c r="E785" i="32"/>
  <c r="E784" i="32"/>
  <c r="E783" i="32"/>
  <c r="E782" i="32"/>
  <c r="E781" i="32"/>
  <c r="E780" i="32"/>
  <c r="E779" i="32"/>
  <c r="E778" i="32"/>
  <c r="E777" i="32"/>
  <c r="E776" i="32"/>
  <c r="E775" i="32"/>
  <c r="E774" i="32"/>
  <c r="E773" i="32"/>
  <c r="E772" i="32"/>
  <c r="E771" i="32"/>
  <c r="E770" i="32"/>
  <c r="E769" i="32"/>
  <c r="E768" i="32"/>
  <c r="E767" i="32"/>
  <c r="E766" i="32"/>
  <c r="E765" i="32"/>
  <c r="E764" i="32"/>
  <c r="E763" i="32"/>
  <c r="E762" i="32"/>
  <c r="E761" i="32"/>
  <c r="E760" i="32"/>
  <c r="E759" i="32"/>
  <c r="E758" i="32"/>
  <c r="E757" i="32"/>
  <c r="E756" i="32"/>
  <c r="E755" i="32"/>
  <c r="E754" i="32"/>
  <c r="E753" i="32"/>
  <c r="E752" i="32"/>
  <c r="E751" i="32"/>
  <c r="E750" i="32"/>
  <c r="E749" i="32"/>
  <c r="E748" i="32"/>
  <c r="E747" i="32"/>
  <c r="E746" i="32"/>
  <c r="E745" i="32"/>
  <c r="E744" i="32"/>
  <c r="E743" i="32"/>
  <c r="E742" i="32"/>
  <c r="E741" i="32"/>
  <c r="E740" i="32"/>
  <c r="E739" i="32"/>
  <c r="E738" i="32"/>
  <c r="E737" i="32"/>
  <c r="E736" i="32"/>
  <c r="E735" i="32"/>
  <c r="E734" i="32"/>
  <c r="E733" i="32"/>
  <c r="E732" i="32"/>
  <c r="E731" i="32"/>
  <c r="E730" i="32"/>
  <c r="E729" i="32"/>
  <c r="E728" i="32"/>
  <c r="E727" i="32"/>
  <c r="E726" i="32"/>
  <c r="E725" i="32"/>
  <c r="E724" i="32"/>
  <c r="E723" i="32"/>
  <c r="E722" i="32"/>
  <c r="E721" i="32"/>
  <c r="E720" i="32"/>
  <c r="E719" i="32"/>
  <c r="E718" i="32"/>
  <c r="E717" i="32"/>
  <c r="E716" i="32"/>
  <c r="E715" i="32"/>
  <c r="E714" i="32"/>
  <c r="E713" i="32"/>
  <c r="E712" i="32"/>
  <c r="E711" i="32"/>
  <c r="E710" i="32"/>
  <c r="E709" i="32"/>
  <c r="E708" i="32"/>
  <c r="E707" i="32"/>
  <c r="E706" i="32"/>
  <c r="E705" i="32"/>
  <c r="E704" i="32"/>
  <c r="E703" i="32"/>
  <c r="E702" i="32"/>
  <c r="E701" i="32"/>
  <c r="E700" i="32"/>
  <c r="E699" i="32"/>
  <c r="E698" i="32"/>
  <c r="E697" i="32"/>
  <c r="E696" i="32"/>
  <c r="E695" i="32"/>
  <c r="E694" i="32"/>
  <c r="E693" i="32"/>
  <c r="E692" i="32"/>
  <c r="E691" i="32"/>
  <c r="E690" i="32"/>
  <c r="E689" i="32"/>
  <c r="E688" i="32"/>
  <c r="E687" i="32"/>
  <c r="E686" i="32"/>
  <c r="E685" i="32"/>
  <c r="E684" i="32"/>
  <c r="E683" i="32"/>
  <c r="E682" i="32"/>
  <c r="E681" i="32"/>
  <c r="E680" i="32"/>
  <c r="E679" i="32"/>
  <c r="E678" i="32"/>
  <c r="E677" i="32"/>
  <c r="E676" i="32"/>
  <c r="E675" i="32"/>
  <c r="E674" i="32"/>
  <c r="E673" i="32"/>
  <c r="E672" i="32"/>
  <c r="E671" i="32"/>
  <c r="E670" i="32"/>
  <c r="E669" i="32"/>
  <c r="E668" i="32"/>
  <c r="E667" i="32"/>
  <c r="E666" i="32"/>
  <c r="E665" i="32"/>
  <c r="E664" i="32"/>
  <c r="E663" i="32"/>
  <c r="E662" i="32"/>
  <c r="E661" i="32"/>
  <c r="E660" i="32"/>
  <c r="E659" i="32"/>
  <c r="E658" i="32"/>
  <c r="E657" i="32"/>
  <c r="E656" i="32"/>
  <c r="E655" i="32"/>
  <c r="E654" i="32"/>
  <c r="E653" i="32"/>
  <c r="E652" i="32"/>
  <c r="E651" i="32"/>
  <c r="E650" i="32"/>
  <c r="E649" i="32"/>
  <c r="E648" i="32"/>
  <c r="E647" i="32"/>
  <c r="E646" i="32"/>
  <c r="E645" i="32"/>
  <c r="E644" i="32"/>
  <c r="E643" i="32"/>
  <c r="E642" i="32"/>
  <c r="E641" i="32"/>
  <c r="E640" i="32"/>
  <c r="E639" i="32"/>
  <c r="E638" i="32"/>
  <c r="E637" i="32"/>
  <c r="E636" i="32"/>
  <c r="E635" i="32"/>
  <c r="E634" i="32"/>
  <c r="E633" i="32"/>
  <c r="E632" i="32"/>
  <c r="E631" i="32"/>
  <c r="E630" i="32"/>
  <c r="E629" i="32"/>
  <c r="E628" i="32"/>
  <c r="E627" i="32"/>
  <c r="E626" i="32"/>
  <c r="E625" i="32"/>
  <c r="E624" i="32"/>
  <c r="E623" i="32"/>
  <c r="E622" i="32"/>
  <c r="E621" i="32"/>
  <c r="E620" i="32"/>
  <c r="E619" i="32"/>
  <c r="E618" i="32"/>
  <c r="E617" i="32"/>
  <c r="E616" i="32"/>
  <c r="E615" i="32"/>
  <c r="E614" i="32"/>
  <c r="E613" i="32"/>
  <c r="E612" i="32"/>
  <c r="E611" i="32"/>
  <c r="E610" i="32"/>
  <c r="E609" i="32"/>
  <c r="E608" i="32"/>
  <c r="E607" i="32"/>
  <c r="E606" i="32"/>
  <c r="E605" i="32"/>
  <c r="E604" i="32"/>
  <c r="E603" i="32"/>
  <c r="E602" i="32"/>
  <c r="E601" i="32"/>
  <c r="E600" i="32"/>
  <c r="E599" i="32"/>
  <c r="E598" i="32"/>
  <c r="E597" i="32"/>
  <c r="E596" i="32"/>
  <c r="E595" i="32"/>
  <c r="E594" i="32"/>
  <c r="E593" i="32"/>
  <c r="E592" i="32"/>
  <c r="E591" i="32"/>
  <c r="E590" i="32"/>
  <c r="E589" i="32"/>
  <c r="E588" i="32"/>
  <c r="E587" i="32"/>
  <c r="E586" i="32"/>
  <c r="E585" i="32"/>
  <c r="E584" i="32"/>
  <c r="E583" i="32"/>
  <c r="E582" i="32"/>
  <c r="E581" i="32"/>
  <c r="E580" i="32"/>
  <c r="E579" i="32"/>
  <c r="E578" i="32"/>
  <c r="E577" i="32"/>
  <c r="E576" i="32"/>
  <c r="E575" i="32"/>
  <c r="E574" i="32"/>
  <c r="E573" i="32"/>
  <c r="E572" i="32"/>
  <c r="E571" i="32"/>
  <c r="E570" i="32"/>
  <c r="E569" i="32"/>
  <c r="E568" i="32"/>
  <c r="E567" i="32"/>
  <c r="E566" i="32"/>
  <c r="E565" i="32"/>
  <c r="E564" i="32"/>
  <c r="E563" i="32"/>
  <c r="E562" i="32"/>
  <c r="E561" i="32"/>
  <c r="E560" i="32"/>
  <c r="E559" i="32"/>
  <c r="E558" i="32"/>
  <c r="E557" i="32"/>
  <c r="E556" i="32"/>
  <c r="E555" i="32"/>
  <c r="E554" i="32"/>
  <c r="E553" i="32"/>
  <c r="E552" i="32"/>
  <c r="E551" i="32"/>
  <c r="E550" i="32"/>
  <c r="E549" i="32"/>
  <c r="E548" i="32"/>
  <c r="E547" i="32"/>
  <c r="E546" i="32"/>
  <c r="E545" i="32"/>
  <c r="E544" i="32"/>
  <c r="E543" i="32"/>
  <c r="E542" i="32"/>
  <c r="E541" i="32"/>
  <c r="E540" i="32"/>
  <c r="E539" i="32"/>
  <c r="E538" i="32"/>
  <c r="E537" i="32"/>
  <c r="E536" i="32"/>
  <c r="E535" i="32"/>
  <c r="E534" i="32"/>
  <c r="E533" i="32"/>
  <c r="E532" i="32"/>
  <c r="E531" i="32"/>
  <c r="E530" i="32"/>
  <c r="E529" i="32"/>
  <c r="E528" i="32"/>
  <c r="E527" i="32"/>
  <c r="E526" i="32"/>
  <c r="E525" i="32"/>
  <c r="E524" i="32"/>
  <c r="E523" i="32"/>
  <c r="E522" i="32"/>
  <c r="E521" i="32"/>
  <c r="E520" i="32"/>
  <c r="E519" i="32"/>
  <c r="E518" i="32"/>
  <c r="E517" i="32"/>
  <c r="E516" i="32"/>
  <c r="E515" i="32"/>
  <c r="E514" i="32"/>
  <c r="E513" i="32"/>
  <c r="E512" i="32"/>
  <c r="E511" i="32"/>
  <c r="E510" i="32"/>
  <c r="E509" i="32"/>
  <c r="E508" i="32"/>
  <c r="E507" i="32"/>
  <c r="E506" i="32"/>
  <c r="E505" i="32"/>
  <c r="E504" i="32"/>
  <c r="E503" i="32"/>
  <c r="E502" i="32"/>
  <c r="E501" i="32"/>
  <c r="E500" i="32"/>
  <c r="E499" i="32"/>
  <c r="E498" i="32"/>
  <c r="E497" i="32"/>
  <c r="E496" i="32"/>
  <c r="E495" i="32"/>
  <c r="E494" i="32"/>
  <c r="E493" i="32"/>
  <c r="E492" i="32"/>
  <c r="E491" i="32"/>
  <c r="E490" i="32"/>
  <c r="E489" i="32"/>
  <c r="E488" i="32"/>
  <c r="E487" i="32"/>
  <c r="E486" i="32"/>
  <c r="E485" i="32"/>
  <c r="E484" i="32"/>
  <c r="E483" i="32"/>
  <c r="E482" i="32"/>
  <c r="E481" i="32"/>
  <c r="E480" i="32"/>
  <c r="E479" i="32"/>
  <c r="E478" i="32"/>
  <c r="E477" i="32"/>
  <c r="E476" i="32"/>
  <c r="E475" i="32"/>
  <c r="E474" i="32"/>
  <c r="E473" i="32"/>
  <c r="E472" i="32"/>
  <c r="E471" i="32"/>
  <c r="E470" i="32"/>
  <c r="E469" i="32"/>
  <c r="E468" i="32"/>
  <c r="E467" i="32"/>
  <c r="E466" i="32"/>
  <c r="E465" i="32"/>
  <c r="E464" i="32"/>
  <c r="E463" i="32"/>
  <c r="E462" i="32"/>
  <c r="E461" i="32"/>
  <c r="E460" i="32"/>
  <c r="E459" i="32"/>
  <c r="E458" i="32"/>
  <c r="E457" i="32"/>
  <c r="E456" i="32"/>
  <c r="E455" i="32"/>
  <c r="E454" i="32"/>
  <c r="E453" i="32"/>
  <c r="E452" i="32"/>
  <c r="E451" i="32"/>
  <c r="E450" i="32"/>
  <c r="E449" i="32"/>
  <c r="E448" i="32"/>
  <c r="E447" i="32"/>
  <c r="E446" i="32"/>
  <c r="E445" i="32"/>
  <c r="E444" i="32"/>
  <c r="E443" i="32"/>
  <c r="E442" i="32"/>
  <c r="E441" i="32"/>
  <c r="E440" i="32"/>
  <c r="E439" i="32"/>
  <c r="E438" i="32"/>
  <c r="E437" i="32"/>
  <c r="E436" i="32"/>
  <c r="E435" i="32"/>
  <c r="E434" i="32"/>
  <c r="E433" i="32"/>
  <c r="E432" i="32"/>
  <c r="E431" i="32"/>
  <c r="E430" i="32"/>
  <c r="E429" i="32"/>
  <c r="E428" i="32"/>
  <c r="E427" i="32"/>
  <c r="E426" i="32"/>
  <c r="E425" i="32"/>
  <c r="E424" i="32"/>
  <c r="E423" i="32"/>
  <c r="E422" i="32"/>
  <c r="E421" i="32"/>
  <c r="E420" i="32"/>
  <c r="E419" i="32"/>
  <c r="E418" i="32"/>
  <c r="E417" i="32"/>
  <c r="E416" i="32"/>
  <c r="E415" i="32"/>
  <c r="E414" i="32"/>
  <c r="E413" i="32"/>
  <c r="E412" i="32"/>
  <c r="E411" i="32"/>
  <c r="E410" i="32"/>
  <c r="E409" i="32"/>
  <c r="E408" i="32"/>
  <c r="E407" i="32"/>
  <c r="E406" i="32"/>
  <c r="E405" i="32"/>
  <c r="E404" i="32"/>
  <c r="E403" i="32"/>
  <c r="E402" i="32"/>
  <c r="E401" i="32"/>
  <c r="E400" i="32"/>
  <c r="E399" i="32"/>
  <c r="E398" i="32"/>
  <c r="E397" i="32"/>
  <c r="E396" i="32"/>
  <c r="E395" i="32"/>
  <c r="E394" i="32"/>
  <c r="E393" i="32"/>
  <c r="E392" i="32"/>
  <c r="E391" i="32"/>
  <c r="E390" i="32"/>
  <c r="E389" i="32"/>
  <c r="E388" i="32"/>
  <c r="E387" i="32"/>
  <c r="E386" i="32"/>
  <c r="E385" i="32"/>
  <c r="E384" i="32"/>
  <c r="E383" i="32"/>
  <c r="E382" i="32"/>
  <c r="E381" i="32"/>
  <c r="E380" i="32"/>
  <c r="E379" i="32"/>
  <c r="E378" i="32"/>
  <c r="E377" i="32"/>
  <c r="E376" i="32"/>
  <c r="E375" i="32"/>
  <c r="E374" i="32"/>
  <c r="E373" i="32"/>
  <c r="E372" i="32"/>
  <c r="E371" i="32"/>
  <c r="E370" i="32"/>
  <c r="E369" i="32"/>
  <c r="E368" i="32"/>
  <c r="E367" i="32"/>
  <c r="E366" i="32"/>
  <c r="E365" i="32"/>
  <c r="E364" i="32"/>
  <c r="E363" i="32"/>
  <c r="E362" i="32"/>
  <c r="E361" i="32"/>
  <c r="E360" i="32"/>
  <c r="E359" i="32"/>
  <c r="E358" i="32"/>
  <c r="E357" i="32"/>
  <c r="E356" i="32"/>
  <c r="E355" i="32"/>
  <c r="E354" i="32"/>
  <c r="E353" i="32"/>
  <c r="E352" i="32"/>
  <c r="E351" i="32"/>
  <c r="E350" i="32"/>
  <c r="E349" i="32"/>
  <c r="E348" i="32"/>
  <c r="E347" i="32"/>
  <c r="E346" i="32"/>
  <c r="E345" i="32"/>
  <c r="E344" i="32"/>
  <c r="E343" i="32"/>
  <c r="E342" i="32"/>
  <c r="E341" i="32"/>
  <c r="E340" i="32"/>
  <c r="E339" i="32"/>
  <c r="E338" i="32"/>
  <c r="E337" i="32"/>
  <c r="E336" i="32"/>
  <c r="E335" i="32"/>
  <c r="E334" i="32"/>
  <c r="E333" i="32"/>
  <c r="E332" i="32"/>
  <c r="E331" i="32"/>
  <c r="E330" i="32"/>
  <c r="E329" i="32"/>
  <c r="E328" i="32"/>
  <c r="E327" i="32"/>
  <c r="E326" i="32"/>
  <c r="E325" i="32"/>
  <c r="E324" i="32"/>
  <c r="E323" i="32"/>
  <c r="E322" i="32"/>
  <c r="E321" i="32"/>
  <c r="E320" i="32"/>
  <c r="E319" i="32"/>
  <c r="E318" i="32"/>
  <c r="E317" i="32"/>
  <c r="E316" i="32"/>
  <c r="E315" i="32"/>
  <c r="E314" i="32"/>
  <c r="E313" i="32"/>
  <c r="E312" i="32"/>
  <c r="E311" i="32"/>
  <c r="E310" i="32"/>
  <c r="E309" i="32"/>
  <c r="E308" i="32"/>
  <c r="E307" i="32"/>
  <c r="E306" i="32"/>
  <c r="E305" i="32"/>
  <c r="E304" i="32"/>
  <c r="E303" i="32"/>
  <c r="E302" i="32"/>
  <c r="E301" i="32"/>
  <c r="E300" i="32"/>
  <c r="E299" i="32"/>
  <c r="E298" i="32"/>
  <c r="E297" i="32"/>
  <c r="E296" i="32"/>
  <c r="E295" i="32"/>
  <c r="E294" i="32"/>
  <c r="E293" i="32"/>
  <c r="E292" i="32"/>
  <c r="E291" i="32"/>
  <c r="E290" i="32"/>
  <c r="E289" i="32"/>
  <c r="E288" i="32"/>
  <c r="E287" i="32"/>
  <c r="E286" i="32"/>
  <c r="E285" i="32"/>
  <c r="E284" i="32"/>
  <c r="E283" i="32"/>
  <c r="E282" i="32"/>
  <c r="E281" i="32"/>
  <c r="E280" i="32"/>
  <c r="E279" i="32"/>
  <c r="E278" i="32"/>
  <c r="E277" i="32"/>
  <c r="E276" i="32"/>
  <c r="E275" i="32"/>
  <c r="E274" i="32"/>
  <c r="E273" i="32"/>
  <c r="E272" i="32"/>
  <c r="E271" i="32"/>
  <c r="E270" i="32"/>
  <c r="E269" i="32"/>
  <c r="E268" i="32"/>
  <c r="E267" i="32"/>
  <c r="E266" i="32"/>
  <c r="E265" i="32"/>
  <c r="E264" i="32"/>
  <c r="E263" i="32"/>
  <c r="E262" i="32"/>
  <c r="E261" i="32"/>
  <c r="E260" i="32"/>
  <c r="E259" i="32"/>
  <c r="E258" i="32"/>
  <c r="E257" i="32"/>
  <c r="E256" i="32"/>
  <c r="E255" i="32"/>
  <c r="E254" i="32"/>
  <c r="E253" i="32"/>
  <c r="E252" i="32"/>
  <c r="E251" i="32"/>
  <c r="E250" i="32"/>
  <c r="E249" i="32"/>
  <c r="E248" i="32"/>
  <c r="E247" i="32"/>
  <c r="E246" i="32"/>
  <c r="E245" i="32"/>
  <c r="E244" i="32"/>
  <c r="E243" i="32"/>
  <c r="E242" i="32"/>
  <c r="E241" i="32"/>
  <c r="E240" i="32"/>
  <c r="E239" i="32"/>
  <c r="E238" i="32"/>
  <c r="E237" i="32"/>
  <c r="E236" i="32"/>
  <c r="E235" i="32"/>
  <c r="E234" i="32"/>
  <c r="E233" i="32"/>
  <c r="E232" i="32"/>
  <c r="E231" i="32"/>
  <c r="E230" i="32"/>
  <c r="E229" i="32"/>
  <c r="E228" i="32"/>
  <c r="E227" i="32"/>
  <c r="E226" i="32"/>
  <c r="E225" i="32"/>
  <c r="E224" i="32"/>
  <c r="E223" i="32"/>
  <c r="E222" i="32"/>
  <c r="E221" i="32"/>
  <c r="E220" i="32"/>
  <c r="E219" i="32"/>
  <c r="E218" i="32"/>
  <c r="E217" i="32"/>
  <c r="E216" i="32"/>
  <c r="E215" i="32"/>
  <c r="E214" i="32"/>
  <c r="E213" i="32"/>
  <c r="E212" i="32"/>
  <c r="E211" i="32"/>
  <c r="E210" i="32"/>
  <c r="E209"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E8" i="32"/>
  <c r="E7" i="32"/>
  <c r="E6" i="32"/>
  <c r="E5" i="32"/>
  <c r="E4" i="32"/>
  <c r="E3" i="32"/>
  <c r="N2" i="32"/>
  <c r="M2" i="32"/>
  <c r="J148" i="89" l="1"/>
  <c r="J134" i="89"/>
  <c r="T87" i="5"/>
  <c r="J151" i="89"/>
  <c r="P46" i="34"/>
  <c r="F280" i="89" s="1"/>
  <c r="T32" i="5"/>
  <c r="I2" i="32"/>
  <c r="O2" i="32"/>
  <c r="H2" i="32"/>
  <c r="J2" i="32"/>
  <c r="M65" i="34"/>
  <c r="M69" i="34" s="1"/>
  <c r="N69" i="34" s="1"/>
  <c r="K81" i="34"/>
  <c r="L78" i="34"/>
  <c r="L80" i="34" s="1"/>
  <c r="M78" i="34" s="1"/>
  <c r="J130" i="89" l="1"/>
  <c r="J152" i="89"/>
  <c r="Q46" i="34"/>
  <c r="G280" i="89" s="1"/>
  <c r="P2" i="32"/>
  <c r="L81" i="34"/>
  <c r="O78" i="34"/>
  <c r="M110" i="5"/>
  <c r="M178" i="2" s="1"/>
  <c r="L110" i="5"/>
  <c r="L178" i="2" s="1"/>
  <c r="M108" i="5"/>
  <c r="M177" i="2" s="1"/>
  <c r="T107" i="5" s="1"/>
  <c r="J167" i="89" s="1"/>
  <c r="L108" i="5"/>
  <c r="L177" i="2" s="1"/>
  <c r="M106" i="5"/>
  <c r="M176" i="2" s="1"/>
  <c r="T176" i="2" s="1"/>
  <c r="T105" i="5" s="1"/>
  <c r="J165" i="89" s="1"/>
  <c r="L106" i="5"/>
  <c r="L176" i="2" s="1"/>
  <c r="M104" i="5"/>
  <c r="M175" i="2" s="1"/>
  <c r="L104" i="5"/>
  <c r="L175" i="2" s="1"/>
  <c r="M102" i="5"/>
  <c r="M174" i="2" s="1"/>
  <c r="L102" i="5"/>
  <c r="L174" i="2" s="1"/>
  <c r="M100" i="5"/>
  <c r="M173" i="2" s="1"/>
  <c r="T99" i="5" s="1"/>
  <c r="J157" i="89" s="1"/>
  <c r="L100" i="5"/>
  <c r="L173" i="2" s="1"/>
  <c r="M98" i="5"/>
  <c r="M172" i="2" s="1"/>
  <c r="L98" i="5"/>
  <c r="L172" i="2" s="1"/>
  <c r="M87" i="5"/>
  <c r="L87" i="5"/>
  <c r="M76" i="5"/>
  <c r="L76" i="5"/>
  <c r="M54" i="5"/>
  <c r="L54" i="5"/>
  <c r="M43" i="5"/>
  <c r="L43" i="5"/>
  <c r="M32" i="5"/>
  <c r="L32" i="5"/>
  <c r="R46" i="34" l="1"/>
  <c r="H280" i="89" s="1"/>
  <c r="T106" i="5"/>
  <c r="T100" i="5"/>
  <c r="T108" i="5"/>
  <c r="S172" i="2"/>
  <c r="Q172" i="2"/>
  <c r="P172" i="2"/>
  <c r="T172" i="2"/>
  <c r="T97" i="5" s="1"/>
  <c r="J155" i="89" s="1"/>
  <c r="R172" i="2"/>
  <c r="N172" i="2"/>
  <c r="N178" i="2"/>
  <c r="R176" i="2"/>
  <c r="Q176" i="2"/>
  <c r="N176" i="2"/>
  <c r="S176" i="2"/>
  <c r="P176" i="2"/>
  <c r="J158" i="89" l="1"/>
  <c r="J168" i="89"/>
  <c r="J166" i="89"/>
  <c r="S46" i="34"/>
  <c r="I280" i="89" s="1"/>
  <c r="T98" i="5"/>
  <c r="G47" i="3"/>
  <c r="G35" i="3" s="1"/>
  <c r="F24" i="89" s="1"/>
  <c r="J156" i="89" l="1"/>
  <c r="T46" i="34"/>
  <c r="J280" i="89" s="1"/>
  <c r="AY104" i="10"/>
  <c r="AX104" i="10"/>
  <c r="AW104" i="10"/>
  <c r="AV104" i="10"/>
  <c r="AY103" i="10"/>
  <c r="AX103" i="10"/>
  <c r="AW103" i="10"/>
  <c r="AV103" i="10"/>
  <c r="AY102" i="10"/>
  <c r="AX102" i="10"/>
  <c r="AW102" i="10"/>
  <c r="AV102" i="10"/>
  <c r="AY101" i="10"/>
  <c r="AX101" i="10"/>
  <c r="AW101" i="10"/>
  <c r="AV101" i="10"/>
  <c r="AY100" i="10"/>
  <c r="AX100" i="10"/>
  <c r="AW100" i="10"/>
  <c r="AV100" i="10"/>
  <c r="AY99" i="10"/>
  <c r="AX99" i="10"/>
  <c r="AW99" i="10"/>
  <c r="AV99" i="10"/>
  <c r="AY98" i="10"/>
  <c r="AX98" i="10"/>
  <c r="AW98" i="10"/>
  <c r="AV98" i="10"/>
  <c r="AY97" i="10"/>
  <c r="AX97" i="10"/>
  <c r="AW97" i="10"/>
  <c r="AV97" i="10"/>
  <c r="AY96" i="10"/>
  <c r="AX96" i="10"/>
  <c r="AW96" i="10"/>
  <c r="AV96" i="10"/>
  <c r="AY95" i="10"/>
  <c r="AX95" i="10"/>
  <c r="AW95" i="10"/>
  <c r="AV95" i="10"/>
  <c r="AY94" i="10"/>
  <c r="AX94" i="10"/>
  <c r="AW94" i="10"/>
  <c r="AV94" i="10"/>
  <c r="AY93" i="10"/>
  <c r="AX93" i="10"/>
  <c r="AW93" i="10"/>
  <c r="AV93" i="10"/>
  <c r="AY92" i="10"/>
  <c r="AX92" i="10"/>
  <c r="AW92" i="10"/>
  <c r="AV92" i="10"/>
  <c r="AY91" i="10"/>
  <c r="AX91" i="10"/>
  <c r="AW91" i="10"/>
  <c r="AV91" i="10"/>
  <c r="AY90" i="10"/>
  <c r="AX90" i="10"/>
  <c r="AW90" i="10"/>
  <c r="AV90" i="10"/>
  <c r="AY89" i="10"/>
  <c r="AX89" i="10"/>
  <c r="AW89" i="10"/>
  <c r="AV89" i="10"/>
  <c r="AY88" i="10"/>
  <c r="AX88" i="10"/>
  <c r="AW88" i="10"/>
  <c r="AV88" i="10"/>
  <c r="AY87" i="10"/>
  <c r="AX87" i="10"/>
  <c r="AW87" i="10"/>
  <c r="AV87" i="10"/>
  <c r="AY86" i="10"/>
  <c r="AX86" i="10"/>
  <c r="AW86" i="10"/>
  <c r="AV86" i="10"/>
  <c r="AY85" i="10"/>
  <c r="AX85" i="10"/>
  <c r="AW85" i="10"/>
  <c r="AV85" i="10"/>
  <c r="AY84" i="10"/>
  <c r="AX84" i="10"/>
  <c r="AW84" i="10"/>
  <c r="AV84" i="10"/>
  <c r="AY83" i="10"/>
  <c r="AX83" i="10"/>
  <c r="AW83" i="10"/>
  <c r="AV83" i="10"/>
  <c r="AY82" i="10"/>
  <c r="AX82" i="10"/>
  <c r="AW82" i="10"/>
  <c r="AV82" i="10"/>
  <c r="AY81" i="10"/>
  <c r="AX81" i="10"/>
  <c r="AW81" i="10"/>
  <c r="AV81" i="10"/>
  <c r="AY80" i="10"/>
  <c r="AX80" i="10"/>
  <c r="AW80" i="10"/>
  <c r="AV80" i="10"/>
  <c r="AY79" i="10"/>
  <c r="AX79" i="10"/>
  <c r="AW79" i="10"/>
  <c r="AV79" i="10"/>
  <c r="AY78" i="10"/>
  <c r="AX78" i="10"/>
  <c r="AW78" i="10"/>
  <c r="AV78" i="10"/>
  <c r="AY77" i="10"/>
  <c r="AX77" i="10"/>
  <c r="AW77" i="10"/>
  <c r="AV77" i="10"/>
  <c r="AY76" i="10"/>
  <c r="AX76" i="10"/>
  <c r="AW76" i="10"/>
  <c r="AV76" i="10"/>
  <c r="AY75" i="10"/>
  <c r="AX75" i="10"/>
  <c r="AW75" i="10"/>
  <c r="AV75" i="10"/>
  <c r="AY74" i="10"/>
  <c r="AX74" i="10"/>
  <c r="AW74" i="10"/>
  <c r="AV74" i="10"/>
  <c r="AY73" i="10"/>
  <c r="AX73" i="10"/>
  <c r="AW73" i="10"/>
  <c r="AV73" i="10"/>
  <c r="AY72" i="10"/>
  <c r="AX72" i="10"/>
  <c r="AW72" i="10"/>
  <c r="AV72" i="10"/>
  <c r="AY71" i="10"/>
  <c r="AX71" i="10"/>
  <c r="AW71" i="10"/>
  <c r="AV71" i="10"/>
  <c r="AY70" i="10"/>
  <c r="AX70" i="10"/>
  <c r="AW70" i="10"/>
  <c r="AV70" i="10"/>
  <c r="AY69" i="10"/>
  <c r="AX69" i="10"/>
  <c r="AW69" i="10"/>
  <c r="AV69" i="10"/>
  <c r="AY68" i="10"/>
  <c r="AX68" i="10"/>
  <c r="AW68" i="10"/>
  <c r="AV68" i="10"/>
  <c r="AY67" i="10"/>
  <c r="AX67" i="10"/>
  <c r="AW67" i="10"/>
  <c r="AV67" i="10"/>
  <c r="AY66" i="10"/>
  <c r="AX66" i="10"/>
  <c r="AW66" i="10"/>
  <c r="AV66" i="10"/>
  <c r="AY65" i="10"/>
  <c r="AX65" i="10"/>
  <c r="AW65" i="10"/>
  <c r="AV65" i="10"/>
  <c r="AY64" i="10"/>
  <c r="AX64" i="10"/>
  <c r="AW64" i="10"/>
  <c r="AV64" i="10"/>
  <c r="AY63" i="10"/>
  <c r="AX63" i="10"/>
  <c r="AW63" i="10"/>
  <c r="AV63" i="10"/>
  <c r="AY62" i="10"/>
  <c r="AX62" i="10"/>
  <c r="AW62" i="10"/>
  <c r="AV62" i="10"/>
  <c r="AY61" i="10"/>
  <c r="AX61" i="10"/>
  <c r="AW61" i="10"/>
  <c r="AV61" i="10"/>
  <c r="AY60" i="10"/>
  <c r="AX60" i="10"/>
  <c r="AW60" i="10"/>
  <c r="AV60" i="10"/>
  <c r="AY59" i="10"/>
  <c r="AX59" i="10"/>
  <c r="AW59" i="10"/>
  <c r="AV59" i="10"/>
  <c r="AY58" i="10"/>
  <c r="AX58" i="10"/>
  <c r="AW58" i="10"/>
  <c r="AV58" i="10"/>
  <c r="AY57" i="10"/>
  <c r="AX57" i="10"/>
  <c r="AW57" i="10"/>
  <c r="AV57" i="10"/>
  <c r="AY56" i="10"/>
  <c r="AX56" i="10"/>
  <c r="AW56" i="10"/>
  <c r="AV56" i="10"/>
  <c r="AY55" i="10"/>
  <c r="AX55" i="10"/>
  <c r="AW55" i="10"/>
  <c r="AV55" i="10"/>
  <c r="AY54" i="10"/>
  <c r="AX54" i="10"/>
  <c r="AW54" i="10"/>
  <c r="AV54" i="10"/>
  <c r="AY53" i="10"/>
  <c r="AX53" i="10"/>
  <c r="AW53" i="10"/>
  <c r="AV53" i="10"/>
  <c r="AY52" i="10"/>
  <c r="AX52" i="10"/>
  <c r="AW52" i="10"/>
  <c r="AV52" i="10"/>
  <c r="AY51" i="10"/>
  <c r="AX51" i="10"/>
  <c r="AW51" i="10"/>
  <c r="AV51" i="10"/>
  <c r="AY50" i="10"/>
  <c r="AX50" i="10"/>
  <c r="AW50" i="10"/>
  <c r="AV50" i="10"/>
  <c r="AY49" i="10"/>
  <c r="AX49" i="10"/>
  <c r="AW49" i="10"/>
  <c r="AV49" i="10"/>
  <c r="AY48" i="10"/>
  <c r="AX48" i="10"/>
  <c r="AW48" i="10"/>
  <c r="AV48" i="10"/>
  <c r="AY47" i="10"/>
  <c r="AX47" i="10"/>
  <c r="AW47" i="10"/>
  <c r="AV47" i="10"/>
  <c r="AY46" i="10"/>
  <c r="AX46" i="10"/>
  <c r="AW46" i="10"/>
  <c r="AV46" i="10"/>
  <c r="AY45" i="10"/>
  <c r="AX45" i="10"/>
  <c r="AW45" i="10"/>
  <c r="AV45" i="10"/>
  <c r="AY44" i="10"/>
  <c r="AX44" i="10"/>
  <c r="AW44" i="10"/>
  <c r="AV44" i="10"/>
  <c r="AY43" i="10"/>
  <c r="AX43" i="10"/>
  <c r="AW43" i="10"/>
  <c r="AV43" i="10"/>
  <c r="AY42" i="10"/>
  <c r="AX42" i="10"/>
  <c r="AW42" i="10"/>
  <c r="AV42" i="10"/>
  <c r="AY41" i="10"/>
  <c r="AX41" i="10"/>
  <c r="AW41" i="10"/>
  <c r="AV41" i="10"/>
  <c r="AY40" i="10"/>
  <c r="AX40" i="10"/>
  <c r="AW40" i="10"/>
  <c r="AV40" i="10"/>
  <c r="AY39" i="10"/>
  <c r="AX39" i="10"/>
  <c r="AW39" i="10"/>
  <c r="AV39" i="10"/>
  <c r="AY38" i="10"/>
  <c r="AX38" i="10"/>
  <c r="AW38" i="10"/>
  <c r="AV38" i="10"/>
  <c r="AY37" i="10"/>
  <c r="AX37" i="10"/>
  <c r="AW37" i="10"/>
  <c r="AV37" i="10"/>
  <c r="AY36" i="10"/>
  <c r="AX36" i="10"/>
  <c r="AW36" i="10"/>
  <c r="AV36" i="10"/>
  <c r="AY35" i="10"/>
  <c r="AX35" i="10"/>
  <c r="AW35" i="10"/>
  <c r="AV35" i="10"/>
  <c r="AY34" i="10"/>
  <c r="AX34" i="10"/>
  <c r="AW34" i="10"/>
  <c r="AV34" i="10"/>
  <c r="AY33" i="10"/>
  <c r="AX33" i="10"/>
  <c r="AW33" i="10"/>
  <c r="AV33" i="10"/>
  <c r="AY32" i="10"/>
  <c r="AX32" i="10"/>
  <c r="AW32" i="10"/>
  <c r="AV32" i="10"/>
  <c r="AY31" i="10"/>
  <c r="AX31" i="10"/>
  <c r="AW31" i="10"/>
  <c r="AV31" i="10"/>
  <c r="AY30" i="10"/>
  <c r="AX30" i="10"/>
  <c r="AW30" i="10"/>
  <c r="AV30" i="10"/>
  <c r="AY29" i="10"/>
  <c r="AX29" i="10"/>
  <c r="AW29" i="10"/>
  <c r="AV29" i="10"/>
  <c r="AY28" i="10"/>
  <c r="AX28" i="10"/>
  <c r="AW28" i="10"/>
  <c r="AV28" i="10"/>
  <c r="AY27" i="10"/>
  <c r="AX27" i="10"/>
  <c r="AW27" i="10"/>
  <c r="AV27" i="10"/>
  <c r="AY26" i="10"/>
  <c r="AX26" i="10"/>
  <c r="AW26" i="10"/>
  <c r="AV26" i="10"/>
  <c r="AY25" i="10"/>
  <c r="AX25" i="10"/>
  <c r="AW25" i="10"/>
  <c r="AV25" i="10"/>
  <c r="AY24" i="10"/>
  <c r="AX24" i="10"/>
  <c r="AW24" i="10"/>
  <c r="AV24" i="10"/>
  <c r="AY23" i="10"/>
  <c r="AX23" i="10"/>
  <c r="AW23" i="10"/>
  <c r="AV23" i="10"/>
  <c r="AY22" i="10"/>
  <c r="AX22" i="10"/>
  <c r="AW22" i="10"/>
  <c r="AV22" i="10"/>
  <c r="AY21" i="10"/>
  <c r="AX21" i="10"/>
  <c r="AW21" i="10"/>
  <c r="AV21" i="10"/>
  <c r="AY20" i="10"/>
  <c r="AX20" i="10"/>
  <c r="AW20" i="10"/>
  <c r="AV20" i="10"/>
  <c r="AY19" i="10"/>
  <c r="AX19" i="10"/>
  <c r="AW19" i="10"/>
  <c r="AV19" i="10"/>
  <c r="AY18" i="10"/>
  <c r="AX18" i="10"/>
  <c r="AW18" i="10"/>
  <c r="AV18" i="10"/>
  <c r="AY17" i="10"/>
  <c r="AX17" i="10"/>
  <c r="AW17" i="10"/>
  <c r="AV17" i="10"/>
  <c r="AY16" i="10"/>
  <c r="AX16" i="10"/>
  <c r="AW16" i="10"/>
  <c r="AV16" i="10"/>
  <c r="AY15" i="10"/>
  <c r="AX15" i="10"/>
  <c r="AW15" i="10"/>
  <c r="AV15" i="10"/>
  <c r="AY14" i="10"/>
  <c r="AX14" i="10"/>
  <c r="AW14" i="10"/>
  <c r="AV14" i="10"/>
  <c r="AY13" i="10"/>
  <c r="AX13" i="10"/>
  <c r="AW13" i="10"/>
  <c r="AV13" i="10"/>
  <c r="AY12" i="10"/>
  <c r="AX12" i="10"/>
  <c r="AW12" i="10"/>
  <c r="AV12" i="10"/>
  <c r="AY11" i="10"/>
  <c r="AX11" i="10"/>
  <c r="AW11" i="10"/>
  <c r="AV11" i="10"/>
  <c r="AY10" i="10"/>
  <c r="AX10" i="10"/>
  <c r="AW10" i="10"/>
  <c r="AV10" i="10"/>
  <c r="AY9" i="10"/>
  <c r="AX9" i="10"/>
  <c r="AW9" i="10"/>
  <c r="AV9" i="10"/>
  <c r="AY8" i="10"/>
  <c r="AX8" i="10"/>
  <c r="AW8" i="10"/>
  <c r="AV8" i="10"/>
  <c r="AY7" i="10"/>
  <c r="AX7" i="10"/>
  <c r="AW7" i="10"/>
  <c r="AV7" i="10"/>
  <c r="AY6" i="10"/>
  <c r="AX6" i="10"/>
  <c r="AW6" i="10"/>
  <c r="AV6" i="10"/>
  <c r="AT3" i="10"/>
  <c r="AS3" i="10"/>
  <c r="AR3" i="10"/>
  <c r="AQ3" i="10"/>
  <c r="AT1" i="10"/>
  <c r="AS1" i="10"/>
  <c r="AR1" i="10"/>
  <c r="G468" i="2"/>
  <c r="G476" i="2"/>
  <c r="K44" i="8"/>
  <c r="J44" i="8"/>
  <c r="G697" i="2" l="1"/>
  <c r="G696" i="2"/>
  <c r="G695" i="2"/>
  <c r="G633" i="2"/>
  <c r="G632" i="2"/>
  <c r="G631" i="2"/>
  <c r="G546" i="2"/>
  <c r="G545" i="2"/>
  <c r="G544" i="2"/>
  <c r="G452" i="2"/>
  <c r="G451" i="2"/>
  <c r="G450" i="2"/>
  <c r="G449" i="2"/>
  <c r="O414" i="2"/>
  <c r="G413" i="2"/>
  <c r="G396" i="2"/>
  <c r="G395" i="2"/>
  <c r="G249" i="2"/>
  <c r="G248" i="2"/>
  <c r="G247" i="2"/>
  <c r="G246" i="2"/>
  <c r="G245" i="2"/>
  <c r="G178" i="2"/>
  <c r="G176" i="2"/>
  <c r="G90" i="2"/>
  <c r="Q414" i="2" l="1"/>
  <c r="R414" i="2"/>
  <c r="T414" i="2"/>
  <c r="T55" i="6" s="1"/>
  <c r="S414" i="2"/>
  <c r="P414" i="2"/>
  <c r="W16" i="16"/>
  <c r="V16" i="16"/>
  <c r="U16" i="16"/>
  <c r="Q60" i="4" l="1"/>
  <c r="P60" i="4"/>
  <c r="Q53" i="4"/>
  <c r="P53" i="4"/>
  <c r="G65" i="2"/>
  <c r="G64" i="2"/>
  <c r="G62" i="2"/>
  <c r="G61" i="2"/>
  <c r="G60" i="2"/>
  <c r="G46" i="2"/>
  <c r="G45" i="2"/>
  <c r="G44" i="2"/>
  <c r="G43" i="2"/>
  <c r="G42" i="2"/>
  <c r="G22" i="2"/>
  <c r="G23" i="2"/>
  <c r="Z42" i="16"/>
  <c r="Y42" i="16"/>
  <c r="X42" i="16"/>
  <c r="W42" i="16"/>
  <c r="V42" i="16"/>
  <c r="Z41" i="16"/>
  <c r="Y41" i="16"/>
  <c r="X41" i="16"/>
  <c r="W41" i="16"/>
  <c r="V41" i="16"/>
  <c r="Z40" i="16"/>
  <c r="Y40" i="16"/>
  <c r="X40" i="16"/>
  <c r="W40" i="16"/>
  <c r="V40" i="16"/>
  <c r="Z39" i="16"/>
  <c r="Y39" i="16"/>
  <c r="X39" i="16"/>
  <c r="W39" i="16"/>
  <c r="V39" i="16"/>
  <c r="Z38" i="16"/>
  <c r="Y38" i="16"/>
  <c r="X38" i="16"/>
  <c r="W38" i="16"/>
  <c r="V38" i="16"/>
  <c r="Z37" i="16"/>
  <c r="Y37" i="16"/>
  <c r="X37" i="16"/>
  <c r="W37" i="16"/>
  <c r="V37" i="16"/>
  <c r="T35" i="16"/>
  <c r="R60" i="4" l="1"/>
  <c r="R53" i="4"/>
  <c r="O34" i="3"/>
  <c r="O33" i="3" s="1"/>
  <c r="O36" i="3"/>
  <c r="O37" i="3" s="1"/>
  <c r="S147" i="6"/>
  <c r="S13" i="6" s="1"/>
  <c r="R147" i="6"/>
  <c r="R13" i="6" s="1"/>
  <c r="Q147" i="6"/>
  <c r="Q13" i="6" s="1"/>
  <c r="P147" i="6"/>
  <c r="P13" i="6" s="1"/>
  <c r="N147" i="6"/>
  <c r="N13" i="6" s="1"/>
  <c r="L139" i="6"/>
  <c r="L77" i="6" s="1"/>
  <c r="L137" i="6"/>
  <c r="L75" i="6" s="1"/>
  <c r="L135" i="6"/>
  <c r="K139" i="6"/>
  <c r="K77" i="6" s="1"/>
  <c r="K137" i="6"/>
  <c r="K75" i="6" s="1"/>
  <c r="K135" i="6"/>
  <c r="J139" i="6"/>
  <c r="J77" i="6" s="1"/>
  <c r="J137" i="6"/>
  <c r="J75" i="6" s="1"/>
  <c r="J135" i="6"/>
  <c r="J73" i="6" s="1"/>
  <c r="AV2" i="25"/>
  <c r="S189" i="4"/>
  <c r="R189" i="4"/>
  <c r="Q189" i="4"/>
  <c r="P189" i="4"/>
  <c r="O189" i="4"/>
  <c r="N189" i="4"/>
  <c r="AV3" i="25"/>
  <c r="L187" i="4"/>
  <c r="K187" i="4"/>
  <c r="L185" i="4"/>
  <c r="K185" i="4"/>
  <c r="L183" i="4"/>
  <c r="K183" i="4"/>
  <c r="L181" i="4"/>
  <c r="L182" i="4" s="1"/>
  <c r="K181" i="4"/>
  <c r="K182" i="4" s="1"/>
  <c r="L179" i="4"/>
  <c r="K179" i="4"/>
  <c r="J179" i="4"/>
  <c r="J187" i="4"/>
  <c r="J185" i="4"/>
  <c r="J183" i="4"/>
  <c r="J181" i="4"/>
  <c r="J182" i="4" s="1"/>
  <c r="K134" i="6" l="1"/>
  <c r="K73" i="6"/>
  <c r="L134" i="6"/>
  <c r="L73" i="6"/>
  <c r="J70" i="6"/>
  <c r="J11" i="6" s="1"/>
  <c r="J134" i="6"/>
  <c r="S60" i="4"/>
  <c r="S53" i="4"/>
  <c r="L180" i="4"/>
  <c r="M10" i="8"/>
  <c r="M9" i="8" s="1"/>
  <c r="L70" i="6" l="1"/>
  <c r="L11" i="6" s="1"/>
  <c r="K70" i="6"/>
  <c r="K11" i="6" s="1"/>
  <c r="O170" i="4"/>
  <c r="O101" i="4" s="1"/>
  <c r="EG102" i="27"/>
  <c r="EF102" i="27"/>
  <c r="EE102" i="27"/>
  <c r="ED102" i="27"/>
  <c r="EC102" i="27"/>
  <c r="EB102" i="27"/>
  <c r="EA102" i="27"/>
  <c r="DZ102" i="27"/>
  <c r="DY102" i="27"/>
  <c r="DX102" i="27"/>
  <c r="DW102" i="27"/>
  <c r="DV102" i="27"/>
  <c r="DT102" i="27"/>
  <c r="DS102" i="27"/>
  <c r="DR102" i="27"/>
  <c r="DQ102" i="27"/>
  <c r="DP102" i="27"/>
  <c r="DO102" i="27"/>
  <c r="DN102" i="27"/>
  <c r="DM102" i="27"/>
  <c r="DL102" i="27"/>
  <c r="DK102" i="27"/>
  <c r="DJ102" i="27"/>
  <c r="DI102" i="27"/>
  <c r="DG102" i="27"/>
  <c r="DF102" i="27"/>
  <c r="DE102" i="27"/>
  <c r="DD102" i="27"/>
  <c r="DC102" i="27"/>
  <c r="DB102" i="27"/>
  <c r="DA102" i="27"/>
  <c r="CZ102" i="27"/>
  <c r="CY102" i="27"/>
  <c r="CX102" i="27"/>
  <c r="CW102" i="27"/>
  <c r="CV102" i="27"/>
  <c r="CT102" i="27"/>
  <c r="CS102" i="27"/>
  <c r="CR102" i="27"/>
  <c r="CQ102" i="27"/>
  <c r="CP102" i="27"/>
  <c r="CO102" i="27"/>
  <c r="CN102" i="27"/>
  <c r="CM102" i="27"/>
  <c r="CL102" i="27"/>
  <c r="CK102" i="27"/>
  <c r="CJ102" i="27"/>
  <c r="CI102" i="27"/>
  <c r="EH101" i="27"/>
  <c r="DU101" i="27"/>
  <c r="DH101" i="27"/>
  <c r="CU101" i="27"/>
  <c r="EH100" i="27"/>
  <c r="DU100" i="27"/>
  <c r="DH100" i="27"/>
  <c r="CU100" i="27"/>
  <c r="EH99" i="27"/>
  <c r="DU99" i="27"/>
  <c r="DH99" i="27"/>
  <c r="CU99" i="27"/>
  <c r="EH98" i="27"/>
  <c r="DU98" i="27"/>
  <c r="DH98" i="27"/>
  <c r="CU98" i="27"/>
  <c r="EH97" i="27"/>
  <c r="DU97" i="27"/>
  <c r="DH97" i="27"/>
  <c r="CU97" i="27"/>
  <c r="EH96" i="27"/>
  <c r="DU96" i="27"/>
  <c r="DH96" i="27"/>
  <c r="CU96" i="27"/>
  <c r="EH95" i="27"/>
  <c r="DU95" i="27"/>
  <c r="DH95" i="27"/>
  <c r="CU95" i="27"/>
  <c r="EH94" i="27"/>
  <c r="DU94" i="27"/>
  <c r="DH94" i="27"/>
  <c r="CU94" i="27"/>
  <c r="EH93" i="27"/>
  <c r="DU93" i="27"/>
  <c r="DH93" i="27"/>
  <c r="CU93" i="27"/>
  <c r="EH92" i="27"/>
  <c r="DU92" i="27"/>
  <c r="DH92" i="27"/>
  <c r="CU92" i="27"/>
  <c r="EH91" i="27"/>
  <c r="DU91" i="27"/>
  <c r="DH91" i="27"/>
  <c r="CU91" i="27"/>
  <c r="EH90" i="27"/>
  <c r="DU90" i="27"/>
  <c r="DH90" i="27"/>
  <c r="CU90" i="27"/>
  <c r="EH89" i="27"/>
  <c r="DU89" i="27"/>
  <c r="DH89" i="27"/>
  <c r="CU89" i="27"/>
  <c r="EH88" i="27"/>
  <c r="DU88" i="27"/>
  <c r="DH88" i="27"/>
  <c r="CU88" i="27"/>
  <c r="EH87" i="27"/>
  <c r="DU87" i="27"/>
  <c r="DH87" i="27"/>
  <c r="CU87" i="27"/>
  <c r="EH86" i="27"/>
  <c r="DU86" i="27"/>
  <c r="DH86" i="27"/>
  <c r="CU86" i="27"/>
  <c r="EH85" i="27"/>
  <c r="DU85" i="27"/>
  <c r="DH85" i="27"/>
  <c r="CU85" i="27"/>
  <c r="EH84" i="27"/>
  <c r="DU84" i="27"/>
  <c r="DH84" i="27"/>
  <c r="CU84" i="27"/>
  <c r="EH83" i="27"/>
  <c r="DU83" i="27"/>
  <c r="DH83" i="27"/>
  <c r="CU83" i="27"/>
  <c r="EH82" i="27"/>
  <c r="DU82" i="27"/>
  <c r="DH82" i="27"/>
  <c r="CU82" i="27"/>
  <c r="EH81" i="27"/>
  <c r="DU81" i="27"/>
  <c r="DH81" i="27"/>
  <c r="CU81" i="27"/>
  <c r="EH80" i="27"/>
  <c r="DU80" i="27"/>
  <c r="DH80" i="27"/>
  <c r="CU80" i="27"/>
  <c r="EH79" i="27"/>
  <c r="DU79" i="27"/>
  <c r="DH79" i="27"/>
  <c r="CU79" i="27"/>
  <c r="EH78" i="27"/>
  <c r="DU78" i="27"/>
  <c r="DH78" i="27"/>
  <c r="CU78" i="27"/>
  <c r="EH77" i="27"/>
  <c r="DU77" i="27"/>
  <c r="DH77" i="27"/>
  <c r="CU77" i="27"/>
  <c r="EH76" i="27"/>
  <c r="DU76" i="27"/>
  <c r="DH76" i="27"/>
  <c r="CU76" i="27"/>
  <c r="EH75" i="27"/>
  <c r="DU75" i="27"/>
  <c r="DH75" i="27"/>
  <c r="CU75" i="27"/>
  <c r="EG74" i="27"/>
  <c r="EF74" i="27"/>
  <c r="EF103" i="27" s="1"/>
  <c r="EE74" i="27"/>
  <c r="ED74" i="27"/>
  <c r="ED103" i="27" s="1"/>
  <c r="ED112" i="27" s="1"/>
  <c r="EC74" i="27"/>
  <c r="EC103" i="27" s="1"/>
  <c r="EC112" i="27" s="1"/>
  <c r="EB74" i="27"/>
  <c r="EB103" i="27" s="1"/>
  <c r="EB112" i="27" s="1"/>
  <c r="EA74" i="27"/>
  <c r="EA103" i="27" s="1"/>
  <c r="EA113" i="27" s="1"/>
  <c r="DZ74" i="27"/>
  <c r="DZ103" i="27" s="1"/>
  <c r="DZ113" i="27" s="1"/>
  <c r="DY74" i="27"/>
  <c r="DX74" i="27"/>
  <c r="DX103" i="27" s="1"/>
  <c r="DW74" i="27"/>
  <c r="DV74" i="27"/>
  <c r="DV103" i="27" s="1"/>
  <c r="DV112" i="27" s="1"/>
  <c r="DT74" i="27"/>
  <c r="DT103" i="27" s="1"/>
  <c r="DT112" i="27" s="1"/>
  <c r="DS74" i="27"/>
  <c r="DS103" i="27" s="1"/>
  <c r="DR74" i="27"/>
  <c r="DR103" i="27" s="1"/>
  <c r="DR113" i="27" s="1"/>
  <c r="DQ74" i="27"/>
  <c r="DQ103" i="27" s="1"/>
  <c r="DQ113" i="27" s="1"/>
  <c r="DP74" i="27"/>
  <c r="DO74" i="27"/>
  <c r="DO103" i="27" s="1"/>
  <c r="DN74" i="27"/>
  <c r="DM74" i="27"/>
  <c r="DM103" i="27" s="1"/>
  <c r="DL74" i="27"/>
  <c r="DL103" i="27" s="1"/>
  <c r="DL112" i="27" s="1"/>
  <c r="DK74" i="27"/>
  <c r="DJ74" i="27"/>
  <c r="DJ103" i="27" s="1"/>
  <c r="DJ113" i="27" s="1"/>
  <c r="DI74" i="27"/>
  <c r="DG74" i="27"/>
  <c r="DF74" i="27"/>
  <c r="DF103" i="27" s="1"/>
  <c r="DE74" i="27"/>
  <c r="DD74" i="27"/>
  <c r="DD103" i="27" s="1"/>
  <c r="DC74" i="27"/>
  <c r="DC103" i="27" s="1"/>
  <c r="DB74" i="27"/>
  <c r="DB103" i="27" s="1"/>
  <c r="DA74" i="27"/>
  <c r="DA103" i="27" s="1"/>
  <c r="CZ74" i="27"/>
  <c r="CY74" i="27"/>
  <c r="CX74" i="27"/>
  <c r="CX103" i="27" s="1"/>
  <c r="CW74" i="27"/>
  <c r="CV74" i="27"/>
  <c r="CV103" i="27" s="1"/>
  <c r="CT74" i="27"/>
  <c r="CT103" i="27" s="1"/>
  <c r="CT108" i="27" s="1"/>
  <c r="CS74" i="27"/>
  <c r="CS103" i="27" s="1"/>
  <c r="CS108" i="27" s="1"/>
  <c r="CR74" i="27"/>
  <c r="CQ74" i="27"/>
  <c r="CQ103" i="27" s="1"/>
  <c r="CQ108" i="27" s="1"/>
  <c r="CP74" i="27"/>
  <c r="CO74" i="27"/>
  <c r="CO103" i="27" s="1"/>
  <c r="CO108" i="27" s="1"/>
  <c r="CN74" i="27"/>
  <c r="CM74" i="27"/>
  <c r="CM103" i="27" s="1"/>
  <c r="CM108" i="27" s="1"/>
  <c r="CL74" i="27"/>
  <c r="CL103" i="27" s="1"/>
  <c r="CL108" i="27" s="1"/>
  <c r="CK74" i="27"/>
  <c r="CK103" i="27" s="1"/>
  <c r="CK108" i="27" s="1"/>
  <c r="CJ74" i="27"/>
  <c r="CI74" i="27"/>
  <c r="CI103" i="27" s="1"/>
  <c r="EH73" i="27"/>
  <c r="DU73" i="27"/>
  <c r="DH73" i="27"/>
  <c r="CU73" i="27"/>
  <c r="EH72" i="27"/>
  <c r="DU72" i="27"/>
  <c r="DH72" i="27"/>
  <c r="CU72" i="27"/>
  <c r="EH71" i="27"/>
  <c r="DU71" i="27"/>
  <c r="DH71" i="27"/>
  <c r="CU71" i="27"/>
  <c r="EH70" i="27"/>
  <c r="DU70" i="27"/>
  <c r="DH70" i="27"/>
  <c r="CU70" i="27"/>
  <c r="EH69" i="27"/>
  <c r="DU69" i="27"/>
  <c r="DH69" i="27"/>
  <c r="CU69" i="27"/>
  <c r="I69" i="27"/>
  <c r="J65" i="27"/>
  <c r="I65" i="27"/>
  <c r="H65" i="27"/>
  <c r="G65" i="27"/>
  <c r="F65" i="27"/>
  <c r="BU64" i="27"/>
  <c r="BV63" i="27"/>
  <c r="K63" i="27"/>
  <c r="K64" i="27" s="1"/>
  <c r="K66" i="27" s="1"/>
  <c r="BV62" i="27"/>
  <c r="BW62" i="27" s="1"/>
  <c r="BV61" i="27"/>
  <c r="BV64" i="27" s="1"/>
  <c r="BV60" i="27"/>
  <c r="BW60" i="27" s="1"/>
  <c r="BO56" i="27"/>
  <c r="BM53" i="27"/>
  <c r="BK53" i="27"/>
  <c r="BH56" i="27" s="1"/>
  <c r="BH53" i="27"/>
  <c r="BT53" i="27" s="1"/>
  <c r="BD53" i="27"/>
  <c r="AQ53" i="27"/>
  <c r="AD53" i="27"/>
  <c r="BF68" i="27" s="1"/>
  <c r="Q53" i="27"/>
  <c r="BQ52" i="27"/>
  <c r="BP52" i="27"/>
  <c r="BM52" i="27"/>
  <c r="BD52" i="27"/>
  <c r="AQ52" i="27"/>
  <c r="AD52" i="27"/>
  <c r="Q52" i="27"/>
  <c r="BQ51" i="27"/>
  <c r="BP51" i="27"/>
  <c r="BM51" i="27"/>
  <c r="BD51" i="27"/>
  <c r="AQ51" i="27"/>
  <c r="AD51" i="27"/>
  <c r="Q51" i="27"/>
  <c r="EG50" i="27"/>
  <c r="EF50" i="27"/>
  <c r="EE50" i="27"/>
  <c r="ED50" i="27"/>
  <c r="EC50" i="27"/>
  <c r="EB50" i="27"/>
  <c r="EA50" i="27"/>
  <c r="DZ50" i="27"/>
  <c r="DY50" i="27"/>
  <c r="DX50" i="27"/>
  <c r="DW50" i="27"/>
  <c r="DV50" i="27"/>
  <c r="DT50" i="27"/>
  <c r="DS50" i="27"/>
  <c r="DR50" i="27"/>
  <c r="DQ50" i="27"/>
  <c r="DP50" i="27"/>
  <c r="DO50" i="27"/>
  <c r="DN50" i="27"/>
  <c r="DM50" i="27"/>
  <c r="DL50" i="27"/>
  <c r="DK50" i="27"/>
  <c r="DJ50" i="27"/>
  <c r="DI50" i="27"/>
  <c r="DG50" i="27"/>
  <c r="DF50" i="27"/>
  <c r="DE50" i="27"/>
  <c r="DD50" i="27"/>
  <c r="DC50" i="27"/>
  <c r="DB50" i="27"/>
  <c r="DA50" i="27"/>
  <c r="CZ50" i="27"/>
  <c r="CY50" i="27"/>
  <c r="CX50" i="27"/>
  <c r="CW50" i="27"/>
  <c r="CV50" i="27"/>
  <c r="CT50" i="27"/>
  <c r="CS50" i="27"/>
  <c r="CR50" i="27"/>
  <c r="CQ50" i="27"/>
  <c r="CP50" i="27"/>
  <c r="CO50" i="27"/>
  <c r="CN50" i="27"/>
  <c r="CM50" i="27"/>
  <c r="CL50" i="27"/>
  <c r="CK50" i="27"/>
  <c r="CJ50" i="27"/>
  <c r="CI50" i="27"/>
  <c r="BQ50" i="27"/>
  <c r="BQ53" i="27" s="1"/>
  <c r="BP50" i="27"/>
  <c r="BM50" i="27"/>
  <c r="BD50" i="27"/>
  <c r="AQ50" i="27"/>
  <c r="AD50" i="27"/>
  <c r="Q50" i="27"/>
  <c r="EH49" i="27"/>
  <c r="DU49" i="27"/>
  <c r="DH49" i="27"/>
  <c r="CU49" i="27"/>
  <c r="BD49" i="27"/>
  <c r="AQ49" i="27"/>
  <c r="AD49" i="27"/>
  <c r="Q49" i="27"/>
  <c r="EH48" i="27"/>
  <c r="DU48" i="27"/>
  <c r="DH48" i="27"/>
  <c r="CU48" i="27"/>
  <c r="BD48" i="27"/>
  <c r="AQ48" i="27"/>
  <c r="AD48" i="27"/>
  <c r="Q48" i="27"/>
  <c r="EH47" i="27"/>
  <c r="DU47" i="27"/>
  <c r="DH47" i="27"/>
  <c r="CU47" i="27"/>
  <c r="BU47" i="27"/>
  <c r="BD47" i="27"/>
  <c r="AQ47" i="27"/>
  <c r="AD47" i="27"/>
  <c r="Q47" i="27"/>
  <c r="EH46" i="27"/>
  <c r="DU46" i="27"/>
  <c r="DH46" i="27"/>
  <c r="CU46" i="27"/>
  <c r="BV46" i="27"/>
  <c r="BL46" i="27"/>
  <c r="BM46" i="27" s="1"/>
  <c r="BC46" i="27"/>
  <c r="BB46" i="27"/>
  <c r="BA46" i="27"/>
  <c r="AZ46" i="27"/>
  <c r="AY46" i="27"/>
  <c r="AX46" i="27"/>
  <c r="AW46" i="27"/>
  <c r="AV46" i="27"/>
  <c r="AU46" i="27"/>
  <c r="AT46" i="27"/>
  <c r="AS46" i="27"/>
  <c r="AR46" i="27"/>
  <c r="AP46" i="27"/>
  <c r="AO46" i="27"/>
  <c r="AN46" i="27"/>
  <c r="AM46" i="27"/>
  <c r="AL46" i="27"/>
  <c r="AK46" i="27"/>
  <c r="AJ46" i="27"/>
  <c r="AI46" i="27"/>
  <c r="AH46" i="27"/>
  <c r="AG46" i="27"/>
  <c r="AF46" i="27"/>
  <c r="AE46" i="27"/>
  <c r="AC46" i="27"/>
  <c r="AB46" i="27"/>
  <c r="AA46" i="27"/>
  <c r="Z46" i="27"/>
  <c r="Y46" i="27"/>
  <c r="X46" i="27"/>
  <c r="W46" i="27"/>
  <c r="V46" i="27"/>
  <c r="U46" i="27"/>
  <c r="T46" i="27"/>
  <c r="S46" i="27"/>
  <c r="R46" i="27"/>
  <c r="P46" i="27"/>
  <c r="O46" i="27"/>
  <c r="N46" i="27"/>
  <c r="M46" i="27"/>
  <c r="L46" i="27"/>
  <c r="K46" i="27"/>
  <c r="J46" i="27"/>
  <c r="I46" i="27"/>
  <c r="H46" i="27"/>
  <c r="G46" i="27"/>
  <c r="F46" i="27"/>
  <c r="E46" i="27"/>
  <c r="EH45" i="27"/>
  <c r="DU45" i="27"/>
  <c r="DH45" i="27"/>
  <c r="CU45" i="27"/>
  <c r="BV45" i="27"/>
  <c r="BL45" i="27"/>
  <c r="BM45" i="27" s="1"/>
  <c r="BD45" i="27"/>
  <c r="AQ45" i="27"/>
  <c r="AD45" i="27"/>
  <c r="Q45" i="27"/>
  <c r="EH44" i="27"/>
  <c r="DU44" i="27"/>
  <c r="DH44" i="27"/>
  <c r="CU44" i="27"/>
  <c r="BV44" i="27"/>
  <c r="BL44" i="27"/>
  <c r="BM44" i="27" s="1"/>
  <c r="BD44" i="27"/>
  <c r="AQ44" i="27"/>
  <c r="AD44" i="27"/>
  <c r="Q44" i="27"/>
  <c r="EH43" i="27"/>
  <c r="DU43" i="27"/>
  <c r="DH43" i="27"/>
  <c r="CU43" i="27"/>
  <c r="BL43" i="27"/>
  <c r="BM43" i="27" s="1"/>
  <c r="BD43" i="27"/>
  <c r="AQ43" i="27"/>
  <c r="AD43" i="27"/>
  <c r="BF58" i="27" s="1"/>
  <c r="Q43" i="27"/>
  <c r="EH42" i="27"/>
  <c r="DU42" i="27"/>
  <c r="DH42" i="27"/>
  <c r="CU42" i="27"/>
  <c r="BL42" i="27"/>
  <c r="BM42" i="27" s="1"/>
  <c r="BD42" i="27"/>
  <c r="AQ42" i="27"/>
  <c r="AD42" i="27"/>
  <c r="Q42" i="27"/>
  <c r="EH41" i="27"/>
  <c r="DU41" i="27"/>
  <c r="DH41" i="27"/>
  <c r="CU41" i="27"/>
  <c r="BD41" i="27"/>
  <c r="AQ41" i="27"/>
  <c r="AD41" i="27"/>
  <c r="Q41" i="27"/>
  <c r="EH40" i="27"/>
  <c r="DU40" i="27"/>
  <c r="DH40" i="27"/>
  <c r="CU40" i="27"/>
  <c r="BD40" i="27"/>
  <c r="AQ40" i="27"/>
  <c r="AD40" i="27"/>
  <c r="Q40" i="27"/>
  <c r="EH39" i="27"/>
  <c r="DU39" i="27"/>
  <c r="DH39" i="27"/>
  <c r="CU39" i="27"/>
  <c r="BC39" i="27"/>
  <c r="BB39" i="27"/>
  <c r="BA39" i="27"/>
  <c r="AZ39" i="27"/>
  <c r="AY39" i="27"/>
  <c r="AX39" i="27"/>
  <c r="AW39" i="27"/>
  <c r="AV39" i="27"/>
  <c r="AU39" i="27"/>
  <c r="AT39" i="27"/>
  <c r="AS39" i="27"/>
  <c r="AR39" i="27"/>
  <c r="AP39" i="27"/>
  <c r="AO39" i="27"/>
  <c r="AN39" i="27"/>
  <c r="AM39" i="27"/>
  <c r="AL39" i="27"/>
  <c r="AK39" i="27"/>
  <c r="AJ39" i="27"/>
  <c r="AI39" i="27"/>
  <c r="AH39" i="27"/>
  <c r="AG39" i="27"/>
  <c r="AF39" i="27"/>
  <c r="AE39" i="27"/>
  <c r="AC39" i="27"/>
  <c r="AB39" i="27"/>
  <c r="AA39" i="27"/>
  <c r="Z39" i="27"/>
  <c r="Y39" i="27"/>
  <c r="X39" i="27"/>
  <c r="W39" i="27"/>
  <c r="V39" i="27"/>
  <c r="U39" i="27"/>
  <c r="T39" i="27"/>
  <c r="S39" i="27"/>
  <c r="R39" i="27"/>
  <c r="P39" i="27"/>
  <c r="O39" i="27"/>
  <c r="N39" i="27"/>
  <c r="M39" i="27"/>
  <c r="L39" i="27"/>
  <c r="K39" i="27"/>
  <c r="J39" i="27"/>
  <c r="I39" i="27"/>
  <c r="H39" i="27"/>
  <c r="G39" i="27"/>
  <c r="F39" i="27"/>
  <c r="E39" i="27"/>
  <c r="EH38" i="27"/>
  <c r="DU38" i="27"/>
  <c r="DH38" i="27"/>
  <c r="CU38" i="27"/>
  <c r="BO38" i="27"/>
  <c r="EH37" i="27"/>
  <c r="DU37" i="27"/>
  <c r="DH37" i="27"/>
  <c r="CU37" i="27"/>
  <c r="EH36" i="27"/>
  <c r="DU36" i="27"/>
  <c r="DH36" i="27"/>
  <c r="CU36" i="27"/>
  <c r="BD36" i="27"/>
  <c r="AQ36" i="27"/>
  <c r="AD36" i="27"/>
  <c r="Q36" i="27"/>
  <c r="EH35" i="27"/>
  <c r="DU35" i="27"/>
  <c r="DH35" i="27"/>
  <c r="CU35" i="27"/>
  <c r="EH34" i="27"/>
  <c r="DU34" i="27"/>
  <c r="DH34" i="27"/>
  <c r="CU34" i="27"/>
  <c r="BF34" i="27"/>
  <c r="EH33" i="27"/>
  <c r="DU33" i="27"/>
  <c r="DH33" i="27"/>
  <c r="CU33" i="27"/>
  <c r="BF33" i="27"/>
  <c r="BD33" i="27"/>
  <c r="AQ33" i="27"/>
  <c r="AD33" i="27"/>
  <c r="Q33" i="27"/>
  <c r="EH32" i="27"/>
  <c r="DU32" i="27"/>
  <c r="DH32" i="27"/>
  <c r="CU32" i="27"/>
  <c r="BF32" i="27"/>
  <c r="BD32" i="27"/>
  <c r="AQ32" i="27"/>
  <c r="AD32" i="27"/>
  <c r="Q32" i="27"/>
  <c r="EH31" i="27"/>
  <c r="DU31" i="27"/>
  <c r="DH31" i="27"/>
  <c r="CU31" i="27"/>
  <c r="BF31" i="27"/>
  <c r="BD31" i="27"/>
  <c r="AQ31" i="27"/>
  <c r="AD31" i="27"/>
  <c r="L31" i="27"/>
  <c r="L27" i="27" s="1"/>
  <c r="EH30" i="27"/>
  <c r="DU30" i="27"/>
  <c r="DH30" i="27"/>
  <c r="CU30" i="27"/>
  <c r="BF30" i="27"/>
  <c r="BD30" i="27"/>
  <c r="AQ30" i="27"/>
  <c r="AD30" i="27"/>
  <c r="Q30" i="27"/>
  <c r="EH29" i="27"/>
  <c r="DU29" i="27"/>
  <c r="DH29" i="27"/>
  <c r="CU29" i="27"/>
  <c r="BF29" i="27"/>
  <c r="BD29" i="27"/>
  <c r="P7" i="27" s="1"/>
  <c r="AQ29" i="27"/>
  <c r="AD29" i="27"/>
  <c r="Q29" i="27"/>
  <c r="EH28" i="27"/>
  <c r="DU28" i="27"/>
  <c r="DH28" i="27"/>
  <c r="CU28" i="27"/>
  <c r="BF28" i="27"/>
  <c r="BD28" i="27"/>
  <c r="AQ28" i="27"/>
  <c r="AD28" i="27"/>
  <c r="BF43" i="27" s="1"/>
  <c r="Q28" i="27"/>
  <c r="EH27" i="27"/>
  <c r="DU27" i="27"/>
  <c r="DH27" i="27"/>
  <c r="CU27" i="27"/>
  <c r="BF27" i="27"/>
  <c r="BC27" i="27"/>
  <c r="BB27" i="27"/>
  <c r="BA27" i="27"/>
  <c r="AZ27" i="27"/>
  <c r="AY27" i="27"/>
  <c r="AX27" i="27"/>
  <c r="AW27" i="27"/>
  <c r="AV27" i="27"/>
  <c r="AU27" i="27"/>
  <c r="AT27" i="27"/>
  <c r="AS27" i="27"/>
  <c r="AR27" i="27"/>
  <c r="AP27" i="27"/>
  <c r="AO27" i="27"/>
  <c r="AN27" i="27"/>
  <c r="AM27" i="27"/>
  <c r="AL27" i="27"/>
  <c r="AK27" i="27"/>
  <c r="AJ27" i="27"/>
  <c r="AI27" i="27"/>
  <c r="AH27" i="27"/>
  <c r="AG27" i="27"/>
  <c r="AF27" i="27"/>
  <c r="AE27" i="27"/>
  <c r="AC27" i="27"/>
  <c r="AB27" i="27"/>
  <c r="AA27" i="27"/>
  <c r="Z27" i="27"/>
  <c r="Y27" i="27"/>
  <c r="X27" i="27"/>
  <c r="W27" i="27"/>
  <c r="V27" i="27"/>
  <c r="U27" i="27"/>
  <c r="T27" i="27"/>
  <c r="S27" i="27"/>
  <c r="R27" i="27"/>
  <c r="P27" i="27"/>
  <c r="O27" i="27"/>
  <c r="N27" i="27"/>
  <c r="M27" i="27"/>
  <c r="K27" i="27"/>
  <c r="J27" i="27"/>
  <c r="I27" i="27"/>
  <c r="H27" i="27"/>
  <c r="G27" i="27"/>
  <c r="F27" i="27"/>
  <c r="E27" i="27"/>
  <c r="EH26" i="27"/>
  <c r="DU26" i="27"/>
  <c r="DH26" i="27"/>
  <c r="CU26" i="27"/>
  <c r="BF26" i="27"/>
  <c r="BD26" i="27"/>
  <c r="AQ26" i="27"/>
  <c r="AD26" i="27"/>
  <c r="Q26" i="27"/>
  <c r="EH25" i="27"/>
  <c r="DU25" i="27"/>
  <c r="DH25" i="27"/>
  <c r="CU25" i="27"/>
  <c r="BF25" i="27"/>
  <c r="BD25" i="27"/>
  <c r="AQ25" i="27"/>
  <c r="AD25" i="27"/>
  <c r="Q25" i="27"/>
  <c r="EH24" i="27"/>
  <c r="DU24" i="27"/>
  <c r="DH24" i="27"/>
  <c r="CU24" i="27"/>
  <c r="BF24" i="27"/>
  <c r="BD24" i="27"/>
  <c r="AQ24" i="27"/>
  <c r="AD24" i="27"/>
  <c r="BP61" i="27" s="1"/>
  <c r="BP62" i="27" s="1"/>
  <c r="Q24" i="27"/>
  <c r="BQ61" i="27" s="1"/>
  <c r="EH23" i="27"/>
  <c r="DU23" i="27"/>
  <c r="DH23" i="27"/>
  <c r="CU23" i="27"/>
  <c r="BF23" i="27"/>
  <c r="BD23" i="27"/>
  <c r="AQ23" i="27"/>
  <c r="AD23" i="27"/>
  <c r="BF38" i="27" s="1"/>
  <c r="Q23" i="27"/>
  <c r="EG22" i="27"/>
  <c r="EG51" i="27" s="1"/>
  <c r="EF22" i="27"/>
  <c r="EE22" i="27"/>
  <c r="ED22" i="27"/>
  <c r="ED51" i="27" s="1"/>
  <c r="EC22" i="27"/>
  <c r="EB22" i="27"/>
  <c r="EA22" i="27"/>
  <c r="DZ22" i="27"/>
  <c r="DY22" i="27"/>
  <c r="DY51" i="27" s="1"/>
  <c r="DY53" i="27" s="1"/>
  <c r="DX22" i="27"/>
  <c r="DW22" i="27"/>
  <c r="DW51" i="27" s="1"/>
  <c r="DV22" i="27"/>
  <c r="DV51" i="27" s="1"/>
  <c r="DT22" i="27"/>
  <c r="DT51" i="27" s="1"/>
  <c r="DS22" i="27"/>
  <c r="DR22" i="27"/>
  <c r="DQ22" i="27"/>
  <c r="DQ51" i="27" s="1"/>
  <c r="DP22" i="27"/>
  <c r="DO22" i="27"/>
  <c r="DN22" i="27"/>
  <c r="DN51" i="27" s="1"/>
  <c r="DM22" i="27"/>
  <c r="DL22" i="27"/>
  <c r="DK22" i="27"/>
  <c r="DJ22" i="27"/>
  <c r="DI22" i="27"/>
  <c r="DI51" i="27" s="1"/>
  <c r="DI53" i="27" s="1"/>
  <c r="DG22" i="27"/>
  <c r="DG51" i="27" s="1"/>
  <c r="DF22" i="27"/>
  <c r="DF51" i="27" s="1"/>
  <c r="DE22" i="27"/>
  <c r="DD22" i="27"/>
  <c r="DD51" i="27" s="1"/>
  <c r="DC22" i="27"/>
  <c r="DC51" i="27" s="1"/>
  <c r="DB22" i="27"/>
  <c r="DB51" i="27" s="1"/>
  <c r="DA22" i="27"/>
  <c r="DA51" i="27" s="1"/>
  <c r="CZ22" i="27"/>
  <c r="CY22" i="27"/>
  <c r="CY51" i="27" s="1"/>
  <c r="CX22" i="27"/>
  <c r="CX51" i="27" s="1"/>
  <c r="CW22" i="27"/>
  <c r="CV22" i="27"/>
  <c r="CT22" i="27"/>
  <c r="CT51" i="27" s="1"/>
  <c r="CT59" i="27" s="1"/>
  <c r="CS22" i="27"/>
  <c r="CS51" i="27" s="1"/>
  <c r="CS59" i="27" s="1"/>
  <c r="CR22" i="27"/>
  <c r="CQ22" i="27"/>
  <c r="CQ51" i="27" s="1"/>
  <c r="CP22" i="27"/>
  <c r="CP51" i="27" s="1"/>
  <c r="CP59" i="27" s="1"/>
  <c r="CO22" i="27"/>
  <c r="CN22" i="27"/>
  <c r="CN51" i="27" s="1"/>
  <c r="CN59" i="27" s="1"/>
  <c r="CM22" i="27"/>
  <c r="CM51" i="27" s="1"/>
  <c r="CM59" i="27" s="1"/>
  <c r="CL22" i="27"/>
  <c r="CK22" i="27"/>
  <c r="CK51" i="27" s="1"/>
  <c r="CK59" i="27" s="1"/>
  <c r="CJ22" i="27"/>
  <c r="CI22" i="27"/>
  <c r="CI51" i="27" s="1"/>
  <c r="BF22" i="27"/>
  <c r="BD22" i="27"/>
  <c r="AQ22" i="27"/>
  <c r="AD22" i="27"/>
  <c r="Q22" i="27"/>
  <c r="EH21" i="27"/>
  <c r="DU21" i="27"/>
  <c r="DH21" i="27"/>
  <c r="CU21" i="27"/>
  <c r="BF21" i="27"/>
  <c r="BD21" i="27"/>
  <c r="AQ21" i="27"/>
  <c r="AD21" i="27"/>
  <c r="Q21" i="27"/>
  <c r="EH20" i="27"/>
  <c r="DU20" i="27"/>
  <c r="DH20" i="27"/>
  <c r="CU20" i="27"/>
  <c r="BF20" i="27"/>
  <c r="BC20" i="27"/>
  <c r="BB20" i="27"/>
  <c r="BA20" i="27"/>
  <c r="BA34" i="27" s="1"/>
  <c r="AZ20" i="27"/>
  <c r="AY20" i="27"/>
  <c r="AX20" i="27"/>
  <c r="AX17" i="27" s="1"/>
  <c r="AW20" i="27"/>
  <c r="AW34" i="27" s="1"/>
  <c r="AV20" i="27"/>
  <c r="AV17" i="27" s="1"/>
  <c r="AU20" i="27"/>
  <c r="AT20" i="27"/>
  <c r="AS20" i="27"/>
  <c r="AR20" i="27"/>
  <c r="AP20" i="27"/>
  <c r="AP17" i="27" s="1"/>
  <c r="AO20" i="27"/>
  <c r="AO34" i="27" s="1"/>
  <c r="AN20" i="27"/>
  <c r="AN17" i="27" s="1"/>
  <c r="AM20" i="27"/>
  <c r="AL20" i="27"/>
  <c r="AL34" i="27" s="1"/>
  <c r="AL35" i="27" s="1"/>
  <c r="AK20" i="27"/>
  <c r="AJ20" i="27"/>
  <c r="AI20" i="27"/>
  <c r="AI34" i="27" s="1"/>
  <c r="AH20" i="27"/>
  <c r="AH34" i="27" s="1"/>
  <c r="AG20" i="27"/>
  <c r="AG34" i="27" s="1"/>
  <c r="AF20" i="27"/>
  <c r="AF17" i="27" s="1"/>
  <c r="AE20" i="27"/>
  <c r="AC20" i="27"/>
  <c r="AC17" i="27" s="1"/>
  <c r="AB20" i="27"/>
  <c r="AA20" i="27"/>
  <c r="AA34" i="27" s="1"/>
  <c r="Z20" i="27"/>
  <c r="Z17" i="27" s="1"/>
  <c r="Y20" i="27"/>
  <c r="Y34" i="27" s="1"/>
  <c r="X20" i="27"/>
  <c r="X17" i="27" s="1"/>
  <c r="W20" i="27"/>
  <c r="V20" i="27"/>
  <c r="V34" i="27" s="1"/>
  <c r="V35" i="27" s="1"/>
  <c r="U20" i="27"/>
  <c r="U17" i="27" s="1"/>
  <c r="T20" i="27"/>
  <c r="S20" i="27"/>
  <c r="S34" i="27" s="1"/>
  <c r="R20" i="27"/>
  <c r="R17" i="27" s="1"/>
  <c r="P20" i="27"/>
  <c r="P17" i="27" s="1"/>
  <c r="O20" i="27"/>
  <c r="N20" i="27"/>
  <c r="N34" i="27" s="1"/>
  <c r="M20" i="27"/>
  <c r="L20" i="27"/>
  <c r="K20" i="27"/>
  <c r="K17" i="27" s="1"/>
  <c r="J20" i="27"/>
  <c r="J61" i="27" s="1"/>
  <c r="I20" i="27"/>
  <c r="I34" i="27" s="1"/>
  <c r="H20" i="27"/>
  <c r="G20" i="27"/>
  <c r="F20" i="27"/>
  <c r="F61" i="27" s="1"/>
  <c r="E20" i="27"/>
  <c r="E61" i="27" s="1"/>
  <c r="EH19" i="27"/>
  <c r="DU19" i="27"/>
  <c r="DH19" i="27"/>
  <c r="CU19" i="27"/>
  <c r="BD19" i="27"/>
  <c r="AQ19" i="27"/>
  <c r="AD19" i="27"/>
  <c r="Q19" i="27"/>
  <c r="EH18" i="27"/>
  <c r="DU18" i="27"/>
  <c r="DH18" i="27"/>
  <c r="CU18" i="27"/>
  <c r="BD18" i="27"/>
  <c r="AQ18" i="27"/>
  <c r="AD18" i="27"/>
  <c r="BI63" i="27" s="1"/>
  <c r="BJ63" i="27" s="1"/>
  <c r="Q18" i="27"/>
  <c r="BH63" i="27" s="1"/>
  <c r="EH17" i="27"/>
  <c r="DU17" i="27"/>
  <c r="DH17" i="27"/>
  <c r="CU17" i="27"/>
  <c r="AY17" i="27"/>
  <c r="AW17" i="27"/>
  <c r="AS17" i="27"/>
  <c r="AL17" i="27"/>
  <c r="AK17" i="27"/>
  <c r="AG17" i="27"/>
  <c r="Y17" i="27"/>
  <c r="V17" i="27"/>
  <c r="S17" i="27"/>
  <c r="N17" i="27"/>
  <c r="M17" i="27"/>
  <c r="J17" i="27"/>
  <c r="I17" i="27"/>
  <c r="F17" i="27"/>
  <c r="E17" i="27"/>
  <c r="P10" i="27"/>
  <c r="O10" i="27"/>
  <c r="L10" i="27"/>
  <c r="O7" i="27"/>
  <c r="N7" i="27"/>
  <c r="L7" i="27"/>
  <c r="M6" i="27"/>
  <c r="M3" i="27"/>
  <c r="F228" i="26"/>
  <c r="E228" i="26"/>
  <c r="D228" i="26"/>
  <c r="C228" i="26"/>
  <c r="H224" i="26"/>
  <c r="G224" i="26"/>
  <c r="H223" i="26"/>
  <c r="G223" i="26"/>
  <c r="H222" i="26"/>
  <c r="G222" i="26"/>
  <c r="H221" i="26"/>
  <c r="G221" i="26"/>
  <c r="H220" i="26"/>
  <c r="G220" i="26"/>
  <c r="H219" i="26"/>
  <c r="G219" i="26"/>
  <c r="H218" i="26"/>
  <c r="G218" i="26"/>
  <c r="R214" i="26"/>
  <c r="Q214" i="26"/>
  <c r="O214" i="26"/>
  <c r="N214" i="26"/>
  <c r="M214" i="26"/>
  <c r="L214" i="26"/>
  <c r="K214" i="26"/>
  <c r="J214" i="26"/>
  <c r="I214" i="26"/>
  <c r="H214" i="26"/>
  <c r="G214" i="26"/>
  <c r="F214" i="26"/>
  <c r="E214" i="26"/>
  <c r="D214" i="26"/>
  <c r="P213" i="26"/>
  <c r="P212" i="26"/>
  <c r="P211" i="26"/>
  <c r="P210" i="26"/>
  <c r="R205" i="26"/>
  <c r="R206" i="26" s="1"/>
  <c r="Q205" i="26"/>
  <c r="Q206" i="26" s="1"/>
  <c r="O205" i="26"/>
  <c r="O206" i="26" s="1"/>
  <c r="N205" i="26"/>
  <c r="N206" i="26" s="1"/>
  <c r="M205" i="26"/>
  <c r="M206" i="26" s="1"/>
  <c r="L205" i="26"/>
  <c r="L206" i="26" s="1"/>
  <c r="K205" i="26"/>
  <c r="K206" i="26" s="1"/>
  <c r="J205" i="26"/>
  <c r="J206" i="26" s="1"/>
  <c r="I205" i="26"/>
  <c r="I206" i="26" s="1"/>
  <c r="H205" i="26"/>
  <c r="H206" i="26" s="1"/>
  <c r="G205" i="26"/>
  <c r="G206" i="26" s="1"/>
  <c r="F205" i="26"/>
  <c r="F206" i="26" s="1"/>
  <c r="E205" i="26"/>
  <c r="E206" i="26" s="1"/>
  <c r="D205" i="26"/>
  <c r="D206" i="26" s="1"/>
  <c r="P204" i="26"/>
  <c r="P203" i="26"/>
  <c r="P199" i="26"/>
  <c r="P198" i="26"/>
  <c r="P197" i="26"/>
  <c r="P196" i="26"/>
  <c r="P195" i="26"/>
  <c r="P194" i="26"/>
  <c r="P193" i="26"/>
  <c r="R192" i="26"/>
  <c r="R200" i="26" s="1"/>
  <c r="Q192" i="26"/>
  <c r="Q200" i="26" s="1"/>
  <c r="O192" i="26"/>
  <c r="O200" i="26" s="1"/>
  <c r="N192" i="26"/>
  <c r="N200" i="26" s="1"/>
  <c r="M192" i="26"/>
  <c r="M200" i="26" s="1"/>
  <c r="L192" i="26"/>
  <c r="L200" i="26" s="1"/>
  <c r="K192" i="26"/>
  <c r="K200" i="26" s="1"/>
  <c r="J192" i="26"/>
  <c r="J200" i="26" s="1"/>
  <c r="I192" i="26"/>
  <c r="I200" i="26" s="1"/>
  <c r="H192" i="26"/>
  <c r="H200" i="26" s="1"/>
  <c r="G192" i="26"/>
  <c r="G200" i="26" s="1"/>
  <c r="F192" i="26"/>
  <c r="F200" i="26" s="1"/>
  <c r="E192" i="26"/>
  <c r="E200" i="26" s="1"/>
  <c r="D192" i="26"/>
  <c r="D200" i="26" s="1"/>
  <c r="R188" i="26"/>
  <c r="Q188" i="26"/>
  <c r="P188" i="26"/>
  <c r="O188" i="26"/>
  <c r="N188" i="26"/>
  <c r="M188" i="26"/>
  <c r="L188" i="26"/>
  <c r="K188" i="26"/>
  <c r="J188" i="26"/>
  <c r="I188" i="26"/>
  <c r="H188" i="26"/>
  <c r="G188" i="26"/>
  <c r="F188" i="26"/>
  <c r="E188" i="26"/>
  <c r="D188" i="26"/>
  <c r="P170" i="26"/>
  <c r="P167" i="26"/>
  <c r="P166" i="26"/>
  <c r="P164" i="26"/>
  <c r="R163" i="26"/>
  <c r="Q163" i="26"/>
  <c r="O163" i="26"/>
  <c r="N163" i="26"/>
  <c r="M163" i="26"/>
  <c r="L163" i="26"/>
  <c r="K163" i="26"/>
  <c r="J163" i="26"/>
  <c r="I163" i="26"/>
  <c r="H163" i="26"/>
  <c r="G163" i="26"/>
  <c r="F163" i="26"/>
  <c r="E163" i="26"/>
  <c r="D163" i="26"/>
  <c r="P162" i="26"/>
  <c r="P161" i="26"/>
  <c r="R160" i="26"/>
  <c r="R168" i="26" s="1"/>
  <c r="R169" i="26" s="1"/>
  <c r="Q160" i="26"/>
  <c r="Q171" i="26" s="1"/>
  <c r="O160" i="26"/>
  <c r="O168" i="26" s="1"/>
  <c r="O169" i="26" s="1"/>
  <c r="N160" i="26"/>
  <c r="N168" i="26" s="1"/>
  <c r="N169" i="26" s="1"/>
  <c r="M160" i="26"/>
  <c r="M168" i="26" s="1"/>
  <c r="M169" i="26" s="1"/>
  <c r="L160" i="26"/>
  <c r="K160" i="26"/>
  <c r="K168" i="26" s="1"/>
  <c r="K169" i="26" s="1"/>
  <c r="J160" i="26"/>
  <c r="J171" i="26" s="1"/>
  <c r="I160" i="26"/>
  <c r="I171" i="26" s="1"/>
  <c r="H160" i="26"/>
  <c r="H171" i="26" s="1"/>
  <c r="G160" i="26"/>
  <c r="G168" i="26" s="1"/>
  <c r="G169" i="26" s="1"/>
  <c r="F160" i="26"/>
  <c r="F168" i="26" s="1"/>
  <c r="F169" i="26" s="1"/>
  <c r="E160" i="26"/>
  <c r="E168" i="26" s="1"/>
  <c r="E169" i="26" s="1"/>
  <c r="D160" i="26"/>
  <c r="P156" i="26"/>
  <c r="P153" i="26"/>
  <c r="P152" i="26"/>
  <c r="P150" i="26"/>
  <c r="R149" i="26"/>
  <c r="Q149" i="26"/>
  <c r="O149" i="26"/>
  <c r="N149" i="26"/>
  <c r="M149" i="26"/>
  <c r="L149" i="26"/>
  <c r="K149" i="26"/>
  <c r="J149" i="26"/>
  <c r="I149" i="26"/>
  <c r="H149" i="26"/>
  <c r="G149" i="26"/>
  <c r="F149" i="26"/>
  <c r="E149" i="26"/>
  <c r="D149" i="26"/>
  <c r="P148" i="26"/>
  <c r="P147" i="26"/>
  <c r="R146" i="26"/>
  <c r="R151" i="26" s="1"/>
  <c r="Q146" i="26"/>
  <c r="Q157" i="26" s="1"/>
  <c r="O146" i="26"/>
  <c r="O154" i="26" s="1"/>
  <c r="O155" i="26" s="1"/>
  <c r="N146" i="26"/>
  <c r="N154" i="26" s="1"/>
  <c r="N155" i="26" s="1"/>
  <c r="M146" i="26"/>
  <c r="M154" i="26" s="1"/>
  <c r="M155" i="26" s="1"/>
  <c r="L146" i="26"/>
  <c r="K146" i="26"/>
  <c r="K154" i="26" s="1"/>
  <c r="K155" i="26" s="1"/>
  <c r="J146" i="26"/>
  <c r="J151" i="26" s="1"/>
  <c r="I146" i="26"/>
  <c r="I157" i="26" s="1"/>
  <c r="H146" i="26"/>
  <c r="H157" i="26" s="1"/>
  <c r="G146" i="26"/>
  <c r="G154" i="26" s="1"/>
  <c r="G155" i="26" s="1"/>
  <c r="F146" i="26"/>
  <c r="F154" i="26" s="1"/>
  <c r="F155" i="26" s="1"/>
  <c r="E146" i="26"/>
  <c r="E154" i="26" s="1"/>
  <c r="E155" i="26" s="1"/>
  <c r="D146" i="26"/>
  <c r="P142" i="26"/>
  <c r="P139" i="26"/>
  <c r="P138" i="26"/>
  <c r="P136" i="26"/>
  <c r="R135" i="26"/>
  <c r="Q135" i="26"/>
  <c r="O135" i="26"/>
  <c r="N135" i="26"/>
  <c r="M135" i="26"/>
  <c r="L135" i="26"/>
  <c r="K135" i="26"/>
  <c r="J135" i="26"/>
  <c r="I135" i="26"/>
  <c r="H135" i="26"/>
  <c r="G135" i="26"/>
  <c r="F135" i="26"/>
  <c r="E135" i="26"/>
  <c r="D135" i="26"/>
  <c r="P134" i="26"/>
  <c r="P133" i="26"/>
  <c r="R132" i="26"/>
  <c r="R143" i="26" s="1"/>
  <c r="Q132" i="26"/>
  <c r="Q143" i="26" s="1"/>
  <c r="O132" i="26"/>
  <c r="O140" i="26" s="1"/>
  <c r="O141" i="26" s="1"/>
  <c r="N132" i="26"/>
  <c r="N140" i="26" s="1"/>
  <c r="N141" i="26" s="1"/>
  <c r="M132" i="26"/>
  <c r="M140" i="26" s="1"/>
  <c r="M141" i="26" s="1"/>
  <c r="L132" i="26"/>
  <c r="K132" i="26"/>
  <c r="J132" i="26"/>
  <c r="J143" i="26" s="1"/>
  <c r="I132" i="26"/>
  <c r="I143" i="26" s="1"/>
  <c r="H132" i="26"/>
  <c r="H143" i="26" s="1"/>
  <c r="G132" i="26"/>
  <c r="G140" i="26" s="1"/>
  <c r="G141" i="26" s="1"/>
  <c r="F132" i="26"/>
  <c r="F140" i="26" s="1"/>
  <c r="F141" i="26" s="1"/>
  <c r="E132" i="26"/>
  <c r="E140" i="26" s="1"/>
  <c r="E141" i="26" s="1"/>
  <c r="D132" i="26"/>
  <c r="P128" i="26"/>
  <c r="P125" i="26"/>
  <c r="P124" i="26"/>
  <c r="P122" i="26"/>
  <c r="R121" i="26"/>
  <c r="Q121" i="26"/>
  <c r="O121" i="26"/>
  <c r="N121" i="26"/>
  <c r="M121" i="26"/>
  <c r="L121" i="26"/>
  <c r="K121" i="26"/>
  <c r="J121" i="26"/>
  <c r="I121" i="26"/>
  <c r="H121" i="26"/>
  <c r="G121" i="26"/>
  <c r="F121" i="26"/>
  <c r="E121" i="26"/>
  <c r="D121" i="26"/>
  <c r="P120" i="26"/>
  <c r="P119" i="26"/>
  <c r="R118" i="26"/>
  <c r="R123" i="26" s="1"/>
  <c r="Q118" i="26"/>
  <c r="Q129" i="26" s="1"/>
  <c r="O118" i="26"/>
  <c r="O126" i="26" s="1"/>
  <c r="O127" i="26" s="1"/>
  <c r="N118" i="26"/>
  <c r="M118" i="26"/>
  <c r="L118" i="26"/>
  <c r="K118" i="26"/>
  <c r="K123" i="26" s="1"/>
  <c r="J118" i="26"/>
  <c r="J129" i="26" s="1"/>
  <c r="I118" i="26"/>
  <c r="I129" i="26" s="1"/>
  <c r="H118" i="26"/>
  <c r="H129" i="26" s="1"/>
  <c r="G118" i="26"/>
  <c r="G126" i="26" s="1"/>
  <c r="G127" i="26" s="1"/>
  <c r="F118" i="26"/>
  <c r="F126" i="26" s="1"/>
  <c r="F127" i="26" s="1"/>
  <c r="E118" i="26"/>
  <c r="E126" i="26" s="1"/>
  <c r="E127" i="26" s="1"/>
  <c r="D118" i="26"/>
  <c r="P114" i="26"/>
  <c r="P111" i="26"/>
  <c r="P110" i="26"/>
  <c r="P108" i="26"/>
  <c r="R107" i="26"/>
  <c r="Q107" i="26"/>
  <c r="O107" i="26"/>
  <c r="N107" i="26"/>
  <c r="M107" i="26"/>
  <c r="L107" i="26"/>
  <c r="K107" i="26"/>
  <c r="J107" i="26"/>
  <c r="I107" i="26"/>
  <c r="H107" i="26"/>
  <c r="G107" i="26"/>
  <c r="F107" i="26"/>
  <c r="E107" i="26"/>
  <c r="D107" i="26"/>
  <c r="P106" i="26"/>
  <c r="P105" i="26"/>
  <c r="R104" i="26"/>
  <c r="R115" i="26" s="1"/>
  <c r="Q104" i="26"/>
  <c r="Q115" i="26" s="1"/>
  <c r="O104" i="26"/>
  <c r="O112" i="26" s="1"/>
  <c r="O113" i="26" s="1"/>
  <c r="N104" i="26"/>
  <c r="N112" i="26" s="1"/>
  <c r="N113" i="26" s="1"/>
  <c r="M104" i="26"/>
  <c r="M112" i="26" s="1"/>
  <c r="M113" i="26" s="1"/>
  <c r="L104" i="26"/>
  <c r="K104" i="26"/>
  <c r="K112" i="26" s="1"/>
  <c r="K113" i="26" s="1"/>
  <c r="J104" i="26"/>
  <c r="J109" i="26" s="1"/>
  <c r="I104" i="26"/>
  <c r="I115" i="26" s="1"/>
  <c r="H104" i="26"/>
  <c r="H115" i="26" s="1"/>
  <c r="G104" i="26"/>
  <c r="G112" i="26" s="1"/>
  <c r="G113" i="26" s="1"/>
  <c r="F104" i="26"/>
  <c r="F112" i="26" s="1"/>
  <c r="F113" i="26" s="1"/>
  <c r="E104" i="26"/>
  <c r="E112" i="26" s="1"/>
  <c r="E113" i="26" s="1"/>
  <c r="D104" i="26"/>
  <c r="P100" i="26"/>
  <c r="P97" i="26"/>
  <c r="P96" i="26"/>
  <c r="P94" i="26"/>
  <c r="R93" i="26"/>
  <c r="Q93" i="26"/>
  <c r="O93" i="26"/>
  <c r="N93" i="26"/>
  <c r="M93" i="26"/>
  <c r="L93" i="26"/>
  <c r="K93" i="26"/>
  <c r="J93" i="26"/>
  <c r="I93" i="26"/>
  <c r="H93" i="26"/>
  <c r="G93" i="26"/>
  <c r="F93" i="26"/>
  <c r="E93" i="26"/>
  <c r="D93" i="26"/>
  <c r="P92" i="26"/>
  <c r="P91" i="26"/>
  <c r="R90" i="26"/>
  <c r="R101" i="26" s="1"/>
  <c r="Q90" i="26"/>
  <c r="Q101" i="26" s="1"/>
  <c r="O90" i="26"/>
  <c r="O101" i="26" s="1"/>
  <c r="N90" i="26"/>
  <c r="N101" i="26" s="1"/>
  <c r="M90" i="26"/>
  <c r="M101" i="26" s="1"/>
  <c r="L90" i="26"/>
  <c r="L98" i="26" s="1"/>
  <c r="L99" i="26" s="1"/>
  <c r="K90" i="26"/>
  <c r="K98" i="26" s="1"/>
  <c r="K99" i="26" s="1"/>
  <c r="J90" i="26"/>
  <c r="J101" i="26" s="1"/>
  <c r="I90" i="26"/>
  <c r="I98" i="26" s="1"/>
  <c r="I99" i="26" s="1"/>
  <c r="H90" i="26"/>
  <c r="H101" i="26" s="1"/>
  <c r="G90" i="26"/>
  <c r="G101" i="26" s="1"/>
  <c r="F90" i="26"/>
  <c r="F98" i="26" s="1"/>
  <c r="F99" i="26" s="1"/>
  <c r="E90" i="26"/>
  <c r="E98" i="26" s="1"/>
  <c r="E99" i="26" s="1"/>
  <c r="D90" i="26"/>
  <c r="P84" i="26"/>
  <c r="P83" i="26"/>
  <c r="P82" i="26"/>
  <c r="P81" i="26"/>
  <c r="P80" i="26"/>
  <c r="R78" i="26"/>
  <c r="Q78" i="26"/>
  <c r="O78" i="26"/>
  <c r="N78" i="26"/>
  <c r="M78" i="26"/>
  <c r="L78" i="26"/>
  <c r="K78" i="26"/>
  <c r="K79" i="26" s="1"/>
  <c r="J78" i="26"/>
  <c r="I78" i="26"/>
  <c r="H78" i="26"/>
  <c r="G78" i="26"/>
  <c r="F78" i="26"/>
  <c r="E78" i="26"/>
  <c r="D78" i="26"/>
  <c r="P77" i="26"/>
  <c r="P76" i="26"/>
  <c r="P75" i="26"/>
  <c r="P74" i="26"/>
  <c r="P73" i="26"/>
  <c r="R71" i="26"/>
  <c r="Q71" i="26"/>
  <c r="O71" i="26"/>
  <c r="N71" i="26"/>
  <c r="M71" i="26"/>
  <c r="L71" i="26"/>
  <c r="K71" i="26"/>
  <c r="J71" i="26"/>
  <c r="I71" i="26"/>
  <c r="H71" i="26"/>
  <c r="G71" i="26"/>
  <c r="F71" i="26"/>
  <c r="E71" i="26"/>
  <c r="D71" i="26"/>
  <c r="P70" i="26"/>
  <c r="P69" i="26"/>
  <c r="P68" i="26"/>
  <c r="P67" i="26"/>
  <c r="P66" i="26"/>
  <c r="R65" i="26"/>
  <c r="R72" i="26" s="1"/>
  <c r="Q65" i="26"/>
  <c r="Q86" i="26" s="1"/>
  <c r="O65" i="26"/>
  <c r="N65" i="26"/>
  <c r="M65" i="26"/>
  <c r="L65" i="26"/>
  <c r="K65" i="26"/>
  <c r="J65" i="26"/>
  <c r="I65" i="26"/>
  <c r="H65" i="26"/>
  <c r="G65" i="26"/>
  <c r="F65" i="26"/>
  <c r="E65" i="26"/>
  <c r="D65" i="26"/>
  <c r="P61" i="26"/>
  <c r="P60" i="26"/>
  <c r="P59" i="26"/>
  <c r="P58" i="26"/>
  <c r="P57" i="26"/>
  <c r="R56" i="26"/>
  <c r="Q56" i="26"/>
  <c r="O56" i="26"/>
  <c r="N56" i="26"/>
  <c r="M56" i="26"/>
  <c r="L56" i="26"/>
  <c r="K56" i="26"/>
  <c r="J56" i="26"/>
  <c r="I56" i="26"/>
  <c r="H56" i="26"/>
  <c r="G56" i="26"/>
  <c r="F56" i="26"/>
  <c r="E56" i="26"/>
  <c r="D56" i="26"/>
  <c r="P55" i="26"/>
  <c r="R54" i="26"/>
  <c r="Q54" i="26"/>
  <c r="O54" i="26"/>
  <c r="N54" i="26"/>
  <c r="M54" i="26"/>
  <c r="L54" i="26"/>
  <c r="K54" i="26"/>
  <c r="J54" i="26"/>
  <c r="I54" i="26"/>
  <c r="H54" i="26"/>
  <c r="G54" i="26"/>
  <c r="F54" i="26"/>
  <c r="E54" i="26"/>
  <c r="D54" i="26"/>
  <c r="P53" i="26"/>
  <c r="P52" i="26"/>
  <c r="R51" i="26"/>
  <c r="Q51" i="26"/>
  <c r="O51" i="26"/>
  <c r="N51" i="26"/>
  <c r="M51" i="26"/>
  <c r="L51" i="26"/>
  <c r="K51" i="26"/>
  <c r="J51" i="26"/>
  <c r="I51" i="26"/>
  <c r="H51" i="26"/>
  <c r="G51" i="26"/>
  <c r="F51" i="26"/>
  <c r="E51" i="26"/>
  <c r="D51" i="26"/>
  <c r="P50" i="26"/>
  <c r="P49" i="26"/>
  <c r="P47" i="26"/>
  <c r="P46" i="26"/>
  <c r="P45" i="26"/>
  <c r="R44" i="26"/>
  <c r="R48" i="26" s="1"/>
  <c r="Q44" i="26"/>
  <c r="Q48" i="26" s="1"/>
  <c r="O44" i="26"/>
  <c r="O48" i="26" s="1"/>
  <c r="N44" i="26"/>
  <c r="N48" i="26" s="1"/>
  <c r="M44" i="26"/>
  <c r="M48" i="26" s="1"/>
  <c r="L44" i="26"/>
  <c r="L48" i="26" s="1"/>
  <c r="K44" i="26"/>
  <c r="K48" i="26" s="1"/>
  <c r="J44" i="26"/>
  <c r="J48" i="26" s="1"/>
  <c r="I44" i="26"/>
  <c r="I48" i="26" s="1"/>
  <c r="H44" i="26"/>
  <c r="H48" i="26" s="1"/>
  <c r="G44" i="26"/>
  <c r="G48" i="26" s="1"/>
  <c r="F44" i="26"/>
  <c r="F48" i="26" s="1"/>
  <c r="E44" i="26"/>
  <c r="E48" i="26" s="1"/>
  <c r="D44" i="26"/>
  <c r="D48" i="26" s="1"/>
  <c r="P43" i="26"/>
  <c r="P41" i="26"/>
  <c r="P40" i="26"/>
  <c r="R39" i="26"/>
  <c r="R42" i="26" s="1"/>
  <c r="Q39" i="26"/>
  <c r="Q42" i="26" s="1"/>
  <c r="O39" i="26"/>
  <c r="O42" i="26" s="1"/>
  <c r="N39" i="26"/>
  <c r="N42" i="26" s="1"/>
  <c r="M39" i="26"/>
  <c r="M42" i="26" s="1"/>
  <c r="L39" i="26"/>
  <c r="L42" i="26" s="1"/>
  <c r="K39" i="26"/>
  <c r="K42" i="26" s="1"/>
  <c r="J39" i="26"/>
  <c r="J42" i="26" s="1"/>
  <c r="I39" i="26"/>
  <c r="I42" i="26" s="1"/>
  <c r="H39" i="26"/>
  <c r="H42" i="26" s="1"/>
  <c r="G39" i="26"/>
  <c r="G42" i="26" s="1"/>
  <c r="F39" i="26"/>
  <c r="F42" i="26" s="1"/>
  <c r="E39" i="26"/>
  <c r="E42" i="26" s="1"/>
  <c r="D39" i="26"/>
  <c r="P38" i="26"/>
  <c r="P36" i="26"/>
  <c r="P35" i="26"/>
  <c r="P34" i="26"/>
  <c r="P33" i="26"/>
  <c r="P32" i="26"/>
  <c r="P31" i="26"/>
  <c r="R30" i="26"/>
  <c r="R37" i="26" s="1"/>
  <c r="Q30" i="26"/>
  <c r="Q37" i="26" s="1"/>
  <c r="O30" i="26"/>
  <c r="O37" i="26" s="1"/>
  <c r="N30" i="26"/>
  <c r="N37" i="26" s="1"/>
  <c r="M30" i="26"/>
  <c r="M37" i="26" s="1"/>
  <c r="L30" i="26"/>
  <c r="L37" i="26" s="1"/>
  <c r="K30" i="26"/>
  <c r="K37" i="26" s="1"/>
  <c r="J30" i="26"/>
  <c r="J37" i="26" s="1"/>
  <c r="I30" i="26"/>
  <c r="I37" i="26" s="1"/>
  <c r="H30" i="26"/>
  <c r="H37" i="26" s="1"/>
  <c r="G30" i="26"/>
  <c r="G37" i="26" s="1"/>
  <c r="F30" i="26"/>
  <c r="F37" i="26" s="1"/>
  <c r="E30" i="26"/>
  <c r="E37" i="26" s="1"/>
  <c r="D30" i="26"/>
  <c r="D37" i="26" s="1"/>
  <c r="P29" i="26"/>
  <c r="P27" i="26"/>
  <c r="P26" i="26"/>
  <c r="P25" i="26"/>
  <c r="P24" i="26"/>
  <c r="P23" i="26"/>
  <c r="P22" i="26"/>
  <c r="R21" i="26"/>
  <c r="R28" i="26" s="1"/>
  <c r="Q21" i="26"/>
  <c r="Q28" i="26" s="1"/>
  <c r="O21" i="26"/>
  <c r="O28" i="26" s="1"/>
  <c r="N21" i="26"/>
  <c r="N28" i="26" s="1"/>
  <c r="M21" i="26"/>
  <c r="M28" i="26" s="1"/>
  <c r="L21" i="26"/>
  <c r="L28" i="26" s="1"/>
  <c r="K21" i="26"/>
  <c r="K28" i="26" s="1"/>
  <c r="J21" i="26"/>
  <c r="J28" i="26" s="1"/>
  <c r="I21" i="26"/>
  <c r="I28" i="26" s="1"/>
  <c r="H21" i="26"/>
  <c r="H28" i="26" s="1"/>
  <c r="G21" i="26"/>
  <c r="G28" i="26" s="1"/>
  <c r="F21" i="26"/>
  <c r="F28" i="26" s="1"/>
  <c r="E21" i="26"/>
  <c r="E28" i="26" s="1"/>
  <c r="D21" i="26"/>
  <c r="D28" i="26" s="1"/>
  <c r="P20" i="26"/>
  <c r="G16" i="26"/>
  <c r="H16" i="26" s="1"/>
  <c r="M14" i="26"/>
  <c r="L14" i="26"/>
  <c r="K14" i="26"/>
  <c r="J14" i="26"/>
  <c r="M13" i="26"/>
  <c r="L13" i="26"/>
  <c r="K13" i="26"/>
  <c r="J13" i="26"/>
  <c r="M12" i="26"/>
  <c r="L12" i="26"/>
  <c r="K12" i="26"/>
  <c r="J12" i="26"/>
  <c r="M11" i="26"/>
  <c r="L11" i="26"/>
  <c r="K11" i="26"/>
  <c r="J11" i="26"/>
  <c r="M10" i="26"/>
  <c r="L10" i="26"/>
  <c r="K10" i="26"/>
  <c r="J10" i="26"/>
  <c r="M9" i="26"/>
  <c r="L9" i="26"/>
  <c r="K9" i="26"/>
  <c r="J9" i="26"/>
  <c r="M8" i="26"/>
  <c r="L8" i="26"/>
  <c r="K8" i="26"/>
  <c r="J8" i="26"/>
  <c r="M7" i="26"/>
  <c r="L7" i="26"/>
  <c r="K7" i="26"/>
  <c r="J7" i="26"/>
  <c r="P56" i="26" l="1"/>
  <c r="AK34" i="27"/>
  <c r="AK35" i="27" s="1"/>
  <c r="AT34" i="27"/>
  <c r="BB34" i="27"/>
  <c r="BB35" i="27" s="1"/>
  <c r="CN103" i="27"/>
  <c r="CN108" i="27" s="1"/>
  <c r="CW103" i="27"/>
  <c r="DE103" i="27"/>
  <c r="DN103" i="27"/>
  <c r="DN112" i="27" s="1"/>
  <c r="DW103" i="27"/>
  <c r="DW112" i="27" s="1"/>
  <c r="EE103" i="27"/>
  <c r="EE112" i="27" s="1"/>
  <c r="K72" i="26"/>
  <c r="BM54" i="27"/>
  <c r="AO17" i="27"/>
  <c r="BR51" i="27"/>
  <c r="CP103" i="27"/>
  <c r="CP108" i="27" s="1"/>
  <c r="CY103" i="27"/>
  <c r="DG103" i="27"/>
  <c r="N126" i="26"/>
  <c r="N127" i="26" s="1"/>
  <c r="BD20" i="27"/>
  <c r="H34" i="27"/>
  <c r="H37" i="27" s="1"/>
  <c r="AI17" i="27"/>
  <c r="BF44" i="27"/>
  <c r="D79" i="26"/>
  <c r="L79" i="26"/>
  <c r="K109" i="26"/>
  <c r="R129" i="26"/>
  <c r="J137" i="26"/>
  <c r="BF60" i="27"/>
  <c r="R157" i="26"/>
  <c r="R165" i="26"/>
  <c r="BF63" i="27"/>
  <c r="BF64" i="27"/>
  <c r="BW61" i="27"/>
  <c r="Q7" i="26"/>
  <c r="BF19" i="27"/>
  <c r="J72" i="26"/>
  <c r="G79" i="26"/>
  <c r="O79" i="26"/>
  <c r="F95" i="26"/>
  <c r="I112" i="26"/>
  <c r="I113" i="26" s="1"/>
  <c r="Q140" i="26"/>
  <c r="Q141" i="26" s="1"/>
  <c r="E34" i="27"/>
  <c r="E35" i="27" s="1"/>
  <c r="H79" i="26"/>
  <c r="Q79" i="26"/>
  <c r="M95" i="26"/>
  <c r="K151" i="26"/>
  <c r="AX34" i="27"/>
  <c r="BR52" i="27"/>
  <c r="BU53" i="27"/>
  <c r="BV53" i="27" s="1"/>
  <c r="J115" i="26"/>
  <c r="R171" i="26"/>
  <c r="K65" i="27"/>
  <c r="BQ70" i="27" s="1"/>
  <c r="J98" i="26"/>
  <c r="J99" i="26" s="1"/>
  <c r="I154" i="26"/>
  <c r="I155" i="26" s="1"/>
  <c r="AQ20" i="27"/>
  <c r="BF67" i="27"/>
  <c r="DS113" i="27"/>
  <c r="DS112" i="27"/>
  <c r="AQ17" i="27"/>
  <c r="DT113" i="27"/>
  <c r="AC34" i="27"/>
  <c r="R126" i="26"/>
  <c r="R127" i="26" s="1"/>
  <c r="Q168" i="26"/>
  <c r="Q169" i="26" s="1"/>
  <c r="H228" i="26"/>
  <c r="AP34" i="27"/>
  <c r="BB37" i="27"/>
  <c r="BB54" i="27" s="1"/>
  <c r="G72" i="26"/>
  <c r="O72" i="26"/>
  <c r="I79" i="26"/>
  <c r="R79" i="26"/>
  <c r="N95" i="26"/>
  <c r="M98" i="26"/>
  <c r="M99" i="26" s="1"/>
  <c r="R109" i="26"/>
  <c r="K115" i="26"/>
  <c r="J126" i="26"/>
  <c r="J127" i="26" s="1"/>
  <c r="I140" i="26"/>
  <c r="I141" i="26" s="1"/>
  <c r="J157" i="26"/>
  <c r="P214" i="26"/>
  <c r="AH17" i="27"/>
  <c r="AT17" i="27"/>
  <c r="AY34" i="27"/>
  <c r="Q27" i="27"/>
  <c r="AD27" i="27"/>
  <c r="Z34" i="27"/>
  <c r="Z35" i="27" s="1"/>
  <c r="U34" i="27"/>
  <c r="U35" i="27" s="1"/>
  <c r="BF51" i="27"/>
  <c r="BO69" i="27" s="1"/>
  <c r="BF59" i="27"/>
  <c r="AD46" i="27"/>
  <c r="AQ46" i="27"/>
  <c r="DT54" i="27"/>
  <c r="DH102" i="27"/>
  <c r="DX112" i="27"/>
  <c r="P71" i="26"/>
  <c r="Q72" i="26"/>
  <c r="J79" i="26"/>
  <c r="O95" i="26"/>
  <c r="N98" i="26"/>
  <c r="N99" i="26" s="1"/>
  <c r="J123" i="26"/>
  <c r="R140" i="26"/>
  <c r="R141" i="26" s="1"/>
  <c r="J140" i="26"/>
  <c r="J141" i="26" s="1"/>
  <c r="K157" i="26"/>
  <c r="J168" i="26"/>
  <c r="J169" i="26" s="1"/>
  <c r="BO47" i="27"/>
  <c r="BI56" i="27"/>
  <c r="CU102" i="27"/>
  <c r="EA112" i="27"/>
  <c r="P51" i="26"/>
  <c r="P65" i="26"/>
  <c r="P86" i="26" s="1"/>
  <c r="I72" i="26"/>
  <c r="R86" i="26"/>
  <c r="E95" i="26"/>
  <c r="R95" i="26"/>
  <c r="R98" i="26"/>
  <c r="R99" i="26" s="1"/>
  <c r="J165" i="26"/>
  <c r="J34" i="27"/>
  <c r="H35" i="27"/>
  <c r="DE51" i="27"/>
  <c r="EF112" i="27"/>
  <c r="BT50" i="27"/>
  <c r="BX50" i="27" s="1"/>
  <c r="CO51" i="27"/>
  <c r="CO59" i="27" s="1"/>
  <c r="DP103" i="27"/>
  <c r="DP113" i="27" s="1"/>
  <c r="DY103" i="27"/>
  <c r="DY113" i="27" s="1"/>
  <c r="EG103" i="27"/>
  <c r="EG113" i="27" s="1"/>
  <c r="DK103" i="27"/>
  <c r="DK113" i="27" s="1"/>
  <c r="M126" i="26"/>
  <c r="M127" i="26" s="1"/>
  <c r="K140" i="26"/>
  <c r="K141" i="26" s="1"/>
  <c r="P54" i="26"/>
  <c r="F72" i="26"/>
  <c r="N72" i="26"/>
  <c r="E79" i="26"/>
  <c r="M79" i="26"/>
  <c r="G95" i="26"/>
  <c r="E101" i="26"/>
  <c r="R112" i="26"/>
  <c r="R113" i="26" s="1"/>
  <c r="Q112" i="26"/>
  <c r="Q113" i="26" s="1"/>
  <c r="P135" i="26"/>
  <c r="K137" i="26"/>
  <c r="R154" i="26"/>
  <c r="R155" i="26" s="1"/>
  <c r="J154" i="26"/>
  <c r="J155" i="26" s="1"/>
  <c r="BA17" i="27"/>
  <c r="Q20" i="27"/>
  <c r="Q17" i="27" s="1"/>
  <c r="M34" i="27"/>
  <c r="M37" i="27" s="1"/>
  <c r="AQ39" i="27"/>
  <c r="BF62" i="27"/>
  <c r="BT52" i="27"/>
  <c r="BX52" i="27" s="1"/>
  <c r="DH74" i="27"/>
  <c r="P39" i="26"/>
  <c r="D42" i="26"/>
  <c r="P42" i="26" s="1"/>
  <c r="D72" i="26"/>
  <c r="L72" i="26"/>
  <c r="F79" i="26"/>
  <c r="N79" i="26"/>
  <c r="J95" i="26"/>
  <c r="F101" i="26"/>
  <c r="J112" i="26"/>
  <c r="J113" i="26" s="1"/>
  <c r="I126" i="26"/>
  <c r="I127" i="26" s="1"/>
  <c r="R137" i="26"/>
  <c r="K143" i="26"/>
  <c r="Q154" i="26"/>
  <c r="Q155" i="26" s="1"/>
  <c r="AA17" i="27"/>
  <c r="BB17" i="27"/>
  <c r="BF41" i="27"/>
  <c r="BT51" i="27"/>
  <c r="EH102" i="27"/>
  <c r="D98" i="26"/>
  <c r="D99" i="26" s="1"/>
  <c r="P44" i="26"/>
  <c r="E72" i="26"/>
  <c r="M72" i="26"/>
  <c r="G98" i="26"/>
  <c r="G99" i="26" s="1"/>
  <c r="O98" i="26"/>
  <c r="O99" i="26" s="1"/>
  <c r="K95" i="26"/>
  <c r="Q126" i="26"/>
  <c r="Q127" i="26" s="1"/>
  <c r="I168" i="26"/>
  <c r="I169" i="26" s="1"/>
  <c r="G228" i="26"/>
  <c r="BF18" i="27"/>
  <c r="BF47" i="27"/>
  <c r="BF55" i="27"/>
  <c r="BQ71" i="27" s="1"/>
  <c r="BF56" i="27"/>
  <c r="DU102" i="27"/>
  <c r="DP112" i="27"/>
  <c r="N170" i="4"/>
  <c r="N101" i="4" s="1"/>
  <c r="O166" i="4"/>
  <c r="O99" i="4" s="1"/>
  <c r="O168" i="4"/>
  <c r="O100" i="4" s="1"/>
  <c r="P48" i="26"/>
  <c r="P37" i="26"/>
  <c r="P28" i="26"/>
  <c r="AU34" i="27"/>
  <c r="AU17" i="27"/>
  <c r="CL51" i="27"/>
  <c r="CL59" i="27" s="1"/>
  <c r="CU22" i="27"/>
  <c r="P93" i="26"/>
  <c r="N35" i="27"/>
  <c r="N37" i="27"/>
  <c r="BA35" i="27"/>
  <c r="BA37" i="27"/>
  <c r="P78" i="26"/>
  <c r="I95" i="26"/>
  <c r="Q95" i="26"/>
  <c r="H98" i="26"/>
  <c r="H99" i="26" s="1"/>
  <c r="K129" i="26"/>
  <c r="P160" i="26"/>
  <c r="P165" i="26" s="1"/>
  <c r="D168" i="26"/>
  <c r="D171" i="26"/>
  <c r="D165" i="26"/>
  <c r="L168" i="26"/>
  <c r="L169" i="26" s="1"/>
  <c r="L171" i="26"/>
  <c r="L165" i="26"/>
  <c r="P163" i="26"/>
  <c r="K165" i="26"/>
  <c r="AG37" i="27"/>
  <c r="AG35" i="27"/>
  <c r="AO37" i="27"/>
  <c r="AO35" i="27"/>
  <c r="AW37" i="27"/>
  <c r="AW35" i="27"/>
  <c r="BC34" i="27"/>
  <c r="BC17" i="27"/>
  <c r="I101" i="26"/>
  <c r="Q98" i="26"/>
  <c r="Q99" i="26" s="1"/>
  <c r="K101" i="26"/>
  <c r="P146" i="26"/>
  <c r="P151" i="26" s="1"/>
  <c r="D154" i="26"/>
  <c r="D157" i="26"/>
  <c r="D151" i="26"/>
  <c r="L154" i="26"/>
  <c r="L155" i="26" s="1"/>
  <c r="L157" i="26"/>
  <c r="L151" i="26"/>
  <c r="P149" i="26"/>
  <c r="H54" i="27"/>
  <c r="H55" i="27"/>
  <c r="H38" i="27"/>
  <c r="Y37" i="27"/>
  <c r="Y35" i="27"/>
  <c r="AP35" i="27"/>
  <c r="AP37" i="27"/>
  <c r="BF48" i="27"/>
  <c r="N10" i="27"/>
  <c r="E37" i="27"/>
  <c r="BU50" i="27"/>
  <c r="BY50" i="27" s="1"/>
  <c r="BU51" i="27"/>
  <c r="BY51" i="27" s="1"/>
  <c r="BU52" i="27"/>
  <c r="P90" i="26"/>
  <c r="P95" i="26" s="1"/>
  <c r="AE34" i="27"/>
  <c r="AE17" i="27"/>
  <c r="H95" i="26"/>
  <c r="L140" i="26"/>
  <c r="L141" i="26" s="1"/>
  <c r="L143" i="26"/>
  <c r="L137" i="26"/>
  <c r="I37" i="27"/>
  <c r="I35" i="27"/>
  <c r="R34" i="27"/>
  <c r="CU50" i="27"/>
  <c r="P21" i="26"/>
  <c r="M35" i="27"/>
  <c r="AX35" i="27"/>
  <c r="AX37" i="27"/>
  <c r="L101" i="26"/>
  <c r="P30" i="26"/>
  <c r="D95" i="26"/>
  <c r="L95" i="26"/>
  <c r="D101" i="26"/>
  <c r="P118" i="26"/>
  <c r="P123" i="26" s="1"/>
  <c r="D126" i="26"/>
  <c r="D129" i="26"/>
  <c r="D123" i="26"/>
  <c r="L126" i="26"/>
  <c r="L127" i="26" s="1"/>
  <c r="L129" i="26"/>
  <c r="L123" i="26"/>
  <c r="P121" i="26"/>
  <c r="P171" i="26"/>
  <c r="CQ59" i="27"/>
  <c r="AS34" i="27"/>
  <c r="BD27" i="27"/>
  <c r="V37" i="27"/>
  <c r="DS54" i="27"/>
  <c r="K126" i="26"/>
  <c r="K127" i="26" s="1"/>
  <c r="P132" i="26"/>
  <c r="P137" i="26" s="1"/>
  <c r="D140" i="26"/>
  <c r="D143" i="26"/>
  <c r="D137" i="26"/>
  <c r="H72" i="26"/>
  <c r="P104" i="26"/>
  <c r="P109" i="26" s="1"/>
  <c r="D112" i="26"/>
  <c r="D115" i="26"/>
  <c r="D109" i="26"/>
  <c r="L112" i="26"/>
  <c r="L113" i="26" s="1"/>
  <c r="L115" i="26"/>
  <c r="L109" i="26"/>
  <c r="P107" i="26"/>
  <c r="P157" i="26"/>
  <c r="P192" i="26"/>
  <c r="P200" i="26" s="1"/>
  <c r="DJ51" i="27"/>
  <c r="DJ53" i="27" s="1"/>
  <c r="DR51" i="27"/>
  <c r="DR53" i="27"/>
  <c r="EA51" i="27"/>
  <c r="EA54" i="27" s="1"/>
  <c r="J35" i="27"/>
  <c r="J37" i="27"/>
  <c r="AH35" i="27"/>
  <c r="AH37" i="27"/>
  <c r="AM34" i="27"/>
  <c r="AM17" i="27"/>
  <c r="AD20" i="27"/>
  <c r="BF36" i="27"/>
  <c r="P143" i="26"/>
  <c r="K171" i="26"/>
  <c r="AT35" i="27"/>
  <c r="AT37" i="27"/>
  <c r="DK51" i="27"/>
  <c r="DK54" i="27" s="1"/>
  <c r="DS51" i="27"/>
  <c r="DS53" i="27" s="1"/>
  <c r="EB51" i="27"/>
  <c r="EB53" i="27" s="1"/>
  <c r="AC35" i="27"/>
  <c r="AC37" i="27"/>
  <c r="AL37" i="27"/>
  <c r="DH50" i="27"/>
  <c r="DU50" i="27"/>
  <c r="BT63" i="27"/>
  <c r="BQ62" i="27"/>
  <c r="BO59" i="27" s="1"/>
  <c r="I109" i="26"/>
  <c r="Q109" i="26"/>
  <c r="H112" i="26"/>
  <c r="H113" i="26" s="1"/>
  <c r="I123" i="26"/>
  <c r="Q123" i="26"/>
  <c r="H126" i="26"/>
  <c r="H127" i="26" s="1"/>
  <c r="I137" i="26"/>
  <c r="Q137" i="26"/>
  <c r="H140" i="26"/>
  <c r="H141" i="26" s="1"/>
  <c r="I151" i="26"/>
  <c r="Q151" i="26"/>
  <c r="H154" i="26"/>
  <c r="H155" i="26" s="1"/>
  <c r="I165" i="26"/>
  <c r="Q165" i="26"/>
  <c r="H168" i="26"/>
  <c r="H169" i="26" s="1"/>
  <c r="L34" i="27"/>
  <c r="L17" i="27"/>
  <c r="T34" i="27"/>
  <c r="T17" i="27"/>
  <c r="AB34" i="27"/>
  <c r="AB17" i="27"/>
  <c r="DZ51" i="27"/>
  <c r="DZ53" i="27" s="1"/>
  <c r="EH22" i="27"/>
  <c r="Q39" i="27"/>
  <c r="I61" i="27"/>
  <c r="G61" i="27"/>
  <c r="G34" i="27"/>
  <c r="G17" i="27"/>
  <c r="O34" i="27"/>
  <c r="O17" i="27"/>
  <c r="W34" i="27"/>
  <c r="W17" i="27"/>
  <c r="BF37" i="27"/>
  <c r="DL51" i="27"/>
  <c r="DL54" i="27" s="1"/>
  <c r="X34" i="27"/>
  <c r="AN34" i="27"/>
  <c r="AD39" i="27"/>
  <c r="BD46" i="27"/>
  <c r="DW54" i="27"/>
  <c r="E109" i="26"/>
  <c r="M109" i="26"/>
  <c r="E115" i="26"/>
  <c r="M115" i="26"/>
  <c r="E123" i="26"/>
  <c r="M123" i="26"/>
  <c r="E129" i="26"/>
  <c r="M129" i="26"/>
  <c r="E137" i="26"/>
  <c r="M137" i="26"/>
  <c r="E143" i="26"/>
  <c r="M143" i="26"/>
  <c r="E151" i="26"/>
  <c r="M151" i="26"/>
  <c r="E157" i="26"/>
  <c r="M157" i="26"/>
  <c r="E165" i="26"/>
  <c r="M165" i="26"/>
  <c r="E171" i="26"/>
  <c r="M171" i="26"/>
  <c r="P205" i="26"/>
  <c r="P206" i="26" s="1"/>
  <c r="H61" i="27"/>
  <c r="H17" i="27"/>
  <c r="CV51" i="27"/>
  <c r="DH22" i="27"/>
  <c r="BD39" i="27"/>
  <c r="F109" i="26"/>
  <c r="N109" i="26"/>
  <c r="F115" i="26"/>
  <c r="N115" i="26"/>
  <c r="F123" i="26"/>
  <c r="N123" i="26"/>
  <c r="F129" i="26"/>
  <c r="N129" i="26"/>
  <c r="F137" i="26"/>
  <c r="N137" i="26"/>
  <c r="F143" i="26"/>
  <c r="N143" i="26"/>
  <c r="F151" i="26"/>
  <c r="N151" i="26"/>
  <c r="F157" i="26"/>
  <c r="N157" i="26"/>
  <c r="F165" i="26"/>
  <c r="N165" i="26"/>
  <c r="F171" i="26"/>
  <c r="N171" i="26"/>
  <c r="CW51" i="27"/>
  <c r="DW53" i="27"/>
  <c r="EE51" i="27"/>
  <c r="EE54" i="27" s="1"/>
  <c r="AQ27" i="27"/>
  <c r="BO66" i="27"/>
  <c r="BP53" i="27"/>
  <c r="BI57" i="27" s="1"/>
  <c r="BR50" i="27"/>
  <c r="DM112" i="27"/>
  <c r="DM113" i="27"/>
  <c r="DL113" i="27"/>
  <c r="G109" i="26"/>
  <c r="O109" i="26"/>
  <c r="G115" i="26"/>
  <c r="O115" i="26"/>
  <c r="G123" i="26"/>
  <c r="O123" i="26"/>
  <c r="G129" i="26"/>
  <c r="O129" i="26"/>
  <c r="G137" i="26"/>
  <c r="O137" i="26"/>
  <c r="G143" i="26"/>
  <c r="O143" i="26"/>
  <c r="G151" i="26"/>
  <c r="O151" i="26"/>
  <c r="G157" i="26"/>
  <c r="O157" i="26"/>
  <c r="G165" i="26"/>
  <c r="O165" i="26"/>
  <c r="G171" i="26"/>
  <c r="O171" i="26"/>
  <c r="AI37" i="27"/>
  <c r="AI35" i="27"/>
  <c r="AY37" i="27"/>
  <c r="AY35" i="27"/>
  <c r="DO51" i="27"/>
  <c r="DO54" i="27" s="1"/>
  <c r="BD17" i="27"/>
  <c r="BI64" i="27"/>
  <c r="BF45" i="27"/>
  <c r="BV47" i="27"/>
  <c r="DT53" i="27"/>
  <c r="H109" i="26"/>
  <c r="H123" i="26"/>
  <c r="H137" i="26"/>
  <c r="H151" i="26"/>
  <c r="H165" i="26"/>
  <c r="K61" i="27"/>
  <c r="K34" i="27"/>
  <c r="S37" i="27"/>
  <c r="S35" i="27"/>
  <c r="AA37" i="27"/>
  <c r="AA35" i="27"/>
  <c r="AJ34" i="27"/>
  <c r="AJ17" i="27"/>
  <c r="AR34" i="27"/>
  <c r="AR17" i="27"/>
  <c r="AZ34" i="27"/>
  <c r="AZ17" i="27"/>
  <c r="CI59" i="27"/>
  <c r="Q31" i="27"/>
  <c r="BH64" i="27" s="1"/>
  <c r="P34" i="27"/>
  <c r="AF34" i="27"/>
  <c r="AV34" i="27"/>
  <c r="Q46" i="27"/>
  <c r="BF61" i="27" s="1"/>
  <c r="BO72" i="27" s="1"/>
  <c r="BV50" i="27"/>
  <c r="BF66" i="27"/>
  <c r="DU22" i="27"/>
  <c r="BH57" i="27"/>
  <c r="DN54" i="27"/>
  <c r="DV54" i="27"/>
  <c r="ED54" i="27"/>
  <c r="DX113" i="27"/>
  <c r="EF113" i="27"/>
  <c r="DQ112" i="27"/>
  <c r="DN53" i="27"/>
  <c r="DV53" i="27"/>
  <c r="ED53" i="27"/>
  <c r="DM51" i="27"/>
  <c r="DM54" i="27" s="1"/>
  <c r="EC51" i="27"/>
  <c r="EC53" i="27" s="1"/>
  <c r="DO112" i="27"/>
  <c r="DO113" i="27"/>
  <c r="CI108" i="27"/>
  <c r="CJ51" i="27"/>
  <c r="CJ59" i="27" s="1"/>
  <c r="CR51" i="27"/>
  <c r="CR59" i="27" s="1"/>
  <c r="CZ51" i="27"/>
  <c r="DP51" i="27"/>
  <c r="DP53" i="27" s="1"/>
  <c r="DX51" i="27"/>
  <c r="DX53" i="27" s="1"/>
  <c r="EF51" i="27"/>
  <c r="EF53" i="27" s="1"/>
  <c r="F34" i="27"/>
  <c r="BF57" i="27"/>
  <c r="BF65" i="27"/>
  <c r="BQ73" i="27" s="1"/>
  <c r="DI54" i="27"/>
  <c r="DQ54" i="27"/>
  <c r="DY54" i="27"/>
  <c r="EG54" i="27"/>
  <c r="DQ53" i="27"/>
  <c r="EG53" i="27"/>
  <c r="BJ56" i="27"/>
  <c r="DI103" i="27"/>
  <c r="DU74" i="27"/>
  <c r="EH74" i="27"/>
  <c r="EB113" i="27"/>
  <c r="BF39" i="27"/>
  <c r="DR54" i="27"/>
  <c r="DZ54" i="27"/>
  <c r="EH50" i="27"/>
  <c r="CJ103" i="27"/>
  <c r="CJ108" i="27" s="1"/>
  <c r="EC113" i="27"/>
  <c r="CU74" i="27"/>
  <c r="DJ112" i="27"/>
  <c r="DR112" i="27"/>
  <c r="DZ112" i="27"/>
  <c r="DN113" i="27"/>
  <c r="DV113" i="27"/>
  <c r="ED113" i="27"/>
  <c r="CR103" i="27"/>
  <c r="CR108" i="27" s="1"/>
  <c r="CZ103" i="27"/>
  <c r="DH103" i="27" s="1"/>
  <c r="O165" i="4" l="1"/>
  <c r="DW113" i="27"/>
  <c r="AK37" i="27"/>
  <c r="P101" i="26"/>
  <c r="EH103" i="27"/>
  <c r="EH108" i="27" s="1"/>
  <c r="BR55" i="27"/>
  <c r="DM53" i="27"/>
  <c r="BB38" i="27"/>
  <c r="BB55" i="27"/>
  <c r="DJ54" i="27"/>
  <c r="EE113" i="27"/>
  <c r="DY112" i="27"/>
  <c r="BR53" i="27"/>
  <c r="BR54" i="27" s="1"/>
  <c r="BO57" i="27" s="1"/>
  <c r="BV51" i="27"/>
  <c r="BF42" i="27"/>
  <c r="BQ72" i="27"/>
  <c r="EG112" i="27"/>
  <c r="P72" i="26"/>
  <c r="BF46" i="27"/>
  <c r="Z37" i="27"/>
  <c r="Z55" i="27" s="1"/>
  <c r="P79" i="26"/>
  <c r="BO67" i="27"/>
  <c r="BX51" i="27"/>
  <c r="BZ51" i="27" s="1"/>
  <c r="CB51" i="27" s="1"/>
  <c r="CO64" i="27"/>
  <c r="CP64" i="27"/>
  <c r="U37" i="27"/>
  <c r="BF35" i="27"/>
  <c r="CT113" i="27"/>
  <c r="L9" i="27" s="1"/>
  <c r="DL53" i="27"/>
  <c r="Q34" i="27"/>
  <c r="Q35" i="27" s="1"/>
  <c r="DK53" i="27"/>
  <c r="DK112" i="27"/>
  <c r="N168" i="4"/>
  <c r="DH108" i="27"/>
  <c r="DH112" i="27"/>
  <c r="N5" i="27" s="1"/>
  <c r="DH113" i="27"/>
  <c r="N9" i="27" s="1"/>
  <c r="BJ64" i="27"/>
  <c r="BQ67" i="27" s="1"/>
  <c r="AQ34" i="27"/>
  <c r="AQ35" i="27" s="1"/>
  <c r="AE37" i="27"/>
  <c r="AE35" i="27"/>
  <c r="CT54" i="27"/>
  <c r="L8" i="27" s="1"/>
  <c r="T37" i="27"/>
  <c r="T35" i="27"/>
  <c r="AL55" i="27"/>
  <c r="AL38" i="27"/>
  <c r="AL54" i="27"/>
  <c r="EA53" i="27"/>
  <c r="AD34" i="27"/>
  <c r="R35" i="27"/>
  <c r="R37" i="27"/>
  <c r="AP55" i="27"/>
  <c r="AP38" i="27"/>
  <c r="AP54" i="27"/>
  <c r="AW54" i="27"/>
  <c r="AW38" i="27"/>
  <c r="AW55" i="27"/>
  <c r="BA54" i="27"/>
  <c r="BA38" i="27"/>
  <c r="BA55" i="27"/>
  <c r="AU37" i="27"/>
  <c r="AU35" i="27"/>
  <c r="DI113" i="27"/>
  <c r="DI112" i="27"/>
  <c r="DU103" i="27"/>
  <c r="AI55" i="27"/>
  <c r="AI38" i="27"/>
  <c r="AI54" i="27"/>
  <c r="Z38" i="27"/>
  <c r="Z54" i="27"/>
  <c r="CT53" i="27"/>
  <c r="L4" i="27" s="1"/>
  <c r="CU51" i="27"/>
  <c r="AA55" i="27"/>
  <c r="AA38" i="27"/>
  <c r="AA54" i="27"/>
  <c r="EE53" i="27"/>
  <c r="DH51" i="27"/>
  <c r="DH59" i="27" s="1"/>
  <c r="BW63" i="27"/>
  <c r="BW64" i="27" s="1"/>
  <c r="BT64" i="27"/>
  <c r="AC54" i="27"/>
  <c r="AC55" i="27"/>
  <c r="AC38" i="27"/>
  <c r="AT55" i="27"/>
  <c r="AT54" i="27"/>
  <c r="AT38" i="27"/>
  <c r="AM35" i="27"/>
  <c r="AM37" i="27"/>
  <c r="V54" i="27"/>
  <c r="V55" i="27"/>
  <c r="V38" i="27"/>
  <c r="M54" i="27"/>
  <c r="M38" i="27"/>
  <c r="M55" i="27"/>
  <c r="Y54" i="27"/>
  <c r="Y55" i="27"/>
  <c r="Y38" i="27"/>
  <c r="P115" i="26"/>
  <c r="G35" i="27"/>
  <c r="G37" i="27"/>
  <c r="AK54" i="27"/>
  <c r="AK55" i="27"/>
  <c r="AK38" i="27"/>
  <c r="AO54" i="27"/>
  <c r="AO55" i="27"/>
  <c r="AO38" i="27"/>
  <c r="BJ57" i="27"/>
  <c r="BR56" i="27" s="1"/>
  <c r="EC54" i="27"/>
  <c r="AH55" i="27"/>
  <c r="AH38" i="27"/>
  <c r="AH54" i="27"/>
  <c r="D141" i="26"/>
  <c r="P140" i="26"/>
  <c r="P141" i="26" s="1"/>
  <c r="U54" i="27"/>
  <c r="U38" i="27"/>
  <c r="U55" i="27"/>
  <c r="I54" i="27"/>
  <c r="I55" i="27"/>
  <c r="I38" i="27"/>
  <c r="EH51" i="27"/>
  <c r="EH59" i="27" s="1"/>
  <c r="AG54" i="27"/>
  <c r="AG55" i="27"/>
  <c r="AG38" i="27"/>
  <c r="N55" i="27"/>
  <c r="N54" i="27"/>
  <c r="N38" i="27"/>
  <c r="CU103" i="27"/>
  <c r="CU108" i="27" s="1"/>
  <c r="AV37" i="27"/>
  <c r="AV35" i="27"/>
  <c r="AZ37" i="27"/>
  <c r="AZ35" i="27"/>
  <c r="S55" i="27"/>
  <c r="S38" i="27"/>
  <c r="S54" i="27"/>
  <c r="DO53" i="27"/>
  <c r="EF54" i="27"/>
  <c r="BF54" i="27"/>
  <c r="BO70" i="27" s="1"/>
  <c r="W37" i="27"/>
  <c r="W35" i="27"/>
  <c r="EB54" i="27"/>
  <c r="BQ68" i="27"/>
  <c r="DU51" i="27"/>
  <c r="DU59" i="27" s="1"/>
  <c r="P129" i="26"/>
  <c r="BY52" i="27"/>
  <c r="BZ52" i="27" s="1"/>
  <c r="CB52" i="27" s="1"/>
  <c r="BV52" i="27"/>
  <c r="AD17" i="27"/>
  <c r="H56" i="27"/>
  <c r="H57" i="27"/>
  <c r="H58" i="27" s="1"/>
  <c r="H59" i="27" s="1"/>
  <c r="D155" i="26"/>
  <c r="P154" i="26"/>
  <c r="P155" i="26" s="1"/>
  <c r="D169" i="26"/>
  <c r="P168" i="26"/>
  <c r="P169" i="26" s="1"/>
  <c r="AJ37" i="27"/>
  <c r="AJ35" i="27"/>
  <c r="EH113" i="27"/>
  <c r="P9" i="27" s="1"/>
  <c r="L37" i="27"/>
  <c r="L35" i="27"/>
  <c r="CT112" i="27"/>
  <c r="L5" i="27" s="1"/>
  <c r="AF37" i="27"/>
  <c r="AF35" i="27"/>
  <c r="K37" i="27"/>
  <c r="K35" i="27"/>
  <c r="DX54" i="27"/>
  <c r="AN37" i="27"/>
  <c r="AN35" i="27"/>
  <c r="AB37" i="27"/>
  <c r="AB35" i="27"/>
  <c r="J55" i="27"/>
  <c r="J38" i="27"/>
  <c r="J54" i="27"/>
  <c r="BC35" i="27"/>
  <c r="BC37" i="27"/>
  <c r="BB56" i="27"/>
  <c r="BB57" i="27"/>
  <c r="BB58" i="27" s="1"/>
  <c r="BB59" i="27" s="1"/>
  <c r="P98" i="26"/>
  <c r="P99" i="26" s="1"/>
  <c r="AX55" i="27"/>
  <c r="AX38" i="27"/>
  <c r="AX54" i="27"/>
  <c r="D127" i="26"/>
  <c r="P126" i="26"/>
  <c r="P127" i="26" s="1"/>
  <c r="E54" i="27"/>
  <c r="E55" i="27"/>
  <c r="E38" i="27"/>
  <c r="F35" i="27"/>
  <c r="F37" i="27"/>
  <c r="EH112" i="27"/>
  <c r="P5" i="27" s="1"/>
  <c r="P37" i="27"/>
  <c r="P35" i="27"/>
  <c r="AR37" i="27"/>
  <c r="AR35" i="27"/>
  <c r="BD34" i="27"/>
  <c r="BD35" i="27" s="1"/>
  <c r="AY55" i="27"/>
  <c r="AY38" i="27"/>
  <c r="AY54" i="27"/>
  <c r="DP54" i="27"/>
  <c r="X37" i="27"/>
  <c r="X35" i="27"/>
  <c r="O37" i="27"/>
  <c r="O35" i="27"/>
  <c r="D113" i="26"/>
  <c r="P112" i="26"/>
  <c r="P113" i="26" s="1"/>
  <c r="AS35" i="27"/>
  <c r="AS37" i="27"/>
  <c r="BZ50" i="27"/>
  <c r="CB50" i="27" s="1"/>
  <c r="CB53" i="27" s="1"/>
  <c r="CB54" i="27" s="1"/>
  <c r="BO55" i="27" s="1"/>
  <c r="BO54" i="27" s="1"/>
  <c r="BO74" i="27" s="1"/>
  <c r="N165" i="4" l="1"/>
  <c r="N100" i="4"/>
  <c r="CU59" i="27"/>
  <c r="BX53" i="27"/>
  <c r="DH53" i="27"/>
  <c r="N4" i="27" s="1"/>
  <c r="N3" i="27" s="1"/>
  <c r="DH54" i="27"/>
  <c r="N8" i="27" s="1"/>
  <c r="N6" i="27" s="1"/>
  <c r="L6" i="27"/>
  <c r="EH54" i="27"/>
  <c r="P8" i="27" s="1"/>
  <c r="P6" i="27" s="1"/>
  <c r="E56" i="27"/>
  <c r="E57" i="27"/>
  <c r="E58" i="27" s="1"/>
  <c r="G54" i="27"/>
  <c r="G55" i="27"/>
  <c r="G38" i="27"/>
  <c r="AR55" i="27"/>
  <c r="AR54" i="27"/>
  <c r="BD37" i="27"/>
  <c r="BD38" i="27" s="1"/>
  <c r="AR38" i="27"/>
  <c r="AP57" i="27"/>
  <c r="AP58" i="27" s="1"/>
  <c r="AP59" i="27" s="1"/>
  <c r="AP56" i="27"/>
  <c r="AL56" i="27"/>
  <c r="AL57" i="27"/>
  <c r="AL58" i="27" s="1"/>
  <c r="AL59" i="27" s="1"/>
  <c r="X54" i="27"/>
  <c r="X55" i="27"/>
  <c r="X38" i="27"/>
  <c r="AB55" i="27"/>
  <c r="AB54" i="27"/>
  <c r="AB38" i="27"/>
  <c r="AV54" i="27"/>
  <c r="AV55" i="27"/>
  <c r="AV38" i="27"/>
  <c r="AG57" i="27"/>
  <c r="AG58" i="27" s="1"/>
  <c r="AG59" i="27" s="1"/>
  <c r="AG56" i="27"/>
  <c r="V57" i="27"/>
  <c r="V58" i="27" s="1"/>
  <c r="V59" i="27" s="1"/>
  <c r="V56" i="27"/>
  <c r="AC56" i="27"/>
  <c r="AC57" i="27"/>
  <c r="AC58" i="27" s="1"/>
  <c r="AC59" i="27" s="1"/>
  <c r="AA57" i="27"/>
  <c r="AA58" i="27" s="1"/>
  <c r="AA59" i="27" s="1"/>
  <c r="AA56" i="27"/>
  <c r="R55" i="27"/>
  <c r="R38" i="27"/>
  <c r="R54" i="27"/>
  <c r="AD37" i="27"/>
  <c r="AE54" i="27"/>
  <c r="AE55" i="27"/>
  <c r="AQ37" i="27"/>
  <c r="AQ38" i="27" s="1"/>
  <c r="AE38" i="27"/>
  <c r="O54" i="27"/>
  <c r="O55" i="27"/>
  <c r="O38" i="27"/>
  <c r="AF54" i="27"/>
  <c r="AF55" i="27"/>
  <c r="AF38" i="27"/>
  <c r="AO57" i="27"/>
  <c r="AO58" i="27" s="1"/>
  <c r="AO59" i="27" s="1"/>
  <c r="AO56" i="27"/>
  <c r="AI57" i="27"/>
  <c r="AI58" i="27" s="1"/>
  <c r="AI59" i="27" s="1"/>
  <c r="AI56" i="27"/>
  <c r="T55" i="27"/>
  <c r="T54" i="27"/>
  <c r="T38" i="27"/>
  <c r="W54" i="27"/>
  <c r="W55" i="27"/>
  <c r="W38" i="27"/>
  <c r="Z57" i="27"/>
  <c r="Z58" i="27" s="1"/>
  <c r="Z59" i="27" s="1"/>
  <c r="Z56" i="27"/>
  <c r="BC54" i="27"/>
  <c r="BC55" i="27"/>
  <c r="BC38" i="27"/>
  <c r="AN54" i="27"/>
  <c r="AN55" i="27"/>
  <c r="AN38" i="27"/>
  <c r="L55" i="27"/>
  <c r="L54" i="27"/>
  <c r="L38" i="27"/>
  <c r="Y57" i="27"/>
  <c r="Y58" i="27" s="1"/>
  <c r="Y59" i="27" s="1"/>
  <c r="Y56" i="27"/>
  <c r="AM54" i="27"/>
  <c r="AM55" i="27"/>
  <c r="AM38" i="27"/>
  <c r="EH53" i="27"/>
  <c r="P4" i="27" s="1"/>
  <c r="P3" i="27" s="1"/>
  <c r="DU108" i="27"/>
  <c r="DU113" i="27"/>
  <c r="O9" i="27" s="1"/>
  <c r="AW57" i="27"/>
  <c r="AW58" i="27" s="1"/>
  <c r="AW59" i="27" s="1"/>
  <c r="AW56" i="27"/>
  <c r="AD35" i="27"/>
  <c r="BF49" i="27"/>
  <c r="P54" i="27"/>
  <c r="P55" i="27"/>
  <c r="P38" i="27"/>
  <c r="F55" i="27"/>
  <c r="F38" i="27"/>
  <c r="F54" i="27"/>
  <c r="DU54" i="27"/>
  <c r="O8" i="27" s="1"/>
  <c r="L3" i="27"/>
  <c r="CT64" i="27"/>
  <c r="BF76" i="27"/>
  <c r="U56" i="27"/>
  <c r="U57" i="27"/>
  <c r="U58" i="27" s="1"/>
  <c r="U59" i="27" s="1"/>
  <c r="Q37" i="27"/>
  <c r="BA56" i="27"/>
  <c r="BA57" i="27"/>
  <c r="BA58" i="27" s="1"/>
  <c r="BA59" i="27" s="1"/>
  <c r="AY57" i="27"/>
  <c r="AY58" i="27" s="1"/>
  <c r="AY59" i="27" s="1"/>
  <c r="AY56" i="27"/>
  <c r="S57" i="27"/>
  <c r="S58" i="27" s="1"/>
  <c r="S59" i="27" s="1"/>
  <c r="S56" i="27"/>
  <c r="N57" i="27"/>
  <c r="N58" i="27" s="1"/>
  <c r="N59" i="27" s="1"/>
  <c r="N56" i="27"/>
  <c r="I57" i="27"/>
  <c r="I58" i="27" s="1"/>
  <c r="I59" i="27" s="1"/>
  <c r="I56" i="27"/>
  <c r="AK56" i="27"/>
  <c r="AK57" i="27"/>
  <c r="AK58" i="27" s="1"/>
  <c r="AK59" i="27" s="1"/>
  <c r="M56" i="27"/>
  <c r="M57" i="27"/>
  <c r="M58" i="27" s="1"/>
  <c r="M59" i="27" s="1"/>
  <c r="DU53" i="27"/>
  <c r="O4" i="27" s="1"/>
  <c r="J58" i="27"/>
  <c r="J59" i="27" s="1"/>
  <c r="J57" i="27"/>
  <c r="J56" i="27"/>
  <c r="AZ55" i="27"/>
  <c r="AZ54" i="27"/>
  <c r="AZ38" i="27"/>
  <c r="AT56" i="27"/>
  <c r="AT57" i="27"/>
  <c r="AT58" i="27" s="1"/>
  <c r="AT59" i="27" s="1"/>
  <c r="AU54" i="27"/>
  <c r="AU55" i="27"/>
  <c r="AU38" i="27"/>
  <c r="AS54" i="27"/>
  <c r="AS38" i="27"/>
  <c r="AS55" i="27"/>
  <c r="BY53" i="27"/>
  <c r="AX57" i="27"/>
  <c r="AX58" i="27" s="1"/>
  <c r="AX59" i="27" s="1"/>
  <c r="AX56" i="27"/>
  <c r="K55" i="27"/>
  <c r="K38" i="27"/>
  <c r="K54" i="27"/>
  <c r="AJ55" i="27"/>
  <c r="AJ54" i="27"/>
  <c r="AJ38" i="27"/>
  <c r="AH57" i="27"/>
  <c r="AH58" i="27" s="1"/>
  <c r="AH59" i="27" s="1"/>
  <c r="AH56" i="27"/>
  <c r="DU112" i="27"/>
  <c r="O5" i="27" s="1"/>
  <c r="BZ53" i="27" l="1"/>
  <c r="Q54" i="27"/>
  <c r="AN57" i="27"/>
  <c r="AN58" i="27" s="1"/>
  <c r="AN59" i="27" s="1"/>
  <c r="AN56" i="27"/>
  <c r="BD54" i="27"/>
  <c r="AJ57" i="27"/>
  <c r="AJ58" i="27" s="1"/>
  <c r="AJ59" i="27" s="1"/>
  <c r="AJ56" i="27"/>
  <c r="AS56" i="27"/>
  <c r="AS57" i="27"/>
  <c r="AS58" i="27" s="1"/>
  <c r="AS59" i="27" s="1"/>
  <c r="O3" i="27"/>
  <c r="W57" i="27"/>
  <c r="W56" i="27"/>
  <c r="W58" i="27"/>
  <c r="W59" i="27" s="1"/>
  <c r="R57" i="27"/>
  <c r="R58" i="27" s="1"/>
  <c r="AD55" i="27"/>
  <c r="R56" i="27"/>
  <c r="AR57" i="27"/>
  <c r="AR58" i="27" s="1"/>
  <c r="AR56" i="27"/>
  <c r="BD55" i="27"/>
  <c r="BD56" i="27" s="1"/>
  <c r="Q38" i="27"/>
  <c r="Q55" i="27"/>
  <c r="Q56" i="27" s="1"/>
  <c r="O57" i="27"/>
  <c r="O58" i="27" s="1"/>
  <c r="O59" i="27" s="1"/>
  <c r="O56" i="27"/>
  <c r="F56" i="27"/>
  <c r="F57" i="27"/>
  <c r="F58" i="27" s="1"/>
  <c r="P57" i="27"/>
  <c r="P58" i="27" s="1"/>
  <c r="P59" i="27" s="1"/>
  <c r="P56" i="27"/>
  <c r="AQ55" i="27"/>
  <c r="AQ56" i="27" s="1"/>
  <c r="AE57" i="27"/>
  <c r="AE58" i="27" s="1"/>
  <c r="AE56" i="27"/>
  <c r="AU57" i="27"/>
  <c r="AU58" i="27" s="1"/>
  <c r="AU59" i="27" s="1"/>
  <c r="AU56" i="27"/>
  <c r="T57" i="27"/>
  <c r="T58" i="27" s="1"/>
  <c r="T59" i="27" s="1"/>
  <c r="T56" i="27"/>
  <c r="AF57" i="27"/>
  <c r="AF58" i="27" s="1"/>
  <c r="AF59" i="27" s="1"/>
  <c r="AF56" i="27"/>
  <c r="AQ54" i="27"/>
  <c r="E59" i="27"/>
  <c r="BC57" i="27"/>
  <c r="BC56" i="27"/>
  <c r="BC58" i="27"/>
  <c r="BC59" i="27" s="1"/>
  <c r="AB57" i="27"/>
  <c r="AB56" i="27"/>
  <c r="AB58" i="27"/>
  <c r="AB59" i="27" s="1"/>
  <c r="K57" i="27"/>
  <c r="K56" i="27"/>
  <c r="L57" i="27"/>
  <c r="L58" i="27" s="1"/>
  <c r="L59" i="27" s="1"/>
  <c r="L56" i="27"/>
  <c r="BF52" i="27"/>
  <c r="AD38" i="27"/>
  <c r="X57" i="27"/>
  <c r="X58" i="27" s="1"/>
  <c r="X59" i="27" s="1"/>
  <c r="X56" i="27"/>
  <c r="G57" i="27"/>
  <c r="G58" i="27" s="1"/>
  <c r="G59" i="27" s="1"/>
  <c r="G56" i="27"/>
  <c r="AZ57" i="27"/>
  <c r="AZ56" i="27"/>
  <c r="AZ58" i="27"/>
  <c r="AZ59" i="27" s="1"/>
  <c r="O6" i="27"/>
  <c r="AM57" i="27"/>
  <c r="AM58" i="27" s="1"/>
  <c r="AM59" i="27" s="1"/>
  <c r="AM56" i="27"/>
  <c r="AD54" i="27"/>
  <c r="BF69" i="27" s="1"/>
  <c r="AV56" i="27"/>
  <c r="AV57" i="27"/>
  <c r="AV58" i="27" s="1"/>
  <c r="AV59" i="27" s="1"/>
  <c r="Q57" i="27" l="1"/>
  <c r="AD58" i="27"/>
  <c r="R59" i="27"/>
  <c r="F59" i="27"/>
  <c r="Q58" i="27"/>
  <c r="Q59" i="27" s="1"/>
  <c r="AQ58" i="27"/>
  <c r="AQ59" i="27" s="1"/>
  <c r="AE59" i="27"/>
  <c r="AR59" i="27"/>
  <c r="BD58" i="27"/>
  <c r="BD59" i="27" s="1"/>
  <c r="K58" i="27"/>
  <c r="K59" i="27" s="1"/>
  <c r="BF70" i="27"/>
  <c r="BG70" i="27" s="1"/>
  <c r="BP74" i="27" s="1"/>
  <c r="AD56" i="27"/>
  <c r="AD57" i="27"/>
  <c r="BF72" i="27" s="1"/>
  <c r="AQ57" i="27"/>
  <c r="BD57" i="27"/>
  <c r="AD59" i="27" l="1"/>
  <c r="BF73" i="27"/>
  <c r="L282" i="5" l="1"/>
  <c r="L186" i="5" s="1"/>
  <c r="K282" i="5"/>
  <c r="K186" i="5" s="1"/>
  <c r="J282" i="5"/>
  <c r="J186" i="5" s="1"/>
  <c r="L280" i="5"/>
  <c r="L185" i="5" s="1"/>
  <c r="K280" i="5"/>
  <c r="K185" i="5" s="1"/>
  <c r="J280" i="5"/>
  <c r="J185" i="5" s="1"/>
  <c r="L278" i="5"/>
  <c r="K278" i="5"/>
  <c r="J278" i="5"/>
  <c r="L168" i="4"/>
  <c r="L100" i="4" s="1"/>
  <c r="L76" i="6" s="1"/>
  <c r="L170" i="4"/>
  <c r="L101" i="4" s="1"/>
  <c r="L78" i="6" s="1"/>
  <c r="K170" i="4"/>
  <c r="K101" i="4" s="1"/>
  <c r="K78" i="6" s="1"/>
  <c r="J170" i="4"/>
  <c r="K168" i="4"/>
  <c r="K100" i="4" s="1"/>
  <c r="K76" i="6" s="1"/>
  <c r="J168" i="4"/>
  <c r="J100" i="4" s="1"/>
  <c r="J76" i="6" s="1"/>
  <c r="A1" i="24"/>
  <c r="L166" i="4"/>
  <c r="K166" i="4"/>
  <c r="K99" i="4" s="1"/>
  <c r="K74" i="6" s="1"/>
  <c r="J166" i="4"/>
  <c r="J99" i="4" s="1"/>
  <c r="J74" i="6" s="1"/>
  <c r="G45" i="23"/>
  <c r="G56" i="23"/>
  <c r="L97" i="22"/>
  <c r="K190" i="22"/>
  <c r="K189" i="22"/>
  <c r="M189" i="22" s="1"/>
  <c r="J162" i="22" s="1"/>
  <c r="K188" i="22"/>
  <c r="M188" i="22" s="1"/>
  <c r="J161" i="22" s="1"/>
  <c r="K187" i="22"/>
  <c r="M187" i="22" s="1"/>
  <c r="J160" i="22" s="1"/>
  <c r="K186" i="22"/>
  <c r="K185" i="22"/>
  <c r="K184" i="22"/>
  <c r="K183" i="22"/>
  <c r="I161" i="22" s="1"/>
  <c r="K182" i="22"/>
  <c r="K181" i="22"/>
  <c r="I159" i="22" s="1"/>
  <c r="K180" i="22"/>
  <c r="I158" i="22" s="1"/>
  <c r="K179" i="22"/>
  <c r="K178" i="22"/>
  <c r="K177" i="22"/>
  <c r="H161" i="22" s="1"/>
  <c r="K176" i="22"/>
  <c r="K175" i="22"/>
  <c r="H159" i="22" s="1"/>
  <c r="K174" i="22"/>
  <c r="H158" i="22" s="1"/>
  <c r="K173" i="22"/>
  <c r="K172" i="22"/>
  <c r="K171" i="22"/>
  <c r="G161" i="22" s="1"/>
  <c r="K170" i="22"/>
  <c r="G162" i="22" s="1"/>
  <c r="K169" i="22"/>
  <c r="G159" i="22" s="1"/>
  <c r="K168" i="22"/>
  <c r="G158" i="22" s="1"/>
  <c r="I160" i="22"/>
  <c r="V145" i="22"/>
  <c r="V144" i="22"/>
  <c r="V143" i="22"/>
  <c r="V142" i="22"/>
  <c r="V141" i="22"/>
  <c r="V140" i="22"/>
  <c r="V139" i="22"/>
  <c r="V138" i="22"/>
  <c r="V137" i="22"/>
  <c r="V136" i="22"/>
  <c r="V135" i="22"/>
  <c r="V134" i="22"/>
  <c r="V133" i="22"/>
  <c r="V132" i="22"/>
  <c r="V131" i="22"/>
  <c r="V130" i="22"/>
  <c r="V129" i="22"/>
  <c r="V128" i="22"/>
  <c r="V127" i="22"/>
  <c r="V126" i="22"/>
  <c r="V125" i="22"/>
  <c r="V124" i="22"/>
  <c r="V123" i="22"/>
  <c r="V122" i="22"/>
  <c r="V121" i="22"/>
  <c r="V120" i="22"/>
  <c r="V119" i="22"/>
  <c r="V118" i="22"/>
  <c r="V117" i="22"/>
  <c r="V116" i="22"/>
  <c r="V115" i="22"/>
  <c r="V114" i="22"/>
  <c r="V113" i="22"/>
  <c r="V61" i="22"/>
  <c r="U61" i="22"/>
  <c r="T61" i="22"/>
  <c r="S61" i="22"/>
  <c r="L184" i="5" l="1"/>
  <c r="L182" i="5" s="1"/>
  <c r="L11" i="5" s="1"/>
  <c r="L277" i="5"/>
  <c r="J184" i="5"/>
  <c r="J277" i="5"/>
  <c r="K184" i="5"/>
  <c r="K182" i="5" s="1"/>
  <c r="K11" i="5" s="1"/>
  <c r="K277" i="5"/>
  <c r="J182" i="5"/>
  <c r="J11" i="5" s="1"/>
  <c r="K97" i="4"/>
  <c r="K11" i="4" s="1"/>
  <c r="L165" i="4"/>
  <c r="L99" i="4"/>
  <c r="J171" i="4"/>
  <c r="J101" i="4"/>
  <c r="J167" i="4"/>
  <c r="J165" i="4"/>
  <c r="K165" i="4"/>
  <c r="J169" i="4"/>
  <c r="J545" i="2"/>
  <c r="H162" i="22"/>
  <c r="H163" i="22" s="1"/>
  <c r="J140" i="6"/>
  <c r="J697" i="2" s="1"/>
  <c r="K140" i="6"/>
  <c r="K697" i="2" s="1"/>
  <c r="K171" i="4"/>
  <c r="L171" i="4"/>
  <c r="O171" i="4"/>
  <c r="K169" i="4"/>
  <c r="L138" i="6"/>
  <c r="L696" i="2" s="1"/>
  <c r="S138" i="6" s="1"/>
  <c r="L169" i="4"/>
  <c r="O169" i="4"/>
  <c r="L167" i="4"/>
  <c r="O167" i="4"/>
  <c r="K167" i="4"/>
  <c r="L188" i="4"/>
  <c r="L561" i="2" s="1"/>
  <c r="L140" i="6"/>
  <c r="L697" i="2" s="1"/>
  <c r="K558" i="2"/>
  <c r="L184" i="4"/>
  <c r="L559" i="2" s="1"/>
  <c r="L136" i="6"/>
  <c r="L695" i="2" s="1"/>
  <c r="L558" i="2"/>
  <c r="J186" i="4"/>
  <c r="J560" i="2" s="1"/>
  <c r="J138" i="6"/>
  <c r="J696" i="2" s="1"/>
  <c r="K186" i="4"/>
  <c r="K560" i="2" s="1"/>
  <c r="K138" i="6"/>
  <c r="K696" i="2" s="1"/>
  <c r="K184" i="4"/>
  <c r="K559" i="2" s="1"/>
  <c r="K136" i="6"/>
  <c r="K695" i="2" s="1"/>
  <c r="J184" i="4"/>
  <c r="J559" i="2" s="1"/>
  <c r="J136" i="6"/>
  <c r="J695" i="2" s="1"/>
  <c r="J558" i="2"/>
  <c r="K546" i="2"/>
  <c r="K188" i="4"/>
  <c r="K561" i="2" s="1"/>
  <c r="L186" i="4"/>
  <c r="L560" i="2" s="1"/>
  <c r="J546" i="2"/>
  <c r="J188" i="4"/>
  <c r="J561" i="2" s="1"/>
  <c r="L544" i="2"/>
  <c r="K544" i="2"/>
  <c r="K545" i="2"/>
  <c r="J544" i="2"/>
  <c r="L545" i="2"/>
  <c r="J281" i="5"/>
  <c r="J632" i="2" s="1"/>
  <c r="L546" i="2"/>
  <c r="K281" i="5"/>
  <c r="K632" i="2" s="1"/>
  <c r="J283" i="5"/>
  <c r="J633" i="2" s="1"/>
  <c r="K283" i="5"/>
  <c r="K633" i="2" s="1"/>
  <c r="L279" i="5"/>
  <c r="L631" i="2" s="1"/>
  <c r="J279" i="5"/>
  <c r="J631" i="2" s="1"/>
  <c r="K279" i="5"/>
  <c r="K631" i="2" s="1"/>
  <c r="L281" i="5"/>
  <c r="L632" i="2" s="1"/>
  <c r="L283" i="5"/>
  <c r="L633" i="2" s="1"/>
  <c r="I163" i="22"/>
  <c r="L186" i="22"/>
  <c r="M186" i="22" s="1"/>
  <c r="J159" i="22" s="1"/>
  <c r="G163" i="22"/>
  <c r="L185" i="22"/>
  <c r="M185" i="22" s="1"/>
  <c r="J158" i="22" s="1"/>
  <c r="T558" i="2" l="1"/>
  <c r="T182" i="4" s="1"/>
  <c r="S558" i="2"/>
  <c r="S182" i="4" s="1"/>
  <c r="R558" i="2"/>
  <c r="Q558" i="2"/>
  <c r="P558" i="2"/>
  <c r="P182" i="4" s="1"/>
  <c r="T561" i="2"/>
  <c r="T188" i="4" s="1"/>
  <c r="T187" i="4" s="1"/>
  <c r="S561" i="2"/>
  <c r="S188" i="4" s="1"/>
  <c r="R561" i="2"/>
  <c r="R188" i="4" s="1"/>
  <c r="Q561" i="2"/>
  <c r="Q188" i="4" s="1"/>
  <c r="P561" i="2"/>
  <c r="P188" i="4" s="1"/>
  <c r="R560" i="2"/>
  <c r="Q560" i="2"/>
  <c r="Q186" i="4" s="1"/>
  <c r="P560" i="2"/>
  <c r="P186" i="4" s="1"/>
  <c r="T560" i="2"/>
  <c r="T186" i="4" s="1"/>
  <c r="T185" i="4" s="1"/>
  <c r="S560" i="2"/>
  <c r="S186" i="4" s="1"/>
  <c r="T559" i="2"/>
  <c r="T184" i="4" s="1"/>
  <c r="T183" i="4" s="1"/>
  <c r="S559" i="2"/>
  <c r="R559" i="2"/>
  <c r="R184" i="4" s="1"/>
  <c r="Q559" i="2"/>
  <c r="Q184" i="4" s="1"/>
  <c r="P559" i="2"/>
  <c r="P184" i="4" s="1"/>
  <c r="J97" i="4"/>
  <c r="J11" i="4" s="1"/>
  <c r="J12" i="4" s="1"/>
  <c r="J78" i="6"/>
  <c r="L97" i="4"/>
  <c r="L11" i="4" s="1"/>
  <c r="L12" i="6" s="1"/>
  <c r="L74" i="6"/>
  <c r="K12" i="6"/>
  <c r="J163" i="22"/>
  <c r="P166" i="4"/>
  <c r="P99" i="4" s="1"/>
  <c r="R182" i="4"/>
  <c r="Q182" i="4"/>
  <c r="S184" i="4"/>
  <c r="R186" i="4"/>
  <c r="P170" i="4"/>
  <c r="P168" i="4"/>
  <c r="K12" i="5"/>
  <c r="P138" i="6"/>
  <c r="N138" i="6"/>
  <c r="N137" i="6" s="1"/>
  <c r="N75" i="6" s="1"/>
  <c r="N76" i="6" s="1"/>
  <c r="Q138" i="6"/>
  <c r="R138" i="6"/>
  <c r="Q136" i="6"/>
  <c r="S136" i="6"/>
  <c r="P136" i="6"/>
  <c r="R136" i="6"/>
  <c r="R140" i="6"/>
  <c r="Q140" i="6"/>
  <c r="P140" i="6"/>
  <c r="S140" i="6"/>
  <c r="N281" i="5"/>
  <c r="N280" i="5" s="1"/>
  <c r="N185" i="5" s="1"/>
  <c r="N279" i="5"/>
  <c r="N278" i="5" s="1"/>
  <c r="O283" i="5"/>
  <c r="O282" i="5" s="1"/>
  <c r="O186" i="5" s="1"/>
  <c r="K12" i="4" l="1"/>
  <c r="J12" i="5"/>
  <c r="J12" i="6"/>
  <c r="L12" i="4"/>
  <c r="L12" i="5"/>
  <c r="N184" i="5"/>
  <c r="P169" i="4"/>
  <c r="P100" i="4"/>
  <c r="P171" i="4"/>
  <c r="P101" i="4"/>
  <c r="P167" i="4"/>
  <c r="P165" i="4"/>
  <c r="P135" i="6"/>
  <c r="P183" i="4"/>
  <c r="P185" i="4"/>
  <c r="P137" i="6"/>
  <c r="P75" i="6" s="1"/>
  <c r="P76" i="6" s="1"/>
  <c r="P187" i="4"/>
  <c r="P139" i="6"/>
  <c r="P77" i="6" s="1"/>
  <c r="P78" i="6" s="1"/>
  <c r="Q170" i="4"/>
  <c r="Q168" i="4"/>
  <c r="Q166" i="4"/>
  <c r="Q99" i="4" s="1"/>
  <c r="O138" i="6"/>
  <c r="O137" i="6" s="1"/>
  <c r="O75" i="6" s="1"/>
  <c r="O76" i="6" s="1"/>
  <c r="V76" i="6" s="1"/>
  <c r="O182" i="4"/>
  <c r="N182" i="4"/>
  <c r="N136" i="6"/>
  <c r="N135" i="6" s="1"/>
  <c r="O136" i="6"/>
  <c r="O135" i="6" s="1"/>
  <c r="N186" i="4"/>
  <c r="N185" i="4" s="1"/>
  <c r="O186" i="4"/>
  <c r="O185" i="4" s="1"/>
  <c r="O184" i="4"/>
  <c r="O183" i="4" s="1"/>
  <c r="N184" i="4"/>
  <c r="N183" i="4" s="1"/>
  <c r="N140" i="6"/>
  <c r="N139" i="6" s="1"/>
  <c r="N77" i="6" s="1"/>
  <c r="N78" i="6" s="1"/>
  <c r="O140" i="6"/>
  <c r="O139" i="6" s="1"/>
  <c r="O77" i="6" s="1"/>
  <c r="O78" i="6" s="1"/>
  <c r="V78" i="6" s="1"/>
  <c r="N188" i="4"/>
  <c r="N187" i="4" s="1"/>
  <c r="O188" i="4"/>
  <c r="O187" i="4" s="1"/>
  <c r="O281" i="5"/>
  <c r="O280" i="5" s="1"/>
  <c r="O185" i="5" s="1"/>
  <c r="N283" i="5"/>
  <c r="N282" i="5" s="1"/>
  <c r="N186" i="5" s="1"/>
  <c r="O279" i="5"/>
  <c r="O278" i="5" s="1"/>
  <c r="P283" i="5"/>
  <c r="P282" i="5" s="1"/>
  <c r="P186" i="5" s="1"/>
  <c r="P281" i="5"/>
  <c r="P280" i="5" s="1"/>
  <c r="P185" i="5" s="1"/>
  <c r="P279" i="5"/>
  <c r="P278" i="5" s="1"/>
  <c r="L25" i="8"/>
  <c r="M26" i="8" s="1"/>
  <c r="K25" i="8"/>
  <c r="I25" i="8"/>
  <c r="J25" i="8"/>
  <c r="L22" i="8"/>
  <c r="M23" i="8" s="1"/>
  <c r="M24" i="8" s="1"/>
  <c r="K22" i="8"/>
  <c r="I22" i="8"/>
  <c r="J22" i="8"/>
  <c r="L18" i="8"/>
  <c r="M19" i="8" s="1"/>
  <c r="M20" i="8" s="1"/>
  <c r="K18" i="8"/>
  <c r="I18" i="8"/>
  <c r="J18" i="8"/>
  <c r="I12" i="8"/>
  <c r="L34" i="8"/>
  <c r="K34" i="8"/>
  <c r="J34" i="8"/>
  <c r="L32" i="8"/>
  <c r="K32" i="8"/>
  <c r="J32" i="8"/>
  <c r="AE12" i="10"/>
  <c r="L31" i="8" s="1"/>
  <c r="AD12" i="10"/>
  <c r="K31" i="8" s="1"/>
  <c r="AC12" i="10"/>
  <c r="J31" i="8" s="1"/>
  <c r="AB12" i="10"/>
  <c r="AB14" i="10" s="1"/>
  <c r="L12" i="8"/>
  <c r="K12" i="8"/>
  <c r="J12" i="8"/>
  <c r="AE7" i="10"/>
  <c r="AD7" i="10"/>
  <c r="AC7" i="10"/>
  <c r="AB7" i="10"/>
  <c r="AE6" i="10"/>
  <c r="AD6" i="10"/>
  <c r="AC6" i="10"/>
  <c r="AB6" i="10"/>
  <c r="AE3" i="10"/>
  <c r="L11" i="8" s="1"/>
  <c r="L10" i="8" s="1"/>
  <c r="AD3" i="10"/>
  <c r="AD5" i="10" s="1"/>
  <c r="AC3" i="10"/>
  <c r="AC5" i="10" s="1"/>
  <c r="AB3" i="10"/>
  <c r="I11" i="8" s="1"/>
  <c r="AH17" i="21"/>
  <c r="AG17" i="21"/>
  <c r="AH16" i="21"/>
  <c r="AG16" i="21"/>
  <c r="AF16" i="21"/>
  <c r="AH15" i="21"/>
  <c r="AG15" i="21"/>
  <c r="AF15" i="21"/>
  <c r="AN14" i="21"/>
  <c r="AM14" i="21"/>
  <c r="AN13" i="21"/>
  <c r="AM13" i="21"/>
  <c r="AL13" i="21"/>
  <c r="AN12" i="21"/>
  <c r="AM12" i="21"/>
  <c r="AL12" i="21"/>
  <c r="AN11" i="21"/>
  <c r="AM11" i="21"/>
  <c r="AH11" i="21"/>
  <c r="AG11" i="21"/>
  <c r="AN10" i="21"/>
  <c r="AM10" i="21"/>
  <c r="AL10" i="21"/>
  <c r="AN9" i="21"/>
  <c r="AM9" i="21"/>
  <c r="AL9" i="21"/>
  <c r="AH9" i="21"/>
  <c r="AG9" i="21"/>
  <c r="AF9" i="21"/>
  <c r="AN8" i="21"/>
  <c r="AM8" i="21"/>
  <c r="AH8" i="21"/>
  <c r="AG8" i="21"/>
  <c r="AN7" i="21"/>
  <c r="AM7" i="21"/>
  <c r="AL7" i="21"/>
  <c r="AH7" i="21"/>
  <c r="AN6" i="21"/>
  <c r="AM6" i="21"/>
  <c r="AL6" i="21"/>
  <c r="AH6" i="21"/>
  <c r="AG6" i="21"/>
  <c r="AF6" i="21"/>
  <c r="AN5" i="21"/>
  <c r="AM5" i="21"/>
  <c r="AH5" i="21"/>
  <c r="AG5" i="21"/>
  <c r="AN4" i="21"/>
  <c r="AM4" i="21"/>
  <c r="AL4" i="21"/>
  <c r="AG4" i="21"/>
  <c r="AF4" i="21"/>
  <c r="AN3" i="21"/>
  <c r="AM3" i="21"/>
  <c r="AL3" i="21"/>
  <c r="AH3" i="21"/>
  <c r="AG3" i="21"/>
  <c r="AF3" i="21"/>
  <c r="T16" i="21"/>
  <c r="AA3" i="21" s="1"/>
  <c r="S16" i="21"/>
  <c r="Z3" i="21" s="1"/>
  <c r="R16" i="21"/>
  <c r="Y3" i="21" s="1"/>
  <c r="Q16" i="21"/>
  <c r="X3" i="21" s="1"/>
  <c r="P16" i="21"/>
  <c r="W4" i="21" s="1"/>
  <c r="O134" i="6" l="1"/>
  <c r="O73" i="6"/>
  <c r="O74" i="6" s="1"/>
  <c r="V74" i="6" s="1"/>
  <c r="N134" i="6"/>
  <c r="N73" i="6"/>
  <c r="N74" i="6" s="1"/>
  <c r="P134" i="6"/>
  <c r="P73" i="6"/>
  <c r="P74" i="6" s="1"/>
  <c r="P184" i="5"/>
  <c r="P277" i="5"/>
  <c r="O184" i="5"/>
  <c r="O277" i="5"/>
  <c r="N277" i="5"/>
  <c r="Q171" i="4"/>
  <c r="Q101" i="4"/>
  <c r="Q169" i="4"/>
  <c r="Q100" i="4"/>
  <c r="Q167" i="4"/>
  <c r="Q165" i="4"/>
  <c r="M63" i="34"/>
  <c r="N63" i="34" s="1"/>
  <c r="M450" i="2"/>
  <c r="J33" i="8"/>
  <c r="X4" i="21"/>
  <c r="AB5" i="10"/>
  <c r="AC14" i="10"/>
  <c r="R170" i="4"/>
  <c r="K26" i="8"/>
  <c r="K27" i="8" s="1"/>
  <c r="K452" i="2" s="1"/>
  <c r="Q187" i="4"/>
  <c r="J45" i="8"/>
  <c r="J46" i="8" s="1"/>
  <c r="J476" i="2" s="1"/>
  <c r="H3" i="32" s="1"/>
  <c r="R168" i="4"/>
  <c r="Q139" i="6"/>
  <c r="Q77" i="6" s="1"/>
  <c r="Q137" i="6"/>
  <c r="Q75" i="6" s="1"/>
  <c r="Q185" i="4"/>
  <c r="L45" i="8"/>
  <c r="L46" i="8" s="1"/>
  <c r="L476" i="2" s="1"/>
  <c r="J3" i="32" s="1"/>
  <c r="M27" i="8"/>
  <c r="M452" i="2" s="1"/>
  <c r="T452" i="2" s="1"/>
  <c r="T27" i="8" s="1"/>
  <c r="T26" i="8" s="1"/>
  <c r="M74" i="34"/>
  <c r="M73" i="34" s="1"/>
  <c r="N73" i="34" s="1"/>
  <c r="M45" i="8"/>
  <c r="L26" i="8"/>
  <c r="L27" i="8" s="1"/>
  <c r="L452" i="2" s="1"/>
  <c r="Q135" i="6"/>
  <c r="L21" i="8"/>
  <c r="L9" i="8" s="1"/>
  <c r="M451" i="2"/>
  <c r="T451" i="2" s="1"/>
  <c r="T24" i="8" s="1"/>
  <c r="T23" i="8" s="1"/>
  <c r="S166" i="4"/>
  <c r="S99" i="4" s="1"/>
  <c r="R166" i="4"/>
  <c r="Q183" i="4"/>
  <c r="I10" i="8"/>
  <c r="K45" i="8"/>
  <c r="K46" i="8" s="1"/>
  <c r="K476" i="2" s="1"/>
  <c r="J27" i="34"/>
  <c r="J29" i="34" s="1"/>
  <c r="J74" i="34"/>
  <c r="J76" i="34" s="1"/>
  <c r="K27" i="34"/>
  <c r="K29" i="34" s="1"/>
  <c r="K74" i="34"/>
  <c r="K76" i="34" s="1"/>
  <c r="L74" i="34"/>
  <c r="L76" i="34" s="1"/>
  <c r="L27" i="34"/>
  <c r="L29" i="34" s="1"/>
  <c r="K33" i="8"/>
  <c r="J463" i="2"/>
  <c r="L463" i="2"/>
  <c r="K463" i="2"/>
  <c r="J11" i="8"/>
  <c r="J10" i="8" s="1"/>
  <c r="J19" i="8"/>
  <c r="J20" i="8" s="1"/>
  <c r="J450" i="2" s="1"/>
  <c r="AE5" i="10"/>
  <c r="K11" i="8"/>
  <c r="K10" i="8" s="1"/>
  <c r="AD14" i="10"/>
  <c r="J21" i="8"/>
  <c r="J26" i="8"/>
  <c r="J27" i="8" s="1"/>
  <c r="J452" i="2" s="1"/>
  <c r="AE14" i="10"/>
  <c r="I21" i="8"/>
  <c r="I9" i="8" s="1"/>
  <c r="L23" i="8"/>
  <c r="L24" i="8" s="1"/>
  <c r="L451" i="2" s="1"/>
  <c r="K21" i="8"/>
  <c r="Q280" i="5"/>
  <c r="Q185" i="5" s="1"/>
  <c r="Q278" i="5"/>
  <c r="Q283" i="5"/>
  <c r="Q282" i="5" s="1"/>
  <c r="Q186" i="5" s="1"/>
  <c r="S170" i="4"/>
  <c r="S101" i="4" s="1"/>
  <c r="S168" i="4"/>
  <c r="L33" i="8"/>
  <c r="J23" i="8"/>
  <c r="J24" i="8" s="1"/>
  <c r="J451" i="2" s="1"/>
  <c r="K19" i="8"/>
  <c r="K20" i="8" s="1"/>
  <c r="K450" i="2" s="1"/>
  <c r="K23" i="8"/>
  <c r="K24" i="8" s="1"/>
  <c r="K451" i="2" s="1"/>
  <c r="L15" i="8"/>
  <c r="L19" i="8"/>
  <c r="L20" i="8" s="1"/>
  <c r="L450" i="2" s="1"/>
  <c r="J13" i="8"/>
  <c r="J14" i="8" s="1"/>
  <c r="J448" i="2" s="1"/>
  <c r="I15" i="8"/>
  <c r="L13" i="8"/>
  <c r="L14" i="8" s="1"/>
  <c r="L448" i="2" s="1"/>
  <c r="K13" i="8"/>
  <c r="K14" i="8" s="1"/>
  <c r="K448" i="2" s="1"/>
  <c r="AA4" i="21"/>
  <c r="Z4" i="21"/>
  <c r="W3" i="21"/>
  <c r="Y4" i="21"/>
  <c r="L60" i="6"/>
  <c r="K60" i="6"/>
  <c r="J60" i="6"/>
  <c r="S55" i="6"/>
  <c r="R55" i="6"/>
  <c r="Q55" i="6"/>
  <c r="P55" i="6"/>
  <c r="O55" i="6"/>
  <c r="V55" i="6" s="1"/>
  <c r="N55" i="6"/>
  <c r="M55" i="6"/>
  <c r="L55" i="6"/>
  <c r="K55" i="6"/>
  <c r="J55" i="6"/>
  <c r="L52" i="6"/>
  <c r="K52" i="6"/>
  <c r="J52" i="6"/>
  <c r="CD172" i="14"/>
  <c r="CD171" i="14"/>
  <c r="CD170" i="14"/>
  <c r="CD169" i="14"/>
  <c r="CD168" i="14"/>
  <c r="CD167" i="14"/>
  <c r="CD166" i="14"/>
  <c r="CD165" i="14"/>
  <c r="CD164" i="14"/>
  <c r="CD163" i="14"/>
  <c r="CD162" i="14"/>
  <c r="CD161" i="14"/>
  <c r="CD160" i="14"/>
  <c r="CD159" i="14"/>
  <c r="CD158" i="14"/>
  <c r="CD157" i="14"/>
  <c r="CD156" i="14"/>
  <c r="CD155" i="14"/>
  <c r="CD154" i="14"/>
  <c r="CD153" i="14"/>
  <c r="CD152" i="14"/>
  <c r="CD118" i="14"/>
  <c r="CD117" i="14"/>
  <c r="CD116" i="14"/>
  <c r="CD115" i="14"/>
  <c r="CD114" i="14"/>
  <c r="CD113" i="14"/>
  <c r="CD112" i="14"/>
  <c r="CD111" i="14"/>
  <c r="CD110" i="14"/>
  <c r="CD109" i="14"/>
  <c r="CD108" i="14"/>
  <c r="CD107" i="14"/>
  <c r="CD106" i="14"/>
  <c r="CD105" i="14"/>
  <c r="CD104" i="14"/>
  <c r="CD103" i="14"/>
  <c r="CD102" i="14"/>
  <c r="CD101" i="14"/>
  <c r="CD100" i="14"/>
  <c r="CD99" i="14"/>
  <c r="CD98" i="14"/>
  <c r="CD70" i="14"/>
  <c r="CD69" i="14"/>
  <c r="CD68" i="14"/>
  <c r="CD67" i="14"/>
  <c r="CD66" i="14"/>
  <c r="CD65" i="14"/>
  <c r="CD64" i="14"/>
  <c r="CD63" i="14"/>
  <c r="CD62" i="14"/>
  <c r="CD61" i="14"/>
  <c r="CD60" i="14"/>
  <c r="CD59" i="14"/>
  <c r="CD58" i="14"/>
  <c r="CD57" i="14"/>
  <c r="CD56" i="14"/>
  <c r="CD55" i="14"/>
  <c r="CD54" i="14"/>
  <c r="CD53" i="14"/>
  <c r="CD52" i="14"/>
  <c r="CD51" i="14"/>
  <c r="CD47" i="14"/>
  <c r="CD46" i="14"/>
  <c r="CD45" i="14"/>
  <c r="CD44" i="14"/>
  <c r="CD43" i="14"/>
  <c r="CD42" i="14"/>
  <c r="CD41" i="14"/>
  <c r="CD40" i="14"/>
  <c r="CD39" i="14"/>
  <c r="CD38" i="14"/>
  <c r="CD37" i="14"/>
  <c r="CD36" i="14"/>
  <c r="CD35" i="14"/>
  <c r="CD34" i="14"/>
  <c r="CD33" i="14"/>
  <c r="CD32" i="14"/>
  <c r="CD31" i="14"/>
  <c r="CD30" i="14"/>
  <c r="CD29" i="14"/>
  <c r="CD28" i="14"/>
  <c r="CD27" i="14"/>
  <c r="CD26" i="14"/>
  <c r="CD25" i="14"/>
  <c r="K46" i="6"/>
  <c r="J46" i="6"/>
  <c r="L12" i="12"/>
  <c r="L5" i="12"/>
  <c r="L7" i="12" s="1"/>
  <c r="Q78" i="6" l="1"/>
  <c r="Q76" i="6"/>
  <c r="Q134" i="6"/>
  <c r="Q73" i="6"/>
  <c r="Q74" i="6" s="1"/>
  <c r="Q184" i="5"/>
  <c r="Q277" i="5"/>
  <c r="T169" i="4"/>
  <c r="S100" i="4"/>
  <c r="R169" i="4"/>
  <c r="R100" i="4"/>
  <c r="R165" i="4"/>
  <c r="R99" i="4"/>
  <c r="R171" i="4"/>
  <c r="R101" i="4"/>
  <c r="T167" i="4"/>
  <c r="S165" i="4"/>
  <c r="L36" i="6"/>
  <c r="L27" i="6" s="1"/>
  <c r="J36" i="6"/>
  <c r="K36" i="6"/>
  <c r="K27" i="6" s="1"/>
  <c r="M54" i="6"/>
  <c r="M51" i="6" s="1"/>
  <c r="M62" i="6" s="1"/>
  <c r="M59" i="6" s="1"/>
  <c r="T450" i="2"/>
  <c r="T20" i="8" s="1"/>
  <c r="T19" i="8" s="1"/>
  <c r="O450" i="2"/>
  <c r="O20" i="8" s="1"/>
  <c r="O19" i="8" s="1"/>
  <c r="R450" i="2"/>
  <c r="R20" i="8" s="1"/>
  <c r="Q450" i="2"/>
  <c r="Q20" i="8" s="1"/>
  <c r="Q19" i="8" s="1"/>
  <c r="P450" i="2"/>
  <c r="P20" i="8" s="1"/>
  <c r="P19" i="8" s="1"/>
  <c r="S450" i="2"/>
  <c r="S20" i="8" s="1"/>
  <c r="J63" i="34"/>
  <c r="J68" i="34" s="1"/>
  <c r="S171" i="4"/>
  <c r="T171" i="4"/>
  <c r="M46" i="8"/>
  <c r="M476" i="2" s="1"/>
  <c r="M8" i="8"/>
  <c r="R187" i="4"/>
  <c r="R139" i="6"/>
  <c r="R77" i="6" s="1"/>
  <c r="J15" i="8"/>
  <c r="P451" i="2"/>
  <c r="P24" i="8" s="1"/>
  <c r="P23" i="8" s="1"/>
  <c r="O451" i="2"/>
  <c r="O24" i="8" s="1"/>
  <c r="R451" i="2"/>
  <c r="R24" i="8" s="1"/>
  <c r="Q451" i="2"/>
  <c r="Q24" i="8" s="1"/>
  <c r="Q23" i="8" s="1"/>
  <c r="S451" i="2"/>
  <c r="S24" i="8" s="1"/>
  <c r="K63" i="34"/>
  <c r="K68" i="34" s="1"/>
  <c r="S452" i="2"/>
  <c r="S27" i="8" s="1"/>
  <c r="R452" i="2"/>
  <c r="R27" i="8" s="1"/>
  <c r="Q452" i="2"/>
  <c r="Q27" i="8" s="1"/>
  <c r="Q26" i="8" s="1"/>
  <c r="P452" i="2"/>
  <c r="P27" i="8" s="1"/>
  <c r="P26" i="8" s="1"/>
  <c r="O452" i="2"/>
  <c r="O27" i="8" s="1"/>
  <c r="O26" i="8" s="1"/>
  <c r="S169" i="4"/>
  <c r="R185" i="4"/>
  <c r="S167" i="4"/>
  <c r="R137" i="6"/>
  <c r="R75" i="6" s="1"/>
  <c r="R76" i="6" s="1"/>
  <c r="I3" i="32"/>
  <c r="S135" i="6"/>
  <c r="S183" i="4"/>
  <c r="R167" i="4"/>
  <c r="R183" i="4"/>
  <c r="R135" i="6"/>
  <c r="R73" i="6" s="1"/>
  <c r="R74" i="6" s="1"/>
  <c r="L63" i="34"/>
  <c r="L68" i="34" s="1"/>
  <c r="M12" i="5"/>
  <c r="J9" i="8"/>
  <c r="J8" i="8" s="1"/>
  <c r="K15" i="8"/>
  <c r="K9" i="8"/>
  <c r="L8" i="8" s="1"/>
  <c r="S187" i="4"/>
  <c r="S139" i="6"/>
  <c r="S77" i="6" s="1"/>
  <c r="S78" i="6" s="1"/>
  <c r="S185" i="4"/>
  <c r="S137" i="6"/>
  <c r="S75" i="6" s="1"/>
  <c r="S76" i="6" s="1"/>
  <c r="S283" i="5"/>
  <c r="S282" i="5" s="1"/>
  <c r="S186" i="5" s="1"/>
  <c r="R283" i="5"/>
  <c r="R282" i="5" s="1"/>
  <c r="R186" i="5" s="1"/>
  <c r="S281" i="5"/>
  <c r="S280" i="5" s="1"/>
  <c r="S185" i="5" s="1"/>
  <c r="R281" i="5"/>
  <c r="R280" i="5" s="1"/>
  <c r="R185" i="5" s="1"/>
  <c r="S279" i="5"/>
  <c r="S278" i="5" s="1"/>
  <c r="R279" i="5"/>
  <c r="R278" i="5" s="1"/>
  <c r="L16" i="8"/>
  <c r="L17" i="8" s="1"/>
  <c r="L449" i="2" s="1"/>
  <c r="L13" i="12"/>
  <c r="L15" i="12" s="1"/>
  <c r="J45" i="6"/>
  <c r="J395" i="2" s="1"/>
  <c r="L45" i="6"/>
  <c r="L395" i="2" s="1"/>
  <c r="K45" i="6"/>
  <c r="K395" i="2" s="1"/>
  <c r="J47" i="6"/>
  <c r="J396" i="2" s="1"/>
  <c r="K47" i="6"/>
  <c r="K396" i="2" s="1"/>
  <c r="L47" i="6"/>
  <c r="L396" i="2" s="1"/>
  <c r="R78" i="6" l="1"/>
  <c r="S134" i="6"/>
  <c r="S73" i="6"/>
  <c r="S74" i="6" s="1"/>
  <c r="R134" i="6"/>
  <c r="S184" i="5"/>
  <c r="S277" i="5"/>
  <c r="R184" i="5"/>
  <c r="R277" i="5"/>
  <c r="N62" i="6"/>
  <c r="N59" i="6" s="1"/>
  <c r="D206" i="89" s="1"/>
  <c r="M22" i="6"/>
  <c r="O23" i="8"/>
  <c r="K3" i="32"/>
  <c r="Q3" i="32" s="1"/>
  <c r="T476" i="2" s="1"/>
  <c r="K16" i="8"/>
  <c r="K17" i="8" s="1"/>
  <c r="K449" i="2" s="1"/>
  <c r="J16" i="8"/>
  <c r="J17" i="8" s="1"/>
  <c r="J449" i="2" s="1"/>
  <c r="M12" i="6"/>
  <c r="N359" i="2" s="1"/>
  <c r="N35" i="6" s="1"/>
  <c r="K8" i="8"/>
  <c r="O16" i="8"/>
  <c r="N45" i="6"/>
  <c r="N44" i="6" s="1"/>
  <c r="D201" i="89" s="1"/>
  <c r="P45" i="6"/>
  <c r="N47" i="6"/>
  <c r="R23" i="8"/>
  <c r="R19" i="8"/>
  <c r="R26" i="8"/>
  <c r="P60" i="6"/>
  <c r="L21" i="6"/>
  <c r="K21" i="6"/>
  <c r="T46" i="8" l="1"/>
  <c r="U46" i="8" s="1"/>
  <c r="O62" i="6"/>
  <c r="O59" i="6" s="1"/>
  <c r="E206" i="89" s="1"/>
  <c r="L3" i="32"/>
  <c r="M3" i="32"/>
  <c r="P476" i="2" s="1"/>
  <c r="N3" i="32"/>
  <c r="Q476" i="2" s="1"/>
  <c r="O3" i="32"/>
  <c r="R476" i="2" s="1"/>
  <c r="P3" i="32"/>
  <c r="S476" i="2" s="1"/>
  <c r="U27" i="8"/>
  <c r="U26" i="8" s="1"/>
  <c r="S26" i="8"/>
  <c r="S19" i="8"/>
  <c r="U20" i="8"/>
  <c r="U19" i="8" s="1"/>
  <c r="U24" i="8"/>
  <c r="U23" i="8" s="1"/>
  <c r="S23" i="8"/>
  <c r="P16" i="8"/>
  <c r="Q60" i="6"/>
  <c r="P47" i="6"/>
  <c r="P46" i="6" s="1"/>
  <c r="F202" i="89" s="1"/>
  <c r="P44" i="6"/>
  <c r="F201" i="89" s="1"/>
  <c r="Q47" i="6"/>
  <c r="N46" i="6"/>
  <c r="D202" i="89" s="1"/>
  <c r="Q45" i="6"/>
  <c r="N476" i="2" l="1"/>
  <c r="O476" i="2" s="1"/>
  <c r="O46" i="8" s="1"/>
  <c r="N36" i="6"/>
  <c r="D198" i="89" s="1"/>
  <c r="O46" i="6"/>
  <c r="E202" i="89" s="1"/>
  <c r="K202" i="89" s="1"/>
  <c r="O44" i="6"/>
  <c r="E201" i="89" s="1"/>
  <c r="K201" i="89" s="1"/>
  <c r="P46" i="8"/>
  <c r="Q16" i="8"/>
  <c r="R60" i="6"/>
  <c r="S45" i="6"/>
  <c r="R45" i="6"/>
  <c r="S47" i="6"/>
  <c r="R47" i="6"/>
  <c r="Q44" i="6"/>
  <c r="G201" i="89" s="1"/>
  <c r="Q46" i="6"/>
  <c r="G202" i="89" s="1"/>
  <c r="O36" i="6" l="1"/>
  <c r="E198" i="89" s="1"/>
  <c r="O45" i="6"/>
  <c r="O47" i="6"/>
  <c r="N27" i="6"/>
  <c r="D193" i="89" s="1"/>
  <c r="Q46" i="8"/>
  <c r="R16" i="8"/>
  <c r="S60" i="6"/>
  <c r="T60" i="6" s="1"/>
  <c r="R44" i="6"/>
  <c r="H201" i="89" s="1"/>
  <c r="R46" i="6"/>
  <c r="H202" i="89" s="1"/>
  <c r="O396" i="2" l="1"/>
  <c r="V47" i="6"/>
  <c r="O395" i="2"/>
  <c r="V45" i="6"/>
  <c r="N21" i="6"/>
  <c r="S46" i="8"/>
  <c r="R46" i="8"/>
  <c r="S16" i="8"/>
  <c r="S44" i="6"/>
  <c r="I201" i="89" s="1"/>
  <c r="S46" i="6"/>
  <c r="I202" i="89" s="1"/>
  <c r="CB153" i="14" l="1"/>
  <c r="CC172" i="14"/>
  <c r="CC171" i="14"/>
  <c r="CC170" i="14"/>
  <c r="CC169" i="14"/>
  <c r="CC168" i="14"/>
  <c r="CC167" i="14"/>
  <c r="CC166" i="14"/>
  <c r="CC165" i="14"/>
  <c r="CC164" i="14"/>
  <c r="CC163" i="14"/>
  <c r="CC162" i="14"/>
  <c r="CC161" i="14"/>
  <c r="CC160" i="14"/>
  <c r="CC159" i="14"/>
  <c r="CC158" i="14"/>
  <c r="CC157" i="14"/>
  <c r="CC156" i="14"/>
  <c r="CC155" i="14"/>
  <c r="CC154" i="14"/>
  <c r="CC153" i="14"/>
  <c r="CC152" i="14"/>
  <c r="CC118" i="14"/>
  <c r="CC117" i="14"/>
  <c r="CC116" i="14"/>
  <c r="CC115" i="14"/>
  <c r="CC114" i="14"/>
  <c r="CC113" i="14"/>
  <c r="CC112" i="14"/>
  <c r="CC111" i="14"/>
  <c r="CC110" i="14"/>
  <c r="CC109" i="14"/>
  <c r="CC108" i="14"/>
  <c r="CC107" i="14"/>
  <c r="CC106" i="14"/>
  <c r="CC105" i="14"/>
  <c r="CC104" i="14"/>
  <c r="CC103" i="14"/>
  <c r="CC102" i="14"/>
  <c r="CC101" i="14"/>
  <c r="CC100" i="14"/>
  <c r="CC99" i="14"/>
  <c r="CC98" i="14"/>
  <c r="CC70" i="14"/>
  <c r="CC69" i="14"/>
  <c r="CC68" i="14"/>
  <c r="CC67" i="14"/>
  <c r="CC66" i="14"/>
  <c r="CC65" i="14"/>
  <c r="CC64" i="14"/>
  <c r="CC63" i="14"/>
  <c r="CC62" i="14"/>
  <c r="CC61" i="14"/>
  <c r="CC60" i="14"/>
  <c r="CC59" i="14"/>
  <c r="CC58" i="14"/>
  <c r="CC57" i="14"/>
  <c r="CC56" i="14"/>
  <c r="CC55" i="14"/>
  <c r="CC54" i="14"/>
  <c r="CC53" i="14"/>
  <c r="CC52" i="14"/>
  <c r="CC51" i="14"/>
  <c r="CC47" i="14"/>
  <c r="CC46" i="14"/>
  <c r="CC45" i="14"/>
  <c r="CC44" i="14"/>
  <c r="CC43" i="14"/>
  <c r="CC42" i="14"/>
  <c r="CC41" i="14"/>
  <c r="CC40" i="14"/>
  <c r="CC39" i="14"/>
  <c r="CC38" i="14"/>
  <c r="CC37" i="14"/>
  <c r="CC36" i="14"/>
  <c r="CC35" i="14"/>
  <c r="CC34" i="14"/>
  <c r="CC33" i="14"/>
  <c r="CC32" i="14"/>
  <c r="CC31" i="14"/>
  <c r="CC30" i="14"/>
  <c r="CC29" i="14"/>
  <c r="CC28" i="14"/>
  <c r="CC27" i="14"/>
  <c r="CC26" i="14"/>
  <c r="CC25" i="14"/>
  <c r="CB172" i="14"/>
  <c r="CB171" i="14"/>
  <c r="CB170" i="14"/>
  <c r="CB169" i="14"/>
  <c r="CB168" i="14"/>
  <c r="CB167" i="14"/>
  <c r="CB166" i="14"/>
  <c r="CB165" i="14"/>
  <c r="CB164" i="14"/>
  <c r="CB163" i="14"/>
  <c r="CB162" i="14"/>
  <c r="CB161" i="14"/>
  <c r="CB160" i="14"/>
  <c r="CB159" i="14"/>
  <c r="CB158" i="14"/>
  <c r="CB157" i="14"/>
  <c r="CB156" i="14"/>
  <c r="CB155" i="14"/>
  <c r="CB154" i="14"/>
  <c r="CB152" i="14"/>
  <c r="CB118" i="14"/>
  <c r="CB117" i="14"/>
  <c r="CB116" i="14"/>
  <c r="CB115" i="14"/>
  <c r="CB114" i="14"/>
  <c r="CB113" i="14"/>
  <c r="CB112" i="14"/>
  <c r="CB111" i="14"/>
  <c r="CB110" i="14"/>
  <c r="CB109" i="14"/>
  <c r="CB108" i="14"/>
  <c r="CB107" i="14"/>
  <c r="CB106" i="14"/>
  <c r="CB105" i="14"/>
  <c r="CB104" i="14"/>
  <c r="CB103" i="14"/>
  <c r="CB102" i="14"/>
  <c r="CB101" i="14"/>
  <c r="CB100" i="14"/>
  <c r="CB99" i="14"/>
  <c r="CB98" i="14"/>
  <c r="CB70" i="14"/>
  <c r="CB69" i="14"/>
  <c r="CB68" i="14"/>
  <c r="CB67" i="14"/>
  <c r="CB66" i="14"/>
  <c r="CB65" i="14"/>
  <c r="CB64" i="14"/>
  <c r="CB63" i="14"/>
  <c r="CB62" i="14"/>
  <c r="CB61" i="14"/>
  <c r="CB60" i="14"/>
  <c r="CB59" i="14"/>
  <c r="CB58" i="14"/>
  <c r="CB57" i="14"/>
  <c r="CB56" i="14"/>
  <c r="CB55" i="14"/>
  <c r="CB54" i="14"/>
  <c r="CB53" i="14"/>
  <c r="CB52" i="14"/>
  <c r="CB51" i="14"/>
  <c r="CB47" i="14"/>
  <c r="CB46" i="14"/>
  <c r="CB45" i="14"/>
  <c r="CB44" i="14"/>
  <c r="CB43" i="14"/>
  <c r="CB42" i="14"/>
  <c r="CB41" i="14"/>
  <c r="CB40" i="14"/>
  <c r="CB39" i="14"/>
  <c r="CB38" i="14"/>
  <c r="CB37" i="14"/>
  <c r="CB36" i="14"/>
  <c r="CB35" i="14"/>
  <c r="CB34" i="14"/>
  <c r="CB33" i="14"/>
  <c r="CB32" i="14"/>
  <c r="CB31" i="14"/>
  <c r="CB30" i="14"/>
  <c r="CB29" i="14"/>
  <c r="CB28" i="14"/>
  <c r="CB27" i="14"/>
  <c r="CB26" i="14"/>
  <c r="CB25" i="14"/>
  <c r="M22" i="5"/>
  <c r="L22" i="5"/>
  <c r="M20" i="5"/>
  <c r="L20" i="5"/>
  <c r="K94" i="5"/>
  <c r="K83" i="5"/>
  <c r="K50" i="5"/>
  <c r="S91" i="5"/>
  <c r="R91" i="5"/>
  <c r="Q91" i="5"/>
  <c r="P91" i="5"/>
  <c r="M96" i="5"/>
  <c r="L96" i="5"/>
  <c r="M94" i="5"/>
  <c r="L94" i="5"/>
  <c r="M93" i="5"/>
  <c r="L93" i="5"/>
  <c r="M90" i="5"/>
  <c r="L90" i="5"/>
  <c r="S80" i="5"/>
  <c r="R80" i="5"/>
  <c r="Q80" i="5"/>
  <c r="P80" i="5"/>
  <c r="M79" i="5"/>
  <c r="L79" i="5"/>
  <c r="M85" i="5"/>
  <c r="L85" i="5"/>
  <c r="M83" i="5"/>
  <c r="L83" i="5"/>
  <c r="M82" i="5"/>
  <c r="L82" i="5"/>
  <c r="S69" i="5"/>
  <c r="R69" i="5"/>
  <c r="Q69" i="5"/>
  <c r="P69" i="5"/>
  <c r="S58" i="5"/>
  <c r="R58" i="5"/>
  <c r="Q58" i="5"/>
  <c r="P58" i="5"/>
  <c r="L25" i="5"/>
  <c r="L88" i="4"/>
  <c r="J88" i="4"/>
  <c r="L84" i="4"/>
  <c r="J84" i="4"/>
  <c r="L80" i="4"/>
  <c r="J80" i="4"/>
  <c r="L76" i="4"/>
  <c r="J76" i="4"/>
  <c r="L72" i="4"/>
  <c r="J72" i="4"/>
  <c r="L68" i="4"/>
  <c r="J68" i="4"/>
  <c r="L64" i="4"/>
  <c r="L57" i="4"/>
  <c r="J57" i="4"/>
  <c r="L50" i="4"/>
  <c r="J50" i="4"/>
  <c r="L43" i="4"/>
  <c r="J43" i="4"/>
  <c r="L36" i="4"/>
  <c r="J36" i="4"/>
  <c r="L29" i="4"/>
  <c r="J29" i="4"/>
  <c r="J22" i="4"/>
  <c r="BZ150" i="14"/>
  <c r="BZ119" i="14"/>
  <c r="BZ96" i="14"/>
  <c r="BZ71" i="14"/>
  <c r="M63" i="5"/>
  <c r="L63" i="5"/>
  <c r="M61" i="5"/>
  <c r="L61" i="5"/>
  <c r="M60" i="5"/>
  <c r="L60" i="5"/>
  <c r="M57" i="5"/>
  <c r="L57" i="5"/>
  <c r="S47" i="5"/>
  <c r="R47" i="5"/>
  <c r="Q47" i="5"/>
  <c r="P47" i="5"/>
  <c r="S36" i="5"/>
  <c r="R36" i="5"/>
  <c r="Q36" i="5"/>
  <c r="P36" i="5"/>
  <c r="M46" i="5"/>
  <c r="L46" i="5"/>
  <c r="M52" i="5"/>
  <c r="L52" i="5"/>
  <c r="M50" i="5"/>
  <c r="L50" i="5"/>
  <c r="M49" i="5"/>
  <c r="L49" i="5"/>
  <c r="M41" i="5"/>
  <c r="L41" i="5"/>
  <c r="M39" i="5"/>
  <c r="L39" i="5"/>
  <c r="L12" i="14"/>
  <c r="K12" i="14"/>
  <c r="L10" i="14"/>
  <c r="K10" i="14"/>
  <c r="L19" i="5" l="1"/>
  <c r="L9" i="5" s="1"/>
  <c r="M19" i="5"/>
  <c r="M21" i="5"/>
  <c r="L23" i="5"/>
  <c r="L21" i="5"/>
  <c r="K76" i="4"/>
  <c r="K88" i="4"/>
  <c r="K84" i="4"/>
  <c r="K80" i="4"/>
  <c r="K72" i="4"/>
  <c r="K68" i="4"/>
  <c r="K43" i="4"/>
  <c r="J180" i="4"/>
  <c r="J64" i="4"/>
  <c r="K180" i="4"/>
  <c r="K64" i="4"/>
  <c r="K50" i="4"/>
  <c r="K57" i="4"/>
  <c r="K29" i="4"/>
  <c r="K36" i="4"/>
  <c r="J83" i="5"/>
  <c r="P83" i="5"/>
  <c r="S83" i="5"/>
  <c r="R83" i="5"/>
  <c r="Q83" i="5"/>
  <c r="J94" i="5"/>
  <c r="Q94" i="5"/>
  <c r="S94" i="5"/>
  <c r="R94" i="5"/>
  <c r="P94" i="5"/>
  <c r="J39" i="5"/>
  <c r="J50" i="5"/>
  <c r="J61" i="5"/>
  <c r="L189" i="4"/>
  <c r="L562" i="2" s="1"/>
  <c r="L54" i="6"/>
  <c r="L51" i="6" s="1"/>
  <c r="L62" i="6" s="1"/>
  <c r="L59" i="6" s="1"/>
  <c r="L53" i="6"/>
  <c r="L413" i="2" s="1"/>
  <c r="L51" i="5"/>
  <c r="M62" i="5"/>
  <c r="M59" i="5" s="1"/>
  <c r="M55" i="5" s="1"/>
  <c r="M56" i="5" s="1"/>
  <c r="L95" i="5"/>
  <c r="L92" i="5" s="1"/>
  <c r="L88" i="5" s="1"/>
  <c r="L89" i="5" s="1"/>
  <c r="M95" i="5"/>
  <c r="M92" i="5" s="1"/>
  <c r="M100" i="3" s="1"/>
  <c r="L84" i="5"/>
  <c r="L81" i="5" s="1"/>
  <c r="L77" i="5" s="1"/>
  <c r="L78" i="5" s="1"/>
  <c r="K61" i="5"/>
  <c r="K39" i="5"/>
  <c r="M84" i="5"/>
  <c r="L62" i="5"/>
  <c r="L59" i="5" s="1"/>
  <c r="L55" i="5" s="1"/>
  <c r="L56" i="5" s="1"/>
  <c r="M51" i="5"/>
  <c r="M38" i="5"/>
  <c r="L38" i="5"/>
  <c r="L148" i="5" l="1"/>
  <c r="L149" i="5" s="1"/>
  <c r="M148" i="5"/>
  <c r="M149" i="5" s="1"/>
  <c r="M151" i="5" s="1"/>
  <c r="M291" i="2" s="1"/>
  <c r="L115" i="5"/>
  <c r="L189" i="2" s="1"/>
  <c r="L154" i="5"/>
  <c r="M115" i="5"/>
  <c r="M189" i="2" s="1"/>
  <c r="N189" i="2" s="1"/>
  <c r="N115" i="5" s="1"/>
  <c r="M154" i="5"/>
  <c r="L48" i="5"/>
  <c r="L44" i="5" s="1"/>
  <c r="L45" i="5" s="1"/>
  <c r="L100" i="3"/>
  <c r="M97" i="3"/>
  <c r="L107" i="3"/>
  <c r="L97" i="3"/>
  <c r="L108" i="3"/>
  <c r="L99" i="3"/>
  <c r="L105" i="3"/>
  <c r="M105" i="3"/>
  <c r="M9" i="5"/>
  <c r="M290" i="5" s="1"/>
  <c r="L40" i="5"/>
  <c r="L37" i="5" s="1"/>
  <c r="L33" i="5" s="1"/>
  <c r="L178" i="4"/>
  <c r="L22" i="6"/>
  <c r="M88" i="5"/>
  <c r="M89" i="5" s="1"/>
  <c r="M108" i="3" s="1"/>
  <c r="N83" i="5"/>
  <c r="N94" i="5"/>
  <c r="M81" i="5"/>
  <c r="M48" i="5"/>
  <c r="M40" i="5"/>
  <c r="S22" i="15"/>
  <c r="W21" i="15"/>
  <c r="V21" i="15"/>
  <c r="U21" i="15"/>
  <c r="T21" i="15"/>
  <c r="S21" i="15"/>
  <c r="R21" i="15"/>
  <c r="Q21" i="15"/>
  <c r="P21" i="15"/>
  <c r="O21" i="15"/>
  <c r="W17" i="15"/>
  <c r="V17" i="15"/>
  <c r="U17" i="15"/>
  <c r="T17" i="15"/>
  <c r="S17" i="15"/>
  <c r="R17" i="15"/>
  <c r="Q17" i="15"/>
  <c r="P17" i="15"/>
  <c r="O17" i="15"/>
  <c r="K31" i="15"/>
  <c r="K30" i="15"/>
  <c r="K29" i="15"/>
  <c r="K28" i="15"/>
  <c r="K27" i="15"/>
  <c r="K26" i="15"/>
  <c r="K25" i="15"/>
  <c r="K23" i="15"/>
  <c r="K22" i="15"/>
  <c r="K21" i="15"/>
  <c r="K20" i="15"/>
  <c r="K19" i="15"/>
  <c r="K18" i="15"/>
  <c r="K17" i="15"/>
  <c r="K16" i="15"/>
  <c r="K15" i="15"/>
  <c r="K14" i="15"/>
  <c r="K13" i="15"/>
  <c r="K12" i="15"/>
  <c r="K11" i="15"/>
  <c r="K10" i="15"/>
  <c r="K9" i="15"/>
  <c r="K8" i="15"/>
  <c r="K7" i="15"/>
  <c r="K6" i="15"/>
  <c r="K5" i="15"/>
  <c r="K4" i="15"/>
  <c r="O22" i="15" s="1"/>
  <c r="Q33" i="15" s="1"/>
  <c r="J31" i="15"/>
  <c r="J30" i="15"/>
  <c r="J29" i="15"/>
  <c r="J28" i="15"/>
  <c r="J27" i="15"/>
  <c r="J26" i="15"/>
  <c r="J25" i="15"/>
  <c r="J24" i="15"/>
  <c r="J23" i="15"/>
  <c r="J22" i="15"/>
  <c r="K85" i="5" s="1"/>
  <c r="J21" i="15"/>
  <c r="K96" i="5" s="1"/>
  <c r="J20" i="15"/>
  <c r="K63" i="5" s="1"/>
  <c r="J19" i="15"/>
  <c r="K52" i="5" s="1"/>
  <c r="J18" i="15"/>
  <c r="K41" i="5" s="1"/>
  <c r="J17" i="15"/>
  <c r="J16" i="15"/>
  <c r="J15" i="15"/>
  <c r="J85" i="5" s="1"/>
  <c r="J14" i="15"/>
  <c r="J96" i="5" s="1"/>
  <c r="J13" i="15"/>
  <c r="J63" i="5" s="1"/>
  <c r="J12" i="15"/>
  <c r="J52" i="5" s="1"/>
  <c r="J11" i="15"/>
  <c r="J41" i="5" s="1"/>
  <c r="J10" i="15"/>
  <c r="J9" i="15"/>
  <c r="J8" i="15"/>
  <c r="J7" i="15"/>
  <c r="J6" i="15"/>
  <c r="J5" i="15"/>
  <c r="J4" i="15"/>
  <c r="BW171" i="14"/>
  <c r="BW170" i="14"/>
  <c r="BW169" i="14"/>
  <c r="BW168" i="14"/>
  <c r="BW167" i="14"/>
  <c r="BW166" i="14"/>
  <c r="BW165" i="14"/>
  <c r="BW164" i="14"/>
  <c r="BW163" i="14"/>
  <c r="BW162" i="14"/>
  <c r="BW161" i="14"/>
  <c r="BW160" i="14"/>
  <c r="BW159" i="14"/>
  <c r="BW158" i="14"/>
  <c r="BW157" i="14"/>
  <c r="BW156" i="14"/>
  <c r="BW155" i="14"/>
  <c r="BW154" i="14"/>
  <c r="BW153" i="14"/>
  <c r="BW152" i="14"/>
  <c r="BW118" i="14"/>
  <c r="BW117" i="14"/>
  <c r="BW116" i="14"/>
  <c r="BW115" i="14"/>
  <c r="BW114" i="14"/>
  <c r="BW113" i="14"/>
  <c r="BW112" i="14"/>
  <c r="BW111" i="14"/>
  <c r="BW110" i="14"/>
  <c r="BW109" i="14"/>
  <c r="BW108" i="14"/>
  <c r="BW107" i="14"/>
  <c r="BW106" i="14"/>
  <c r="BW105" i="14"/>
  <c r="BW104" i="14"/>
  <c r="BW103" i="14"/>
  <c r="BW102" i="14"/>
  <c r="BW101" i="14"/>
  <c r="BW100" i="14"/>
  <c r="BW99" i="14"/>
  <c r="BW98" i="14"/>
  <c r="BW70" i="14"/>
  <c r="BW69" i="14"/>
  <c r="BW68" i="14"/>
  <c r="BW67" i="14"/>
  <c r="BW66" i="14"/>
  <c r="BW65" i="14"/>
  <c r="BW64" i="14"/>
  <c r="BW63" i="14"/>
  <c r="BW62" i="14"/>
  <c r="BW61" i="14"/>
  <c r="BW60" i="14"/>
  <c r="BW59" i="14"/>
  <c r="BW58" i="14"/>
  <c r="BW57" i="14"/>
  <c r="BW56" i="14"/>
  <c r="BW55" i="14"/>
  <c r="BW54" i="14"/>
  <c r="BW53" i="14"/>
  <c r="BW52" i="14"/>
  <c r="BW51" i="14"/>
  <c r="BW47" i="14"/>
  <c r="BW46" i="14"/>
  <c r="BW45" i="14"/>
  <c r="BW44" i="14"/>
  <c r="BW43" i="14"/>
  <c r="BW42" i="14"/>
  <c r="BW41" i="14"/>
  <c r="BW40" i="14"/>
  <c r="BW38" i="14"/>
  <c r="BW37" i="14"/>
  <c r="BW36" i="14"/>
  <c r="BW35" i="14"/>
  <c r="BW34" i="14"/>
  <c r="BW33" i="14"/>
  <c r="BW32" i="14"/>
  <c r="BW31" i="14"/>
  <c r="BW30" i="14"/>
  <c r="BW29" i="14"/>
  <c r="BW28" i="14"/>
  <c r="BW27" i="14"/>
  <c r="BW26" i="14"/>
  <c r="BW25" i="14"/>
  <c r="BX172" i="14"/>
  <c r="BZ172" i="14" s="1"/>
  <c r="BX171" i="14"/>
  <c r="BZ171" i="14" s="1"/>
  <c r="BX170" i="14"/>
  <c r="BZ170" i="14" s="1"/>
  <c r="BX169" i="14"/>
  <c r="BZ169" i="14" s="1"/>
  <c r="BX168" i="14"/>
  <c r="BZ168" i="14" s="1"/>
  <c r="BX167" i="14"/>
  <c r="BZ167" i="14" s="1"/>
  <c r="BX166" i="14"/>
  <c r="BZ166" i="14" s="1"/>
  <c r="BX165" i="14"/>
  <c r="BZ165" i="14" s="1"/>
  <c r="BX164" i="14"/>
  <c r="BZ164" i="14" s="1"/>
  <c r="BX163" i="14"/>
  <c r="BZ163" i="14" s="1"/>
  <c r="BX162" i="14"/>
  <c r="BZ162" i="14" s="1"/>
  <c r="BX161" i="14"/>
  <c r="BZ161" i="14" s="1"/>
  <c r="BX160" i="14"/>
  <c r="BZ160" i="14" s="1"/>
  <c r="BX159" i="14"/>
  <c r="BZ159" i="14" s="1"/>
  <c r="BX158" i="14"/>
  <c r="BZ158" i="14" s="1"/>
  <c r="BX157" i="14"/>
  <c r="BZ157" i="14" s="1"/>
  <c r="BX156" i="14"/>
  <c r="BZ156" i="14" s="1"/>
  <c r="BX155" i="14"/>
  <c r="BZ155" i="14" s="1"/>
  <c r="BX154" i="14"/>
  <c r="BZ154" i="14" s="1"/>
  <c r="BX153" i="14"/>
  <c r="BZ153" i="14" s="1"/>
  <c r="BX152" i="14"/>
  <c r="BZ152" i="14" s="1"/>
  <c r="BX118" i="14"/>
  <c r="BZ118" i="14" s="1"/>
  <c r="BX117" i="14"/>
  <c r="BZ117" i="14" s="1"/>
  <c r="BX116" i="14"/>
  <c r="BZ116" i="14" s="1"/>
  <c r="BX115" i="14"/>
  <c r="BZ115" i="14" s="1"/>
  <c r="BX114" i="14"/>
  <c r="BZ114" i="14" s="1"/>
  <c r="BX113" i="14"/>
  <c r="BZ113" i="14" s="1"/>
  <c r="BX112" i="14"/>
  <c r="BZ112" i="14" s="1"/>
  <c r="K76" i="5" s="1"/>
  <c r="BX111" i="14"/>
  <c r="BZ111" i="14" s="1"/>
  <c r="K87" i="5" s="1"/>
  <c r="BX110" i="14"/>
  <c r="BZ110" i="14" s="1"/>
  <c r="K54" i="5" s="1"/>
  <c r="BX109" i="14"/>
  <c r="BZ109" i="14" s="1"/>
  <c r="K43" i="5" s="1"/>
  <c r="BX108" i="14"/>
  <c r="BZ108" i="14" s="1"/>
  <c r="K104" i="5" s="1"/>
  <c r="K175" i="2" s="1"/>
  <c r="BX107" i="14"/>
  <c r="BZ107" i="14" s="1"/>
  <c r="BX106" i="14"/>
  <c r="BZ106" i="14" s="1"/>
  <c r="BX105" i="14"/>
  <c r="BZ105" i="14" s="1"/>
  <c r="BX104" i="14"/>
  <c r="BZ104" i="14" s="1"/>
  <c r="BX103" i="14"/>
  <c r="BZ103" i="14" s="1"/>
  <c r="BX102" i="14"/>
  <c r="BZ102" i="14" s="1"/>
  <c r="K98" i="5" s="1"/>
  <c r="K172" i="2" s="1"/>
  <c r="BX101" i="14"/>
  <c r="BZ101" i="14" s="1"/>
  <c r="BX100" i="14"/>
  <c r="BZ100" i="14" s="1"/>
  <c r="BX99" i="14"/>
  <c r="BZ99" i="14" s="1"/>
  <c r="BX98" i="14"/>
  <c r="BZ98" i="14" s="1"/>
  <c r="BX70" i="14"/>
  <c r="BZ70" i="14" s="1"/>
  <c r="BX69" i="14"/>
  <c r="BZ69" i="14" s="1"/>
  <c r="BX68" i="14"/>
  <c r="BZ68" i="14" s="1"/>
  <c r="BX67" i="14"/>
  <c r="BZ67" i="14" s="1"/>
  <c r="J106" i="5" s="1"/>
  <c r="J176" i="2" s="1"/>
  <c r="BX66" i="14"/>
  <c r="BZ66" i="14" s="1"/>
  <c r="BX65" i="14"/>
  <c r="BZ65" i="14" s="1"/>
  <c r="J76" i="5" s="1"/>
  <c r="BX64" i="14"/>
  <c r="BZ64" i="14" s="1"/>
  <c r="J87" i="5" s="1"/>
  <c r="BX63" i="14"/>
  <c r="BZ63" i="14" s="1"/>
  <c r="J54" i="5" s="1"/>
  <c r="BX62" i="14"/>
  <c r="BZ62" i="14" s="1"/>
  <c r="J43" i="5" s="1"/>
  <c r="BX61" i="14"/>
  <c r="BZ61" i="14" s="1"/>
  <c r="J104" i="5" s="1"/>
  <c r="J175" i="2" s="1"/>
  <c r="BX60" i="14"/>
  <c r="BZ60" i="14" s="1"/>
  <c r="J32" i="5" s="1"/>
  <c r="BX59" i="14"/>
  <c r="BZ59" i="14" s="1"/>
  <c r="BX58" i="14"/>
  <c r="BZ58" i="14" s="1"/>
  <c r="BX57" i="14"/>
  <c r="BZ57" i="14" s="1"/>
  <c r="BX56" i="14"/>
  <c r="BZ56" i="14" s="1"/>
  <c r="BX55" i="14"/>
  <c r="BZ55" i="14" s="1"/>
  <c r="J98" i="5" s="1"/>
  <c r="J172" i="2" s="1"/>
  <c r="BX54" i="14"/>
  <c r="BZ54" i="14" s="1"/>
  <c r="BX53" i="14"/>
  <c r="BZ53" i="14" s="1"/>
  <c r="BX52" i="14"/>
  <c r="BZ52" i="14" s="1"/>
  <c r="BX51" i="14"/>
  <c r="BZ51" i="14" s="1"/>
  <c r="BX47" i="14"/>
  <c r="BZ47" i="14" s="1"/>
  <c r="BX46" i="14"/>
  <c r="BZ46" i="14" s="1"/>
  <c r="BX45" i="14"/>
  <c r="BZ45" i="14" s="1"/>
  <c r="BX44" i="14"/>
  <c r="BZ44" i="14" s="1"/>
  <c r="BX43" i="14"/>
  <c r="BZ43" i="14" s="1"/>
  <c r="BX42" i="14"/>
  <c r="BZ42" i="14" s="1"/>
  <c r="BX41" i="14"/>
  <c r="BZ41" i="14" s="1"/>
  <c r="BX40" i="14"/>
  <c r="BZ40" i="14" s="1"/>
  <c r="BX39" i="14"/>
  <c r="BZ39" i="14" s="1"/>
  <c r="BX38" i="14"/>
  <c r="BZ38" i="14" s="1"/>
  <c r="BX37" i="14"/>
  <c r="BZ37" i="14" s="1"/>
  <c r="BX36" i="14"/>
  <c r="BZ36" i="14" s="1"/>
  <c r="BX35" i="14"/>
  <c r="BZ35" i="14" s="1"/>
  <c r="BX34" i="14"/>
  <c r="BZ34" i="14" s="1"/>
  <c r="BX33" i="14"/>
  <c r="BZ33" i="14" s="1"/>
  <c r="BX32" i="14"/>
  <c r="BZ32" i="14" s="1"/>
  <c r="BX31" i="14"/>
  <c r="BZ31" i="14" s="1"/>
  <c r="BX30" i="14"/>
  <c r="BZ30" i="14" s="1"/>
  <c r="BX29" i="14"/>
  <c r="BZ29" i="14" s="1"/>
  <c r="BX28" i="14"/>
  <c r="BZ28" i="14" s="1"/>
  <c r="BX27" i="14"/>
  <c r="BZ27" i="14" s="1"/>
  <c r="BX26" i="14"/>
  <c r="BZ26" i="14" s="1"/>
  <c r="BX25" i="14"/>
  <c r="BZ25" i="14" s="1"/>
  <c r="L9" i="14"/>
  <c r="K9" i="14"/>
  <c r="J9" i="14"/>
  <c r="I9" i="14"/>
  <c r="L13" i="14"/>
  <c r="K13" i="14"/>
  <c r="J13" i="14"/>
  <c r="I13" i="14"/>
  <c r="J12" i="14"/>
  <c r="I12" i="14"/>
  <c r="L8" i="14"/>
  <c r="K8" i="14"/>
  <c r="J8" i="14"/>
  <c r="I8" i="14"/>
  <c r="L6" i="14"/>
  <c r="L5" i="14"/>
  <c r="K6" i="14"/>
  <c r="K5" i="14"/>
  <c r="J6" i="14"/>
  <c r="J5" i="14"/>
  <c r="I6" i="14"/>
  <c r="L4" i="14"/>
  <c r="K4" i="14"/>
  <c r="K3" i="14"/>
  <c r="J4" i="14"/>
  <c r="J3" i="14"/>
  <c r="I4" i="14"/>
  <c r="I3" i="14"/>
  <c r="L10" i="5"/>
  <c r="K129" i="5"/>
  <c r="K123" i="5"/>
  <c r="K128" i="5" s="1"/>
  <c r="J129" i="5"/>
  <c r="J123" i="5"/>
  <c r="J128" i="5" s="1"/>
  <c r="N81" i="4"/>
  <c r="D106" i="89" s="1"/>
  <c r="S61" i="4"/>
  <c r="R61" i="4"/>
  <c r="Q61" i="4"/>
  <c r="P61" i="4"/>
  <c r="S54" i="4"/>
  <c r="R54" i="4"/>
  <c r="Q54" i="4"/>
  <c r="P54" i="4"/>
  <c r="S47" i="4"/>
  <c r="R47" i="4"/>
  <c r="Q47" i="4"/>
  <c r="P47" i="4"/>
  <c r="S40" i="4"/>
  <c r="R40" i="4"/>
  <c r="Q40" i="4"/>
  <c r="P40" i="4"/>
  <c r="S33" i="4"/>
  <c r="R33" i="4"/>
  <c r="Q33" i="4"/>
  <c r="P33" i="4"/>
  <c r="S26" i="4"/>
  <c r="R26" i="4"/>
  <c r="Q26" i="4"/>
  <c r="P26" i="4"/>
  <c r="L96" i="3" l="1"/>
  <c r="M166" i="5"/>
  <c r="M167" i="5" s="1"/>
  <c r="M337" i="2" s="1"/>
  <c r="N337" i="2" s="1"/>
  <c r="N167" i="5" s="1"/>
  <c r="L166" i="5"/>
  <c r="L104" i="3"/>
  <c r="M291" i="5"/>
  <c r="M642" i="2" s="1"/>
  <c r="R44" i="4"/>
  <c r="H79" i="89" s="1"/>
  <c r="S44" i="4"/>
  <c r="I79" i="89" s="1"/>
  <c r="P44" i="4"/>
  <c r="F79" i="89" s="1"/>
  <c r="Q44" i="4"/>
  <c r="G79" i="89" s="1"/>
  <c r="M44" i="5"/>
  <c r="M45" i="5" s="1"/>
  <c r="M104" i="3" s="1"/>
  <c r="M96" i="3"/>
  <c r="M99" i="3"/>
  <c r="L155" i="5"/>
  <c r="L316" i="2" s="1"/>
  <c r="M155" i="5"/>
  <c r="M316" i="2" s="1"/>
  <c r="M13" i="5"/>
  <c r="J42" i="15"/>
  <c r="J36" i="15"/>
  <c r="K42" i="15"/>
  <c r="K36" i="15"/>
  <c r="J35" i="5"/>
  <c r="K46" i="5"/>
  <c r="J46" i="5"/>
  <c r="K57" i="5"/>
  <c r="J57" i="5"/>
  <c r="K90" i="5"/>
  <c r="Q22" i="15"/>
  <c r="S33" i="15" s="1"/>
  <c r="K35" i="5"/>
  <c r="J90" i="5"/>
  <c r="K79" i="5"/>
  <c r="J79" i="5"/>
  <c r="J30" i="5"/>
  <c r="P22" i="15"/>
  <c r="R33" i="15" s="1"/>
  <c r="R22" i="15"/>
  <c r="T33" i="15" s="1"/>
  <c r="J102" i="5"/>
  <c r="J174" i="2" s="1"/>
  <c r="K108" i="5"/>
  <c r="K177" i="2" s="1"/>
  <c r="J100" i="5"/>
  <c r="J173" i="2" s="1"/>
  <c r="K102" i="5"/>
  <c r="K174" i="2" s="1"/>
  <c r="K106" i="5"/>
  <c r="K176" i="2" s="1"/>
  <c r="K100" i="5"/>
  <c r="K173" i="2" s="1"/>
  <c r="J108" i="5"/>
  <c r="J177" i="2" s="1"/>
  <c r="L290" i="5"/>
  <c r="L13" i="5" s="1"/>
  <c r="L8" i="5" s="1"/>
  <c r="L9" i="3" s="1"/>
  <c r="L13" i="4"/>
  <c r="L8" i="4" s="1"/>
  <c r="L8" i="3" s="1"/>
  <c r="N249" i="2"/>
  <c r="N248" i="2"/>
  <c r="N245" i="2"/>
  <c r="N246" i="2"/>
  <c r="N247" i="2"/>
  <c r="L23" i="6"/>
  <c r="L20" i="6" s="1"/>
  <c r="P62" i="4"/>
  <c r="F89" i="89" s="1"/>
  <c r="P78" i="4"/>
  <c r="F104" i="89" s="1"/>
  <c r="K130" i="5"/>
  <c r="K275" i="2" s="1"/>
  <c r="J130" i="5"/>
  <c r="J275" i="2" s="1"/>
  <c r="L130" i="5"/>
  <c r="L275" i="2" s="1"/>
  <c r="M77" i="5"/>
  <c r="M78" i="5" s="1"/>
  <c r="M107" i="3" s="1"/>
  <c r="M37" i="5"/>
  <c r="I7" i="14"/>
  <c r="I11" i="14" s="1"/>
  <c r="J7" i="14"/>
  <c r="J11" i="14" s="1"/>
  <c r="K7" i="14"/>
  <c r="K11" i="14" s="1"/>
  <c r="L7" i="14"/>
  <c r="L11" i="14" s="1"/>
  <c r="N85" i="4"/>
  <c r="D109" i="89" s="1"/>
  <c r="N69" i="4"/>
  <c r="D94" i="89" s="1"/>
  <c r="N77" i="4"/>
  <c r="D103" i="89" s="1"/>
  <c r="K122" i="5"/>
  <c r="J122" i="5"/>
  <c r="Q62" i="4"/>
  <c r="G89" i="89" s="1"/>
  <c r="Q78" i="4"/>
  <c r="G104" i="89" s="1"/>
  <c r="L336" i="2" l="1"/>
  <c r="L167" i="5"/>
  <c r="L337" i="2" s="1"/>
  <c r="M336" i="2"/>
  <c r="J29" i="5"/>
  <c r="J20" i="5" s="1"/>
  <c r="J118" i="5"/>
  <c r="J190" i="2" s="1"/>
  <c r="M33" i="5"/>
  <c r="Q93" i="5"/>
  <c r="P93" i="5"/>
  <c r="P316" i="2"/>
  <c r="P155" i="5" s="1"/>
  <c r="N316" i="2"/>
  <c r="N155" i="5" s="1"/>
  <c r="K22" i="5"/>
  <c r="J22" i="5"/>
  <c r="V22" i="15"/>
  <c r="J110" i="5"/>
  <c r="J178" i="2" s="1"/>
  <c r="U22" i="15"/>
  <c r="T22" i="15"/>
  <c r="W22" i="15"/>
  <c r="L9" i="6"/>
  <c r="L10" i="6" s="1"/>
  <c r="K110" i="5"/>
  <c r="K178" i="2" s="1"/>
  <c r="K30" i="5"/>
  <c r="L291" i="5"/>
  <c r="L642" i="2" s="1"/>
  <c r="M23" i="6"/>
  <c r="M20" i="6" s="1"/>
  <c r="P62" i="6"/>
  <c r="N52" i="5"/>
  <c r="N96" i="5"/>
  <c r="N41" i="5"/>
  <c r="N85" i="5"/>
  <c r="J24" i="5"/>
  <c r="K24" i="5"/>
  <c r="N336" i="2" l="1"/>
  <c r="N168" i="5" s="1"/>
  <c r="P336" i="2"/>
  <c r="K29" i="5"/>
  <c r="K118" i="5"/>
  <c r="K190" i="2" s="1"/>
  <c r="T178" i="2"/>
  <c r="S178" i="2"/>
  <c r="R178" i="2"/>
  <c r="P178" i="2"/>
  <c r="Q178" i="2"/>
  <c r="Q62" i="6"/>
  <c r="Q59" i="6" s="1"/>
  <c r="G206" i="89" s="1"/>
  <c r="P59" i="6"/>
  <c r="F206" i="89" s="1"/>
  <c r="P95" i="5"/>
  <c r="Q95" i="5"/>
  <c r="O23" i="6"/>
  <c r="N23" i="6"/>
  <c r="J19" i="5"/>
  <c r="Q316" i="2"/>
  <c r="L147" i="6"/>
  <c r="L13" i="6" s="1"/>
  <c r="L8" i="6" s="1"/>
  <c r="L12" i="3" s="1"/>
  <c r="M9" i="6"/>
  <c r="N130" i="5"/>
  <c r="D181" i="89" s="1"/>
  <c r="P85" i="5"/>
  <c r="P41" i="5"/>
  <c r="N63" i="5"/>
  <c r="P96" i="5"/>
  <c r="P52" i="5"/>
  <c r="P63" i="5"/>
  <c r="P74" i="5"/>
  <c r="T336" i="2" l="1"/>
  <c r="T168" i="5" s="1"/>
  <c r="S336" i="2"/>
  <c r="S168" i="5" s="1"/>
  <c r="P168" i="5"/>
  <c r="Q336" i="2"/>
  <c r="Q168" i="5" s="1"/>
  <c r="R336" i="2"/>
  <c r="R168" i="5" s="1"/>
  <c r="P92" i="5"/>
  <c r="F154" i="89" s="1"/>
  <c r="N129" i="5"/>
  <c r="D180" i="89" s="1"/>
  <c r="P23" i="6"/>
  <c r="Q155" i="5"/>
  <c r="R316" i="2"/>
  <c r="K20" i="5"/>
  <c r="K19" i="5" s="1"/>
  <c r="K9" i="5" s="1"/>
  <c r="K290" i="5" s="1"/>
  <c r="M147" i="6"/>
  <c r="M706" i="2" s="1"/>
  <c r="L706" i="2"/>
  <c r="J9" i="5"/>
  <c r="R62" i="6"/>
  <c r="R59" i="6" s="1"/>
  <c r="H206" i="89" s="1"/>
  <c r="Q96" i="5"/>
  <c r="Q92" i="5" s="1"/>
  <c r="G154" i="89" s="1"/>
  <c r="Q41" i="5"/>
  <c r="Q74" i="5"/>
  <c r="Q63" i="5"/>
  <c r="Q52" i="5"/>
  <c r="Q85" i="5"/>
  <c r="M35" i="5"/>
  <c r="O129" i="5" l="1"/>
  <c r="E180" i="89" s="1"/>
  <c r="P100" i="3"/>
  <c r="N122" i="5"/>
  <c r="D176" i="89" s="1"/>
  <c r="Q100" i="3"/>
  <c r="M34" i="5"/>
  <c r="M103" i="3" s="1"/>
  <c r="M95" i="3"/>
  <c r="Q23" i="6"/>
  <c r="R155" i="5"/>
  <c r="S316" i="2"/>
  <c r="M13" i="6"/>
  <c r="O13" i="6" s="1"/>
  <c r="O147" i="6"/>
  <c r="J290" i="5"/>
  <c r="J13" i="5" s="1"/>
  <c r="J8" i="5" s="1"/>
  <c r="J9" i="3" s="1"/>
  <c r="K13" i="5"/>
  <c r="K8" i="5" s="1"/>
  <c r="K9" i="3" s="1"/>
  <c r="S62" i="6"/>
  <c r="S85" i="5"/>
  <c r="R85" i="5"/>
  <c r="S96" i="5"/>
  <c r="R96" i="5"/>
  <c r="R74" i="5"/>
  <c r="R63" i="5"/>
  <c r="R41" i="5"/>
  <c r="S41" i="5"/>
  <c r="R52" i="5"/>
  <c r="S52" i="5"/>
  <c r="L35" i="5"/>
  <c r="O130" i="5" l="1"/>
  <c r="N22" i="5"/>
  <c r="D120" i="89" s="1"/>
  <c r="O122" i="5"/>
  <c r="E176" i="89" s="1"/>
  <c r="M93" i="3"/>
  <c r="M101" i="3"/>
  <c r="L34" i="5"/>
  <c r="L103" i="3" s="1"/>
  <c r="L101" i="3" s="1"/>
  <c r="L95" i="3"/>
  <c r="L93" i="3" s="1"/>
  <c r="O22" i="5"/>
  <c r="E120" i="89" s="1"/>
  <c r="R23" i="6"/>
  <c r="S155" i="5"/>
  <c r="T316" i="2"/>
  <c r="T155" i="5" s="1"/>
  <c r="T153" i="5" s="1"/>
  <c r="T62" i="6"/>
  <c r="S74" i="5"/>
  <c r="S63" i="5"/>
  <c r="O275" i="2" l="1"/>
  <c r="E181" i="89"/>
  <c r="L109" i="3"/>
  <c r="M109" i="3"/>
  <c r="M111" i="3" s="1"/>
  <c r="T156" i="5"/>
  <c r="T152" i="5" s="1"/>
  <c r="J185" i="89" s="1"/>
  <c r="O41" i="2"/>
  <c r="L78" i="2"/>
  <c r="K78" i="2"/>
  <c r="J78" i="2"/>
  <c r="K145" i="5" l="1"/>
  <c r="K146" i="5" s="1"/>
  <c r="K292" i="2" s="1"/>
  <c r="K150" i="5"/>
  <c r="L67" i="86"/>
  <c r="L68" i="86" s="1"/>
  <c r="L145" i="5"/>
  <c r="L146" i="5" s="1"/>
  <c r="L292" i="2" s="1"/>
  <c r="L150" i="5"/>
  <c r="L151" i="5" s="1"/>
  <c r="L291" i="2" s="1"/>
  <c r="M67" i="86"/>
  <c r="M68" i="86" s="1"/>
  <c r="J145" i="5"/>
  <c r="J146" i="5" s="1"/>
  <c r="J292" i="2" s="1"/>
  <c r="J150" i="5"/>
  <c r="K67" i="86"/>
  <c r="K68" i="86" s="1"/>
  <c r="J150" i="4"/>
  <c r="J149" i="4" s="1"/>
  <c r="K150" i="4"/>
  <c r="K149" i="4" s="1"/>
  <c r="L150" i="4"/>
  <c r="L149" i="4" s="1"/>
  <c r="K229" i="5"/>
  <c r="K228" i="5" s="1"/>
  <c r="K581" i="2" s="1"/>
  <c r="K224" i="5"/>
  <c r="K223" i="5" s="1"/>
  <c r="K580" i="2" s="1"/>
  <c r="K219" i="5"/>
  <c r="K218" i="5" s="1"/>
  <c r="K579" i="2" s="1"/>
  <c r="K214" i="5"/>
  <c r="K213" i="5" s="1"/>
  <c r="K578" i="2" s="1"/>
  <c r="L214" i="5"/>
  <c r="L213" i="5" s="1"/>
  <c r="L578" i="2" s="1"/>
  <c r="L229" i="5"/>
  <c r="L228" i="5" s="1"/>
  <c r="L581" i="2" s="1"/>
  <c r="L224" i="5"/>
  <c r="L223" i="5" s="1"/>
  <c r="L580" i="2" s="1"/>
  <c r="L219" i="5"/>
  <c r="L218" i="5" s="1"/>
  <c r="L579" i="2" s="1"/>
  <c r="J214" i="5"/>
  <c r="J213" i="5" s="1"/>
  <c r="J578" i="2" s="1"/>
  <c r="J229" i="5"/>
  <c r="J228" i="5" s="1"/>
  <c r="J581" i="2" s="1"/>
  <c r="J224" i="5"/>
  <c r="J223" i="5" s="1"/>
  <c r="J580" i="2" s="1"/>
  <c r="J219" i="5"/>
  <c r="J218" i="5" s="1"/>
  <c r="J579" i="2" s="1"/>
  <c r="J134" i="4"/>
  <c r="J133" i="4" s="1"/>
  <c r="J495" i="2" s="1"/>
  <c r="J124" i="4"/>
  <c r="J123" i="4" s="1"/>
  <c r="J494" i="2" s="1"/>
  <c r="J129" i="4"/>
  <c r="J128" i="4" s="1"/>
  <c r="J496" i="2" s="1"/>
  <c r="J119" i="4"/>
  <c r="J118" i="4" s="1"/>
  <c r="J493" i="2" s="1"/>
  <c r="K129" i="4"/>
  <c r="K128" i="4" s="1"/>
  <c r="K496" i="2" s="1"/>
  <c r="K119" i="4"/>
  <c r="K118" i="4" s="1"/>
  <c r="K493" i="2" s="1"/>
  <c r="K134" i="4"/>
  <c r="K133" i="4" s="1"/>
  <c r="K495" i="2" s="1"/>
  <c r="K124" i="4"/>
  <c r="K123" i="4" s="1"/>
  <c r="K494" i="2" s="1"/>
  <c r="L134" i="4"/>
  <c r="L133" i="4" s="1"/>
  <c r="L495" i="2" s="1"/>
  <c r="L124" i="4"/>
  <c r="L123" i="4" s="1"/>
  <c r="L494" i="2" s="1"/>
  <c r="L129" i="4"/>
  <c r="L128" i="4" s="1"/>
  <c r="L496" i="2" s="1"/>
  <c r="L119" i="4"/>
  <c r="L118" i="4" s="1"/>
  <c r="L493" i="2" s="1"/>
  <c r="M86" i="3"/>
  <c r="M112" i="3"/>
  <c r="M94" i="3"/>
  <c r="M102" i="3"/>
  <c r="M110" i="3"/>
  <c r="L111" i="3"/>
  <c r="G42" i="3"/>
  <c r="G33" i="3" s="1"/>
  <c r="F22" i="89" s="1"/>
  <c r="L112" i="3" l="1"/>
  <c r="L86" i="3"/>
  <c r="L94" i="3"/>
  <c r="L102" i="3"/>
  <c r="L110" i="3"/>
  <c r="N26" i="4"/>
  <c r="N33" i="4"/>
  <c r="N61" i="4"/>
  <c r="N40" i="4"/>
  <c r="N80" i="5"/>
  <c r="N58" i="5"/>
  <c r="N47" i="5"/>
  <c r="N54" i="4"/>
  <c r="N36" i="5"/>
  <c r="N47" i="4"/>
  <c r="N91" i="5"/>
  <c r="P59" i="4"/>
  <c r="P92" i="3" s="1"/>
  <c r="P89" i="5"/>
  <c r="P108" i="3" s="1"/>
  <c r="Q59" i="4"/>
  <c r="Q92" i="3" s="1"/>
  <c r="Q89" i="5"/>
  <c r="Q108" i="3" s="1"/>
  <c r="R59" i="4"/>
  <c r="R89" i="5"/>
  <c r="S59" i="4"/>
  <c r="S89" i="5"/>
  <c r="I39" i="18"/>
  <c r="I40" i="18" s="1"/>
  <c r="J40" i="18" s="1"/>
  <c r="K40" i="18" s="1"/>
  <c r="H39" i="18"/>
  <c r="H40" i="18" s="1"/>
  <c r="G39" i="18"/>
  <c r="G40" i="18" s="1"/>
  <c r="F39" i="18"/>
  <c r="F40" i="18" s="1"/>
  <c r="E39" i="18"/>
  <c r="E40" i="18" s="1"/>
  <c r="D39" i="18"/>
  <c r="D40" i="18" s="1"/>
  <c r="K38" i="18"/>
  <c r="J38" i="18"/>
  <c r="K37" i="18"/>
  <c r="J37" i="18"/>
  <c r="K36" i="18"/>
  <c r="J36" i="18"/>
  <c r="J41" i="18" s="1"/>
  <c r="K35" i="18"/>
  <c r="I29" i="18"/>
  <c r="I30" i="18" s="1"/>
  <c r="J30" i="18" s="1"/>
  <c r="H29" i="18"/>
  <c r="H30" i="18" s="1"/>
  <c r="G29" i="18"/>
  <c r="G30" i="18" s="1"/>
  <c r="F29" i="18"/>
  <c r="F30" i="18" s="1"/>
  <c r="E29" i="18"/>
  <c r="E30" i="18" s="1"/>
  <c r="D29" i="18"/>
  <c r="D30" i="18" s="1"/>
  <c r="J28" i="18"/>
  <c r="K27" i="18"/>
  <c r="J27" i="18"/>
  <c r="K26" i="18"/>
  <c r="K31" i="18" s="1"/>
  <c r="J26" i="18"/>
  <c r="J25" i="18"/>
  <c r="I21" i="18"/>
  <c r="J21" i="18" s="1"/>
  <c r="H21" i="18"/>
  <c r="G21" i="18"/>
  <c r="F21" i="18"/>
  <c r="E21" i="18"/>
  <c r="D21" i="18"/>
  <c r="C21" i="18"/>
  <c r="I20" i="18"/>
  <c r="J20" i="18" s="1"/>
  <c r="H20" i="18"/>
  <c r="G20" i="18"/>
  <c r="F20" i="18"/>
  <c r="E20" i="18"/>
  <c r="D20" i="18"/>
  <c r="C20" i="18"/>
  <c r="I17" i="18"/>
  <c r="H17" i="18"/>
  <c r="G17" i="18"/>
  <c r="G12" i="18" s="1"/>
  <c r="F17" i="18"/>
  <c r="F12" i="18" s="1"/>
  <c r="E17" i="18"/>
  <c r="E12" i="18" s="1"/>
  <c r="D17" i="18"/>
  <c r="D12" i="18" s="1"/>
  <c r="C17" i="18"/>
  <c r="K60" i="4"/>
  <c r="J60" i="4"/>
  <c r="K53" i="4"/>
  <c r="J53" i="4"/>
  <c r="W28" i="16"/>
  <c r="V28" i="16"/>
  <c r="U28" i="16"/>
  <c r="T28" i="16"/>
  <c r="K39" i="4"/>
  <c r="J39" i="4"/>
  <c r="K32" i="4"/>
  <c r="J32" i="4"/>
  <c r="T31" i="16"/>
  <c r="W30" i="16"/>
  <c r="V29" i="16"/>
  <c r="W29" i="16" s="1"/>
  <c r="K85" i="4"/>
  <c r="K46" i="2" s="1"/>
  <c r="J85" i="4"/>
  <c r="J46" i="2" s="1"/>
  <c r="K81" i="4"/>
  <c r="K45" i="2" s="1"/>
  <c r="J77" i="4"/>
  <c r="J44" i="2" s="1"/>
  <c r="K69" i="4"/>
  <c r="K42" i="2" s="1"/>
  <c r="K58" i="4"/>
  <c r="J37" i="4"/>
  <c r="J23" i="4"/>
  <c r="E885" i="16"/>
  <c r="D885" i="16"/>
  <c r="C885" i="16"/>
  <c r="E884" i="16"/>
  <c r="D884" i="16"/>
  <c r="C884" i="16"/>
  <c r="E883" i="16"/>
  <c r="D883" i="16"/>
  <c r="C883" i="16"/>
  <c r="E882" i="16"/>
  <c r="D882" i="16"/>
  <c r="C882" i="16"/>
  <c r="E881" i="16"/>
  <c r="D881" i="16"/>
  <c r="C881" i="16"/>
  <c r="E880" i="16"/>
  <c r="D880" i="16"/>
  <c r="C880" i="16"/>
  <c r="E879" i="16"/>
  <c r="D879" i="16"/>
  <c r="C879" i="16"/>
  <c r="E878" i="16"/>
  <c r="D878" i="16"/>
  <c r="C878" i="16"/>
  <c r="E877" i="16"/>
  <c r="D877" i="16"/>
  <c r="C877" i="16"/>
  <c r="E876" i="16"/>
  <c r="D876" i="16"/>
  <c r="C876" i="16"/>
  <c r="E875" i="16"/>
  <c r="D875" i="16"/>
  <c r="C875" i="16"/>
  <c r="E874" i="16"/>
  <c r="D874" i="16"/>
  <c r="C874" i="16"/>
  <c r="E873" i="16"/>
  <c r="D873" i="16"/>
  <c r="C873" i="16"/>
  <c r="E872" i="16"/>
  <c r="D872" i="16"/>
  <c r="C872" i="16"/>
  <c r="E871" i="16"/>
  <c r="D871" i="16"/>
  <c r="C871" i="16"/>
  <c r="E870" i="16"/>
  <c r="D870" i="16"/>
  <c r="C870" i="16"/>
  <c r="E869" i="16"/>
  <c r="D869" i="16"/>
  <c r="C869" i="16"/>
  <c r="E868" i="16"/>
  <c r="D868" i="16"/>
  <c r="C868" i="16"/>
  <c r="E867" i="16"/>
  <c r="D867" i="16"/>
  <c r="C867" i="16"/>
  <c r="E866" i="16"/>
  <c r="D866" i="16"/>
  <c r="C866" i="16"/>
  <c r="E865" i="16"/>
  <c r="D865" i="16"/>
  <c r="C865" i="16"/>
  <c r="E864" i="16"/>
  <c r="D864" i="16"/>
  <c r="C864" i="16"/>
  <c r="E863" i="16"/>
  <c r="D863" i="16"/>
  <c r="C863" i="16"/>
  <c r="E862" i="16"/>
  <c r="D862" i="16"/>
  <c r="C862" i="16"/>
  <c r="E861" i="16"/>
  <c r="D861" i="16"/>
  <c r="C861" i="16"/>
  <c r="E860" i="16"/>
  <c r="D860" i="16"/>
  <c r="C860" i="16"/>
  <c r="E859" i="16"/>
  <c r="D859" i="16"/>
  <c r="C859" i="16"/>
  <c r="E858" i="16"/>
  <c r="D858" i="16"/>
  <c r="C858" i="16"/>
  <c r="E857" i="16"/>
  <c r="D857" i="16"/>
  <c r="C857" i="16"/>
  <c r="E856" i="16"/>
  <c r="D856" i="16"/>
  <c r="C856" i="16"/>
  <c r="E855" i="16"/>
  <c r="D855" i="16"/>
  <c r="C855" i="16"/>
  <c r="E854" i="16"/>
  <c r="D854" i="16"/>
  <c r="C854" i="16"/>
  <c r="E853" i="16"/>
  <c r="D853" i="16"/>
  <c r="C853" i="16"/>
  <c r="E852" i="16"/>
  <c r="D852" i="16"/>
  <c r="C852" i="16"/>
  <c r="E851" i="16"/>
  <c r="D851" i="16"/>
  <c r="C851" i="16"/>
  <c r="E850" i="16"/>
  <c r="D850" i="16"/>
  <c r="C850" i="16"/>
  <c r="E849" i="16"/>
  <c r="D849" i="16"/>
  <c r="C849" i="16"/>
  <c r="E848" i="16"/>
  <c r="D848" i="16"/>
  <c r="C848" i="16"/>
  <c r="E847" i="16"/>
  <c r="D847" i="16"/>
  <c r="C847" i="16"/>
  <c r="E846" i="16"/>
  <c r="D846" i="16"/>
  <c r="C846" i="16"/>
  <c r="E845" i="16"/>
  <c r="D845" i="16"/>
  <c r="C845" i="16"/>
  <c r="E844" i="16"/>
  <c r="D844" i="16"/>
  <c r="C844" i="16"/>
  <c r="E843" i="16"/>
  <c r="D843" i="16"/>
  <c r="C843" i="16"/>
  <c r="E842" i="16"/>
  <c r="D842" i="16"/>
  <c r="C842" i="16"/>
  <c r="E841" i="16"/>
  <c r="D841" i="16"/>
  <c r="C841" i="16"/>
  <c r="E840" i="16"/>
  <c r="D840" i="16"/>
  <c r="C840" i="16"/>
  <c r="E839" i="16"/>
  <c r="D839" i="16"/>
  <c r="C839" i="16"/>
  <c r="E838" i="16"/>
  <c r="D838" i="16"/>
  <c r="C838" i="16"/>
  <c r="E837" i="16"/>
  <c r="D837" i="16"/>
  <c r="C837" i="16"/>
  <c r="E836" i="16"/>
  <c r="D836" i="16"/>
  <c r="C836" i="16"/>
  <c r="E835" i="16"/>
  <c r="D835" i="16"/>
  <c r="C835" i="16"/>
  <c r="E834" i="16"/>
  <c r="D834" i="16"/>
  <c r="C834" i="16"/>
  <c r="E833" i="16"/>
  <c r="D833" i="16"/>
  <c r="C833" i="16"/>
  <c r="E832" i="16"/>
  <c r="D832" i="16"/>
  <c r="C832" i="16"/>
  <c r="E831" i="16"/>
  <c r="D831" i="16"/>
  <c r="C831" i="16"/>
  <c r="E830" i="16"/>
  <c r="D830" i="16"/>
  <c r="C830" i="16"/>
  <c r="E829" i="16"/>
  <c r="D829" i="16"/>
  <c r="C829" i="16"/>
  <c r="E828" i="16"/>
  <c r="D828" i="16"/>
  <c r="C828" i="16"/>
  <c r="E827" i="16"/>
  <c r="D827" i="16"/>
  <c r="C827" i="16"/>
  <c r="E826" i="16"/>
  <c r="D826" i="16"/>
  <c r="C826" i="16"/>
  <c r="E825" i="16"/>
  <c r="D825" i="16"/>
  <c r="C825" i="16"/>
  <c r="E824" i="16"/>
  <c r="D824" i="16"/>
  <c r="C824" i="16"/>
  <c r="E823" i="16"/>
  <c r="D823" i="16"/>
  <c r="C823" i="16"/>
  <c r="E822" i="16"/>
  <c r="D822" i="16"/>
  <c r="C822" i="16"/>
  <c r="E821" i="16"/>
  <c r="D821" i="16"/>
  <c r="C821" i="16"/>
  <c r="E820" i="16"/>
  <c r="D820" i="16"/>
  <c r="C820" i="16"/>
  <c r="E819" i="16"/>
  <c r="D819" i="16"/>
  <c r="C819" i="16"/>
  <c r="E818" i="16"/>
  <c r="D818" i="16"/>
  <c r="C818" i="16"/>
  <c r="E817" i="16"/>
  <c r="D817" i="16"/>
  <c r="C817" i="16"/>
  <c r="E816" i="16"/>
  <c r="D816" i="16"/>
  <c r="C816" i="16"/>
  <c r="E815" i="16"/>
  <c r="D815" i="16"/>
  <c r="C815" i="16"/>
  <c r="E814" i="16"/>
  <c r="D814" i="16"/>
  <c r="C814" i="16"/>
  <c r="E813" i="16"/>
  <c r="D813" i="16"/>
  <c r="C813" i="16"/>
  <c r="E812" i="16"/>
  <c r="D812" i="16"/>
  <c r="C812" i="16"/>
  <c r="E811" i="16"/>
  <c r="D811" i="16"/>
  <c r="C811" i="16"/>
  <c r="E810" i="16"/>
  <c r="D810" i="16"/>
  <c r="C810" i="16"/>
  <c r="E809" i="16"/>
  <c r="D809" i="16"/>
  <c r="C809" i="16"/>
  <c r="E808" i="16"/>
  <c r="D808" i="16"/>
  <c r="C808" i="16"/>
  <c r="E807" i="16"/>
  <c r="D807" i="16"/>
  <c r="C807" i="16"/>
  <c r="E806" i="16"/>
  <c r="D806" i="16"/>
  <c r="C806" i="16"/>
  <c r="E805" i="16"/>
  <c r="D805" i="16"/>
  <c r="C805" i="16"/>
  <c r="E804" i="16"/>
  <c r="D804" i="16"/>
  <c r="C804" i="16"/>
  <c r="E803" i="16"/>
  <c r="D803" i="16"/>
  <c r="C803" i="16"/>
  <c r="E802" i="16"/>
  <c r="D802" i="16"/>
  <c r="C802" i="16"/>
  <c r="E801" i="16"/>
  <c r="D801" i="16"/>
  <c r="C801" i="16"/>
  <c r="E800" i="16"/>
  <c r="D800" i="16"/>
  <c r="C800" i="16"/>
  <c r="E799" i="16"/>
  <c r="D799" i="16"/>
  <c r="C799" i="16"/>
  <c r="E798" i="16"/>
  <c r="D798" i="16"/>
  <c r="C798" i="16"/>
  <c r="E797" i="16"/>
  <c r="D797" i="16"/>
  <c r="C797" i="16"/>
  <c r="E796" i="16"/>
  <c r="D796" i="16"/>
  <c r="C796" i="16"/>
  <c r="E795" i="16"/>
  <c r="D795" i="16"/>
  <c r="C795" i="16"/>
  <c r="E794" i="16"/>
  <c r="D794" i="16"/>
  <c r="C794" i="16"/>
  <c r="E793" i="16"/>
  <c r="D793" i="16"/>
  <c r="C793" i="16"/>
  <c r="E792" i="16"/>
  <c r="D792" i="16"/>
  <c r="C792" i="16"/>
  <c r="E791" i="16"/>
  <c r="D791" i="16"/>
  <c r="C791" i="16"/>
  <c r="E790" i="16"/>
  <c r="D790" i="16"/>
  <c r="C790" i="16"/>
  <c r="E789" i="16"/>
  <c r="D789" i="16"/>
  <c r="C789" i="16"/>
  <c r="E788" i="16"/>
  <c r="D788" i="16"/>
  <c r="C788" i="16"/>
  <c r="E787" i="16"/>
  <c r="D787" i="16"/>
  <c r="C787" i="16"/>
  <c r="E786" i="16"/>
  <c r="D786" i="16"/>
  <c r="C786" i="16"/>
  <c r="E785" i="16"/>
  <c r="D785" i="16"/>
  <c r="C785" i="16"/>
  <c r="E784" i="16"/>
  <c r="D784" i="16"/>
  <c r="C784" i="16"/>
  <c r="E783" i="16"/>
  <c r="D783" i="16"/>
  <c r="C783" i="16"/>
  <c r="E782" i="16"/>
  <c r="D782" i="16"/>
  <c r="C782" i="16"/>
  <c r="E781" i="16"/>
  <c r="D781" i="16"/>
  <c r="C781" i="16"/>
  <c r="E780" i="16"/>
  <c r="D780" i="16"/>
  <c r="C780" i="16"/>
  <c r="E779" i="16"/>
  <c r="D779" i="16"/>
  <c r="C779" i="16"/>
  <c r="E778" i="16"/>
  <c r="D778" i="16"/>
  <c r="C778" i="16"/>
  <c r="E777" i="16"/>
  <c r="D777" i="16"/>
  <c r="C777" i="16"/>
  <c r="E776" i="16"/>
  <c r="D776" i="16"/>
  <c r="C776" i="16"/>
  <c r="E775" i="16"/>
  <c r="D775" i="16"/>
  <c r="C775" i="16"/>
  <c r="E774" i="16"/>
  <c r="D774" i="16"/>
  <c r="C774" i="16"/>
  <c r="E773" i="16"/>
  <c r="D773" i="16"/>
  <c r="C773" i="16"/>
  <c r="E772" i="16"/>
  <c r="D772" i="16"/>
  <c r="C772" i="16"/>
  <c r="E771" i="16"/>
  <c r="D771" i="16"/>
  <c r="C771" i="16"/>
  <c r="E770" i="16"/>
  <c r="D770" i="16"/>
  <c r="C770" i="16"/>
  <c r="E769" i="16"/>
  <c r="D769" i="16"/>
  <c r="C769" i="16"/>
  <c r="E768" i="16"/>
  <c r="D768" i="16"/>
  <c r="C768" i="16"/>
  <c r="E767" i="16"/>
  <c r="D767" i="16"/>
  <c r="C767" i="16"/>
  <c r="E766" i="16"/>
  <c r="D766" i="16"/>
  <c r="C766" i="16"/>
  <c r="E765" i="16"/>
  <c r="D765" i="16"/>
  <c r="C765" i="16"/>
  <c r="E764" i="16"/>
  <c r="D764" i="16"/>
  <c r="C764" i="16"/>
  <c r="E763" i="16"/>
  <c r="D763" i="16"/>
  <c r="C763" i="16"/>
  <c r="E762" i="16"/>
  <c r="D762" i="16"/>
  <c r="C762" i="16"/>
  <c r="E761" i="16"/>
  <c r="D761" i="16"/>
  <c r="C761" i="16"/>
  <c r="E760" i="16"/>
  <c r="D760" i="16"/>
  <c r="C760" i="16"/>
  <c r="E759" i="16"/>
  <c r="D759" i="16"/>
  <c r="C759" i="16"/>
  <c r="E758" i="16"/>
  <c r="D758" i="16"/>
  <c r="C758" i="16"/>
  <c r="E757" i="16"/>
  <c r="D757" i="16"/>
  <c r="C757" i="16"/>
  <c r="E756" i="16"/>
  <c r="D756" i="16"/>
  <c r="C756" i="16"/>
  <c r="E755" i="16"/>
  <c r="D755" i="16"/>
  <c r="C755" i="16"/>
  <c r="E754" i="16"/>
  <c r="D754" i="16"/>
  <c r="C754" i="16"/>
  <c r="E753" i="16"/>
  <c r="D753" i="16"/>
  <c r="C753" i="16"/>
  <c r="E752" i="16"/>
  <c r="D752" i="16"/>
  <c r="C752" i="16"/>
  <c r="E751" i="16"/>
  <c r="D751" i="16"/>
  <c r="C751" i="16"/>
  <c r="E750" i="16"/>
  <c r="D750" i="16"/>
  <c r="C750" i="16"/>
  <c r="E749" i="16"/>
  <c r="D749" i="16"/>
  <c r="C749" i="16"/>
  <c r="E748" i="16"/>
  <c r="D748" i="16"/>
  <c r="C748" i="16"/>
  <c r="E747" i="16"/>
  <c r="D747" i="16"/>
  <c r="C747" i="16"/>
  <c r="E746" i="16"/>
  <c r="D746" i="16"/>
  <c r="C746" i="16"/>
  <c r="E745" i="16"/>
  <c r="D745" i="16"/>
  <c r="C745" i="16"/>
  <c r="E744" i="16"/>
  <c r="D744" i="16"/>
  <c r="C744" i="16"/>
  <c r="E743" i="16"/>
  <c r="D743" i="16"/>
  <c r="C743" i="16"/>
  <c r="E742" i="16"/>
  <c r="D742" i="16"/>
  <c r="C742" i="16"/>
  <c r="E741" i="16"/>
  <c r="D741" i="16"/>
  <c r="C741" i="16"/>
  <c r="E740" i="16"/>
  <c r="D740" i="16"/>
  <c r="C740" i="16"/>
  <c r="E739" i="16"/>
  <c r="D739" i="16"/>
  <c r="C739" i="16"/>
  <c r="E738" i="16"/>
  <c r="D738" i="16"/>
  <c r="C738" i="16"/>
  <c r="E737" i="16"/>
  <c r="D737" i="16"/>
  <c r="C737" i="16"/>
  <c r="E736" i="16"/>
  <c r="D736" i="16"/>
  <c r="C736" i="16"/>
  <c r="E735" i="16"/>
  <c r="D735" i="16"/>
  <c r="C735" i="16"/>
  <c r="E734" i="16"/>
  <c r="D734" i="16"/>
  <c r="C734" i="16"/>
  <c r="E733" i="16"/>
  <c r="D733" i="16"/>
  <c r="C733" i="16"/>
  <c r="E732" i="16"/>
  <c r="D732" i="16"/>
  <c r="C732" i="16"/>
  <c r="E731" i="16"/>
  <c r="D731" i="16"/>
  <c r="C731" i="16"/>
  <c r="E730" i="16"/>
  <c r="D730" i="16"/>
  <c r="C730" i="16"/>
  <c r="E729" i="16"/>
  <c r="D729" i="16"/>
  <c r="C729" i="16"/>
  <c r="E728" i="16"/>
  <c r="D728" i="16"/>
  <c r="C728" i="16"/>
  <c r="E727" i="16"/>
  <c r="D727" i="16"/>
  <c r="C727" i="16"/>
  <c r="E726" i="16"/>
  <c r="D726" i="16"/>
  <c r="C726" i="16"/>
  <c r="E725" i="16"/>
  <c r="D725" i="16"/>
  <c r="C725" i="16"/>
  <c r="E724" i="16"/>
  <c r="D724" i="16"/>
  <c r="C724" i="16"/>
  <c r="E723" i="16"/>
  <c r="D723" i="16"/>
  <c r="C723" i="16"/>
  <c r="E722" i="16"/>
  <c r="D722" i="16"/>
  <c r="C722" i="16"/>
  <c r="E721" i="16"/>
  <c r="D721" i="16"/>
  <c r="C721" i="16"/>
  <c r="E720" i="16"/>
  <c r="D720" i="16"/>
  <c r="C720" i="16"/>
  <c r="E719" i="16"/>
  <c r="D719" i="16"/>
  <c r="C719" i="16"/>
  <c r="E718" i="16"/>
  <c r="D718" i="16"/>
  <c r="C718" i="16"/>
  <c r="E717" i="16"/>
  <c r="D717" i="16"/>
  <c r="C717" i="16"/>
  <c r="E716" i="16"/>
  <c r="D716" i="16"/>
  <c r="C716" i="16"/>
  <c r="E715" i="16"/>
  <c r="D715" i="16"/>
  <c r="C715" i="16"/>
  <c r="E714" i="16"/>
  <c r="D714" i="16"/>
  <c r="C714" i="16"/>
  <c r="E713" i="16"/>
  <c r="D713" i="16"/>
  <c r="C713" i="16"/>
  <c r="E712" i="16"/>
  <c r="D712" i="16"/>
  <c r="C712" i="16"/>
  <c r="E711" i="16"/>
  <c r="D711" i="16"/>
  <c r="C711" i="16"/>
  <c r="E710" i="16"/>
  <c r="D710" i="16"/>
  <c r="C710" i="16"/>
  <c r="E709" i="16"/>
  <c r="D709" i="16"/>
  <c r="C709" i="16"/>
  <c r="E708" i="16"/>
  <c r="D708" i="16"/>
  <c r="C708" i="16"/>
  <c r="E707" i="16"/>
  <c r="D707" i="16"/>
  <c r="C707" i="16"/>
  <c r="E706" i="16"/>
  <c r="D706" i="16"/>
  <c r="C706" i="16"/>
  <c r="E705" i="16"/>
  <c r="D705" i="16"/>
  <c r="C705" i="16"/>
  <c r="E704" i="16"/>
  <c r="D704" i="16"/>
  <c r="C704" i="16"/>
  <c r="E703" i="16"/>
  <c r="D703" i="16"/>
  <c r="C703" i="16"/>
  <c r="E702" i="16"/>
  <c r="D702" i="16"/>
  <c r="C702" i="16"/>
  <c r="E701" i="16"/>
  <c r="D701" i="16"/>
  <c r="C701" i="16"/>
  <c r="E700" i="16"/>
  <c r="D700" i="16"/>
  <c r="C700" i="16"/>
  <c r="E699" i="16"/>
  <c r="D699" i="16"/>
  <c r="C699" i="16"/>
  <c r="E698" i="16"/>
  <c r="D698" i="16"/>
  <c r="C698" i="16"/>
  <c r="E697" i="16"/>
  <c r="D697" i="16"/>
  <c r="C697" i="16"/>
  <c r="E696" i="16"/>
  <c r="D696" i="16"/>
  <c r="C696" i="16"/>
  <c r="E695" i="16"/>
  <c r="D695" i="16"/>
  <c r="C695" i="16"/>
  <c r="E694" i="16"/>
  <c r="D694" i="16"/>
  <c r="C694" i="16"/>
  <c r="E693" i="16"/>
  <c r="D693" i="16"/>
  <c r="C693" i="16"/>
  <c r="E692" i="16"/>
  <c r="D692" i="16"/>
  <c r="C692" i="16"/>
  <c r="E691" i="16"/>
  <c r="D691" i="16"/>
  <c r="C691" i="16"/>
  <c r="E690" i="16"/>
  <c r="D690" i="16"/>
  <c r="C690" i="16"/>
  <c r="E689" i="16"/>
  <c r="D689" i="16"/>
  <c r="C689" i="16"/>
  <c r="E688" i="16"/>
  <c r="D688" i="16"/>
  <c r="C688" i="16"/>
  <c r="E687" i="16"/>
  <c r="D687" i="16"/>
  <c r="C687" i="16"/>
  <c r="E686" i="16"/>
  <c r="D686" i="16"/>
  <c r="C686" i="16"/>
  <c r="E685" i="16"/>
  <c r="D685" i="16"/>
  <c r="C685" i="16"/>
  <c r="E684" i="16"/>
  <c r="D684" i="16"/>
  <c r="C684" i="16"/>
  <c r="E683" i="16"/>
  <c r="D683" i="16"/>
  <c r="C683" i="16"/>
  <c r="E682" i="16"/>
  <c r="D682" i="16"/>
  <c r="C682" i="16"/>
  <c r="E681" i="16"/>
  <c r="D681" i="16"/>
  <c r="C681" i="16"/>
  <c r="E680" i="16"/>
  <c r="D680" i="16"/>
  <c r="C680" i="16"/>
  <c r="E679" i="16"/>
  <c r="D679" i="16"/>
  <c r="C679" i="16"/>
  <c r="E678" i="16"/>
  <c r="D678" i="16"/>
  <c r="C678" i="16"/>
  <c r="E677" i="16"/>
  <c r="D677" i="16"/>
  <c r="C677" i="16"/>
  <c r="E676" i="16"/>
  <c r="D676" i="16"/>
  <c r="C676" i="16"/>
  <c r="E675" i="16"/>
  <c r="D675" i="16"/>
  <c r="C675" i="16"/>
  <c r="E674" i="16"/>
  <c r="D674" i="16"/>
  <c r="C674" i="16"/>
  <c r="E673" i="16"/>
  <c r="D673" i="16"/>
  <c r="C673" i="16"/>
  <c r="E672" i="16"/>
  <c r="D672" i="16"/>
  <c r="C672" i="16"/>
  <c r="E671" i="16"/>
  <c r="D671" i="16"/>
  <c r="C671" i="16"/>
  <c r="E670" i="16"/>
  <c r="D670" i="16"/>
  <c r="C670" i="16"/>
  <c r="E669" i="16"/>
  <c r="D669" i="16"/>
  <c r="C669" i="16"/>
  <c r="E668" i="16"/>
  <c r="D668" i="16"/>
  <c r="C668" i="16"/>
  <c r="E667" i="16"/>
  <c r="D667" i="16"/>
  <c r="C667" i="16"/>
  <c r="E666" i="16"/>
  <c r="D666" i="16"/>
  <c r="C666" i="16"/>
  <c r="E665" i="16"/>
  <c r="D665" i="16"/>
  <c r="C665" i="16"/>
  <c r="E664" i="16"/>
  <c r="D664" i="16"/>
  <c r="C664" i="16"/>
  <c r="E663" i="16"/>
  <c r="D663" i="16"/>
  <c r="C663" i="16"/>
  <c r="E662" i="16"/>
  <c r="D662" i="16"/>
  <c r="C662" i="16"/>
  <c r="E661" i="16"/>
  <c r="D661" i="16"/>
  <c r="C661" i="16"/>
  <c r="E660" i="16"/>
  <c r="D660" i="16"/>
  <c r="C660" i="16"/>
  <c r="E659" i="16"/>
  <c r="D659" i="16"/>
  <c r="C659" i="16"/>
  <c r="E658" i="16"/>
  <c r="D658" i="16"/>
  <c r="C658" i="16"/>
  <c r="E657" i="16"/>
  <c r="D657" i="16"/>
  <c r="C657" i="16"/>
  <c r="E656" i="16"/>
  <c r="D656" i="16"/>
  <c r="C656" i="16"/>
  <c r="E655" i="16"/>
  <c r="D655" i="16"/>
  <c r="C655" i="16"/>
  <c r="E654" i="16"/>
  <c r="D654" i="16"/>
  <c r="C654" i="16"/>
  <c r="E653" i="16"/>
  <c r="D653" i="16"/>
  <c r="C653" i="16"/>
  <c r="E652" i="16"/>
  <c r="D652" i="16"/>
  <c r="C652" i="16"/>
  <c r="E651" i="16"/>
  <c r="D651" i="16"/>
  <c r="C651" i="16"/>
  <c r="E650" i="16"/>
  <c r="D650" i="16"/>
  <c r="C650" i="16"/>
  <c r="E649" i="16"/>
  <c r="D649" i="16"/>
  <c r="C649" i="16"/>
  <c r="E648" i="16"/>
  <c r="D648" i="16"/>
  <c r="C648" i="16"/>
  <c r="E647" i="16"/>
  <c r="D647" i="16"/>
  <c r="C647" i="16"/>
  <c r="E646" i="16"/>
  <c r="D646" i="16"/>
  <c r="C646" i="16"/>
  <c r="E645" i="16"/>
  <c r="D645" i="16"/>
  <c r="C645" i="16"/>
  <c r="E644" i="16"/>
  <c r="D644" i="16"/>
  <c r="C644" i="16"/>
  <c r="E643" i="16"/>
  <c r="D643" i="16"/>
  <c r="C643" i="16"/>
  <c r="E642" i="16"/>
  <c r="D642" i="16"/>
  <c r="C642" i="16"/>
  <c r="E641" i="16"/>
  <c r="D641" i="16"/>
  <c r="C641" i="16"/>
  <c r="E640" i="16"/>
  <c r="D640" i="16"/>
  <c r="C640" i="16"/>
  <c r="E639" i="16"/>
  <c r="D639" i="16"/>
  <c r="C639" i="16"/>
  <c r="E638" i="16"/>
  <c r="D638" i="16"/>
  <c r="C638" i="16"/>
  <c r="E637" i="16"/>
  <c r="D637" i="16"/>
  <c r="C637" i="16"/>
  <c r="E636" i="16"/>
  <c r="D636" i="16"/>
  <c r="C636" i="16"/>
  <c r="E635" i="16"/>
  <c r="D635" i="16"/>
  <c r="C635" i="16"/>
  <c r="E634" i="16"/>
  <c r="D634" i="16"/>
  <c r="C634" i="16"/>
  <c r="E633" i="16"/>
  <c r="D633" i="16"/>
  <c r="C633" i="16"/>
  <c r="E632" i="16"/>
  <c r="D632" i="16"/>
  <c r="C632" i="16"/>
  <c r="E631" i="16"/>
  <c r="D631" i="16"/>
  <c r="C631" i="16"/>
  <c r="E630" i="16"/>
  <c r="D630" i="16"/>
  <c r="C630" i="16"/>
  <c r="E629" i="16"/>
  <c r="D629" i="16"/>
  <c r="C629" i="16"/>
  <c r="E628" i="16"/>
  <c r="D628" i="16"/>
  <c r="C628" i="16"/>
  <c r="E627" i="16"/>
  <c r="D627" i="16"/>
  <c r="C627" i="16"/>
  <c r="E626" i="16"/>
  <c r="D626" i="16"/>
  <c r="C626" i="16"/>
  <c r="E625" i="16"/>
  <c r="D625" i="16"/>
  <c r="C625" i="16"/>
  <c r="E624" i="16"/>
  <c r="D624" i="16"/>
  <c r="C624" i="16"/>
  <c r="E623" i="16"/>
  <c r="D623" i="16"/>
  <c r="C623" i="16"/>
  <c r="E622" i="16"/>
  <c r="D622" i="16"/>
  <c r="C622" i="16"/>
  <c r="E621" i="16"/>
  <c r="D621" i="16"/>
  <c r="C621" i="16"/>
  <c r="E620" i="16"/>
  <c r="D620" i="16"/>
  <c r="C620" i="16"/>
  <c r="E619" i="16"/>
  <c r="D619" i="16"/>
  <c r="C619" i="16"/>
  <c r="E618" i="16"/>
  <c r="D618" i="16"/>
  <c r="C618" i="16"/>
  <c r="E617" i="16"/>
  <c r="D617" i="16"/>
  <c r="C617" i="16"/>
  <c r="E616" i="16"/>
  <c r="D616" i="16"/>
  <c r="C616" i="16"/>
  <c r="E615" i="16"/>
  <c r="D615" i="16"/>
  <c r="C615" i="16"/>
  <c r="E614" i="16"/>
  <c r="D614" i="16"/>
  <c r="C614" i="16"/>
  <c r="E613" i="16"/>
  <c r="D613" i="16"/>
  <c r="C613" i="16"/>
  <c r="E612" i="16"/>
  <c r="D612" i="16"/>
  <c r="C612" i="16"/>
  <c r="E611" i="16"/>
  <c r="D611" i="16"/>
  <c r="C611" i="16"/>
  <c r="E610" i="16"/>
  <c r="D610" i="16"/>
  <c r="C610" i="16"/>
  <c r="E609" i="16"/>
  <c r="D609" i="16"/>
  <c r="C609" i="16"/>
  <c r="E608" i="16"/>
  <c r="D608" i="16"/>
  <c r="C608" i="16"/>
  <c r="E607" i="16"/>
  <c r="D607" i="16"/>
  <c r="C607" i="16"/>
  <c r="E606" i="16"/>
  <c r="D606" i="16"/>
  <c r="C606" i="16"/>
  <c r="E605" i="16"/>
  <c r="D605" i="16"/>
  <c r="C605" i="16"/>
  <c r="E604" i="16"/>
  <c r="D604" i="16"/>
  <c r="C604" i="16"/>
  <c r="E603" i="16"/>
  <c r="D603" i="16"/>
  <c r="C603" i="16"/>
  <c r="E602" i="16"/>
  <c r="D602" i="16"/>
  <c r="C602" i="16"/>
  <c r="E601" i="16"/>
  <c r="D601" i="16"/>
  <c r="C601" i="16"/>
  <c r="E600" i="16"/>
  <c r="D600" i="16"/>
  <c r="C600" i="16"/>
  <c r="E599" i="16"/>
  <c r="D599" i="16"/>
  <c r="C599" i="16"/>
  <c r="E598" i="16"/>
  <c r="D598" i="16"/>
  <c r="C598" i="16"/>
  <c r="E597" i="16"/>
  <c r="D597" i="16"/>
  <c r="C597" i="16"/>
  <c r="E596" i="16"/>
  <c r="D596" i="16"/>
  <c r="C596" i="16"/>
  <c r="E595" i="16"/>
  <c r="D595" i="16"/>
  <c r="C595" i="16"/>
  <c r="E594" i="16"/>
  <c r="D594" i="16"/>
  <c r="C594" i="16"/>
  <c r="E593" i="16"/>
  <c r="D593" i="16"/>
  <c r="C593" i="16"/>
  <c r="E592" i="16"/>
  <c r="D592" i="16"/>
  <c r="C592" i="16"/>
  <c r="E591" i="16"/>
  <c r="D591" i="16"/>
  <c r="C591" i="16"/>
  <c r="E590" i="16"/>
  <c r="D590" i="16"/>
  <c r="C590" i="16"/>
  <c r="E589" i="16"/>
  <c r="D589" i="16"/>
  <c r="C589" i="16"/>
  <c r="E588" i="16"/>
  <c r="D588" i="16"/>
  <c r="C588" i="16"/>
  <c r="E587" i="16"/>
  <c r="D587" i="16"/>
  <c r="C587" i="16"/>
  <c r="E586" i="16"/>
  <c r="D586" i="16"/>
  <c r="C586" i="16"/>
  <c r="E585" i="16"/>
  <c r="D585" i="16"/>
  <c r="C585" i="16"/>
  <c r="E584" i="16"/>
  <c r="D584" i="16"/>
  <c r="C584" i="16"/>
  <c r="E583" i="16"/>
  <c r="D583" i="16"/>
  <c r="C583" i="16"/>
  <c r="E582" i="16"/>
  <c r="D582" i="16"/>
  <c r="C582" i="16"/>
  <c r="E581" i="16"/>
  <c r="D581" i="16"/>
  <c r="C581" i="16"/>
  <c r="E580" i="16"/>
  <c r="D580" i="16"/>
  <c r="C580" i="16"/>
  <c r="E579" i="16"/>
  <c r="D579" i="16"/>
  <c r="C579" i="16"/>
  <c r="E578" i="16"/>
  <c r="D578" i="16"/>
  <c r="C578" i="16"/>
  <c r="E577" i="16"/>
  <c r="D577" i="16"/>
  <c r="C577" i="16"/>
  <c r="E576" i="16"/>
  <c r="D576" i="16"/>
  <c r="C576" i="16"/>
  <c r="E575" i="16"/>
  <c r="D575" i="16"/>
  <c r="C575" i="16"/>
  <c r="E574" i="16"/>
  <c r="D574" i="16"/>
  <c r="C574" i="16"/>
  <c r="E573" i="16"/>
  <c r="D573" i="16"/>
  <c r="C573" i="16"/>
  <c r="E572" i="16"/>
  <c r="D572" i="16"/>
  <c r="C572" i="16"/>
  <c r="E571" i="16"/>
  <c r="D571" i="16"/>
  <c r="C571" i="16"/>
  <c r="E570" i="16"/>
  <c r="D570" i="16"/>
  <c r="C570" i="16"/>
  <c r="E569" i="16"/>
  <c r="D569" i="16"/>
  <c r="C569" i="16"/>
  <c r="E568" i="16"/>
  <c r="D568" i="16"/>
  <c r="C568" i="16"/>
  <c r="E567" i="16"/>
  <c r="D567" i="16"/>
  <c r="C567" i="16"/>
  <c r="E566" i="16"/>
  <c r="D566" i="16"/>
  <c r="C566" i="16"/>
  <c r="E565" i="16"/>
  <c r="D565" i="16"/>
  <c r="C565" i="16"/>
  <c r="E564" i="16"/>
  <c r="D564" i="16"/>
  <c r="C564" i="16"/>
  <c r="E563" i="16"/>
  <c r="D563" i="16"/>
  <c r="C563" i="16"/>
  <c r="E562" i="16"/>
  <c r="D562" i="16"/>
  <c r="C562" i="16"/>
  <c r="E561" i="16"/>
  <c r="D561" i="16"/>
  <c r="C561" i="16"/>
  <c r="E560" i="16"/>
  <c r="D560" i="16"/>
  <c r="C560" i="16"/>
  <c r="E559" i="16"/>
  <c r="D559" i="16"/>
  <c r="C559" i="16"/>
  <c r="E558" i="16"/>
  <c r="D558" i="16"/>
  <c r="C558" i="16"/>
  <c r="E557" i="16"/>
  <c r="D557" i="16"/>
  <c r="C557" i="16"/>
  <c r="E556" i="16"/>
  <c r="D556" i="16"/>
  <c r="C556" i="16"/>
  <c r="E555" i="16"/>
  <c r="D555" i="16"/>
  <c r="C555" i="16"/>
  <c r="E554" i="16"/>
  <c r="D554" i="16"/>
  <c r="C554" i="16"/>
  <c r="E553" i="16"/>
  <c r="D553" i="16"/>
  <c r="C553" i="16"/>
  <c r="E552" i="16"/>
  <c r="D552" i="16"/>
  <c r="C552" i="16"/>
  <c r="E551" i="16"/>
  <c r="D551" i="16"/>
  <c r="C551" i="16"/>
  <c r="E550" i="16"/>
  <c r="D550" i="16"/>
  <c r="C550" i="16"/>
  <c r="E549" i="16"/>
  <c r="D549" i="16"/>
  <c r="C549" i="16"/>
  <c r="E548" i="16"/>
  <c r="D548" i="16"/>
  <c r="C548" i="16"/>
  <c r="E547" i="16"/>
  <c r="D547" i="16"/>
  <c r="C547" i="16"/>
  <c r="E546" i="16"/>
  <c r="D546" i="16"/>
  <c r="C546" i="16"/>
  <c r="E545" i="16"/>
  <c r="D545" i="16"/>
  <c r="C545" i="16"/>
  <c r="E544" i="16"/>
  <c r="D544" i="16"/>
  <c r="C544" i="16"/>
  <c r="E543" i="16"/>
  <c r="D543" i="16"/>
  <c r="C543" i="16"/>
  <c r="E542" i="16"/>
  <c r="D542" i="16"/>
  <c r="C542" i="16"/>
  <c r="E541" i="16"/>
  <c r="D541" i="16"/>
  <c r="C541" i="16"/>
  <c r="E540" i="16"/>
  <c r="D540" i="16"/>
  <c r="C540" i="16"/>
  <c r="E539" i="16"/>
  <c r="D539" i="16"/>
  <c r="C539" i="16"/>
  <c r="E538" i="16"/>
  <c r="D538" i="16"/>
  <c r="C538" i="16"/>
  <c r="E537" i="16"/>
  <c r="D537" i="16"/>
  <c r="C537" i="16"/>
  <c r="E536" i="16"/>
  <c r="D536" i="16"/>
  <c r="C536" i="16"/>
  <c r="E535" i="16"/>
  <c r="D535" i="16"/>
  <c r="C535" i="16"/>
  <c r="E534" i="16"/>
  <c r="D534" i="16"/>
  <c r="C534" i="16"/>
  <c r="E533" i="16"/>
  <c r="D533" i="16"/>
  <c r="C533" i="16"/>
  <c r="E532" i="16"/>
  <c r="D532" i="16"/>
  <c r="C532" i="16"/>
  <c r="E531" i="16"/>
  <c r="D531" i="16"/>
  <c r="C531" i="16"/>
  <c r="E530" i="16"/>
  <c r="D530" i="16"/>
  <c r="C530" i="16"/>
  <c r="E529" i="16"/>
  <c r="D529" i="16"/>
  <c r="C529" i="16"/>
  <c r="E528" i="16"/>
  <c r="D528" i="16"/>
  <c r="C528" i="16"/>
  <c r="E527" i="16"/>
  <c r="D527" i="16"/>
  <c r="C527" i="16"/>
  <c r="E526" i="16"/>
  <c r="D526" i="16"/>
  <c r="C526" i="16"/>
  <c r="E525" i="16"/>
  <c r="D525" i="16"/>
  <c r="C525" i="16"/>
  <c r="E524" i="16"/>
  <c r="D524" i="16"/>
  <c r="C524" i="16"/>
  <c r="E523" i="16"/>
  <c r="D523" i="16"/>
  <c r="C523" i="16"/>
  <c r="E522" i="16"/>
  <c r="D522" i="16"/>
  <c r="C522" i="16"/>
  <c r="E521" i="16"/>
  <c r="D521" i="16"/>
  <c r="C521" i="16"/>
  <c r="E520" i="16"/>
  <c r="D520" i="16"/>
  <c r="C520" i="16"/>
  <c r="E519" i="16"/>
  <c r="D519" i="16"/>
  <c r="C519" i="16"/>
  <c r="E518" i="16"/>
  <c r="D518" i="16"/>
  <c r="C518" i="16"/>
  <c r="E517" i="16"/>
  <c r="D517" i="16"/>
  <c r="C517" i="16"/>
  <c r="E516" i="16"/>
  <c r="D516" i="16"/>
  <c r="C516" i="16"/>
  <c r="E515" i="16"/>
  <c r="D515" i="16"/>
  <c r="C515" i="16"/>
  <c r="E514" i="16"/>
  <c r="D514" i="16"/>
  <c r="C514" i="16"/>
  <c r="E513" i="16"/>
  <c r="D513" i="16"/>
  <c r="C513" i="16"/>
  <c r="E512" i="16"/>
  <c r="D512" i="16"/>
  <c r="C512" i="16"/>
  <c r="E511" i="16"/>
  <c r="D511" i="16"/>
  <c r="C511" i="16"/>
  <c r="E510" i="16"/>
  <c r="D510" i="16"/>
  <c r="C510" i="16"/>
  <c r="E509" i="16"/>
  <c r="D509" i="16"/>
  <c r="C509" i="16"/>
  <c r="E508" i="16"/>
  <c r="D508" i="16"/>
  <c r="C508" i="16"/>
  <c r="E507" i="16"/>
  <c r="D507" i="16"/>
  <c r="C507" i="16"/>
  <c r="E506" i="16"/>
  <c r="D506" i="16"/>
  <c r="C506" i="16"/>
  <c r="E505" i="16"/>
  <c r="D505" i="16"/>
  <c r="C505" i="16"/>
  <c r="E504" i="16"/>
  <c r="D504" i="16"/>
  <c r="C504" i="16"/>
  <c r="E503" i="16"/>
  <c r="D503" i="16"/>
  <c r="C503" i="16"/>
  <c r="E502" i="16"/>
  <c r="D502" i="16"/>
  <c r="C502" i="16"/>
  <c r="E501" i="16"/>
  <c r="D501" i="16"/>
  <c r="C501" i="16"/>
  <c r="E500" i="16"/>
  <c r="D500" i="16"/>
  <c r="C500" i="16"/>
  <c r="E499" i="16"/>
  <c r="D499" i="16"/>
  <c r="C499" i="16"/>
  <c r="E498" i="16"/>
  <c r="D498" i="16"/>
  <c r="C498" i="16"/>
  <c r="E497" i="16"/>
  <c r="D497" i="16"/>
  <c r="C497" i="16"/>
  <c r="E496" i="16"/>
  <c r="D496" i="16"/>
  <c r="C496" i="16"/>
  <c r="E495" i="16"/>
  <c r="D495" i="16"/>
  <c r="C495" i="16"/>
  <c r="E494" i="16"/>
  <c r="D494" i="16"/>
  <c r="C494" i="16"/>
  <c r="E493" i="16"/>
  <c r="D493" i="16"/>
  <c r="C493" i="16"/>
  <c r="E492" i="16"/>
  <c r="D492" i="16"/>
  <c r="C492" i="16"/>
  <c r="E491" i="16"/>
  <c r="D491" i="16"/>
  <c r="C491" i="16"/>
  <c r="E490" i="16"/>
  <c r="D490" i="16"/>
  <c r="C490" i="16"/>
  <c r="E489" i="16"/>
  <c r="D489" i="16"/>
  <c r="C489" i="16"/>
  <c r="E488" i="16"/>
  <c r="D488" i="16"/>
  <c r="C488" i="16"/>
  <c r="E487" i="16"/>
  <c r="D487" i="16"/>
  <c r="C487" i="16"/>
  <c r="E486" i="16"/>
  <c r="D486" i="16"/>
  <c r="C486" i="16"/>
  <c r="E485" i="16"/>
  <c r="D485" i="16"/>
  <c r="C485" i="16"/>
  <c r="E484" i="16"/>
  <c r="D484" i="16"/>
  <c r="C484" i="16"/>
  <c r="E483" i="16"/>
  <c r="D483" i="16"/>
  <c r="C483" i="16"/>
  <c r="E482" i="16"/>
  <c r="D482" i="16"/>
  <c r="C482" i="16"/>
  <c r="E481" i="16"/>
  <c r="D481" i="16"/>
  <c r="C481" i="16"/>
  <c r="E480" i="16"/>
  <c r="D480" i="16"/>
  <c r="C480" i="16"/>
  <c r="E479" i="16"/>
  <c r="D479" i="16"/>
  <c r="C479" i="16"/>
  <c r="E478" i="16"/>
  <c r="D478" i="16"/>
  <c r="C478" i="16"/>
  <c r="E477" i="16"/>
  <c r="D477" i="16"/>
  <c r="C477" i="16"/>
  <c r="E476" i="16"/>
  <c r="D476" i="16"/>
  <c r="C476" i="16"/>
  <c r="E475" i="16"/>
  <c r="D475" i="16"/>
  <c r="C475" i="16"/>
  <c r="E474" i="16"/>
  <c r="D474" i="16"/>
  <c r="C474" i="16"/>
  <c r="E473" i="16"/>
  <c r="D473" i="16"/>
  <c r="C473" i="16"/>
  <c r="E472" i="16"/>
  <c r="D472" i="16"/>
  <c r="C472" i="16"/>
  <c r="E471" i="16"/>
  <c r="D471" i="16"/>
  <c r="C471" i="16"/>
  <c r="E470" i="16"/>
  <c r="D470" i="16"/>
  <c r="C470" i="16"/>
  <c r="E469" i="16"/>
  <c r="D469" i="16"/>
  <c r="C469" i="16"/>
  <c r="E468" i="16"/>
  <c r="D468" i="16"/>
  <c r="C468" i="16"/>
  <c r="E467" i="16"/>
  <c r="D467" i="16"/>
  <c r="C467" i="16"/>
  <c r="E466" i="16"/>
  <c r="D466" i="16"/>
  <c r="C466" i="16"/>
  <c r="E465" i="16"/>
  <c r="D465" i="16"/>
  <c r="C465" i="16"/>
  <c r="E464" i="16"/>
  <c r="D464" i="16"/>
  <c r="C464" i="16"/>
  <c r="E463" i="16"/>
  <c r="D463" i="16"/>
  <c r="C463" i="16"/>
  <c r="E462" i="16"/>
  <c r="D462" i="16"/>
  <c r="C462" i="16"/>
  <c r="E461" i="16"/>
  <c r="D461" i="16"/>
  <c r="C461" i="16"/>
  <c r="E460" i="16"/>
  <c r="D460" i="16"/>
  <c r="C460" i="16"/>
  <c r="E459" i="16"/>
  <c r="D459" i="16"/>
  <c r="C459" i="16"/>
  <c r="E458" i="16"/>
  <c r="D458" i="16"/>
  <c r="C458" i="16"/>
  <c r="E457" i="16"/>
  <c r="D457" i="16"/>
  <c r="C457" i="16"/>
  <c r="E456" i="16"/>
  <c r="D456" i="16"/>
  <c r="C456" i="16"/>
  <c r="E455" i="16"/>
  <c r="D455" i="16"/>
  <c r="C455" i="16"/>
  <c r="E454" i="16"/>
  <c r="D454" i="16"/>
  <c r="C454" i="16"/>
  <c r="E453" i="16"/>
  <c r="D453" i="16"/>
  <c r="C453" i="16"/>
  <c r="E452" i="16"/>
  <c r="D452" i="16"/>
  <c r="C452" i="16"/>
  <c r="E451" i="16"/>
  <c r="D451" i="16"/>
  <c r="C451" i="16"/>
  <c r="E450" i="16"/>
  <c r="D450" i="16"/>
  <c r="C450" i="16"/>
  <c r="E449" i="16"/>
  <c r="D449" i="16"/>
  <c r="C449" i="16"/>
  <c r="E448" i="16"/>
  <c r="D448" i="16"/>
  <c r="C448" i="16"/>
  <c r="E447" i="16"/>
  <c r="D447" i="16"/>
  <c r="C447" i="16"/>
  <c r="E446" i="16"/>
  <c r="D446" i="16"/>
  <c r="C446" i="16"/>
  <c r="E445" i="16"/>
  <c r="D445" i="16"/>
  <c r="C445" i="16"/>
  <c r="E444" i="16"/>
  <c r="D444" i="16"/>
  <c r="C444" i="16"/>
  <c r="E443" i="16"/>
  <c r="D443" i="16"/>
  <c r="C443" i="16"/>
  <c r="E442" i="16"/>
  <c r="D442" i="16"/>
  <c r="C442" i="16"/>
  <c r="E441" i="16"/>
  <c r="D441" i="16"/>
  <c r="C441" i="16"/>
  <c r="E440" i="16"/>
  <c r="D440" i="16"/>
  <c r="C440" i="16"/>
  <c r="E439" i="16"/>
  <c r="D439" i="16"/>
  <c r="C439" i="16"/>
  <c r="E438" i="16"/>
  <c r="D438" i="16"/>
  <c r="C438" i="16"/>
  <c r="E437" i="16"/>
  <c r="D437" i="16"/>
  <c r="C437" i="16"/>
  <c r="E436" i="16"/>
  <c r="D436" i="16"/>
  <c r="C436" i="16"/>
  <c r="E435" i="16"/>
  <c r="D435" i="16"/>
  <c r="C435" i="16"/>
  <c r="E434" i="16"/>
  <c r="D434" i="16"/>
  <c r="C434" i="16"/>
  <c r="E433" i="16"/>
  <c r="D433" i="16"/>
  <c r="C433" i="16"/>
  <c r="E432" i="16"/>
  <c r="D432" i="16"/>
  <c r="C432" i="16"/>
  <c r="E431" i="16"/>
  <c r="D431" i="16"/>
  <c r="C431" i="16"/>
  <c r="E430" i="16"/>
  <c r="D430" i="16"/>
  <c r="C430" i="16"/>
  <c r="E429" i="16"/>
  <c r="D429" i="16"/>
  <c r="C429" i="16"/>
  <c r="E428" i="16"/>
  <c r="D428" i="16"/>
  <c r="C428" i="16"/>
  <c r="E427" i="16"/>
  <c r="D427" i="16"/>
  <c r="C427" i="16"/>
  <c r="E426" i="16"/>
  <c r="D426" i="16"/>
  <c r="C426" i="16"/>
  <c r="E425" i="16"/>
  <c r="D425" i="16"/>
  <c r="C425" i="16"/>
  <c r="E424" i="16"/>
  <c r="D424" i="16"/>
  <c r="C424" i="16"/>
  <c r="E423" i="16"/>
  <c r="D423" i="16"/>
  <c r="C423" i="16"/>
  <c r="E422" i="16"/>
  <c r="D422" i="16"/>
  <c r="C422" i="16"/>
  <c r="E421" i="16"/>
  <c r="D421" i="16"/>
  <c r="C421" i="16"/>
  <c r="E420" i="16"/>
  <c r="D420" i="16"/>
  <c r="C420" i="16"/>
  <c r="E419" i="16"/>
  <c r="D419" i="16"/>
  <c r="C419" i="16"/>
  <c r="E418" i="16"/>
  <c r="D418" i="16"/>
  <c r="C418" i="16"/>
  <c r="E417" i="16"/>
  <c r="D417" i="16"/>
  <c r="C417" i="16"/>
  <c r="E416" i="16"/>
  <c r="D416" i="16"/>
  <c r="C416" i="16"/>
  <c r="E415" i="16"/>
  <c r="D415" i="16"/>
  <c r="C415" i="16"/>
  <c r="E414" i="16"/>
  <c r="D414" i="16"/>
  <c r="C414" i="16"/>
  <c r="E413" i="16"/>
  <c r="D413" i="16"/>
  <c r="C413" i="16"/>
  <c r="E412" i="16"/>
  <c r="D412" i="16"/>
  <c r="C412" i="16"/>
  <c r="E411" i="16"/>
  <c r="D411" i="16"/>
  <c r="C411" i="16"/>
  <c r="E410" i="16"/>
  <c r="D410" i="16"/>
  <c r="C410" i="16"/>
  <c r="E409" i="16"/>
  <c r="D409" i="16"/>
  <c r="C409" i="16"/>
  <c r="E408" i="16"/>
  <c r="D408" i="16"/>
  <c r="C408" i="16"/>
  <c r="E407" i="16"/>
  <c r="D407" i="16"/>
  <c r="C407" i="16"/>
  <c r="E406" i="16"/>
  <c r="D406" i="16"/>
  <c r="C406" i="16"/>
  <c r="E405" i="16"/>
  <c r="D405" i="16"/>
  <c r="C405" i="16"/>
  <c r="E404" i="16"/>
  <c r="D404" i="16"/>
  <c r="C404" i="16"/>
  <c r="E403" i="16"/>
  <c r="D403" i="16"/>
  <c r="C403" i="16"/>
  <c r="E402" i="16"/>
  <c r="D402" i="16"/>
  <c r="C402" i="16"/>
  <c r="E401" i="16"/>
  <c r="D401" i="16"/>
  <c r="C401" i="16"/>
  <c r="E400" i="16"/>
  <c r="D400" i="16"/>
  <c r="C400" i="16"/>
  <c r="E399" i="16"/>
  <c r="D399" i="16"/>
  <c r="C399" i="16"/>
  <c r="E398" i="16"/>
  <c r="D398" i="16"/>
  <c r="C398" i="16"/>
  <c r="E397" i="16"/>
  <c r="D397" i="16"/>
  <c r="C397" i="16"/>
  <c r="E396" i="16"/>
  <c r="D396" i="16"/>
  <c r="C396" i="16"/>
  <c r="E395" i="16"/>
  <c r="D395" i="16"/>
  <c r="C395" i="16"/>
  <c r="E394" i="16"/>
  <c r="D394" i="16"/>
  <c r="C394" i="16"/>
  <c r="E393" i="16"/>
  <c r="D393" i="16"/>
  <c r="C393" i="16"/>
  <c r="E392" i="16"/>
  <c r="D392" i="16"/>
  <c r="C392" i="16"/>
  <c r="E391" i="16"/>
  <c r="D391" i="16"/>
  <c r="C391" i="16"/>
  <c r="E390" i="16"/>
  <c r="D390" i="16"/>
  <c r="C390" i="16"/>
  <c r="E389" i="16"/>
  <c r="D389" i="16"/>
  <c r="C389" i="16"/>
  <c r="E388" i="16"/>
  <c r="D388" i="16"/>
  <c r="C388" i="16"/>
  <c r="E387" i="16"/>
  <c r="D387" i="16"/>
  <c r="C387" i="16"/>
  <c r="E386" i="16"/>
  <c r="D386" i="16"/>
  <c r="C386" i="16"/>
  <c r="E385" i="16"/>
  <c r="D385" i="16"/>
  <c r="C385" i="16"/>
  <c r="E384" i="16"/>
  <c r="D384" i="16"/>
  <c r="C384" i="16"/>
  <c r="E383" i="16"/>
  <c r="D383" i="16"/>
  <c r="C383" i="16"/>
  <c r="E382" i="16"/>
  <c r="D382" i="16"/>
  <c r="C382" i="16"/>
  <c r="E381" i="16"/>
  <c r="D381" i="16"/>
  <c r="C381" i="16"/>
  <c r="E380" i="16"/>
  <c r="D380" i="16"/>
  <c r="C380" i="16"/>
  <c r="E379" i="16"/>
  <c r="D379" i="16"/>
  <c r="C379" i="16"/>
  <c r="E378" i="16"/>
  <c r="D378" i="16"/>
  <c r="C378" i="16"/>
  <c r="E377" i="16"/>
  <c r="D377" i="16"/>
  <c r="C377" i="16"/>
  <c r="E376" i="16"/>
  <c r="D376" i="16"/>
  <c r="C376" i="16"/>
  <c r="E375" i="16"/>
  <c r="D375" i="16"/>
  <c r="C375" i="16"/>
  <c r="E374" i="16"/>
  <c r="D374" i="16"/>
  <c r="C374" i="16"/>
  <c r="E373" i="16"/>
  <c r="D373" i="16"/>
  <c r="C373" i="16"/>
  <c r="E372" i="16"/>
  <c r="D372" i="16"/>
  <c r="C372" i="16"/>
  <c r="E371" i="16"/>
  <c r="D371" i="16"/>
  <c r="C371" i="16"/>
  <c r="E370" i="16"/>
  <c r="D370" i="16"/>
  <c r="C370" i="16"/>
  <c r="E369" i="16"/>
  <c r="D369" i="16"/>
  <c r="C369" i="16"/>
  <c r="E368" i="16"/>
  <c r="D368" i="16"/>
  <c r="C368" i="16"/>
  <c r="E367" i="16"/>
  <c r="D367" i="16"/>
  <c r="C367" i="16"/>
  <c r="E366" i="16"/>
  <c r="D366" i="16"/>
  <c r="C366" i="16"/>
  <c r="E365" i="16"/>
  <c r="D365" i="16"/>
  <c r="C365" i="16"/>
  <c r="E364" i="16"/>
  <c r="D364" i="16"/>
  <c r="C364" i="16"/>
  <c r="E363" i="16"/>
  <c r="D363" i="16"/>
  <c r="C363" i="16"/>
  <c r="E362" i="16"/>
  <c r="D362" i="16"/>
  <c r="C362" i="16"/>
  <c r="E361" i="16"/>
  <c r="D361" i="16"/>
  <c r="C361" i="16"/>
  <c r="E360" i="16"/>
  <c r="D360" i="16"/>
  <c r="C360" i="16"/>
  <c r="E359" i="16"/>
  <c r="D359" i="16"/>
  <c r="C359" i="16"/>
  <c r="E358" i="16"/>
  <c r="D358" i="16"/>
  <c r="C358" i="16"/>
  <c r="E357" i="16"/>
  <c r="D357" i="16"/>
  <c r="C357" i="16"/>
  <c r="E356" i="16"/>
  <c r="D356" i="16"/>
  <c r="C356" i="16"/>
  <c r="E355" i="16"/>
  <c r="D355" i="16"/>
  <c r="C355" i="16"/>
  <c r="E354" i="16"/>
  <c r="D354" i="16"/>
  <c r="C354" i="16"/>
  <c r="E353" i="16"/>
  <c r="D353" i="16"/>
  <c r="C353" i="16"/>
  <c r="E352" i="16"/>
  <c r="D352" i="16"/>
  <c r="C352" i="16"/>
  <c r="E351" i="16"/>
  <c r="D351" i="16"/>
  <c r="C351" i="16"/>
  <c r="E350" i="16"/>
  <c r="D350" i="16"/>
  <c r="C350" i="16"/>
  <c r="E349" i="16"/>
  <c r="D349" i="16"/>
  <c r="C349" i="16"/>
  <c r="E348" i="16"/>
  <c r="D348" i="16"/>
  <c r="C348" i="16"/>
  <c r="E347" i="16"/>
  <c r="D347" i="16"/>
  <c r="C347" i="16"/>
  <c r="E346" i="16"/>
  <c r="D346" i="16"/>
  <c r="C346" i="16"/>
  <c r="E345" i="16"/>
  <c r="D345" i="16"/>
  <c r="C345" i="16"/>
  <c r="E344" i="16"/>
  <c r="D344" i="16"/>
  <c r="C344" i="16"/>
  <c r="E343" i="16"/>
  <c r="D343" i="16"/>
  <c r="C343" i="16"/>
  <c r="E342" i="16"/>
  <c r="D342" i="16"/>
  <c r="C342" i="16"/>
  <c r="E341" i="16"/>
  <c r="D341" i="16"/>
  <c r="C341" i="16"/>
  <c r="E340" i="16"/>
  <c r="D340" i="16"/>
  <c r="C340" i="16"/>
  <c r="E339" i="16"/>
  <c r="D339" i="16"/>
  <c r="C339" i="16"/>
  <c r="E338" i="16"/>
  <c r="D338" i="16"/>
  <c r="C338" i="16"/>
  <c r="E337" i="16"/>
  <c r="D337" i="16"/>
  <c r="C337" i="16"/>
  <c r="E336" i="16"/>
  <c r="D336" i="16"/>
  <c r="C336" i="16"/>
  <c r="E335" i="16"/>
  <c r="D335" i="16"/>
  <c r="C335" i="16"/>
  <c r="E334" i="16"/>
  <c r="D334" i="16"/>
  <c r="C334" i="16"/>
  <c r="E333" i="16"/>
  <c r="D333" i="16"/>
  <c r="C333" i="16"/>
  <c r="E332" i="16"/>
  <c r="D332" i="16"/>
  <c r="C332" i="16"/>
  <c r="E331" i="16"/>
  <c r="D331" i="16"/>
  <c r="C331" i="16"/>
  <c r="E330" i="16"/>
  <c r="D330" i="16"/>
  <c r="C330" i="16"/>
  <c r="E329" i="16"/>
  <c r="D329" i="16"/>
  <c r="C329" i="16"/>
  <c r="E328" i="16"/>
  <c r="D328" i="16"/>
  <c r="C328" i="16"/>
  <c r="E327" i="16"/>
  <c r="D327" i="16"/>
  <c r="C327" i="16"/>
  <c r="E326" i="16"/>
  <c r="D326" i="16"/>
  <c r="C326" i="16"/>
  <c r="E325" i="16"/>
  <c r="D325" i="16"/>
  <c r="C325" i="16"/>
  <c r="E324" i="16"/>
  <c r="D324" i="16"/>
  <c r="C324" i="16"/>
  <c r="E323" i="16"/>
  <c r="D323" i="16"/>
  <c r="C323" i="16"/>
  <c r="E322" i="16"/>
  <c r="D322" i="16"/>
  <c r="C322" i="16"/>
  <c r="E321" i="16"/>
  <c r="D321" i="16"/>
  <c r="C321" i="16"/>
  <c r="E320" i="16"/>
  <c r="D320" i="16"/>
  <c r="C320" i="16"/>
  <c r="E319" i="16"/>
  <c r="D319" i="16"/>
  <c r="C319" i="16"/>
  <c r="E318" i="16"/>
  <c r="D318" i="16"/>
  <c r="C318" i="16"/>
  <c r="E317" i="16"/>
  <c r="D317" i="16"/>
  <c r="C317" i="16"/>
  <c r="E316" i="16"/>
  <c r="D316" i="16"/>
  <c r="C316" i="16"/>
  <c r="E315" i="16"/>
  <c r="D315" i="16"/>
  <c r="C315" i="16"/>
  <c r="E314" i="16"/>
  <c r="D314" i="16"/>
  <c r="C314" i="16"/>
  <c r="E313" i="16"/>
  <c r="D313" i="16"/>
  <c r="C313" i="16"/>
  <c r="E312" i="16"/>
  <c r="D312" i="16"/>
  <c r="C312" i="16"/>
  <c r="E311" i="16"/>
  <c r="D311" i="16"/>
  <c r="C311" i="16"/>
  <c r="E310" i="16"/>
  <c r="D310" i="16"/>
  <c r="C310" i="16"/>
  <c r="E309" i="16"/>
  <c r="D309" i="16"/>
  <c r="C309" i="16"/>
  <c r="E308" i="16"/>
  <c r="D308" i="16"/>
  <c r="C308" i="16"/>
  <c r="E307" i="16"/>
  <c r="D307" i="16"/>
  <c r="C307" i="16"/>
  <c r="E306" i="16"/>
  <c r="D306" i="16"/>
  <c r="C306" i="16"/>
  <c r="E305" i="16"/>
  <c r="D305" i="16"/>
  <c r="C305" i="16"/>
  <c r="E304" i="16"/>
  <c r="D304" i="16"/>
  <c r="C304" i="16"/>
  <c r="E303" i="16"/>
  <c r="D303" i="16"/>
  <c r="C303" i="16"/>
  <c r="E302" i="16"/>
  <c r="D302" i="16"/>
  <c r="C302" i="16"/>
  <c r="E301" i="16"/>
  <c r="D301" i="16"/>
  <c r="C301" i="16"/>
  <c r="E300" i="16"/>
  <c r="D300" i="16"/>
  <c r="C300" i="16"/>
  <c r="E299" i="16"/>
  <c r="D299" i="16"/>
  <c r="C299" i="16"/>
  <c r="E298" i="16"/>
  <c r="D298" i="16"/>
  <c r="C298" i="16"/>
  <c r="E297" i="16"/>
  <c r="D297" i="16"/>
  <c r="C297" i="16"/>
  <c r="E296" i="16"/>
  <c r="D296" i="16"/>
  <c r="C296" i="16"/>
  <c r="E295" i="16"/>
  <c r="D295" i="16"/>
  <c r="C295" i="16"/>
  <c r="E294" i="16"/>
  <c r="D294" i="16"/>
  <c r="C294" i="16"/>
  <c r="E293" i="16"/>
  <c r="D293" i="16"/>
  <c r="C293" i="16"/>
  <c r="E292" i="16"/>
  <c r="D292" i="16"/>
  <c r="C292" i="16"/>
  <c r="E291" i="16"/>
  <c r="D291" i="16"/>
  <c r="C291" i="16"/>
  <c r="E290" i="16"/>
  <c r="D290" i="16"/>
  <c r="C290" i="16"/>
  <c r="E289" i="16"/>
  <c r="D289" i="16"/>
  <c r="C289" i="16"/>
  <c r="E288" i="16"/>
  <c r="D288" i="16"/>
  <c r="C288" i="16"/>
  <c r="E287" i="16"/>
  <c r="D287" i="16"/>
  <c r="C287" i="16"/>
  <c r="E286" i="16"/>
  <c r="D286" i="16"/>
  <c r="C286" i="16"/>
  <c r="E285" i="16"/>
  <c r="D285" i="16"/>
  <c r="C285" i="16"/>
  <c r="E284" i="16"/>
  <c r="D284" i="16"/>
  <c r="C284" i="16"/>
  <c r="E283" i="16"/>
  <c r="D283" i="16"/>
  <c r="C283" i="16"/>
  <c r="E282" i="16"/>
  <c r="D282" i="16"/>
  <c r="C282" i="16"/>
  <c r="E281" i="16"/>
  <c r="D281" i="16"/>
  <c r="C281" i="16"/>
  <c r="E280" i="16"/>
  <c r="D280" i="16"/>
  <c r="C280" i="16"/>
  <c r="E279" i="16"/>
  <c r="D279" i="16"/>
  <c r="C279" i="16"/>
  <c r="E278" i="16"/>
  <c r="D278" i="16"/>
  <c r="C278" i="16"/>
  <c r="E277" i="16"/>
  <c r="D277" i="16"/>
  <c r="C277" i="16"/>
  <c r="E276" i="16"/>
  <c r="D276" i="16"/>
  <c r="C276" i="16"/>
  <c r="E275" i="16"/>
  <c r="D275" i="16"/>
  <c r="C275" i="16"/>
  <c r="E274" i="16"/>
  <c r="D274" i="16"/>
  <c r="C274" i="16"/>
  <c r="E273" i="16"/>
  <c r="D273" i="16"/>
  <c r="C273" i="16"/>
  <c r="E272" i="16"/>
  <c r="D272" i="16"/>
  <c r="C272" i="16"/>
  <c r="E271" i="16"/>
  <c r="D271" i="16"/>
  <c r="C271" i="16"/>
  <c r="E270" i="16"/>
  <c r="D270" i="16"/>
  <c r="C270" i="16"/>
  <c r="E269" i="16"/>
  <c r="D269" i="16"/>
  <c r="C269" i="16"/>
  <c r="E268" i="16"/>
  <c r="D268" i="16"/>
  <c r="C268" i="16"/>
  <c r="E267" i="16"/>
  <c r="D267" i="16"/>
  <c r="C267" i="16"/>
  <c r="E266" i="16"/>
  <c r="D266" i="16"/>
  <c r="C266" i="16"/>
  <c r="E265" i="16"/>
  <c r="D265" i="16"/>
  <c r="C265" i="16"/>
  <c r="E264" i="16"/>
  <c r="D264" i="16"/>
  <c r="C264" i="16"/>
  <c r="E263" i="16"/>
  <c r="D263" i="16"/>
  <c r="C263" i="16"/>
  <c r="E262" i="16"/>
  <c r="D262" i="16"/>
  <c r="C262" i="16"/>
  <c r="E261" i="16"/>
  <c r="D261" i="16"/>
  <c r="C261" i="16"/>
  <c r="E260" i="16"/>
  <c r="D260" i="16"/>
  <c r="C260" i="16"/>
  <c r="E259" i="16"/>
  <c r="D259" i="16"/>
  <c r="C259" i="16"/>
  <c r="E258" i="16"/>
  <c r="D258" i="16"/>
  <c r="C258" i="16"/>
  <c r="E257" i="16"/>
  <c r="D257" i="16"/>
  <c r="C257" i="16"/>
  <c r="E256" i="16"/>
  <c r="D256" i="16"/>
  <c r="C256" i="16"/>
  <c r="E255" i="16"/>
  <c r="D255" i="16"/>
  <c r="C255" i="16"/>
  <c r="E254" i="16"/>
  <c r="D254" i="16"/>
  <c r="C254" i="16"/>
  <c r="E253" i="16"/>
  <c r="D253" i="16"/>
  <c r="C253" i="16"/>
  <c r="E252" i="16"/>
  <c r="D252" i="16"/>
  <c r="C252" i="16"/>
  <c r="E251" i="16"/>
  <c r="D251" i="16"/>
  <c r="C251" i="16"/>
  <c r="E250" i="16"/>
  <c r="D250" i="16"/>
  <c r="C250" i="16"/>
  <c r="E249" i="16"/>
  <c r="D249" i="16"/>
  <c r="C249" i="16"/>
  <c r="E248" i="16"/>
  <c r="D248" i="16"/>
  <c r="C248" i="16"/>
  <c r="E247" i="16"/>
  <c r="D247" i="16"/>
  <c r="C247" i="16"/>
  <c r="E246" i="16"/>
  <c r="D246" i="16"/>
  <c r="C246" i="16"/>
  <c r="E245" i="16"/>
  <c r="D245" i="16"/>
  <c r="C245" i="16"/>
  <c r="E244" i="16"/>
  <c r="D244" i="16"/>
  <c r="C244" i="16"/>
  <c r="E243" i="16"/>
  <c r="D243" i="16"/>
  <c r="C243" i="16"/>
  <c r="E242" i="16"/>
  <c r="D242" i="16"/>
  <c r="C242" i="16"/>
  <c r="E241" i="16"/>
  <c r="D241" i="16"/>
  <c r="C241" i="16"/>
  <c r="E240" i="16"/>
  <c r="D240" i="16"/>
  <c r="C240" i="16"/>
  <c r="E239" i="16"/>
  <c r="D239" i="16"/>
  <c r="C239" i="16"/>
  <c r="E238" i="16"/>
  <c r="D238" i="16"/>
  <c r="C238" i="16"/>
  <c r="E237" i="16"/>
  <c r="D237" i="16"/>
  <c r="C237" i="16"/>
  <c r="E236" i="16"/>
  <c r="D236" i="16"/>
  <c r="C236" i="16"/>
  <c r="E235" i="16"/>
  <c r="D235" i="16"/>
  <c r="C235" i="16"/>
  <c r="E234" i="16"/>
  <c r="D234" i="16"/>
  <c r="C234" i="16"/>
  <c r="E233" i="16"/>
  <c r="D233" i="16"/>
  <c r="C233" i="16"/>
  <c r="E232" i="16"/>
  <c r="D232" i="16"/>
  <c r="C232" i="16"/>
  <c r="E231" i="16"/>
  <c r="D231" i="16"/>
  <c r="C231" i="16"/>
  <c r="E230" i="16"/>
  <c r="D230" i="16"/>
  <c r="C230" i="16"/>
  <c r="E229" i="16"/>
  <c r="D229" i="16"/>
  <c r="C229" i="16"/>
  <c r="E228" i="16"/>
  <c r="D228" i="16"/>
  <c r="C228" i="16"/>
  <c r="E227" i="16"/>
  <c r="D227" i="16"/>
  <c r="C227" i="16"/>
  <c r="E226" i="16"/>
  <c r="D226" i="16"/>
  <c r="C226" i="16"/>
  <c r="E225" i="16"/>
  <c r="D225" i="16"/>
  <c r="C225" i="16"/>
  <c r="E224" i="16"/>
  <c r="D224" i="16"/>
  <c r="C224" i="16"/>
  <c r="E223" i="16"/>
  <c r="D223" i="16"/>
  <c r="C223" i="16"/>
  <c r="E222" i="16"/>
  <c r="D222" i="16"/>
  <c r="C222" i="16"/>
  <c r="E221" i="16"/>
  <c r="D221" i="16"/>
  <c r="C221" i="16"/>
  <c r="E220" i="16"/>
  <c r="D220" i="16"/>
  <c r="C220" i="16"/>
  <c r="E219" i="16"/>
  <c r="D219" i="16"/>
  <c r="C219" i="16"/>
  <c r="E218" i="16"/>
  <c r="D218" i="16"/>
  <c r="C218" i="16"/>
  <c r="E217" i="16"/>
  <c r="D217" i="16"/>
  <c r="C217" i="16"/>
  <c r="E216" i="16"/>
  <c r="D216" i="16"/>
  <c r="C216" i="16"/>
  <c r="E215" i="16"/>
  <c r="D215" i="16"/>
  <c r="C215" i="16"/>
  <c r="E214" i="16"/>
  <c r="D214" i="16"/>
  <c r="C214" i="16"/>
  <c r="E213" i="16"/>
  <c r="D213" i="16"/>
  <c r="C213" i="16"/>
  <c r="E212" i="16"/>
  <c r="D212" i="16"/>
  <c r="C212" i="16"/>
  <c r="E211" i="16"/>
  <c r="D211" i="16"/>
  <c r="C211" i="16"/>
  <c r="E210" i="16"/>
  <c r="D210" i="16"/>
  <c r="C210" i="16"/>
  <c r="E209" i="16"/>
  <c r="D209" i="16"/>
  <c r="C209" i="16"/>
  <c r="E208" i="16"/>
  <c r="D208" i="16"/>
  <c r="C208" i="16"/>
  <c r="E207" i="16"/>
  <c r="D207" i="16"/>
  <c r="C207" i="16"/>
  <c r="E206" i="16"/>
  <c r="D206" i="16"/>
  <c r="C206" i="16"/>
  <c r="E205" i="16"/>
  <c r="D205" i="16"/>
  <c r="C205" i="16"/>
  <c r="E204" i="16"/>
  <c r="D204" i="16"/>
  <c r="C204" i="16"/>
  <c r="E203" i="16"/>
  <c r="D203" i="16"/>
  <c r="C203" i="16"/>
  <c r="E202" i="16"/>
  <c r="D202" i="16"/>
  <c r="C202" i="16"/>
  <c r="E201" i="16"/>
  <c r="D201" i="16"/>
  <c r="C201" i="16"/>
  <c r="E200" i="16"/>
  <c r="D200" i="16"/>
  <c r="C200" i="16"/>
  <c r="E199" i="16"/>
  <c r="D199" i="16"/>
  <c r="C199" i="16"/>
  <c r="E198" i="16"/>
  <c r="D198" i="16"/>
  <c r="C198" i="16"/>
  <c r="E197" i="16"/>
  <c r="D197" i="16"/>
  <c r="C197" i="16"/>
  <c r="E196" i="16"/>
  <c r="D196" i="16"/>
  <c r="C196" i="16"/>
  <c r="E195" i="16"/>
  <c r="D195" i="16"/>
  <c r="C195" i="16"/>
  <c r="E194" i="16"/>
  <c r="D194" i="16"/>
  <c r="C194" i="16"/>
  <c r="E193" i="16"/>
  <c r="D193" i="16"/>
  <c r="C193" i="16"/>
  <c r="E192" i="16"/>
  <c r="D192" i="16"/>
  <c r="C192" i="16"/>
  <c r="E191" i="16"/>
  <c r="D191" i="16"/>
  <c r="C191" i="16"/>
  <c r="E190" i="16"/>
  <c r="D190" i="16"/>
  <c r="C190" i="16"/>
  <c r="E189" i="16"/>
  <c r="D189" i="16"/>
  <c r="C189" i="16"/>
  <c r="E188" i="16"/>
  <c r="D188" i="16"/>
  <c r="C188" i="16"/>
  <c r="E187" i="16"/>
  <c r="D187" i="16"/>
  <c r="C187" i="16"/>
  <c r="E186" i="16"/>
  <c r="D186" i="16"/>
  <c r="C186" i="16"/>
  <c r="E185" i="16"/>
  <c r="D185" i="16"/>
  <c r="C185" i="16"/>
  <c r="E184" i="16"/>
  <c r="D184" i="16"/>
  <c r="C184" i="16"/>
  <c r="E183" i="16"/>
  <c r="D183" i="16"/>
  <c r="C183" i="16"/>
  <c r="E182" i="16"/>
  <c r="D182" i="16"/>
  <c r="C182" i="16"/>
  <c r="E181" i="16"/>
  <c r="D181" i="16"/>
  <c r="C181" i="16"/>
  <c r="E180" i="16"/>
  <c r="D180" i="16"/>
  <c r="C180" i="16"/>
  <c r="E179" i="16"/>
  <c r="D179" i="16"/>
  <c r="C179" i="16"/>
  <c r="E178" i="16"/>
  <c r="D178" i="16"/>
  <c r="C178" i="16"/>
  <c r="E177" i="16"/>
  <c r="D177" i="16"/>
  <c r="C177" i="16"/>
  <c r="E176" i="16"/>
  <c r="D176" i="16"/>
  <c r="C176" i="16"/>
  <c r="E175" i="16"/>
  <c r="D175" i="16"/>
  <c r="C175" i="16"/>
  <c r="E174" i="16"/>
  <c r="D174" i="16"/>
  <c r="C174" i="16"/>
  <c r="E173" i="16"/>
  <c r="D173" i="16"/>
  <c r="C173" i="16"/>
  <c r="E172" i="16"/>
  <c r="D172" i="16"/>
  <c r="C172" i="16"/>
  <c r="E171" i="16"/>
  <c r="D171" i="16"/>
  <c r="C171" i="16"/>
  <c r="E170" i="16"/>
  <c r="D170" i="16"/>
  <c r="C170" i="16"/>
  <c r="E169" i="16"/>
  <c r="D169" i="16"/>
  <c r="C169" i="16"/>
  <c r="E168" i="16"/>
  <c r="D168" i="16"/>
  <c r="C168" i="16"/>
  <c r="E167" i="16"/>
  <c r="D167" i="16"/>
  <c r="C167" i="16"/>
  <c r="E166" i="16"/>
  <c r="D166" i="16"/>
  <c r="C166" i="16"/>
  <c r="E165" i="16"/>
  <c r="D165" i="16"/>
  <c r="C165" i="16"/>
  <c r="E164" i="16"/>
  <c r="D164" i="16"/>
  <c r="C164" i="16"/>
  <c r="E163" i="16"/>
  <c r="D163" i="16"/>
  <c r="C163" i="16"/>
  <c r="E162" i="16"/>
  <c r="D162" i="16"/>
  <c r="C162" i="16"/>
  <c r="E161" i="16"/>
  <c r="D161" i="16"/>
  <c r="C161" i="16"/>
  <c r="E160" i="16"/>
  <c r="D160" i="16"/>
  <c r="C160" i="16"/>
  <c r="E159" i="16"/>
  <c r="D159" i="16"/>
  <c r="C159" i="16"/>
  <c r="E158" i="16"/>
  <c r="D158" i="16"/>
  <c r="C158" i="16"/>
  <c r="E157" i="16"/>
  <c r="D157" i="16"/>
  <c r="C157" i="16"/>
  <c r="E156" i="16"/>
  <c r="D156" i="16"/>
  <c r="C156" i="16"/>
  <c r="E155" i="16"/>
  <c r="D155" i="16"/>
  <c r="C155" i="16"/>
  <c r="E154" i="16"/>
  <c r="D154" i="16"/>
  <c r="C154" i="16"/>
  <c r="E153" i="16"/>
  <c r="D153" i="16"/>
  <c r="C153" i="16"/>
  <c r="E152" i="16"/>
  <c r="D152" i="16"/>
  <c r="C152" i="16"/>
  <c r="E151" i="16"/>
  <c r="D151" i="16"/>
  <c r="C151" i="16"/>
  <c r="E150" i="16"/>
  <c r="D150" i="16"/>
  <c r="C150" i="16"/>
  <c r="E149" i="16"/>
  <c r="D149" i="16"/>
  <c r="C149" i="16"/>
  <c r="E148" i="16"/>
  <c r="D148" i="16"/>
  <c r="C148" i="16"/>
  <c r="E147" i="16"/>
  <c r="D147" i="16"/>
  <c r="C147" i="16"/>
  <c r="E146" i="16"/>
  <c r="D146" i="16"/>
  <c r="C146" i="16"/>
  <c r="E145" i="16"/>
  <c r="D145" i="16"/>
  <c r="C145" i="16"/>
  <c r="E144" i="16"/>
  <c r="D144" i="16"/>
  <c r="C144" i="16"/>
  <c r="E143" i="16"/>
  <c r="D143" i="16"/>
  <c r="C143" i="16"/>
  <c r="E142" i="16"/>
  <c r="D142" i="16"/>
  <c r="C142" i="16"/>
  <c r="E141" i="16"/>
  <c r="D141" i="16"/>
  <c r="C141" i="16"/>
  <c r="E140" i="16"/>
  <c r="D140" i="16"/>
  <c r="C140" i="16"/>
  <c r="E139" i="16"/>
  <c r="D139" i="16"/>
  <c r="C139" i="16"/>
  <c r="E138" i="16"/>
  <c r="D138" i="16"/>
  <c r="C138" i="16"/>
  <c r="E137" i="16"/>
  <c r="D137" i="16"/>
  <c r="C137" i="16"/>
  <c r="E136" i="16"/>
  <c r="D136" i="16"/>
  <c r="C136" i="16"/>
  <c r="E135" i="16"/>
  <c r="D135" i="16"/>
  <c r="C135" i="16"/>
  <c r="E134" i="16"/>
  <c r="D134" i="16"/>
  <c r="C134" i="16"/>
  <c r="E133" i="16"/>
  <c r="D133" i="16"/>
  <c r="C133" i="16"/>
  <c r="E132" i="16"/>
  <c r="D132" i="16"/>
  <c r="C132" i="16"/>
  <c r="E131" i="16"/>
  <c r="D131" i="16"/>
  <c r="C131" i="16"/>
  <c r="E130" i="16"/>
  <c r="D130" i="16"/>
  <c r="C130" i="16"/>
  <c r="E129" i="16"/>
  <c r="D129" i="16"/>
  <c r="C129" i="16"/>
  <c r="E128" i="16"/>
  <c r="D128" i="16"/>
  <c r="C128" i="16"/>
  <c r="E127" i="16"/>
  <c r="D127" i="16"/>
  <c r="C127" i="16"/>
  <c r="E126" i="16"/>
  <c r="D126" i="16"/>
  <c r="C126" i="16"/>
  <c r="E125" i="16"/>
  <c r="D125" i="16"/>
  <c r="C125" i="16"/>
  <c r="E124" i="16"/>
  <c r="D124" i="16"/>
  <c r="C124" i="16"/>
  <c r="E123" i="16"/>
  <c r="D123" i="16"/>
  <c r="C123" i="16"/>
  <c r="E122" i="16"/>
  <c r="D122" i="16"/>
  <c r="C122" i="16"/>
  <c r="E121" i="16"/>
  <c r="D121" i="16"/>
  <c r="C121" i="16"/>
  <c r="E120" i="16"/>
  <c r="D120" i="16"/>
  <c r="C120" i="16"/>
  <c r="E119" i="16"/>
  <c r="D119" i="16"/>
  <c r="C119" i="16"/>
  <c r="E118" i="16"/>
  <c r="D118" i="16"/>
  <c r="C118" i="16"/>
  <c r="E117" i="16"/>
  <c r="D117" i="16"/>
  <c r="C117" i="16"/>
  <c r="E116" i="16"/>
  <c r="D116" i="16"/>
  <c r="C116" i="16"/>
  <c r="E115" i="16"/>
  <c r="D115" i="16"/>
  <c r="C115" i="16"/>
  <c r="E114" i="16"/>
  <c r="D114" i="16"/>
  <c r="C114" i="16"/>
  <c r="E113" i="16"/>
  <c r="D113" i="16"/>
  <c r="C113" i="16"/>
  <c r="E112" i="16"/>
  <c r="D112" i="16"/>
  <c r="C112" i="16"/>
  <c r="E111" i="16"/>
  <c r="D111" i="16"/>
  <c r="C111" i="16"/>
  <c r="E110" i="16"/>
  <c r="D110" i="16"/>
  <c r="C110" i="16"/>
  <c r="E109" i="16"/>
  <c r="D109" i="16"/>
  <c r="C109" i="16"/>
  <c r="E108" i="16"/>
  <c r="D108" i="16"/>
  <c r="C108" i="16"/>
  <c r="E107" i="16"/>
  <c r="D107" i="16"/>
  <c r="C107" i="16"/>
  <c r="E106" i="16"/>
  <c r="D106" i="16"/>
  <c r="C106" i="16"/>
  <c r="E105" i="16"/>
  <c r="D105" i="16"/>
  <c r="C105" i="16"/>
  <c r="E104" i="16"/>
  <c r="D104" i="16"/>
  <c r="C104" i="16"/>
  <c r="E103" i="16"/>
  <c r="D103" i="16"/>
  <c r="C103" i="16"/>
  <c r="E102" i="16"/>
  <c r="D102" i="16"/>
  <c r="C102" i="16"/>
  <c r="E101" i="16"/>
  <c r="D101" i="16"/>
  <c r="C101" i="16"/>
  <c r="E100" i="16"/>
  <c r="D100" i="16"/>
  <c r="C100" i="16"/>
  <c r="E99" i="16"/>
  <c r="D99" i="16"/>
  <c r="C99" i="16"/>
  <c r="E98" i="16"/>
  <c r="D98" i="16"/>
  <c r="C98" i="16"/>
  <c r="E97" i="16"/>
  <c r="D97" i="16"/>
  <c r="C97" i="16"/>
  <c r="E96" i="16"/>
  <c r="D96" i="16"/>
  <c r="C96" i="16"/>
  <c r="E95" i="16"/>
  <c r="D95" i="16"/>
  <c r="C95" i="16"/>
  <c r="E94" i="16"/>
  <c r="D94" i="16"/>
  <c r="C94" i="16"/>
  <c r="E93" i="16"/>
  <c r="D93" i="16"/>
  <c r="C93" i="16"/>
  <c r="E92" i="16"/>
  <c r="D92" i="16"/>
  <c r="C92" i="16"/>
  <c r="E91" i="16"/>
  <c r="D91" i="16"/>
  <c r="C91" i="16"/>
  <c r="E90" i="16"/>
  <c r="D90" i="16"/>
  <c r="C90" i="16"/>
  <c r="E89" i="16"/>
  <c r="D89" i="16"/>
  <c r="C89" i="16"/>
  <c r="E88" i="16"/>
  <c r="D88" i="16"/>
  <c r="C88" i="16"/>
  <c r="E87" i="16"/>
  <c r="D87" i="16"/>
  <c r="C87" i="16"/>
  <c r="E86" i="16"/>
  <c r="D86" i="16"/>
  <c r="C86" i="16"/>
  <c r="E85" i="16"/>
  <c r="D85" i="16"/>
  <c r="C85" i="16"/>
  <c r="E84" i="16"/>
  <c r="D84" i="16"/>
  <c r="C84" i="16"/>
  <c r="E83" i="16"/>
  <c r="D83" i="16"/>
  <c r="C83" i="16"/>
  <c r="E82" i="16"/>
  <c r="D82" i="16"/>
  <c r="C82" i="16"/>
  <c r="E81" i="16"/>
  <c r="D81" i="16"/>
  <c r="C81" i="16"/>
  <c r="E80" i="16"/>
  <c r="D80" i="16"/>
  <c r="C80" i="16"/>
  <c r="E79" i="16"/>
  <c r="D79" i="16"/>
  <c r="C79" i="16"/>
  <c r="E78" i="16"/>
  <c r="D78" i="16"/>
  <c r="C78" i="16"/>
  <c r="E77" i="16"/>
  <c r="D77" i="16"/>
  <c r="C77" i="16"/>
  <c r="E76" i="16"/>
  <c r="D76" i="16"/>
  <c r="C76" i="16"/>
  <c r="E75" i="16"/>
  <c r="D75" i="16"/>
  <c r="C75" i="16"/>
  <c r="E74" i="16"/>
  <c r="D74" i="16"/>
  <c r="C74" i="16"/>
  <c r="E73" i="16"/>
  <c r="D73" i="16"/>
  <c r="C73" i="16"/>
  <c r="E72" i="16"/>
  <c r="D72" i="16"/>
  <c r="C72" i="16"/>
  <c r="E71" i="16"/>
  <c r="D71" i="16"/>
  <c r="C71" i="16"/>
  <c r="E70" i="16"/>
  <c r="D70" i="16"/>
  <c r="C70" i="16"/>
  <c r="E69" i="16"/>
  <c r="D69" i="16"/>
  <c r="C69" i="16"/>
  <c r="E68" i="16"/>
  <c r="D68" i="16"/>
  <c r="C68" i="16"/>
  <c r="E67" i="16"/>
  <c r="D67" i="16"/>
  <c r="C67" i="16"/>
  <c r="E66" i="16"/>
  <c r="D66" i="16"/>
  <c r="C66" i="16"/>
  <c r="E65" i="16"/>
  <c r="D65" i="16"/>
  <c r="C65" i="16"/>
  <c r="E64" i="16"/>
  <c r="D64" i="16"/>
  <c r="C64" i="16"/>
  <c r="E63" i="16"/>
  <c r="D63" i="16"/>
  <c r="C63" i="16"/>
  <c r="E62" i="16"/>
  <c r="D62" i="16"/>
  <c r="C62" i="16"/>
  <c r="E61" i="16"/>
  <c r="D61" i="16"/>
  <c r="C61" i="16"/>
  <c r="E60" i="16"/>
  <c r="D60" i="16"/>
  <c r="C60" i="16"/>
  <c r="E59" i="16"/>
  <c r="D59" i="16"/>
  <c r="C59" i="16"/>
  <c r="E58" i="16"/>
  <c r="D58" i="16"/>
  <c r="C58" i="16"/>
  <c r="E57" i="16"/>
  <c r="D57" i="16"/>
  <c r="C57" i="16"/>
  <c r="E56" i="16"/>
  <c r="D56" i="16"/>
  <c r="C56" i="16"/>
  <c r="E55" i="16"/>
  <c r="D55" i="16"/>
  <c r="C55" i="16"/>
  <c r="E54" i="16"/>
  <c r="D54" i="16"/>
  <c r="C54" i="16"/>
  <c r="E53" i="16"/>
  <c r="D53" i="16"/>
  <c r="C53" i="16"/>
  <c r="E52" i="16"/>
  <c r="D52" i="16"/>
  <c r="C52" i="16"/>
  <c r="E51" i="16"/>
  <c r="D51" i="16"/>
  <c r="C51" i="16"/>
  <c r="E50" i="16"/>
  <c r="D50" i="16"/>
  <c r="C50" i="16"/>
  <c r="E49" i="16"/>
  <c r="D49" i="16"/>
  <c r="C49" i="16"/>
  <c r="E48" i="16"/>
  <c r="D48" i="16"/>
  <c r="C48" i="16"/>
  <c r="E47" i="16"/>
  <c r="D47" i="16"/>
  <c r="C47" i="16"/>
  <c r="E46" i="16"/>
  <c r="D46" i="16"/>
  <c r="C46" i="16"/>
  <c r="E45" i="16"/>
  <c r="D45" i="16"/>
  <c r="C45" i="16"/>
  <c r="E44" i="16"/>
  <c r="D44" i="16"/>
  <c r="C44" i="16"/>
  <c r="E43" i="16"/>
  <c r="D43" i="16"/>
  <c r="C43" i="16"/>
  <c r="E42" i="16"/>
  <c r="D42" i="16"/>
  <c r="C42" i="16"/>
  <c r="E41" i="16"/>
  <c r="D41" i="16"/>
  <c r="C41" i="16"/>
  <c r="E40" i="16"/>
  <c r="D40" i="16"/>
  <c r="C40" i="16"/>
  <c r="E39" i="16"/>
  <c r="D39" i="16"/>
  <c r="C39" i="16"/>
  <c r="E38" i="16"/>
  <c r="D38" i="16"/>
  <c r="C38" i="16"/>
  <c r="E37" i="16"/>
  <c r="D37" i="16"/>
  <c r="C37" i="16"/>
  <c r="E36" i="16"/>
  <c r="D36" i="16"/>
  <c r="C36" i="16"/>
  <c r="E35" i="16"/>
  <c r="D35" i="16"/>
  <c r="C35" i="16"/>
  <c r="E34" i="16"/>
  <c r="D34" i="16"/>
  <c r="C34" i="16"/>
  <c r="E33" i="16"/>
  <c r="D33" i="16"/>
  <c r="C33" i="16"/>
  <c r="E32" i="16"/>
  <c r="D32" i="16"/>
  <c r="C32" i="16"/>
  <c r="E31" i="16"/>
  <c r="D31" i="16"/>
  <c r="C31" i="16"/>
  <c r="E30" i="16"/>
  <c r="D30" i="16"/>
  <c r="C30" i="16"/>
  <c r="E29" i="16"/>
  <c r="D29" i="16"/>
  <c r="C29" i="16"/>
  <c r="E28" i="16"/>
  <c r="D28" i="16"/>
  <c r="C28" i="16"/>
  <c r="E27" i="16"/>
  <c r="D27" i="16"/>
  <c r="C27" i="16"/>
  <c r="E26" i="16"/>
  <c r="D26" i="16"/>
  <c r="C26" i="16"/>
  <c r="E25" i="16"/>
  <c r="D25" i="16"/>
  <c r="C25" i="16"/>
  <c r="E24" i="16"/>
  <c r="D24" i="16"/>
  <c r="C24" i="16"/>
  <c r="E23" i="16"/>
  <c r="D23" i="16"/>
  <c r="C23" i="16"/>
  <c r="E22" i="16"/>
  <c r="D22" i="16"/>
  <c r="C22" i="16"/>
  <c r="E21" i="16"/>
  <c r="D21" i="16"/>
  <c r="C21" i="16"/>
  <c r="E20" i="16"/>
  <c r="D20" i="16"/>
  <c r="C20" i="16"/>
  <c r="E19" i="16"/>
  <c r="D19" i="16"/>
  <c r="C19" i="16"/>
  <c r="E18" i="16"/>
  <c r="D18" i="16"/>
  <c r="C18" i="16"/>
  <c r="E17" i="16"/>
  <c r="D17" i="16"/>
  <c r="C17" i="16"/>
  <c r="E16" i="16"/>
  <c r="D16" i="16"/>
  <c r="C16" i="16"/>
  <c r="E15" i="16"/>
  <c r="D15" i="16"/>
  <c r="C15" i="16"/>
  <c r="E14" i="16"/>
  <c r="D14" i="16"/>
  <c r="C14" i="16"/>
  <c r="E13" i="16"/>
  <c r="D13" i="16"/>
  <c r="C13" i="16"/>
  <c r="E12" i="16"/>
  <c r="D12" i="16"/>
  <c r="C12" i="16"/>
  <c r="E11" i="16"/>
  <c r="D11" i="16"/>
  <c r="C11" i="16"/>
  <c r="E10" i="16"/>
  <c r="D10" i="16"/>
  <c r="C10" i="16"/>
  <c r="E9" i="16"/>
  <c r="D9" i="16"/>
  <c r="C9" i="16"/>
  <c r="E8" i="16"/>
  <c r="D8" i="16"/>
  <c r="C8" i="16"/>
  <c r="E7" i="16"/>
  <c r="D7" i="16"/>
  <c r="C7" i="16"/>
  <c r="E6" i="16"/>
  <c r="D6" i="16"/>
  <c r="C6" i="16"/>
  <c r="E5" i="16"/>
  <c r="D5" i="16"/>
  <c r="C5" i="16"/>
  <c r="E4" i="16"/>
  <c r="D4" i="16"/>
  <c r="C4" i="16"/>
  <c r="E3" i="16"/>
  <c r="D3" i="16"/>
  <c r="C3" i="16"/>
  <c r="J42" i="18" l="1"/>
  <c r="K42" i="18"/>
  <c r="N44" i="4"/>
  <c r="D79" i="89" s="1"/>
  <c r="J38" i="4"/>
  <c r="J89" i="3" s="1"/>
  <c r="K59" i="4"/>
  <c r="K92" i="3" s="1"/>
  <c r="H22" i="18"/>
  <c r="J31" i="18"/>
  <c r="M15" i="18"/>
  <c r="D22" i="18"/>
  <c r="K50" i="18" s="1"/>
  <c r="J140" i="5" s="1"/>
  <c r="J32" i="18"/>
  <c r="K41" i="18"/>
  <c r="G22" i="18"/>
  <c r="N50" i="18" s="1"/>
  <c r="Q85" i="4"/>
  <c r="G109" i="89" s="1"/>
  <c r="P85" i="4"/>
  <c r="F109" i="89" s="1"/>
  <c r="T9" i="16"/>
  <c r="X9" i="16" s="1"/>
  <c r="M24" i="2" s="1"/>
  <c r="R8" i="16"/>
  <c r="P7" i="16"/>
  <c r="L503" i="2" s="1"/>
  <c r="T5" i="16"/>
  <c r="R4" i="16"/>
  <c r="V4" i="16" s="1"/>
  <c r="T3" i="16"/>
  <c r="X3" i="16" s="1"/>
  <c r="J24" i="2" s="1"/>
  <c r="AA24" i="2" s="1"/>
  <c r="S9" i="16"/>
  <c r="W9" i="16" s="1"/>
  <c r="M25" i="2" s="1"/>
  <c r="Q8" i="16"/>
  <c r="U8" i="16" s="1"/>
  <c r="O7" i="16"/>
  <c r="L21" i="2" s="1"/>
  <c r="S5" i="16"/>
  <c r="W5" i="16" s="1"/>
  <c r="Q4" i="16"/>
  <c r="O3" i="16"/>
  <c r="J21" i="2" s="1"/>
  <c r="AA21" i="2" s="1"/>
  <c r="R7" i="16"/>
  <c r="V7" i="16" s="1"/>
  <c r="L23" i="2" s="1"/>
  <c r="T4" i="16"/>
  <c r="X4" i="16" s="1"/>
  <c r="K24" i="2" s="1"/>
  <c r="R9" i="16"/>
  <c r="V9" i="16" s="1"/>
  <c r="M23" i="2" s="1"/>
  <c r="P8" i="16"/>
  <c r="T6" i="16"/>
  <c r="R5" i="16"/>
  <c r="V5" i="16" s="1"/>
  <c r="P4" i="16"/>
  <c r="K503" i="2" s="1"/>
  <c r="P6" i="16"/>
  <c r="Q9" i="16"/>
  <c r="U9" i="16" s="1"/>
  <c r="M22" i="2" s="1"/>
  <c r="O8" i="16"/>
  <c r="S6" i="16"/>
  <c r="Q5" i="16"/>
  <c r="U5" i="16" s="1"/>
  <c r="O4" i="16"/>
  <c r="K21" i="2" s="1"/>
  <c r="R3" i="16"/>
  <c r="V3" i="16" s="1"/>
  <c r="P9" i="16"/>
  <c r="M503" i="2" s="1"/>
  <c r="T7" i="16"/>
  <c r="R6" i="16"/>
  <c r="V6" i="16" s="1"/>
  <c r="P5" i="16"/>
  <c r="P3" i="16"/>
  <c r="J503" i="2" s="1"/>
  <c r="O9" i="16"/>
  <c r="M21" i="2" s="1"/>
  <c r="S7" i="16"/>
  <c r="W7" i="16" s="1"/>
  <c r="L25" i="2" s="1"/>
  <c r="Q6" i="16"/>
  <c r="O5" i="16"/>
  <c r="Q3" i="16"/>
  <c r="U3" i="16" s="1"/>
  <c r="J22" i="2" s="1"/>
  <c r="AA22" i="2" s="1"/>
  <c r="S8" i="16"/>
  <c r="W8" i="16" s="1"/>
  <c r="Q7" i="16"/>
  <c r="U7" i="16" s="1"/>
  <c r="L22" i="2" s="1"/>
  <c r="O6" i="16"/>
  <c r="S4" i="16"/>
  <c r="W4" i="16" s="1"/>
  <c r="K25" i="2" s="1"/>
  <c r="S3" i="16"/>
  <c r="W3" i="16" s="1"/>
  <c r="J25" i="2" s="1"/>
  <c r="AA25" i="2" s="1"/>
  <c r="T8" i="16"/>
  <c r="X8" i="16" s="1"/>
  <c r="E22" i="18"/>
  <c r="L50" i="18" s="1"/>
  <c r="K140" i="5" s="1"/>
  <c r="C22" i="18"/>
  <c r="F22" i="18"/>
  <c r="M50" i="18" s="1"/>
  <c r="L140" i="5" s="1"/>
  <c r="L15" i="18"/>
  <c r="L16" i="18" s="1"/>
  <c r="K39" i="18"/>
  <c r="K11" i="18" s="1"/>
  <c r="J29" i="18"/>
  <c r="J10" i="18" s="1"/>
  <c r="J15" i="18" s="1"/>
  <c r="J39" i="18"/>
  <c r="J11" i="18" s="1"/>
  <c r="J16" i="18" s="1"/>
  <c r="K110" i="2"/>
  <c r="J114" i="2"/>
  <c r="J108" i="2"/>
  <c r="J93" i="5"/>
  <c r="K108" i="2"/>
  <c r="K93" i="5"/>
  <c r="J112" i="2"/>
  <c r="K114" i="2"/>
  <c r="J106" i="2"/>
  <c r="K112" i="2"/>
  <c r="J110" i="2"/>
  <c r="K106" i="2"/>
  <c r="J111" i="2"/>
  <c r="K111" i="2"/>
  <c r="J113" i="2"/>
  <c r="J107" i="2"/>
  <c r="J82" i="5"/>
  <c r="K113" i="2"/>
  <c r="K107" i="2"/>
  <c r="K51" i="4"/>
  <c r="K52" i="4" s="1"/>
  <c r="K91" i="3" s="1"/>
  <c r="K77" i="4"/>
  <c r="K44" i="2" s="1"/>
  <c r="P77" i="4" s="1"/>
  <c r="F103" i="89" s="1"/>
  <c r="J58" i="4"/>
  <c r="J59" i="4" s="1"/>
  <c r="J92" i="3" s="1"/>
  <c r="J69" i="4"/>
  <c r="J42" i="2" s="1"/>
  <c r="J104" i="2"/>
  <c r="J49" i="5"/>
  <c r="K104" i="2"/>
  <c r="K49" i="5"/>
  <c r="J105" i="2"/>
  <c r="J60" i="5"/>
  <c r="K105" i="2"/>
  <c r="K60" i="5"/>
  <c r="J81" i="4"/>
  <c r="J45" i="2" s="1"/>
  <c r="K37" i="4"/>
  <c r="K38" i="4" s="1"/>
  <c r="K89" i="3" s="1"/>
  <c r="J51" i="4"/>
  <c r="J52" i="4" s="1"/>
  <c r="J91" i="3" s="1"/>
  <c r="K103" i="2"/>
  <c r="K38" i="5"/>
  <c r="K44" i="4"/>
  <c r="J73" i="4"/>
  <c r="J43" i="2" s="1"/>
  <c r="J103" i="2"/>
  <c r="J38" i="5"/>
  <c r="J44" i="4"/>
  <c r="J30" i="4"/>
  <c r="J31" i="4" s="1"/>
  <c r="J88" i="3" s="1"/>
  <c r="K30" i="4"/>
  <c r="K31" i="4" s="1"/>
  <c r="K88" i="3" s="1"/>
  <c r="K73" i="4"/>
  <c r="K43" i="2" s="1"/>
  <c r="J20" i="4"/>
  <c r="K65" i="4"/>
  <c r="K41" i="2" s="1"/>
  <c r="K109" i="2"/>
  <c r="J65" i="4"/>
  <c r="J41" i="2" s="1"/>
  <c r="J109" i="2"/>
  <c r="K30" i="18"/>
  <c r="K21" i="18"/>
  <c r="K20" i="18"/>
  <c r="K28" i="18"/>
  <c r="K29" i="18" s="1"/>
  <c r="I22" i="18"/>
  <c r="X6" i="16"/>
  <c r="V8" i="16"/>
  <c r="U4" i="16"/>
  <c r="K22" i="2" s="1"/>
  <c r="X5" i="16"/>
  <c r="X7" i="16"/>
  <c r="L24" i="2" s="1"/>
  <c r="W6" i="16"/>
  <c r="J148" i="5" l="1"/>
  <c r="J149" i="5" s="1"/>
  <c r="J151" i="5" s="1"/>
  <c r="J291" i="2" s="1"/>
  <c r="K148" i="5"/>
  <c r="K149" i="5" s="1"/>
  <c r="K151" i="5" s="1"/>
  <c r="K291" i="2" s="1"/>
  <c r="K115" i="5"/>
  <c r="K189" i="2" s="1"/>
  <c r="K154" i="5"/>
  <c r="J115" i="5"/>
  <c r="J189" i="2" s="1"/>
  <c r="J154" i="5"/>
  <c r="M140" i="5"/>
  <c r="E90" i="59"/>
  <c r="O21" i="2"/>
  <c r="AB21" i="2" s="1"/>
  <c r="R578" i="2"/>
  <c r="R213" i="5" s="1"/>
  <c r="R212" i="5" s="1"/>
  <c r="R211" i="5" s="1"/>
  <c r="T578" i="2"/>
  <c r="T213" i="5" s="1"/>
  <c r="T212" i="5" s="1"/>
  <c r="T211" i="5" s="1"/>
  <c r="N578" i="2"/>
  <c r="P578" i="2"/>
  <c r="P213" i="5" s="1"/>
  <c r="P212" i="5" s="1"/>
  <c r="P211" i="5" s="1"/>
  <c r="S578" i="2"/>
  <c r="S213" i="5" s="1"/>
  <c r="S212" i="5" s="1"/>
  <c r="S211" i="5" s="1"/>
  <c r="Q578" i="2"/>
  <c r="Q213" i="5" s="1"/>
  <c r="Q212" i="5" s="1"/>
  <c r="Q211" i="5" s="1"/>
  <c r="R580" i="2"/>
  <c r="R223" i="5" s="1"/>
  <c r="R222" i="5" s="1"/>
  <c r="R221" i="5" s="1"/>
  <c r="P580" i="2"/>
  <c r="P223" i="5" s="1"/>
  <c r="P222" i="5" s="1"/>
  <c r="P221" i="5" s="1"/>
  <c r="N580" i="2"/>
  <c r="T580" i="2"/>
  <c r="T223" i="5" s="1"/>
  <c r="T222" i="5" s="1"/>
  <c r="T221" i="5" s="1"/>
  <c r="S580" i="2"/>
  <c r="S223" i="5" s="1"/>
  <c r="S222" i="5" s="1"/>
  <c r="S221" i="5" s="1"/>
  <c r="Q580" i="2"/>
  <c r="Q223" i="5" s="1"/>
  <c r="Q222" i="5" s="1"/>
  <c r="Q221" i="5" s="1"/>
  <c r="Q581" i="2"/>
  <c r="Q228" i="5" s="1"/>
  <c r="Q227" i="5" s="1"/>
  <c r="Q226" i="5" s="1"/>
  <c r="S581" i="2"/>
  <c r="S228" i="5" s="1"/>
  <c r="S227" i="5" s="1"/>
  <c r="S226" i="5" s="1"/>
  <c r="N581" i="2"/>
  <c r="T581" i="2"/>
  <c r="T228" i="5" s="1"/>
  <c r="T227" i="5" s="1"/>
  <c r="T226" i="5" s="1"/>
  <c r="R581" i="2"/>
  <c r="R228" i="5" s="1"/>
  <c r="R227" i="5" s="1"/>
  <c r="R226" i="5" s="1"/>
  <c r="P581" i="2"/>
  <c r="P228" i="5" s="1"/>
  <c r="P227" i="5" s="1"/>
  <c r="P226" i="5" s="1"/>
  <c r="N503" i="2"/>
  <c r="N149" i="4" s="1"/>
  <c r="N148" i="4" s="1"/>
  <c r="N147" i="4" s="1"/>
  <c r="R493" i="2"/>
  <c r="R118" i="4" s="1"/>
  <c r="R117" i="4" s="1"/>
  <c r="R116" i="4" s="1"/>
  <c r="Q493" i="2"/>
  <c r="Q118" i="4" s="1"/>
  <c r="Q117" i="4" s="1"/>
  <c r="Q116" i="4" s="1"/>
  <c r="P493" i="2"/>
  <c r="P118" i="4" s="1"/>
  <c r="P117" i="4" s="1"/>
  <c r="P116" i="4" s="1"/>
  <c r="N493" i="2"/>
  <c r="O493" i="2" s="1"/>
  <c r="T493" i="2"/>
  <c r="T118" i="4" s="1"/>
  <c r="T117" i="4" s="1"/>
  <c r="T116" i="4" s="1"/>
  <c r="S493" i="2"/>
  <c r="S118" i="4" s="1"/>
  <c r="S117" i="4" s="1"/>
  <c r="S116" i="4" s="1"/>
  <c r="R496" i="2"/>
  <c r="R128" i="4" s="1"/>
  <c r="R127" i="4" s="1"/>
  <c r="R126" i="4" s="1"/>
  <c r="Q496" i="2"/>
  <c r="Q128" i="4" s="1"/>
  <c r="Q127" i="4" s="1"/>
  <c r="Q126" i="4" s="1"/>
  <c r="P496" i="2"/>
  <c r="P128" i="4" s="1"/>
  <c r="P127" i="4" s="1"/>
  <c r="P126" i="4" s="1"/>
  <c r="N496" i="2"/>
  <c r="O496" i="2" s="1"/>
  <c r="T496" i="2"/>
  <c r="T128" i="4" s="1"/>
  <c r="T127" i="4" s="1"/>
  <c r="T126" i="4" s="1"/>
  <c r="S496" i="2"/>
  <c r="S128" i="4" s="1"/>
  <c r="S127" i="4" s="1"/>
  <c r="S126" i="4" s="1"/>
  <c r="T495" i="2"/>
  <c r="T133" i="4" s="1"/>
  <c r="T132" i="4" s="1"/>
  <c r="T131" i="4" s="1"/>
  <c r="S495" i="2"/>
  <c r="S133" i="4" s="1"/>
  <c r="S132" i="4" s="1"/>
  <c r="S131" i="4" s="1"/>
  <c r="R495" i="2"/>
  <c r="R133" i="4" s="1"/>
  <c r="R132" i="4" s="1"/>
  <c r="R131" i="4" s="1"/>
  <c r="Q495" i="2"/>
  <c r="Q133" i="4" s="1"/>
  <c r="Q132" i="4" s="1"/>
  <c r="Q131" i="4" s="1"/>
  <c r="P495" i="2"/>
  <c r="P133" i="4" s="1"/>
  <c r="P132" i="4" s="1"/>
  <c r="P131" i="4" s="1"/>
  <c r="N495" i="2"/>
  <c r="O495" i="2" s="1"/>
  <c r="O24" i="2"/>
  <c r="AB24" i="2" s="1"/>
  <c r="O25" i="2"/>
  <c r="AB25" i="2" s="1"/>
  <c r="O22" i="2"/>
  <c r="AB22" i="2" s="1"/>
  <c r="L45" i="4"/>
  <c r="O23" i="2"/>
  <c r="AB23" i="2" s="1"/>
  <c r="M45" i="4"/>
  <c r="P75" i="4"/>
  <c r="F102" i="89" s="1"/>
  <c r="K16" i="18"/>
  <c r="K32" i="18"/>
  <c r="M16" i="18"/>
  <c r="C66" i="18" s="1"/>
  <c r="G66" i="18"/>
  <c r="E66" i="18"/>
  <c r="D66" i="18"/>
  <c r="F66" i="18"/>
  <c r="L20" i="18"/>
  <c r="L21" i="18" s="1"/>
  <c r="J9" i="4"/>
  <c r="J10" i="5" s="1"/>
  <c r="P69" i="4"/>
  <c r="F94" i="89" s="1"/>
  <c r="Q81" i="4"/>
  <c r="G106" i="89" s="1"/>
  <c r="P81" i="4"/>
  <c r="F106" i="89" s="1"/>
  <c r="S85" i="4"/>
  <c r="I109" i="89" s="1"/>
  <c r="R85" i="4"/>
  <c r="H109" i="89" s="1"/>
  <c r="J23" i="2"/>
  <c r="AA23" i="2" s="1"/>
  <c r="K23" i="2"/>
  <c r="U6" i="16"/>
  <c r="N44" i="5"/>
  <c r="D135" i="89" s="1"/>
  <c r="J95" i="5"/>
  <c r="J92" i="5" s="1"/>
  <c r="J84" i="5"/>
  <c r="J81" i="5" s="1"/>
  <c r="K84" i="5"/>
  <c r="K81" i="5" s="1"/>
  <c r="K95" i="5"/>
  <c r="K92" i="5" s="1"/>
  <c r="K62" i="5"/>
  <c r="K59" i="5" s="1"/>
  <c r="J62" i="5"/>
  <c r="J59" i="5" s="1"/>
  <c r="K51" i="5"/>
  <c r="J51" i="5"/>
  <c r="K40" i="5"/>
  <c r="K37" i="5" s="1"/>
  <c r="K95" i="3" s="1"/>
  <c r="J40" i="5"/>
  <c r="J37" i="5" s="1"/>
  <c r="J95" i="3" s="1"/>
  <c r="J89" i="4"/>
  <c r="J90" i="2" s="1"/>
  <c r="K25" i="4"/>
  <c r="K87" i="3" s="1"/>
  <c r="K85" i="3" s="1"/>
  <c r="J25" i="4"/>
  <c r="J87" i="3" s="1"/>
  <c r="J85" i="3" s="1"/>
  <c r="J17" i="18"/>
  <c r="J18" i="18" s="1"/>
  <c r="K10" i="18"/>
  <c r="K15" i="18" s="1"/>
  <c r="A1" i="2"/>
  <c r="A1" i="8"/>
  <c r="A1" i="7"/>
  <c r="A1" i="6"/>
  <c r="A1" i="5"/>
  <c r="A1" i="4"/>
  <c r="L10" i="3"/>
  <c r="L13" i="3" s="1"/>
  <c r="A1" i="3"/>
  <c r="H6" i="1"/>
  <c r="H7" i="1" s="1"/>
  <c r="H5" i="1"/>
  <c r="A1" i="1"/>
  <c r="P291" i="2" l="1"/>
  <c r="P151" i="5" s="1"/>
  <c r="P149" i="5" s="1"/>
  <c r="S291" i="2"/>
  <c r="S151" i="5" s="1"/>
  <c r="S149" i="5" s="1"/>
  <c r="R291" i="2"/>
  <c r="R151" i="5" s="1"/>
  <c r="R149" i="5" s="1"/>
  <c r="Q291" i="2"/>
  <c r="Q151" i="5" s="1"/>
  <c r="Q149" i="5" s="1"/>
  <c r="T291" i="2"/>
  <c r="T151" i="5" s="1"/>
  <c r="T149" i="5" s="1"/>
  <c r="T147" i="5" s="1"/>
  <c r="T141" i="5" s="1"/>
  <c r="O291" i="2"/>
  <c r="N291" i="2" s="1"/>
  <c r="N151" i="5" s="1"/>
  <c r="N149" i="5" s="1"/>
  <c r="K166" i="5"/>
  <c r="J48" i="5"/>
  <c r="J44" i="5" s="1"/>
  <c r="J45" i="5" s="1"/>
  <c r="J104" i="3" s="1"/>
  <c r="K48" i="5"/>
  <c r="K96" i="3" s="1"/>
  <c r="N228" i="5"/>
  <c r="N227" i="5" s="1"/>
  <c r="N226" i="5" s="1"/>
  <c r="O226" i="5" s="1"/>
  <c r="O227" i="5" s="1"/>
  <c r="O581" i="2"/>
  <c r="N213" i="5"/>
  <c r="N212" i="5" s="1"/>
  <c r="N211" i="5" s="1"/>
  <c r="O578" i="2"/>
  <c r="N223" i="5"/>
  <c r="N222" i="5" s="1"/>
  <c r="N221" i="5" s="1"/>
  <c r="O221" i="5" s="1"/>
  <c r="O222" i="5" s="1"/>
  <c r="O580" i="2"/>
  <c r="Q579" i="2"/>
  <c r="Q218" i="5" s="1"/>
  <c r="Q217" i="5" s="1"/>
  <c r="Q216" i="5" s="1"/>
  <c r="Q210" i="5" s="1"/>
  <c r="S579" i="2"/>
  <c r="S218" i="5" s="1"/>
  <c r="S217" i="5" s="1"/>
  <c r="S216" i="5" s="1"/>
  <c r="S210" i="5" s="1"/>
  <c r="R579" i="2"/>
  <c r="R218" i="5" s="1"/>
  <c r="R217" i="5" s="1"/>
  <c r="R216" i="5" s="1"/>
  <c r="R210" i="5" s="1"/>
  <c r="T579" i="2"/>
  <c r="T218" i="5" s="1"/>
  <c r="T217" i="5" s="1"/>
  <c r="T216" i="5" s="1"/>
  <c r="T210" i="5" s="1"/>
  <c r="P579" i="2"/>
  <c r="P218" i="5" s="1"/>
  <c r="P217" i="5" s="1"/>
  <c r="P216" i="5" s="1"/>
  <c r="P210" i="5" s="1"/>
  <c r="N579" i="2"/>
  <c r="O147" i="4"/>
  <c r="N146" i="4"/>
  <c r="N110" i="4" s="1"/>
  <c r="N494" i="2"/>
  <c r="O494" i="2" s="1"/>
  <c r="T494" i="2"/>
  <c r="T123" i="4" s="1"/>
  <c r="T122" i="4" s="1"/>
  <c r="T121" i="4" s="1"/>
  <c r="T115" i="4" s="1"/>
  <c r="T108" i="4" s="1"/>
  <c r="S494" i="2"/>
  <c r="S123" i="4" s="1"/>
  <c r="S122" i="4" s="1"/>
  <c r="S121" i="4" s="1"/>
  <c r="S115" i="4" s="1"/>
  <c r="S108" i="4" s="1"/>
  <c r="R494" i="2"/>
  <c r="R123" i="4" s="1"/>
  <c r="R122" i="4" s="1"/>
  <c r="R121" i="4" s="1"/>
  <c r="R115" i="4" s="1"/>
  <c r="R108" i="4" s="1"/>
  <c r="Q494" i="2"/>
  <c r="Q123" i="4" s="1"/>
  <c r="Q122" i="4" s="1"/>
  <c r="Q121" i="4" s="1"/>
  <c r="Q115" i="4" s="1"/>
  <c r="Q108" i="4" s="1"/>
  <c r="P494" i="2"/>
  <c r="P123" i="4" s="1"/>
  <c r="P122" i="4" s="1"/>
  <c r="P121" i="4" s="1"/>
  <c r="P115" i="4" s="1"/>
  <c r="P108" i="4" s="1"/>
  <c r="N118" i="4"/>
  <c r="N117" i="4" s="1"/>
  <c r="N116" i="4" s="1"/>
  <c r="N133" i="4"/>
  <c r="N132" i="4" s="1"/>
  <c r="N131" i="4" s="1"/>
  <c r="O131" i="4" s="1"/>
  <c r="O132" i="4" s="1"/>
  <c r="N128" i="4"/>
  <c r="N127" i="4" s="1"/>
  <c r="N126" i="4" s="1"/>
  <c r="O126" i="4" s="1"/>
  <c r="O127" i="4" s="1"/>
  <c r="J189" i="4"/>
  <c r="J178" i="4" s="1"/>
  <c r="J25" i="5"/>
  <c r="J23" i="5"/>
  <c r="K45" i="4"/>
  <c r="J45" i="4"/>
  <c r="J21" i="5"/>
  <c r="J10" i="4"/>
  <c r="K77" i="5"/>
  <c r="K78" i="5" s="1"/>
  <c r="K107" i="3" s="1"/>
  <c r="K99" i="3"/>
  <c r="J77" i="5"/>
  <c r="J78" i="5" s="1"/>
  <c r="J107" i="3" s="1"/>
  <c r="J99" i="3"/>
  <c r="J88" i="5"/>
  <c r="J89" i="5" s="1"/>
  <c r="J108" i="3" s="1"/>
  <c r="J100" i="3"/>
  <c r="J55" i="5"/>
  <c r="J56" i="5" s="1"/>
  <c r="J105" i="3" s="1"/>
  <c r="J97" i="3"/>
  <c r="K55" i="5"/>
  <c r="K56" i="5" s="1"/>
  <c r="K105" i="3" s="1"/>
  <c r="K97" i="3"/>
  <c r="K88" i="5"/>
  <c r="K89" i="5" s="1"/>
  <c r="K108" i="3" s="1"/>
  <c r="K100" i="3"/>
  <c r="P103" i="5"/>
  <c r="J24" i="4"/>
  <c r="J54" i="6"/>
  <c r="J51" i="6" s="1"/>
  <c r="J53" i="6"/>
  <c r="J413" i="2" s="1"/>
  <c r="K17" i="18"/>
  <c r="K18" i="18" s="1"/>
  <c r="K155" i="5"/>
  <c r="K316" i="2" s="1"/>
  <c r="J155" i="5"/>
  <c r="J316" i="2" s="1"/>
  <c r="Q69" i="4"/>
  <c r="G94" i="89" s="1"/>
  <c r="S81" i="4"/>
  <c r="I106" i="89" s="1"/>
  <c r="R81" i="4"/>
  <c r="H106" i="89" s="1"/>
  <c r="Q77" i="4"/>
  <c r="G103" i="89" s="1"/>
  <c r="S62" i="4"/>
  <c r="S78" i="4"/>
  <c r="I104" i="89" s="1"/>
  <c r="R62" i="4"/>
  <c r="R78" i="4"/>
  <c r="H104" i="89" s="1"/>
  <c r="N55" i="5"/>
  <c r="D139" i="89" s="1"/>
  <c r="N33" i="5"/>
  <c r="D131" i="89" s="1"/>
  <c r="L14" i="3"/>
  <c r="L11" i="3"/>
  <c r="N59" i="4"/>
  <c r="N89" i="5"/>
  <c r="N88" i="5" s="1"/>
  <c r="D153" i="89" s="1"/>
  <c r="N52" i="4"/>
  <c r="N78" i="5"/>
  <c r="N77" i="5" s="1"/>
  <c r="D149" i="89" s="1"/>
  <c r="N73" i="4"/>
  <c r="D97" i="89" s="1"/>
  <c r="P73" i="4"/>
  <c r="F97" i="89" s="1"/>
  <c r="Q73" i="4"/>
  <c r="G97" i="89" s="1"/>
  <c r="P21" i="3"/>
  <c r="G14" i="89" s="1"/>
  <c r="N21" i="3"/>
  <c r="E14" i="89" s="1"/>
  <c r="R92" i="3" l="1"/>
  <c r="H89" i="89"/>
  <c r="S92" i="3"/>
  <c r="I89" i="89"/>
  <c r="P104" i="5"/>
  <c r="F164" i="89" s="1"/>
  <c r="F163" i="89"/>
  <c r="K336" i="2"/>
  <c r="K167" i="5"/>
  <c r="K337" i="2" s="1"/>
  <c r="O151" i="5"/>
  <c r="J96" i="3"/>
  <c r="J93" i="3" s="1"/>
  <c r="K44" i="5"/>
  <c r="K45" i="5" s="1"/>
  <c r="K104" i="3" s="1"/>
  <c r="O138" i="5"/>
  <c r="S204" i="5"/>
  <c r="S202" i="5" s="1"/>
  <c r="P204" i="5"/>
  <c r="P202" i="5" s="1"/>
  <c r="T204" i="5"/>
  <c r="T202" i="5" s="1"/>
  <c r="Q204" i="5"/>
  <c r="Q202" i="5" s="1"/>
  <c r="R204" i="5"/>
  <c r="R202" i="5" s="1"/>
  <c r="O211" i="5"/>
  <c r="N218" i="5"/>
  <c r="N217" i="5" s="1"/>
  <c r="N216" i="5" s="1"/>
  <c r="O216" i="5" s="1"/>
  <c r="O217" i="5" s="1"/>
  <c r="O579" i="2"/>
  <c r="O148" i="4"/>
  <c r="O146" i="4"/>
  <c r="O110" i="4" s="1"/>
  <c r="O116" i="4"/>
  <c r="N123" i="4"/>
  <c r="N122" i="4" s="1"/>
  <c r="N121" i="4" s="1"/>
  <c r="O121" i="4" s="1"/>
  <c r="O122" i="4" s="1"/>
  <c r="J562" i="2"/>
  <c r="J22" i="6"/>
  <c r="K93" i="3"/>
  <c r="N22" i="3"/>
  <c r="E15" i="89" s="1"/>
  <c r="P22" i="3"/>
  <c r="G15" i="89" s="1"/>
  <c r="R93" i="5"/>
  <c r="S93" i="5"/>
  <c r="Q75" i="4"/>
  <c r="P23" i="4"/>
  <c r="F70" i="89" s="1"/>
  <c r="Q23" i="4"/>
  <c r="G70" i="89" s="1"/>
  <c r="N23" i="4"/>
  <c r="D70" i="89" s="1"/>
  <c r="S77" i="4"/>
  <c r="I103" i="89" s="1"/>
  <c r="R77" i="4"/>
  <c r="H103" i="89" s="1"/>
  <c r="S69" i="4"/>
  <c r="I94" i="89" s="1"/>
  <c r="R69" i="4"/>
  <c r="H94" i="89" s="1"/>
  <c r="R23" i="4"/>
  <c r="H70" i="89" s="1"/>
  <c r="S52" i="4"/>
  <c r="S78" i="5"/>
  <c r="P52" i="4"/>
  <c r="P78" i="5"/>
  <c r="Q52" i="4"/>
  <c r="Q78" i="5"/>
  <c r="R78" i="5"/>
  <c r="R52" i="4"/>
  <c r="J13" i="4"/>
  <c r="J8" i="4" s="1"/>
  <c r="J8" i="3" s="1"/>
  <c r="J291" i="5"/>
  <c r="J642" i="2" s="1"/>
  <c r="S73" i="4"/>
  <c r="I97" i="89" s="1"/>
  <c r="Q21" i="3"/>
  <c r="H14" i="89" s="1"/>
  <c r="Q103" i="5" l="1"/>
  <c r="G163" i="89" s="1"/>
  <c r="G102" i="89"/>
  <c r="N138" i="5"/>
  <c r="O137" i="5"/>
  <c r="O210" i="5"/>
  <c r="O212" i="5"/>
  <c r="N210" i="5"/>
  <c r="N115" i="4"/>
  <c r="N108" i="4" s="1"/>
  <c r="O117" i="4"/>
  <c r="O115" i="4"/>
  <c r="O108" i="4" s="1"/>
  <c r="S95" i="5"/>
  <c r="S92" i="5" s="1"/>
  <c r="R95" i="5"/>
  <c r="R92" i="5" s="1"/>
  <c r="Q22" i="3"/>
  <c r="H15" i="89" s="1"/>
  <c r="Q104" i="5"/>
  <c r="G164" i="89" s="1"/>
  <c r="Q76" i="4"/>
  <c r="S75" i="4"/>
  <c r="I102" i="89" s="1"/>
  <c r="R75" i="4"/>
  <c r="S23" i="4"/>
  <c r="I70" i="89" s="1"/>
  <c r="J10" i="3"/>
  <c r="R73" i="4"/>
  <c r="H97" i="89" s="1"/>
  <c r="R21" i="3"/>
  <c r="I14" i="89" s="1"/>
  <c r="S108" i="3" l="1"/>
  <c r="I154" i="89"/>
  <c r="R108" i="3"/>
  <c r="H154" i="89"/>
  <c r="R103" i="5"/>
  <c r="H163" i="89" s="1"/>
  <c r="H102" i="89"/>
  <c r="N137" i="5"/>
  <c r="N204" i="5"/>
  <c r="N202" i="5" s="1"/>
  <c r="O204" i="5"/>
  <c r="O202" i="5" s="1"/>
  <c r="R100" i="3"/>
  <c r="S100" i="3"/>
  <c r="S21" i="3"/>
  <c r="J14" i="89" s="1"/>
  <c r="S103" i="5"/>
  <c r="T76" i="4"/>
  <c r="R76" i="4"/>
  <c r="S76" i="4"/>
  <c r="J11" i="3"/>
  <c r="R22" i="3"/>
  <c r="I15" i="89" s="1"/>
  <c r="R104" i="5" l="1"/>
  <c r="H164" i="89" s="1"/>
  <c r="S104" i="5"/>
  <c r="I164" i="89" s="1"/>
  <c r="I163" i="89"/>
  <c r="N139" i="5"/>
  <c r="T21" i="3"/>
  <c r="K14" i="89" s="1"/>
  <c r="S22" i="3"/>
  <c r="J15" i="89" s="1"/>
  <c r="U21" i="3"/>
  <c r="L14" i="89" s="1"/>
  <c r="T22" i="3"/>
  <c r="K15" i="89" s="1"/>
  <c r="U22" i="3" l="1"/>
  <c r="L15" i="89" s="1"/>
  <c r="K33" i="5"/>
  <c r="K34" i="5" s="1"/>
  <c r="K103" i="3" s="1"/>
  <c r="K101" i="3" s="1"/>
  <c r="J33" i="5"/>
  <c r="J34" i="5" s="1"/>
  <c r="J103" i="3" s="1"/>
  <c r="J101" i="3" s="1"/>
  <c r="S37" i="4"/>
  <c r="I76" i="89" s="1"/>
  <c r="S30" i="4"/>
  <c r="I73" i="89" s="1"/>
  <c r="R37" i="4"/>
  <c r="H76" i="89" s="1"/>
  <c r="R30" i="4"/>
  <c r="H73" i="89" s="1"/>
  <c r="P37" i="4"/>
  <c r="F76" i="89" s="1"/>
  <c r="P30" i="4"/>
  <c r="F73" i="89" s="1"/>
  <c r="Q37" i="4"/>
  <c r="G76" i="89" s="1"/>
  <c r="Q30" i="4"/>
  <c r="G73" i="89" s="1"/>
  <c r="J109" i="3" l="1"/>
  <c r="K109" i="3"/>
  <c r="N37" i="4"/>
  <c r="D76" i="89" s="1"/>
  <c r="N30" i="4"/>
  <c r="D73" i="89" s="1"/>
  <c r="Q58" i="4"/>
  <c r="G88" i="89" s="1"/>
  <c r="S58" i="4"/>
  <c r="I88" i="89" s="1"/>
  <c r="R58" i="4"/>
  <c r="H88" i="89" s="1"/>
  <c r="N60" i="4"/>
  <c r="P58" i="4"/>
  <c r="F88" i="89" s="1"/>
  <c r="Q51" i="4"/>
  <c r="G85" i="89" s="1"/>
  <c r="P51" i="4"/>
  <c r="F85" i="89" s="1"/>
  <c r="R51" i="4"/>
  <c r="H85" i="89" s="1"/>
  <c r="N53" i="4"/>
  <c r="S51" i="4"/>
  <c r="I85" i="89" s="1"/>
  <c r="J111" i="3" l="1"/>
  <c r="J110" i="3" s="1"/>
  <c r="R56" i="4"/>
  <c r="H87" i="89" s="1"/>
  <c r="S56" i="4"/>
  <c r="I87" i="89" s="1"/>
  <c r="Q56" i="4"/>
  <c r="G87" i="89" s="1"/>
  <c r="P56" i="4"/>
  <c r="F87" i="89" s="1"/>
  <c r="N58" i="4"/>
  <c r="D88" i="89" s="1"/>
  <c r="N51" i="4"/>
  <c r="D85" i="89" s="1"/>
  <c r="J112" i="3" l="1"/>
  <c r="J86" i="3"/>
  <c r="J94" i="3"/>
  <c r="J102" i="3"/>
  <c r="R57" i="4"/>
  <c r="T57" i="4"/>
  <c r="S57" i="4"/>
  <c r="Q57" i="4"/>
  <c r="M25" i="5"/>
  <c r="M23" i="5"/>
  <c r="M8" i="4"/>
  <c r="M8" i="3" l="1"/>
  <c r="M8" i="6"/>
  <c r="M12" i="3" s="1"/>
  <c r="M10" i="6"/>
  <c r="M8" i="5" l="1"/>
  <c r="M10" i="5"/>
  <c r="M9" i="3" l="1"/>
  <c r="M10" i="3" s="1"/>
  <c r="M11" i="3" s="1"/>
  <c r="M13" i="3" l="1"/>
  <c r="M14" i="3" s="1"/>
  <c r="P27" i="4" l="1"/>
  <c r="P87" i="3" l="1"/>
  <c r="F71" i="89"/>
  <c r="P38" i="5"/>
  <c r="Q27" i="4"/>
  <c r="P21" i="4"/>
  <c r="Q87" i="3" l="1"/>
  <c r="G71" i="89"/>
  <c r="F69" i="89"/>
  <c r="P154" i="5"/>
  <c r="P166" i="5" s="1"/>
  <c r="P148" i="5"/>
  <c r="P147" i="5" s="1"/>
  <c r="P339" i="5"/>
  <c r="P340" i="5" s="1"/>
  <c r="P40" i="5"/>
  <c r="Q38" i="5"/>
  <c r="S27" i="4"/>
  <c r="I71" i="89" s="1"/>
  <c r="R27" i="4"/>
  <c r="H71" i="89" s="1"/>
  <c r="Q21" i="4"/>
  <c r="G69" i="89" l="1"/>
  <c r="Q154" i="5"/>
  <c r="Q148" i="5"/>
  <c r="Q147" i="5" s="1"/>
  <c r="P37" i="5"/>
  <c r="P114" i="5"/>
  <c r="P315" i="5"/>
  <c r="P328" i="5" s="1"/>
  <c r="P153" i="5"/>
  <c r="P156" i="5" s="1"/>
  <c r="P152" i="5" s="1"/>
  <c r="F185" i="89" s="1"/>
  <c r="R87" i="3"/>
  <c r="S87" i="3"/>
  <c r="Q40" i="5"/>
  <c r="Q339" i="5"/>
  <c r="Q340" i="5" s="1"/>
  <c r="Q22" i="4"/>
  <c r="R38" i="5"/>
  <c r="R21" i="4"/>
  <c r="S38" i="5"/>
  <c r="S21" i="4"/>
  <c r="P103" i="3" l="1"/>
  <c r="F132" i="89"/>
  <c r="H69" i="89"/>
  <c r="I69" i="89"/>
  <c r="P95" i="3"/>
  <c r="S154" i="5"/>
  <c r="S148" i="5"/>
  <c r="S147" i="5" s="1"/>
  <c r="R154" i="5"/>
  <c r="R148" i="5"/>
  <c r="R147" i="5" s="1"/>
  <c r="Q37" i="5"/>
  <c r="Q114" i="5"/>
  <c r="Q166" i="5"/>
  <c r="P329" i="5"/>
  <c r="P327" i="5"/>
  <c r="P322" i="5"/>
  <c r="P330" i="5" s="1"/>
  <c r="P325" i="5"/>
  <c r="P324" i="5"/>
  <c r="P326" i="5"/>
  <c r="Q315" i="5"/>
  <c r="Q322" i="5" s="1"/>
  <c r="Q330" i="5" s="1"/>
  <c r="R339" i="5"/>
  <c r="R340" i="5" s="1"/>
  <c r="S40" i="5"/>
  <c r="S114" i="5" s="1"/>
  <c r="R40" i="5"/>
  <c r="R114" i="5" s="1"/>
  <c r="S22" i="4"/>
  <c r="T22" i="4"/>
  <c r="R22" i="4"/>
  <c r="Q103" i="3" l="1"/>
  <c r="G132" i="89"/>
  <c r="Q95" i="3"/>
  <c r="Q153" i="5"/>
  <c r="Q156" i="5" s="1"/>
  <c r="Q152" i="5" s="1"/>
  <c r="G185" i="89" s="1"/>
  <c r="R166" i="5"/>
  <c r="S166" i="5"/>
  <c r="P323" i="5"/>
  <c r="Q325" i="5"/>
  <c r="Q324" i="5"/>
  <c r="Q327" i="5"/>
  <c r="Q326" i="5"/>
  <c r="Q328" i="5"/>
  <c r="Q329" i="5"/>
  <c r="R153" i="5"/>
  <c r="R156" i="5" s="1"/>
  <c r="R152" i="5" s="1"/>
  <c r="H185" i="89" s="1"/>
  <c r="R37" i="5"/>
  <c r="H132" i="89" s="1"/>
  <c r="R315" i="5"/>
  <c r="S37" i="5"/>
  <c r="I132" i="89" s="1"/>
  <c r="S315" i="5"/>
  <c r="P48" i="4"/>
  <c r="Q48" i="4"/>
  <c r="Q90" i="3" l="1"/>
  <c r="G80" i="89"/>
  <c r="P90" i="3"/>
  <c r="F80" i="89"/>
  <c r="S153" i="5"/>
  <c r="S156" i="5" s="1"/>
  <c r="S152" i="5" s="1"/>
  <c r="I185" i="89" s="1"/>
  <c r="Q323" i="5"/>
  <c r="S95" i="3"/>
  <c r="S103" i="3"/>
  <c r="R95" i="3"/>
  <c r="R103" i="3"/>
  <c r="Q42" i="4"/>
  <c r="G78" i="89" s="1"/>
  <c r="P42" i="4"/>
  <c r="F78" i="89" s="1"/>
  <c r="S322" i="5"/>
  <c r="S330" i="5" s="1"/>
  <c r="S324" i="5"/>
  <c r="S329" i="5"/>
  <c r="S325" i="5"/>
  <c r="S328" i="5"/>
  <c r="S327" i="5"/>
  <c r="S326" i="5"/>
  <c r="R322" i="5"/>
  <c r="R330" i="5" s="1"/>
  <c r="R327" i="5"/>
  <c r="R328" i="5"/>
  <c r="R329" i="5"/>
  <c r="R326" i="5"/>
  <c r="R324" i="5"/>
  <c r="R325" i="5"/>
  <c r="Q71" i="5"/>
  <c r="P71" i="5"/>
  <c r="Q43" i="4" l="1"/>
  <c r="R323" i="5"/>
  <c r="S323" i="5"/>
  <c r="R48" i="4"/>
  <c r="H80" i="89" s="1"/>
  <c r="S48" i="4"/>
  <c r="I80" i="89" s="1"/>
  <c r="S90" i="3" l="1"/>
  <c r="R90" i="3"/>
  <c r="S71" i="5"/>
  <c r="S42" i="4"/>
  <c r="I78" i="89" s="1"/>
  <c r="R71" i="5"/>
  <c r="R42" i="4"/>
  <c r="H78" i="89" s="1"/>
  <c r="R43" i="4" l="1"/>
  <c r="S43" i="4"/>
  <c r="T43" i="4"/>
  <c r="P34" i="4" l="1"/>
  <c r="P41" i="4"/>
  <c r="P70" i="4"/>
  <c r="F95" i="89" s="1"/>
  <c r="P74" i="4"/>
  <c r="F98" i="89" s="1"/>
  <c r="Q41" i="4"/>
  <c r="Q55" i="4"/>
  <c r="Q82" i="4"/>
  <c r="G107" i="89" s="1"/>
  <c r="Q91" i="3" l="1"/>
  <c r="G86" i="89"/>
  <c r="Q89" i="3"/>
  <c r="G77" i="89"/>
  <c r="P89" i="3"/>
  <c r="F77" i="89"/>
  <c r="P88" i="3"/>
  <c r="F74" i="89"/>
  <c r="P143" i="5"/>
  <c r="Q79" i="4"/>
  <c r="G105" i="89" s="1"/>
  <c r="Q49" i="4"/>
  <c r="G84" i="89" s="1"/>
  <c r="Q35" i="4"/>
  <c r="G75" i="89" s="1"/>
  <c r="P67" i="4"/>
  <c r="P35" i="4"/>
  <c r="F75" i="89" s="1"/>
  <c r="P49" i="5"/>
  <c r="P71" i="4"/>
  <c r="F96" i="89" s="1"/>
  <c r="P161" i="5"/>
  <c r="Q74" i="4"/>
  <c r="G98" i="89" s="1"/>
  <c r="Q63" i="4"/>
  <c r="Q86" i="4"/>
  <c r="G110" i="89" s="1"/>
  <c r="P86" i="4"/>
  <c r="F110" i="89" s="1"/>
  <c r="P82" i="4"/>
  <c r="F107" i="89" s="1"/>
  <c r="Q70" i="4"/>
  <c r="G95" i="89" s="1"/>
  <c r="Q34" i="4"/>
  <c r="P55" i="4"/>
  <c r="P60" i="5"/>
  <c r="Q60" i="5"/>
  <c r="Q82" i="5"/>
  <c r="P63" i="4"/>
  <c r="P28" i="4"/>
  <c r="Q88" i="3" l="1"/>
  <c r="Q85" i="3" s="1"/>
  <c r="G74" i="89"/>
  <c r="P180" i="4"/>
  <c r="F90" i="89"/>
  <c r="P99" i="5"/>
  <c r="F157" i="89" s="1"/>
  <c r="F93" i="89"/>
  <c r="Q180" i="4"/>
  <c r="G90" i="89"/>
  <c r="P91" i="3"/>
  <c r="P85" i="3" s="1"/>
  <c r="F86" i="89"/>
  <c r="F72" i="89"/>
  <c r="P142" i="5"/>
  <c r="P141" i="5" s="1"/>
  <c r="Q143" i="5"/>
  <c r="Q142" i="5" s="1"/>
  <c r="Q105" i="5"/>
  <c r="Q84" i="5"/>
  <c r="Q81" i="5" s="1"/>
  <c r="P51" i="5"/>
  <c r="P48" i="5" s="1"/>
  <c r="P101" i="5"/>
  <c r="F159" i="89" s="1"/>
  <c r="Q36" i="4"/>
  <c r="P79" i="4"/>
  <c r="F105" i="89" s="1"/>
  <c r="P97" i="5"/>
  <c r="F155" i="89" s="1"/>
  <c r="P83" i="4"/>
  <c r="F108" i="89" s="1"/>
  <c r="Q83" i="4"/>
  <c r="G108" i="89" s="1"/>
  <c r="Q97" i="5"/>
  <c r="G155" i="89" s="1"/>
  <c r="P49" i="4"/>
  <c r="F84" i="89" s="1"/>
  <c r="Q28" i="4"/>
  <c r="Q67" i="4"/>
  <c r="Q71" i="4"/>
  <c r="Q161" i="5"/>
  <c r="Q64" i="4"/>
  <c r="Q49" i="5"/>
  <c r="R34" i="4"/>
  <c r="H74" i="89" s="1"/>
  <c r="R70" i="4"/>
  <c r="H95" i="89" s="1"/>
  <c r="S82" i="4"/>
  <c r="I107" i="89" s="1"/>
  <c r="S70" i="4"/>
  <c r="I95" i="89" s="1"/>
  <c r="R55" i="4"/>
  <c r="H86" i="89" s="1"/>
  <c r="R74" i="4"/>
  <c r="H98" i="89" s="1"/>
  <c r="S55" i="4"/>
  <c r="I86" i="89" s="1"/>
  <c r="S74" i="4"/>
  <c r="I98" i="89" s="1"/>
  <c r="R41" i="4"/>
  <c r="H77" i="89" s="1"/>
  <c r="R86" i="4"/>
  <c r="H110" i="89" s="1"/>
  <c r="S34" i="4"/>
  <c r="I74" i="89" s="1"/>
  <c r="S41" i="4"/>
  <c r="I77" i="89" s="1"/>
  <c r="R82" i="4"/>
  <c r="H107" i="89" s="1"/>
  <c r="S86" i="4"/>
  <c r="I110" i="89" s="1"/>
  <c r="P82" i="5"/>
  <c r="P100" i="5" l="1"/>
  <c r="F158" i="89" s="1"/>
  <c r="Q106" i="5"/>
  <c r="G166" i="89" s="1"/>
  <c r="G165" i="89"/>
  <c r="Q101" i="5"/>
  <c r="G159" i="89" s="1"/>
  <c r="G96" i="89"/>
  <c r="F53" i="89"/>
  <c r="Q99" i="5"/>
  <c r="G157" i="89" s="1"/>
  <c r="G53" i="89"/>
  <c r="G93" i="89"/>
  <c r="F52" i="89"/>
  <c r="Q107" i="3"/>
  <c r="G150" i="89"/>
  <c r="P104" i="3"/>
  <c r="F136" i="89"/>
  <c r="G72" i="89"/>
  <c r="G52" i="89"/>
  <c r="Q141" i="5"/>
  <c r="R143" i="5"/>
  <c r="R142" i="5" s="1"/>
  <c r="R141" i="5" s="1"/>
  <c r="S143" i="5"/>
  <c r="S142" i="5" s="1"/>
  <c r="S141" i="5" s="1"/>
  <c r="P102" i="5"/>
  <c r="F160" i="89" s="1"/>
  <c r="R88" i="3"/>
  <c r="R89" i="3"/>
  <c r="S91" i="3"/>
  <c r="Q80" i="4"/>
  <c r="R91" i="3"/>
  <c r="S89" i="3"/>
  <c r="P105" i="5"/>
  <c r="S88" i="3"/>
  <c r="P96" i="3"/>
  <c r="Q51" i="5"/>
  <c r="Q48" i="5" s="1"/>
  <c r="P84" i="5"/>
  <c r="P81" i="5" s="1"/>
  <c r="Q99" i="3"/>
  <c r="Q50" i="4"/>
  <c r="P107" i="5"/>
  <c r="S83" i="4"/>
  <c r="I108" i="89" s="1"/>
  <c r="Q102" i="5"/>
  <c r="G160" i="89" s="1"/>
  <c r="Q84" i="4"/>
  <c r="Q72" i="4"/>
  <c r="P98" i="5"/>
  <c r="F156" i="89" s="1"/>
  <c r="R79" i="4"/>
  <c r="Q107" i="5"/>
  <c r="G167" i="89" s="1"/>
  <c r="S67" i="4"/>
  <c r="Q98" i="5"/>
  <c r="G156" i="89" s="1"/>
  <c r="S79" i="4"/>
  <c r="I105" i="89" s="1"/>
  <c r="Q68" i="4"/>
  <c r="R83" i="4"/>
  <c r="R67" i="4"/>
  <c r="Q29" i="4"/>
  <c r="S71" i="4"/>
  <c r="I96" i="89" s="1"/>
  <c r="S161" i="5"/>
  <c r="R71" i="4"/>
  <c r="H96" i="89" s="1"/>
  <c r="R161" i="5"/>
  <c r="S60" i="5"/>
  <c r="S35" i="4"/>
  <c r="I75" i="89" s="1"/>
  <c r="R60" i="5"/>
  <c r="R35" i="4"/>
  <c r="H75" i="89" s="1"/>
  <c r="R63" i="4"/>
  <c r="S49" i="5"/>
  <c r="S28" i="4"/>
  <c r="S82" i="5"/>
  <c r="S49" i="4"/>
  <c r="I84" i="89" s="1"/>
  <c r="S63" i="4"/>
  <c r="R82" i="5"/>
  <c r="R49" i="4"/>
  <c r="H84" i="89" s="1"/>
  <c r="R49" i="5"/>
  <c r="R28" i="4"/>
  <c r="Q100" i="5" l="1"/>
  <c r="G158" i="89" s="1"/>
  <c r="R105" i="5"/>
  <c r="H165" i="89" s="1"/>
  <c r="H105" i="89"/>
  <c r="R107" i="5"/>
  <c r="H167" i="89" s="1"/>
  <c r="H108" i="89"/>
  <c r="P107" i="3"/>
  <c r="F150" i="89"/>
  <c r="S180" i="4"/>
  <c r="I90" i="89"/>
  <c r="R99" i="5"/>
  <c r="H157" i="89" s="1"/>
  <c r="H53" i="89"/>
  <c r="H93" i="89"/>
  <c r="S99" i="5"/>
  <c r="I157" i="89" s="1"/>
  <c r="I53" i="89"/>
  <c r="I93" i="89"/>
  <c r="P106" i="5"/>
  <c r="F166" i="89" s="1"/>
  <c r="F165" i="89"/>
  <c r="R180" i="4"/>
  <c r="H90" i="89"/>
  <c r="P108" i="5"/>
  <c r="F168" i="89" s="1"/>
  <c r="F167" i="89"/>
  <c r="Q104" i="3"/>
  <c r="G136" i="89"/>
  <c r="H72" i="89"/>
  <c r="H52" i="89"/>
  <c r="I72" i="89"/>
  <c r="I52" i="89"/>
  <c r="S85" i="3"/>
  <c r="R85" i="3"/>
  <c r="R84" i="5"/>
  <c r="R81" i="5" s="1"/>
  <c r="P99" i="3"/>
  <c r="S84" i="5"/>
  <c r="S81" i="5" s="1"/>
  <c r="Q96" i="3"/>
  <c r="S51" i="5"/>
  <c r="S48" i="5" s="1"/>
  <c r="R51" i="5"/>
  <c r="R48" i="5" s="1"/>
  <c r="T80" i="4"/>
  <c r="T84" i="4"/>
  <c r="S107" i="5"/>
  <c r="I167" i="89" s="1"/>
  <c r="S105" i="5"/>
  <c r="T68" i="4"/>
  <c r="S68" i="4"/>
  <c r="R80" i="4"/>
  <c r="S84" i="4"/>
  <c r="R50" i="4"/>
  <c r="R100" i="5"/>
  <c r="H158" i="89" s="1"/>
  <c r="R108" i="5"/>
  <c r="H168" i="89" s="1"/>
  <c r="R97" i="5"/>
  <c r="H155" i="89" s="1"/>
  <c r="R106" i="5"/>
  <c r="H166" i="89" s="1"/>
  <c r="S80" i="4"/>
  <c r="R68" i="4"/>
  <c r="S97" i="5"/>
  <c r="I155" i="89" s="1"/>
  <c r="Q108" i="5"/>
  <c r="G168" i="89" s="1"/>
  <c r="R72" i="4"/>
  <c r="R84" i="4"/>
  <c r="S72" i="4"/>
  <c r="S101" i="5"/>
  <c r="I159" i="89" s="1"/>
  <c r="T72" i="4"/>
  <c r="R101" i="5"/>
  <c r="H159" i="89" s="1"/>
  <c r="S64" i="4"/>
  <c r="T64" i="4"/>
  <c r="R64" i="4"/>
  <c r="S36" i="4"/>
  <c r="T36" i="4"/>
  <c r="S50" i="4"/>
  <c r="T50" i="4"/>
  <c r="R36" i="4"/>
  <c r="S29" i="4"/>
  <c r="T29" i="4"/>
  <c r="R29" i="4"/>
  <c r="S100" i="5" l="1"/>
  <c r="I158" i="89" s="1"/>
  <c r="S107" i="3"/>
  <c r="I150" i="89"/>
  <c r="S106" i="5"/>
  <c r="I166" i="89" s="1"/>
  <c r="I165" i="89"/>
  <c r="R107" i="3"/>
  <c r="H150" i="89"/>
  <c r="R104" i="3"/>
  <c r="H136" i="89"/>
  <c r="S104" i="3"/>
  <c r="I136" i="89"/>
  <c r="S99" i="3"/>
  <c r="S108" i="5"/>
  <c r="I168" i="89" s="1"/>
  <c r="R96" i="3"/>
  <c r="S96" i="3"/>
  <c r="R99" i="3"/>
  <c r="S98" i="5"/>
  <c r="I156" i="89" s="1"/>
  <c r="R98" i="5"/>
  <c r="H156" i="89" s="1"/>
  <c r="S102" i="5"/>
  <c r="I160" i="89" s="1"/>
  <c r="R102" i="5"/>
  <c r="H160" i="89" s="1"/>
  <c r="N48" i="4" l="1"/>
  <c r="D80" i="89" s="1"/>
  <c r="N90" i="3" l="1"/>
  <c r="O90" i="3" s="1"/>
  <c r="N42" i="4"/>
  <c r="D78" i="89" s="1"/>
  <c r="O48" i="4"/>
  <c r="E80" i="89" s="1"/>
  <c r="K80" i="89" s="1"/>
  <c r="N41" i="4"/>
  <c r="N89" i="3" l="1"/>
  <c r="O89" i="3" s="1"/>
  <c r="D77" i="89"/>
  <c r="N60" i="5"/>
  <c r="N62" i="5" s="1"/>
  <c r="O42" i="4"/>
  <c r="E78" i="89" s="1"/>
  <c r="K78" i="89" s="1"/>
  <c r="N35" i="4"/>
  <c r="D75" i="89" s="1"/>
  <c r="O41" i="4"/>
  <c r="E77" i="89" s="1"/>
  <c r="K77" i="89" s="1"/>
  <c r="O60" i="5" l="1"/>
  <c r="O43" i="4"/>
  <c r="P43" i="4"/>
  <c r="O44" i="4"/>
  <c r="E79" i="89" s="1"/>
  <c r="K79" i="89" s="1"/>
  <c r="O35" i="4"/>
  <c r="E75" i="89" s="1"/>
  <c r="K75" i="89" s="1"/>
  <c r="N64" i="5"/>
  <c r="D141" i="89" s="1"/>
  <c r="O62" i="5"/>
  <c r="N59" i="5"/>
  <c r="D140" i="89" s="1"/>
  <c r="O61" i="5" l="1"/>
  <c r="O214" i="2" s="1"/>
  <c r="N105" i="3"/>
  <c r="N97" i="3"/>
  <c r="N65" i="5"/>
  <c r="D142" i="89" s="1"/>
  <c r="O36" i="4"/>
  <c r="V36" i="4" s="1"/>
  <c r="P36" i="4"/>
  <c r="O37" i="4"/>
  <c r="E76" i="89" s="1"/>
  <c r="K76" i="89" s="1"/>
  <c r="O59" i="5"/>
  <c r="E140" i="89" s="1"/>
  <c r="N53" i="5"/>
  <c r="D137" i="89" s="1"/>
  <c r="O64" i="5"/>
  <c r="E141" i="89" s="1"/>
  <c r="O97" i="3" l="1"/>
  <c r="O105" i="3"/>
  <c r="O65" i="5"/>
  <c r="E142" i="89" s="1"/>
  <c r="O63" i="5"/>
  <c r="V63" i="5" s="1"/>
  <c r="O53" i="5"/>
  <c r="E137" i="89" s="1"/>
  <c r="N54" i="5"/>
  <c r="D138" i="89" s="1"/>
  <c r="O216" i="2" l="1"/>
  <c r="R216" i="2" s="1"/>
  <c r="S216" i="2" s="1"/>
  <c r="O54" i="5"/>
  <c r="E138" i="89" s="1"/>
  <c r="O55" i="5"/>
  <c r="E139" i="89" s="1"/>
  <c r="K139" i="89" s="1"/>
  <c r="N291" i="5" l="1"/>
  <c r="P291" i="5" l="1"/>
  <c r="Q291" i="5" l="1"/>
  <c r="R291" i="5" l="1"/>
  <c r="S291" i="5"/>
  <c r="M66" i="34" l="1"/>
  <c r="M70" i="34" l="1"/>
  <c r="N70" i="34" s="1"/>
  <c r="M51" i="34"/>
  <c r="M61" i="34" s="1"/>
  <c r="M31" i="34"/>
  <c r="M67" i="34"/>
  <c r="M62" i="34" s="1"/>
  <c r="M60" i="34" l="1"/>
  <c r="M14" i="34" l="1"/>
  <c r="M24" i="34" s="1"/>
  <c r="M32" i="34" s="1"/>
  <c r="J13" i="91" l="1"/>
  <c r="E279" i="89"/>
  <c r="O65" i="34" l="1"/>
  <c r="N65" i="34" s="1"/>
  <c r="K70" i="18" l="1"/>
  <c r="K71" i="18" s="1"/>
  <c r="O140" i="5" s="1"/>
  <c r="V140" i="5" s="1"/>
  <c r="N27" i="4"/>
  <c r="N87" i="3" l="1"/>
  <c r="O87" i="3" s="1"/>
  <c r="D71" i="89"/>
  <c r="S290" i="2"/>
  <c r="S138" i="5" s="1"/>
  <c r="S137" i="5" s="1"/>
  <c r="S136" i="5" s="1"/>
  <c r="I184" i="89" s="1"/>
  <c r="T290" i="2"/>
  <c r="T138" i="5" s="1"/>
  <c r="T137" i="5" s="1"/>
  <c r="T136" i="5" s="1"/>
  <c r="J184" i="89" s="1"/>
  <c r="Q290" i="2"/>
  <c r="Q138" i="5" s="1"/>
  <c r="Q137" i="5" s="1"/>
  <c r="Q136" i="5" s="1"/>
  <c r="G184" i="89" s="1"/>
  <c r="P290" i="2"/>
  <c r="P138" i="5" s="1"/>
  <c r="P137" i="5" s="1"/>
  <c r="P136" i="5" s="1"/>
  <c r="F184" i="89" s="1"/>
  <c r="R290" i="2"/>
  <c r="R138" i="5" s="1"/>
  <c r="R137" i="5" s="1"/>
  <c r="R136" i="5" s="1"/>
  <c r="H184" i="89" s="1"/>
  <c r="N38" i="5"/>
  <c r="O27" i="4"/>
  <c r="E71" i="89" s="1"/>
  <c r="K71" i="89" s="1"/>
  <c r="N21" i="4"/>
  <c r="D69" i="89" l="1"/>
  <c r="N154" i="5"/>
  <c r="N166" i="5" s="1"/>
  <c r="N165" i="5" s="1"/>
  <c r="N148" i="5"/>
  <c r="N147" i="5" s="1"/>
  <c r="N40" i="5"/>
  <c r="O38" i="5"/>
  <c r="N339" i="5"/>
  <c r="Q189" i="2"/>
  <c r="Q115" i="5" s="1"/>
  <c r="Q113" i="5" s="1"/>
  <c r="Q112" i="5" s="1"/>
  <c r="O21" i="4"/>
  <c r="E69" i="89" l="1"/>
  <c r="K69" i="89" s="1"/>
  <c r="O165" i="5"/>
  <c r="N164" i="5"/>
  <c r="O164" i="5" s="1"/>
  <c r="O168" i="5" s="1"/>
  <c r="O148" i="5"/>
  <c r="O147" i="5"/>
  <c r="O154" i="5"/>
  <c r="O166" i="5" s="1"/>
  <c r="N315" i="5"/>
  <c r="N330" i="5" s="1"/>
  <c r="N114" i="5"/>
  <c r="N153" i="5"/>
  <c r="N156" i="5" s="1"/>
  <c r="O156" i="5" s="1"/>
  <c r="O40" i="5"/>
  <c r="O39" i="5" s="1"/>
  <c r="N37" i="5"/>
  <c r="D132" i="89" s="1"/>
  <c r="P189" i="2"/>
  <c r="P115" i="5" s="1"/>
  <c r="P113" i="5" s="1"/>
  <c r="P112" i="5" s="1"/>
  <c r="R189" i="2"/>
  <c r="R115" i="5" s="1"/>
  <c r="R113" i="5" s="1"/>
  <c r="R112" i="5" s="1"/>
  <c r="O22" i="4"/>
  <c r="V22" i="4" s="1"/>
  <c r="P22" i="4"/>
  <c r="O23" i="4"/>
  <c r="E70" i="89" s="1"/>
  <c r="K70" i="89" s="1"/>
  <c r="O208" i="2" l="1"/>
  <c r="O210" i="2" s="1"/>
  <c r="V39" i="5"/>
  <c r="O167" i="5"/>
  <c r="O337" i="2" s="1"/>
  <c r="P337" i="2" s="1"/>
  <c r="N326" i="5"/>
  <c r="N328" i="5"/>
  <c r="N324" i="5"/>
  <c r="O149" i="5"/>
  <c r="N325" i="5"/>
  <c r="N329" i="5"/>
  <c r="O153" i="5"/>
  <c r="O157" i="5" s="1"/>
  <c r="N327" i="5"/>
  <c r="O114" i="5"/>
  <c r="N113" i="5"/>
  <c r="O336" i="2"/>
  <c r="O37" i="5"/>
  <c r="E132" i="89" s="1"/>
  <c r="K132" i="89" s="1"/>
  <c r="N31" i="5"/>
  <c r="D129" i="89" s="1"/>
  <c r="O315" i="5"/>
  <c r="O324" i="5" s="1"/>
  <c r="N103" i="3"/>
  <c r="O103" i="3" s="1"/>
  <c r="N95" i="3"/>
  <c r="O95" i="3" s="1"/>
  <c r="N152" i="5"/>
  <c r="D185" i="89" s="1"/>
  <c r="S189" i="2"/>
  <c r="S115" i="5" s="1"/>
  <c r="S113" i="5" s="1"/>
  <c r="S112" i="5" s="1"/>
  <c r="O317" i="2" l="1"/>
  <c r="V157" i="5"/>
  <c r="P167" i="5"/>
  <c r="P165" i="5" s="1"/>
  <c r="P164" i="5" s="1"/>
  <c r="Q337" i="2"/>
  <c r="N323" i="5"/>
  <c r="O155" i="5"/>
  <c r="O316" i="2" s="1"/>
  <c r="N112" i="5"/>
  <c r="O113" i="5"/>
  <c r="O326" i="5"/>
  <c r="O327" i="5"/>
  <c r="O325" i="5"/>
  <c r="O41" i="5"/>
  <c r="V41" i="5" s="1"/>
  <c r="O31" i="5"/>
  <c r="E129" i="89" s="1"/>
  <c r="K129" i="89" s="1"/>
  <c r="O330" i="5"/>
  <c r="O329" i="5"/>
  <c r="O328" i="5"/>
  <c r="N32" i="5"/>
  <c r="D130" i="89" s="1"/>
  <c r="O152" i="5"/>
  <c r="E185" i="89" s="1"/>
  <c r="K185" i="89" s="1"/>
  <c r="T189" i="2"/>
  <c r="T115" i="5" s="1"/>
  <c r="T113" i="5" s="1"/>
  <c r="T112" i="5" s="1"/>
  <c r="N34" i="4"/>
  <c r="N55" i="4"/>
  <c r="N62" i="4"/>
  <c r="N70" i="4"/>
  <c r="D95" i="89" s="1"/>
  <c r="N74" i="4"/>
  <c r="D98" i="89" s="1"/>
  <c r="N78" i="4"/>
  <c r="D104" i="89" s="1"/>
  <c r="N82" i="4"/>
  <c r="D107" i="89" s="1"/>
  <c r="N86" i="4"/>
  <c r="D110" i="89" s="1"/>
  <c r="N92" i="3" l="1"/>
  <c r="O92" i="3" s="1"/>
  <c r="D89" i="89"/>
  <c r="N91" i="3"/>
  <c r="O91" i="3" s="1"/>
  <c r="D86" i="89"/>
  <c r="N88" i="3"/>
  <c r="D74" i="89"/>
  <c r="Q167" i="5"/>
  <c r="Q165" i="5" s="1"/>
  <c r="Q164" i="5" s="1"/>
  <c r="R337" i="2"/>
  <c r="N143" i="5"/>
  <c r="N142" i="5" s="1"/>
  <c r="O115" i="5"/>
  <c r="O189" i="2" s="1"/>
  <c r="O112" i="5"/>
  <c r="O323" i="5"/>
  <c r="O33" i="5"/>
  <c r="E131" i="89" s="1"/>
  <c r="K131" i="89" s="1"/>
  <c r="O32" i="5"/>
  <c r="N67" i="4"/>
  <c r="N82" i="5"/>
  <c r="N84" i="5" s="1"/>
  <c r="N49" i="5"/>
  <c r="O49" i="5" s="1"/>
  <c r="O86" i="4"/>
  <c r="E110" i="89" s="1"/>
  <c r="K110" i="89" s="1"/>
  <c r="O82" i="4"/>
  <c r="E107" i="89" s="1"/>
  <c r="K107" i="89" s="1"/>
  <c r="N75" i="4"/>
  <c r="D102" i="89" s="1"/>
  <c r="N93" i="5"/>
  <c r="N71" i="4"/>
  <c r="D96" i="89" s="1"/>
  <c r="N161" i="5"/>
  <c r="N160" i="5" s="1"/>
  <c r="O78" i="4"/>
  <c r="E104" i="89" s="1"/>
  <c r="K104" i="89" s="1"/>
  <c r="O74" i="4"/>
  <c r="E98" i="89" s="1"/>
  <c r="K98" i="89" s="1"/>
  <c r="O70" i="4"/>
  <c r="E95" i="89" s="1"/>
  <c r="K95" i="89" s="1"/>
  <c r="O66" i="4"/>
  <c r="E92" i="89" s="1"/>
  <c r="K92" i="89" s="1"/>
  <c r="N79" i="4"/>
  <c r="D105" i="89" s="1"/>
  <c r="O55" i="4"/>
  <c r="E86" i="89" s="1"/>
  <c r="K86" i="89" s="1"/>
  <c r="N28" i="4"/>
  <c r="N63" i="4"/>
  <c r="N83" i="4"/>
  <c r="D108" i="89" s="1"/>
  <c r="O62" i="4"/>
  <c r="E89" i="89" s="1"/>
  <c r="K89" i="89" s="1"/>
  <c r="N49" i="4"/>
  <c r="D84" i="89" s="1"/>
  <c r="O34" i="4"/>
  <c r="E74" i="89" s="1"/>
  <c r="K74" i="89" s="1"/>
  <c r="N56" i="4"/>
  <c r="D87" i="89" s="1"/>
  <c r="E130" i="89" l="1"/>
  <c r="K130" i="89" s="1"/>
  <c r="V32" i="5"/>
  <c r="N85" i="3"/>
  <c r="O85" i="3" s="1"/>
  <c r="O88" i="3"/>
  <c r="N180" i="4"/>
  <c r="D90" i="89"/>
  <c r="N99" i="5"/>
  <c r="D157" i="89" s="1"/>
  <c r="D53" i="89"/>
  <c r="D93" i="89"/>
  <c r="D72" i="89"/>
  <c r="D52" i="89"/>
  <c r="S337" i="2"/>
  <c r="R167" i="5"/>
  <c r="R165" i="5" s="1"/>
  <c r="R164" i="5" s="1"/>
  <c r="O160" i="5"/>
  <c r="N159" i="5"/>
  <c r="O159" i="5" s="1"/>
  <c r="O163" i="5" s="1"/>
  <c r="O334" i="2" s="1"/>
  <c r="O143" i="5"/>
  <c r="O142" i="5"/>
  <c r="N141" i="5"/>
  <c r="N136" i="5" s="1"/>
  <c r="D184" i="89" s="1"/>
  <c r="O67" i="4"/>
  <c r="O82" i="5"/>
  <c r="O71" i="4"/>
  <c r="E96" i="89" s="1"/>
  <c r="K96" i="89" s="1"/>
  <c r="N51" i="5"/>
  <c r="N48" i="5" s="1"/>
  <c r="O75" i="4"/>
  <c r="E102" i="89" s="1"/>
  <c r="K102" i="89" s="1"/>
  <c r="N95" i="5"/>
  <c r="O95" i="5" s="1"/>
  <c r="O93" i="5"/>
  <c r="N103" i="5"/>
  <c r="D163" i="89" s="1"/>
  <c r="T214" i="2"/>
  <c r="N97" i="5"/>
  <c r="D155" i="89" s="1"/>
  <c r="O161" i="5"/>
  <c r="N105" i="5"/>
  <c r="D165" i="89" s="1"/>
  <c r="O79" i="4"/>
  <c r="E105" i="89" s="1"/>
  <c r="K105" i="89" s="1"/>
  <c r="O63" i="4"/>
  <c r="E90" i="89" s="1"/>
  <c r="K90" i="89" s="1"/>
  <c r="O56" i="4"/>
  <c r="E87" i="89" s="1"/>
  <c r="K87" i="89" s="1"/>
  <c r="O28" i="4"/>
  <c r="O49" i="4"/>
  <c r="E84" i="89" s="1"/>
  <c r="K84" i="89" s="1"/>
  <c r="O84" i="5"/>
  <c r="N81" i="5"/>
  <c r="N107" i="5"/>
  <c r="D167" i="89" s="1"/>
  <c r="O83" i="4"/>
  <c r="E108" i="89" s="1"/>
  <c r="K108" i="89" s="1"/>
  <c r="N100" i="5" l="1"/>
  <c r="D158" i="89" s="1"/>
  <c r="O99" i="5"/>
  <c r="E157" i="89" s="1"/>
  <c r="K157" i="89" s="1"/>
  <c r="N169" i="5"/>
  <c r="O169" i="5" s="1"/>
  <c r="O69" i="4"/>
  <c r="E94" i="89" s="1"/>
  <c r="K94" i="89" s="1"/>
  <c r="E93" i="89"/>
  <c r="K93" i="89" s="1"/>
  <c r="E53" i="89"/>
  <c r="K53" i="89" s="1"/>
  <c r="N107" i="3"/>
  <c r="O107" i="3" s="1"/>
  <c r="D150" i="89"/>
  <c r="N104" i="3"/>
  <c r="O104" i="3" s="1"/>
  <c r="D136" i="89"/>
  <c r="E72" i="89"/>
  <c r="K72" i="89" s="1"/>
  <c r="E52" i="89"/>
  <c r="K52" i="89" s="1"/>
  <c r="S167" i="5"/>
  <c r="S165" i="5" s="1"/>
  <c r="S164" i="5" s="1"/>
  <c r="T337" i="2"/>
  <c r="T167" i="5" s="1"/>
  <c r="O162" i="5"/>
  <c r="O335" i="2" s="1"/>
  <c r="P335" i="2" s="1"/>
  <c r="O144" i="5"/>
  <c r="O146" i="5" s="1"/>
  <c r="O292" i="2" s="1"/>
  <c r="O141" i="5"/>
  <c r="O136" i="5" s="1"/>
  <c r="E184" i="89" s="1"/>
  <c r="K184" i="89" s="1"/>
  <c r="P72" i="4"/>
  <c r="T72" i="5"/>
  <c r="T61" i="5"/>
  <c r="P68" i="4"/>
  <c r="O68" i="4"/>
  <c r="V68" i="4" s="1"/>
  <c r="O73" i="4"/>
  <c r="E97" i="89" s="1"/>
  <c r="K97" i="89" s="1"/>
  <c r="O180" i="4"/>
  <c r="O51" i="5"/>
  <c r="O50" i="5" s="1"/>
  <c r="O72" i="4"/>
  <c r="V72" i="4" s="1"/>
  <c r="O77" i="4"/>
  <c r="E103" i="89" s="1"/>
  <c r="K103" i="89" s="1"/>
  <c r="O83" i="5"/>
  <c r="O94" i="5"/>
  <c r="N92" i="5"/>
  <c r="N104" i="5"/>
  <c r="D164" i="89" s="1"/>
  <c r="P76" i="4"/>
  <c r="O76" i="4"/>
  <c r="V76" i="4" s="1"/>
  <c r="O103" i="5"/>
  <c r="N99" i="3"/>
  <c r="O99" i="3" s="1"/>
  <c r="N96" i="3"/>
  <c r="P214" i="2"/>
  <c r="O100" i="5"/>
  <c r="N98" i="5"/>
  <c r="D156" i="89" s="1"/>
  <c r="O170" i="5"/>
  <c r="N158" i="5"/>
  <c r="O158" i="5"/>
  <c r="O64" i="4"/>
  <c r="V64" i="4" s="1"/>
  <c r="P64" i="4"/>
  <c r="O81" i="4"/>
  <c r="E106" i="89" s="1"/>
  <c r="K106" i="89" s="1"/>
  <c r="O80" i="4"/>
  <c r="V80" i="4" s="1"/>
  <c r="P80" i="4"/>
  <c r="O85" i="4"/>
  <c r="E109" i="89" s="1"/>
  <c r="K109" i="89" s="1"/>
  <c r="O84" i="4"/>
  <c r="V84" i="4" s="1"/>
  <c r="P84" i="4"/>
  <c r="O58" i="4"/>
  <c r="E88" i="89" s="1"/>
  <c r="K88" i="89" s="1"/>
  <c r="O57" i="4"/>
  <c r="V57" i="4" s="1"/>
  <c r="P57" i="4"/>
  <c r="O51" i="4"/>
  <c r="E85" i="89" s="1"/>
  <c r="K85" i="89" s="1"/>
  <c r="O50" i="4"/>
  <c r="V50" i="4" s="1"/>
  <c r="P50" i="4"/>
  <c r="O29" i="4"/>
  <c r="V29" i="4" s="1"/>
  <c r="P29" i="4"/>
  <c r="O105" i="5"/>
  <c r="E165" i="89" s="1"/>
  <c r="K165" i="89" s="1"/>
  <c r="N106" i="5"/>
  <c r="D166" i="89" s="1"/>
  <c r="O107" i="5"/>
  <c r="E167" i="89" s="1"/>
  <c r="K167" i="89" s="1"/>
  <c r="N108" i="5"/>
  <c r="D168" i="89" s="1"/>
  <c r="O65" i="4"/>
  <c r="E91" i="89" s="1"/>
  <c r="K91" i="89" s="1"/>
  <c r="O48" i="5"/>
  <c r="E136" i="89" s="1"/>
  <c r="K136" i="89" s="1"/>
  <c r="N42" i="5"/>
  <c r="D133" i="89" s="1"/>
  <c r="N75" i="5"/>
  <c r="D147" i="89" s="1"/>
  <c r="O81" i="5"/>
  <c r="E150" i="89" s="1"/>
  <c r="K150" i="89" s="1"/>
  <c r="O30" i="4"/>
  <c r="E73" i="89" s="1"/>
  <c r="K73" i="89" s="1"/>
  <c r="O338" i="2" l="1"/>
  <c r="V170" i="5"/>
  <c r="E158" i="89"/>
  <c r="K158" i="89" s="1"/>
  <c r="V100" i="5"/>
  <c r="T165" i="5"/>
  <c r="T164" i="5" s="1"/>
  <c r="V167" i="5"/>
  <c r="O220" i="2"/>
  <c r="O222" i="2" s="1"/>
  <c r="V94" i="5"/>
  <c r="O217" i="2"/>
  <c r="O219" i="2" s="1"/>
  <c r="V83" i="5"/>
  <c r="T62" i="5"/>
  <c r="T59" i="5" s="1"/>
  <c r="J140" i="89" s="1"/>
  <c r="K140" i="89" s="1"/>
  <c r="V61" i="5"/>
  <c r="T73" i="5"/>
  <c r="T70" i="5" s="1"/>
  <c r="J144" i="89" s="1"/>
  <c r="K144" i="89" s="1"/>
  <c r="V72" i="5"/>
  <c r="O211" i="2"/>
  <c r="O213" i="2" s="1"/>
  <c r="V50" i="5"/>
  <c r="O104" i="5"/>
  <c r="E163" i="89"/>
  <c r="K163" i="89" s="1"/>
  <c r="O135" i="5"/>
  <c r="E183" i="89" s="1"/>
  <c r="E186" i="89"/>
  <c r="N100" i="3"/>
  <c r="O100" i="3" s="1"/>
  <c r="D154" i="89"/>
  <c r="N135" i="5"/>
  <c r="D183" i="89" s="1"/>
  <c r="D186" i="89"/>
  <c r="Q335" i="2"/>
  <c r="P162" i="5"/>
  <c r="P160" i="5" s="1"/>
  <c r="P159" i="5" s="1"/>
  <c r="P169" i="5" s="1"/>
  <c r="P158" i="5" s="1"/>
  <c r="F186" i="89" s="1"/>
  <c r="P61" i="5"/>
  <c r="P62" i="5" s="1"/>
  <c r="P59" i="5" s="1"/>
  <c r="F140" i="89" s="1"/>
  <c r="P72" i="5"/>
  <c r="P73" i="5" s="1"/>
  <c r="P70" i="5" s="1"/>
  <c r="F144" i="89" s="1"/>
  <c r="O92" i="5"/>
  <c r="E154" i="89" s="1"/>
  <c r="K154" i="89" s="1"/>
  <c r="N86" i="5"/>
  <c r="D151" i="89" s="1"/>
  <c r="N108" i="3"/>
  <c r="O108" i="3" s="1"/>
  <c r="O96" i="3"/>
  <c r="Q214" i="2"/>
  <c r="O175" i="2"/>
  <c r="O52" i="5"/>
  <c r="V52" i="5" s="1"/>
  <c r="O85" i="5"/>
  <c r="V85" i="5" s="1"/>
  <c r="O108" i="5"/>
  <c r="O106" i="5"/>
  <c r="O173" i="2"/>
  <c r="O75" i="5"/>
  <c r="E147" i="89" s="1"/>
  <c r="K147" i="89" s="1"/>
  <c r="N76" i="5"/>
  <c r="D148" i="89" s="1"/>
  <c r="O97" i="5"/>
  <c r="E155" i="89" s="1"/>
  <c r="K155" i="89" s="1"/>
  <c r="O42" i="5"/>
  <c r="E133" i="89" s="1"/>
  <c r="K133" i="89" s="1"/>
  <c r="N43" i="5"/>
  <c r="D134" i="89" s="1"/>
  <c r="T64" i="5" l="1"/>
  <c r="J141" i="89" s="1"/>
  <c r="K141" i="89" s="1"/>
  <c r="E166" i="89"/>
  <c r="K166" i="89" s="1"/>
  <c r="V106" i="5"/>
  <c r="E164" i="89"/>
  <c r="K164" i="89" s="1"/>
  <c r="V104" i="5"/>
  <c r="E168" i="89"/>
  <c r="K168" i="89" s="1"/>
  <c r="V108" i="5"/>
  <c r="T53" i="5"/>
  <c r="J137" i="89" s="1"/>
  <c r="K137" i="89" s="1"/>
  <c r="N93" i="3"/>
  <c r="O93" i="3" s="1"/>
  <c r="P135" i="5"/>
  <c r="F183" i="89" s="1"/>
  <c r="R335" i="2"/>
  <c r="Q162" i="5"/>
  <c r="Q160" i="5" s="1"/>
  <c r="Q159" i="5" s="1"/>
  <c r="Q169" i="5" s="1"/>
  <c r="Q158" i="5" s="1"/>
  <c r="G186" i="89" s="1"/>
  <c r="O96" i="5"/>
  <c r="V96" i="5" s="1"/>
  <c r="Q61" i="5"/>
  <c r="Q62" i="5" s="1"/>
  <c r="Q59" i="5" s="1"/>
  <c r="G140" i="89" s="1"/>
  <c r="Q72" i="5"/>
  <c r="Q73" i="5" s="1"/>
  <c r="Q70" i="5" s="1"/>
  <c r="G144" i="89" s="1"/>
  <c r="N87" i="5"/>
  <c r="D152" i="89" s="1"/>
  <c r="N101" i="3"/>
  <c r="O101" i="3" s="1"/>
  <c r="O86" i="5"/>
  <c r="E151" i="89" s="1"/>
  <c r="K151" i="89" s="1"/>
  <c r="P97" i="3"/>
  <c r="P105" i="3"/>
  <c r="P98" i="3"/>
  <c r="P106" i="3"/>
  <c r="R214" i="2"/>
  <c r="S214" i="2"/>
  <c r="O176" i="2"/>
  <c r="O177" i="2"/>
  <c r="O134" i="5"/>
  <c r="E182" i="89" s="1"/>
  <c r="N134" i="5"/>
  <c r="D182" i="89" s="1"/>
  <c r="O44" i="5"/>
  <c r="E135" i="89" s="1"/>
  <c r="K135" i="89" s="1"/>
  <c r="O43" i="5"/>
  <c r="O98" i="5"/>
  <c r="O76" i="5"/>
  <c r="O77" i="5"/>
  <c r="E149" i="89" s="1"/>
  <c r="K149" i="89" s="1"/>
  <c r="T65" i="5" l="1"/>
  <c r="J142" i="89" s="1"/>
  <c r="K142" i="89" s="1"/>
  <c r="T54" i="5"/>
  <c r="J138" i="89" s="1"/>
  <c r="K138" i="89" s="1"/>
  <c r="E156" i="89"/>
  <c r="K156" i="89" s="1"/>
  <c r="V98" i="5"/>
  <c r="E148" i="89"/>
  <c r="K148" i="89" s="1"/>
  <c r="V76" i="5"/>
  <c r="E134" i="89"/>
  <c r="K134" i="89" s="1"/>
  <c r="V43" i="5"/>
  <c r="Q135" i="5"/>
  <c r="G183" i="89" s="1"/>
  <c r="S335" i="2"/>
  <c r="R162" i="5"/>
  <c r="R160" i="5" s="1"/>
  <c r="R159" i="5" s="1"/>
  <c r="R169" i="5" s="1"/>
  <c r="R158" i="5" s="1"/>
  <c r="H186" i="89" s="1"/>
  <c r="P134" i="5"/>
  <c r="F182" i="89" s="1"/>
  <c r="R61" i="5"/>
  <c r="R62" i="5" s="1"/>
  <c r="R59" i="5" s="1"/>
  <c r="H140" i="89" s="1"/>
  <c r="R72" i="5"/>
  <c r="R73" i="5" s="1"/>
  <c r="R70" i="5" s="1"/>
  <c r="H144" i="89" s="1"/>
  <c r="S72" i="5"/>
  <c r="S73" i="5" s="1"/>
  <c r="S70" i="5" s="1"/>
  <c r="I144" i="89" s="1"/>
  <c r="S61" i="5"/>
  <c r="S62" i="5" s="1"/>
  <c r="S59" i="5" s="1"/>
  <c r="I140" i="89" s="1"/>
  <c r="O88" i="5"/>
  <c r="E153" i="89" s="1"/>
  <c r="K153" i="89" s="1"/>
  <c r="O87" i="5"/>
  <c r="N109" i="3"/>
  <c r="O109" i="3" s="1"/>
  <c r="P101" i="3"/>
  <c r="P93" i="3"/>
  <c r="Q106" i="3"/>
  <c r="Q98" i="3"/>
  <c r="Q105" i="3"/>
  <c r="Q97" i="3"/>
  <c r="O172" i="2"/>
  <c r="V54" i="5" l="1"/>
  <c r="E152" i="89"/>
  <c r="K152" i="89" s="1"/>
  <c r="V87" i="5"/>
  <c r="R135" i="5"/>
  <c r="H183" i="89" s="1"/>
  <c r="T335" i="2"/>
  <c r="T162" i="5" s="1"/>
  <c r="S162" i="5"/>
  <c r="S160" i="5" s="1"/>
  <c r="S159" i="5" s="1"/>
  <c r="S169" i="5" s="1"/>
  <c r="S158" i="5" s="1"/>
  <c r="I186" i="89" s="1"/>
  <c r="Q134" i="5"/>
  <c r="G182" i="89" s="1"/>
  <c r="Q93" i="3"/>
  <c r="Q101" i="3"/>
  <c r="R106" i="3"/>
  <c r="R98" i="3"/>
  <c r="R97" i="3"/>
  <c r="R105" i="3"/>
  <c r="S98" i="3"/>
  <c r="S106" i="3"/>
  <c r="S97" i="3"/>
  <c r="S105" i="3"/>
  <c r="P33" i="5"/>
  <c r="F131" i="89" s="1"/>
  <c r="P44" i="5"/>
  <c r="F135" i="89" s="1"/>
  <c r="P55" i="5"/>
  <c r="F139" i="89" s="1"/>
  <c r="P77" i="5"/>
  <c r="F149" i="89" s="1"/>
  <c r="P88" i="5"/>
  <c r="F153" i="89" s="1"/>
  <c r="T160" i="5" l="1"/>
  <c r="T159" i="5" s="1"/>
  <c r="T169" i="5" s="1"/>
  <c r="T158" i="5" s="1"/>
  <c r="J186" i="89" s="1"/>
  <c r="K186" i="89" s="1"/>
  <c r="V162" i="5"/>
  <c r="S135" i="5"/>
  <c r="I183" i="89" s="1"/>
  <c r="R134" i="5"/>
  <c r="H182" i="89" s="1"/>
  <c r="R101" i="3"/>
  <c r="S101" i="3"/>
  <c r="R93" i="3"/>
  <c r="S93" i="3"/>
  <c r="P75" i="5"/>
  <c r="F147" i="89" s="1"/>
  <c r="P66" i="5"/>
  <c r="F143" i="89" s="1"/>
  <c r="P86" i="5"/>
  <c r="F151" i="89" s="1"/>
  <c r="P53" i="5"/>
  <c r="F137" i="89" s="1"/>
  <c r="P42" i="5"/>
  <c r="F133" i="89" s="1"/>
  <c r="P31" i="5"/>
  <c r="F129" i="89" s="1"/>
  <c r="T135" i="5" l="1"/>
  <c r="J183" i="89" s="1"/>
  <c r="K183" i="89" s="1"/>
  <c r="P64" i="5"/>
  <c r="F141" i="89" s="1"/>
  <c r="P32" i="5"/>
  <c r="F130" i="89" s="1"/>
  <c r="P76" i="5"/>
  <c r="F148" i="89" s="1"/>
  <c r="P87" i="5"/>
  <c r="F152" i="89" s="1"/>
  <c r="P43" i="5"/>
  <c r="F134" i="89" s="1"/>
  <c r="P54" i="5"/>
  <c r="F138" i="89" s="1"/>
  <c r="P65" i="5" l="1"/>
  <c r="F142" i="89" s="1"/>
  <c r="P109" i="3"/>
  <c r="Q44" i="5"/>
  <c r="G135" i="89" s="1"/>
  <c r="R44" i="5"/>
  <c r="H135" i="89" s="1"/>
  <c r="S44" i="5"/>
  <c r="I135" i="89" s="1"/>
  <c r="Q66" i="5"/>
  <c r="G143" i="89" s="1"/>
  <c r="Q77" i="5"/>
  <c r="G149" i="89" s="1"/>
  <c r="S77" i="5"/>
  <c r="I149" i="89" s="1"/>
  <c r="Q88" i="5"/>
  <c r="G153" i="89" s="1"/>
  <c r="R88" i="5"/>
  <c r="H153" i="89" s="1"/>
  <c r="S88" i="5"/>
  <c r="I153" i="89" s="1"/>
  <c r="Q33" i="5"/>
  <c r="G131" i="89" s="1"/>
  <c r="R33" i="5"/>
  <c r="H131" i="89" s="1"/>
  <c r="S33" i="5"/>
  <c r="I131" i="89" s="1"/>
  <c r="R55" i="5"/>
  <c r="H139" i="89" s="1"/>
  <c r="S55" i="5"/>
  <c r="I139" i="89" s="1"/>
  <c r="R66" i="5"/>
  <c r="H143" i="89" s="1"/>
  <c r="S66" i="5"/>
  <c r="I143" i="89" s="1"/>
  <c r="R77" i="5"/>
  <c r="H149" i="89" s="1"/>
  <c r="Q75" i="5" l="1"/>
  <c r="G147" i="89" s="1"/>
  <c r="R64" i="5"/>
  <c r="H141" i="89" s="1"/>
  <c r="Q86" i="5"/>
  <c r="G151" i="89" s="1"/>
  <c r="R86" i="5"/>
  <c r="H151" i="89" s="1"/>
  <c r="S64" i="5"/>
  <c r="I141" i="89" s="1"/>
  <c r="R42" i="5"/>
  <c r="H133" i="89" s="1"/>
  <c r="Q42" i="5"/>
  <c r="G133" i="89" s="1"/>
  <c r="S86" i="5"/>
  <c r="I151" i="89" s="1"/>
  <c r="Q55" i="5"/>
  <c r="G139" i="89" s="1"/>
  <c r="Q64" i="5"/>
  <c r="G141" i="89" s="1"/>
  <c r="S75" i="5"/>
  <c r="I147" i="89" s="1"/>
  <c r="S53" i="5"/>
  <c r="I137" i="89" s="1"/>
  <c r="S42" i="5"/>
  <c r="I133" i="89" s="1"/>
  <c r="R75" i="5"/>
  <c r="H147" i="89" s="1"/>
  <c r="R53" i="5"/>
  <c r="H137" i="89" s="1"/>
  <c r="S31" i="5"/>
  <c r="I129" i="89" s="1"/>
  <c r="R31" i="5"/>
  <c r="H129" i="89" s="1"/>
  <c r="Q31" i="5"/>
  <c r="G129" i="89" s="1"/>
  <c r="Q76" i="5" l="1"/>
  <c r="G148" i="89" s="1"/>
  <c r="R109" i="3"/>
  <c r="S109" i="3"/>
  <c r="S65" i="5"/>
  <c r="I142" i="89" s="1"/>
  <c r="Q65" i="5"/>
  <c r="G142" i="89" s="1"/>
  <c r="R43" i="5"/>
  <c r="H134" i="89" s="1"/>
  <c r="R65" i="5"/>
  <c r="H142" i="89" s="1"/>
  <c r="R87" i="5"/>
  <c r="H152" i="89" s="1"/>
  <c r="S87" i="5"/>
  <c r="I152" i="89" s="1"/>
  <c r="Q53" i="5"/>
  <c r="G137" i="89" s="1"/>
  <c r="Q43" i="5"/>
  <c r="G134" i="89" s="1"/>
  <c r="Q87" i="5"/>
  <c r="G152" i="89" s="1"/>
  <c r="R54" i="5"/>
  <c r="H138" i="89" s="1"/>
  <c r="S76" i="5"/>
  <c r="I148" i="89" s="1"/>
  <c r="R76" i="5"/>
  <c r="H148" i="89" s="1"/>
  <c r="R32" i="5"/>
  <c r="H130" i="89" s="1"/>
  <c r="S43" i="5"/>
  <c r="I134" i="89" s="1"/>
  <c r="S54" i="5"/>
  <c r="I138" i="89" s="1"/>
  <c r="Q32" i="5"/>
  <c r="G130" i="89" s="1"/>
  <c r="S32" i="5"/>
  <c r="I130" i="89" s="1"/>
  <c r="Q109" i="3" l="1"/>
  <c r="Q54" i="5"/>
  <c r="G138" i="89" s="1"/>
  <c r="K20" i="4" l="1"/>
  <c r="K111" i="3" s="1"/>
  <c r="K32" i="5"/>
  <c r="K22" i="4"/>
  <c r="L22" i="4"/>
  <c r="K23" i="4"/>
  <c r="K24" i="4" s="1"/>
  <c r="K110" i="3" l="1"/>
  <c r="K86" i="3"/>
  <c r="I86" i="3" s="1"/>
  <c r="K112" i="3"/>
  <c r="K94" i="3"/>
  <c r="I94" i="3" s="1"/>
  <c r="K102" i="3"/>
  <c r="I102" i="3" s="1"/>
  <c r="K89" i="4"/>
  <c r="K90" i="2" s="1"/>
  <c r="N90" i="2" s="1"/>
  <c r="K9" i="4"/>
  <c r="O90" i="2" l="1"/>
  <c r="N89" i="4"/>
  <c r="D112" i="89" s="1"/>
  <c r="K189" i="4"/>
  <c r="K53" i="6"/>
  <c r="K413" i="2" s="1"/>
  <c r="K10" i="5"/>
  <c r="K21" i="5"/>
  <c r="K54" i="6"/>
  <c r="K51" i="6" s="1"/>
  <c r="K62" i="6" s="1"/>
  <c r="K59" i="6" s="1"/>
  <c r="L10" i="4"/>
  <c r="K25" i="5"/>
  <c r="K10" i="4"/>
  <c r="K23" i="5"/>
  <c r="T413" i="2" l="1"/>
  <c r="T53" i="6" s="1"/>
  <c r="R413" i="2"/>
  <c r="R53" i="6" s="1"/>
  <c r="Q413" i="2"/>
  <c r="Q53" i="6" s="1"/>
  <c r="S413" i="2"/>
  <c r="S53" i="6" s="1"/>
  <c r="P413" i="2"/>
  <c r="P53" i="6" s="1"/>
  <c r="O413" i="2"/>
  <c r="N87" i="4"/>
  <c r="O89" i="4"/>
  <c r="E112" i="89" s="1"/>
  <c r="P90" i="2"/>
  <c r="K23" i="6"/>
  <c r="K22" i="6"/>
  <c r="K178" i="4"/>
  <c r="K562" i="2"/>
  <c r="N20" i="4" l="1"/>
  <c r="N9" i="4" s="1"/>
  <c r="D111" i="89"/>
  <c r="D54" i="89"/>
  <c r="O53" i="6"/>
  <c r="V53" i="6" s="1"/>
  <c r="N413" i="2"/>
  <c r="N53" i="6" s="1"/>
  <c r="N109" i="5"/>
  <c r="D169" i="89" s="1"/>
  <c r="O87" i="4"/>
  <c r="P89" i="4"/>
  <c r="Q90" i="2"/>
  <c r="K291" i="5"/>
  <c r="K642" i="2" s="1"/>
  <c r="K13" i="4"/>
  <c r="K8" i="4" s="1"/>
  <c r="K8" i="3" s="1"/>
  <c r="K10" i="3" s="1"/>
  <c r="K20" i="6"/>
  <c r="K9" i="6" s="1"/>
  <c r="P87" i="4" l="1"/>
  <c r="F54" i="89" s="1"/>
  <c r="F112" i="89"/>
  <c r="E111" i="89"/>
  <c r="E54" i="89"/>
  <c r="N23" i="5"/>
  <c r="D121" i="89" s="1"/>
  <c r="D32" i="89"/>
  <c r="D51" i="89"/>
  <c r="D68" i="89"/>
  <c r="N110" i="5"/>
  <c r="D170" i="89" s="1"/>
  <c r="O109" i="5"/>
  <c r="E169" i="89" s="1"/>
  <c r="O9" i="4"/>
  <c r="E32" i="89" s="1"/>
  <c r="N54" i="6"/>
  <c r="D205" i="89" s="1"/>
  <c r="N52" i="6"/>
  <c r="D204" i="89" s="1"/>
  <c r="O88" i="4"/>
  <c r="O20" i="4"/>
  <c r="Q89" i="4"/>
  <c r="R90" i="2"/>
  <c r="N24" i="5"/>
  <c r="D122" i="89" s="1"/>
  <c r="K11" i="3"/>
  <c r="K10" i="6"/>
  <c r="K147" i="6"/>
  <c r="F111" i="89" l="1"/>
  <c r="Q87" i="4"/>
  <c r="Q20" i="4" s="1"/>
  <c r="G112" i="89"/>
  <c r="E51" i="89"/>
  <c r="E68" i="89"/>
  <c r="O54" i="6"/>
  <c r="E205" i="89" s="1"/>
  <c r="O10" i="4"/>
  <c r="O52" i="6"/>
  <c r="E204" i="89" s="1"/>
  <c r="O23" i="5"/>
  <c r="E121" i="89" s="1"/>
  <c r="O110" i="5"/>
  <c r="N51" i="6"/>
  <c r="D203" i="89" s="1"/>
  <c r="P20" i="4"/>
  <c r="P88" i="4"/>
  <c r="P109" i="5"/>
  <c r="F169" i="89" s="1"/>
  <c r="N25" i="5"/>
  <c r="D123" i="89" s="1"/>
  <c r="P24" i="5"/>
  <c r="F122" i="89" s="1"/>
  <c r="R89" i="4"/>
  <c r="S90" i="2"/>
  <c r="O24" i="5"/>
  <c r="E122" i="89" s="1"/>
  <c r="K706" i="2"/>
  <c r="K13" i="6"/>
  <c r="K8" i="6" s="1"/>
  <c r="K12" i="3" s="1"/>
  <c r="K13" i="3" s="1"/>
  <c r="K14" i="3" s="1"/>
  <c r="G111" i="89" l="1"/>
  <c r="G54" i="89"/>
  <c r="R87" i="4"/>
  <c r="H54" i="89" s="1"/>
  <c r="H112" i="89"/>
  <c r="O178" i="2"/>
  <c r="E170" i="89"/>
  <c r="F51" i="89"/>
  <c r="F68" i="89"/>
  <c r="G68" i="89"/>
  <c r="G51" i="89"/>
  <c r="O51" i="6"/>
  <c r="E203" i="89" s="1"/>
  <c r="N22" i="6"/>
  <c r="N20" i="6" s="1"/>
  <c r="Q9" i="4"/>
  <c r="G32" i="89" s="1"/>
  <c r="P9" i="4"/>
  <c r="F32" i="89" s="1"/>
  <c r="Q88" i="4"/>
  <c r="P30" i="5"/>
  <c r="Q109" i="5"/>
  <c r="G169" i="89" s="1"/>
  <c r="P110" i="5"/>
  <c r="F170" i="89" s="1"/>
  <c r="O25" i="5"/>
  <c r="E123" i="89" s="1"/>
  <c r="Q24" i="5"/>
  <c r="G122" i="89" s="1"/>
  <c r="S89" i="4"/>
  <c r="T90" i="2"/>
  <c r="T89" i="4" s="1"/>
  <c r="R20" i="4" l="1"/>
  <c r="H68" i="89" s="1"/>
  <c r="H111" i="89"/>
  <c r="T87" i="4"/>
  <c r="J54" i="89" s="1"/>
  <c r="K54" i="89" s="1"/>
  <c r="J112" i="89"/>
  <c r="K112" i="89" s="1"/>
  <c r="S87" i="4"/>
  <c r="I54" i="89" s="1"/>
  <c r="I112" i="89"/>
  <c r="N9" i="6"/>
  <c r="N10" i="6" s="1"/>
  <c r="D192" i="89"/>
  <c r="D58" i="89"/>
  <c r="O22" i="6"/>
  <c r="O98" i="6"/>
  <c r="O100" i="6"/>
  <c r="P111" i="3"/>
  <c r="Q10" i="4"/>
  <c r="Q54" i="6"/>
  <c r="G205" i="89" s="1"/>
  <c r="Q52" i="6"/>
  <c r="G204" i="89" s="1"/>
  <c r="Q30" i="5"/>
  <c r="R109" i="5"/>
  <c r="H169" i="89" s="1"/>
  <c r="R88" i="4"/>
  <c r="P10" i="4"/>
  <c r="P54" i="6"/>
  <c r="F205" i="89" s="1"/>
  <c r="P52" i="6"/>
  <c r="F204" i="89" s="1"/>
  <c r="Q110" i="5"/>
  <c r="G170" i="89" s="1"/>
  <c r="P25" i="5"/>
  <c r="F123" i="89" s="1"/>
  <c r="Q25" i="5"/>
  <c r="G123" i="89" s="1"/>
  <c r="R24" i="5"/>
  <c r="H122" i="89" s="1"/>
  <c r="H51" i="89" l="1"/>
  <c r="R9" i="4"/>
  <c r="H32" i="89" s="1"/>
  <c r="S20" i="4"/>
  <c r="I68" i="89" s="1"/>
  <c r="J111" i="89"/>
  <c r="K111" i="89" s="1"/>
  <c r="I111" i="89"/>
  <c r="O9" i="6"/>
  <c r="O10" i="6" s="1"/>
  <c r="O92" i="6"/>
  <c r="O86" i="6" s="1"/>
  <c r="N92" i="6"/>
  <c r="N86" i="6" s="1"/>
  <c r="P110" i="3"/>
  <c r="P112" i="3"/>
  <c r="P86" i="3"/>
  <c r="P94" i="3"/>
  <c r="P102" i="3"/>
  <c r="Q111" i="3"/>
  <c r="R30" i="5"/>
  <c r="Q51" i="6"/>
  <c r="R110" i="5"/>
  <c r="H170" i="89" s="1"/>
  <c r="P51" i="6"/>
  <c r="F203" i="89" s="1"/>
  <c r="T109" i="5"/>
  <c r="J169" i="89" s="1"/>
  <c r="K169" i="89" s="1"/>
  <c r="S109" i="5"/>
  <c r="I169" i="89" s="1"/>
  <c r="S88" i="4"/>
  <c r="T20" i="4"/>
  <c r="T88" i="4"/>
  <c r="V88" i="4" s="1"/>
  <c r="R52" i="6" l="1"/>
  <c r="H204" i="89" s="1"/>
  <c r="R25" i="5"/>
  <c r="H123" i="89" s="1"/>
  <c r="R54" i="6"/>
  <c r="H205" i="89" s="1"/>
  <c r="R10" i="4"/>
  <c r="S9" i="4"/>
  <c r="I32" i="89" s="1"/>
  <c r="I51" i="89"/>
  <c r="Q22" i="6"/>
  <c r="G203" i="89"/>
  <c r="J51" i="89"/>
  <c r="K51" i="89" s="1"/>
  <c r="J68" i="89"/>
  <c r="K68" i="89" s="1"/>
  <c r="Q92" i="6"/>
  <c r="Q86" i="6" s="1"/>
  <c r="R111" i="3"/>
  <c r="Q112" i="3"/>
  <c r="Q86" i="3"/>
  <c r="Q94" i="3"/>
  <c r="Q102" i="3"/>
  <c r="Q110" i="3"/>
  <c r="S30" i="5"/>
  <c r="S110" i="5"/>
  <c r="I170" i="89" s="1"/>
  <c r="P22" i="6"/>
  <c r="T110" i="5"/>
  <c r="T30" i="5"/>
  <c r="T9" i="4"/>
  <c r="J32" i="89" s="1"/>
  <c r="K32" i="89" s="1"/>
  <c r="R51" i="6" l="1"/>
  <c r="H203" i="89" s="1"/>
  <c r="J170" i="89"/>
  <c r="K170" i="89" s="1"/>
  <c r="V110" i="5"/>
  <c r="S52" i="6"/>
  <c r="I204" i="89" s="1"/>
  <c r="S54" i="6"/>
  <c r="I205" i="89" s="1"/>
  <c r="S10" i="4"/>
  <c r="S111" i="3"/>
  <c r="R112" i="3"/>
  <c r="R86" i="3"/>
  <c r="R102" i="3"/>
  <c r="R94" i="3"/>
  <c r="R110" i="3"/>
  <c r="T52" i="6"/>
  <c r="J204" i="89" s="1"/>
  <c r="K204" i="89" s="1"/>
  <c r="T54" i="6"/>
  <c r="J205" i="89" s="1"/>
  <c r="K205" i="89" s="1"/>
  <c r="T10" i="4"/>
  <c r="V10" i="4" s="1"/>
  <c r="R22" i="6" l="1"/>
  <c r="S51" i="6"/>
  <c r="S22" i="6" s="1"/>
  <c r="P92" i="6"/>
  <c r="P86" i="6" s="1"/>
  <c r="S86" i="3"/>
  <c r="S112" i="3"/>
  <c r="S94" i="3"/>
  <c r="S102" i="3"/>
  <c r="S110" i="3"/>
  <c r="T51" i="6"/>
  <c r="J203" i="89" s="1"/>
  <c r="K203" i="89" s="1"/>
  <c r="I203" i="89" l="1"/>
  <c r="R92" i="6"/>
  <c r="R86" i="6" s="1"/>
  <c r="S92" i="6"/>
  <c r="S86" i="6" s="1"/>
  <c r="T22" i="6"/>
  <c r="T92" i="6" l="1"/>
  <c r="T86" i="6" s="1"/>
  <c r="N101" i="5" l="1"/>
  <c r="D159" i="89" s="1"/>
  <c r="N30" i="5" l="1"/>
  <c r="N117" i="5" s="1"/>
  <c r="O117" i="5" s="1"/>
  <c r="O101" i="5"/>
  <c r="E159" i="89" s="1"/>
  <c r="K159" i="89" s="1"/>
  <c r="N102" i="5"/>
  <c r="D160" i="89" s="1"/>
  <c r="N111" i="3" l="1"/>
  <c r="O30" i="5"/>
  <c r="O102" i="5"/>
  <c r="E160" i="89" l="1"/>
  <c r="K160" i="89" s="1"/>
  <c r="V102" i="5"/>
  <c r="N111" i="5"/>
  <c r="N112" i="3"/>
  <c r="N86" i="3"/>
  <c r="O111" i="3"/>
  <c r="N102" i="3"/>
  <c r="N110" i="3"/>
  <c r="N94" i="3"/>
  <c r="O174" i="2"/>
  <c r="N29" i="5" l="1"/>
  <c r="D128" i="89" s="1"/>
  <c r="D171" i="89"/>
  <c r="O118" i="5"/>
  <c r="O190" i="2" s="1"/>
  <c r="P190" i="2" s="1"/>
  <c r="O111" i="5"/>
  <c r="O112" i="3"/>
  <c r="O86" i="3"/>
  <c r="O94" i="3"/>
  <c r="O102" i="3"/>
  <c r="O110" i="3"/>
  <c r="N20" i="5" l="1"/>
  <c r="N21" i="5" s="1"/>
  <c r="D119" i="89" s="1"/>
  <c r="O29" i="5"/>
  <c r="E128" i="89" s="1"/>
  <c r="E171" i="89"/>
  <c r="P118" i="5"/>
  <c r="Q190" i="2"/>
  <c r="N19" i="5" l="1"/>
  <c r="D117" i="89" s="1"/>
  <c r="D118" i="89"/>
  <c r="O20" i="5"/>
  <c r="E118" i="89" s="1"/>
  <c r="P117" i="5"/>
  <c r="P111" i="5" s="1"/>
  <c r="Q118" i="5"/>
  <c r="Q117" i="5" s="1"/>
  <c r="R190" i="2"/>
  <c r="M41" i="34"/>
  <c r="M43" i="34" s="1"/>
  <c r="M53" i="34" s="1"/>
  <c r="M85" i="34" s="1"/>
  <c r="N9" i="5" l="1"/>
  <c r="O9" i="5" s="1"/>
  <c r="O19" i="5"/>
  <c r="E117" i="89" s="1"/>
  <c r="O21" i="5"/>
  <c r="E119" i="89" s="1"/>
  <c r="P29" i="5"/>
  <c r="F128" i="89" s="1"/>
  <c r="F171" i="89"/>
  <c r="M48" i="34"/>
  <c r="R118" i="5"/>
  <c r="R117" i="5" s="1"/>
  <c r="S190" i="2"/>
  <c r="Q111" i="5"/>
  <c r="E282" i="89" l="1"/>
  <c r="N48" i="34"/>
  <c r="D282" i="89" s="1"/>
  <c r="D55" i="89"/>
  <c r="D56" i="89" s="1"/>
  <c r="D59" i="89" s="1"/>
  <c r="D36" i="89"/>
  <c r="N10" i="5"/>
  <c r="P20" i="5"/>
  <c r="Q29" i="5"/>
  <c r="G128" i="89" s="1"/>
  <c r="G171" i="89"/>
  <c r="E55" i="89"/>
  <c r="E36" i="89"/>
  <c r="O10" i="5"/>
  <c r="S118" i="5"/>
  <c r="S117" i="5" s="1"/>
  <c r="T190" i="2"/>
  <c r="T118" i="5" s="1"/>
  <c r="R111" i="5"/>
  <c r="T117" i="5" l="1"/>
  <c r="T111" i="5" s="1"/>
  <c r="V118" i="5"/>
  <c r="D57" i="89"/>
  <c r="Q20" i="5"/>
  <c r="G118" i="89" s="1"/>
  <c r="E56" i="89"/>
  <c r="P21" i="5"/>
  <c r="F119" i="89" s="1"/>
  <c r="F118" i="89"/>
  <c r="R29" i="5"/>
  <c r="H128" i="89" s="1"/>
  <c r="H171" i="89"/>
  <c r="D60" i="89"/>
  <c r="D62" i="89"/>
  <c r="D63" i="89" s="1"/>
  <c r="S111" i="5"/>
  <c r="Q21" i="5" l="1"/>
  <c r="G119" i="89" s="1"/>
  <c r="S29" i="5"/>
  <c r="I128" i="89" s="1"/>
  <c r="I171" i="89"/>
  <c r="R20" i="5"/>
  <c r="H118" i="89" s="1"/>
  <c r="E57" i="89"/>
  <c r="T29" i="5"/>
  <c r="J128" i="89" s="1"/>
  <c r="K128" i="89" s="1"/>
  <c r="J171" i="89"/>
  <c r="K171" i="89" s="1"/>
  <c r="S20" i="5" l="1"/>
  <c r="I118" i="89" s="1"/>
  <c r="R21" i="5"/>
  <c r="H119" i="89" s="1"/>
  <c r="T20" i="5"/>
  <c r="J118" i="89" s="1"/>
  <c r="K118" i="89" s="1"/>
  <c r="M77" i="34"/>
  <c r="M80" i="34" s="1"/>
  <c r="S21" i="5" l="1"/>
  <c r="I119" i="89" s="1"/>
  <c r="T21" i="5"/>
  <c r="M82" i="34"/>
  <c r="M81" i="34"/>
  <c r="N78" i="34"/>
  <c r="O12" i="7"/>
  <c r="O9" i="7" s="1"/>
  <c r="J119" i="89" l="1"/>
  <c r="K119" i="89" s="1"/>
  <c r="V21" i="5"/>
  <c r="O8" i="7"/>
  <c r="P12" i="7"/>
  <c r="Q12" i="7" l="1"/>
  <c r="Q9" i="7" s="1"/>
  <c r="Q8" i="7" s="1"/>
  <c r="P9" i="7"/>
  <c r="P8" i="7" s="1"/>
  <c r="N32" i="7"/>
  <c r="N30" i="7" s="1"/>
  <c r="R12" i="7" l="1"/>
  <c r="R9" i="7" s="1"/>
  <c r="R8" i="7" s="1"/>
  <c r="N9" i="7"/>
  <c r="N8" i="7" s="1"/>
  <c r="N78" i="7" s="1"/>
  <c r="S12" i="7"/>
  <c r="S9" i="7" s="1"/>
  <c r="S8" i="7" s="1"/>
  <c r="O78" i="7" l="1"/>
  <c r="N99" i="7"/>
  <c r="D255" i="89" s="1"/>
  <c r="P18" i="3"/>
  <c r="G11" i="89" s="1"/>
  <c r="P72" i="34"/>
  <c r="T12" i="7"/>
  <c r="T9" i="7" s="1"/>
  <c r="T8" i="7" s="1"/>
  <c r="P78" i="7" l="1"/>
  <c r="O99" i="7"/>
  <c r="R72" i="34"/>
  <c r="Q72" i="34"/>
  <c r="Q18" i="3"/>
  <c r="H11" i="89" s="1"/>
  <c r="N18" i="3"/>
  <c r="E11" i="89" s="1"/>
  <c r="S18" i="3"/>
  <c r="J11" i="89" s="1"/>
  <c r="N19" i="34" l="1"/>
  <c r="D254" i="89" s="1"/>
  <c r="Q78" i="7"/>
  <c r="P99" i="7"/>
  <c r="R18" i="3"/>
  <c r="I11" i="89" s="1"/>
  <c r="S72" i="34"/>
  <c r="P19" i="34" l="1"/>
  <c r="Q99" i="7"/>
  <c r="F254" i="89" l="1"/>
  <c r="D295" i="89"/>
  <c r="D297" i="89" s="1"/>
  <c r="Q19" i="34"/>
  <c r="T18" i="3"/>
  <c r="K11" i="89" s="1"/>
  <c r="T72" i="34"/>
  <c r="G254" i="89" l="1"/>
  <c r="E295" i="89"/>
  <c r="E297" i="89" s="1"/>
  <c r="J46" i="4"/>
  <c r="K46" i="4"/>
  <c r="L46" i="4"/>
  <c r="M46" i="4"/>
  <c r="L63" i="2" l="1"/>
  <c r="K63" i="2"/>
  <c r="J63" i="2"/>
  <c r="M63" i="2"/>
  <c r="O63" i="2" s="1"/>
  <c r="J27" i="6" l="1"/>
  <c r="J62" i="6" l="1"/>
  <c r="J59" i="6" s="1"/>
  <c r="J23" i="6" s="1"/>
  <c r="J20" i="6" s="1"/>
  <c r="J9" i="6" s="1"/>
  <c r="J21" i="6"/>
  <c r="J147" i="6" l="1"/>
  <c r="J10" i="6"/>
  <c r="J706" i="2" l="1"/>
  <c r="J13" i="6"/>
  <c r="J8" i="6" s="1"/>
  <c r="J12" i="3" s="1"/>
  <c r="J13" i="3" s="1"/>
  <c r="J14" i="3" s="1"/>
  <c r="N107" i="4" l="1"/>
  <c r="N203" i="5" l="1"/>
  <c r="N266" i="5"/>
  <c r="O266" i="5" s="1"/>
  <c r="N98" i="4"/>
  <c r="N194" i="5" l="1"/>
  <c r="N97" i="4"/>
  <c r="N11" i="4" s="1"/>
  <c r="D33" i="89" s="1"/>
  <c r="N181" i="4"/>
  <c r="O107" i="4"/>
  <c r="O203" i="5" s="1"/>
  <c r="O267" i="5" l="1"/>
  <c r="O618" i="2" s="1"/>
  <c r="O194" i="5"/>
  <c r="O181" i="4"/>
  <c r="O178" i="4" s="1"/>
  <c r="N178" i="4"/>
  <c r="O98" i="4"/>
  <c r="O97" i="4" s="1"/>
  <c r="O11" i="4" s="1"/>
  <c r="E33" i="89" s="1"/>
  <c r="P194" i="5" l="1"/>
  <c r="O12" i="4"/>
  <c r="N290" i="5"/>
  <c r="N13" i="4"/>
  <c r="D34" i="89" s="1"/>
  <c r="Q107" i="4"/>
  <c r="Q105" i="6" s="1"/>
  <c r="P107" i="4"/>
  <c r="P105" i="6" s="1"/>
  <c r="N106" i="6" l="1"/>
  <c r="N105" i="6" s="1"/>
  <c r="O105" i="6" s="1"/>
  <c r="O106" i="6" s="1"/>
  <c r="O682" i="2" s="1"/>
  <c r="Q203" i="5"/>
  <c r="Q266" i="5"/>
  <c r="P203" i="5"/>
  <c r="P266" i="5"/>
  <c r="R194" i="5"/>
  <c r="Q194" i="5"/>
  <c r="P98" i="4"/>
  <c r="N13" i="5"/>
  <c r="D38" i="89" s="1"/>
  <c r="O290" i="5"/>
  <c r="O291" i="5" s="1"/>
  <c r="O642" i="2" s="1"/>
  <c r="Q98" i="4"/>
  <c r="O13" i="4"/>
  <c r="E34" i="89" s="1"/>
  <c r="N8" i="4"/>
  <c r="D31" i="89" s="1"/>
  <c r="R107" i="4"/>
  <c r="R105" i="6" s="1"/>
  <c r="R203" i="5" l="1"/>
  <c r="R266" i="5"/>
  <c r="T194" i="5"/>
  <c r="O8" i="4"/>
  <c r="E31" i="89" s="1"/>
  <c r="O13" i="5"/>
  <c r="E38" i="89" s="1"/>
  <c r="Q97" i="4"/>
  <c r="Q181" i="4"/>
  <c r="Q178" i="4" s="1"/>
  <c r="R98" i="4"/>
  <c r="N8" i="3"/>
  <c r="P97" i="4"/>
  <c r="P181" i="4"/>
  <c r="P178" i="4" s="1"/>
  <c r="S194" i="5" l="1"/>
  <c r="P11" i="4"/>
  <c r="F33" i="89" s="1"/>
  <c r="Q11" i="4"/>
  <c r="G33" i="89" s="1"/>
  <c r="R97" i="4"/>
  <c r="R181" i="4"/>
  <c r="R178" i="4" s="1"/>
  <c r="Q13" i="4"/>
  <c r="G34" i="89" s="1"/>
  <c r="Q290" i="5"/>
  <c r="Q13" i="5" s="1"/>
  <c r="G38" i="89" s="1"/>
  <c r="O8" i="3"/>
  <c r="P13" i="4"/>
  <c r="F34" i="89" s="1"/>
  <c r="P290" i="5"/>
  <c r="P13" i="5" s="1"/>
  <c r="F38" i="89" s="1"/>
  <c r="N31" i="8"/>
  <c r="N32" i="8" s="1"/>
  <c r="N33" i="8" s="1"/>
  <c r="D272" i="89"/>
  <c r="S107" i="4"/>
  <c r="S105" i="6" s="1"/>
  <c r="T107" i="4"/>
  <c r="T266" i="5" l="1"/>
  <c r="T105" i="6"/>
  <c r="S203" i="5"/>
  <c r="S266" i="5"/>
  <c r="T203" i="5"/>
  <c r="P12" i="4"/>
  <c r="Q12" i="4"/>
  <c r="R11" i="4"/>
  <c r="H33" i="89" s="1"/>
  <c r="Q8" i="4"/>
  <c r="G31" i="89" s="1"/>
  <c r="P8" i="4"/>
  <c r="F31" i="89" s="1"/>
  <c r="T98" i="4"/>
  <c r="S98" i="4"/>
  <c r="E272" i="89"/>
  <c r="O31" i="8"/>
  <c r="O32" i="8" s="1"/>
  <c r="O33" i="8" s="1"/>
  <c r="O15" i="8" s="1"/>
  <c r="R13" i="4"/>
  <c r="H34" i="89" s="1"/>
  <c r="R290" i="5"/>
  <c r="R13" i="5" s="1"/>
  <c r="H38" i="89" s="1"/>
  <c r="R12" i="4" l="1"/>
  <c r="P8" i="3"/>
  <c r="R8" i="4"/>
  <c r="H31" i="89" s="1"/>
  <c r="T97" i="4"/>
  <c r="T11" i="4" s="1"/>
  <c r="J33" i="89" s="1"/>
  <c r="K33" i="89" s="1"/>
  <c r="T181" i="4"/>
  <c r="T178" i="4" s="1"/>
  <c r="S97" i="4"/>
  <c r="S11" i="4" s="1"/>
  <c r="I33" i="89" s="1"/>
  <c r="S181" i="4"/>
  <c r="S178" i="4" s="1"/>
  <c r="O11" i="8"/>
  <c r="E214" i="89" s="1"/>
  <c r="N15" i="8"/>
  <c r="N11" i="8" s="1"/>
  <c r="D214" i="89" s="1"/>
  <c r="Q8" i="3"/>
  <c r="T12" i="4" l="1"/>
  <c r="V12" i="4" s="1"/>
  <c r="S12" i="4"/>
  <c r="T290" i="5"/>
  <c r="T13" i="5" s="1"/>
  <c r="J38" i="89" s="1"/>
  <c r="K38" i="89" s="1"/>
  <c r="T13" i="4"/>
  <c r="J34" i="89" s="1"/>
  <c r="K34" i="89" s="1"/>
  <c r="Q31" i="8"/>
  <c r="Q32" i="8" s="1"/>
  <c r="Q33" i="8" s="1"/>
  <c r="Q15" i="8" s="1"/>
  <c r="Q11" i="8" s="1"/>
  <c r="G214" i="89" s="1"/>
  <c r="Q39" i="34"/>
  <c r="P31" i="8"/>
  <c r="P32" i="8" s="1"/>
  <c r="P33" i="8" s="1"/>
  <c r="P15" i="8" s="1"/>
  <c r="P11" i="8" s="1"/>
  <c r="P39" i="34"/>
  <c r="R8" i="3"/>
  <c r="S13" i="4"/>
  <c r="I34" i="89" s="1"/>
  <c r="S290" i="5"/>
  <c r="S13" i="5" s="1"/>
  <c r="I38" i="89" s="1"/>
  <c r="E251" i="89"/>
  <c r="F272" i="89" l="1"/>
  <c r="L291" i="89"/>
  <c r="G272" i="89"/>
  <c r="M291" i="89"/>
  <c r="F214" i="89"/>
  <c r="P16" i="34"/>
  <c r="Q16" i="34" s="1"/>
  <c r="G251" i="89" s="1"/>
  <c r="S8" i="4"/>
  <c r="I31" i="89" s="1"/>
  <c r="N16" i="34"/>
  <c r="D251" i="89" s="1"/>
  <c r="R31" i="8"/>
  <c r="R32" i="8" s="1"/>
  <c r="R33" i="8" s="1"/>
  <c r="R15" i="8" s="1"/>
  <c r="R11" i="8" s="1"/>
  <c r="H214" i="89" s="1"/>
  <c r="R39" i="34"/>
  <c r="T8" i="4"/>
  <c r="J31" i="89" s="1"/>
  <c r="K31" i="89" s="1"/>
  <c r="H272" i="89" l="1"/>
  <c r="N291" i="89"/>
  <c r="R16" i="34"/>
  <c r="H251" i="89" s="1"/>
  <c r="F251" i="89"/>
  <c r="T8" i="3"/>
  <c r="S8" i="3"/>
  <c r="T39" i="34" l="1"/>
  <c r="U8" i="3"/>
  <c r="T31" i="8"/>
  <c r="T32" i="8" s="1"/>
  <c r="T33" i="8" s="1"/>
  <c r="T15" i="8" s="1"/>
  <c r="T11" i="8" s="1"/>
  <c r="J214" i="89" s="1"/>
  <c r="K214" i="89" s="1"/>
  <c r="S39" i="34"/>
  <c r="S31" i="8"/>
  <c r="S32" i="8" s="1"/>
  <c r="S33" i="8" s="1"/>
  <c r="S15" i="8" s="1"/>
  <c r="S11" i="8" s="1"/>
  <c r="I214" i="89" s="1"/>
  <c r="I272" i="89" l="1"/>
  <c r="O291" i="89"/>
  <c r="J272" i="89"/>
  <c r="P291" i="89"/>
  <c r="S16" i="34"/>
  <c r="T16" i="34" s="1"/>
  <c r="J251" i="89" s="1"/>
  <c r="U31" i="8"/>
  <c r="U32" i="8" s="1"/>
  <c r="U33" i="8" s="1"/>
  <c r="U15" i="8" s="1"/>
  <c r="U11" i="8" s="1"/>
  <c r="I251" i="89" l="1"/>
  <c r="Q87" i="6"/>
  <c r="Q84" i="6" s="1"/>
  <c r="T87" i="6"/>
  <c r="T84" i="6" s="1"/>
  <c r="Q85" i="6" l="1"/>
  <c r="Q71" i="6"/>
  <c r="T85" i="6"/>
  <c r="T71" i="6"/>
  <c r="N87" i="6"/>
  <c r="N84" i="6" s="1"/>
  <c r="P87" i="6"/>
  <c r="P84" i="6" s="1"/>
  <c r="S87" i="6"/>
  <c r="S84" i="6" s="1"/>
  <c r="R87" i="6"/>
  <c r="R84" i="6" s="1"/>
  <c r="O87" i="6"/>
  <c r="O84" i="6" s="1"/>
  <c r="S85" i="6" l="1"/>
  <c r="S71" i="6"/>
  <c r="R85" i="6"/>
  <c r="R71" i="6"/>
  <c r="T72" i="6"/>
  <c r="T70" i="6"/>
  <c r="T11" i="6" s="1"/>
  <c r="N85" i="6"/>
  <c r="N71" i="6"/>
  <c r="Q72" i="6"/>
  <c r="Q70" i="6"/>
  <c r="Q11" i="6" s="1"/>
  <c r="P85" i="6"/>
  <c r="P71" i="6"/>
  <c r="O85" i="6"/>
  <c r="O71" i="6"/>
  <c r="N72" i="6" l="1"/>
  <c r="N70" i="6"/>
  <c r="N11" i="6" s="1"/>
  <c r="O72" i="6"/>
  <c r="V72" i="6" s="1"/>
  <c r="O70" i="6"/>
  <c r="O11" i="6" s="1"/>
  <c r="P72" i="6"/>
  <c r="P70" i="6"/>
  <c r="P11" i="6" s="1"/>
  <c r="T12" i="6"/>
  <c r="Q12" i="6"/>
  <c r="S70" i="6"/>
  <c r="S11" i="6" s="1"/>
  <c r="S72" i="6"/>
  <c r="R70" i="6"/>
  <c r="R11" i="6" s="1"/>
  <c r="R72" i="6"/>
  <c r="R12" i="6" l="1"/>
  <c r="O8" i="6"/>
  <c r="E41" i="89" s="1"/>
  <c r="O12" i="6"/>
  <c r="V12" i="6" s="1"/>
  <c r="P12" i="6"/>
  <c r="S12" i="6"/>
  <c r="N8" i="6"/>
  <c r="D41" i="89" s="1"/>
  <c r="N12" i="6"/>
  <c r="N12" i="3" l="1"/>
  <c r="O12" i="3"/>
  <c r="D276" i="89" l="1"/>
  <c r="E276" i="89"/>
  <c r="N264" i="5" l="1"/>
  <c r="N196" i="5" l="1"/>
  <c r="N192" i="5" s="1"/>
  <c r="N193" i="5" s="1"/>
  <c r="N265" i="5"/>
  <c r="O264" i="5"/>
  <c r="N183" i="5" l="1"/>
  <c r="N182" i="5" s="1"/>
  <c r="N11" i="5" s="1"/>
  <c r="O196" i="5"/>
  <c r="O192" i="5" s="1"/>
  <c r="O183" i="5" s="1"/>
  <c r="O182" i="5" s="1"/>
  <c r="O11" i="5" s="1"/>
  <c r="O265" i="5"/>
  <c r="P264" i="5"/>
  <c r="Q264" i="5"/>
  <c r="O12" i="5" l="1"/>
  <c r="E37" i="89"/>
  <c r="N12" i="5"/>
  <c r="D37" i="89"/>
  <c r="O193" i="5"/>
  <c r="O8" i="5"/>
  <c r="N8" i="5"/>
  <c r="Q196" i="5"/>
  <c r="Q192" i="5" s="1"/>
  <c r="Q193" i="5" s="1"/>
  <c r="Q265" i="5"/>
  <c r="P196" i="5"/>
  <c r="P192" i="5" s="1"/>
  <c r="P183" i="5" s="1"/>
  <c r="P182" i="5" s="1"/>
  <c r="P11" i="5" s="1"/>
  <c r="F37" i="89" s="1"/>
  <c r="P265" i="5"/>
  <c r="R264" i="5"/>
  <c r="N9" i="3" l="1"/>
  <c r="N34" i="8" s="1"/>
  <c r="D35" i="89"/>
  <c r="D39" i="89" s="1"/>
  <c r="O9" i="3"/>
  <c r="E273" i="89" s="1"/>
  <c r="E35" i="89"/>
  <c r="Q183" i="5"/>
  <c r="Q182" i="5" s="1"/>
  <c r="Q11" i="5" s="1"/>
  <c r="G37" i="89" s="1"/>
  <c r="P12" i="5"/>
  <c r="P193" i="5"/>
  <c r="R196" i="5"/>
  <c r="R192" i="5" s="1"/>
  <c r="R193" i="5" s="1"/>
  <c r="R265" i="5"/>
  <c r="T264" i="5"/>
  <c r="S264" i="5"/>
  <c r="O10" i="3" l="1"/>
  <c r="O11" i="3" s="1"/>
  <c r="N10" i="3"/>
  <c r="N13" i="3" s="1"/>
  <c r="E6" i="89" s="1"/>
  <c r="O34" i="8"/>
  <c r="D40" i="89"/>
  <c r="D42" i="89"/>
  <c r="N41" i="34"/>
  <c r="D274" i="89" s="1"/>
  <c r="D275" i="89" s="1"/>
  <c r="D273" i="89"/>
  <c r="E39" i="89"/>
  <c r="Q12" i="5"/>
  <c r="R183" i="5"/>
  <c r="R182" i="5" s="1"/>
  <c r="R11" i="5" s="1"/>
  <c r="H37" i="89" s="1"/>
  <c r="S196" i="5"/>
  <c r="S192" i="5" s="1"/>
  <c r="S193" i="5" s="1"/>
  <c r="S265" i="5"/>
  <c r="T196" i="5"/>
  <c r="T192" i="5" s="1"/>
  <c r="T193" i="5" s="1"/>
  <c r="T265" i="5"/>
  <c r="O41" i="34"/>
  <c r="E274" i="89" s="1"/>
  <c r="E275" i="89" s="1"/>
  <c r="O22" i="8" l="1"/>
  <c r="E217" i="89" s="1"/>
  <c r="O18" i="8"/>
  <c r="E215" i="89" s="1"/>
  <c r="O13" i="3"/>
  <c r="F6" i="89" s="1"/>
  <c r="O25" i="8"/>
  <c r="E218" i="89" s="1"/>
  <c r="N11" i="3"/>
  <c r="N14" i="3"/>
  <c r="E7" i="89" s="1"/>
  <c r="N15" i="3"/>
  <c r="E8" i="89" s="1"/>
  <c r="N43" i="34"/>
  <c r="N53" i="34" s="1"/>
  <c r="N85" i="34" s="1"/>
  <c r="E42" i="89"/>
  <c r="E40" i="89"/>
  <c r="D43" i="89"/>
  <c r="D45" i="89"/>
  <c r="D46" i="89" s="1"/>
  <c r="R12" i="5"/>
  <c r="S183" i="5"/>
  <c r="S182" i="5" s="1"/>
  <c r="S11" i="5" s="1"/>
  <c r="I37" i="89" s="1"/>
  <c r="T183" i="5"/>
  <c r="T182" i="5" s="1"/>
  <c r="T11" i="5" s="1"/>
  <c r="E261" i="89"/>
  <c r="E262" i="89"/>
  <c r="O43" i="34"/>
  <c r="O53" i="34" l="1"/>
  <c r="E137" i="88" s="1"/>
  <c r="E136" i="88" s="1"/>
  <c r="P358" i="2"/>
  <c r="P33" i="6" s="1"/>
  <c r="P32" i="6" s="1"/>
  <c r="P28" i="6" s="1"/>
  <c r="F194" i="89" s="1"/>
  <c r="T12" i="5"/>
  <c r="V12" i="5" s="1"/>
  <c r="J37" i="89"/>
  <c r="K37" i="89" s="1"/>
  <c r="E277" i="89"/>
  <c r="O74" i="34"/>
  <c r="O76" i="34" s="1"/>
  <c r="N76" i="34" s="1"/>
  <c r="O45" i="8"/>
  <c r="O44" i="8" s="1"/>
  <c r="N44" i="8" s="1"/>
  <c r="N22" i="8"/>
  <c r="D217" i="89" s="1"/>
  <c r="O21" i="8"/>
  <c r="E216" i="89" s="1"/>
  <c r="P394" i="2"/>
  <c r="P43" i="6" s="1"/>
  <c r="P42" i="6" s="1"/>
  <c r="P36" i="6" s="1"/>
  <c r="F198" i="89" s="1"/>
  <c r="P5" i="3"/>
  <c r="P275" i="2"/>
  <c r="P130" i="5" s="1"/>
  <c r="F181" i="89" s="1"/>
  <c r="O14" i="3"/>
  <c r="F7" i="89" s="1"/>
  <c r="O15" i="3"/>
  <c r="F8" i="89" s="1"/>
  <c r="N25" i="8"/>
  <c r="D218" i="89" s="1"/>
  <c r="E252" i="89"/>
  <c r="N18" i="8"/>
  <c r="D215" i="89" s="1"/>
  <c r="O10" i="8"/>
  <c r="E213" i="89" s="1"/>
  <c r="N16" i="3"/>
  <c r="E9" i="89" s="1"/>
  <c r="D277" i="89"/>
  <c r="E45" i="89"/>
  <c r="E43" i="89"/>
  <c r="S12" i="5"/>
  <c r="D281" i="89"/>
  <c r="N26" i="34"/>
  <c r="D261" i="89" s="1"/>
  <c r="N17" i="34"/>
  <c r="D252" i="89" s="1"/>
  <c r="N27" i="34"/>
  <c r="D262" i="89" s="1"/>
  <c r="N21" i="8" l="1"/>
  <c r="D216" i="89" s="1"/>
  <c r="N45" i="8"/>
  <c r="N46" i="8" s="1"/>
  <c r="O16" i="3"/>
  <c r="F9" i="89" s="1"/>
  <c r="N74" i="34"/>
  <c r="P129" i="5"/>
  <c r="F180" i="89" s="1"/>
  <c r="O9" i="8"/>
  <c r="E212" i="89" s="1"/>
  <c r="N10" i="8"/>
  <c r="D213" i="89" s="1"/>
  <c r="E46" i="89"/>
  <c r="P27" i="6"/>
  <c r="N44" i="34"/>
  <c r="D278" i="89" s="1"/>
  <c r="E281" i="89"/>
  <c r="F193" i="89" l="1"/>
  <c r="P122" i="5"/>
  <c r="F176" i="89" s="1"/>
  <c r="O8" i="8"/>
  <c r="E211" i="89" s="1"/>
  <c r="N9" i="8"/>
  <c r="D212" i="89" s="1"/>
  <c r="P21" i="6"/>
  <c r="P20" i="6" s="1"/>
  <c r="O66" i="34"/>
  <c r="N66" i="34" s="1"/>
  <c r="E278" i="89"/>
  <c r="N49" i="34"/>
  <c r="D283" i="89" s="1"/>
  <c r="P22" i="5" l="1"/>
  <c r="F120" i="89" s="1"/>
  <c r="N8" i="8"/>
  <c r="D211" i="89" s="1"/>
  <c r="F192" i="89"/>
  <c r="F58" i="89"/>
  <c r="P9" i="6"/>
  <c r="P8" i="6" s="1"/>
  <c r="F41" i="89" s="1"/>
  <c r="O49" i="34"/>
  <c r="E283" i="89" s="1"/>
  <c r="P19" i="5" l="1"/>
  <c r="F117" i="89" s="1"/>
  <c r="P23" i="5"/>
  <c r="F121" i="89" s="1"/>
  <c r="N19" i="3"/>
  <c r="E12" i="89" s="1"/>
  <c r="P10" i="6"/>
  <c r="P12" i="3"/>
  <c r="P42" i="34" s="1"/>
  <c r="F276" i="89" l="1"/>
  <c r="L295" i="89"/>
  <c r="P9" i="5"/>
  <c r="F36" i="89" s="1"/>
  <c r="N20" i="3"/>
  <c r="E13" i="89" s="1"/>
  <c r="O51" i="34"/>
  <c r="E284" i="89"/>
  <c r="P71" i="34"/>
  <c r="N50" i="34"/>
  <c r="D284" i="89" s="1"/>
  <c r="O67" i="34"/>
  <c r="N67" i="34" s="1"/>
  <c r="E263" i="89"/>
  <c r="E285" i="89" l="1"/>
  <c r="E286" i="89" s="1"/>
  <c r="E145" i="88"/>
  <c r="E144" i="88" s="1"/>
  <c r="F55" i="89"/>
  <c r="F56" i="89" s="1"/>
  <c r="F57" i="89" s="1"/>
  <c r="P10" i="5"/>
  <c r="P14" i="5" s="1"/>
  <c r="P8" i="5"/>
  <c r="F35" i="89" s="1"/>
  <c r="F39" i="89" s="1"/>
  <c r="F40" i="89" s="1"/>
  <c r="N23" i="3"/>
  <c r="E16" i="89" s="1"/>
  <c r="O61" i="34"/>
  <c r="N51" i="34"/>
  <c r="N28" i="34"/>
  <c r="D263" i="89" s="1"/>
  <c r="E260" i="89"/>
  <c r="D285" i="89" l="1"/>
  <c r="D286" i="89" s="1"/>
  <c r="J5" i="91"/>
  <c r="O77" i="34"/>
  <c r="O80" i="34" s="1"/>
  <c r="P78" i="34" s="1"/>
  <c r="O62" i="34"/>
  <c r="O68" i="34" s="1"/>
  <c r="N68" i="34" s="1"/>
  <c r="N62" i="34" s="1"/>
  <c r="F59" i="89"/>
  <c r="F60" i="89" s="1"/>
  <c r="P9" i="3"/>
  <c r="P10" i="3" s="1"/>
  <c r="P11" i="3" s="1"/>
  <c r="F42" i="89"/>
  <c r="F43" i="89" s="1"/>
  <c r="O31" i="34"/>
  <c r="E266" i="89" s="1"/>
  <c r="N25" i="34"/>
  <c r="D260" i="89" s="1"/>
  <c r="N61" i="34"/>
  <c r="F62" i="89" l="1"/>
  <c r="F63" i="89" s="1"/>
  <c r="P40" i="34"/>
  <c r="N60" i="34"/>
  <c r="N77" i="34" s="1"/>
  <c r="N80" i="34" s="1"/>
  <c r="P34" i="8"/>
  <c r="P18" i="8" s="1"/>
  <c r="P17" i="34" s="1"/>
  <c r="P13" i="3"/>
  <c r="G6" i="89" s="1"/>
  <c r="F45" i="89"/>
  <c r="F46" i="89" s="1"/>
  <c r="P45" i="34"/>
  <c r="F279" i="89" s="1"/>
  <c r="E250" i="89"/>
  <c r="N15" i="34"/>
  <c r="D250" i="89" s="1"/>
  <c r="O24" i="34"/>
  <c r="N31" i="34"/>
  <c r="D266" i="89" s="1"/>
  <c r="F273" i="89" l="1"/>
  <c r="W40" i="34"/>
  <c r="AB40" i="34" s="1"/>
  <c r="P41" i="34"/>
  <c r="L292" i="89"/>
  <c r="L293" i="89" s="1"/>
  <c r="L294" i="89" s="1"/>
  <c r="P15" i="3"/>
  <c r="G8" i="89" s="1"/>
  <c r="Q275" i="2"/>
  <c r="Q130" i="5" s="1"/>
  <c r="G181" i="89" s="1"/>
  <c r="P10" i="8"/>
  <c r="F213" i="89" s="1"/>
  <c r="Q358" i="2"/>
  <c r="Q33" i="6" s="1"/>
  <c r="Q32" i="6" s="1"/>
  <c r="Q28" i="6" s="1"/>
  <c r="G194" i="89" s="1"/>
  <c r="Q5" i="3"/>
  <c r="F215" i="89"/>
  <c r="Q394" i="2"/>
  <c r="Q43" i="6" s="1"/>
  <c r="Q42" i="6" s="1"/>
  <c r="Q36" i="6" s="1"/>
  <c r="G198" i="89" s="1"/>
  <c r="P14" i="3"/>
  <c r="G7" i="89" s="1"/>
  <c r="P25" i="8"/>
  <c r="P45" i="8" s="1"/>
  <c r="P44" i="8" s="1"/>
  <c r="P47" i="34" s="1"/>
  <c r="F281" i="89" s="1"/>
  <c r="P22" i="8"/>
  <c r="F217" i="89" s="1"/>
  <c r="F252" i="89"/>
  <c r="D293" i="89"/>
  <c r="P65" i="34"/>
  <c r="P69" i="34" s="1"/>
  <c r="N14" i="34"/>
  <c r="D249" i="89" s="1"/>
  <c r="E249" i="89"/>
  <c r="E259" i="89"/>
  <c r="F274" i="89" l="1"/>
  <c r="F275" i="89" s="1"/>
  <c r="W41" i="34"/>
  <c r="AB41" i="34" s="1"/>
  <c r="P43" i="34"/>
  <c r="L296" i="89"/>
  <c r="L297" i="89" s="1"/>
  <c r="P16" i="3"/>
  <c r="G9" i="89" s="1"/>
  <c r="Q129" i="5"/>
  <c r="G180" i="89" s="1"/>
  <c r="P66" i="34"/>
  <c r="P70" i="34" s="1"/>
  <c r="P74" i="34"/>
  <c r="P73" i="34" s="1"/>
  <c r="P21" i="8"/>
  <c r="F216" i="89" s="1"/>
  <c r="P26" i="34"/>
  <c r="F261" i="89" s="1"/>
  <c r="P63" i="34"/>
  <c r="P27" i="34"/>
  <c r="F262" i="89" s="1"/>
  <c r="P44" i="34"/>
  <c r="F218" i="89"/>
  <c r="Q27" i="6"/>
  <c r="G193" i="89" s="1"/>
  <c r="O32" i="34"/>
  <c r="E267" i="89" s="1"/>
  <c r="N24" i="34"/>
  <c r="D259" i="89" s="1"/>
  <c r="P84" i="34" l="1"/>
  <c r="W43" i="34"/>
  <c r="AB43" i="34" s="1"/>
  <c r="L301" i="89"/>
  <c r="F277" i="89"/>
  <c r="P53" i="34"/>
  <c r="L299" i="89"/>
  <c r="L300" i="89" s="1"/>
  <c r="Q122" i="5"/>
  <c r="G176" i="89" s="1"/>
  <c r="D300" i="89"/>
  <c r="F278" i="89"/>
  <c r="P49" i="34"/>
  <c r="P9" i="8"/>
  <c r="F212" i="89" s="1"/>
  <c r="Q21" i="6"/>
  <c r="Q20" i="6" s="1"/>
  <c r="N32" i="34"/>
  <c r="J6" i="91" s="1"/>
  <c r="J7" i="91" s="1"/>
  <c r="J9" i="91" s="1"/>
  <c r="J12" i="91" s="1"/>
  <c r="P85" i="34" l="1"/>
  <c r="W53" i="34"/>
  <c r="AB53" i="34" s="1"/>
  <c r="F283" i="89"/>
  <c r="W49" i="34"/>
  <c r="AB49" i="34" s="1"/>
  <c r="Q22" i="5"/>
  <c r="G120" i="89" s="1"/>
  <c r="P8" i="8"/>
  <c r="F211" i="89" s="1"/>
  <c r="P50" i="34"/>
  <c r="P51" i="34" s="1"/>
  <c r="G58" i="89"/>
  <c r="G192" i="89"/>
  <c r="D267" i="89"/>
  <c r="Q9" i="6"/>
  <c r="P86" i="34" l="1"/>
  <c r="W51" i="34"/>
  <c r="AB51" i="34" s="1"/>
  <c r="P61" i="34"/>
  <c r="K5" i="91"/>
  <c r="Q23" i="5"/>
  <c r="G121" i="89" s="1"/>
  <c r="P19" i="3"/>
  <c r="G12" i="89" s="1"/>
  <c r="Q19" i="5"/>
  <c r="G117" i="89" s="1"/>
  <c r="F284" i="89"/>
  <c r="P67" i="34"/>
  <c r="P62" i="34" s="1"/>
  <c r="Q71" i="34"/>
  <c r="L302" i="89"/>
  <c r="L303" i="89" s="1"/>
  <c r="L304" i="89" s="1"/>
  <c r="P28" i="34"/>
  <c r="F263" i="89" s="1"/>
  <c r="E128" i="88"/>
  <c r="F130" i="88" s="1"/>
  <c r="Q75" i="34" s="1"/>
  <c r="F285" i="89"/>
  <c r="F286" i="89" s="1"/>
  <c r="Q10" i="6"/>
  <c r="Q8" i="6"/>
  <c r="G41" i="89" s="1"/>
  <c r="P60" i="34" l="1"/>
  <c r="P77" i="34" s="1"/>
  <c r="P80" i="34" s="1"/>
  <c r="Q78" i="34" s="1"/>
  <c r="P20" i="3"/>
  <c r="G13" i="89" s="1"/>
  <c r="Q9" i="5"/>
  <c r="Q10" i="5" s="1"/>
  <c r="Q14" i="5" s="1"/>
  <c r="P25" i="34"/>
  <c r="F260" i="89" s="1"/>
  <c r="Q12" i="3"/>
  <c r="Q42" i="34" s="1"/>
  <c r="P15" i="34" l="1"/>
  <c r="F250" i="89" s="1"/>
  <c r="P23" i="3"/>
  <c r="G16" i="89" s="1"/>
  <c r="G36" i="89"/>
  <c r="G55" i="89"/>
  <c r="G56" i="89" s="1"/>
  <c r="G59" i="89" s="1"/>
  <c r="Q8" i="5"/>
  <c r="G35" i="89" s="1"/>
  <c r="G39" i="89" s="1"/>
  <c r="G40" i="89" s="1"/>
  <c r="D299" i="89"/>
  <c r="D301" i="89" s="1"/>
  <c r="P31" i="34"/>
  <c r="F266" i="89" s="1"/>
  <c r="G276" i="89"/>
  <c r="M295" i="89"/>
  <c r="P14" i="34" l="1"/>
  <c r="P24" i="34" s="1"/>
  <c r="F259" i="89" s="1"/>
  <c r="D292" i="89"/>
  <c r="Q45" i="34"/>
  <c r="G279" i="89" s="1"/>
  <c r="G57" i="89"/>
  <c r="Q9" i="3"/>
  <c r="Q10" i="3" s="1"/>
  <c r="G42" i="89"/>
  <c r="G45" i="89" s="1"/>
  <c r="G46" i="89" s="1"/>
  <c r="D303" i="89"/>
  <c r="G62" i="89"/>
  <c r="G63" i="89" s="1"/>
  <c r="G60" i="89"/>
  <c r="D291" i="89" l="1"/>
  <c r="D298" i="89" s="1"/>
  <c r="D304" i="89" s="1"/>
  <c r="F249" i="89"/>
  <c r="P32" i="34"/>
  <c r="F267" i="89" s="1"/>
  <c r="Q65" i="34"/>
  <c r="Q69" i="34" s="1"/>
  <c r="G43" i="89"/>
  <c r="Q34" i="8"/>
  <c r="Q18" i="8" s="1"/>
  <c r="Q40" i="34"/>
  <c r="Q13" i="3"/>
  <c r="Q11" i="3"/>
  <c r="D294" i="89" l="1"/>
  <c r="P33" i="34"/>
  <c r="K6" i="91"/>
  <c r="K7" i="91" s="1"/>
  <c r="K9" i="91" s="1"/>
  <c r="K12" i="91" s="1"/>
  <c r="Q41" i="34"/>
  <c r="Q43" i="34" s="1"/>
  <c r="X43" i="34" s="1"/>
  <c r="X40" i="34"/>
  <c r="M292" i="89"/>
  <c r="M293" i="89" s="1"/>
  <c r="M294" i="89" s="1"/>
  <c r="G273" i="89"/>
  <c r="Q22" i="8"/>
  <c r="Q26" i="34" s="1"/>
  <c r="Q25" i="8"/>
  <c r="Q27" i="34" s="1"/>
  <c r="G262" i="89" s="1"/>
  <c r="G215" i="89"/>
  <c r="Q17" i="34"/>
  <c r="E293" i="89" s="1"/>
  <c r="R5" i="3"/>
  <c r="H6" i="89"/>
  <c r="R394" i="2"/>
  <c r="R358" i="2"/>
  <c r="Q10" i="8"/>
  <c r="R275" i="2"/>
  <c r="R130" i="5" s="1"/>
  <c r="H181" i="89" s="1"/>
  <c r="Q14" i="3"/>
  <c r="H7" i="89" s="1"/>
  <c r="Q15" i="3"/>
  <c r="H8" i="89" s="1"/>
  <c r="G274" i="89" l="1"/>
  <c r="G275" i="89" s="1"/>
  <c r="X41" i="34"/>
  <c r="Q84" i="34"/>
  <c r="G217" i="89"/>
  <c r="M296" i="89"/>
  <c r="M297" i="89" s="1"/>
  <c r="G218" i="89"/>
  <c r="G277" i="89"/>
  <c r="Q53" i="34"/>
  <c r="Q21" i="8"/>
  <c r="G216" i="89" s="1"/>
  <c r="Q45" i="8"/>
  <c r="Q44" i="8" s="1"/>
  <c r="Q47" i="34" s="1"/>
  <c r="G281" i="89" s="1"/>
  <c r="Q74" i="34"/>
  <c r="Q73" i="34" s="1"/>
  <c r="G261" i="89"/>
  <c r="E300" i="89"/>
  <c r="G252" i="89"/>
  <c r="G213" i="89"/>
  <c r="Q63" i="34"/>
  <c r="R43" i="6"/>
  <c r="R42" i="6" s="1"/>
  <c r="R36" i="6" s="1"/>
  <c r="H198" i="89" s="1"/>
  <c r="R33" i="6"/>
  <c r="R32" i="6" s="1"/>
  <c r="R28" i="6" s="1"/>
  <c r="H194" i="89" s="1"/>
  <c r="R129" i="5"/>
  <c r="H180" i="89" s="1"/>
  <c r="Q16" i="3"/>
  <c r="H9" i="89" s="1"/>
  <c r="Q85" i="34" l="1"/>
  <c r="X53" i="34"/>
  <c r="M299" i="89"/>
  <c r="M300" i="89" s="1"/>
  <c r="Q9" i="8"/>
  <c r="G212" i="89" s="1"/>
  <c r="Q66" i="34"/>
  <c r="Q70" i="34" s="1"/>
  <c r="Q44" i="34"/>
  <c r="R27" i="6"/>
  <c r="R122" i="5"/>
  <c r="H176" i="89" s="1"/>
  <c r="G278" i="89" l="1"/>
  <c r="Q8" i="8"/>
  <c r="G211" i="89" s="1"/>
  <c r="Q49" i="34"/>
  <c r="M301" i="89"/>
  <c r="R21" i="6"/>
  <c r="R20" i="6" s="1"/>
  <c r="R9" i="6" s="1"/>
  <c r="R10" i="6" s="1"/>
  <c r="H193" i="89"/>
  <c r="R22" i="5"/>
  <c r="H120" i="89" s="1"/>
  <c r="G283" i="89" l="1"/>
  <c r="X49" i="34"/>
  <c r="Q19" i="3"/>
  <c r="H12" i="89" s="1"/>
  <c r="Q50" i="34"/>
  <c r="M302" i="89" s="1"/>
  <c r="M303" i="89" s="1"/>
  <c r="M304" i="89" s="1"/>
  <c r="H58" i="89"/>
  <c r="H192" i="89"/>
  <c r="R8" i="6"/>
  <c r="H41" i="89" s="1"/>
  <c r="R19" i="5"/>
  <c r="H117" i="89" s="1"/>
  <c r="R23" i="5"/>
  <c r="H121" i="89" s="1"/>
  <c r="Q20" i="3" l="1"/>
  <c r="H13" i="89" s="1"/>
  <c r="Q28" i="34"/>
  <c r="G263" i="89" s="1"/>
  <c r="R71" i="34"/>
  <c r="Q67" i="34"/>
  <c r="Q62" i="34" s="1"/>
  <c r="G284" i="89"/>
  <c r="Q51" i="34"/>
  <c r="X51" i="34" s="1"/>
  <c r="R12" i="3"/>
  <c r="R42" i="34" s="1"/>
  <c r="R9" i="5"/>
  <c r="Q61" i="34" l="1"/>
  <c r="Q60" i="34" s="1"/>
  <c r="Q77" i="34" s="1"/>
  <c r="Q80" i="34" s="1"/>
  <c r="Q15" i="34" s="1"/>
  <c r="G250" i="89" s="1"/>
  <c r="Q86" i="34"/>
  <c r="Q23" i="3"/>
  <c r="H16" i="89" s="1"/>
  <c r="Q25" i="34"/>
  <c r="G260" i="89" s="1"/>
  <c r="G285" i="89"/>
  <c r="G286" i="89" s="1"/>
  <c r="F128" i="88"/>
  <c r="G130" i="88" s="1"/>
  <c r="R75" i="34" s="1"/>
  <c r="L5" i="91"/>
  <c r="H276" i="89"/>
  <c r="N295" i="89"/>
  <c r="H55" i="89"/>
  <c r="H56" i="89" s="1"/>
  <c r="H36" i="89"/>
  <c r="G155" i="88"/>
  <c r="G180" i="88" s="1"/>
  <c r="R10" i="5"/>
  <c r="R14" i="5" s="1"/>
  <c r="R8" i="5"/>
  <c r="H35" i="89" s="1"/>
  <c r="H39" i="89" s="1"/>
  <c r="Q31" i="34" l="1"/>
  <c r="G266" i="89" s="1"/>
  <c r="Q14" i="34"/>
  <c r="G249" i="89" s="1"/>
  <c r="R45" i="34"/>
  <c r="H279" i="89" s="1"/>
  <c r="E299" i="89"/>
  <c r="E301" i="89" s="1"/>
  <c r="R78" i="34"/>
  <c r="E292" i="89"/>
  <c r="H40" i="89"/>
  <c r="H42" i="89"/>
  <c r="H59" i="89"/>
  <c r="H57" i="89"/>
  <c r="R9" i="3"/>
  <c r="E303" i="89" l="1"/>
  <c r="R65" i="34"/>
  <c r="R69" i="34" s="1"/>
  <c r="E291" i="89"/>
  <c r="E294" i="89" s="1"/>
  <c r="Q24" i="34"/>
  <c r="G259" i="89" s="1"/>
  <c r="H43" i="89"/>
  <c r="H60" i="89"/>
  <c r="R10" i="3"/>
  <c r="R40" i="34"/>
  <c r="Y40" i="34" s="1"/>
  <c r="R34" i="8"/>
  <c r="Q32" i="34" l="1"/>
  <c r="L6" i="91" s="1"/>
  <c r="E298" i="89"/>
  <c r="E304" i="89" s="1"/>
  <c r="H273" i="89"/>
  <c r="N292" i="89"/>
  <c r="N293" i="89" s="1"/>
  <c r="R22" i="8"/>
  <c r="R25" i="8"/>
  <c r="R18" i="8"/>
  <c r="R41" i="34"/>
  <c r="R11" i="3"/>
  <c r="R13" i="3"/>
  <c r="H274" i="89" l="1"/>
  <c r="H275" i="89" s="1"/>
  <c r="Y41" i="34"/>
  <c r="Q33" i="34"/>
  <c r="G267" i="89"/>
  <c r="L7" i="91"/>
  <c r="L9" i="91" s="1"/>
  <c r="L12" i="91" s="1"/>
  <c r="N296" i="89"/>
  <c r="N294" i="89"/>
  <c r="H217" i="89"/>
  <c r="R26" i="34"/>
  <c r="H261" i="89" s="1"/>
  <c r="H215" i="89"/>
  <c r="R17" i="34"/>
  <c r="F293" i="89" s="1"/>
  <c r="H218" i="89"/>
  <c r="R27" i="34"/>
  <c r="S5" i="3"/>
  <c r="I6" i="89"/>
  <c r="S394" i="2"/>
  <c r="S358" i="2"/>
  <c r="R10" i="8"/>
  <c r="R45" i="8"/>
  <c r="R44" i="8" s="1"/>
  <c r="R47" i="34" s="1"/>
  <c r="H281" i="89" s="1"/>
  <c r="R74" i="34"/>
  <c r="R73" i="34" s="1"/>
  <c r="R21" i="8"/>
  <c r="H216" i="89" s="1"/>
  <c r="R43" i="34"/>
  <c r="Y43" i="34" s="1"/>
  <c r="R14" i="3"/>
  <c r="I7" i="89" s="1"/>
  <c r="S275" i="2"/>
  <c r="S130" i="5" s="1"/>
  <c r="I181" i="89" s="1"/>
  <c r="R15" i="3"/>
  <c r="I8" i="89" s="1"/>
  <c r="R84" i="34" l="1"/>
  <c r="H277" i="89"/>
  <c r="F300" i="89"/>
  <c r="N297" i="89"/>
  <c r="H262" i="89"/>
  <c r="H252" i="89"/>
  <c r="H213" i="89"/>
  <c r="R63" i="34"/>
  <c r="S43" i="6"/>
  <c r="S42" i="6" s="1"/>
  <c r="S36" i="6" s="1"/>
  <c r="I198" i="89" s="1"/>
  <c r="S33" i="6"/>
  <c r="S32" i="6" s="1"/>
  <c r="S28" i="6" s="1"/>
  <c r="I194" i="89" s="1"/>
  <c r="R66" i="34"/>
  <c r="R70" i="34" s="1"/>
  <c r="R44" i="34"/>
  <c r="S129" i="5"/>
  <c r="I180" i="89" s="1"/>
  <c r="R9" i="8"/>
  <c r="H212" i="89" s="1"/>
  <c r="R16" i="3"/>
  <c r="I9" i="89" s="1"/>
  <c r="N301" i="89" l="1"/>
  <c r="R49" i="34"/>
  <c r="H278" i="89"/>
  <c r="S27" i="6"/>
  <c r="I193" i="89" s="1"/>
  <c r="R8" i="8"/>
  <c r="H211" i="89" s="1"/>
  <c r="S122" i="5"/>
  <c r="I176" i="89" s="1"/>
  <c r="Q38" i="7"/>
  <c r="Q82" i="7"/>
  <c r="H283" i="89" l="1"/>
  <c r="Y49" i="34"/>
  <c r="R50" i="34"/>
  <c r="S21" i="6"/>
  <c r="R19" i="3"/>
  <c r="I12" i="89" s="1"/>
  <c r="S22" i="5"/>
  <c r="I120" i="89" s="1"/>
  <c r="Q79" i="7"/>
  <c r="R43" i="7"/>
  <c r="R82" i="7"/>
  <c r="S43" i="7" s="1"/>
  <c r="H284" i="89" l="1"/>
  <c r="N302" i="89"/>
  <c r="N303" i="89" s="1"/>
  <c r="N304" i="89" s="1"/>
  <c r="R67" i="34"/>
  <c r="R28" i="34"/>
  <c r="H263" i="89" s="1"/>
  <c r="S71" i="34"/>
  <c r="R51" i="34"/>
  <c r="S23" i="5"/>
  <c r="I121" i="89" s="1"/>
  <c r="R38" i="7"/>
  <c r="H61" i="89" s="1"/>
  <c r="H62" i="89" s="1"/>
  <c r="H63" i="89" s="1"/>
  <c r="R79" i="7"/>
  <c r="S82" i="7"/>
  <c r="T43" i="7" s="1"/>
  <c r="R86" i="34" l="1"/>
  <c r="Y51" i="34"/>
  <c r="H285" i="89"/>
  <c r="H286" i="89" s="1"/>
  <c r="M5" i="91"/>
  <c r="R25" i="34"/>
  <c r="R61" i="34"/>
  <c r="G128" i="88"/>
  <c r="H130" i="88" s="1"/>
  <c r="F274" i="88" s="1"/>
  <c r="R73" i="7"/>
  <c r="R20" i="34" s="1"/>
  <c r="S173" i="5"/>
  <c r="T82" i="7"/>
  <c r="T79" i="7" s="1"/>
  <c r="S79" i="7"/>
  <c r="R37" i="7" l="1"/>
  <c r="H44" i="89" s="1"/>
  <c r="H45" i="89" s="1"/>
  <c r="H46" i="89" s="1"/>
  <c r="S20" i="34"/>
  <c r="F296" i="89"/>
  <c r="H255" i="89"/>
  <c r="H260" i="89"/>
  <c r="F299" i="89"/>
  <c r="G156" i="88"/>
  <c r="G181" i="88" s="1"/>
  <c r="R31" i="34"/>
  <c r="H266" i="89" s="1"/>
  <c r="H155" i="88"/>
  <c r="H180" i="88" s="1"/>
  <c r="S75" i="34"/>
  <c r="R17" i="3"/>
  <c r="R64" i="34"/>
  <c r="N298" i="89" s="1"/>
  <c r="N299" i="89" s="1"/>
  <c r="N300" i="89" s="1"/>
  <c r="R78" i="7"/>
  <c r="S61" i="6"/>
  <c r="S59" i="6" s="1"/>
  <c r="I206" i="89" s="1"/>
  <c r="T173" i="5"/>
  <c r="S171" i="5"/>
  <c r="I187" i="89" s="1"/>
  <c r="I10" i="89" l="1"/>
  <c r="R52" i="34"/>
  <c r="R53" i="34" s="1"/>
  <c r="I255" i="89"/>
  <c r="T20" i="34"/>
  <c r="G296" i="89"/>
  <c r="F301" i="89"/>
  <c r="F303" i="89"/>
  <c r="T61" i="6"/>
  <c r="T59" i="6" s="1"/>
  <c r="J206" i="89" s="1"/>
  <c r="K206" i="89" s="1"/>
  <c r="T171" i="5"/>
  <c r="J187" i="89" s="1"/>
  <c r="K187" i="89" s="1"/>
  <c r="S23" i="6"/>
  <c r="S20" i="6" s="1"/>
  <c r="R62" i="34"/>
  <c r="R60" i="34" s="1"/>
  <c r="R77" i="34" s="1"/>
  <c r="R80" i="34" s="1"/>
  <c r="S78" i="7"/>
  <c r="R99" i="7"/>
  <c r="R20" i="3"/>
  <c r="I13" i="89" s="1"/>
  <c r="S134" i="5"/>
  <c r="I182" i="89" s="1"/>
  <c r="R85" i="34" l="1"/>
  <c r="Y53" i="34"/>
  <c r="H296" i="89"/>
  <c r="J255" i="89"/>
  <c r="I192" i="89"/>
  <c r="I58" i="89"/>
  <c r="R19" i="34"/>
  <c r="T78" i="7"/>
  <c r="T99" i="7" s="1"/>
  <c r="S99" i="7"/>
  <c r="S78" i="34"/>
  <c r="R15" i="34"/>
  <c r="S24" i="5"/>
  <c r="I122" i="89" s="1"/>
  <c r="S9" i="6"/>
  <c r="R23" i="3"/>
  <c r="I16" i="89" s="1"/>
  <c r="T134" i="5"/>
  <c r="J182" i="89" s="1"/>
  <c r="K182" i="89" s="1"/>
  <c r="T23" i="6"/>
  <c r="H254" i="89" l="1"/>
  <c r="F295" i="89"/>
  <c r="F297" i="89" s="1"/>
  <c r="H250" i="89"/>
  <c r="F292" i="89"/>
  <c r="S45" i="34"/>
  <c r="I279" i="89" s="1"/>
  <c r="R14" i="34"/>
  <c r="S19" i="34"/>
  <c r="T19" i="34"/>
  <c r="S10" i="6"/>
  <c r="S8" i="6"/>
  <c r="I41" i="89" s="1"/>
  <c r="S25" i="5"/>
  <c r="I123" i="89" s="1"/>
  <c r="S19" i="5"/>
  <c r="I117" i="89" s="1"/>
  <c r="T24" i="5"/>
  <c r="J122" i="89" s="1"/>
  <c r="K122" i="89" s="1"/>
  <c r="I254" i="89" l="1"/>
  <c r="G295" i="89"/>
  <c r="G297" i="89" s="1"/>
  <c r="J254" i="89"/>
  <c r="H295" i="89"/>
  <c r="H297" i="89" s="1"/>
  <c r="H249" i="89"/>
  <c r="F291" i="89"/>
  <c r="F298" i="89" s="1"/>
  <c r="F304" i="89" s="1"/>
  <c r="R24" i="34"/>
  <c r="H259" i="89" s="1"/>
  <c r="S12" i="3"/>
  <c r="S42" i="34" s="1"/>
  <c r="S65" i="34"/>
  <c r="S69" i="34" s="1"/>
  <c r="T25" i="5"/>
  <c r="S9" i="5"/>
  <c r="J123" i="89" l="1"/>
  <c r="K123" i="89" s="1"/>
  <c r="V25" i="5"/>
  <c r="I276" i="89"/>
  <c r="O295" i="89"/>
  <c r="F294" i="89"/>
  <c r="I55" i="89"/>
  <c r="I56" i="89" s="1"/>
  <c r="I36" i="89"/>
  <c r="R32" i="34"/>
  <c r="S10" i="5"/>
  <c r="S14" i="5" s="1"/>
  <c r="S8" i="5"/>
  <c r="I35" i="89" s="1"/>
  <c r="I39" i="89" s="1"/>
  <c r="M6" i="91" l="1"/>
  <c r="M7" i="91" s="1"/>
  <c r="M9" i="91" s="1"/>
  <c r="M12" i="91" s="1"/>
  <c r="H267" i="89"/>
  <c r="I40" i="89"/>
  <c r="I42" i="89"/>
  <c r="I57" i="89"/>
  <c r="I59" i="89"/>
  <c r="R33" i="34"/>
  <c r="S9" i="3"/>
  <c r="I60" i="89" l="1"/>
  <c r="I62" i="89"/>
  <c r="I63" i="89" s="1"/>
  <c r="I43" i="89"/>
  <c r="I45" i="89"/>
  <c r="I46" i="89" s="1"/>
  <c r="S40" i="34"/>
  <c r="Z40" i="34" s="1"/>
  <c r="AC40" i="34" s="1"/>
  <c r="S10" i="3"/>
  <c r="S34" i="8"/>
  <c r="I273" i="89" l="1"/>
  <c r="O292" i="89"/>
  <c r="O293" i="89" s="1"/>
  <c r="S41" i="34"/>
  <c r="S11" i="3"/>
  <c r="S13" i="3"/>
  <c r="S22" i="8"/>
  <c r="S25" i="8"/>
  <c r="S18" i="8"/>
  <c r="I274" i="89" l="1"/>
  <c r="I275" i="89" s="1"/>
  <c r="Z41" i="34"/>
  <c r="AC41" i="34" s="1"/>
  <c r="O296" i="89"/>
  <c r="O294" i="89"/>
  <c r="I218" i="89"/>
  <c r="S27" i="34"/>
  <c r="I262" i="89" s="1"/>
  <c r="I217" i="89"/>
  <c r="S26" i="34"/>
  <c r="I215" i="89"/>
  <c r="S17" i="34"/>
  <c r="G293" i="89" s="1"/>
  <c r="T5" i="3"/>
  <c r="J6" i="89"/>
  <c r="T394" i="2"/>
  <c r="T275" i="2"/>
  <c r="T130" i="5" s="1"/>
  <c r="V130" i="5" s="1"/>
  <c r="T358" i="2"/>
  <c r="S10" i="8"/>
  <c r="S45" i="8"/>
  <c r="S44" i="8" s="1"/>
  <c r="S47" i="34" s="1"/>
  <c r="I281" i="89" s="1"/>
  <c r="S74" i="34"/>
  <c r="S73" i="34" s="1"/>
  <c r="S21" i="8"/>
  <c r="I216" i="89" s="1"/>
  <c r="S14" i="3"/>
  <c r="J7" i="89" s="1"/>
  <c r="S15" i="3"/>
  <c r="J8" i="89" s="1"/>
  <c r="S43" i="34"/>
  <c r="Z43" i="34" s="1"/>
  <c r="AC43" i="34" s="1"/>
  <c r="S84" i="34" l="1"/>
  <c r="I277" i="89"/>
  <c r="S53" i="34"/>
  <c r="I261" i="89"/>
  <c r="G300" i="89"/>
  <c r="O299" i="89"/>
  <c r="O300" i="89" s="1"/>
  <c r="O297" i="89"/>
  <c r="I252" i="89"/>
  <c r="I213" i="89"/>
  <c r="S63" i="34"/>
  <c r="T129" i="5"/>
  <c r="J180" i="89" s="1"/>
  <c r="K180" i="89" s="1"/>
  <c r="J181" i="89"/>
  <c r="K181" i="89" s="1"/>
  <c r="T43" i="6"/>
  <c r="T33" i="6"/>
  <c r="S16" i="3"/>
  <c r="J9" i="89" s="1"/>
  <c r="S66" i="34"/>
  <c r="S70" i="34" s="1"/>
  <c r="S44" i="34"/>
  <c r="S9" i="8"/>
  <c r="I212" i="89" s="1"/>
  <c r="T42" i="6" l="1"/>
  <c r="T36" i="6" s="1"/>
  <c r="J198" i="89" s="1"/>
  <c r="K198" i="89" s="1"/>
  <c r="V43" i="6"/>
  <c r="S85" i="34"/>
  <c r="Z53" i="34"/>
  <c r="AC53" i="34" s="1"/>
  <c r="T32" i="6"/>
  <c r="T28" i="6" s="1"/>
  <c r="J194" i="89" s="1"/>
  <c r="O301" i="89"/>
  <c r="T122" i="5"/>
  <c r="J176" i="89" s="1"/>
  <c r="K176" i="89" s="1"/>
  <c r="S49" i="34"/>
  <c r="I278" i="89"/>
  <c r="S8" i="8"/>
  <c r="I211" i="89" s="1"/>
  <c r="T27" i="6" l="1"/>
  <c r="T21" i="6" s="1"/>
  <c r="T20" i="6" s="1"/>
  <c r="T9" i="6" s="1"/>
  <c r="I283" i="89"/>
  <c r="Z49" i="34"/>
  <c r="AC49" i="34" s="1"/>
  <c r="S50" i="34"/>
  <c r="T22" i="5"/>
  <c r="J120" i="89" s="1"/>
  <c r="K120" i="89" s="1"/>
  <c r="S19" i="3"/>
  <c r="J12" i="89" s="1"/>
  <c r="J193" i="89" l="1"/>
  <c r="I284" i="89"/>
  <c r="O302" i="89"/>
  <c r="O303" i="89" s="1"/>
  <c r="O304" i="89" s="1"/>
  <c r="T19" i="5"/>
  <c r="J117" i="89" s="1"/>
  <c r="K117" i="89" s="1"/>
  <c r="T71" i="34"/>
  <c r="S28" i="34"/>
  <c r="I263" i="89" s="1"/>
  <c r="S67" i="34"/>
  <c r="S62" i="34" s="1"/>
  <c r="S51" i="34"/>
  <c r="T23" i="5"/>
  <c r="J192" i="89"/>
  <c r="J58" i="89"/>
  <c r="T8" i="6"/>
  <c r="J41" i="89" s="1"/>
  <c r="K41" i="89" s="1"/>
  <c r="T10" i="6"/>
  <c r="V10" i="6" s="1"/>
  <c r="S20" i="3"/>
  <c r="J13" i="89" s="1"/>
  <c r="J121" i="89" l="1"/>
  <c r="K121" i="89" s="1"/>
  <c r="V23" i="5"/>
  <c r="S86" i="34"/>
  <c r="Z51" i="34"/>
  <c r="AC51" i="34" s="1"/>
  <c r="I285" i="89"/>
  <c r="I286" i="89" s="1"/>
  <c r="N5" i="91"/>
  <c r="T9" i="5"/>
  <c r="J36" i="89" s="1"/>
  <c r="K36" i="89" s="1"/>
  <c r="H128" i="88"/>
  <c r="I130" i="88" s="1"/>
  <c r="S61" i="34"/>
  <c r="S60" i="34" s="1"/>
  <c r="S77" i="34" s="1"/>
  <c r="S80" i="34" s="1"/>
  <c r="S15" i="34" s="1"/>
  <c r="S25" i="34"/>
  <c r="T12" i="3"/>
  <c r="S23" i="3"/>
  <c r="J16" i="89" s="1"/>
  <c r="T10" i="5" l="1"/>
  <c r="I250" i="89"/>
  <c r="G292" i="89"/>
  <c r="I260" i="89"/>
  <c r="G299" i="89"/>
  <c r="T8" i="5"/>
  <c r="J35" i="89" s="1"/>
  <c r="J39" i="89" s="1"/>
  <c r="J55" i="89"/>
  <c r="J56" i="89" s="1"/>
  <c r="S31" i="34"/>
  <c r="I266" i="89" s="1"/>
  <c r="T78" i="34"/>
  <c r="I156" i="88"/>
  <c r="I181" i="88" s="1"/>
  <c r="T75" i="34"/>
  <c r="F286" i="88"/>
  <c r="T42" i="34"/>
  <c r="U12" i="3"/>
  <c r="T45" i="34"/>
  <c r="J279" i="89" s="1"/>
  <c r="S14" i="34"/>
  <c r="T14" i="5" l="1"/>
  <c r="V10" i="5"/>
  <c r="I155" i="88"/>
  <c r="I180" i="88" s="1"/>
  <c r="AH17" i="88"/>
  <c r="K55" i="89"/>
  <c r="J276" i="89"/>
  <c r="P295" i="89"/>
  <c r="I249" i="89"/>
  <c r="G291" i="89"/>
  <c r="G301" i="89"/>
  <c r="G303" i="89"/>
  <c r="K35" i="89"/>
  <c r="T9" i="3"/>
  <c r="T40" i="34" s="1"/>
  <c r="AA40" i="34" s="1"/>
  <c r="J59" i="89"/>
  <c r="J57" i="89"/>
  <c r="K57" i="89" s="1"/>
  <c r="K56" i="89"/>
  <c r="J42" i="89"/>
  <c r="J40" i="89"/>
  <c r="K40" i="89" s="1"/>
  <c r="K39" i="89"/>
  <c r="S24" i="34"/>
  <c r="I259" i="89" s="1"/>
  <c r="T65" i="34"/>
  <c r="T69" i="34" s="1"/>
  <c r="T34" i="8" l="1"/>
  <c r="T22" i="8" s="1"/>
  <c r="J273" i="89"/>
  <c r="P292" i="89"/>
  <c r="P293" i="89" s="1"/>
  <c r="U9" i="3"/>
  <c r="U10" i="3" s="1"/>
  <c r="G294" i="89"/>
  <c r="G298" i="89"/>
  <c r="G304" i="89" s="1"/>
  <c r="T10" i="3"/>
  <c r="T13" i="3" s="1"/>
  <c r="U5" i="3" s="1"/>
  <c r="K42" i="89"/>
  <c r="J45" i="89"/>
  <c r="J43" i="89"/>
  <c r="K43" i="89" s="1"/>
  <c r="J62" i="89"/>
  <c r="J60" i="89"/>
  <c r="T41" i="34"/>
  <c r="S32" i="34"/>
  <c r="J274" i="89" l="1"/>
  <c r="J275" i="89" s="1"/>
  <c r="AA41" i="34"/>
  <c r="N6" i="91"/>
  <c r="I267" i="89"/>
  <c r="T18" i="8"/>
  <c r="J215" i="89" s="1"/>
  <c r="K215" i="89" s="1"/>
  <c r="T25" i="8"/>
  <c r="J218" i="89" s="1"/>
  <c r="K218" i="89" s="1"/>
  <c r="U34" i="8"/>
  <c r="U22" i="8" s="1"/>
  <c r="T11" i="3"/>
  <c r="P296" i="89"/>
  <c r="P294" i="89"/>
  <c r="J217" i="89"/>
  <c r="K217" i="89" s="1"/>
  <c r="T26" i="34"/>
  <c r="K6" i="89"/>
  <c r="J63" i="89"/>
  <c r="J46" i="89"/>
  <c r="K46" i="89" s="1"/>
  <c r="K45" i="89"/>
  <c r="T43" i="34"/>
  <c r="AA43" i="34" s="1"/>
  <c r="T14" i="3"/>
  <c r="K7" i="89" s="1"/>
  <c r="T15" i="3"/>
  <c r="K8" i="89" s="1"/>
  <c r="U13" i="3"/>
  <c r="L6" i="89" s="1"/>
  <c r="U11" i="3"/>
  <c r="S33" i="34"/>
  <c r="T84" i="34" l="1"/>
  <c r="W84" i="34" s="1"/>
  <c r="J277" i="89"/>
  <c r="T53" i="34"/>
  <c r="T10" i="8"/>
  <c r="J213" i="89" s="1"/>
  <c r="K213" i="89" s="1"/>
  <c r="T74" i="34"/>
  <c r="T73" i="34" s="1"/>
  <c r="T45" i="8"/>
  <c r="T44" i="8" s="1"/>
  <c r="T47" i="34" s="1"/>
  <c r="J281" i="89" s="1"/>
  <c r="T17" i="34"/>
  <c r="H293" i="89" s="1"/>
  <c r="N7" i="91"/>
  <c r="N9" i="91" s="1"/>
  <c r="N12" i="91" s="1"/>
  <c r="T21" i="8"/>
  <c r="J216" i="89" s="1"/>
  <c r="K216" i="89" s="1"/>
  <c r="U25" i="8"/>
  <c r="U45" i="8" s="1"/>
  <c r="U44" i="8" s="1"/>
  <c r="T27" i="34"/>
  <c r="J262" i="89" s="1"/>
  <c r="U18" i="8"/>
  <c r="U10" i="8" s="1"/>
  <c r="P297" i="89"/>
  <c r="P299" i="89"/>
  <c r="P300" i="89" s="1"/>
  <c r="J261" i="89"/>
  <c r="T16" i="3"/>
  <c r="K9" i="89" s="1"/>
  <c r="U15" i="3"/>
  <c r="L8" i="89" s="1"/>
  <c r="U14" i="3"/>
  <c r="L7" i="89" s="1"/>
  <c r="T85" i="34" l="1"/>
  <c r="W85" i="34" s="1"/>
  <c r="Y85" i="34" s="1"/>
  <c r="AA53" i="34"/>
  <c r="Y84" i="34"/>
  <c r="X84" i="34"/>
  <c r="T63" i="34"/>
  <c r="J252" i="89"/>
  <c r="T44" i="34"/>
  <c r="T66" i="34"/>
  <c r="T70" i="34" s="1"/>
  <c r="U21" i="8"/>
  <c r="U9" i="8" s="1"/>
  <c r="U8" i="8" s="1"/>
  <c r="U19" i="3" s="1"/>
  <c r="L12" i="89" s="1"/>
  <c r="T9" i="8"/>
  <c r="J212" i="89" s="1"/>
  <c r="K212" i="89" s="1"/>
  <c r="H300" i="89"/>
  <c r="U16" i="3"/>
  <c r="L9" i="89" s="1"/>
  <c r="X85" i="34" l="1"/>
  <c r="J278" i="89"/>
  <c r="P301" i="89"/>
  <c r="T49" i="34"/>
  <c r="T8" i="8"/>
  <c r="J211" i="89" s="1"/>
  <c r="K211" i="89" s="1"/>
  <c r="U20" i="3"/>
  <c r="J283" i="89" l="1"/>
  <c r="AA49" i="34"/>
  <c r="T19" i="3"/>
  <c r="K12" i="89" s="1"/>
  <c r="T50" i="34"/>
  <c r="P302" i="89" s="1"/>
  <c r="P303" i="89" s="1"/>
  <c r="P304" i="89" s="1"/>
  <c r="U23" i="3"/>
  <c r="L16" i="89" s="1"/>
  <c r="L13" i="89"/>
  <c r="T20" i="3" l="1"/>
  <c r="K13" i="89" s="1"/>
  <c r="T67" i="34"/>
  <c r="T62" i="34" s="1"/>
  <c r="T28" i="34"/>
  <c r="J263" i="89" s="1"/>
  <c r="J284" i="89"/>
  <c r="T51" i="34"/>
  <c r="AA51" i="34" s="1"/>
  <c r="N25" i="3"/>
  <c r="E18" i="89" s="1"/>
  <c r="T61" i="34" l="1"/>
  <c r="T60" i="34" s="1"/>
  <c r="T77" i="34" s="1"/>
  <c r="T80" i="34" s="1"/>
  <c r="T15" i="34" s="1"/>
  <c r="T14" i="34" s="1"/>
  <c r="T86" i="34"/>
  <c r="W86" i="34" s="1"/>
  <c r="T23" i="3"/>
  <c r="K16" i="89" s="1"/>
  <c r="T25" i="34"/>
  <c r="T31" i="34" s="1"/>
  <c r="J266" i="89" s="1"/>
  <c r="I128" i="88"/>
  <c r="J285" i="89"/>
  <c r="J286" i="89" s="1"/>
  <c r="O5" i="91"/>
  <c r="Y86" i="34" l="1"/>
  <c r="X86" i="34"/>
  <c r="H299" i="89"/>
  <c r="H301" i="89" s="1"/>
  <c r="N24" i="3"/>
  <c r="E17" i="89" s="1"/>
  <c r="J260" i="89"/>
  <c r="J130" i="88"/>
  <c r="J128" i="88"/>
  <c r="H292" i="89"/>
  <c r="J250" i="89"/>
  <c r="J249" i="89"/>
  <c r="H291" i="89"/>
  <c r="T24" i="34"/>
  <c r="J259" i="89" s="1"/>
  <c r="H303" i="89" l="1"/>
  <c r="N26" i="3"/>
  <c r="E19" i="89" s="1"/>
  <c r="K130" i="88"/>
  <c r="K128" i="88"/>
  <c r="E113" i="88"/>
  <c r="H294" i="89"/>
  <c r="H298" i="89"/>
  <c r="T32" i="34"/>
  <c r="O6" i="91" s="1"/>
  <c r="H304" i="89" l="1"/>
  <c r="G32" i="3"/>
  <c r="F21" i="89" s="1"/>
  <c r="E116" i="88"/>
  <c r="AH19" i="88"/>
  <c r="AH18" i="88" s="1"/>
  <c r="G313" i="88"/>
  <c r="K156" i="88" s="1"/>
  <c r="K181" i="88" s="1"/>
  <c r="G277" i="88"/>
  <c r="H156" i="88" s="1"/>
  <c r="H181" i="88" s="1"/>
  <c r="J267" i="89"/>
  <c r="O7" i="91"/>
  <c r="O9" i="91" s="1"/>
  <c r="P9" i="91" s="1"/>
  <c r="T33" i="34"/>
  <c r="G116" i="88" l="1"/>
  <c r="F116" i="88"/>
  <c r="G34" i="3"/>
  <c r="F23" i="89" s="1"/>
  <c r="O12" i="91"/>
  <c r="P12" i="91"/>
  <c r="G36" i="3" l="1"/>
  <c r="F25" i="89" s="1"/>
  <c r="J14" i="91"/>
  <c r="Y1" i="2" l="1"/>
  <c r="O32" i="3"/>
  <c r="O28" i="6"/>
  <c r="O33" i="6"/>
  <c r="V33" i="6" s="1"/>
  <c r="O27" i="6" l="1"/>
  <c r="E193" i="89" s="1"/>
  <c r="K193" i="89" s="1"/>
  <c r="E194" i="89"/>
  <c r="K194" i="89" s="1"/>
  <c r="O21" i="6"/>
  <c r="O20" i="6" s="1"/>
  <c r="E192" i="89" l="1"/>
  <c r="K192" i="89" s="1"/>
  <c r="E58" i="89"/>
  <c r="E59" i="89" l="1"/>
  <c r="K58" i="89"/>
  <c r="E60" i="89" l="1"/>
  <c r="K60" i="89" s="1"/>
  <c r="E62" i="89"/>
  <c r="K59" i="89"/>
  <c r="E63" i="89" l="1"/>
  <c r="K63" i="89" s="1"/>
  <c r="K62" i="89"/>
  <c r="M279" i="88"/>
  <c r="AE279" i="88" s="1"/>
  <c r="N279" i="88"/>
  <c r="AH279" i="88" s="1"/>
  <c r="O279" i="88"/>
  <c r="AB279" i="88" s="1"/>
  <c r="P477" i="2"/>
  <c r="Q477" i="2" s="1"/>
  <c r="R477" i="2" s="1"/>
  <c r="S477" i="2" s="1"/>
  <c r="Q253" i="88" l="1"/>
  <c r="M278" i="88"/>
  <c r="AE278" i="88" s="1"/>
  <c r="N278" i="88"/>
  <c r="AH278" i="88" s="1"/>
  <c r="O278" i="88"/>
  <c r="AB278" i="88" s="1"/>
  <c r="K194" i="88" l="1"/>
  <c r="F387" i="88"/>
  <c r="J184" i="88"/>
  <c r="J170" i="88"/>
  <c r="AH277" i="88"/>
  <c r="N277" i="88"/>
  <c r="AE247" i="88"/>
  <c r="M247" i="88"/>
  <c r="AB256" i="88"/>
  <c r="O256" i="88"/>
  <c r="K183" i="88"/>
  <c r="K182" i="88"/>
  <c r="K187" i="88"/>
  <c r="AH313" i="88"/>
  <c r="N313" i="88"/>
  <c r="F184" i="88"/>
  <c r="F170" i="88"/>
  <c r="AL280" i="88"/>
  <c r="V280" i="88"/>
  <c r="AD281" i="88"/>
  <c r="K166" i="88"/>
  <c r="AH274" i="88"/>
  <c r="N274" i="88"/>
  <c r="H161" i="88"/>
  <c r="I150" i="88"/>
  <c r="AB280" i="88"/>
  <c r="O280" i="88"/>
  <c r="AD309" i="88"/>
  <c r="V308" i="88"/>
  <c r="AL308" i="88"/>
  <c r="AH283" i="88"/>
  <c r="N283" i="88"/>
  <c r="Q244" i="88"/>
  <c r="AE265" i="88"/>
  <c r="M265" i="88"/>
  <c r="AB295" i="88"/>
  <c r="O295" i="88"/>
  <c r="AG263" i="88"/>
  <c r="AA263" i="88"/>
  <c r="AD280" i="88"/>
  <c r="V279" i="88"/>
  <c r="AL279" i="88"/>
  <c r="P267" i="88"/>
  <c r="E166" i="88"/>
  <c r="J193" i="88"/>
  <c r="E375" i="88"/>
  <c r="AB271" i="88"/>
  <c r="O271" i="88"/>
  <c r="I193" i="88"/>
  <c r="E363" i="88"/>
  <c r="AD256" i="88"/>
  <c r="V255" i="88"/>
  <c r="AL255" i="88"/>
  <c r="AB268" i="88"/>
  <c r="O268" i="88"/>
  <c r="F194" i="88"/>
  <c r="F327" i="88"/>
  <c r="L211" i="88"/>
  <c r="G223" i="88"/>
  <c r="G233" i="88"/>
  <c r="H193" i="88"/>
  <c r="E351" i="88"/>
  <c r="AB307" i="88"/>
  <c r="O307" i="88"/>
  <c r="AH268" i="88"/>
  <c r="N268" i="88"/>
  <c r="AA276" i="88"/>
  <c r="AG276" i="88"/>
  <c r="M289" i="88"/>
  <c r="AE289" i="88"/>
  <c r="J162" i="88"/>
  <c r="M298" i="88"/>
  <c r="AE298" i="88"/>
  <c r="P268" i="88"/>
  <c r="G176" i="88"/>
  <c r="G178" i="88"/>
  <c r="P285" i="88"/>
  <c r="AH307" i="88"/>
  <c r="N307" i="88"/>
  <c r="AG298" i="88"/>
  <c r="AA298" i="88"/>
  <c r="I199" i="88"/>
  <c r="I191" i="88"/>
  <c r="I192" i="88"/>
  <c r="D363" i="88"/>
  <c r="I171" i="88"/>
  <c r="I157" i="88"/>
  <c r="AE301" i="88"/>
  <c r="M301" i="88"/>
  <c r="D387" i="88"/>
  <c r="K192" i="88"/>
  <c r="K191" i="88"/>
  <c r="K199" i="88"/>
  <c r="AG268" i="88"/>
  <c r="AA268" i="88"/>
  <c r="N295" i="88"/>
  <c r="AH295" i="88"/>
  <c r="N247" i="88"/>
  <c r="AH247" i="88"/>
  <c r="AA294" i="88"/>
  <c r="AG294" i="88"/>
  <c r="P251" i="88"/>
  <c r="K160" i="88"/>
  <c r="K157" i="88"/>
  <c r="K171" i="88"/>
  <c r="AB259" i="88"/>
  <c r="O259" i="88"/>
  <c r="P252" i="88"/>
  <c r="AD255" i="88"/>
  <c r="V254" i="88"/>
  <c r="AL254" i="88"/>
  <c r="AG253" i="88"/>
  <c r="AA253" i="88"/>
  <c r="AL251" i="88"/>
  <c r="V251" i="88"/>
  <c r="AD252" i="88"/>
  <c r="AG244" i="88"/>
  <c r="AA244" i="88"/>
  <c r="AG306" i="88"/>
  <c r="AA306" i="88"/>
  <c r="E331" i="88"/>
  <c r="D331" i="88"/>
  <c r="F331" i="88"/>
  <c r="S252" i="88"/>
  <c r="AK252" i="88"/>
  <c r="C331" i="88"/>
  <c r="G331" i="88"/>
  <c r="E372" i="88"/>
  <c r="G372" i="88"/>
  <c r="D372" i="88"/>
  <c r="S293" i="88"/>
  <c r="AK293" i="88"/>
  <c r="C372" i="88"/>
  <c r="F372" i="88"/>
  <c r="P246" i="88"/>
  <c r="AD299" i="88"/>
  <c r="V298" i="88"/>
  <c r="AL298" i="88"/>
  <c r="AA290" i="88"/>
  <c r="AG290" i="88"/>
  <c r="G199" i="88"/>
  <c r="G191" i="88"/>
  <c r="G192" i="88"/>
  <c r="D339" i="88"/>
  <c r="J176" i="88"/>
  <c r="J178" i="88"/>
  <c r="I194" i="88"/>
  <c r="F363" i="88"/>
  <c r="D351" i="88"/>
  <c r="H192" i="88"/>
  <c r="H191" i="88"/>
  <c r="H199" i="88"/>
  <c r="K193" i="88"/>
  <c r="E387" i="88"/>
  <c r="AH292" i="88"/>
  <c r="N292" i="88"/>
  <c r="M304" i="88"/>
  <c r="AE304" i="88"/>
  <c r="G390" i="88"/>
  <c r="F390" i="88"/>
  <c r="E390" i="88"/>
  <c r="S311" i="88"/>
  <c r="AK311" i="88"/>
  <c r="C390" i="88"/>
  <c r="D390" i="88"/>
  <c r="AA309" i="88"/>
  <c r="AG309" i="88"/>
  <c r="E325" i="88"/>
  <c r="F325" i="88"/>
  <c r="G325" i="88"/>
  <c r="S246" i="88"/>
  <c r="AK246" i="88"/>
  <c r="C325" i="88"/>
  <c r="D325" i="88"/>
  <c r="I153" i="88"/>
  <c r="I178" i="88"/>
  <c r="I176" i="88"/>
  <c r="AA305" i="88"/>
  <c r="AG305" i="88"/>
  <c r="F199" i="88"/>
  <c r="F191" i="88"/>
  <c r="F192" i="88"/>
  <c r="D327" i="88"/>
  <c r="P269" i="88"/>
  <c r="AA250" i="88"/>
  <c r="AG250" i="88"/>
  <c r="AA311" i="88"/>
  <c r="AG311" i="88"/>
  <c r="N256" i="88"/>
  <c r="AH256" i="88"/>
  <c r="AG295" i="88"/>
  <c r="AA295" i="88"/>
  <c r="E194" i="88"/>
  <c r="F321" i="88"/>
  <c r="AG270" i="88"/>
  <c r="AA270" i="88"/>
  <c r="AB265" i="88"/>
  <c r="O265" i="88"/>
  <c r="Q246" i="88"/>
  <c r="P309" i="88"/>
  <c r="P245" i="88"/>
  <c r="F193" i="88"/>
  <c r="E327" i="88"/>
  <c r="P259" i="88"/>
  <c r="K162" i="88"/>
  <c r="M310" i="88"/>
  <c r="AE310" i="88"/>
  <c r="G153" i="88"/>
  <c r="G150" i="88"/>
  <c r="P266" i="88"/>
  <c r="AL301" i="88"/>
  <c r="V301" i="88"/>
  <c r="AD302" i="88"/>
  <c r="AD270" i="88"/>
  <c r="V269" i="88"/>
  <c r="AL269" i="88"/>
  <c r="AL272" i="88"/>
  <c r="V272" i="88"/>
  <c r="AD273" i="88"/>
  <c r="G219" i="88"/>
  <c r="G217" i="88"/>
  <c r="G218" i="88"/>
  <c r="G184" i="88"/>
  <c r="G170" i="88"/>
  <c r="AD282" i="88"/>
  <c r="V281" i="88"/>
  <c r="AL281" i="88"/>
  <c r="P302" i="88"/>
  <c r="AB298" i="88"/>
  <c r="O298" i="88"/>
  <c r="J163" i="88"/>
  <c r="AA283" i="88"/>
  <c r="AG283" i="88"/>
  <c r="D388" i="88"/>
  <c r="F388" i="88"/>
  <c r="G388" i="88"/>
  <c r="S309" i="88"/>
  <c r="AK309" i="88"/>
  <c r="C388" i="88"/>
  <c r="E388" i="88"/>
  <c r="AA280" i="88"/>
  <c r="AG280" i="88"/>
  <c r="P256" i="88"/>
  <c r="AL248" i="88"/>
  <c r="V248" i="88"/>
  <c r="AD249" i="88"/>
  <c r="G166" i="88"/>
  <c r="D336" i="88"/>
  <c r="E336" i="88"/>
  <c r="F336" i="88"/>
  <c r="S257" i="88"/>
  <c r="AK257" i="88"/>
  <c r="C336" i="88"/>
  <c r="G336" i="88"/>
  <c r="AG259" i="88"/>
  <c r="AA259" i="88"/>
  <c r="G345" i="88"/>
  <c r="F345" i="88"/>
  <c r="D345" i="88"/>
  <c r="S266" i="88"/>
  <c r="AK266" i="88"/>
  <c r="C345" i="88"/>
  <c r="E345" i="88"/>
  <c r="P277" i="88"/>
  <c r="AL289" i="88"/>
  <c r="V289" i="88"/>
  <c r="AD290" i="88"/>
  <c r="E199" i="88"/>
  <c r="E165" i="88"/>
  <c r="AA275" i="88"/>
  <c r="AG275" i="88"/>
  <c r="F176" i="88"/>
  <c r="F178" i="88"/>
  <c r="E171" i="88"/>
  <c r="E157" i="88"/>
  <c r="AB277" i="88"/>
  <c r="O277" i="88"/>
  <c r="E193" i="88"/>
  <c r="E321" i="88"/>
  <c r="N301" i="88"/>
  <c r="AH301" i="88"/>
  <c r="H183" i="88"/>
  <c r="H182" i="88"/>
  <c r="H187" i="88"/>
  <c r="P262" i="88"/>
  <c r="AA312" i="88"/>
  <c r="AG312" i="88"/>
  <c r="AG279" i="88"/>
  <c r="AA279" i="88"/>
  <c r="M283" i="88"/>
  <c r="AE283" i="88"/>
  <c r="J153" i="88"/>
  <c r="J150" i="88"/>
  <c r="AH26" i="88"/>
  <c r="F3" i="88"/>
  <c r="N253" i="88"/>
  <c r="AH253" i="88"/>
  <c r="M295" i="88"/>
  <c r="AE295" i="88"/>
  <c r="Q249" i="88"/>
  <c r="I184" i="88"/>
  <c r="I170" i="88"/>
  <c r="AD291" i="88"/>
  <c r="V290" i="88"/>
  <c r="AL290" i="88"/>
  <c r="AG262" i="88"/>
  <c r="AA262" i="88"/>
  <c r="Q250" i="88"/>
  <c r="K164" i="88"/>
  <c r="P308" i="88"/>
  <c r="G171" i="88"/>
  <c r="G157" i="88"/>
  <c r="E164" i="88"/>
  <c r="P243" i="88"/>
  <c r="AD308" i="88"/>
  <c r="V307" i="88"/>
  <c r="AL307" i="88"/>
  <c r="AL303" i="88"/>
  <c r="V303" i="88"/>
  <c r="AD304" i="88"/>
  <c r="AI310" i="88"/>
  <c r="AI311" i="88"/>
  <c r="AI312" i="88"/>
  <c r="AI313" i="88"/>
  <c r="AD266" i="88"/>
  <c r="V265" i="88"/>
  <c r="AL265" i="88"/>
  <c r="G164" i="88"/>
  <c r="P260" i="88"/>
  <c r="AE277" i="88"/>
  <c r="M277" i="88"/>
  <c r="AD278" i="88"/>
  <c r="V277" i="88"/>
  <c r="AL277" i="88"/>
  <c r="G187" i="88"/>
  <c r="G182" i="88"/>
  <c r="G160" i="88"/>
  <c r="G183" i="88"/>
  <c r="G234" i="88"/>
  <c r="G224" i="88"/>
  <c r="L220" i="88"/>
  <c r="AD259" i="88"/>
  <c r="V258" i="88"/>
  <c r="AL258" i="88"/>
  <c r="AA285" i="88"/>
  <c r="AG285" i="88"/>
  <c r="AL285" i="88"/>
  <c r="V285" i="88"/>
  <c r="AD286" i="88"/>
  <c r="AH289" i="88"/>
  <c r="N289" i="88"/>
  <c r="I163" i="88"/>
  <c r="O286" i="88"/>
  <c r="AB286" i="88"/>
  <c r="AH310" i="88"/>
  <c r="AI304" i="88"/>
  <c r="AI305" i="88"/>
  <c r="AI306" i="88"/>
  <c r="AI307" i="88"/>
  <c r="AI308" i="88"/>
  <c r="AI309" i="88"/>
  <c r="N310" i="88"/>
  <c r="K161" i="88"/>
  <c r="P305" i="88"/>
  <c r="G215" i="88"/>
  <c r="I166" i="88"/>
  <c r="P293" i="88"/>
  <c r="P279" i="88"/>
  <c r="P261" i="88"/>
  <c r="AL296" i="88"/>
  <c r="V296" i="88"/>
  <c r="AD297" i="88"/>
  <c r="AG313" i="88"/>
  <c r="AA313" i="88"/>
  <c r="P276" i="88"/>
  <c r="H170" i="88"/>
  <c r="H184" i="88"/>
  <c r="AI298" i="88"/>
  <c r="AI299" i="88"/>
  <c r="AI300" i="88"/>
  <c r="AI301" i="88"/>
  <c r="AI302" i="88"/>
  <c r="AI303" i="88"/>
  <c r="N304" i="88"/>
  <c r="AH304" i="88"/>
  <c r="AD306" i="88"/>
  <c r="V305" i="88"/>
  <c r="AL305" i="88"/>
  <c r="AG308" i="88"/>
  <c r="AA308" i="88"/>
  <c r="J194" i="88"/>
  <c r="F375" i="88"/>
  <c r="AE313" i="88"/>
  <c r="M313" i="88"/>
  <c r="AL250" i="88"/>
  <c r="V250" i="88"/>
  <c r="AD251" i="88"/>
  <c r="AD287" i="88"/>
  <c r="V286" i="88"/>
  <c r="AL286" i="88"/>
  <c r="AD313" i="88"/>
  <c r="V312" i="88"/>
  <c r="AL312" i="88"/>
  <c r="AK308" i="88"/>
  <c r="C387" i="88"/>
  <c r="G387" i="88"/>
  <c r="AD310" i="88"/>
  <c r="V309" i="88"/>
  <c r="AL309" i="88"/>
  <c r="F187" i="88"/>
  <c r="F182" i="88"/>
  <c r="F183" i="88"/>
  <c r="AA284" i="88"/>
  <c r="AG284" i="88"/>
  <c r="D381" i="88"/>
  <c r="F381" i="88"/>
  <c r="E381" i="88"/>
  <c r="S302" i="88"/>
  <c r="AK302" i="88"/>
  <c r="C381" i="88"/>
  <c r="G381" i="88"/>
  <c r="P258" i="88"/>
  <c r="AD262" i="88"/>
  <c r="V261" i="88"/>
  <c r="AL261" i="88"/>
  <c r="E355" i="88"/>
  <c r="G355" i="88"/>
  <c r="D355" i="88"/>
  <c r="S276" i="88"/>
  <c r="AK276" i="88"/>
  <c r="C355" i="88"/>
  <c r="F355" i="88"/>
  <c r="AG267" i="88"/>
  <c r="AA267" i="88"/>
  <c r="G212" i="88"/>
  <c r="G222" i="88"/>
  <c r="G232" i="88"/>
  <c r="G324" i="88"/>
  <c r="D324" i="88"/>
  <c r="F324" i="88"/>
  <c r="S245" i="88"/>
  <c r="AK245" i="88"/>
  <c r="C324" i="88"/>
  <c r="E324" i="88"/>
  <c r="AA271" i="88"/>
  <c r="AG271" i="88"/>
  <c r="D337" i="88"/>
  <c r="G337" i="88"/>
  <c r="F337" i="88"/>
  <c r="S258" i="88"/>
  <c r="AK258" i="88"/>
  <c r="C337" i="88"/>
  <c r="E337" i="88"/>
  <c r="G193" i="88"/>
  <c r="E339" i="88"/>
  <c r="AD294" i="88"/>
  <c r="V293" i="88"/>
  <c r="AL293" i="88"/>
  <c r="AA248" i="88"/>
  <c r="AG248" i="88"/>
  <c r="D384" i="88"/>
  <c r="G384" i="88"/>
  <c r="E384" i="88"/>
  <c r="S305" i="88"/>
  <c r="AK305" i="88"/>
  <c r="C384" i="88"/>
  <c r="F384" i="88"/>
  <c r="AA310" i="88"/>
  <c r="AG310" i="88"/>
  <c r="AG257" i="88"/>
  <c r="AA257" i="88"/>
  <c r="J166" i="88"/>
  <c r="G211" i="88"/>
  <c r="G213" i="88"/>
  <c r="G214" i="88"/>
  <c r="G216" i="88"/>
  <c r="F358" i="88"/>
  <c r="D358" i="88"/>
  <c r="E358" i="88"/>
  <c r="S279" i="88"/>
  <c r="AK279" i="88"/>
  <c r="C358" i="88"/>
  <c r="G358" i="88"/>
  <c r="D340" i="88"/>
  <c r="F340" i="88"/>
  <c r="E340" i="88"/>
  <c r="S261" i="88"/>
  <c r="AK261" i="88"/>
  <c r="C340" i="88"/>
  <c r="G340" i="88"/>
  <c r="AG245" i="88"/>
  <c r="AA245" i="88"/>
  <c r="P281" i="88"/>
  <c r="E161" i="88"/>
  <c r="N244" i="88"/>
  <c r="AH244" i="88"/>
  <c r="AD288" i="88"/>
  <c r="V287" i="88"/>
  <c r="AL287" i="88"/>
  <c r="F153" i="88"/>
  <c r="F150" i="88"/>
  <c r="H166" i="88"/>
  <c r="AA264" i="88"/>
  <c r="AG264" i="88"/>
  <c r="AG289" i="88"/>
  <c r="AA289" i="88"/>
  <c r="AA282" i="88"/>
  <c r="AG282" i="88"/>
  <c r="J171" i="88"/>
  <c r="J157" i="88"/>
  <c r="E391" i="88"/>
  <c r="F391" i="88"/>
  <c r="G391" i="88"/>
  <c r="S312" i="88"/>
  <c r="AK312" i="88"/>
  <c r="C391" i="88"/>
  <c r="D391" i="88"/>
  <c r="E170" i="88"/>
  <c r="E184" i="88"/>
  <c r="E176" i="88"/>
  <c r="E178" i="88"/>
  <c r="AD275" i="88"/>
  <c r="V274" i="88"/>
  <c r="AL274" i="88"/>
  <c r="AE250" i="88"/>
  <c r="M250" i="88"/>
  <c r="F162" i="88"/>
  <c r="AA300" i="88"/>
  <c r="AG300" i="88"/>
  <c r="AF307" i="88"/>
  <c r="AF308" i="88"/>
  <c r="AF309" i="88"/>
  <c r="AF310" i="88"/>
  <c r="AF311" i="88"/>
  <c r="AF312" i="88"/>
  <c r="AF313" i="88"/>
  <c r="H160" i="88"/>
  <c r="H157" i="88"/>
  <c r="H171" i="88"/>
  <c r="AA274" i="88"/>
  <c r="AG274" i="88"/>
  <c r="AL259" i="88"/>
  <c r="V259" i="88"/>
  <c r="AD260" i="88"/>
  <c r="P273" i="88"/>
  <c r="AD248" i="88"/>
  <c r="V247" i="88"/>
  <c r="AL247" i="88"/>
  <c r="AL263" i="88"/>
  <c r="V263" i="88"/>
  <c r="AD264" i="88"/>
  <c r="P272" i="88"/>
  <c r="H164" i="88"/>
  <c r="AD245" i="88"/>
  <c r="V244" i="88"/>
  <c r="AL244" i="88"/>
  <c r="I162" i="88"/>
  <c r="M286" i="88"/>
  <c r="AE286" i="88"/>
  <c r="AB313" i="88"/>
  <c r="O313" i="88"/>
  <c r="F164" i="88"/>
  <c r="P248" i="88"/>
  <c r="P292" i="88"/>
  <c r="P290" i="88"/>
  <c r="AL262" i="88"/>
  <c r="V262" i="88"/>
  <c r="AD263" i="88"/>
  <c r="AL282" i="88"/>
  <c r="V282" i="88"/>
  <c r="AD283" i="88"/>
  <c r="AL253" i="88"/>
  <c r="V253" i="88"/>
  <c r="AD254" i="88"/>
  <c r="P303" i="88"/>
  <c r="G322" i="88"/>
  <c r="E322" i="88"/>
  <c r="F322" i="88"/>
  <c r="S243" i="88"/>
  <c r="AK243" i="88"/>
  <c r="C322" i="88"/>
  <c r="D322" i="88"/>
  <c r="P283" i="88"/>
  <c r="AH286" i="88"/>
  <c r="N286" i="88"/>
  <c r="I161" i="88"/>
  <c r="D360" i="88"/>
  <c r="F360" i="88"/>
  <c r="G360" i="88"/>
  <c r="S281" i="88"/>
  <c r="AK281" i="88"/>
  <c r="C360" i="88"/>
  <c r="E360" i="88"/>
  <c r="AD311" i="88"/>
  <c r="V310" i="88"/>
  <c r="AL310" i="88"/>
  <c r="P244" i="88"/>
  <c r="P294" i="88"/>
  <c r="AD296" i="88"/>
  <c r="V295" i="88"/>
  <c r="AL295" i="88"/>
  <c r="AA302" i="88"/>
  <c r="AG302" i="88"/>
  <c r="Q245" i="88"/>
  <c r="Q252" i="88"/>
  <c r="AA254" i="88"/>
  <c r="AG254" i="88"/>
  <c r="M292" i="88"/>
  <c r="AE292" i="88"/>
  <c r="E352" i="88"/>
  <c r="G352" i="88"/>
  <c r="D352" i="88"/>
  <c r="S273" i="88"/>
  <c r="AK273" i="88"/>
  <c r="C352" i="88"/>
  <c r="F352" i="88"/>
  <c r="H194" i="88"/>
  <c r="F351" i="88"/>
  <c r="P306" i="88"/>
  <c r="AL264" i="88"/>
  <c r="V264" i="88"/>
  <c r="AD265" i="88"/>
  <c r="AF280" i="88"/>
  <c r="AF281" i="88"/>
  <c r="AF282" i="88"/>
  <c r="AF283" i="88"/>
  <c r="AF284" i="88"/>
  <c r="AF285" i="88"/>
  <c r="AF286" i="88"/>
  <c r="AF287" i="88"/>
  <c r="AF288" i="88"/>
  <c r="AF289" i="88"/>
  <c r="AF290" i="88"/>
  <c r="AF291" i="88"/>
  <c r="AF292" i="88"/>
  <c r="AF293" i="88"/>
  <c r="AF294" i="88"/>
  <c r="AF295" i="88"/>
  <c r="AF296" i="88"/>
  <c r="AF297" i="88"/>
  <c r="AF298" i="88"/>
  <c r="AF299" i="88"/>
  <c r="AF300" i="88"/>
  <c r="AF301" i="88"/>
  <c r="AF302" i="88"/>
  <c r="AF303" i="88"/>
  <c r="AF304" i="88"/>
  <c r="AF305" i="88"/>
  <c r="AF306" i="88"/>
  <c r="M307" i="88"/>
  <c r="AE307" i="88"/>
  <c r="G27" i="88"/>
  <c r="AL243" i="88"/>
  <c r="AC310" i="88"/>
  <c r="AC311" i="88"/>
  <c r="AC312" i="88"/>
  <c r="AC313" i="88"/>
  <c r="S272" i="88"/>
  <c r="AK272" i="88"/>
  <c r="C351" i="88"/>
  <c r="G351" i="88"/>
  <c r="U313" i="88"/>
  <c r="R313" i="88"/>
  <c r="P265" i="88"/>
  <c r="O304" i="88"/>
  <c r="AB304" i="88"/>
  <c r="AD301" i="88"/>
  <c r="V300" i="88"/>
  <c r="AL300" i="88"/>
  <c r="P301" i="88"/>
  <c r="AD295" i="88"/>
  <c r="V294" i="88"/>
  <c r="AL294" i="88"/>
  <c r="G348" i="88"/>
  <c r="F348" i="88"/>
  <c r="D348" i="88"/>
  <c r="S269" i="88"/>
  <c r="AK269" i="88"/>
  <c r="C348" i="88"/>
  <c r="E348" i="88"/>
  <c r="AA304" i="88"/>
  <c r="AG304" i="88"/>
  <c r="P291" i="88"/>
  <c r="P274" i="88"/>
  <c r="AG247" i="88"/>
  <c r="AA247" i="88"/>
  <c r="T313" i="88"/>
  <c r="AL302" i="88"/>
  <c r="V302" i="88"/>
  <c r="AD303" i="88"/>
  <c r="AB283" i="88"/>
  <c r="O283" i="88"/>
  <c r="N472" i="2"/>
  <c r="E172" i="88"/>
  <c r="P150" i="88"/>
  <c r="AL292" i="88"/>
  <c r="V292" i="88"/>
  <c r="AD293" i="88"/>
  <c r="K150" i="88"/>
  <c r="AE259" i="88"/>
  <c r="M259" i="88"/>
  <c r="AG297" i="88"/>
  <c r="AA297" i="88"/>
  <c r="AD312" i="88"/>
  <c r="V311" i="88"/>
  <c r="AL311" i="88"/>
  <c r="AG296" i="88"/>
  <c r="AA296" i="88"/>
  <c r="AD267" i="88"/>
  <c r="V266" i="88"/>
  <c r="AL266" i="88"/>
  <c r="P271" i="88"/>
  <c r="P247" i="88"/>
  <c r="AA278" i="88"/>
  <c r="AG278" i="88"/>
  <c r="G356" i="88"/>
  <c r="F356" i="88"/>
  <c r="E356" i="88"/>
  <c r="C317" i="88"/>
  <c r="F165" i="88"/>
  <c r="Q248" i="88"/>
  <c r="P280" i="88"/>
  <c r="P311" i="88"/>
  <c r="AH265" i="88"/>
  <c r="N265" i="88"/>
  <c r="AL299" i="88"/>
  <c r="V299" i="88"/>
  <c r="AD300" i="88"/>
  <c r="AA277" i="88"/>
  <c r="AG277" i="88"/>
  <c r="AB301" i="88"/>
  <c r="O301" i="88"/>
  <c r="P286" i="88"/>
  <c r="P254" i="88"/>
  <c r="P249" i="88"/>
  <c r="P313" i="88"/>
  <c r="G339" i="88"/>
  <c r="G350" i="88"/>
  <c r="E350" i="88"/>
  <c r="F350" i="88"/>
  <c r="S271" i="88"/>
  <c r="AK271" i="88"/>
  <c r="C350" i="88"/>
  <c r="D350" i="88"/>
  <c r="AG292" i="88"/>
  <c r="AA292" i="88"/>
  <c r="G383" i="88"/>
  <c r="F383" i="88"/>
  <c r="D383" i="88"/>
  <c r="S304" i="88"/>
  <c r="AK304" i="88"/>
  <c r="C383" i="88"/>
  <c r="E383" i="88"/>
  <c r="AE256" i="88"/>
  <c r="M256" i="88"/>
  <c r="AH280" i="88"/>
  <c r="N280" i="88"/>
  <c r="AG291" i="88"/>
  <c r="AA291" i="88"/>
  <c r="G354" i="88"/>
  <c r="F354" i="88"/>
  <c r="E354" i="88"/>
  <c r="S275" i="88"/>
  <c r="AK275" i="88"/>
  <c r="C354" i="88"/>
  <c r="D354" i="88"/>
  <c r="E385" i="88"/>
  <c r="G385" i="88"/>
  <c r="F385" i="88"/>
  <c r="S306" i="88"/>
  <c r="AK306" i="88"/>
  <c r="C385" i="88"/>
  <c r="D385" i="88"/>
  <c r="G375" i="88"/>
  <c r="R312" i="88"/>
  <c r="U312" i="88"/>
  <c r="K313" i="88"/>
  <c r="H313" i="88"/>
  <c r="V313" i="88"/>
  <c r="AL313" i="88"/>
  <c r="P297" i="88"/>
  <c r="S284" i="88"/>
  <c r="AK284" i="88"/>
  <c r="C363" i="88"/>
  <c r="G363" i="88"/>
  <c r="F160" i="88"/>
  <c r="F157" i="88"/>
  <c r="F171" i="88"/>
  <c r="E342" i="88"/>
  <c r="D342" i="88"/>
  <c r="F342" i="88"/>
  <c r="S263" i="88"/>
  <c r="AK263" i="88"/>
  <c r="C342" i="88"/>
  <c r="G342" i="88"/>
  <c r="AA246" i="88"/>
  <c r="AG246" i="88"/>
  <c r="K153" i="88"/>
  <c r="K178" i="88"/>
  <c r="K176" i="88"/>
  <c r="P282" i="88"/>
  <c r="P300" i="88"/>
  <c r="M253" i="88"/>
  <c r="AE253" i="88"/>
  <c r="E335" i="88"/>
  <c r="D335" i="88"/>
  <c r="F335" i="88"/>
  <c r="S256" i="88"/>
  <c r="AK256" i="88"/>
  <c r="C335" i="88"/>
  <c r="G335" i="88"/>
  <c r="AL291" i="88"/>
  <c r="V291" i="88"/>
  <c r="AD292" i="88"/>
  <c r="AG251" i="88"/>
  <c r="AA251" i="88"/>
  <c r="S260" i="88"/>
  <c r="AK260" i="88"/>
  <c r="C339" i="88"/>
  <c r="F339" i="88"/>
  <c r="G194" i="88"/>
  <c r="AA260" i="88"/>
  <c r="AG260" i="88"/>
  <c r="AA265" i="88"/>
  <c r="AG265" i="88"/>
  <c r="O292" i="88"/>
  <c r="AB292" i="88"/>
  <c r="AB244" i="88"/>
  <c r="O244" i="88"/>
  <c r="E163" i="88"/>
  <c r="D357" i="88"/>
  <c r="G357" i="88"/>
  <c r="F357" i="88"/>
  <c r="S278" i="88"/>
  <c r="AK278" i="88"/>
  <c r="C357" i="88"/>
  <c r="E357" i="88"/>
  <c r="G229" i="88"/>
  <c r="D356" i="88"/>
  <c r="G227" i="88"/>
  <c r="G228" i="88"/>
  <c r="G392" i="88"/>
  <c r="E392" i="88"/>
  <c r="F392" i="88"/>
  <c r="R307" i="88"/>
  <c r="U307" i="88"/>
  <c r="K308" i="88"/>
  <c r="H308" i="88"/>
  <c r="T308" i="88"/>
  <c r="R309" i="88"/>
  <c r="U309" i="88"/>
  <c r="K310" i="88"/>
  <c r="H310" i="88"/>
  <c r="T310" i="88"/>
  <c r="R311" i="88"/>
  <c r="U311" i="88"/>
  <c r="K312" i="88"/>
  <c r="H312" i="88"/>
  <c r="T312" i="88"/>
  <c r="S313" i="88"/>
  <c r="AK313" i="88"/>
  <c r="C392" i="88"/>
  <c r="D392" i="88"/>
  <c r="AE268" i="88"/>
  <c r="M268" i="88"/>
  <c r="AD274" i="88"/>
  <c r="V273" i="88"/>
  <c r="AL273" i="88"/>
  <c r="I164" i="88"/>
  <c r="P284" i="88"/>
  <c r="E341" i="88"/>
  <c r="D341" i="88"/>
  <c r="G341" i="88"/>
  <c r="S262" i="88"/>
  <c r="AK262" i="88"/>
  <c r="C341" i="88"/>
  <c r="F341" i="88"/>
  <c r="E187" i="88"/>
  <c r="E182" i="88"/>
  <c r="E160" i="88"/>
  <c r="E183" i="88"/>
  <c r="D371" i="88"/>
  <c r="E371" i="88"/>
  <c r="F371" i="88"/>
  <c r="S292" i="88"/>
  <c r="AK292" i="88"/>
  <c r="C371" i="88"/>
  <c r="G371" i="88"/>
  <c r="G369" i="88"/>
  <c r="F369" i="88"/>
  <c r="D369" i="88"/>
  <c r="S290" i="88"/>
  <c r="AK290" i="88"/>
  <c r="C369" i="88"/>
  <c r="E369" i="88"/>
  <c r="AE271" i="88"/>
  <c r="M271" i="88"/>
  <c r="F368" i="88"/>
  <c r="D368" i="88"/>
  <c r="G368" i="88"/>
  <c r="S289" i="88"/>
  <c r="AK289" i="88"/>
  <c r="C368" i="88"/>
  <c r="E368" i="88"/>
  <c r="AD257" i="88"/>
  <c r="V256" i="88"/>
  <c r="AL256" i="88"/>
  <c r="G376" i="88"/>
  <c r="D376" i="88"/>
  <c r="F376" i="88"/>
  <c r="S297" i="88"/>
  <c r="AK297" i="88"/>
  <c r="C376" i="88"/>
  <c r="E376" i="88"/>
  <c r="P295" i="88"/>
  <c r="AL249" i="88"/>
  <c r="V249" i="88"/>
  <c r="AD250" i="88"/>
  <c r="D362" i="88"/>
  <c r="F362" i="88"/>
  <c r="G362" i="88"/>
  <c r="S283" i="88"/>
  <c r="AK283" i="88"/>
  <c r="C362" i="88"/>
  <c r="E362" i="88"/>
  <c r="G370" i="88"/>
  <c r="D370" i="88"/>
  <c r="E370" i="88"/>
  <c r="S291" i="88"/>
  <c r="AK291" i="88"/>
  <c r="C370" i="88"/>
  <c r="F370" i="88"/>
  <c r="P253" i="88"/>
  <c r="AG273" i="88"/>
  <c r="AA273" i="88"/>
  <c r="AG272" i="88"/>
  <c r="AA272" i="88"/>
  <c r="P298" i="88"/>
  <c r="P287" i="88"/>
  <c r="J187" i="88"/>
  <c r="J182" i="88"/>
  <c r="J160" i="88"/>
  <c r="J183" i="88"/>
  <c r="P289" i="88"/>
  <c r="D323" i="88"/>
  <c r="E323" i="88"/>
  <c r="F323" i="88"/>
  <c r="S244" i="88"/>
  <c r="AK244" i="88"/>
  <c r="C323" i="88"/>
  <c r="G323" i="88"/>
  <c r="D373" i="88"/>
  <c r="F373" i="88"/>
  <c r="G373" i="88"/>
  <c r="S294" i="88"/>
  <c r="AK294" i="88"/>
  <c r="C373" i="88"/>
  <c r="E373" i="88"/>
  <c r="D349" i="88"/>
  <c r="F349" i="88"/>
  <c r="E349" i="88"/>
  <c r="S270" i="88"/>
  <c r="AK270" i="88"/>
  <c r="C349" i="88"/>
  <c r="G349" i="88"/>
  <c r="AD307" i="88"/>
  <c r="V306" i="88"/>
  <c r="AL306" i="88"/>
  <c r="AG252" i="88"/>
  <c r="AA252" i="88"/>
  <c r="P255" i="88"/>
  <c r="AB250" i="88"/>
  <c r="O250" i="88"/>
  <c r="F163" i="88"/>
  <c r="P264" i="88"/>
  <c r="P270" i="88"/>
  <c r="H150" i="88"/>
  <c r="AD276" i="88"/>
  <c r="V275" i="88"/>
  <c r="AL275" i="88"/>
  <c r="AA288" i="88"/>
  <c r="AG288" i="88"/>
  <c r="S296" i="88"/>
  <c r="AK296" i="88"/>
  <c r="C375" i="88"/>
  <c r="D375" i="88"/>
  <c r="J192" i="88"/>
  <c r="J191" i="88"/>
  <c r="J199" i="88"/>
  <c r="F346" i="88"/>
  <c r="E346" i="88"/>
  <c r="D346" i="88"/>
  <c r="S267" i="88"/>
  <c r="AK267" i="88"/>
  <c r="C346" i="88"/>
  <c r="G346" i="88"/>
  <c r="R310" i="88"/>
  <c r="U310" i="88"/>
  <c r="K311" i="88"/>
  <c r="H311" i="88"/>
  <c r="T311" i="88"/>
  <c r="P312" i="88"/>
  <c r="P310" i="88"/>
  <c r="F378" i="88"/>
  <c r="G378" i="88"/>
  <c r="D378" i="88"/>
  <c r="S299" i="88"/>
  <c r="AK299" i="88"/>
  <c r="C378" i="88"/>
  <c r="E378" i="88"/>
  <c r="AA269" i="88"/>
  <c r="AG269" i="88"/>
  <c r="H163" i="88"/>
  <c r="O274" i="88"/>
  <c r="AB274" i="88"/>
  <c r="Q247" i="88"/>
  <c r="AD253" i="88"/>
  <c r="V252" i="88"/>
  <c r="AL252" i="88"/>
  <c r="AD289" i="88"/>
  <c r="V288" i="88"/>
  <c r="AL288" i="88"/>
  <c r="J164" i="88"/>
  <c r="P296" i="88"/>
  <c r="G361" i="88"/>
  <c r="F361" i="88"/>
  <c r="D361" i="88"/>
  <c r="S282" i="88"/>
  <c r="AK282" i="88"/>
  <c r="C361" i="88"/>
  <c r="E361" i="88"/>
  <c r="G347" i="88"/>
  <c r="F347" i="88"/>
  <c r="E347" i="88"/>
  <c r="S268" i="88"/>
  <c r="AK268" i="88"/>
  <c r="C347" i="88"/>
  <c r="D347" i="88"/>
  <c r="AL283" i="88"/>
  <c r="V283" i="88"/>
  <c r="AD284" i="88"/>
  <c r="S248" i="88"/>
  <c r="AK248" i="88"/>
  <c r="C327" i="88"/>
  <c r="G327" i="88"/>
  <c r="G380" i="88"/>
  <c r="F380" i="88"/>
  <c r="E380" i="88"/>
  <c r="S301" i="88"/>
  <c r="AK301" i="88"/>
  <c r="C380" i="88"/>
  <c r="D380" i="88"/>
  <c r="F166" i="88"/>
  <c r="AL271" i="88"/>
  <c r="V271" i="88"/>
  <c r="AD272" i="88"/>
  <c r="F161" i="88"/>
  <c r="N250" i="88"/>
  <c r="AH250" i="88"/>
  <c r="E330" i="88"/>
  <c r="F330" i="88"/>
  <c r="G330" i="88"/>
  <c r="S251" i="88"/>
  <c r="AK251" i="88"/>
  <c r="C330" i="88"/>
  <c r="D330" i="88"/>
  <c r="G344" i="88"/>
  <c r="D344" i="88"/>
  <c r="F344" i="88"/>
  <c r="S265" i="88"/>
  <c r="AK265" i="88"/>
  <c r="C344" i="88"/>
  <c r="E344" i="88"/>
  <c r="AG301" i="88"/>
  <c r="AA301" i="88"/>
  <c r="AD246" i="88"/>
  <c r="V245" i="88"/>
  <c r="AL245" i="88"/>
  <c r="G353" i="88"/>
  <c r="D353" i="88"/>
  <c r="F353" i="88"/>
  <c r="S274" i="88"/>
  <c r="AK274" i="88"/>
  <c r="C353" i="88"/>
  <c r="E353" i="88"/>
  <c r="G163" i="88"/>
  <c r="O262" i="88"/>
  <c r="AB262" i="88"/>
  <c r="AA286" i="88"/>
  <c r="AG286" i="88"/>
  <c r="P250" i="88"/>
  <c r="E153" i="88"/>
  <c r="E150" i="88"/>
  <c r="P307" i="88"/>
  <c r="E334" i="88"/>
  <c r="D334" i="88"/>
  <c r="G334" i="88"/>
  <c r="S255" i="88"/>
  <c r="AK255" i="88"/>
  <c r="C334" i="88"/>
  <c r="F334" i="88"/>
  <c r="G382" i="88"/>
  <c r="D382" i="88"/>
  <c r="F382" i="88"/>
  <c r="S303" i="88"/>
  <c r="AK303" i="88"/>
  <c r="C382" i="88"/>
  <c r="E382" i="88"/>
  <c r="D367" i="88"/>
  <c r="E367" i="88"/>
  <c r="F367" i="88"/>
  <c r="S288" i="88"/>
  <c r="AK288" i="88"/>
  <c r="C367" i="88"/>
  <c r="G367" i="88"/>
  <c r="F338" i="88"/>
  <c r="E338" i="88"/>
  <c r="D338" i="88"/>
  <c r="S259" i="88"/>
  <c r="AK259" i="88"/>
  <c r="C338" i="88"/>
  <c r="G338" i="88"/>
  <c r="AG281" i="88"/>
  <c r="AA281" i="88"/>
  <c r="AL260" i="88"/>
  <c r="V260" i="88"/>
  <c r="AD261" i="88"/>
  <c r="J161" i="88"/>
  <c r="AI271" i="88"/>
  <c r="AI272" i="88"/>
  <c r="AI273" i="88"/>
  <c r="AI274" i="88"/>
  <c r="AI275" i="88"/>
  <c r="AI276" i="88"/>
  <c r="AI277" i="88"/>
  <c r="AI278" i="88"/>
  <c r="AI279" i="88"/>
  <c r="AI280" i="88"/>
  <c r="AI281" i="88"/>
  <c r="AI282" i="88"/>
  <c r="AI283" i="88"/>
  <c r="AI284" i="88"/>
  <c r="AI285" i="88"/>
  <c r="AI286" i="88"/>
  <c r="AI287" i="88"/>
  <c r="AI288" i="88"/>
  <c r="AI289" i="88"/>
  <c r="AI290" i="88"/>
  <c r="AI291" i="88"/>
  <c r="AI292" i="88"/>
  <c r="AI293" i="88"/>
  <c r="AI294" i="88"/>
  <c r="AI295" i="88"/>
  <c r="AI296" i="88"/>
  <c r="AI297" i="88"/>
  <c r="N298" i="88"/>
  <c r="AH298" i="88"/>
  <c r="O247" i="88"/>
  <c r="AB247" i="88"/>
  <c r="AA256" i="88"/>
  <c r="AG256" i="88"/>
  <c r="G206" i="88"/>
  <c r="S277" i="88"/>
  <c r="AK277" i="88"/>
  <c r="C356" i="88"/>
  <c r="G205" i="88"/>
  <c r="G207" i="88"/>
  <c r="AG287" i="88"/>
  <c r="AA287" i="88"/>
  <c r="Q251" i="88"/>
  <c r="AL267" i="88"/>
  <c r="V267" i="88"/>
  <c r="AD268" i="88"/>
  <c r="H153" i="88"/>
  <c r="H178" i="88"/>
  <c r="H176" i="88"/>
  <c r="AG299" i="88"/>
  <c r="AA299" i="88"/>
  <c r="AL284" i="88"/>
  <c r="V284" i="88"/>
  <c r="AD285" i="88"/>
  <c r="I160" i="88"/>
  <c r="I183" i="88"/>
  <c r="I182" i="88"/>
  <c r="I187" i="88"/>
  <c r="N259" i="88"/>
  <c r="AH259" i="88"/>
  <c r="I65" i="3"/>
  <c r="AA53" i="3"/>
  <c r="I57" i="3"/>
  <c r="I77" i="3"/>
  <c r="I61" i="3"/>
  <c r="R61" i="3"/>
  <c r="R53" i="3"/>
  <c r="AA57" i="3"/>
  <c r="R69" i="3"/>
  <c r="AH25" i="88"/>
  <c r="R57" i="3"/>
  <c r="AA61" i="3"/>
  <c r="I69" i="3"/>
  <c r="I53" i="3"/>
  <c r="R65" i="3"/>
  <c r="AA69" i="3"/>
  <c r="AA65" i="3"/>
  <c r="E200" i="88"/>
  <c r="F2" i="88"/>
  <c r="I73" i="3"/>
  <c r="G326" i="88"/>
  <c r="D326" i="88"/>
  <c r="F326" i="88"/>
  <c r="S247" i="88"/>
  <c r="AK247" i="88"/>
  <c r="C326" i="88"/>
  <c r="E326" i="88"/>
  <c r="G162" i="88"/>
  <c r="M262" i="88"/>
  <c r="AE262" i="88"/>
  <c r="E389" i="88"/>
  <c r="D389" i="88"/>
  <c r="G389" i="88"/>
  <c r="R308" i="88"/>
  <c r="U308" i="88"/>
  <c r="K309" i="88"/>
  <c r="H309" i="88"/>
  <c r="T309" i="88"/>
  <c r="S310" i="88"/>
  <c r="AK310" i="88"/>
  <c r="C389" i="88"/>
  <c r="F389" i="88"/>
  <c r="AF274" i="88"/>
  <c r="AF275" i="88"/>
  <c r="AF276" i="88"/>
  <c r="AF277" i="88"/>
  <c r="AF278" i="88"/>
  <c r="AF279" i="88"/>
  <c r="M280" i="88"/>
  <c r="AE280" i="88"/>
  <c r="E364" i="88"/>
  <c r="G364" i="88"/>
  <c r="F364" i="88"/>
  <c r="S285" i="88"/>
  <c r="AK285" i="88"/>
  <c r="C364" i="88"/>
  <c r="D364" i="88"/>
  <c r="D359" i="88"/>
  <c r="G359" i="88"/>
  <c r="E359" i="88"/>
  <c r="S280" i="88"/>
  <c r="AK280" i="88"/>
  <c r="C359" i="88"/>
  <c r="F359" i="88"/>
  <c r="G321" i="88"/>
  <c r="P257" i="88"/>
  <c r="AG303" i="88"/>
  <c r="AA303" i="88"/>
  <c r="G365" i="88"/>
  <c r="F365" i="88"/>
  <c r="D365" i="88"/>
  <c r="S286" i="88"/>
  <c r="AK286" i="88"/>
  <c r="C365" i="88"/>
  <c r="E365" i="88"/>
  <c r="E333" i="88"/>
  <c r="D333" i="88"/>
  <c r="G333" i="88"/>
  <c r="S254" i="88"/>
  <c r="AK254" i="88"/>
  <c r="C333" i="88"/>
  <c r="F333" i="88"/>
  <c r="D328" i="88"/>
  <c r="F328" i="88"/>
  <c r="G328" i="88"/>
  <c r="S249" i="88"/>
  <c r="AK249" i="88"/>
  <c r="C328" i="88"/>
  <c r="E328" i="88"/>
  <c r="K307" i="88"/>
  <c r="H307" i="88"/>
  <c r="T307" i="88"/>
  <c r="S308" i="88"/>
  <c r="K170" i="88"/>
  <c r="K184" i="88"/>
  <c r="H162" i="88"/>
  <c r="AF244" i="88"/>
  <c r="AF245" i="88"/>
  <c r="AF246" i="88"/>
  <c r="AF247" i="88"/>
  <c r="AF248" i="88"/>
  <c r="AF249" i="88"/>
  <c r="AF250" i="88"/>
  <c r="AF251" i="88"/>
  <c r="AF252" i="88"/>
  <c r="AF253" i="88"/>
  <c r="AF254" i="88"/>
  <c r="AF255" i="88"/>
  <c r="AF256" i="88"/>
  <c r="AF257" i="88"/>
  <c r="AF258" i="88"/>
  <c r="AF259" i="88"/>
  <c r="AF260" i="88"/>
  <c r="AF261" i="88"/>
  <c r="AF262" i="88"/>
  <c r="AF263" i="88"/>
  <c r="AF264" i="88"/>
  <c r="AF265" i="88"/>
  <c r="AF266" i="88"/>
  <c r="AF267" i="88"/>
  <c r="AF268" i="88"/>
  <c r="AF269" i="88"/>
  <c r="AF270" i="88"/>
  <c r="AF271" i="88"/>
  <c r="AF272" i="88"/>
  <c r="AF273" i="88"/>
  <c r="M274" i="88"/>
  <c r="AE274" i="88"/>
  <c r="AD258" i="88"/>
  <c r="V257" i="88"/>
  <c r="AL257" i="88"/>
  <c r="AL278" i="88"/>
  <c r="V278" i="88"/>
  <c r="AD279" i="88"/>
  <c r="D386" i="88"/>
  <c r="E386" i="88"/>
  <c r="G386" i="88"/>
  <c r="T304" i="88"/>
  <c r="R305" i="88"/>
  <c r="U305" i="88"/>
  <c r="K306" i="88"/>
  <c r="H306" i="88"/>
  <c r="T306" i="88"/>
  <c r="S307" i="88"/>
  <c r="AK307" i="88"/>
  <c r="C386" i="88"/>
  <c r="F386" i="88"/>
  <c r="AG255" i="88"/>
  <c r="AA255" i="88"/>
  <c r="P304" i="88"/>
  <c r="S242" i="88"/>
  <c r="AK242" i="88"/>
  <c r="C321" i="88"/>
  <c r="D321" i="88"/>
  <c r="E192" i="88"/>
  <c r="E191" i="88"/>
  <c r="E201" i="88"/>
  <c r="P164" i="88"/>
  <c r="G374" i="88"/>
  <c r="F374" i="88"/>
  <c r="D374" i="88"/>
  <c r="S295" i="88"/>
  <c r="AK295" i="88"/>
  <c r="C374" i="88"/>
  <c r="E374" i="88"/>
  <c r="P275" i="88"/>
  <c r="AD247" i="88"/>
  <c r="V246" i="88"/>
  <c r="AL246" i="88"/>
  <c r="F332" i="88"/>
  <c r="D332" i="88"/>
  <c r="G332" i="88"/>
  <c r="S253" i="88"/>
  <c r="AK253" i="88"/>
  <c r="C332" i="88"/>
  <c r="E332" i="88"/>
  <c r="AA261" i="88"/>
  <c r="AG261" i="88"/>
  <c r="O253" i="88"/>
  <c r="AB253" i="88"/>
  <c r="P299" i="88"/>
  <c r="E377" i="88"/>
  <c r="G377" i="88"/>
  <c r="D377" i="88"/>
  <c r="S298" i="88"/>
  <c r="AK298" i="88"/>
  <c r="C377" i="88"/>
  <c r="F377" i="88"/>
  <c r="F366" i="88"/>
  <c r="G366" i="88"/>
  <c r="D366" i="88"/>
  <c r="S287" i="88"/>
  <c r="AK287" i="88"/>
  <c r="C366" i="88"/>
  <c r="E366" i="88"/>
  <c r="Q243" i="88"/>
  <c r="F329" i="88"/>
  <c r="E329" i="88"/>
  <c r="G329" i="88"/>
  <c r="S250" i="88"/>
  <c r="AK250" i="88"/>
  <c r="C329" i="88"/>
  <c r="D329" i="88"/>
  <c r="AD277" i="88"/>
  <c r="V276" i="88"/>
  <c r="AL276" i="88"/>
  <c r="K163" i="88"/>
  <c r="AC289" i="88"/>
  <c r="AC290" i="88"/>
  <c r="AC291" i="88"/>
  <c r="AC292" i="88"/>
  <c r="AC293" i="88"/>
  <c r="AC294" i="88"/>
  <c r="AC295" i="88"/>
  <c r="AC296" i="88"/>
  <c r="AC297" i="88"/>
  <c r="AC298" i="88"/>
  <c r="AC299" i="88"/>
  <c r="AC300" i="88"/>
  <c r="AC301" i="88"/>
  <c r="AC302" i="88"/>
  <c r="AC303" i="88"/>
  <c r="AC304" i="88"/>
  <c r="AC305" i="88"/>
  <c r="AC306" i="88"/>
  <c r="AC307" i="88"/>
  <c r="AC308" i="88"/>
  <c r="AC309" i="88"/>
  <c r="O310" i="88"/>
  <c r="AB310" i="88"/>
  <c r="E162" i="88"/>
  <c r="V243" i="88"/>
  <c r="AD244" i="88"/>
  <c r="M244" i="88"/>
  <c r="AE244" i="88"/>
  <c r="P263" i="88"/>
  <c r="AD305" i="88"/>
  <c r="T270" i="88"/>
  <c r="R271" i="88"/>
  <c r="U271" i="88"/>
  <c r="K272" i="88"/>
  <c r="H272" i="88"/>
  <c r="T272" i="88"/>
  <c r="R273" i="88"/>
  <c r="U273" i="88"/>
  <c r="K274" i="88"/>
  <c r="H274" i="88"/>
  <c r="T274" i="88"/>
  <c r="R275" i="88"/>
  <c r="U275" i="88"/>
  <c r="K276" i="88"/>
  <c r="H276" i="88"/>
  <c r="T276" i="88"/>
  <c r="R277" i="88"/>
  <c r="U277" i="88"/>
  <c r="K278" i="88"/>
  <c r="H278" i="88"/>
  <c r="T278" i="88"/>
  <c r="R279" i="88"/>
  <c r="U279" i="88"/>
  <c r="K280" i="88"/>
  <c r="H280" i="88"/>
  <c r="T280" i="88"/>
  <c r="R281" i="88"/>
  <c r="U281" i="88"/>
  <c r="K282" i="88"/>
  <c r="H282" i="88"/>
  <c r="T282" i="88"/>
  <c r="R283" i="88"/>
  <c r="U283" i="88"/>
  <c r="K284" i="88"/>
  <c r="H284" i="88"/>
  <c r="T284" i="88"/>
  <c r="R285" i="88"/>
  <c r="U285" i="88"/>
  <c r="K286" i="88"/>
  <c r="H286" i="88"/>
  <c r="T286" i="88"/>
  <c r="R287" i="88"/>
  <c r="U287" i="88"/>
  <c r="K288" i="88"/>
  <c r="H288" i="88"/>
  <c r="T288" i="88"/>
  <c r="R289" i="88"/>
  <c r="U289" i="88"/>
  <c r="K290" i="88"/>
  <c r="H290" i="88"/>
  <c r="T290" i="88"/>
  <c r="R291" i="88"/>
  <c r="U291" i="88"/>
  <c r="K292" i="88"/>
  <c r="H292" i="88"/>
  <c r="T292" i="88"/>
  <c r="R293" i="88"/>
  <c r="U293" i="88"/>
  <c r="K294" i="88"/>
  <c r="H294" i="88"/>
  <c r="T294" i="88"/>
  <c r="R295" i="88"/>
  <c r="U295" i="88"/>
  <c r="K296" i="88"/>
  <c r="H296" i="88"/>
  <c r="T296" i="88"/>
  <c r="R297" i="88"/>
  <c r="U297" i="88"/>
  <c r="K298" i="88"/>
  <c r="H298" i="88"/>
  <c r="T298" i="88"/>
  <c r="R299" i="88"/>
  <c r="U299" i="88"/>
  <c r="K300" i="88"/>
  <c r="H300" i="88"/>
  <c r="T300" i="88"/>
  <c r="R301" i="88"/>
  <c r="U301" i="88"/>
  <c r="K302" i="88"/>
  <c r="H302" i="88"/>
  <c r="T302" i="88"/>
  <c r="R303" i="88"/>
  <c r="U303" i="88"/>
  <c r="K304" i="88"/>
  <c r="H304" i="88"/>
  <c r="V304" i="88"/>
  <c r="AL304" i="88"/>
  <c r="AA243" i="88"/>
  <c r="AC243" i="88"/>
  <c r="AC244" i="88"/>
  <c r="AC245" i="88"/>
  <c r="AC246" i="88"/>
  <c r="AC247" i="88"/>
  <c r="AC248" i="88"/>
  <c r="AC249" i="88"/>
  <c r="AC250" i="88"/>
  <c r="AC251" i="88"/>
  <c r="AC252" i="88"/>
  <c r="AC253" i="88"/>
  <c r="AC254" i="88"/>
  <c r="AC255" i="88"/>
  <c r="AC256" i="88"/>
  <c r="AC257" i="88"/>
  <c r="AC258" i="88"/>
  <c r="AC259" i="88"/>
  <c r="AC260" i="88"/>
  <c r="AC261" i="88"/>
  <c r="AC262" i="88"/>
  <c r="AC263" i="88"/>
  <c r="AC264" i="88"/>
  <c r="AC265" i="88"/>
  <c r="AC266" i="88"/>
  <c r="AC267" i="88"/>
  <c r="AC268" i="88"/>
  <c r="AC269" i="88"/>
  <c r="AC270" i="88"/>
  <c r="AC271" i="88"/>
  <c r="AC272" i="88"/>
  <c r="AC273" i="88"/>
  <c r="AC274" i="88"/>
  <c r="AC275" i="88"/>
  <c r="AC276" i="88"/>
  <c r="AC277" i="88"/>
  <c r="AC278" i="88"/>
  <c r="AC279" i="88"/>
  <c r="AC280" i="88"/>
  <c r="AC281" i="88"/>
  <c r="AC282" i="88"/>
  <c r="AC283" i="88"/>
  <c r="AC284" i="88"/>
  <c r="AC285" i="88"/>
  <c r="AC286" i="88"/>
  <c r="AC287" i="88"/>
  <c r="AC288" i="88"/>
  <c r="O289" i="88"/>
  <c r="AB289" i="88"/>
  <c r="AD269" i="88"/>
  <c r="V268" i="88"/>
  <c r="AL268" i="88"/>
  <c r="AG307" i="88"/>
  <c r="R300" i="88"/>
  <c r="U300" i="88"/>
  <c r="K301" i="88"/>
  <c r="H301" i="88"/>
  <c r="T301" i="88"/>
  <c r="R302" i="88"/>
  <c r="U302" i="88"/>
  <c r="K303" i="88"/>
  <c r="H303" i="88"/>
  <c r="T303" i="88"/>
  <c r="R304" i="88"/>
  <c r="U304" i="88"/>
  <c r="K305" i="88"/>
  <c r="H305" i="88"/>
  <c r="T305" i="88"/>
  <c r="R306" i="88"/>
  <c r="U306" i="88"/>
  <c r="AA307" i="88"/>
  <c r="G161" i="88"/>
  <c r="N262" i="88"/>
  <c r="AH262" i="88"/>
  <c r="AA293" i="88"/>
  <c r="AG293" i="88"/>
  <c r="G379" i="88"/>
  <c r="F379" i="88"/>
  <c r="E379" i="88"/>
  <c r="T297" i="88"/>
  <c r="R298" i="88"/>
  <c r="U298" i="88"/>
  <c r="K299" i="88"/>
  <c r="H299" i="88"/>
  <c r="T299" i="88"/>
  <c r="S300" i="88"/>
  <c r="AK300" i="88"/>
  <c r="C379" i="88"/>
  <c r="D379" i="88"/>
  <c r="P288" i="88"/>
  <c r="AG258" i="88"/>
  <c r="AA258" i="88"/>
  <c r="F343" i="88"/>
  <c r="E343" i="88"/>
  <c r="D343" i="88"/>
  <c r="S264" i="88"/>
  <c r="AK264" i="88"/>
  <c r="C343" i="88"/>
  <c r="G343" i="88"/>
  <c r="AD298" i="88"/>
  <c r="R278" i="88"/>
  <c r="U278" i="88"/>
  <c r="K279" i="88"/>
  <c r="H279" i="88"/>
  <c r="T279" i="88"/>
  <c r="R280" i="88"/>
  <c r="U280" i="88"/>
  <c r="K281" i="88"/>
  <c r="H281" i="88"/>
  <c r="T281" i="88"/>
  <c r="R282" i="88"/>
  <c r="U282" i="88"/>
  <c r="K283" i="88"/>
  <c r="H283" i="88"/>
  <c r="T283" i="88"/>
  <c r="R284" i="88"/>
  <c r="U284" i="88"/>
  <c r="K285" i="88"/>
  <c r="H285" i="88"/>
  <c r="T285" i="88"/>
  <c r="R286" i="88"/>
  <c r="U286" i="88"/>
  <c r="K287" i="88"/>
  <c r="H287" i="88"/>
  <c r="T287" i="88"/>
  <c r="R288" i="88"/>
  <c r="U288" i="88"/>
  <c r="K289" i="88"/>
  <c r="H289" i="88"/>
  <c r="T289" i="88"/>
  <c r="R290" i="88"/>
  <c r="U290" i="88"/>
  <c r="K291" i="88"/>
  <c r="H291" i="88"/>
  <c r="T291" i="88"/>
  <c r="R292" i="88"/>
  <c r="U292" i="88"/>
  <c r="K293" i="88"/>
  <c r="H293" i="88"/>
  <c r="T293" i="88"/>
  <c r="R294" i="88"/>
  <c r="U294" i="88"/>
  <c r="K295" i="88"/>
  <c r="H295" i="88"/>
  <c r="T295" i="88"/>
  <c r="R296" i="88"/>
  <c r="U296" i="88"/>
  <c r="K297" i="88"/>
  <c r="H297" i="88"/>
  <c r="V297" i="88"/>
  <c r="AL297" i="88"/>
  <c r="AG249" i="88"/>
  <c r="AA249" i="88"/>
  <c r="AL270" i="88"/>
  <c r="K266" i="88"/>
  <c r="H266" i="88"/>
  <c r="T266" i="88"/>
  <c r="R267" i="88"/>
  <c r="U267" i="88"/>
  <c r="K268" i="88"/>
  <c r="H268" i="88"/>
  <c r="T268" i="88"/>
  <c r="R269" i="88"/>
  <c r="U269" i="88"/>
  <c r="K270" i="88"/>
  <c r="H270" i="88"/>
  <c r="V270" i="88"/>
  <c r="AD271" i="88"/>
  <c r="AA266" i="88"/>
  <c r="T242" i="88"/>
  <c r="R243" i="88"/>
  <c r="U243" i="88"/>
  <c r="K244" i="88"/>
  <c r="H244" i="88"/>
  <c r="T244" i="88"/>
  <c r="R245" i="88"/>
  <c r="U245" i="88"/>
  <c r="K246" i="88"/>
  <c r="H246" i="88"/>
  <c r="T246" i="88"/>
  <c r="R247" i="88"/>
  <c r="U247" i="88"/>
  <c r="K248" i="88"/>
  <c r="H248" i="88"/>
  <c r="T248" i="88"/>
  <c r="R249" i="88"/>
  <c r="U249" i="88"/>
  <c r="K250" i="88"/>
  <c r="H250" i="88"/>
  <c r="T250" i="88"/>
  <c r="R251" i="88"/>
  <c r="U251" i="88"/>
  <c r="K252" i="88"/>
  <c r="H252" i="88"/>
  <c r="T252" i="88"/>
  <c r="R253" i="88"/>
  <c r="U253" i="88"/>
  <c r="K254" i="88"/>
  <c r="H254" i="88"/>
  <c r="T254" i="88"/>
  <c r="R255" i="88"/>
  <c r="U255" i="88"/>
  <c r="K256" i="88"/>
  <c r="H256" i="88"/>
  <c r="T256" i="88"/>
  <c r="R257" i="88"/>
  <c r="U257" i="88"/>
  <c r="K258" i="88"/>
  <c r="H258" i="88"/>
  <c r="T258" i="88"/>
  <c r="R259" i="88"/>
  <c r="U259" i="88"/>
  <c r="K260" i="88"/>
  <c r="H260" i="88"/>
  <c r="T260" i="88"/>
  <c r="R261" i="88"/>
  <c r="U261" i="88"/>
  <c r="K262" i="88"/>
  <c r="H262" i="88"/>
  <c r="T262" i="88"/>
  <c r="R263" i="88"/>
  <c r="U263" i="88"/>
  <c r="K264" i="88"/>
  <c r="H264" i="88"/>
  <c r="T264" i="88"/>
  <c r="R265" i="88"/>
  <c r="U265" i="88"/>
  <c r="AG266" i="88"/>
  <c r="K243" i="88"/>
  <c r="H243" i="88"/>
  <c r="T243" i="88"/>
  <c r="R244" i="88"/>
  <c r="U244" i="88"/>
  <c r="K245" i="88"/>
  <c r="H245" i="88"/>
  <c r="T245" i="88"/>
  <c r="R246" i="88"/>
  <c r="U246" i="88"/>
  <c r="K247" i="88"/>
  <c r="H247" i="88"/>
  <c r="T247" i="88"/>
  <c r="R248" i="88"/>
  <c r="U248" i="88"/>
  <c r="K249" i="88"/>
  <c r="H249" i="88"/>
  <c r="T249" i="88"/>
  <c r="R250" i="88"/>
  <c r="U250" i="88"/>
  <c r="K251" i="88"/>
  <c r="H251" i="88"/>
  <c r="T251" i="88"/>
  <c r="R252" i="88"/>
  <c r="U252" i="88"/>
  <c r="K253" i="88"/>
  <c r="H253" i="88"/>
  <c r="T253" i="88"/>
  <c r="R254" i="88"/>
  <c r="U254" i="88"/>
  <c r="K255" i="88"/>
  <c r="H255" i="88"/>
  <c r="T255" i="88"/>
  <c r="R256" i="88"/>
  <c r="U256" i="88"/>
  <c r="K257" i="88"/>
  <c r="H257" i="88"/>
  <c r="T257" i="88"/>
  <c r="R258" i="88"/>
  <c r="U258" i="88"/>
  <c r="K259" i="88"/>
  <c r="H259" i="88"/>
  <c r="T259" i="88"/>
  <c r="R260" i="88"/>
  <c r="U260" i="88"/>
  <c r="K261" i="88"/>
  <c r="H261" i="88"/>
  <c r="T261" i="88"/>
  <c r="R262" i="88"/>
  <c r="U262" i="88"/>
  <c r="K263" i="88"/>
  <c r="H263" i="88"/>
  <c r="T263" i="88"/>
  <c r="R264" i="88"/>
  <c r="U264" i="88"/>
  <c r="K265" i="88"/>
  <c r="H265" i="88"/>
  <c r="T265" i="88"/>
  <c r="R266" i="88"/>
  <c r="U266" i="88"/>
  <c r="K267" i="88"/>
  <c r="H267" i="88"/>
  <c r="T267" i="88"/>
  <c r="R268" i="88"/>
  <c r="U268" i="88"/>
  <c r="K269" i="88"/>
  <c r="H269" i="88"/>
  <c r="T269" i="88"/>
  <c r="R270" i="88"/>
  <c r="U270" i="88"/>
  <c r="K271" i="88"/>
  <c r="H271" i="88"/>
  <c r="T271" i="88"/>
  <c r="R272" i="88"/>
  <c r="U272" i="88"/>
  <c r="K273" i="88"/>
  <c r="H273" i="88"/>
  <c r="T273" i="88"/>
  <c r="R274" i="88"/>
  <c r="U274" i="88"/>
  <c r="K275" i="88"/>
  <c r="H275" i="88"/>
  <c r="T275" i="88"/>
  <c r="R276" i="88"/>
  <c r="U276" i="88"/>
  <c r="K277" i="88"/>
  <c r="H277" i="88"/>
  <c r="T277" i="88"/>
  <c r="P278" i="88"/>
  <c r="Q242" i="88"/>
  <c r="R242" i="88"/>
  <c r="U242" i="88"/>
  <c r="AG243" i="88"/>
  <c r="AI243" i="88"/>
  <c r="AI244" i="88"/>
  <c r="AI245" i="88"/>
  <c r="AI246" i="88"/>
  <c r="AI247" i="88"/>
  <c r="AI248" i="88"/>
  <c r="AI249" i="88"/>
  <c r="AI250" i="88"/>
  <c r="AI251" i="88"/>
  <c r="AI252" i="88"/>
  <c r="AI253" i="88"/>
  <c r="AI254" i="88"/>
  <c r="AI255" i="88"/>
  <c r="AI256" i="88"/>
  <c r="AI257" i="88"/>
  <c r="AI258" i="88"/>
  <c r="AI259" i="88"/>
  <c r="AI260" i="88"/>
  <c r="AI261" i="88"/>
  <c r="AI262" i="88"/>
  <c r="AI263" i="88"/>
  <c r="AI264" i="88"/>
  <c r="AI265" i="88"/>
  <c r="AI266" i="88"/>
  <c r="AI267" i="88"/>
  <c r="AI268" i="88"/>
  <c r="AI269" i="88"/>
  <c r="AI270" i="88"/>
  <c r="N271" i="88"/>
  <c r="AH271" i="8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You, Young-Seok (KR/ICE1)</author>
  </authors>
  <commentList>
    <comment ref="M68" authorId="0" shapeId="0" xr:uid="{26C8EBF1-1C44-431E-A7D9-88353E1BDA92}">
      <text>
        <r>
          <rPr>
            <b/>
            <sz val="9"/>
            <color indexed="81"/>
            <rFont val="Tahoma"/>
            <family val="2"/>
          </rPr>
          <t>You, Young-Seok (KR/ICE1):</t>
        </r>
        <r>
          <rPr>
            <sz val="9"/>
            <color indexed="81"/>
            <rFont val="Tahoma"/>
            <family val="2"/>
          </rPr>
          <t xml:space="preserve">
2021 Q3 CF </t>
        </r>
        <r>
          <rPr>
            <sz val="9"/>
            <color indexed="81"/>
            <rFont val="돋움"/>
            <family val="3"/>
            <charset val="129"/>
          </rPr>
          <t>미제공에</t>
        </r>
        <r>
          <rPr>
            <sz val="9"/>
            <color indexed="81"/>
            <rFont val="Tahoma"/>
            <family val="2"/>
          </rPr>
          <t xml:space="preserve"> </t>
        </r>
        <r>
          <rPr>
            <sz val="9"/>
            <color indexed="81"/>
            <rFont val="돋움"/>
            <family val="3"/>
            <charset val="129"/>
          </rPr>
          <t>따라</t>
        </r>
        <r>
          <rPr>
            <sz val="9"/>
            <color indexed="81"/>
            <rFont val="Tahoma"/>
            <family val="2"/>
          </rPr>
          <t xml:space="preserve"> </t>
        </r>
        <r>
          <rPr>
            <sz val="9"/>
            <color indexed="81"/>
            <rFont val="돋움"/>
            <family val="3"/>
            <charset val="129"/>
          </rPr>
          <t>차액</t>
        </r>
        <r>
          <rPr>
            <sz val="9"/>
            <color indexed="81"/>
            <rFont val="Tahoma"/>
            <family val="2"/>
          </rPr>
          <t xml:space="preserve"> </t>
        </r>
        <r>
          <rPr>
            <sz val="9"/>
            <color indexed="81"/>
            <rFont val="돋움"/>
            <family val="3"/>
            <charset val="129"/>
          </rPr>
          <t>기입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 Hyun-Seok (KR/Deal Adv5)</author>
    <author>woongsangpark</author>
  </authors>
  <commentList>
    <comment ref="AA4" authorId="0" shapeId="0" xr:uid="{00000000-0006-0000-1500-000001000000}">
      <text>
        <r>
          <rPr>
            <b/>
            <sz val="9"/>
            <color indexed="81"/>
            <rFont val="Tahoma"/>
            <family val="2"/>
          </rPr>
          <t>Bloomberg</t>
        </r>
        <r>
          <rPr>
            <b/>
            <sz val="9"/>
            <color indexed="81"/>
            <rFont val="돋움"/>
            <family val="3"/>
            <charset val="129"/>
          </rPr>
          <t>에서</t>
        </r>
        <r>
          <rPr>
            <b/>
            <sz val="9"/>
            <color indexed="81"/>
            <rFont val="Tahoma"/>
            <family val="2"/>
          </rPr>
          <t xml:space="preserve"> </t>
        </r>
        <r>
          <rPr>
            <b/>
            <sz val="9"/>
            <color indexed="81"/>
            <rFont val="돋움"/>
            <family val="3"/>
            <charset val="129"/>
          </rPr>
          <t>조회되지</t>
        </r>
        <r>
          <rPr>
            <b/>
            <sz val="9"/>
            <color indexed="81"/>
            <rFont val="Tahoma"/>
            <family val="2"/>
          </rPr>
          <t xml:space="preserve"> </t>
        </r>
        <r>
          <rPr>
            <b/>
            <sz val="9"/>
            <color indexed="81"/>
            <rFont val="돋움"/>
            <family val="3"/>
            <charset val="129"/>
          </rPr>
          <t>않아</t>
        </r>
        <r>
          <rPr>
            <b/>
            <sz val="9"/>
            <color indexed="81"/>
            <rFont val="Tahoma"/>
            <family val="2"/>
          </rPr>
          <t>, CIQ</t>
        </r>
        <r>
          <rPr>
            <b/>
            <sz val="9"/>
            <color indexed="81"/>
            <rFont val="돋움"/>
            <family val="3"/>
            <charset val="129"/>
          </rPr>
          <t>에서</t>
        </r>
        <r>
          <rPr>
            <b/>
            <sz val="9"/>
            <color indexed="81"/>
            <rFont val="Tahoma"/>
            <family val="2"/>
          </rPr>
          <t xml:space="preserve"> </t>
        </r>
        <r>
          <rPr>
            <b/>
            <sz val="9"/>
            <color indexed="81"/>
            <rFont val="돋움"/>
            <family val="3"/>
            <charset val="129"/>
          </rPr>
          <t>조회한</t>
        </r>
        <r>
          <rPr>
            <b/>
            <sz val="9"/>
            <color indexed="81"/>
            <rFont val="Tahoma"/>
            <family val="2"/>
          </rPr>
          <t xml:space="preserve"> 2021</t>
        </r>
        <r>
          <rPr>
            <b/>
            <sz val="9"/>
            <color indexed="81"/>
            <rFont val="돋움"/>
            <family val="3"/>
            <charset val="129"/>
          </rPr>
          <t>년</t>
        </r>
        <r>
          <rPr>
            <b/>
            <sz val="9"/>
            <color indexed="81"/>
            <rFont val="Tahoma"/>
            <family val="2"/>
          </rPr>
          <t xml:space="preserve"> 1H LTM EBITDA</t>
        </r>
        <r>
          <rPr>
            <b/>
            <sz val="9"/>
            <color indexed="81"/>
            <rFont val="돋움"/>
            <family val="3"/>
            <charset val="129"/>
          </rPr>
          <t>수치</t>
        </r>
        <r>
          <rPr>
            <b/>
            <sz val="9"/>
            <color indexed="81"/>
            <rFont val="Tahoma"/>
            <family val="2"/>
          </rPr>
          <t xml:space="preserve"> </t>
        </r>
        <r>
          <rPr>
            <b/>
            <sz val="9"/>
            <color indexed="81"/>
            <rFont val="돋움"/>
            <family val="3"/>
            <charset val="129"/>
          </rPr>
          <t>준용</t>
        </r>
      </text>
    </comment>
    <comment ref="AM6" authorId="1" shapeId="0" xr:uid="{00000000-0006-0000-1500-000002000000}">
      <text>
        <r>
          <rPr>
            <b/>
            <sz val="9"/>
            <color indexed="81"/>
            <rFont val="Tahoma"/>
            <family val="2"/>
          </rPr>
          <t>Bloomberg</t>
        </r>
        <r>
          <rPr>
            <b/>
            <sz val="9"/>
            <color indexed="81"/>
            <rFont val="돋움"/>
            <family val="3"/>
            <charset val="129"/>
          </rPr>
          <t>에서</t>
        </r>
        <r>
          <rPr>
            <b/>
            <sz val="9"/>
            <color indexed="81"/>
            <rFont val="Tahoma"/>
            <family val="2"/>
          </rPr>
          <t xml:space="preserve"> </t>
        </r>
        <r>
          <rPr>
            <b/>
            <sz val="9"/>
            <color indexed="81"/>
            <rFont val="돋움"/>
            <family val="3"/>
            <charset val="129"/>
          </rPr>
          <t>조회되지</t>
        </r>
        <r>
          <rPr>
            <b/>
            <sz val="9"/>
            <color indexed="81"/>
            <rFont val="Tahoma"/>
            <family val="2"/>
          </rPr>
          <t xml:space="preserve"> </t>
        </r>
        <r>
          <rPr>
            <b/>
            <sz val="9"/>
            <color indexed="81"/>
            <rFont val="돋움"/>
            <family val="3"/>
            <charset val="129"/>
          </rPr>
          <t>않아</t>
        </r>
        <r>
          <rPr>
            <b/>
            <sz val="9"/>
            <color indexed="81"/>
            <rFont val="Tahoma"/>
            <family val="2"/>
          </rPr>
          <t>, CIQ</t>
        </r>
        <r>
          <rPr>
            <b/>
            <sz val="9"/>
            <color indexed="81"/>
            <rFont val="돋움"/>
            <family val="3"/>
            <charset val="129"/>
          </rPr>
          <t>에서</t>
        </r>
        <r>
          <rPr>
            <b/>
            <sz val="9"/>
            <color indexed="81"/>
            <rFont val="Tahoma"/>
            <family val="2"/>
          </rPr>
          <t xml:space="preserve"> </t>
        </r>
        <r>
          <rPr>
            <b/>
            <sz val="9"/>
            <color indexed="81"/>
            <rFont val="돋움"/>
            <family val="3"/>
            <charset val="129"/>
          </rPr>
          <t>조회한</t>
        </r>
        <r>
          <rPr>
            <b/>
            <sz val="9"/>
            <color indexed="81"/>
            <rFont val="Tahoma"/>
            <family val="2"/>
          </rPr>
          <t xml:space="preserve"> 2021</t>
        </r>
        <r>
          <rPr>
            <b/>
            <sz val="9"/>
            <color indexed="81"/>
            <rFont val="돋움"/>
            <family val="3"/>
            <charset val="129"/>
          </rPr>
          <t>년</t>
        </r>
        <r>
          <rPr>
            <b/>
            <sz val="9"/>
            <color indexed="81"/>
            <rFont val="Tahoma"/>
            <family val="2"/>
          </rPr>
          <t xml:space="preserve"> 1H </t>
        </r>
        <r>
          <rPr>
            <b/>
            <sz val="9"/>
            <color indexed="81"/>
            <rFont val="돋움"/>
            <family val="3"/>
            <charset val="129"/>
          </rPr>
          <t>수치</t>
        </r>
        <r>
          <rPr>
            <b/>
            <sz val="9"/>
            <color indexed="81"/>
            <rFont val="Tahoma"/>
            <family val="2"/>
          </rPr>
          <t xml:space="preserve"> </t>
        </r>
        <r>
          <rPr>
            <b/>
            <sz val="9"/>
            <color indexed="81"/>
            <rFont val="돋움"/>
            <family val="3"/>
            <charset val="129"/>
          </rPr>
          <t>준용</t>
        </r>
      </text>
    </comment>
    <comment ref="O13" authorId="0" shapeId="0" xr:uid="{00000000-0006-0000-1500-000003000000}">
      <text>
        <r>
          <rPr>
            <b/>
            <sz val="9"/>
            <color indexed="81"/>
            <rFont val="Tahoma"/>
            <family val="2"/>
          </rPr>
          <t>Bloomberg</t>
        </r>
        <r>
          <rPr>
            <b/>
            <sz val="9"/>
            <color indexed="81"/>
            <rFont val="돋움"/>
            <family val="3"/>
            <charset val="129"/>
          </rPr>
          <t>에서</t>
        </r>
        <r>
          <rPr>
            <b/>
            <sz val="9"/>
            <color indexed="81"/>
            <rFont val="Tahoma"/>
            <family val="2"/>
          </rPr>
          <t xml:space="preserve"> </t>
        </r>
        <r>
          <rPr>
            <b/>
            <sz val="9"/>
            <color indexed="81"/>
            <rFont val="돋움"/>
            <family val="3"/>
            <charset val="129"/>
          </rPr>
          <t>조회되지</t>
        </r>
        <r>
          <rPr>
            <b/>
            <sz val="9"/>
            <color indexed="81"/>
            <rFont val="Tahoma"/>
            <family val="2"/>
          </rPr>
          <t xml:space="preserve"> </t>
        </r>
        <r>
          <rPr>
            <b/>
            <sz val="9"/>
            <color indexed="81"/>
            <rFont val="돋움"/>
            <family val="3"/>
            <charset val="129"/>
          </rPr>
          <t>않아</t>
        </r>
        <r>
          <rPr>
            <b/>
            <sz val="9"/>
            <color indexed="81"/>
            <rFont val="Tahoma"/>
            <family val="2"/>
          </rPr>
          <t>, CIQ</t>
        </r>
        <r>
          <rPr>
            <b/>
            <sz val="9"/>
            <color indexed="81"/>
            <rFont val="돋움"/>
            <family val="3"/>
            <charset val="129"/>
          </rPr>
          <t>에서</t>
        </r>
        <r>
          <rPr>
            <b/>
            <sz val="9"/>
            <color indexed="81"/>
            <rFont val="Tahoma"/>
            <family val="2"/>
          </rPr>
          <t xml:space="preserve"> </t>
        </r>
        <r>
          <rPr>
            <b/>
            <sz val="9"/>
            <color indexed="81"/>
            <rFont val="돋움"/>
            <family val="3"/>
            <charset val="129"/>
          </rPr>
          <t>조회한</t>
        </r>
        <r>
          <rPr>
            <b/>
            <sz val="9"/>
            <color indexed="81"/>
            <rFont val="Tahoma"/>
            <family val="2"/>
          </rPr>
          <t xml:space="preserve"> 3</t>
        </r>
        <r>
          <rPr>
            <b/>
            <sz val="9"/>
            <color indexed="81"/>
            <rFont val="돋움"/>
            <family val="3"/>
            <charset val="129"/>
          </rPr>
          <t>월말</t>
        </r>
        <r>
          <rPr>
            <b/>
            <sz val="9"/>
            <color indexed="81"/>
            <rFont val="Tahoma"/>
            <family val="2"/>
          </rPr>
          <t xml:space="preserve"> </t>
        </r>
        <r>
          <rPr>
            <b/>
            <sz val="9"/>
            <color indexed="81"/>
            <rFont val="돋움"/>
            <family val="3"/>
            <charset val="129"/>
          </rPr>
          <t>수치준용</t>
        </r>
      </text>
    </comment>
    <comment ref="U13" authorId="0" shapeId="0" xr:uid="{00000000-0006-0000-1500-000004000000}">
      <text>
        <r>
          <rPr>
            <b/>
            <sz val="9"/>
            <color indexed="81"/>
            <rFont val="Tahoma"/>
            <family val="2"/>
          </rPr>
          <t>Bloomberg</t>
        </r>
        <r>
          <rPr>
            <b/>
            <sz val="9"/>
            <color indexed="81"/>
            <rFont val="돋움"/>
            <family val="3"/>
            <charset val="129"/>
          </rPr>
          <t>에서</t>
        </r>
        <r>
          <rPr>
            <b/>
            <sz val="9"/>
            <color indexed="81"/>
            <rFont val="Tahoma"/>
            <family val="2"/>
          </rPr>
          <t xml:space="preserve"> </t>
        </r>
        <r>
          <rPr>
            <b/>
            <sz val="9"/>
            <color indexed="81"/>
            <rFont val="돋움"/>
            <family val="3"/>
            <charset val="129"/>
          </rPr>
          <t>조회되지</t>
        </r>
        <r>
          <rPr>
            <b/>
            <sz val="9"/>
            <color indexed="81"/>
            <rFont val="Tahoma"/>
            <family val="2"/>
          </rPr>
          <t xml:space="preserve"> </t>
        </r>
        <r>
          <rPr>
            <b/>
            <sz val="9"/>
            <color indexed="81"/>
            <rFont val="돋움"/>
            <family val="3"/>
            <charset val="129"/>
          </rPr>
          <t>않아</t>
        </r>
        <r>
          <rPr>
            <b/>
            <sz val="9"/>
            <color indexed="81"/>
            <rFont val="Tahoma"/>
            <family val="2"/>
          </rPr>
          <t>, CIQ</t>
        </r>
        <r>
          <rPr>
            <b/>
            <sz val="9"/>
            <color indexed="81"/>
            <rFont val="돋움"/>
            <family val="3"/>
            <charset val="129"/>
          </rPr>
          <t>에서</t>
        </r>
        <r>
          <rPr>
            <b/>
            <sz val="9"/>
            <color indexed="81"/>
            <rFont val="Tahoma"/>
            <family val="2"/>
          </rPr>
          <t xml:space="preserve"> </t>
        </r>
        <r>
          <rPr>
            <b/>
            <sz val="9"/>
            <color indexed="81"/>
            <rFont val="돋움"/>
            <family val="3"/>
            <charset val="129"/>
          </rPr>
          <t>조회한</t>
        </r>
        <r>
          <rPr>
            <b/>
            <sz val="9"/>
            <color indexed="81"/>
            <rFont val="Tahoma"/>
            <family val="2"/>
          </rPr>
          <t xml:space="preserve"> 3</t>
        </r>
        <r>
          <rPr>
            <b/>
            <sz val="9"/>
            <color indexed="81"/>
            <rFont val="돋움"/>
            <family val="3"/>
            <charset val="129"/>
          </rPr>
          <t>월말</t>
        </r>
        <r>
          <rPr>
            <b/>
            <sz val="9"/>
            <color indexed="81"/>
            <rFont val="Tahoma"/>
            <family val="2"/>
          </rPr>
          <t xml:space="preserve"> </t>
        </r>
        <r>
          <rPr>
            <b/>
            <sz val="9"/>
            <color indexed="81"/>
            <rFont val="돋움"/>
            <family val="3"/>
            <charset val="129"/>
          </rPr>
          <t>수치준용</t>
        </r>
      </text>
    </comment>
    <comment ref="AM13" authorId="1" shapeId="0" xr:uid="{00000000-0006-0000-1500-000005000000}">
      <text>
        <r>
          <rPr>
            <b/>
            <sz val="9"/>
            <color indexed="81"/>
            <rFont val="Tahoma"/>
            <family val="2"/>
          </rPr>
          <t>Bloomberg</t>
        </r>
        <r>
          <rPr>
            <b/>
            <sz val="9"/>
            <color indexed="81"/>
            <rFont val="돋움"/>
            <family val="3"/>
            <charset val="129"/>
          </rPr>
          <t>에서</t>
        </r>
        <r>
          <rPr>
            <b/>
            <sz val="9"/>
            <color indexed="81"/>
            <rFont val="Tahoma"/>
            <family val="2"/>
          </rPr>
          <t xml:space="preserve"> </t>
        </r>
        <r>
          <rPr>
            <b/>
            <sz val="9"/>
            <color indexed="81"/>
            <rFont val="돋움"/>
            <family val="3"/>
            <charset val="129"/>
          </rPr>
          <t>조회되지</t>
        </r>
        <r>
          <rPr>
            <b/>
            <sz val="9"/>
            <color indexed="81"/>
            <rFont val="Tahoma"/>
            <family val="2"/>
          </rPr>
          <t xml:space="preserve"> </t>
        </r>
        <r>
          <rPr>
            <b/>
            <sz val="9"/>
            <color indexed="81"/>
            <rFont val="돋움"/>
            <family val="3"/>
            <charset val="129"/>
          </rPr>
          <t>않아</t>
        </r>
        <r>
          <rPr>
            <b/>
            <sz val="9"/>
            <color indexed="81"/>
            <rFont val="Tahoma"/>
            <family val="2"/>
          </rPr>
          <t>, CIQ</t>
        </r>
        <r>
          <rPr>
            <b/>
            <sz val="9"/>
            <color indexed="81"/>
            <rFont val="돋움"/>
            <family val="3"/>
            <charset val="129"/>
          </rPr>
          <t>에서</t>
        </r>
        <r>
          <rPr>
            <b/>
            <sz val="9"/>
            <color indexed="81"/>
            <rFont val="Tahoma"/>
            <family val="2"/>
          </rPr>
          <t xml:space="preserve"> </t>
        </r>
        <r>
          <rPr>
            <b/>
            <sz val="9"/>
            <color indexed="81"/>
            <rFont val="돋움"/>
            <family val="3"/>
            <charset val="129"/>
          </rPr>
          <t>조회한</t>
        </r>
        <r>
          <rPr>
            <b/>
            <sz val="9"/>
            <color indexed="81"/>
            <rFont val="Tahoma"/>
            <family val="2"/>
          </rPr>
          <t xml:space="preserve"> 2021</t>
        </r>
        <r>
          <rPr>
            <b/>
            <sz val="9"/>
            <color indexed="81"/>
            <rFont val="돋움"/>
            <family val="3"/>
            <charset val="129"/>
          </rPr>
          <t>년</t>
        </r>
        <r>
          <rPr>
            <b/>
            <sz val="9"/>
            <color indexed="81"/>
            <rFont val="Tahoma"/>
            <family val="2"/>
          </rPr>
          <t xml:space="preserve"> 1H </t>
        </r>
        <r>
          <rPr>
            <b/>
            <sz val="9"/>
            <color indexed="81"/>
            <rFont val="돋움"/>
            <family val="3"/>
            <charset val="129"/>
          </rPr>
          <t>수치</t>
        </r>
        <r>
          <rPr>
            <b/>
            <sz val="9"/>
            <color indexed="81"/>
            <rFont val="Tahoma"/>
            <family val="2"/>
          </rPr>
          <t xml:space="preserve"> </t>
        </r>
        <r>
          <rPr>
            <b/>
            <sz val="9"/>
            <color indexed="81"/>
            <rFont val="돋움"/>
            <family val="3"/>
            <charset val="129"/>
          </rPr>
          <t>준용</t>
        </r>
      </text>
    </comment>
    <comment ref="O17" authorId="0" shapeId="0" xr:uid="{00000000-0006-0000-1500-000006000000}">
      <text>
        <r>
          <rPr>
            <b/>
            <sz val="9"/>
            <color indexed="81"/>
            <rFont val="Tahoma"/>
            <family val="2"/>
          </rPr>
          <t>Bloomberg</t>
        </r>
        <r>
          <rPr>
            <b/>
            <sz val="9"/>
            <color indexed="81"/>
            <rFont val="돋움"/>
            <family val="3"/>
            <charset val="129"/>
          </rPr>
          <t>에서</t>
        </r>
        <r>
          <rPr>
            <b/>
            <sz val="9"/>
            <color indexed="81"/>
            <rFont val="Tahoma"/>
            <family val="2"/>
          </rPr>
          <t xml:space="preserve"> </t>
        </r>
        <r>
          <rPr>
            <b/>
            <sz val="9"/>
            <color indexed="81"/>
            <rFont val="돋움"/>
            <family val="3"/>
            <charset val="129"/>
          </rPr>
          <t>조회되지</t>
        </r>
        <r>
          <rPr>
            <b/>
            <sz val="9"/>
            <color indexed="81"/>
            <rFont val="Tahoma"/>
            <family val="2"/>
          </rPr>
          <t xml:space="preserve"> </t>
        </r>
        <r>
          <rPr>
            <b/>
            <sz val="9"/>
            <color indexed="81"/>
            <rFont val="돋움"/>
            <family val="3"/>
            <charset val="129"/>
          </rPr>
          <t>않아</t>
        </r>
        <r>
          <rPr>
            <b/>
            <sz val="9"/>
            <color indexed="81"/>
            <rFont val="Tahoma"/>
            <family val="2"/>
          </rPr>
          <t>, CIQ</t>
        </r>
        <r>
          <rPr>
            <b/>
            <sz val="9"/>
            <color indexed="81"/>
            <rFont val="돋움"/>
            <family val="3"/>
            <charset val="129"/>
          </rPr>
          <t>에서</t>
        </r>
        <r>
          <rPr>
            <b/>
            <sz val="9"/>
            <color indexed="81"/>
            <rFont val="Tahoma"/>
            <family val="2"/>
          </rPr>
          <t xml:space="preserve"> </t>
        </r>
        <r>
          <rPr>
            <b/>
            <sz val="9"/>
            <color indexed="81"/>
            <rFont val="돋움"/>
            <family val="3"/>
            <charset val="129"/>
          </rPr>
          <t>조회한</t>
        </r>
        <r>
          <rPr>
            <b/>
            <sz val="9"/>
            <color indexed="81"/>
            <rFont val="Tahoma"/>
            <family val="2"/>
          </rPr>
          <t xml:space="preserve"> 3</t>
        </r>
        <r>
          <rPr>
            <b/>
            <sz val="9"/>
            <color indexed="81"/>
            <rFont val="돋움"/>
            <family val="3"/>
            <charset val="129"/>
          </rPr>
          <t>월말</t>
        </r>
        <r>
          <rPr>
            <b/>
            <sz val="9"/>
            <color indexed="81"/>
            <rFont val="Tahoma"/>
            <family val="2"/>
          </rPr>
          <t xml:space="preserve"> </t>
        </r>
        <r>
          <rPr>
            <b/>
            <sz val="9"/>
            <color indexed="81"/>
            <rFont val="돋움"/>
            <family val="3"/>
            <charset val="129"/>
          </rPr>
          <t>수치준용</t>
        </r>
      </text>
    </comment>
    <comment ref="U17" authorId="0" shapeId="0" xr:uid="{00000000-0006-0000-1500-000007000000}">
      <text>
        <r>
          <rPr>
            <b/>
            <sz val="9"/>
            <color indexed="81"/>
            <rFont val="Tahoma"/>
            <family val="2"/>
          </rPr>
          <t>Bloomberg</t>
        </r>
        <r>
          <rPr>
            <b/>
            <sz val="9"/>
            <color indexed="81"/>
            <rFont val="돋움"/>
            <family val="3"/>
            <charset val="129"/>
          </rPr>
          <t>에서</t>
        </r>
        <r>
          <rPr>
            <b/>
            <sz val="9"/>
            <color indexed="81"/>
            <rFont val="Tahoma"/>
            <family val="2"/>
          </rPr>
          <t xml:space="preserve"> </t>
        </r>
        <r>
          <rPr>
            <b/>
            <sz val="9"/>
            <color indexed="81"/>
            <rFont val="돋움"/>
            <family val="3"/>
            <charset val="129"/>
          </rPr>
          <t>조회되지</t>
        </r>
        <r>
          <rPr>
            <b/>
            <sz val="9"/>
            <color indexed="81"/>
            <rFont val="Tahoma"/>
            <family val="2"/>
          </rPr>
          <t xml:space="preserve"> </t>
        </r>
        <r>
          <rPr>
            <b/>
            <sz val="9"/>
            <color indexed="81"/>
            <rFont val="돋움"/>
            <family val="3"/>
            <charset val="129"/>
          </rPr>
          <t>않아</t>
        </r>
        <r>
          <rPr>
            <b/>
            <sz val="9"/>
            <color indexed="81"/>
            <rFont val="Tahoma"/>
            <family val="2"/>
          </rPr>
          <t>, CIQ</t>
        </r>
        <r>
          <rPr>
            <b/>
            <sz val="9"/>
            <color indexed="81"/>
            <rFont val="돋움"/>
            <family val="3"/>
            <charset val="129"/>
          </rPr>
          <t>에서</t>
        </r>
        <r>
          <rPr>
            <b/>
            <sz val="9"/>
            <color indexed="81"/>
            <rFont val="Tahoma"/>
            <family val="2"/>
          </rPr>
          <t xml:space="preserve"> </t>
        </r>
        <r>
          <rPr>
            <b/>
            <sz val="9"/>
            <color indexed="81"/>
            <rFont val="돋움"/>
            <family val="3"/>
            <charset val="129"/>
          </rPr>
          <t>조회한</t>
        </r>
        <r>
          <rPr>
            <b/>
            <sz val="9"/>
            <color indexed="81"/>
            <rFont val="Tahoma"/>
            <family val="2"/>
          </rPr>
          <t xml:space="preserve"> 3</t>
        </r>
        <r>
          <rPr>
            <b/>
            <sz val="9"/>
            <color indexed="81"/>
            <rFont val="돋움"/>
            <family val="3"/>
            <charset val="129"/>
          </rPr>
          <t>월말</t>
        </r>
        <r>
          <rPr>
            <b/>
            <sz val="9"/>
            <color indexed="81"/>
            <rFont val="Tahoma"/>
            <family val="2"/>
          </rPr>
          <t xml:space="preserve"> </t>
        </r>
        <r>
          <rPr>
            <b/>
            <sz val="9"/>
            <color indexed="81"/>
            <rFont val="돋움"/>
            <family val="3"/>
            <charset val="129"/>
          </rPr>
          <t>수치준용</t>
        </r>
      </text>
    </comment>
    <comment ref="AM17" authorId="1" shapeId="0" xr:uid="{00000000-0006-0000-1500-000008000000}">
      <text>
        <r>
          <rPr>
            <b/>
            <sz val="9"/>
            <color indexed="81"/>
            <rFont val="Tahoma"/>
            <family val="2"/>
          </rPr>
          <t>Bloomberg</t>
        </r>
        <r>
          <rPr>
            <b/>
            <sz val="9"/>
            <color indexed="81"/>
            <rFont val="돋움"/>
            <family val="3"/>
            <charset val="129"/>
          </rPr>
          <t>에서</t>
        </r>
        <r>
          <rPr>
            <b/>
            <sz val="9"/>
            <color indexed="81"/>
            <rFont val="Tahoma"/>
            <family val="2"/>
          </rPr>
          <t xml:space="preserve"> </t>
        </r>
        <r>
          <rPr>
            <b/>
            <sz val="9"/>
            <color indexed="81"/>
            <rFont val="돋움"/>
            <family val="3"/>
            <charset val="129"/>
          </rPr>
          <t>조회되지</t>
        </r>
        <r>
          <rPr>
            <b/>
            <sz val="9"/>
            <color indexed="81"/>
            <rFont val="Tahoma"/>
            <family val="2"/>
          </rPr>
          <t xml:space="preserve"> </t>
        </r>
        <r>
          <rPr>
            <b/>
            <sz val="9"/>
            <color indexed="81"/>
            <rFont val="돋움"/>
            <family val="3"/>
            <charset val="129"/>
          </rPr>
          <t>않아</t>
        </r>
        <r>
          <rPr>
            <b/>
            <sz val="9"/>
            <color indexed="81"/>
            <rFont val="Tahoma"/>
            <family val="2"/>
          </rPr>
          <t>, CIQ</t>
        </r>
        <r>
          <rPr>
            <b/>
            <sz val="9"/>
            <color indexed="81"/>
            <rFont val="돋움"/>
            <family val="3"/>
            <charset val="129"/>
          </rPr>
          <t>에서</t>
        </r>
        <r>
          <rPr>
            <b/>
            <sz val="9"/>
            <color indexed="81"/>
            <rFont val="Tahoma"/>
            <family val="2"/>
          </rPr>
          <t xml:space="preserve"> </t>
        </r>
        <r>
          <rPr>
            <b/>
            <sz val="9"/>
            <color indexed="81"/>
            <rFont val="돋움"/>
            <family val="3"/>
            <charset val="129"/>
          </rPr>
          <t>조회한</t>
        </r>
        <r>
          <rPr>
            <b/>
            <sz val="9"/>
            <color indexed="81"/>
            <rFont val="Tahoma"/>
            <family val="2"/>
          </rPr>
          <t xml:space="preserve"> 2021</t>
        </r>
        <r>
          <rPr>
            <b/>
            <sz val="9"/>
            <color indexed="81"/>
            <rFont val="돋움"/>
            <family val="3"/>
            <charset val="129"/>
          </rPr>
          <t>년</t>
        </r>
        <r>
          <rPr>
            <b/>
            <sz val="9"/>
            <color indexed="81"/>
            <rFont val="Tahoma"/>
            <family val="2"/>
          </rPr>
          <t xml:space="preserve"> 1H </t>
        </r>
        <r>
          <rPr>
            <b/>
            <sz val="9"/>
            <color indexed="81"/>
            <rFont val="돋움"/>
            <family val="3"/>
            <charset val="129"/>
          </rPr>
          <t>수치</t>
        </r>
        <r>
          <rPr>
            <b/>
            <sz val="9"/>
            <color indexed="81"/>
            <rFont val="Tahoma"/>
            <family val="2"/>
          </rPr>
          <t xml:space="preserve"> </t>
        </r>
        <r>
          <rPr>
            <b/>
            <sz val="9"/>
            <color indexed="81"/>
            <rFont val="돋움"/>
            <family val="3"/>
            <charset val="129"/>
          </rPr>
          <t>준용</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<sst xmlns="http://schemas.openxmlformats.org/spreadsheetml/2006/main" count="42072" uniqueCount="13568">
  <si>
    <t>Key Base Factors</t>
    <phoneticPr fontId="6" type="noConversion"/>
  </si>
  <si>
    <t>Valuation Date</t>
    <phoneticPr fontId="6" type="noConversion"/>
  </si>
  <si>
    <t>Market Data Date</t>
    <phoneticPr fontId="6" type="noConversion"/>
  </si>
  <si>
    <t>Year End after Valuation Date</t>
    <phoneticPr fontId="1" type="noConversion"/>
  </si>
  <si>
    <t>Partial Period Factor</t>
    <phoneticPr fontId="1" type="noConversion"/>
  </si>
  <si>
    <t>2021(E)</t>
    <phoneticPr fontId="1" type="noConversion"/>
  </si>
  <si>
    <t>2022(E)</t>
    <phoneticPr fontId="1" type="noConversion"/>
  </si>
  <si>
    <t>2023(E)</t>
    <phoneticPr fontId="1" type="noConversion"/>
  </si>
  <si>
    <t>2024(E)</t>
    <phoneticPr fontId="1" type="noConversion"/>
  </si>
  <si>
    <t>2025(E)</t>
    <phoneticPr fontId="1" type="noConversion"/>
  </si>
  <si>
    <t>GDP Deflator</t>
  </si>
  <si>
    <t>소비자물가지수 (avg.)</t>
  </si>
  <si>
    <t>생산자물가지수 (avg.)</t>
  </si>
  <si>
    <t>평균명목임금상승률</t>
  </si>
  <si>
    <t>Legend</t>
    <phoneticPr fontId="6" type="noConversion"/>
  </si>
  <si>
    <t>Value</t>
    <phoneticPr fontId="1" type="noConversion"/>
  </si>
  <si>
    <t>수식 결과값</t>
    <phoneticPr fontId="1" type="noConversion"/>
  </si>
  <si>
    <t>상수</t>
    <phoneticPr fontId="1" type="noConversion"/>
  </si>
  <si>
    <t>참조값</t>
    <phoneticPr fontId="1" type="noConversion"/>
  </si>
  <si>
    <t>Control 변수</t>
    <phoneticPr fontId="1" type="noConversion"/>
  </si>
  <si>
    <t>Macro Indicators(from EIU)</t>
    <phoneticPr fontId="1" type="noConversion"/>
  </si>
  <si>
    <t>1.</t>
    <phoneticPr fontId="1" type="noConversion"/>
  </si>
  <si>
    <t>Summary</t>
    <phoneticPr fontId="1" type="noConversion"/>
  </si>
  <si>
    <t>Historical</t>
    <phoneticPr fontId="1" type="noConversion"/>
  </si>
  <si>
    <t>Forecast</t>
    <phoneticPr fontId="1" type="noConversion"/>
  </si>
  <si>
    <t>2017(A)</t>
    <phoneticPr fontId="1" type="noConversion"/>
  </si>
  <si>
    <t>2018(A)</t>
    <phoneticPr fontId="1" type="noConversion"/>
  </si>
  <si>
    <t>2019(A)</t>
  </si>
  <si>
    <t>Terminal</t>
    <phoneticPr fontId="1" type="noConversion"/>
  </si>
  <si>
    <t>Revenue</t>
    <phoneticPr fontId="1" type="noConversion"/>
  </si>
  <si>
    <t>COGS</t>
    <phoneticPr fontId="1" type="noConversion"/>
  </si>
  <si>
    <t>Gross Profit</t>
    <phoneticPr fontId="1" type="noConversion"/>
  </si>
  <si>
    <t>% of Revenue</t>
    <phoneticPr fontId="1" type="noConversion"/>
  </si>
  <si>
    <t>SG&amp;A</t>
    <phoneticPr fontId="1" type="noConversion"/>
  </si>
  <si>
    <t>EBIT</t>
    <phoneticPr fontId="1" type="noConversion"/>
  </si>
  <si>
    <t>Income Tax</t>
    <phoneticPr fontId="1" type="noConversion"/>
  </si>
  <si>
    <t>EBIT after Tax</t>
    <phoneticPr fontId="1" type="noConversion"/>
  </si>
  <si>
    <t>(+) D&amp;A</t>
    <phoneticPr fontId="1" type="noConversion"/>
  </si>
  <si>
    <t>= CAPEX</t>
    <phoneticPr fontId="1" type="noConversion"/>
  </si>
  <si>
    <t>(-) CAPEX</t>
    <phoneticPr fontId="1" type="noConversion"/>
  </si>
  <si>
    <t>= D&amp;A</t>
    <phoneticPr fontId="1" type="noConversion"/>
  </si>
  <si>
    <t>(+/-) NWC</t>
    <phoneticPr fontId="1" type="noConversion"/>
  </si>
  <si>
    <t>FCFF</t>
    <phoneticPr fontId="1" type="noConversion"/>
  </si>
  <si>
    <t>할인기간</t>
    <phoneticPr fontId="1" type="noConversion"/>
  </si>
  <si>
    <t>할인계수</t>
    <phoneticPr fontId="1" type="noConversion"/>
  </si>
  <si>
    <t>PV of FCFF</t>
    <phoneticPr fontId="1" type="noConversion"/>
  </si>
  <si>
    <t>대상기간 누적 현재가치</t>
    <phoneticPr fontId="1" type="noConversion"/>
  </si>
  <si>
    <t>Terminal Value의 현재가치</t>
    <phoneticPr fontId="1" type="noConversion"/>
  </si>
  <si>
    <t>영업가치</t>
    <phoneticPr fontId="1" type="noConversion"/>
  </si>
  <si>
    <t>영구성장률</t>
    <phoneticPr fontId="1" type="noConversion"/>
  </si>
  <si>
    <t>WACC</t>
    <phoneticPr fontId="1" type="noConversion"/>
  </si>
  <si>
    <t>DCF Results</t>
    <phoneticPr fontId="1" type="noConversion"/>
  </si>
  <si>
    <t>NOA</t>
    <phoneticPr fontId="1" type="noConversion"/>
  </si>
  <si>
    <t>기업가치</t>
    <phoneticPr fontId="1" type="noConversion"/>
  </si>
  <si>
    <t>지분가치</t>
    <phoneticPr fontId="1" type="noConversion"/>
  </si>
  <si>
    <t>합계</t>
    <phoneticPr fontId="1" type="noConversion"/>
  </si>
  <si>
    <t>IBD</t>
    <phoneticPr fontId="1" type="noConversion"/>
  </si>
  <si>
    <t>2020 9m(A)</t>
  </si>
  <si>
    <t>2020 3m(A)</t>
  </si>
  <si>
    <t>2020 3m(A)</t>
    <phoneticPr fontId="1" type="noConversion"/>
  </si>
  <si>
    <t>2020(A)</t>
  </si>
  <si>
    <t>2020(A)</t>
    <phoneticPr fontId="1" type="noConversion"/>
  </si>
  <si>
    <t>2021 6m(A)</t>
  </si>
  <si>
    <t>2021 6m(A)</t>
    <phoneticPr fontId="1" type="noConversion"/>
  </si>
  <si>
    <t>2021 6m(E)</t>
    <phoneticPr fontId="1" type="noConversion"/>
  </si>
  <si>
    <t>동제련</t>
    <phoneticPr fontId="1" type="noConversion"/>
  </si>
  <si>
    <t>종속회사</t>
    <phoneticPr fontId="1" type="noConversion"/>
  </si>
  <si>
    <t>내부거래</t>
    <phoneticPr fontId="1" type="noConversion"/>
  </si>
  <si>
    <t>2.</t>
    <phoneticPr fontId="1" type="noConversion"/>
  </si>
  <si>
    <t>2018(A)</t>
  </si>
  <si>
    <t>2021(E)</t>
  </si>
  <si>
    <t>2022(E)</t>
  </si>
  <si>
    <t>2023(E)</t>
  </si>
  <si>
    <t>2024(E)</t>
  </si>
  <si>
    <t>2025(E)</t>
  </si>
  <si>
    <t>CAPEX</t>
    <phoneticPr fontId="1" type="noConversion"/>
  </si>
  <si>
    <t>D&amp;A</t>
    <phoneticPr fontId="1" type="noConversion"/>
  </si>
  <si>
    <t>3.</t>
    <phoneticPr fontId="1" type="noConversion"/>
  </si>
  <si>
    <t>4.</t>
    <phoneticPr fontId="1" type="noConversion"/>
  </si>
  <si>
    <t>5.</t>
    <phoneticPr fontId="1" type="noConversion"/>
  </si>
  <si>
    <t>NWC</t>
    <phoneticPr fontId="1" type="noConversion"/>
  </si>
  <si>
    <t>과목</t>
  </si>
  <si>
    <t>자산</t>
  </si>
  <si>
    <t>  유동자산</t>
  </si>
  <si>
    <t>    현금및현금성자산</t>
  </si>
  <si>
    <t>    금융기관예치금</t>
  </si>
  <si>
    <t>    매출채권</t>
  </si>
  <si>
    <t>    기타수취채권</t>
  </si>
  <si>
    <t>    파생상품자산</t>
  </si>
  <si>
    <t>    재고자산</t>
  </si>
  <si>
    <t>    기타자산</t>
  </si>
  <si>
    <t>  비유동자산</t>
  </si>
  <si>
    <t>    유형자산</t>
  </si>
  <si>
    <t>    투자부동산</t>
  </si>
  <si>
    <t>    무형자산</t>
  </si>
  <si>
    <t>    사용권자산</t>
  </si>
  <si>
    <t>    당기손익-공정가치 금융자산</t>
  </si>
  <si>
    <t>    기타포괄손익-공정가치 금융자산</t>
  </si>
  <si>
    <t>    관계기업 및 공동기업투자</t>
  </si>
  <si>
    <t>    이연법인세자산</t>
  </si>
  <si>
    <t>    순확정급여자산</t>
  </si>
  <si>
    <t>자산 총계</t>
  </si>
  <si>
    <t>부채</t>
  </si>
  <si>
    <t>  유동부채</t>
  </si>
  <si>
    <t>    매입채무</t>
  </si>
  <si>
    <t>    차입금</t>
  </si>
  <si>
    <t>    파생상품부채</t>
  </si>
  <si>
    <t>    기타지급채무</t>
  </si>
  <si>
    <t>    당기법인세부채</t>
  </si>
  <si>
    <t>    충당부채</t>
  </si>
  <si>
    <t>    리스부채</t>
  </si>
  <si>
    <t>    기타부채</t>
  </si>
  <si>
    <t>  비유동부채</t>
  </si>
  <si>
    <t>    순확정급여부채</t>
  </si>
  <si>
    <t>    이연법인세부채</t>
  </si>
  <si>
    <t>부채 총계</t>
  </si>
  <si>
    <t>자본</t>
  </si>
  <si>
    <t>지배기업의 소유지분</t>
  </si>
  <si>
    <t>    자본금</t>
  </si>
  <si>
    <t>    기타자본항목</t>
  </si>
  <si>
    <t>    기타포괄손익누계액</t>
  </si>
  <si>
    <t>    이익잉여금</t>
  </si>
  <si>
    <t>비지배지분</t>
  </si>
  <si>
    <t>자본 총계</t>
  </si>
  <si>
    <t>자본 및 부채 총계</t>
  </si>
  <si>
    <t>-</t>
  </si>
  <si>
    <t>2020년</t>
  </si>
  <si>
    <t>2020년</t>
    <phoneticPr fontId="1" type="noConversion"/>
  </si>
  <si>
    <t>2019년</t>
  </si>
  <si>
    <t>2019년</t>
    <phoneticPr fontId="1" type="noConversion"/>
  </si>
  <si>
    <t> 유동자산</t>
  </si>
  <si>
    <t> 비유동자산</t>
  </si>
  <si>
    <t> 비유동부채</t>
  </si>
  <si>
    <t>2018년</t>
  </si>
  <si>
    <t>2018년</t>
    <phoneticPr fontId="1" type="noConversion"/>
  </si>
  <si>
    <t>2017년</t>
  </si>
  <si>
    <t>2017년</t>
    <phoneticPr fontId="1" type="noConversion"/>
  </si>
  <si>
    <t>    차입금</t>
    <phoneticPr fontId="1" type="noConversion"/>
  </si>
  <si>
    <t>    매도가능금융자산</t>
    <phoneticPr fontId="1" type="noConversion"/>
  </si>
  <si>
    <t>연결BS(Source: Dart)</t>
    <phoneticPr fontId="1" type="noConversion"/>
  </si>
  <si>
    <t>매출</t>
  </si>
  <si>
    <t>매출원가</t>
  </si>
  <si>
    <t>매출총이익</t>
  </si>
  <si>
    <t>판매비와관리비</t>
  </si>
  <si>
    <t>영업이익</t>
  </si>
  <si>
    <t>기타수익</t>
  </si>
  <si>
    <t>기타비용</t>
  </si>
  <si>
    <t>금융수익</t>
  </si>
  <si>
    <t>금융비용</t>
  </si>
  <si>
    <t>지분법손익</t>
  </si>
  <si>
    <t>기타영업외손익</t>
  </si>
  <si>
    <t>법인세비용차감전순이익</t>
  </si>
  <si>
    <t>법인세비용</t>
  </si>
  <si>
    <t>당기순이익</t>
  </si>
  <si>
    <t>기타포괄손익</t>
  </si>
  <si>
    <t>후속적으로 당기손익으로 재분류되지 않는 항목</t>
  </si>
  <si>
    <t>  순확정급여부채의 재측정요소</t>
  </si>
  <si>
    <t>  기타포괄손익-공정가치 금융자산 평가손익</t>
  </si>
  <si>
    <t>후속적으로 당기손익으로 재분류될 수 있는 항목</t>
  </si>
  <si>
    <t>  해외사업장환산차이</t>
  </si>
  <si>
    <t>  지분법자본변동</t>
  </si>
  <si>
    <t>  현금흐름위험회피</t>
  </si>
  <si>
    <t>당기 세후 기타포괄손익</t>
  </si>
  <si>
    <t>당기 총 포괄손익</t>
  </si>
  <si>
    <t>당기순손익의 귀속</t>
  </si>
  <si>
    <t>  지배기업의 소유주지분</t>
  </si>
  <si>
    <t>  비지배지분</t>
  </si>
  <si>
    <t>지배기업의 소유주 지분에 대한 주당순손익</t>
  </si>
  <si>
    <t>  기본 및 희석 주당순손익</t>
  </si>
  <si>
    <t> 매도가능금융자산 평가손익</t>
  </si>
  <si>
    <t>연결PL(Source: Dart)</t>
    <phoneticPr fontId="1" type="noConversion"/>
  </si>
  <si>
    <t>과      목</t>
  </si>
  <si>
    <t>    종속기업, 공동기업 및 관계기업투자</t>
  </si>
  <si>
    <t>  자본금</t>
  </si>
  <si>
    <t>  기타자본항목</t>
  </si>
  <si>
    <t>  기타포괄손익누계액</t>
  </si>
  <si>
    <t>  이익잉여금</t>
  </si>
  <si>
    <t>별첨 주석은 본 재무제표의 일부입니다.</t>
  </si>
  <si>
    <t xml:space="preserve">    매도가능금융자산</t>
    <phoneticPr fontId="1" type="noConversion"/>
  </si>
  <si>
    <t xml:space="preserve">    차입금</t>
    <phoneticPr fontId="1" type="noConversion"/>
  </si>
  <si>
    <t>별도BS(Source: Dart)</t>
    <phoneticPr fontId="1" type="noConversion"/>
  </si>
  <si>
    <t>과       목</t>
  </si>
  <si>
    <t>주당손익</t>
  </si>
  <si>
    <t>  기본및희석주당순이익</t>
  </si>
  <si>
    <t>별도PL(Source: Dart)</t>
    <phoneticPr fontId="1" type="noConversion"/>
  </si>
  <si>
    <t>구   분</t>
  </si>
  <si>
    <t>KPMG Group</t>
  </si>
  <si>
    <t>판매수량(기준단위)</t>
  </si>
  <si>
    <t>매출액 계</t>
  </si>
  <si>
    <t xml:space="preserve"> 매출액</t>
  </si>
  <si>
    <t xml:space="preserve"> Usance 매출조정</t>
  </si>
  <si>
    <t xml:space="preserve"> 재료비</t>
  </si>
  <si>
    <t xml:space="preserve"> 보조재료비</t>
  </si>
  <si>
    <t xml:space="preserve"> 노무비</t>
  </si>
  <si>
    <t xml:space="preserve"> 성과급</t>
  </si>
  <si>
    <t xml:space="preserve"> 감가상각비</t>
  </si>
  <si>
    <t xml:space="preserve"> 에너지비</t>
  </si>
  <si>
    <t xml:space="preserve"> 수선비</t>
  </si>
  <si>
    <t xml:space="preserve"> 소모품비</t>
  </si>
  <si>
    <t xml:space="preserve"> 기타경비</t>
  </si>
  <si>
    <t xml:space="preserve"> QP조정</t>
  </si>
  <si>
    <t xml:space="preserve"> 매출원가확정차</t>
  </si>
  <si>
    <t xml:space="preserve"> 원재료 Hedge_LME</t>
  </si>
  <si>
    <t xml:space="preserve"> 원재료 Hedge_F/X</t>
  </si>
  <si>
    <t xml:space="preserve"> Margin Hedge_LME</t>
  </si>
  <si>
    <t xml:space="preserve"> Margin Hedge_F/X</t>
  </si>
  <si>
    <t xml:space="preserve"> 관세환급 매출원가</t>
  </si>
  <si>
    <t xml:space="preserve"> 매출원가:결산</t>
  </si>
  <si>
    <t>매출이익</t>
  </si>
  <si>
    <t>판매관리비</t>
  </si>
  <si>
    <t xml:space="preserve">  운반보관료</t>
  </si>
  <si>
    <t xml:space="preserve">  수출부대비</t>
  </si>
  <si>
    <t xml:space="preserve">   견본비</t>
  </si>
  <si>
    <t xml:space="preserve">   포장비</t>
  </si>
  <si>
    <t xml:space="preserve">  인건비</t>
  </si>
  <si>
    <t xml:space="preserve">  광고선전비</t>
  </si>
  <si>
    <t xml:space="preserve">  대손상각비</t>
  </si>
  <si>
    <t xml:space="preserve">  여비교통비</t>
  </si>
  <si>
    <t xml:space="preserve">  경상연구개발비</t>
  </si>
  <si>
    <t xml:space="preserve">  용역비</t>
  </si>
  <si>
    <t xml:space="preserve">  수수료</t>
  </si>
  <si>
    <t xml:space="preserve">  보험료</t>
  </si>
  <si>
    <t xml:space="preserve">  기타판관비</t>
  </si>
  <si>
    <t>기타영업수익</t>
  </si>
  <si>
    <t xml:space="preserve"> 외환차익</t>
  </si>
  <si>
    <t xml:space="preserve"> 외화환산익</t>
  </si>
  <si>
    <t xml:space="preserve"> 선물거래차익</t>
  </si>
  <si>
    <t xml:space="preserve"> 파생상품평가익</t>
  </si>
  <si>
    <t xml:space="preserve"> 고정자산처분이익</t>
  </si>
  <si>
    <t xml:space="preserve"> 잡이익</t>
  </si>
  <si>
    <t xml:space="preserve"> 기타영업수익</t>
  </si>
  <si>
    <t>기타영업비용</t>
  </si>
  <si>
    <t xml:space="preserve"> 외화차손</t>
  </si>
  <si>
    <t xml:space="preserve"> 외화환산손</t>
  </si>
  <si>
    <t xml:space="preserve"> 선물거래차손</t>
  </si>
  <si>
    <t xml:space="preserve"> 파생상품평가손</t>
  </si>
  <si>
    <t xml:space="preserve"> 고정자산처분손실</t>
  </si>
  <si>
    <t xml:space="preserve"> 잡손실</t>
  </si>
  <si>
    <t xml:space="preserve"> 기타영업비용</t>
  </si>
  <si>
    <t>조정 영업이익</t>
  </si>
  <si>
    <t>2017(A)</t>
  </si>
  <si>
    <t>C10 Sulfuric acid</t>
  </si>
  <si>
    <t>황산</t>
  </si>
  <si>
    <t>C20 PSA</t>
  </si>
  <si>
    <t>PSA</t>
  </si>
  <si>
    <t>C32 L-SO2</t>
  </si>
  <si>
    <t>기타</t>
  </si>
  <si>
    <t>C33 L-SO3</t>
  </si>
  <si>
    <t>C36 Gypsum</t>
  </si>
  <si>
    <t>C37 Crude NiSO4</t>
  </si>
  <si>
    <t>니켈</t>
  </si>
  <si>
    <t>C38 Steam</t>
  </si>
  <si>
    <t>스팀</t>
  </si>
  <si>
    <t>C39 Te dioxide</t>
  </si>
  <si>
    <t>C42 Bi(희소금속)</t>
  </si>
  <si>
    <t>C43 Pb(희소금속)</t>
  </si>
  <si>
    <t>C44 Sn(희소금속)</t>
  </si>
  <si>
    <t>M10 Copper</t>
  </si>
  <si>
    <t>전기동</t>
  </si>
  <si>
    <t>M20 Ferrosand</t>
  </si>
  <si>
    <t>Ferrosand</t>
  </si>
  <si>
    <t>P10 Gold</t>
  </si>
  <si>
    <t>금</t>
  </si>
  <si>
    <t>P20 Silver</t>
  </si>
  <si>
    <t>은</t>
  </si>
  <si>
    <t>P30 Platinum</t>
  </si>
  <si>
    <t>백금</t>
  </si>
  <si>
    <t>P40 Palladium</t>
  </si>
  <si>
    <t>팔라듐</t>
  </si>
  <si>
    <t>P50 Selenium</t>
  </si>
  <si>
    <t>셀레늄</t>
  </si>
  <si>
    <t>P60 Primary Slag</t>
  </si>
  <si>
    <t>Precious sand</t>
  </si>
  <si>
    <t>P80 레늄</t>
  </si>
  <si>
    <t>동광석</t>
  </si>
  <si>
    <t>총합계</t>
  </si>
  <si>
    <t xml:space="preserve"> 매출단가조정</t>
  </si>
  <si>
    <t xml:space="preserve"> 보조재료비_변동</t>
  </si>
  <si>
    <t xml:space="preserve"> 보조재료비_고정</t>
  </si>
  <si>
    <t xml:space="preserve"> 노무비_변동</t>
  </si>
  <si>
    <t xml:space="preserve"> 노무비_고정</t>
  </si>
  <si>
    <t xml:space="preserve"> 성과급_변동</t>
  </si>
  <si>
    <t xml:space="preserve"> 성과급_고정</t>
  </si>
  <si>
    <t xml:space="preserve"> 감가상각비_변동</t>
  </si>
  <si>
    <t xml:space="preserve"> 감가상각비_고정</t>
  </si>
  <si>
    <t xml:space="preserve"> 에너지비_변동</t>
  </si>
  <si>
    <t xml:space="preserve"> 에너지비_고정</t>
  </si>
  <si>
    <t xml:space="preserve"> 수선비_변동</t>
  </si>
  <si>
    <t xml:space="preserve"> 수선비_고정</t>
  </si>
  <si>
    <t xml:space="preserve"> 소모품비_변동</t>
  </si>
  <si>
    <t xml:space="preserve"> 소모품비_고정</t>
  </si>
  <si>
    <t xml:space="preserve"> 기타경비_변동</t>
  </si>
  <si>
    <t xml:space="preserve"> 기타경비_고정</t>
  </si>
  <si>
    <t xml:space="preserve"> 원재료 Hedge_LME2</t>
  </si>
  <si>
    <t xml:space="preserve"> 원재료 Hedge_F/X2</t>
  </si>
  <si>
    <t xml:space="preserve"> Margin Hedge_LME2</t>
  </si>
  <si>
    <t xml:space="preserve"> Margin Hedge_F/X2</t>
  </si>
  <si>
    <t xml:space="preserve"> 용역매출원가</t>
  </si>
  <si>
    <t>C10       Sulfuric acid</t>
  </si>
  <si>
    <t>C20       PSA</t>
  </si>
  <si>
    <t>C32       L-S02</t>
  </si>
  <si>
    <t>C36       Gypsum</t>
  </si>
  <si>
    <t>C37       Crude NiS04</t>
  </si>
  <si>
    <t>C38       Steam</t>
  </si>
  <si>
    <t>C39       Tellurium</t>
  </si>
  <si>
    <t>C42       Bi(희소금속)</t>
  </si>
  <si>
    <t>C44       Sn(희소금속)</t>
  </si>
  <si>
    <t>M10       Copper</t>
  </si>
  <si>
    <t>M20       Ferrosand</t>
  </si>
  <si>
    <t>P10       Gold</t>
  </si>
  <si>
    <t>P20       Silver</t>
  </si>
  <si>
    <t>P30       Platinum</t>
  </si>
  <si>
    <t>P40       Palladium</t>
  </si>
  <si>
    <t>P50       Selenium</t>
  </si>
  <si>
    <t>P60       LS Precious Sand</t>
  </si>
  <si>
    <t>P70       Silver-소재</t>
  </si>
  <si>
    <t>silver소재</t>
  </si>
  <si>
    <t>P80       APR</t>
  </si>
  <si>
    <t>구   분</t>
    <phoneticPr fontId="1" type="noConversion"/>
  </si>
  <si>
    <t>KPMG Group</t>
    <phoneticPr fontId="1" type="noConversion"/>
  </si>
  <si>
    <t>기타</t>
    <phoneticPr fontId="1" type="noConversion"/>
  </si>
  <si>
    <t>X11       원료팀상품</t>
    <phoneticPr fontId="1" type="noConversion"/>
  </si>
  <si>
    <t>상품 코발트</t>
    <phoneticPr fontId="1" type="noConversion"/>
  </si>
  <si>
    <t>행 레이블</t>
    <phoneticPr fontId="1" type="noConversion"/>
  </si>
  <si>
    <t>구    분</t>
    <phoneticPr fontId="1" type="noConversion"/>
  </si>
  <si>
    <t>전기동</t>
    <phoneticPr fontId="1" type="noConversion"/>
  </si>
  <si>
    <t>환율</t>
  </si>
  <si>
    <t>Precious Sand</t>
  </si>
  <si>
    <t>주요매출액대비%</t>
  </si>
  <si>
    <t>동</t>
    <phoneticPr fontId="1" type="noConversion"/>
  </si>
  <si>
    <t>금</t>
    <phoneticPr fontId="1" type="noConversion"/>
  </si>
  <si>
    <t>은</t>
    <phoneticPr fontId="1" type="noConversion"/>
  </si>
  <si>
    <t>팔라듐</t>
    <phoneticPr fontId="1" type="noConversion"/>
  </si>
  <si>
    <t>백금</t>
    <phoneticPr fontId="1" type="noConversion"/>
  </si>
  <si>
    <t>니켈</t>
    <phoneticPr fontId="1" type="noConversion"/>
  </si>
  <si>
    <t>기준일</t>
  </si>
  <si>
    <t>동(USD/ton)</t>
    <phoneticPr fontId="1" type="noConversion"/>
  </si>
  <si>
    <t>니켈(USD/ton)</t>
    <phoneticPr fontId="1" type="noConversion"/>
  </si>
  <si>
    <t>n.p</t>
  </si>
  <si>
    <t>금속가격(Source: 한국자원정보서비스, https://www.macrotrends.net/2540/platinum-prices-historical-chart-data)</t>
    <phoneticPr fontId="1" type="noConversion"/>
  </si>
  <si>
    <t>은(USD/toz)</t>
    <phoneticPr fontId="1" type="noConversion"/>
  </si>
  <si>
    <t>백금(USD/toz)</t>
    <phoneticPr fontId="1" type="noConversion"/>
  </si>
  <si>
    <t>금(USD/toz)</t>
    <phoneticPr fontId="1" type="noConversion"/>
  </si>
  <si>
    <t>팔라듐(USD/toz)</t>
    <phoneticPr fontId="1" type="noConversion"/>
  </si>
  <si>
    <t>기간</t>
    <phoneticPr fontId="1" type="noConversion"/>
  </si>
  <si>
    <t>2020 9mA</t>
    <phoneticPr fontId="1" type="noConversion"/>
  </si>
  <si>
    <t>2020 3mA</t>
    <phoneticPr fontId="1" type="noConversion"/>
  </si>
  <si>
    <t>2021 6mA</t>
    <phoneticPr fontId="1" type="noConversion"/>
  </si>
  <si>
    <t>yy</t>
    <phoneticPr fontId="1" type="noConversion"/>
  </si>
  <si>
    <t>mm</t>
    <phoneticPr fontId="1" type="noConversion"/>
  </si>
  <si>
    <t>dd</t>
    <phoneticPr fontId="1" type="noConversion"/>
  </si>
  <si>
    <t>[Note]</t>
    <phoneticPr fontId="1" type="noConversion"/>
  </si>
  <si>
    <t>1. 1 toz = 31.1034768g</t>
    <phoneticPr fontId="1" type="noConversion"/>
  </si>
  <si>
    <t>프리미엄 가정</t>
    <phoneticPr fontId="1" type="noConversion"/>
  </si>
  <si>
    <t>구분</t>
    <phoneticPr fontId="1" type="noConversion"/>
  </si>
  <si>
    <t>Cu</t>
    <phoneticPr fontId="1" type="noConversion"/>
  </si>
  <si>
    <t>$/T</t>
    <phoneticPr fontId="1" type="noConversion"/>
  </si>
  <si>
    <t>내수</t>
    <phoneticPr fontId="1" type="noConversion"/>
  </si>
  <si>
    <t>수출</t>
    <phoneticPr fontId="1" type="noConversion"/>
  </si>
  <si>
    <t>Au</t>
    <phoneticPr fontId="1" type="noConversion"/>
  </si>
  <si>
    <t>%</t>
    <phoneticPr fontId="1" type="noConversion"/>
  </si>
  <si>
    <t>Ag</t>
    <phoneticPr fontId="1" type="noConversion"/>
  </si>
  <si>
    <t>Ag소재</t>
    <phoneticPr fontId="1" type="noConversion"/>
  </si>
  <si>
    <t>$/kg</t>
    <phoneticPr fontId="1" type="noConversion"/>
  </si>
  <si>
    <t>pd</t>
    <phoneticPr fontId="1" type="noConversion"/>
  </si>
  <si>
    <t>Pt</t>
    <phoneticPr fontId="1" type="noConversion"/>
  </si>
  <si>
    <t>Ni</t>
    <phoneticPr fontId="1" type="noConversion"/>
  </si>
  <si>
    <t>회사제시 사업계획 상 금속가격 20USD/toz 기반으로 역산</t>
    <phoneticPr fontId="1" type="noConversion"/>
  </si>
  <si>
    <t>n.p</t>
    <phoneticPr fontId="1" type="noConversion"/>
  </si>
  <si>
    <t xml:space="preserve"> 이자수익</t>
  </si>
  <si>
    <t xml:space="preserve"> 이자비용</t>
  </si>
  <si>
    <t xml:space="preserve"> 기부금</t>
  </si>
  <si>
    <t xml:space="preserve"> 기타영업외비용</t>
  </si>
  <si>
    <t>세전이익</t>
  </si>
  <si>
    <t>X11       원료팀제품</t>
  </si>
  <si>
    <t>매출원가 (합계)</t>
    <phoneticPr fontId="1" type="noConversion"/>
  </si>
  <si>
    <t>판매관리비  (합계)</t>
    <phoneticPr fontId="1" type="noConversion"/>
  </si>
  <si>
    <t>기타영업수익 (합계)</t>
    <phoneticPr fontId="1" type="noConversion"/>
  </si>
  <si>
    <t>기타영업비용 (합계)</t>
    <phoneticPr fontId="1" type="noConversion"/>
  </si>
  <si>
    <t>기타영업외수익 (합계)</t>
    <phoneticPr fontId="1" type="noConversion"/>
  </si>
  <si>
    <t>기타영업외비용 (합계)</t>
    <phoneticPr fontId="1" type="noConversion"/>
  </si>
  <si>
    <t>연례지화 가동중지 일수</t>
  </si>
  <si>
    <t>구분 (日)</t>
  </si>
  <si>
    <t>2021년 (F)</t>
  </si>
  <si>
    <t>2022년 (F)</t>
  </si>
  <si>
    <t>2023년 (F)</t>
  </si>
  <si>
    <t>2024년 (F)</t>
  </si>
  <si>
    <t>2025년 (F)</t>
  </si>
  <si>
    <t>제련 1공장</t>
  </si>
  <si>
    <t>제련 2공장</t>
  </si>
  <si>
    <t>가동률</t>
  </si>
  <si>
    <t>전기동생산량</t>
  </si>
  <si>
    <t>생산량/가동률</t>
  </si>
  <si>
    <t>1공장 연례지화 수행 연도 평균 적용(점검은 2023년 추정치 적용)</t>
  </si>
  <si>
    <t>연례</t>
  </si>
  <si>
    <t>1공장 연례지화 미수행 연도 평균 적용</t>
  </si>
  <si>
    <t>월례</t>
  </si>
  <si>
    <t>비계획중지</t>
  </si>
  <si>
    <t>점검</t>
  </si>
  <si>
    <t>사업계획상 점검지침 반영</t>
  </si>
  <si>
    <t>계</t>
  </si>
  <si>
    <t>2공장 연례지화 미수행 연도 평균 적용</t>
  </si>
  <si>
    <t>연례지화 일수(25일) 동일한 2023년 수치 적용</t>
  </si>
  <si>
    <t>금속가격예측치(Source: Worldbank, Capital IQ)</t>
    <phoneticPr fontId="1" type="noConversion"/>
  </si>
  <si>
    <t>기관</t>
    <phoneticPr fontId="1" type="noConversion"/>
  </si>
  <si>
    <t>Capital IQ</t>
  </si>
  <si>
    <t>World Bank</t>
  </si>
  <si>
    <t>환율 가정</t>
    <phoneticPr fontId="1" type="noConversion"/>
  </si>
  <si>
    <t>KRW/USD</t>
    <phoneticPr fontId="1" type="noConversion"/>
  </si>
  <si>
    <t>날짜</t>
  </si>
  <si>
    <t>통화명</t>
  </si>
  <si>
    <t>2020.01.02</t>
  </si>
  <si>
    <t>미 달러화 (USD)</t>
  </si>
  <si>
    <t>2020.01.03</t>
  </si>
  <si>
    <t>2020.01.06</t>
  </si>
  <si>
    <t>2020.01.07</t>
  </si>
  <si>
    <t>2020.01.08</t>
  </si>
  <si>
    <t>2020.01.09</t>
  </si>
  <si>
    <t>2020.01.10</t>
  </si>
  <si>
    <t>2020.01.13</t>
  </si>
  <si>
    <t>2020.01.14</t>
  </si>
  <si>
    <t>2020.01.15</t>
  </si>
  <si>
    <t>2020.01.16</t>
  </si>
  <si>
    <t>2020.01.17</t>
  </si>
  <si>
    <t>2020.01.20</t>
  </si>
  <si>
    <t>2020.01.21</t>
  </si>
  <si>
    <t>2020.01.22</t>
  </si>
  <si>
    <t>2020.01.23</t>
  </si>
  <si>
    <t>2020.01.28</t>
  </si>
  <si>
    <t>2020.01.29</t>
  </si>
  <si>
    <t>2020.01.30</t>
  </si>
  <si>
    <t>2020.01.31</t>
  </si>
  <si>
    <t>2020.02.03</t>
  </si>
  <si>
    <t>2020.02.04</t>
  </si>
  <si>
    <t>2020.02.05</t>
  </si>
  <si>
    <t>2020.02.06</t>
  </si>
  <si>
    <t>2020.02.07</t>
  </si>
  <si>
    <t>2020.02.10</t>
  </si>
  <si>
    <t>2020.02.11</t>
  </si>
  <si>
    <t>2020.02.12</t>
  </si>
  <si>
    <t>2020.02.13</t>
  </si>
  <si>
    <t>2020.02.14</t>
  </si>
  <si>
    <t>2020.02.17</t>
  </si>
  <si>
    <t>2020.02.18</t>
  </si>
  <si>
    <t>2020.02.19</t>
  </si>
  <si>
    <t>2020.02.20</t>
  </si>
  <si>
    <t>2020.02.21</t>
  </si>
  <si>
    <t>2020.02.24</t>
  </si>
  <si>
    <t>2020.02.25</t>
  </si>
  <si>
    <t>2020.02.26</t>
  </si>
  <si>
    <t>2020.02.27</t>
  </si>
  <si>
    <t>2020.02.28</t>
  </si>
  <si>
    <t>2020.03.02</t>
  </si>
  <si>
    <t>2020.03.03</t>
  </si>
  <si>
    <t>2020.03.04</t>
  </si>
  <si>
    <t>2020.03.05</t>
  </si>
  <si>
    <t>2020.03.06</t>
  </si>
  <si>
    <t>2020.03.09</t>
  </si>
  <si>
    <t>2020.03.10</t>
  </si>
  <si>
    <t>2020.03.11</t>
  </si>
  <si>
    <t>2020.03.12</t>
  </si>
  <si>
    <t>2020.03.13</t>
  </si>
  <si>
    <t>2020.03.16</t>
  </si>
  <si>
    <t>2020.03.17</t>
  </si>
  <si>
    <t>2020.03.18</t>
  </si>
  <si>
    <t>2020.03.19</t>
  </si>
  <si>
    <t>2020.03.20</t>
  </si>
  <si>
    <t>2020.03.23</t>
  </si>
  <si>
    <t>2020.03.24</t>
  </si>
  <si>
    <t>2020.03.25</t>
  </si>
  <si>
    <t>2020.03.26</t>
  </si>
  <si>
    <t>2020.03.27</t>
  </si>
  <si>
    <t>2020.03.30</t>
  </si>
  <si>
    <t>2020.03.31</t>
  </si>
  <si>
    <t>2020.04.01</t>
  </si>
  <si>
    <t>2020.04.02</t>
  </si>
  <si>
    <t>2020.04.03</t>
  </si>
  <si>
    <t>2020.04.06</t>
  </si>
  <si>
    <t>2020.04.07</t>
  </si>
  <si>
    <t>2020.04.08</t>
  </si>
  <si>
    <t>2020.04.09</t>
  </si>
  <si>
    <t>2020.04.10</t>
  </si>
  <si>
    <t>2020.04.13</t>
  </si>
  <si>
    <t>2020.04.14</t>
  </si>
  <si>
    <t>2020.04.16</t>
  </si>
  <si>
    <t>2020.04.17</t>
  </si>
  <si>
    <t>2020.04.20</t>
  </si>
  <si>
    <t>2020.04.21</t>
  </si>
  <si>
    <t>2020.04.22</t>
  </si>
  <si>
    <t>2020.04.23</t>
  </si>
  <si>
    <t>2020.04.24</t>
  </si>
  <si>
    <t>2020.04.27</t>
  </si>
  <si>
    <t>2020.04.28</t>
  </si>
  <si>
    <t>2020.04.29</t>
  </si>
  <si>
    <t>2020.05.04</t>
  </si>
  <si>
    <t>2020.05.06</t>
  </si>
  <si>
    <t>2020.05.07</t>
  </si>
  <si>
    <t>2020.05.08</t>
  </si>
  <si>
    <t>2020.05.11</t>
  </si>
  <si>
    <t>2020.05.12</t>
  </si>
  <si>
    <t>2020.05.13</t>
  </si>
  <si>
    <t>2020.05.14</t>
  </si>
  <si>
    <t>2020.05.15</t>
  </si>
  <si>
    <t>2020.05.18</t>
  </si>
  <si>
    <t>2020.05.19</t>
  </si>
  <si>
    <t>2020.05.20</t>
  </si>
  <si>
    <t>2020.05.21</t>
  </si>
  <si>
    <t>2020.05.22</t>
  </si>
  <si>
    <t>2020.05.25</t>
  </si>
  <si>
    <t>2020.05.26</t>
  </si>
  <si>
    <t>2020.05.27</t>
  </si>
  <si>
    <t>2020.05.28</t>
  </si>
  <si>
    <t>2020.05.29</t>
  </si>
  <si>
    <t>2020.06.01</t>
  </si>
  <si>
    <t>2020.06.02</t>
  </si>
  <si>
    <t>2020.06.03</t>
  </si>
  <si>
    <t>2020.06.04</t>
  </si>
  <si>
    <t>2020.06.05</t>
  </si>
  <si>
    <t>2020.06.08</t>
  </si>
  <si>
    <t>2020.06.09</t>
  </si>
  <si>
    <t>2020.06.10</t>
  </si>
  <si>
    <t>2020.06.11</t>
  </si>
  <si>
    <t>2020.06.12</t>
  </si>
  <si>
    <t>2020.06.15</t>
  </si>
  <si>
    <t>2020.06.16</t>
  </si>
  <si>
    <t>2020.06.17</t>
  </si>
  <si>
    <t>2020.06.18</t>
  </si>
  <si>
    <t>2020.06.19</t>
  </si>
  <si>
    <t>2020.06.22</t>
  </si>
  <si>
    <t>2020.06.23</t>
  </si>
  <si>
    <t>2020.06.24</t>
  </si>
  <si>
    <t>2020.06.25</t>
  </si>
  <si>
    <t>2020.06.26</t>
  </si>
  <si>
    <t>2020.06.29</t>
  </si>
  <si>
    <t>2020.06.30</t>
  </si>
  <si>
    <t>2020.07.01</t>
  </si>
  <si>
    <t>2020.07.02</t>
  </si>
  <si>
    <t>2020.07.03</t>
  </si>
  <si>
    <t>2020.07.06</t>
  </si>
  <si>
    <t>2020.07.07</t>
  </si>
  <si>
    <t>2020.07.08</t>
  </si>
  <si>
    <t>2020.07.09</t>
  </si>
  <si>
    <t>2020.07.10</t>
  </si>
  <si>
    <t>2020.07.13</t>
  </si>
  <si>
    <t>2020.07.14</t>
  </si>
  <si>
    <t>2020.07.15</t>
  </si>
  <si>
    <t>2020.07.16</t>
  </si>
  <si>
    <t>2020.07.17</t>
  </si>
  <si>
    <t>2020.07.20</t>
  </si>
  <si>
    <t>2020.07.21</t>
  </si>
  <si>
    <t>2020.07.22</t>
  </si>
  <si>
    <t>2020.07.23</t>
  </si>
  <si>
    <t>2020.07.24</t>
  </si>
  <si>
    <t>2020.07.27</t>
  </si>
  <si>
    <t>2020.07.28</t>
  </si>
  <si>
    <t>2020.07.29</t>
  </si>
  <si>
    <t>2020.07.30</t>
  </si>
  <si>
    <t>2020.07.31</t>
  </si>
  <si>
    <t>2020.08.03</t>
  </si>
  <si>
    <t>2020.08.04</t>
  </si>
  <si>
    <t>2020.08.05</t>
  </si>
  <si>
    <t>2020.08.06</t>
  </si>
  <si>
    <t>2020.08.07</t>
  </si>
  <si>
    <t>2020.08.10</t>
  </si>
  <si>
    <t>2020.08.11</t>
  </si>
  <si>
    <t>2020.08.12</t>
  </si>
  <si>
    <t>2020.08.13</t>
  </si>
  <si>
    <t>2020.08.14</t>
  </si>
  <si>
    <t>2020.08.18</t>
  </si>
  <si>
    <t>2020.08.19</t>
  </si>
  <si>
    <t>2020.08.20</t>
  </si>
  <si>
    <t>2020.08.21</t>
  </si>
  <si>
    <t>2020.08.24</t>
  </si>
  <si>
    <t>2020.08.25</t>
  </si>
  <si>
    <t>2020.08.26</t>
  </si>
  <si>
    <t>2020.08.27</t>
  </si>
  <si>
    <t>2020.08.28</t>
  </si>
  <si>
    <t>2020.08.31</t>
  </si>
  <si>
    <t>2020.09.01</t>
  </si>
  <si>
    <t>2020.09.02</t>
  </si>
  <si>
    <t>2020.09.03</t>
  </si>
  <si>
    <t>2020.09.04</t>
  </si>
  <si>
    <t>2020.09.07</t>
  </si>
  <si>
    <t>2020.09.08</t>
  </si>
  <si>
    <t>2020.09.09</t>
  </si>
  <si>
    <t>2020.09.10</t>
  </si>
  <si>
    <t>2020.09.11</t>
  </si>
  <si>
    <t>2020.09.14</t>
  </si>
  <si>
    <t>2020.09.15</t>
  </si>
  <si>
    <t>2020.09.16</t>
  </si>
  <si>
    <t>2020.09.17</t>
  </si>
  <si>
    <t>2020.09.18</t>
  </si>
  <si>
    <t>2020.09.21</t>
  </si>
  <si>
    <t>2020.09.22</t>
  </si>
  <si>
    <t>2020.09.23</t>
  </si>
  <si>
    <t>2020.09.24</t>
  </si>
  <si>
    <t>2020.09.25</t>
  </si>
  <si>
    <t>2020.09.28</t>
  </si>
  <si>
    <t>2020.09.29</t>
  </si>
  <si>
    <t>2020.10.05</t>
  </si>
  <si>
    <t>2020.10.06</t>
  </si>
  <si>
    <t>2020.10.07</t>
  </si>
  <si>
    <t>2020.10.08</t>
  </si>
  <si>
    <t>2020.10.12</t>
  </si>
  <si>
    <t>2020.10.13</t>
  </si>
  <si>
    <t>2020.10.14</t>
  </si>
  <si>
    <t>2020.10.15</t>
  </si>
  <si>
    <t>2020.10.16</t>
  </si>
  <si>
    <t>2020.10.19</t>
  </si>
  <si>
    <t>2020.10.20</t>
  </si>
  <si>
    <t>2020.10.21</t>
  </si>
  <si>
    <t>2020.10.22</t>
  </si>
  <si>
    <t>2020.10.23</t>
  </si>
  <si>
    <t>2020.10.26</t>
  </si>
  <si>
    <t>2020.10.27</t>
  </si>
  <si>
    <t>2020.10.28</t>
  </si>
  <si>
    <t>2020.10.29</t>
  </si>
  <si>
    <t>2020.10.30</t>
  </si>
  <si>
    <t>2020.11.02</t>
  </si>
  <si>
    <t>2020.11.03</t>
  </si>
  <si>
    <t>2020.11.04</t>
  </si>
  <si>
    <t>2020.11.05</t>
  </si>
  <si>
    <t>2020.11.06</t>
  </si>
  <si>
    <t>2020.11.09</t>
  </si>
  <si>
    <t>2020.11.10</t>
  </si>
  <si>
    <t>2020.11.11</t>
  </si>
  <si>
    <t>2020.11.12</t>
  </si>
  <si>
    <t>2020.11.13</t>
  </si>
  <si>
    <t>2020.11.16</t>
  </si>
  <si>
    <t>2020.11.17</t>
  </si>
  <si>
    <t>2020.11.18</t>
  </si>
  <si>
    <t>2020.11.19</t>
  </si>
  <si>
    <t>2020.11.20</t>
  </si>
  <si>
    <t>2020.11.23</t>
  </si>
  <si>
    <t>2020.11.24</t>
  </si>
  <si>
    <t>2020.11.25</t>
  </si>
  <si>
    <t>2020.11.26</t>
  </si>
  <si>
    <t>2020.11.27</t>
  </si>
  <si>
    <t>2020.11.30</t>
  </si>
  <si>
    <t>2020.12.01</t>
  </si>
  <si>
    <t>2020.12.02</t>
  </si>
  <si>
    <t>2020.12.03</t>
  </si>
  <si>
    <t>2020.12.04</t>
  </si>
  <si>
    <t>2020.12.07</t>
  </si>
  <si>
    <t>2020.12.08</t>
  </si>
  <si>
    <t>2020.12.09</t>
  </si>
  <si>
    <t>2020.12.10</t>
  </si>
  <si>
    <t>2020.12.11</t>
  </si>
  <si>
    <t>2020.12.14</t>
  </si>
  <si>
    <t>2020.12.15</t>
  </si>
  <si>
    <t>2020.12.16</t>
  </si>
  <si>
    <t>2020.12.17</t>
  </si>
  <si>
    <t>2020.12.18</t>
  </si>
  <si>
    <t>2020.12.21</t>
  </si>
  <si>
    <t>2020.12.22</t>
  </si>
  <si>
    <t>2020.12.23</t>
  </si>
  <si>
    <t>2020.12.24</t>
  </si>
  <si>
    <t>2020.12.28</t>
  </si>
  <si>
    <t>2020.12.29</t>
  </si>
  <si>
    <t>2020.12.30</t>
  </si>
  <si>
    <t>2020.12.31</t>
  </si>
  <si>
    <t>환율(Source: 서울외국환중개소)</t>
    <phoneticPr fontId="1" type="noConversion"/>
  </si>
  <si>
    <t>2019.01.02</t>
  </si>
  <si>
    <t>2019.01.03</t>
  </si>
  <si>
    <t>2019.01.04</t>
  </si>
  <si>
    <t>2019.01.07</t>
  </si>
  <si>
    <t>2019.01.08</t>
  </si>
  <si>
    <t>2019.01.09</t>
  </si>
  <si>
    <t>2019.01.10</t>
  </si>
  <si>
    <t>2019.01.11</t>
  </si>
  <si>
    <t>2019.01.14</t>
  </si>
  <si>
    <t>2019.01.15</t>
  </si>
  <si>
    <t>2019.01.16</t>
  </si>
  <si>
    <t>2019.01.17</t>
  </si>
  <si>
    <t>2019.01.18</t>
  </si>
  <si>
    <t>2019.01.21</t>
  </si>
  <si>
    <t>2019.01.22</t>
  </si>
  <si>
    <t>2019.01.23</t>
  </si>
  <si>
    <t>2019.01.24</t>
  </si>
  <si>
    <t>2019.01.25</t>
  </si>
  <si>
    <t>2019.01.28</t>
  </si>
  <si>
    <t>2019.01.29</t>
  </si>
  <si>
    <t>2019.01.30</t>
  </si>
  <si>
    <t>2019.01.31</t>
  </si>
  <si>
    <t>2019.02.01</t>
  </si>
  <si>
    <t>2019.02.07</t>
  </si>
  <si>
    <t>2019.02.08</t>
  </si>
  <si>
    <t>2019.02.11</t>
  </si>
  <si>
    <t>2019.02.12</t>
  </si>
  <si>
    <t>2019.02.13</t>
  </si>
  <si>
    <t>2019.02.14</t>
  </si>
  <si>
    <t>2019.02.15</t>
  </si>
  <si>
    <t>2019.02.18</t>
  </si>
  <si>
    <t>2019.02.19</t>
  </si>
  <si>
    <t>2019.02.20</t>
  </si>
  <si>
    <t>2019.02.21</t>
  </si>
  <si>
    <t>2019.02.22</t>
  </si>
  <si>
    <t>2019.02.25</t>
  </si>
  <si>
    <t>2019.02.26</t>
  </si>
  <si>
    <t>2019.02.27</t>
  </si>
  <si>
    <t>2019.02.28</t>
  </si>
  <si>
    <t>2019.03.04</t>
  </si>
  <si>
    <t>2019.03.05</t>
  </si>
  <si>
    <t>2019.03.06</t>
  </si>
  <si>
    <t>2019.03.07</t>
  </si>
  <si>
    <t>2019.03.08</t>
  </si>
  <si>
    <t>2019.03.11</t>
  </si>
  <si>
    <t>2019.03.12</t>
  </si>
  <si>
    <t>2019.03.13</t>
  </si>
  <si>
    <t>2019.03.14</t>
  </si>
  <si>
    <t>2019.03.15</t>
  </si>
  <si>
    <t>2019.03.18</t>
  </si>
  <si>
    <t>2019.03.19</t>
  </si>
  <si>
    <t>2019.03.20</t>
  </si>
  <si>
    <t>2019.03.21</t>
  </si>
  <si>
    <t>2019.03.22</t>
  </si>
  <si>
    <t>2019.03.25</t>
  </si>
  <si>
    <t>2019.03.26</t>
  </si>
  <si>
    <t>2019.03.27</t>
  </si>
  <si>
    <t>2019.03.28</t>
  </si>
  <si>
    <t>2019.03.29</t>
  </si>
  <si>
    <t>2019.04.01</t>
  </si>
  <si>
    <t>2019.04.02</t>
  </si>
  <si>
    <t>2019.04.03</t>
  </si>
  <si>
    <t>2019.04.04</t>
  </si>
  <si>
    <t>2019.04.05</t>
  </si>
  <si>
    <t>2019.04.08</t>
  </si>
  <si>
    <t>2019.04.09</t>
  </si>
  <si>
    <t>2019.04.10</t>
  </si>
  <si>
    <t>2019.04.11</t>
  </si>
  <si>
    <t>2019.04.12</t>
  </si>
  <si>
    <t>2019.04.15</t>
  </si>
  <si>
    <t>2019.04.16</t>
  </si>
  <si>
    <t>2019.04.17</t>
  </si>
  <si>
    <t>2019.04.18</t>
  </si>
  <si>
    <t>2019.04.19</t>
  </si>
  <si>
    <t>2019.04.22</t>
  </si>
  <si>
    <t>2019.04.23</t>
  </si>
  <si>
    <t>2019.04.24</t>
  </si>
  <si>
    <t>2019.04.25</t>
  </si>
  <si>
    <t>2019.04.26</t>
  </si>
  <si>
    <t>2019.04.29</t>
  </si>
  <si>
    <t>2019.04.30</t>
  </si>
  <si>
    <t>2019.05.02</t>
  </si>
  <si>
    <t>2019.05.03</t>
  </si>
  <si>
    <t>2019.05.07</t>
  </si>
  <si>
    <t>2019.05.08</t>
  </si>
  <si>
    <t>2019.05.09</t>
  </si>
  <si>
    <t>2019.05.10</t>
  </si>
  <si>
    <t>2019.05.13</t>
  </si>
  <si>
    <t>2019.05.14</t>
  </si>
  <si>
    <t>2019.05.15</t>
  </si>
  <si>
    <t>2019.05.16</t>
  </si>
  <si>
    <t>2019.05.17</t>
  </si>
  <si>
    <t>2019.05.20</t>
  </si>
  <si>
    <t>2019.05.21</t>
  </si>
  <si>
    <t>2019.05.22</t>
  </si>
  <si>
    <t>2019.05.23</t>
  </si>
  <si>
    <t>2019.05.24</t>
  </si>
  <si>
    <t>2019.05.27</t>
  </si>
  <si>
    <t>2019.05.28</t>
  </si>
  <si>
    <t>2019.05.29</t>
  </si>
  <si>
    <t>2019.05.30</t>
  </si>
  <si>
    <t>2019.05.31</t>
  </si>
  <si>
    <t>2019.06.03</t>
  </si>
  <si>
    <t>2019.06.04</t>
  </si>
  <si>
    <t>2019.06.05</t>
  </si>
  <si>
    <t>2019.06.07</t>
  </si>
  <si>
    <t>2019.06.10</t>
  </si>
  <si>
    <t>2019.06.11</t>
  </si>
  <si>
    <t>2019.06.12</t>
  </si>
  <si>
    <t>2019.06.13</t>
  </si>
  <si>
    <t>2019.06.14</t>
  </si>
  <si>
    <t>2019.06.17</t>
  </si>
  <si>
    <t>2019.06.18</t>
  </si>
  <si>
    <t>2019.06.19</t>
  </si>
  <si>
    <t>2019.06.20</t>
  </si>
  <si>
    <t>2019.06.21</t>
  </si>
  <si>
    <t>2019.06.24</t>
  </si>
  <si>
    <t>2019.06.25</t>
  </si>
  <si>
    <t>2019.06.26</t>
  </si>
  <si>
    <t>2019.06.27</t>
  </si>
  <si>
    <t>2019.06.28</t>
  </si>
  <si>
    <t>2019.07.01</t>
  </si>
  <si>
    <t>2019.07.02</t>
  </si>
  <si>
    <t>2019.07.03</t>
  </si>
  <si>
    <t>2019.07.04</t>
  </si>
  <si>
    <t>2019.07.05</t>
  </si>
  <si>
    <t>2019.07.08</t>
  </si>
  <si>
    <t>2019.07.09</t>
  </si>
  <si>
    <t>2019.07.10</t>
  </si>
  <si>
    <t>2019.07.11</t>
  </si>
  <si>
    <t>2019.07.12</t>
  </si>
  <si>
    <t>2019.07.15</t>
  </si>
  <si>
    <t>2019.07.16</t>
  </si>
  <si>
    <t>2019.07.17</t>
  </si>
  <si>
    <t>2019.07.18</t>
  </si>
  <si>
    <t>2019.07.19</t>
  </si>
  <si>
    <t>2019.07.22</t>
  </si>
  <si>
    <t>2019.07.23</t>
  </si>
  <si>
    <t>2019.07.24</t>
  </si>
  <si>
    <t>2019.07.25</t>
  </si>
  <si>
    <t>2019.07.26</t>
  </si>
  <si>
    <t>2019.07.29</t>
  </si>
  <si>
    <t>2019.07.30</t>
  </si>
  <si>
    <t>2019.07.31</t>
  </si>
  <si>
    <t>2019.08.01</t>
  </si>
  <si>
    <t>2019.08.02</t>
  </si>
  <si>
    <t>2019.08.05</t>
  </si>
  <si>
    <t>2019.08.06</t>
  </si>
  <si>
    <t>2019.08.07</t>
  </si>
  <si>
    <t>2019.08.08</t>
  </si>
  <si>
    <t>2019.08.09</t>
  </si>
  <si>
    <t>2019.08.12</t>
  </si>
  <si>
    <t>2019.08.13</t>
  </si>
  <si>
    <t>2019.08.14</t>
  </si>
  <si>
    <t>2019.08.16</t>
  </si>
  <si>
    <t>2019.08.19</t>
  </si>
  <si>
    <t>2019.08.20</t>
  </si>
  <si>
    <t>2019.08.21</t>
  </si>
  <si>
    <t>2019.08.22</t>
  </si>
  <si>
    <t>2019.08.23</t>
  </si>
  <si>
    <t>2019.08.26</t>
  </si>
  <si>
    <t>2019.08.27</t>
  </si>
  <si>
    <t>2019.08.28</t>
  </si>
  <si>
    <t>2019.08.29</t>
  </si>
  <si>
    <t>2019.08.30</t>
  </si>
  <si>
    <t>2019.09.02</t>
  </si>
  <si>
    <t>2019.09.03</t>
  </si>
  <si>
    <t>2019.09.04</t>
  </si>
  <si>
    <t>2019.09.05</t>
  </si>
  <si>
    <t>2019.09.06</t>
  </si>
  <si>
    <t>2019.09.09</t>
  </si>
  <si>
    <t>2019.09.10</t>
  </si>
  <si>
    <t>2019.09.11</t>
  </si>
  <si>
    <t>2019.09.16</t>
  </si>
  <si>
    <t>2019.09.17</t>
  </si>
  <si>
    <t>2019.09.18</t>
  </si>
  <si>
    <t>2019.09.19</t>
  </si>
  <si>
    <t>2019.09.20</t>
  </si>
  <si>
    <t>2019.09.23</t>
  </si>
  <si>
    <t>2019.09.24</t>
  </si>
  <si>
    <t>2019.09.25</t>
  </si>
  <si>
    <t>2019.09.26</t>
  </si>
  <si>
    <t>2019.09.27</t>
  </si>
  <si>
    <t>2019.09.30</t>
  </si>
  <si>
    <t>2019.10.01</t>
  </si>
  <si>
    <t>2019.10.02</t>
  </si>
  <si>
    <t>2019.10.04</t>
  </si>
  <si>
    <t>2019.10.07</t>
  </si>
  <si>
    <t>2019.10.08</t>
  </si>
  <si>
    <t>2019.10.10</t>
  </si>
  <si>
    <t>2019.10.11</t>
  </si>
  <si>
    <t>2019.10.14</t>
  </si>
  <si>
    <t>2019.10.15</t>
  </si>
  <si>
    <t>2019.10.16</t>
  </si>
  <si>
    <t>2019.10.17</t>
  </si>
  <si>
    <t>2019.10.18</t>
  </si>
  <si>
    <t>2019.10.21</t>
  </si>
  <si>
    <t>2019.10.22</t>
  </si>
  <si>
    <t>2019.10.23</t>
  </si>
  <si>
    <t>2019.10.24</t>
  </si>
  <si>
    <t>2019.10.25</t>
  </si>
  <si>
    <t>2019.10.28</t>
  </si>
  <si>
    <t>2019.10.29</t>
  </si>
  <si>
    <t>2019.10.30</t>
  </si>
  <si>
    <t>2019.10.31</t>
  </si>
  <si>
    <t>2019.11.01</t>
  </si>
  <si>
    <t>2019.11.04</t>
  </si>
  <si>
    <t>2019.11.05</t>
  </si>
  <si>
    <t>2019.11.06</t>
  </si>
  <si>
    <t>2019.11.07</t>
  </si>
  <si>
    <t>2019.11.08</t>
  </si>
  <si>
    <t>2019.11.11</t>
  </si>
  <si>
    <t>2019.11.12</t>
  </si>
  <si>
    <t>2019.11.13</t>
  </si>
  <si>
    <t>2019.11.14</t>
  </si>
  <si>
    <t>2019.11.15</t>
  </si>
  <si>
    <t>2019.11.18</t>
  </si>
  <si>
    <t>2019.11.19</t>
  </si>
  <si>
    <t>2019.11.20</t>
  </si>
  <si>
    <t>2019.11.21</t>
  </si>
  <si>
    <t>2019.11.22</t>
  </si>
  <si>
    <t>2019.11.25</t>
  </si>
  <si>
    <t>2019.11.26</t>
  </si>
  <si>
    <t>2019.11.27</t>
  </si>
  <si>
    <t>2019.11.28</t>
  </si>
  <si>
    <t>2019.11.29</t>
  </si>
  <si>
    <t>2019.12.02</t>
  </si>
  <si>
    <t>2019.12.03</t>
  </si>
  <si>
    <t>2019.12.04</t>
  </si>
  <si>
    <t>2019.12.05</t>
  </si>
  <si>
    <t>2019.12.06</t>
  </si>
  <si>
    <t>2019.12.09</t>
  </si>
  <si>
    <t>2019.12.10</t>
  </si>
  <si>
    <t>2019.12.11</t>
  </si>
  <si>
    <t>2019.12.12</t>
  </si>
  <si>
    <t>2019.12.13</t>
  </si>
  <si>
    <t>2019.12.16</t>
  </si>
  <si>
    <t>2019.12.17</t>
  </si>
  <si>
    <t>2019.12.18</t>
  </si>
  <si>
    <t>2019.12.19</t>
  </si>
  <si>
    <t>2019.12.20</t>
  </si>
  <si>
    <t>2019.12.23</t>
  </si>
  <si>
    <t>2019.12.24</t>
  </si>
  <si>
    <t>2019.12.26</t>
  </si>
  <si>
    <t>2019.12.27</t>
  </si>
  <si>
    <t>2019.12.30</t>
  </si>
  <si>
    <t>2019.12.31</t>
  </si>
  <si>
    <t>2018.01.02</t>
  </si>
  <si>
    <t>2018.01.03</t>
  </si>
  <si>
    <t>2018.01.04</t>
  </si>
  <si>
    <t>2018.01.05</t>
  </si>
  <si>
    <t>2018.01.08</t>
  </si>
  <si>
    <t>2018.01.09</t>
  </si>
  <si>
    <t>2018.01.10</t>
  </si>
  <si>
    <t>2018.01.11</t>
  </si>
  <si>
    <t>2018.01.12</t>
  </si>
  <si>
    <t>2018.01.15</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</si>
  <si>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</si>
  <si>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</si>
  <si>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</si>
  <si>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</si>
  <si>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</si>
  <si>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</si>
  <si>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</si>
  <si>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</si>
  <si>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</si>
  <si>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</si>
  <si>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</si>
  <si>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</si>
  <si>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</si>
  <si>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</si>
  <si>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</si>
  <si>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</si>
  <si>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</si>
  <si>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</si>
  <si>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</si>
  <si>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</si>
  <si>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</si>
  <si>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</si>
  <si>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2018.02.19</t>
  </si>
  <si>
    <t>2018.02.20</t>
  </si>
  <si>
    <t>2018.02.21</t>
  </si>
  <si>
    <t>2018.02.22</t>
  </si>
  <si>
    <t>2018.02.23</t>
  </si>
  <si>
    <t>2018.02.26</t>
  </si>
  <si>
    <t>2018.02.27</t>
  </si>
  <si>
    <t>2018.02.28</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</si>
  <si>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</si>
  <si>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</si>
  <si>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</si>
  <si>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</si>
  <si>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</si>
  <si>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</si>
  <si>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</si>
  <si>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</si>
  <si>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</si>
  <si>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</si>
  <si>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</si>
  <si>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</si>
  <si>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</si>
  <si>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</si>
  <si>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</si>
  <si>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</si>
  <si>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</si>
  <si>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</si>
  <si>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</si>
  <si>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</si>
  <si>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2018.03.30</t>
  </si>
  <si>
    <t>2018.04.02</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</si>
  <si>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</si>
  <si>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</si>
  <si>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</si>
  <si>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</si>
  <si>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</si>
  <si>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</si>
  <si>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</si>
  <si>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</si>
  <si>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</si>
  <si>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</si>
  <si>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</si>
  <si>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</si>
  <si>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</si>
  <si>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</si>
  <si>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</si>
  <si>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</si>
  <si>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</si>
  <si>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</si>
  <si>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</si>
  <si>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</si>
  <si>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2018.05.02</t>
  </si>
  <si>
    <t>2018.05.03</t>
  </si>
  <si>
    <t>2018.05.04</t>
  </si>
  <si>
    <t>2018.05.08</t>
  </si>
  <si>
    <t>2018.05.09</t>
  </si>
  <si>
    <t>2018.05.10</t>
  </si>
  <si>
    <t>2018.05.11</t>
  </si>
  <si>
    <t>2018.05.14</t>
  </si>
  <si>
    <t>2018.05.15</t>
  </si>
  <si>
    <t>2018.05.16</t>
  </si>
  <si>
    <t>2018.05.17</t>
  </si>
  <si>
    <t>2018.05.18</t>
  </si>
  <si>
    <t>2018.05.21</t>
  </si>
  <si>
    <t>2018.05.23</t>
  </si>
  <si>
    <t>2018.05.24</t>
  </si>
  <si>
    <t>2018.05.25</t>
  </si>
  <si>
    <t>2018.05.28</t>
  </si>
  <si>
    <t>2018.05.29</t>
  </si>
  <si>
    <t>2018.05.30</t>
  </si>
  <si>
    <t>2018.05.31</t>
  </si>
  <si>
    <t>2018.06.01</t>
  </si>
  <si>
    <t>2018.06.04</t>
  </si>
  <si>
    <t>2018.06.05</t>
  </si>
  <si>
    <t>2018.06.07</t>
  </si>
  <si>
    <t>2018.06.08</t>
  </si>
  <si>
    <t>2018.06.11</t>
  </si>
  <si>
    <t>2018.06.12</t>
  </si>
  <si>
    <t>2018.06.14</t>
  </si>
  <si>
    <t>2018.06.15</t>
  </si>
  <si>
    <t>2018.06.18</t>
  </si>
  <si>
    <t>2018.06.19</t>
  </si>
  <si>
    <t>2018.06.20</t>
  </si>
  <si>
    <t>2018.06.21</t>
  </si>
  <si>
    <t>2018.06.22</t>
  </si>
  <si>
    <t>2018.06.25</t>
  </si>
  <si>
    <t>2018.06.26</t>
  </si>
  <si>
    <t>2018.06.27</t>
  </si>
  <si>
    <t>2018.06.28</t>
  </si>
  <si>
    <t>2018.06.29</t>
  </si>
  <si>
    <t>2018.07.02</t>
  </si>
  <si>
    <t>2018.07.03</t>
  </si>
  <si>
    <t>2018.07.04</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</si>
  <si>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</si>
  <si>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</si>
  <si>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</si>
  <si>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</si>
  <si>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</si>
  <si>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</si>
  <si>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</si>
  <si>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</si>
  <si>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</si>
  <si>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</si>
  <si>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</si>
  <si>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</si>
  <si>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</si>
  <si>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</si>
  <si>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</si>
  <si>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</si>
  <si>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</si>
  <si>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</si>
  <si>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</si>
  <si>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</si>
  <si>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</si>
  <si>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</si>
  <si>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</si>
  <si>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</si>
  <si>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</si>
  <si>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</si>
  <si>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</si>
  <si>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</si>
  <si>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</si>
  <si>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2018.08.16</t>
  </si>
  <si>
    <t>2018.08.17</t>
  </si>
  <si>
    <t>2018.08.20</t>
  </si>
  <si>
    <t>2018.08.21</t>
  </si>
  <si>
    <t>2018.08.22</t>
  </si>
  <si>
    <t>2018.08.23</t>
  </si>
  <si>
    <t>2018.08.24</t>
  </si>
  <si>
    <t>2018.08.27</t>
  </si>
  <si>
    <t>2018.08.28</t>
  </si>
  <si>
    <t>2018.08.29</t>
  </si>
  <si>
    <t>2018.08.30</t>
  </si>
  <si>
    <t>2018.08.31</t>
  </si>
  <si>
    <t>2018.09.03</t>
  </si>
  <si>
    <t>2018.09.04</t>
  </si>
  <si>
    <t>2018.09.05</t>
  </si>
  <si>
    <t>2018.09.06</t>
  </si>
  <si>
    <t>2018.09.07</t>
  </si>
  <si>
    <t>2018.09.10</t>
  </si>
  <si>
    <t>2018.09.11</t>
  </si>
  <si>
    <t>2018.09.12</t>
  </si>
  <si>
    <t>2018.09.13</t>
  </si>
  <si>
    <t>2018.09.14</t>
  </si>
  <si>
    <t>2018.09.17</t>
  </si>
  <si>
    <t>2018.09.18</t>
  </si>
  <si>
    <t>2018.09.19</t>
  </si>
  <si>
    <t>2018.09.20</t>
  </si>
  <si>
    <t>2018.09.21</t>
  </si>
  <si>
    <t>2018.09.27</t>
  </si>
  <si>
    <t>2018.09.28</t>
  </si>
  <si>
    <t>2018.10.01</t>
  </si>
  <si>
    <t>2018.10.02</t>
  </si>
  <si>
    <t>2018.10.04</t>
  </si>
  <si>
    <t>2018.10.05</t>
  </si>
  <si>
    <t>2018.10.08</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</si>
  <si>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</si>
  <si>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</si>
  <si>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</si>
  <si>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</si>
  <si>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</si>
  <si>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</si>
  <si>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</si>
  <si>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</si>
  <si>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</si>
  <si>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</si>
  <si>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</si>
  <si>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</si>
  <si>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</si>
  <si>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</si>
  <si>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</si>
  <si>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</si>
  <si>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</si>
  <si>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</si>
  <si>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</si>
  <si>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</si>
  <si>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</si>
  <si>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</si>
  <si>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</si>
  <si>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</si>
  <si>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</si>
  <si>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</si>
  <si>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</si>
  <si>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</si>
  <si>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</si>
  <si>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</si>
  <si>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</si>
  <si>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2018.11.22</t>
  </si>
  <si>
    <t>2018.11.23</t>
  </si>
  <si>
    <t>2018.11.26</t>
  </si>
  <si>
    <t>2018.11.27</t>
  </si>
  <si>
    <t>2018.11.28</t>
  </si>
  <si>
    <t>2018.11.29</t>
  </si>
  <si>
    <t>2018.11.30</t>
  </si>
  <si>
    <t>2018.12.03</t>
  </si>
  <si>
    <t>2018.12.04</t>
  </si>
  <si>
    <t>2018.12.05</t>
  </si>
  <si>
    <t>2018.12.06</t>
  </si>
  <si>
    <t>2018.12.07</t>
  </si>
  <si>
    <t>2018.12.10</t>
  </si>
  <si>
    <t>2018.12.11</t>
  </si>
  <si>
    <t>2018.12.12</t>
  </si>
  <si>
    <t>2018.12.13</t>
  </si>
  <si>
    <t>2018.12.14</t>
  </si>
  <si>
    <t>2018.12.17</t>
  </si>
  <si>
    <t>2018.12.18</t>
  </si>
  <si>
    <t>2018.12.19</t>
  </si>
  <si>
    <t>2018.12.20</t>
  </si>
  <si>
    <t>2018.12.21</t>
  </si>
  <si>
    <t>2018.12.24</t>
  </si>
  <si>
    <t>2018.12.26</t>
  </si>
  <si>
    <t>2018.12.27</t>
  </si>
  <si>
    <t>2018.12.28</t>
  </si>
  <si>
    <t>2018.12.31</t>
  </si>
  <si>
    <t>2021.01.04</t>
  </si>
  <si>
    <t>2021.01.05</t>
  </si>
  <si>
    <t>2021.01.06</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</si>
  <si>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</si>
  <si>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</si>
  <si>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</si>
  <si>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</si>
  <si>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</si>
  <si>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</si>
  <si>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</si>
  <si>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</si>
  <si>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</si>
  <si>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</si>
  <si>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</si>
  <si>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</si>
  <si>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</si>
  <si>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</si>
  <si>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</si>
  <si>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</si>
  <si>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</si>
  <si>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</si>
  <si>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</si>
  <si>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</si>
  <si>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</si>
  <si>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</si>
  <si>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</si>
  <si>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</si>
  <si>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</si>
  <si>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2021.02.15</t>
  </si>
  <si>
    <t>2021.02.16</t>
  </si>
  <si>
    <t>2021.02.17</t>
  </si>
  <si>
    <t>2021.02.18</t>
  </si>
  <si>
    <t>2021.02.19</t>
  </si>
  <si>
    <t>2021.02.22</t>
  </si>
  <si>
    <t>2021.02.23</t>
  </si>
  <si>
    <t>2021.02.24</t>
  </si>
  <si>
    <t>2021.02.25</t>
  </si>
  <si>
    <t>2021.02.26</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</si>
  <si>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</si>
  <si>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</si>
  <si>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</si>
  <si>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</si>
  <si>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</si>
  <si>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</si>
  <si>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</si>
  <si>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</si>
  <si>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</si>
  <si>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</si>
  <si>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</si>
  <si>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</si>
  <si>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</si>
  <si>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</si>
  <si>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</si>
  <si>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</si>
  <si>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</si>
  <si>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</si>
  <si>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</si>
  <si>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</si>
  <si>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</si>
  <si>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</si>
  <si>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</si>
  <si>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2021.04.02</t>
  </si>
  <si>
    <t>2021.04.05</t>
  </si>
  <si>
    <t>2021.04.06</t>
  </si>
  <si>
    <t>2021.04.07</t>
  </si>
  <si>
    <t>2021.04.08</t>
  </si>
  <si>
    <t>2021.04.09</t>
  </si>
  <si>
    <t>2021.04.12</t>
  </si>
  <si>
    <t>2021.04.13</t>
  </si>
  <si>
    <t>2021.04.14</t>
  </si>
  <si>
    <t>2021.04.15</t>
  </si>
  <si>
    <t>2021.04.16</t>
  </si>
  <si>
    <t>2021.04.19</t>
  </si>
  <si>
    <t>2021.04.20</t>
  </si>
  <si>
    <t>2021.04.21</t>
  </si>
  <si>
    <t>2021.04.22</t>
  </si>
  <si>
    <t>2021.04.23</t>
  </si>
  <si>
    <t>2021.04.26</t>
  </si>
  <si>
    <t>2021.04.27</t>
  </si>
  <si>
    <t>2021.04.28</t>
  </si>
  <si>
    <t>2021.04.29</t>
  </si>
  <si>
    <t>2021.04.30</t>
  </si>
  <si>
    <t>2021.05.03</t>
  </si>
  <si>
    <t>2021.05.04</t>
  </si>
  <si>
    <t>2021.05.06</t>
  </si>
  <si>
    <t>2021.05.07</t>
  </si>
  <si>
    <t>2021.05.10</t>
  </si>
  <si>
    <t>2021.05.11</t>
  </si>
  <si>
    <t>2021.05.12</t>
  </si>
  <si>
    <t>2021.05.13</t>
  </si>
  <si>
    <t>2021.05.14</t>
  </si>
  <si>
    <t>2021.05.17</t>
  </si>
  <si>
    <t>2021.05.18</t>
  </si>
  <si>
    <t>2021.05.20</t>
  </si>
  <si>
    <t>2021.05.21</t>
  </si>
  <si>
    <t>2021.05.24</t>
  </si>
  <si>
    <t>2021.05.25</t>
  </si>
  <si>
    <t>2021.05.26</t>
  </si>
  <si>
    <t>2021.05.27</t>
  </si>
  <si>
    <t>2021.05.28</t>
  </si>
  <si>
    <t>2021.05.31</t>
  </si>
  <si>
    <t>2021.06.01</t>
  </si>
  <si>
    <t>2021.06.02</t>
  </si>
  <si>
    <t>2021.06.03</t>
  </si>
  <si>
    <t>2021.06.04</t>
  </si>
  <si>
    <t>2021.06.07</t>
  </si>
  <si>
    <t>2021.06.08</t>
  </si>
  <si>
    <t>2021.06.09</t>
  </si>
  <si>
    <t>2021.06.10</t>
  </si>
  <si>
    <t>2021.06.11</t>
  </si>
  <si>
    <t>2021.06.14</t>
  </si>
  <si>
    <t>2021.06.15</t>
  </si>
  <si>
    <t>2021.06.16</t>
  </si>
  <si>
    <t>2021.06.17</t>
  </si>
  <si>
    <t>2021.06.18</t>
  </si>
  <si>
    <t>2021.06.21</t>
  </si>
  <si>
    <t>2021.06.22</t>
  </si>
  <si>
    <t>2021.06.23</t>
  </si>
  <si>
    <t>2021.06.24</t>
  </si>
  <si>
    <t>2021.06.25</t>
  </si>
  <si>
    <t>2021.06.28</t>
  </si>
  <si>
    <t>2021.06.29</t>
  </si>
  <si>
    <t>2021.06.30</t>
  </si>
  <si>
    <t>금속프리미엄(Source: 회사제시)</t>
    <phoneticPr fontId="1" type="noConversion"/>
  </si>
  <si>
    <t>금속별 판매량 가정</t>
    <phoneticPr fontId="1" type="noConversion"/>
  </si>
  <si>
    <t>주요 금속시세 가정</t>
    <phoneticPr fontId="1" type="noConversion"/>
  </si>
  <si>
    <t>기타매출 가정</t>
    <phoneticPr fontId="1" type="noConversion"/>
  </si>
  <si>
    <t>주요 매출액 대비 비율</t>
    <phoneticPr fontId="1" type="noConversion"/>
  </si>
  <si>
    <t>종속회사 매출 가정</t>
    <phoneticPr fontId="1" type="noConversion"/>
  </si>
  <si>
    <t>기타 금속 판가 가정</t>
    <phoneticPr fontId="1" type="noConversion"/>
  </si>
  <si>
    <t>재료비</t>
    <phoneticPr fontId="1" type="noConversion"/>
  </si>
  <si>
    <t>인건비</t>
    <phoneticPr fontId="1" type="noConversion"/>
  </si>
  <si>
    <t>제조경비</t>
  </si>
  <si>
    <t>제조경비</t>
    <phoneticPr fontId="1" type="noConversion"/>
  </si>
  <si>
    <t>보조재료비</t>
    <phoneticPr fontId="1" type="noConversion"/>
  </si>
  <si>
    <t>노무비</t>
    <phoneticPr fontId="1" type="noConversion"/>
  </si>
  <si>
    <t>성과급</t>
    <phoneticPr fontId="1" type="noConversion"/>
  </si>
  <si>
    <t>변동비</t>
    <phoneticPr fontId="1" type="noConversion"/>
  </si>
  <si>
    <t>고정비</t>
    <phoneticPr fontId="1" type="noConversion"/>
  </si>
  <si>
    <t>에너지비</t>
    <phoneticPr fontId="1" type="noConversion"/>
  </si>
  <si>
    <t>소모품비</t>
    <phoneticPr fontId="1" type="noConversion"/>
  </si>
  <si>
    <t>변동경비</t>
    <phoneticPr fontId="1" type="noConversion"/>
  </si>
  <si>
    <t>고정경비</t>
    <phoneticPr fontId="1" type="noConversion"/>
  </si>
  <si>
    <t>조정</t>
    <phoneticPr fontId="1" type="noConversion"/>
  </si>
  <si>
    <t>매출원가</t>
    <phoneticPr fontId="1" type="noConversion"/>
  </si>
  <si>
    <t>Revenue</t>
  </si>
  <si>
    <t>매출액조정</t>
    <phoneticPr fontId="1" type="noConversion"/>
  </si>
  <si>
    <t>P</t>
  </si>
  <si>
    <t>P</t>
    <phoneticPr fontId="1" type="noConversion"/>
  </si>
  <si>
    <t>Q</t>
  </si>
  <si>
    <t>Q</t>
    <phoneticPr fontId="1" type="noConversion"/>
  </si>
  <si>
    <t>함유량</t>
  </si>
  <si>
    <t>지불량</t>
  </si>
  <si>
    <t>Cu</t>
  </si>
  <si>
    <t>Au</t>
  </si>
  <si>
    <t>Ag</t>
  </si>
  <si>
    <t>Pt</t>
  </si>
  <si>
    <t>Pd</t>
  </si>
  <si>
    <t>Se</t>
  </si>
  <si>
    <t>Ni</t>
  </si>
  <si>
    <t>귀속연도</t>
    <phoneticPr fontId="1" type="noConversion"/>
  </si>
  <si>
    <t>지불율</t>
  </si>
  <si>
    <t>지불율</t>
    <phoneticPr fontId="1" type="noConversion"/>
  </si>
  <si>
    <t>TRC(1,000$)</t>
    <phoneticPr fontId="1" type="noConversion"/>
  </si>
  <si>
    <t>2019(A)</t>
    <phoneticPr fontId="1" type="noConversion"/>
  </si>
  <si>
    <t>셀레늄</t>
    <phoneticPr fontId="1" type="noConversion"/>
  </si>
  <si>
    <t>TRC($)</t>
    <phoneticPr fontId="1" type="noConversion"/>
  </si>
  <si>
    <t>Benchmark</t>
    <phoneticPr fontId="1" type="noConversion"/>
  </si>
  <si>
    <t>Macquarie</t>
  </si>
  <si>
    <t>'000t copper</t>
  </si>
  <si>
    <t>2020F</t>
  </si>
  <si>
    <t>2021F</t>
  </si>
  <si>
    <t>2022F</t>
  </si>
  <si>
    <t>2023F</t>
  </si>
  <si>
    <t>2024F</t>
  </si>
  <si>
    <t>2025F</t>
  </si>
  <si>
    <t>Mine production</t>
  </si>
  <si>
    <t>% Change YoY</t>
  </si>
  <si>
    <t>Concs balance</t>
  </si>
  <si>
    <t>38           331</t>
  </si>
  <si>
    <t>Refined production</t>
  </si>
  <si>
    <t>Consumption</t>
  </si>
  <si>
    <t>22,997      23,7</t>
  </si>
  <si>
    <t>24,683      25,095</t>
  </si>
  <si>
    <t>Refined balance</t>
  </si>
  <si>
    <t>SRB/bonded stocking</t>
  </si>
  <si>
    <t>Adjusted balance</t>
  </si>
  <si>
    <t>298           173</t>
  </si>
  <si>
    <t>LME Cash ($/t)</t>
  </si>
  <si>
    <t>Mine-Refined GAP</t>
  </si>
  <si>
    <t>CU TRC(실적)</t>
  </si>
  <si>
    <t>Refined-Mine GAP</t>
  </si>
  <si>
    <t>사업계획</t>
    <phoneticPr fontId="1" type="noConversion"/>
  </si>
  <si>
    <t>Copper</t>
    <phoneticPr fontId="1" type="noConversion"/>
  </si>
  <si>
    <t>Benchmark TR/C</t>
    <phoneticPr fontId="1" type="noConversion"/>
  </si>
  <si>
    <t>TC/RC</t>
    <phoneticPr fontId="1" type="noConversion"/>
  </si>
  <si>
    <t>Benchmark TR/C 가정</t>
    <phoneticPr fontId="1" type="noConversion"/>
  </si>
  <si>
    <t>주요금속 TR/C 가정</t>
    <phoneticPr fontId="1" type="noConversion"/>
  </si>
  <si>
    <t>판매량</t>
  </si>
  <si>
    <t>판매량</t>
    <phoneticPr fontId="1" type="noConversion"/>
  </si>
  <si>
    <t>채취율</t>
  </si>
  <si>
    <t>채취율</t>
    <phoneticPr fontId="1" type="noConversion"/>
  </si>
  <si>
    <t>투입량</t>
  </si>
  <si>
    <t>투입량</t>
    <phoneticPr fontId="1" type="noConversion"/>
  </si>
  <si>
    <t>실제 채취율</t>
    <phoneticPr fontId="1" type="noConversion"/>
  </si>
  <si>
    <t>용역원가</t>
    <phoneticPr fontId="1" type="noConversion"/>
  </si>
  <si>
    <t>주요금속 채취율 가정</t>
    <phoneticPr fontId="1" type="noConversion"/>
  </si>
  <si>
    <t>현재 수준의 지불율 유지 가정</t>
    <phoneticPr fontId="1" type="noConversion"/>
  </si>
  <si>
    <t>매출원가조정</t>
    <phoneticPr fontId="1" type="noConversion"/>
  </si>
  <si>
    <t>Adj.재료비</t>
    <phoneticPr fontId="1" type="noConversion"/>
  </si>
  <si>
    <t>생산기준 채취율</t>
    <phoneticPr fontId="1" type="noConversion"/>
  </si>
  <si>
    <t>기타금속 재료비율 가정</t>
    <phoneticPr fontId="1" type="noConversion"/>
  </si>
  <si>
    <t>황산</t>
    <phoneticPr fontId="1" type="noConversion"/>
  </si>
  <si>
    <t>현재 수준의 재료비율 유지 가정</t>
    <phoneticPr fontId="1" type="noConversion"/>
  </si>
  <si>
    <t>보조 재료비율 가정</t>
    <phoneticPr fontId="1" type="noConversion"/>
  </si>
  <si>
    <t>현재 수준의 비율 유지 가정</t>
    <phoneticPr fontId="1" type="noConversion"/>
  </si>
  <si>
    <t>노무비 대비 성과급 가정</t>
    <phoneticPr fontId="1" type="noConversion"/>
  </si>
  <si>
    <t>% of 매출액</t>
    <phoneticPr fontId="1" type="noConversion"/>
  </si>
  <si>
    <t>에너지비 가정</t>
    <phoneticPr fontId="1" type="noConversion"/>
  </si>
  <si>
    <t>소모품비 가정</t>
    <phoneticPr fontId="1" type="noConversion"/>
  </si>
  <si>
    <t>2020년 3Q</t>
    <phoneticPr fontId="1" type="noConversion"/>
  </si>
  <si>
    <t>판관비 세부내역</t>
    <phoneticPr fontId="1" type="noConversion"/>
  </si>
  <si>
    <t>급료와임금</t>
  </si>
  <si>
    <t>상여금</t>
  </si>
  <si>
    <t>퇴직급여</t>
  </si>
  <si>
    <t>수도광열비</t>
  </si>
  <si>
    <t>운반비</t>
  </si>
  <si>
    <t>감가상각비</t>
  </si>
  <si>
    <t>리스자산상각비</t>
  </si>
  <si>
    <t>수선비</t>
  </si>
  <si>
    <t>소모품비</t>
  </si>
  <si>
    <t>세금과공과</t>
  </si>
  <si>
    <t>임차료</t>
  </si>
  <si>
    <t>보험료</t>
  </si>
  <si>
    <t>복리후생비</t>
  </si>
  <si>
    <t>여비교통비</t>
  </si>
  <si>
    <t>통신비</t>
  </si>
  <si>
    <t>지급수수료</t>
  </si>
  <si>
    <t>접대비</t>
  </si>
  <si>
    <t>도서인쇄비</t>
  </si>
  <si>
    <t>교육훈련비</t>
  </si>
  <si>
    <t>차량유지비</t>
  </si>
  <si>
    <t>회의비</t>
  </si>
  <si>
    <t>경상개발비</t>
  </si>
  <si>
    <t>광고선전비</t>
  </si>
  <si>
    <t>견본비</t>
  </si>
  <si>
    <t>대손상각비</t>
  </si>
  <si>
    <t>무형자산상각비</t>
  </si>
  <si>
    <t>수출제비용</t>
  </si>
  <si>
    <t>해외시장개척비</t>
  </si>
  <si>
    <t>대손충당금환입</t>
  </si>
  <si>
    <t>32. 판매비와 관리비</t>
  </si>
  <si>
    <t>(단위: 백만원)</t>
  </si>
  <si>
    <t>구분</t>
  </si>
  <si>
    <t>2020 </t>
  </si>
  <si>
    <t>2019 </t>
  </si>
  <si>
    <t>급여</t>
  </si>
  <si>
    <t>사용권자산상각비</t>
  </si>
  <si>
    <t>기타판관비</t>
  </si>
  <si>
    <t>합계</t>
  </si>
  <si>
    <t>퇴직급여</t>
    <phoneticPr fontId="1" type="noConversion"/>
  </si>
  <si>
    <t>복리후생비</t>
    <phoneticPr fontId="1" type="noConversion"/>
  </si>
  <si>
    <t>% of 급여</t>
  </si>
  <si>
    <t>% of 급여</t>
    <phoneticPr fontId="1" type="noConversion"/>
  </si>
  <si>
    <t>운반비</t>
    <phoneticPr fontId="1" type="noConversion"/>
  </si>
  <si>
    <t>지급수수료_브랜드수수료</t>
    <phoneticPr fontId="1" type="noConversion"/>
  </si>
  <si>
    <t>% of (매출액-광고선전비)</t>
    <phoneticPr fontId="1" type="noConversion"/>
  </si>
  <si>
    <t>변동비 가정</t>
    <phoneticPr fontId="1" type="noConversion"/>
  </si>
  <si>
    <t>광고선전비</t>
    <phoneticPr fontId="1" type="noConversion"/>
  </si>
  <si>
    <t>기타고정비</t>
  </si>
  <si>
    <t>영업활동으로 인한 현금흐름</t>
  </si>
  <si>
    <t>   영업으로부터 창출된 현금흐름</t>
  </si>
  <si>
    <t>   이자수취</t>
  </si>
  <si>
    <t>   이자지급</t>
  </si>
  <si>
    <t>   법인세납부</t>
  </si>
  <si>
    <t>투자활동으로 인한 현금흐름</t>
  </si>
  <si>
    <t>   금융기관예치금의 감소</t>
  </si>
  <si>
    <t>   당기손익-공정가치금융자산의 처분</t>
  </si>
  <si>
    <t>- </t>
  </si>
  <si>
    <t>   기타수취채권의 감소</t>
  </si>
  <si>
    <t>   유형자산의 처분</t>
  </si>
  <si>
    <t>   무형자산의 처분</t>
  </si>
  <si>
    <t>94,478,000 </t>
  </si>
  <si>
    <t>   금융기관예치금의 증가</t>
  </si>
  <si>
    <t>   기타포괄손익-공정가치금융자산의 취득</t>
  </si>
  <si>
    <t>   기타수취채권의 증가</t>
  </si>
  <si>
    <t>   유형자산의 취득</t>
  </si>
  <si>
    <t>   무형자산의 취득</t>
  </si>
  <si>
    <t>   기타자산의 취득</t>
  </si>
  <si>
    <t>재무활동으로 인한 현금흐름</t>
  </si>
  <si>
    <t>   차입금의 증가</t>
  </si>
  <si>
    <t>   차입금의 상환</t>
  </si>
  <si>
    <t>   리스부채의 원금상환</t>
  </si>
  <si>
    <t>   주주에 대한 배당금의 지급</t>
  </si>
  <si>
    <t>   장기임대보증금의 감소</t>
  </si>
  <si>
    <t>   기타재무활동</t>
  </si>
  <si>
    <t>현금및현금성자산의 순증가(감소)</t>
  </si>
  <si>
    <t>기초 현금및현금성자산</t>
  </si>
  <si>
    <t>현금및현금성자산의 환율변동효과</t>
  </si>
  <si>
    <t>기말 현금및현금성자산</t>
  </si>
  <si>
    <t>연결CF(Source: Dart)</t>
    <phoneticPr fontId="1" type="noConversion"/>
  </si>
  <si>
    <t>유형자산</t>
  </si>
  <si>
    <t>유형자산</t>
    <phoneticPr fontId="1" type="noConversion"/>
  </si>
  <si>
    <t>무형자산</t>
  </si>
  <si>
    <t>무형자산</t>
    <phoneticPr fontId="1" type="noConversion"/>
  </si>
  <si>
    <t>구  분</t>
  </si>
  <si>
    <t>’19년</t>
  </si>
  <si>
    <t>계획</t>
  </si>
  <si>
    <t>추정</t>
  </si>
  <si>
    <t>’21년</t>
  </si>
  <si>
    <t>’22년</t>
  </si>
  <si>
    <t>’23년</t>
  </si>
  <si>
    <t>동제련 소계</t>
  </si>
  <si>
    <t>설비투자</t>
  </si>
  <si>
    <t>신규확장(PSA투자 등)주1)</t>
  </si>
  <si>
    <t>합리화 주2)</t>
  </si>
  <si>
    <t>경상투자</t>
  </si>
  <si>
    <t>R&amp;D투자 주5)</t>
  </si>
  <si>
    <t>미래 지속성 강화 투자</t>
  </si>
  <si>
    <t>환경안전사전관리주6)</t>
  </si>
  <si>
    <t>사업환경대응주7)</t>
  </si>
  <si>
    <t xml:space="preserve"> ODS주8)</t>
  </si>
  <si>
    <t>자동화</t>
  </si>
  <si>
    <t>지능화</t>
  </si>
  <si>
    <t>출자사 소계</t>
  </si>
  <si>
    <t>GRM (’20, ’22년 연례지화)</t>
  </si>
  <si>
    <t>토리컴</t>
  </si>
  <si>
    <t>선우</t>
  </si>
  <si>
    <t>CS-Marine</t>
  </si>
  <si>
    <t>PRM</t>
  </si>
  <si>
    <t>행 레이블</t>
  </si>
  <si>
    <t>합계 : 2021년 합계</t>
  </si>
  <si>
    <t>합계 : 2022년 합계</t>
  </si>
  <si>
    <t>합계 : 2023년 합계</t>
  </si>
  <si>
    <t>합계 : 2024년 합계</t>
  </si>
  <si>
    <t>합계 : 2025년 합계</t>
  </si>
  <si>
    <t>감가상각비:건물</t>
  </si>
  <si>
    <t>감가상각비:공구와기구</t>
  </si>
  <si>
    <t>감가상각비:구축물</t>
  </si>
  <si>
    <t>감가상각비:기계장치</t>
  </si>
  <si>
    <t>감가상각비:무형자산</t>
  </si>
  <si>
    <t>감가상각비:비품</t>
  </si>
  <si>
    <t>감가상각비:차량운반구</t>
  </si>
  <si>
    <t>판)감가상각비:건물</t>
  </si>
  <si>
    <t>판)감가상각비:구축물</t>
  </si>
  <si>
    <t>판)감가상각비:무형자산</t>
  </si>
  <si>
    <t>판)감가상각비:비품</t>
  </si>
  <si>
    <t>판)감가상각비:차량운반구</t>
  </si>
  <si>
    <t>차량운반구</t>
  </si>
  <si>
    <t>Entity</t>
    <phoneticPr fontId="1" type="noConversion"/>
  </si>
  <si>
    <t>본체</t>
    <phoneticPr fontId="1" type="noConversion"/>
  </si>
  <si>
    <t>토리컴</t>
    <phoneticPr fontId="1" type="noConversion"/>
  </si>
  <si>
    <t>GRM</t>
    <phoneticPr fontId="1" type="noConversion"/>
  </si>
  <si>
    <t>선우</t>
    <phoneticPr fontId="1" type="noConversion"/>
  </si>
  <si>
    <t>동제련</t>
  </si>
  <si>
    <t>LS-Nikko 동제련 주식회사</t>
  </si>
  <si>
    <t>구       분</t>
  </si>
  <si>
    <t>436,039,022,929 </t>
  </si>
  <si>
    <t>22,045,907,477 </t>
  </si>
  <si>
    <t>503,277,601,513 </t>
  </si>
  <si>
    <t>   이자 수취</t>
  </si>
  <si>
    <t>6,850,091,192 </t>
  </si>
  <si>
    <t>14,019,133,984 </t>
  </si>
  <si>
    <t>   배당금의 수취</t>
  </si>
  <si>
    <t>5,000,000,000 </t>
  </si>
  <si>
    <t>3,000,000,000 </t>
  </si>
  <si>
    <t>   이자 지급</t>
  </si>
  <si>
    <t>   법인세 납부</t>
  </si>
  <si>
    <t>3,412,545,978 </t>
  </si>
  <si>
    <t>37,616,819,153 </t>
  </si>
  <si>
    <t>10,000,000,000 </t>
  </si>
  <si>
    <t>115,924,931,463 </t>
  </si>
  <si>
    <t>111,987,777,990 </t>
  </si>
  <si>
    <t>   단기보증금의 감소</t>
  </si>
  <si>
    <t>12,000,000 </t>
  </si>
  <si>
    <t>   장기보증금의 감소</t>
  </si>
  <si>
    <t>10,077,320 </t>
  </si>
  <si>
    <t>25,909,091 </t>
  </si>
  <si>
    <t>584,387,069 </t>
  </si>
  <si>
    <t>45,000,000 </t>
  </si>
  <si>
    <t>   종속기업투자주식의 처분</t>
  </si>
  <si>
    <t>20,000,000,000 </t>
  </si>
  <si>
    <t>159,512,491,346 </t>
  </si>
  <si>
    <t>   차입금의 차입</t>
  </si>
  <si>
    <t>6,264,380,064,033 </t>
  </si>
  <si>
    <t>5,498,094,312,957 </t>
  </si>
  <si>
    <t>   리스부채의 원금 지급</t>
  </si>
  <si>
    <t>현금및현금성자산의 순증감</t>
  </si>
  <si>
    <t>34,603,421,414 </t>
  </si>
  <si>
    <t>279,408,858,984 </t>
  </si>
  <si>
    <t>314,010,007,153 </t>
  </si>
  <si>
    <t>사용권자산</t>
  </si>
  <si>
    <t>사용권자산</t>
    <phoneticPr fontId="1" type="noConversion"/>
  </si>
  <si>
    <t>(2) 손익계산서에 인식된 금액</t>
  </si>
  <si>
    <t>리스와 관련해서 손익계산서에 인식된 금액은 다음과 같습니다.</t>
  </si>
  <si>
    <t>사용권자산의 감가상각비</t>
  </si>
  <si>
    <t>부동산</t>
  </si>
  <si>
    <t>리스부채에 대한 이자비용(금융비용에 포함)</t>
  </si>
  <si>
    <t>단기리스료(매출원가 및 판매비와관리비에 포함)</t>
  </si>
  <si>
    <t>단기리스가 아닌 소액자산 리스료(판매비와관리비에 포함)</t>
  </si>
  <si>
    <t>사용권자산의 전대리스에서 생기는 수익(기타영업외손익에 포함)</t>
  </si>
  <si>
    <t>당기 중 리스의 총 현금유출은 1,814백만원(전기 : 1,955백만원)입니다.</t>
  </si>
  <si>
    <t>현금유출</t>
    <phoneticPr fontId="1" type="noConversion"/>
  </si>
  <si>
    <t>유형자산상각</t>
    <phoneticPr fontId="1" type="noConversion"/>
  </si>
  <si>
    <t>무형자산상각</t>
    <phoneticPr fontId="1" type="noConversion"/>
  </si>
  <si>
    <t>자산구분</t>
    <phoneticPr fontId="1" type="noConversion"/>
  </si>
  <si>
    <t>CS마린</t>
  </si>
  <si>
    <t>CS마린</t>
    <phoneticPr fontId="1" type="noConversion"/>
  </si>
  <si>
    <t>2,124 </t>
  </si>
  <si>
    <t>         1,969 </t>
  </si>
  <si>
    <t>383 </t>
  </si>
  <si>
    <t>         392 </t>
  </si>
  <si>
    <t>기타사용권</t>
  </si>
  <si>
    <t>18 </t>
  </si>
  <si>
    <t>          17 </t>
  </si>
  <si>
    <t>2,525 </t>
  </si>
  <si>
    <t>    2,378 </t>
  </si>
  <si>
    <t>139 </t>
  </si>
  <si>
    <t>         176 </t>
  </si>
  <si>
    <t>단기리스료(매출원가 및 판매비와관리비에 포함)</t>
  </si>
  <si>
    <t>274 </t>
  </si>
  <si>
    <t>         423 </t>
  </si>
  <si>
    <t>108 </t>
  </si>
  <si>
    <t>         88 </t>
  </si>
  <si>
    <t>당기 중 리스의 총 현금유출은 2,202백만원(전기: 2,279백만원) 입니다.</t>
  </si>
  <si>
    <t>상각비</t>
    <phoneticPr fontId="1" type="noConversion"/>
  </si>
  <si>
    <t>연결</t>
    <phoneticPr fontId="1" type="noConversion"/>
  </si>
  <si>
    <t>NWC변동</t>
    <phoneticPr fontId="1" type="noConversion"/>
  </si>
  <si>
    <t>매출채권</t>
  </si>
  <si>
    <t>매출채권</t>
    <phoneticPr fontId="1" type="noConversion"/>
  </si>
  <si>
    <t>매출채권(LS글로벌)</t>
  </si>
  <si>
    <t>매출채권(LS글로벌)</t>
    <phoneticPr fontId="1" type="noConversion"/>
  </si>
  <si>
    <t>매출채권(기타)</t>
  </si>
  <si>
    <t>매출채권(기타)</t>
    <phoneticPr fontId="1" type="noConversion"/>
  </si>
  <si>
    <t>재고자산</t>
  </si>
  <si>
    <t>재고자산</t>
    <phoneticPr fontId="1" type="noConversion"/>
  </si>
  <si>
    <t>운전자산</t>
    <phoneticPr fontId="1" type="noConversion"/>
  </si>
  <si>
    <t>운전부채</t>
    <phoneticPr fontId="1" type="noConversion"/>
  </si>
  <si>
    <t>매입채무</t>
    <phoneticPr fontId="1" type="noConversion"/>
  </si>
  <si>
    <t>Usance</t>
    <phoneticPr fontId="1" type="noConversion"/>
  </si>
  <si>
    <t>연결NWC(Source: Dart)</t>
    <phoneticPr fontId="1" type="noConversion"/>
  </si>
  <si>
    <t>LS 글로벌</t>
    <phoneticPr fontId="1" type="noConversion"/>
  </si>
  <si>
    <t>LS글로벌</t>
    <phoneticPr fontId="1" type="noConversion"/>
  </si>
  <si>
    <t>매출액</t>
    <phoneticPr fontId="1" type="noConversion"/>
  </si>
  <si>
    <t>회전율</t>
  </si>
  <si>
    <t>회전율</t>
    <phoneticPr fontId="1" type="noConversion"/>
  </si>
  <si>
    <t>회전기일</t>
  </si>
  <si>
    <t>회전기일</t>
    <phoneticPr fontId="1" type="noConversion"/>
  </si>
  <si>
    <t>회전기일 가정</t>
    <phoneticPr fontId="1" type="noConversion"/>
  </si>
  <si>
    <t>LS글로벌향 매출액비율 가정</t>
    <phoneticPr fontId="1" type="noConversion"/>
  </si>
  <si>
    <t>LS글로별향 매출액 비율</t>
    <phoneticPr fontId="1" type="noConversion"/>
  </si>
  <si>
    <t>FS</t>
    <phoneticPr fontId="1" type="noConversion"/>
  </si>
  <si>
    <t>손 익 계 산 서</t>
    <phoneticPr fontId="42" type="noConversion"/>
  </si>
  <si>
    <t>제 조 원 가 명 세 서</t>
    <phoneticPr fontId="42" type="noConversion"/>
  </si>
  <si>
    <t>㈜토리컴</t>
    <phoneticPr fontId="42" type="noConversion"/>
  </si>
  <si>
    <t xml:space="preserve">     ( 단위 : 원 )</t>
  </si>
  <si>
    <t>과                목</t>
    <phoneticPr fontId="44" type="noConversion"/>
  </si>
  <si>
    <t>2016년</t>
    <phoneticPr fontId="42" type="noConversion"/>
  </si>
  <si>
    <t>2017년</t>
    <phoneticPr fontId="42" type="noConversion"/>
  </si>
  <si>
    <t>2018년</t>
    <phoneticPr fontId="42" type="noConversion"/>
  </si>
  <si>
    <t>2019년</t>
    <phoneticPr fontId="42" type="noConversion"/>
  </si>
  <si>
    <t>2020년 9개월</t>
    <phoneticPr fontId="42" type="noConversion"/>
  </si>
  <si>
    <t>과                 목</t>
    <phoneticPr fontId="42" type="noConversion"/>
  </si>
  <si>
    <t>2016년</t>
    <phoneticPr fontId="1" type="noConversion"/>
  </si>
  <si>
    <t>2020년 9개월</t>
    <phoneticPr fontId="1" type="noConversion"/>
  </si>
  <si>
    <t>Ⅰ.</t>
    <phoneticPr fontId="44" type="noConversion"/>
  </si>
  <si>
    <t>매출액</t>
    <phoneticPr fontId="44" type="noConversion"/>
  </si>
  <si>
    <t>Ⅰ.</t>
  </si>
  <si>
    <t>원    재    료    비</t>
  </si>
  <si>
    <t>1.</t>
  </si>
  <si>
    <t>제품매출</t>
    <phoneticPr fontId="44" type="noConversion"/>
  </si>
  <si>
    <t>2.</t>
    <phoneticPr fontId="44" type="noConversion"/>
  </si>
  <si>
    <t>상품매출</t>
    <phoneticPr fontId="44" type="noConversion"/>
  </si>
  <si>
    <t>2.</t>
  </si>
  <si>
    <t>임가공매출</t>
    <phoneticPr fontId="44" type="noConversion"/>
  </si>
  <si>
    <t>3.</t>
  </si>
  <si>
    <t>타계정에서대체</t>
    <phoneticPr fontId="44" type="noConversion"/>
  </si>
  <si>
    <t>Ⅱ.</t>
  </si>
  <si>
    <t>매    출    원    가</t>
    <phoneticPr fontId="44" type="noConversion"/>
  </si>
  <si>
    <t>4.</t>
  </si>
  <si>
    <t>타계정으로대체</t>
    <phoneticPr fontId="44" type="noConversion"/>
  </si>
  <si>
    <t>제 품  매 출  원  가</t>
  </si>
  <si>
    <t>5.</t>
  </si>
  <si>
    <t>원재료평가충당금</t>
    <phoneticPr fontId="42" type="noConversion"/>
  </si>
  <si>
    <t>가.</t>
    <phoneticPr fontId="44" type="noConversion"/>
  </si>
  <si>
    <t>기초제품재고액</t>
    <phoneticPr fontId="44" type="noConversion"/>
  </si>
  <si>
    <t>6.</t>
    <phoneticPr fontId="42" type="noConversion"/>
  </si>
  <si>
    <t>나.</t>
    <phoneticPr fontId="44" type="noConversion"/>
  </si>
  <si>
    <t>당기제품제조원가</t>
    <phoneticPr fontId="44" type="noConversion"/>
  </si>
  <si>
    <t>다.</t>
    <phoneticPr fontId="44" type="noConversion"/>
  </si>
  <si>
    <t>Ⅱ.</t>
    <phoneticPr fontId="42" type="noConversion"/>
  </si>
  <si>
    <t>노무비</t>
    <phoneticPr fontId="42" type="noConversion"/>
  </si>
  <si>
    <t>계</t>
    <phoneticPr fontId="44" type="noConversion"/>
  </si>
  <si>
    <t>1.</t>
    <phoneticPr fontId="42" type="noConversion"/>
  </si>
  <si>
    <t>임금</t>
    <phoneticPr fontId="42" type="noConversion"/>
  </si>
  <si>
    <t>라.</t>
    <phoneticPr fontId="44" type="noConversion"/>
  </si>
  <si>
    <t>2.</t>
    <phoneticPr fontId="42" type="noConversion"/>
  </si>
  <si>
    <t>상여금</t>
    <phoneticPr fontId="42" type="noConversion"/>
  </si>
  <si>
    <t>마.</t>
    <phoneticPr fontId="44" type="noConversion"/>
  </si>
  <si>
    <t>관세환급금</t>
    <phoneticPr fontId="44" type="noConversion"/>
  </si>
  <si>
    <t>3.</t>
    <phoneticPr fontId="42" type="noConversion"/>
  </si>
  <si>
    <t>퇴직급여</t>
    <phoneticPr fontId="42" type="noConversion"/>
  </si>
  <si>
    <t>바.</t>
  </si>
  <si>
    <t>재고평가손실(환입)</t>
  </si>
  <si>
    <t>4.</t>
    <phoneticPr fontId="42" type="noConversion"/>
  </si>
  <si>
    <t>잡급</t>
    <phoneticPr fontId="42" type="noConversion"/>
  </si>
  <si>
    <t>사.</t>
  </si>
  <si>
    <t>제품평가충당금</t>
  </si>
  <si>
    <t>아.</t>
  </si>
  <si>
    <t>기말제품재고액</t>
  </si>
  <si>
    <t>Ⅲ.</t>
    <phoneticPr fontId="42" type="noConversion"/>
  </si>
  <si>
    <t>경비</t>
    <phoneticPr fontId="42" type="noConversion"/>
  </si>
  <si>
    <t>상품매출원가</t>
    <phoneticPr fontId="44" type="noConversion"/>
  </si>
  <si>
    <t>복리후생비</t>
    <phoneticPr fontId="42" type="noConversion"/>
  </si>
  <si>
    <t>기초상품재고액</t>
    <phoneticPr fontId="42" type="noConversion"/>
  </si>
  <si>
    <t>전력비</t>
    <phoneticPr fontId="42" type="noConversion"/>
  </si>
  <si>
    <t>당기상품매입액</t>
    <phoneticPr fontId="44" type="noConversion"/>
  </si>
  <si>
    <t>연료비</t>
    <phoneticPr fontId="42" type="noConversion"/>
  </si>
  <si>
    <t>수도광열비</t>
    <phoneticPr fontId="42" type="noConversion"/>
  </si>
  <si>
    <t>여비교통비</t>
    <phoneticPr fontId="42" type="noConversion"/>
  </si>
  <si>
    <t>기말상품재고액</t>
    <phoneticPr fontId="42" type="noConversion"/>
  </si>
  <si>
    <t>6.</t>
  </si>
  <si>
    <t>차량유지비</t>
    <phoneticPr fontId="42" type="noConversion"/>
  </si>
  <si>
    <t>7.</t>
  </si>
  <si>
    <t>통신비</t>
    <phoneticPr fontId="42" type="noConversion"/>
  </si>
  <si>
    <t>Ⅲ.</t>
    <phoneticPr fontId="44" type="noConversion"/>
  </si>
  <si>
    <t>매출총이익</t>
    <phoneticPr fontId="44" type="noConversion"/>
  </si>
  <si>
    <t>8.</t>
  </si>
  <si>
    <t>세금과공과금</t>
    <phoneticPr fontId="42" type="noConversion"/>
  </si>
  <si>
    <t>9.</t>
  </si>
  <si>
    <t>지급임차료</t>
    <phoneticPr fontId="42" type="noConversion"/>
  </si>
  <si>
    <t>Ⅳ.</t>
    <phoneticPr fontId="44" type="noConversion"/>
  </si>
  <si>
    <t>판매비와관리비</t>
    <phoneticPr fontId="44" type="noConversion"/>
  </si>
  <si>
    <t>10.</t>
  </si>
  <si>
    <t>소모품비</t>
    <phoneticPr fontId="42" type="noConversion"/>
  </si>
  <si>
    <t>급                여</t>
  </si>
  <si>
    <t>11.</t>
  </si>
  <si>
    <t>감가상각비</t>
    <phoneticPr fontId="42" type="noConversion"/>
  </si>
  <si>
    <t>12.</t>
  </si>
  <si>
    <t>수선비</t>
    <phoneticPr fontId="42" type="noConversion"/>
  </si>
  <si>
    <t>퇴    직    급    여</t>
  </si>
  <si>
    <t>13.</t>
  </si>
  <si>
    <t>교육훈련비</t>
    <phoneticPr fontId="42" type="noConversion"/>
  </si>
  <si>
    <t>14.</t>
  </si>
  <si>
    <t>도서인쇄비</t>
    <phoneticPr fontId="42" type="noConversion"/>
  </si>
  <si>
    <t>15.</t>
  </si>
  <si>
    <t>보험료</t>
    <phoneticPr fontId="42" type="noConversion"/>
  </si>
  <si>
    <t>16.</t>
  </si>
  <si>
    <t>접대비</t>
    <phoneticPr fontId="42" type="noConversion"/>
  </si>
  <si>
    <t>17.</t>
  </si>
  <si>
    <t>폐기물처리비</t>
    <phoneticPr fontId="42" type="noConversion"/>
  </si>
  <si>
    <t>18.</t>
  </si>
  <si>
    <t>운반비</t>
    <phoneticPr fontId="42" type="noConversion"/>
  </si>
  <si>
    <t>19.</t>
  </si>
  <si>
    <t>지급수수료</t>
    <phoneticPr fontId="42" type="noConversion"/>
  </si>
  <si>
    <t>20.</t>
  </si>
  <si>
    <t>외주가공비</t>
    <phoneticPr fontId="42" type="noConversion"/>
  </si>
  <si>
    <t>21.</t>
  </si>
  <si>
    <t>지불용역비</t>
    <phoneticPr fontId="42" type="noConversion"/>
  </si>
  <si>
    <t>경상개발비</t>
    <phoneticPr fontId="42" type="noConversion"/>
  </si>
  <si>
    <t>22.</t>
  </si>
  <si>
    <t>회의비</t>
    <phoneticPr fontId="42" type="noConversion"/>
  </si>
  <si>
    <t>23.</t>
  </si>
  <si>
    <t>연구개발비</t>
    <phoneticPr fontId="42" type="noConversion"/>
  </si>
  <si>
    <t>24.</t>
  </si>
  <si>
    <t>포장비</t>
    <phoneticPr fontId="42" type="noConversion"/>
  </si>
  <si>
    <t>25.</t>
  </si>
  <si>
    <t>리스자산상각비</t>
    <phoneticPr fontId="42" type="noConversion"/>
  </si>
  <si>
    <t>26.</t>
  </si>
  <si>
    <t>잡비</t>
    <phoneticPr fontId="42" type="noConversion"/>
  </si>
  <si>
    <t>회의비</t>
    <phoneticPr fontId="44" type="noConversion"/>
  </si>
  <si>
    <t>Ⅳ.</t>
    <phoneticPr fontId="42" type="noConversion"/>
  </si>
  <si>
    <t>당기총제조비용</t>
    <phoneticPr fontId="42" type="noConversion"/>
  </si>
  <si>
    <t>무형자산상각비</t>
    <phoneticPr fontId="42" type="noConversion"/>
  </si>
  <si>
    <t>Ⅴ.</t>
    <phoneticPr fontId="42" type="noConversion"/>
  </si>
  <si>
    <t>기초재공품재고액</t>
    <phoneticPr fontId="42" type="noConversion"/>
  </si>
  <si>
    <t>대손상각비</t>
    <phoneticPr fontId="44" type="noConversion"/>
  </si>
  <si>
    <t>Ⅵ.</t>
    <phoneticPr fontId="42" type="noConversion"/>
  </si>
  <si>
    <t>타계정에서대체</t>
    <phoneticPr fontId="42" type="noConversion"/>
  </si>
  <si>
    <t>광고선전비</t>
    <phoneticPr fontId="44" type="noConversion"/>
  </si>
  <si>
    <t>Ⅶ.</t>
    <phoneticPr fontId="42" type="noConversion"/>
  </si>
  <si>
    <t>합계</t>
    <phoneticPr fontId="42" type="noConversion"/>
  </si>
  <si>
    <t>교육훈련비</t>
    <phoneticPr fontId="44" type="noConversion"/>
  </si>
  <si>
    <t>Ⅷ.</t>
    <phoneticPr fontId="42" type="noConversion"/>
  </si>
  <si>
    <t>포장비</t>
    <phoneticPr fontId="44" type="noConversion"/>
  </si>
  <si>
    <t>Ⅸ.</t>
    <phoneticPr fontId="42" type="noConversion"/>
  </si>
  <si>
    <t>기말재공품재고액</t>
    <phoneticPr fontId="42" type="noConversion"/>
  </si>
  <si>
    <t>Ⅹ.</t>
    <phoneticPr fontId="42" type="noConversion"/>
  </si>
  <si>
    <t>재공품평가충당금</t>
    <phoneticPr fontId="42" type="noConversion"/>
  </si>
  <si>
    <t>ⅩⅠ.</t>
    <phoneticPr fontId="42" type="noConversion"/>
  </si>
  <si>
    <t>당기제품제조원가</t>
    <phoneticPr fontId="42" type="noConversion"/>
  </si>
  <si>
    <t>잡 비</t>
    <phoneticPr fontId="42" type="noConversion"/>
  </si>
  <si>
    <t>27.</t>
  </si>
  <si>
    <t>견본비</t>
    <phoneticPr fontId="42" type="noConversion"/>
  </si>
  <si>
    <t>Ⅵ.</t>
    <phoneticPr fontId="44" type="noConversion"/>
  </si>
  <si>
    <t>기타영업수익</t>
    <phoneticPr fontId="44" type="noConversion"/>
  </si>
  <si>
    <t>외환차익</t>
    <phoneticPr fontId="42" type="noConversion"/>
  </si>
  <si>
    <t>외화환산이익</t>
    <phoneticPr fontId="42" type="noConversion"/>
  </si>
  <si>
    <t>수입임대료</t>
    <phoneticPr fontId="44" type="noConversion"/>
  </si>
  <si>
    <t>유형자산처분이익</t>
    <phoneticPr fontId="44" type="noConversion"/>
  </si>
  <si>
    <t>투자자산처분이익</t>
    <phoneticPr fontId="44" type="noConversion"/>
  </si>
  <si>
    <t>대손충당금환입액</t>
    <phoneticPr fontId="44" type="noConversion"/>
  </si>
  <si>
    <t>사용료수익</t>
    <phoneticPr fontId="44" type="noConversion"/>
  </si>
  <si>
    <t>보험차익</t>
    <phoneticPr fontId="44" type="noConversion"/>
  </si>
  <si>
    <t>파생상품거래이익</t>
    <phoneticPr fontId="42" type="noConversion"/>
  </si>
  <si>
    <t>파생상품평가이익</t>
    <phoneticPr fontId="42" type="noConversion"/>
  </si>
  <si>
    <t>잡이익</t>
    <phoneticPr fontId="42" type="noConversion"/>
  </si>
  <si>
    <t>기타영업비용</t>
    <phoneticPr fontId="42" type="noConversion"/>
  </si>
  <si>
    <t>외환차손</t>
    <phoneticPr fontId="42" type="noConversion"/>
  </si>
  <si>
    <t>외화환산손실</t>
    <phoneticPr fontId="42" type="noConversion"/>
  </si>
  <si>
    <t>유형자산폐기손실</t>
    <phoneticPr fontId="42" type="noConversion"/>
  </si>
  <si>
    <t>유형자산처분손실</t>
    <phoneticPr fontId="42" type="noConversion"/>
  </si>
  <si>
    <t>유형자산감액손실</t>
    <phoneticPr fontId="42" type="noConversion"/>
  </si>
  <si>
    <t>보증료</t>
    <phoneticPr fontId="44" type="noConversion"/>
  </si>
  <si>
    <t>무형자산감액손실</t>
    <phoneticPr fontId="44" type="noConversion"/>
  </si>
  <si>
    <t>기타의대손상각비</t>
    <phoneticPr fontId="44" type="noConversion"/>
  </si>
  <si>
    <t>유가증권처분손실</t>
    <phoneticPr fontId="44" type="noConversion"/>
  </si>
  <si>
    <t>투자자산처분손실</t>
    <phoneticPr fontId="42" type="noConversion"/>
  </si>
  <si>
    <t>투자자산감액손실</t>
    <phoneticPr fontId="42" type="noConversion"/>
  </si>
  <si>
    <t>재고자산감액손실</t>
    <phoneticPr fontId="42" type="noConversion"/>
  </si>
  <si>
    <t>유형자산손상차손</t>
    <phoneticPr fontId="42" type="noConversion"/>
  </si>
  <si>
    <t>파생상품거래손실</t>
    <phoneticPr fontId="42" type="noConversion"/>
  </si>
  <si>
    <t>파생상품평가손실</t>
    <phoneticPr fontId="42" type="noConversion"/>
  </si>
  <si>
    <t>매출채권처분손실</t>
    <phoneticPr fontId="42" type="noConversion"/>
  </si>
  <si>
    <t>기부금</t>
    <phoneticPr fontId="42" type="noConversion"/>
  </si>
  <si>
    <t>잡손실</t>
    <phoneticPr fontId="42" type="noConversion"/>
  </si>
  <si>
    <t>영업이익</t>
    <phoneticPr fontId="42" type="noConversion"/>
  </si>
  <si>
    <t>금융수익</t>
    <phoneticPr fontId="42" type="noConversion"/>
  </si>
  <si>
    <t>금융비용</t>
    <phoneticPr fontId="42" type="noConversion"/>
  </si>
  <si>
    <t>Ⅷ.</t>
    <phoneticPr fontId="44" type="noConversion"/>
  </si>
  <si>
    <t>법인세비용차감전순이익(손실)</t>
    <phoneticPr fontId="44" type="noConversion"/>
  </si>
  <si>
    <t>Ⅸ.</t>
  </si>
  <si>
    <t>법인세비용</t>
    <phoneticPr fontId="44" type="noConversion"/>
  </si>
  <si>
    <t>Ⅹ.</t>
    <phoneticPr fontId="44" type="noConversion"/>
  </si>
  <si>
    <t>당기순이익(손실)</t>
    <phoneticPr fontId="44" type="noConversion"/>
  </si>
  <si>
    <t>&gt;&gt;&gt;매출내역(SA)</t>
  </si>
  <si>
    <t xml:space="preserve">*법인계정코드 </t>
  </si>
  <si>
    <t xml:space="preserve">*법인Segment코드 </t>
  </si>
  <si>
    <t xml:space="preserve">*거래선코드 </t>
  </si>
  <si>
    <t xml:space="preserve">*거래통화코드 </t>
  </si>
  <si>
    <t xml:space="preserve">*거래통화금액 </t>
  </si>
  <si>
    <t xml:space="preserve">*장부통화금액 </t>
  </si>
  <si>
    <t xml:space="preserve">*Invoice번호/세금계산서번호 </t>
  </si>
  <si>
    <t xml:space="preserve">L/C번호 </t>
  </si>
  <si>
    <t xml:space="preserve">거래일자 </t>
  </si>
  <si>
    <t xml:space="preserve">회계일자 </t>
  </si>
  <si>
    <t xml:space="preserve">전표번호 </t>
  </si>
  <si>
    <t>적요</t>
  </si>
  <si>
    <t>연도</t>
    <phoneticPr fontId="1" type="noConversion"/>
  </si>
  <si>
    <t>거래처</t>
    <phoneticPr fontId="1" type="noConversion"/>
  </si>
  <si>
    <t>C0100</t>
  </si>
  <si>
    <t>KRW</t>
  </si>
  <si>
    <t>주식회사 지알엠</t>
  </si>
  <si>
    <t>20200116</t>
  </si>
  <si>
    <t>1618</t>
  </si>
  <si>
    <t>12/31 (구리거래) 지알엠 탈동 Cake 8.047t 판매 확정정산(증가)</t>
  </si>
  <si>
    <t>216</t>
  </si>
  <si>
    <t>(구리거래) 지알엠 탈동 Cake 8.252t 판매</t>
  </si>
  <si>
    <t>235</t>
  </si>
  <si>
    <t>4/2 (구리거래) 지알엠 탈동 Cake 8.252t 판매 확정정산(증가)</t>
  </si>
  <si>
    <t>3064</t>
  </si>
  <si>
    <t xml:space="preserve">(구리거래) 지알엠 탈동 Cake 8.118t 판매 </t>
  </si>
  <si>
    <t>1616</t>
  </si>
  <si>
    <t>6/30 (구리거래) 지알엠 탈동 Cake 8.118t 판매 확정정산(증가)</t>
  </si>
  <si>
    <t>2855</t>
  </si>
  <si>
    <t>(구리거래) 지알엠 탈동 Cake 9.794t 판매</t>
  </si>
  <si>
    <t>엘에스니꼬동제련</t>
  </si>
  <si>
    <t>20190118</t>
  </si>
  <si>
    <t>(구리거래)LSNC Ag 스크랩 1.722t 판매 선정산 (31LF21124A)</t>
  </si>
  <si>
    <t>(구리거래)LSNC Ag 스크랩 1.722t 판매 확정정산 (31LF21124A)(감소)</t>
  </si>
  <si>
    <t>20190212</t>
  </si>
  <si>
    <t>1231</t>
  </si>
  <si>
    <t>(구리거래) 지알엠 탈동 Cake 8.145ton 판매</t>
  </si>
  <si>
    <t>79</t>
  </si>
  <si>
    <t>2/12 (구리거래) 지알엠 탈동 Cake 8.145ton 판매 확정정산(감소)</t>
  </si>
  <si>
    <t>2989</t>
  </si>
  <si>
    <t>(구리거래) 지알엠 Pd 434g 판매</t>
  </si>
  <si>
    <t>2323</t>
  </si>
  <si>
    <t>(구리거래) 지알엠 Pd 434g 판매 확정정산(증가)</t>
  </si>
  <si>
    <t>1314</t>
  </si>
  <si>
    <t>(구리거래) 지알엠 탈동 Cake 7.776ton 판매</t>
  </si>
  <si>
    <t>239</t>
  </si>
  <si>
    <t>6/13 (구리거래) 지알엠 탈동 Cake 7.776ton 판매 확정정산(감소)</t>
  </si>
  <si>
    <t>611</t>
  </si>
  <si>
    <t>(구리거래) 지알엠 탈동 Cake 9.058ton 판매</t>
  </si>
  <si>
    <t>2944</t>
  </si>
  <si>
    <t>8/6 (구리거래) 지알엠 탈동Cake 9.058t 판매 확정정산</t>
  </si>
  <si>
    <t>3199</t>
  </si>
  <si>
    <t>(구리거래) 지알엠 탈동 Cake 8.047t 판매</t>
  </si>
  <si>
    <t>(구리거래)LSNC Ag 스크랩 1.501t 판매 선정산 (31LF20757)</t>
  </si>
  <si>
    <t>(구리거래)LSNC Ag 스크랩 1.501t 판매 확정정산 (31LF20757A) (감소)</t>
  </si>
  <si>
    <t>82</t>
  </si>
  <si>
    <t>(구리거래)지알엠 탈동 Cake 20.924ton 판매</t>
  </si>
  <si>
    <t>3/8 (구리거래)지알엠 탈동 Cake 20.924ton 판매 확정정산(감소)</t>
  </si>
  <si>
    <t>20180828</t>
  </si>
  <si>
    <t>2830</t>
  </si>
  <si>
    <t>(구리거래)지알엠 탈동 Cake 17.910ton 판매</t>
  </si>
  <si>
    <t>2733</t>
  </si>
  <si>
    <t>(구리거래) 지알엠 탈동 Cake 11.474ton 판매</t>
  </si>
  <si>
    <t>181</t>
  </si>
  <si>
    <t>8/28 (구리거래)지알엠 탈동 Cake 17.910ton 판매 확정정산(감소)</t>
  </si>
  <si>
    <t>231</t>
  </si>
  <si>
    <t>9/27 (구리거래) 지알엠 탈동 Cake 11.474ton 판매 확정정산(감소)</t>
  </si>
  <si>
    <t>2239</t>
  </si>
  <si>
    <t>(구리거래)지알엠 탈동 Cake 21.854ton 판매</t>
  </si>
  <si>
    <t>926</t>
  </si>
  <si>
    <t>(구리거래)2/22 지알엠 탈동 Cake 21.854 ton 판매 확정정산(감소)</t>
  </si>
  <si>
    <t>824</t>
  </si>
  <si>
    <t>(구리거래)지알엠 탈동 Cake 20.896 ton 판매</t>
  </si>
  <si>
    <t>65</t>
  </si>
  <si>
    <t>(구리거래)6/8 지알엠 탈동 Cake 20.896 ton 판매 확정정산(감소)</t>
  </si>
  <si>
    <t>74</t>
  </si>
  <si>
    <t>(구리거래)지알엠 탈동 Cake 18.674ton 판매</t>
  </si>
  <si>
    <t>2113</t>
  </si>
  <si>
    <t>11/7 지알엠 탈동 Cake 18.674ton 판매 확정정산(감소)</t>
  </si>
  <si>
    <t>(구리거래)LSNC Ag 스크랩 1.23t 판매 선정산 (31LF20412)</t>
  </si>
  <si>
    <t>(구리거래)LSNC Ag 스크랩 1.23t 판매 확정정산 (31LF20412) (감소)</t>
  </si>
  <si>
    <t>&gt;&gt;&gt;매입내역(재고자산)(PU)</t>
  </si>
  <si>
    <t>조황산니켈 매입</t>
    <phoneticPr fontId="1" type="noConversion"/>
  </si>
  <si>
    <t>조황산니켈 매입</t>
  </si>
  <si>
    <t>조황산니켈, Au, Ag 매입</t>
    <phoneticPr fontId="1" type="noConversion"/>
  </si>
  <si>
    <t>매출세부</t>
    <phoneticPr fontId="1" type="noConversion"/>
  </si>
  <si>
    <t>귀금속</t>
  </si>
  <si>
    <t>소재</t>
  </si>
  <si>
    <t>전처리</t>
  </si>
  <si>
    <t>제품</t>
    <phoneticPr fontId="1" type="noConversion"/>
  </si>
  <si>
    <t>임가공</t>
    <phoneticPr fontId="1" type="noConversion"/>
  </si>
  <si>
    <t>상품</t>
    <phoneticPr fontId="1" type="noConversion"/>
  </si>
  <si>
    <t>위험회피</t>
    <phoneticPr fontId="1" type="noConversion"/>
  </si>
  <si>
    <t>순매출</t>
    <phoneticPr fontId="1" type="noConversion"/>
  </si>
  <si>
    <t>귀금속</t>
    <phoneticPr fontId="44" type="noConversion"/>
  </si>
  <si>
    <t>소재</t>
    <phoneticPr fontId="44" type="noConversion"/>
  </si>
  <si>
    <t>인듐</t>
    <phoneticPr fontId="44" type="noConversion"/>
  </si>
  <si>
    <t>니켈</t>
    <phoneticPr fontId="61" type="noConversion"/>
  </si>
  <si>
    <t>산화주석</t>
    <phoneticPr fontId="61" type="noConversion"/>
  </si>
  <si>
    <t>&gt;&gt; 감사보고서</t>
    <phoneticPr fontId="1" type="noConversion"/>
  </si>
  <si>
    <t>2020년</t>
    <phoneticPr fontId="42" type="noConversion"/>
  </si>
  <si>
    <t>기초 원재료 재 고 액</t>
    <phoneticPr fontId="1" type="noConversion"/>
  </si>
  <si>
    <t>당기 원재료 매 입 액</t>
    <phoneticPr fontId="1" type="noConversion"/>
  </si>
  <si>
    <t>계</t>
    <phoneticPr fontId="1" type="noConversion"/>
  </si>
  <si>
    <t>기말 원재료 재 고 액</t>
    <phoneticPr fontId="1" type="noConversion"/>
  </si>
  <si>
    <t>마</t>
    <phoneticPr fontId="44" type="noConversion"/>
  </si>
  <si>
    <t>가</t>
    <phoneticPr fontId="42" type="noConversion"/>
  </si>
  <si>
    <t>나</t>
    <phoneticPr fontId="44" type="noConversion"/>
  </si>
  <si>
    <t>다</t>
    <phoneticPr fontId="44" type="noConversion"/>
  </si>
  <si>
    <t>라</t>
    <phoneticPr fontId="44" type="noConversion"/>
  </si>
  <si>
    <t>&gt;&gt;손익계산서</t>
    <phoneticPr fontId="1" type="noConversion"/>
  </si>
  <si>
    <t>&gt;&gt;제조원가명세서</t>
    <phoneticPr fontId="1" type="noConversion"/>
  </si>
  <si>
    <t>&gt;&gt;내부거래</t>
    <phoneticPr fontId="1" type="noConversion"/>
  </si>
  <si>
    <t>회사명 : (주)지알엠</t>
  </si>
  <si>
    <t>(단위 : 원)</t>
  </si>
  <si>
    <t>&gt;&gt;&gt;2020년 매출내역(SA)</t>
    <phoneticPr fontId="1" type="noConversion"/>
  </si>
  <si>
    <t>계정명</t>
  </si>
  <si>
    <t>과    목</t>
  </si>
  <si>
    <t>I.   매    출   액</t>
  </si>
  <si>
    <t>금    액</t>
  </si>
  <si>
    <t>BC/ZD 가계산</t>
    <phoneticPr fontId="1" type="noConversion"/>
  </si>
  <si>
    <t>LS-Nikko동제련</t>
  </si>
  <si>
    <t xml:space="preserve"> 제품매출</t>
  </si>
  <si>
    <t>I.  재    료    비</t>
  </si>
  <si>
    <t>II.  매  출  원 가</t>
  </si>
  <si>
    <t xml:space="preserve"> 원재료비</t>
  </si>
  <si>
    <t xml:space="preserve"> 제품매출원가</t>
  </si>
  <si>
    <t xml:space="preserve">   기초재고</t>
  </si>
  <si>
    <t xml:space="preserve">   당기매입</t>
  </si>
  <si>
    <t>02186</t>
  </si>
  <si>
    <t xml:space="preserve">   타계정에서</t>
  </si>
  <si>
    <t xml:space="preserve">   타계정으로</t>
  </si>
  <si>
    <t xml:space="preserve">   기말재고액</t>
  </si>
  <si>
    <t>1) 2019년</t>
  </si>
  <si>
    <t>II. 노    무    비</t>
  </si>
  <si>
    <t>(단위: 천원)</t>
  </si>
  <si>
    <r>
      <t>(</t>
    </r>
    <r>
      <rPr>
        <sz val="9"/>
        <rFont val="돋움"/>
        <family val="3"/>
        <charset val="129"/>
      </rPr>
      <t>단위</t>
    </r>
    <r>
      <rPr>
        <sz val="9"/>
        <rFont val="Calibri"/>
        <family val="2"/>
      </rPr>
      <t xml:space="preserve"> : </t>
    </r>
    <r>
      <rPr>
        <sz val="9"/>
        <rFont val="돋움"/>
        <family val="3"/>
        <charset val="129"/>
      </rPr>
      <t>원</t>
    </r>
    <r>
      <rPr>
        <sz val="9"/>
        <rFont val="Calibri"/>
        <family val="2"/>
      </rPr>
      <t>)</t>
    </r>
    <phoneticPr fontId="44" type="noConversion"/>
  </si>
  <si>
    <t xml:space="preserve"> 제품매출원가:결산</t>
  </si>
  <si>
    <t xml:space="preserve"> 급여</t>
  </si>
  <si>
    <t>회사명 </t>
  </si>
  <si>
    <t>원재료 매입</t>
  </si>
  <si>
    <t>유형자산구입</t>
  </si>
  <si>
    <t>동제련내부거래 계획</t>
    <phoneticPr fontId="44" type="noConversion"/>
  </si>
  <si>
    <t>2021년</t>
  </si>
  <si>
    <t>2022년</t>
  </si>
  <si>
    <t>2023년</t>
  </si>
  <si>
    <t xml:space="preserve"> 재고자산평가손실</t>
  </si>
  <si>
    <t xml:space="preserve"> 퇴직급여</t>
  </si>
  <si>
    <t>최상위공동지배기업</t>
  </si>
  <si>
    <t>㈜LS</t>
  </si>
  <si>
    <t>6,880 </t>
  </si>
  <si>
    <t>토리컴</t>
    <phoneticPr fontId="44" type="noConversion"/>
  </si>
  <si>
    <t>매입</t>
    <phoneticPr fontId="44" type="noConversion"/>
  </si>
  <si>
    <t>III.매 출 총 이 익</t>
  </si>
  <si>
    <t>III.제  조  경  비</t>
  </si>
  <si>
    <t>지배기업 </t>
  </si>
  <si>
    <t>엘에스니꼬동제련㈜</t>
  </si>
  <si>
    <t>248 </t>
  </si>
  <si>
    <t>8,100 </t>
  </si>
  <si>
    <t>매출</t>
    <phoneticPr fontId="44" type="noConversion"/>
  </si>
  <si>
    <t>IV.판매비와 관리비</t>
  </si>
  <si>
    <t xml:space="preserve"> 부재료비</t>
  </si>
  <si>
    <t>특수관계자 </t>
  </si>
  <si>
    <t>㈜선우</t>
  </si>
  <si>
    <t>61,500 </t>
  </si>
  <si>
    <t>GRM</t>
    <phoneticPr fontId="44" type="noConversion"/>
  </si>
  <si>
    <t xml:space="preserve"> 판)급여</t>
  </si>
  <si>
    <t xml:space="preserve"> 전력비</t>
  </si>
  <si>
    <t>㈜토리컴</t>
  </si>
  <si>
    <t xml:space="preserve"> 판)상여금</t>
  </si>
  <si>
    <t xml:space="preserve"> 연료비</t>
  </si>
  <si>
    <t>엘에스글로벌인코퍼레이티드㈜</t>
  </si>
  <si>
    <t>139,003 </t>
  </si>
  <si>
    <t>95,000 </t>
  </si>
  <si>
    <t>선우</t>
    <phoneticPr fontId="44" type="noConversion"/>
  </si>
  <si>
    <t xml:space="preserve"> 판)퇴직급여</t>
  </si>
  <si>
    <t xml:space="preserve"> 공업용수비</t>
  </si>
  <si>
    <t>㈜예스코서비스</t>
  </si>
  <si>
    <t>7,073 </t>
  </si>
  <si>
    <t xml:space="preserve"> 판)복리후생비</t>
  </si>
  <si>
    <t xml:space="preserve"> 복리후생비</t>
  </si>
  <si>
    <t>합계 </t>
  </si>
  <si>
    <t>217,797,766 </t>
  </si>
  <si>
    <t>63,687 </t>
  </si>
  <si>
    <t>214,704 </t>
  </si>
  <si>
    <t>103,100 </t>
  </si>
  <si>
    <t>CSM</t>
    <phoneticPr fontId="44" type="noConversion"/>
  </si>
  <si>
    <t xml:space="preserve"> 판)여비교통비</t>
  </si>
  <si>
    <t xml:space="preserve"> 여비교통비</t>
  </si>
  <si>
    <t xml:space="preserve"> 판)통신비</t>
  </si>
  <si>
    <t xml:space="preserve"> 통신비</t>
  </si>
  <si>
    <t>2) 2018년</t>
  </si>
  <si>
    <t xml:space="preserve"> 판)세금과공과</t>
  </si>
  <si>
    <t xml:space="preserve"> 수도광열비</t>
  </si>
  <si>
    <t xml:space="preserve"> 판)임차료</t>
  </si>
  <si>
    <t xml:space="preserve"> 세금과 공과</t>
  </si>
  <si>
    <t xml:space="preserve"> 판)감가상각비</t>
  </si>
  <si>
    <t xml:space="preserve"> 임차료</t>
  </si>
  <si>
    <t>7,170 </t>
  </si>
  <si>
    <t xml:space="preserve"> 판)무형자산상각비</t>
  </si>
  <si>
    <t xml:space="preserve"> 유형자산 감가상각비</t>
  </si>
  <si>
    <t>5,671 </t>
  </si>
  <si>
    <t xml:space="preserve"> 판)수선비</t>
  </si>
  <si>
    <t xml:space="preserve"> 무형자산상각비</t>
  </si>
  <si>
    <t>224,900 </t>
  </si>
  <si>
    <t>2,380,000 </t>
  </si>
  <si>
    <t xml:space="preserve"> 판)보험료</t>
  </si>
  <si>
    <t xml:space="preserve"> 사용권자산상각비</t>
  </si>
  <si>
    <t>LS산전㈜</t>
  </si>
  <si>
    <t>300 </t>
  </si>
  <si>
    <t>134,000 </t>
  </si>
  <si>
    <t xml:space="preserve"> 판)접대비</t>
  </si>
  <si>
    <t xml:space="preserve"> 판)광고선전비</t>
  </si>
  <si>
    <t xml:space="preserve"> 보험료</t>
  </si>
  <si>
    <t>100,022 </t>
  </si>
  <si>
    <t>39,650 </t>
  </si>
  <si>
    <t xml:space="preserve"> 판)운반및보관료</t>
  </si>
  <si>
    <t xml:space="preserve"> 접대비</t>
  </si>
  <si>
    <t>17,343 </t>
  </si>
  <si>
    <t xml:space="preserve"> 판)수수료</t>
  </si>
  <si>
    <t>206,678,920 </t>
  </si>
  <si>
    <t>35,191 </t>
  </si>
  <si>
    <t>355,406 </t>
  </si>
  <si>
    <t>2,553,650 </t>
  </si>
  <si>
    <t xml:space="preserve"> 판)소모품비</t>
  </si>
  <si>
    <t xml:space="preserve"> 운반및보관료</t>
  </si>
  <si>
    <t xml:space="preserve"> 판)도서인쇄비</t>
  </si>
  <si>
    <t xml:space="preserve"> 지급수수료</t>
  </si>
  <si>
    <t>3) 2017년</t>
    <phoneticPr fontId="1" type="noConversion"/>
  </si>
  <si>
    <t xml:space="preserve"> 판)용역비</t>
  </si>
  <si>
    <t xml:space="preserve"> 판)교육훈련비</t>
  </si>
  <si>
    <t xml:space="preserve"> 도서인쇄비</t>
  </si>
  <si>
    <t>특수관계구분</t>
  </si>
  <si>
    <t>회사명</t>
  </si>
  <si>
    <t>유형자산처분</t>
  </si>
  <si>
    <t xml:space="preserve"> 판)차량관리비</t>
  </si>
  <si>
    <t xml:space="preserve"> 외주용역비</t>
  </si>
  <si>
    <t xml:space="preserve"> 판)사용권자산상각비</t>
  </si>
  <si>
    <t xml:space="preserve"> 교육훈련비</t>
  </si>
  <si>
    <t>지배기업</t>
  </si>
  <si>
    <t xml:space="preserve"> 판)대손충당금환입</t>
  </si>
  <si>
    <t xml:space="preserve"> 차량관리비</t>
  </si>
  <si>
    <t>특수관계자</t>
  </si>
  <si>
    <t>V. 영  업   이  익</t>
  </si>
  <si>
    <t>IV.당기 총제조비용</t>
  </si>
  <si>
    <t>VI.  영업  외 수익</t>
  </si>
  <si>
    <t>V.기초재공품재고액</t>
  </si>
  <si>
    <t xml:space="preserve">     금융수익</t>
  </si>
  <si>
    <t>VI.타계정에서대체액</t>
  </si>
  <si>
    <t>VII.합          계</t>
  </si>
  <si>
    <t xml:space="preserve"> 당기손익인식지정금융자산/부채 처분이익</t>
  </si>
  <si>
    <t>VIII.기말제공품재고액</t>
  </si>
  <si>
    <t>합 계</t>
  </si>
  <si>
    <t xml:space="preserve">     기타 영업외수익</t>
  </si>
  <si>
    <t>IX.타계정으로대체액</t>
  </si>
  <si>
    <t>X.당기제품제조원가</t>
  </si>
  <si>
    <t xml:space="preserve"> 손상차손환입(유형자산)</t>
  </si>
  <si>
    <t xml:space="preserve">     영업외수익</t>
  </si>
  <si>
    <t>VII. 영업  외 비용</t>
  </si>
  <si>
    <t xml:space="preserve">     금융비용</t>
  </si>
  <si>
    <t xml:space="preserve">     기타 영업외비용</t>
  </si>
  <si>
    <t xml:space="preserve"> 손상차손(유형자산 감액손실)</t>
  </si>
  <si>
    <t xml:space="preserve"> 손상차손(무형자산 감액손실)</t>
  </si>
  <si>
    <t xml:space="preserve">     영업외비용</t>
  </si>
  <si>
    <t>VIII.법인세비용차감전이익</t>
  </si>
  <si>
    <t>IX.법인세비용</t>
  </si>
  <si>
    <t xml:space="preserve"> 법인세비용</t>
  </si>
  <si>
    <t>X. 당 기 순 이 익</t>
  </si>
  <si>
    <t>XI. 주 당 손 익</t>
  </si>
  <si>
    <t xml:space="preserve">     기본주당 이익</t>
  </si>
  <si>
    <t xml:space="preserve">     희석주당 순이익</t>
  </si>
  <si>
    <t>선우_Backdata</t>
    <phoneticPr fontId="1" type="noConversion"/>
  </si>
  <si>
    <t>선우_Backdata</t>
  </si>
  <si>
    <t>2021년</t>
    <phoneticPr fontId="1" type="noConversion"/>
  </si>
  <si>
    <t>2022년</t>
    <phoneticPr fontId="1" type="noConversion"/>
  </si>
  <si>
    <t>2023년</t>
    <phoneticPr fontId="1" type="noConversion"/>
  </si>
  <si>
    <t>손익계산서 ('21~23年 사업계획)_2021년</t>
    <phoneticPr fontId="44" type="noConversion"/>
  </si>
  <si>
    <t>수익합계</t>
    <phoneticPr fontId="1" type="noConversion"/>
  </si>
  <si>
    <t>(단위: 천원)</t>
    <phoneticPr fontId="44" type="noConversion"/>
  </si>
  <si>
    <t>구 분</t>
    <phoneticPr fontId="44" type="noConversion"/>
  </si>
  <si>
    <t>'20년 8월 누계</t>
    <phoneticPr fontId="44" type="noConversion"/>
  </si>
  <si>
    <t>2020년 8월기준
 년간추정</t>
    <phoneticPr fontId="44" type="noConversion"/>
  </si>
  <si>
    <t>2021년 계</t>
    <phoneticPr fontId="44" type="noConversion"/>
  </si>
  <si>
    <t>2022년 계</t>
    <phoneticPr fontId="44" type="noConversion"/>
  </si>
  <si>
    <t>2023년 계</t>
    <phoneticPr fontId="44" type="noConversion"/>
  </si>
  <si>
    <t>광석</t>
    <phoneticPr fontId="1" type="noConversion"/>
  </si>
  <si>
    <t>비용합계</t>
    <phoneticPr fontId="1" type="noConversion"/>
  </si>
  <si>
    <t>Ⅰ. 매출액</t>
    <phoneticPr fontId="44" type="noConversion"/>
  </si>
  <si>
    <t>변동비합계</t>
    <phoneticPr fontId="1" type="noConversion"/>
  </si>
  <si>
    <t>항비</t>
    <phoneticPr fontId="1" type="noConversion"/>
  </si>
  <si>
    <t>연료비</t>
    <phoneticPr fontId="1" type="noConversion"/>
  </si>
  <si>
    <t>공사수입</t>
    <phoneticPr fontId="44" type="noConversion"/>
  </si>
  <si>
    <t>기타운항비</t>
    <phoneticPr fontId="1" type="noConversion"/>
  </si>
  <si>
    <t>임대료수입</t>
    <phoneticPr fontId="44" type="noConversion"/>
  </si>
  <si>
    <t>고정비합계</t>
    <phoneticPr fontId="1" type="noConversion"/>
  </si>
  <si>
    <t>선원임금</t>
    <phoneticPr fontId="1" type="noConversion"/>
  </si>
  <si>
    <t>Ⅱ. 매출원가</t>
    <phoneticPr fontId="44" type="noConversion"/>
  </si>
  <si>
    <t>선비</t>
    <phoneticPr fontId="1" type="noConversion"/>
  </si>
  <si>
    <t>매출이익</t>
    <phoneticPr fontId="1" type="noConversion"/>
  </si>
  <si>
    <t>해운사운영비</t>
    <phoneticPr fontId="1" type="noConversion"/>
  </si>
  <si>
    <t>공사매출원가</t>
    <phoneticPr fontId="44" type="noConversion"/>
  </si>
  <si>
    <t>영업이익</t>
    <phoneticPr fontId="1" type="noConversion"/>
  </si>
  <si>
    <t>부동산임대매출원가</t>
    <phoneticPr fontId="44" type="noConversion"/>
  </si>
  <si>
    <t>이자비용</t>
    <phoneticPr fontId="1" type="noConversion"/>
  </si>
  <si>
    <t>세전이익</t>
    <phoneticPr fontId="1" type="noConversion"/>
  </si>
  <si>
    <t>Ⅲ. 매출이익</t>
    <phoneticPr fontId="44" type="noConversion"/>
  </si>
  <si>
    <t>당기순이익</t>
    <phoneticPr fontId="1" type="noConversion"/>
  </si>
  <si>
    <t>Ⅳ. 판매관리비</t>
    <phoneticPr fontId="44" type="noConversion"/>
  </si>
  <si>
    <t>선비 합계</t>
    <phoneticPr fontId="1" type="noConversion"/>
  </si>
  <si>
    <t>Ⅴ. 영업이익</t>
    <phoneticPr fontId="44" type="noConversion"/>
  </si>
  <si>
    <t>유지관리비</t>
    <phoneticPr fontId="1" type="noConversion"/>
  </si>
  <si>
    <t>운항수리비</t>
    <phoneticPr fontId="1" type="noConversion"/>
  </si>
  <si>
    <t>Ⅵ. 영업외수익</t>
    <phoneticPr fontId="44" type="noConversion"/>
  </si>
  <si>
    <t>선용품비</t>
    <phoneticPr fontId="1" type="noConversion"/>
  </si>
  <si>
    <t>기부속비</t>
    <phoneticPr fontId="1" type="noConversion"/>
  </si>
  <si>
    <t>Ⅶ. 영업외비용</t>
    <phoneticPr fontId="44" type="noConversion"/>
  </si>
  <si>
    <t>기타선비</t>
    <phoneticPr fontId="1" type="noConversion"/>
  </si>
  <si>
    <t>Ⅶ. 세전이익</t>
    <phoneticPr fontId="44" type="noConversion"/>
  </si>
  <si>
    <t>윤활유비</t>
    <phoneticPr fontId="1" type="noConversion"/>
  </si>
  <si>
    <t>입거비</t>
    <phoneticPr fontId="1" type="noConversion"/>
  </si>
  <si>
    <t xml:space="preserve">      (%)</t>
    <phoneticPr fontId="44" type="noConversion"/>
  </si>
  <si>
    <t>선박관리비</t>
    <phoneticPr fontId="1" type="noConversion"/>
  </si>
  <si>
    <t>보험료</t>
    <phoneticPr fontId="1" type="noConversion"/>
  </si>
  <si>
    <t>8. 법인세</t>
    <phoneticPr fontId="44" type="noConversion"/>
  </si>
  <si>
    <t>감가상각비</t>
    <phoneticPr fontId="1" type="noConversion"/>
  </si>
  <si>
    <t>9. 세후이익</t>
    <phoneticPr fontId="44" type="noConversion"/>
  </si>
  <si>
    <t>※ 매출이익율</t>
    <phoneticPr fontId="44" type="noConversion"/>
  </si>
  <si>
    <t>※ 영업이익율</t>
    <phoneticPr fontId="44" type="noConversion"/>
  </si>
  <si>
    <t>※ 세전이익율</t>
    <phoneticPr fontId="44" type="noConversion"/>
  </si>
  <si>
    <t>※ 세후이익율</t>
    <phoneticPr fontId="44" type="noConversion"/>
  </si>
  <si>
    <t>(2) 특수관계자에 대한 매출 및 매입의 주요 거래내역</t>
  </si>
  <si>
    <t>(2) 매출 및 매입 등 거래 </t>
  </si>
  <si>
    <t>1) 매출 등</t>
  </si>
  <si>
    <t>매입</t>
  </si>
  <si>
    <t>최상위 지배기업</t>
  </si>
  <si>
    <t>(주)LS</t>
  </si>
  <si>
    <t>330 </t>
  </si>
  <si>
    <t>매출액</t>
  </si>
  <si>
    <t>지배기업(*1)</t>
  </si>
  <si>
    <t>LS니꼬동제련(주)</t>
  </si>
  <si>
    <t>LS-Nikko 동제련㈜</t>
  </si>
  <si>
    <t>기타특수관계자</t>
  </si>
  <si>
    <t>엘에스글로벌인코퍼레이티드(주)</t>
  </si>
  <si>
    <t>4,026 </t>
  </si>
  <si>
    <t>2,533 </t>
  </si>
  <si>
    <t>㈜지알엠</t>
  </si>
  <si>
    <t>1,000 </t>
  </si>
  <si>
    <t>엘에스네트웍스</t>
  </si>
  <si>
    <t>1,800 </t>
  </si>
  <si>
    <t>  1,596,578</t>
  </si>
  <si>
    <t> -</t>
  </si>
  <si>
    <t> 28,236,318</t>
  </si>
  <si>
    <t>(2) 매출 및 매입 등 거래</t>
  </si>
  <si>
    <t>2) 매입 등</t>
  </si>
  <si>
    <t>매입액</t>
  </si>
  <si>
    <t>유무형자산취득</t>
  </si>
  <si>
    <t>LS글로벌인코퍼레이티드㈜</t>
  </si>
  <si>
    <t>37,075 </t>
  </si>
  <si>
    <t>48,438 </t>
  </si>
  <si>
    <t>29,106 </t>
  </si>
  <si>
    <t>       3,939</t>
  </si>
  <si>
    <t>LS네트웍스㈜</t>
  </si>
  <si>
    <t>9,704 </t>
  </si>
  <si>
    <t>       1,080</t>
  </si>
  <si>
    <t>온산탱크터미널㈜</t>
  </si>
  <si>
    <t>48,252 </t>
  </si>
  <si>
    <t>58,324 </t>
  </si>
  <si>
    <t>    31,200</t>
  </si>
  <si>
    <t>75,000 </t>
  </si>
  <si>
    <t>   -</t>
  </si>
  <si>
    <t>96,690 </t>
  </si>
  <si>
    <t>97,184 </t>
  </si>
  <si>
    <t>     60,514</t>
  </si>
  <si>
    <t>     81,651</t>
  </si>
  <si>
    <t>2020 3Q 연결조정분개</t>
    <phoneticPr fontId="1" type="noConversion"/>
  </si>
  <si>
    <t>제품매출원가</t>
  </si>
  <si>
    <t>42010010</t>
  </si>
  <si>
    <t>(주)지알엠-&gt;㈜선우</t>
  </si>
  <si>
    <t>71102200</t>
  </si>
  <si>
    <t>기타영업수익(기타)</t>
  </si>
  <si>
    <t>LS니꼬동제련-&gt;씨에스라인</t>
  </si>
  <si>
    <t>미지급금</t>
  </si>
  <si>
    <t>21101101</t>
  </si>
  <si>
    <t>72102600</t>
  </si>
  <si>
    <t>기타영업비용(기타)</t>
  </si>
  <si>
    <t>61000600</t>
  </si>
  <si>
    <t>LS니꼬동제련-&gt;㈜선우</t>
  </si>
  <si>
    <t>11111701</t>
  </si>
  <si>
    <t>미수금</t>
  </si>
  <si>
    <t>61001200</t>
  </si>
  <si>
    <t>씨에스라인-&gt;LS니꼬동제련</t>
  </si>
  <si>
    <t>공사매출:원화</t>
  </si>
  <si>
    <t>41012010</t>
  </si>
  <si>
    <t>㈜선우-&gt;(주)지알엠</t>
  </si>
  <si>
    <t>42089990</t>
  </si>
  <si>
    <t>기타매출원가</t>
  </si>
  <si>
    <t>받을어음</t>
  </si>
  <si>
    <t>11111003</t>
  </si>
  <si>
    <t>41089990</t>
  </si>
  <si>
    <t>기타매출</t>
  </si>
  <si>
    <t>원화외상매출금</t>
  </si>
  <si>
    <t>11111001</t>
  </si>
  <si>
    <t>㈜선우-&gt;LS니꼬동제련</t>
  </si>
  <si>
    <t>11111002</t>
  </si>
  <si>
    <t>외화외상매출금</t>
  </si>
  <si>
    <t>손익계산서</t>
    <phoneticPr fontId="1" type="noConversion"/>
  </si>
  <si>
    <t>포 괄 손 익 계 산 서</t>
  </si>
  <si>
    <t>제 8(당)기   2019년 1월 1일 부터 2019년 12월 31일까지</t>
  </si>
  <si>
    <t>제 27 기 : 2019년 1월 1일부터 2019년 12월 31일까</t>
    <phoneticPr fontId="1" type="noConversion"/>
  </si>
  <si>
    <t>제 7(전)기   2018년 1월 1일 부터 2018년 12월 31일까지</t>
  </si>
  <si>
    <t>제 26 기 : 2018년 1월 1일부터 2018년 12월 31일까지</t>
  </si>
  <si>
    <t>씨에스마린 주식회사</t>
  </si>
  <si>
    <t>(단위: 원)</t>
  </si>
  <si>
    <t>주식회사 선우</t>
  </si>
  <si>
    <t>주석</t>
  </si>
  <si>
    <t>22,31</t>
  </si>
  <si>
    <t>3,430,696,820 </t>
  </si>
  <si>
    <t>3,380,675,205 </t>
  </si>
  <si>
    <t>3,925,454,301 </t>
  </si>
  <si>
    <t>23,25,26</t>
  </si>
  <si>
    <t>2,828,653,096 </t>
  </si>
  <si>
    <t>2,782,978,712 </t>
  </si>
  <si>
    <t>1,854,607,518 </t>
  </si>
  <si>
    <t>8,163,863 </t>
  </si>
  <si>
    <t>15,040,100 </t>
  </si>
  <si>
    <t>26,122,005 </t>
  </si>
  <si>
    <t>15,994,723 </t>
  </si>
  <si>
    <t>5,048,661 </t>
  </si>
  <si>
    <t>26,841,203 </t>
  </si>
  <si>
    <t>11,783,020 </t>
  </si>
  <si>
    <t>3,843,359 </t>
  </si>
  <si>
    <t>19,656,740 </t>
  </si>
  <si>
    <t>43,386,006 </t>
  </si>
  <si>
    <t>182,150,627 </t>
  </si>
  <si>
    <t>이자수익</t>
  </si>
  <si>
    <t>108,579,384 </t>
  </si>
  <si>
    <t>33,116 </t>
  </si>
  <si>
    <t>7,704,377 </t>
  </si>
  <si>
    <t>2,789,252,366 </t>
  </si>
  <si>
    <t>2,612,526,034 </t>
  </si>
  <si>
    <t>1,974,336,967 </t>
  </si>
  <si>
    <t>            6,223,196 </t>
  </si>
  <si>
    <t>            5,857,920 </t>
  </si>
  <si>
    <t>           6,929,742</t>
  </si>
  <si>
    <t>419,077,314 </t>
  </si>
  <si>
    <t>2,783,029,170 </t>
  </si>
  <si>
    <t>2,606,668,114 </t>
  </si>
  <si>
    <t>1,555,259,653 </t>
  </si>
  <si>
    <t>법인세효과차감후기타포괄손익</t>
  </si>
  <si>
    <t> 후속적으로 당기손익으로 재분류</t>
  </si>
  <si>
    <t>  당기손익으로 재분류되지 않는 항목</t>
  </si>
  <si>
    <t>되지 않는 항목 </t>
  </si>
  <si>
    <t>    순확정급여부채의 재측정요소</t>
  </si>
  <si>
    <t>   순확정급여부채의 재측정요소</t>
  </si>
  <si>
    <t>(2,647,823) </t>
  </si>
  <si>
    <t>  당기손익으로 재분류될 수 있는 항목</t>
  </si>
  <si>
    <t>   표시통화환산차이</t>
  </si>
  <si>
    <t> 1,081,809,730  </t>
  </si>
  <si>
    <t> 1,226,374,504 </t>
  </si>
  <si>
    <t>     매도가능금융자산평가손익</t>
  </si>
  <si>
    <t>총포괄이익</t>
  </si>
  <si>
    <t>1,532,320,237 </t>
  </si>
  <si>
    <t>되는 항목 </t>
  </si>
  <si>
    <t>주당이익</t>
  </si>
  <si>
    <t>15,553 </t>
  </si>
  <si>
    <t>   파생상품평가손익</t>
  </si>
  <si>
    <t>  기본주당순이익</t>
  </si>
  <si>
    <t>                 15,553 </t>
  </si>
  <si>
    <t>                5,543</t>
  </si>
  <si>
    <t>당기 총포괄손익</t>
  </si>
  <si>
    <t> 3,862,191,077 </t>
  </si>
  <si>
    <t>당기순이익의 귀속</t>
  </si>
  <si>
    <t>(1) 영업으로부터 창출된 현금흐름</t>
  </si>
  <si>
    <t> 2,783,029,170 </t>
  </si>
  <si>
    <t>당기 총포괄손익의 귀속</t>
  </si>
  <si>
    <t>1,555,260 </t>
  </si>
  <si>
    <t>554,282 </t>
  </si>
  <si>
    <t>547,608 </t>
  </si>
  <si>
    <t> (1,922,613,853)</t>
  </si>
  <si>
    <t>조정:  </t>
  </si>
  <si>
    <t>  감가상각비</t>
  </si>
  <si>
    <t>  무형자산상각비</t>
  </si>
  <si>
    <t>  기본 및 희석 주당순이익</t>
  </si>
  <si>
    <t>870 </t>
  </si>
  <si>
    <t>815 </t>
  </si>
  <si>
    <t>  사용권자산상각비</t>
  </si>
  <si>
    <t>  유형자산처분손실</t>
  </si>
  <si>
    <t>1,160 </t>
  </si>
  <si>
    <t>  유형자산처분이익</t>
  </si>
  <si>
    <t>(1) 영업으로부터 창출된 현금</t>
    <phoneticPr fontId="1" type="noConversion"/>
  </si>
  <si>
    <t>  퇴직급여</t>
  </si>
  <si>
    <t>372,402 </t>
  </si>
  <si>
    <t>384,636 </t>
  </si>
  <si>
    <t>451,554 </t>
  </si>
  <si>
    <t>  법인세비용</t>
  </si>
  <si>
    <t>419,077 </t>
  </si>
  <si>
    <t>130,786 </t>
  </si>
  <si>
    <t>31,832 </t>
  </si>
  <si>
    <t>  이자비용</t>
  </si>
  <si>
    <t>2,312 </t>
  </si>
  <si>
    <t>법인세비용차감전 순이익</t>
  </si>
  <si>
    <t>2,789,252 </t>
  </si>
  <si>
    <t>  이자수익</t>
  </si>
  <si>
    <t>현금유출 없는 비용 가산</t>
  </si>
  <si>
    <t>2,564,882 </t>
  </si>
  <si>
    <t>  외화환산손익</t>
  </si>
  <si>
    <t>1,250 </t>
  </si>
  <si>
    <t>186 </t>
  </si>
  <si>
    <t>  외화환산손실</t>
  </si>
  <si>
    <t>4,218 </t>
  </si>
  <si>
    <t>  공정가치금융자산 평가이익</t>
  </si>
  <si>
    <t>  파생상품평가이익</t>
  </si>
  <si>
    <t>  파생상품거래손실</t>
  </si>
  <si>
    <t>23,005 </t>
  </si>
  <si>
    <t>24,833 </t>
  </si>
  <si>
    <t> 무형자산처분손실</t>
  </si>
  <si>
    <t>영업활동으로 인한 자산/부채의 변동</t>
  </si>
  <si>
    <t>719,447 </t>
  </si>
  <si>
    <t>4,242,657 </t>
  </si>
  <si>
    <t>  사용권자산 상각비</t>
  </si>
  <si>
    <t>  선급비용의 감소(증가)</t>
  </si>
  <si>
    <t>13,828 </t>
  </si>
  <si>
    <t>8,479 </t>
  </si>
  <si>
    <t>43,386 </t>
  </si>
  <si>
    <t>  선급금의 감소(증가)</t>
  </si>
  <si>
    <t>58,606 </t>
  </si>
  <si>
    <t>2,870 </t>
  </si>
  <si>
    <t>26,204 </t>
  </si>
  <si>
    <t>  매출채권의 증가</t>
  </si>
  <si>
    <t>9,392,262 </t>
  </si>
  <si>
    <t>  금융자산처분손실</t>
  </si>
  <si>
    <t>  미수금의 감소(증가)</t>
  </si>
  <si>
    <t>800 </t>
  </si>
  <si>
    <t>2,347,971 </t>
  </si>
  <si>
    <t>현금유입 없는 수익 차감</t>
  </si>
  <si>
    <t>  계약자산의 증가</t>
  </si>
  <si>
    <t>  외화환산이익</t>
  </si>
  <si>
    <t>  매입채무의 증가</t>
  </si>
  <si>
    <t>2,830,469 </t>
  </si>
  <si>
    <t>1,799,100 </t>
  </si>
  <si>
    <t>  선수금의 감소</t>
  </si>
  <si>
    <t>영업활동 관련 자산ㆍ부채의 변동</t>
  </si>
  <si>
    <t>  예수금의 증가</t>
  </si>
  <si>
    <t>11,229 </t>
  </si>
  <si>
    <t>23,303 </t>
  </si>
  <si>
    <t>  매출채권의 감소</t>
  </si>
  <si>
    <t>27,717 </t>
  </si>
  <si>
    <t>  미지급비용의 증가</t>
  </si>
  <si>
    <t>387,375 </t>
  </si>
  <si>
    <t>35,845 </t>
  </si>
  <si>
    <t>126,476 </t>
  </si>
  <si>
    <t>  미지급금의 증가</t>
  </si>
  <si>
    <t>4,542 </t>
  </si>
  <si>
    <t>4,141 </t>
  </si>
  <si>
    <t>  재고자산의 증가</t>
  </si>
  <si>
    <t>  계약부채의 증가</t>
  </si>
  <si>
    <t>1,596,471 </t>
  </si>
  <si>
    <t>  부가세예수금의 증가(감소)</t>
  </si>
  <si>
    <t>220,835 </t>
  </si>
  <si>
    <t>  선급비용의 감소</t>
  </si>
  <si>
    <t>1,450 </t>
  </si>
  <si>
    <t>  퇴직금 지급</t>
  </si>
  <si>
    <t>  선급부가세의 감소(증가)</t>
  </si>
  <si>
    <t>영업으로부터 창출된 현금</t>
  </si>
  <si>
    <t>3,114,522 </t>
  </si>
  <si>
    <t>171,081 </t>
  </si>
  <si>
    <t>  미지급금의 증가(감소)</t>
  </si>
  <si>
    <t>57,959 </t>
  </si>
  <si>
    <t>23. 판매비와 관리비</t>
  </si>
  <si>
    <t>  선수수익의 증가(감소)</t>
  </si>
  <si>
    <t>81,578 </t>
  </si>
  <si>
    <t> 파생상품부채의 증가</t>
  </si>
  <si>
    <t>  퇴직급여의 순지급액</t>
  </si>
  <si>
    <t>1,113,755 </t>
  </si>
  <si>
    <t>영업에서 창출된 현금흐름</t>
  </si>
  <si>
    <t>99,962 </t>
  </si>
  <si>
    <t>260,020 </t>
  </si>
  <si>
    <t>23. 판매비와관리비</t>
  </si>
  <si>
    <t>18,224 </t>
  </si>
  <si>
    <t>19,141 </t>
  </si>
  <si>
    <t>13,753 </t>
  </si>
  <si>
    <t>지급임차료</t>
  </si>
  <si>
    <t>15,794 </t>
  </si>
  <si>
    <t>35,389 </t>
  </si>
  <si>
    <t>52,874 </t>
  </si>
  <si>
    <t>135,326 </t>
  </si>
  <si>
    <t>107,303 </t>
  </si>
  <si>
    <t>88,898 </t>
  </si>
  <si>
    <t>1,997 </t>
  </si>
  <si>
    <t>5,418 </t>
  </si>
  <si>
    <t>32,618 </t>
  </si>
  <si>
    <t>28,314 </t>
  </si>
  <si>
    <t>39,150 </t>
  </si>
  <si>
    <t>12,317 </t>
  </si>
  <si>
    <t>20,178 </t>
  </si>
  <si>
    <t>10,781 </t>
  </si>
  <si>
    <t>12,117 </t>
  </si>
  <si>
    <t>13,676 </t>
  </si>
  <si>
    <t>45,996 </t>
  </si>
  <si>
    <t>57,477 </t>
  </si>
  <si>
    <t>4,323 </t>
  </si>
  <si>
    <t>5,006 </t>
  </si>
  <si>
    <t>4,375 </t>
  </si>
  <si>
    <t>89,982 </t>
  </si>
  <si>
    <t>91,297 </t>
  </si>
  <si>
    <t>94,610 </t>
  </si>
  <si>
    <t>17,039 </t>
  </si>
  <si>
    <t>13,150 </t>
  </si>
  <si>
    <t>2,070,930 </t>
  </si>
  <si>
    <t>1,934,156 </t>
  </si>
  <si>
    <t>1,289 </t>
  </si>
  <si>
    <t>2,532 </t>
  </si>
  <si>
    <t>48,177 </t>
  </si>
  <si>
    <t>56,485 </t>
  </si>
  <si>
    <t>14,663 </t>
  </si>
  <si>
    <t>12,983 </t>
  </si>
  <si>
    <t>9,784 </t>
  </si>
  <si>
    <t>9,060 </t>
  </si>
  <si>
    <t>4,853 </t>
  </si>
  <si>
    <t>4,728 </t>
  </si>
  <si>
    <t>1,515 </t>
  </si>
  <si>
    <t>1,917 </t>
  </si>
  <si>
    <t>1,987 </t>
  </si>
  <si>
    <t>602,044 </t>
  </si>
  <si>
    <t>영업수익</t>
  </si>
  <si>
    <t>영업비용</t>
  </si>
  <si>
    <t>고정자산 매입</t>
  </si>
  <si>
    <t>최상위지배기업</t>
  </si>
  <si>
    <t>엘에스니꼬동제련(주)</t>
  </si>
  <si>
    <t>엘에스엠트론(주)</t>
  </si>
  <si>
    <t>      715,167 </t>
  </si>
  <si>
    <t>                  - </t>
  </si>
  <si>
    <t>(주)지알엠</t>
  </si>
  <si>
    <t> 27,729 </t>
  </si>
  <si>
    <t>       133,279 </t>
  </si>
  <si>
    <t> 4,274,667 </t>
  </si>
  <si>
    <t>2020년 감사보고서_특수관계자 거래 내역</t>
    <phoneticPr fontId="1" type="noConversion"/>
  </si>
  <si>
    <t>2019년 감사보고서_특수관계자 거래 내역</t>
    <phoneticPr fontId="1" type="noConversion"/>
  </si>
  <si>
    <t>4) 2020년</t>
    <phoneticPr fontId="1" type="noConversion"/>
  </si>
  <si>
    <t>21,960 </t>
  </si>
  <si>
    <t>63,700 </t>
  </si>
  <si>
    <t>2,480,700 </t>
  </si>
  <si>
    <t>엘에스일렉트릭㈜</t>
  </si>
  <si>
    <t>9,000 </t>
  </si>
  <si>
    <t>443,253 </t>
  </si>
  <si>
    <t>81,000 </t>
  </si>
  <si>
    <t>㈜예스코이에스</t>
  </si>
  <si>
    <t>4,509 </t>
  </si>
  <si>
    <t>542,422 </t>
  </si>
  <si>
    <t>2,561,700 </t>
  </si>
  <si>
    <t>35,190 </t>
  </si>
  <si>
    <t>67,737 </t>
  </si>
  <si>
    <t>㈜엠비케이코퍼레이션</t>
  </si>
  <si>
    <t>15,810 </t>
  </si>
  <si>
    <t>118,737 </t>
  </si>
  <si>
    <t>&gt;&gt; 2020년 감사보고서 기준</t>
    <phoneticPr fontId="1" type="noConversion"/>
  </si>
  <si>
    <t>9,299 </t>
  </si>
  <si>
    <t>2,400 </t>
  </si>
  <si>
    <t>원재료비</t>
    <phoneticPr fontId="1" type="noConversion"/>
  </si>
  <si>
    <t>경비</t>
    <phoneticPr fontId="1" type="noConversion"/>
  </si>
  <si>
    <t>엘에스글로벌인코퍼레이티드㈜</t>
    <phoneticPr fontId="1" type="noConversion"/>
  </si>
  <si>
    <t>2020년 9월</t>
    <phoneticPr fontId="1" type="noConversion"/>
  </si>
  <si>
    <t>*연결 손익계산서</t>
    <phoneticPr fontId="44" type="noConversion"/>
  </si>
  <si>
    <t>지알엠</t>
    <phoneticPr fontId="1" type="noConversion"/>
  </si>
  <si>
    <t>연결계정</t>
  </si>
  <si>
    <t>연결계정명</t>
  </si>
  <si>
    <t>국내-1</t>
  </si>
  <si>
    <t>국내-2</t>
  </si>
  <si>
    <t>국내-4</t>
  </si>
  <si>
    <t>국내-6</t>
    <phoneticPr fontId="44" type="noConversion"/>
  </si>
  <si>
    <t>국내-7</t>
    <phoneticPr fontId="44" type="noConversion"/>
  </si>
  <si>
    <t>단순합산</t>
    <phoneticPr fontId="44" type="noConversion"/>
  </si>
  <si>
    <t>연결조정분개</t>
    <phoneticPr fontId="44" type="noConversion"/>
  </si>
  <si>
    <t>연결손익계산서</t>
    <phoneticPr fontId="44" type="noConversion"/>
  </si>
  <si>
    <t>지주사시산반영
(TB)</t>
    <phoneticPr fontId="1" type="noConversion"/>
  </si>
  <si>
    <t>국내-3</t>
  </si>
  <si>
    <t>국내-5</t>
    <phoneticPr fontId="44" type="noConversion"/>
  </si>
  <si>
    <t>C01100 (LS니꼬동제련)</t>
  </si>
  <si>
    <t>C02100 (㈜토리컴)</t>
  </si>
  <si>
    <t>C04100 ((주)지알엠)</t>
  </si>
  <si>
    <t>C06100 (㈜선우)</t>
    <phoneticPr fontId="44" type="noConversion"/>
  </si>
  <si>
    <t>C07100 (㈜ CS-LINE)</t>
    <phoneticPr fontId="44" type="noConversion"/>
  </si>
  <si>
    <t>차변</t>
  </si>
  <si>
    <t>대변</t>
  </si>
  <si>
    <t>C03100 (리싸이텍코리아)</t>
  </si>
  <si>
    <t>C05100 ((주)화창)</t>
    <phoneticPr fontId="44" type="noConversion"/>
  </si>
  <si>
    <t>제품매출</t>
  </si>
  <si>
    <t>제품매출:원화</t>
    <phoneticPr fontId="44" type="noConversion"/>
  </si>
  <si>
    <t>제품매출:외화</t>
  </si>
  <si>
    <t>상품매출</t>
  </si>
  <si>
    <t>상품매출:원화</t>
  </si>
  <si>
    <t>상품매출:외화</t>
  </si>
  <si>
    <t>공사매출</t>
  </si>
  <si>
    <t>공사매출:외화</t>
  </si>
  <si>
    <t>공사매출:진행기준조정</t>
  </si>
  <si>
    <t>지분법이익(지주사용)</t>
  </si>
  <si>
    <t>지분법이익(지주사용)</t>
    <phoneticPr fontId="44" type="noConversion"/>
  </si>
  <si>
    <t>브랜드수익(지주사용)</t>
  </si>
  <si>
    <t>교육용역수익(지주사용)</t>
  </si>
  <si>
    <t>배당금수익(지주사용)</t>
    <phoneticPr fontId="44" type="noConversion"/>
  </si>
  <si>
    <t>임대매출</t>
    <phoneticPr fontId="44" type="noConversion"/>
  </si>
  <si>
    <t>기타매출</t>
    <phoneticPr fontId="44" type="noConversion"/>
  </si>
  <si>
    <t>본지사매출</t>
  </si>
  <si>
    <t>본지사매출</t>
    <phoneticPr fontId="44" type="noConversion"/>
  </si>
  <si>
    <t>(매입할인 및 에누리)</t>
  </si>
  <si>
    <t>재고자산평가손실</t>
  </si>
  <si>
    <t>상품매출원가</t>
  </si>
  <si>
    <t>공사매출원가</t>
  </si>
  <si>
    <t>지분법손실(지주사용)</t>
  </si>
  <si>
    <t>지분법손실(지주사용)</t>
    <phoneticPr fontId="44" type="noConversion"/>
  </si>
  <si>
    <t>본지사매입</t>
  </si>
  <si>
    <t>본지사매입</t>
    <phoneticPr fontId="44" type="noConversion"/>
  </si>
  <si>
    <t>급료와임금</t>
    <phoneticPr fontId="44" type="noConversion"/>
  </si>
  <si>
    <t>잡급</t>
  </si>
  <si>
    <t>리스료</t>
  </si>
  <si>
    <t>포장비</t>
  </si>
  <si>
    <t>외주가공비</t>
  </si>
  <si>
    <t>도서인쇄비</t>
    <phoneticPr fontId="44" type="noConversion"/>
  </si>
  <si>
    <t>연구비</t>
  </si>
  <si>
    <t>무형자산상각비(연결)</t>
  </si>
  <si>
    <t>판매수수료</t>
  </si>
  <si>
    <t>A/S 비</t>
  </si>
  <si>
    <t>공사하도급비</t>
  </si>
  <si>
    <t>보상비</t>
  </si>
  <si>
    <t>품질보증충당금전입액</t>
  </si>
  <si>
    <t>기타판관비</t>
    <phoneticPr fontId="44" type="noConversion"/>
  </si>
  <si>
    <t>영업이익</t>
    <phoneticPr fontId="44" type="noConversion"/>
  </si>
  <si>
    <t>임대료수익</t>
    <phoneticPr fontId="44" type="noConversion"/>
  </si>
  <si>
    <t>수수료수익</t>
  </si>
  <si>
    <t>외환차익(영업활동)</t>
    <phoneticPr fontId="44" type="noConversion"/>
  </si>
  <si>
    <t>외화환산이익(영업활동)</t>
    <phoneticPr fontId="44" type="noConversion"/>
  </si>
  <si>
    <t>유형자산처분이익</t>
  </si>
  <si>
    <t>유형자산손상차손환입</t>
  </si>
  <si>
    <t>무형자산처분이익</t>
  </si>
  <si>
    <t>무형자산손상차손환입</t>
  </si>
  <si>
    <t>기타투자자산처분이익</t>
  </si>
  <si>
    <t>기타투자자산손상차손환입</t>
  </si>
  <si>
    <t>파생상품자산/부채 평가이익(영업활동)</t>
    <phoneticPr fontId="44" type="noConversion"/>
  </si>
  <si>
    <t>파생상품자산/부채 거래이익(영업활동)</t>
    <phoneticPr fontId="44" type="noConversion"/>
  </si>
  <si>
    <t>품질보증부채환입</t>
    <phoneticPr fontId="44" type="noConversion"/>
  </si>
  <si>
    <t>손실부담계약충당부채환입</t>
  </si>
  <si>
    <t>기타의대손충당금환입</t>
    <phoneticPr fontId="44" type="noConversion"/>
  </si>
  <si>
    <t>외환차손(영업활동)</t>
    <phoneticPr fontId="44" type="noConversion"/>
  </si>
  <si>
    <t>외화환산손실(영업활동)</t>
    <phoneticPr fontId="44" type="noConversion"/>
  </si>
  <si>
    <t>유형자산처분손실</t>
  </si>
  <si>
    <t>유형자산폐기손실</t>
  </si>
  <si>
    <t>유형자산손상차손</t>
  </si>
  <si>
    <t>무형자산처분손실</t>
  </si>
  <si>
    <t>무형자산폐기손실</t>
  </si>
  <si>
    <t>무형자산손상차손</t>
  </si>
  <si>
    <t>재고자산처분손실</t>
    <phoneticPr fontId="44" type="noConversion"/>
  </si>
  <si>
    <t>재고자산평가손실</t>
    <phoneticPr fontId="44" type="noConversion"/>
  </si>
  <si>
    <t>재고자산폐기손실</t>
    <phoneticPr fontId="44" type="noConversion"/>
  </si>
  <si>
    <t>재고자산감모손실</t>
    <phoneticPr fontId="44" type="noConversion"/>
  </si>
  <si>
    <t>기타투자자산처분손실</t>
  </si>
  <si>
    <t>기타투자자산손상차손</t>
  </si>
  <si>
    <t>파생상품자산/부채 평가손실(영업활동)</t>
    <phoneticPr fontId="44" type="noConversion"/>
  </si>
  <si>
    <t>파생상품자산/부채 거래손실(영업활동)</t>
    <phoneticPr fontId="44" type="noConversion"/>
  </si>
  <si>
    <t>기타의대손상각비</t>
  </si>
  <si>
    <t>퇴직위로금</t>
  </si>
  <si>
    <t>손실부담계약평가손실</t>
  </si>
  <si>
    <t>운휴자산상각비</t>
  </si>
  <si>
    <t>조정영업이익</t>
    <phoneticPr fontId="44" type="noConversion"/>
  </si>
  <si>
    <t>영업외수익</t>
  </si>
  <si>
    <t>배당금수익(기타회사용)</t>
    <phoneticPr fontId="44" type="noConversion"/>
  </si>
  <si>
    <t>단기매매증권평가이익</t>
  </si>
  <si>
    <t>단기매매증권처분이익</t>
  </si>
  <si>
    <t>당기손익인식지정금융자산/부채 평가이익</t>
    <phoneticPr fontId="44" type="noConversion"/>
  </si>
  <si>
    <t>당기손익인식지정금융자산/부채 처분이익</t>
    <phoneticPr fontId="44" type="noConversion"/>
  </si>
  <si>
    <t>매도가능금융자산(FVTPL) 평가이익</t>
  </si>
  <si>
    <t>매도가능금융자산 평가이익</t>
  </si>
  <si>
    <t>매도가능금융자산 처분이익</t>
  </si>
  <si>
    <t>매도가능금융자산 손상차손환입</t>
  </si>
  <si>
    <t>만기보유금융자산 평가이익</t>
    <phoneticPr fontId="44" type="noConversion"/>
  </si>
  <si>
    <t>만기보유금융자산 처분이익</t>
    <phoneticPr fontId="44" type="noConversion"/>
  </si>
  <si>
    <t>만기보유금융자산 손상차손환입</t>
    <phoneticPr fontId="44" type="noConversion"/>
  </si>
  <si>
    <t>종속,관계기업등주식처분이익</t>
  </si>
  <si>
    <t>사채상환이익</t>
  </si>
  <si>
    <t>보험차익</t>
  </si>
  <si>
    <t>매출채권처분이익</t>
  </si>
  <si>
    <t>기타 영업외수익</t>
  </si>
  <si>
    <t>자산수증이익</t>
  </si>
  <si>
    <t>외환차익(비영업활동)</t>
    <phoneticPr fontId="44" type="noConversion"/>
  </si>
  <si>
    <t>외화환산이익(비영업활동)</t>
    <phoneticPr fontId="44" type="noConversion"/>
  </si>
  <si>
    <t>지분법이익(지주사외)</t>
    <phoneticPr fontId="44" type="noConversion"/>
  </si>
  <si>
    <t>파생상품자산/부채 평가이익(비영업활동)</t>
    <phoneticPr fontId="44" type="noConversion"/>
  </si>
  <si>
    <t>파생상품자산/부채 거래이익(비영업활동)</t>
    <phoneticPr fontId="44" type="noConversion"/>
  </si>
  <si>
    <t>전기오류수정이익</t>
  </si>
  <si>
    <t>채무면제이익</t>
    <phoneticPr fontId="44" type="noConversion"/>
  </si>
  <si>
    <t>종속,관계기업등주식처분이익(지주사외)</t>
  </si>
  <si>
    <t>종속,관계기업등주식손상차손환입(지주사외)</t>
  </si>
  <si>
    <t>기타영업외수익</t>
  </si>
  <si>
    <t>본지사수익</t>
  </si>
  <si>
    <t>영업외비용</t>
  </si>
  <si>
    <t>이자비용</t>
  </si>
  <si>
    <t>매출채권처분손실</t>
  </si>
  <si>
    <t>단기매매증권평가손실</t>
  </si>
  <si>
    <t>리스이자비용</t>
  </si>
  <si>
    <t>단기매매증권처분손실</t>
  </si>
  <si>
    <t>당기손익인식지정금융자산/부채 평가손실</t>
    <phoneticPr fontId="44" type="noConversion"/>
  </si>
  <si>
    <t>당기손익인식지정금융자산/부채 처분손실</t>
  </si>
  <si>
    <t>매도가능금융자산 평가손실</t>
  </si>
  <si>
    <t>매도가능금융자산 처분손실</t>
  </si>
  <si>
    <t>매도가능금융자산(FVTPL) 처분손실</t>
  </si>
  <si>
    <t>매도가능금융자산 손상차손</t>
  </si>
  <si>
    <t>만기보유금융자산 평가손실</t>
  </si>
  <si>
    <t>만기보유금융자산 처분손실</t>
  </si>
  <si>
    <t>만기보유금융자산 손상차손</t>
  </si>
  <si>
    <t>종속,관계기업등주식처분손실</t>
    <phoneticPr fontId="44" type="noConversion"/>
  </si>
  <si>
    <t>사채상환손실</t>
    <phoneticPr fontId="44" type="noConversion"/>
  </si>
  <si>
    <t>기타 영업외비용</t>
  </si>
  <si>
    <t>기부금</t>
  </si>
  <si>
    <t>외환차손(비영업활동)</t>
    <phoneticPr fontId="44" type="noConversion"/>
  </si>
  <si>
    <t>외화환산손실(비영업활동)</t>
    <phoneticPr fontId="44" type="noConversion"/>
  </si>
  <si>
    <t>지분법손실(지주사외)</t>
    <phoneticPr fontId="44" type="noConversion"/>
  </si>
  <si>
    <t>파생상품자산/부채 평가손실(비영업활동)</t>
    <phoneticPr fontId="44" type="noConversion"/>
  </si>
  <si>
    <t>파생상품자산/부채 거래손실(비영업활동)</t>
    <phoneticPr fontId="44" type="noConversion"/>
  </si>
  <si>
    <t>전기오류수정손실</t>
  </si>
  <si>
    <t>재해손실</t>
  </si>
  <si>
    <t>종속,관계기업등주식손상차손(지주사외)</t>
  </si>
  <si>
    <t>기타영업외비용</t>
  </si>
  <si>
    <t>본지사비용</t>
  </si>
  <si>
    <t>본지사비용</t>
    <phoneticPr fontId="44" type="noConversion"/>
  </si>
  <si>
    <t>법인세비용차감전계속사업손익</t>
  </si>
  <si>
    <t>계속사업손익법인세비용</t>
  </si>
  <si>
    <t>법인세환급액</t>
  </si>
  <si>
    <t>법인세추납액</t>
  </si>
  <si>
    <t>중단사업손익</t>
  </si>
  <si>
    <t>중단사업수익</t>
  </si>
  <si>
    <t>중단사업비용</t>
  </si>
  <si>
    <t>지분변동으로 인한 조정액</t>
  </si>
  <si>
    <t>종속회사의매수일전순이익</t>
  </si>
  <si>
    <t>비지배지분 차감전 순이익</t>
  </si>
  <si>
    <t>비지배지분순손익</t>
    <phoneticPr fontId="44" type="noConversion"/>
  </si>
  <si>
    <t>당기순손익</t>
    <phoneticPr fontId="44" type="noConversion"/>
  </si>
  <si>
    <t>연결정산표=각사별 재무제표 검증</t>
    <phoneticPr fontId="44" type="noConversion"/>
  </si>
  <si>
    <t>CHECK</t>
    <phoneticPr fontId="44" type="noConversion"/>
  </si>
  <si>
    <t>-</t>
    <phoneticPr fontId="1" type="noConversion"/>
  </si>
  <si>
    <t>제품 및 재공품의 변동</t>
  </si>
  <si>
    <t>원재료 및 소모품사용</t>
  </si>
  <si>
    <t>종업원급여(주석 27)</t>
  </si>
  <si>
    <t>감가상각, 무형자산상각(주석13,14,15)</t>
  </si>
  <si>
    <t>수선 및 소모품비</t>
  </si>
  <si>
    <t>전력비</t>
  </si>
  <si>
    <t>기타 비용</t>
  </si>
  <si>
    <t>매출원가, 판매비와관리비 합계</t>
  </si>
  <si>
    <t>&gt;&gt; 2020년 감사보고서_비용의 성격별 분류</t>
    <phoneticPr fontId="1" type="noConversion"/>
  </si>
  <si>
    <t>         1,706,412</t>
    <phoneticPr fontId="1" type="noConversion"/>
  </si>
  <si>
    <t>        913,641</t>
    <phoneticPr fontId="1" type="noConversion"/>
  </si>
  <si>
    <t>       5,963,254</t>
    <phoneticPr fontId="1" type="noConversion"/>
  </si>
  <si>
    <t>        5,369,232</t>
    <phoneticPr fontId="1" type="noConversion"/>
  </si>
  <si>
    <t>            122,332</t>
    <phoneticPr fontId="1" type="noConversion"/>
  </si>
  <si>
    <t>          9,632,773</t>
    <phoneticPr fontId="1" type="noConversion"/>
  </si>
  <si>
    <t>       210,762,630</t>
    <phoneticPr fontId="1" type="noConversion"/>
  </si>
  <si>
    <t>▣ 중기사업계획 주요요약</t>
    <phoneticPr fontId="44" type="noConversion"/>
  </si>
  <si>
    <t>▣ 중장기사업계획 손익 (2021년 ~ 2023년)</t>
  </si>
  <si>
    <t>□ 중기사업계획 경비계획 (제조경비 계)</t>
    <phoneticPr fontId="44" type="noConversion"/>
  </si>
  <si>
    <t>□ 중기사업계획 경비계획 (판관비 계)</t>
    <phoneticPr fontId="44" type="noConversion"/>
  </si>
  <si>
    <t>[단위 : 백만원]</t>
  </si>
  <si>
    <t>[단위:천원]</t>
    <phoneticPr fontId="44" type="noConversion"/>
  </si>
  <si>
    <t>1. 금속가격</t>
    <phoneticPr fontId="44" type="noConversion"/>
  </si>
  <si>
    <t>구 분</t>
  </si>
  <si>
    <t>2020.F</t>
  </si>
  <si>
    <t>구분</t>
    <phoneticPr fontId="44" type="noConversion"/>
  </si>
  <si>
    <t>외 화</t>
    <phoneticPr fontId="44" type="noConversion"/>
  </si>
  <si>
    <t>원 화</t>
    <phoneticPr fontId="44" type="noConversion"/>
  </si>
  <si>
    <t>비 고</t>
    <phoneticPr fontId="44" type="noConversion"/>
  </si>
  <si>
    <t>1. 매출액</t>
  </si>
  <si>
    <t>급              여</t>
  </si>
  <si>
    <t>단위</t>
    <phoneticPr fontId="44" type="noConversion"/>
  </si>
  <si>
    <t>2020.F</t>
    <phoneticPr fontId="112" type="noConversion"/>
  </si>
  <si>
    <t>2021년</t>
    <phoneticPr fontId="112" type="noConversion"/>
  </si>
  <si>
    <t>2022년</t>
    <phoneticPr fontId="112" type="noConversion"/>
  </si>
  <si>
    <t>2023년</t>
    <phoneticPr fontId="44" type="noConversion"/>
  </si>
  <si>
    <t>작년계획</t>
    <phoneticPr fontId="112" type="noConversion"/>
  </si>
  <si>
    <t xml:space="preserve">     귀금속</t>
  </si>
  <si>
    <t>상      여      금</t>
  </si>
  <si>
    <t>금속가격</t>
    <phoneticPr fontId="44" type="noConversion"/>
  </si>
  <si>
    <t>Au</t>
    <phoneticPr fontId="44" type="noConversion"/>
  </si>
  <si>
    <t>$/Toz</t>
    <phoneticPr fontId="44" type="noConversion"/>
  </si>
  <si>
    <t>원/g</t>
    <phoneticPr fontId="44" type="noConversion"/>
  </si>
  <si>
    <t xml:space="preserve">     소   재</t>
  </si>
  <si>
    <t>잡              급</t>
    <phoneticPr fontId="44" type="noConversion"/>
  </si>
  <si>
    <t>Ag</t>
    <phoneticPr fontId="44" type="noConversion"/>
  </si>
  <si>
    <t>$/Toz</t>
  </si>
  <si>
    <t>원/g</t>
  </si>
  <si>
    <t xml:space="preserve">     전처리</t>
  </si>
  <si>
    <t>퇴   직    급   여</t>
  </si>
  <si>
    <t>Pt</t>
    <phoneticPr fontId="44" type="noConversion"/>
  </si>
  <si>
    <t xml:space="preserve">     니   켈</t>
  </si>
  <si>
    <t>소  계</t>
  </si>
  <si>
    <t>Pd</t>
    <phoneticPr fontId="44" type="noConversion"/>
  </si>
  <si>
    <t xml:space="preserve">     SnO2</t>
  </si>
  <si>
    <t>복 리 후 생 비</t>
  </si>
  <si>
    <t>전처리</t>
    <phoneticPr fontId="44" type="noConversion"/>
  </si>
  <si>
    <t>여 비 교 통 비</t>
  </si>
  <si>
    <t>Cu</t>
    <phoneticPr fontId="44" type="noConversion"/>
  </si>
  <si>
    <t>$/Kg</t>
  </si>
  <si>
    <t>원/Kg</t>
  </si>
  <si>
    <t>2. 매출원가</t>
  </si>
  <si>
    <t>접     대    비</t>
  </si>
  <si>
    <t>Sn</t>
    <phoneticPr fontId="44" type="noConversion"/>
  </si>
  <si>
    <t xml:space="preserve">     재료비</t>
  </si>
  <si>
    <t>통     신     비</t>
  </si>
  <si>
    <t>Ni</t>
    <phoneticPr fontId="44" type="noConversion"/>
  </si>
  <si>
    <t xml:space="preserve">     경   비</t>
  </si>
  <si>
    <t>수 도 광 열 비</t>
    <phoneticPr fontId="44" type="noConversion"/>
  </si>
  <si>
    <t>환   율</t>
    <phoneticPr fontId="44" type="noConversion"/>
  </si>
  <si>
    <t>원/$</t>
  </si>
  <si>
    <t xml:space="preserve">     부산물판매</t>
  </si>
  <si>
    <t>전     력     비</t>
  </si>
  <si>
    <t>금   리</t>
    <phoneticPr fontId="44" type="noConversion"/>
  </si>
  <si>
    <t>%</t>
  </si>
  <si>
    <t>세금과공과금</t>
  </si>
  <si>
    <t xml:space="preserve">   1) 귀금속</t>
  </si>
  <si>
    <t>감 가 상 각 비</t>
  </si>
  <si>
    <t>2. 판매량 계획</t>
    <phoneticPr fontId="44" type="noConversion"/>
  </si>
  <si>
    <t>[ 단위 : Kg ]</t>
    <phoneticPr fontId="44" type="noConversion"/>
  </si>
  <si>
    <t xml:space="preserve">       - 재료비</t>
  </si>
  <si>
    <t>지 급 임 차 료</t>
  </si>
  <si>
    <t>1월</t>
  </si>
  <si>
    <t>2월</t>
  </si>
  <si>
    <t>3월</t>
  </si>
  <si>
    <t>4월</t>
  </si>
  <si>
    <t>5월</t>
  </si>
  <si>
    <t>6월</t>
  </si>
  <si>
    <t>7월</t>
  </si>
  <si>
    <t>8월</t>
  </si>
  <si>
    <t>9월</t>
  </si>
  <si>
    <t>10월</t>
  </si>
  <si>
    <t>11월</t>
  </si>
  <si>
    <t>12월</t>
  </si>
  <si>
    <t>2021년</t>
    <phoneticPr fontId="44" type="noConversion"/>
  </si>
  <si>
    <t>2023년</t>
    <phoneticPr fontId="112" type="noConversion"/>
  </si>
  <si>
    <t xml:space="preserve">       - 경   비</t>
  </si>
  <si>
    <t>수     선     비</t>
  </si>
  <si>
    <t>메탈</t>
    <phoneticPr fontId="44" type="noConversion"/>
  </si>
  <si>
    <t xml:space="preserve">       - 부산물판매</t>
  </si>
  <si>
    <t>보     험     료</t>
  </si>
  <si>
    <t>차 량 유 지 비</t>
  </si>
  <si>
    <t>- 증착재</t>
    <phoneticPr fontId="44" type="noConversion"/>
  </si>
  <si>
    <t xml:space="preserve">   2) 소   재</t>
  </si>
  <si>
    <t>경상연구개발비</t>
  </si>
  <si>
    <t>- 타겟</t>
    <phoneticPr fontId="44" type="noConversion"/>
  </si>
  <si>
    <t>운     반     비</t>
  </si>
  <si>
    <t>- PGC</t>
    <phoneticPr fontId="44" type="noConversion"/>
  </si>
  <si>
    <t>교 육 훈 련 비</t>
  </si>
  <si>
    <t>- 대형타겟</t>
    <phoneticPr fontId="44" type="noConversion"/>
  </si>
  <si>
    <t>도 서 인 쇄 비</t>
  </si>
  <si>
    <t>- 아황산금</t>
    <phoneticPr fontId="112" type="noConversion"/>
  </si>
  <si>
    <t>소  모  품  비</t>
  </si>
  <si>
    <t>- 합금</t>
    <phoneticPr fontId="112" type="noConversion"/>
  </si>
  <si>
    <t xml:space="preserve">   3) 전처리</t>
  </si>
  <si>
    <t>지 급 수 수 료</t>
  </si>
  <si>
    <t>SUM</t>
    <phoneticPr fontId="112" type="noConversion"/>
  </si>
  <si>
    <t>지 불 용 역 비</t>
  </si>
  <si>
    <t>판매</t>
    <phoneticPr fontId="44" type="noConversion"/>
  </si>
  <si>
    <t>연     료     비</t>
    <phoneticPr fontId="44" type="noConversion"/>
  </si>
  <si>
    <t>무형고정자산상각</t>
  </si>
  <si>
    <t>회     의     비</t>
    <phoneticPr fontId="44" type="noConversion"/>
  </si>
  <si>
    <t xml:space="preserve">   4)  니    켈</t>
  </si>
  <si>
    <t>포     장     비</t>
    <phoneticPr fontId="44" type="noConversion"/>
  </si>
  <si>
    <t>- PSC</t>
    <phoneticPr fontId="44" type="noConversion"/>
  </si>
  <si>
    <t>광 고 선 전 비</t>
  </si>
  <si>
    <t>- SC</t>
    <phoneticPr fontId="44" type="noConversion"/>
  </si>
  <si>
    <t>폐기물처리비</t>
  </si>
  <si>
    <t>- 질산은</t>
    <phoneticPr fontId="44" type="noConversion"/>
  </si>
  <si>
    <t>외 주 가 공 비</t>
  </si>
  <si>
    <t>- Disk 타겟</t>
    <phoneticPr fontId="112" type="noConversion"/>
  </si>
  <si>
    <t xml:space="preserve">   5)  SnO2</t>
  </si>
  <si>
    <t>잡              비</t>
    <phoneticPr fontId="44" type="noConversion"/>
  </si>
  <si>
    <t>소  계</t>
    <phoneticPr fontId="44" type="noConversion"/>
  </si>
  <si>
    <t>합  계</t>
    <phoneticPr fontId="44" type="noConversion"/>
  </si>
  <si>
    <t>3. 매출이익</t>
  </si>
  <si>
    <r>
      <t>- PdCl</t>
    </r>
    <r>
      <rPr>
        <vertAlign val="subscript"/>
        <sz val="10"/>
        <rFont val="맑은 고딕"/>
        <family val="3"/>
        <charset val="129"/>
      </rPr>
      <t>2</t>
    </r>
    <phoneticPr fontId="44" type="noConversion"/>
  </si>
  <si>
    <t>매입</t>
    <phoneticPr fontId="112" type="noConversion"/>
  </si>
  <si>
    <t>4. 판매관리비</t>
  </si>
  <si>
    <t>임가공</t>
    <phoneticPr fontId="44" type="noConversion"/>
  </si>
  <si>
    <t>Metal</t>
    <phoneticPr fontId="44" type="noConversion"/>
  </si>
  <si>
    <r>
      <t>SnO</t>
    </r>
    <r>
      <rPr>
        <b/>
        <vertAlign val="subscript"/>
        <sz val="10"/>
        <color rgb="FF0000FF"/>
        <rFont val="HY견고딕"/>
        <family val="1"/>
        <charset val="129"/>
      </rPr>
      <t>2</t>
    </r>
    <phoneticPr fontId="44" type="noConversion"/>
  </si>
  <si>
    <t>산화주석</t>
    <phoneticPr fontId="44" type="noConversion"/>
  </si>
  <si>
    <t>Sn</t>
    <phoneticPr fontId="112" type="noConversion"/>
  </si>
  <si>
    <t>5. 영업이익</t>
  </si>
  <si>
    <t>부산물</t>
    <phoneticPr fontId="44" type="noConversion"/>
  </si>
  <si>
    <t>쉴드박리</t>
    <phoneticPr fontId="44" type="noConversion"/>
  </si>
  <si>
    <t>쉴드세정</t>
    <phoneticPr fontId="44" type="noConversion"/>
  </si>
  <si>
    <t>폐액전처리</t>
    <phoneticPr fontId="44" type="noConversion"/>
  </si>
  <si>
    <t>탈동Cake</t>
    <phoneticPr fontId="44" type="noConversion"/>
  </si>
  <si>
    <t>3. 매출액/영업이익/세전이익/당기순이익</t>
    <phoneticPr fontId="44" type="noConversion"/>
  </si>
  <si>
    <t>[ 단위 : 백만원 ]</t>
    <phoneticPr fontId="44" type="noConversion"/>
  </si>
  <si>
    <t>6. 기타영업손익</t>
  </si>
  <si>
    <t>- 귀금속</t>
    <phoneticPr fontId="44" type="noConversion"/>
  </si>
  <si>
    <t>- 소   재</t>
    <phoneticPr fontId="44" type="noConversion"/>
  </si>
  <si>
    <t>- 전처리</t>
  </si>
  <si>
    <t>- 니   켈</t>
    <phoneticPr fontId="44" type="noConversion"/>
  </si>
  <si>
    <r>
      <t>- SnO</t>
    </r>
    <r>
      <rPr>
        <b/>
        <vertAlign val="subscript"/>
        <sz val="10"/>
        <rFont val="맑은 고딕"/>
        <family val="3"/>
        <charset val="129"/>
      </rPr>
      <t>2</t>
    </r>
    <phoneticPr fontId="44" type="noConversion"/>
  </si>
  <si>
    <t xml:space="preserve">   1)  환차손익</t>
  </si>
  <si>
    <t xml:space="preserve">   2)  파생손익</t>
  </si>
  <si>
    <t xml:space="preserve">   3)  기타손익</t>
  </si>
  <si>
    <t xml:space="preserve">       (보증료)</t>
  </si>
  <si>
    <t xml:space="preserve">       (기타)</t>
  </si>
  <si>
    <t>- 니   켈</t>
  </si>
  <si>
    <t>7. 조정영업이익</t>
  </si>
  <si>
    <t>세전이익</t>
    <phoneticPr fontId="44" type="noConversion"/>
  </si>
  <si>
    <t>8. 영업외손익</t>
  </si>
  <si>
    <t>당기순이익</t>
    <phoneticPr fontId="44" type="noConversion"/>
  </si>
  <si>
    <t>4. 손익구조</t>
    <phoneticPr fontId="44" type="noConversion"/>
  </si>
  <si>
    <t xml:space="preserve">   1)  금융수익</t>
  </si>
  <si>
    <t>- 임가공</t>
    <phoneticPr fontId="44" type="noConversion"/>
  </si>
  <si>
    <t xml:space="preserve">   2)  금융비용</t>
  </si>
  <si>
    <t>- 자   체</t>
    <phoneticPr fontId="44" type="noConversion"/>
  </si>
  <si>
    <t>원   가</t>
    <phoneticPr fontId="44" type="noConversion"/>
  </si>
  <si>
    <t>9. 세전이익</t>
  </si>
  <si>
    <t>- 재료비</t>
    <phoneticPr fontId="44" type="noConversion"/>
  </si>
  <si>
    <t>(%)</t>
    <phoneticPr fontId="44" type="noConversion"/>
  </si>
  <si>
    <t>- 가공비</t>
    <phoneticPr fontId="44" type="noConversion"/>
  </si>
  <si>
    <t>- 영업외손익</t>
    <phoneticPr fontId="44" type="noConversion"/>
  </si>
  <si>
    <t>Margin</t>
    <phoneticPr fontId="44" type="noConversion"/>
  </si>
  <si>
    <t xml:space="preserve">      (%)</t>
  </si>
  <si>
    <t>10. 법인세</t>
  </si>
  <si>
    <t>11. 당기순이익</t>
  </si>
  <si>
    <t>Margin</t>
  </si>
  <si>
    <t>경비계</t>
  </si>
  <si>
    <t>-가공비</t>
  </si>
  <si>
    <t>-판관비</t>
  </si>
  <si>
    <t>-영업외비용</t>
  </si>
  <si>
    <t>Margin율</t>
  </si>
  <si>
    <t>경비비율</t>
  </si>
  <si>
    <t>세전이익율</t>
  </si>
  <si>
    <t>세후이익율</t>
  </si>
  <si>
    <t>니켈</t>
    <phoneticPr fontId="44" type="noConversion"/>
  </si>
  <si>
    <r>
      <t>SnO</t>
    </r>
    <r>
      <rPr>
        <b/>
        <vertAlign val="subscript"/>
        <sz val="11"/>
        <color indexed="9"/>
        <rFont val="맑은 고딕"/>
        <family val="3"/>
        <charset val="129"/>
      </rPr>
      <t>2</t>
    </r>
    <phoneticPr fontId="44" type="noConversion"/>
  </si>
  <si>
    <t>5. 인력계획</t>
    <phoneticPr fontId="44" type="noConversion"/>
  </si>
  <si>
    <t>[ 단위 : 명 ]</t>
    <phoneticPr fontId="44" type="noConversion"/>
  </si>
  <si>
    <t>2020년</t>
    <phoneticPr fontId="44" type="noConversion"/>
  </si>
  <si>
    <t>2022년</t>
    <phoneticPr fontId="44" type="noConversion"/>
  </si>
  <si>
    <t>12월</t>
    <phoneticPr fontId="44" type="noConversion"/>
  </si>
  <si>
    <t>공무</t>
    <phoneticPr fontId="44" type="noConversion"/>
  </si>
  <si>
    <t>기술연구</t>
    <phoneticPr fontId="44" type="noConversion"/>
  </si>
  <si>
    <t>관리지원</t>
    <phoneticPr fontId="44" type="noConversion"/>
  </si>
  <si>
    <t>원료조달</t>
    <phoneticPr fontId="44" type="noConversion"/>
  </si>
  <si>
    <t>금속소재영업</t>
    <phoneticPr fontId="44" type="noConversion"/>
  </si>
  <si>
    <t>경영기획</t>
    <phoneticPr fontId="44" type="noConversion"/>
  </si>
  <si>
    <t>임원</t>
    <phoneticPr fontId="44" type="noConversion"/>
  </si>
  <si>
    <t>6. 경비계획</t>
    <phoneticPr fontId="44" type="noConversion"/>
  </si>
  <si>
    <t>직접비</t>
    <phoneticPr fontId="44" type="noConversion"/>
  </si>
  <si>
    <t>- 전처리</t>
    <phoneticPr fontId="44" type="noConversion"/>
  </si>
  <si>
    <t>- 니  켈</t>
    <phoneticPr fontId="44" type="noConversion"/>
  </si>
  <si>
    <t>- 산화주석</t>
    <phoneticPr fontId="44" type="noConversion"/>
  </si>
  <si>
    <t>간접비</t>
    <phoneticPr fontId="44" type="noConversion"/>
  </si>
  <si>
    <t>판관비</t>
    <phoneticPr fontId="44" type="noConversion"/>
  </si>
  <si>
    <t>영업외비용</t>
    <phoneticPr fontId="44" type="noConversion"/>
  </si>
  <si>
    <t>합     계</t>
    <phoneticPr fontId="44" type="noConversion"/>
  </si>
  <si>
    <t>인건비</t>
    <phoneticPr fontId="44" type="noConversion"/>
  </si>
  <si>
    <t>경  비</t>
    <phoneticPr fontId="44" type="noConversion"/>
  </si>
  <si>
    <t>[ 영업외손익 ]</t>
    <phoneticPr fontId="44" type="noConversion"/>
  </si>
  <si>
    <t>이자비용</t>
    <phoneticPr fontId="44" type="noConversion"/>
  </si>
  <si>
    <t>이자수익</t>
    <phoneticPr fontId="44" type="noConversion"/>
  </si>
  <si>
    <t>지급보증료</t>
    <phoneticPr fontId="112" type="noConversion"/>
  </si>
  <si>
    <t>7. 투자계획</t>
    <phoneticPr fontId="44" type="noConversion"/>
  </si>
  <si>
    <t>2020년</t>
    <phoneticPr fontId="112" type="noConversion"/>
  </si>
  <si>
    <t>'21~'23</t>
    <phoneticPr fontId="44" type="noConversion"/>
  </si>
  <si>
    <t>'20 ~'23</t>
    <phoneticPr fontId="44" type="noConversion"/>
  </si>
  <si>
    <t>비고</t>
    <phoneticPr fontId="44" type="noConversion"/>
  </si>
  <si>
    <t>공무</t>
  </si>
  <si>
    <t>기술연구소</t>
  </si>
  <si>
    <t>관리지원</t>
  </si>
  <si>
    <t>전처리</t>
    <phoneticPr fontId="112" type="noConversion"/>
  </si>
  <si>
    <t>경영기획</t>
  </si>
  <si>
    <t>영업</t>
    <phoneticPr fontId="112" type="noConversion"/>
  </si>
  <si>
    <t>임원</t>
    <phoneticPr fontId="112" type="noConversion"/>
  </si>
  <si>
    <t>2020 3m(E)</t>
    <phoneticPr fontId="1" type="noConversion"/>
  </si>
  <si>
    <t>2020(E)</t>
    <phoneticPr fontId="1" type="noConversion"/>
  </si>
  <si>
    <t>천안제조경비</t>
    <phoneticPr fontId="1" type="noConversion"/>
  </si>
  <si>
    <t>부대비</t>
    <phoneticPr fontId="1" type="noConversion"/>
  </si>
  <si>
    <t xml:space="preserve"> 손익계산서(PL)</t>
    <phoneticPr fontId="1" type="noConversion"/>
  </si>
  <si>
    <t xml:space="preserve"> 중기사업계획 비용계획(제조비)</t>
    <phoneticPr fontId="1" type="noConversion"/>
  </si>
  <si>
    <t xml:space="preserve"> 중기사업계획 비용계획(판관비)</t>
    <phoneticPr fontId="1" type="noConversion"/>
  </si>
  <si>
    <t>1. '21 중기 투자 List(2021 ~ 2023년)</t>
    <phoneticPr fontId="1" type="noConversion"/>
  </si>
  <si>
    <t>(단위:백만원)</t>
    <phoneticPr fontId="1" type="noConversion"/>
  </si>
  <si>
    <t xml:space="preserve">  </t>
    <phoneticPr fontId="1" type="noConversion"/>
  </si>
  <si>
    <t>(단위:천원)</t>
    <phoneticPr fontId="1" type="noConversion"/>
  </si>
  <si>
    <t>[금액 단위 : 천원]</t>
    <phoneticPr fontId="44" type="noConversion"/>
  </si>
  <si>
    <t>구 분</t>
    <phoneticPr fontId="1" type="noConversion"/>
  </si>
  <si>
    <t>차이</t>
    <phoneticPr fontId="1" type="noConversion"/>
  </si>
  <si>
    <t>계정과목</t>
    <phoneticPr fontId="44" type="noConversion"/>
  </si>
  <si>
    <t>2020년
사업계획 계</t>
    <phoneticPr fontId="1" type="noConversion"/>
  </si>
  <si>
    <t>2021년
사업계획 계</t>
    <phoneticPr fontId="1" type="noConversion"/>
  </si>
  <si>
    <t>2022년
사업계획 계</t>
    <phoneticPr fontId="1" type="noConversion"/>
  </si>
  <si>
    <t>2023년
사업계획 계</t>
    <phoneticPr fontId="1" type="noConversion"/>
  </si>
  <si>
    <t>구   분</t>
    <phoneticPr fontId="44" type="noConversion"/>
  </si>
  <si>
    <t>공정</t>
    <phoneticPr fontId="44" type="noConversion"/>
  </si>
  <si>
    <t>계정명</t>
    <phoneticPr fontId="44" type="noConversion"/>
  </si>
  <si>
    <t>내용연수</t>
    <phoneticPr fontId="44" type="noConversion"/>
  </si>
  <si>
    <t>부서</t>
    <phoneticPr fontId="44" type="noConversion"/>
  </si>
  <si>
    <t>투자시기</t>
    <phoneticPr fontId="44" type="noConversion"/>
  </si>
  <si>
    <t>20~22
총계</t>
    <phoneticPr fontId="156" type="noConversion"/>
  </si>
  <si>
    <t>21~23
총계</t>
    <phoneticPr fontId="156" type="noConversion"/>
  </si>
  <si>
    <t>비 고</t>
    <phoneticPr fontId="156" type="noConversion"/>
  </si>
  <si>
    <t>단위</t>
    <phoneticPr fontId="1" type="noConversion"/>
  </si>
  <si>
    <t>합 계</t>
    <phoneticPr fontId="1" type="noConversion"/>
  </si>
  <si>
    <t>21년-20년 추정</t>
    <phoneticPr fontId="1" type="noConversion"/>
  </si>
  <si>
    <t xml:space="preserve">1월 </t>
  </si>
  <si>
    <t xml:space="preserve">2월 </t>
  </si>
  <si>
    <t xml:space="preserve">3월 </t>
  </si>
  <si>
    <t xml:space="preserve">4월 </t>
  </si>
  <si>
    <t xml:space="preserve">5월 </t>
  </si>
  <si>
    <t xml:space="preserve">6월 </t>
  </si>
  <si>
    <t xml:space="preserve">7월 </t>
  </si>
  <si>
    <t>1월</t>
    <phoneticPr fontId="156" type="noConversion"/>
  </si>
  <si>
    <t>2월</t>
    <phoneticPr fontId="156" type="noConversion"/>
  </si>
  <si>
    <t>3월</t>
    <phoneticPr fontId="156" type="noConversion"/>
  </si>
  <si>
    <t>4월</t>
    <phoneticPr fontId="156" type="noConversion"/>
  </si>
  <si>
    <t>5월</t>
    <phoneticPr fontId="156" type="noConversion"/>
  </si>
  <si>
    <t>6월</t>
    <phoneticPr fontId="156" type="noConversion"/>
  </si>
  <si>
    <t>7월</t>
    <phoneticPr fontId="156" type="noConversion"/>
  </si>
  <si>
    <t>8월</t>
    <phoneticPr fontId="156" type="noConversion"/>
  </si>
  <si>
    <t>9월</t>
    <phoneticPr fontId="156" type="noConversion"/>
  </si>
  <si>
    <t>10월</t>
    <phoneticPr fontId="156" type="noConversion"/>
  </si>
  <si>
    <t>11월</t>
    <phoneticPr fontId="156" type="noConversion"/>
  </si>
  <si>
    <t>12월</t>
    <phoneticPr fontId="156" type="noConversion"/>
  </si>
  <si>
    <t>원재료비율</t>
    <phoneticPr fontId="1" type="noConversion"/>
  </si>
  <si>
    <t>신규, 확장 투자</t>
    <phoneticPr fontId="1" type="noConversion"/>
  </si>
  <si>
    <t>처리량</t>
  </si>
  <si>
    <t>DMT</t>
  </si>
  <si>
    <t>단위:억원</t>
    <phoneticPr fontId="1" type="noConversion"/>
  </si>
  <si>
    <t>시간외수당</t>
  </si>
  <si>
    <t xml:space="preserve"> TSL Residue 처리 설비 </t>
  </si>
  <si>
    <t>제련</t>
    <phoneticPr fontId="1" type="noConversion"/>
  </si>
  <si>
    <t>기계장치(제조)</t>
    <phoneticPr fontId="1" type="noConversion"/>
  </si>
  <si>
    <t>기술팀</t>
    <phoneticPr fontId="1" type="noConversion"/>
  </si>
  <si>
    <t>B/C 판매량</t>
  </si>
  <si>
    <t>연차</t>
  </si>
  <si>
    <t>Black Copper</t>
    <phoneticPr fontId="1" type="noConversion"/>
  </si>
  <si>
    <t>경상 투자</t>
    <phoneticPr fontId="1" type="noConversion"/>
  </si>
  <si>
    <t>TSL Residue</t>
    <phoneticPr fontId="1" type="noConversion"/>
  </si>
  <si>
    <t>소 계</t>
  </si>
  <si>
    <t>1. 합리화</t>
    <phoneticPr fontId="1" type="noConversion"/>
  </si>
  <si>
    <t>합리화</t>
    <phoneticPr fontId="1" type="noConversion"/>
  </si>
  <si>
    <t>Ferro-Silica</t>
    <phoneticPr fontId="1" type="noConversion"/>
  </si>
  <si>
    <t>부재료비</t>
  </si>
  <si>
    <t>TSL F’ce Feed Chute의 Air Compressor 신규 개선 설치</t>
    <phoneticPr fontId="1" type="noConversion"/>
  </si>
  <si>
    <t>기계장치(제조)</t>
  </si>
  <si>
    <t>생산팀</t>
    <phoneticPr fontId="1" type="noConversion"/>
  </si>
  <si>
    <t>Unknown</t>
    <phoneticPr fontId="1" type="noConversion"/>
  </si>
  <si>
    <t>Compressor 외기 흡입을 통한 에너지 절감</t>
    <phoneticPr fontId="1" type="noConversion"/>
  </si>
  <si>
    <t>유틸리티</t>
    <phoneticPr fontId="1" type="noConversion"/>
  </si>
  <si>
    <t>Black Copper QP조정</t>
  </si>
  <si>
    <t xml:space="preserve"> 폐수집수조 Blower Type 변경을 통한 에너지 절감</t>
    <phoneticPr fontId="1" type="noConversion"/>
  </si>
  <si>
    <t>수처리</t>
    <phoneticPr fontId="1" type="noConversion"/>
  </si>
  <si>
    <t>천안 부산물</t>
    <phoneticPr fontId="1" type="noConversion"/>
  </si>
  <si>
    <t>공장동 건물 LED 조명 개선 투자</t>
    <phoneticPr fontId="1" type="noConversion"/>
  </si>
  <si>
    <t>천안공장</t>
    <phoneticPr fontId="1" type="noConversion"/>
  </si>
  <si>
    <t>탈황 Oxidation Blower Type 변경을 통한 에너지 절감</t>
  </si>
  <si>
    <t>기술팀</t>
  </si>
  <si>
    <t>탈황 침전조 설치</t>
  </si>
  <si>
    <t>탈황</t>
  </si>
  <si>
    <t>생산팀</t>
  </si>
  <si>
    <t>재고자산평가손실</t>
    <phoneticPr fontId="1" type="noConversion"/>
  </si>
  <si>
    <t>유형자산감가상각비</t>
  </si>
  <si>
    <t>2. 유지보전</t>
    <phoneticPr fontId="1" type="noConversion"/>
  </si>
  <si>
    <t>QP조정</t>
    <phoneticPr fontId="1" type="noConversion"/>
  </si>
  <si>
    <t>무형자산감가상각비</t>
  </si>
  <si>
    <t>지붕 누수 및 홈통 누수 개선</t>
    <phoneticPr fontId="1" type="noConversion"/>
  </si>
  <si>
    <t>제련</t>
  </si>
  <si>
    <t>건물(제조)</t>
  </si>
  <si>
    <t>20,21</t>
    <phoneticPr fontId="1" type="noConversion"/>
  </si>
  <si>
    <t>매출총이익</t>
    <phoneticPr fontId="1" type="noConversion"/>
  </si>
  <si>
    <t>공장 바닥 내산Coating을 통한 부식 개선</t>
    <phoneticPr fontId="1" type="noConversion"/>
  </si>
  <si>
    <t>구축물(제조)</t>
  </si>
  <si>
    <t>처리량증감</t>
    <phoneticPr fontId="1" type="noConversion"/>
  </si>
  <si>
    <t xml:space="preserve">TSL Furnace 내화물 정기 교체작업 </t>
    <phoneticPr fontId="1" type="noConversion"/>
  </si>
  <si>
    <t>20,22</t>
    <phoneticPr fontId="1" type="noConversion"/>
  </si>
  <si>
    <t>판관비</t>
    <phoneticPr fontId="1" type="noConversion"/>
  </si>
  <si>
    <t>WHB Panel 교체</t>
    <phoneticPr fontId="1" type="noConversion"/>
  </si>
  <si>
    <t>WHB Spring Support 정상화</t>
    <phoneticPr fontId="1" type="noConversion"/>
  </si>
  <si>
    <t>재고효과</t>
    <phoneticPr fontId="1" type="noConversion"/>
  </si>
  <si>
    <t>운반및보관료</t>
  </si>
  <si>
    <t>WHB Double Skin Jacket 개선 교체</t>
  </si>
  <si>
    <t>영업외 수익</t>
    <phoneticPr fontId="1" type="noConversion"/>
  </si>
  <si>
    <t>정제로 내화물 정기 교체작업</t>
  </si>
  <si>
    <t>이자수익</t>
    <phoneticPr fontId="1" type="noConversion"/>
  </si>
  <si>
    <t>Quencher 구조 개선 및 교체</t>
  </si>
  <si>
    <t>외환차익</t>
    <phoneticPr fontId="1" type="noConversion"/>
  </si>
  <si>
    <t>21년계획</t>
    <phoneticPr fontId="1" type="noConversion"/>
  </si>
  <si>
    <t>민감도</t>
    <phoneticPr fontId="1" type="noConversion"/>
  </si>
  <si>
    <t>20년추정</t>
    <phoneticPr fontId="1" type="noConversion"/>
  </si>
  <si>
    <t>지표영향</t>
    <phoneticPr fontId="1" type="noConversion"/>
  </si>
  <si>
    <t>QP차이</t>
    <phoneticPr fontId="1" type="noConversion"/>
  </si>
  <si>
    <t>탈황 1차 B/F 상부 Cover 부식 개선</t>
  </si>
  <si>
    <t>`</t>
    <phoneticPr fontId="1" type="noConversion"/>
  </si>
  <si>
    <t>외화환산익</t>
    <phoneticPr fontId="1" type="noConversion"/>
  </si>
  <si>
    <t>2.10</t>
    <phoneticPr fontId="1" type="noConversion"/>
  </si>
  <si>
    <t>원심분리기 부식부 개선 교체</t>
  </si>
  <si>
    <t>20,21,22</t>
    <phoneticPr fontId="1" type="noConversion"/>
  </si>
  <si>
    <t>고정자산처분익</t>
    <phoneticPr fontId="1" type="noConversion"/>
  </si>
  <si>
    <t>처리량</t>
    <phoneticPr fontId="1" type="noConversion"/>
  </si>
  <si>
    <t>도입량</t>
    <phoneticPr fontId="1" type="noConversion"/>
  </si>
  <si>
    <t>2.11</t>
    <phoneticPr fontId="1" type="noConversion"/>
  </si>
  <si>
    <t>수처리 순수 제조 장치 정기 교체작업</t>
  </si>
  <si>
    <t>수처리</t>
  </si>
  <si>
    <t>손상차손환입</t>
    <phoneticPr fontId="1" type="noConversion"/>
  </si>
  <si>
    <t>재류</t>
    <phoneticPr fontId="1" type="noConversion"/>
  </si>
  <si>
    <t>2.12</t>
    <phoneticPr fontId="1" type="noConversion"/>
  </si>
  <si>
    <t>전처리 Mixer 개선</t>
  </si>
  <si>
    <t>잡이익</t>
    <phoneticPr fontId="1" type="noConversion"/>
  </si>
  <si>
    <t>Pd</t>
    <phoneticPr fontId="1" type="noConversion"/>
  </si>
  <si>
    <t>E-Scrap</t>
    <phoneticPr fontId="1" type="noConversion"/>
  </si>
  <si>
    <t>2.13</t>
    <phoneticPr fontId="1" type="noConversion"/>
  </si>
  <si>
    <t>Tower Belt Conveyor 구조 개선</t>
  </si>
  <si>
    <t>영업외 비용</t>
    <phoneticPr fontId="1" type="noConversion"/>
  </si>
  <si>
    <t>환율</t>
    <phoneticPr fontId="1" type="noConversion"/>
  </si>
  <si>
    <t>Matte</t>
    <phoneticPr fontId="1" type="noConversion"/>
  </si>
  <si>
    <t>2.14</t>
    <phoneticPr fontId="1" type="noConversion"/>
  </si>
  <si>
    <t>저수조 벽체 부식 개선</t>
  </si>
  <si>
    <t>구축물(제조)</t>
    <phoneticPr fontId="1" type="noConversion"/>
  </si>
  <si>
    <t>지표차이</t>
    <phoneticPr fontId="1" type="noConversion"/>
  </si>
  <si>
    <t>2.15</t>
  </si>
  <si>
    <t>수쇄 Bucket Elevator Rail 재질 개선</t>
  </si>
  <si>
    <t>기부금</t>
    <phoneticPr fontId="1" type="noConversion"/>
  </si>
  <si>
    <t>추정지표 적용</t>
    <phoneticPr fontId="1" type="noConversion"/>
  </si>
  <si>
    <t>TRC</t>
    <phoneticPr fontId="1" type="noConversion"/>
  </si>
  <si>
    <t>TRC Amount</t>
    <phoneticPr fontId="1" type="noConversion"/>
  </si>
  <si>
    <t>(단위:$)</t>
    <phoneticPr fontId="1" type="noConversion"/>
  </si>
  <si>
    <t>비율</t>
    <phoneticPr fontId="1" type="noConversion"/>
  </si>
  <si>
    <t>물량(원료 Mix 기준)</t>
    <phoneticPr fontId="1" type="noConversion"/>
  </si>
  <si>
    <t>2.16</t>
  </si>
  <si>
    <t>디지털 무전기 전환</t>
  </si>
  <si>
    <t>전공장</t>
    <phoneticPr fontId="1" type="noConversion"/>
  </si>
  <si>
    <t>비품(제조)</t>
  </si>
  <si>
    <t>재고자산손</t>
    <phoneticPr fontId="1" type="noConversion"/>
  </si>
  <si>
    <t>원료구성</t>
    <phoneticPr fontId="1" type="noConversion"/>
  </si>
  <si>
    <t>단위당TRC</t>
    <phoneticPr fontId="1" type="noConversion"/>
  </si>
  <si>
    <t>차이($/톤)</t>
    <phoneticPr fontId="1" type="noConversion"/>
  </si>
  <si>
    <t>21년 계획</t>
    <phoneticPr fontId="1" type="noConversion"/>
  </si>
  <si>
    <t>20년 추정</t>
    <phoneticPr fontId="1" type="noConversion"/>
  </si>
  <si>
    <t>금액</t>
    <phoneticPr fontId="1" type="noConversion"/>
  </si>
  <si>
    <t>2.17</t>
  </si>
  <si>
    <t>SN 분석기 구입</t>
  </si>
  <si>
    <t>분석</t>
    <phoneticPr fontId="1" type="noConversion"/>
  </si>
  <si>
    <t>공구와기구(제조)</t>
  </si>
  <si>
    <t>품질관리팀</t>
  </si>
  <si>
    <t>고정자산처분손</t>
    <phoneticPr fontId="1" type="noConversion"/>
  </si>
  <si>
    <t>2.18</t>
  </si>
  <si>
    <t>X-RF 반정량 분석용 설비 구입 (신속 분석기)</t>
  </si>
  <si>
    <t>외화차손</t>
    <phoneticPr fontId="1" type="noConversion"/>
  </si>
  <si>
    <t>총계</t>
  </si>
  <si>
    <t>2.19</t>
  </si>
  <si>
    <t>분석용 초순수 (UPW) 제조 장치 구입</t>
  </si>
  <si>
    <t>외화환산손</t>
    <phoneticPr fontId="1" type="noConversion"/>
  </si>
  <si>
    <t>2.20</t>
  </si>
  <si>
    <t>지게차(3.5t) 개선 투자</t>
  </si>
  <si>
    <t>천안공장</t>
  </si>
  <si>
    <t>차량운반구(제조)</t>
  </si>
  <si>
    <t>20,23</t>
    <phoneticPr fontId="1" type="noConversion"/>
  </si>
  <si>
    <t>잡손실</t>
    <phoneticPr fontId="1" type="noConversion"/>
  </si>
  <si>
    <t>노무비%</t>
    <phoneticPr fontId="1" type="noConversion"/>
  </si>
  <si>
    <t>2.21</t>
  </si>
  <si>
    <t xml:space="preserve">해단기/파쇄기 전용 전기판넬 설치 </t>
  </si>
  <si>
    <t>조정영업이익</t>
    <phoneticPr fontId="1" type="noConversion"/>
  </si>
  <si>
    <t>TRC 차이</t>
    <phoneticPr fontId="1" type="noConversion"/>
  </si>
  <si>
    <t>억원</t>
    <phoneticPr fontId="1" type="noConversion"/>
  </si>
  <si>
    <t>원료Mix</t>
    <phoneticPr fontId="1" type="noConversion"/>
  </si>
  <si>
    <t>경비%</t>
    <phoneticPr fontId="1" type="noConversion"/>
  </si>
  <si>
    <t>2.22</t>
  </si>
  <si>
    <t>계량 정확도 향상을 위한 Truck Scale 확장</t>
  </si>
  <si>
    <t>원료팀</t>
  </si>
  <si>
    <t>원료Mix 차이</t>
    <phoneticPr fontId="1" type="noConversion"/>
  </si>
  <si>
    <t>물량차</t>
    <phoneticPr fontId="1" type="noConversion"/>
  </si>
  <si>
    <t>원재료처리량(DMT)</t>
    <phoneticPr fontId="1" type="noConversion"/>
  </si>
  <si>
    <t>2.23</t>
  </si>
  <si>
    <t>집게차량(25t) 개선 투자</t>
    <phoneticPr fontId="1" type="noConversion"/>
  </si>
  <si>
    <t>물량</t>
    <phoneticPr fontId="1" type="noConversion"/>
  </si>
  <si>
    <t>채취율차이</t>
    <phoneticPr fontId="1" type="noConversion"/>
  </si>
  <si>
    <t>단가차</t>
    <phoneticPr fontId="1" type="noConversion"/>
  </si>
  <si>
    <t>단위당비용(천원)</t>
    <phoneticPr fontId="1" type="noConversion"/>
  </si>
  <si>
    <t>2.24</t>
  </si>
  <si>
    <t>Slag 이물질 검출 Vibrator Screen 설치</t>
  </si>
  <si>
    <t>법인세</t>
    <phoneticPr fontId="1" type="noConversion"/>
  </si>
  <si>
    <t>단가(원)</t>
    <phoneticPr fontId="1" type="noConversion"/>
  </si>
  <si>
    <t>물량증가</t>
    <phoneticPr fontId="1" type="noConversion"/>
  </si>
  <si>
    <t>단위당비용(USD)</t>
    <phoneticPr fontId="1" type="noConversion"/>
  </si>
  <si>
    <t>2.25</t>
  </si>
  <si>
    <t>공정 감시용 CCTV 개선</t>
  </si>
  <si>
    <t>조정(물량차)</t>
    <phoneticPr fontId="1" type="noConversion"/>
  </si>
  <si>
    <t>계획</t>
    <phoneticPr fontId="1" type="noConversion"/>
  </si>
  <si>
    <t>환급제외(USD)</t>
    <phoneticPr fontId="1" type="noConversion"/>
  </si>
  <si>
    <t>2.26</t>
  </si>
  <si>
    <t>TSL Top Hood Jacket Base Plate 교체</t>
  </si>
  <si>
    <t>Excess</t>
    <phoneticPr fontId="1" type="noConversion"/>
  </si>
  <si>
    <t>추정</t>
    <phoneticPr fontId="1" type="noConversion"/>
  </si>
  <si>
    <t>채취율차</t>
    <phoneticPr fontId="1" type="noConversion"/>
  </si>
  <si>
    <t>2.27</t>
  </si>
  <si>
    <t>DCS Upgrade</t>
  </si>
  <si>
    <t>실적</t>
    <phoneticPr fontId="1" type="noConversion"/>
  </si>
  <si>
    <t>2.28</t>
  </si>
  <si>
    <t>굴삭기 개선 투자</t>
  </si>
  <si>
    <t>2.29</t>
  </si>
  <si>
    <t>상향 Conveyor 구조개선</t>
  </si>
  <si>
    <t>탄소배출권</t>
    <phoneticPr fontId="1" type="noConversion"/>
  </si>
  <si>
    <t>제조비(단양+천안)</t>
    <phoneticPr fontId="1" type="noConversion"/>
  </si>
  <si>
    <t>2.30</t>
  </si>
  <si>
    <t>전처리 Silo 하부 Screw Conveyor 개선</t>
  </si>
  <si>
    <t>2.31</t>
  </si>
  <si>
    <t>무방류 Evaporator 하부 개선</t>
  </si>
  <si>
    <t>단가</t>
    <phoneticPr fontId="1" type="noConversion"/>
  </si>
  <si>
    <t>2.32</t>
  </si>
  <si>
    <t>무방류 Dryer Condenser 교체</t>
  </si>
  <si>
    <t xml:space="preserve"> 중기사업계획 비용계획(천안)</t>
    <phoneticPr fontId="1" type="noConversion"/>
  </si>
  <si>
    <t>2.33</t>
  </si>
  <si>
    <t>본관 옥상 부식 개선</t>
  </si>
  <si>
    <t>전공장</t>
  </si>
  <si>
    <t>건물(제조)</t>
    <phoneticPr fontId="1" type="noConversion"/>
  </si>
  <si>
    <t>총무팀</t>
  </si>
  <si>
    <t>2.34</t>
  </si>
  <si>
    <t>냉난방기 교체</t>
  </si>
  <si>
    <t>제조비</t>
    <phoneticPr fontId="1" type="noConversion"/>
  </si>
  <si>
    <t>2.35</t>
  </si>
  <si>
    <t>노후 비품 교체</t>
  </si>
  <si>
    <t>21~23</t>
  </si>
  <si>
    <t>2.36</t>
  </si>
  <si>
    <t>조경 개선</t>
  </si>
  <si>
    <t>2.37</t>
  </si>
  <si>
    <t>수입 PCB 컨테이너 하차용 도크 구입</t>
    <phoneticPr fontId="1" type="noConversion"/>
  </si>
  <si>
    <t>영업외수익</t>
    <phoneticPr fontId="1" type="noConversion"/>
  </si>
  <si>
    <t>2.38</t>
  </si>
  <si>
    <t>수입 PCB 컨테이너 하차용 지게차 구입</t>
    <phoneticPr fontId="1" type="noConversion"/>
  </si>
  <si>
    <t>2.39</t>
  </si>
  <si>
    <t>전처리 Dryer A,B 보수</t>
  </si>
  <si>
    <t>영업외비용</t>
    <phoneticPr fontId="1" type="noConversion"/>
  </si>
  <si>
    <t>외환손익</t>
    <phoneticPr fontId="1" type="noConversion"/>
  </si>
  <si>
    <t>2.40</t>
  </si>
  <si>
    <t>원재료동 Roof 채광창 부식 개선</t>
  </si>
  <si>
    <t>2.41</t>
  </si>
  <si>
    <t>TSL Copper Water Line 개선</t>
  </si>
  <si>
    <t>2.42</t>
  </si>
  <si>
    <t>WHB 출구 Duct 개선</t>
  </si>
  <si>
    <t>2.43</t>
  </si>
  <si>
    <t>JCW Tank Leak 개선</t>
  </si>
  <si>
    <t>2.44</t>
  </si>
  <si>
    <t>1차 B/F 측면 Chamber 보수</t>
  </si>
  <si>
    <t>2.45</t>
  </si>
  <si>
    <t>GCT 내부 보수</t>
  </si>
  <si>
    <t>2.46</t>
  </si>
  <si>
    <t>후생동 옥상 부식 개선</t>
  </si>
  <si>
    <t>2.47</t>
  </si>
  <si>
    <t>중장비 자가 주유기 설치</t>
    <phoneticPr fontId="1" type="noConversion"/>
  </si>
  <si>
    <t>2.48</t>
  </si>
  <si>
    <t>Fume Hood 구입</t>
  </si>
  <si>
    <t>2.49</t>
  </si>
  <si>
    <t>1차 파쇄기 개선 투자</t>
  </si>
  <si>
    <t>2.50</t>
  </si>
  <si>
    <t>Sludge Dryer Disk 구조 개선(비계획)</t>
    <phoneticPr fontId="1" type="noConversion"/>
  </si>
  <si>
    <t>3. 환경안전</t>
    <phoneticPr fontId="1" type="noConversion"/>
  </si>
  <si>
    <t>3.1</t>
    <phoneticPr fontId="1" type="noConversion"/>
  </si>
  <si>
    <t>Dust Pneumatic 이송설비 설치</t>
  </si>
  <si>
    <t>환경안전팀</t>
  </si>
  <si>
    <t>3.2</t>
    <phoneticPr fontId="1" type="noConversion"/>
  </si>
  <si>
    <t xml:space="preserve">활성탄 Filter 추가 설치 </t>
  </si>
  <si>
    <t>3.3</t>
    <phoneticPr fontId="1" type="noConversion"/>
  </si>
  <si>
    <t>세륜장 주변 환경 개선</t>
  </si>
  <si>
    <t>3.4</t>
    <phoneticPr fontId="1" type="noConversion"/>
  </si>
  <si>
    <t>법적 소방시설 보수</t>
  </si>
  <si>
    <t>3.5</t>
    <phoneticPr fontId="1" type="noConversion"/>
  </si>
  <si>
    <t xml:space="preserve">천안공장 집진 Duct 상부 작업상 설치 </t>
  </si>
  <si>
    <t>3.6</t>
    <phoneticPr fontId="1" type="noConversion"/>
  </si>
  <si>
    <t>Lance Port Gas 포집장치 설치</t>
  </si>
  <si>
    <t>3.7</t>
    <phoneticPr fontId="1" type="noConversion"/>
  </si>
  <si>
    <t>수쇄 Gas 세정시설 설치</t>
  </si>
  <si>
    <t>3.8</t>
    <phoneticPr fontId="1" type="noConversion"/>
  </si>
  <si>
    <t>Fugitive Gas 세정시설 설치</t>
  </si>
  <si>
    <t>3.9</t>
    <phoneticPr fontId="1" type="noConversion"/>
  </si>
  <si>
    <t>환경 측정 장비 구입</t>
  </si>
  <si>
    <t>분석</t>
  </si>
  <si>
    <t>3.10</t>
    <phoneticPr fontId="1" type="noConversion"/>
  </si>
  <si>
    <t>제품 저장동 Slag Belt Conveyor 작업상 교체</t>
  </si>
  <si>
    <t>4. IT 투자</t>
    <phoneticPr fontId="1" type="noConversion"/>
  </si>
  <si>
    <t>4.1</t>
    <phoneticPr fontId="1" type="noConversion"/>
  </si>
  <si>
    <t>전력 계통의 종합 관리를 위한 전력감시시스템 확장 구축</t>
  </si>
  <si>
    <t>시스템</t>
  </si>
  <si>
    <t>4.2</t>
    <phoneticPr fontId="1" type="noConversion"/>
  </si>
  <si>
    <t>원가 산출관리 시스템化</t>
  </si>
  <si>
    <t>소프트웨어(판관)</t>
    <phoneticPr fontId="1" type="noConversion"/>
  </si>
  <si>
    <t>재경팀</t>
    <phoneticPr fontId="1" type="noConversion"/>
  </si>
  <si>
    <t>4.3</t>
    <phoneticPr fontId="1" type="noConversion"/>
  </si>
  <si>
    <t>전산 비품 구매</t>
  </si>
  <si>
    <t>구매물류팀</t>
    <phoneticPr fontId="1" type="noConversion"/>
  </si>
  <si>
    <t>20~23</t>
    <phoneticPr fontId="1" type="noConversion"/>
  </si>
  <si>
    <t>4.4</t>
    <phoneticPr fontId="1" type="noConversion"/>
  </si>
  <si>
    <t>PC 가상화 구축</t>
  </si>
  <si>
    <t>소프트웨어(제조)</t>
  </si>
  <si>
    <t>4.5</t>
    <phoneticPr fontId="1" type="noConversion"/>
  </si>
  <si>
    <t>환경/안전/보건 시스템 구축</t>
  </si>
  <si>
    <t>환경안전팀</t>
    <phoneticPr fontId="1" type="noConversion"/>
  </si>
  <si>
    <t>4.6</t>
    <phoneticPr fontId="1" type="noConversion"/>
  </si>
  <si>
    <t>전자 계약 시스템 구축</t>
  </si>
  <si>
    <t>구매물류팀</t>
  </si>
  <si>
    <t>21,22,23</t>
    <phoneticPr fontId="1" type="noConversion"/>
  </si>
  <si>
    <t>4.7</t>
  </si>
  <si>
    <t>Single Sign On 시스템 구축</t>
  </si>
  <si>
    <t>4.8</t>
  </si>
  <si>
    <t>PC-OFF 시스템 구축</t>
  </si>
  <si>
    <t>4.9</t>
  </si>
  <si>
    <t>Frame7 매입 Data를 더존 ERP에 연동</t>
  </si>
  <si>
    <t>4.10</t>
  </si>
  <si>
    <t>한글2020 소프트웨어 구매</t>
  </si>
  <si>
    <t>4.11</t>
  </si>
  <si>
    <t>Frame7 System에 RT-PIS Data 연동</t>
  </si>
  <si>
    <t>4.12</t>
  </si>
  <si>
    <t>예지보전 시스템 구축</t>
  </si>
  <si>
    <t>4.13</t>
  </si>
  <si>
    <t>도면관리 시스템</t>
  </si>
  <si>
    <t>5. 복리후생</t>
    <phoneticPr fontId="1" type="noConversion"/>
  </si>
  <si>
    <t>5.1</t>
    <phoneticPr fontId="1" type="noConversion"/>
  </si>
  <si>
    <t>사무실 업무 환경 개선</t>
  </si>
  <si>
    <t>5.2</t>
    <phoneticPr fontId="1" type="noConversion"/>
  </si>
  <si>
    <t>전공장 위생용 신발건조기 구입</t>
  </si>
  <si>
    <t>5.3</t>
    <phoneticPr fontId="1" type="noConversion"/>
  </si>
  <si>
    <t>공장 및 사택조경 개선</t>
  </si>
  <si>
    <t>5.4</t>
    <phoneticPr fontId="1" type="noConversion"/>
  </si>
  <si>
    <t>5.5</t>
    <phoneticPr fontId="1" type="noConversion"/>
  </si>
  <si>
    <t>사택 도로 포장</t>
  </si>
  <si>
    <t>총무팀</t>
    <phoneticPr fontId="1" type="noConversion"/>
  </si>
  <si>
    <t>6. 물동 Visibility</t>
    <phoneticPr fontId="1" type="noConversion"/>
  </si>
  <si>
    <t>6.1</t>
    <phoneticPr fontId="1" type="noConversion"/>
  </si>
  <si>
    <t>할로겐 분석장비 (CIC) 구매</t>
  </si>
  <si>
    <t>6.2</t>
    <phoneticPr fontId="1" type="noConversion"/>
  </si>
  <si>
    <t xml:space="preserve">ICP-OES Auto Sampler 구매 </t>
  </si>
  <si>
    <t>6.3</t>
    <phoneticPr fontId="1" type="noConversion"/>
  </si>
  <si>
    <t>Cu 자동 분석기 구매</t>
  </si>
  <si>
    <t>6.4</t>
    <phoneticPr fontId="1" type="noConversion"/>
  </si>
  <si>
    <t>분석실 정보관리 시스템 도입</t>
  </si>
  <si>
    <t>소프트웨어(제조)</t>
    <phoneticPr fontId="1" type="noConversion"/>
  </si>
  <si>
    <t>6.5</t>
    <phoneticPr fontId="1" type="noConversion"/>
  </si>
  <si>
    <t>원가 관리 시스템化</t>
  </si>
  <si>
    <t>소프트웨어(판관)</t>
  </si>
  <si>
    <t>재경팀</t>
  </si>
  <si>
    <t>6.6</t>
    <phoneticPr fontId="1" type="noConversion"/>
  </si>
  <si>
    <t>천안공장 PCB 파쇄설비 신규 투자</t>
    <phoneticPr fontId="1" type="noConversion"/>
  </si>
  <si>
    <t>6.7</t>
    <phoneticPr fontId="1" type="noConversion"/>
  </si>
  <si>
    <t>원료 Mixing 설비 설치</t>
  </si>
  <si>
    <t>6.8</t>
    <phoneticPr fontId="1" type="noConversion"/>
  </si>
  <si>
    <t>Multi Pouring용 전기로 구입</t>
  </si>
  <si>
    <t>6.9</t>
    <phoneticPr fontId="1" type="noConversion"/>
  </si>
  <si>
    <t>X-RF Bead Machine 구매</t>
  </si>
  <si>
    <t>6.10</t>
    <phoneticPr fontId="1" type="noConversion"/>
  </si>
  <si>
    <t>시료 조제용 전기로 Capa' Up</t>
    <phoneticPr fontId="1" type="noConversion"/>
  </si>
  <si>
    <t>총  계</t>
    <phoneticPr fontId="1" type="noConversion"/>
  </si>
  <si>
    <t>GRM</t>
  </si>
  <si>
    <t>내부거래 가정</t>
    <phoneticPr fontId="1" type="noConversion"/>
  </si>
  <si>
    <t>구     분</t>
  </si>
  <si>
    <t>1,425,350 </t>
  </si>
  <si>
    <t>145,583 </t>
  </si>
  <si>
    <t>260,651 </t>
  </si>
  <si>
    <t>78,147 </t>
  </si>
  <si>
    <t>111,499 </t>
  </si>
  <si>
    <t>18,802 </t>
  </si>
  <si>
    <t>52,939 </t>
  </si>
  <si>
    <t>86,658 </t>
  </si>
  <si>
    <t>11,000 </t>
  </si>
  <si>
    <t>13,448 </t>
  </si>
  <si>
    <t>350 </t>
  </si>
  <si>
    <t>3,232 </t>
  </si>
  <si>
    <t>192,533 </t>
  </si>
  <si>
    <t>합     계</t>
  </si>
  <si>
    <t>2,400,192 </t>
  </si>
  <si>
    <t>&gt;&gt; 2020년 감사보고서_판매비와관리비</t>
    <phoneticPr fontId="1" type="noConversion"/>
  </si>
  <si>
    <t>1,244,053 </t>
  </si>
  <si>
    <t>133,893 </t>
  </si>
  <si>
    <t>132,046 </t>
  </si>
  <si>
    <t>            6,027 </t>
  </si>
  <si>
    <t>54,930 </t>
  </si>
  <si>
    <t>         768,841 </t>
  </si>
  <si>
    <t>798,277 </t>
  </si>
  <si>
    <t>          39,154 </t>
  </si>
  <si>
    <t>44,478 </t>
  </si>
  <si>
    <t>         162,189 </t>
  </si>
  <si>
    <t>127,618 </t>
  </si>
  <si>
    <t>            1,964 </t>
  </si>
  <si>
    <t>1,772 </t>
  </si>
  <si>
    <t>          17,033 </t>
  </si>
  <si>
    <t>6,840 </t>
  </si>
  <si>
    <t>          10,131 </t>
  </si>
  <si>
    <t>61,891 </t>
  </si>
  <si>
    <t>          15,769 </t>
  </si>
  <si>
    <t>17,508 </t>
  </si>
  <si>
    <t>          26,582 </t>
  </si>
  <si>
    <t>43,771 </t>
  </si>
  <si>
    <t>          32,103 </t>
  </si>
  <si>
    <t>44,163 </t>
  </si>
  <si>
    <t>          69,136 </t>
  </si>
  <si>
    <t>67,250 </t>
  </si>
  <si>
    <t>2,736,445 </t>
  </si>
  <si>
    <t>2,778,490 </t>
  </si>
  <si>
    <t>&gt;&gt; 2020년 감사보고서_판관비</t>
    <phoneticPr fontId="1" type="noConversion"/>
  </si>
  <si>
    <t> 1,279,582</t>
    <phoneticPr fontId="1" type="noConversion"/>
  </si>
  <si>
    <t>9,588 </t>
  </si>
  <si>
    <t>11,880 </t>
  </si>
  <si>
    <t>125,463 </t>
  </si>
  <si>
    <t>22,226 </t>
  </si>
  <si>
    <t>27,388 </t>
  </si>
  <si>
    <t>20,949 </t>
  </si>
  <si>
    <t>27,335 </t>
  </si>
  <si>
    <t>25,451 </t>
  </si>
  <si>
    <t>25,641 </t>
  </si>
  <si>
    <t>37,070 </t>
  </si>
  <si>
    <t>7,755 </t>
  </si>
  <si>
    <t>4,130 </t>
  </si>
  <si>
    <t>110,327 </t>
  </si>
  <si>
    <t>2,154,721 </t>
  </si>
  <si>
    <t>&gt;&gt; 2020년 감사보고서</t>
    <phoneticPr fontId="1" type="noConversion"/>
  </si>
  <si>
    <t>12,003 </t>
  </si>
  <si>
    <t>45,914 </t>
  </si>
  <si>
    <t>4,462 </t>
  </si>
  <si>
    <t>1,628 </t>
  </si>
  <si>
    <t>51,337 </t>
  </si>
  <si>
    <t>9,898 </t>
  </si>
  <si>
    <t>10,680 </t>
  </si>
  <si>
    <t>4,764 </t>
  </si>
  <si>
    <t>11,075 </t>
  </si>
  <si>
    <t>10,609 </t>
  </si>
  <si>
    <t>12,995 </t>
  </si>
  <si>
    <t>17,194 </t>
  </si>
  <si>
    <t>1,340 </t>
  </si>
  <si>
    <t>536,693 </t>
  </si>
  <si>
    <t>엘에스산전(주)</t>
  </si>
  <si>
    <t>2018년 감사보고서_특수관계자 거래 내역</t>
    <phoneticPr fontId="1" type="noConversion"/>
  </si>
  <si>
    <t>Weighted Average Cost of Capital</t>
  </si>
  <si>
    <t>358 hk equity</t>
  </si>
  <si>
    <t>FCX US Equity</t>
  </si>
  <si>
    <t xml:space="preserve">Freeport-McMoRan Inc. </t>
  </si>
  <si>
    <t>5713 JP Equity</t>
  </si>
  <si>
    <t xml:space="preserve">Sumitomo Metal Mining Co., Ltd. </t>
  </si>
  <si>
    <t>661 HK Equity</t>
  </si>
  <si>
    <t xml:space="preserve">China Daye Non-Ferrous Metals Mining Limited </t>
  </si>
  <si>
    <t>2899 HK Equity</t>
  </si>
  <si>
    <t>Zijin Mining Group Company</t>
  </si>
  <si>
    <t>010130 KP EQUITY</t>
  </si>
  <si>
    <t>고려아연</t>
  </si>
  <si>
    <t>014580 KP EQUITY</t>
  </si>
  <si>
    <t>태경비케이</t>
  </si>
  <si>
    <t>015890 KP EQUITY</t>
  </si>
  <si>
    <t>태경산업</t>
  </si>
  <si>
    <t>103140 KP EQUITY</t>
  </si>
  <si>
    <t>풍산</t>
  </si>
  <si>
    <t>HNDL IN Equity</t>
  </si>
  <si>
    <t>NDA GY Equity</t>
  </si>
  <si>
    <t xml:space="preserve">Aurubis AG </t>
  </si>
  <si>
    <t>000878 CH Equity</t>
  </si>
  <si>
    <t xml:space="preserve">Yunnan Copper Co., Ltd. </t>
  </si>
  <si>
    <t>000630 CH Equity</t>
  </si>
  <si>
    <t xml:space="preserve">Tongling Nonferrous Metals Group Co.,Ltd. </t>
  </si>
  <si>
    <t>VEDL IN Equity</t>
  </si>
  <si>
    <t xml:space="preserve">Vedanta Limited </t>
  </si>
  <si>
    <t>MNOD LI Equity</t>
  </si>
  <si>
    <t xml:space="preserve">Public Joint Stock Company Mining and Metallurgical Company Norilsk Nickel </t>
  </si>
  <si>
    <t>SCCO US Equity</t>
  </si>
  <si>
    <t xml:space="preserve">Southern Copper Corporation </t>
  </si>
  <si>
    <t>5711 JP Equity</t>
  </si>
  <si>
    <t xml:space="preserve">Mitsubishi Materials Corporation </t>
  </si>
  <si>
    <t>GMEXICOB MM Equity</t>
  </si>
  <si>
    <t xml:space="preserve">Grupo México, S.A.B. de C.V. </t>
  </si>
  <si>
    <t>AAL LN Equity</t>
  </si>
  <si>
    <t xml:space="preserve">Anglo American plc </t>
  </si>
  <si>
    <t>BHP AT Equity</t>
  </si>
  <si>
    <t xml:space="preserve">BHP Group </t>
  </si>
  <si>
    <t>teck us equity</t>
  </si>
  <si>
    <t xml:space="preserve">Teck Resources Limited </t>
  </si>
  <si>
    <t>x</t>
    <phoneticPr fontId="1" type="noConversion"/>
  </si>
  <si>
    <t>Beta</t>
    <phoneticPr fontId="1" type="noConversion"/>
  </si>
  <si>
    <t>=</t>
  </si>
  <si>
    <t>Cost of Debt</t>
    <phoneticPr fontId="1" type="noConversion"/>
  </si>
  <si>
    <t>AAA</t>
  </si>
  <si>
    <t>AA+</t>
  </si>
  <si>
    <t>AA0</t>
  </si>
  <si>
    <t>AA-</t>
  </si>
  <si>
    <t>A+</t>
  </si>
  <si>
    <t>A0</t>
  </si>
  <si>
    <t>A-</t>
  </si>
  <si>
    <t>BBB+</t>
  </si>
  <si>
    <t>BBB0</t>
  </si>
  <si>
    <t>BBB-</t>
  </si>
  <si>
    <t>HKD</t>
  </si>
  <si>
    <t>USD</t>
  </si>
  <si>
    <t>JPY</t>
  </si>
  <si>
    <t>INR</t>
  </si>
  <si>
    <t>EUR</t>
  </si>
  <si>
    <t>CNY</t>
  </si>
  <si>
    <t>MXN</t>
  </si>
  <si>
    <t>GBp</t>
  </si>
  <si>
    <t>AUD</t>
  </si>
  <si>
    <t xml:space="preserve">    -</t>
  </si>
  <si>
    <t xml:space="preserve">         -</t>
  </si>
  <si>
    <t>공동지배기업</t>
  </si>
  <si>
    <t>종속기업</t>
  </si>
  <si>
    <t>(주)토리컴</t>
  </si>
  <si>
    <t>씨에스마린(주)</t>
  </si>
  <si>
    <t>관계기업 및 공동기업</t>
  </si>
  <si>
    <t>KPMC(*1)</t>
  </si>
  <si>
    <t>LS글로벌인코퍼레이티드(주)</t>
  </si>
  <si>
    <t>LS메탈(주)</t>
  </si>
  <si>
    <t>기타특수    관계자</t>
  </si>
  <si>
    <t>온산탱크터미널(주)</t>
  </si>
  <si>
    <t>가온전선(주)</t>
  </si>
  <si>
    <t>(*1) 전기 중 지분을 처분함에 따라 특수관계자에서 제외되었으며, 처분일 이전 거래금액은 거래내역에 포함되어 있습니다.</t>
  </si>
  <si>
    <t>유ㆍ무형자산 취득</t>
  </si>
  <si>
    <t>JKJS</t>
  </si>
  <si>
    <t>(주)선우</t>
  </si>
  <si>
    <t>LS산전(주)</t>
  </si>
  <si>
    <t>기타특수      관계자</t>
  </si>
  <si>
    <t>　-</t>
  </si>
  <si>
    <t>(주)예스코</t>
  </si>
  <si>
    <t>기타수익 </t>
  </si>
  <si>
    <t>(주)토리컴 </t>
  </si>
  <si>
    <t>기타특수    관계자</t>
  </si>
  <si>
    <t>(주)예스코홀딩스</t>
  </si>
  <si>
    <t>  유ㆍ무형  자산 취득</t>
  </si>
  <si>
    <t>사용권</t>
  </si>
  <si>
    <t>자산 취득</t>
  </si>
  <si>
    <t>8,264 </t>
  </si>
  <si>
    <t>8,262 </t>
  </si>
  <si>
    <t>JKJS Co.,LTD </t>
  </si>
  <si>
    <t>7,668 </t>
  </si>
  <si>
    <t>7,645 </t>
  </si>
  <si>
    <t>170 </t>
  </si>
  <si>
    <t>(주)선우 </t>
  </si>
  <si>
    <t>12,055 </t>
  </si>
  <si>
    <t>11,311 </t>
  </si>
  <si>
    <t>240,822 </t>
  </si>
  <si>
    <t>217,798 </t>
  </si>
  <si>
    <t>7,700 </t>
  </si>
  <si>
    <t>6,193 </t>
  </si>
  <si>
    <t>LS글로벌인코퍼레이티드(주) </t>
  </si>
  <si>
    <t>1,583 </t>
  </si>
  <si>
    <t>6,012 </t>
  </si>
  <si>
    <t>1,532 </t>
  </si>
  <si>
    <t>5,014 </t>
  </si>
  <si>
    <t>엘에스일렉트릭(주)</t>
  </si>
  <si>
    <t>2,240 </t>
  </si>
  <si>
    <t>98 </t>
  </si>
  <si>
    <t>172 </t>
  </si>
  <si>
    <t>5 </t>
  </si>
  <si>
    <t>260 </t>
  </si>
  <si>
    <t>LS사우타(주)</t>
  </si>
  <si>
    <t>310 </t>
  </si>
  <si>
    <t>기타특수      관계자</t>
  </si>
  <si>
    <t>(주)LS네트웍스</t>
  </si>
  <si>
    <t>906 </t>
  </si>
  <si>
    <t>5,247 </t>
  </si>
  <si>
    <t>1,021 </t>
  </si>
  <si>
    <t>100 </t>
  </si>
  <si>
    <t>ERI Inc.</t>
  </si>
  <si>
    <t>9,103 </t>
  </si>
  <si>
    <t>10,115 </t>
  </si>
  <si>
    <t>250,097 </t>
  </si>
  <si>
    <t>31,842 </t>
  </si>
  <si>
    <t>43,018 </t>
  </si>
  <si>
    <t>228,343 </t>
  </si>
  <si>
    <t>37,686 </t>
  </si>
  <si>
    <t>39,546 </t>
  </si>
  <si>
    <t>재고 등 효과금액</t>
    <phoneticPr fontId="1" type="noConversion"/>
  </si>
  <si>
    <t>% of 니켈매출액</t>
    <phoneticPr fontId="1" type="noConversion"/>
  </si>
  <si>
    <t>종속회사 매출원가율 가정</t>
    <phoneticPr fontId="1" type="noConversion"/>
  </si>
  <si>
    <t>% of 내부거래매출액</t>
    <phoneticPr fontId="1" type="noConversion"/>
  </si>
  <si>
    <t>매출원가 내부거래 비율 가정</t>
    <phoneticPr fontId="1" type="noConversion"/>
  </si>
  <si>
    <t>종속회사 판관비율 가정</t>
    <phoneticPr fontId="1" type="noConversion"/>
  </si>
  <si>
    <t>% of Revenue</t>
  </si>
  <si>
    <t>Historical</t>
  </si>
  <si>
    <t>Forecast</t>
  </si>
  <si>
    <t>2021 6m(E)</t>
  </si>
  <si>
    <t>판관비 내부거래액</t>
    <phoneticPr fontId="1" type="noConversion"/>
  </si>
  <si>
    <t>Subsidiary</t>
    <phoneticPr fontId="1" type="noConversion"/>
  </si>
  <si>
    <t>USD/ton</t>
    <phoneticPr fontId="1" type="noConversion"/>
  </si>
  <si>
    <t>USD/kg</t>
    <phoneticPr fontId="1" type="noConversion"/>
  </si>
  <si>
    <t>Option</t>
    <phoneticPr fontId="1" type="noConversion"/>
  </si>
  <si>
    <t>(1) 과거 변동</t>
    <phoneticPr fontId="1" type="noConversion"/>
  </si>
  <si>
    <t>- 이러한 금속가격의 급상승은 COVID-19의 영향으로 인한 칠레 등 광산의 채굴량 감소 등이 주된 원인임</t>
    <phoneticPr fontId="1" type="noConversion"/>
  </si>
  <si>
    <t>- 또한 전세계적인 인프라투자 확대, 전기차 산업 등 산업 수요의 증가, 화폐공급 증가로 인한 인플레이션 등도 금속가격 상승의 주요 원인임</t>
    <phoneticPr fontId="1" type="noConversion"/>
  </si>
  <si>
    <t>(2) 미래 추정: CIQ, Worldbank 등 주요 예측기관은 향후 5년간 금속가격이 수급 안정화에 따라 점차 하락할 것으로 전망하고 있음</t>
    <phoneticPr fontId="1" type="noConversion"/>
  </si>
  <si>
    <t>상세Option</t>
    <phoneticPr fontId="1" type="noConversion"/>
  </si>
  <si>
    <t>백만원/ton</t>
  </si>
  <si>
    <t>백만원/ton</t>
    <phoneticPr fontId="1" type="noConversion"/>
  </si>
  <si>
    <t>- 황산: 대상회사는 제련 과정에서 황산이 필연적으로 발생하며, 이를 판매하지 않고 처리할 경우 더 큰 비용이 발생하게 되어 단가보다 적시 판매가 중요함(이로인해 2020년 (-)단가 발생)</t>
    <phoneticPr fontId="1" type="noConversion"/>
  </si>
  <si>
    <t>- 그외 기타금속의 판가는 특별한 변동 없는 일정수준의 단가 유지를 보임</t>
    <phoneticPr fontId="1" type="noConversion"/>
  </si>
  <si>
    <t>(2) 미래 추정: 과거 및 현재 수준과 유사한 수준의 단가를 유지할 것으로 전망됨</t>
    <phoneticPr fontId="1" type="noConversion"/>
  </si>
  <si>
    <t>현재 수준의 단가 유지 가정</t>
    <phoneticPr fontId="1" type="noConversion"/>
  </si>
  <si>
    <t>현재 수준의 프리미엄 유지 가정</t>
    <phoneticPr fontId="1" type="noConversion"/>
  </si>
  <si>
    <t>(1) 과거 변동: 대상회사의 과거 평균 금속별 프리미엄 제시 수치이며, 실 거래 시 프리미엄은 거래 상대방 등에 따라 모두 다름</t>
    <phoneticPr fontId="1" type="noConversion"/>
  </si>
  <si>
    <t>(2) 미래 추정: 현 수준과 크게 다르지 않은 프리미엄을 수취할 수 있을 것으로 전망됨</t>
    <phoneticPr fontId="1" type="noConversion"/>
  </si>
  <si>
    <t>(1) 과거 변동: 서울외국환중개소에서 조회한 과거 매매기준율 적용</t>
    <phoneticPr fontId="1" type="noConversion"/>
  </si>
  <si>
    <t>(1) 과거 변동: 셀레륨, 텔레륨 등 제련 과정에서 발생한 부산물 매출액으로 수급 동정광의 부산물 함유량에 따라 변동</t>
    <phoneticPr fontId="1" type="noConversion"/>
  </si>
  <si>
    <t>(2) 미래 추정: 현 수준 및 과거 수준과 크게 다르지 않은 매출액 발생이 예상됨</t>
    <phoneticPr fontId="1" type="noConversion"/>
  </si>
  <si>
    <t>현재 수준의 매출액 대비 비율 유지 가정</t>
    <phoneticPr fontId="1" type="noConversion"/>
  </si>
  <si>
    <t>1.1. Revenue Price</t>
    <phoneticPr fontId="1" type="noConversion"/>
  </si>
  <si>
    <t>1.2. Revenue Quantity</t>
    <phoneticPr fontId="1" type="noConversion"/>
  </si>
  <si>
    <t>(1) 과거 변동: 24시간 연속공정으로, 대상회사는 생산량을 대부분 판매함</t>
    <phoneticPr fontId="1" type="noConversion"/>
  </si>
  <si>
    <t>ton</t>
    <phoneticPr fontId="1" type="noConversion"/>
  </si>
  <si>
    <t>kg</t>
    <phoneticPr fontId="1" type="noConversion"/>
  </si>
  <si>
    <t>(1) 과거 변동: TR/C는 동정광 수요/공급에 따라 결정되며, 제련소와 광산간의 협상에 의해 결정됨. 2020년 이후 TRC는 59.5USD 수준으로 역대 최저치 유지중</t>
    <phoneticPr fontId="1" type="noConversion"/>
  </si>
  <si>
    <t>(2) 미래 추정: 중국 내 제련소 투자 감소에 따른 제련소 Capacity 확장 둔화에 따라 TR/C는 현재 수준이 최저치인 것으로 판단됨</t>
    <phoneticPr fontId="1" type="noConversion"/>
  </si>
  <si>
    <t>현재 수준의 Benchmark TR/C유지 가정</t>
    <phoneticPr fontId="1" type="noConversion"/>
  </si>
  <si>
    <t>(1) 과거 변동: 대상회사가 실제로 적용받는 금속별 TR/C는 광산과의 개별 협상을 통해 결정되며, Benchmark TR/C를 기반으로 협상되나 금속별 수요 공급에 더 큰 영향을 받음</t>
    <phoneticPr fontId="1" type="noConversion"/>
  </si>
  <si>
    <t>(2) 미래 추정: Benchmark TR/C가 현재 대비 회복될 것으로 예상됨에 따라 주요 금속 TR/C도 상승 전망됨</t>
    <phoneticPr fontId="1" type="noConversion"/>
  </si>
  <si>
    <t>현재 수준의 T/RC 유지 가정</t>
    <phoneticPr fontId="1" type="noConversion"/>
  </si>
  <si>
    <t>현재 기준의 Benchmark TR/C 대비 금속별 TR/C 비중 유지 가정</t>
    <phoneticPr fontId="1" type="noConversion"/>
  </si>
  <si>
    <t>과거 Benchmark TR/C 대비 금속별 TR/C 비중 평균 유지 가정</t>
    <phoneticPr fontId="1" type="noConversion"/>
  </si>
  <si>
    <t>- 채취율 중 니켈을 제외한 금속 채취율은 생산 기준의 채취율로 매출 기준이 아님(재고자산변동효과 미반영). 니켈의 경우 평균 환율 및 금속단가 적용하여 역산한 채취율 수치임</t>
    <phoneticPr fontId="1" type="noConversion"/>
  </si>
  <si>
    <t>- 팔라듐/백금/니켈의 경우 Excess로 인해 채취율이 100%이상을 기록</t>
    <phoneticPr fontId="1" type="noConversion"/>
  </si>
  <si>
    <t>- Excess: 실제 동정광 매입 시 Sampling 된 함유량에 비해 실제 제련 시 채취된 수량이 높은 것</t>
    <phoneticPr fontId="1" type="noConversion"/>
  </si>
  <si>
    <t>(2) 미래 추정</t>
    <phoneticPr fontId="1" type="noConversion"/>
  </si>
  <si>
    <t>현재 수준의 채취율 유지 가정</t>
  </si>
  <si>
    <t>(1) 과거 변동: Precious Sand 및 기타 금속을 제외하면 재료비는 거의 발생하지 않음(부산물 성격으로 대응되는 직접재료비가 없음)</t>
    <phoneticPr fontId="1" type="noConversion"/>
  </si>
  <si>
    <t>(1) 과거 변동: 일부 보조 재료비로, 과거 유사한 수준의 비율을 보임</t>
    <phoneticPr fontId="1" type="noConversion"/>
  </si>
  <si>
    <t>(1) 과거 변동: 원재료 매입 시 채취율을 고려하여 매입 원재료 양의 일정 비율만 지불하며, 광산과의 협상에 의해 변동</t>
    <phoneticPr fontId="1" type="noConversion"/>
  </si>
  <si>
    <t>과거 평균 수준의 지불율 유지 가정</t>
    <phoneticPr fontId="1" type="noConversion"/>
  </si>
  <si>
    <t>2.1. 재료비</t>
    <phoneticPr fontId="1" type="noConversion"/>
  </si>
  <si>
    <t>2.1.1. 재료비 Price</t>
  </si>
  <si>
    <t>2.1.2. 재료비 Quantity</t>
  </si>
  <si>
    <t>2.2. 노무비</t>
    <phoneticPr fontId="1" type="noConversion"/>
  </si>
  <si>
    <t>성과급 비율</t>
    <phoneticPr fontId="1" type="noConversion"/>
  </si>
  <si>
    <t>2.3. 제조경비</t>
    <phoneticPr fontId="1" type="noConversion"/>
  </si>
  <si>
    <t>백만원/kg</t>
    <phoneticPr fontId="1" type="noConversion"/>
  </si>
  <si>
    <t>(1) 과거 변동: 생산공정상 투입되는 각종 소모품 비용으로 변동비적 성격임</t>
    <phoneticPr fontId="1" type="noConversion"/>
  </si>
  <si>
    <t>현재 수준의 단위당 소모품비 가정</t>
    <phoneticPr fontId="1" type="noConversion"/>
  </si>
  <si>
    <t>현재 수준의 단위당 용역원가 가정</t>
    <phoneticPr fontId="1" type="noConversion"/>
  </si>
  <si>
    <t>- 연간 0.2% 수준의 운반비율 기록</t>
    <phoneticPr fontId="1" type="noConversion"/>
  </si>
  <si>
    <t>급여 대비 퇴직급여</t>
    <phoneticPr fontId="1" type="noConversion"/>
  </si>
  <si>
    <t>급여 대비 복리후생비</t>
    <phoneticPr fontId="1" type="noConversion"/>
  </si>
  <si>
    <t>매출액 대비 운반비</t>
    <phoneticPr fontId="1" type="noConversion"/>
  </si>
  <si>
    <t>브랜드수수료 대비 (매출액-광고선전비)</t>
    <phoneticPr fontId="1" type="noConversion"/>
  </si>
  <si>
    <t>Day</t>
  </si>
  <si>
    <t>Day</t>
    <phoneticPr fontId="1" type="noConversion"/>
  </si>
  <si>
    <t>현재 수준의 회전기일 유지 가정</t>
    <phoneticPr fontId="1" type="noConversion"/>
  </si>
  <si>
    <t>과거 평균 수준의 회전기일 유지 가정</t>
    <phoneticPr fontId="1" type="noConversion"/>
  </si>
  <si>
    <t>(1) 과거 변동: 매출의 일정부분은 LS글로벌을 통해 발생하며, LS글로벌에 대한 채권의 과거 회전기일은 약 120일 수준(2019년 이후 120일 적용됨)</t>
    <phoneticPr fontId="1" type="noConversion"/>
  </si>
  <si>
    <t>(1) 과거 변동: 매출의 일정부분은 LS글로벌을 통해 발생</t>
    <phoneticPr fontId="1" type="noConversion"/>
  </si>
  <si>
    <t>(1) 과거 변동: 추후 상세실사 시 update 및 별도 추정 예정</t>
    <phoneticPr fontId="1" type="noConversion"/>
  </si>
  <si>
    <t>현재 수준의 매출액 유지 가정</t>
    <phoneticPr fontId="1" type="noConversion"/>
  </si>
  <si>
    <t>백만원</t>
  </si>
  <si>
    <t>백만원</t>
    <phoneticPr fontId="1" type="noConversion"/>
  </si>
  <si>
    <t>향후 발생하지 않는 것으로 가정</t>
    <phoneticPr fontId="1" type="noConversion"/>
  </si>
  <si>
    <t>- 동제련: 조황산니켈을 토리컴에 판매하며, 토리컴을 이를 가공하여 외부에 판매</t>
    <phoneticPr fontId="1" type="noConversion"/>
  </si>
  <si>
    <t>- 그 외 GRM, 선우, CS마린은 대부분의 매출액이 동제련에 대해 발생</t>
    <phoneticPr fontId="1" type="noConversion"/>
  </si>
  <si>
    <t>내부거래 매출액 대비 비율</t>
    <phoneticPr fontId="1" type="noConversion"/>
  </si>
  <si>
    <t>대부분이 원가에서 제거</t>
    <phoneticPr fontId="1" type="noConversion"/>
  </si>
  <si>
    <t>내부거래액</t>
    <phoneticPr fontId="1" type="noConversion"/>
  </si>
  <si>
    <t>거의 발생하지 않으며, 향후 미발생 가정</t>
    <phoneticPr fontId="1" type="noConversion"/>
  </si>
  <si>
    <t>단위</t>
  </si>
  <si>
    <t>USD/ton</t>
  </si>
  <si>
    <t>판매단가</t>
  </si>
  <si>
    <t>판매단가</t>
    <phoneticPr fontId="1" type="noConversion"/>
  </si>
  <si>
    <t>금속시세</t>
  </si>
  <si>
    <t>금속시세</t>
    <phoneticPr fontId="1" type="noConversion"/>
  </si>
  <si>
    <t>Premium</t>
  </si>
  <si>
    <t>Premium</t>
    <phoneticPr fontId="1" type="noConversion"/>
  </si>
  <si>
    <t>ton</t>
  </si>
  <si>
    <t>백만원/kg</t>
  </si>
  <si>
    <t>USD/kg</t>
  </si>
  <si>
    <t>kg</t>
  </si>
  <si>
    <t>KRW/USD</t>
  </si>
  <si>
    <t>TRC</t>
  </si>
  <si>
    <t>법인세차감전순이익</t>
    <phoneticPr fontId="1" type="noConversion"/>
  </si>
  <si>
    <t>영업외손익</t>
    <phoneticPr fontId="1" type="noConversion"/>
  </si>
  <si>
    <t>Usance 이자비용</t>
    <phoneticPr fontId="1" type="noConversion"/>
  </si>
  <si>
    <t>Usacne 평균 잔액</t>
    <phoneticPr fontId="1" type="noConversion"/>
  </si>
  <si>
    <t>분류</t>
    <phoneticPr fontId="1" type="noConversion"/>
  </si>
  <si>
    <t>Usance이자</t>
    <phoneticPr fontId="1" type="noConversion"/>
  </si>
  <si>
    <t>금융비용</t>
    <phoneticPr fontId="1" type="noConversion"/>
  </si>
  <si>
    <t>이자율%</t>
    <phoneticPr fontId="1" type="noConversion"/>
  </si>
  <si>
    <t>Usacne 분류</t>
    <phoneticPr fontId="1" type="noConversion"/>
  </si>
  <si>
    <t>NWC로 분류하고 향후에도 지속 사용 가정</t>
    <phoneticPr fontId="1" type="noConversion"/>
  </si>
  <si>
    <t>IBD로 분류하고 향후에는 회사 자체 Cash 사용 가정</t>
    <phoneticPr fontId="1" type="noConversion"/>
  </si>
  <si>
    <t>Usacne 이자율 가정</t>
    <phoneticPr fontId="1" type="noConversion"/>
  </si>
  <si>
    <t>이자율</t>
    <phoneticPr fontId="1" type="noConversion"/>
  </si>
  <si>
    <t>(1) 과거 변동: 연간 2% 수준 발생</t>
    <phoneticPr fontId="1" type="noConversion"/>
  </si>
  <si>
    <t>현재 수준 이자율 유지 가정</t>
    <phoneticPr fontId="1" type="noConversion"/>
  </si>
  <si>
    <t>법인세비용</t>
    <phoneticPr fontId="1" type="noConversion"/>
  </si>
  <si>
    <t>KRW</t>
    <phoneticPr fontId="1" type="noConversion"/>
  </si>
  <si>
    <t>KRW mm</t>
    <phoneticPr fontId="1" type="noConversion"/>
  </si>
  <si>
    <t>2020 3Q</t>
    <phoneticPr fontId="1" type="noConversion"/>
  </si>
  <si>
    <t>AG소재, PSA, 황산, 샌드</t>
    <phoneticPr fontId="1" type="noConversion"/>
  </si>
  <si>
    <t>비용 성격별 분류</t>
    <phoneticPr fontId="1" type="noConversion"/>
  </si>
  <si>
    <t>제품, 재공품 및 상품의 변동</t>
  </si>
  <si>
    <t>원재료 사용액 및 상품 매입액</t>
  </si>
  <si>
    <t>종업원급여</t>
    <phoneticPr fontId="1" type="noConversion"/>
  </si>
  <si>
    <t>감가상각, 무형자산상각, 사용권자산상각</t>
  </si>
  <si>
    <t>수수료</t>
  </si>
  <si>
    <t>매출원가, 판매비와관리비의 합계</t>
  </si>
  <si>
    <t>기초 현금</t>
    <phoneticPr fontId="1" type="noConversion"/>
  </si>
  <si>
    <t>기말 현금</t>
    <phoneticPr fontId="1" type="noConversion"/>
  </si>
  <si>
    <t>금융기관예치금</t>
    <phoneticPr fontId="1" type="noConversion"/>
  </si>
  <si>
    <t>FVPL 금융자산</t>
    <phoneticPr fontId="1" type="noConversion"/>
  </si>
  <si>
    <t>FVOCI 금융자산</t>
    <phoneticPr fontId="1" type="noConversion"/>
  </si>
  <si>
    <t>일반차입금</t>
    <phoneticPr fontId="1" type="noConversion"/>
  </si>
  <si>
    <t>연결 무형자산_2020</t>
    <phoneticPr fontId="1" type="noConversion"/>
  </si>
  <si>
    <t>영업권</t>
  </si>
  <si>
    <t>산업재산권</t>
  </si>
  <si>
    <t>개발비</t>
  </si>
  <si>
    <t>회원권</t>
  </si>
  <si>
    <t>소프트웨어</t>
  </si>
  <si>
    <t>면허권</t>
  </si>
  <si>
    <t>탄소배출권</t>
  </si>
  <si>
    <t>기초 장부금액</t>
  </si>
  <si>
    <t>7,135 </t>
  </si>
  <si>
    <t>8,488 </t>
  </si>
  <si>
    <t>46 </t>
  </si>
  <si>
    <t>1,464 </t>
  </si>
  <si>
    <t>26,019 </t>
  </si>
  <si>
    <t>취득</t>
  </si>
  <si>
    <t>125 </t>
  </si>
  <si>
    <t>2,230 </t>
  </si>
  <si>
    <t>2,355 </t>
  </si>
  <si>
    <t>대체</t>
  </si>
  <si>
    <t>7,462 </t>
  </si>
  <si>
    <t>처분 및 사용</t>
  </si>
  <si>
    <t>상각</t>
  </si>
  <si>
    <t>기말 장부금액</t>
  </si>
  <si>
    <t>13,147 </t>
  </si>
  <si>
    <t>2,539 </t>
  </si>
  <si>
    <t>31,708 </t>
  </si>
  <si>
    <t>취득가액</t>
  </si>
  <si>
    <t>21,110 </t>
  </si>
  <si>
    <t>60 </t>
  </si>
  <si>
    <t>891 </t>
  </si>
  <si>
    <t>35,561 </t>
  </si>
  <si>
    <t>69,068 </t>
  </si>
  <si>
    <t>상각누계액</t>
  </si>
  <si>
    <t>손상누계액</t>
  </si>
  <si>
    <t>연결 차입금_2020</t>
    <phoneticPr fontId="1" type="noConversion"/>
  </si>
  <si>
    <t>차입처</t>
  </si>
  <si>
    <t>최장</t>
  </si>
  <si>
    <t>연이자율</t>
  </si>
  <si>
    <t>만기일</t>
  </si>
  <si>
    <t>유동차입금</t>
  </si>
  <si>
    <t>  원화차입금(*1)</t>
  </si>
  <si>
    <t> 하나은행 외 3개 금융기관 </t>
  </si>
  <si>
    <t>2021-04-29 ~ 2021-09-29</t>
  </si>
  <si>
    <t>1.42% ~1.97%</t>
  </si>
  <si>
    <t>  Usance (외화차입금)</t>
  </si>
  <si>
    <t>국민은행 외 12개 금융기관</t>
  </si>
  <si>
    <t>2021-01-04 ~ 2021-03-31</t>
  </si>
  <si>
    <t>0.39%~0.87%</t>
  </si>
  <si>
    <t>소계</t>
  </si>
  <si>
    <t>은행차입금 계</t>
  </si>
  <si>
    <t>연결 기타수취채권_2020</t>
    <phoneticPr fontId="1" type="noConversion"/>
  </si>
  <si>
    <t>유동</t>
  </si>
  <si>
    <t>  단기대여금</t>
  </si>
  <si>
    <t>  미수금</t>
  </si>
  <si>
    <t>  미수수익</t>
  </si>
  <si>
    <t>  단기보증금</t>
  </si>
  <si>
    <t>비유동</t>
  </si>
  <si>
    <t>  장기대여금</t>
  </si>
  <si>
    <t>  장기보증금</t>
  </si>
  <si>
    <t>  장기미수금</t>
  </si>
  <si>
    <t>PSA</t>
    <phoneticPr fontId="1" type="noConversion"/>
  </si>
  <si>
    <t>Ferrosand</t>
    <phoneticPr fontId="1" type="noConversion"/>
  </si>
  <si>
    <t>Precious Sand</t>
    <phoneticPr fontId="1" type="noConversion"/>
  </si>
  <si>
    <t>스팀</t>
    <phoneticPr fontId="1" type="noConversion"/>
  </si>
  <si>
    <t>- LS 및 JKJS에 각 0.1%의 브랜드수수료 지급</t>
    <phoneticPr fontId="1" type="noConversion"/>
  </si>
  <si>
    <t>Growth%</t>
    <phoneticPr fontId="1" type="noConversion"/>
  </si>
  <si>
    <t>Scenario</t>
    <phoneticPr fontId="1" type="noConversion"/>
  </si>
  <si>
    <t>Best</t>
    <phoneticPr fontId="1" type="noConversion"/>
  </si>
  <si>
    <t>Base</t>
    <phoneticPr fontId="1" type="noConversion"/>
  </si>
  <si>
    <t>Worst</t>
    <phoneticPr fontId="1" type="noConversion"/>
  </si>
  <si>
    <t>Date</t>
  </si>
  <si>
    <t>매도가</t>
  </si>
  <si>
    <t>LIBOR</t>
  </si>
  <si>
    <t>Q3 21</t>
  </si>
  <si>
    <t>Q4 21</t>
  </si>
  <si>
    <t>Q1 22</t>
  </si>
  <si>
    <t>Q2 22</t>
  </si>
  <si>
    <t>Q3 22</t>
  </si>
  <si>
    <t>Q4 22</t>
  </si>
  <si>
    <t>Q1 23</t>
  </si>
  <si>
    <t>Q2 23</t>
  </si>
  <si>
    <t>Q3 23</t>
  </si>
  <si>
    <t>Q4 23</t>
  </si>
  <si>
    <t>블룸버그 가중 평균</t>
  </si>
  <si>
    <t>내재선도수익률</t>
  </si>
  <si>
    <t>예상 중간값</t>
  </si>
  <si>
    <t>예상 평균</t>
  </si>
  <si>
    <t>예상 최고값</t>
  </si>
  <si>
    <t>예상 최저값</t>
  </si>
  <si>
    <t>응답</t>
  </si>
  <si>
    <t>Firm Name</t>
  </si>
  <si>
    <t>Analyst</t>
  </si>
  <si>
    <t>As of</t>
  </si>
  <si>
    <t>Kennesaw State University</t>
  </si>
  <si>
    <t>M. Melnik</t>
  </si>
  <si>
    <t>09/10</t>
  </si>
  <si>
    <t>UBS</t>
  </si>
  <si>
    <t>S. Coffin</t>
  </si>
  <si>
    <t>Graypoint LLC</t>
  </si>
  <si>
    <t>H. Johnson</t>
  </si>
  <si>
    <t>Commerzbank AG</t>
  </si>
  <si>
    <t>리서치</t>
  </si>
  <si>
    <t>스탠다드차타드</t>
  </si>
  <si>
    <t>M. Moran</t>
  </si>
  <si>
    <t>Naroff Economic Advisors</t>
  </si>
  <si>
    <t>J. Naroff</t>
  </si>
  <si>
    <t>스위스 재보험</t>
  </si>
  <si>
    <t>J. Meyer</t>
  </si>
  <si>
    <t>리전스 파이낸셜</t>
  </si>
  <si>
    <t>R. Moody</t>
  </si>
  <si>
    <t>골드만삭스</t>
  </si>
  <si>
    <t>J. Hatzius</t>
  </si>
  <si>
    <t>노르트도이체 란데스방크-기로첸트랄레</t>
  </si>
  <si>
    <t>B. Krampen</t>
  </si>
  <si>
    <t>MacroFin Analytics LLC</t>
  </si>
  <si>
    <t>P. Jain</t>
  </si>
  <si>
    <t>바이에리셰 란데스방크</t>
  </si>
  <si>
    <t>M. Bucher</t>
  </si>
  <si>
    <t>TD Securities Ltd</t>
  </si>
  <si>
    <t>P. Misra</t>
  </si>
  <si>
    <t>Guerrilla Capital Management LLC</t>
  </si>
  <si>
    <t>J. Dunham</t>
  </si>
  <si>
    <t>파이퍼 샌들러</t>
  </si>
  <si>
    <t>D. Delis</t>
  </si>
  <si>
    <t>Oxford Economics Ltd</t>
  </si>
  <si>
    <t>G. Daco</t>
  </si>
  <si>
    <t>끄룽 타이은행</t>
  </si>
  <si>
    <t>P. Panichpibool</t>
  </si>
  <si>
    <t>PNC 파이낸셜 서비스</t>
  </si>
  <si>
    <t>A. Faucher</t>
  </si>
  <si>
    <t>뱅크 오브 몬트리올</t>
  </si>
  <si>
    <t>D. Porter</t>
  </si>
  <si>
    <t>뱅크 오브 더 웨스트</t>
  </si>
  <si>
    <t>S. Anderson</t>
  </si>
  <si>
    <t>BBVA USA</t>
  </si>
  <si>
    <t>N. Karp</t>
  </si>
  <si>
    <t>Amherst Pierpont Securities LLC</t>
  </si>
  <si>
    <t>S. Stanley</t>
  </si>
  <si>
    <t>뱅크오브아메리카</t>
  </si>
  <si>
    <t>M. Meyer</t>
  </si>
  <si>
    <t>Thru the Cycle LLC</t>
  </si>
  <si>
    <t>J. Lonski</t>
  </si>
  <si>
    <t>라보뱅크</t>
  </si>
  <si>
    <t>P. Marey</t>
  </si>
  <si>
    <t>웰스파고 &amp; 컴퍼니</t>
  </si>
  <si>
    <t>J. Bryson</t>
  </si>
  <si>
    <t>ING그룹</t>
  </si>
  <si>
    <t>J. Knightley</t>
  </si>
  <si>
    <t>우니크레디트</t>
  </si>
  <si>
    <t>H. Bandholz</t>
  </si>
  <si>
    <t>란데스방크 바덴-뷔르템베르크</t>
  </si>
  <si>
    <t>E. Voelker</t>
  </si>
  <si>
    <t>ABN 암로 은행</t>
  </si>
  <si>
    <t>B. Diviney</t>
  </si>
  <si>
    <t>Target</t>
    <phoneticPr fontId="1" type="noConversion"/>
  </si>
  <si>
    <t>금속가격</t>
    <phoneticPr fontId="1" type="noConversion"/>
  </si>
  <si>
    <t>Status</t>
    <phoneticPr fontId="1" type="noConversion"/>
  </si>
  <si>
    <t>BS</t>
    <phoneticPr fontId="1" type="noConversion"/>
  </si>
  <si>
    <t>PL</t>
    <phoneticPr fontId="1" type="noConversion"/>
  </si>
  <si>
    <t>CF</t>
    <phoneticPr fontId="1" type="noConversion"/>
  </si>
  <si>
    <t>유동자산</t>
    <phoneticPr fontId="1" type="noConversion"/>
  </si>
  <si>
    <t>현금및현금성자산</t>
    <phoneticPr fontId="1" type="noConversion"/>
  </si>
  <si>
    <t>기타유동자산</t>
    <phoneticPr fontId="1" type="noConversion"/>
  </si>
  <si>
    <t>비유동자산</t>
    <phoneticPr fontId="1" type="noConversion"/>
  </si>
  <si>
    <t>기타비유동자산</t>
    <phoneticPr fontId="1" type="noConversion"/>
  </si>
  <si>
    <t>자산총계</t>
    <phoneticPr fontId="1" type="noConversion"/>
  </si>
  <si>
    <t>유동부채</t>
    <phoneticPr fontId="1" type="noConversion"/>
  </si>
  <si>
    <t>비유동부채</t>
    <phoneticPr fontId="1" type="noConversion"/>
  </si>
  <si>
    <t>부채총계</t>
    <phoneticPr fontId="1" type="noConversion"/>
  </si>
  <si>
    <t>자본총계</t>
    <phoneticPr fontId="1" type="noConversion"/>
  </si>
  <si>
    <t>매출</t>
    <phoneticPr fontId="1" type="noConversion"/>
  </si>
  <si>
    <t>판매비와관리비</t>
    <phoneticPr fontId="1" type="noConversion"/>
  </si>
  <si>
    <t>기타영업외손익</t>
    <phoneticPr fontId="1" type="noConversion"/>
  </si>
  <si>
    <t>(1) 금융수익</t>
  </si>
  <si>
    <t>이자수익  </t>
  </si>
  <si>
    <t>배당금수익</t>
  </si>
  <si>
    <t>(2) 금융비용</t>
  </si>
  <si>
    <t>매출채권 처분손실</t>
  </si>
  <si>
    <t>37. 금융수익과 금융비용</t>
  </si>
  <si>
    <t>영업활동 현금흐름</t>
    <phoneticPr fontId="1" type="noConversion"/>
  </si>
  <si>
    <t>이자수취</t>
    <phoneticPr fontId="1" type="noConversion"/>
  </si>
  <si>
    <t>이자지급</t>
    <phoneticPr fontId="1" type="noConversion"/>
  </si>
  <si>
    <t>법인세납부</t>
    <phoneticPr fontId="1" type="noConversion"/>
  </si>
  <si>
    <t>투자활동 현금흐름</t>
    <phoneticPr fontId="1" type="noConversion"/>
  </si>
  <si>
    <t>재무활동 현금흐름</t>
    <phoneticPr fontId="1" type="noConversion"/>
  </si>
  <si>
    <t>NWC변동(Usance제외)</t>
    <phoneticPr fontId="1" type="noConversion"/>
  </si>
  <si>
    <t>현금의 증감</t>
    <phoneticPr fontId="1" type="noConversion"/>
  </si>
  <si>
    <t>환율변동효과</t>
    <phoneticPr fontId="1" type="noConversion"/>
  </si>
  <si>
    <t>기타조정</t>
    <phoneticPr fontId="1" type="noConversion"/>
  </si>
  <si>
    <t>Usance 변동</t>
    <phoneticPr fontId="1" type="noConversion"/>
  </si>
  <si>
    <t>Usance 이자비용만 가정</t>
    <phoneticPr fontId="1" type="noConversion"/>
  </si>
  <si>
    <t>미발생 가정</t>
    <phoneticPr fontId="1" type="noConversion"/>
  </si>
  <si>
    <t>현금 평균잔액 대비%</t>
    <phoneticPr fontId="1" type="noConversion"/>
  </si>
  <si>
    <t>이자수익 100% 당기에 수취 가정</t>
    <phoneticPr fontId="1" type="noConversion"/>
  </si>
  <si>
    <t>이자비용 100% 당기에 지급 가정</t>
    <phoneticPr fontId="1" type="noConversion"/>
  </si>
  <si>
    <t>법인세비용 차년도 지급</t>
    <phoneticPr fontId="1" type="noConversion"/>
  </si>
  <si>
    <t>Capex만 반영</t>
    <phoneticPr fontId="1" type="noConversion"/>
  </si>
  <si>
    <t>변동 없는 것으로 가정</t>
    <phoneticPr fontId="1" type="noConversion"/>
  </si>
  <si>
    <t>기타유동부채</t>
    <phoneticPr fontId="1" type="noConversion"/>
  </si>
  <si>
    <t>당기법인세부채</t>
    <phoneticPr fontId="1" type="noConversion"/>
  </si>
  <si>
    <t>Benchmark($/mt)</t>
    <phoneticPr fontId="1" type="noConversion"/>
  </si>
  <si>
    <t>발표일자</t>
    <phoneticPr fontId="1" type="noConversion"/>
  </si>
  <si>
    <t>참고기사</t>
    <phoneticPr fontId="1" type="noConversion"/>
  </si>
  <si>
    <t>https://www.metalbulletin.com/Article/3966614/Search-results/Market-flags-copper-conc-supply-headwinds-after-Freeport-inks-lower-annual-terms-with-Chinese.html</t>
  </si>
  <si>
    <t>https://www.metalbulletin.com/Article/3905271/NEWSBREAK-Freeport-Jiangxi-Copper-agree-2020-copper-concentrates-annual-benchmark-at-62t-[UPDATED].html</t>
    <phoneticPr fontId="1" type="noConversion"/>
  </si>
  <si>
    <t>https://www.metalbulletin.com/Article/3844171/Jiangxi-Copper-takes-lead-in-2019-TCRC-benchmark-negotiations-agrees-deal-with-Antofagasta-at-8080t.html</t>
    <phoneticPr fontId="1" type="noConversion"/>
  </si>
  <si>
    <t>https://www.metalbulletin.com/Article/3777926/Search-results/All-CSPT-members-agree-to-adopt-82258225c-TCRCs-for-2018.html</t>
    <phoneticPr fontId="1" type="noConversion"/>
  </si>
  <si>
    <t>https://www.metalbulletin.com/Article/3602793/Search-results/Aurubis-slams-Freeport-Jiangxi-2017-TCRC-benchmark.html</t>
    <phoneticPr fontId="1" type="noConversion"/>
  </si>
  <si>
    <t>https://www.metalbulletin.com/Article/3514271/Search-results/Jiangxi-Copper-and-Antofagasta-agree-2016-TCRCs-at-97359735-cents.html</t>
    <phoneticPr fontId="1" type="noConversion"/>
  </si>
  <si>
    <t>https://www.metalbulletin.com/Article/3408499/Search-results/Jiangxi-Copper-and-Freeport-agree-2015-TCRCs-at-107107.html</t>
    <phoneticPr fontId="1" type="noConversion"/>
  </si>
  <si>
    <t>https://www.metalbulletin.com/Article/3608959/Search-results/NEWS-ALERT---China-smelter-and-Freeport-fix-2014-TCRC-deal-at-92t-and-92-cts.html</t>
    <phoneticPr fontId="1" type="noConversion"/>
  </si>
  <si>
    <t>https://www.metalbulletin.com/Article/3622109/Search-results/PHYSICALS---Chinese-copper-smelters-determined-to-get-at-least-707-cents-for-2013-TCRCs.html</t>
    <phoneticPr fontId="1" type="noConversion"/>
  </si>
  <si>
    <t>https://www.metalbulletin.com/Article/3612903/Search-results/NEWS-ALERT---Annual-copper-TCRCs-settled-at-higher-635635-cents-for-2012---sources.html</t>
    <phoneticPr fontId="1" type="noConversion"/>
  </si>
  <si>
    <t>https://www.metalbulletin.com/Article/2755224/Search-results/Chinese-smelters-poised-to-win-51-hike-in-copper-TCRCs.html</t>
    <phoneticPr fontId="1" type="noConversion"/>
  </si>
  <si>
    <t>https://www.metalbulletin.com/Article/2373337/Search-results/Japan-China-agree-38-drop-in-2010-TCRCs-with-BHP-[UPDATE].html</t>
    <phoneticPr fontId="1" type="noConversion"/>
  </si>
  <si>
    <t>2016(A)</t>
    <phoneticPr fontId="1" type="noConversion"/>
  </si>
  <si>
    <t>Netdebt</t>
    <phoneticPr fontId="1" type="noConversion"/>
  </si>
  <si>
    <t>비지배지분</t>
    <phoneticPr fontId="1" type="noConversion"/>
  </si>
  <si>
    <t>EBITDA</t>
    <phoneticPr fontId="1" type="noConversion"/>
  </si>
  <si>
    <t xml:space="preserve">Jiangxi Copper Company Limited </t>
  </si>
  <si>
    <t>시가총액(Source: KRX)</t>
    <phoneticPr fontId="1" type="noConversion"/>
  </si>
  <si>
    <t>일자</t>
  </si>
  <si>
    <t>고려아연</t>
    <phoneticPr fontId="1" type="noConversion"/>
  </si>
  <si>
    <t>태경비케이</t>
    <phoneticPr fontId="1" type="noConversion"/>
  </si>
  <si>
    <t>태경산업</t>
    <phoneticPr fontId="1" type="noConversion"/>
  </si>
  <si>
    <t>풍산</t>
    <phoneticPr fontId="1" type="noConversion"/>
  </si>
  <si>
    <t>YEAR</t>
    <phoneticPr fontId="1" type="noConversion"/>
  </si>
  <si>
    <t>MONTH</t>
    <phoneticPr fontId="1" type="noConversion"/>
  </si>
  <si>
    <t>Financial(Source: Dart)</t>
    <phoneticPr fontId="1" type="noConversion"/>
  </si>
  <si>
    <t>EBITDA</t>
  </si>
  <si>
    <t>2020 1H</t>
    <phoneticPr fontId="1" type="noConversion"/>
  </si>
  <si>
    <t>2021 1H</t>
    <phoneticPr fontId="1" type="noConversion"/>
  </si>
  <si>
    <t>유형자산상각비</t>
    <phoneticPr fontId="1" type="noConversion"/>
  </si>
  <si>
    <t>무형자산상각비</t>
    <phoneticPr fontId="1" type="noConversion"/>
  </si>
  <si>
    <t>사용권자산상각비</t>
    <phoneticPr fontId="1" type="noConversion"/>
  </si>
  <si>
    <t>Netdebt</t>
  </si>
  <si>
    <t>단기금융상품</t>
    <phoneticPr fontId="1" type="noConversion"/>
  </si>
  <si>
    <t>단기투자자산</t>
    <phoneticPr fontId="1" type="noConversion"/>
  </si>
  <si>
    <t>단기차입금</t>
    <phoneticPr fontId="1" type="noConversion"/>
  </si>
  <si>
    <t>유동성장기차입금</t>
    <phoneticPr fontId="1" type="noConversion"/>
  </si>
  <si>
    <t>장기차입금</t>
    <phoneticPr fontId="1" type="noConversion"/>
  </si>
  <si>
    <t>2021 1H LTM</t>
    <phoneticPr fontId="1" type="noConversion"/>
  </si>
  <si>
    <t>매각예정자산</t>
    <phoneticPr fontId="1" type="noConversion"/>
  </si>
  <si>
    <t>유동성사채</t>
    <phoneticPr fontId="1" type="noConversion"/>
  </si>
  <si>
    <t>사채</t>
    <phoneticPr fontId="1" type="noConversion"/>
  </si>
  <si>
    <t>Country</t>
  </si>
  <si>
    <t>MKT Cap</t>
  </si>
  <si>
    <t>Ticker</t>
  </si>
  <si>
    <t>통화</t>
  </si>
  <si>
    <t>2016(A)</t>
  </si>
  <si>
    <t>2021 1H(A)</t>
  </si>
  <si>
    <t>2020_온기</t>
    <phoneticPr fontId="1" type="noConversion"/>
  </si>
  <si>
    <t>구    분</t>
  </si>
  <si>
    <t xml:space="preserve"> 매출원가:조정</t>
  </si>
  <si>
    <t>내수</t>
  </si>
  <si>
    <t>로컬</t>
  </si>
  <si>
    <t>직수출</t>
  </si>
  <si>
    <t>2020_9m</t>
    <phoneticPr fontId="1" type="noConversion"/>
  </si>
  <si>
    <t>*연결 손익계산서</t>
  </si>
  <si>
    <t>지알엠</t>
  </si>
  <si>
    <t>국내-6</t>
  </si>
  <si>
    <t>국내-7</t>
  </si>
  <si>
    <t>단순합산</t>
  </si>
  <si>
    <t>연결조정분개</t>
  </si>
  <si>
    <t>연결손익계산서</t>
  </si>
  <si>
    <t>C06100 (㈜선우)</t>
  </si>
  <si>
    <t>C07100 (㈜ CS-LINE)</t>
  </si>
  <si>
    <t>제품매출:원화</t>
  </si>
  <si>
    <t>배당금수익(지주사용)</t>
  </si>
  <si>
    <t>임대매출</t>
  </si>
  <si>
    <t>임대료수익</t>
  </si>
  <si>
    <t>외환차익(영업활동)</t>
  </si>
  <si>
    <t>외화환산이익(영업활동)</t>
  </si>
  <si>
    <t>파생상품자산/부채 평가이익(영업활동)</t>
  </si>
  <si>
    <t>파생상품자산/부채 거래이익(영업활동)</t>
  </si>
  <si>
    <t>품질보증부채환입</t>
  </si>
  <si>
    <t>기타의대손충당금환입</t>
  </si>
  <si>
    <t>외환차손(영업활동)</t>
  </si>
  <si>
    <t>외화환산손실(영업활동)</t>
  </si>
  <si>
    <t>재고자산처분손실</t>
  </si>
  <si>
    <t>재고자산폐기손실</t>
  </si>
  <si>
    <t>재고자산감모손실</t>
  </si>
  <si>
    <t>파생상품자산/부채 평가손실(영업활동)</t>
  </si>
  <si>
    <t>파생상품자산/부채 거래손실(영업활동)</t>
  </si>
  <si>
    <t>조정영업이익</t>
  </si>
  <si>
    <t>배당금수익(기타회사용)</t>
  </si>
  <si>
    <t>당기손익인식지정금융자산/부채 평가이익</t>
  </si>
  <si>
    <t>당기손익인식지정금융자산/부채 처분이익</t>
  </si>
  <si>
    <t>만기보유금융자산 평가이익</t>
  </si>
  <si>
    <t>만기보유금융자산 처분이익</t>
  </si>
  <si>
    <t>만기보유금융자산 손상차손환입</t>
  </si>
  <si>
    <t>외환차익(비영업활동)</t>
  </si>
  <si>
    <t>외화환산이익(비영업활동)</t>
  </si>
  <si>
    <t>지분법이익(지주사외)</t>
  </si>
  <si>
    <t>파생상품자산/부채 평가이익(비영업활동)</t>
  </si>
  <si>
    <t>파생상품자산/부채 거래이익(비영업활동)</t>
  </si>
  <si>
    <t>채무면제이익</t>
  </si>
  <si>
    <t>당기손익인식지정금융자산/부채 평가손실</t>
  </si>
  <si>
    <t>종속,관계기업등주식처분손실</t>
  </si>
  <si>
    <t>사채상환손실</t>
  </si>
  <si>
    <t>외환차손(비영업활동)</t>
  </si>
  <si>
    <t>외화환산손실(비영업활동)</t>
  </si>
  <si>
    <t>지분법손실(지주사외)</t>
  </si>
  <si>
    <t>파생상품자산/부채 평가손실(비영업활동)</t>
  </si>
  <si>
    <t>파생상품자산/부채 거래손실(비영업활동)</t>
  </si>
  <si>
    <t>비지배지분순손익</t>
  </si>
  <si>
    <t>당기순손익</t>
  </si>
  <si>
    <t>2020년 온기</t>
    <phoneticPr fontId="1" type="noConversion"/>
  </si>
  <si>
    <t>리스거래이익</t>
  </si>
  <si>
    <t>2021년 1H</t>
    <phoneticPr fontId="1" type="noConversion"/>
  </si>
  <si>
    <t>조정거래 구분</t>
  </si>
  <si>
    <t>3. 미실현재고자산 손익효과 제거 및 해당 법인세 효과 인식 → 상향거래(24.2%), 하향거래(22%)적용함. 20%, 22%법인세구간에서 해당 법인세의 10% 지방소득세 포함</t>
  </si>
  <si>
    <t>전기</t>
  </si>
  <si>
    <t>전기이월이익잉여금</t>
  </si>
  <si>
    <t>하향</t>
  </si>
  <si>
    <t>전기미실현손익제거(동제련-&gt;토리컴)</t>
  </si>
  <si>
    <t>전기미실현손익제거(동제련-&gt;토리컴) 법인세효과(22%)</t>
  </si>
  <si>
    <t>상향</t>
  </si>
  <si>
    <t>전기미실현손익제거(토리컴-&gt;GRM 천안)</t>
  </si>
  <si>
    <t>전기미실현손익제거(토리컴-&gt;GRM 천안) 법인세효과(22%)</t>
  </si>
  <si>
    <t>GRM 천안</t>
  </si>
  <si>
    <t>전기미실현손익제거(동제련-&gt;GRM 천안)</t>
  </si>
  <si>
    <t>전기미실현손익제거(동제련-&gt;GRM 천안) 법인세효과(22%)</t>
  </si>
  <si>
    <t>전기미실현손익제거(GRM 천안-&gt;동제련)</t>
  </si>
  <si>
    <t>전기미실현손익제거(GRM 천안-&gt;동제련) 법인세효과(24.2%)</t>
  </si>
  <si>
    <t>전기미실현손익제거(GRM 천안-&gt;GRM 단양)</t>
  </si>
  <si>
    <t>전기미실현손익제거(GRM 천안-&gt;GRM 단양) 법인세효과(22%)</t>
  </si>
  <si>
    <t>GRM 단양</t>
  </si>
  <si>
    <t>전기미실현손익제거(GRM 단양-&gt;동제련)</t>
  </si>
  <si>
    <t>전기미실현손익제거(GRM 단양-&gt;동제련) 법인세효과(24.2%)</t>
  </si>
  <si>
    <t>전기미실현손익제거(동제련-&gt;GRM 단양)</t>
  </si>
  <si>
    <t>전기미실현손익제거(동제련-&gt;GRM 단양) 법인세효과(22%)</t>
  </si>
  <si>
    <t>전기미실현손익제거(동제련-&gt;화창)</t>
  </si>
  <si>
    <t>전기미실현손익제거(동제련-&gt;화창) 법인세효과(22%)</t>
  </si>
  <si>
    <t>LS니꼬동제련-&gt;화창 (전기 내부거래 실현분)</t>
  </si>
  <si>
    <t>당기</t>
  </si>
  <si>
    <t>원재료</t>
  </si>
  <si>
    <t>당기미실현손익제거(GRM 천안-&gt;동제련)</t>
  </si>
  <si>
    <t>이연법인세자산</t>
  </si>
  <si>
    <t>당기미실현손익제거(GRM 천안-&gt;동제련) 법인세효과(24.2%)</t>
  </si>
  <si>
    <t>당기미실현손익제거(GRM 천안-&gt;GRM 단양)</t>
  </si>
  <si>
    <t>당기미실현손익제거(GRM 천안-&gt;GRM 단양) 법인세효과(22%)</t>
  </si>
  <si>
    <t>당기미실현손익제거(동제련-&gt;토리컴)</t>
  </si>
  <si>
    <t>당기미실현손익제거(동제련-&gt;토리컴) 법인세효과(22%)</t>
  </si>
  <si>
    <t>당기미실현손익제거(GRM 단양-&gt;동제련)</t>
  </si>
  <si>
    <t>당기미실현손익제거(GRM 단양-&gt;동제련) 법인세효과(24.2%)</t>
  </si>
  <si>
    <t>당기미실현손익제거(동제련-&gt;GRM 단양)</t>
  </si>
  <si>
    <t>당기미실현손익제거(동제련-&gt;GRM 단양) 법인세효과(22%)</t>
  </si>
  <si>
    <t>4. 기타 연결조정분개 → KE30에서 용역매출액 및 원가 산출하여 동제련 매출총이익율 곱한 금액으로 용역매출원가 산출</t>
  </si>
  <si>
    <t>동제련 용역매출에 대한 금액을 제품매출로 대체(KE30 용역매출의 매출원가 누적금액)</t>
  </si>
  <si>
    <t>5. 내부거래미스매칭 연결조정분개 → 각 사 내부거래내역 중 차이금액을 조정함</t>
  </si>
  <si>
    <t>CS-Line</t>
  </si>
  <si>
    <t>진행기준 인식매출분 제거 (CS마린-&gt;동제련)</t>
  </si>
  <si>
    <t>진행기준 운반비 제거(동제련 C조건)</t>
  </si>
  <si>
    <t>진행기준 인식매출분 제거 법인세효과(24.2%)</t>
  </si>
  <si>
    <t>선우 미실현</t>
  </si>
  <si>
    <t>진행기준 내부거래이익 제거 (선우--&gt;동제련) 선우 미실현이익 제거</t>
  </si>
  <si>
    <t>미실현유형자산 내부거래이익 제거 (선우-&gt;동제련) 동제련 비용 인식</t>
  </si>
  <si>
    <t>&amp; 실현</t>
  </si>
  <si>
    <t>미실현유형자산 내부거래이익 제거 (선우-&gt;동제련) 동제련 유형자산 인식</t>
  </si>
  <si>
    <t>기계장치</t>
  </si>
  <si>
    <t>미실현유형자산 내부거래이익 제거 (선우-&gt;동제련) 선우 미실현 이익 제거</t>
  </si>
  <si>
    <t>미실현유형자산 내부거래이익 제거 (선우-&gt;동제련) 선우 미실현 이익 제거에 따른 법인세 효과</t>
  </si>
  <si>
    <t>(기계장치감가상각누계액)</t>
  </si>
  <si>
    <t>미실현유형자산 내부거래이익 실현분 (선우-&gt;동제련)</t>
  </si>
  <si>
    <t>미실현유형자산 내부거래이익 실현분 (선우-&gt;동제련) 법인세 효과</t>
  </si>
  <si>
    <t>지알엠 조정계산 차이</t>
  </si>
  <si>
    <t>41010010</t>
  </si>
  <si>
    <t>선수수익</t>
  </si>
  <si>
    <t/>
  </si>
  <si>
    <t>(유동성)선급비용</t>
  </si>
  <si>
    <t>선수금</t>
  </si>
  <si>
    <t>건설중인유형자산</t>
  </si>
  <si>
    <t>선우 GRM 미실현</t>
  </si>
  <si>
    <t>진행기준 내부거래이익 제거 (선우--&gt;GRM) 선우 미실현이익 제거</t>
  </si>
  <si>
    <t>진행기준 내부거래이익 제거 (선우--&gt;동제련) 선우 미실현이익 법인세효과</t>
  </si>
  <si>
    <t>동제련이 조정계산으로 매입 감소시킨 금액 제거</t>
  </si>
  <si>
    <t>법인세효과</t>
  </si>
  <si>
    <t>지알엠이 조정계산으로 매출 증가시킨 금액 제거</t>
  </si>
  <si>
    <t>6. 종속회사 재무제표 조정</t>
  </si>
  <si>
    <t>전기말 평가이익 역분개 취소</t>
  </si>
  <si>
    <t>2Q (-)잔액 계정재분류</t>
  </si>
  <si>
    <t>당월 누적</t>
  </si>
  <si>
    <t>전월 누적</t>
  </si>
  <si>
    <t>당월</t>
  </si>
  <si>
    <t>6. 내부거래 제거 → LS 연결시스템 Confinas 사용하여 내부거래 매칭 후, Type 511,512 자동으로 필터링된 복합내부거래 추출데이터 사용함</t>
  </si>
  <si>
    <t>(주)지알엠-&gt;LS니꼬동제련</t>
  </si>
  <si>
    <t>61001900</t>
  </si>
  <si>
    <t>(주)지알엠-&gt;㈜토리컴</t>
  </si>
  <si>
    <t>21101001</t>
  </si>
  <si>
    <t>외상매입금:원화</t>
  </si>
  <si>
    <t>LS니꼬동제련-&gt;(주)지알엠</t>
  </si>
  <si>
    <t>LS니꼬동제련-&gt;㈜토리컴</t>
  </si>
  <si>
    <t>㈜토리컴-&gt;(주)지알엠</t>
  </si>
  <si>
    <t>㈜토리컴-&gt;LS니꼬동제련</t>
  </si>
  <si>
    <t>전기이월이익잉여금</t>
    <phoneticPr fontId="44" type="noConversion"/>
  </si>
  <si>
    <t>매출액 조정</t>
    <phoneticPr fontId="1" type="noConversion"/>
  </si>
  <si>
    <t>차변</t>
    <phoneticPr fontId="1" type="noConversion"/>
  </si>
  <si>
    <t>대변</t>
    <phoneticPr fontId="1" type="noConversion"/>
  </si>
  <si>
    <t>2020 9m</t>
    <phoneticPr fontId="1" type="noConversion"/>
  </si>
  <si>
    <t>2020 온기</t>
    <phoneticPr fontId="1" type="noConversion"/>
  </si>
  <si>
    <t>*연결재무상태표</t>
  </si>
  <si>
    <t>C07100 (㈜CS-LINE)</t>
  </si>
  <si>
    <t>연결재무상태표</t>
  </si>
  <si>
    <t>유동자산</t>
  </si>
  <si>
    <t>현금및현금성자산</t>
  </si>
  <si>
    <t>현금</t>
  </si>
  <si>
    <t>원화당좌</t>
  </si>
  <si>
    <t>원화보통</t>
  </si>
  <si>
    <t>원화기타</t>
  </si>
  <si>
    <t>외화당좌</t>
  </si>
  <si>
    <t>외화보통</t>
  </si>
  <si>
    <t>외화기타</t>
  </si>
  <si>
    <t>현금등가물</t>
  </si>
  <si>
    <t>매출채권 및 기타채권</t>
  </si>
  <si>
    <t>부도어음</t>
  </si>
  <si>
    <t>공사채권</t>
  </si>
  <si>
    <t>기타어음</t>
  </si>
  <si>
    <t>(매출채권 대손충당금)</t>
  </si>
  <si>
    <t>(대손충당금:원화외상매출금)</t>
  </si>
  <si>
    <t>(대손충당금:외화외상매출금)</t>
  </si>
  <si>
    <t>(대손충당금:부도어음)</t>
  </si>
  <si>
    <t>(대손충당금:공사채권)</t>
  </si>
  <si>
    <t>(대손충당금:기타)</t>
  </si>
  <si>
    <t>단기금융상품</t>
  </si>
  <si>
    <t>단기정기예/적금</t>
  </si>
  <si>
    <t>단기특정금전신탁</t>
  </si>
  <si>
    <t>기타단기금융상품</t>
  </si>
  <si>
    <t>단기대여금</t>
  </si>
  <si>
    <t>(단기대여금대손충당금)</t>
  </si>
  <si>
    <t>단기보증금</t>
  </si>
  <si>
    <t>(단기보증금대손충당금)</t>
  </si>
  <si>
    <t>(미수금대손충당금)</t>
  </si>
  <si>
    <t>미수수익</t>
  </si>
  <si>
    <t>장기미수수익</t>
  </si>
  <si>
    <t>(유동성)당기손익인식금융자산</t>
  </si>
  <si>
    <t>단기매매증권</t>
  </si>
  <si>
    <t>단기매매증권-주식</t>
  </si>
  <si>
    <t>단기매매증권-사채</t>
  </si>
  <si>
    <t>단기매매증권-국.공채</t>
  </si>
  <si>
    <t>단기매매증권-기타</t>
  </si>
  <si>
    <t>(유동성)당기손익인식지정금융자산</t>
  </si>
  <si>
    <t>(유동성)매매목적파생상품자산</t>
  </si>
  <si>
    <t>(유동성)매매목적파생상품자산:금융</t>
  </si>
  <si>
    <t>(유동성))매매목적파생상품자산:상품</t>
  </si>
  <si>
    <t>(유동성)매도가능금융자산</t>
  </si>
  <si>
    <t>(유동성)매도가능증권-주식</t>
  </si>
  <si>
    <t>(유동성)매도가능증권-사채</t>
  </si>
  <si>
    <t>(유동성)매도가능증권-국.공채</t>
  </si>
  <si>
    <t>(유동성)매도가능증권-기타</t>
  </si>
  <si>
    <t>(유동성)(매도가능증권손상차손누계액)</t>
  </si>
  <si>
    <t>(유동성)만기보유금융자산</t>
  </si>
  <si>
    <t>(유동성)만기보유증권-사채</t>
  </si>
  <si>
    <t>(유동성)만기보유증권-국.공채</t>
  </si>
  <si>
    <t>(유동성)만기보유증권-기타</t>
  </si>
  <si>
    <t>(유동성)(만기보유증권손상차손누계액)</t>
  </si>
  <si>
    <t>(유동성)위험회피파생상품자산</t>
  </si>
  <si>
    <t>(유동성)공정가치위험회피파생상품자산</t>
  </si>
  <si>
    <t>(유동성)공정가치위험회피파생상품자산:금융</t>
  </si>
  <si>
    <t>(유동성)공정가치위험회피파생상품자산:상품</t>
  </si>
  <si>
    <t>(유동성)공정가치위험회피파생상품자산:확정계약</t>
  </si>
  <si>
    <t>(유동성)현금흐름위험회피파생상품자산</t>
  </si>
  <si>
    <t>(유동성)현금흐름위험회피파생상품자산:금융</t>
  </si>
  <si>
    <t>(유동성)현금흐름위험회피파생상품자산:상품</t>
  </si>
  <si>
    <t>상품</t>
  </si>
  <si>
    <t>(상품평가충당금)</t>
  </si>
  <si>
    <t>제품</t>
  </si>
  <si>
    <t>(제품평가충당금)</t>
  </si>
  <si>
    <t>반제품</t>
  </si>
  <si>
    <t>(반제품평가충당금)</t>
  </si>
  <si>
    <t>재공품</t>
  </si>
  <si>
    <t>(재공품평가충당금)</t>
  </si>
  <si>
    <t>스크랩</t>
  </si>
  <si>
    <t>(원재료평가충당금)</t>
  </si>
  <si>
    <t>저장품</t>
  </si>
  <si>
    <t>(저장품평가충당금)</t>
  </si>
  <si>
    <t>미착품</t>
  </si>
  <si>
    <t>미착품:상품</t>
  </si>
  <si>
    <t>미착품:원재료</t>
  </si>
  <si>
    <t>미착품:저장품</t>
  </si>
  <si>
    <t>미착품:기타</t>
  </si>
  <si>
    <t>미성공사</t>
  </si>
  <si>
    <t>기타의재고자산</t>
  </si>
  <si>
    <t xml:space="preserve">기타의재고자산 </t>
  </si>
  <si>
    <t>(기타의재고자산평가충당금)</t>
  </si>
  <si>
    <t>(유동성)금융리스채권</t>
  </si>
  <si>
    <t>(유동성)금융리스채권_대손충당금</t>
  </si>
  <si>
    <t>(유동성)금융리스채권_현재가치할인차금</t>
  </si>
  <si>
    <t>(유동성)이연법인세자산</t>
  </si>
  <si>
    <t>기타유동자산</t>
  </si>
  <si>
    <t>(유동성)미청구공사</t>
  </si>
  <si>
    <t>(유동성)(미청구공사대손충당금)</t>
  </si>
  <si>
    <t>(유동성)(공사손실충당금)</t>
  </si>
  <si>
    <t>부가세대급금</t>
  </si>
  <si>
    <t>선급부가가치세(매입부가세)</t>
  </si>
  <si>
    <t>선급금</t>
  </si>
  <si>
    <t>(선급금대손충당금)</t>
  </si>
  <si>
    <t>(선급금현재가치할인차금)</t>
  </si>
  <si>
    <t>선급비용</t>
  </si>
  <si>
    <t>(유동성)선급비용_토지사용권</t>
  </si>
  <si>
    <t>기타 매출채권 및 기타채권</t>
  </si>
  <si>
    <t>기타 당좌자산</t>
  </si>
  <si>
    <t>미수법인세환급액</t>
  </si>
  <si>
    <t>선급법인세</t>
  </si>
  <si>
    <t>선급제세기타</t>
  </si>
  <si>
    <t>매각예정자산</t>
  </si>
  <si>
    <t>비유동자산</t>
  </si>
  <si>
    <t>장기매출채권및기타채권</t>
  </si>
  <si>
    <t>장기성매출채권</t>
  </si>
  <si>
    <t>장기성매출채권:원화</t>
  </si>
  <si>
    <t>장기성매출채권:외화</t>
  </si>
  <si>
    <t>(장기성매출채권대손충당금)</t>
  </si>
  <si>
    <t>대손충당금:장기성매출채권:원화</t>
  </si>
  <si>
    <t>대손충당금:장기성매출채권:외화</t>
  </si>
  <si>
    <t>대손충당금:부도어음</t>
  </si>
  <si>
    <t>대손충당금:공사채권</t>
  </si>
  <si>
    <t>(장기성매출채권현재가치할인차금)</t>
  </si>
  <si>
    <t>장기대여금</t>
  </si>
  <si>
    <t>(장기대여금대손충당금)</t>
  </si>
  <si>
    <t>(장기대여금현재가치할인차금)</t>
  </si>
  <si>
    <t>장기미수금</t>
  </si>
  <si>
    <t>(장기미수금대손충당금)</t>
  </si>
  <si>
    <t>(장기미수금현재가치할인차금)</t>
  </si>
  <si>
    <t>장기금융상품</t>
  </si>
  <si>
    <t>장기정기예적금</t>
  </si>
  <si>
    <t>장기특정금전신탁</t>
  </si>
  <si>
    <t>기타장기금융상품</t>
  </si>
  <si>
    <t>장기보증금</t>
  </si>
  <si>
    <t>전신전화가입권</t>
  </si>
  <si>
    <t>보증금</t>
  </si>
  <si>
    <t>(보증금대손충당금)</t>
  </si>
  <si>
    <t>(보증금현재가치할인차금)</t>
  </si>
  <si>
    <t>당기손익인식금융자산</t>
  </si>
  <si>
    <t>당기손익인식지정금융자산</t>
  </si>
  <si>
    <t>매매목적파생상품자산-비유동</t>
  </si>
  <si>
    <t>매매목적파생상품자산:금융</t>
  </si>
  <si>
    <t>매매목적파생상품자산:상품</t>
  </si>
  <si>
    <t>매도가능금융자산</t>
  </si>
  <si>
    <t>기타포괄손익-공정가치금융자산(FVOCI)</t>
  </si>
  <si>
    <t>매도가능증권-사채</t>
  </si>
  <si>
    <t>매도가능증권-주식</t>
  </si>
  <si>
    <t>매도가능증권-국.공채</t>
  </si>
  <si>
    <t>매도가능증권-기타</t>
  </si>
  <si>
    <t>(매도가능증권손상차손누계액)</t>
  </si>
  <si>
    <t>당기손익-공정가치금융자산(FVPL)</t>
  </si>
  <si>
    <t>매도가능증권-사채(FVTPL)</t>
  </si>
  <si>
    <t>매도가능증권-주식(FVTPL)</t>
  </si>
  <si>
    <t>매도가능증권-국.공채(FVTPL)</t>
  </si>
  <si>
    <t>매도가능증권-기타(FVTPL)</t>
  </si>
  <si>
    <t>(매도가능증권손상차손누계)(FVTPL)</t>
  </si>
  <si>
    <t>만기보유금융자산</t>
  </si>
  <si>
    <t>만기보유증권-사채</t>
  </si>
  <si>
    <t>만기보유증권-국.공채</t>
  </si>
  <si>
    <t>만기보유증권-기타</t>
  </si>
  <si>
    <t>(만기보유증권손상차손누계액)</t>
  </si>
  <si>
    <t>위험회피파생상품자산</t>
  </si>
  <si>
    <t>공정가치위험회피파생상품자산</t>
  </si>
  <si>
    <t>공정가치위험회피파생상품자산:금융</t>
  </si>
  <si>
    <t>공정가치위험회피파생상품자산:상품</t>
  </si>
  <si>
    <t>공정가치위험회피파생상품자산:확정계약</t>
  </si>
  <si>
    <t>현금흐름위험회피파생상품자산</t>
  </si>
  <si>
    <t>현금흐름위험회피파생상품자산:금융</t>
  </si>
  <si>
    <t>현금흐름위험회피파생상품자산:상품</t>
  </si>
  <si>
    <t>종속ㆍ관계ㆍ조인트벤처기업주식</t>
  </si>
  <si>
    <t>종속ㆍ관계ㆍ조인트벤처주식</t>
  </si>
  <si>
    <t>종속기업주식</t>
  </si>
  <si>
    <t>관계기업주식</t>
  </si>
  <si>
    <t>조인트벤처주식</t>
  </si>
  <si>
    <t>토지</t>
  </si>
  <si>
    <t>(토지국고보조금)</t>
  </si>
  <si>
    <t>건물</t>
  </si>
  <si>
    <t>(건물감가상각누계액)</t>
  </si>
  <si>
    <t>(건물손상차손누계액)</t>
  </si>
  <si>
    <t>(건물국고보조금)</t>
  </si>
  <si>
    <t>구축물</t>
  </si>
  <si>
    <t>(구축물감가상각누계액)</t>
  </si>
  <si>
    <t>(구축물손상차손누계액)</t>
  </si>
  <si>
    <t>(구축물국고보조금)</t>
  </si>
  <si>
    <t>(기계장치손상차손누계액)</t>
  </si>
  <si>
    <t>(기계장치국고보조금)</t>
  </si>
  <si>
    <t>(차량운반구감가상각누계액)</t>
  </si>
  <si>
    <t>(차량운반구손상차손누계액)</t>
  </si>
  <si>
    <t>(차량운반구국고보조금)</t>
  </si>
  <si>
    <t>공구와기구</t>
  </si>
  <si>
    <t>(공구와기구감가상각누계액)</t>
  </si>
  <si>
    <t>(공구와기구손상차손누계액)</t>
  </si>
  <si>
    <t>(공구와기구국고보조금)'</t>
  </si>
  <si>
    <t>비품</t>
  </si>
  <si>
    <t>(비품감가상각누계액)</t>
  </si>
  <si>
    <t>(비품손상차손누계액)</t>
  </si>
  <si>
    <t>(비품국고보조금)</t>
  </si>
  <si>
    <t>금형</t>
  </si>
  <si>
    <t>(금형감가상각누계액)</t>
  </si>
  <si>
    <t>(금형손상차손누계액)</t>
  </si>
  <si>
    <t>(금형국고보조금)</t>
  </si>
  <si>
    <t>(건설중인유형자산손상차손누계액)</t>
  </si>
  <si>
    <t>(건설중인유형자산국고보조금)</t>
  </si>
  <si>
    <t>기타의유형자산</t>
  </si>
  <si>
    <t>(기타유형자산감가상각누계액)</t>
  </si>
  <si>
    <t>(기타유형자산손상차손누계액)</t>
  </si>
  <si>
    <t>(기타유형자산국고보조금)</t>
  </si>
  <si>
    <t>미착기계</t>
  </si>
  <si>
    <t>투자부동산</t>
  </si>
  <si>
    <t>투자부동산-토지</t>
  </si>
  <si>
    <t>투자부동산-건물</t>
  </si>
  <si>
    <t>(투자부동산-건물감가상각누계액)</t>
  </si>
  <si>
    <t>(투자부동산-건물손상차손누계액)</t>
  </si>
  <si>
    <t>(투자부동산-건물정부보조금등)</t>
  </si>
  <si>
    <t>투자부동산-구축물</t>
  </si>
  <si>
    <t>(투자부동산-구축물감가상각누계액)</t>
  </si>
  <si>
    <t>(투자부동산-구축물손상차손누계액)</t>
  </si>
  <si>
    <t>(투자부동산-구축물정부보조금등)</t>
  </si>
  <si>
    <t>건설중인투자부동산</t>
  </si>
  <si>
    <t>투자부동산-건설중인자산</t>
  </si>
  <si>
    <t>(투자부동산-건설중인자산손상차손누계액)</t>
  </si>
  <si>
    <t>(투자부동산-건설중인자산정부보조금등)</t>
  </si>
  <si>
    <t>특허권</t>
  </si>
  <si>
    <t>(특허권손상차손누계액)</t>
  </si>
  <si>
    <t>(특허권국고보조금)</t>
  </si>
  <si>
    <t>실용신안권</t>
  </si>
  <si>
    <t>(실용신안권손상차손누계액)</t>
  </si>
  <si>
    <t>(실용신안권국고보조금)</t>
  </si>
  <si>
    <t>상표권</t>
  </si>
  <si>
    <t>(상표권손상차손누계액)</t>
  </si>
  <si>
    <t>(상표권국고보조금)</t>
  </si>
  <si>
    <t>의장권</t>
  </si>
  <si>
    <t>(의장권손상차손누계액)</t>
  </si>
  <si>
    <t>(의장권국고보조금)</t>
  </si>
  <si>
    <t>(소프트웨어손상차손누계액)</t>
  </si>
  <si>
    <t>(소프트웨어국고보조금)</t>
  </si>
  <si>
    <t>(영업권손상차손누계액)</t>
  </si>
  <si>
    <t>영업권(연결)</t>
  </si>
  <si>
    <t>투자제거차액(연결)</t>
  </si>
  <si>
    <t>(개발비손상차손누계액)</t>
  </si>
  <si>
    <t>(개발비국고보조금)</t>
  </si>
  <si>
    <t>(회원권손상차손누계액)</t>
  </si>
  <si>
    <t>회원권(비한정)</t>
  </si>
  <si>
    <t>기타의무형자산</t>
  </si>
  <si>
    <t>전기가스시설이용권</t>
  </si>
  <si>
    <t>전신전화전용권</t>
  </si>
  <si>
    <t>사용수익기부자산</t>
  </si>
  <si>
    <t>(기타의무형자산손상차손누계액)</t>
  </si>
  <si>
    <t>(기타의무형자산국고보조금)</t>
  </si>
  <si>
    <t>(탄소배출권손상차손누계액)</t>
  </si>
  <si>
    <t>건설중인무형자산</t>
  </si>
  <si>
    <t>(건설중인무형자산손상차손누계액)</t>
  </si>
  <si>
    <t>토지사용권자산</t>
  </si>
  <si>
    <t>(토지사용권자산감가상각누계액)</t>
  </si>
  <si>
    <t>건물사용권자산</t>
  </si>
  <si>
    <t>(건물사용권자산감가상각누계액)</t>
  </si>
  <si>
    <t>구축물사용권자산</t>
  </si>
  <si>
    <t>(구축물사용권자산감가상각누계액)</t>
  </si>
  <si>
    <t>기계장치사용권자산</t>
  </si>
  <si>
    <t>(기계장치사용권자산감가상각누계액)</t>
  </si>
  <si>
    <t>차량운반구사용권자산</t>
  </si>
  <si>
    <t>(차량운반구사용권자산감가상각누계액)</t>
  </si>
  <si>
    <t>공구와기구사용권자산</t>
  </si>
  <si>
    <t>(공구와기구사용권자산감가상각누계액)</t>
  </si>
  <si>
    <t>비품사용권자산</t>
  </si>
  <si>
    <t>(비품사용권자산감가상각누계액)</t>
  </si>
  <si>
    <t>기타사용권자산</t>
  </si>
  <si>
    <t>(기타사용권자산감가상각누계액)</t>
  </si>
  <si>
    <t>기타비유동자산</t>
  </si>
  <si>
    <t>미청구공사</t>
  </si>
  <si>
    <t>(미청구공사대손충당금)</t>
  </si>
  <si>
    <t>(공사손실충당금)</t>
  </si>
  <si>
    <t>장기선급금</t>
  </si>
  <si>
    <t>(장기선급금대손충당금)</t>
  </si>
  <si>
    <t>(장기선급금현재가치할인차금)</t>
  </si>
  <si>
    <t>장기선급비용</t>
  </si>
  <si>
    <t>장기선급비용_토지사용권</t>
  </si>
  <si>
    <t>선급기술도입비</t>
  </si>
  <si>
    <t>기타의투자자산</t>
  </si>
  <si>
    <t>(기타의투자자산감액손실충당금)</t>
  </si>
  <si>
    <t>순확정급여자산</t>
  </si>
  <si>
    <t>본지사 계정</t>
  </si>
  <si>
    <t>본지사 투자</t>
  </si>
  <si>
    <t>본지사투자</t>
  </si>
  <si>
    <t>본지사 채권</t>
  </si>
  <si>
    <t>본지사채권-채권채무상계</t>
  </si>
  <si>
    <t>본지사채권-재고자산소거</t>
  </si>
  <si>
    <t>본지사채권-고정자산소거</t>
  </si>
  <si>
    <t>본지사채권-투자사채소거</t>
  </si>
  <si>
    <t>유동부채</t>
  </si>
  <si>
    <t>매입채무및기타채무</t>
  </si>
  <si>
    <t>매입채무</t>
  </si>
  <si>
    <t>외상매입금:외화</t>
  </si>
  <si>
    <t>미확정매입채무:GL</t>
  </si>
  <si>
    <t>지급어음</t>
  </si>
  <si>
    <t>미지급비용</t>
  </si>
  <si>
    <t>(유동성)임대보증금</t>
  </si>
  <si>
    <t>(유동성)당기손익인식금융부채</t>
  </si>
  <si>
    <t>(유동성)당기손익인식지정금융부채</t>
  </si>
  <si>
    <t>(유동성)매매목적파생상품부채</t>
  </si>
  <si>
    <t>(유동성)매매목적파생상품부채:금융</t>
  </si>
  <si>
    <t>(유동성)매매목적파생상품부채:상품</t>
  </si>
  <si>
    <t>(유동성)위험회피파생상품부채</t>
  </si>
  <si>
    <t>(유동성)공정가치위험회피파생상품부채</t>
  </si>
  <si>
    <t>(유동성)공정가치위험회피파생상품부채:금융</t>
  </si>
  <si>
    <t>(유동성)공정가치위험회피파생상품부채:상품</t>
  </si>
  <si>
    <t>(유동성)공정가치위험회피파생상품부채:확정계약</t>
  </si>
  <si>
    <t>(유동성)현금흐름위험회피파생상품부채</t>
  </si>
  <si>
    <t>(유동성)현금흐름위험회피파생상품부채:금융</t>
  </si>
  <si>
    <t>(유동성)현금흐름위험회피파생상품부채:상품</t>
  </si>
  <si>
    <t>단기차입금</t>
  </si>
  <si>
    <t>단기차입금:원화</t>
  </si>
  <si>
    <t>단기차입금:외화</t>
  </si>
  <si>
    <t>당좌차월</t>
  </si>
  <si>
    <t>채권할인</t>
  </si>
  <si>
    <t>단기차입금(연결)</t>
  </si>
  <si>
    <t>(유동성)금융리스부채</t>
  </si>
  <si>
    <t>유동사채</t>
  </si>
  <si>
    <t>유동성사채</t>
  </si>
  <si>
    <t>(유동성사채할인발행차금)</t>
  </si>
  <si>
    <t>유동성전환사채</t>
  </si>
  <si>
    <t>(유동성전환사채할인(증)발행차금)</t>
  </si>
  <si>
    <t>(유동성전환권조정계정)</t>
  </si>
  <si>
    <t>유동성장기부채</t>
  </si>
  <si>
    <t>(유동성장기부채현재가치할인차금)</t>
  </si>
  <si>
    <t>(유동성)부채성우선주_상환전환우선주</t>
  </si>
  <si>
    <t>(유동성)이연법인세부채</t>
  </si>
  <si>
    <t>충당부채</t>
  </si>
  <si>
    <t>(유동성)하자보수충당금</t>
  </si>
  <si>
    <t>(유동성)손실부담계약충당부채</t>
  </si>
  <si>
    <t>(유동성)손실부담계약충당금</t>
  </si>
  <si>
    <t>(유동성)판매보증충당부채</t>
  </si>
  <si>
    <t>(유동성)판매보증충당금</t>
  </si>
  <si>
    <t>(유동성)구조조정충당부채</t>
  </si>
  <si>
    <t>(유동성)탄소배출권충당부채</t>
  </si>
  <si>
    <t>(유동성)기타(손실)충당부채</t>
  </si>
  <si>
    <t>기타유동부채</t>
  </si>
  <si>
    <t>(유동성)초과청구공사</t>
  </si>
  <si>
    <t>(유동성)공사손실충당금</t>
  </si>
  <si>
    <t>예수금</t>
  </si>
  <si>
    <t>부가세예수금</t>
  </si>
  <si>
    <t>매출부가세</t>
  </si>
  <si>
    <t>미지급법인세</t>
  </si>
  <si>
    <t>(유동성)기타금융부채</t>
  </si>
  <si>
    <t>(유동성)미지급배당금</t>
  </si>
  <si>
    <t>(유동성)금융보증계약부채</t>
  </si>
  <si>
    <t>매각예정부채</t>
  </si>
  <si>
    <t>비유동부채</t>
  </si>
  <si>
    <t>장기매입채무및장기기타채무</t>
  </si>
  <si>
    <t>장기매입채무</t>
  </si>
  <si>
    <t>장기매입채무:원화</t>
  </si>
  <si>
    <t>장기매입채무:외화</t>
  </si>
  <si>
    <t>(장기매입채무현재가치할인차금)</t>
  </si>
  <si>
    <t>장기미지급금</t>
  </si>
  <si>
    <t>(장기미지급금현재가치할인차금)</t>
  </si>
  <si>
    <t>장기미지급비용</t>
  </si>
  <si>
    <t>장기임대보증금</t>
  </si>
  <si>
    <t>(장기임대보증금현재가치할인차금)</t>
  </si>
  <si>
    <t>예수보증금</t>
  </si>
  <si>
    <t>(예수보증금현재가치할인차금)</t>
  </si>
  <si>
    <t>당기손익인식금융부채</t>
  </si>
  <si>
    <t>당기손익인식지정금융부채</t>
  </si>
  <si>
    <t>매매목적파생상품부채</t>
  </si>
  <si>
    <t>매매목적파생상품부채:금융</t>
  </si>
  <si>
    <t>매매목적파생상품부채:상품</t>
  </si>
  <si>
    <t>위험회피파생상품부채</t>
  </si>
  <si>
    <t>공정가치위험회피파생상품부채</t>
  </si>
  <si>
    <t>공정가치위험회피파생상품부채:금융</t>
  </si>
  <si>
    <t>공정가치위험회피파생상품부채:상품</t>
  </si>
  <si>
    <t>공정가치위험회피파생상품부채:확정계약</t>
  </si>
  <si>
    <t>현금흐름위험회피파생상품부채</t>
  </si>
  <si>
    <t>현금흐름위험회피파생상품부채:금융</t>
  </si>
  <si>
    <t>현금흐름위험회피파생상품부채:상품</t>
  </si>
  <si>
    <t>장기차입금</t>
  </si>
  <si>
    <t>장기차입금:원화</t>
  </si>
  <si>
    <t>장기차입금:외화</t>
  </si>
  <si>
    <t>부채성우선주_상환전환우선주</t>
  </si>
  <si>
    <t>금융리스부채</t>
  </si>
  <si>
    <t>사채</t>
  </si>
  <si>
    <t>(사채할인(증)발행차금)</t>
  </si>
  <si>
    <t>전환사채</t>
  </si>
  <si>
    <t>(전환사채할인(증)발행차금)</t>
  </si>
  <si>
    <t>(전환권조정계정)</t>
  </si>
  <si>
    <t>이연법인세 부채</t>
  </si>
  <si>
    <t>하자보수충당부채</t>
  </si>
  <si>
    <t>하자보수충당금</t>
  </si>
  <si>
    <t>손실부담계약충당금</t>
  </si>
  <si>
    <t>판매보증충당부채</t>
  </si>
  <si>
    <t>판매보증충당금</t>
  </si>
  <si>
    <t>탄소배출충당부채</t>
  </si>
  <si>
    <t>기타손실충당부채</t>
  </si>
  <si>
    <t>구조조정충당부채</t>
  </si>
  <si>
    <t>퇴직급여충당부채</t>
  </si>
  <si>
    <t>(퇴직보험예치금)</t>
  </si>
  <si>
    <t>(국민연금전환금)</t>
  </si>
  <si>
    <t>(퇴직연금운용자산)</t>
  </si>
  <si>
    <t>기타비유동부채</t>
  </si>
  <si>
    <t>장기선수금</t>
  </si>
  <si>
    <t>장기선수수익</t>
  </si>
  <si>
    <t>정부보조금</t>
  </si>
  <si>
    <t>정부부조금</t>
  </si>
  <si>
    <t>기타비유동금융부채</t>
  </si>
  <si>
    <t>(비유동)금융보증계약부채</t>
  </si>
  <si>
    <t>본지사채무</t>
  </si>
  <si>
    <t>본지사채무-채권채무상계</t>
  </si>
  <si>
    <t>지배주주지분</t>
  </si>
  <si>
    <t>자본금</t>
  </si>
  <si>
    <t>보통주자본금</t>
  </si>
  <si>
    <t>우선주자본금</t>
  </si>
  <si>
    <t>기타불입자본금</t>
  </si>
  <si>
    <t>주식발행초과금</t>
  </si>
  <si>
    <t>주식할인발행차금</t>
  </si>
  <si>
    <t>합병차익</t>
  </si>
  <si>
    <t>재평가적립금</t>
  </si>
  <si>
    <t>자기주식처분이익</t>
  </si>
  <si>
    <t>자기주식처분손실</t>
  </si>
  <si>
    <t>감자차익</t>
  </si>
  <si>
    <t>기타자본잉여금</t>
  </si>
  <si>
    <t>연결자본잉여금</t>
  </si>
  <si>
    <t>기타자본구성요소</t>
  </si>
  <si>
    <t>자기주식</t>
  </si>
  <si>
    <t>주식매입선택권</t>
  </si>
  <si>
    <t>감자차손</t>
  </si>
  <si>
    <t>지분법자본조정</t>
  </si>
  <si>
    <t>부의지분법자본조정</t>
  </si>
  <si>
    <t>기타자본조정</t>
  </si>
  <si>
    <t>기타포괄손익누계액</t>
  </si>
  <si>
    <t>매도가능증권평가손</t>
  </si>
  <si>
    <t>매도가능증권평가익</t>
  </si>
  <si>
    <t>지분법자본변동</t>
  </si>
  <si>
    <t>부의지분법자본변동</t>
  </si>
  <si>
    <t>파생상품평가손실</t>
  </si>
  <si>
    <t>파생상품평가이익</t>
  </si>
  <si>
    <t>해외사업환산차</t>
  </si>
  <si>
    <t>해외사업환산대</t>
  </si>
  <si>
    <t>해외사업환산연결</t>
  </si>
  <si>
    <t>재평가 잉여금</t>
  </si>
  <si>
    <t>비파생금융상품평가이익</t>
  </si>
  <si>
    <t>비파생금융상품평가손실</t>
  </si>
  <si>
    <t>이익잉여금</t>
  </si>
  <si>
    <t>이익준비금</t>
  </si>
  <si>
    <t>기업합리화적립금</t>
  </si>
  <si>
    <t>재무구조개선적립금</t>
  </si>
  <si>
    <t>해외시장개척준비금</t>
  </si>
  <si>
    <t>해외투자손실준비금</t>
  </si>
  <si>
    <t>연구및인력개발준비금</t>
  </si>
  <si>
    <t>수출손실준비금</t>
  </si>
  <si>
    <t>기술개발준비금</t>
  </si>
  <si>
    <t>시설적립금</t>
  </si>
  <si>
    <t>기타법정적립금</t>
  </si>
  <si>
    <t>임의적립금</t>
  </si>
  <si>
    <t>보험수리적손익</t>
  </si>
  <si>
    <t>지분법이익잉여금</t>
  </si>
  <si>
    <t>부의지분법이익잉여금</t>
  </si>
  <si>
    <t>비지배주주지분</t>
  </si>
  <si>
    <t>비지배지분_자본금</t>
  </si>
  <si>
    <t>비지배지분_기타불입자본금</t>
  </si>
  <si>
    <t>비지배지분_기타자본구성요소</t>
  </si>
  <si>
    <t>비지배지분_기타포괄손익누계액</t>
  </si>
  <si>
    <t>비지배지분_전기잉여금</t>
  </si>
  <si>
    <t>비지배지분_당기순이익</t>
  </si>
  <si>
    <t>본지사 자본</t>
  </si>
  <si>
    <t>본지사자본</t>
  </si>
  <si>
    <t>금융기관명</t>
  </si>
  <si>
    <t>21년 6월말 현재</t>
  </si>
  <si>
    <t xml:space="preserve">21년 6월말 누계  </t>
  </si>
  <si>
    <t>LC 관련 비용
(Term Charge, 전신수수료 등)</t>
  </si>
  <si>
    <t>총 한도</t>
  </si>
  <si>
    <t>차입금 잔액</t>
  </si>
  <si>
    <t>외화 평잔(USD)</t>
  </si>
  <si>
    <t>원화 평잔(KRW)</t>
  </si>
  <si>
    <t>이자비용(KRW)</t>
  </si>
  <si>
    <t>이자율(%)</t>
  </si>
  <si>
    <t>농협은행(주) 강남대기업영업부</t>
  </si>
  <si>
    <t>신한은행 강남대기업금융센터</t>
  </si>
  <si>
    <t>우리은행 LG트윈타워기업영업지원팀</t>
  </si>
  <si>
    <t>KEB하나은행 무역센터지점</t>
  </si>
  <si>
    <t>한국씨티은행 중앙기업업무센터</t>
  </si>
  <si>
    <t>한국수출입은행</t>
  </si>
  <si>
    <t>SC제일은행 무역센터</t>
  </si>
  <si>
    <t>산업은행 무역금융실</t>
  </si>
  <si>
    <t>(주)미즈호코퍼레이트은행</t>
  </si>
  <si>
    <t>IBK기업은행</t>
  </si>
  <si>
    <t>국민은행 스타타워기업금융</t>
  </si>
  <si>
    <t>MUFG Bank, Ltd., Seoul Branch</t>
  </si>
  <si>
    <t>BNP Paribas 서울지점</t>
  </si>
  <si>
    <t>SMBC 서울지점</t>
  </si>
  <si>
    <t>DBS은행</t>
  </si>
  <si>
    <t>호주뉴질랜드은행 서울지점</t>
  </si>
  <si>
    <t>20년 12월말 현재</t>
  </si>
  <si>
    <t xml:space="preserve">20년 12월말 누계  </t>
  </si>
  <si>
    <t>대구은행</t>
  </si>
  <si>
    <t>2020 FY</t>
    <phoneticPr fontId="1" type="noConversion"/>
  </si>
  <si>
    <t>과   목</t>
  </si>
  <si>
    <t>당기상각액</t>
  </si>
  <si>
    <t>감액손실액</t>
  </si>
  <si>
    <t>국고보조금</t>
  </si>
  <si>
    <t>기말잔액</t>
  </si>
  <si>
    <t>상각방법</t>
  </si>
  <si>
    <t>1.유형고정자산</t>
  </si>
  <si>
    <t>건          물</t>
  </si>
  <si>
    <t>정 액 법</t>
  </si>
  <si>
    <t>구    축    물</t>
  </si>
  <si>
    <t>"</t>
  </si>
  <si>
    <t>기  계  장  치</t>
  </si>
  <si>
    <t>차 량 운 반 구</t>
  </si>
  <si>
    <t>공 구 와 기 구</t>
  </si>
  <si>
    <t>비          품</t>
  </si>
  <si>
    <t>소    계</t>
  </si>
  <si>
    <t>2. 무형고정자산</t>
  </si>
  <si>
    <t>특    허    권</t>
  </si>
  <si>
    <t>개    발    비</t>
  </si>
  <si>
    <t>소프트웨어 개발비</t>
  </si>
  <si>
    <t>SRM(e-PROCUREMENT) S/W</t>
  </si>
  <si>
    <t>LS-NIKKO ERP SYSTEM(본사)</t>
  </si>
  <si>
    <t>문서보완 및 KM시스템</t>
  </si>
  <si>
    <t>EXTENDED ERP SAP BI_7.0</t>
  </si>
  <si>
    <t>인사형통시스템(e-HR)</t>
  </si>
  <si>
    <t>보건정보시스템</t>
  </si>
  <si>
    <t>노동조합 홈페이지</t>
  </si>
  <si>
    <t>아래한글 (생산기술팀)</t>
  </si>
  <si>
    <t>무인계근내 자동화 프로그램</t>
  </si>
  <si>
    <t>전사 바이러스 소프트웨어 V3</t>
  </si>
  <si>
    <t>ERP Server Upgrade (CPU, Memory 성능 개선)</t>
  </si>
  <si>
    <t>ERP system upgrade 투자 (ECC 6.0)</t>
  </si>
  <si>
    <t>소프트웨어 라이센스 ACROBAT 외 46건</t>
  </si>
  <si>
    <t>전사 VPN(사내 시스템 외부 접속 네트워크)</t>
  </si>
  <si>
    <t>열역학 simulation program (FactSage 6.1)</t>
  </si>
  <si>
    <t>업무지원 S/W : Toad 외 40ea</t>
  </si>
  <si>
    <t>분석시험실정보관리(LIMS) 시스템</t>
  </si>
  <si>
    <t>구매물류팀 저장품 재고 감춤 시스템 구축</t>
  </si>
  <si>
    <t>제안시스템 재구축 투자</t>
  </si>
  <si>
    <t>정음[Global] 6 EA (훈민정음)</t>
  </si>
  <si>
    <t>기업용 PC구매 투자 (Windows7 Professional)</t>
  </si>
  <si>
    <t>Hyper - V (가상화 솔루션)</t>
  </si>
  <si>
    <t>VRTS Netback up</t>
  </si>
  <si>
    <t>Auto Cad Inventor 2011 AIP 구매</t>
  </si>
  <si>
    <t>Instrument Interface System</t>
  </si>
  <si>
    <t>통합물류 시스템 구축</t>
  </si>
  <si>
    <t>PC 통합관리 Solution 구축</t>
  </si>
  <si>
    <t>전사 문서관리 솔루션</t>
  </si>
  <si>
    <t>한컴오피스 한글 2010</t>
  </si>
  <si>
    <t>문서보안(DRM) UPGRADE</t>
  </si>
  <si>
    <t>업무용 파일 변환 S/W(PDF Pro 4.5)</t>
  </si>
  <si>
    <t>AutoCAD LT 2012 FPP</t>
  </si>
  <si>
    <t>Acrobat X Pro FPP</t>
  </si>
  <si>
    <t>한글 2010 FPP</t>
  </si>
  <si>
    <t>통합 서버 운영 Infra 및 Bakcup구축</t>
  </si>
  <si>
    <t>한컴오피스 한글 SE 2010 Open 라이센스</t>
  </si>
  <si>
    <t>Auto CAD LT 2012 w/SUB</t>
  </si>
  <si>
    <t>사내 SNS(씨유 톡) Application</t>
  </si>
  <si>
    <t>모바일 문서탐색 Solution</t>
  </si>
  <si>
    <t>계근대 Interface(차량번호인식시스템용)</t>
  </si>
  <si>
    <t>통합인증시스템(Single Sign On)</t>
  </si>
  <si>
    <t>그룹 모바일 오피스 그룹웨어 인터페이스</t>
  </si>
  <si>
    <t>Vidyo Install  Licenses(화상회의시스템)</t>
  </si>
  <si>
    <t>채용시스템 고도화 Web Logic 설치</t>
  </si>
  <si>
    <t>인사 다면평가 시스템 고도화</t>
  </si>
  <si>
    <t>측정분석용 시스템 LAS</t>
  </si>
  <si>
    <t>한글 라이센스</t>
  </si>
  <si>
    <t>AutoCAD 2012LT 구매 및 버전 통합 Upgrade</t>
  </si>
  <si>
    <t>통합 매입 관리 시스템</t>
  </si>
  <si>
    <t>업무용 소프트웨어 구매</t>
  </si>
  <si>
    <t>무전표 시스템</t>
  </si>
  <si>
    <t>한컴오피스 라이센스 2010 S/E Open 라이선스 Level B</t>
  </si>
  <si>
    <t>RT-PIS Upgrade 구축</t>
  </si>
  <si>
    <t>DB암호화 시스템</t>
  </si>
  <si>
    <t>서버보안 시스템</t>
  </si>
  <si>
    <t>업무 Portal 구축</t>
  </si>
  <si>
    <t>통합 결재 솔루션 도입</t>
  </si>
  <si>
    <t>보안 Web 파일서버</t>
  </si>
  <si>
    <t>한글2010</t>
  </si>
  <si>
    <t>AutoCAD 2013 LT</t>
  </si>
  <si>
    <t>AutoCAD 2005LT Upgrade</t>
  </si>
  <si>
    <t>LAS 추가 구매</t>
  </si>
  <si>
    <t>서버 백업 라이선스 증설</t>
  </si>
  <si>
    <t>원가 결산 시스템 개선</t>
  </si>
  <si>
    <t>법률자문 시스템</t>
  </si>
  <si>
    <t>중문 홈페이지 구축</t>
  </si>
  <si>
    <t>SAP License 구매</t>
  </si>
  <si>
    <t>Plant 설계 및 회귀 분석 프로그램</t>
  </si>
  <si>
    <t>모바일 설비점검 시스템 구축</t>
  </si>
  <si>
    <t>데스크톱 가상화 Pilot  S/W</t>
  </si>
  <si>
    <t>SRM Upgrade S/W</t>
  </si>
  <si>
    <t>AutoCAD 2013Lt</t>
  </si>
  <si>
    <t>Origin 9</t>
  </si>
  <si>
    <t>백업 업그레이드 및 증설</t>
  </si>
  <si>
    <t>AutoCAD</t>
  </si>
  <si>
    <t>PSA 관리 RF-ID 시스템</t>
  </si>
  <si>
    <t>한컴오피스 한/글 2010 SE+ Open 라이선스 Level B</t>
  </si>
  <si>
    <t>노동조합 홈페이지 Renewal</t>
  </si>
  <si>
    <t>장애인 차별 금지법 대응 Homepage 개선</t>
  </si>
  <si>
    <t>투자관리를 위한 품의서 개선</t>
  </si>
  <si>
    <t>문서 보안 강화 솔루션</t>
  </si>
  <si>
    <t>개인정보보호 체계 확대 투자</t>
  </si>
  <si>
    <t>통계 소프트웨어 미니탭</t>
  </si>
  <si>
    <t>수입통관 시스템</t>
  </si>
  <si>
    <t>AutoCAD 2014LT</t>
  </si>
  <si>
    <t>Minitab 17</t>
  </si>
  <si>
    <t>DB고도화_SW 및 개발비</t>
  </si>
  <si>
    <t>모바일 프레임워크(mFinity)</t>
  </si>
  <si>
    <t>KM기반 시스템 라이선스</t>
  </si>
  <si>
    <t>출입관리 안전동영상</t>
  </si>
  <si>
    <t>PC 가상화  S/W</t>
  </si>
  <si>
    <t>무선 인증 라이선스 보완</t>
  </si>
  <si>
    <t>출입관리시스템 추가 기능</t>
  </si>
  <si>
    <t>해외제련소 DB 시스템 개선</t>
  </si>
  <si>
    <t>미니탭 17 업그레이드</t>
  </si>
  <si>
    <t>환경보건 시스템 구축</t>
  </si>
  <si>
    <t>도면관리시스템 Upgrade</t>
  </si>
  <si>
    <t>출입관리시스템</t>
  </si>
  <si>
    <t>시약관리 시스템</t>
  </si>
  <si>
    <t>자산관리솔루션 라이선스</t>
  </si>
  <si>
    <t>PC가상화 Upgrade</t>
  </si>
  <si>
    <t>IT_LAS 이전 설치 및 2 Copy</t>
  </si>
  <si>
    <t>안전 시스템 구축</t>
  </si>
  <si>
    <t>IT_Smart Smelting Pilot (MDW)</t>
  </si>
  <si>
    <t>IT_통합 Oracle DB Upgrade</t>
  </si>
  <si>
    <t>IT_무전표 Migration 및 DRM API 연동</t>
  </si>
  <si>
    <t>IT_내부통제 시스템</t>
  </si>
  <si>
    <t>IT_Web하드 라이선스 추가</t>
  </si>
  <si>
    <t>IT_ SAP ERP License 구매</t>
  </si>
  <si>
    <t>IT_BI 활용 개선</t>
  </si>
  <si>
    <t>IT_EAI 시스템</t>
  </si>
  <si>
    <t>IT_PMS 구축</t>
  </si>
  <si>
    <t>IT_홈페이지부분개편</t>
  </si>
  <si>
    <t>IT_출입관리시스템 반입반출 기능 개선</t>
  </si>
  <si>
    <t>IT_배차 및 출하관리 시스템 웹호환성 개선</t>
  </si>
  <si>
    <t>IT_계약서관리 시스템 보완</t>
  </si>
  <si>
    <t>IT_PSA RF-ID 라이선스</t>
  </si>
  <si>
    <t>IT_DB접근제어_소프트웨어</t>
  </si>
  <si>
    <t>IT_DB암호화_소프트웨어</t>
  </si>
  <si>
    <t>IT_서버보안_소프트웨어</t>
  </si>
  <si>
    <t>IT_통합분석로그_소프트웨어</t>
  </si>
  <si>
    <t>IT_SAP License 구매(16년)</t>
  </si>
  <si>
    <t>IT_MS Project 2016(기술팀 사용)</t>
  </si>
  <si>
    <t>IT_온실가스/에너지 시스템 구축</t>
  </si>
  <si>
    <t>XRD(X-ray Diffraction) S/W</t>
  </si>
  <si>
    <t>IT_구매시스템고도화</t>
  </si>
  <si>
    <t>IT_Contool Server Upgrade License</t>
  </si>
  <si>
    <t>IT_신규설비관리시스템(MAXIMO)</t>
  </si>
  <si>
    <t>비밀번호일방향암호화 적용</t>
  </si>
  <si>
    <t>Multicrystlline wafer Algorithm package 소프트웨어</t>
  </si>
  <si>
    <t>시스템 백업 라이선스 증설</t>
  </si>
  <si>
    <t>화상회의솔루션(vidyo)라이선스</t>
  </si>
  <si>
    <t>방화벽 유해사이트 차단기능 추가</t>
  </si>
  <si>
    <t>공무팀 MS Project 2016 구매 완료</t>
  </si>
  <si>
    <t>설비관리 시스템 추가 개발</t>
  </si>
  <si>
    <t>과제제안 시스템 개선</t>
  </si>
  <si>
    <t>Lead Time Monitoring System(Bar Code System)</t>
  </si>
  <si>
    <t>ERP Upgrade_본사</t>
  </si>
  <si>
    <t>SysCAD software</t>
  </si>
  <si>
    <t>근태관리 Solution</t>
  </si>
  <si>
    <t>설비관리 System(Maximo) 개선</t>
  </si>
  <si>
    <t>SketchUP Pro 2018</t>
  </si>
  <si>
    <t>e-Voucher 시스템 DRM 적용</t>
  </si>
  <si>
    <t>e-Voucher EAI 연계</t>
  </si>
  <si>
    <t>피복관리 기능 개발</t>
  </si>
  <si>
    <t>RPA(Robotics Process Automation) 도입_온산</t>
  </si>
  <si>
    <t>MS Office VISIO</t>
  </si>
  <si>
    <t>Minitab 18</t>
  </si>
  <si>
    <t>SysCAD License</t>
  </si>
  <si>
    <t xml:space="preserve"> e-voucher 시스템</t>
  </si>
  <si>
    <t>RPA 도입 투자</t>
  </si>
  <si>
    <t>FactSage S/W</t>
  </si>
  <si>
    <t>S/W : MS-SQL 라이선스</t>
  </si>
  <si>
    <t>[ODS]안전교육 컨텐츠 Upgrade 및 사전 안전교육 체계</t>
  </si>
  <si>
    <t>논문시스템 구축</t>
  </si>
  <si>
    <t>ODS S/W</t>
  </si>
  <si>
    <t>[MES] 외부시험성적서 구축</t>
  </si>
  <si>
    <t>Success Factor 기능직 평가 조정 구축</t>
  </si>
  <si>
    <t>AutoCAD LT</t>
  </si>
  <si>
    <t>한글2020</t>
  </si>
  <si>
    <t>한컴오피스2020</t>
  </si>
  <si>
    <t>LAS License 2 Copy</t>
  </si>
  <si>
    <t>IT_WeLS 인장신청 모바일 결재 시스템</t>
  </si>
  <si>
    <t>(ODS)MES I/F 개발 (EAI)</t>
  </si>
  <si>
    <t>IT_설비관리시스템 MES 연계 개선</t>
  </si>
  <si>
    <t>IT_Standard MES(제조)</t>
  </si>
  <si>
    <t>IT_Standard MES_BDP(제조)</t>
  </si>
  <si>
    <t>IT_EAI 서버 메모리 증설</t>
  </si>
  <si>
    <t>IT_연구관리 PMS</t>
  </si>
  <si>
    <t>IT_[ODS]운송 관제 시스템 구축</t>
  </si>
  <si>
    <t>Slime Lot 추적용 산업용 PDA App.</t>
  </si>
  <si>
    <t>Slime Lot 추적 MES Program</t>
  </si>
  <si>
    <t>SysCAD Dynamic License</t>
  </si>
  <si>
    <t>IT_구매시스템 추가 개발(중장비 임대 관리)</t>
  </si>
  <si>
    <t>IT_[ODS]원료 최적 조합 시스템(1단계)</t>
  </si>
  <si>
    <t>IT_본사 무선네트위크 장비</t>
  </si>
  <si>
    <t>IT_구매시스템</t>
  </si>
  <si>
    <t>IT_행낭(파우치) 관리시스템_온산</t>
  </si>
  <si>
    <t>IT_무인계근 시스템 kios 개선</t>
  </si>
  <si>
    <t>IT_ MES Visivility 정합성 개선</t>
  </si>
  <si>
    <t>IT_Virtual Tag PosFrame 로직 개발</t>
  </si>
  <si>
    <t>IT_Information Link 및 Data Mart 추가 구성</t>
  </si>
  <si>
    <t>IT_사람+AI업무혁신 수입신고필증 전송구축</t>
  </si>
  <si>
    <t>IT_BDP Spotfire DRM API</t>
  </si>
  <si>
    <t>고정설비 3D 도면 도입 (BIMS)</t>
  </si>
  <si>
    <t>IT_Big Data 플랫폼 구축(온산)</t>
  </si>
  <si>
    <t>판교 화상장비 펌웨어 업그레이드</t>
  </si>
  <si>
    <t>IT_설비관리시스템 기능개선</t>
  </si>
  <si>
    <t>IT_웹에디터(라이센스 구입)</t>
  </si>
  <si>
    <t>LS-NIKKO ERP SYSTEM(서울)</t>
  </si>
  <si>
    <t>Internet Homepage</t>
  </si>
  <si>
    <t>내부회계관리SYSTEM S/W</t>
  </si>
  <si>
    <t>업무팀 아래한글</t>
  </si>
  <si>
    <t>아래한글 (업무팀)</t>
  </si>
  <si>
    <t>ERP TR Module 보완_Legacy System 보완</t>
  </si>
  <si>
    <t>Legacy CBO (상품선물,관세환급 시스템)</t>
  </si>
  <si>
    <t>품질보증서 위변조 방지시스템(귀금속영업팀)</t>
  </si>
  <si>
    <t>서울사무소 무선 네트워크 개선 투자</t>
  </si>
  <si>
    <t>교육포탈 시스템</t>
  </si>
  <si>
    <t>R&amp;C상시관리시스템 DRM API</t>
  </si>
  <si>
    <t>경영정보시스템 개선 (BI고도화 관리)</t>
  </si>
  <si>
    <t>원재료 시스템 Upgrade</t>
  </si>
  <si>
    <t>인사시스템 고도화</t>
  </si>
  <si>
    <t>R&amp;C 상시관리시스템 구축</t>
  </si>
  <si>
    <t>ERP Upgrade_서울</t>
  </si>
  <si>
    <t>내부정보유출방지(Web하드업그레이드)</t>
  </si>
  <si>
    <t>회의예약시스템</t>
  </si>
  <si>
    <t>수출입 EDI 표준문서 변경</t>
  </si>
  <si>
    <t>Success Factor 채용 모듈 內 SMS 기능 개발</t>
  </si>
  <si>
    <t>RPA(Robotics Process Automation) 도입_서울</t>
  </si>
  <si>
    <t>MS Project</t>
  </si>
  <si>
    <t>서울사무소 보안카드 발급기 프로그램 개발 수정</t>
  </si>
  <si>
    <t>주석시스템</t>
  </si>
  <si>
    <t>DM(Data Mart)고도화 투자</t>
  </si>
  <si>
    <t>MS Project 2019 라이선스</t>
  </si>
  <si>
    <t>RPA 개발(2019)</t>
  </si>
  <si>
    <t>사람,AI 협업 (RPA, OCR)</t>
  </si>
  <si>
    <t>PDF Pro 10 Copy</t>
  </si>
  <si>
    <t>IT_Standard MES(서울)</t>
  </si>
  <si>
    <t>IT_Standard MES_BDP(서울)</t>
  </si>
  <si>
    <t>IT_행낭(파우치) 관리시스템_서울</t>
  </si>
  <si>
    <t>IT_경영정보시스템 구축</t>
  </si>
  <si>
    <t>IT_Big Data 플랫폼 구축(서울)</t>
  </si>
  <si>
    <t>IT_[사람+AI업무혁신] 무역 EDI 구축</t>
  </si>
  <si>
    <t>3. 투자부동산</t>
  </si>
  <si>
    <t>건      물</t>
  </si>
  <si>
    <t>본관동(OSTT_산암리 38번지)</t>
  </si>
  <si>
    <t>MCC동(OSTT_산암리 38번지)</t>
  </si>
  <si>
    <t>경비동(OSTT_산암리 38번지)</t>
  </si>
  <si>
    <t>합      계</t>
  </si>
  <si>
    <t>건물</t>
    <phoneticPr fontId="1" type="noConversion"/>
  </si>
  <si>
    <t>구축물</t>
    <phoneticPr fontId="1" type="noConversion"/>
  </si>
  <si>
    <t>기계장치</t>
    <phoneticPr fontId="1" type="noConversion"/>
  </si>
  <si>
    <t>차량운반구</t>
    <phoneticPr fontId="1" type="noConversion"/>
  </si>
  <si>
    <t>공구와기구</t>
    <phoneticPr fontId="1" type="noConversion"/>
  </si>
  <si>
    <t>비품</t>
    <phoneticPr fontId="1" type="noConversion"/>
  </si>
  <si>
    <t>투자부동산</t>
    <phoneticPr fontId="1" type="noConversion"/>
  </si>
  <si>
    <t>취득가액</t>
    <phoneticPr fontId="1" type="noConversion"/>
  </si>
  <si>
    <t>당기상각액</t>
    <phoneticPr fontId="1" type="noConversion"/>
  </si>
  <si>
    <t>상각누계액</t>
    <phoneticPr fontId="1" type="noConversion"/>
  </si>
  <si>
    <t>손상</t>
    <phoneticPr fontId="1" type="noConversion"/>
  </si>
  <si>
    <t>국고보조금</t>
    <phoneticPr fontId="1" type="noConversion"/>
  </si>
  <si>
    <t>반기말장부가액</t>
    <phoneticPr fontId="1" type="noConversion"/>
  </si>
  <si>
    <t>향후 발생하지 않는 것으로 가정</t>
  </si>
  <si>
    <t>2021 2H는 2021 1H 비율 유지 및 2022년 이후 과거 평균 수준의 비율 유지 가정</t>
    <phoneticPr fontId="1" type="noConversion"/>
  </si>
  <si>
    <t>2021 2H</t>
    <phoneticPr fontId="1" type="noConversion"/>
  </si>
  <si>
    <t>Libor 금리 향후 변동 예상치(~23년까지의 금융기관 예측치를 사용하였으며, 2024년 이후에는 2023년 변동폭과 동일하게 지속 상승하는 것으로 가정)에 따른 선형회귀분석을 통한 대상회사 금리 추정치 적용</t>
    <phoneticPr fontId="1" type="noConversion"/>
  </si>
  <si>
    <t>FVOCI 금융자산</t>
  </si>
  <si>
    <t>FVPL 금융자산</t>
  </si>
  <si>
    <t>소속</t>
  </si>
  <si>
    <t>원료부문</t>
  </si>
  <si>
    <t>지원부문</t>
  </si>
  <si>
    <t>인사팀</t>
  </si>
  <si>
    <t>노동조합</t>
  </si>
  <si>
    <t>구매물류부문</t>
  </si>
  <si>
    <t>임원</t>
  </si>
  <si>
    <t>평균인원수</t>
  </si>
  <si>
    <t>급여계산영역</t>
  </si>
  <si>
    <t>급여사유</t>
  </si>
  <si>
    <t>급여사유명</t>
  </si>
  <si>
    <t>지급일</t>
  </si>
  <si>
    <t>부서</t>
  </si>
  <si>
    <t>직급/명칭</t>
  </si>
  <si>
    <t>임원여부</t>
  </si>
  <si>
    <t>사원번호</t>
  </si>
  <si>
    <t>사원ID</t>
  </si>
  <si>
    <t>성명</t>
  </si>
  <si>
    <t>코스트센터</t>
  </si>
  <si>
    <t>코스트센터명</t>
  </si>
  <si>
    <t>그룹입사일</t>
  </si>
  <si>
    <t>회사입사일</t>
  </si>
  <si>
    <t>시수</t>
  </si>
  <si>
    <t>지급율</t>
  </si>
  <si>
    <t>기본급</t>
  </si>
  <si>
    <t>직급수당</t>
  </si>
  <si>
    <t>직책수당</t>
  </si>
  <si>
    <t>역할급</t>
  </si>
  <si>
    <t>조정수당</t>
  </si>
  <si>
    <t>특별조정수당</t>
  </si>
  <si>
    <t>가족수당</t>
  </si>
  <si>
    <t>자격/면허수당</t>
  </si>
  <si>
    <t>근속수당</t>
  </si>
  <si>
    <t>전임수당</t>
  </si>
  <si>
    <t>리더쉽수당</t>
  </si>
  <si>
    <t>담당수당</t>
  </si>
  <si>
    <t>고정OT</t>
  </si>
  <si>
    <t>교대OT</t>
  </si>
  <si>
    <t>연장수당</t>
  </si>
  <si>
    <t>주휴수당</t>
  </si>
  <si>
    <t>주휴OT수당</t>
  </si>
  <si>
    <t>공휴수당</t>
  </si>
  <si>
    <t>공휴OT수당</t>
  </si>
  <si>
    <t>야근수당</t>
  </si>
  <si>
    <t>야식대</t>
  </si>
  <si>
    <t>연차보상</t>
  </si>
  <si>
    <t>의료비지원</t>
  </si>
  <si>
    <t>학자금</t>
  </si>
  <si>
    <t>개선사례</t>
  </si>
  <si>
    <t>사내강사료</t>
  </si>
  <si>
    <t>해외파견세금보전</t>
  </si>
  <si>
    <t>성과급(미지급)</t>
  </si>
  <si>
    <t>통상임금</t>
  </si>
  <si>
    <t>소득총액</t>
  </si>
  <si>
    <t>지급총액</t>
  </si>
  <si>
    <t>근로합산</t>
  </si>
  <si>
    <t>고정OT(시간)</t>
  </si>
  <si>
    <t>교대OT(시간)</t>
  </si>
  <si>
    <t>연장수당(시간)</t>
  </si>
  <si>
    <t>주휴수당(시간)</t>
  </si>
  <si>
    <t>주휴OT수당(시간)</t>
  </si>
  <si>
    <t>공휴수당(시간)</t>
  </si>
  <si>
    <t>공휴OT수당(시간)</t>
  </si>
  <si>
    <t>야근수당(시간)</t>
  </si>
  <si>
    <t>야식대(시간)</t>
  </si>
  <si>
    <t>연차보상(시간)</t>
  </si>
  <si>
    <t>소득세</t>
  </si>
  <si>
    <t>주민세</t>
  </si>
  <si>
    <t>소득세(정산)</t>
  </si>
  <si>
    <t>주민세(정산)</t>
  </si>
  <si>
    <t>건강보험</t>
  </si>
  <si>
    <t>건보이자</t>
  </si>
  <si>
    <t>국민연금</t>
  </si>
  <si>
    <t>고용보험</t>
  </si>
  <si>
    <t>채권가압류</t>
  </si>
  <si>
    <t>양육비채권</t>
  </si>
  <si>
    <t>사우회상환</t>
  </si>
  <si>
    <t>사우회이자</t>
  </si>
  <si>
    <t>사우회출자</t>
  </si>
  <si>
    <t>주택구입자금원금상환</t>
  </si>
  <si>
    <t>주택구입자금이자상환</t>
  </si>
  <si>
    <t>주택전세자금원금상환</t>
  </si>
  <si>
    <t>주택전세자금이자상환</t>
  </si>
  <si>
    <t>생활안정자금원금상환</t>
  </si>
  <si>
    <t>생활안정자금이자상환</t>
  </si>
  <si>
    <t>노조회비</t>
  </si>
  <si>
    <t>수소전지사용료</t>
  </si>
  <si>
    <t>전기세</t>
  </si>
  <si>
    <t>간부경조</t>
  </si>
  <si>
    <t>사택관리비</t>
  </si>
  <si>
    <t>우수리</t>
  </si>
  <si>
    <t>수도세</t>
  </si>
  <si>
    <t>어학공제</t>
  </si>
  <si>
    <t>금연공제</t>
  </si>
  <si>
    <t>회비공제</t>
  </si>
  <si>
    <t>매점공제</t>
  </si>
  <si>
    <t>독신자식대</t>
  </si>
  <si>
    <t>독감접종비</t>
  </si>
  <si>
    <t>종합검진비 추가</t>
  </si>
  <si>
    <t>구충제</t>
  </si>
  <si>
    <t>성금</t>
  </si>
  <si>
    <t>가스전기추가사용료</t>
  </si>
  <si>
    <t>미래원수영장스넥</t>
  </si>
  <si>
    <t>학자금대출상환금 원천징수</t>
  </si>
  <si>
    <t>해외파견공제</t>
  </si>
  <si>
    <t>기타소득세</t>
  </si>
  <si>
    <t>기타주민세</t>
  </si>
  <si>
    <t>경조금공제</t>
  </si>
  <si>
    <t>해외파견가정산</t>
  </si>
  <si>
    <t>스포츠회</t>
  </si>
  <si>
    <t>서울산악회</t>
  </si>
  <si>
    <t>산악회</t>
  </si>
  <si>
    <t>원예사랑</t>
  </si>
  <si>
    <t>야구회</t>
  </si>
  <si>
    <t>축구회</t>
  </si>
  <si>
    <t>테스트회</t>
  </si>
  <si>
    <t>기우회</t>
  </si>
  <si>
    <t>족구회</t>
  </si>
  <si>
    <t>육상회</t>
  </si>
  <si>
    <t>사진회</t>
  </si>
  <si>
    <t>수석회</t>
  </si>
  <si>
    <t>스킨스쿠버</t>
  </si>
  <si>
    <t>수영회</t>
  </si>
  <si>
    <t>배드민턴회</t>
  </si>
  <si>
    <t>자전거회</t>
  </si>
  <si>
    <t>기지급 공제</t>
  </si>
  <si>
    <t>공제총액</t>
  </si>
  <si>
    <t>차감지급액</t>
  </si>
  <si>
    <t>20</t>
  </si>
  <si>
    <t>정기급여</t>
  </si>
  <si>
    <t>공동대표이사(부회장)</t>
  </si>
  <si>
    <t>부회장 / 부회장</t>
  </si>
  <si>
    <t>10109</t>
  </si>
  <si>
    <t>카모오히데노리</t>
  </si>
  <si>
    <t>0000008902</t>
  </si>
  <si>
    <t>부회장</t>
  </si>
  <si>
    <t>10</t>
  </si>
  <si>
    <t>10097</t>
  </si>
  <si>
    <t>요시미토시히코</t>
  </si>
  <si>
    <t>0000008209</t>
  </si>
  <si>
    <t>상담역</t>
  </si>
  <si>
    <t>전무 / 전무</t>
  </si>
  <si>
    <t>10105</t>
  </si>
  <si>
    <t>마츠모토카츠히사</t>
  </si>
  <si>
    <t>9300</t>
  </si>
  <si>
    <t>임원상여</t>
  </si>
  <si>
    <t>0009</t>
  </si>
  <si>
    <t>퇴직금</t>
  </si>
  <si>
    <t>9000</t>
  </si>
  <si>
    <t>추가분</t>
  </si>
  <si>
    <t>9150</t>
  </si>
  <si>
    <t>임원성과급</t>
  </si>
  <si>
    <t>9153</t>
  </si>
  <si>
    <t>임원성과급(특별)</t>
  </si>
  <si>
    <t>9152</t>
  </si>
  <si>
    <t>임원성과급(장기)</t>
  </si>
  <si>
    <t>9151</t>
  </si>
  <si>
    <t>임원성과급(단기)</t>
  </si>
  <si>
    <t>Y</t>
  </si>
  <si>
    <t>일반임직원</t>
    <phoneticPr fontId="1" type="noConversion"/>
  </si>
  <si>
    <t>급여</t>
    <phoneticPr fontId="1" type="noConversion"/>
  </si>
  <si>
    <t>상여</t>
    <phoneticPr fontId="1" type="noConversion"/>
  </si>
  <si>
    <t>공동대표이사(부회장) 및 상담역(전무) 인건비</t>
    <phoneticPr fontId="1" type="noConversion"/>
  </si>
  <si>
    <t>귀속년</t>
    <phoneticPr fontId="1" type="noConversion"/>
  </si>
  <si>
    <t>귀속월</t>
    <phoneticPr fontId="1" type="noConversion"/>
  </si>
  <si>
    <t>인당급여</t>
    <phoneticPr fontId="1" type="noConversion"/>
  </si>
  <si>
    <t>평균인원수</t>
    <phoneticPr fontId="1" type="noConversion"/>
  </si>
  <si>
    <t>급여 대비 상여</t>
    <phoneticPr fontId="1" type="noConversion"/>
  </si>
  <si>
    <t>일본파견임원</t>
    <phoneticPr fontId="1" type="noConversion"/>
  </si>
  <si>
    <t>인건비 가정 - 상여, 퇴직급여, 복리후생비</t>
    <phoneticPr fontId="1" type="noConversion"/>
  </si>
  <si>
    <t>인건비 가정 - 일본 파견 임원 인건비</t>
    <phoneticPr fontId="1" type="noConversion"/>
  </si>
  <si>
    <t>(1) 과거 변동: 급여 및 상여는 고정비성 비용이며, 성과에 따라 성과급 지급. 퇴직급여는 퇴직 시 전액 인식</t>
    <phoneticPr fontId="1" type="noConversion"/>
  </si>
  <si>
    <t>민감도분석</t>
    <phoneticPr fontId="1" type="noConversion"/>
  </si>
  <si>
    <t>Silver소재</t>
    <phoneticPr fontId="1" type="noConversion"/>
  </si>
  <si>
    <t>비중%</t>
    <phoneticPr fontId="1" type="noConversion"/>
  </si>
  <si>
    <t>주요 손익 기여도 분석</t>
    <phoneticPr fontId="1" type="noConversion"/>
  </si>
  <si>
    <t>EIU 환율 전망</t>
    <phoneticPr fontId="1" type="noConversion"/>
  </si>
  <si>
    <t>선물환 환율 전망</t>
    <phoneticPr fontId="1" type="noConversion"/>
  </si>
  <si>
    <t>Region</t>
  </si>
  <si>
    <t>Asia</t>
  </si>
  <si>
    <t>Currency</t>
  </si>
  <si>
    <t>USDKRW</t>
  </si>
  <si>
    <t>9/28/21</t>
  </si>
  <si>
    <t>중간값</t>
  </si>
  <si>
    <t>--</t>
  </si>
  <si>
    <t>평균</t>
  </si>
  <si>
    <t>고</t>
  </si>
  <si>
    <t>저</t>
  </si>
  <si>
    <t>선물환</t>
  </si>
  <si>
    <t>Ebury</t>
  </si>
  <si>
    <t>09/27/21</t>
  </si>
  <si>
    <t>Morgan Stanley</t>
  </si>
  <si>
    <t>09/21/21</t>
  </si>
  <si>
    <t>Nomura Bank International</t>
  </si>
  <si>
    <t>09/16/21</t>
  </si>
  <si>
    <t>Scotiabank</t>
  </si>
  <si>
    <t>Barclays</t>
  </si>
  <si>
    <t>09/14/21</t>
  </si>
  <si>
    <t>PNC Financial</t>
  </si>
  <si>
    <t>Citigroup</t>
  </si>
  <si>
    <t>09/13/21</t>
  </si>
  <si>
    <t>Westpac Banking</t>
  </si>
  <si>
    <t>JPMorgan Chase</t>
  </si>
  <si>
    <t>09/10/21</t>
  </si>
  <si>
    <t>Skandinaviska Enskilda Banken</t>
  </si>
  <si>
    <t>09/08/21</t>
  </si>
  <si>
    <t>NAB/BNZ</t>
  </si>
  <si>
    <t>09/06/21</t>
  </si>
  <si>
    <t>MUFG</t>
  </si>
  <si>
    <t>09/03/21</t>
  </si>
  <si>
    <t>Commerzbank</t>
  </si>
  <si>
    <t>RBC Capital Markets</t>
  </si>
  <si>
    <t>09/02/21</t>
  </si>
  <si>
    <t>Mizuho Bank</t>
  </si>
  <si>
    <t>09/01/21</t>
  </si>
  <si>
    <t>Oversea-Chinese Banking Corp</t>
  </si>
  <si>
    <t>Prestige Economics LLC</t>
  </si>
  <si>
    <t>Australia &amp; New Zealand Banking Group</t>
  </si>
  <si>
    <t>08/31/21</t>
  </si>
  <si>
    <t>Credit Agricole CIB</t>
  </si>
  <si>
    <t>Silicon Valley Bank</t>
  </si>
  <si>
    <t>Wells Fargo</t>
  </si>
  <si>
    <t>08/27/21</t>
  </si>
  <si>
    <t>EIU환율전망</t>
    <phoneticPr fontId="1" type="noConversion"/>
  </si>
  <si>
    <t>(2) 미래 추정: 환율 전망기관 전망치 적용</t>
    <phoneticPr fontId="1" type="noConversion"/>
  </si>
  <si>
    <t>2021년이후 발생하지 아니함</t>
  </si>
  <si>
    <t>2021년이후 발생하지 아니함</t>
    <phoneticPr fontId="1" type="noConversion"/>
  </si>
  <si>
    <t>(2) 미래 추정: 2021년 이후 발생하지 아니함</t>
    <phoneticPr fontId="1" type="noConversion"/>
  </si>
  <si>
    <t>(2) 미래 추정: 2021년 이후 LS글로벌향 매출은 발생하지 아니함</t>
    <phoneticPr fontId="1" type="noConversion"/>
  </si>
  <si>
    <t>(2) 회사 설명에 따르면, 2021년 중 모든 매출은 LS글로벌을 통하지 않았으므로, 매출채권(기타) 잔액 또한 1월부터 즉시 증가하였을 것으로 판단되므로, 해당 회전율 적용</t>
    <phoneticPr fontId="1" type="noConversion"/>
  </si>
  <si>
    <t>NI</t>
    <phoneticPr fontId="1" type="noConversion"/>
  </si>
  <si>
    <t>BV</t>
    <phoneticPr fontId="1" type="noConversion"/>
  </si>
  <si>
    <t xml:space="preserve">Hindalco Industries Limited </t>
    <phoneticPr fontId="1" type="noConversion"/>
  </si>
  <si>
    <t>2021년 9m</t>
    <phoneticPr fontId="1" type="noConversion"/>
  </si>
  <si>
    <t>연결재무상태표</t>
    <phoneticPr fontId="44" type="noConversion"/>
  </si>
  <si>
    <t>C01100 (LS니꼬동제련)</t>
    <phoneticPr fontId="44" type="noConversion"/>
  </si>
  <si>
    <t>C02100 (㈜토리컴)</t>
    <phoneticPr fontId="44" type="noConversion"/>
  </si>
  <si>
    <t>C07100 (㈜CS-LINE)</t>
    <phoneticPr fontId="44" type="noConversion"/>
  </si>
  <si>
    <t>자산</t>
    <phoneticPr fontId="44" type="noConversion"/>
  </si>
  <si>
    <t>유동자산</t>
    <phoneticPr fontId="44" type="noConversion"/>
  </si>
  <si>
    <t>현금및현금성자산</t>
    <phoneticPr fontId="112" type="noConversion"/>
  </si>
  <si>
    <t>매출채권 및 기타채권</t>
    <phoneticPr fontId="44" type="noConversion"/>
  </si>
  <si>
    <t>매출채권</t>
    <phoneticPr fontId="44" type="noConversion"/>
  </si>
  <si>
    <t>(대손충당금:부도어음)</t>
    <phoneticPr fontId="44" type="noConversion"/>
  </si>
  <si>
    <t>단기금융상품</t>
    <phoneticPr fontId="44" type="noConversion"/>
  </si>
  <si>
    <t>장기미수수익</t>
    <phoneticPr fontId="1" type="noConversion"/>
  </si>
  <si>
    <t>(유동성)매매목적파생상품자산:금융</t>
    <phoneticPr fontId="44" type="noConversion"/>
  </si>
  <si>
    <t>(유동성))매매목적파생상품자산:상품</t>
    <phoneticPr fontId="44" type="noConversion"/>
  </si>
  <si>
    <t>(유동성)(매도가능증권손상차손누계액)</t>
    <phoneticPr fontId="44" type="noConversion"/>
  </si>
  <si>
    <t>(유동성)(만기보유증권손상차손누계액)</t>
    <phoneticPr fontId="44" type="noConversion"/>
  </si>
  <si>
    <t>(유동성)공정가치위험회피파생상품자산:금융</t>
    <phoneticPr fontId="44" type="noConversion"/>
  </si>
  <si>
    <t>(유동성)공정가치위험회피파생상품자산:상품</t>
    <phoneticPr fontId="44" type="noConversion"/>
  </si>
  <si>
    <t>(유동성)공정가치위험회피파생상품자산:확정계약</t>
    <phoneticPr fontId="44" type="noConversion"/>
  </si>
  <si>
    <t>(유동성)현금흐름위험회피파생상품자산:금융</t>
    <phoneticPr fontId="44" type="noConversion"/>
  </si>
  <si>
    <t>(유동성)현금흐름위험회피파생상품자산:상품</t>
    <phoneticPr fontId="44" type="noConversion"/>
  </si>
  <si>
    <t xml:space="preserve">기타의재고자산 </t>
    <phoneticPr fontId="44" type="noConversion"/>
  </si>
  <si>
    <t>(유동성)금융리스채권</t>
    <phoneticPr fontId="44" type="noConversion"/>
  </si>
  <si>
    <t>(유동성)금융리스채권_대손충당금</t>
    <phoneticPr fontId="44" type="noConversion"/>
  </si>
  <si>
    <t>(유동성)금융리스채권_현재가치할인차금</t>
    <phoneticPr fontId="44" type="noConversion"/>
  </si>
  <si>
    <t>(유동성)(미청구공사대손충당금)</t>
    <phoneticPr fontId="44" type="noConversion"/>
  </si>
  <si>
    <t>(유동성)(공사손실충당금)</t>
    <phoneticPr fontId="44" type="noConversion"/>
  </si>
  <si>
    <t>(선급금현재가치할인차금)</t>
    <phoneticPr fontId="44" type="noConversion"/>
  </si>
  <si>
    <t>(유동성)선급비용</t>
    <phoneticPr fontId="44" type="noConversion"/>
  </si>
  <si>
    <t>(유동성)선급비용_토지사용권</t>
    <phoneticPr fontId="44" type="noConversion"/>
  </si>
  <si>
    <t>기타 당좌자산</t>
    <phoneticPr fontId="44" type="noConversion"/>
  </si>
  <si>
    <t>비유동자산</t>
    <phoneticPr fontId="44" type="noConversion"/>
  </si>
  <si>
    <t>공사채권</t>
    <phoneticPr fontId="44" type="noConversion"/>
  </si>
  <si>
    <t>대손충당금:공사채권</t>
    <phoneticPr fontId="44" type="noConversion"/>
  </si>
  <si>
    <t>(장기미수금현재가치할인차금)</t>
    <phoneticPr fontId="44" type="noConversion"/>
  </si>
  <si>
    <t>보증금</t>
    <phoneticPr fontId="44" type="noConversion"/>
  </si>
  <si>
    <t>(보증금대손충당금)</t>
    <phoneticPr fontId="44" type="noConversion"/>
  </si>
  <si>
    <t>(보증금현재가치할인차금)</t>
    <phoneticPr fontId="44" type="noConversion"/>
  </si>
  <si>
    <t>매매목적파생상품자산-비유동</t>
    <phoneticPr fontId="44" type="noConversion"/>
  </si>
  <si>
    <t>매매목적파생상품자산:금융</t>
    <phoneticPr fontId="44" type="noConversion"/>
  </si>
  <si>
    <t>매매목적파생상품자산:상품</t>
    <phoneticPr fontId="44" type="noConversion"/>
  </si>
  <si>
    <t>기타포괄손익-공정가치금융자산(FVOCI)</t>
    <phoneticPr fontId="1" type="noConversion"/>
  </si>
  <si>
    <t>(매도가능증권손상차손누계액)</t>
    <phoneticPr fontId="44" type="noConversion"/>
  </si>
  <si>
    <t>당기손익-공정가치금융자산(FVPL)</t>
    <phoneticPr fontId="1" type="noConversion"/>
  </si>
  <si>
    <t>(만기보유증권손상차손누계액)</t>
    <phoneticPr fontId="44" type="noConversion"/>
  </si>
  <si>
    <t>공정가치위험회피파생상품자산:금융</t>
    <phoneticPr fontId="44" type="noConversion"/>
  </si>
  <si>
    <t>공정가치위험회피파생상품자산:상품</t>
    <phoneticPr fontId="44" type="noConversion"/>
  </si>
  <si>
    <t>공정가치위험회피파생상품자산:확정계약</t>
    <phoneticPr fontId="44" type="noConversion"/>
  </si>
  <si>
    <t>현금흐름위험회피파생상품자산:금융</t>
    <phoneticPr fontId="44" type="noConversion"/>
  </si>
  <si>
    <t>현금흐름위험회피파생상품자산:상품</t>
    <phoneticPr fontId="44" type="noConversion"/>
  </si>
  <si>
    <t>(공구와기구감가상각누계액)</t>
    <phoneticPr fontId="44" type="noConversion"/>
  </si>
  <si>
    <t>(공구와기구국고보조금)'</t>
    <phoneticPr fontId="44" type="noConversion"/>
  </si>
  <si>
    <t>(금형감가상각누계액)</t>
    <phoneticPr fontId="112" type="noConversion"/>
  </si>
  <si>
    <t>(금형국고보조금)</t>
    <phoneticPr fontId="44" type="noConversion"/>
  </si>
  <si>
    <t>건설중인유형자산</t>
    <phoneticPr fontId="44" type="noConversion"/>
  </si>
  <si>
    <t>(건설중인유형자산손상차손누계액)</t>
    <phoneticPr fontId="44" type="noConversion"/>
  </si>
  <si>
    <t>(건설중인유형자산국고보조금)</t>
    <phoneticPr fontId="44" type="noConversion"/>
  </si>
  <si>
    <t>(기타유형자산국고보조금)</t>
    <phoneticPr fontId="44" type="noConversion"/>
  </si>
  <si>
    <t>(투자부동산-건물감가상각누계액)</t>
    <phoneticPr fontId="44" type="noConversion"/>
  </si>
  <si>
    <t>(투자부동산-건물손상차손누계액)</t>
    <phoneticPr fontId="44" type="noConversion"/>
  </si>
  <si>
    <t>(투자부동산-건물정부보조금등)</t>
    <phoneticPr fontId="44" type="noConversion"/>
  </si>
  <si>
    <t>(특허권손상차손누계액)</t>
    <phoneticPr fontId="44" type="noConversion"/>
  </si>
  <si>
    <t>(특허권국고보조금)</t>
    <phoneticPr fontId="44" type="noConversion"/>
  </si>
  <si>
    <t>(실용신안권손상차손누계액)</t>
    <phoneticPr fontId="44" type="noConversion"/>
  </si>
  <si>
    <t>(실용신안권국고보조금)</t>
    <phoneticPr fontId="44" type="noConversion"/>
  </si>
  <si>
    <t>(상표권손상차손누계액)</t>
    <phoneticPr fontId="44" type="noConversion"/>
  </si>
  <si>
    <t>(상표권국고보조금)</t>
    <phoneticPr fontId="44" type="noConversion"/>
  </si>
  <si>
    <t>(의장권손상차손누계액)</t>
    <phoneticPr fontId="44" type="noConversion"/>
  </si>
  <si>
    <t>(의장권국고보조금)</t>
    <phoneticPr fontId="44" type="noConversion"/>
  </si>
  <si>
    <t>(소프트웨어손상차손누계액)</t>
    <phoneticPr fontId="44" type="noConversion"/>
  </si>
  <si>
    <t>(소프트웨어국고보조금)</t>
    <phoneticPr fontId="44" type="noConversion"/>
  </si>
  <si>
    <t>(영업권손상차손누계액)</t>
    <phoneticPr fontId="44" type="noConversion"/>
  </si>
  <si>
    <t>(개발비손상차손누계액)</t>
    <phoneticPr fontId="44" type="noConversion"/>
  </si>
  <si>
    <t>회원권</t>
    <phoneticPr fontId="44" type="noConversion"/>
  </si>
  <si>
    <t>(회원권손상차손누계액)</t>
    <phoneticPr fontId="44" type="noConversion"/>
  </si>
  <si>
    <t>회원권(비한정)</t>
    <phoneticPr fontId="44" type="noConversion"/>
  </si>
  <si>
    <t>(기타의무형자산손상차손누계액)</t>
    <phoneticPr fontId="44" type="noConversion"/>
  </si>
  <si>
    <t>(기타의무형자산국고보조금)</t>
    <phoneticPr fontId="44" type="noConversion"/>
  </si>
  <si>
    <t>(미청구공사대손충당금)</t>
    <phoneticPr fontId="44" type="noConversion"/>
  </si>
  <si>
    <t>부채</t>
    <phoneticPr fontId="44" type="noConversion"/>
  </si>
  <si>
    <t>유동부채</t>
    <phoneticPr fontId="44" type="noConversion"/>
  </si>
  <si>
    <t>(유동성)당기손익인식지정금융부채</t>
    <phoneticPr fontId="44" type="noConversion"/>
  </si>
  <si>
    <t>(유동성)매매목적파생상품부채:금융</t>
    <phoneticPr fontId="44" type="noConversion"/>
  </si>
  <si>
    <t>(유동성)매매목적파생상품부채:상품</t>
    <phoneticPr fontId="44" type="noConversion"/>
  </si>
  <si>
    <t>(유동성)공정가치위험회피파생상품부채:금융</t>
    <phoneticPr fontId="44" type="noConversion"/>
  </si>
  <si>
    <t>(유동성)공정가치위험회피파생상품부채:상품</t>
    <phoneticPr fontId="44" type="noConversion"/>
  </si>
  <si>
    <t>(유동성)공정가치위험회피파생상품부채:확정계약</t>
    <phoneticPr fontId="44" type="noConversion"/>
  </si>
  <si>
    <t>(유동성)현금흐름위험회피파생상품부채:금융</t>
    <phoneticPr fontId="44" type="noConversion"/>
  </si>
  <si>
    <t>(유동성)현금흐름위험회피파생상품부채:상품</t>
    <phoneticPr fontId="44" type="noConversion"/>
  </si>
  <si>
    <t>채권할인</t>
    <phoneticPr fontId="44" type="noConversion"/>
  </si>
  <si>
    <t>(유동성)탄소배출권충당부채</t>
    <phoneticPr fontId="1" type="noConversion"/>
  </si>
  <si>
    <t>(유동성)초과청구공사</t>
    <phoneticPr fontId="44" type="noConversion"/>
  </si>
  <si>
    <t>(유동성)공사손실충당금</t>
    <phoneticPr fontId="44" type="noConversion"/>
  </si>
  <si>
    <t>(유동성)미지급배당금</t>
    <phoneticPr fontId="44" type="noConversion"/>
  </si>
  <si>
    <t>장기임대보증금</t>
    <phoneticPr fontId="44" type="noConversion"/>
  </si>
  <si>
    <t>당기손익인식지정금융부채</t>
    <phoneticPr fontId="44" type="noConversion"/>
  </si>
  <si>
    <t>매매목적파생상품부채:금융</t>
    <phoneticPr fontId="44" type="noConversion"/>
  </si>
  <si>
    <t>매매목적파생상품부채:상품</t>
    <phoneticPr fontId="44" type="noConversion"/>
  </si>
  <si>
    <t>공정가치위험회피파생상품부채:금융</t>
    <phoneticPr fontId="44" type="noConversion"/>
  </si>
  <si>
    <t>공정가치위험회피파생상품부채:상품</t>
    <phoneticPr fontId="44" type="noConversion"/>
  </si>
  <si>
    <t>공정가치위험회피파생상품부채:확정계약</t>
    <phoneticPr fontId="44" type="noConversion"/>
  </si>
  <si>
    <t>현금흐름위험회피파생상품부채:금융</t>
    <phoneticPr fontId="44" type="noConversion"/>
  </si>
  <si>
    <t>현금흐름위험회피파생상품부채:상품</t>
    <phoneticPr fontId="44" type="noConversion"/>
  </si>
  <si>
    <t>판매보증충당금</t>
    <phoneticPr fontId="44" type="noConversion"/>
  </si>
  <si>
    <t>기타손실충당부채</t>
    <phoneticPr fontId="1" type="noConversion"/>
  </si>
  <si>
    <t>퇴직급여충당부채</t>
    <phoneticPr fontId="44" type="noConversion"/>
  </si>
  <si>
    <t>정부부조금</t>
    <phoneticPr fontId="44" type="noConversion"/>
  </si>
  <si>
    <t>(비유동)금융보증계약부채</t>
    <phoneticPr fontId="44" type="noConversion"/>
  </si>
  <si>
    <t>자본</t>
    <phoneticPr fontId="44" type="noConversion"/>
  </si>
  <si>
    <t>지배주주지분</t>
    <phoneticPr fontId="44" type="noConversion"/>
  </si>
  <si>
    <t>보통주자본금</t>
    <phoneticPr fontId="44" type="noConversion"/>
  </si>
  <si>
    <t>주식발행초과금</t>
    <phoneticPr fontId="44" type="noConversion"/>
  </si>
  <si>
    <t>주식할인발행차금</t>
    <phoneticPr fontId="44" type="noConversion"/>
  </si>
  <si>
    <t>합병차익</t>
    <phoneticPr fontId="44" type="noConversion"/>
  </si>
  <si>
    <t>재평가적립금</t>
    <phoneticPr fontId="44" type="noConversion"/>
  </si>
  <si>
    <t>자기주식처분이익</t>
    <phoneticPr fontId="44" type="noConversion"/>
  </si>
  <si>
    <t>자기주식처분손실</t>
    <phoneticPr fontId="44" type="noConversion"/>
  </si>
  <si>
    <t>감자차익</t>
    <phoneticPr fontId="44" type="noConversion"/>
  </si>
  <si>
    <t>연결자본잉여금</t>
    <phoneticPr fontId="44" type="noConversion"/>
  </si>
  <si>
    <t>해외사업환산연결</t>
    <phoneticPr fontId="44" type="noConversion"/>
  </si>
  <si>
    <t>지분법이익잉여금</t>
    <phoneticPr fontId="44" type="noConversion"/>
  </si>
  <si>
    <t>비지배지분_자본금</t>
    <phoneticPr fontId="44" type="noConversion"/>
  </si>
  <si>
    <t>비지배지분_기타불입자본금</t>
    <phoneticPr fontId="44" type="noConversion"/>
  </si>
  <si>
    <t>비지배지분_기타자본구성요소</t>
    <phoneticPr fontId="44" type="noConversion"/>
  </si>
  <si>
    <t>비지배지분_기타포괄손익누계액</t>
    <phoneticPr fontId="44" type="noConversion"/>
  </si>
  <si>
    <t>비지배지분_전기잉여금</t>
    <phoneticPr fontId="44" type="noConversion"/>
  </si>
  <si>
    <t>비지배지분_당기순이익</t>
    <phoneticPr fontId="44" type="noConversion"/>
  </si>
  <si>
    <t>2021 9m</t>
    <phoneticPr fontId="1" type="noConversion"/>
  </si>
  <si>
    <t>2026(E)</t>
    <phoneticPr fontId="1" type="noConversion"/>
  </si>
  <si>
    <t>2021 9m(A)</t>
  </si>
  <si>
    <t>2021 9m(A)</t>
    <phoneticPr fontId="1" type="noConversion"/>
  </si>
  <si>
    <t>98,03%</t>
    <phoneticPr fontId="1" type="noConversion"/>
  </si>
  <si>
    <t>source: 담당자 인터뷰</t>
    <phoneticPr fontId="1" type="noConversion"/>
  </si>
  <si>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</si>
  <si>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</si>
  <si>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</si>
  <si>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</si>
  <si>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</si>
  <si>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</si>
  <si>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</si>
  <si>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</si>
  <si>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</si>
  <si>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</si>
  <si>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</si>
  <si>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</si>
  <si>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</si>
  <si>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</si>
  <si>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</si>
  <si>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</si>
  <si>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</si>
  <si>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</si>
  <si>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</si>
  <si>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</si>
  <si>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</si>
  <si>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</si>
  <si>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2021-08-02</t>
  </si>
  <si>
    <t>2021-08-03</t>
  </si>
  <si>
    <t>2021-08-04</t>
  </si>
  <si>
    <t>2021-08-05</t>
  </si>
  <si>
    <t>2021-08-06</t>
  </si>
  <si>
    <t>2021-08-09</t>
  </si>
  <si>
    <t>2021-08-10</t>
  </si>
  <si>
    <t>2021-08-11</t>
  </si>
  <si>
    <t>2021-08-12</t>
  </si>
  <si>
    <t>2021-08-13</t>
  </si>
  <si>
    <t>2021-08-16</t>
  </si>
  <si>
    <t>2021-08-17</t>
  </si>
  <si>
    <t>2021-08-18</t>
  </si>
  <si>
    <t>2021-08-19</t>
  </si>
  <si>
    <t>2021-08-20</t>
  </si>
  <si>
    <t>2021-08-23</t>
  </si>
  <si>
    <t>2021-08-24</t>
  </si>
  <si>
    <t>2021-08-25</t>
  </si>
  <si>
    <t>2021-08-26</t>
  </si>
  <si>
    <t>2021-08-27</t>
  </si>
  <si>
    <t>2021-08-31</t>
  </si>
  <si>
    <t>2021-09-01</t>
  </si>
  <si>
    <t>2021-09-02</t>
  </si>
  <si>
    <t>2021-09-03</t>
  </si>
  <si>
    <t>2021-09-06</t>
  </si>
  <si>
    <t>2021-09-07</t>
  </si>
  <si>
    <t>2021-09-08</t>
  </si>
  <si>
    <t>2021-09-09</t>
  </si>
  <si>
    <t>2021-09-10</t>
  </si>
  <si>
    <t>2021-09-13</t>
  </si>
  <si>
    <t>2021-09-14</t>
  </si>
  <si>
    <t>2021-09-15</t>
  </si>
  <si>
    <t>2021-09-16</t>
  </si>
  <si>
    <t>2021-09-17</t>
  </si>
  <si>
    <t>2021-09-20</t>
  </si>
  <si>
    <t>2021-09-21</t>
  </si>
  <si>
    <t>2021-09-22</t>
  </si>
  <si>
    <t>2021-09-23</t>
  </si>
  <si>
    <t>2021-09-24</t>
  </si>
  <si>
    <t>2021-09-27</t>
  </si>
  <si>
    <t>2021-09-28</t>
  </si>
  <si>
    <t>2021-09-29</t>
  </si>
  <si>
    <t>2021-09-30</t>
  </si>
  <si>
    <t>2021 9mA</t>
    <phoneticPr fontId="1" type="noConversion"/>
  </si>
  <si>
    <t>2021 3m(E)</t>
  </si>
  <si>
    <t>2021 3m(E)</t>
    <phoneticPr fontId="1" type="noConversion"/>
  </si>
  <si>
    <t>2026(E)</t>
  </si>
  <si>
    <t>CDD 추정치 준용</t>
    <phoneticPr fontId="1" type="noConversion"/>
  </si>
  <si>
    <t>$/T</t>
  </si>
  <si>
    <t>Gold</t>
  </si>
  <si>
    <t>Silver</t>
  </si>
  <si>
    <t>Palladium</t>
  </si>
  <si>
    <t>Platinum</t>
  </si>
  <si>
    <t>Selenium</t>
  </si>
  <si>
    <t>$/Lb</t>
  </si>
  <si>
    <t>Nickel</t>
  </si>
  <si>
    <t>Tellurium</t>
  </si>
  <si>
    <r>
      <t>2021</t>
    </r>
    <r>
      <rPr>
        <b/>
        <sz val="9"/>
        <color rgb="FF000000"/>
        <rFont val="맑은 고딕"/>
        <family val="3"/>
        <charset val="129"/>
        <scheme val="major"/>
      </rPr>
      <t>년_계획</t>
    </r>
    <phoneticPr fontId="1" type="noConversion"/>
  </si>
  <si>
    <t>동</t>
  </si>
  <si>
    <t>텔레륨</t>
    <phoneticPr fontId="1" type="noConversion"/>
  </si>
  <si>
    <t>2021년_추정</t>
  </si>
  <si>
    <t>2021년_계획</t>
  </si>
  <si>
    <t>(1) 과거 변동: 동을 비롯한 주요 금속의 시세는 2020년 하반기 이후 급증하여, 2021년 9월말 현재 역대 최고가 수준을 보이고 있음</t>
    <phoneticPr fontId="1" type="noConversion"/>
  </si>
  <si>
    <t>2021년 9개월 수준의 가격 유지 가정</t>
    <phoneticPr fontId="1" type="noConversion"/>
  </si>
  <si>
    <t>로컬</t>
    <phoneticPr fontId="1" type="noConversion"/>
  </si>
  <si>
    <t>직수출</t>
    <phoneticPr fontId="1" type="noConversion"/>
  </si>
  <si>
    <t>2021년 Q4는 10월~11월 실적 사용 및 2022년 이후 사업계획상 단가 적용(~24년) 및 유지 가정</t>
    <phoneticPr fontId="1" type="noConversion"/>
  </si>
  <si>
    <t>2021년 Q4는 2021년 9개월 수치 준용 및 2022년 이후 사업계획상 단가 적용(~24년) 및 유지 가정</t>
    <phoneticPr fontId="1" type="noConversion"/>
  </si>
  <si>
    <t>사업계획_금속가격</t>
    <phoneticPr fontId="1" type="noConversion"/>
  </si>
  <si>
    <t>사업계획_Premium</t>
    <phoneticPr fontId="1" type="noConversion"/>
  </si>
  <si>
    <r>
      <t>silver</t>
    </r>
    <r>
      <rPr>
        <sz val="9"/>
        <color rgb="FF000000"/>
        <rFont val="Arial Unicode MS"/>
        <family val="2"/>
        <charset val="129"/>
      </rPr>
      <t>소재</t>
    </r>
    <phoneticPr fontId="1" type="noConversion"/>
  </si>
  <si>
    <t>Kt</t>
    <phoneticPr fontId="1" type="noConversion"/>
  </si>
  <si>
    <t>사업계획_2022</t>
    <phoneticPr fontId="1" type="noConversion"/>
  </si>
  <si>
    <t>2021 계획</t>
    <phoneticPr fontId="1" type="noConversion"/>
  </si>
  <si>
    <t>2026년 (F)</t>
    <phoneticPr fontId="1" type="noConversion"/>
  </si>
  <si>
    <t>1공장</t>
    <phoneticPr fontId="1" type="noConversion"/>
  </si>
  <si>
    <t>2공장</t>
    <phoneticPr fontId="1" type="noConversion"/>
  </si>
  <si>
    <t>정비일수</t>
    <phoneticPr fontId="1" type="noConversion"/>
  </si>
  <si>
    <t>계획정비</t>
    <phoneticPr fontId="1" type="noConversion"/>
  </si>
  <si>
    <t>비계획정비</t>
    <phoneticPr fontId="1" type="noConversion"/>
  </si>
  <si>
    <t>가동율</t>
    <phoneticPr fontId="1" type="noConversion"/>
  </si>
  <si>
    <t>합산</t>
    <phoneticPr fontId="1" type="noConversion"/>
  </si>
  <si>
    <t>2021 4Q는 2021 9개월 재료비율 유지 및 2022년 이후 과거 평균 수준의 재료비율 유지 가정</t>
    <phoneticPr fontId="1" type="noConversion"/>
  </si>
  <si>
    <t>함유량</t>
    <phoneticPr fontId="1" type="noConversion"/>
  </si>
  <si>
    <t>Kg</t>
  </si>
  <si>
    <t>g</t>
  </si>
  <si>
    <t>지불량</t>
    <phoneticPr fontId="1" type="noConversion"/>
  </si>
  <si>
    <t>지불률</t>
    <phoneticPr fontId="1" type="noConversion"/>
  </si>
  <si>
    <t>단위당 TRC</t>
    <phoneticPr fontId="1" type="noConversion"/>
  </si>
  <si>
    <t>1000 USD</t>
    <phoneticPr fontId="1" type="noConversion"/>
  </si>
  <si>
    <t>1000 USD</t>
  </si>
  <si>
    <t>2016(E)</t>
    <phoneticPr fontId="1" type="noConversion"/>
  </si>
  <si>
    <t>2017(E)</t>
  </si>
  <si>
    <t>2018(E)</t>
  </si>
  <si>
    <t>2019(E)</t>
  </si>
  <si>
    <t>2020(E)</t>
  </si>
  <si>
    <t>2021(E) 9m</t>
    <phoneticPr fontId="1" type="noConversion"/>
  </si>
  <si>
    <t>프리미엄</t>
    <phoneticPr fontId="1" type="noConversion"/>
  </si>
  <si>
    <t>부산물 가격</t>
    <phoneticPr fontId="1" type="noConversion"/>
  </si>
  <si>
    <t>◎ '21.09.30</t>
    <phoneticPr fontId="44" type="noConversion"/>
  </si>
  <si>
    <t>1. 임원/직원</t>
    <phoneticPr fontId="44" type="noConversion"/>
  </si>
  <si>
    <t>인원</t>
    <phoneticPr fontId="44" type="noConversion"/>
  </si>
  <si>
    <t>직원</t>
    <phoneticPr fontId="44" type="noConversion"/>
  </si>
  <si>
    <t>2. 직급</t>
    <phoneticPr fontId="44" type="noConversion"/>
  </si>
  <si>
    <t>직급</t>
    <phoneticPr fontId="44" type="noConversion"/>
  </si>
  <si>
    <t>임원/임원</t>
    <phoneticPr fontId="44" type="noConversion"/>
  </si>
  <si>
    <t>담당</t>
    <phoneticPr fontId="44" type="noConversion"/>
  </si>
  <si>
    <t>담당/담당</t>
    <phoneticPr fontId="44" type="noConversion"/>
  </si>
  <si>
    <t>전문직</t>
    <phoneticPr fontId="44" type="noConversion"/>
  </si>
  <si>
    <t>Senior Manager</t>
    <phoneticPr fontId="44" type="noConversion"/>
  </si>
  <si>
    <t>Manager</t>
    <phoneticPr fontId="44" type="noConversion"/>
  </si>
  <si>
    <t>Associate</t>
    <phoneticPr fontId="44" type="noConversion"/>
  </si>
  <si>
    <t>행정직</t>
    <phoneticPr fontId="44" type="noConversion"/>
  </si>
  <si>
    <t>기술직</t>
    <phoneticPr fontId="44" type="noConversion"/>
  </si>
  <si>
    <t>기1급/기성</t>
    <phoneticPr fontId="44" type="noConversion"/>
  </si>
  <si>
    <t>기2급/선임</t>
    <phoneticPr fontId="44" type="noConversion"/>
  </si>
  <si>
    <t>기3급/선임</t>
    <phoneticPr fontId="44" type="noConversion"/>
  </si>
  <si>
    <t>기4급/주임</t>
    <phoneticPr fontId="44" type="noConversion"/>
  </si>
  <si>
    <t>기5급/사원</t>
    <phoneticPr fontId="44" type="noConversion"/>
  </si>
  <si>
    <t>특수직</t>
    <phoneticPr fontId="44" type="noConversion"/>
  </si>
  <si>
    <t>운전/운전</t>
    <phoneticPr fontId="44" type="noConversion"/>
  </si>
  <si>
    <t>촉탁/촉탁</t>
    <phoneticPr fontId="44" type="noConversion"/>
  </si>
  <si>
    <t>3. 코스트센터</t>
    <phoneticPr fontId="44" type="noConversion"/>
  </si>
  <si>
    <t>인원수</t>
    <phoneticPr fontId="44" type="noConversion"/>
  </si>
  <si>
    <t>제조</t>
    <phoneticPr fontId="44" type="noConversion"/>
  </si>
  <si>
    <t>판관</t>
    <phoneticPr fontId="44" type="noConversion"/>
  </si>
  <si>
    <t>연구개발</t>
    <phoneticPr fontId="44" type="noConversion"/>
  </si>
  <si>
    <t>4. 부서</t>
    <phoneticPr fontId="44" type="noConversion"/>
  </si>
  <si>
    <t>사업전략부문</t>
    <phoneticPr fontId="44" type="noConversion"/>
  </si>
  <si>
    <t>사업전략팀</t>
    <phoneticPr fontId="44" type="noConversion"/>
  </si>
  <si>
    <t>SCM통합팀</t>
    <phoneticPr fontId="44" type="noConversion"/>
  </si>
  <si>
    <t>지속가능경영팀</t>
    <phoneticPr fontId="44" type="noConversion"/>
  </si>
  <si>
    <t>제련소</t>
    <phoneticPr fontId="44" type="noConversion"/>
  </si>
  <si>
    <t>생산지원담당</t>
    <phoneticPr fontId="44" type="noConversion"/>
  </si>
  <si>
    <t>생산관리팀</t>
    <phoneticPr fontId="44" type="noConversion"/>
  </si>
  <si>
    <t>제련1팀</t>
    <phoneticPr fontId="44" type="noConversion"/>
  </si>
  <si>
    <t>제련2팀</t>
    <phoneticPr fontId="44" type="noConversion"/>
  </si>
  <si>
    <t>전련팀</t>
    <phoneticPr fontId="44" type="noConversion"/>
  </si>
  <si>
    <t>화성팀</t>
    <phoneticPr fontId="44" type="noConversion"/>
  </si>
  <si>
    <t>PSA팀</t>
    <phoneticPr fontId="44" type="noConversion"/>
  </si>
  <si>
    <t>귀금속팀</t>
    <phoneticPr fontId="44" type="noConversion"/>
  </si>
  <si>
    <t>공무팀</t>
    <phoneticPr fontId="44" type="noConversion"/>
  </si>
  <si>
    <t>품질관리팀</t>
    <phoneticPr fontId="44" type="noConversion"/>
  </si>
  <si>
    <t>설비기술팀</t>
    <phoneticPr fontId="44" type="noConversion"/>
  </si>
  <si>
    <t>공정기술팀</t>
    <phoneticPr fontId="44" type="noConversion"/>
  </si>
  <si>
    <t>총무팀</t>
    <phoneticPr fontId="44" type="noConversion"/>
  </si>
  <si>
    <t>안전팀</t>
    <phoneticPr fontId="44" type="noConversion"/>
  </si>
  <si>
    <t>환경팀</t>
    <phoneticPr fontId="44" type="noConversion"/>
  </si>
  <si>
    <t>혁신팀</t>
    <phoneticPr fontId="44" type="noConversion"/>
  </si>
  <si>
    <t>구매물류부문</t>
    <phoneticPr fontId="44" type="noConversion"/>
  </si>
  <si>
    <t>구매팀</t>
    <phoneticPr fontId="44" type="noConversion"/>
  </si>
  <si>
    <t>물류팀</t>
    <phoneticPr fontId="44" type="noConversion"/>
  </si>
  <si>
    <t>영업부문</t>
    <phoneticPr fontId="44" type="noConversion"/>
  </si>
  <si>
    <t>영업관리팀</t>
    <phoneticPr fontId="44" type="noConversion"/>
  </si>
  <si>
    <t>금속영업팀</t>
    <phoneticPr fontId="44" type="noConversion"/>
  </si>
  <si>
    <t>화성영업팀</t>
    <phoneticPr fontId="44" type="noConversion"/>
  </si>
  <si>
    <t>PSA영업팀</t>
    <phoneticPr fontId="44" type="noConversion"/>
  </si>
  <si>
    <t>귀금속영업팀</t>
    <phoneticPr fontId="44" type="noConversion"/>
  </si>
  <si>
    <t>중국영업지사</t>
    <phoneticPr fontId="44" type="noConversion"/>
  </si>
  <si>
    <t>원료부문</t>
    <phoneticPr fontId="44" type="noConversion"/>
  </si>
  <si>
    <t>원료관리팀</t>
    <phoneticPr fontId="44" type="noConversion"/>
  </si>
  <si>
    <t>원료1팀</t>
    <phoneticPr fontId="44" type="noConversion"/>
  </si>
  <si>
    <t>원료2팀</t>
    <phoneticPr fontId="44" type="noConversion"/>
  </si>
  <si>
    <t>원료지원Unit</t>
    <phoneticPr fontId="44" type="noConversion"/>
  </si>
  <si>
    <t>미국지사</t>
    <phoneticPr fontId="44" type="noConversion"/>
  </si>
  <si>
    <t>태국사무소</t>
    <phoneticPr fontId="44" type="noConversion"/>
  </si>
  <si>
    <t>재경부문</t>
    <phoneticPr fontId="44" type="noConversion"/>
  </si>
  <si>
    <t>경영관리팀</t>
    <phoneticPr fontId="44" type="noConversion"/>
  </si>
  <si>
    <t>회계팀</t>
    <phoneticPr fontId="44" type="noConversion"/>
  </si>
  <si>
    <t>자금팀</t>
    <phoneticPr fontId="44" type="noConversion"/>
  </si>
  <si>
    <t>법인관리팀</t>
    <phoneticPr fontId="44" type="noConversion"/>
  </si>
  <si>
    <t>Hedge팀</t>
    <phoneticPr fontId="44" type="noConversion"/>
  </si>
  <si>
    <t>Biz혁신팀</t>
    <phoneticPr fontId="44" type="noConversion"/>
  </si>
  <si>
    <t>원가관리팀</t>
    <phoneticPr fontId="44" type="noConversion"/>
  </si>
  <si>
    <t>(Plamen)</t>
    <phoneticPr fontId="44" type="noConversion"/>
  </si>
  <si>
    <t>지원부문</t>
    <phoneticPr fontId="44" type="noConversion"/>
  </si>
  <si>
    <t>인사팀</t>
    <phoneticPr fontId="44" type="noConversion"/>
  </si>
  <si>
    <t>노경협력팀</t>
    <phoneticPr fontId="44" type="noConversion"/>
  </si>
  <si>
    <t>업무홍보팀</t>
    <phoneticPr fontId="44" type="noConversion"/>
  </si>
  <si>
    <t>법무팀</t>
    <phoneticPr fontId="44" type="noConversion"/>
  </si>
  <si>
    <t>기술연구소</t>
    <phoneticPr fontId="44" type="noConversion"/>
  </si>
  <si>
    <t>연구기획팀</t>
    <phoneticPr fontId="44" type="noConversion"/>
  </si>
  <si>
    <t>제련연구개발팀</t>
    <phoneticPr fontId="44" type="noConversion"/>
  </si>
  <si>
    <t>공정연구개발팀</t>
    <phoneticPr fontId="44" type="noConversion"/>
  </si>
  <si>
    <t>Ag소재사업실</t>
    <phoneticPr fontId="44" type="noConversion"/>
  </si>
  <si>
    <t>Ag소재연구팀</t>
    <phoneticPr fontId="44" type="noConversion"/>
  </si>
  <si>
    <t>Ag소재영업팀</t>
    <phoneticPr fontId="44" type="noConversion"/>
  </si>
  <si>
    <t>Ag소재생산팀</t>
    <phoneticPr fontId="44" type="noConversion"/>
  </si>
  <si>
    <t>ODS완성TFT</t>
    <phoneticPr fontId="44" type="noConversion"/>
  </si>
  <si>
    <t>노동조합</t>
    <phoneticPr fontId="44" type="noConversion"/>
  </si>
  <si>
    <t>◎ '18년 말</t>
    <phoneticPr fontId="44" type="noConversion"/>
  </si>
  <si>
    <t>◎ '19년 말</t>
    <phoneticPr fontId="44" type="noConversion"/>
  </si>
  <si>
    <t>◎ '20년 말</t>
    <phoneticPr fontId="44" type="noConversion"/>
  </si>
  <si>
    <t>관리직</t>
    <phoneticPr fontId="44" type="noConversion"/>
  </si>
  <si>
    <t>1급/부장</t>
    <phoneticPr fontId="44" type="noConversion"/>
  </si>
  <si>
    <t>2급/차장</t>
    <phoneticPr fontId="44" type="noConversion"/>
  </si>
  <si>
    <t>2급/과장</t>
    <phoneticPr fontId="44" type="noConversion"/>
  </si>
  <si>
    <t>사무기술직</t>
    <phoneticPr fontId="44" type="noConversion"/>
  </si>
  <si>
    <t>3급/대리</t>
    <phoneticPr fontId="44" type="noConversion"/>
  </si>
  <si>
    <t>4급/사원</t>
    <phoneticPr fontId="44" type="noConversion"/>
  </si>
  <si>
    <t>사무행정직</t>
    <phoneticPr fontId="44" type="noConversion"/>
  </si>
  <si>
    <t>사무1급/과장</t>
    <phoneticPr fontId="44" type="noConversion"/>
  </si>
  <si>
    <t>사무2급/대리</t>
    <phoneticPr fontId="44" type="noConversion"/>
  </si>
  <si>
    <t>사무3급/사원</t>
    <phoneticPr fontId="44" type="noConversion"/>
  </si>
  <si>
    <t>사무4급/사원</t>
    <phoneticPr fontId="44" type="noConversion"/>
  </si>
  <si>
    <t>기능직</t>
    <phoneticPr fontId="44" type="noConversion"/>
  </si>
  <si>
    <t>기2급/기장</t>
    <phoneticPr fontId="44" type="noConversion"/>
  </si>
  <si>
    <t>기3급/기선</t>
    <phoneticPr fontId="44" type="noConversion"/>
  </si>
  <si>
    <t>기4급/기수</t>
    <phoneticPr fontId="44" type="noConversion"/>
  </si>
  <si>
    <t>기5급/기원</t>
    <phoneticPr fontId="44" type="noConversion"/>
  </si>
  <si>
    <t>CEO직속</t>
    <phoneticPr fontId="44" type="noConversion"/>
  </si>
  <si>
    <t>제련 1팀</t>
    <phoneticPr fontId="44" type="noConversion"/>
  </si>
  <si>
    <t>제련 2팀</t>
    <phoneticPr fontId="44" type="noConversion"/>
  </si>
  <si>
    <t>기술팀</t>
    <phoneticPr fontId="44" type="noConversion"/>
  </si>
  <si>
    <t>생산혁신팀</t>
    <phoneticPr fontId="44" type="noConversion"/>
  </si>
  <si>
    <t>전략구매팀</t>
    <phoneticPr fontId="44" type="noConversion"/>
  </si>
  <si>
    <t>조달구매팀</t>
    <phoneticPr fontId="44" type="noConversion"/>
  </si>
  <si>
    <t>SCM통합부문</t>
    <phoneticPr fontId="44" type="noConversion"/>
  </si>
  <si>
    <t>구매물류팀</t>
    <phoneticPr fontId="44" type="noConversion"/>
  </si>
  <si>
    <t>연구지원팀</t>
    <phoneticPr fontId="44" type="noConversion"/>
  </si>
  <si>
    <t>제련연구실</t>
    <phoneticPr fontId="44" type="noConversion"/>
  </si>
  <si>
    <t>2021 4Q는 2021 9개월 성과급 비율 유지 및 2022년 이후 과거 평균 수준의 비율 유지 가정</t>
    <phoneticPr fontId="1" type="noConversion"/>
  </si>
  <si>
    <t>0000008219</t>
  </si>
  <si>
    <t>급여</t>
    <phoneticPr fontId="1" type="noConversion"/>
  </si>
  <si>
    <t>상여</t>
    <phoneticPr fontId="1" type="noConversion"/>
  </si>
  <si>
    <t>2021 4Q는 2021 9개월 금액 유지 및 2022년 이후 미발생 가정</t>
    <phoneticPr fontId="1" type="noConversion"/>
  </si>
  <si>
    <t>2021 4Q는 2021 9개월 금액 유지 및 2022년 이후 명목임금상승률 수준의 성장 가정</t>
    <phoneticPr fontId="1" type="noConversion"/>
  </si>
  <si>
    <t>환율전망</t>
    <phoneticPr fontId="1" type="noConversion"/>
  </si>
  <si>
    <t>2021 4Q는 2021 9개월 비율 유지 및 2022년 이후 과거 평균 수준의 비율 유지 가정</t>
    <phoneticPr fontId="1" type="noConversion"/>
  </si>
  <si>
    <t>(1) 과거 변동: 연간 24% 수준의 퇴직급여와 연간 31% ~ 41% 수준의 복리후생비 기록</t>
    <phoneticPr fontId="1" type="noConversion"/>
  </si>
  <si>
    <t>2021 4Q는 2021 9개월 이자율 유지 및 2022년 이후 과거 평균 수준 이자율 유지 가정</t>
    <phoneticPr fontId="1" type="noConversion"/>
  </si>
  <si>
    <t>2021E</t>
  </si>
  <si>
    <t>매</t>
  </si>
  <si>
    <t>출</t>
  </si>
  <si>
    <t>액</t>
  </si>
  <si>
    <t>TORECOM</t>
  </si>
  <si>
    <t>세전</t>
  </si>
  <si>
    <t>이익</t>
  </si>
  <si>
    <t xml:space="preserve">PRM </t>
  </si>
  <si>
    <t>(단위:억원)</t>
    <phoneticPr fontId="1" type="noConversion"/>
  </si>
  <si>
    <t>2021 4Q는 2021 9개월 수준 유지 및 2022년 이후 과거 평균 수준의 비율 유지 가정</t>
    <phoneticPr fontId="1" type="noConversion"/>
  </si>
  <si>
    <t>Kt</t>
  </si>
  <si>
    <r>
      <t xml:space="preserve">※ </t>
    </r>
    <r>
      <rPr>
        <sz val="9"/>
        <color rgb="FF000000"/>
        <rFont val="바탕체"/>
        <family val="1"/>
        <charset val="129"/>
      </rPr>
      <t xml:space="preserve">연례보수 </t>
    </r>
    <r>
      <rPr>
        <sz val="9"/>
        <color rgb="FF000000"/>
        <rFont val="Arial"/>
        <family val="2"/>
      </rPr>
      <t>’21</t>
    </r>
    <r>
      <rPr>
        <sz val="9"/>
        <color rgb="FF000000"/>
        <rFont val="바탕체"/>
        <family val="1"/>
        <charset val="129"/>
      </rPr>
      <t xml:space="preserve">년 제련2공장 </t>
    </r>
    <r>
      <rPr>
        <sz val="9"/>
        <color rgb="FF000000"/>
        <rFont val="Arial"/>
        <family val="2"/>
      </rPr>
      <t>44</t>
    </r>
    <r>
      <rPr>
        <sz val="9"/>
        <color rgb="FF000000"/>
        <rFont val="바탕체"/>
        <family val="1"/>
        <charset val="129"/>
      </rPr>
      <t>일(8년 주기),</t>
    </r>
    <r>
      <rPr>
        <sz val="9"/>
        <color rgb="FF000000"/>
        <rFont val="Arial"/>
        <family val="2"/>
      </rPr>
      <t xml:space="preserve"> ’22</t>
    </r>
    <r>
      <rPr>
        <sz val="9"/>
        <color rgb="FF000000"/>
        <rFont val="바탕체"/>
        <family val="1"/>
        <charset val="129"/>
      </rPr>
      <t xml:space="preserve">년 제련1공장 </t>
    </r>
    <r>
      <rPr>
        <sz val="9"/>
        <color rgb="FF000000"/>
        <rFont val="Arial"/>
        <family val="2"/>
      </rPr>
      <t>15</t>
    </r>
    <r>
      <rPr>
        <sz val="9"/>
        <color rgb="FF000000"/>
        <rFont val="바탕체"/>
        <family val="1"/>
        <charset val="129"/>
      </rPr>
      <t xml:space="preserve">일, </t>
    </r>
    <r>
      <rPr>
        <sz val="9"/>
        <color rgb="FF000000"/>
        <rFont val="Arial"/>
        <family val="2"/>
      </rPr>
      <t>’23</t>
    </r>
    <r>
      <rPr>
        <sz val="9"/>
        <color rgb="FF000000"/>
        <rFont val="바탕체"/>
        <family val="1"/>
        <charset val="129"/>
      </rPr>
      <t xml:space="preserve">년 제련2공장 </t>
    </r>
    <r>
      <rPr>
        <sz val="9"/>
        <color rgb="FF000000"/>
        <rFont val="Arial"/>
        <family val="2"/>
      </rPr>
      <t>30</t>
    </r>
    <r>
      <rPr>
        <sz val="9"/>
        <color rgb="FF000000"/>
        <rFont val="바탕체"/>
        <family val="1"/>
        <charset val="129"/>
      </rPr>
      <t xml:space="preserve">일 </t>
    </r>
    <r>
      <rPr>
        <sz val="9"/>
        <color rgb="FF000000"/>
        <rFont val="Arial"/>
        <family val="2"/>
      </rPr>
      <t>, ’24</t>
    </r>
    <r>
      <rPr>
        <sz val="9"/>
        <color rgb="FF000000"/>
        <rFont val="바탕체"/>
        <family val="1"/>
        <charset val="129"/>
      </rPr>
      <t xml:space="preserve">년 제련1공장 </t>
    </r>
    <r>
      <rPr>
        <sz val="9"/>
        <color rgb="FF000000"/>
        <rFont val="Arial"/>
        <family val="2"/>
      </rPr>
      <t>40</t>
    </r>
    <r>
      <rPr>
        <sz val="9"/>
        <color rgb="FF000000"/>
        <rFont val="바탕체"/>
        <family val="1"/>
        <charset val="129"/>
      </rPr>
      <t xml:space="preserve">일 </t>
    </r>
    <r>
      <rPr>
        <sz val="9"/>
        <color rgb="FF000000"/>
        <rFont val="Arial"/>
        <family val="2"/>
      </rPr>
      <t>(8</t>
    </r>
    <r>
      <rPr>
        <sz val="9"/>
        <color rgb="FF000000"/>
        <rFont val="바탕체"/>
        <family val="1"/>
        <charset val="129"/>
      </rPr>
      <t>년 주기)</t>
    </r>
  </si>
  <si>
    <r>
      <t xml:space="preserve">※ </t>
    </r>
    <r>
      <rPr>
        <sz val="9"/>
        <color rgb="FF000000"/>
        <rFont val="바탕체"/>
        <family val="1"/>
        <charset val="129"/>
      </rPr>
      <t>과거</t>
    </r>
    <r>
      <rPr>
        <sz val="9"/>
        <color rgb="FF000000"/>
        <rFont val="Arial"/>
        <family val="2"/>
      </rPr>
      <t xml:space="preserve"> 10</t>
    </r>
    <r>
      <rPr>
        <sz val="9"/>
        <color rgb="FF000000"/>
        <rFont val="바탕체"/>
        <family val="1"/>
        <charset val="129"/>
      </rPr>
      <t xml:space="preserve">년 비계획가동중지 시간 </t>
    </r>
    <r>
      <rPr>
        <sz val="9"/>
        <color rgb="FF000000"/>
        <rFont val="Arial"/>
        <family val="2"/>
      </rPr>
      <t xml:space="preserve">: </t>
    </r>
    <r>
      <rPr>
        <sz val="9"/>
        <color rgb="FF000000"/>
        <rFont val="바탕체"/>
        <family val="1"/>
        <charset val="129"/>
      </rPr>
      <t>제련1</t>
    </r>
    <r>
      <rPr>
        <sz val="9"/>
        <color rgb="FF000000"/>
        <rFont val="Arial"/>
        <family val="2"/>
      </rPr>
      <t xml:space="preserve"> 32hr ~ 254hr, 평균 117hr / </t>
    </r>
    <r>
      <rPr>
        <sz val="9"/>
        <color rgb="FF000000"/>
        <rFont val="바탕체"/>
        <family val="1"/>
        <charset val="129"/>
      </rPr>
      <t>제련2</t>
    </r>
    <r>
      <rPr>
        <sz val="9"/>
        <color rgb="FF000000"/>
        <rFont val="Arial"/>
        <family val="2"/>
      </rPr>
      <t xml:space="preserve"> 191hr ~ 837hr, 평균 521hr</t>
    </r>
  </si>
  <si>
    <t>제련1</t>
    <phoneticPr fontId="1" type="noConversion"/>
  </si>
  <si>
    <t>제련2</t>
    <phoneticPr fontId="1" type="noConversion"/>
  </si>
  <si>
    <t>사업계획상 가동률</t>
    <phoneticPr fontId="1" type="noConversion"/>
  </si>
  <si>
    <t>KPMG 가동율 추정</t>
    <phoneticPr fontId="1" type="noConversion"/>
  </si>
  <si>
    <t>2023 수치</t>
    <phoneticPr fontId="1" type="noConversion"/>
  </si>
  <si>
    <t>2022 수치</t>
    <phoneticPr fontId="1" type="noConversion"/>
  </si>
  <si>
    <t>사업계획상 생산량</t>
    <phoneticPr fontId="1" type="noConversion"/>
  </si>
  <si>
    <t>Full Capacity</t>
    <phoneticPr fontId="1" type="noConversion"/>
  </si>
  <si>
    <t>`15</t>
  </si>
  <si>
    <t>`16</t>
  </si>
  <si>
    <t>`17</t>
  </si>
  <si>
    <t>`18</t>
  </si>
  <si>
    <t>`19</t>
  </si>
  <si>
    <t>`20</t>
  </si>
  <si>
    <t>글로벌수요</t>
    <phoneticPr fontId="1" type="noConversion"/>
  </si>
  <si>
    <t>글로벌공급</t>
    <phoneticPr fontId="1" type="noConversion"/>
  </si>
  <si>
    <t>Benchmark TC/RC</t>
    <phoneticPr fontId="1" type="noConversion"/>
  </si>
  <si>
    <t>TRC 전망</t>
    <phoneticPr fontId="1" type="noConversion"/>
  </si>
  <si>
    <t>25-26 생산량 추정</t>
    <phoneticPr fontId="1" type="noConversion"/>
  </si>
  <si>
    <t>2021 Q1-3(A)</t>
    <phoneticPr fontId="1" type="noConversion"/>
  </si>
  <si>
    <t>2021 Q4(E)</t>
    <phoneticPr fontId="1" type="noConversion"/>
  </si>
  <si>
    <t>사업계획 TRC</t>
    <phoneticPr fontId="1" type="noConversion"/>
  </si>
  <si>
    <t>USD/toz</t>
    <phoneticPr fontId="1" type="noConversion"/>
  </si>
  <si>
    <t xml:space="preserve">Debt </t>
  </si>
  <si>
    <t>TIC</t>
  </si>
  <si>
    <t>시장 DATA 기준일</t>
  </si>
  <si>
    <t>2021년 9월 30일</t>
  </si>
  <si>
    <t>Korea Zinc Co Ltd</t>
  </si>
  <si>
    <t>SOUTH KOREA</t>
  </si>
  <si>
    <t>Poongsan Corp</t>
  </si>
  <si>
    <t>Jiangxi Copper Co Ltd</t>
  </si>
  <si>
    <t>CHINA</t>
  </si>
  <si>
    <t>Tongling Nonferrous Metals Group Co Ltd</t>
  </si>
  <si>
    <t>Boliden AB</t>
  </si>
  <si>
    <t>SWEDEN</t>
  </si>
  <si>
    <t>Average</t>
  </si>
  <si>
    <t>Median</t>
  </si>
  <si>
    <t>Minimum</t>
  </si>
  <si>
    <t>+</t>
  </si>
  <si>
    <t>Cost of Equity</t>
  </si>
  <si>
    <t>(1 - Tax Rate)</t>
  </si>
  <si>
    <t>After-Tax Cost of Debt</t>
  </si>
  <si>
    <t>Cost of Capital</t>
  </si>
  <si>
    <t>Contribution</t>
  </si>
  <si>
    <t>Debt</t>
  </si>
  <si>
    <t>Equity</t>
  </si>
  <si>
    <t>WACC</t>
  </si>
  <si>
    <t>Notes:</t>
  </si>
  <si>
    <t>[1]</t>
  </si>
  <si>
    <t>[2]</t>
  </si>
  <si>
    <t>[3]</t>
  </si>
  <si>
    <t>[4]</t>
  </si>
  <si>
    <t>n.a.</t>
  </si>
  <si>
    <t>Index</t>
  </si>
  <si>
    <t>KOSDAQ Index</t>
  </si>
  <si>
    <t>1 month</t>
  </si>
  <si>
    <t>3 month</t>
  </si>
  <si>
    <t>6 month</t>
  </si>
  <si>
    <t>&lt;리스부채 선정&gt;</t>
  </si>
  <si>
    <t>리스부채</t>
  </si>
  <si>
    <t>09/30/2021</t>
  </si>
  <si>
    <t>RF Rate</t>
  </si>
  <si>
    <t xml:space="preserve">Equity Risk Premium </t>
  </si>
  <si>
    <t>Country Risk Premium</t>
  </si>
  <si>
    <t>회 사 명</t>
  </si>
  <si>
    <t>3등급기준</t>
  </si>
  <si>
    <t>10등급기준</t>
  </si>
  <si>
    <t>nsla f</t>
    <phoneticPr fontId="112" type="noConversion"/>
  </si>
  <si>
    <t>Project Linus</t>
    <phoneticPr fontId="112" type="noConversion"/>
  </si>
  <si>
    <t>&lt;Tax Rate&gt;</t>
    <phoneticPr fontId="112" type="noConversion"/>
  </si>
  <si>
    <t>=</t>
    <phoneticPr fontId="112" type="noConversion"/>
  </si>
  <si>
    <t>Unlevered</t>
    <phoneticPr fontId="112" type="noConversion"/>
  </si>
  <si>
    <t>Re-Levered, Kd</t>
    <phoneticPr fontId="112" type="noConversion"/>
  </si>
  <si>
    <t xml:space="preserve">Observed </t>
    <phoneticPr fontId="1" type="noConversion"/>
  </si>
  <si>
    <t>Currency
(Millions)</t>
    <phoneticPr fontId="112" type="noConversion"/>
  </si>
  <si>
    <t>Lease Liabilities</t>
    <phoneticPr fontId="112" type="noConversion"/>
  </si>
  <si>
    <t>D/E Ratio</t>
    <phoneticPr fontId="112" type="noConversion"/>
  </si>
  <si>
    <t>Lease</t>
    <phoneticPr fontId="112" type="noConversion"/>
  </si>
  <si>
    <t>Tax Rate</t>
    <phoneticPr fontId="112" type="noConversion"/>
  </si>
  <si>
    <t>Unlevered Beta</t>
    <phoneticPr fontId="112" type="noConversion"/>
  </si>
  <si>
    <t>Re-Levered Beta</t>
    <phoneticPr fontId="112" type="noConversion"/>
  </si>
  <si>
    <t xml:space="preserve">  : 'Beta' Option</t>
    <phoneticPr fontId="112" type="noConversion"/>
  </si>
  <si>
    <t>USD</t>
    <phoneticPr fontId="112" type="noConversion"/>
  </si>
  <si>
    <t xml:space="preserve">  : 'Market Capitalization' Option</t>
    <phoneticPr fontId="112" type="noConversion"/>
  </si>
  <si>
    <t xml:space="preserve">  : 'Equity Risk Premium' Option</t>
    <phoneticPr fontId="112" type="noConversion"/>
  </si>
  <si>
    <t xml:space="preserve">  : 'Risk-free Rate' Option</t>
    <phoneticPr fontId="112" type="noConversion"/>
  </si>
  <si>
    <t xml:space="preserve">  : Damodaran, Bloomberg</t>
    <phoneticPr fontId="112" type="noConversion"/>
  </si>
  <si>
    <t>Damodaran</t>
    <phoneticPr fontId="112" type="noConversion"/>
  </si>
  <si>
    <t>Bloomberg</t>
    <phoneticPr fontId="112" type="noConversion"/>
  </si>
  <si>
    <t>반영</t>
    <phoneticPr fontId="112" type="noConversion"/>
  </si>
  <si>
    <t>미반영</t>
    <phoneticPr fontId="112" type="noConversion"/>
  </si>
  <si>
    <t xml:space="preserve">  : Cost of Debt</t>
    <phoneticPr fontId="112" type="noConversion"/>
  </si>
  <si>
    <t>가중평균차입이자율</t>
    <phoneticPr fontId="112" type="noConversion"/>
  </si>
  <si>
    <t xml:space="preserve">  : Cost of Lease</t>
    <phoneticPr fontId="112" type="noConversion"/>
  </si>
  <si>
    <t>가중평균 증분차입이자율</t>
    <phoneticPr fontId="112" type="noConversion"/>
  </si>
  <si>
    <t>Maximum</t>
    <phoneticPr fontId="112" type="noConversion"/>
  </si>
  <si>
    <t xml:space="preserve">  : 비지배지분 가산</t>
    <phoneticPr fontId="112" type="noConversion"/>
  </si>
  <si>
    <t>가산</t>
    <phoneticPr fontId="112" type="noConversion"/>
  </si>
  <si>
    <t>가산하지 않음</t>
    <phoneticPr fontId="112" type="noConversion"/>
  </si>
  <si>
    <t>Selected</t>
    <phoneticPr fontId="112" type="noConversion"/>
  </si>
  <si>
    <t xml:space="preserve">  : Beta Selected</t>
    <phoneticPr fontId="112" type="noConversion"/>
  </si>
  <si>
    <t>+</t>
    <phoneticPr fontId="112" type="noConversion"/>
  </si>
  <si>
    <t xml:space="preserve">Specific Premium </t>
    <phoneticPr fontId="1" type="noConversion"/>
  </si>
  <si>
    <t>x</t>
    <phoneticPr fontId="112" type="noConversion"/>
  </si>
  <si>
    <t>=</t>
    <phoneticPr fontId="33" type="noConversion"/>
  </si>
  <si>
    <t>[5]</t>
    <phoneticPr fontId="112" type="noConversion"/>
  </si>
  <si>
    <t>[6]</t>
    <phoneticPr fontId="112" type="noConversion"/>
  </si>
  <si>
    <t>[7]</t>
    <phoneticPr fontId="112" type="noConversion"/>
  </si>
  <si>
    <t>[8]</t>
    <phoneticPr fontId="112" type="noConversion"/>
  </si>
  <si>
    <t>[9]</t>
    <phoneticPr fontId="112" type="noConversion"/>
  </si>
  <si>
    <t>[10]</t>
    <phoneticPr fontId="112" type="noConversion"/>
  </si>
  <si>
    <t>Option</t>
    <phoneticPr fontId="112" type="noConversion"/>
  </si>
  <si>
    <t>5-year weekly</t>
    <phoneticPr fontId="112" type="noConversion"/>
  </si>
  <si>
    <t>5-year monthly</t>
    <phoneticPr fontId="112" type="noConversion"/>
  </si>
  <si>
    <t>2-year weekly</t>
    <phoneticPr fontId="112" type="noConversion"/>
  </si>
  <si>
    <t>5year, weekly</t>
    <phoneticPr fontId="112" type="noConversion"/>
  </si>
  <si>
    <t>KOSDAQ Index</t>
    <phoneticPr fontId="112" type="noConversion"/>
  </si>
  <si>
    <t>5year, monthly</t>
    <phoneticPr fontId="112" type="noConversion"/>
  </si>
  <si>
    <t>2year, weekly</t>
    <phoneticPr fontId="112" type="noConversion"/>
  </si>
  <si>
    <t>KOSPI Index</t>
    <phoneticPr fontId="112" type="noConversion"/>
  </si>
  <si>
    <t>12 month</t>
    <phoneticPr fontId="112" type="noConversion"/>
  </si>
  <si>
    <t>1 month avg.</t>
    <phoneticPr fontId="112" type="noConversion"/>
  </si>
  <si>
    <t>3 month avg.</t>
    <phoneticPr fontId="112" type="noConversion"/>
  </si>
  <si>
    <t>6 month avg.</t>
    <phoneticPr fontId="112" type="noConversion"/>
  </si>
  <si>
    <t>12 month avg.</t>
    <phoneticPr fontId="112" type="noConversion"/>
  </si>
  <si>
    <t>1month avg.</t>
    <phoneticPr fontId="112" type="noConversion"/>
  </si>
  <si>
    <t>24 month avg.</t>
    <phoneticPr fontId="112" type="noConversion"/>
  </si>
  <si>
    <t>60 month avg.</t>
    <phoneticPr fontId="112" type="noConversion"/>
  </si>
  <si>
    <t>120 month avg.</t>
    <phoneticPr fontId="112" type="noConversion"/>
  </si>
  <si>
    <t>&lt;Cost of Debt&gt;</t>
    <phoneticPr fontId="1" type="noConversion"/>
  </si>
  <si>
    <t>AA+</t>
    <phoneticPr fontId="112" type="noConversion"/>
  </si>
  <si>
    <t>&lt;Cost of Lease Liabilities&gt;</t>
    <phoneticPr fontId="1" type="noConversion"/>
  </si>
  <si>
    <t>&lt;Damodaran&gt;</t>
    <phoneticPr fontId="112" type="noConversion"/>
  </si>
  <si>
    <t>Mature Equity Market</t>
    <phoneticPr fontId="112" type="noConversion"/>
  </si>
  <si>
    <t>&lt;CPI&gt;</t>
    <phoneticPr fontId="112" type="noConversion"/>
  </si>
  <si>
    <t>CPI Spread</t>
    <phoneticPr fontId="112" type="noConversion"/>
  </si>
  <si>
    <t>EIU Data (2023E)</t>
    <phoneticPr fontId="112" type="noConversion"/>
  </si>
  <si>
    <t>USA</t>
    <phoneticPr fontId="112" type="noConversion"/>
  </si>
  <si>
    <t>&lt;Duff &amp; Phelps&gt;</t>
    <phoneticPr fontId="112" type="noConversion"/>
  </si>
  <si>
    <r>
      <t xml:space="preserve">&lt;= Terminal year </t>
    </r>
    <r>
      <rPr>
        <b/>
        <sz val="9"/>
        <rFont val="맑은 고딕"/>
        <family val="3"/>
        <charset val="129"/>
      </rPr>
      <t>기준</t>
    </r>
    <r>
      <rPr>
        <b/>
        <sz val="9"/>
        <rFont val="Arial"/>
        <family val="2"/>
      </rPr>
      <t xml:space="preserve"> EBIT</t>
    </r>
    <r>
      <rPr>
        <b/>
        <sz val="9"/>
        <rFont val="맑은 고딕"/>
        <family val="3"/>
        <charset val="129"/>
      </rPr>
      <t>규모에</t>
    </r>
    <r>
      <rPr>
        <b/>
        <sz val="9"/>
        <rFont val="Arial"/>
        <family val="2"/>
      </rPr>
      <t xml:space="preserve"> </t>
    </r>
    <r>
      <rPr>
        <b/>
        <sz val="9"/>
        <rFont val="맑은 고딕"/>
        <family val="3"/>
        <charset val="129"/>
      </rPr>
      <t>따름</t>
    </r>
    <r>
      <rPr>
        <b/>
        <sz val="9"/>
        <rFont val="Arial"/>
        <family val="2"/>
      </rPr>
      <t xml:space="preserve"> =&gt; 11%(~2</t>
    </r>
    <r>
      <rPr>
        <b/>
        <sz val="9"/>
        <rFont val="맑은 고딕"/>
        <family val="3"/>
        <charset val="129"/>
      </rPr>
      <t>억</t>
    </r>
    <r>
      <rPr>
        <b/>
        <sz val="9"/>
        <rFont val="Arial"/>
        <family val="2"/>
      </rPr>
      <t>), 22%(~200</t>
    </r>
    <r>
      <rPr>
        <b/>
        <sz val="9"/>
        <rFont val="맑은 고딕"/>
        <family val="3"/>
        <charset val="129"/>
      </rPr>
      <t>억</t>
    </r>
    <r>
      <rPr>
        <b/>
        <sz val="9"/>
        <rFont val="Arial"/>
        <family val="2"/>
      </rPr>
      <t>), 24.2%(200</t>
    </r>
    <r>
      <rPr>
        <b/>
        <sz val="9"/>
        <rFont val="맑은 고딕"/>
        <family val="3"/>
        <charset val="129"/>
      </rPr>
      <t>억</t>
    </r>
    <r>
      <rPr>
        <b/>
        <sz val="9"/>
        <rFont val="Arial"/>
        <family val="2"/>
      </rPr>
      <t>~3000</t>
    </r>
    <r>
      <rPr>
        <b/>
        <sz val="9"/>
        <rFont val="Arial Unicode MS"/>
        <family val="2"/>
        <charset val="129"/>
      </rPr>
      <t>억</t>
    </r>
    <r>
      <rPr>
        <b/>
        <sz val="9"/>
        <rFont val="Arial"/>
        <family val="2"/>
      </rPr>
      <t>), 27.5%(3000</t>
    </r>
    <r>
      <rPr>
        <b/>
        <sz val="9"/>
        <rFont val="Arial Unicode MS"/>
        <family val="2"/>
        <charset val="129"/>
      </rPr>
      <t>억</t>
    </r>
    <r>
      <rPr>
        <b/>
        <sz val="9"/>
        <rFont val="Arial"/>
        <family val="2"/>
      </rPr>
      <t>~)</t>
    </r>
    <phoneticPr fontId="112" type="noConversion"/>
  </si>
  <si>
    <r>
      <t>Guideline Public Company</t>
    </r>
    <r>
      <rPr>
        <b/>
        <vertAlign val="superscript"/>
        <sz val="9"/>
        <color indexed="9"/>
        <rFont val="Arial"/>
        <family val="2"/>
      </rPr>
      <t>(1)</t>
    </r>
    <phoneticPr fontId="1" type="noConversion"/>
  </si>
  <si>
    <r>
      <t>MKT Cap</t>
    </r>
    <r>
      <rPr>
        <b/>
        <vertAlign val="superscript"/>
        <sz val="9"/>
        <color indexed="9"/>
        <rFont val="Arial"/>
        <family val="2"/>
      </rPr>
      <t>(3)</t>
    </r>
    <phoneticPr fontId="1" type="noConversion"/>
  </si>
  <si>
    <r>
      <t>IBD</t>
    </r>
    <r>
      <rPr>
        <b/>
        <vertAlign val="superscript"/>
        <sz val="9"/>
        <color indexed="9"/>
        <rFont val="Arial"/>
        <family val="2"/>
      </rPr>
      <t>(4)</t>
    </r>
    <phoneticPr fontId="1" type="noConversion"/>
  </si>
  <si>
    <r>
      <t>Beta</t>
    </r>
    <r>
      <rPr>
        <b/>
        <vertAlign val="superscript"/>
        <sz val="9"/>
        <color indexed="9"/>
        <rFont val="Arial"/>
        <family val="2"/>
      </rPr>
      <t>(2)</t>
    </r>
    <phoneticPr fontId="1" type="noConversion"/>
  </si>
  <si>
    <r>
      <t xml:space="preserve">  : Size Premium </t>
    </r>
    <r>
      <rPr>
        <b/>
        <sz val="9"/>
        <rFont val="맑은 고딕"/>
        <family val="3"/>
        <charset val="129"/>
      </rPr>
      <t>적용</t>
    </r>
    <r>
      <rPr>
        <b/>
        <sz val="9"/>
        <rFont val="Arial"/>
        <family val="2"/>
      </rPr>
      <t xml:space="preserve"> </t>
    </r>
    <r>
      <rPr>
        <b/>
        <sz val="9"/>
        <rFont val="맑은 고딕"/>
        <family val="3"/>
        <charset val="129"/>
      </rPr>
      <t>방법</t>
    </r>
    <phoneticPr fontId="112" type="noConversion"/>
  </si>
  <si>
    <r>
      <t>3</t>
    </r>
    <r>
      <rPr>
        <sz val="9"/>
        <rFont val="맑은 고딕"/>
        <family val="3"/>
        <charset val="129"/>
      </rPr>
      <t>구간</t>
    </r>
  </si>
  <si>
    <r>
      <t>10</t>
    </r>
    <r>
      <rPr>
        <sz val="9"/>
        <rFont val="맑은 고딕"/>
        <family val="3"/>
        <charset val="129"/>
      </rPr>
      <t>구간</t>
    </r>
  </si>
  <si>
    <r>
      <t xml:space="preserve">  : </t>
    </r>
    <r>
      <rPr>
        <b/>
        <sz val="9"/>
        <rFont val="Arial Unicode MS"/>
        <family val="2"/>
        <charset val="129"/>
      </rPr>
      <t>리스부채 반영여부</t>
    </r>
    <phoneticPr fontId="112" type="noConversion"/>
  </si>
  <si>
    <r>
      <rPr>
        <sz val="9"/>
        <rFont val="돋움"/>
        <family val="3"/>
        <charset val="129"/>
      </rPr>
      <t>신용등급</t>
    </r>
    <r>
      <rPr>
        <sz val="9"/>
        <rFont val="Arial"/>
        <family val="2"/>
      </rPr>
      <t xml:space="preserve"> </t>
    </r>
    <r>
      <rPr>
        <sz val="9"/>
        <rFont val="돋움"/>
        <family val="3"/>
        <charset val="129"/>
      </rPr>
      <t>시가수익률</t>
    </r>
    <phoneticPr fontId="112" type="noConversion"/>
  </si>
  <si>
    <r>
      <t>Cost of Equity (K</t>
    </r>
    <r>
      <rPr>
        <b/>
        <u/>
        <vertAlign val="subscript"/>
        <sz val="9"/>
        <rFont val="Arial"/>
        <family val="2"/>
      </rPr>
      <t>E</t>
    </r>
    <r>
      <rPr>
        <b/>
        <u/>
        <sz val="9"/>
        <rFont val="Arial"/>
        <family val="2"/>
      </rPr>
      <t>)</t>
    </r>
  </si>
  <si>
    <r>
      <t>Risk Free Rate</t>
    </r>
    <r>
      <rPr>
        <b/>
        <vertAlign val="superscript"/>
        <sz val="9"/>
        <color indexed="9"/>
        <rFont val="Arial"/>
        <family val="2"/>
      </rPr>
      <t>(5)</t>
    </r>
    <phoneticPr fontId="1" type="noConversion"/>
  </si>
  <si>
    <r>
      <t>Equity Risk Premium</t>
    </r>
    <r>
      <rPr>
        <b/>
        <vertAlign val="superscript"/>
        <sz val="9"/>
        <color indexed="9"/>
        <rFont val="Arial"/>
        <family val="2"/>
      </rPr>
      <t>(6)</t>
    </r>
    <phoneticPr fontId="1" type="noConversion"/>
  </si>
  <si>
    <r>
      <t>Country Risk Premium</t>
    </r>
    <r>
      <rPr>
        <b/>
        <vertAlign val="superscript"/>
        <sz val="9"/>
        <color indexed="9"/>
        <rFont val="Arial"/>
        <family val="2"/>
      </rPr>
      <t>(7)</t>
    </r>
    <phoneticPr fontId="112" type="noConversion"/>
  </si>
  <si>
    <r>
      <t>Size Premium</t>
    </r>
    <r>
      <rPr>
        <b/>
        <vertAlign val="superscript"/>
        <sz val="9"/>
        <color indexed="9"/>
        <rFont val="Arial"/>
        <family val="2"/>
      </rPr>
      <t>(8)</t>
    </r>
    <phoneticPr fontId="112" type="noConversion"/>
  </si>
  <si>
    <r>
      <t>After-Tax Cost of Debt (K</t>
    </r>
    <r>
      <rPr>
        <b/>
        <u/>
        <vertAlign val="subscript"/>
        <sz val="9"/>
        <rFont val="Arial"/>
        <family val="2"/>
      </rPr>
      <t>D</t>
    </r>
    <r>
      <rPr>
        <b/>
        <u/>
        <sz val="9"/>
        <rFont val="Arial"/>
        <family val="2"/>
      </rPr>
      <t>)</t>
    </r>
  </si>
  <si>
    <r>
      <t>Pre-Tax Cost of Debt</t>
    </r>
    <r>
      <rPr>
        <b/>
        <vertAlign val="superscript"/>
        <sz val="9"/>
        <color indexed="9"/>
        <rFont val="Arial"/>
        <family val="2"/>
      </rPr>
      <t>(9)</t>
    </r>
    <phoneticPr fontId="33" type="noConversion"/>
  </si>
  <si>
    <r>
      <t>Captial Structure</t>
    </r>
    <r>
      <rPr>
        <b/>
        <vertAlign val="superscript"/>
        <sz val="9"/>
        <color indexed="9"/>
        <rFont val="Arial"/>
        <family val="2"/>
      </rPr>
      <t>(10)</t>
    </r>
    <phoneticPr fontId="33" type="noConversion"/>
  </si>
  <si>
    <r>
      <t>After-Tax Cost of Lease Liabilities (K</t>
    </r>
    <r>
      <rPr>
        <b/>
        <u/>
        <vertAlign val="subscript"/>
        <sz val="9"/>
        <rFont val="Arial"/>
        <family val="2"/>
      </rPr>
      <t>L</t>
    </r>
    <r>
      <rPr>
        <b/>
        <u/>
        <sz val="9"/>
        <rFont val="Arial"/>
        <family val="2"/>
      </rPr>
      <t>)</t>
    </r>
    <phoneticPr fontId="112" type="noConversion"/>
  </si>
  <si>
    <r>
      <rPr>
        <b/>
        <sz val="9"/>
        <color theme="0" tint="-0.499984740745262"/>
        <rFont val="Arial Unicode MS"/>
        <family val="2"/>
        <charset val="129"/>
      </rPr>
      <t xml:space="preserve">목표 </t>
    </r>
    <r>
      <rPr>
        <b/>
        <sz val="9"/>
        <color theme="0" tint="-0.499984740745262"/>
        <rFont val="Arial"/>
        <family val="2"/>
      </rPr>
      <t>D/E Ratio</t>
    </r>
    <phoneticPr fontId="112" type="noConversion"/>
  </si>
  <si>
    <r>
      <t>Pre-Tax Cost of Lease</t>
    </r>
    <r>
      <rPr>
        <b/>
        <vertAlign val="superscript"/>
        <sz val="9"/>
        <color indexed="9"/>
        <rFont val="Arial"/>
        <family val="2"/>
      </rPr>
      <t>(9)</t>
    </r>
    <phoneticPr fontId="33" type="noConversion"/>
  </si>
  <si>
    <r>
      <rPr>
        <sz val="9"/>
        <rFont val="맑은 고딕"/>
        <family val="3"/>
        <charset val="129"/>
      </rPr>
      <t>대상회사와</t>
    </r>
    <r>
      <rPr>
        <sz val="9"/>
        <rFont val="Arial"/>
        <family val="2"/>
      </rPr>
      <t xml:space="preserve"> </t>
    </r>
    <r>
      <rPr>
        <sz val="9"/>
        <rFont val="맑은 고딕"/>
        <family val="3"/>
        <charset val="129"/>
      </rPr>
      <t>유사한</t>
    </r>
    <r>
      <rPr>
        <sz val="9"/>
        <rFont val="Arial"/>
        <family val="2"/>
      </rPr>
      <t xml:space="preserve"> </t>
    </r>
    <r>
      <rPr>
        <sz val="9"/>
        <rFont val="맑은 고딕"/>
        <family val="3"/>
        <charset val="129"/>
      </rPr>
      <t>사업을</t>
    </r>
    <r>
      <rPr>
        <sz val="9"/>
        <rFont val="Arial"/>
        <family val="2"/>
      </rPr>
      <t xml:space="preserve"> </t>
    </r>
    <r>
      <rPr>
        <sz val="9"/>
        <rFont val="맑은 고딕"/>
        <family val="3"/>
        <charset val="129"/>
      </rPr>
      <t>영위하고</t>
    </r>
    <r>
      <rPr>
        <sz val="9"/>
        <rFont val="Arial"/>
        <family val="2"/>
      </rPr>
      <t xml:space="preserve"> </t>
    </r>
    <r>
      <rPr>
        <sz val="9"/>
        <rFont val="맑은 고딕"/>
        <family val="3"/>
        <charset val="129"/>
      </rPr>
      <t>있는</t>
    </r>
    <r>
      <rPr>
        <sz val="9"/>
        <rFont val="Arial"/>
        <family val="2"/>
      </rPr>
      <t xml:space="preserve"> </t>
    </r>
    <r>
      <rPr>
        <sz val="9"/>
        <rFont val="맑은 고딕"/>
        <family val="3"/>
        <charset val="129"/>
      </rPr>
      <t>회사를</t>
    </r>
    <r>
      <rPr>
        <sz val="9"/>
        <rFont val="Arial"/>
        <family val="2"/>
      </rPr>
      <t xml:space="preserve"> </t>
    </r>
    <r>
      <rPr>
        <sz val="9"/>
        <rFont val="맑은 고딕"/>
        <family val="3"/>
        <charset val="129"/>
      </rPr>
      <t>선정</t>
    </r>
    <phoneticPr fontId="112" type="noConversion"/>
  </si>
  <si>
    <r>
      <t xml:space="preserve">2014 Ibbotson SBBI Market Report </t>
    </r>
    <r>
      <rPr>
        <sz val="9"/>
        <rFont val="맑은 고딕"/>
        <family val="3"/>
        <charset val="129"/>
      </rPr>
      <t>기준</t>
    </r>
    <r>
      <rPr>
        <sz val="9"/>
        <rFont val="Arial"/>
        <family val="2"/>
      </rPr>
      <t xml:space="preserve"> Micro-Cap 3.8% </t>
    </r>
    <r>
      <rPr>
        <sz val="9"/>
        <rFont val="맑은 고딕"/>
        <family val="3"/>
        <charset val="129"/>
      </rPr>
      <t>적용</t>
    </r>
    <r>
      <rPr>
        <sz val="9"/>
        <rFont val="Arial"/>
        <family val="2"/>
      </rPr>
      <t xml:space="preserve"> (Source: Morningstar, Inc.)</t>
    </r>
  </si>
  <si>
    <r>
      <rPr>
        <sz val="9"/>
        <rFont val="맑은 고딕"/>
        <family val="3"/>
        <charset val="129"/>
      </rPr>
      <t>유사회사의</t>
    </r>
    <r>
      <rPr>
        <sz val="9"/>
        <rFont val="Arial"/>
        <family val="2"/>
      </rPr>
      <t xml:space="preserve"> </t>
    </r>
    <r>
      <rPr>
        <sz val="9"/>
        <rFont val="맑은 고딕"/>
        <family val="3"/>
        <charset val="129"/>
      </rPr>
      <t>평균</t>
    </r>
    <r>
      <rPr>
        <sz val="9"/>
        <rFont val="Arial"/>
        <family val="2"/>
      </rPr>
      <t xml:space="preserve"> </t>
    </r>
    <r>
      <rPr>
        <sz val="9"/>
        <rFont val="맑은 고딕"/>
        <family val="3"/>
        <charset val="129"/>
      </rPr>
      <t>자본구조</t>
    </r>
    <r>
      <rPr>
        <sz val="9"/>
        <rFont val="Arial"/>
        <family val="2"/>
      </rPr>
      <t xml:space="preserve"> </t>
    </r>
    <r>
      <rPr>
        <sz val="9"/>
        <rFont val="맑은 고딕"/>
        <family val="3"/>
        <charset val="129"/>
      </rPr>
      <t>적용</t>
    </r>
    <phoneticPr fontId="112" type="noConversion"/>
  </si>
  <si>
    <r>
      <t xml:space="preserve">&lt;Beta </t>
    </r>
    <r>
      <rPr>
        <b/>
        <sz val="9"/>
        <rFont val="맑은 고딕"/>
        <family val="3"/>
        <charset val="129"/>
      </rPr>
      <t>선정</t>
    </r>
    <r>
      <rPr>
        <b/>
        <sz val="9"/>
        <rFont val="Arial"/>
        <family val="2"/>
      </rPr>
      <t>&gt;</t>
    </r>
    <phoneticPr fontId="112" type="noConversion"/>
  </si>
  <si>
    <r>
      <t>&lt;</t>
    </r>
    <r>
      <rPr>
        <b/>
        <sz val="9"/>
        <rFont val="맑은 고딕"/>
        <family val="3"/>
        <charset val="129"/>
      </rPr>
      <t>시가총액</t>
    </r>
    <r>
      <rPr>
        <b/>
        <sz val="9"/>
        <rFont val="Arial"/>
        <family val="2"/>
      </rPr>
      <t xml:space="preserve"> </t>
    </r>
    <r>
      <rPr>
        <b/>
        <sz val="9"/>
        <rFont val="맑은 고딕"/>
        <family val="3"/>
        <charset val="129"/>
      </rPr>
      <t>선정</t>
    </r>
    <r>
      <rPr>
        <b/>
        <sz val="9"/>
        <rFont val="Arial"/>
        <family val="2"/>
      </rPr>
      <t>&gt;</t>
    </r>
    <phoneticPr fontId="112" type="noConversion"/>
  </si>
  <si>
    <r>
      <t>&lt;</t>
    </r>
    <r>
      <rPr>
        <b/>
        <sz val="9"/>
        <rFont val="맑은 고딕"/>
        <family val="3"/>
        <charset val="129"/>
      </rPr>
      <t>이자부부채</t>
    </r>
    <r>
      <rPr>
        <b/>
        <sz val="9"/>
        <rFont val="Arial"/>
        <family val="2"/>
      </rPr>
      <t xml:space="preserve"> </t>
    </r>
    <r>
      <rPr>
        <b/>
        <sz val="9"/>
        <rFont val="맑은 고딕"/>
        <family val="3"/>
        <charset val="129"/>
      </rPr>
      <t>선정</t>
    </r>
    <r>
      <rPr>
        <b/>
        <sz val="9"/>
        <rFont val="Arial"/>
        <family val="2"/>
      </rPr>
      <t>&gt;</t>
    </r>
    <phoneticPr fontId="112" type="noConversion"/>
  </si>
  <si>
    <r>
      <rPr>
        <b/>
        <sz val="9"/>
        <color theme="0"/>
        <rFont val="맑은 고딕"/>
        <family val="3"/>
        <charset val="129"/>
      </rPr>
      <t>이자부부채</t>
    </r>
    <phoneticPr fontId="112" type="noConversion"/>
  </si>
  <si>
    <r>
      <rPr>
        <b/>
        <sz val="9"/>
        <color theme="0"/>
        <rFont val="맑은 고딕"/>
        <family val="3"/>
        <charset val="129"/>
      </rPr>
      <t>비지배지분</t>
    </r>
    <phoneticPr fontId="112" type="noConversion"/>
  </si>
  <si>
    <r>
      <rPr>
        <b/>
        <sz val="9"/>
        <color theme="0"/>
        <rFont val="맑은 고딕"/>
        <family val="3"/>
        <charset val="129"/>
      </rPr>
      <t>기준일</t>
    </r>
  </si>
  <si>
    <r>
      <t xml:space="preserve">&lt;Bloomberg </t>
    </r>
    <r>
      <rPr>
        <b/>
        <sz val="9"/>
        <rFont val="맑은 고딕"/>
        <family val="3"/>
        <charset val="129"/>
      </rPr>
      <t>방식</t>
    </r>
    <r>
      <rPr>
        <b/>
        <sz val="9"/>
        <rFont val="Arial"/>
        <family val="2"/>
      </rPr>
      <t xml:space="preserve"> Rf, Equity Risk Premium </t>
    </r>
    <r>
      <rPr>
        <b/>
        <sz val="9"/>
        <rFont val="맑은 고딕"/>
        <family val="3"/>
        <charset val="129"/>
      </rPr>
      <t>선정</t>
    </r>
    <r>
      <rPr>
        <b/>
        <sz val="9"/>
        <rFont val="Arial"/>
        <family val="2"/>
      </rPr>
      <t>&gt;</t>
    </r>
  </si>
  <si>
    <r>
      <t xml:space="preserve">&lt;Damodaran </t>
    </r>
    <r>
      <rPr>
        <b/>
        <sz val="9"/>
        <rFont val="맑은 고딕"/>
        <family val="3"/>
        <charset val="129"/>
      </rPr>
      <t>방식</t>
    </r>
    <r>
      <rPr>
        <b/>
        <sz val="9"/>
        <rFont val="Arial"/>
        <family val="2"/>
      </rPr>
      <t xml:space="preserve"> Rf </t>
    </r>
    <r>
      <rPr>
        <b/>
        <sz val="9"/>
        <rFont val="맑은 고딕"/>
        <family val="3"/>
        <charset val="129"/>
      </rPr>
      <t>선정</t>
    </r>
    <r>
      <rPr>
        <b/>
        <sz val="9"/>
        <rFont val="Arial"/>
        <family val="2"/>
      </rPr>
      <t>&gt;</t>
    </r>
    <phoneticPr fontId="112" type="noConversion"/>
  </si>
  <si>
    <r>
      <t>US 10</t>
    </r>
    <r>
      <rPr>
        <b/>
        <sz val="9"/>
        <color theme="0"/>
        <rFont val="돋움"/>
        <family val="3"/>
        <charset val="129"/>
      </rPr>
      <t>년물</t>
    </r>
    <phoneticPr fontId="112" type="noConversion"/>
  </si>
  <si>
    <r>
      <rPr>
        <b/>
        <sz val="9"/>
        <color theme="0"/>
        <rFont val="맑은 고딕"/>
        <family val="3"/>
        <charset val="129"/>
      </rPr>
      <t>대상회사의</t>
    </r>
    <r>
      <rPr>
        <b/>
        <sz val="9"/>
        <color theme="0"/>
        <rFont val="Arial"/>
        <family val="2"/>
      </rPr>
      <t xml:space="preserve"> </t>
    </r>
    <r>
      <rPr>
        <b/>
        <sz val="9"/>
        <color theme="0"/>
        <rFont val="맑은 고딕"/>
        <family val="3"/>
        <charset val="129"/>
      </rPr>
      <t>가중평균차입이자율</t>
    </r>
    <phoneticPr fontId="1" type="noConversion"/>
  </si>
  <si>
    <r>
      <rPr>
        <b/>
        <sz val="9"/>
        <color theme="0"/>
        <rFont val="맑은 고딕"/>
        <family val="3"/>
        <charset val="129"/>
      </rPr>
      <t>대상회사의</t>
    </r>
    <r>
      <rPr>
        <b/>
        <sz val="9"/>
        <color theme="0"/>
        <rFont val="Arial"/>
        <family val="2"/>
      </rPr>
      <t xml:space="preserve"> </t>
    </r>
    <r>
      <rPr>
        <b/>
        <sz val="9"/>
        <color theme="0"/>
        <rFont val="맑은 고딕"/>
        <family val="3"/>
        <charset val="129"/>
      </rPr>
      <t>신용등급</t>
    </r>
    <phoneticPr fontId="1" type="noConversion"/>
  </si>
  <si>
    <r>
      <t xml:space="preserve">Kisline </t>
    </r>
    <r>
      <rPr>
        <sz val="9"/>
        <color rgb="FF000000"/>
        <rFont val="맑은 고딕"/>
        <family val="3"/>
        <charset val="129"/>
      </rPr>
      <t>기업평가등급</t>
    </r>
    <phoneticPr fontId="1" type="noConversion"/>
  </si>
  <si>
    <r>
      <rPr>
        <sz val="9"/>
        <color rgb="FF000000"/>
        <rFont val="맑은 고딕"/>
        <family val="3"/>
        <charset val="129"/>
      </rPr>
      <t>회사제시</t>
    </r>
    <r>
      <rPr>
        <sz val="9"/>
        <color rgb="FF000000"/>
        <rFont val="Arial"/>
        <family val="2"/>
      </rPr>
      <t xml:space="preserve"> </t>
    </r>
    <r>
      <rPr>
        <sz val="9"/>
        <color rgb="FF000000"/>
        <rFont val="맑은 고딕"/>
        <family val="3"/>
        <charset val="129"/>
      </rPr>
      <t>신용등급</t>
    </r>
    <phoneticPr fontId="1" type="noConversion"/>
  </si>
  <si>
    <r>
      <t xml:space="preserve">DART </t>
    </r>
    <r>
      <rPr>
        <sz val="9"/>
        <color rgb="FF000000"/>
        <rFont val="맑은 고딕"/>
        <family val="3"/>
        <charset val="129"/>
      </rPr>
      <t>공시</t>
    </r>
    <r>
      <rPr>
        <sz val="9"/>
        <color rgb="FF000000"/>
        <rFont val="Arial"/>
        <family val="2"/>
      </rPr>
      <t xml:space="preserve"> </t>
    </r>
    <r>
      <rPr>
        <sz val="9"/>
        <color rgb="FF000000"/>
        <rFont val="맑은 고딕"/>
        <family val="3"/>
        <charset val="129"/>
      </rPr>
      <t>신용등급</t>
    </r>
    <phoneticPr fontId="1" type="noConversion"/>
  </si>
  <si>
    <r>
      <rPr>
        <b/>
        <sz val="9"/>
        <color theme="0"/>
        <rFont val="맑은 고딕"/>
        <family val="3"/>
        <charset val="129"/>
      </rPr>
      <t>회사채</t>
    </r>
    <r>
      <rPr>
        <b/>
        <sz val="9"/>
        <color theme="0"/>
        <rFont val="Arial"/>
        <family val="2"/>
      </rPr>
      <t xml:space="preserve"> I(</t>
    </r>
    <r>
      <rPr>
        <b/>
        <sz val="9"/>
        <color theme="0"/>
        <rFont val="맑은 고딕"/>
        <family val="3"/>
        <charset val="129"/>
      </rPr>
      <t>공모사채</t>
    </r>
    <r>
      <rPr>
        <b/>
        <sz val="9"/>
        <color theme="0"/>
        <rFont val="Arial"/>
        <family val="2"/>
      </rPr>
      <t xml:space="preserve">) </t>
    </r>
    <r>
      <rPr>
        <b/>
        <sz val="9"/>
        <color theme="0"/>
        <rFont val="맑은 고딕"/>
        <family val="3"/>
        <charset val="129"/>
      </rPr>
      <t>무보증</t>
    </r>
    <phoneticPr fontId="1" type="noConversion"/>
  </si>
  <si>
    <r>
      <rPr>
        <b/>
        <sz val="9"/>
        <color theme="0"/>
        <rFont val="맑은 고딕"/>
        <family val="3"/>
        <charset val="129"/>
      </rPr>
      <t>대상회사의</t>
    </r>
    <r>
      <rPr>
        <b/>
        <sz val="9"/>
        <color theme="0"/>
        <rFont val="Arial"/>
        <family val="2"/>
      </rPr>
      <t xml:space="preserve"> </t>
    </r>
    <r>
      <rPr>
        <b/>
        <sz val="9"/>
        <color theme="0"/>
        <rFont val="맑은 고딕"/>
        <family val="3"/>
        <charset val="129"/>
      </rPr>
      <t>가중평균 증분차입이자율</t>
    </r>
    <phoneticPr fontId="1" type="noConversion"/>
  </si>
  <si>
    <t>사업계획_판가</t>
    <phoneticPr fontId="1" type="noConversion"/>
  </si>
  <si>
    <t>조정 등</t>
    <phoneticPr fontId="1" type="noConversion"/>
  </si>
  <si>
    <t>용역매출원가 등</t>
    <phoneticPr fontId="1" type="noConversion"/>
  </si>
  <si>
    <t>용역매출원가등</t>
    <phoneticPr fontId="1" type="noConversion"/>
  </si>
  <si>
    <t>귀속시기</t>
    <phoneticPr fontId="1" type="noConversion"/>
  </si>
  <si>
    <t>원재료비</t>
  </si>
  <si>
    <t>Kg</t>
    <phoneticPr fontId="1" type="noConversion"/>
  </si>
  <si>
    <t>노무비</t>
  </si>
  <si>
    <t>수선비</t>
    <phoneticPr fontId="1" type="noConversion"/>
  </si>
  <si>
    <t>기타고정비</t>
    <phoneticPr fontId="1" type="noConversion"/>
  </si>
  <si>
    <t>저가법평가</t>
    <phoneticPr fontId="1" type="noConversion"/>
  </si>
  <si>
    <t>채취량(표준채취량)</t>
    <phoneticPr fontId="1" type="noConversion"/>
  </si>
  <si>
    <t>실 채취율</t>
    <phoneticPr fontId="1" type="noConversion"/>
  </si>
  <si>
    <t>화성공정</t>
    <phoneticPr fontId="1" type="noConversion"/>
  </si>
  <si>
    <t>귀금속공정</t>
    <phoneticPr fontId="1" type="noConversion"/>
  </si>
  <si>
    <t>표준 채취율</t>
    <phoneticPr fontId="1" type="noConversion"/>
  </si>
  <si>
    <t>Excess(실 채취율 - 표준 채취율)</t>
    <phoneticPr fontId="1" type="noConversion"/>
  </si>
  <si>
    <t>표준채취율</t>
  </si>
  <si>
    <t>표준채취율</t>
    <phoneticPr fontId="1" type="noConversion"/>
  </si>
  <si>
    <t>Excess</t>
  </si>
  <si>
    <t>제련/전련공정</t>
  </si>
  <si>
    <t>공정구분</t>
    <phoneticPr fontId="1" type="noConversion"/>
  </si>
  <si>
    <t>전기동 판매량</t>
    <phoneticPr fontId="1" type="noConversion"/>
  </si>
  <si>
    <t>원</t>
    <phoneticPr fontId="1" type="noConversion"/>
  </si>
  <si>
    <t>기타공정</t>
    <phoneticPr fontId="1" type="noConversion"/>
  </si>
  <si>
    <t>(2) 미래 추정(제련/전련공정)</t>
    <phoneticPr fontId="1" type="noConversion"/>
  </si>
  <si>
    <t>현재 수준의 단위당 보조재료비 유지 가정</t>
    <phoneticPr fontId="1" type="noConversion"/>
  </si>
  <si>
    <t>2021 3m은 2021 9mA 수준의 단위당 보조재료비 유지 및 2022년 이후 생산자물가상승율 수준 상승 가정</t>
    <phoneticPr fontId="1" type="noConversion"/>
  </si>
  <si>
    <t>2021 3m은 2021 9mA 수준의 단위당 보조재료비 유지 및 2022년 이후 과거 평균 수준의 보조재료비 유지 가정</t>
    <phoneticPr fontId="1" type="noConversion"/>
  </si>
  <si>
    <t>2021 3m은 2021 9mA 수준의 비율 유지 및 이후 과거 평균 수준의 비율 가정</t>
    <phoneticPr fontId="1" type="noConversion"/>
  </si>
  <si>
    <t>USD/Kg</t>
    <phoneticPr fontId="1" type="noConversion"/>
  </si>
  <si>
    <t>2021 3m은 2021년 9mA 수준 유지, 이후 과거 평균 수준의 프리미엄 유지 가정</t>
    <phoneticPr fontId="1" type="noConversion"/>
  </si>
  <si>
    <t>CDD</t>
    <phoneticPr fontId="1" type="noConversion"/>
  </si>
  <si>
    <t>2021 3m은 2021년 9mA 수준 유지, 이후 사업계획 프리미엄 유지 가정</t>
    <phoneticPr fontId="1" type="noConversion"/>
  </si>
  <si>
    <t>조황산니켈</t>
  </si>
  <si>
    <t>조황산니켈</t>
    <phoneticPr fontId="1" type="noConversion"/>
  </si>
  <si>
    <t>조황산내켈</t>
    <phoneticPr fontId="1" type="noConversion"/>
  </si>
  <si>
    <t>합계 : TRC외화총금액</t>
  </si>
  <si>
    <t>합계 : 외화금속대</t>
  </si>
  <si>
    <t>합계 : 지불량</t>
  </si>
  <si>
    <t>합계 : 채취량</t>
  </si>
  <si>
    <t>합계 : 함유량</t>
  </si>
  <si>
    <t>금속</t>
  </si>
  <si>
    <t>$</t>
  </si>
  <si>
    <t>외화 금속대</t>
    <phoneticPr fontId="1" type="noConversion"/>
  </si>
  <si>
    <t>제련소</t>
  </si>
  <si>
    <t>제련소</t>
    <phoneticPr fontId="1" type="noConversion"/>
  </si>
  <si>
    <t>사업전략부문</t>
  </si>
  <si>
    <t>영업부문</t>
  </si>
  <si>
    <t>재경부문</t>
  </si>
  <si>
    <r>
      <t>(Ag</t>
    </r>
    <r>
      <rPr>
        <sz val="11"/>
        <color rgb="FF000000"/>
        <rFont val="바탕체"/>
        <family val="1"/>
        <charset val="129"/>
      </rPr>
      <t>소재</t>
    </r>
    <r>
      <rPr>
        <sz val="11"/>
        <color rgb="FF000000"/>
        <rFont val="Arial"/>
        <family val="2"/>
      </rPr>
      <t>)</t>
    </r>
  </si>
  <si>
    <r>
      <t>ODS</t>
    </r>
    <r>
      <rPr>
        <sz val="13"/>
        <color rgb="FF000000"/>
        <rFont val="바탕체"/>
        <family val="1"/>
        <charset val="129"/>
      </rPr>
      <t>완성</t>
    </r>
    <r>
      <rPr>
        <sz val="13"/>
        <color rgb="FF000000"/>
        <rFont val="Arial"/>
        <family val="2"/>
      </rPr>
      <t>TFT</t>
    </r>
  </si>
  <si>
    <t>인원 수 가정</t>
    <phoneticPr fontId="1" type="noConversion"/>
  </si>
  <si>
    <t xml:space="preserve">제련소 </t>
    <phoneticPr fontId="1" type="noConversion"/>
  </si>
  <si>
    <t>명</t>
  </si>
  <si>
    <t>명</t>
    <phoneticPr fontId="1" type="noConversion"/>
  </si>
  <si>
    <t>현재 수준 인원 수 유지 가정</t>
    <phoneticPr fontId="1" type="noConversion"/>
  </si>
  <si>
    <t>회사 사업계획 준용</t>
    <phoneticPr fontId="1" type="noConversion"/>
  </si>
  <si>
    <t>% of 제련/전련공정</t>
    <phoneticPr fontId="1" type="noConversion"/>
  </si>
  <si>
    <t>원</t>
  </si>
  <si>
    <t>ton 당 소모품비</t>
    <phoneticPr fontId="1" type="noConversion"/>
  </si>
  <si>
    <t>제련/전련공정 소모품비</t>
    <phoneticPr fontId="1" type="noConversion"/>
  </si>
  <si>
    <t>기타공정 소모품비</t>
    <phoneticPr fontId="1" type="noConversion"/>
  </si>
  <si>
    <t>2021 4Q는 2021 9개월 단가 유지 및 2022년 이후 과거 평균 수준의 소모품비 가정</t>
    <phoneticPr fontId="1" type="noConversion"/>
  </si>
  <si>
    <t>2021 4Q는 2021 9개월 단가 유지 및 2022년 이후 생산자 물가상승율 수준의 소모품비 증가 가정</t>
    <phoneticPr fontId="1" type="noConversion"/>
  </si>
  <si>
    <t>현재 수준의 제련/전련공정 대비 비율 유지 가정</t>
    <phoneticPr fontId="1" type="noConversion"/>
  </si>
  <si>
    <t>과거 평균 수준의 수준의 제련/전련공정 대비 비율 유지 가정</t>
    <phoneticPr fontId="1" type="noConversion"/>
  </si>
  <si>
    <t>기타 용역원가</t>
    <phoneticPr fontId="1" type="noConversion"/>
  </si>
  <si>
    <t>황산 판매량</t>
    <phoneticPr fontId="1" type="noConversion"/>
  </si>
  <si>
    <t>% of 황산/전기동 용역원가</t>
    <phoneticPr fontId="1" type="noConversion"/>
  </si>
  <si>
    <t>황산 용역원가</t>
    <phoneticPr fontId="1" type="noConversion"/>
  </si>
  <si>
    <t>전기동 용역원가</t>
    <phoneticPr fontId="1" type="noConversion"/>
  </si>
  <si>
    <t>(2) 미래 추정(황산/전기동)</t>
    <phoneticPr fontId="1" type="noConversion"/>
  </si>
  <si>
    <t>(1) 과거 변동: 운송용역과 관련한 원가임. 전기동 용역원가의 2021년 상승은 LS글로벌향 매출 종료 이후 직수출 증가에 따른 증가임</t>
    <phoneticPr fontId="1" type="noConversion"/>
  </si>
  <si>
    <t>2021 3m은 2021 9mA 수준 유지, 이후 생산자 물가상승율 수준 상승 가정</t>
    <phoneticPr fontId="1" type="noConversion"/>
  </si>
  <si>
    <t>(3) 미래 추정(기타)</t>
    <phoneticPr fontId="1" type="noConversion"/>
  </si>
  <si>
    <t>현재 수준의 황산/전기동 대비 비율 유지 가정</t>
    <phoneticPr fontId="1" type="noConversion"/>
  </si>
  <si>
    <t>과거 평균 수준의 황산/전기동 대비 비율 유지 가정</t>
    <phoneticPr fontId="1" type="noConversion"/>
  </si>
  <si>
    <t>저가법 평가</t>
    <phoneticPr fontId="1" type="noConversion"/>
  </si>
  <si>
    <t>기타 고정비</t>
    <phoneticPr fontId="1" type="noConversion"/>
  </si>
  <si>
    <t>향후 황산 손익 (+) 예상되므로, 저가법 평가X</t>
    <phoneticPr fontId="1" type="noConversion"/>
  </si>
  <si>
    <t>생산자 물가상승율 수준 상승</t>
    <phoneticPr fontId="1" type="noConversion"/>
  </si>
  <si>
    <t>인건비 가정 - 인원 수</t>
    <phoneticPr fontId="1" type="noConversion"/>
  </si>
  <si>
    <t>인원 수</t>
    <phoneticPr fontId="1" type="noConversion"/>
  </si>
  <si>
    <t>(1) 과거 변동: 지속적인 감소 추세 2021년 9월 현재 135명 수준</t>
    <phoneticPr fontId="1" type="noConversion"/>
  </si>
  <si>
    <t>현재 수준의 인원 수 유지 가정</t>
    <phoneticPr fontId="1" type="noConversion"/>
  </si>
  <si>
    <t>사업계획 준용</t>
    <phoneticPr fontId="1" type="noConversion"/>
  </si>
  <si>
    <t>(1) 과거 변동: 제련소 부문 인원 수 일부 증가 제외하면 큰 변동 없음</t>
    <phoneticPr fontId="1" type="noConversion"/>
  </si>
  <si>
    <t>WTI</t>
  </si>
  <si>
    <t>Brent</t>
  </si>
  <si>
    <t>Bloomberg</t>
  </si>
  <si>
    <t>Summary</t>
    <phoneticPr fontId="67" type="noConversion"/>
  </si>
  <si>
    <t>단위: USD/bbl</t>
    <phoneticPr fontId="67" type="noConversion"/>
  </si>
  <si>
    <t>WTI</t>
    <phoneticPr fontId="67" type="noConversion"/>
  </si>
  <si>
    <t>Brent</t>
    <phoneticPr fontId="67" type="noConversion"/>
  </si>
  <si>
    <t>Bloomberg</t>
    <phoneticPr fontId="67" type="noConversion"/>
  </si>
  <si>
    <t>YoY %</t>
    <phoneticPr fontId="67" type="noConversion"/>
  </si>
  <si>
    <t>2021 사업계획</t>
    <phoneticPr fontId="1" type="noConversion"/>
  </si>
  <si>
    <t>2022 사업계획</t>
    <phoneticPr fontId="1" type="noConversion"/>
  </si>
  <si>
    <r>
      <t>’20</t>
    </r>
    <r>
      <rPr>
        <b/>
        <sz val="11"/>
        <color rgb="FF000000"/>
        <rFont val="바탕체"/>
        <family val="1"/>
        <charset val="129"/>
      </rPr>
      <t>년</t>
    </r>
  </si>
  <si>
    <r>
      <t>’21</t>
    </r>
    <r>
      <rPr>
        <b/>
        <sz val="11"/>
        <color rgb="FF000000"/>
        <rFont val="바탕체"/>
        <family val="1"/>
        <charset val="129"/>
      </rPr>
      <t>년</t>
    </r>
  </si>
  <si>
    <t>사업계획</t>
  </si>
  <si>
    <r>
      <t>’22</t>
    </r>
    <r>
      <rPr>
        <b/>
        <sz val="11"/>
        <color rgb="FF000000"/>
        <rFont val="바탕체"/>
        <family val="1"/>
        <charset val="129"/>
      </rPr>
      <t>년</t>
    </r>
  </si>
  <si>
    <r>
      <t>’23</t>
    </r>
    <r>
      <rPr>
        <b/>
        <sz val="11"/>
        <color rgb="FF000000"/>
        <rFont val="바탕체"/>
        <family val="1"/>
        <charset val="129"/>
      </rPr>
      <t>년</t>
    </r>
  </si>
  <si>
    <r>
      <t>’24</t>
    </r>
    <r>
      <rPr>
        <b/>
        <sz val="11"/>
        <color rgb="FF000000"/>
        <rFont val="바탕체"/>
        <family val="1"/>
        <charset val="129"/>
      </rPr>
      <t>년</t>
    </r>
  </si>
  <si>
    <r>
      <t>동제련</t>
    </r>
    <r>
      <rPr>
        <b/>
        <sz val="11"/>
        <color rgb="FF000000"/>
        <rFont val="Arial"/>
        <family val="2"/>
      </rPr>
      <t xml:space="preserve"> 계</t>
    </r>
  </si>
  <si>
    <r>
      <t>신규확장</t>
    </r>
    <r>
      <rPr>
        <sz val="9"/>
        <color rgb="FF000000"/>
        <rFont val="Arial"/>
        <family val="2"/>
      </rPr>
      <t>(PSA</t>
    </r>
    <r>
      <rPr>
        <sz val="9"/>
        <color rgb="FF000000"/>
        <rFont val="바탕체"/>
        <family val="1"/>
        <charset val="129"/>
      </rPr>
      <t>투자</t>
    </r>
    <r>
      <rPr>
        <sz val="9"/>
        <color rgb="FF000000"/>
        <rFont val="Arial"/>
        <family val="2"/>
      </rPr>
      <t xml:space="preserve"> </t>
    </r>
    <r>
      <rPr>
        <sz val="9"/>
        <color rgb="FF000000"/>
        <rFont val="바탕체"/>
        <family val="1"/>
        <charset val="129"/>
      </rPr>
      <t>등</t>
    </r>
    <r>
      <rPr>
        <sz val="9"/>
        <color rgb="FF000000"/>
        <rFont val="Arial"/>
        <family val="2"/>
      </rPr>
      <t>)</t>
    </r>
  </si>
  <si>
    <t xml:space="preserve">합리화 </t>
  </si>
  <si>
    <r>
      <t>R&amp;D</t>
    </r>
    <r>
      <rPr>
        <sz val="11"/>
        <color rgb="FF000000"/>
        <rFont val="바탕체"/>
        <family val="1"/>
        <charset val="129"/>
      </rPr>
      <t>투자</t>
    </r>
  </si>
  <si>
    <t>환경안전사전관리</t>
  </si>
  <si>
    <t>사업환경대응</t>
  </si>
  <si>
    <t xml:space="preserve"> ODS</t>
  </si>
  <si>
    <t>(단위: 억원)</t>
    <phoneticPr fontId="1" type="noConversion"/>
  </si>
  <si>
    <r>
      <t xml:space="preserve">※ </t>
    </r>
    <r>
      <rPr>
        <b/>
        <sz val="11"/>
        <color rgb="FF7F7F7F"/>
        <rFont val="바탕체"/>
        <family val="1"/>
        <charset val="129"/>
      </rPr>
      <t>참고</t>
    </r>
    <r>
      <rPr>
        <b/>
        <sz val="11"/>
        <color rgb="FF7F7F7F"/>
        <rFont val="Arial"/>
        <family val="2"/>
      </rPr>
      <t xml:space="preserve">. </t>
    </r>
    <r>
      <rPr>
        <b/>
        <sz val="11"/>
        <color rgb="FF7F7F7F"/>
        <rFont val="바탕체"/>
        <family val="1"/>
        <charset val="129"/>
      </rPr>
      <t>출자사</t>
    </r>
    <r>
      <rPr>
        <b/>
        <sz val="11"/>
        <color rgb="FF7F7F7F"/>
        <rFont val="Arial"/>
        <family val="2"/>
      </rPr>
      <t xml:space="preserve"> 투자 </t>
    </r>
  </si>
  <si>
    <r>
      <t xml:space="preserve">GRM </t>
    </r>
    <r>
      <rPr>
        <sz val="9"/>
        <color rgb="FF7F7F7F"/>
        <rFont val="Arial"/>
        <family val="2"/>
      </rPr>
      <t>(’22, ’24</t>
    </r>
    <r>
      <rPr>
        <sz val="9"/>
        <color rgb="FF7F7F7F"/>
        <rFont val="바탕체"/>
        <family val="1"/>
        <charset val="129"/>
      </rPr>
      <t>년 연례보수</t>
    </r>
    <r>
      <rPr>
        <sz val="9"/>
        <color rgb="FF7F7F7F"/>
        <rFont val="Arial"/>
        <family val="2"/>
      </rPr>
      <t>)</t>
    </r>
  </si>
  <si>
    <t>Torecom</t>
  </si>
  <si>
    <t>Sunwoo</t>
  </si>
  <si>
    <t>당기증가액</t>
  </si>
  <si>
    <t>당기감소액</t>
  </si>
  <si>
    <t>미상각잔액</t>
  </si>
  <si>
    <t>토      지</t>
  </si>
  <si>
    <t>구  축  물</t>
  </si>
  <si>
    <t>기계 장 치</t>
  </si>
  <si>
    <t>비      품</t>
  </si>
  <si>
    <t>건 설 중 인 자 산</t>
  </si>
  <si>
    <t>科            目</t>
    <phoneticPr fontId="44" type="noConversion"/>
  </si>
  <si>
    <t>취득가액</t>
    <phoneticPr fontId="44" type="noConversion"/>
  </si>
  <si>
    <t>당기증가액</t>
    <phoneticPr fontId="44" type="noConversion"/>
  </si>
  <si>
    <t>당기감소액</t>
    <phoneticPr fontId="44" type="noConversion"/>
  </si>
  <si>
    <t>기말잔액</t>
    <phoneticPr fontId="44" type="noConversion"/>
  </si>
  <si>
    <t>감가상각누계액</t>
    <phoneticPr fontId="44" type="noConversion"/>
  </si>
  <si>
    <t>감액손실액</t>
    <phoneticPr fontId="245" type="noConversion"/>
  </si>
  <si>
    <t>미상각잔액</t>
    <phoneticPr fontId="44" type="noConversion"/>
  </si>
  <si>
    <t>기초금액</t>
  </si>
  <si>
    <t>■ 2021년 1Q</t>
    <phoneticPr fontId="44" type="noConversion"/>
  </si>
  <si>
    <t>■ 2021년 2Q</t>
    <phoneticPr fontId="44" type="noConversion"/>
  </si>
  <si>
    <t>■ 2021년 3Q</t>
    <phoneticPr fontId="44" type="noConversion"/>
  </si>
  <si>
    <t>선우--&gt;동제련 전체</t>
    <phoneticPr fontId="44" type="noConversion"/>
  </si>
  <si>
    <t>선우--&gt;동제련 비용처리분</t>
    <phoneticPr fontId="44" type="noConversion"/>
  </si>
  <si>
    <t>매출원가</t>
    <phoneticPr fontId="44" type="noConversion"/>
  </si>
  <si>
    <t>선우--&gt;동제련 자산계상분</t>
    <phoneticPr fontId="67" type="noConversion"/>
  </si>
  <si>
    <t>선우원가</t>
    <phoneticPr fontId="67" type="noConversion"/>
  </si>
  <si>
    <t>매출총이익률</t>
    <phoneticPr fontId="44" type="noConversion"/>
  </si>
  <si>
    <t>미실현유형자산</t>
    <phoneticPr fontId="67" type="noConversion"/>
  </si>
  <si>
    <t>기초금액</t>
    <phoneticPr fontId="67" type="noConversion"/>
  </si>
  <si>
    <t>내용연수</t>
    <phoneticPr fontId="67" type="noConversion"/>
  </si>
  <si>
    <t>과      목</t>
  </si>
  <si>
    <t>기초잔액</t>
  </si>
  <si>
    <t>무형자산합계</t>
  </si>
  <si>
    <t>당 기 상 각 액</t>
  </si>
  <si>
    <t>합   계</t>
  </si>
  <si>
    <t>손 상 차 손</t>
    <phoneticPr fontId="1" type="noConversion"/>
  </si>
  <si>
    <t>(본     사)</t>
    <phoneticPr fontId="44" type="noConversion"/>
  </si>
  <si>
    <t>무형자산 회원권</t>
    <phoneticPr fontId="1" type="noConversion"/>
  </si>
  <si>
    <t>면    허    권</t>
    <phoneticPr fontId="44" type="noConversion"/>
  </si>
  <si>
    <t>소프트웨어 개발비</t>
    <phoneticPr fontId="247" type="noConversion"/>
  </si>
  <si>
    <t>합   계</t>
    <phoneticPr fontId="247" type="noConversion"/>
  </si>
  <si>
    <t>% of 동제련감가상각비</t>
    <phoneticPr fontId="1" type="noConversion"/>
  </si>
  <si>
    <t>1.유형고정자산</t>
    <phoneticPr fontId="44" type="noConversion"/>
  </si>
  <si>
    <t>건          물</t>
    <phoneticPr fontId="44" type="noConversion"/>
  </si>
  <si>
    <t>정 액 법</t>
    <phoneticPr fontId="248" type="noConversion"/>
  </si>
  <si>
    <t>구    축    물</t>
    <phoneticPr fontId="44" type="noConversion"/>
  </si>
  <si>
    <t>"</t>
    <phoneticPr fontId="248" type="noConversion"/>
  </si>
  <si>
    <t>기  계  장  치</t>
    <phoneticPr fontId="44" type="noConversion"/>
  </si>
  <si>
    <t>차 량 운 반 구</t>
    <phoneticPr fontId="44" type="noConversion"/>
  </si>
  <si>
    <t>공 구 와 기 구</t>
    <phoneticPr fontId="44" type="noConversion"/>
  </si>
  <si>
    <t>비          품</t>
    <phoneticPr fontId="44" type="noConversion"/>
  </si>
  <si>
    <t>소    계</t>
    <phoneticPr fontId="44" type="noConversion"/>
  </si>
  <si>
    <t>2. 무형고정자산</t>
    <phoneticPr fontId="44" type="noConversion"/>
  </si>
  <si>
    <t>개    발    비</t>
    <phoneticPr fontId="247" type="noConversion"/>
  </si>
  <si>
    <t>3. 투자부동산</t>
    <phoneticPr fontId="44" type="noConversion"/>
  </si>
  <si>
    <t>건      물</t>
    <phoneticPr fontId="1" type="noConversion"/>
  </si>
  <si>
    <t>합      계</t>
    <phoneticPr fontId="44" type="noConversion"/>
  </si>
  <si>
    <t>2018년분</t>
  </si>
  <si>
    <t>2019년분</t>
  </si>
  <si>
    <t>2020년분</t>
  </si>
  <si>
    <t>2021년분</t>
  </si>
  <si>
    <t>2022년분</t>
  </si>
  <si>
    <t>2023년분</t>
  </si>
  <si>
    <t>2024년분</t>
  </si>
  <si>
    <t>2025년분</t>
  </si>
  <si>
    <t>2026년분</t>
  </si>
  <si>
    <t>2027년분</t>
  </si>
  <si>
    <t>2028년분</t>
  </si>
  <si>
    <t xml:space="preserve">      발생연도
인식시기</t>
    <phoneticPr fontId="44" type="noConversion"/>
  </si>
  <si>
    <t>2015년분</t>
    <phoneticPr fontId="44" type="noConversion"/>
  </si>
  <si>
    <t>2016년분</t>
    <phoneticPr fontId="44" type="noConversion"/>
  </si>
  <si>
    <t>2017년분</t>
    <phoneticPr fontId="44" type="noConversion"/>
  </si>
  <si>
    <t>금액</t>
    <phoneticPr fontId="44" type="noConversion"/>
  </si>
  <si>
    <t>계정과목</t>
  </si>
  <si>
    <t>취득수량</t>
  </si>
  <si>
    <t>취득일자</t>
  </si>
  <si>
    <t>경비</t>
  </si>
  <si>
    <t>소       계</t>
  </si>
  <si>
    <t>자산코드</t>
    <phoneticPr fontId="44" type="noConversion"/>
  </si>
  <si>
    <t>유형자산명</t>
    <phoneticPr fontId="44" type="noConversion"/>
  </si>
  <si>
    <t>유형자산</t>
    <phoneticPr fontId="61" type="noConversion"/>
  </si>
  <si>
    <t>감가상각비</t>
    <phoneticPr fontId="61" type="noConversion"/>
  </si>
  <si>
    <t>유형자산감액손실</t>
    <phoneticPr fontId="44" type="noConversion"/>
  </si>
  <si>
    <t>기초</t>
    <phoneticPr fontId="44" type="noConversion"/>
  </si>
  <si>
    <t>당기취득</t>
    <phoneticPr fontId="44" type="noConversion"/>
  </si>
  <si>
    <t>당기처분</t>
    <phoneticPr fontId="44" type="noConversion"/>
  </si>
  <si>
    <t>기말</t>
    <phoneticPr fontId="61" type="noConversion"/>
  </si>
  <si>
    <t>기초상각누계액</t>
    <phoneticPr fontId="44" type="noConversion"/>
  </si>
  <si>
    <t>당기감가상각비</t>
    <phoneticPr fontId="44" type="noConversion"/>
  </si>
  <si>
    <t>당기감소누계액</t>
    <phoneticPr fontId="61" type="noConversion"/>
  </si>
  <si>
    <t>기말상각누계액</t>
    <phoneticPr fontId="44" type="noConversion"/>
  </si>
  <si>
    <t>기초감액누계액</t>
    <phoneticPr fontId="44" type="noConversion"/>
  </si>
  <si>
    <t>당기감액손실액</t>
    <phoneticPr fontId="44" type="noConversion"/>
  </si>
  <si>
    <t>기말감액누계액</t>
    <phoneticPr fontId="44" type="noConversion"/>
  </si>
  <si>
    <t>(감액손실포함)</t>
    <phoneticPr fontId="44" type="noConversion"/>
  </si>
  <si>
    <t>건물</t>
    <phoneticPr fontId="44" type="noConversion"/>
  </si>
  <si>
    <t>구축물</t>
    <phoneticPr fontId="44" type="noConversion"/>
  </si>
  <si>
    <t>기계장치</t>
    <phoneticPr fontId="44" type="noConversion"/>
  </si>
  <si>
    <t>차량운반구</t>
    <phoneticPr fontId="44" type="noConversion"/>
  </si>
  <si>
    <t>공구와기구</t>
    <phoneticPr fontId="44" type="noConversion"/>
  </si>
  <si>
    <t>집기비품</t>
    <phoneticPr fontId="44" type="noConversion"/>
  </si>
  <si>
    <t>시설장치</t>
    <phoneticPr fontId="44" type="noConversion"/>
  </si>
  <si>
    <t>실험기기</t>
    <phoneticPr fontId="44" type="noConversion"/>
  </si>
  <si>
    <t>취득일</t>
    <phoneticPr fontId="44" type="noConversion"/>
  </si>
  <si>
    <t>자산명</t>
    <phoneticPr fontId="44" type="noConversion"/>
  </si>
  <si>
    <t>무형자산</t>
    <phoneticPr fontId="44" type="noConversion"/>
  </si>
  <si>
    <t>감가상각비</t>
    <phoneticPr fontId="44" type="noConversion"/>
  </si>
  <si>
    <t>당기 월별 감가상각비</t>
    <phoneticPr fontId="44" type="noConversion"/>
  </si>
  <si>
    <t>기말</t>
    <phoneticPr fontId="44" type="noConversion"/>
  </si>
  <si>
    <t>당기감소누계액</t>
    <phoneticPr fontId="44" type="noConversion"/>
  </si>
  <si>
    <t>1월</t>
    <phoneticPr fontId="44" type="noConversion"/>
  </si>
  <si>
    <t>2월</t>
    <phoneticPr fontId="44" type="noConversion"/>
  </si>
  <si>
    <t>3월</t>
    <phoneticPr fontId="44" type="noConversion"/>
  </si>
  <si>
    <t>7월</t>
    <phoneticPr fontId="44" type="noConversion"/>
  </si>
  <si>
    <t>8월</t>
    <phoneticPr fontId="44" type="noConversion"/>
  </si>
  <si>
    <t>9월</t>
    <phoneticPr fontId="44" type="noConversion"/>
  </si>
  <si>
    <t>10월</t>
    <phoneticPr fontId="44" type="noConversion"/>
  </si>
  <si>
    <t>11월</t>
    <phoneticPr fontId="44" type="noConversion"/>
  </si>
  <si>
    <t>소계</t>
    <phoneticPr fontId="44" type="noConversion"/>
  </si>
  <si>
    <t>※ 감가상각법 : 5년 정액법</t>
    <phoneticPr fontId="44" type="noConversion"/>
  </si>
  <si>
    <t>토리컴 유형자산 2021 9m</t>
    <phoneticPr fontId="1" type="noConversion"/>
  </si>
  <si>
    <t>토리컴 무형자산 2021 9m</t>
    <phoneticPr fontId="1" type="noConversion"/>
  </si>
  <si>
    <t>동제련, 선우 내부거래</t>
    <phoneticPr fontId="1" type="noConversion"/>
  </si>
  <si>
    <t>동제련 감가상각비 2021 9m</t>
    <phoneticPr fontId="1" type="noConversion"/>
  </si>
  <si>
    <t>동제련 무형자산 2021 9m</t>
    <phoneticPr fontId="1" type="noConversion"/>
  </si>
  <si>
    <t>동제련 유형자산 2021 9m</t>
    <phoneticPr fontId="1" type="noConversion"/>
  </si>
  <si>
    <t>자산계정</t>
  </si>
  <si>
    <t>내용년수</t>
  </si>
  <si>
    <t>상각율</t>
  </si>
  <si>
    <t>기초가액</t>
  </si>
  <si>
    <t>전월말상각누계액</t>
  </si>
  <si>
    <t>당월증가액</t>
  </si>
  <si>
    <t>당월감소액</t>
  </si>
  <si>
    <t>기말가액</t>
  </si>
  <si>
    <t>충당금감소(증가)</t>
  </si>
  <si>
    <t>일반상각비</t>
  </si>
  <si>
    <t>당기말상각누계액</t>
  </si>
  <si>
    <t>전월말손상누계액</t>
  </si>
  <si>
    <t>당월말손상누계액</t>
  </si>
  <si>
    <t>당월말장부가액</t>
  </si>
  <si>
    <t>[유형자산]</t>
    <phoneticPr fontId="44" type="noConversion"/>
  </si>
  <si>
    <t>토지</t>
    <phoneticPr fontId="44" type="noConversion"/>
  </si>
  <si>
    <t>건물</t>
    <phoneticPr fontId="44" type="noConversion"/>
  </si>
  <si>
    <t>구축물</t>
    <phoneticPr fontId="44" type="noConversion"/>
  </si>
  <si>
    <t>기계장치</t>
    <phoneticPr fontId="44" type="noConversion"/>
  </si>
  <si>
    <t>기계장치 저장품</t>
    <phoneticPr fontId="44" type="noConversion"/>
  </si>
  <si>
    <t>차량운반구</t>
    <phoneticPr fontId="44" type="noConversion"/>
  </si>
  <si>
    <t>공구와기구</t>
    <phoneticPr fontId="44" type="noConversion"/>
  </si>
  <si>
    <t>비품</t>
    <phoneticPr fontId="44" type="noConversion"/>
  </si>
  <si>
    <t>건설중인 자산</t>
    <phoneticPr fontId="44" type="noConversion"/>
  </si>
  <si>
    <t>합계</t>
    <phoneticPr fontId="44" type="noConversion"/>
  </si>
  <si>
    <t>[무형자산]</t>
    <phoneticPr fontId="44" type="noConversion"/>
  </si>
  <si>
    <t>탄소배출권</t>
    <phoneticPr fontId="44" type="noConversion"/>
  </si>
  <si>
    <t>GRM 2021 9m</t>
    <phoneticPr fontId="1" type="noConversion"/>
  </si>
  <si>
    <t>당기증감</t>
  </si>
  <si>
    <t>전기말상각누계액</t>
  </si>
  <si>
    <t>당기상각비</t>
  </si>
  <si>
    <t>자산명</t>
    <phoneticPr fontId="112" type="noConversion"/>
  </si>
  <si>
    <t>취득년월일</t>
    <phoneticPr fontId="112" type="noConversion"/>
  </si>
  <si>
    <t>기초가액</t>
    <phoneticPr fontId="112" type="noConversion"/>
  </si>
  <si>
    <t>당기증감</t>
    <phoneticPr fontId="112" type="noConversion"/>
  </si>
  <si>
    <t>당기감소</t>
    <phoneticPr fontId="112" type="noConversion"/>
  </si>
  <si>
    <t>기말잔액</t>
    <phoneticPr fontId="112" type="noConversion"/>
  </si>
  <si>
    <t>전기말상각누계액</t>
    <phoneticPr fontId="112" type="noConversion"/>
  </si>
  <si>
    <t>상각대상금액</t>
    <phoneticPr fontId="112" type="noConversion"/>
  </si>
  <si>
    <t>년수</t>
    <phoneticPr fontId="112" type="noConversion"/>
  </si>
  <si>
    <t>연간상각비</t>
    <phoneticPr fontId="112" type="noConversion"/>
  </si>
  <si>
    <t>당기상각비</t>
    <phoneticPr fontId="112" type="noConversion"/>
  </si>
  <si>
    <t>환율</t>
    <phoneticPr fontId="112" type="noConversion"/>
  </si>
  <si>
    <t>당기말상각누계액</t>
    <phoneticPr fontId="112" type="noConversion"/>
  </si>
  <si>
    <t>미상각잔액</t>
    <phoneticPr fontId="112" type="noConversion"/>
  </si>
  <si>
    <t xml:space="preserve">MV.CS ONSAN </t>
    <phoneticPr fontId="112" type="noConversion"/>
  </si>
  <si>
    <t>2013.09.03</t>
    <phoneticPr fontId="112" type="noConversion"/>
  </si>
  <si>
    <t>월평균환율</t>
    <phoneticPr fontId="112" type="noConversion"/>
  </si>
  <si>
    <t>역사적환율</t>
    <phoneticPr fontId="112" type="noConversion"/>
  </si>
  <si>
    <t>MV.CS ONSAN 
DOCKING
(21.01~23.06)</t>
    <phoneticPr fontId="112" type="noConversion"/>
  </si>
  <si>
    <t>2020.12.31</t>
    <phoneticPr fontId="112" type="noConversion"/>
  </si>
  <si>
    <t>ERP 프로그램(2)</t>
    <phoneticPr fontId="112" type="noConversion"/>
  </si>
  <si>
    <t>2016.03.07</t>
    <phoneticPr fontId="112" type="noConversion"/>
  </si>
  <si>
    <t>내부회계시스템</t>
    <phoneticPr fontId="112" type="noConversion"/>
  </si>
  <si>
    <t>2016.12.29</t>
    <phoneticPr fontId="112" type="noConversion"/>
  </si>
  <si>
    <t>MS OFFICE 및
한글 프로그램</t>
    <phoneticPr fontId="112" type="noConversion"/>
  </si>
  <si>
    <t>2019.07.19</t>
    <phoneticPr fontId="112" type="noConversion"/>
  </si>
  <si>
    <t>CS마린 2021 9m</t>
    <phoneticPr fontId="1" type="noConversion"/>
  </si>
  <si>
    <t>자산유형</t>
  </si>
  <si>
    <t>충당금증감</t>
  </si>
  <si>
    <t>장부가액</t>
  </si>
  <si>
    <t>선우 2021 9m</t>
    <phoneticPr fontId="1" type="noConversion"/>
  </si>
  <si>
    <t>구출물</t>
    <phoneticPr fontId="1" type="noConversion"/>
  </si>
  <si>
    <t>구      분</t>
  </si>
  <si>
    <t>사업</t>
  </si>
  <si>
    <t>차이</t>
  </si>
  <si>
    <t>전년 대비 차이요인</t>
  </si>
  <si>
    <t>단가 등</t>
  </si>
  <si>
    <t>외부효과</t>
  </si>
  <si>
    <t>ESG</t>
  </si>
  <si>
    <t>대응경영</t>
  </si>
  <si>
    <t>보수</t>
  </si>
  <si>
    <t>(2P → 1P)</t>
  </si>
  <si>
    <t>소재사업</t>
  </si>
  <si>
    <t>온</t>
  </si>
  <si>
    <t>산</t>
  </si>
  <si>
    <t>보조재료비</t>
  </si>
  <si>
    <t>연료비</t>
  </si>
  <si>
    <t>용역비</t>
  </si>
  <si>
    <t>감가비</t>
  </si>
  <si>
    <t>전년 대비 차이내역</t>
  </si>
  <si>
    <t>인건비</t>
  </si>
  <si>
    <t>운반보관료</t>
  </si>
  <si>
    <t xml:space="preserve">- </t>
  </si>
  <si>
    <t>Seoul 계</t>
  </si>
  <si>
    <t xml:space="preserve">연구개발비 </t>
  </si>
  <si>
    <r>
      <t>생산량</t>
    </r>
    <r>
      <rPr>
        <b/>
        <sz val="9"/>
        <color rgb="FF000000"/>
        <rFont val="Arial"/>
        <family val="2"/>
      </rPr>
      <t xml:space="preserve"> </t>
    </r>
    <r>
      <rPr>
        <b/>
        <sz val="9"/>
        <color rgb="FF000000"/>
        <rFont val="바탕체"/>
        <family val="1"/>
        <charset val="129"/>
      </rPr>
      <t>증감</t>
    </r>
  </si>
  <si>
    <r>
      <t>△</t>
    </r>
    <r>
      <rPr>
        <sz val="9"/>
        <color rgb="FF000000"/>
        <rFont val="Arial"/>
        <family val="2"/>
      </rPr>
      <t>4</t>
    </r>
  </si>
  <si>
    <r>
      <t>△</t>
    </r>
    <r>
      <rPr>
        <sz val="9"/>
        <color rgb="FF000000"/>
        <rFont val="Arial"/>
        <family val="2"/>
      </rPr>
      <t>13</t>
    </r>
  </si>
  <si>
    <r>
      <t>△</t>
    </r>
    <r>
      <rPr>
        <sz val="9"/>
        <color rgb="FF000000"/>
        <rFont val="Arial"/>
        <family val="2"/>
      </rPr>
      <t>27</t>
    </r>
  </si>
  <si>
    <r>
      <t>△</t>
    </r>
    <r>
      <rPr>
        <sz val="9"/>
        <color rgb="FF000000"/>
        <rFont val="Arial"/>
        <family val="2"/>
      </rPr>
      <t>1</t>
    </r>
  </si>
  <si>
    <r>
      <t>△</t>
    </r>
    <r>
      <rPr>
        <sz val="9"/>
        <color rgb="FF000000"/>
        <rFont val="Arial"/>
        <family val="2"/>
      </rPr>
      <t>12</t>
    </r>
  </si>
  <si>
    <r>
      <t>△</t>
    </r>
    <r>
      <rPr>
        <sz val="9"/>
        <color rgb="FF000000"/>
        <rFont val="Arial"/>
        <family val="2"/>
      </rPr>
      <t>3</t>
    </r>
  </si>
  <si>
    <r>
      <t>△</t>
    </r>
    <r>
      <rPr>
        <sz val="9"/>
        <color rgb="FF000000"/>
        <rFont val="Arial"/>
        <family val="2"/>
      </rPr>
      <t>9</t>
    </r>
  </si>
  <si>
    <r>
      <t xml:space="preserve">  </t>
    </r>
    <r>
      <rPr>
        <sz val="9"/>
        <color rgb="FF000000"/>
        <rFont val="Arial"/>
        <family val="2"/>
      </rPr>
      <t>- 인원변동 등△9</t>
    </r>
  </si>
  <si>
    <r>
      <t xml:space="preserve">  </t>
    </r>
    <r>
      <rPr>
        <sz val="9"/>
        <color rgb="FF000000"/>
        <rFont val="Arial"/>
        <family val="2"/>
      </rPr>
      <t>- COVID-19</t>
    </r>
    <r>
      <rPr>
        <sz val="9"/>
        <color rgb="FF000000"/>
        <rFont val="바탕체"/>
        <family val="1"/>
        <charset val="129"/>
      </rPr>
      <t xml:space="preserve">로 인한 기저효과 </t>
    </r>
    <r>
      <rPr>
        <sz val="9"/>
        <color rgb="FF000000"/>
        <rFont val="Arial"/>
        <family val="2"/>
      </rPr>
      <t>+1, Homepage Update +1</t>
    </r>
    <r>
      <rPr>
        <sz val="9"/>
        <color rgb="FF000000"/>
        <rFont val="바탕체"/>
        <family val="1"/>
        <charset val="129"/>
      </rPr>
      <t>등</t>
    </r>
  </si>
  <si>
    <r>
      <t xml:space="preserve"> </t>
    </r>
    <r>
      <rPr>
        <b/>
        <sz val="9"/>
        <color rgb="FFFF0000"/>
        <rFont val="Arial"/>
        <family val="2"/>
      </rPr>
      <t xml:space="preserve"> </t>
    </r>
    <r>
      <rPr>
        <sz val="9"/>
        <color rgb="FF000000"/>
        <rFont val="Arial"/>
        <family val="2"/>
      </rPr>
      <t xml:space="preserve">- </t>
    </r>
    <r>
      <rPr>
        <sz val="9"/>
        <color rgb="FF000000"/>
        <rFont val="바탕체"/>
        <family val="1"/>
        <charset val="129"/>
      </rPr>
      <t xml:space="preserve">미래 성장 지속 투자 </t>
    </r>
    <r>
      <rPr>
        <sz val="9"/>
        <color rgb="FF000000"/>
        <rFont val="Arial"/>
        <family val="2"/>
      </rPr>
      <t>+10 (System</t>
    </r>
    <r>
      <rPr>
        <sz val="9"/>
        <color rgb="FF000000"/>
        <rFont val="바탕체"/>
        <family val="1"/>
        <charset val="129"/>
      </rPr>
      <t>유지</t>
    </r>
    <r>
      <rPr>
        <sz val="9"/>
        <color rgb="FF000000"/>
        <rFont val="Arial"/>
        <family val="2"/>
      </rPr>
      <t>/</t>
    </r>
    <r>
      <rPr>
        <sz val="9"/>
        <color rgb="FF000000"/>
        <rFont val="바탕체"/>
        <family val="1"/>
        <charset val="129"/>
      </rPr>
      <t xml:space="preserve">보수 </t>
    </r>
    <r>
      <rPr>
        <sz val="9"/>
        <color rgb="FF000000"/>
        <rFont val="Arial"/>
        <family val="2"/>
      </rPr>
      <t>+4,</t>
    </r>
    <r>
      <rPr>
        <sz val="9"/>
        <color rgb="FF000000"/>
        <rFont val="바탕체"/>
        <family val="1"/>
        <charset val="129"/>
      </rPr>
      <t>내부회계관리</t>
    </r>
  </si>
  <si>
    <r>
      <t xml:space="preserve">      </t>
    </r>
    <r>
      <rPr>
        <sz val="9"/>
        <color rgb="FF000000"/>
        <rFont val="바탕체"/>
        <family val="1"/>
        <charset val="129"/>
      </rPr>
      <t>고도화</t>
    </r>
    <r>
      <rPr>
        <sz val="9"/>
        <color rgb="FF000000"/>
        <rFont val="Arial"/>
        <family val="2"/>
      </rPr>
      <t>+3,</t>
    </r>
    <r>
      <rPr>
        <sz val="9"/>
        <color rgb="FF000000"/>
        <rFont val="바탕체"/>
        <family val="1"/>
        <charset val="129"/>
      </rPr>
      <t>지속가능경영</t>
    </r>
    <r>
      <rPr>
        <sz val="9"/>
        <color rgb="FF000000"/>
        <rFont val="Arial"/>
        <family val="2"/>
      </rPr>
      <t xml:space="preserve"> </t>
    </r>
    <r>
      <rPr>
        <sz val="9"/>
        <color rgb="FF000000"/>
        <rFont val="바탕체"/>
        <family val="1"/>
        <charset val="129"/>
      </rPr>
      <t>보고서</t>
    </r>
    <r>
      <rPr>
        <sz val="9"/>
        <color rgb="FF000000"/>
        <rFont val="Arial"/>
        <family val="2"/>
      </rPr>
      <t xml:space="preserve">+2 </t>
    </r>
    <r>
      <rPr>
        <sz val="9"/>
        <color rgb="FF000000"/>
        <rFont val="바탕체"/>
        <family val="1"/>
        <charset val="129"/>
      </rPr>
      <t>등</t>
    </r>
    <r>
      <rPr>
        <sz val="9"/>
        <color rgb="FF000000"/>
        <rFont val="Arial"/>
        <family val="2"/>
      </rPr>
      <t xml:space="preserve">) </t>
    </r>
  </si>
  <si>
    <r>
      <t xml:space="preserve">  - </t>
    </r>
    <r>
      <rPr>
        <sz val="9"/>
        <color rgb="FF000000"/>
        <rFont val="바탕체"/>
        <family val="1"/>
        <charset val="129"/>
      </rPr>
      <t>물류대란 영향 운임상승 전기동</t>
    </r>
    <r>
      <rPr>
        <sz val="9"/>
        <color rgb="FF000000"/>
        <rFont val="Arial"/>
        <family val="2"/>
      </rPr>
      <t xml:space="preserve">+38, Ferro+11, </t>
    </r>
    <r>
      <rPr>
        <sz val="9"/>
        <color rgb="FF000000"/>
        <rFont val="바탕체"/>
        <family val="1"/>
        <charset val="129"/>
      </rPr>
      <t>황산</t>
    </r>
    <r>
      <rPr>
        <sz val="9"/>
        <color rgb="FF000000"/>
        <rFont val="Arial"/>
        <family val="2"/>
      </rPr>
      <t>+7</t>
    </r>
  </si>
  <si>
    <r>
      <t xml:space="preserve">     PSA </t>
    </r>
    <r>
      <rPr>
        <sz val="9"/>
        <color rgb="FF000000"/>
        <rFont val="바탕체"/>
        <family val="1"/>
        <charset val="129"/>
      </rPr>
      <t>판매량 증가</t>
    </r>
    <r>
      <rPr>
        <sz val="9"/>
        <color rgb="FF000000"/>
        <rFont val="Arial"/>
        <family val="2"/>
      </rPr>
      <t xml:space="preserve"> +22 </t>
    </r>
  </si>
  <si>
    <r>
      <t>△</t>
    </r>
    <r>
      <rPr>
        <sz val="9"/>
        <color rgb="FF000000"/>
        <rFont val="Arial"/>
        <family val="2"/>
      </rPr>
      <t xml:space="preserve">6 </t>
    </r>
  </si>
  <si>
    <r>
      <t xml:space="preserve"> - Brand </t>
    </r>
    <r>
      <rPr>
        <sz val="9"/>
        <color rgb="FF000000"/>
        <rFont val="바탕체"/>
        <family val="1"/>
        <charset val="129"/>
      </rPr>
      <t>사용 △</t>
    </r>
    <r>
      <rPr>
        <sz val="9"/>
        <color rgb="FF000000"/>
        <rFont val="Arial"/>
        <family val="2"/>
      </rPr>
      <t>6</t>
    </r>
  </si>
  <si>
    <r>
      <t>Lease</t>
    </r>
    <r>
      <rPr>
        <sz val="9"/>
        <color rgb="FF000000"/>
        <rFont val="바탕체"/>
        <family val="1"/>
        <charset val="129"/>
      </rPr>
      <t>상각비</t>
    </r>
  </si>
  <si>
    <r>
      <t xml:space="preserve"> - COVID-19</t>
    </r>
    <r>
      <rPr>
        <sz val="9"/>
        <color rgb="FF000000"/>
        <rFont val="바탕체"/>
        <family val="1"/>
        <charset val="129"/>
      </rPr>
      <t xml:space="preserve">로 인한 기저효과 </t>
    </r>
  </si>
  <si>
    <r>
      <t xml:space="preserve"> - COVID-19</t>
    </r>
    <r>
      <rPr>
        <sz val="9"/>
        <color rgb="FF000000"/>
        <rFont val="바탕체"/>
        <family val="1"/>
        <charset val="129"/>
      </rPr>
      <t xml:space="preserve">로 인한 기저효과 </t>
    </r>
    <r>
      <rPr>
        <sz val="9"/>
        <color rgb="FF000000"/>
        <rFont val="Arial"/>
        <family val="2"/>
      </rPr>
      <t>+5</t>
    </r>
  </si>
  <si>
    <r>
      <t xml:space="preserve">  - COVID-19</t>
    </r>
    <r>
      <rPr>
        <sz val="9"/>
        <color rgb="FF000000"/>
        <rFont val="바탕체"/>
        <family val="1"/>
        <charset val="129"/>
      </rPr>
      <t>로 인한 기저효과</t>
    </r>
    <r>
      <rPr>
        <sz val="9"/>
        <color rgb="FF000000"/>
        <rFont val="Arial"/>
        <family val="2"/>
      </rPr>
      <t>(</t>
    </r>
    <r>
      <rPr>
        <sz val="9"/>
        <color rgb="FF000000"/>
        <rFont val="바탕체"/>
        <family val="1"/>
        <charset val="129"/>
      </rPr>
      <t>접대비</t>
    </r>
    <r>
      <rPr>
        <sz val="9"/>
        <color rgb="FF000000"/>
        <rFont val="Arial"/>
        <family val="2"/>
      </rPr>
      <t>/</t>
    </r>
    <r>
      <rPr>
        <sz val="9"/>
        <color rgb="FF000000"/>
        <rFont val="바탕체"/>
        <family val="1"/>
        <charset val="129"/>
      </rPr>
      <t>통신비</t>
    </r>
    <r>
      <rPr>
        <sz val="9"/>
        <color rgb="FF000000"/>
        <rFont val="Arial"/>
        <family val="2"/>
      </rPr>
      <t xml:space="preserve">) +2,     </t>
    </r>
  </si>
  <si>
    <r>
      <t xml:space="preserve">    보험료(</t>
    </r>
    <r>
      <rPr>
        <sz val="9"/>
        <color rgb="FF000000"/>
        <rFont val="바탕체"/>
        <family val="1"/>
        <charset val="129"/>
      </rPr>
      <t>임원책임보상</t>
    </r>
    <r>
      <rPr>
        <sz val="9"/>
        <color rgb="FF000000"/>
        <rFont val="Arial"/>
        <family val="2"/>
      </rPr>
      <t xml:space="preserve">) +1 </t>
    </r>
    <r>
      <rPr>
        <sz val="9"/>
        <color rgb="FF000000"/>
        <rFont val="바탕체"/>
        <family val="1"/>
        <charset val="129"/>
      </rPr>
      <t xml:space="preserve">등  </t>
    </r>
    <r>
      <rPr>
        <sz val="9"/>
        <color rgb="FF000000"/>
        <rFont val="Arial"/>
        <family val="2"/>
      </rPr>
      <t xml:space="preserve"> </t>
    </r>
  </si>
  <si>
    <r>
      <t>△</t>
    </r>
    <r>
      <rPr>
        <sz val="9"/>
        <color rgb="FF000000"/>
        <rFont val="Arial"/>
        <family val="2"/>
      </rPr>
      <t xml:space="preserve">4 </t>
    </r>
  </si>
  <si>
    <t>물량흐름</t>
    <phoneticPr fontId="1" type="noConversion"/>
  </si>
  <si>
    <t>원재료</t>
    <phoneticPr fontId="1" type="noConversion"/>
  </si>
  <si>
    <t>금속코드</t>
  </si>
  <si>
    <t>금속이름</t>
  </si>
  <si>
    <t>조회단위</t>
  </si>
  <si>
    <t>기초수량</t>
  </si>
  <si>
    <t>당월입고물량</t>
  </si>
  <si>
    <t>당월입고금액</t>
  </si>
  <si>
    <t>당월출고물량</t>
  </si>
  <si>
    <t>당월출고금액</t>
  </si>
  <si>
    <t>기말물량</t>
  </si>
  <si>
    <t>기말금액</t>
  </si>
  <si>
    <t>022</t>
  </si>
  <si>
    <t>AG</t>
  </si>
  <si>
    <t>G</t>
  </si>
  <si>
    <t>039</t>
  </si>
  <si>
    <t>AU</t>
  </si>
  <si>
    <t>077</t>
  </si>
  <si>
    <t>CU</t>
  </si>
  <si>
    <t>KG</t>
  </si>
  <si>
    <t>139</t>
  </si>
  <si>
    <t>NI</t>
  </si>
  <si>
    <t>T</t>
  </si>
  <si>
    <t>154</t>
  </si>
  <si>
    <t>PD</t>
  </si>
  <si>
    <t>160</t>
  </si>
  <si>
    <t>PT</t>
  </si>
  <si>
    <t>172</t>
  </si>
  <si>
    <t>SE</t>
  </si>
  <si>
    <t>KPMG구분</t>
    <phoneticPr fontId="1" type="noConversion"/>
  </si>
  <si>
    <t xml:space="preserve">           기초물량</t>
  </si>
  <si>
    <t xml:space="preserve">             기초금액</t>
  </si>
  <si>
    <t xml:space="preserve">              입고물량</t>
  </si>
  <si>
    <t xml:space="preserve">              입고금액</t>
  </si>
  <si>
    <t xml:space="preserve">              출고물량</t>
  </si>
  <si>
    <t xml:space="preserve">              출고금액</t>
  </si>
  <si>
    <t xml:space="preserve">           기말물량</t>
  </si>
  <si>
    <t xml:space="preserve">             기말금액</t>
  </si>
  <si>
    <t>045</t>
  </si>
  <si>
    <t>BI</t>
  </si>
  <si>
    <t>FERRO</t>
  </si>
  <si>
    <t>L-SO2</t>
  </si>
  <si>
    <t>L-SO3</t>
  </si>
  <si>
    <t>A01</t>
  </si>
  <si>
    <t>RE</t>
  </si>
  <si>
    <t>A02</t>
  </si>
  <si>
    <t>A03</t>
  </si>
  <si>
    <t>SN</t>
  </si>
  <si>
    <t>A05</t>
  </si>
  <si>
    <t>STEAM</t>
  </si>
  <si>
    <t>A06</t>
  </si>
  <si>
    <t>TE</t>
  </si>
  <si>
    <t>A07</t>
  </si>
  <si>
    <t>석고</t>
  </si>
  <si>
    <t>A08</t>
  </si>
  <si>
    <t>2025년 이후 2024년 금액 유지 가정</t>
    <phoneticPr fontId="1" type="noConversion"/>
  </si>
  <si>
    <t>과거내부거래 비중 준용</t>
    <phoneticPr fontId="1" type="noConversion"/>
  </si>
  <si>
    <t>제련1공장</t>
    <phoneticPr fontId="1" type="noConversion"/>
  </si>
  <si>
    <t>제련2공장</t>
    <phoneticPr fontId="1" type="noConversion"/>
  </si>
  <si>
    <t>(1) 2021년 9개월 매출채권(기타) 회전율 및 회전기일 계산 시, 2020년 기말 잔액과 2021년 9월말 잔액의 평균치를 사용할 경우 회전율에 왜곡이 발생하여, 2021년 9월말 잔액 기준으로 산출함</t>
    <phoneticPr fontId="1" type="noConversion"/>
  </si>
  <si>
    <t>전련1공장</t>
    <phoneticPr fontId="1" type="noConversion"/>
  </si>
  <si>
    <t>전련2공장</t>
    <phoneticPr fontId="1" type="noConversion"/>
  </si>
  <si>
    <t>사업계획상 전련 가동률</t>
    <phoneticPr fontId="1" type="noConversion"/>
  </si>
  <si>
    <t>전기동 Full Capatity</t>
    <phoneticPr fontId="1" type="noConversion"/>
  </si>
  <si>
    <t>원재료 도입 (DMT)</t>
  </si>
  <si>
    <t>동정광</t>
  </si>
  <si>
    <t>Scrap</t>
  </si>
  <si>
    <t>금은정광</t>
  </si>
  <si>
    <t>수입 Slime</t>
  </si>
  <si>
    <t>PCB</t>
  </si>
  <si>
    <t>E스크랩</t>
    <phoneticPr fontId="1" type="noConversion"/>
  </si>
  <si>
    <t>Black Copper</t>
  </si>
  <si>
    <t>수입 Anode</t>
  </si>
  <si>
    <t>원재료 투입 (DMT)</t>
  </si>
  <si>
    <t>생산량</t>
  </si>
  <si>
    <t>LS-Ferro</t>
  </si>
  <si>
    <t>Re</t>
  </si>
  <si>
    <t>액체SO2</t>
  </si>
  <si>
    <t xml:space="preserve"> 정광 </t>
  </si>
  <si>
    <t xml:space="preserve"> 정광(동, 은, 금)</t>
  </si>
  <si>
    <t xml:space="preserve"> 2ndary Residue</t>
  </si>
  <si>
    <r>
      <t xml:space="preserve"> 수입</t>
    </r>
    <r>
      <rPr>
        <sz val="9"/>
        <color rgb="FF000000"/>
        <rFont val="Arial"/>
        <family val="2"/>
      </rPr>
      <t>Anode</t>
    </r>
  </si>
  <si>
    <t xml:space="preserve">  Cu-Scrap</t>
  </si>
  <si>
    <t xml:space="preserve">  Blister</t>
  </si>
  <si>
    <t xml:space="preserve">  E-Scrap</t>
  </si>
  <si>
    <r>
      <t xml:space="preserve"> </t>
    </r>
    <r>
      <rPr>
        <sz val="9"/>
        <color rgb="FF000000"/>
        <rFont val="Arial"/>
        <family val="2"/>
      </rPr>
      <t>Black Copper</t>
    </r>
  </si>
  <si>
    <r>
      <t xml:space="preserve"> 수입</t>
    </r>
    <r>
      <rPr>
        <sz val="9"/>
        <color rgb="FF000000"/>
        <rFont val="Arial"/>
        <family val="2"/>
      </rPr>
      <t>Slime</t>
    </r>
  </si>
  <si>
    <t>Cu.kt</t>
  </si>
  <si>
    <t>Au.t</t>
  </si>
  <si>
    <t>Ag.t</t>
  </si>
  <si>
    <t xml:space="preserve"> 정광</t>
  </si>
  <si>
    <t xml:space="preserve"> Cu-Scrap</t>
  </si>
  <si>
    <t xml:space="preserve"> Blister</t>
  </si>
  <si>
    <t xml:space="preserve"> E-Scrap</t>
  </si>
  <si>
    <t xml:space="preserve"> Black Copper</t>
  </si>
  <si>
    <t>計</t>
  </si>
  <si>
    <t>원재료 유형별 품위</t>
    <phoneticPr fontId="1" type="noConversion"/>
  </si>
  <si>
    <t>정광</t>
    <phoneticPr fontId="1" type="noConversion"/>
  </si>
  <si>
    <t>수입Anode</t>
    <phoneticPr fontId="1" type="noConversion"/>
  </si>
  <si>
    <t>Cu스크랩</t>
    <phoneticPr fontId="1" type="noConversion"/>
  </si>
  <si>
    <t>Blister</t>
    <phoneticPr fontId="1" type="noConversion"/>
  </si>
  <si>
    <t>수입Slime</t>
    <phoneticPr fontId="1" type="noConversion"/>
  </si>
  <si>
    <t>품위</t>
    <phoneticPr fontId="1" type="noConversion"/>
  </si>
  <si>
    <t>원재료 도입</t>
    <phoneticPr fontId="1" type="noConversion"/>
  </si>
  <si>
    <t>DMT</t>
    <phoneticPr fontId="1" type="noConversion"/>
  </si>
  <si>
    <t>채취량</t>
    <phoneticPr fontId="1" type="noConversion"/>
  </si>
  <si>
    <t>도입량 비중</t>
    <phoneticPr fontId="1" type="noConversion"/>
  </si>
  <si>
    <t>원재료 투입</t>
    <phoneticPr fontId="1" type="noConversion"/>
  </si>
  <si>
    <t>구     분</t>
  </si>
  <si>
    <t>단 위</t>
  </si>
  <si>
    <t>(Cu.kt)</t>
  </si>
  <si>
    <t>kdmt</t>
  </si>
  <si>
    <t xml:space="preserve"> 수입Anode</t>
  </si>
  <si>
    <t xml:space="preserve"> 수입Slime</t>
  </si>
  <si>
    <r>
      <t>kdmt</t>
    </r>
    <r>
      <rPr>
        <sz val="9"/>
        <color rgb="FF000000"/>
        <rFont val="바탕체"/>
        <family val="1"/>
        <charset val="129"/>
      </rPr>
      <t>　</t>
    </r>
  </si>
  <si>
    <r>
      <t xml:space="preserve"> 정광 (</t>
    </r>
    <r>
      <rPr>
        <sz val="9"/>
        <color rgb="FF000000"/>
        <rFont val="바탕체"/>
        <family val="1"/>
        <charset val="129"/>
      </rPr>
      <t>동</t>
    </r>
    <r>
      <rPr>
        <sz val="9"/>
        <color rgb="FF000000"/>
        <rFont val="Arial"/>
        <family val="2"/>
      </rPr>
      <t xml:space="preserve">, </t>
    </r>
    <r>
      <rPr>
        <sz val="9"/>
        <color rgb="FF000000"/>
        <rFont val="바탕체"/>
        <family val="1"/>
        <charset val="129"/>
      </rPr>
      <t>은</t>
    </r>
    <r>
      <rPr>
        <sz val="9"/>
        <color rgb="FF000000"/>
        <rFont val="Arial"/>
        <family val="2"/>
      </rPr>
      <t xml:space="preserve">, </t>
    </r>
    <r>
      <rPr>
        <sz val="9"/>
        <color rgb="FF000000"/>
        <rFont val="바탕체"/>
        <family val="1"/>
        <charset val="129"/>
      </rPr>
      <t>금</t>
    </r>
    <r>
      <rPr>
        <sz val="9"/>
        <color rgb="FF000000"/>
        <rFont val="Arial"/>
        <family val="2"/>
      </rPr>
      <t>)</t>
    </r>
  </si>
  <si>
    <t>(2) 미래 추정(은 제외)</t>
    <phoneticPr fontId="1" type="noConversion"/>
  </si>
  <si>
    <t>(3) 미래 추정(은)</t>
    <phoneticPr fontId="1" type="noConversion"/>
  </si>
  <si>
    <t>Tr.A</t>
  </si>
  <si>
    <t>Tr.B</t>
  </si>
  <si>
    <t>금액</t>
  </si>
  <si>
    <t>배당</t>
  </si>
  <si>
    <t>Tr.A 이자</t>
  </si>
  <si>
    <t>Tr.B 이자</t>
  </si>
  <si>
    <t>Tr.B 원금</t>
  </si>
  <si>
    <t>종속회사</t>
  </si>
  <si>
    <t>성과급</t>
  </si>
  <si>
    <t>변동비</t>
  </si>
  <si>
    <t>CAPEX</t>
  </si>
  <si>
    <t>21년 9개월</t>
  </si>
  <si>
    <t>고순도황산</t>
  </si>
  <si>
    <t>액체무수황산</t>
  </si>
  <si>
    <t>텔루륨</t>
  </si>
  <si>
    <t>비스무트</t>
  </si>
  <si>
    <t>페로샌드</t>
  </si>
  <si>
    <t>LS고급모래</t>
  </si>
  <si>
    <t>은소재</t>
  </si>
  <si>
    <t>레늄</t>
  </si>
  <si>
    <t>원료팀제품</t>
  </si>
  <si>
    <t>20년</t>
  </si>
  <si>
    <t>19년</t>
  </si>
  <si>
    <t>18년</t>
  </si>
  <si>
    <t>17년</t>
  </si>
  <si>
    <t>액체무수아황산</t>
  </si>
  <si>
    <t>납</t>
  </si>
  <si>
    <t>코발트</t>
  </si>
  <si>
    <t>산출환율</t>
    <phoneticPr fontId="1" type="noConversion"/>
  </si>
  <si>
    <t>매출액(USD)</t>
    <phoneticPr fontId="1" type="noConversion"/>
  </si>
  <si>
    <t>매출액(KRW)</t>
    <phoneticPr fontId="1" type="noConversion"/>
  </si>
  <si>
    <t>적용환율</t>
    <phoneticPr fontId="1" type="noConversion"/>
  </si>
  <si>
    <t>17년</t>
    <phoneticPr fontId="1" type="noConversion"/>
  </si>
  <si>
    <t>18년</t>
    <phoneticPr fontId="1" type="noConversion"/>
  </si>
  <si>
    <t>19년</t>
    <phoneticPr fontId="1" type="noConversion"/>
  </si>
  <si>
    <t>20년</t>
    <phoneticPr fontId="1" type="noConversion"/>
  </si>
  <si>
    <t>21년 9개월</t>
    <phoneticPr fontId="1" type="noConversion"/>
  </si>
  <si>
    <t>TC</t>
    <phoneticPr fontId="1" type="noConversion"/>
  </si>
  <si>
    <t>RC</t>
    <phoneticPr fontId="1" type="noConversion"/>
  </si>
  <si>
    <t>RC환산</t>
    <phoneticPr fontId="1" type="noConversion"/>
  </si>
  <si>
    <t>$/DMT</t>
    <phoneticPr fontId="1" type="noConversion"/>
  </si>
  <si>
    <t>전기동 TC</t>
    <phoneticPr fontId="1" type="noConversion"/>
  </si>
  <si>
    <t>전기동 RC</t>
    <phoneticPr fontId="1" type="noConversion"/>
  </si>
  <si>
    <t>판)감가상각비:건물:투자부동산</t>
  </si>
  <si>
    <t>제조</t>
    <phoneticPr fontId="1" type="noConversion"/>
  </si>
  <si>
    <t>판관</t>
    <phoneticPr fontId="1" type="noConversion"/>
  </si>
  <si>
    <t>계정</t>
    <phoneticPr fontId="1" type="noConversion"/>
  </si>
  <si>
    <t>상장일</t>
  </si>
  <si>
    <t>상장일시가총액</t>
  </si>
  <si>
    <t>공모금액</t>
  </si>
  <si>
    <t>공모비율</t>
  </si>
  <si>
    <t>신주비중</t>
  </si>
  <si>
    <t>구주비중</t>
  </si>
  <si>
    <t>카카오페이</t>
  </si>
  <si>
    <t>현대중공업</t>
  </si>
  <si>
    <t>롯데렌탈</t>
  </si>
  <si>
    <t>크래프톤</t>
  </si>
  <si>
    <t>카카오뱅크</t>
  </si>
  <si>
    <t>에스디바이오센서</t>
  </si>
  <si>
    <t>빅히트</t>
  </si>
  <si>
    <t>에스케이바이오팜</t>
  </si>
  <si>
    <t>넷마블</t>
  </si>
  <si>
    <t>셀트리온헬스케어</t>
  </si>
  <si>
    <t>두산밥캣</t>
  </si>
  <si>
    <t>삼성바이오로직스</t>
  </si>
  <si>
    <t>제일모직</t>
  </si>
  <si>
    <t>현대로템</t>
  </si>
  <si>
    <t>거래일자</t>
  </si>
  <si>
    <t>종가</t>
  </si>
  <si>
    <t>거래 지분율</t>
  </si>
  <si>
    <t>거래대상 주식수</t>
  </si>
  <si>
    <t>할인율(%)</t>
  </si>
  <si>
    <t>하이브</t>
  </si>
  <si>
    <t>카카오</t>
  </si>
  <si>
    <t>스튜디오드래곤</t>
  </si>
  <si>
    <t>셀트리온</t>
  </si>
  <si>
    <t>코웨이</t>
  </si>
  <si>
    <r>
      <t>SK</t>
    </r>
    <r>
      <rPr>
        <sz val="9"/>
        <color rgb="FF000000"/>
        <rFont val="맑은 고딕"/>
        <family val="3"/>
        <charset val="129"/>
      </rPr>
      <t>스퀘어</t>
    </r>
  </si>
  <si>
    <r>
      <t>SK</t>
    </r>
    <r>
      <rPr>
        <sz val="9"/>
        <color rgb="FF000000"/>
        <rFont val="맑은 고딕"/>
        <family val="3"/>
        <charset val="129"/>
      </rPr>
      <t>아이테크놀로지</t>
    </r>
  </si>
  <si>
    <r>
      <t>HK</t>
    </r>
    <r>
      <rPr>
        <sz val="9"/>
        <color rgb="FF000000"/>
        <rFont val="맑은 고딕"/>
        <family val="3"/>
        <charset val="129"/>
      </rPr>
      <t>이노엔</t>
    </r>
  </si>
  <si>
    <r>
      <t>SK</t>
    </r>
    <r>
      <rPr>
        <sz val="9"/>
        <color rgb="FF000000"/>
        <rFont val="맑은 고딕"/>
        <family val="3"/>
        <charset val="129"/>
      </rPr>
      <t>바이오팜</t>
    </r>
  </si>
  <si>
    <r>
      <t>SK</t>
    </r>
    <r>
      <rPr>
        <sz val="9"/>
        <color rgb="FF000000"/>
        <rFont val="맑은 고딕"/>
        <family val="3"/>
        <charset val="129"/>
      </rPr>
      <t>아이이테크놀로지</t>
    </r>
  </si>
  <si>
    <r>
      <t>SK</t>
    </r>
    <r>
      <rPr>
        <sz val="9"/>
        <color rgb="FF000000"/>
        <rFont val="맑은 고딕"/>
        <family val="3"/>
        <charset val="129"/>
      </rPr>
      <t>바이오사이언스</t>
    </r>
  </si>
  <si>
    <r>
      <t>LIG</t>
    </r>
    <r>
      <rPr>
        <sz val="9"/>
        <color rgb="FF000000"/>
        <rFont val="맑은 고딕"/>
        <family val="3"/>
        <charset val="129"/>
      </rPr>
      <t>넥스원</t>
    </r>
  </si>
  <si>
    <r>
      <t>삼성</t>
    </r>
    <r>
      <rPr>
        <sz val="9"/>
        <color rgb="FF000000"/>
        <rFont val="Univers for KPMG"/>
        <family val="2"/>
      </rPr>
      <t>SDS</t>
    </r>
  </si>
  <si>
    <r>
      <t>ING</t>
    </r>
    <r>
      <rPr>
        <sz val="9"/>
        <color rgb="FF000000"/>
        <rFont val="맑은 고딕"/>
        <family val="3"/>
        <charset val="129"/>
      </rPr>
      <t>생명</t>
    </r>
  </si>
  <si>
    <t>블록딜 사례</t>
    <phoneticPr fontId="1" type="noConversion"/>
  </si>
  <si>
    <t>공모 사례</t>
    <phoneticPr fontId="1" type="noConversion"/>
  </si>
  <si>
    <t>LS Cash Flow</t>
    <phoneticPr fontId="1" type="noConversion"/>
  </si>
  <si>
    <t>LSN</t>
    <phoneticPr fontId="1" type="noConversion"/>
  </si>
  <si>
    <t>(단위: 원)</t>
    <phoneticPr fontId="1" type="noConversion"/>
  </si>
  <si>
    <t>배당액</t>
    <phoneticPr fontId="1" type="noConversion"/>
  </si>
  <si>
    <t>주당 배당액</t>
    <phoneticPr fontId="1" type="noConversion"/>
  </si>
  <si>
    <t>배당성향</t>
    <phoneticPr fontId="1" type="noConversion"/>
  </si>
  <si>
    <t>LS 보유 주식 수</t>
    <phoneticPr fontId="1" type="noConversion"/>
  </si>
  <si>
    <t>LS 배당 지급액</t>
    <phoneticPr fontId="1" type="noConversion"/>
  </si>
  <si>
    <t>LS 비중%</t>
    <phoneticPr fontId="1" type="noConversion"/>
  </si>
  <si>
    <t>배당지급</t>
    <phoneticPr fontId="1" type="noConversion"/>
  </si>
  <si>
    <t>유상감자</t>
    <phoneticPr fontId="1" type="noConversion"/>
  </si>
  <si>
    <t>LS</t>
    <phoneticPr fontId="1" type="noConversion"/>
  </si>
  <si>
    <t>(단위: 백만원)</t>
    <phoneticPr fontId="1" type="noConversion"/>
  </si>
  <si>
    <t>CF basis</t>
    <phoneticPr fontId="1" type="noConversion"/>
  </si>
  <si>
    <t xml:space="preserve">LS </t>
    <phoneticPr fontId="1" type="noConversion"/>
  </si>
  <si>
    <t>LS向 지급액</t>
    <phoneticPr fontId="1" type="noConversion"/>
  </si>
  <si>
    <t>&gt;&gt; 유상감자</t>
    <phoneticPr fontId="1" type="noConversion"/>
  </si>
  <si>
    <t>CF 기준</t>
    <phoneticPr fontId="1" type="noConversion"/>
  </si>
  <si>
    <t>LS 배당 수취액</t>
    <phoneticPr fontId="1" type="noConversion"/>
  </si>
  <si>
    <t>Cash In</t>
    <phoneticPr fontId="1" type="noConversion"/>
  </si>
  <si>
    <t>배당 수익</t>
    <phoneticPr fontId="1" type="noConversion"/>
  </si>
  <si>
    <t>LS전선</t>
    <phoneticPr fontId="1" type="noConversion"/>
  </si>
  <si>
    <t>LS엠트론</t>
    <phoneticPr fontId="1" type="noConversion"/>
  </si>
  <si>
    <t>LS일렉트릭</t>
    <phoneticPr fontId="1" type="noConversion"/>
  </si>
  <si>
    <t>&gt;&gt; 2018년까지 LS산전</t>
    <phoneticPr fontId="1" type="noConversion"/>
  </si>
  <si>
    <t>교육용역</t>
    <phoneticPr fontId="1" type="noConversion"/>
  </si>
  <si>
    <t>브랜드수수료</t>
    <phoneticPr fontId="1" type="noConversion"/>
  </si>
  <si>
    <t>수입수수료</t>
    <phoneticPr fontId="1" type="noConversion"/>
  </si>
  <si>
    <t>Cash Out</t>
    <phoneticPr fontId="1" type="noConversion"/>
  </si>
  <si>
    <t>배당 지급</t>
    <phoneticPr fontId="1" type="noConversion"/>
  </si>
  <si>
    <t>운영비</t>
    <phoneticPr fontId="1" type="noConversion"/>
  </si>
  <si>
    <t>영업비용</t>
    <phoneticPr fontId="1" type="noConversion"/>
  </si>
  <si>
    <t>2016년 배당</t>
    <phoneticPr fontId="1" type="noConversion"/>
  </si>
  <si>
    <t>투자활동현금흐름</t>
    <phoneticPr fontId="1" type="noConversion"/>
  </si>
  <si>
    <t>유상감자 회수액 제외</t>
    <phoneticPr fontId="1" type="noConversion"/>
  </si>
  <si>
    <t>5.1. Subsidiary Revenue</t>
    <phoneticPr fontId="1" type="noConversion"/>
  </si>
  <si>
    <t>5.3. Subsidiary SG&amp;A</t>
    <phoneticPr fontId="1" type="noConversion"/>
  </si>
  <si>
    <t>5.2. Subsidiary COGS</t>
    <phoneticPr fontId="1" type="noConversion"/>
  </si>
  <si>
    <t>(1) 과거 변동: 영업성과에 따라 지급되나 세부 KPI에 대한 정보는 제공불가로 답변 수령함</t>
    <phoneticPr fontId="1" type="noConversion"/>
  </si>
  <si>
    <t>급여 대비 성과급</t>
    <phoneticPr fontId="1" type="noConversion"/>
  </si>
  <si>
    <t>2021 4Q는 2021 9개월 비율 유지 및 2022년 이후 과거 평균 수준의 비율 유지 가정</t>
  </si>
  <si>
    <t>(2) 미래 추정(상여/퇴직급여/복리후생비)</t>
    <phoneticPr fontId="1" type="noConversion"/>
  </si>
  <si>
    <t>(3) 미래 추정(성과급)</t>
    <phoneticPr fontId="1" type="noConversion"/>
  </si>
  <si>
    <t>제조</t>
  </si>
  <si>
    <t>직원</t>
  </si>
  <si>
    <t>판관</t>
  </si>
  <si>
    <t>경상</t>
  </si>
  <si>
    <t>계(경상 제외)</t>
  </si>
  <si>
    <t>총계정원장</t>
    <phoneticPr fontId="1" type="noConversion"/>
  </si>
  <si>
    <t>단위:백만원</t>
    <phoneticPr fontId="1" type="noConversion"/>
  </si>
  <si>
    <t>임원</t>
    <phoneticPr fontId="1" type="noConversion"/>
  </si>
  <si>
    <t>직원</t>
    <phoneticPr fontId="1" type="noConversion"/>
  </si>
  <si>
    <t>경상</t>
    <phoneticPr fontId="1" type="noConversion"/>
  </si>
  <si>
    <t>일본 파견 임원 급여</t>
    <phoneticPr fontId="1" type="noConversion"/>
  </si>
  <si>
    <t>(2) 미래 추정(급여)</t>
    <phoneticPr fontId="1" type="noConversion"/>
  </si>
  <si>
    <t>(3) 미래 추정(상여/퇴직급여)</t>
    <phoneticPr fontId="1" type="noConversion"/>
  </si>
  <si>
    <t>현재 수준의 비율 유지 가정</t>
  </si>
  <si>
    <t>(4) 미래 추정(성과급)</t>
    <phoneticPr fontId="1" type="noConversion"/>
  </si>
  <si>
    <t>주요금속 프리미엄 관련 매출액-직접재료비</t>
    <phoneticPr fontId="1" type="noConversion"/>
  </si>
  <si>
    <t>주요금속 TR/C 관련 매출액-직접재료비</t>
    <phoneticPr fontId="1" type="noConversion"/>
  </si>
  <si>
    <t>주요금속 Free-Metal 관련 매출액-직접재료비</t>
    <phoneticPr fontId="1" type="noConversion"/>
  </si>
  <si>
    <t>기타금속 매출액-직접재료비</t>
    <phoneticPr fontId="1" type="noConversion"/>
  </si>
  <si>
    <t>주요금속 매출액-직접재료비 환율효과</t>
    <phoneticPr fontId="1" type="noConversion"/>
  </si>
  <si>
    <t>Silver소재</t>
  </si>
  <si>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</si>
  <si>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</si>
  <si>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</si>
  <si>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</si>
  <si>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</si>
  <si>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</si>
  <si>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</si>
  <si>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</si>
  <si>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</si>
  <si>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</si>
  <si>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</si>
  <si>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</si>
  <si>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</si>
  <si>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</si>
  <si>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</si>
  <si>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</si>
  <si>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</si>
  <si>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</si>
  <si>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</si>
  <si>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</si>
  <si>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</si>
  <si>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</si>
  <si>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2021.08.02</t>
  </si>
  <si>
    <t>2021.08.03</t>
  </si>
  <si>
    <t>2021.08.04</t>
  </si>
  <si>
    <t>2021.08.05</t>
  </si>
  <si>
    <t>2021.08.06</t>
  </si>
  <si>
    <t>2021.08.09</t>
  </si>
  <si>
    <t>2021.08.10</t>
  </si>
  <si>
    <t>2021.08.11</t>
  </si>
  <si>
    <t>2021.08.12</t>
  </si>
  <si>
    <t>2021.08.13</t>
  </si>
  <si>
    <t>2021.08.17</t>
  </si>
  <si>
    <t>2021.08.18</t>
  </si>
  <si>
    <t>2021.08.19</t>
  </si>
  <si>
    <t>2021.08.20</t>
  </si>
  <si>
    <t>2021.08.23</t>
  </si>
  <si>
    <t>2021.08.24</t>
  </si>
  <si>
    <t>2021.08.25</t>
  </si>
  <si>
    <t>2021.08.26</t>
  </si>
  <si>
    <t>2021.08.27</t>
  </si>
  <si>
    <t>2021.08.30</t>
  </si>
  <si>
    <t>2021.08.31</t>
  </si>
  <si>
    <t>2021.09.01</t>
  </si>
  <si>
    <t>2021.09.02</t>
  </si>
  <si>
    <t>2021.09.03</t>
  </si>
  <si>
    <t>2021.09.06</t>
  </si>
  <si>
    <t>2021.09.07</t>
  </si>
  <si>
    <t>2021.09.08</t>
  </si>
  <si>
    <t>2021.09.09</t>
  </si>
  <si>
    <t>2021.09.10</t>
  </si>
  <si>
    <t>2021.09.13</t>
  </si>
  <si>
    <t>2021.09.14</t>
  </si>
  <si>
    <t>2021.09.15</t>
  </si>
  <si>
    <t>2021.09.16</t>
  </si>
  <si>
    <t>2021.09.17</t>
  </si>
  <si>
    <t>2021.09.23</t>
  </si>
  <si>
    <t>2021.09.24</t>
  </si>
  <si>
    <t>2021.09.27</t>
  </si>
  <si>
    <t>2021.09.28</t>
  </si>
  <si>
    <t>2021.09.29</t>
  </si>
  <si>
    <t>2021.09.30</t>
  </si>
  <si>
    <t>2021.10.01</t>
  </si>
  <si>
    <t>2021.10.05</t>
  </si>
  <si>
    <t>2021.10.06</t>
  </si>
  <si>
    <t>2021.10.07</t>
  </si>
  <si>
    <t>2021.10.08</t>
  </si>
  <si>
    <t>2021.10.12</t>
  </si>
  <si>
    <t>2021.10.13</t>
  </si>
  <si>
    <t>2021.10.14</t>
  </si>
  <si>
    <t>2021.10.15</t>
  </si>
  <si>
    <t>2021.10.18</t>
  </si>
  <si>
    <t>2021.10.19</t>
  </si>
  <si>
    <t>2021.10.20</t>
  </si>
  <si>
    <t>2021.10.21</t>
  </si>
  <si>
    <t>2021.10.22</t>
  </si>
  <si>
    <t>2021.10.25</t>
  </si>
  <si>
    <t>2021.10.26</t>
  </si>
  <si>
    <t>2021.10.27</t>
  </si>
  <si>
    <t>2021.10.28</t>
  </si>
  <si>
    <t>2021.10.29</t>
  </si>
  <si>
    <t>2021.11.01</t>
  </si>
  <si>
    <t>2021.11.02</t>
  </si>
  <si>
    <t>2021.11.03</t>
  </si>
  <si>
    <t>2021.11.04</t>
  </si>
  <si>
    <t>2021.11.05</t>
  </si>
  <si>
    <t>2021.11.08</t>
  </si>
  <si>
    <t>2021.11.09</t>
  </si>
  <si>
    <t>2021.11.10</t>
  </si>
  <si>
    <t>2021.11.11</t>
  </si>
  <si>
    <t>2021.11.12</t>
  </si>
  <si>
    <t>2021.11.15</t>
  </si>
  <si>
    <t>2021.11.16</t>
  </si>
  <si>
    <t>2021.11.17</t>
  </si>
  <si>
    <t>2021.11.18</t>
  </si>
  <si>
    <t>2021.11.19</t>
  </si>
  <si>
    <t>2021.11.22</t>
  </si>
  <si>
    <t>2021.11.23</t>
  </si>
  <si>
    <t>2021.11.24</t>
  </si>
  <si>
    <t>2021.11.25</t>
  </si>
  <si>
    <t>2021.11.26</t>
  </si>
  <si>
    <t>2021.11.29</t>
  </si>
  <si>
    <t>2021.11.30</t>
  </si>
  <si>
    <t>2021.12.01</t>
  </si>
  <si>
    <t>2021.12.02</t>
  </si>
  <si>
    <t>2021.12.03</t>
  </si>
  <si>
    <t>2021.12.06</t>
  </si>
  <si>
    <t>2021.12.07</t>
  </si>
  <si>
    <t>2021.12.08</t>
  </si>
  <si>
    <t>2021.12.09</t>
  </si>
  <si>
    <t>2021.12.10</t>
  </si>
  <si>
    <t>2021.12.13</t>
  </si>
  <si>
    <t>2021.12.14</t>
  </si>
  <si>
    <t>2021.12.15</t>
  </si>
  <si>
    <t>2021.12.16</t>
  </si>
  <si>
    <t>2021.12.17</t>
  </si>
  <si>
    <t>Upside</t>
    <phoneticPr fontId="1" type="noConversion"/>
  </si>
  <si>
    <t>Silver소재 증가량 대비 은 판매량 감소율 적용하여 2025~26년 추정</t>
    <phoneticPr fontId="1" type="noConversion"/>
  </si>
  <si>
    <t>사업계획서상 2022~24년 연평균 판매 증가율 기반 2025~26추정</t>
    <phoneticPr fontId="1" type="noConversion"/>
  </si>
  <si>
    <t>25년부터 17, 18line 증설 가정</t>
    <phoneticPr fontId="1" type="noConversion"/>
  </si>
  <si>
    <t>라인당 생산capa</t>
    <phoneticPr fontId="1" type="noConversion"/>
  </si>
  <si>
    <t>PSA 생산 증가에 따른 황산 생산량 감소</t>
    <phoneticPr fontId="1" type="noConversion"/>
  </si>
  <si>
    <t>2021 3m은 2021 9mA수준 유지, 이후 사업계획 상 T/RC 유지 가정(전기동, 금, 은)</t>
    <phoneticPr fontId="1" type="noConversion"/>
  </si>
  <si>
    <t>주요금속 지불률 가정</t>
    <phoneticPr fontId="1" type="noConversion"/>
  </si>
  <si>
    <t>제조비_별도</t>
    <phoneticPr fontId="1" type="noConversion"/>
  </si>
  <si>
    <t>판관비_별도</t>
    <phoneticPr fontId="1" type="noConversion"/>
  </si>
  <si>
    <t>과               목</t>
  </si>
  <si>
    <t>영업활동 현금흐름</t>
  </si>
  <si>
    <t>3,751,608,297 </t>
  </si>
  <si>
    <t>  영업으로부터 창출된 현금흐름</t>
  </si>
  <si>
    <t>457,510,572 </t>
  </si>
  <si>
    <t>4,295,029,630 </t>
  </si>
  <si>
    <t>  이자의 수취</t>
  </si>
  <si>
    <t>1,403,370 </t>
  </si>
  <si>
    <t>2,233,672 </t>
  </si>
  <si>
    <t>  이자의 지급</t>
  </si>
  <si>
    <t>  법인세의 납부</t>
  </si>
  <si>
    <t>투자활동 현금흐름</t>
  </si>
  <si>
    <t>  기타금융상품의 증가</t>
  </si>
  <si>
    <t>  기타금융상품의 감소</t>
  </si>
  <si>
    <t>180,000,000 </t>
  </si>
  <si>
    <t>  유형자산의 취득</t>
  </si>
  <si>
    <t>  유형자산의 처분</t>
  </si>
  <si>
    <t>1,500,000 </t>
  </si>
  <si>
    <t>  무형자산의 취득</t>
  </si>
  <si>
    <t>재무활동 현금흐름</t>
  </si>
  <si>
    <t> 차입금의 증가</t>
  </si>
  <si>
    <t> 차입금의 감소</t>
  </si>
  <si>
    <t> 리스부채의 원금지급</t>
  </si>
  <si>
    <t>현금 및 현금성자산의 증가(감소)</t>
  </si>
  <si>
    <t>1,312,599,623 </t>
  </si>
  <si>
    <t>기초의 현금 및 현금성자산</t>
  </si>
  <si>
    <t>1,313,570,874 </t>
  </si>
  <si>
    <t>971,251 </t>
  </si>
  <si>
    <t>기말의 현금 및 현금성자산</t>
  </si>
  <si>
    <t>315,398 </t>
  </si>
  <si>
    <t>4,312,963,264 </t>
  </si>
  <si>
    <t>5,167,157,106 </t>
  </si>
  <si>
    <t>664,762 </t>
  </si>
  <si>
    <t>183,440,325 </t>
  </si>
  <si>
    <t>22,219,409 </t>
  </si>
  <si>
    <t>371,100,000,000 </t>
  </si>
  <si>
    <t>102,049 </t>
  </si>
  <si>
    <t>417,447 </t>
  </si>
  <si>
    <t>22,493,632,600 </t>
  </si>
  <si>
    <t>40,750,785,808 </t>
  </si>
  <si>
    <t>26,157,363,607 </t>
  </si>
  <si>
    <t>42,566,116,810 </t>
  </si>
  <si>
    <t>38,527,610 </t>
  </si>
  <si>
    <t>3,455,368 </t>
  </si>
  <si>
    <t>   보증금의 증가</t>
  </si>
  <si>
    <t>   보증금의 감소</t>
  </si>
  <si>
    <t>134,000,000 </t>
  </si>
  <si>
    <t>5,000,000 </t>
  </si>
  <si>
    <t>   당기손익금융자산의 처분</t>
  </si>
  <si>
    <t>49,385,000 </t>
  </si>
  <si>
    <t>46,500,000 </t>
  </si>
  <si>
    <t>681,822 </t>
  </si>
  <si>
    <t>   대여금의 회수</t>
  </si>
  <si>
    <t>140,000,000 </t>
  </si>
  <si>
    <t>   차입금의 차입</t>
  </si>
  <si>
    <t>203,118,000,000 </t>
  </si>
  <si>
    <t>181,283,052,117 </t>
  </si>
  <si>
    <t>   유상감자</t>
  </si>
  <si>
    <t>   리스부채의 원금지급</t>
  </si>
  <si>
    <t>현금및현금성자산의 증가</t>
  </si>
  <si>
    <t>206,414,644 </t>
  </si>
  <si>
    <t>218,341,379 </t>
  </si>
  <si>
    <t>219,280,611 </t>
  </si>
  <si>
    <t>939,232 </t>
  </si>
  <si>
    <t>425,695,255 </t>
  </si>
  <si>
    <t>31,982,874,903 </t>
  </si>
  <si>
    <t>36,220,649,344 </t>
  </si>
  <si>
    <t>33,575,522 </t>
  </si>
  <si>
    <t>43,000,000 </t>
  </si>
  <si>
    <t>350,000,000 </t>
  </si>
  <si>
    <t>20,337,900,000 </t>
  </si>
  <si>
    <t>15,356,068,115 </t>
  </si>
  <si>
    <t>15,781,763,370 </t>
  </si>
  <si>
    <t>현금및현금성자산의 증가(감소)</t>
  </si>
  <si>
    <t>224,001,568 </t>
  </si>
  <si>
    <t>3,104,729,182 </t>
  </si>
  <si>
    <t>726,053,205 </t>
  </si>
  <si>
    <t>3,114,522,042 </t>
  </si>
  <si>
    <t>   이자의 수취</t>
  </si>
  <si>
    <t>61,892,275 </t>
  </si>
  <si>
    <t>120,669,980 </t>
  </si>
  <si>
    <t>   법인세의 납부</t>
  </si>
  <si>
    <t>3,345,455 </t>
  </si>
  <si>
    <t>26,141,637 </t>
  </si>
  <si>
    <t>4,000,000,000 </t>
  </si>
  <si>
    <t>300,000 </t>
  </si>
  <si>
    <t>55,231,012 </t>
  </si>
  <si>
    <t>   파생상품의 증감</t>
  </si>
  <si>
    <t>3,699,745 </t>
  </si>
  <si>
    <t>   신주 발행</t>
  </si>
  <si>
    <t>   배당금의 지급</t>
  </si>
  <si>
    <t>1,021,481,380 </t>
  </si>
  <si>
    <t>5,361,465,516 </t>
  </si>
  <si>
    <t>4,339,984,136 </t>
  </si>
  <si>
    <t>3,255,425,408 </t>
  </si>
  <si>
    <t>          5,280,656,690 </t>
  </si>
  <si>
    <t>          4,899,522,833  </t>
  </si>
  <si>
    <t>           5,330,460,846 </t>
  </si>
  <si>
    <t>           5,090,020,171  </t>
  </si>
  <si>
    <t>               11,783,020 </t>
  </si>
  <si>
    <t>                3,843,359  </t>
  </si>
  <si>
    <t>(54,375,498) </t>
  </si>
  <si>
    <t>(188,408,055)  </t>
  </si>
  <si>
    <t>(7,211,678) </t>
  </si>
  <si>
    <t>(5,932,642)  </t>
  </si>
  <si>
    <t>(76,294,089) </t>
  </si>
  <si>
    <t>(700,224,198)  </t>
  </si>
  <si>
    <t>   기타포괄손익-공정가치 금융자산의 취득</t>
  </si>
  <si>
    <t>(162,297,188)  </t>
  </si>
  <si>
    <t>   기타포괄손익-공정가치 금융자산의 처분</t>
  </si>
  <si>
    <t>157,513,204  </t>
  </si>
  <si>
    <t>(2,328,688,602) </t>
  </si>
  <si>
    <t>(3,347,587,170) </t>
  </si>
  <si>
    <t>(2,318,464,247) </t>
  </si>
  <si>
    <t>(10,212,831) </t>
  </si>
  <si>
    <t>   비지배지분과의 거래</t>
  </si>
  <si>
    <t>(11,524) </t>
  </si>
  <si>
    <t>          2,875,673,999 </t>
  </si>
  <si>
    <t> 851,711,465 </t>
  </si>
  <si>
    <t>           1,554,382,945 </t>
  </si>
  <si>
    <t> 662,200,530 </t>
  </si>
  <si>
    <t>               32,043,703 </t>
  </si>
  <si>
    <t> 40,470,950 </t>
  </si>
  <si>
    <t>           4,462,100,647 </t>
  </si>
  <si>
    <t> 1,554,382,945 </t>
  </si>
  <si>
    <t>씨에스마린</t>
    <phoneticPr fontId="1" type="noConversion"/>
  </si>
  <si>
    <t>6,572,964,301 </t>
  </si>
  <si>
    <t>6,577,937,504 </t>
  </si>
  <si>
    <t>133,051 </t>
  </si>
  <si>
    <t>(998,181) </t>
  </si>
  <si>
    <t>(4,108,073) </t>
  </si>
  <si>
    <t>(667,133,043) </t>
  </si>
  <si>
    <t>   장기보증금의 증가</t>
  </si>
  <si>
    <t>(99,042) </t>
  </si>
  <si>
    <t>                           - </t>
  </si>
  <si>
    <t>(2,956,087,203) </t>
  </si>
  <si>
    <t>(2,945,216,311) </t>
  </si>
  <si>
    <t>(10,870,892) </t>
  </si>
  <si>
    <t>현금및현금성자산의 순증가</t>
  </si>
  <si>
    <t>2,949,744,055 </t>
  </si>
  <si>
    <t>4,462,100,647 </t>
  </si>
  <si>
    <t>(500,190,258) </t>
  </si>
  <si>
    <t>6,911,654,444 </t>
  </si>
  <si>
    <t>영업활동으로 인한 현금흐름</t>
    <phoneticPr fontId="1" type="noConversion"/>
  </si>
  <si>
    <t>2021 4Q는 2021 9개월 수준 유지 이후, 사업계획 수준(~24년) 및 이후 유지 가정</t>
    <phoneticPr fontId="1" type="noConversion"/>
  </si>
  <si>
    <t>종속회사 매출</t>
    <phoneticPr fontId="1" type="noConversion"/>
  </si>
  <si>
    <t>2) 당분기 및 전기 중 공동기업투자의 기중 변동내역은 다음과 같습니다.</t>
  </si>
  <si>
    <t>(당분기말)</t>
  </si>
  <si>
    <t>기초</t>
  </si>
  <si>
    <t>배당금</t>
  </si>
  <si>
    <t>기타 자본변동</t>
  </si>
  <si>
    <t>기말</t>
  </si>
  <si>
    <t>■ 2018년 1Q</t>
    <phoneticPr fontId="44" type="noConversion"/>
  </si>
  <si>
    <t>■ 2018년 2Q</t>
    <phoneticPr fontId="44" type="noConversion"/>
  </si>
  <si>
    <t>■ 2018년 3Q</t>
    <phoneticPr fontId="44" type="noConversion"/>
  </si>
  <si>
    <t>■ 2018년 4Q</t>
    <phoneticPr fontId="44" type="noConversion"/>
  </si>
  <si>
    <t>■ 2019년 1Q</t>
    <phoneticPr fontId="44" type="noConversion"/>
  </si>
  <si>
    <t>■ 2019년 2Q</t>
    <phoneticPr fontId="44" type="noConversion"/>
  </si>
  <si>
    <t>■ 2019년 3Q</t>
    <phoneticPr fontId="44" type="noConversion"/>
  </si>
  <si>
    <t>■ 2019년 4Q</t>
    <phoneticPr fontId="44" type="noConversion"/>
  </si>
  <si>
    <t>■ 2020년 1Q</t>
    <phoneticPr fontId="44" type="noConversion"/>
  </si>
  <si>
    <t>■ 2020년 2Q</t>
    <phoneticPr fontId="44" type="noConversion"/>
  </si>
  <si>
    <t>■ 2020년 3Q</t>
    <phoneticPr fontId="44" type="noConversion"/>
  </si>
  <si>
    <t>■ 2020년 4Q</t>
    <phoneticPr fontId="44" type="noConversion"/>
  </si>
  <si>
    <t>2021 9m</t>
    <phoneticPr fontId="1" type="noConversion"/>
  </si>
  <si>
    <t>내부거래금액</t>
    <phoneticPr fontId="1" type="noConversion"/>
  </si>
  <si>
    <t>내부거래제거액</t>
    <phoneticPr fontId="1" type="noConversion"/>
  </si>
  <si>
    <t>선우원가</t>
    <phoneticPr fontId="1" type="noConversion"/>
  </si>
  <si>
    <t>3.1 Summary</t>
    <phoneticPr fontId="1" type="noConversion"/>
  </si>
  <si>
    <t>3.2 토리컴</t>
    <phoneticPr fontId="1" type="noConversion"/>
  </si>
  <si>
    <t>전처리</t>
    <phoneticPr fontId="1" type="noConversion"/>
  </si>
  <si>
    <t>금(Au)</t>
    <phoneticPr fontId="1" type="noConversion"/>
  </si>
  <si>
    <t>은(Ag)</t>
    <phoneticPr fontId="1" type="noConversion"/>
  </si>
  <si>
    <t>백금(Pt)</t>
    <phoneticPr fontId="1" type="noConversion"/>
  </si>
  <si>
    <t>팔라듐(Pd)</t>
    <phoneticPr fontId="1" type="noConversion"/>
  </si>
  <si>
    <t>기타금속 등</t>
    <phoneticPr fontId="1" type="noConversion"/>
  </si>
  <si>
    <t>금(Au) 계열</t>
  </si>
  <si>
    <t>(단위 : 백만원)</t>
    <phoneticPr fontId="112" type="noConversion"/>
  </si>
  <si>
    <t>구분</t>
    <phoneticPr fontId="112" type="noConversion"/>
  </si>
  <si>
    <t>품명</t>
    <phoneticPr fontId="112" type="noConversion"/>
  </si>
  <si>
    <t>실적</t>
    <phoneticPr fontId="112" type="noConversion"/>
  </si>
  <si>
    <t>경비</t>
    <phoneticPr fontId="112" type="noConversion"/>
  </si>
  <si>
    <t>생산량</t>
    <phoneticPr fontId="112" type="noConversion"/>
  </si>
  <si>
    <t>판매량</t>
    <phoneticPr fontId="112" type="noConversion"/>
  </si>
  <si>
    <t>매출액</t>
    <phoneticPr fontId="112" type="noConversion"/>
  </si>
  <si>
    <t>직접비</t>
    <phoneticPr fontId="112" type="noConversion"/>
  </si>
  <si>
    <t>간접비</t>
    <phoneticPr fontId="112" type="noConversion"/>
  </si>
  <si>
    <t>제조경비</t>
    <phoneticPr fontId="112" type="noConversion"/>
  </si>
  <si>
    <t>판관비</t>
    <phoneticPr fontId="112" type="noConversion"/>
  </si>
  <si>
    <t>계</t>
    <phoneticPr fontId="112" type="noConversion"/>
  </si>
  <si>
    <t>변동비</t>
    <phoneticPr fontId="112" type="noConversion"/>
  </si>
  <si>
    <t>고정비</t>
    <phoneticPr fontId="112" type="noConversion"/>
  </si>
  <si>
    <t>소계</t>
    <phoneticPr fontId="112" type="noConversion"/>
  </si>
  <si>
    <t>귀금속</t>
    <phoneticPr fontId="112" type="noConversion"/>
  </si>
  <si>
    <t>소재</t>
    <phoneticPr fontId="112" type="noConversion"/>
  </si>
  <si>
    <t>은(Ag) 계열</t>
    <phoneticPr fontId="1" type="noConversion"/>
  </si>
  <si>
    <t>(금속별)</t>
    <phoneticPr fontId="112" type="noConversion"/>
  </si>
  <si>
    <t>백금(Pt) 계열</t>
    <phoneticPr fontId="1" type="noConversion"/>
  </si>
  <si>
    <t>팔라듐(Pd) 계열</t>
    <phoneticPr fontId="1" type="noConversion"/>
  </si>
  <si>
    <t>니켈(Ni)</t>
    <phoneticPr fontId="1" type="noConversion"/>
  </si>
  <si>
    <t>니켈</t>
    <phoneticPr fontId="112" type="noConversion"/>
  </si>
  <si>
    <t>제품</t>
    <phoneticPr fontId="112" type="noConversion"/>
  </si>
  <si>
    <t>상품</t>
    <phoneticPr fontId="112" type="noConversion"/>
  </si>
  <si>
    <t>합 계</t>
    <phoneticPr fontId="112" type="noConversion"/>
  </si>
  <si>
    <t>Source: 회사제시자료</t>
    <phoneticPr fontId="1" type="noConversion"/>
  </si>
  <si>
    <t>임가공</t>
    <phoneticPr fontId="112" type="noConversion"/>
  </si>
  <si>
    <t>(1) 판매 단가와 금속 시세간의 높은 상관관계를 고려하여 선형회귀분석법 활용</t>
    <phoneticPr fontId="1" type="noConversion"/>
  </si>
  <si>
    <t>2021 3m(E)는 2021 9m(A) 수준 유지, 이후 과거 평균 비율 유지 가정</t>
  </si>
  <si>
    <t>현재 수준의 판매량 유지 가정</t>
    <phoneticPr fontId="1" type="noConversion"/>
  </si>
  <si>
    <t>2021 3m(E)는 2021 9m(A) 수준 유지, 이후 과거 평균 판매량 유지 가정</t>
    <phoneticPr fontId="1" type="noConversion"/>
  </si>
  <si>
    <t>2021.F</t>
  </si>
  <si>
    <t>2024년</t>
  </si>
  <si>
    <t>▣ 중기사업계획 판매 비교</t>
    <phoneticPr fontId="112" type="noConversion"/>
  </si>
  <si>
    <t>[단위 : Kg]</t>
    <phoneticPr fontId="112" type="noConversion"/>
  </si>
  <si>
    <t>[단위 : 백만원]</t>
    <phoneticPr fontId="112" type="noConversion"/>
  </si>
  <si>
    <t>물량</t>
    <phoneticPr fontId="112" type="noConversion"/>
  </si>
  <si>
    <t>분류</t>
    <phoneticPr fontId="112" type="noConversion"/>
  </si>
  <si>
    <t>2021.F</t>
    <phoneticPr fontId="44" type="noConversion"/>
  </si>
  <si>
    <t>2024년</t>
    <phoneticPr fontId="44" type="noConversion"/>
  </si>
  <si>
    <t>Au</t>
    <phoneticPr fontId="112" type="noConversion"/>
  </si>
  <si>
    <t>메탈</t>
    <phoneticPr fontId="112" type="noConversion"/>
  </si>
  <si>
    <t>Ag</t>
    <phoneticPr fontId="112" type="noConversion"/>
  </si>
  <si>
    <t>Pt</t>
    <phoneticPr fontId="112" type="noConversion"/>
  </si>
  <si>
    <t>Pd</t>
    <phoneticPr fontId="112" type="noConversion"/>
  </si>
  <si>
    <t>Cu</t>
    <phoneticPr fontId="112" type="noConversion"/>
  </si>
  <si>
    <t>Ni</t>
    <phoneticPr fontId="112" type="noConversion"/>
  </si>
  <si>
    <t>SnO2</t>
    <phoneticPr fontId="112" type="noConversion"/>
  </si>
  <si>
    <t>소재비율</t>
    <phoneticPr fontId="44" type="noConversion"/>
  </si>
  <si>
    <t>SUM
(Ni 제외)</t>
    <phoneticPr fontId="112" type="noConversion"/>
  </si>
  <si>
    <t>◐ 소재 세부</t>
    <phoneticPr fontId="112" type="noConversion"/>
  </si>
  <si>
    <t>증착재</t>
    <phoneticPr fontId="44" type="noConversion"/>
  </si>
  <si>
    <t xml:space="preserve">  - 매입</t>
    <phoneticPr fontId="44" type="noConversion"/>
  </si>
  <si>
    <t xml:space="preserve">  - 임가공</t>
    <phoneticPr fontId="44" type="noConversion"/>
  </si>
  <si>
    <t>타겟</t>
    <phoneticPr fontId="44" type="noConversion"/>
  </si>
  <si>
    <t>PGC</t>
    <phoneticPr fontId="44" type="noConversion"/>
  </si>
  <si>
    <t>- Au</t>
    <phoneticPr fontId="44" type="noConversion"/>
  </si>
  <si>
    <t>대형 타겟</t>
    <phoneticPr fontId="44" type="noConversion"/>
  </si>
  <si>
    <t>아황산금</t>
    <phoneticPr fontId="44" type="noConversion"/>
  </si>
  <si>
    <t>합금</t>
    <phoneticPr fontId="44" type="noConversion"/>
  </si>
  <si>
    <t>PSC</t>
    <phoneticPr fontId="44" type="noConversion"/>
  </si>
  <si>
    <t>- Ag</t>
    <phoneticPr fontId="44" type="noConversion"/>
  </si>
  <si>
    <t>SC</t>
    <phoneticPr fontId="44" type="noConversion"/>
  </si>
  <si>
    <t>질산은</t>
    <phoneticPr fontId="44" type="noConversion"/>
  </si>
  <si>
    <t>Disk 타겟</t>
    <phoneticPr fontId="44" type="noConversion"/>
  </si>
  <si>
    <t>PdCl2</t>
    <phoneticPr fontId="44" type="noConversion"/>
  </si>
  <si>
    <t>- Pd</t>
    <phoneticPr fontId="44" type="noConversion"/>
  </si>
  <si>
    <t>- Ni</t>
    <phoneticPr fontId="44" type="noConversion"/>
  </si>
  <si>
    <t>SnO2</t>
    <phoneticPr fontId="44" type="noConversion"/>
  </si>
  <si>
    <t>- Sn</t>
    <phoneticPr fontId="44" type="noConversion"/>
  </si>
  <si>
    <t>금융리스채권</t>
  </si>
  <si>
    <t>금융리스채권_대손충당금</t>
  </si>
  <si>
    <t>금융리스채권_현재가치할인차금</t>
  </si>
  <si>
    <t>복구비용충당부채</t>
  </si>
  <si>
    <t>2021 Q3</t>
    <phoneticPr fontId="1" type="noConversion"/>
  </si>
  <si>
    <t>2020</t>
    <phoneticPr fontId="1" type="noConversion"/>
  </si>
  <si>
    <t>2019</t>
    <phoneticPr fontId="1" type="noConversion"/>
  </si>
  <si>
    <t>2018</t>
    <phoneticPr fontId="1" type="noConversion"/>
  </si>
  <si>
    <t>*연결재무상태표</t>
    <phoneticPr fontId="44" type="noConversion"/>
  </si>
  <si>
    <t>3.3 그 외 종속회사</t>
    <phoneticPr fontId="1" type="noConversion"/>
  </si>
  <si>
    <t>부재료비</t>
    <phoneticPr fontId="1" type="noConversion"/>
  </si>
  <si>
    <t>중량</t>
  </si>
  <si>
    <t>원재료 수불명세서</t>
    <phoneticPr fontId="44" type="noConversion"/>
  </si>
  <si>
    <t>[ 단위 : g, 원 ]</t>
    <phoneticPr fontId="44" type="noConversion"/>
  </si>
  <si>
    <t>품 명</t>
    <phoneticPr fontId="44" type="noConversion"/>
  </si>
  <si>
    <t>기초재고</t>
    <phoneticPr fontId="44" type="noConversion"/>
  </si>
  <si>
    <t>당기입고</t>
    <phoneticPr fontId="44" type="noConversion"/>
  </si>
  <si>
    <t>당기출고</t>
    <phoneticPr fontId="44" type="noConversion"/>
  </si>
  <si>
    <t>원재료평가손실충당금</t>
    <phoneticPr fontId="44" type="noConversion"/>
  </si>
  <si>
    <t>기말재고</t>
    <phoneticPr fontId="44" type="noConversion"/>
  </si>
  <si>
    <t>비  고</t>
    <phoneticPr fontId="44" type="noConversion"/>
  </si>
  <si>
    <t>당기</t>
    <phoneticPr fontId="44" type="noConversion"/>
  </si>
  <si>
    <t>금(Au)</t>
    <phoneticPr fontId="44" type="noConversion"/>
  </si>
  <si>
    <t>Au(임가공)</t>
    <phoneticPr fontId="44" type="noConversion"/>
  </si>
  <si>
    <t>은(Ag)</t>
    <phoneticPr fontId="44" type="noConversion"/>
  </si>
  <si>
    <t>Ag(임가공)</t>
    <phoneticPr fontId="44" type="noConversion"/>
  </si>
  <si>
    <t>팔라듐(Pd)</t>
    <phoneticPr fontId="44" type="noConversion"/>
  </si>
  <si>
    <t>Pd(임가공)</t>
    <phoneticPr fontId="44" type="noConversion"/>
  </si>
  <si>
    <t>백금(Pt)</t>
    <phoneticPr fontId="44" type="noConversion"/>
  </si>
  <si>
    <t>Pt(임가공)</t>
    <phoneticPr fontId="44" type="noConversion"/>
  </si>
  <si>
    <t>기타금속 등</t>
    <phoneticPr fontId="44" type="noConversion"/>
  </si>
  <si>
    <t>기타</t>
    <phoneticPr fontId="44" type="noConversion"/>
  </si>
  <si>
    <t>소 계</t>
    <phoneticPr fontId="44" type="noConversion"/>
  </si>
  <si>
    <t>금(Au) 계열</t>
    <phoneticPr fontId="44" type="noConversion"/>
  </si>
  <si>
    <t>은(Ag) 계열</t>
    <phoneticPr fontId="44" type="noConversion"/>
  </si>
  <si>
    <t>조황산니켈</t>
    <phoneticPr fontId="44" type="noConversion"/>
  </si>
  <si>
    <t>조황산 Ni</t>
    <phoneticPr fontId="44" type="noConversion"/>
  </si>
  <si>
    <t>백금(Pt) 계열</t>
    <phoneticPr fontId="44" type="noConversion"/>
  </si>
  <si>
    <t>(1) 원재료비 단가와 금속 시세간의 높은 상관관계를 고려하여 선형회귀분석법 활용</t>
    <phoneticPr fontId="1" type="noConversion"/>
  </si>
  <si>
    <t>토리컴 단위당 원재료비 가정</t>
    <phoneticPr fontId="1" type="noConversion"/>
  </si>
  <si>
    <t>평균 인원 수</t>
    <phoneticPr fontId="1" type="noConversion"/>
  </si>
  <si>
    <t>인당 급여</t>
    <phoneticPr fontId="1" type="noConversion"/>
  </si>
  <si>
    <t>백만원/명</t>
    <phoneticPr fontId="1" type="noConversion"/>
  </si>
  <si>
    <t>잡급</t>
    <phoneticPr fontId="1" type="noConversion"/>
  </si>
  <si>
    <t>기초 원재료 재 고 액</t>
  </si>
  <si>
    <t>당기 원재료 매 입 액</t>
  </si>
  <si>
    <t>원재료평가충당금</t>
  </si>
  <si>
    <t>기말 원재료 재 고 액</t>
  </si>
  <si>
    <t>지불용역비</t>
  </si>
  <si>
    <t>연구개발비</t>
  </si>
  <si>
    <t>잡비</t>
  </si>
  <si>
    <t>잡 비</t>
  </si>
  <si>
    <t>Ⅹ.</t>
  </si>
  <si>
    <t>ⅩⅠ.</t>
  </si>
  <si>
    <t>금                   액</t>
    <phoneticPr fontId="42" type="noConversion"/>
  </si>
  <si>
    <t>제30 (당)기</t>
    <phoneticPr fontId="42" type="noConversion"/>
  </si>
  <si>
    <t>제29 (전)기</t>
    <phoneticPr fontId="42" type="noConversion"/>
  </si>
  <si>
    <t>제28 (당)기</t>
    <phoneticPr fontId="42" type="noConversion"/>
  </si>
  <si>
    <t>제27 (전)기</t>
    <phoneticPr fontId="42" type="noConversion"/>
  </si>
  <si>
    <t>가.</t>
    <phoneticPr fontId="42" type="noConversion"/>
  </si>
  <si>
    <t>재공품 변동</t>
    <phoneticPr fontId="1" type="noConversion"/>
  </si>
  <si>
    <t>제품 변동</t>
    <phoneticPr fontId="1" type="noConversion"/>
  </si>
  <si>
    <t>재고 변동</t>
    <phoneticPr fontId="1" type="noConversion"/>
  </si>
  <si>
    <t>기초재공품</t>
    <phoneticPr fontId="1" type="noConversion"/>
  </si>
  <si>
    <t>생산</t>
    <phoneticPr fontId="1" type="noConversion"/>
  </si>
  <si>
    <t>타출</t>
    <phoneticPr fontId="1" type="noConversion"/>
  </si>
  <si>
    <t>기말</t>
    <phoneticPr fontId="1" type="noConversion"/>
  </si>
  <si>
    <t>타입</t>
    <phoneticPr fontId="1" type="noConversion"/>
  </si>
  <si>
    <t>기초제품</t>
    <phoneticPr fontId="1" type="noConversion"/>
  </si>
  <si>
    <t>판매</t>
    <phoneticPr fontId="1" type="noConversion"/>
  </si>
  <si>
    <t>관세</t>
    <phoneticPr fontId="1" type="noConversion"/>
  </si>
  <si>
    <t>평가손실</t>
    <phoneticPr fontId="1" type="noConversion"/>
  </si>
  <si>
    <t>기말제품</t>
    <phoneticPr fontId="1" type="noConversion"/>
  </si>
  <si>
    <t>퇴직 위로금 지급(김성훈)</t>
  </si>
  <si>
    <t>산재사고 합의금 지급(김관영)</t>
  </si>
  <si>
    <t>■ 년도별 인건비 정보</t>
    <phoneticPr fontId="1" type="noConversion"/>
  </si>
  <si>
    <t>■ 년도별 평균 인원</t>
    <phoneticPr fontId="1" type="noConversion"/>
  </si>
  <si>
    <t>(단위 : 원)</t>
    <phoneticPr fontId="1" type="noConversion"/>
  </si>
  <si>
    <t>(단위 : 명)</t>
    <phoneticPr fontId="1" type="noConversion"/>
  </si>
  <si>
    <t>비고</t>
    <phoneticPr fontId="1" type="noConversion"/>
  </si>
  <si>
    <t>2024년</t>
    <phoneticPr fontId="1" type="noConversion"/>
  </si>
  <si>
    <t>원가</t>
    <phoneticPr fontId="1" type="noConversion"/>
  </si>
  <si>
    <t>소계</t>
    <phoneticPr fontId="1" type="noConversion"/>
  </si>
  <si>
    <t>* 연구개발비 없음.</t>
    <phoneticPr fontId="1" type="noConversion"/>
  </si>
  <si>
    <t>※ 인력충원없이 동일</t>
    <phoneticPr fontId="44" type="noConversion"/>
  </si>
  <si>
    <t>※ 연구개발비 없음</t>
    <phoneticPr fontId="1" type="noConversion"/>
  </si>
  <si>
    <t>※ 일회성 인건비</t>
    <phoneticPr fontId="1" type="noConversion"/>
  </si>
  <si>
    <t>발생일</t>
    <phoneticPr fontId="1" type="noConversion"/>
  </si>
  <si>
    <t>발생내용</t>
    <phoneticPr fontId="1" type="noConversion"/>
  </si>
  <si>
    <t>지급금액</t>
    <phoneticPr fontId="1" type="noConversion"/>
  </si>
  <si>
    <t>2020.05.12</t>
    <phoneticPr fontId="1" type="noConversion"/>
  </si>
  <si>
    <t>2020.12.29</t>
    <phoneticPr fontId="1" type="noConversion"/>
  </si>
  <si>
    <t>니켈팀: 7명</t>
    <phoneticPr fontId="1" type="noConversion"/>
  </si>
  <si>
    <t>평균 인원 수 가정</t>
    <phoneticPr fontId="1" type="noConversion"/>
  </si>
  <si>
    <t>현재 수준 유지 가정</t>
    <phoneticPr fontId="1" type="noConversion"/>
  </si>
  <si>
    <t>회사 사업계획 준용</t>
  </si>
  <si>
    <t>인당 급여 가정</t>
    <phoneticPr fontId="1" type="noConversion"/>
  </si>
  <si>
    <t>2021 3m(E)는 2021 9m(A) 수준 유지, 이후 명목임금상승률 수준의 성장 가정</t>
  </si>
  <si>
    <t>상여 비율</t>
    <phoneticPr fontId="1" type="noConversion"/>
  </si>
  <si>
    <t>퇴직급여 비율</t>
    <phoneticPr fontId="1" type="noConversion"/>
  </si>
  <si>
    <t>잡급 비율</t>
    <phoneticPr fontId="1" type="noConversion"/>
  </si>
  <si>
    <t>2021 3m(E)는 2021 9m(A) 수준 유지, 이후 과거 평균 비율 유지 가정</t>
    <phoneticPr fontId="1" type="noConversion"/>
  </si>
  <si>
    <t>토리컴 평균 인원 수 가정</t>
    <phoneticPr fontId="1" type="noConversion"/>
  </si>
  <si>
    <t>토리컴 인당 급여 가정</t>
    <phoneticPr fontId="1" type="noConversion"/>
  </si>
  <si>
    <t>토리컴 급여 대비 상여, 퇴직급여, 잡급 가정</t>
    <phoneticPr fontId="1" type="noConversion"/>
  </si>
  <si>
    <t>(22년 - 21년)</t>
  </si>
  <si>
    <t>□ 중기사업계획 경비계획</t>
    <phoneticPr fontId="44" type="noConversion"/>
  </si>
  <si>
    <t xml:space="preserve">     [ 제조경비計 ]</t>
    <phoneticPr fontId="44" type="noConversion"/>
  </si>
  <si>
    <t>대비</t>
    <phoneticPr fontId="44" type="noConversion"/>
  </si>
  <si>
    <t>5.1.1. 토리컴</t>
    <phoneticPr fontId="1" type="noConversion"/>
  </si>
  <si>
    <t>5.1.2. 그 외 종속회사 및 내부거래</t>
    <phoneticPr fontId="1" type="noConversion"/>
  </si>
  <si>
    <t>5.2.1 토리컴</t>
    <phoneticPr fontId="1" type="noConversion"/>
  </si>
  <si>
    <t>5.2.2. 그외 종속회사 및 내부거래</t>
    <phoneticPr fontId="1" type="noConversion"/>
  </si>
  <si>
    <t>5.3.1. 토리컴</t>
    <phoneticPr fontId="1" type="noConversion"/>
  </si>
  <si>
    <t>급여 대비 상여, 퇴직급여, 복리후생비 가정</t>
    <phoneticPr fontId="1" type="noConversion"/>
  </si>
  <si>
    <t>복리후생비 비율</t>
    <phoneticPr fontId="1" type="noConversion"/>
  </si>
  <si>
    <t>3.3. 그외 종속회사</t>
    <phoneticPr fontId="1" type="noConversion"/>
  </si>
  <si>
    <t>토리컴 매출액 대비 변동비 가정</t>
    <phoneticPr fontId="1" type="noConversion"/>
  </si>
  <si>
    <t xml:space="preserve">     [ 판관비計 ]</t>
    <phoneticPr fontId="44" type="noConversion"/>
  </si>
  <si>
    <t>5.3.2. 그외 종속회사 및 내부거래</t>
    <phoneticPr fontId="1" type="noConversion"/>
  </si>
  <si>
    <t>황산니켈</t>
    <phoneticPr fontId="1" type="noConversion"/>
  </si>
  <si>
    <t>매입단가</t>
    <phoneticPr fontId="1" type="noConversion"/>
  </si>
  <si>
    <t>토리컴 황산니켈 매출 계획</t>
  </si>
  <si>
    <t>황산니켈 매출</t>
  </si>
  <si>
    <t>Quantity</t>
  </si>
  <si>
    <t>프리미엄</t>
  </si>
  <si>
    <t>니켈가격</t>
  </si>
  <si>
    <t>환율 적용</t>
  </si>
  <si>
    <t>동제련 니켈 판매%</t>
  </si>
  <si>
    <t>$/ton</t>
  </si>
  <si>
    <t>니켈 시세</t>
    <phoneticPr fontId="1" type="noConversion"/>
  </si>
  <si>
    <t>황산니켈 프리미엄</t>
    <phoneticPr fontId="1" type="noConversion"/>
  </si>
  <si>
    <t>Ton</t>
    <phoneticPr fontId="1" type="noConversion"/>
  </si>
  <si>
    <t>황산니켈 판매량</t>
    <phoneticPr fontId="1" type="noConversion"/>
  </si>
  <si>
    <t>사업계획상 금액 적용</t>
    <phoneticPr fontId="1" type="noConversion"/>
  </si>
  <si>
    <t>프리미엄적용분</t>
    <phoneticPr fontId="1" type="noConversion"/>
  </si>
  <si>
    <t>프리미엄미적용분</t>
    <phoneticPr fontId="1" type="noConversion"/>
  </si>
  <si>
    <t>사업계획상 프리미엄 미적용 시기(~5월)</t>
    <phoneticPr fontId="1" type="noConversion"/>
  </si>
  <si>
    <t>2021년 3m은 현재 수준 유지, 이후 과거 평균 수준의 채취율 유지 가정</t>
  </si>
  <si>
    <t>2021년 3m은 현재 수준 유지, 이후 과거 평균 수준의 채취율 유지 가정</t>
    <phoneticPr fontId="1" type="noConversion"/>
  </si>
  <si>
    <t>2019년 이후 Silver소재 사업 Buildup 기간으로 일부 소모되어 채취율 악화되었으나 향후 Silver소재 사업 중단으로 2018년 수준 회복 가정</t>
    <phoneticPr fontId="1" type="noConversion"/>
  </si>
  <si>
    <t>귀금속</t>
    <phoneticPr fontId="1" type="noConversion"/>
  </si>
  <si>
    <t>금(Au)</t>
  </si>
  <si>
    <t>은(Ag)</t>
  </si>
  <si>
    <t>백금(Pt)</t>
  </si>
  <si>
    <t>팔라듐(Pd)</t>
  </si>
  <si>
    <t>기타금속 등</t>
  </si>
  <si>
    <t>백만원/Kg</t>
    <phoneticPr fontId="1" type="noConversion"/>
  </si>
  <si>
    <t>USD</t>
    <phoneticPr fontId="1" type="noConversion"/>
  </si>
  <si>
    <t>금속가격 추정치에 따른 선형회귀분석 기법으로 추정</t>
  </si>
  <si>
    <t>금속가격 추정치에 따른 선형회귀분석 기법으로 추정</t>
    <phoneticPr fontId="1" type="noConversion"/>
  </si>
  <si>
    <t>(1) 과거 변동: 유사한 수준의 판매량이 지속됨</t>
    <phoneticPr fontId="1" type="noConversion"/>
  </si>
  <si>
    <t>(1) 미래추정: 현재 수준의 판매량을 유지할 것으로 가정함(Base Case)</t>
    <phoneticPr fontId="1" type="noConversion"/>
  </si>
  <si>
    <t>기존제품</t>
    <phoneticPr fontId="1" type="noConversion"/>
  </si>
  <si>
    <t>Ni ton</t>
    <phoneticPr fontId="1" type="noConversion"/>
  </si>
  <si>
    <t>CDD추정치 준용</t>
    <phoneticPr fontId="1" type="noConversion"/>
  </si>
  <si>
    <t>귀금속 판매량 가정</t>
    <phoneticPr fontId="1" type="noConversion"/>
  </si>
  <si>
    <t>귀금속 판매 단가 가정</t>
    <phoneticPr fontId="1" type="noConversion"/>
  </si>
  <si>
    <t>0.</t>
    <phoneticPr fontId="1" type="noConversion"/>
  </si>
  <si>
    <t>2019년 이후 Silver소재 사업 Buildup 기간으로 일부 소모되어 채취율 악화되었으나 향후 2026년까지 점진적으로 2018년 수준 회복 가정</t>
    <phoneticPr fontId="1" type="noConversion"/>
  </si>
  <si>
    <t>내부거래 제거액</t>
  </si>
  <si>
    <t>% of 내부거래금액</t>
  </si>
  <si>
    <t>내부거래금액</t>
  </si>
  <si>
    <t>% of 동제련 유형자산 CAPEX</t>
  </si>
  <si>
    <t>자산=부채+자본 검증</t>
  </si>
  <si>
    <t>BS=IS 당기순이익 검증</t>
  </si>
  <si>
    <t>% of 상각대상자산액</t>
    <phoneticPr fontId="1" type="noConversion"/>
  </si>
  <si>
    <t>Book value</t>
    <phoneticPr fontId="1" type="noConversion"/>
  </si>
  <si>
    <t>연결 조정</t>
    <phoneticPr fontId="1" type="noConversion"/>
  </si>
  <si>
    <t>2025년 이후 2021-2024 평균치 준용</t>
    <phoneticPr fontId="1" type="noConversion"/>
  </si>
  <si>
    <t>변동경비 비율</t>
    <phoneticPr fontId="1" type="noConversion"/>
  </si>
  <si>
    <t>토리컴 변동 제조경비 가정</t>
    <phoneticPr fontId="1" type="noConversion"/>
  </si>
  <si>
    <t>(1) 과거 변동: 0.8% ~ 1.2% 수준 유지</t>
    <phoneticPr fontId="1" type="noConversion"/>
  </si>
  <si>
    <t>변동비율</t>
    <phoneticPr fontId="1" type="noConversion"/>
  </si>
  <si>
    <t>(1) 과거 변동: 소모품비 및 수선비로 과거 매출액 대비 0.01% ~ 0.02% 수준 발생</t>
    <phoneticPr fontId="1" type="noConversion"/>
  </si>
  <si>
    <t>Base</t>
  </si>
  <si>
    <t>(3) 미래 추정(은/Silver소재)</t>
    <phoneticPr fontId="1" type="noConversion"/>
  </si>
  <si>
    <t>CDD 추정치 준용(향후 Silver소재 미발생)</t>
    <phoneticPr fontId="1" type="noConversion"/>
  </si>
  <si>
    <t>CDD 추정치 준용(2025년 82 USD/ton 수준 도달 후 2026년 77 USD/ton 수준으로 하락)</t>
    <phoneticPr fontId="1" type="noConversion"/>
  </si>
  <si>
    <t>2026년까지 2018년 수준의 Benchmark TR/C(87 USD/ton) 회복 가정</t>
    <phoneticPr fontId="1" type="noConversion"/>
  </si>
  <si>
    <t>Excess 미발생</t>
    <phoneticPr fontId="1" type="noConversion"/>
  </si>
  <si>
    <t>(2) 미래 추정(운반비)</t>
    <phoneticPr fontId="1" type="noConversion"/>
  </si>
  <si>
    <t>(3) 미래 추정(브랜드수수료)</t>
    <phoneticPr fontId="1" type="noConversion"/>
  </si>
  <si>
    <t>JKJS분만큼 감소하여 0.1%로 변경(2022년 이후)</t>
    <phoneticPr fontId="1" type="noConversion"/>
  </si>
  <si>
    <t>현재 수준의 비율(0.2%) 유지 가정</t>
    <phoneticPr fontId="1" type="noConversion"/>
  </si>
  <si>
    <t>CDD 추정치 준용(사업계획 수준 발생)</t>
    <phoneticPr fontId="1" type="noConversion"/>
  </si>
  <si>
    <t>사업 실패에 따른 미발생 가정</t>
    <phoneticPr fontId="1" type="noConversion"/>
  </si>
  <si>
    <t>배당</t>
    <phoneticPr fontId="1" type="noConversion"/>
  </si>
  <si>
    <t>지분율</t>
    <phoneticPr fontId="1" type="noConversion"/>
  </si>
  <si>
    <t>Cash Flow</t>
    <phoneticPr fontId="1" type="noConversion"/>
  </si>
  <si>
    <t>민감도 Key Factor</t>
  </si>
  <si>
    <t>동 T/RC</t>
    <phoneticPr fontId="1" type="noConversion"/>
  </si>
  <si>
    <t>동 Premium</t>
    <phoneticPr fontId="1" type="noConversion"/>
  </si>
  <si>
    <t>동 Free-Metal</t>
    <phoneticPr fontId="1" type="noConversion"/>
  </si>
  <si>
    <t>금 T/RC</t>
    <phoneticPr fontId="1" type="noConversion"/>
  </si>
  <si>
    <t>금 Premium</t>
    <phoneticPr fontId="1" type="noConversion"/>
  </si>
  <si>
    <t>금 Free-Metal</t>
    <phoneticPr fontId="1" type="noConversion"/>
  </si>
  <si>
    <t>은 T/RC</t>
    <phoneticPr fontId="1" type="noConversion"/>
  </si>
  <si>
    <t>은 Premium</t>
    <phoneticPr fontId="1" type="noConversion"/>
  </si>
  <si>
    <t>은 Free-Metal</t>
  </si>
  <si>
    <t>금 T/RC 민감도(단위: 억원)</t>
    <phoneticPr fontId="1" type="noConversion"/>
  </si>
  <si>
    <t>금 FreeMetal 민감도(단위: 억원) : Free Metal% 절대값 변동</t>
    <phoneticPr fontId="1" type="noConversion"/>
  </si>
  <si>
    <t>금 Premium 민감도(단위: 억원) : Premium% 절대값 변동</t>
    <phoneticPr fontId="1" type="noConversion"/>
  </si>
  <si>
    <t>은 T/RC 민감도(단위: 억원)</t>
    <phoneticPr fontId="1" type="noConversion"/>
  </si>
  <si>
    <t>은 Premium 민감도(단위: 억원) : Premium% 절대값 변동</t>
    <phoneticPr fontId="1" type="noConversion"/>
  </si>
  <si>
    <t>은 FreeMetal 민감도(단위: 억원) : Free Metal% 절대값 변동</t>
    <phoneticPr fontId="1" type="noConversion"/>
  </si>
  <si>
    <t>원/ton</t>
  </si>
  <si>
    <t>원/ton</t>
    <phoneticPr fontId="1" type="noConversion"/>
  </si>
  <si>
    <t>Review Log</t>
    <phoneticPr fontId="1" type="noConversion"/>
  </si>
  <si>
    <t>Date</t>
    <phoneticPr fontId="1" type="noConversion"/>
  </si>
  <si>
    <t>JKL Comments</t>
  </si>
  <si>
    <t>KPMG Comments</t>
    <phoneticPr fontId="1" type="noConversion"/>
  </si>
  <si>
    <t>Model Version</t>
    <phoneticPr fontId="1" type="noConversion"/>
  </si>
  <si>
    <t>관련계정</t>
    <phoneticPr fontId="1" type="noConversion"/>
  </si>
  <si>
    <t>Review Note</t>
    <phoneticPr fontId="1" type="noConversion"/>
  </si>
  <si>
    <t>시나리오</t>
    <phoneticPr fontId="1" type="noConversion"/>
  </si>
  <si>
    <t>Closed</t>
    <phoneticPr fontId="1" type="noConversion"/>
  </si>
  <si>
    <t>CDD Upside case 추정치 준용(전기동만 해당)</t>
    <phoneticPr fontId="1" type="noConversion"/>
  </si>
  <si>
    <t>전기동 시세</t>
    <phoneticPr fontId="1" type="noConversion"/>
  </si>
  <si>
    <t>전기동 Premium</t>
    <phoneticPr fontId="1" type="noConversion"/>
  </si>
  <si>
    <t>전기동 T/RC</t>
    <phoneticPr fontId="1" type="noConversion"/>
  </si>
  <si>
    <t>Free metal</t>
    <phoneticPr fontId="1" type="noConversion"/>
  </si>
  <si>
    <t>Upside</t>
  </si>
  <si>
    <t>LME 시세 전망기관 중 가장 높은 가격대를 전망한 CRU 추정 자료</t>
  </si>
  <si>
    <t>전기동 가격</t>
    <phoneticPr fontId="1" type="noConversion"/>
  </si>
  <si>
    <t>Upside case</t>
    <phoneticPr fontId="1" type="noConversion"/>
  </si>
  <si>
    <t>은 판매량</t>
    <phoneticPr fontId="1" type="noConversion"/>
  </si>
  <si>
    <t>Silver소재 판매량</t>
    <phoneticPr fontId="1" type="noConversion"/>
  </si>
  <si>
    <t>PSA 판매량</t>
    <phoneticPr fontId="1" type="noConversion"/>
  </si>
  <si>
    <t>(3) 미래 추정(PSA/황산)</t>
    <phoneticPr fontId="1" type="noConversion"/>
  </si>
  <si>
    <t>Best</t>
  </si>
  <si>
    <t>CDD Upside case 추정치 준용(~24년: 사업계획 판매량 적용 / 25년 이후 Silver소재 판매량 지속 증가)</t>
    <phoneticPr fontId="1" type="noConversion"/>
  </si>
  <si>
    <t>12개월</t>
    <phoneticPr fontId="1" type="noConversion"/>
  </si>
  <si>
    <t>9개월</t>
    <phoneticPr fontId="1" type="noConversion"/>
  </si>
  <si>
    <t>전력비</t>
    <phoneticPr fontId="1" type="noConversion"/>
  </si>
  <si>
    <t>전력비%</t>
    <phoneticPr fontId="1" type="noConversion"/>
  </si>
  <si>
    <t>연료비%</t>
    <phoneticPr fontId="1" type="noConversion"/>
  </si>
  <si>
    <t>제품별손익 에너지비</t>
    <phoneticPr fontId="1" type="noConversion"/>
  </si>
  <si>
    <t>전련가동률</t>
    <phoneticPr fontId="1" type="noConversion"/>
  </si>
  <si>
    <t>1월</t>
    <phoneticPr fontId="1" type="noConversion"/>
  </si>
  <si>
    <t>2월</t>
    <phoneticPr fontId="1" type="noConversion"/>
  </si>
  <si>
    <t>3월</t>
    <phoneticPr fontId="1" type="noConversion"/>
  </si>
  <si>
    <t>4월</t>
    <phoneticPr fontId="1" type="noConversion"/>
  </si>
  <si>
    <t>5월</t>
    <phoneticPr fontId="1" type="noConversion"/>
  </si>
  <si>
    <t>6월</t>
    <phoneticPr fontId="1" type="noConversion"/>
  </si>
  <si>
    <t>7월</t>
    <phoneticPr fontId="1" type="noConversion"/>
  </si>
  <si>
    <t>8월</t>
    <phoneticPr fontId="1" type="noConversion"/>
  </si>
  <si>
    <t>9월</t>
    <phoneticPr fontId="1" type="noConversion"/>
  </si>
  <si>
    <t>10월</t>
    <phoneticPr fontId="1" type="noConversion"/>
  </si>
  <si>
    <t xml:space="preserve">11월 </t>
    <phoneticPr fontId="1" type="noConversion"/>
  </si>
  <si>
    <t>12월</t>
    <phoneticPr fontId="1" type="noConversion"/>
  </si>
  <si>
    <t>전력사용량 [GWh]</t>
    <phoneticPr fontId="1" type="noConversion"/>
  </si>
  <si>
    <t>전기요금 [억 원]</t>
    <phoneticPr fontId="1" type="noConversion"/>
  </si>
  <si>
    <t>전련사용량</t>
    <phoneticPr fontId="1" type="noConversion"/>
  </si>
  <si>
    <t>Gwh</t>
    <phoneticPr fontId="1" type="noConversion"/>
  </si>
  <si>
    <t>전력단가</t>
    <phoneticPr fontId="1" type="noConversion"/>
  </si>
  <si>
    <t>백만원/Gwh</t>
    <phoneticPr fontId="1" type="noConversion"/>
  </si>
  <si>
    <t>전력사용량</t>
    <phoneticPr fontId="1" type="noConversion"/>
  </si>
  <si>
    <t>1-2월</t>
    <phoneticPr fontId="1" type="noConversion"/>
  </si>
  <si>
    <t>7-8월</t>
    <phoneticPr fontId="1" type="noConversion"/>
  </si>
  <si>
    <t>3-6월/9-10월</t>
    <phoneticPr fontId="1" type="noConversion"/>
  </si>
  <si>
    <t>11-12월</t>
    <phoneticPr fontId="1" type="noConversion"/>
  </si>
  <si>
    <t>2020년 대비 상승률</t>
    <phoneticPr fontId="1" type="noConversion"/>
  </si>
  <si>
    <t>Source: Worldbank</t>
    <phoneticPr fontId="1" type="noConversion"/>
  </si>
  <si>
    <t>원유 평균가격</t>
    <phoneticPr fontId="1" type="noConversion"/>
  </si>
  <si>
    <t>원유가격</t>
    <phoneticPr fontId="1" type="noConversion"/>
  </si>
  <si>
    <t>$/bbl</t>
    <phoneticPr fontId="1" type="noConversion"/>
  </si>
  <si>
    <t>2021 3m</t>
    <phoneticPr fontId="1" type="noConversion"/>
  </si>
  <si>
    <t>기간</t>
  </si>
  <si>
    <t>SK에너지</t>
  </si>
  <si>
    <t>GS칼텍스</t>
  </si>
  <si>
    <t>현대오일뱅크</t>
  </si>
  <si>
    <t>S-OIL</t>
  </si>
  <si>
    <t>SK가스</t>
  </si>
  <si>
    <t>E1</t>
  </si>
  <si>
    <t>2018년1분기</t>
  </si>
  <si>
    <t>2018년2분기</t>
  </si>
  <si>
    <t>2018년3분기</t>
  </si>
  <si>
    <t>2018년4분기</t>
  </si>
  <si>
    <t>2019년1분기</t>
  </si>
  <si>
    <t>2019년2분기</t>
  </si>
  <si>
    <t>2019년3분기</t>
  </si>
  <si>
    <t>2019년4분기</t>
  </si>
  <si>
    <t>2020년1분기</t>
  </si>
  <si>
    <t>2020년2분기</t>
  </si>
  <si>
    <t>2020년3분기</t>
  </si>
  <si>
    <t>2020년4분기</t>
  </si>
  <si>
    <t>2021년1분기</t>
  </si>
  <si>
    <t>2021년2분기</t>
  </si>
  <si>
    <t>2021년3분기</t>
  </si>
  <si>
    <t>원화가격</t>
    <phoneticPr fontId="1" type="noConversion"/>
  </si>
  <si>
    <t>외화가격</t>
    <phoneticPr fontId="1" type="noConversion"/>
  </si>
  <si>
    <t>원/리터</t>
    <phoneticPr fontId="1" type="noConversion"/>
  </si>
  <si>
    <t>2021 3m은 2020 4Q 전력단가 및 2020년 대비 2021년 전련단가 상승률 고려 및 이후 Woodmac 예측 한국 전력요금 상승률 적용(2030년까지 30% 상승)</t>
    <phoneticPr fontId="1" type="noConversion"/>
  </si>
  <si>
    <t>현 수준 유지 가정</t>
    <phoneticPr fontId="1" type="noConversion"/>
  </si>
  <si>
    <t>2021 3m은 2020 4Q 전력단가 및 2020년 대비 2021년 전련단가 상승률 고려 및 이후 2021년  수준 유지 가정</t>
    <phoneticPr fontId="1" type="noConversion"/>
  </si>
  <si>
    <t>(2) 미래 추정(전력단가)</t>
    <phoneticPr fontId="1" type="noConversion"/>
  </si>
  <si>
    <t>미래추정(전력사용량)</t>
    <phoneticPr fontId="1" type="noConversion"/>
  </si>
  <si>
    <t>2021 3m은 2021 9mA 수준 전력사용량 유지 및 이후 2021년 수준 유지 가정</t>
    <phoneticPr fontId="1" type="noConversion"/>
  </si>
  <si>
    <t>(1) 과거 변동: 전련 공정에 소요되는 전력비 및 원재료 난방건조시 사용되는 연료비 등으로 구성</t>
    <phoneticPr fontId="1" type="noConversion"/>
  </si>
  <si>
    <t>전기동 보조재료비단가</t>
    <phoneticPr fontId="1" type="noConversion"/>
  </si>
  <si>
    <t>(2) 미래 추정(전기동)</t>
    <phoneticPr fontId="1" type="noConversion"/>
  </si>
  <si>
    <t>(3) 미래 추정(기타제품)</t>
    <phoneticPr fontId="1" type="noConversion"/>
  </si>
  <si>
    <t>PSA 17, 18 라인 투자액</t>
    <phoneticPr fontId="1" type="noConversion"/>
  </si>
  <si>
    <t>6.</t>
    <phoneticPr fontId="1" type="noConversion"/>
  </si>
  <si>
    <t>PSA upside Case에 따른 추가 CAPEX 및 감가상각비</t>
    <phoneticPr fontId="1" type="noConversion"/>
  </si>
  <si>
    <t>(1) CDD 제시 PSA upside case에 따른 추가 CAPEX(17,18 line) 및 관련 D&amp;A 금액</t>
    <phoneticPr fontId="1" type="noConversion"/>
  </si>
  <si>
    <t>Base Case(2025년 이후 2024년 수준 PSA 판매량 유지에 따른 추가 CAPEX 미지출)</t>
    <phoneticPr fontId="1" type="noConversion"/>
  </si>
  <si>
    <t>Upside Case(2025년 이후 PSA 판매량 지속 증가에 따른 추가 CAPEX 및 D&amp;A 발생)</t>
    <phoneticPr fontId="1" type="noConversion"/>
  </si>
  <si>
    <t>기타제품 보조재료비/원재료비</t>
    <phoneticPr fontId="1" type="noConversion"/>
  </si>
  <si>
    <t>기타제품 보조재료비</t>
    <phoneticPr fontId="1" type="noConversion"/>
  </si>
  <si>
    <t>% of 주재료비</t>
    <phoneticPr fontId="1" type="noConversion"/>
  </si>
  <si>
    <t>Closed</t>
  </si>
  <si>
    <t>CDD Upside case 추정치 준용</t>
    <phoneticPr fontId="1" type="noConversion"/>
  </si>
  <si>
    <t>$/ton</t>
    <phoneticPr fontId="1" type="noConversion"/>
  </si>
  <si>
    <r>
      <rPr>
        <b/>
        <sz val="10"/>
        <color theme="1"/>
        <rFont val="맑은 고딕"/>
        <family val="3"/>
        <charset val="129"/>
        <scheme val="minor"/>
      </rPr>
      <t>[기타금속 재료비율]</t>
    </r>
    <r>
      <rPr>
        <sz val="10"/>
        <color theme="1"/>
        <rFont val="맑은 고딕"/>
        <family val="3"/>
        <charset val="129"/>
        <scheme val="minor"/>
      </rPr>
      <t xml:space="preserve">
- 조황산 니켈과 Precious Sand의 재료비율이 3년사이에 등락이 좀 있는데 가장 최근 비율 가정한 이유는? 증감이 보이는 이유는?
- 기타금속 재료비가 꽤 큰편인데 향후 재료비율이 크게 흔들릴 가능성은 없는것인지? 이 안에 어떤 항목들이 들어가 있는지?
</t>
    </r>
    <r>
      <rPr>
        <b/>
        <sz val="10"/>
        <color theme="1"/>
        <rFont val="맑은 고딕"/>
        <family val="3"/>
        <charset val="129"/>
        <scheme val="minor"/>
      </rPr>
      <t>[보조재료비율]</t>
    </r>
    <r>
      <rPr>
        <sz val="10"/>
        <color theme="1"/>
        <rFont val="맑은 고딕"/>
        <family val="3"/>
        <charset val="129"/>
        <scheme val="minor"/>
      </rPr>
      <t xml:space="preserve">
- 보조재료비가 트랜드로 보면 계속 줄어들고 있는데 22년부터 증가 및 유지되는 이유는?
</t>
    </r>
    <r>
      <rPr>
        <b/>
        <sz val="10"/>
        <color theme="1"/>
        <rFont val="맑은 고딕"/>
        <family val="3"/>
        <charset val="129"/>
        <scheme val="minor"/>
      </rPr>
      <t>[주요금속 채취율]</t>
    </r>
    <r>
      <rPr>
        <sz val="10"/>
        <color theme="1"/>
        <rFont val="맑은 고딕"/>
        <family val="3"/>
        <charset val="129"/>
        <scheme val="minor"/>
      </rPr>
      <t xml:space="preserve">
- 전반적으로 표준 체취율이 지속적으로 상승해 왔는데 앞으로도 상승할 가능성은 없는지? 이 상승률이 지속된다면 과거의 평균치를 미래에 넣는 것이 맞는지?
- 19~21년 실버소재 제품 샘플에 들어간 양과 Excess에서 감소된 양이 정말 맞는지 검증 필요
- 팔라듐의 Excess는 큰폭으로 증가하는데 향후 이 트랜드가 계속되는지 유지되는지 감소되는지 명확한 가설 필요
- 백금의 Excess를 보면 fluctuation이 심한데 그 이유와 향후 등락에 대한 가설 필요 </t>
    </r>
    <phoneticPr fontId="1" type="noConversion"/>
  </si>
  <si>
    <r>
      <rPr>
        <b/>
        <sz val="10"/>
        <color theme="1"/>
        <rFont val="맑은 고딕"/>
        <family val="3"/>
        <charset val="129"/>
        <scheme val="minor"/>
      </rPr>
      <t>[인원수]</t>
    </r>
    <r>
      <rPr>
        <sz val="10"/>
        <color theme="1"/>
        <rFont val="맑은 고딕"/>
        <family val="3"/>
        <charset val="129"/>
        <scheme val="minor"/>
      </rPr>
      <t xml:space="preserve">
- 향후 인원의 증감의 원인은? 왜 22년부터 소폭 줄어드는 트랜드르 보이는지?
- 은 소재 관련 인원이 왜 지속되는지? 제련소에서 타 업무를 할 계획이라면 제련소 인원수에 편입되어야 하는것은 아닌지?
</t>
    </r>
    <r>
      <rPr>
        <b/>
        <sz val="10"/>
        <color theme="1"/>
        <rFont val="맑은 고딕"/>
        <family val="3"/>
        <charset val="129"/>
        <scheme val="minor"/>
      </rPr>
      <t>[노무비 대비 성과급]</t>
    </r>
    <r>
      <rPr>
        <sz val="10"/>
        <color theme="1"/>
        <rFont val="맑은 고딕"/>
        <family val="3"/>
        <charset val="129"/>
        <scheme val="minor"/>
      </rPr>
      <t xml:space="preserve">
- 디테일한 KPI는 제공받을 수 없지만 영업이익 등 KPI로 활용 될만한 지표와 연동해 %는 산출해 낼 필요 있어보임</t>
    </r>
    <phoneticPr fontId="1" type="noConversion"/>
  </si>
  <si>
    <r>
      <rPr>
        <b/>
        <sz val="10"/>
        <color theme="1"/>
        <rFont val="맑은 고딕"/>
        <family val="3"/>
        <charset val="129"/>
        <scheme val="minor"/>
      </rPr>
      <t>[에너지비]</t>
    </r>
    <r>
      <rPr>
        <sz val="10"/>
        <color theme="1"/>
        <rFont val="맑은 고딕"/>
        <family val="3"/>
        <charset val="129"/>
        <scheme val="minor"/>
      </rPr>
      <t xml:space="preserve">
- 연료 사용량의 18년과 20년 비교해면 너무 Fluctuation이 심한데 이에 대한 Driver는 무엇인지? 향후에 해당 Driver와 연동되어서 년별 예측이 필요해보임  
</t>
    </r>
    <r>
      <rPr>
        <b/>
        <sz val="10"/>
        <color theme="1"/>
        <rFont val="맑은 고딕"/>
        <family val="3"/>
        <charset val="129"/>
        <scheme val="minor"/>
      </rPr>
      <t xml:space="preserve">[용역원가]
</t>
    </r>
    <r>
      <rPr>
        <sz val="10"/>
        <color theme="1"/>
        <rFont val="맑은 고딕"/>
        <family val="3"/>
        <charset val="129"/>
        <scheme val="minor"/>
      </rPr>
      <t>- 전기동 용역원의 증가세가 뚜렸한데 올해 기준으로 향후에 동결될 수 있는 것인지?</t>
    </r>
    <phoneticPr fontId="1" type="noConversion"/>
  </si>
  <si>
    <r>
      <rPr>
        <b/>
        <sz val="10"/>
        <color theme="1"/>
        <rFont val="맑은 고딕"/>
        <family val="3"/>
        <charset val="129"/>
        <scheme val="minor"/>
      </rPr>
      <t xml:space="preserve">[변동비]
</t>
    </r>
    <r>
      <rPr>
        <sz val="10"/>
        <color theme="1"/>
        <rFont val="맑은 고딕"/>
        <family val="3"/>
        <charset val="129"/>
        <scheme val="minor"/>
      </rPr>
      <t>- Base Case 브랜드 수수료를 0.1%로 추정하는게 맞을지 0.2%추정하는게 맞을지 LS지주 브랜드수수료 정책 리서치 필요</t>
    </r>
    <phoneticPr fontId="1" type="noConversion"/>
  </si>
  <si>
    <r>
      <rPr>
        <b/>
        <sz val="10"/>
        <color theme="1"/>
        <rFont val="맑은 고딕"/>
        <family val="3"/>
        <charset val="129"/>
        <scheme val="minor"/>
      </rPr>
      <t>[민감도 분석]</t>
    </r>
    <r>
      <rPr>
        <sz val="10"/>
        <color theme="1"/>
        <rFont val="맑은 고딕"/>
        <family val="3"/>
        <charset val="129"/>
        <scheme val="minor"/>
      </rPr>
      <t xml:space="preserve">
- IRR Tab에서 IPO Multiple 별 IRR의 민감도 분석도 추가</t>
    </r>
    <phoneticPr fontId="1" type="noConversion"/>
  </si>
  <si>
    <t>회사 사업계획 준용(총 인원 수) 및 Base Case 상 Silver소재 미발생에 따른 인원 이관 반영</t>
    <phoneticPr fontId="1" type="noConversion"/>
  </si>
  <si>
    <r>
      <rPr>
        <b/>
        <sz val="9"/>
        <color theme="1"/>
        <rFont val="맑은 고딕"/>
        <family val="3"/>
        <charset val="129"/>
        <scheme val="minor"/>
      </rPr>
      <t xml:space="preserve">[변동비]
</t>
    </r>
    <r>
      <rPr>
        <sz val="9"/>
        <color theme="1"/>
        <rFont val="맑은 고딕"/>
        <family val="3"/>
        <charset val="129"/>
        <scheme val="minor"/>
      </rPr>
      <t>LS 지주의 기본정책은 0.2%이나, 대상회사의 경우 JV 특수성으로 인해 그동안 0.1%를 수취함. 향후 본 거래 종료 이후엔 0.2%를 수취하고자 할 것으로 보이며, 구두상으로 파악된 LS 지주의 의중 또한 그러하므로 0.2%를 Base Case로 반영함.
다만, 본 수수료율은 추후 SHA 등 협상 과정에서 하나의 협상 point로는 활용 가능할 것으로 판단됨</t>
    </r>
    <phoneticPr fontId="1" type="noConversion"/>
  </si>
  <si>
    <t>% of 인건비</t>
    <phoneticPr fontId="1" type="noConversion"/>
  </si>
  <si>
    <t>전년도 영업이익과의 상관계수 활용(2021년 4Q는 유지)</t>
  </si>
  <si>
    <t>전년도 영업이익과의 상관계수 활용(2021년 4Q는 유지)</t>
    <phoneticPr fontId="1" type="noConversion"/>
  </si>
  <si>
    <t>2021 4Q는 2021 9개월 성과급 비율 유지 및 2022년 이후 과거 평균 수준의 비율 유지 가정</t>
  </si>
  <si>
    <r>
      <rPr>
        <b/>
        <sz val="9"/>
        <color theme="1"/>
        <rFont val="맑은 고딕"/>
        <family val="3"/>
        <charset val="129"/>
        <scheme val="minor"/>
      </rPr>
      <t>[인원수]</t>
    </r>
    <r>
      <rPr>
        <sz val="9"/>
        <color theme="1"/>
        <rFont val="맑은 고딕"/>
        <family val="3"/>
        <charset val="129"/>
        <scheme val="minor"/>
      </rPr>
      <t xml:space="preserve">
1) 대상회사 사업 특성 상 대부분의 공정이 자동화되어있고, 향후 지속적인 CAPEX 투자에 따라 추가 채용 Needs는 거의 없음. 현재 근무 인원의 정년퇴직 등 감소 유인만 존재하며, 대상회사 사업계획 상 인원 수는 이러한 사항이 반영되어 작성됨(Base Case 상 대상회사 사업계획 인원 수 준용)
2) 수정 완료(Silver 소재 인원의 제련소 이관 반영)
</t>
    </r>
    <r>
      <rPr>
        <b/>
        <sz val="9"/>
        <color theme="1"/>
        <rFont val="맑은 고딕"/>
        <family val="3"/>
        <charset val="129"/>
        <scheme val="minor"/>
      </rPr>
      <t>[인건비 대비 성과급]</t>
    </r>
    <r>
      <rPr>
        <sz val="9"/>
        <color theme="1"/>
        <rFont val="맑은 고딕"/>
        <family val="3"/>
        <charset val="129"/>
        <scheme val="minor"/>
      </rPr>
      <t xml:space="preserve">
수정 완료(전년도 영업이익과의 상관계수를 활용하여 산정)
판관비 또한 동일한 로직으로 수정함</t>
    </r>
    <phoneticPr fontId="1" type="noConversion"/>
  </si>
  <si>
    <t>제련 보조재료비</t>
  </si>
  <si>
    <t>광석 투입량</t>
  </si>
  <si>
    <t>Cu 품위</t>
  </si>
  <si>
    <t>기체산소</t>
  </si>
  <si>
    <t>ton 당 기체산소</t>
  </si>
  <si>
    <t>ton 당 보조재료비</t>
  </si>
  <si>
    <t>전련</t>
  </si>
  <si>
    <t>전련</t>
    <phoneticPr fontId="1" type="noConversion"/>
  </si>
  <si>
    <t>[보조재료비]</t>
  </si>
  <si>
    <t>단위 : 백만원</t>
  </si>
  <si>
    <t>제련1</t>
  </si>
  <si>
    <t>재생사</t>
  </si>
  <si>
    <t xml:space="preserve">규석 </t>
  </si>
  <si>
    <t>Cokes</t>
  </si>
  <si>
    <t>제련2</t>
  </si>
  <si>
    <t>석회석</t>
  </si>
  <si>
    <t>규석분</t>
  </si>
  <si>
    <t>제련 / 전련</t>
  </si>
  <si>
    <t>규석</t>
  </si>
  <si>
    <t>소다회</t>
  </si>
  <si>
    <t>화성</t>
  </si>
  <si>
    <t>액체유황</t>
  </si>
  <si>
    <t>CaCO3</t>
  </si>
  <si>
    <t>금액(천원)</t>
  </si>
  <si>
    <t>T/천원</t>
  </si>
  <si>
    <t>Cu(%)</t>
  </si>
  <si>
    <t>재고변동효과</t>
    <phoneticPr fontId="1" type="noConversion"/>
  </si>
  <si>
    <t>동 투입량</t>
    <phoneticPr fontId="1" type="noConversion"/>
  </si>
  <si>
    <t>Cu 투입량</t>
    <phoneticPr fontId="1" type="noConversion"/>
  </si>
  <si>
    <t>과거기간 = 생산기준 투입량, 추정기간 = 판매기준 투입량</t>
    <phoneticPr fontId="1" type="noConversion"/>
  </si>
  <si>
    <t>향후 재고변동 효과X(판매기준 투입량 적용)</t>
    <phoneticPr fontId="1" type="noConversion"/>
  </si>
  <si>
    <t>보조재료비(투입기준)</t>
    <phoneticPr fontId="1" type="noConversion"/>
  </si>
  <si>
    <t>ton 당 보조재료비</t>
    <phoneticPr fontId="1" type="noConversion"/>
  </si>
  <si>
    <t>실 채취량(=판매량, 은은 Silver소재와 합산, 2020년은 Silver 소재 Sample 목적 사용량 합산 - FDD Report 참고)</t>
    <phoneticPr fontId="1" type="noConversion"/>
  </si>
  <si>
    <r>
      <rPr>
        <b/>
        <sz val="9"/>
        <color theme="1"/>
        <rFont val="맑은 고딕"/>
        <family val="3"/>
        <charset val="129"/>
        <scheme val="minor"/>
      </rPr>
      <t xml:space="preserve">[기타금속 재료비율]
</t>
    </r>
    <r>
      <rPr>
        <sz val="9"/>
        <color theme="1"/>
        <rFont val="맑은 고딕"/>
        <family val="3"/>
        <charset val="129"/>
        <scheme val="minor"/>
      </rPr>
      <t xml:space="preserve">1) 기타금속의 재료비율은 원료 도입에 따라 결정되며, 원료의 함유랑이 일정량 미달이면 매입대금을 지불하지 않는 등 원료 도입에 따라 등락이 있음. 또한 대상회사의 판매량 또한 원료도입과 밀접한 관계가 있으며, 현재 CDD Base Case 상 2022년 이후 조황산 니켈과 Precious Sand의 판매량은 전기동 판매량 대비 0.7%, 0.3% 수준으로 2021년 9개월 현재와 거의 유사함. 따라서 향후 원료 도입의 배합비율이 현재와 크게 달라지지 않을 것으로 추정하였으며, 이에 따라 2021년 9개월 현재 수준의 재료비율 유지를 가정함
2) 2019년 수준을 제외하면 2018년 및 2020년, 2021년 9개월 간 기타금속 재료비율은 86% ~ 87%을 유지하였으며, 기타금속은 텔레늄, 석고, 셀레늄 등으로 구성되어있으며, 이러한 기타 제품에 대한 별도의 Q 증가 또는 P 증가는 예상되지 않음. 또한 현재 수준의 원료 도입 배합비율을 유지할 것으로 추정하였으므로, 향후 현재 수준의 재료비율을 유지할 것으로 추정함
</t>
    </r>
    <r>
      <rPr>
        <b/>
        <sz val="9"/>
        <color theme="1"/>
        <rFont val="맑은 고딕"/>
        <family val="3"/>
        <charset val="129"/>
        <scheme val="minor"/>
      </rPr>
      <t>[보조재료비]</t>
    </r>
    <r>
      <rPr>
        <sz val="9"/>
        <color theme="1"/>
        <rFont val="맑은 고딕"/>
        <family val="3"/>
        <charset val="129"/>
        <scheme val="minor"/>
      </rPr>
      <t xml:space="preserve">
대상회사에 질의 및 자료수령하였으며, 해당 계정의 경우 생산 기준으로 재추정하였음. 보조재료비는 대부분 기체산소 비용이며, 과거 생산 기준 Q 당 보조재료비는 40,000원 ~ 42,000원 수준을 유지하였고 향후에도 특별한 변동 요인이 없는 것으로 파악됨에 따라 과거 평균 수준 유지 가정함
</t>
    </r>
    <r>
      <rPr>
        <b/>
        <sz val="9"/>
        <color theme="1"/>
        <rFont val="맑은 고딕"/>
        <family val="3"/>
        <charset val="129"/>
        <scheme val="minor"/>
      </rPr>
      <t>[주요금속 채취율]</t>
    </r>
    <r>
      <rPr>
        <sz val="9"/>
        <color theme="1"/>
        <rFont val="맑은 고딕"/>
        <family val="3"/>
        <charset val="129"/>
        <scheme val="minor"/>
      </rPr>
      <t xml:space="preserve">
1) 대상회사 인터뷰 결과, 현재의 기술력 등을 고려하였을 때 향후 표준 채취율의 유의미한 상승은 어려우며 이와 관련한 특별한 기술개발 계획 또한 없음. 과거 표준채취율의 변화는 원료 도입 Mix에 따른 변동이 대부분이며, 향후에는 원료 도입 Mix가 현재 수준을 유지할 것으로 추정하여 향후에도 현재 수준의 표준 채취율 유지를 가정함
2) FDD Report 상 2020년 Sample 사용량(1.5톤) 반영하여 실 채취율을 재 산정하였으며, Base Case 상 향후 추정 시 과거기간 평균 Excess 적용하는 것으로 수정 완료
3/4) Excess는 대상회사 또한 예측이 불가능한 영역으로, 광산과의 계약 시 Sampling 된 함유량 대비 실제 원료도입 이후 생산 시점에 확인되는 함유량의 차이에 의해 발생. 이러한 차이는 광산과의 Sampling 시, Cu에 Focus 하여 Sampling 하기 때문으로, 대상회사 또한 예측하지 못한 수익임. 다만 Excess가 과거에도 지속 발생하였고, 향후에도 발생할 것으로 대상회사는 예상하고 있으며 이에 대한 최선의 추정치는 과거기간 평균 수준인 것으로 판단함.</t>
    </r>
    <phoneticPr fontId="1" type="noConversion"/>
  </si>
  <si>
    <r>
      <rPr>
        <b/>
        <sz val="9"/>
        <color theme="1"/>
        <rFont val="맑은 고딕"/>
        <family val="3"/>
        <charset val="129"/>
        <scheme val="minor"/>
      </rPr>
      <t xml:space="preserve">[민감도분석]
</t>
    </r>
    <r>
      <rPr>
        <sz val="9"/>
        <color theme="1"/>
        <rFont val="맑은 고딕"/>
        <family val="3"/>
        <charset val="129"/>
        <scheme val="minor"/>
      </rPr>
      <t>반영 완료</t>
    </r>
    <phoneticPr fontId="1" type="noConversion"/>
  </si>
  <si>
    <t>LNG</t>
  </si>
  <si>
    <t>LNG</t>
    <phoneticPr fontId="1" type="noConversion"/>
  </si>
  <si>
    <t>제련1팀</t>
  </si>
  <si>
    <t>BC유</t>
  </si>
  <si>
    <t>제련2팀</t>
  </si>
  <si>
    <t>Coal</t>
  </si>
  <si>
    <t>LNG(황산)</t>
  </si>
  <si>
    <t>LNG(자체)</t>
  </si>
  <si>
    <t>LNG(판매)</t>
  </si>
  <si>
    <t>LNG계</t>
  </si>
  <si>
    <t>BC유</t>
    <phoneticPr fontId="1" type="noConversion"/>
  </si>
  <si>
    <t>BC유 등</t>
    <phoneticPr fontId="1" type="noConversion"/>
  </si>
  <si>
    <t>ton 당 BC유비용</t>
    <phoneticPr fontId="1" type="noConversion"/>
  </si>
  <si>
    <t>원/USD</t>
    <phoneticPr fontId="1" type="noConversion"/>
  </si>
  <si>
    <t>전기동 ton 당 BC유 비용</t>
    <phoneticPr fontId="1" type="noConversion"/>
  </si>
  <si>
    <t>미래추정(전기동 ton 당 BC유 비용)</t>
    <phoneticPr fontId="1" type="noConversion"/>
  </si>
  <si>
    <t>2021 3m은 2021 온기 추정치에 따른 단가 산출 및 이후 Worldbank 국제유가 전망치에 따라 선형회귀분석을 통해 산출한 향후 BC유 단가 추정치 적용</t>
    <phoneticPr fontId="1" type="noConversion"/>
  </si>
  <si>
    <t>ton 당 LNG비용</t>
    <phoneticPr fontId="1" type="noConversion"/>
  </si>
  <si>
    <t>Annual Averages</t>
  </si>
  <si>
    <t>Quarterly Averages</t>
  </si>
  <si>
    <t>Monthly Averages</t>
  </si>
  <si>
    <t>Jan-Dec</t>
  </si>
  <si>
    <t>Jul-Sep</t>
  </si>
  <si>
    <t>Oct-Dec</t>
  </si>
  <si>
    <t>Jan-Mar</t>
  </si>
  <si>
    <t>Apr-Jun</t>
  </si>
  <si>
    <t>Sep</t>
  </si>
  <si>
    <t>Oct</t>
  </si>
  <si>
    <t>Nov</t>
  </si>
  <si>
    <t>Commodity</t>
  </si>
  <si>
    <t>Unit</t>
  </si>
  <si>
    <t>Energy</t>
  </si>
  <si>
    <t>Coal, Australia</t>
  </si>
  <si>
    <t>$/mt</t>
  </si>
  <si>
    <t>a/</t>
  </si>
  <si>
    <t>Coal, South Africa</t>
  </si>
  <si>
    <t>Crude oil, average</t>
  </si>
  <si>
    <t>$/bbl</t>
  </si>
  <si>
    <t>Crude oil, Brent</t>
  </si>
  <si>
    <t>Crude oil, Dubai</t>
  </si>
  <si>
    <t>Crude oil, WTI</t>
  </si>
  <si>
    <t>Natural gas, Index</t>
  </si>
  <si>
    <t>2010=100</t>
  </si>
  <si>
    <t>2021 9ma</t>
    <phoneticPr fontId="1" type="noConversion"/>
  </si>
  <si>
    <t>황산/PSA 판매량</t>
    <phoneticPr fontId="1" type="noConversion"/>
  </si>
  <si>
    <t>Natural gas, Europe</t>
  </si>
  <si>
    <t>$/mmbtu</t>
  </si>
  <si>
    <t>Natural gas, U.S.</t>
  </si>
  <si>
    <t>Liquefied natural gas, Japan</t>
  </si>
  <si>
    <t>Commodity                                  Unit                 2019            2020</t>
  </si>
  <si>
    <t>Forecasts</t>
  </si>
  <si>
    <t>2021           2022           2023           2024           2025           2030           2035</t>
  </si>
  <si>
    <t>Crude oil, avg</t>
  </si>
  <si>
    <t>Period</t>
  </si>
  <si>
    <t>Jan-01-2017</t>
  </si>
  <si>
    <t>Jan-02-2017</t>
  </si>
  <si>
    <t>Jan-03-2017</t>
  </si>
  <si>
    <t>Jan-04-2017</t>
  </si>
  <si>
    <t>Jan-05-2017</t>
  </si>
  <si>
    <t>Jan-06-2017</t>
  </si>
  <si>
    <t>Jan-07-2017</t>
  </si>
  <si>
    <t>Jan-08-2017</t>
  </si>
  <si>
    <t>Jan-09-2017</t>
  </si>
  <si>
    <t>Jan-10-2017</t>
  </si>
  <si>
    <t>Jan-11-2017</t>
  </si>
  <si>
    <t>Jan-12-2017</t>
  </si>
  <si>
    <t>Jan-13-2017</t>
  </si>
  <si>
    <t>Jan-14-2017</t>
  </si>
  <si>
    <t>Jan-15-2017</t>
  </si>
  <si>
    <t>Jan-16-2017</t>
  </si>
  <si>
    <t>Jan-17-2017</t>
  </si>
  <si>
    <t>Jan-18-2017</t>
  </si>
  <si>
    <t>Jan-19-2017</t>
  </si>
  <si>
    <t>Jan-20-2017</t>
  </si>
  <si>
    <t>Jan-21-2017</t>
  </si>
  <si>
    <t>Jan-22-2017</t>
  </si>
  <si>
    <t>Jan-23-2017</t>
  </si>
  <si>
    <t>Jan-24-2017</t>
  </si>
  <si>
    <t>Jan-25-2017</t>
  </si>
  <si>
    <t>Jan-26-2017</t>
  </si>
  <si>
    <t>Jan-27-2017</t>
  </si>
  <si>
    <t>Jan-28-2017</t>
  </si>
  <si>
    <t>Jan-29-2017</t>
  </si>
  <si>
    <t>Jan-30-2017</t>
  </si>
  <si>
    <t>Jan-31-2017</t>
  </si>
  <si>
    <t>Feb-01-2017</t>
  </si>
  <si>
    <t>Feb-02-2017</t>
  </si>
  <si>
    <t>Feb-03-2017</t>
  </si>
  <si>
    <t>Feb-04-2017</t>
  </si>
  <si>
    <t>Feb-05-2017</t>
  </si>
  <si>
    <t>Feb-06-2017</t>
  </si>
  <si>
    <t>Feb-07-2017</t>
  </si>
  <si>
    <t>Feb-08-2017</t>
  </si>
  <si>
    <t>Feb-09-2017</t>
  </si>
  <si>
    <t>Feb-10-2017</t>
  </si>
  <si>
    <t>Feb-11-2017</t>
  </si>
  <si>
    <t>Feb-12-2017</t>
  </si>
  <si>
    <t>Feb-13-2017</t>
  </si>
  <si>
    <t>Feb-14-2017</t>
  </si>
  <si>
    <t>Feb-15-2017</t>
  </si>
  <si>
    <t>Feb-16-2017</t>
  </si>
  <si>
    <t>Feb-17-2017</t>
  </si>
  <si>
    <t>Feb-18-2017</t>
  </si>
  <si>
    <t>Feb-19-2017</t>
  </si>
  <si>
    <t>Feb-20-2017</t>
  </si>
  <si>
    <t>Feb-21-2017</t>
  </si>
  <si>
    <t>Feb-22-2017</t>
  </si>
  <si>
    <t>Feb-23-2017</t>
  </si>
  <si>
    <t>Feb-24-2017</t>
  </si>
  <si>
    <t>Feb-25-2017</t>
  </si>
  <si>
    <t>Feb-26-2017</t>
  </si>
  <si>
    <t>Feb-27-2017</t>
  </si>
  <si>
    <t>Feb-28-2017</t>
  </si>
  <si>
    <t>Mar-01-2017</t>
  </si>
  <si>
    <t>Mar-02-2017</t>
  </si>
  <si>
    <t>Mar-03-2017</t>
  </si>
  <si>
    <t>Mar-04-2017</t>
  </si>
  <si>
    <t>Mar-05-2017</t>
  </si>
  <si>
    <t>Mar-06-2017</t>
  </si>
  <si>
    <t>Mar-07-2017</t>
  </si>
  <si>
    <t>Mar-08-2017</t>
  </si>
  <si>
    <t>Mar-09-2017</t>
  </si>
  <si>
    <t>Mar-10-2017</t>
  </si>
  <si>
    <t>Mar-11-2017</t>
  </si>
  <si>
    <t>Mar-12-2017</t>
  </si>
  <si>
    <t>Mar-13-2017</t>
  </si>
  <si>
    <t>Mar-14-2017</t>
  </si>
  <si>
    <t>Mar-15-2017</t>
  </si>
  <si>
    <t>Mar-16-2017</t>
  </si>
  <si>
    <t>Mar-17-2017</t>
  </si>
  <si>
    <t>Mar-18-2017</t>
  </si>
  <si>
    <t>Mar-19-2017</t>
  </si>
  <si>
    <t>Mar-20-2017</t>
  </si>
  <si>
    <t>Mar-21-2017</t>
  </si>
  <si>
    <t>Mar-22-2017</t>
  </si>
  <si>
    <t>Mar-23-2017</t>
  </si>
  <si>
    <t>Mar-24-2017</t>
  </si>
  <si>
    <t>Mar-25-2017</t>
  </si>
  <si>
    <t>Mar-26-2017</t>
  </si>
  <si>
    <t>Mar-27-2017</t>
  </si>
  <si>
    <t>Mar-28-2017</t>
  </si>
  <si>
    <t>Mar-29-2017</t>
  </si>
  <si>
    <t>Mar-30-2017</t>
  </si>
  <si>
    <t>Mar-31-2017</t>
  </si>
  <si>
    <t>Apr-01-2017</t>
  </si>
  <si>
    <t>Apr-02-2017</t>
  </si>
  <si>
    <t>Apr-03-2017</t>
  </si>
  <si>
    <t>Apr-04-2017</t>
  </si>
  <si>
    <t>Apr-05-2017</t>
  </si>
  <si>
    <t>Apr-06-2017</t>
  </si>
  <si>
    <t>Apr-07-2017</t>
  </si>
  <si>
    <t>Apr-08-2017</t>
  </si>
  <si>
    <t>Apr-09-2017</t>
  </si>
  <si>
    <t>Apr-10-2017</t>
  </si>
  <si>
    <t>Apr-11-2017</t>
  </si>
  <si>
    <t>Apr-12-2017</t>
  </si>
  <si>
    <t>Apr-13-2017</t>
  </si>
  <si>
    <t>Apr-14-2017</t>
  </si>
  <si>
    <t>Apr-15-2017</t>
  </si>
  <si>
    <t>Apr-16-2017</t>
  </si>
  <si>
    <t>Apr-17-2017</t>
  </si>
  <si>
    <t>Apr-18-2017</t>
  </si>
  <si>
    <t>Apr-19-2017</t>
  </si>
  <si>
    <t>Apr-20-2017</t>
  </si>
  <si>
    <t>Apr-21-2017</t>
  </si>
  <si>
    <t>Apr-22-2017</t>
  </si>
  <si>
    <t>Apr-23-2017</t>
  </si>
  <si>
    <t>Apr-24-2017</t>
  </si>
  <si>
    <t>Apr-25-2017</t>
  </si>
  <si>
    <t>Apr-26-2017</t>
  </si>
  <si>
    <t>Apr-27-2017</t>
  </si>
  <si>
    <t>Apr-28-2017</t>
  </si>
  <si>
    <t>Apr-29-2017</t>
  </si>
  <si>
    <t>Apr-30-2017</t>
  </si>
  <si>
    <t>May-01-2017</t>
  </si>
  <si>
    <t>May-02-2017</t>
  </si>
  <si>
    <t>May-03-2017</t>
  </si>
  <si>
    <t>May-04-2017</t>
  </si>
  <si>
    <t>May-05-2017</t>
  </si>
  <si>
    <t>May-06-2017</t>
  </si>
  <si>
    <t>May-07-2017</t>
  </si>
  <si>
    <t>May-08-2017</t>
  </si>
  <si>
    <t>May-09-2017</t>
  </si>
  <si>
    <t>May-10-2017</t>
  </si>
  <si>
    <t>May-11-2017</t>
  </si>
  <si>
    <t>May-12-2017</t>
  </si>
  <si>
    <t>May-13-2017</t>
  </si>
  <si>
    <t>May-14-2017</t>
  </si>
  <si>
    <t>May-15-2017</t>
  </si>
  <si>
    <t>May-16-2017</t>
  </si>
  <si>
    <t>May-17-2017</t>
  </si>
  <si>
    <t>May-18-2017</t>
  </si>
  <si>
    <t>May-19-2017</t>
  </si>
  <si>
    <t>May-20-2017</t>
  </si>
  <si>
    <t>May-21-2017</t>
  </si>
  <si>
    <t>May-22-2017</t>
  </si>
  <si>
    <t>May-23-2017</t>
  </si>
  <si>
    <t>May-24-2017</t>
  </si>
  <si>
    <t>May-25-2017</t>
  </si>
  <si>
    <t>May-26-2017</t>
  </si>
  <si>
    <t>May-27-2017</t>
  </si>
  <si>
    <t>May-28-2017</t>
  </si>
  <si>
    <t>May-29-2017</t>
  </si>
  <si>
    <t>May-30-2017</t>
  </si>
  <si>
    <t>May-31-2017</t>
  </si>
  <si>
    <t>Jun-01-2017</t>
  </si>
  <si>
    <t>Jun-02-2017</t>
  </si>
  <si>
    <t>Jun-03-2017</t>
  </si>
  <si>
    <t>Jun-04-2017</t>
  </si>
  <si>
    <t>Jun-05-2017</t>
  </si>
  <si>
    <t>Jun-06-2017</t>
  </si>
  <si>
    <t>Jun-07-2017</t>
  </si>
  <si>
    <t>Jun-08-2017</t>
  </si>
  <si>
    <t>Jun-09-2017</t>
  </si>
  <si>
    <t>Jun-10-2017</t>
  </si>
  <si>
    <t>Jun-11-2017</t>
  </si>
  <si>
    <t>Jun-12-2017</t>
  </si>
  <si>
    <t>Jun-13-2017</t>
  </si>
  <si>
    <t>Jun-14-2017</t>
  </si>
  <si>
    <t>Jun-15-2017</t>
  </si>
  <si>
    <t>Jun-16-2017</t>
  </si>
  <si>
    <t>Jun-17-2017</t>
  </si>
  <si>
    <t>Jun-18-2017</t>
  </si>
  <si>
    <t>Jun-19-2017</t>
  </si>
  <si>
    <t>Jun-20-2017</t>
  </si>
  <si>
    <t>Jun-21-2017</t>
  </si>
  <si>
    <t>Jun-22-2017</t>
  </si>
  <si>
    <t>Jun-23-2017</t>
  </si>
  <si>
    <t>Jun-24-2017</t>
  </si>
  <si>
    <t>Jun-25-2017</t>
  </si>
  <si>
    <t>Jun-26-2017</t>
  </si>
  <si>
    <t>Jun-27-2017</t>
  </si>
  <si>
    <t>Jun-28-2017</t>
  </si>
  <si>
    <t>Jun-29-2017</t>
  </si>
  <si>
    <t>Jun-30-2017</t>
  </si>
  <si>
    <t>Jul-01-2017</t>
  </si>
  <si>
    <t>Jul-02-2017</t>
  </si>
  <si>
    <t>Jul-03-2017</t>
  </si>
  <si>
    <t>Jul-04-2017</t>
  </si>
  <si>
    <t>Jul-05-2017</t>
  </si>
  <si>
    <t>Jul-06-2017</t>
  </si>
  <si>
    <t>Jul-07-2017</t>
  </si>
  <si>
    <t>Jul-08-2017</t>
  </si>
  <si>
    <t>Jul-09-2017</t>
  </si>
  <si>
    <t>Jul-10-2017</t>
  </si>
  <si>
    <t>Jul-11-2017</t>
  </si>
  <si>
    <t>Jul-12-2017</t>
  </si>
  <si>
    <t>Jul-13-2017</t>
  </si>
  <si>
    <t>Jul-14-2017</t>
  </si>
  <si>
    <t>Jul-15-2017</t>
  </si>
  <si>
    <t>Jul-16-2017</t>
  </si>
  <si>
    <t>Jul-17-2017</t>
  </si>
  <si>
    <t>Jul-18-2017</t>
  </si>
  <si>
    <t>Jul-19-2017</t>
  </si>
  <si>
    <t>Jul-20-2017</t>
  </si>
  <si>
    <t>Jul-21-2017</t>
  </si>
  <si>
    <t>Jul-22-2017</t>
  </si>
  <si>
    <t>Jul-23-2017</t>
  </si>
  <si>
    <t>Jul-24-2017</t>
  </si>
  <si>
    <t>Jul-25-2017</t>
  </si>
  <si>
    <t>Jul-26-2017</t>
  </si>
  <si>
    <t>Jul-27-2017</t>
  </si>
  <si>
    <t>Jul-28-2017</t>
  </si>
  <si>
    <t>Jul-29-2017</t>
  </si>
  <si>
    <t>Jul-30-2017</t>
  </si>
  <si>
    <t>Jul-31-2017</t>
  </si>
  <si>
    <t>Aug-01-2017</t>
  </si>
  <si>
    <t>Aug-02-2017</t>
  </si>
  <si>
    <t>Aug-03-2017</t>
  </si>
  <si>
    <t>Aug-04-2017</t>
  </si>
  <si>
    <t>Aug-05-2017</t>
  </si>
  <si>
    <t>Aug-06-2017</t>
  </si>
  <si>
    <t>Aug-07-2017</t>
  </si>
  <si>
    <t>Aug-08-2017</t>
  </si>
  <si>
    <t>Aug-09-2017</t>
  </si>
  <si>
    <t>Aug-10-2017</t>
  </si>
  <si>
    <t>Aug-11-2017</t>
  </si>
  <si>
    <t>Aug-12-2017</t>
  </si>
  <si>
    <t>Aug-13-2017</t>
  </si>
  <si>
    <t>Aug-14-2017</t>
  </si>
  <si>
    <t>Aug-15-2017</t>
  </si>
  <si>
    <t>Aug-16-2017</t>
  </si>
  <si>
    <t>Aug-17-2017</t>
  </si>
  <si>
    <t>Aug-18-2017</t>
  </si>
  <si>
    <t>Aug-19-2017</t>
  </si>
  <si>
    <t>Aug-20-2017</t>
  </si>
  <si>
    <t>Aug-21-2017</t>
  </si>
  <si>
    <t>Aug-22-2017</t>
  </si>
  <si>
    <t>Aug-23-2017</t>
  </si>
  <si>
    <t>Aug-24-2017</t>
  </si>
  <si>
    <t>Aug-25-2017</t>
  </si>
  <si>
    <t>Aug-26-2017</t>
  </si>
  <si>
    <t>Aug-27-2017</t>
  </si>
  <si>
    <t>Aug-28-2017</t>
  </si>
  <si>
    <t>Aug-29-2017</t>
  </si>
  <si>
    <t>Aug-30-2017</t>
  </si>
  <si>
    <t>Aug-31-2017</t>
  </si>
  <si>
    <t>Sep-01-2017</t>
  </si>
  <si>
    <t>Sep-02-2017</t>
  </si>
  <si>
    <t>Sep-03-2017</t>
  </si>
  <si>
    <t>Sep-04-2017</t>
  </si>
  <si>
    <t>Sep-05-2017</t>
  </si>
  <si>
    <t>Sep-06-2017</t>
  </si>
  <si>
    <t>Sep-07-2017</t>
  </si>
  <si>
    <t>Sep-08-2017</t>
  </si>
  <si>
    <t>Sep-09-2017</t>
  </si>
  <si>
    <t>Sep-10-2017</t>
  </si>
  <si>
    <t>Sep-11-2017</t>
  </si>
  <si>
    <t>Sep-12-2017</t>
  </si>
  <si>
    <t>Sep-13-2017</t>
  </si>
  <si>
    <t>Sep-14-2017</t>
  </si>
  <si>
    <t>Sep-15-2017</t>
  </si>
  <si>
    <t>Sep-16-2017</t>
  </si>
  <si>
    <t>Sep-17-2017</t>
  </si>
  <si>
    <t>Sep-18-2017</t>
  </si>
  <si>
    <t>Sep-19-2017</t>
  </si>
  <si>
    <t>Sep-20-2017</t>
  </si>
  <si>
    <t>Sep-21-2017</t>
  </si>
  <si>
    <t>Sep-22-2017</t>
  </si>
  <si>
    <t>Sep-23-2017</t>
  </si>
  <si>
    <t>Sep-24-2017</t>
  </si>
  <si>
    <t>Sep-25-2017</t>
  </si>
  <si>
    <t>Sep-26-2017</t>
  </si>
  <si>
    <t>Sep-27-2017</t>
  </si>
  <si>
    <t>Sep-28-2017</t>
  </si>
  <si>
    <t>Sep-29-2017</t>
  </si>
  <si>
    <t>Sep-30-2017</t>
  </si>
  <si>
    <t>Oct-01-2017</t>
  </si>
  <si>
    <t>Oct-02-2017</t>
  </si>
  <si>
    <t>Oct-03-2017</t>
  </si>
  <si>
    <t>Oct-04-2017</t>
  </si>
  <si>
    <t>Oct-05-2017</t>
  </si>
  <si>
    <t>Oct-06-2017</t>
  </si>
  <si>
    <t>Oct-07-2017</t>
  </si>
  <si>
    <t>Oct-08-2017</t>
  </si>
  <si>
    <t>Oct-09-2017</t>
  </si>
  <si>
    <t>Oct-10-2017</t>
  </si>
  <si>
    <t>Oct-11-2017</t>
  </si>
  <si>
    <t>Oct-12-2017</t>
  </si>
  <si>
    <t>Oct-13-2017</t>
  </si>
  <si>
    <t>Oct-14-2017</t>
  </si>
  <si>
    <t>Oct-15-2017</t>
  </si>
  <si>
    <t>Oct-16-2017</t>
  </si>
  <si>
    <t>Oct-17-2017</t>
  </si>
  <si>
    <t>Oct-18-2017</t>
  </si>
  <si>
    <t>Oct-19-2017</t>
  </si>
  <si>
    <t>Oct-20-2017</t>
  </si>
  <si>
    <t>Oct-21-2017</t>
  </si>
  <si>
    <t>Oct-22-2017</t>
  </si>
  <si>
    <t>Oct-23-2017</t>
  </si>
  <si>
    <t>Oct-24-2017</t>
  </si>
  <si>
    <t>Oct-25-2017</t>
  </si>
  <si>
    <t>Oct-26-2017</t>
  </si>
  <si>
    <t>Oct-27-2017</t>
  </si>
  <si>
    <t>Oct-28-2017</t>
  </si>
  <si>
    <t>Oct-29-2017</t>
  </si>
  <si>
    <t>Oct-30-2017</t>
  </si>
  <si>
    <t>Oct-31-2017</t>
  </si>
  <si>
    <t>Nov-01-2017</t>
  </si>
  <si>
    <t>Nov-02-2017</t>
  </si>
  <si>
    <t>Nov-03-2017</t>
  </si>
  <si>
    <t>Nov-04-2017</t>
  </si>
  <si>
    <t>Nov-05-2017</t>
  </si>
  <si>
    <t>Nov-06-2017</t>
  </si>
  <si>
    <t>Nov-07-2017</t>
  </si>
  <si>
    <t>Nov-08-2017</t>
  </si>
  <si>
    <t>Nov-09-2017</t>
  </si>
  <si>
    <t>Nov-10-2017</t>
  </si>
  <si>
    <t>Nov-11-2017</t>
  </si>
  <si>
    <t>Nov-12-2017</t>
  </si>
  <si>
    <t>Nov-13-2017</t>
  </si>
  <si>
    <t>Nov-14-2017</t>
  </si>
  <si>
    <t>Nov-15-2017</t>
  </si>
  <si>
    <t>Nov-16-2017</t>
  </si>
  <si>
    <t>Nov-17-2017</t>
  </si>
  <si>
    <t>Nov-18-2017</t>
  </si>
  <si>
    <t>Nov-19-2017</t>
  </si>
  <si>
    <t>Nov-20-2017</t>
  </si>
  <si>
    <t>Nov-21-2017</t>
  </si>
  <si>
    <t>Nov-22-2017</t>
  </si>
  <si>
    <t>Nov-23-2017</t>
  </si>
  <si>
    <t>Nov-24-2017</t>
  </si>
  <si>
    <t>Nov-25-2017</t>
  </si>
  <si>
    <t>Nov-26-2017</t>
  </si>
  <si>
    <t>Nov-27-2017</t>
  </si>
  <si>
    <t>Nov-28-2017</t>
  </si>
  <si>
    <t>Nov-29-2017</t>
  </si>
  <si>
    <t>Nov-30-2017</t>
  </si>
  <si>
    <t>Dec-01-2017</t>
  </si>
  <si>
    <t>Dec-02-2017</t>
  </si>
  <si>
    <t>Dec-03-2017</t>
  </si>
  <si>
    <t>Dec-04-2017</t>
  </si>
  <si>
    <t>Dec-05-2017</t>
  </si>
  <si>
    <t>Dec-06-2017</t>
  </si>
  <si>
    <t>Dec-07-2017</t>
  </si>
  <si>
    <t>Dec-08-2017</t>
  </si>
  <si>
    <t>Dec-09-2017</t>
  </si>
  <si>
    <t>Dec-10-2017</t>
  </si>
  <si>
    <t>Dec-11-2017</t>
  </si>
  <si>
    <t>Dec-12-2017</t>
  </si>
  <si>
    <t>Dec-13-2017</t>
  </si>
  <si>
    <t>Dec-14-2017</t>
  </si>
  <si>
    <t>Dec-15-2017</t>
  </si>
  <si>
    <t>Dec-16-2017</t>
  </si>
  <si>
    <t>Dec-17-2017</t>
  </si>
  <si>
    <t>Dec-18-2017</t>
  </si>
  <si>
    <t>Dec-19-2017</t>
  </si>
  <si>
    <t>Dec-20-2017</t>
  </si>
  <si>
    <t>Dec-21-2017</t>
  </si>
  <si>
    <t>Dec-22-2017</t>
  </si>
  <si>
    <t>Dec-23-2017</t>
  </si>
  <si>
    <t>Dec-24-2017</t>
  </si>
  <si>
    <t>Dec-25-2017</t>
  </si>
  <si>
    <t>Dec-26-2017</t>
  </si>
  <si>
    <t>Dec-27-2017</t>
  </si>
  <si>
    <t>Dec-28-2017</t>
  </si>
  <si>
    <t>Dec-29-2017</t>
  </si>
  <si>
    <t>Dec-30-2017</t>
  </si>
  <si>
    <t>Dec-31-2017</t>
  </si>
  <si>
    <t>Jan-01-2018</t>
  </si>
  <si>
    <t>Jan-02-2018</t>
  </si>
  <si>
    <t>Jan-03-2018</t>
  </si>
  <si>
    <t>Jan-04-2018</t>
  </si>
  <si>
    <t>Jan-05-2018</t>
  </si>
  <si>
    <t>Jan-06-2018</t>
  </si>
  <si>
    <t>Jan-07-2018</t>
  </si>
  <si>
    <t>Jan-08-2018</t>
  </si>
  <si>
    <t>Jan-09-2018</t>
  </si>
  <si>
    <t>Jan-10-2018</t>
  </si>
  <si>
    <t>Jan-11-2018</t>
  </si>
  <si>
    <t>Jan-12-2018</t>
  </si>
  <si>
    <t>Jan-13-2018</t>
  </si>
  <si>
    <t>Jan-14-2018</t>
  </si>
  <si>
    <t>Jan-15-2018</t>
  </si>
  <si>
    <t>Jan-16-2018</t>
  </si>
  <si>
    <t>Jan-17-2018</t>
  </si>
  <si>
    <t>Jan-18-2018</t>
  </si>
  <si>
    <t>Jan-19-2018</t>
  </si>
  <si>
    <t>Jan-20-2018</t>
  </si>
  <si>
    <t>Jan-21-2018</t>
  </si>
  <si>
    <t>Jan-22-2018</t>
  </si>
  <si>
    <t>Jan-23-2018</t>
  </si>
  <si>
    <t>Jan-24-2018</t>
  </si>
  <si>
    <t>Jan-25-2018</t>
  </si>
  <si>
    <t>Jan-26-2018</t>
  </si>
  <si>
    <t>Jan-27-2018</t>
  </si>
  <si>
    <t>Jan-28-2018</t>
  </si>
  <si>
    <t>Jan-29-2018</t>
  </si>
  <si>
    <t>Jan-30-2018</t>
  </si>
  <si>
    <t>Jan-31-2018</t>
  </si>
  <si>
    <t>Feb-01-2018</t>
  </si>
  <si>
    <t>Feb-02-2018</t>
  </si>
  <si>
    <t>Feb-03-2018</t>
  </si>
  <si>
    <t>Feb-04-2018</t>
  </si>
  <si>
    <t>Feb-05-2018</t>
  </si>
  <si>
    <t>Feb-06-2018</t>
  </si>
  <si>
    <t>Feb-07-2018</t>
  </si>
  <si>
    <t>Feb-08-2018</t>
  </si>
  <si>
    <t>Feb-09-2018</t>
  </si>
  <si>
    <t>Feb-10-2018</t>
  </si>
  <si>
    <t>Feb-11-2018</t>
  </si>
  <si>
    <t>Feb-12-2018</t>
  </si>
  <si>
    <t>Feb-13-2018</t>
  </si>
  <si>
    <t>Feb-14-2018</t>
  </si>
  <si>
    <t>Feb-15-2018</t>
  </si>
  <si>
    <t>Feb-16-2018</t>
  </si>
  <si>
    <t>Feb-17-2018</t>
  </si>
  <si>
    <t>Feb-18-2018</t>
  </si>
  <si>
    <t>Feb-19-2018</t>
  </si>
  <si>
    <t>Feb-20-2018</t>
  </si>
  <si>
    <t>Feb-21-2018</t>
  </si>
  <si>
    <t>Feb-22-2018</t>
  </si>
  <si>
    <t>Feb-23-2018</t>
  </si>
  <si>
    <t>Feb-24-2018</t>
  </si>
  <si>
    <t>Feb-25-2018</t>
  </si>
  <si>
    <t>Feb-26-2018</t>
  </si>
  <si>
    <t>Feb-27-2018</t>
  </si>
  <si>
    <t>Feb-28-2018</t>
  </si>
  <si>
    <t>Mar-01-2018</t>
  </si>
  <si>
    <t>Mar-02-2018</t>
  </si>
  <si>
    <t>Mar-03-2018</t>
  </si>
  <si>
    <t>Mar-04-2018</t>
  </si>
  <si>
    <t>Mar-05-2018</t>
  </si>
  <si>
    <t>Mar-06-2018</t>
  </si>
  <si>
    <t>Mar-07-2018</t>
  </si>
  <si>
    <t>Mar-08-2018</t>
  </si>
  <si>
    <t>Mar-09-2018</t>
  </si>
  <si>
    <t>Mar-10-2018</t>
  </si>
  <si>
    <t>Mar-11-2018</t>
  </si>
  <si>
    <t>Mar-12-2018</t>
  </si>
  <si>
    <t>Mar-13-2018</t>
  </si>
  <si>
    <t>Mar-14-2018</t>
  </si>
  <si>
    <t>Mar-15-2018</t>
  </si>
  <si>
    <t>Mar-16-2018</t>
  </si>
  <si>
    <t>Mar-17-2018</t>
  </si>
  <si>
    <t>Mar-18-2018</t>
  </si>
  <si>
    <t>Mar-19-2018</t>
  </si>
  <si>
    <t>Mar-20-2018</t>
  </si>
  <si>
    <t>Mar-21-2018</t>
  </si>
  <si>
    <t>Mar-22-2018</t>
  </si>
  <si>
    <t>Mar-23-2018</t>
  </si>
  <si>
    <t>Mar-24-2018</t>
  </si>
  <si>
    <t>Mar-25-2018</t>
  </si>
  <si>
    <t>Mar-26-2018</t>
  </si>
  <si>
    <t>Mar-27-2018</t>
  </si>
  <si>
    <t>Mar-28-2018</t>
  </si>
  <si>
    <t>Mar-29-2018</t>
  </si>
  <si>
    <t>Mar-30-2018</t>
  </si>
  <si>
    <t>Mar-31-2018</t>
  </si>
  <si>
    <t>Apr-01-2018</t>
  </si>
  <si>
    <t>Apr-02-2018</t>
  </si>
  <si>
    <t>Apr-03-2018</t>
  </si>
  <si>
    <t>Apr-04-2018</t>
  </si>
  <si>
    <t>Apr-05-2018</t>
  </si>
  <si>
    <t>Apr-06-2018</t>
  </si>
  <si>
    <t>Apr-07-2018</t>
  </si>
  <si>
    <t>Apr-08-2018</t>
  </si>
  <si>
    <t>Apr-09-2018</t>
  </si>
  <si>
    <t>Apr-10-2018</t>
  </si>
  <si>
    <t>Apr-11-2018</t>
  </si>
  <si>
    <t>Apr-12-2018</t>
  </si>
  <si>
    <t>Apr-13-2018</t>
  </si>
  <si>
    <t>Apr-14-2018</t>
  </si>
  <si>
    <t>Apr-15-2018</t>
  </si>
  <si>
    <t>Apr-16-2018</t>
  </si>
  <si>
    <t>Apr-17-2018</t>
  </si>
  <si>
    <t>Apr-18-2018</t>
  </si>
  <si>
    <t>Apr-19-2018</t>
  </si>
  <si>
    <t>Apr-20-2018</t>
  </si>
  <si>
    <t>Apr-21-2018</t>
  </si>
  <si>
    <t>Apr-22-2018</t>
  </si>
  <si>
    <t>Apr-23-2018</t>
  </si>
  <si>
    <t>Apr-24-2018</t>
  </si>
  <si>
    <t>Apr-25-2018</t>
  </si>
  <si>
    <t>Apr-26-2018</t>
  </si>
  <si>
    <t>Apr-27-2018</t>
  </si>
  <si>
    <t>Apr-28-2018</t>
  </si>
  <si>
    <t>Apr-29-2018</t>
  </si>
  <si>
    <t>Apr-30-2018</t>
  </si>
  <si>
    <t>May-01-2018</t>
  </si>
  <si>
    <t>May-02-2018</t>
  </si>
  <si>
    <t>May-03-2018</t>
  </si>
  <si>
    <t>May-04-2018</t>
  </si>
  <si>
    <t>May-05-2018</t>
  </si>
  <si>
    <t>May-06-2018</t>
  </si>
  <si>
    <t>May-07-2018</t>
  </si>
  <si>
    <t>May-08-2018</t>
  </si>
  <si>
    <t>May-09-2018</t>
  </si>
  <si>
    <t>May-10-2018</t>
  </si>
  <si>
    <t>May-11-2018</t>
  </si>
  <si>
    <t>May-12-2018</t>
  </si>
  <si>
    <t>May-13-2018</t>
  </si>
  <si>
    <t>May-14-2018</t>
  </si>
  <si>
    <t>May-15-2018</t>
  </si>
  <si>
    <t>May-16-2018</t>
  </si>
  <si>
    <t>May-17-2018</t>
  </si>
  <si>
    <t>May-18-2018</t>
  </si>
  <si>
    <t>May-19-2018</t>
  </si>
  <si>
    <t>May-20-2018</t>
  </si>
  <si>
    <t>May-21-2018</t>
  </si>
  <si>
    <t>May-22-2018</t>
  </si>
  <si>
    <t>May-23-2018</t>
  </si>
  <si>
    <t>May-24-2018</t>
  </si>
  <si>
    <t>May-25-2018</t>
  </si>
  <si>
    <t>May-26-2018</t>
  </si>
  <si>
    <t>May-27-2018</t>
  </si>
  <si>
    <t>May-28-2018</t>
  </si>
  <si>
    <t>May-29-2018</t>
  </si>
  <si>
    <t>May-30-2018</t>
  </si>
  <si>
    <t>May-31-2018</t>
  </si>
  <si>
    <t>Jun-01-2018</t>
  </si>
  <si>
    <t>Jun-02-2018</t>
  </si>
  <si>
    <t>Jun-03-2018</t>
  </si>
  <si>
    <t>Jun-04-2018</t>
  </si>
  <si>
    <t>Jun-05-2018</t>
  </si>
  <si>
    <t>Jun-06-2018</t>
  </si>
  <si>
    <t>Jun-07-2018</t>
  </si>
  <si>
    <t>Jun-08-2018</t>
  </si>
  <si>
    <t>Jun-09-2018</t>
  </si>
  <si>
    <t>Jun-10-2018</t>
  </si>
  <si>
    <t>Jun-11-2018</t>
  </si>
  <si>
    <t>Jun-12-2018</t>
  </si>
  <si>
    <t>Jun-13-2018</t>
  </si>
  <si>
    <t>Jun-14-2018</t>
  </si>
  <si>
    <t>Jun-15-2018</t>
  </si>
  <si>
    <t>Jun-16-2018</t>
  </si>
  <si>
    <t>Jun-17-2018</t>
  </si>
  <si>
    <t>Jun-18-2018</t>
  </si>
  <si>
    <t>Jun-19-2018</t>
  </si>
  <si>
    <t>Jun-20-2018</t>
  </si>
  <si>
    <t>Jun-21-2018</t>
  </si>
  <si>
    <t>Jun-22-2018</t>
  </si>
  <si>
    <t>Jun-23-2018</t>
  </si>
  <si>
    <t>Jun-24-2018</t>
  </si>
  <si>
    <t>Jun-25-2018</t>
  </si>
  <si>
    <t>Jun-26-2018</t>
  </si>
  <si>
    <t>Jun-27-2018</t>
  </si>
  <si>
    <t>Jun-28-2018</t>
  </si>
  <si>
    <t>Jun-29-2018</t>
  </si>
  <si>
    <t>Jun-30-2018</t>
  </si>
  <si>
    <t>Jul-01-2018</t>
  </si>
  <si>
    <t>Jul-02-2018</t>
  </si>
  <si>
    <t>Jul-03-2018</t>
  </si>
  <si>
    <t>Jul-04-2018</t>
  </si>
  <si>
    <t>Jul-05-2018</t>
  </si>
  <si>
    <t>Jul-06-2018</t>
  </si>
  <si>
    <t>Jul-07-2018</t>
  </si>
  <si>
    <t>Jul-08-2018</t>
  </si>
  <si>
    <t>Jul-09-2018</t>
  </si>
  <si>
    <t>Jul-10-2018</t>
  </si>
  <si>
    <t>Jul-11-2018</t>
  </si>
  <si>
    <t>Jul-12-2018</t>
  </si>
  <si>
    <t>Jul-13-2018</t>
  </si>
  <si>
    <t>Jul-14-2018</t>
  </si>
  <si>
    <t>Jul-15-2018</t>
  </si>
  <si>
    <t>Jul-16-2018</t>
  </si>
  <si>
    <t>Jul-17-2018</t>
  </si>
  <si>
    <t>Jul-18-2018</t>
  </si>
  <si>
    <t>Jul-19-2018</t>
  </si>
  <si>
    <t>Jul-20-2018</t>
  </si>
  <si>
    <t>Jul-21-2018</t>
  </si>
  <si>
    <t>Jul-22-2018</t>
  </si>
  <si>
    <t>Jul-23-2018</t>
  </si>
  <si>
    <t>Jul-24-2018</t>
  </si>
  <si>
    <t>Jul-25-2018</t>
  </si>
  <si>
    <t>Jul-26-2018</t>
  </si>
  <si>
    <t>Jul-27-2018</t>
  </si>
  <si>
    <t>Jul-28-2018</t>
  </si>
  <si>
    <t>Jul-29-2018</t>
  </si>
  <si>
    <t>Jul-30-2018</t>
  </si>
  <si>
    <t>Jul-31-2018</t>
  </si>
  <si>
    <t>Aug-01-2018</t>
  </si>
  <si>
    <t>Aug-02-2018</t>
  </si>
  <si>
    <t>Aug-03-2018</t>
  </si>
  <si>
    <t>Aug-04-2018</t>
  </si>
  <si>
    <t>Aug-05-2018</t>
  </si>
  <si>
    <t>Aug-06-2018</t>
  </si>
  <si>
    <t>Aug-07-2018</t>
  </si>
  <si>
    <t>Aug-08-2018</t>
  </si>
  <si>
    <t>Aug-09-2018</t>
  </si>
  <si>
    <t>Aug-10-2018</t>
  </si>
  <si>
    <t>Aug-11-2018</t>
  </si>
  <si>
    <t>Aug-12-2018</t>
  </si>
  <si>
    <t>Aug-13-2018</t>
  </si>
  <si>
    <t>Aug-14-2018</t>
  </si>
  <si>
    <t>Aug-15-2018</t>
  </si>
  <si>
    <t>Aug-16-2018</t>
  </si>
  <si>
    <t>Aug-17-2018</t>
  </si>
  <si>
    <t>Aug-18-2018</t>
  </si>
  <si>
    <t>Aug-19-2018</t>
  </si>
  <si>
    <t>Aug-20-2018</t>
  </si>
  <si>
    <t>Aug-21-2018</t>
  </si>
  <si>
    <t>Aug-22-2018</t>
  </si>
  <si>
    <t>Aug-23-2018</t>
  </si>
  <si>
    <t>Aug-24-2018</t>
  </si>
  <si>
    <t>Aug-25-2018</t>
  </si>
  <si>
    <t>Aug-26-2018</t>
  </si>
  <si>
    <t>Aug-27-2018</t>
  </si>
  <si>
    <t>Aug-28-2018</t>
  </si>
  <si>
    <t>Aug-29-2018</t>
  </si>
  <si>
    <t>Aug-30-2018</t>
  </si>
  <si>
    <t>Aug-31-2018</t>
  </si>
  <si>
    <t>Sep-01-2018</t>
  </si>
  <si>
    <t>Sep-02-2018</t>
  </si>
  <si>
    <t>Sep-03-2018</t>
  </si>
  <si>
    <t>Sep-04-2018</t>
  </si>
  <si>
    <t>Sep-05-2018</t>
  </si>
  <si>
    <t>Sep-06-2018</t>
  </si>
  <si>
    <t>Sep-07-2018</t>
  </si>
  <si>
    <t>Sep-08-2018</t>
  </si>
  <si>
    <t>Sep-09-2018</t>
  </si>
  <si>
    <t>Sep-10-2018</t>
  </si>
  <si>
    <t>Sep-11-2018</t>
  </si>
  <si>
    <t>Sep-12-2018</t>
  </si>
  <si>
    <t>Sep-13-2018</t>
  </si>
  <si>
    <t>Sep-14-2018</t>
  </si>
  <si>
    <t>Sep-15-2018</t>
  </si>
  <si>
    <t>Sep-16-2018</t>
  </si>
  <si>
    <t>Sep-17-2018</t>
  </si>
  <si>
    <t>Sep-18-2018</t>
  </si>
  <si>
    <t>Sep-19-2018</t>
  </si>
  <si>
    <t>Sep-20-2018</t>
  </si>
  <si>
    <t>Sep-21-2018</t>
  </si>
  <si>
    <t>Sep-22-2018</t>
  </si>
  <si>
    <t>Sep-23-2018</t>
  </si>
  <si>
    <t>Sep-24-2018</t>
  </si>
  <si>
    <t>Sep-25-2018</t>
  </si>
  <si>
    <t>Sep-26-2018</t>
  </si>
  <si>
    <t>Sep-27-2018</t>
  </si>
  <si>
    <t>Sep-28-2018</t>
  </si>
  <si>
    <t>Sep-29-2018</t>
  </si>
  <si>
    <t>Sep-30-2018</t>
  </si>
  <si>
    <t>Oct-01-2018</t>
  </si>
  <si>
    <t>Oct-02-2018</t>
  </si>
  <si>
    <t>Oct-03-2018</t>
  </si>
  <si>
    <t>Oct-04-2018</t>
  </si>
  <si>
    <t>Oct-05-2018</t>
  </si>
  <si>
    <t>Oct-06-2018</t>
  </si>
  <si>
    <t>Oct-07-2018</t>
  </si>
  <si>
    <t>Oct-08-2018</t>
  </si>
  <si>
    <t>Oct-09-2018</t>
  </si>
  <si>
    <t>Oct-10-2018</t>
  </si>
  <si>
    <t>Oct-11-2018</t>
  </si>
  <si>
    <t>Oct-12-2018</t>
  </si>
  <si>
    <t>Oct-13-2018</t>
  </si>
  <si>
    <t>Oct-14-2018</t>
  </si>
  <si>
    <t>Oct-15-2018</t>
  </si>
  <si>
    <t>Oct-16-2018</t>
  </si>
  <si>
    <t>Oct-17-2018</t>
  </si>
  <si>
    <t>Oct-18-2018</t>
  </si>
  <si>
    <t>Oct-19-2018</t>
  </si>
  <si>
    <t>Oct-20-2018</t>
  </si>
  <si>
    <t>Oct-21-2018</t>
  </si>
  <si>
    <t>Oct-22-2018</t>
  </si>
  <si>
    <t>Oct-23-2018</t>
  </si>
  <si>
    <t>Oct-24-2018</t>
  </si>
  <si>
    <t>Oct-25-2018</t>
  </si>
  <si>
    <t>Oct-26-2018</t>
  </si>
  <si>
    <t>Oct-27-2018</t>
  </si>
  <si>
    <t>Oct-28-2018</t>
  </si>
  <si>
    <t>Oct-29-2018</t>
  </si>
  <si>
    <t>Oct-30-2018</t>
  </si>
  <si>
    <t>Oct-31-2018</t>
  </si>
  <si>
    <t>Nov-01-2018</t>
  </si>
  <si>
    <t>Nov-02-2018</t>
  </si>
  <si>
    <t>Nov-03-2018</t>
  </si>
  <si>
    <t>Nov-04-2018</t>
  </si>
  <si>
    <t>Nov-05-2018</t>
  </si>
  <si>
    <t>Nov-06-2018</t>
  </si>
  <si>
    <t>Nov-07-2018</t>
  </si>
  <si>
    <t>Nov-08-2018</t>
  </si>
  <si>
    <t>Nov-09-2018</t>
  </si>
  <si>
    <t>Nov-10-2018</t>
  </si>
  <si>
    <t>Nov-11-2018</t>
  </si>
  <si>
    <t>Nov-12-2018</t>
  </si>
  <si>
    <t>Nov-13-2018</t>
  </si>
  <si>
    <t>Nov-14-2018</t>
  </si>
  <si>
    <t>Nov-15-2018</t>
  </si>
  <si>
    <t>Nov-16-2018</t>
  </si>
  <si>
    <t>Nov-17-2018</t>
  </si>
  <si>
    <t>Nov-18-2018</t>
  </si>
  <si>
    <t>Nov-19-2018</t>
  </si>
  <si>
    <t>Nov-20-2018</t>
  </si>
  <si>
    <t>Nov-21-2018</t>
  </si>
  <si>
    <t>Nov-22-2018</t>
  </si>
  <si>
    <t>Nov-23-2018</t>
  </si>
  <si>
    <t>Nov-24-2018</t>
  </si>
  <si>
    <t>Nov-25-2018</t>
  </si>
  <si>
    <t>Nov-26-2018</t>
  </si>
  <si>
    <t>Nov-27-2018</t>
  </si>
  <si>
    <t>Nov-28-2018</t>
  </si>
  <si>
    <t>Nov-29-2018</t>
  </si>
  <si>
    <t>Nov-30-2018</t>
  </si>
  <si>
    <t>Dec-01-2018</t>
  </si>
  <si>
    <t>Dec-02-2018</t>
  </si>
  <si>
    <t>Dec-03-2018</t>
  </si>
  <si>
    <t>Dec-04-2018</t>
  </si>
  <si>
    <t>Dec-05-2018</t>
  </si>
  <si>
    <t>Dec-06-2018</t>
  </si>
  <si>
    <t>Dec-07-2018</t>
  </si>
  <si>
    <t>Dec-08-2018</t>
  </si>
  <si>
    <t>Dec-09-2018</t>
  </si>
  <si>
    <t>Dec-10-2018</t>
  </si>
  <si>
    <t>Dec-11-2018</t>
  </si>
  <si>
    <t>Dec-12-2018</t>
  </si>
  <si>
    <t>Dec-13-2018</t>
  </si>
  <si>
    <t>Dec-14-2018</t>
  </si>
  <si>
    <t>Dec-15-2018</t>
  </si>
  <si>
    <t>Dec-16-2018</t>
  </si>
  <si>
    <t>Dec-17-2018</t>
  </si>
  <si>
    <t>Dec-18-2018</t>
  </si>
  <si>
    <t>Dec-19-2018</t>
  </si>
  <si>
    <t>Dec-20-2018</t>
  </si>
  <si>
    <t>Dec-21-2018</t>
  </si>
  <si>
    <t>Dec-22-2018</t>
  </si>
  <si>
    <t>Dec-23-2018</t>
  </si>
  <si>
    <t>Dec-24-2018</t>
  </si>
  <si>
    <t>Dec-25-2018</t>
  </si>
  <si>
    <t>Dec-26-2018</t>
  </si>
  <si>
    <t>Dec-27-2018</t>
  </si>
  <si>
    <t>Dec-28-2018</t>
  </si>
  <si>
    <t>Dec-29-2018</t>
  </si>
  <si>
    <t>Dec-30-2018</t>
  </si>
  <si>
    <t>Dec-31-2018</t>
  </si>
  <si>
    <t>Jan-01-2019</t>
  </si>
  <si>
    <t>Jan-02-2019</t>
  </si>
  <si>
    <t>Jan-03-2019</t>
  </si>
  <si>
    <t>Jan-04-2019</t>
  </si>
  <si>
    <t>Jan-05-2019</t>
  </si>
  <si>
    <t>Jan-06-2019</t>
  </si>
  <si>
    <t>Jan-07-2019</t>
  </si>
  <si>
    <t>Jan-08-2019</t>
  </si>
  <si>
    <t>Jan-09-2019</t>
  </si>
  <si>
    <t>Jan-10-2019</t>
  </si>
  <si>
    <t>Jan-11-2019</t>
  </si>
  <si>
    <t>Jan-12-2019</t>
  </si>
  <si>
    <t>Jan-13-2019</t>
  </si>
  <si>
    <t>Jan-14-2019</t>
  </si>
  <si>
    <t>Jan-15-2019</t>
  </si>
  <si>
    <t>Jan-16-2019</t>
  </si>
  <si>
    <t>Jan-17-2019</t>
  </si>
  <si>
    <t>Jan-18-2019</t>
  </si>
  <si>
    <t>Jan-19-2019</t>
  </si>
  <si>
    <t>Jan-20-2019</t>
  </si>
  <si>
    <t>Jan-21-2019</t>
  </si>
  <si>
    <t>Jan-22-2019</t>
  </si>
  <si>
    <t>Jan-23-2019</t>
  </si>
  <si>
    <t>Jan-24-2019</t>
  </si>
  <si>
    <t>Jan-25-2019</t>
  </si>
  <si>
    <t>Jan-26-2019</t>
  </si>
  <si>
    <t>Jan-27-2019</t>
  </si>
  <si>
    <t>Jan-28-2019</t>
  </si>
  <si>
    <t>Jan-29-2019</t>
  </si>
  <si>
    <t>Jan-30-2019</t>
  </si>
  <si>
    <t>Jan-31-2019</t>
  </si>
  <si>
    <t>Feb-01-2019</t>
  </si>
  <si>
    <t>Feb-02-2019</t>
  </si>
  <si>
    <t>Feb-03-2019</t>
  </si>
  <si>
    <t>Feb-04-2019</t>
  </si>
  <si>
    <t>Feb-05-2019</t>
  </si>
  <si>
    <t>Feb-06-2019</t>
  </si>
  <si>
    <t>Feb-07-2019</t>
  </si>
  <si>
    <t>Feb-08-2019</t>
  </si>
  <si>
    <t>Feb-09-2019</t>
  </si>
  <si>
    <t>Feb-10-2019</t>
  </si>
  <si>
    <t>Feb-11-2019</t>
  </si>
  <si>
    <t>Feb-12-2019</t>
  </si>
  <si>
    <t>Feb-13-2019</t>
  </si>
  <si>
    <t>Feb-14-2019</t>
  </si>
  <si>
    <t>Feb-15-2019</t>
  </si>
  <si>
    <t>Feb-16-2019</t>
  </si>
  <si>
    <t>Feb-17-2019</t>
  </si>
  <si>
    <t>Feb-18-2019</t>
  </si>
  <si>
    <t>Feb-19-2019</t>
  </si>
  <si>
    <t>Feb-20-2019</t>
  </si>
  <si>
    <t>Feb-21-2019</t>
  </si>
  <si>
    <t>Feb-22-2019</t>
  </si>
  <si>
    <t>Feb-23-2019</t>
  </si>
  <si>
    <t>Feb-24-2019</t>
  </si>
  <si>
    <t>Feb-25-2019</t>
  </si>
  <si>
    <t>Feb-26-2019</t>
  </si>
  <si>
    <t>Feb-27-2019</t>
  </si>
  <si>
    <t>Feb-28-2019</t>
  </si>
  <si>
    <t>Mar-01-2019</t>
  </si>
  <si>
    <t>Mar-02-2019</t>
  </si>
  <si>
    <t>Mar-03-2019</t>
  </si>
  <si>
    <t>Mar-04-2019</t>
  </si>
  <si>
    <t>Mar-05-2019</t>
  </si>
  <si>
    <t>Mar-06-2019</t>
  </si>
  <si>
    <t>Mar-07-2019</t>
  </si>
  <si>
    <t>Mar-08-2019</t>
  </si>
  <si>
    <t>Mar-09-2019</t>
  </si>
  <si>
    <t>Mar-10-2019</t>
  </si>
  <si>
    <t>Mar-11-2019</t>
  </si>
  <si>
    <t>Mar-12-2019</t>
  </si>
  <si>
    <t>Mar-13-2019</t>
  </si>
  <si>
    <t>Mar-14-2019</t>
  </si>
  <si>
    <t>Mar-15-2019</t>
  </si>
  <si>
    <t>Mar-16-2019</t>
  </si>
  <si>
    <t>Mar-17-2019</t>
  </si>
  <si>
    <t>Mar-18-2019</t>
  </si>
  <si>
    <t>Mar-19-2019</t>
  </si>
  <si>
    <t>Mar-20-2019</t>
  </si>
  <si>
    <t>Mar-21-2019</t>
  </si>
  <si>
    <t>Mar-22-2019</t>
  </si>
  <si>
    <t>Mar-23-2019</t>
  </si>
  <si>
    <t>Mar-24-2019</t>
  </si>
  <si>
    <t>Mar-25-2019</t>
  </si>
  <si>
    <t>Mar-26-2019</t>
  </si>
  <si>
    <t>Mar-27-2019</t>
  </si>
  <si>
    <t>Mar-28-2019</t>
  </si>
  <si>
    <t>Mar-29-2019</t>
  </si>
  <si>
    <t>Mar-30-2019</t>
  </si>
  <si>
    <t>Mar-31-2019</t>
  </si>
  <si>
    <t>Apr-01-2019</t>
  </si>
  <si>
    <t>Apr-02-2019</t>
  </si>
  <si>
    <t>Apr-03-2019</t>
  </si>
  <si>
    <t>Apr-04-2019</t>
  </si>
  <si>
    <t>Apr-05-2019</t>
  </si>
  <si>
    <t>Apr-06-2019</t>
  </si>
  <si>
    <t>Apr-07-2019</t>
  </si>
  <si>
    <t>Apr-08-2019</t>
  </si>
  <si>
    <t>Apr-09-2019</t>
  </si>
  <si>
    <t>Apr-10-2019</t>
  </si>
  <si>
    <t>Apr-11-2019</t>
  </si>
  <si>
    <t>Apr-12-2019</t>
  </si>
  <si>
    <t>Apr-13-2019</t>
  </si>
  <si>
    <t>Apr-14-2019</t>
  </si>
  <si>
    <t>Apr-15-2019</t>
  </si>
  <si>
    <t>Apr-16-2019</t>
  </si>
  <si>
    <t>Apr-17-2019</t>
  </si>
  <si>
    <t>Apr-18-2019</t>
  </si>
  <si>
    <t>Apr-19-2019</t>
  </si>
  <si>
    <t>Apr-20-2019</t>
  </si>
  <si>
    <t>Apr-21-2019</t>
  </si>
  <si>
    <t>Apr-22-2019</t>
  </si>
  <si>
    <t>Apr-23-2019</t>
  </si>
  <si>
    <t>Apr-24-2019</t>
  </si>
  <si>
    <t>Apr-25-2019</t>
  </si>
  <si>
    <t>Apr-26-2019</t>
  </si>
  <si>
    <t>Apr-27-2019</t>
  </si>
  <si>
    <t>Apr-28-2019</t>
  </si>
  <si>
    <t>Apr-29-2019</t>
  </si>
  <si>
    <t>Apr-30-2019</t>
  </si>
  <si>
    <t>May-01-2019</t>
  </si>
  <si>
    <t>May-02-2019</t>
  </si>
  <si>
    <t>May-03-2019</t>
  </si>
  <si>
    <t>May-04-2019</t>
  </si>
  <si>
    <t>May-05-2019</t>
  </si>
  <si>
    <t>May-06-2019</t>
  </si>
  <si>
    <t>May-07-2019</t>
  </si>
  <si>
    <t>May-08-2019</t>
  </si>
  <si>
    <t>May-09-2019</t>
  </si>
  <si>
    <t>May-10-2019</t>
  </si>
  <si>
    <t>May-11-2019</t>
  </si>
  <si>
    <t>May-12-2019</t>
  </si>
  <si>
    <t>May-13-2019</t>
  </si>
  <si>
    <t>May-14-2019</t>
  </si>
  <si>
    <t>May-15-2019</t>
  </si>
  <si>
    <t>May-16-2019</t>
  </si>
  <si>
    <t>May-17-2019</t>
  </si>
  <si>
    <t>May-18-2019</t>
  </si>
  <si>
    <t>May-19-2019</t>
  </si>
  <si>
    <t>May-20-2019</t>
  </si>
  <si>
    <t>May-21-2019</t>
  </si>
  <si>
    <t>May-22-2019</t>
  </si>
  <si>
    <t>May-23-2019</t>
  </si>
  <si>
    <t>May-24-2019</t>
  </si>
  <si>
    <t>May-25-2019</t>
  </si>
  <si>
    <t>May-26-2019</t>
  </si>
  <si>
    <t>May-27-2019</t>
  </si>
  <si>
    <t>May-28-2019</t>
  </si>
  <si>
    <t>May-29-2019</t>
  </si>
  <si>
    <t>May-30-2019</t>
  </si>
  <si>
    <t>May-31-2019</t>
  </si>
  <si>
    <t>Jun-01-2019</t>
  </si>
  <si>
    <t>Jun-02-2019</t>
  </si>
  <si>
    <t>Jun-03-2019</t>
  </si>
  <si>
    <t>Jun-04-2019</t>
  </si>
  <si>
    <t>Jun-05-2019</t>
  </si>
  <si>
    <t>Jun-06-2019</t>
  </si>
  <si>
    <t>Jun-07-2019</t>
  </si>
  <si>
    <t>Jun-08-2019</t>
  </si>
  <si>
    <t>Jun-09-2019</t>
  </si>
  <si>
    <t>Jun-10-2019</t>
  </si>
  <si>
    <t>Jun-11-2019</t>
  </si>
  <si>
    <t>Jun-12-2019</t>
  </si>
  <si>
    <t>Jun-13-2019</t>
  </si>
  <si>
    <t>Jun-14-2019</t>
  </si>
  <si>
    <t>Jun-15-2019</t>
  </si>
  <si>
    <t>Jun-16-2019</t>
  </si>
  <si>
    <t>Jun-17-2019</t>
  </si>
  <si>
    <t>Jun-18-2019</t>
  </si>
  <si>
    <t>Jun-19-2019</t>
  </si>
  <si>
    <t>Jun-20-2019</t>
  </si>
  <si>
    <t>Jun-21-2019</t>
  </si>
  <si>
    <t>Jun-22-2019</t>
  </si>
  <si>
    <t>Jun-23-2019</t>
  </si>
  <si>
    <t>Jun-24-2019</t>
  </si>
  <si>
    <t>Jun-25-2019</t>
  </si>
  <si>
    <t>Jun-26-2019</t>
  </si>
  <si>
    <t>Jun-27-2019</t>
  </si>
  <si>
    <t>Jun-28-2019</t>
  </si>
  <si>
    <t>Jun-29-2019</t>
  </si>
  <si>
    <t>Jun-30-2019</t>
  </si>
  <si>
    <t>Jul-01-2019</t>
  </si>
  <si>
    <t>Jul-02-2019</t>
  </si>
  <si>
    <t>Jul-03-2019</t>
  </si>
  <si>
    <t>Jul-04-2019</t>
  </si>
  <si>
    <t>Jul-05-2019</t>
  </si>
  <si>
    <t>Jul-06-2019</t>
  </si>
  <si>
    <t>Jul-07-2019</t>
  </si>
  <si>
    <t>Jul-08-2019</t>
  </si>
  <si>
    <t>Jul-09-2019</t>
  </si>
  <si>
    <t>Jul-10-2019</t>
  </si>
  <si>
    <t>Jul-11-2019</t>
  </si>
  <si>
    <t>Jul-12-2019</t>
  </si>
  <si>
    <t>Jul-13-2019</t>
  </si>
  <si>
    <t>Jul-14-2019</t>
  </si>
  <si>
    <t>Jul-15-2019</t>
  </si>
  <si>
    <t>Jul-16-2019</t>
  </si>
  <si>
    <t>Jul-17-2019</t>
  </si>
  <si>
    <t>Jul-18-2019</t>
  </si>
  <si>
    <t>Jul-19-2019</t>
  </si>
  <si>
    <t>Jul-20-2019</t>
  </si>
  <si>
    <t>Jul-21-2019</t>
  </si>
  <si>
    <t>Jul-22-2019</t>
  </si>
  <si>
    <t>Jul-23-2019</t>
  </si>
  <si>
    <t>Jul-24-2019</t>
  </si>
  <si>
    <t>Jul-25-2019</t>
  </si>
  <si>
    <t>Jul-26-2019</t>
  </si>
  <si>
    <t>Jul-27-2019</t>
  </si>
  <si>
    <t>Jul-28-2019</t>
  </si>
  <si>
    <t>Jul-29-2019</t>
  </si>
  <si>
    <t>Jul-30-2019</t>
  </si>
  <si>
    <t>Jul-31-2019</t>
  </si>
  <si>
    <t>Aug-01-2019</t>
  </si>
  <si>
    <t>Aug-02-2019</t>
  </si>
  <si>
    <t>Aug-03-2019</t>
  </si>
  <si>
    <t>Aug-04-2019</t>
  </si>
  <si>
    <t>Aug-05-2019</t>
  </si>
  <si>
    <t>Aug-06-2019</t>
  </si>
  <si>
    <t>Aug-07-2019</t>
  </si>
  <si>
    <t>Aug-08-2019</t>
  </si>
  <si>
    <t>Aug-09-2019</t>
  </si>
  <si>
    <t>Aug-10-2019</t>
  </si>
  <si>
    <t>Aug-11-2019</t>
  </si>
  <si>
    <t>Aug-12-2019</t>
  </si>
  <si>
    <t>Aug-13-2019</t>
  </si>
  <si>
    <t>Aug-14-2019</t>
  </si>
  <si>
    <t>Aug-15-2019</t>
  </si>
  <si>
    <t>Aug-16-2019</t>
  </si>
  <si>
    <t>Aug-17-2019</t>
  </si>
  <si>
    <t>Aug-18-2019</t>
  </si>
  <si>
    <t>Aug-19-2019</t>
  </si>
  <si>
    <t>Aug-20-2019</t>
  </si>
  <si>
    <t>Aug-21-2019</t>
  </si>
  <si>
    <t>Aug-22-2019</t>
  </si>
  <si>
    <t>Aug-23-2019</t>
  </si>
  <si>
    <t>Aug-24-2019</t>
  </si>
  <si>
    <t>Aug-25-2019</t>
  </si>
  <si>
    <t>Aug-26-2019</t>
  </si>
  <si>
    <t>Aug-27-2019</t>
  </si>
  <si>
    <t>Aug-28-2019</t>
  </si>
  <si>
    <t>Aug-29-2019</t>
  </si>
  <si>
    <t>Aug-30-2019</t>
  </si>
  <si>
    <t>Aug-31-2019</t>
  </si>
  <si>
    <t>Sep-01-2019</t>
  </si>
  <si>
    <t>Sep-02-2019</t>
  </si>
  <si>
    <t>Sep-03-2019</t>
  </si>
  <si>
    <t>Sep-04-2019</t>
  </si>
  <si>
    <t>Sep-05-2019</t>
  </si>
  <si>
    <t>Sep-06-2019</t>
  </si>
  <si>
    <t>Sep-07-2019</t>
  </si>
  <si>
    <t>Sep-08-2019</t>
  </si>
  <si>
    <t>Sep-09-2019</t>
  </si>
  <si>
    <t>Sep-10-2019</t>
  </si>
  <si>
    <t>Sep-11-2019</t>
  </si>
  <si>
    <t>Sep-12-2019</t>
  </si>
  <si>
    <t>Sep-13-2019</t>
  </si>
  <si>
    <t>Sep-14-2019</t>
  </si>
  <si>
    <t>Sep-15-2019</t>
  </si>
  <si>
    <t>Sep-16-2019</t>
  </si>
  <si>
    <t>Sep-17-2019</t>
  </si>
  <si>
    <t>Sep-18-2019</t>
  </si>
  <si>
    <t>Sep-19-2019</t>
  </si>
  <si>
    <t>Sep-20-2019</t>
  </si>
  <si>
    <t>Sep-21-2019</t>
  </si>
  <si>
    <t>Sep-22-2019</t>
  </si>
  <si>
    <t>Sep-23-2019</t>
  </si>
  <si>
    <t>Sep-24-2019</t>
  </si>
  <si>
    <t>Sep-25-2019</t>
  </si>
  <si>
    <t>Sep-26-2019</t>
  </si>
  <si>
    <t>Sep-27-2019</t>
  </si>
  <si>
    <t>Sep-28-2019</t>
  </si>
  <si>
    <t>Sep-29-2019</t>
  </si>
  <si>
    <t>Sep-30-2019</t>
  </si>
  <si>
    <t>Oct-01-2019</t>
  </si>
  <si>
    <t>Oct-02-2019</t>
  </si>
  <si>
    <t>Oct-03-2019</t>
  </si>
  <si>
    <t>Oct-04-2019</t>
  </si>
  <si>
    <t>Oct-05-2019</t>
  </si>
  <si>
    <t>Oct-06-2019</t>
  </si>
  <si>
    <t>Oct-07-2019</t>
  </si>
  <si>
    <t>Oct-08-2019</t>
  </si>
  <si>
    <t>Oct-09-2019</t>
  </si>
  <si>
    <t>Oct-10-2019</t>
  </si>
  <si>
    <t>Oct-11-2019</t>
  </si>
  <si>
    <t>Oct-12-2019</t>
  </si>
  <si>
    <t>Oct-13-2019</t>
  </si>
  <si>
    <t>Oct-14-2019</t>
  </si>
  <si>
    <t>Oct-15-2019</t>
  </si>
  <si>
    <t>Oct-16-2019</t>
  </si>
  <si>
    <t>Oct-17-2019</t>
  </si>
  <si>
    <t>Oct-18-2019</t>
  </si>
  <si>
    <t>Oct-19-2019</t>
  </si>
  <si>
    <t>Oct-20-2019</t>
  </si>
  <si>
    <t>Oct-21-2019</t>
  </si>
  <si>
    <t>Oct-22-2019</t>
  </si>
  <si>
    <t>Oct-23-2019</t>
  </si>
  <si>
    <t>Oct-24-2019</t>
  </si>
  <si>
    <t>Oct-25-2019</t>
  </si>
  <si>
    <t>Oct-26-2019</t>
  </si>
  <si>
    <t>Oct-27-2019</t>
  </si>
  <si>
    <t>Oct-28-2019</t>
  </si>
  <si>
    <t>Oct-29-2019</t>
  </si>
  <si>
    <t>Oct-30-2019</t>
  </si>
  <si>
    <t>Oct-31-2019</t>
  </si>
  <si>
    <t>Nov-01-2019</t>
  </si>
  <si>
    <t>Nov-02-2019</t>
  </si>
  <si>
    <t>Nov-03-2019</t>
  </si>
  <si>
    <t>Nov-04-2019</t>
  </si>
  <si>
    <t>Nov-05-2019</t>
  </si>
  <si>
    <t>Nov-06-2019</t>
  </si>
  <si>
    <t>Nov-07-2019</t>
  </si>
  <si>
    <t>Nov-08-2019</t>
  </si>
  <si>
    <t>Nov-09-2019</t>
  </si>
  <si>
    <t>Nov-10-2019</t>
  </si>
  <si>
    <t>Nov-11-2019</t>
  </si>
  <si>
    <t>Nov-12-2019</t>
  </si>
  <si>
    <t>Nov-13-2019</t>
  </si>
  <si>
    <t>Nov-14-2019</t>
  </si>
  <si>
    <t>Nov-15-2019</t>
  </si>
  <si>
    <t>Nov-16-2019</t>
  </si>
  <si>
    <t>Nov-17-2019</t>
  </si>
  <si>
    <t>Nov-18-2019</t>
  </si>
  <si>
    <t>Nov-19-2019</t>
  </si>
  <si>
    <t>Nov-20-2019</t>
  </si>
  <si>
    <t>Nov-21-2019</t>
  </si>
  <si>
    <t>Nov-22-2019</t>
  </si>
  <si>
    <t>Nov-23-2019</t>
  </si>
  <si>
    <t>Nov-24-2019</t>
  </si>
  <si>
    <t>Nov-25-2019</t>
  </si>
  <si>
    <t>Nov-26-2019</t>
  </si>
  <si>
    <t>Nov-27-2019</t>
  </si>
  <si>
    <t>Nov-28-2019</t>
  </si>
  <si>
    <t>Nov-29-2019</t>
  </si>
  <si>
    <t>Nov-30-2019</t>
  </si>
  <si>
    <t>Dec-01-2019</t>
  </si>
  <si>
    <t>Dec-02-2019</t>
  </si>
  <si>
    <t>Dec-03-2019</t>
  </si>
  <si>
    <t>Dec-04-2019</t>
  </si>
  <si>
    <t>Dec-05-2019</t>
  </si>
  <si>
    <t>Dec-06-2019</t>
  </si>
  <si>
    <t>Dec-07-2019</t>
  </si>
  <si>
    <t>Dec-08-2019</t>
  </si>
  <si>
    <t>Dec-09-2019</t>
  </si>
  <si>
    <t>Dec-10-2019</t>
  </si>
  <si>
    <t>Dec-11-2019</t>
  </si>
  <si>
    <t>Dec-12-2019</t>
  </si>
  <si>
    <t>Dec-13-2019</t>
  </si>
  <si>
    <t>Dec-14-2019</t>
  </si>
  <si>
    <t>Dec-15-2019</t>
  </si>
  <si>
    <t>Dec-16-2019</t>
  </si>
  <si>
    <t>Dec-17-2019</t>
  </si>
  <si>
    <t>Dec-18-2019</t>
  </si>
  <si>
    <t>Dec-19-2019</t>
  </si>
  <si>
    <t>Dec-20-2019</t>
  </si>
  <si>
    <t>Dec-21-2019</t>
  </si>
  <si>
    <t>Dec-22-2019</t>
  </si>
  <si>
    <t>Dec-23-2019</t>
  </si>
  <si>
    <t>Dec-24-2019</t>
  </si>
  <si>
    <t>Dec-25-2019</t>
  </si>
  <si>
    <t>Dec-26-2019</t>
  </si>
  <si>
    <t>Dec-27-2019</t>
  </si>
  <si>
    <t>Dec-28-2019</t>
  </si>
  <si>
    <t>Dec-29-2019</t>
  </si>
  <si>
    <t>Dec-30-2019</t>
  </si>
  <si>
    <t>Dec-31-2019</t>
  </si>
  <si>
    <t>Jan-01-2020</t>
  </si>
  <si>
    <t>Jan-02-2020</t>
  </si>
  <si>
    <t>Jan-03-2020</t>
  </si>
  <si>
    <t>Jan-04-2020</t>
  </si>
  <si>
    <t>Jan-05-2020</t>
  </si>
  <si>
    <t>Jan-06-2020</t>
  </si>
  <si>
    <t>Jan-07-2020</t>
  </si>
  <si>
    <t>Jan-08-2020</t>
  </si>
  <si>
    <t>Jan-09-2020</t>
  </si>
  <si>
    <t>Jan-10-2020</t>
  </si>
  <si>
    <t>Jan-11-2020</t>
  </si>
  <si>
    <t>Jan-12-2020</t>
  </si>
  <si>
    <t>Jan-13-2020</t>
  </si>
  <si>
    <t>Jan-14-2020</t>
  </si>
  <si>
    <t>Jan-15-2020</t>
  </si>
  <si>
    <t>Jan-16-2020</t>
  </si>
  <si>
    <t>Jan-17-2020</t>
  </si>
  <si>
    <t>Jan-18-2020</t>
  </si>
  <si>
    <t>Jan-19-2020</t>
  </si>
  <si>
    <t>Jan-20-2020</t>
  </si>
  <si>
    <t>Jan-21-2020</t>
  </si>
  <si>
    <t>Jan-22-2020</t>
  </si>
  <si>
    <t>Jan-23-2020</t>
  </si>
  <si>
    <t>Jan-24-2020</t>
  </si>
  <si>
    <t>Jan-25-2020</t>
  </si>
  <si>
    <t>Jan-26-2020</t>
  </si>
  <si>
    <t>Jan-27-2020</t>
  </si>
  <si>
    <t>Jan-28-2020</t>
  </si>
  <si>
    <t>Jan-29-2020</t>
  </si>
  <si>
    <t>Jan-30-2020</t>
  </si>
  <si>
    <t>Jan-31-2020</t>
  </si>
  <si>
    <t>Feb-01-2020</t>
  </si>
  <si>
    <t>Feb-02-2020</t>
  </si>
  <si>
    <t>Feb-03-2020</t>
  </si>
  <si>
    <t>Feb-04-2020</t>
  </si>
  <si>
    <t>Feb-05-2020</t>
  </si>
  <si>
    <t>Feb-06-2020</t>
  </si>
  <si>
    <t>Feb-07-2020</t>
  </si>
  <si>
    <t>Feb-08-2020</t>
  </si>
  <si>
    <t>Feb-09-2020</t>
  </si>
  <si>
    <t>Feb-10-2020</t>
  </si>
  <si>
    <t>Feb-11-2020</t>
  </si>
  <si>
    <t>Feb-12-2020</t>
  </si>
  <si>
    <t>Feb-13-2020</t>
  </si>
  <si>
    <t>Feb-14-2020</t>
  </si>
  <si>
    <t>Feb-15-2020</t>
  </si>
  <si>
    <t>Feb-16-2020</t>
  </si>
  <si>
    <t>Feb-17-2020</t>
  </si>
  <si>
    <t>Feb-18-2020</t>
  </si>
  <si>
    <t>Feb-19-2020</t>
  </si>
  <si>
    <t>Feb-20-2020</t>
  </si>
  <si>
    <t>Feb-21-2020</t>
  </si>
  <si>
    <t>Feb-22-2020</t>
  </si>
  <si>
    <t>Feb-23-2020</t>
  </si>
  <si>
    <t>Feb-24-2020</t>
  </si>
  <si>
    <t>Feb-25-2020</t>
  </si>
  <si>
    <t>Feb-26-2020</t>
  </si>
  <si>
    <t>Feb-27-2020</t>
  </si>
  <si>
    <t>Feb-28-2020</t>
  </si>
  <si>
    <t>Feb-29-2020</t>
  </si>
  <si>
    <t>Mar-01-2020</t>
  </si>
  <si>
    <t>Mar-02-2020</t>
  </si>
  <si>
    <t>Mar-03-2020</t>
  </si>
  <si>
    <t>Mar-04-2020</t>
  </si>
  <si>
    <t>Mar-05-2020</t>
  </si>
  <si>
    <t>Mar-06-2020</t>
  </si>
  <si>
    <t>Mar-07-2020</t>
  </si>
  <si>
    <t>Mar-08-2020</t>
  </si>
  <si>
    <t>Mar-09-2020</t>
  </si>
  <si>
    <t>Mar-10-2020</t>
  </si>
  <si>
    <t>Mar-11-2020</t>
  </si>
  <si>
    <t>Mar-12-2020</t>
  </si>
  <si>
    <t>Mar-13-2020</t>
  </si>
  <si>
    <t>Mar-14-2020</t>
  </si>
  <si>
    <t>Mar-15-2020</t>
  </si>
  <si>
    <t>Mar-16-2020</t>
  </si>
  <si>
    <t>Mar-17-2020</t>
  </si>
  <si>
    <t>Mar-18-2020</t>
  </si>
  <si>
    <t>Mar-19-2020</t>
  </si>
  <si>
    <t>Mar-20-2020</t>
  </si>
  <si>
    <t>Mar-21-2020</t>
  </si>
  <si>
    <t>Mar-22-2020</t>
  </si>
  <si>
    <t>Mar-23-2020</t>
  </si>
  <si>
    <t>Mar-24-2020</t>
  </si>
  <si>
    <t>Mar-25-2020</t>
  </si>
  <si>
    <t>Mar-26-2020</t>
  </si>
  <si>
    <t>Mar-27-2020</t>
  </si>
  <si>
    <t>Mar-28-2020</t>
  </si>
  <si>
    <t>Mar-29-2020</t>
  </si>
  <si>
    <t>Mar-30-2020</t>
  </si>
  <si>
    <t>Mar-31-2020</t>
  </si>
  <si>
    <t>Apr-01-2020</t>
  </si>
  <si>
    <t>Apr-02-2020</t>
  </si>
  <si>
    <t>Apr-03-2020</t>
  </si>
  <si>
    <t>Apr-04-2020</t>
  </si>
  <si>
    <t>Apr-05-2020</t>
  </si>
  <si>
    <t>Apr-06-2020</t>
  </si>
  <si>
    <t>Apr-07-2020</t>
  </si>
  <si>
    <t>Apr-08-2020</t>
  </si>
  <si>
    <t>Apr-09-2020</t>
  </si>
  <si>
    <t>Apr-10-2020</t>
  </si>
  <si>
    <t>Apr-11-2020</t>
  </si>
  <si>
    <t>Apr-12-2020</t>
  </si>
  <si>
    <t>Apr-13-2020</t>
  </si>
  <si>
    <t>Apr-14-2020</t>
  </si>
  <si>
    <t>Apr-15-2020</t>
  </si>
  <si>
    <t>Apr-16-2020</t>
  </si>
  <si>
    <t>Apr-17-2020</t>
  </si>
  <si>
    <t>Apr-18-2020</t>
  </si>
  <si>
    <t>Apr-19-2020</t>
  </si>
  <si>
    <t>Apr-20-2020</t>
  </si>
  <si>
    <t>Apr-21-2020</t>
  </si>
  <si>
    <t>Apr-22-2020</t>
  </si>
  <si>
    <t>Apr-23-2020</t>
  </si>
  <si>
    <t>Apr-24-2020</t>
  </si>
  <si>
    <t>Apr-25-2020</t>
  </si>
  <si>
    <t>Apr-26-2020</t>
  </si>
  <si>
    <t>Apr-27-2020</t>
  </si>
  <si>
    <t>Apr-28-2020</t>
  </si>
  <si>
    <t>Apr-29-2020</t>
  </si>
  <si>
    <t>Apr-30-2020</t>
  </si>
  <si>
    <t>May-01-2020</t>
  </si>
  <si>
    <t>May-02-2020</t>
  </si>
  <si>
    <t>May-03-2020</t>
  </si>
  <si>
    <t>May-04-2020</t>
  </si>
  <si>
    <t>May-05-2020</t>
  </si>
  <si>
    <t>May-06-2020</t>
  </si>
  <si>
    <t>May-07-2020</t>
  </si>
  <si>
    <t>May-08-2020</t>
  </si>
  <si>
    <t>May-09-2020</t>
  </si>
  <si>
    <t>May-10-2020</t>
  </si>
  <si>
    <t>May-11-2020</t>
  </si>
  <si>
    <t>May-12-2020</t>
  </si>
  <si>
    <t>May-13-2020</t>
  </si>
  <si>
    <t>May-14-2020</t>
  </si>
  <si>
    <t>May-15-2020</t>
  </si>
  <si>
    <t>May-16-2020</t>
  </si>
  <si>
    <t>May-17-2020</t>
  </si>
  <si>
    <t>May-18-2020</t>
  </si>
  <si>
    <t>May-19-2020</t>
  </si>
  <si>
    <t>May-20-2020</t>
  </si>
  <si>
    <t>May-21-2020</t>
  </si>
  <si>
    <t>May-22-2020</t>
  </si>
  <si>
    <t>May-23-2020</t>
  </si>
  <si>
    <t>May-24-2020</t>
  </si>
  <si>
    <t>May-25-2020</t>
  </si>
  <si>
    <t>May-26-2020</t>
  </si>
  <si>
    <t>May-27-2020</t>
  </si>
  <si>
    <t>May-28-2020</t>
  </si>
  <si>
    <t>May-29-2020</t>
  </si>
  <si>
    <t>May-30-2020</t>
  </si>
  <si>
    <t>May-31-2020</t>
  </si>
  <si>
    <t>Jun-01-2020</t>
  </si>
  <si>
    <t>Jun-02-2020</t>
  </si>
  <si>
    <t>Jun-03-2020</t>
  </si>
  <si>
    <t>Jun-04-2020</t>
  </si>
  <si>
    <t>Jun-05-2020</t>
  </si>
  <si>
    <t>Jun-06-2020</t>
  </si>
  <si>
    <t>Jun-07-2020</t>
  </si>
  <si>
    <t>Jun-08-2020</t>
  </si>
  <si>
    <t>Jun-09-2020</t>
  </si>
  <si>
    <t>Jun-10-2020</t>
  </si>
  <si>
    <t>Jun-11-2020</t>
  </si>
  <si>
    <t>Jun-12-2020</t>
  </si>
  <si>
    <t>Jun-13-2020</t>
  </si>
  <si>
    <t>Jun-14-2020</t>
  </si>
  <si>
    <t>Jun-15-2020</t>
  </si>
  <si>
    <t>Jun-16-2020</t>
  </si>
  <si>
    <t>Jun-17-2020</t>
  </si>
  <si>
    <t>Jun-18-2020</t>
  </si>
  <si>
    <t>Jun-19-2020</t>
  </si>
  <si>
    <t>Jun-20-2020</t>
  </si>
  <si>
    <t>Jun-21-2020</t>
  </si>
  <si>
    <t>Jun-22-2020</t>
  </si>
  <si>
    <t>Jun-23-2020</t>
  </si>
  <si>
    <t>Jun-24-2020</t>
  </si>
  <si>
    <t>Jun-25-2020</t>
  </si>
  <si>
    <t>Jun-26-2020</t>
  </si>
  <si>
    <t>Jun-27-2020</t>
  </si>
  <si>
    <t>Jun-28-2020</t>
  </si>
  <si>
    <t>Jun-29-2020</t>
  </si>
  <si>
    <t>Jun-30-2020</t>
  </si>
  <si>
    <t>Jul-01-2020</t>
  </si>
  <si>
    <t>Jul-02-2020</t>
  </si>
  <si>
    <t>Jul-03-2020</t>
  </si>
  <si>
    <t>Jul-04-2020</t>
  </si>
  <si>
    <t>Jul-05-2020</t>
  </si>
  <si>
    <t>Jul-06-2020</t>
  </si>
  <si>
    <t>Jul-07-2020</t>
  </si>
  <si>
    <t>Jul-08-2020</t>
  </si>
  <si>
    <t>Jul-09-2020</t>
  </si>
  <si>
    <t>Jul-10-2020</t>
  </si>
  <si>
    <t>Jul-11-2020</t>
  </si>
  <si>
    <t>Jul-12-2020</t>
  </si>
  <si>
    <t>Jul-13-2020</t>
  </si>
  <si>
    <t>Jul-14-2020</t>
  </si>
  <si>
    <t>Jul-15-2020</t>
  </si>
  <si>
    <t>Jul-16-2020</t>
  </si>
  <si>
    <t>Jul-17-2020</t>
  </si>
  <si>
    <t>Jul-18-2020</t>
  </si>
  <si>
    <t>Jul-19-2020</t>
  </si>
  <si>
    <t>Jul-20-2020</t>
  </si>
  <si>
    <t>Jul-21-2020</t>
  </si>
  <si>
    <t>Jul-22-2020</t>
  </si>
  <si>
    <t>Jul-23-2020</t>
  </si>
  <si>
    <t>Jul-24-2020</t>
  </si>
  <si>
    <t>Jul-25-2020</t>
  </si>
  <si>
    <t>Jul-26-2020</t>
  </si>
  <si>
    <t>Jul-27-2020</t>
  </si>
  <si>
    <t>Jul-28-2020</t>
  </si>
  <si>
    <t>Jul-29-2020</t>
  </si>
  <si>
    <t>Jul-30-2020</t>
  </si>
  <si>
    <t>Jul-31-2020</t>
  </si>
  <si>
    <t>Aug-01-2020</t>
  </si>
  <si>
    <t>Aug-02-2020</t>
  </si>
  <si>
    <t>Aug-03-2020</t>
  </si>
  <si>
    <t>Aug-04-2020</t>
  </si>
  <si>
    <t>Aug-05-2020</t>
  </si>
  <si>
    <t>Aug-06-2020</t>
  </si>
  <si>
    <t>Aug-07-2020</t>
  </si>
  <si>
    <t>Aug-08-2020</t>
  </si>
  <si>
    <t>Aug-09-2020</t>
  </si>
  <si>
    <t>Aug-10-2020</t>
  </si>
  <si>
    <t>Aug-11-2020</t>
  </si>
  <si>
    <t>Aug-12-2020</t>
  </si>
  <si>
    <t>Aug-13-2020</t>
  </si>
  <si>
    <t>Aug-14-2020</t>
  </si>
  <si>
    <t>Aug-15-2020</t>
  </si>
  <si>
    <t>Aug-16-2020</t>
  </si>
  <si>
    <t>Aug-17-2020</t>
  </si>
  <si>
    <t>Aug-18-2020</t>
  </si>
  <si>
    <t>Aug-19-2020</t>
  </si>
  <si>
    <t>Aug-20-2020</t>
  </si>
  <si>
    <t>Aug-21-2020</t>
  </si>
  <si>
    <t>Aug-22-2020</t>
  </si>
  <si>
    <t>Aug-23-2020</t>
  </si>
  <si>
    <t>Aug-24-2020</t>
  </si>
  <si>
    <t>Aug-25-2020</t>
  </si>
  <si>
    <t>Aug-26-2020</t>
  </si>
  <si>
    <t>Aug-27-2020</t>
  </si>
  <si>
    <t>Aug-28-2020</t>
  </si>
  <si>
    <t>Aug-29-2020</t>
  </si>
  <si>
    <t>Aug-30-2020</t>
  </si>
  <si>
    <t>Aug-31-2020</t>
  </si>
  <si>
    <t>Sep-01-2020</t>
  </si>
  <si>
    <t>Sep-02-2020</t>
  </si>
  <si>
    <t>Sep-03-2020</t>
  </si>
  <si>
    <t>Sep-04-2020</t>
  </si>
  <si>
    <t>Sep-05-2020</t>
  </si>
  <si>
    <t>Sep-06-2020</t>
  </si>
  <si>
    <t>Sep-07-2020</t>
  </si>
  <si>
    <t>Sep-08-2020</t>
  </si>
  <si>
    <t>Sep-09-2020</t>
  </si>
  <si>
    <t>Sep-10-2020</t>
  </si>
  <si>
    <t>Sep-11-2020</t>
  </si>
  <si>
    <t>Sep-12-2020</t>
  </si>
  <si>
    <t>Sep-13-2020</t>
  </si>
  <si>
    <t>Sep-14-2020</t>
  </si>
  <si>
    <t>Sep-15-2020</t>
  </si>
  <si>
    <t>Sep-16-2020</t>
  </si>
  <si>
    <t>Sep-17-2020</t>
  </si>
  <si>
    <t>Sep-18-2020</t>
  </si>
  <si>
    <t>Sep-19-2020</t>
  </si>
  <si>
    <t>Sep-20-2020</t>
  </si>
  <si>
    <t>Sep-21-2020</t>
  </si>
  <si>
    <t>Sep-22-2020</t>
  </si>
  <si>
    <t>Sep-23-2020</t>
  </si>
  <si>
    <t>Sep-24-2020</t>
  </si>
  <si>
    <t>Sep-25-2020</t>
  </si>
  <si>
    <t>Sep-26-2020</t>
  </si>
  <si>
    <t>Sep-27-2020</t>
  </si>
  <si>
    <t>Sep-28-2020</t>
  </si>
  <si>
    <t>Sep-29-2020</t>
  </si>
  <si>
    <t>Sep-30-2020</t>
  </si>
  <si>
    <t>Oct-01-2020</t>
  </si>
  <si>
    <t>Oct-02-2020</t>
  </si>
  <si>
    <t>Oct-03-2020</t>
  </si>
  <si>
    <t>Oct-04-2020</t>
  </si>
  <si>
    <t>Oct-05-2020</t>
  </si>
  <si>
    <t>Oct-06-2020</t>
  </si>
  <si>
    <t>Oct-07-2020</t>
  </si>
  <si>
    <t>Oct-08-2020</t>
  </si>
  <si>
    <t>Oct-09-2020</t>
  </si>
  <si>
    <t>Oct-10-2020</t>
  </si>
  <si>
    <t>Oct-11-2020</t>
  </si>
  <si>
    <t>Oct-12-2020</t>
  </si>
  <si>
    <t>Oct-13-2020</t>
  </si>
  <si>
    <t>Oct-14-2020</t>
  </si>
  <si>
    <t>Oct-15-2020</t>
  </si>
  <si>
    <t>Oct-16-2020</t>
  </si>
  <si>
    <t>Oct-17-2020</t>
  </si>
  <si>
    <t>Oct-18-2020</t>
  </si>
  <si>
    <t>Oct-19-2020</t>
  </si>
  <si>
    <t>Oct-20-2020</t>
  </si>
  <si>
    <t>Oct-21-2020</t>
  </si>
  <si>
    <t>Oct-22-2020</t>
  </si>
  <si>
    <t>Oct-23-2020</t>
  </si>
  <si>
    <t>Oct-24-2020</t>
  </si>
  <si>
    <t>Oct-25-2020</t>
  </si>
  <si>
    <t>Oct-26-2020</t>
  </si>
  <si>
    <t>Oct-27-2020</t>
  </si>
  <si>
    <t>Oct-28-2020</t>
  </si>
  <si>
    <t>Oct-29-2020</t>
  </si>
  <si>
    <t>Oct-30-2020</t>
  </si>
  <si>
    <t>Oct-31-2020</t>
  </si>
  <si>
    <t>Nov-01-2020</t>
  </si>
  <si>
    <t>Nov-02-2020</t>
  </si>
  <si>
    <t>Nov-03-2020</t>
  </si>
  <si>
    <t>Nov-04-2020</t>
  </si>
  <si>
    <t>Nov-05-2020</t>
  </si>
  <si>
    <t>Nov-06-2020</t>
  </si>
  <si>
    <t>Nov-07-2020</t>
  </si>
  <si>
    <t>Nov-08-2020</t>
  </si>
  <si>
    <t>Nov-09-2020</t>
  </si>
  <si>
    <t>Nov-10-2020</t>
  </si>
  <si>
    <t>Nov-11-2020</t>
  </si>
  <si>
    <t>Nov-12-2020</t>
  </si>
  <si>
    <t>Nov-13-2020</t>
  </si>
  <si>
    <t>Nov-14-2020</t>
  </si>
  <si>
    <t>Nov-15-2020</t>
  </si>
  <si>
    <t>Nov-16-2020</t>
  </si>
  <si>
    <t>Nov-17-2020</t>
  </si>
  <si>
    <t>Nov-18-2020</t>
  </si>
  <si>
    <t>Nov-19-2020</t>
  </si>
  <si>
    <t>Nov-20-2020</t>
  </si>
  <si>
    <t>Nov-21-2020</t>
  </si>
  <si>
    <t>Nov-22-2020</t>
  </si>
  <si>
    <t>Nov-23-2020</t>
  </si>
  <si>
    <t>Nov-24-2020</t>
  </si>
  <si>
    <t>Nov-25-2020</t>
  </si>
  <si>
    <t>Nov-26-2020</t>
  </si>
  <si>
    <t>Nov-27-2020</t>
  </si>
  <si>
    <t>Nov-28-2020</t>
  </si>
  <si>
    <t>Nov-29-2020</t>
  </si>
  <si>
    <t>Nov-30-2020</t>
  </si>
  <si>
    <t>Dec-01-2020</t>
  </si>
  <si>
    <t>Dec-02-2020</t>
  </si>
  <si>
    <t>Dec-03-2020</t>
  </si>
  <si>
    <t>Dec-04-2020</t>
  </si>
  <si>
    <t>Dec-05-2020</t>
  </si>
  <si>
    <t>Dec-06-2020</t>
  </si>
  <si>
    <t>Dec-07-2020</t>
  </si>
  <si>
    <t>Dec-08-2020</t>
  </si>
  <si>
    <t>Dec-09-2020</t>
  </si>
  <si>
    <t>Dec-10-2020</t>
  </si>
  <si>
    <t>Dec-11-2020</t>
  </si>
  <si>
    <t>Dec-12-2020</t>
  </si>
  <si>
    <t>Dec-13-2020</t>
  </si>
  <si>
    <t>Dec-14-2020</t>
  </si>
  <si>
    <t>Dec-15-2020</t>
  </si>
  <si>
    <t>Dec-16-2020</t>
  </si>
  <si>
    <t>Dec-17-2020</t>
  </si>
  <si>
    <t>Dec-18-2020</t>
  </si>
  <si>
    <t>Dec-19-2020</t>
  </si>
  <si>
    <t>Dec-20-2020</t>
  </si>
  <si>
    <t>Dec-21-2020</t>
  </si>
  <si>
    <t>Dec-22-2020</t>
  </si>
  <si>
    <t>Dec-23-2020</t>
  </si>
  <si>
    <t>Dec-24-2020</t>
  </si>
  <si>
    <t>Dec-25-2020</t>
  </si>
  <si>
    <t>Dec-26-2020</t>
  </si>
  <si>
    <t>Dec-27-2020</t>
  </si>
  <si>
    <t>Dec-28-2020</t>
  </si>
  <si>
    <t>Dec-29-2020</t>
  </si>
  <si>
    <t>Dec-30-2020</t>
  </si>
  <si>
    <t>Dec-31-2020</t>
  </si>
  <si>
    <t>Jan-01-2021</t>
  </si>
  <si>
    <t>Jan-02-2021</t>
  </si>
  <si>
    <t>Jan-03-2021</t>
  </si>
  <si>
    <t>Jan-04-2021</t>
  </si>
  <si>
    <t>Jan-05-2021</t>
  </si>
  <si>
    <t>Jan-06-2021</t>
  </si>
  <si>
    <t>Jan-07-2021</t>
  </si>
  <si>
    <t>Jan-08-2021</t>
  </si>
  <si>
    <t>Jan-09-2021</t>
  </si>
  <si>
    <t>Jan-10-2021</t>
  </si>
  <si>
    <t>Jan-11-2021</t>
  </si>
  <si>
    <t>Jan-12-2021</t>
  </si>
  <si>
    <t>Jan-13-2021</t>
  </si>
  <si>
    <t>Jan-14-2021</t>
  </si>
  <si>
    <t>Jan-15-2021</t>
  </si>
  <si>
    <t>Jan-16-2021</t>
  </si>
  <si>
    <t>Jan-17-2021</t>
  </si>
  <si>
    <t>Jan-18-2021</t>
  </si>
  <si>
    <t>Jan-19-2021</t>
  </si>
  <si>
    <t>Jan-20-2021</t>
  </si>
  <si>
    <t>Jan-21-2021</t>
  </si>
  <si>
    <t>Jan-22-2021</t>
  </si>
  <si>
    <t>Jan-23-2021</t>
  </si>
  <si>
    <t>Jan-24-2021</t>
  </si>
  <si>
    <t>Jan-25-2021</t>
  </si>
  <si>
    <t>Jan-26-2021</t>
  </si>
  <si>
    <t>Jan-27-2021</t>
  </si>
  <si>
    <t>Jan-28-2021</t>
  </si>
  <si>
    <t>Jan-29-2021</t>
  </si>
  <si>
    <t>Jan-30-2021</t>
  </si>
  <si>
    <t>Jan-31-2021</t>
  </si>
  <si>
    <t>Feb-01-2021</t>
  </si>
  <si>
    <t>Feb-02-2021</t>
  </si>
  <si>
    <t>Feb-03-2021</t>
  </si>
  <si>
    <t>Feb-04-2021</t>
  </si>
  <si>
    <t>Feb-05-2021</t>
  </si>
  <si>
    <t>Feb-06-2021</t>
  </si>
  <si>
    <t>Feb-07-2021</t>
  </si>
  <si>
    <t>Feb-08-2021</t>
  </si>
  <si>
    <t>Feb-09-2021</t>
  </si>
  <si>
    <t>Feb-10-2021</t>
  </si>
  <si>
    <t>Feb-11-2021</t>
  </si>
  <si>
    <t>Feb-12-2021</t>
  </si>
  <si>
    <t>Feb-13-2021</t>
  </si>
  <si>
    <t>Feb-14-2021</t>
  </si>
  <si>
    <t>Feb-15-2021</t>
  </si>
  <si>
    <t>Feb-16-2021</t>
  </si>
  <si>
    <t>Feb-17-2021</t>
  </si>
  <si>
    <t>Feb-18-2021</t>
  </si>
  <si>
    <t>Feb-19-2021</t>
  </si>
  <si>
    <t>Feb-20-2021</t>
  </si>
  <si>
    <t>Feb-21-2021</t>
  </si>
  <si>
    <t>Feb-22-2021</t>
  </si>
  <si>
    <t>Feb-23-2021</t>
  </si>
  <si>
    <t>Feb-24-2021</t>
  </si>
  <si>
    <t>Feb-25-2021</t>
  </si>
  <si>
    <t>Feb-26-2021</t>
  </si>
  <si>
    <t>Feb-27-2021</t>
  </si>
  <si>
    <t>Feb-28-2021</t>
  </si>
  <si>
    <t>Mar-01-2021</t>
  </si>
  <si>
    <t>Mar-02-2021</t>
  </si>
  <si>
    <t>Mar-03-2021</t>
  </si>
  <si>
    <t>Mar-04-2021</t>
  </si>
  <si>
    <t>Mar-05-2021</t>
  </si>
  <si>
    <t>Mar-06-2021</t>
  </si>
  <si>
    <t>Mar-07-2021</t>
  </si>
  <si>
    <t>Mar-08-2021</t>
  </si>
  <si>
    <t>Mar-09-2021</t>
  </si>
  <si>
    <t>Mar-10-2021</t>
  </si>
  <si>
    <t>Mar-11-2021</t>
  </si>
  <si>
    <t>Mar-12-2021</t>
  </si>
  <si>
    <t>Mar-13-2021</t>
  </si>
  <si>
    <t>Mar-14-2021</t>
  </si>
  <si>
    <t>Mar-15-2021</t>
  </si>
  <si>
    <t>Mar-16-2021</t>
  </si>
  <si>
    <t>Mar-17-2021</t>
  </si>
  <si>
    <t>Mar-18-2021</t>
  </si>
  <si>
    <t>Mar-19-2021</t>
  </si>
  <si>
    <t>Mar-20-2021</t>
  </si>
  <si>
    <t>Mar-21-2021</t>
  </si>
  <si>
    <t>Mar-22-2021</t>
  </si>
  <si>
    <t>Mar-23-2021</t>
  </si>
  <si>
    <t>Mar-24-2021</t>
  </si>
  <si>
    <t>Mar-25-2021</t>
  </si>
  <si>
    <t>Mar-26-2021</t>
  </si>
  <si>
    <t>Mar-27-2021</t>
  </si>
  <si>
    <t>Mar-28-2021</t>
  </si>
  <si>
    <t>Mar-29-2021</t>
  </si>
  <si>
    <t>Mar-30-2021</t>
  </si>
  <si>
    <t>Mar-31-2021</t>
  </si>
  <si>
    <t>Apr-01-2021</t>
  </si>
  <si>
    <t>Apr-02-2021</t>
  </si>
  <si>
    <t>Apr-03-2021</t>
  </si>
  <si>
    <t>Apr-04-2021</t>
  </si>
  <si>
    <t>Apr-05-2021</t>
  </si>
  <si>
    <t>Apr-06-2021</t>
  </si>
  <si>
    <t>Apr-07-2021</t>
  </si>
  <si>
    <t>Apr-08-2021</t>
  </si>
  <si>
    <t>Apr-09-2021</t>
  </si>
  <si>
    <t>Apr-10-2021</t>
  </si>
  <si>
    <t>Apr-11-2021</t>
  </si>
  <si>
    <t>Apr-12-2021</t>
  </si>
  <si>
    <t>Apr-13-2021</t>
  </si>
  <si>
    <t>Apr-14-2021</t>
  </si>
  <si>
    <t>Apr-15-2021</t>
  </si>
  <si>
    <t>Apr-16-2021</t>
  </si>
  <si>
    <t>Apr-17-2021</t>
  </si>
  <si>
    <t>Apr-18-2021</t>
  </si>
  <si>
    <t>Apr-19-2021</t>
  </si>
  <si>
    <t>Apr-20-2021</t>
  </si>
  <si>
    <t>Apr-21-2021</t>
  </si>
  <si>
    <t>Apr-22-2021</t>
  </si>
  <si>
    <t>Apr-23-2021</t>
  </si>
  <si>
    <t>Apr-24-2021</t>
  </si>
  <si>
    <t>Apr-25-2021</t>
  </si>
  <si>
    <t>Apr-26-2021</t>
  </si>
  <si>
    <t>Apr-27-2021</t>
  </si>
  <si>
    <t>Apr-28-2021</t>
  </si>
  <si>
    <t>Apr-29-2021</t>
  </si>
  <si>
    <t>Apr-30-2021</t>
  </si>
  <si>
    <t>May-01-2021</t>
  </si>
  <si>
    <t>May-02-2021</t>
  </si>
  <si>
    <t>May-03-2021</t>
  </si>
  <si>
    <t>May-04-2021</t>
  </si>
  <si>
    <t>May-05-2021</t>
  </si>
  <si>
    <t>May-06-2021</t>
  </si>
  <si>
    <t>May-07-2021</t>
  </si>
  <si>
    <t>May-08-2021</t>
  </si>
  <si>
    <t>May-09-2021</t>
  </si>
  <si>
    <t>May-10-2021</t>
  </si>
  <si>
    <t>May-11-2021</t>
  </si>
  <si>
    <t>May-12-2021</t>
  </si>
  <si>
    <t>May-13-2021</t>
  </si>
  <si>
    <t>May-14-2021</t>
  </si>
  <si>
    <t>May-15-2021</t>
  </si>
  <si>
    <t>May-16-2021</t>
  </si>
  <si>
    <t>May-17-2021</t>
  </si>
  <si>
    <t>May-18-2021</t>
  </si>
  <si>
    <t>May-19-2021</t>
  </si>
  <si>
    <t>May-20-2021</t>
  </si>
  <si>
    <t>May-21-2021</t>
  </si>
  <si>
    <t>May-22-2021</t>
  </si>
  <si>
    <t>May-23-2021</t>
  </si>
  <si>
    <t>May-24-2021</t>
  </si>
  <si>
    <t>May-25-2021</t>
  </si>
  <si>
    <t>May-26-2021</t>
  </si>
  <si>
    <t>May-27-2021</t>
  </si>
  <si>
    <t>May-28-2021</t>
  </si>
  <si>
    <t>May-29-2021</t>
  </si>
  <si>
    <t>May-30-2021</t>
  </si>
  <si>
    <t>May-31-2021</t>
  </si>
  <si>
    <t>Jun-01-2021</t>
  </si>
  <si>
    <t>Jun-02-2021</t>
  </si>
  <si>
    <t>Jun-03-2021</t>
  </si>
  <si>
    <t>Jun-04-2021</t>
  </si>
  <si>
    <t>Jun-05-2021</t>
  </si>
  <si>
    <t>Jun-06-2021</t>
  </si>
  <si>
    <t>Jun-07-2021</t>
  </si>
  <si>
    <t>Jun-08-2021</t>
  </si>
  <si>
    <t>Jun-09-2021</t>
  </si>
  <si>
    <t>Jun-10-2021</t>
  </si>
  <si>
    <t>Jun-11-2021</t>
  </si>
  <si>
    <t>Jun-12-2021</t>
  </si>
  <si>
    <t>Jun-13-2021</t>
  </si>
  <si>
    <t>Jun-14-2021</t>
  </si>
  <si>
    <t>Jun-15-2021</t>
  </si>
  <si>
    <t>Jun-16-2021</t>
  </si>
  <si>
    <t>Jun-17-2021</t>
  </si>
  <si>
    <t>Jun-18-2021</t>
  </si>
  <si>
    <t>Jun-19-2021</t>
  </si>
  <si>
    <t>Jun-20-2021</t>
  </si>
  <si>
    <t>Jun-21-2021</t>
  </si>
  <si>
    <t>Jun-22-2021</t>
  </si>
  <si>
    <t>Jun-23-2021</t>
  </si>
  <si>
    <t>Jun-24-2021</t>
  </si>
  <si>
    <t>Jun-25-2021</t>
  </si>
  <si>
    <t>Jun-26-2021</t>
  </si>
  <si>
    <t>Jun-27-2021</t>
  </si>
  <si>
    <t>Jun-28-2021</t>
  </si>
  <si>
    <t>Jun-29-2021</t>
  </si>
  <si>
    <t>Jun-30-2021</t>
  </si>
  <si>
    <t>Jul-01-2021</t>
  </si>
  <si>
    <t>Jul-02-2021</t>
  </si>
  <si>
    <t>Jul-03-2021</t>
  </si>
  <si>
    <t>Jul-04-2021</t>
  </si>
  <si>
    <t>Jul-05-2021</t>
  </si>
  <si>
    <t>Jul-06-2021</t>
  </si>
  <si>
    <t>Jul-07-2021</t>
  </si>
  <si>
    <t>Jul-08-2021</t>
  </si>
  <si>
    <t>Jul-09-2021</t>
  </si>
  <si>
    <t>Jul-10-2021</t>
  </si>
  <si>
    <t>Jul-11-2021</t>
  </si>
  <si>
    <t>Jul-12-2021</t>
  </si>
  <si>
    <t>Jul-13-2021</t>
  </si>
  <si>
    <t>Jul-14-2021</t>
  </si>
  <si>
    <t>Jul-15-2021</t>
  </si>
  <si>
    <t>Jul-16-2021</t>
  </si>
  <si>
    <t>Jul-17-2021</t>
  </si>
  <si>
    <t>Jul-18-2021</t>
  </si>
  <si>
    <t>Jul-19-2021</t>
  </si>
  <si>
    <t>Jul-20-2021</t>
  </si>
  <si>
    <t>Jul-21-2021</t>
  </si>
  <si>
    <t>Jul-22-2021</t>
  </si>
  <si>
    <t>Jul-23-2021</t>
  </si>
  <si>
    <t>Jul-24-2021</t>
  </si>
  <si>
    <t>Jul-25-2021</t>
  </si>
  <si>
    <t>Jul-26-2021</t>
  </si>
  <si>
    <t>Jul-27-2021</t>
  </si>
  <si>
    <t>Jul-28-2021</t>
  </si>
  <si>
    <t>Jul-29-2021</t>
  </si>
  <si>
    <t>Jul-30-2021</t>
  </si>
  <si>
    <t>Jul-31-2021</t>
  </si>
  <si>
    <t>Aug-01-2021</t>
  </si>
  <si>
    <t>Aug-02-2021</t>
  </si>
  <si>
    <t>Aug-03-2021</t>
  </si>
  <si>
    <t>Aug-04-2021</t>
  </si>
  <si>
    <t>Aug-05-2021</t>
  </si>
  <si>
    <t>Aug-06-2021</t>
  </si>
  <si>
    <t>Aug-07-2021</t>
  </si>
  <si>
    <t>Aug-08-2021</t>
  </si>
  <si>
    <t>Aug-09-2021</t>
  </si>
  <si>
    <t>Aug-10-2021</t>
  </si>
  <si>
    <t>Aug-11-2021</t>
  </si>
  <si>
    <t>Aug-12-2021</t>
  </si>
  <si>
    <t>Aug-13-2021</t>
  </si>
  <si>
    <t>Aug-14-2021</t>
  </si>
  <si>
    <t>Aug-15-2021</t>
  </si>
  <si>
    <t>Aug-16-2021</t>
  </si>
  <si>
    <t>Aug-17-2021</t>
  </si>
  <si>
    <t>Aug-18-2021</t>
  </si>
  <si>
    <t>Aug-19-2021</t>
  </si>
  <si>
    <t>Aug-20-2021</t>
  </si>
  <si>
    <t>Aug-21-2021</t>
  </si>
  <si>
    <t>Aug-22-2021</t>
  </si>
  <si>
    <t>Aug-23-2021</t>
  </si>
  <si>
    <t>Aug-24-2021</t>
  </si>
  <si>
    <t>Aug-25-2021</t>
  </si>
  <si>
    <t>Aug-26-2021</t>
  </si>
  <si>
    <t>Aug-27-2021</t>
  </si>
  <si>
    <t>Aug-28-2021</t>
  </si>
  <si>
    <t>Aug-29-2021</t>
  </si>
  <si>
    <t>Aug-30-2021</t>
  </si>
  <si>
    <t>Aug-31-2021</t>
  </si>
  <si>
    <t>Sep-01-2021</t>
  </si>
  <si>
    <t>Sep-02-2021</t>
  </si>
  <si>
    <t>Sep-03-2021</t>
  </si>
  <si>
    <t>Sep-04-2021</t>
  </si>
  <si>
    <t>Sep-05-2021</t>
  </si>
  <si>
    <t>Sep-06-2021</t>
  </si>
  <si>
    <t>Sep-07-2021</t>
  </si>
  <si>
    <t>Sep-08-2021</t>
  </si>
  <si>
    <t>Sep-09-2021</t>
  </si>
  <si>
    <t>Sep-10-2021</t>
  </si>
  <si>
    <t>Sep-11-2021</t>
  </si>
  <si>
    <t>Sep-12-2021</t>
  </si>
  <si>
    <t>Sep-13-2021</t>
  </si>
  <si>
    <t>Sep-14-2021</t>
  </si>
  <si>
    <t>Sep-15-2021</t>
  </si>
  <si>
    <t>Sep-16-2021</t>
  </si>
  <si>
    <t>Sep-17-2021</t>
  </si>
  <si>
    <t>Sep-18-2021</t>
  </si>
  <si>
    <t>Sep-19-2021</t>
  </si>
  <si>
    <t>Sep-20-2021</t>
  </si>
  <si>
    <t>Sep-21-2021</t>
  </si>
  <si>
    <t>Sep-22-2021</t>
  </si>
  <si>
    <t>Sep-23-2021</t>
  </si>
  <si>
    <t>Sep-24-2021</t>
  </si>
  <si>
    <t>Sep-25-2021</t>
  </si>
  <si>
    <t>Sep-26-2021</t>
  </si>
  <si>
    <t>Sep-27-2021</t>
  </si>
  <si>
    <t>Sep-28-2021</t>
  </si>
  <si>
    <t>Sep-29-2021</t>
  </si>
  <si>
    <t>Sep-30-2021</t>
  </si>
  <si>
    <t>Oct-01-2021</t>
  </si>
  <si>
    <t>Oct-02-2021</t>
  </si>
  <si>
    <t>Oct-03-2021</t>
  </si>
  <si>
    <t>Oct-04-2021</t>
  </si>
  <si>
    <t>Oct-05-2021</t>
  </si>
  <si>
    <t>Oct-06-2021</t>
  </si>
  <si>
    <t>Oct-07-2021</t>
  </si>
  <si>
    <t>Oct-08-2021</t>
  </si>
  <si>
    <t>Oct-09-2021</t>
  </si>
  <si>
    <t>Oct-10-2021</t>
  </si>
  <si>
    <t>Oct-11-2021</t>
  </si>
  <si>
    <t>Oct-12-2021</t>
  </si>
  <si>
    <t>Oct-13-2021</t>
  </si>
  <si>
    <t>Oct-14-2021</t>
  </si>
  <si>
    <t>Oct-15-2021</t>
  </si>
  <si>
    <t>Oct-16-2021</t>
  </si>
  <si>
    <t>Oct-17-2021</t>
  </si>
  <si>
    <t>Oct-18-2021</t>
  </si>
  <si>
    <t>Oct-19-2021</t>
  </si>
  <si>
    <t>Oct-20-2021</t>
  </si>
  <si>
    <t>Oct-21-2021</t>
  </si>
  <si>
    <t>Oct-22-2021</t>
  </si>
  <si>
    <t>Oct-23-2021</t>
  </si>
  <si>
    <t>Oct-24-2021</t>
  </si>
  <si>
    <t>Oct-25-2021</t>
  </si>
  <si>
    <t>Oct-26-2021</t>
  </si>
  <si>
    <t>Oct-27-2021</t>
  </si>
  <si>
    <t>Oct-28-2021</t>
  </si>
  <si>
    <t>Oct-29-2021</t>
  </si>
  <si>
    <t>Oct-30-2021</t>
  </si>
  <si>
    <t>Oct-31-2021</t>
  </si>
  <si>
    <t>Nov-01-2021</t>
  </si>
  <si>
    <t>Nov-02-2021</t>
  </si>
  <si>
    <t>Nov-03-2021</t>
  </si>
  <si>
    <t>Nov-04-2021</t>
  </si>
  <si>
    <t>Nov-05-2021</t>
  </si>
  <si>
    <t>Nov-06-2021</t>
  </si>
  <si>
    <t>Nov-07-2021</t>
  </si>
  <si>
    <t>Nov-08-2021</t>
  </si>
  <si>
    <t>Nov-09-2021</t>
  </si>
  <si>
    <t>Nov-10-2021</t>
  </si>
  <si>
    <t>Nov-11-2021</t>
  </si>
  <si>
    <t>Nov-12-2021</t>
  </si>
  <si>
    <t>Nov-13-2021</t>
  </si>
  <si>
    <t>Nov-14-2021</t>
  </si>
  <si>
    <t>Nov-15-2021</t>
  </si>
  <si>
    <t>Nov-16-2021</t>
  </si>
  <si>
    <t>Nov-17-2021</t>
  </si>
  <si>
    <t>Nov-18-2021</t>
  </si>
  <si>
    <t>Nov-19-2021</t>
  </si>
  <si>
    <t>Nov-20-2021</t>
  </si>
  <si>
    <t>Nov-21-2021</t>
  </si>
  <si>
    <t>Nov-22-2021</t>
  </si>
  <si>
    <t>Nov-23-2021</t>
  </si>
  <si>
    <t>Nov-24-2021</t>
  </si>
  <si>
    <t>Nov-25-2021</t>
  </si>
  <si>
    <t>Nov-26-2021</t>
  </si>
  <si>
    <t>Nov-27-2021</t>
  </si>
  <si>
    <t>Nov-28-2021</t>
  </si>
  <si>
    <t>Nov-29-2021</t>
  </si>
  <si>
    <t>Nov-30-2021</t>
  </si>
  <si>
    <t>Dec-01-2021</t>
  </si>
  <si>
    <t>Dec-02-2021</t>
  </si>
  <si>
    <t>Dec-03-2021</t>
  </si>
  <si>
    <t>Dec-04-2021</t>
  </si>
  <si>
    <t>Dec-05-2021</t>
  </si>
  <si>
    <t>Dec-06-2021</t>
  </si>
  <si>
    <t>Dec-07-2021</t>
  </si>
  <si>
    <t>Dec-08-2021</t>
  </si>
  <si>
    <t>Dec-09-2021</t>
  </si>
  <si>
    <t>Dec-10-2021</t>
  </si>
  <si>
    <t>Dec-11-2021</t>
  </si>
  <si>
    <t>Dec-12-2021</t>
  </si>
  <si>
    <t>Dec-13-2021</t>
  </si>
  <si>
    <t>Dec-14-2021</t>
  </si>
  <si>
    <t>Dec-15-2021</t>
  </si>
  <si>
    <t>Dec-16-2021</t>
  </si>
  <si>
    <t>Dec-17-2021</t>
  </si>
  <si>
    <t>Dec-18-2021</t>
  </si>
  <si>
    <t>Dec-19-2021</t>
  </si>
  <si>
    <t>Dec-20-2021</t>
  </si>
  <si>
    <t>Dec-21-2021</t>
  </si>
  <si>
    <t>Dec-22-2021</t>
  </si>
  <si>
    <t>Dec-23-2021</t>
  </si>
  <si>
    <t>Dec-24-2021</t>
  </si>
  <si>
    <t>Dec-25-2021</t>
  </si>
  <si>
    <t>Dec-26-2021</t>
  </si>
  <si>
    <t>Dec-27-2021</t>
  </si>
  <si>
    <t>Dec-28-2021</t>
  </si>
  <si>
    <t>Dec-29-2021</t>
  </si>
  <si>
    <t>Dec-30-2021</t>
  </si>
  <si>
    <t>Dec-31-2021</t>
  </si>
  <si>
    <t>Jan-01-2022</t>
  </si>
  <si>
    <t>Jan-02-2022</t>
  </si>
  <si>
    <t>Jan-03-2022</t>
  </si>
  <si>
    <t>Jan-04-2022</t>
  </si>
  <si>
    <t>Jan-05-2022</t>
  </si>
  <si>
    <t>Jan-06-2022</t>
  </si>
  <si>
    <t>Jan-07-2022</t>
  </si>
  <si>
    <t>Jan-08-2022</t>
  </si>
  <si>
    <t>Jan-09-2022</t>
  </si>
  <si>
    <t>Jan-10-2022</t>
  </si>
  <si>
    <t>Jan-11-2022</t>
  </si>
  <si>
    <t>Jan-12-2022</t>
  </si>
  <si>
    <t>Jan-13-2022</t>
  </si>
  <si>
    <t>Jan-14-2022</t>
  </si>
  <si>
    <t>Jan-15-2022</t>
  </si>
  <si>
    <t>Jan-16-2022</t>
  </si>
  <si>
    <t>Jan-17-2022</t>
  </si>
  <si>
    <t>Jan-18-2022</t>
  </si>
  <si>
    <t>Jan-19-2022</t>
  </si>
  <si>
    <t>Jan-20-2022</t>
  </si>
  <si>
    <t>Jan-21-2022</t>
  </si>
  <si>
    <t>Jan-22-2022</t>
  </si>
  <si>
    <t>Jan-23-2022</t>
  </si>
  <si>
    <t>Jan-24-2022</t>
  </si>
  <si>
    <t>Jan-25-2022</t>
  </si>
  <si>
    <t>Jan-26-2022</t>
  </si>
  <si>
    <t>Jan-27-2022</t>
  </si>
  <si>
    <t>Jan-28-2022</t>
  </si>
  <si>
    <t>Jan-29-2022</t>
  </si>
  <si>
    <t>Jan-30-2022</t>
  </si>
  <si>
    <t>Jan-31-2022</t>
  </si>
  <si>
    <t>Feb-01-2022</t>
  </si>
  <si>
    <t>Feb-02-2022</t>
  </si>
  <si>
    <t>Feb-03-2022</t>
  </si>
  <si>
    <t>Feb-04-2022</t>
  </si>
  <si>
    <t>Feb-05-2022</t>
  </si>
  <si>
    <t>Feb-06-2022</t>
  </si>
  <si>
    <t>Feb-07-2022</t>
  </si>
  <si>
    <t>Feb-08-2022</t>
  </si>
  <si>
    <t>Feb-09-2022</t>
  </si>
  <si>
    <t>Feb-10-2022</t>
  </si>
  <si>
    <t>Feb-11-2022</t>
  </si>
  <si>
    <t>Feb-12-2022</t>
  </si>
  <si>
    <t>Feb-13-2022</t>
  </si>
  <si>
    <t>Feb-14-2022</t>
  </si>
  <si>
    <t>Feb-15-2022</t>
  </si>
  <si>
    <t>Feb-16-2022</t>
  </si>
  <si>
    <t>Feb-17-2022</t>
  </si>
  <si>
    <t>Feb-18-2022</t>
  </si>
  <si>
    <t>Feb-19-2022</t>
  </si>
  <si>
    <t>Feb-20-2022</t>
  </si>
  <si>
    <t>Feb-21-2022</t>
  </si>
  <si>
    <t>Feb-22-2022</t>
  </si>
  <si>
    <t>Feb-23-2022</t>
  </si>
  <si>
    <t>Feb-24-2022</t>
  </si>
  <si>
    <t>Feb-25-2022</t>
  </si>
  <si>
    <t>Feb-26-2022</t>
  </si>
  <si>
    <t>Feb-27-2022</t>
  </si>
  <si>
    <t>Feb-28-2022</t>
  </si>
  <si>
    <t>Mar-01-2022</t>
  </si>
  <si>
    <t>Mar-02-2022</t>
  </si>
  <si>
    <t>Mar-03-2022</t>
  </si>
  <si>
    <t>Mar-04-2022</t>
  </si>
  <si>
    <t>Mar-05-2022</t>
  </si>
  <si>
    <t>Mar-06-2022</t>
  </si>
  <si>
    <t>Mar-07-2022</t>
  </si>
  <si>
    <t>Mar-08-2022</t>
  </si>
  <si>
    <t>Mar-09-2022</t>
  </si>
  <si>
    <t>Mar-10-2022</t>
  </si>
  <si>
    <t>Mar-11-2022</t>
  </si>
  <si>
    <t>Mar-12-2022</t>
  </si>
  <si>
    <t>Mar-13-2022</t>
  </si>
  <si>
    <t>Mar-14-2022</t>
  </si>
  <si>
    <t>Mar-15-2022</t>
  </si>
  <si>
    <t>Mar-16-2022</t>
  </si>
  <si>
    <t>Mar-17-2022</t>
  </si>
  <si>
    <t>Mar-18-2022</t>
  </si>
  <si>
    <t>Mar-19-2022</t>
  </si>
  <si>
    <t>Mar-20-2022</t>
  </si>
  <si>
    <t>Mar-21-2022</t>
  </si>
  <si>
    <t>Mar-22-2022</t>
  </si>
  <si>
    <t>Mar-23-2022</t>
  </si>
  <si>
    <t>Mar-24-2022</t>
  </si>
  <si>
    <t>Mar-25-2022</t>
  </si>
  <si>
    <t>Mar-26-2022</t>
  </si>
  <si>
    <t>Mar-27-2022</t>
  </si>
  <si>
    <t>Mar-28-2022</t>
  </si>
  <si>
    <t>Mar-29-2022</t>
  </si>
  <si>
    <t>Mar-30-2022</t>
  </si>
  <si>
    <t>Mar-31-2022</t>
  </si>
  <si>
    <t>Apr-01-2022</t>
  </si>
  <si>
    <t>Apr-02-2022</t>
  </si>
  <si>
    <t>Apr-03-2022</t>
  </si>
  <si>
    <t>Apr-04-2022</t>
  </si>
  <si>
    <t>Apr-05-2022</t>
  </si>
  <si>
    <t>Apr-06-2022</t>
  </si>
  <si>
    <t>Apr-07-2022</t>
  </si>
  <si>
    <t>Apr-08-2022</t>
  </si>
  <si>
    <t>Apr-09-2022</t>
  </si>
  <si>
    <t>Apr-10-2022</t>
  </si>
  <si>
    <t>Apr-11-2022</t>
  </si>
  <si>
    <t>Apr-12-2022</t>
  </si>
  <si>
    <t>Apr-13-2022</t>
  </si>
  <si>
    <t>Apr-14-2022</t>
  </si>
  <si>
    <t>Apr-15-2022</t>
  </si>
  <si>
    <t>Apr-16-2022</t>
  </si>
  <si>
    <t>Apr-17-2022</t>
  </si>
  <si>
    <t>Apr-18-2022</t>
  </si>
  <si>
    <t>Apr-19-2022</t>
  </si>
  <si>
    <t>Apr-20-2022</t>
  </si>
  <si>
    <t>Apr-21-2022</t>
  </si>
  <si>
    <t>Apr-22-2022</t>
  </si>
  <si>
    <t>Apr-23-2022</t>
  </si>
  <si>
    <t>Apr-24-2022</t>
  </si>
  <si>
    <t>Apr-25-2022</t>
  </si>
  <si>
    <t>Apr-26-2022</t>
  </si>
  <si>
    <t>Apr-27-2022</t>
  </si>
  <si>
    <t>Apr-28-2022</t>
  </si>
  <si>
    <t>Apr-29-2022</t>
  </si>
  <si>
    <t>Apr-30-2022</t>
  </si>
  <si>
    <t>May-01-2022</t>
  </si>
  <si>
    <t>May-02-2022</t>
  </si>
  <si>
    <t>May-03-2022</t>
  </si>
  <si>
    <t>May-04-2022</t>
  </si>
  <si>
    <t>May-05-2022</t>
  </si>
  <si>
    <t>May-06-2022</t>
  </si>
  <si>
    <t>May-07-2022</t>
  </si>
  <si>
    <t>May-08-2022</t>
  </si>
  <si>
    <t>May-09-2022</t>
  </si>
  <si>
    <t>May-10-2022</t>
  </si>
  <si>
    <t>May-11-2022</t>
  </si>
  <si>
    <t>May-12-2022</t>
  </si>
  <si>
    <t>May-13-2022</t>
  </si>
  <si>
    <t>May-14-2022</t>
  </si>
  <si>
    <t>May-15-2022</t>
  </si>
  <si>
    <t>May-16-2022</t>
  </si>
  <si>
    <t>May-17-2022</t>
  </si>
  <si>
    <t>May-18-2022</t>
  </si>
  <si>
    <t>May-19-2022</t>
  </si>
  <si>
    <t>May-20-2022</t>
  </si>
  <si>
    <t>May-21-2022</t>
  </si>
  <si>
    <t>May-22-2022</t>
  </si>
  <si>
    <t>May-23-2022</t>
  </si>
  <si>
    <t>May-24-2022</t>
  </si>
  <si>
    <t>May-25-2022</t>
  </si>
  <si>
    <t>May-26-2022</t>
  </si>
  <si>
    <t>May-27-2022</t>
  </si>
  <si>
    <t>May-28-2022</t>
  </si>
  <si>
    <t>May-29-2022</t>
  </si>
  <si>
    <t>May-30-2022</t>
  </si>
  <si>
    <t>May-31-2022</t>
  </si>
  <si>
    <t>Jun-01-2022</t>
  </si>
  <si>
    <t>Jun-02-2022</t>
  </si>
  <si>
    <t>Jun-03-2022</t>
  </si>
  <si>
    <t>Jun-04-2022</t>
  </si>
  <si>
    <t>Jun-05-2022</t>
  </si>
  <si>
    <t>Jun-06-2022</t>
  </si>
  <si>
    <t>Jun-07-2022</t>
  </si>
  <si>
    <t>Jun-08-2022</t>
  </si>
  <si>
    <t>Jun-09-2022</t>
  </si>
  <si>
    <t>Jun-10-2022</t>
  </si>
  <si>
    <t>Jun-11-2022</t>
  </si>
  <si>
    <t>Jun-12-2022</t>
  </si>
  <si>
    <t>Jun-13-2022</t>
  </si>
  <si>
    <t>Jun-14-2022</t>
  </si>
  <si>
    <t>Jun-15-2022</t>
  </si>
  <si>
    <t>Jun-16-2022</t>
  </si>
  <si>
    <t>Jun-17-2022</t>
  </si>
  <si>
    <t>Jun-18-2022</t>
  </si>
  <si>
    <t>Jun-19-2022</t>
  </si>
  <si>
    <t>Jun-20-2022</t>
  </si>
  <si>
    <t>Jun-21-2022</t>
  </si>
  <si>
    <t>Jun-22-2022</t>
  </si>
  <si>
    <t>Jun-23-2022</t>
  </si>
  <si>
    <t>Jun-24-2022</t>
  </si>
  <si>
    <t>Jun-25-2022</t>
  </si>
  <si>
    <t>Jun-26-2022</t>
  </si>
  <si>
    <t>Jun-27-2022</t>
  </si>
  <si>
    <t>Jun-28-2022</t>
  </si>
  <si>
    <t>Jun-29-2022</t>
  </si>
  <si>
    <t>Jun-30-2022</t>
  </si>
  <si>
    <t>Jul-01-2022</t>
  </si>
  <si>
    <t>Jul-02-2022</t>
  </si>
  <si>
    <t>Jul-03-2022</t>
  </si>
  <si>
    <t>Jul-04-2022</t>
  </si>
  <si>
    <t>Jul-05-2022</t>
  </si>
  <si>
    <t>Jul-06-2022</t>
  </si>
  <si>
    <t>Jul-07-2022</t>
  </si>
  <si>
    <t>Jul-08-2022</t>
  </si>
  <si>
    <t>Jul-09-2022</t>
  </si>
  <si>
    <t>Jul-10-2022</t>
  </si>
  <si>
    <t>Jul-11-2022</t>
  </si>
  <si>
    <t>Jul-12-2022</t>
  </si>
  <si>
    <t>Jul-13-2022</t>
  </si>
  <si>
    <t>Jul-14-2022</t>
  </si>
  <si>
    <t>Jul-15-2022</t>
  </si>
  <si>
    <t>Jul-16-2022</t>
  </si>
  <si>
    <t>Jul-17-2022</t>
  </si>
  <si>
    <t>Jul-18-2022</t>
  </si>
  <si>
    <t>Jul-19-2022</t>
  </si>
  <si>
    <t>Jul-20-2022</t>
  </si>
  <si>
    <t>Jul-21-2022</t>
  </si>
  <si>
    <t>Jul-22-2022</t>
  </si>
  <si>
    <t>Jul-23-2022</t>
  </si>
  <si>
    <t>Jul-24-2022</t>
  </si>
  <si>
    <t>Jul-25-2022</t>
  </si>
  <si>
    <t>Jul-26-2022</t>
  </si>
  <si>
    <t>Jul-27-2022</t>
  </si>
  <si>
    <t>Jul-28-2022</t>
  </si>
  <si>
    <t>Jul-29-2022</t>
  </si>
  <si>
    <t>Jul-30-2022</t>
  </si>
  <si>
    <t>Jul-31-2022</t>
  </si>
  <si>
    <t>Aug-01-2022</t>
  </si>
  <si>
    <t>Aug-02-2022</t>
  </si>
  <si>
    <t>Aug-03-2022</t>
  </si>
  <si>
    <t>Aug-04-2022</t>
  </si>
  <si>
    <t>Aug-05-2022</t>
  </si>
  <si>
    <t>Aug-06-2022</t>
  </si>
  <si>
    <t>Aug-07-2022</t>
  </si>
  <si>
    <t>Aug-08-2022</t>
  </si>
  <si>
    <t>Aug-09-2022</t>
  </si>
  <si>
    <t>Aug-10-2022</t>
  </si>
  <si>
    <t>Aug-11-2022</t>
  </si>
  <si>
    <t>Aug-12-2022</t>
  </si>
  <si>
    <t>Aug-13-2022</t>
  </si>
  <si>
    <t>Aug-14-2022</t>
  </si>
  <si>
    <t>Aug-15-2022</t>
  </si>
  <si>
    <t>Aug-16-2022</t>
  </si>
  <si>
    <t>Aug-17-2022</t>
  </si>
  <si>
    <t>Aug-18-2022</t>
  </si>
  <si>
    <t>Aug-19-2022</t>
  </si>
  <si>
    <t>Aug-20-2022</t>
  </si>
  <si>
    <t>Aug-21-2022</t>
  </si>
  <si>
    <t>Aug-22-2022</t>
  </si>
  <si>
    <t>Aug-23-2022</t>
  </si>
  <si>
    <t>Aug-24-2022</t>
  </si>
  <si>
    <t>Aug-25-2022</t>
  </si>
  <si>
    <t>Aug-26-2022</t>
  </si>
  <si>
    <t>Aug-27-2022</t>
  </si>
  <si>
    <t>Aug-28-2022</t>
  </si>
  <si>
    <t>Aug-29-2022</t>
  </si>
  <si>
    <t>Aug-30-2022</t>
  </si>
  <si>
    <t>Aug-31-2022</t>
  </si>
  <si>
    <t>Sep-01-2022</t>
  </si>
  <si>
    <t>Sep-02-2022</t>
  </si>
  <si>
    <t>Sep-03-2022</t>
  </si>
  <si>
    <t>Sep-04-2022</t>
  </si>
  <si>
    <t>Sep-05-2022</t>
  </si>
  <si>
    <t>Sep-06-2022</t>
  </si>
  <si>
    <t>Sep-07-2022</t>
  </si>
  <si>
    <t>Sep-08-2022</t>
  </si>
  <si>
    <t>Sep-09-2022</t>
  </si>
  <si>
    <t>Sep-10-2022</t>
  </si>
  <si>
    <t>Sep-11-2022</t>
  </si>
  <si>
    <t>Sep-12-2022</t>
  </si>
  <si>
    <t>Sep-13-2022</t>
  </si>
  <si>
    <t>Sep-14-2022</t>
  </si>
  <si>
    <t>Sep-15-2022</t>
  </si>
  <si>
    <t>Sep-16-2022</t>
  </si>
  <si>
    <t>Sep-17-2022</t>
  </si>
  <si>
    <t>Sep-18-2022</t>
  </si>
  <si>
    <t>Sep-19-2022</t>
  </si>
  <si>
    <t>Sep-20-2022</t>
  </si>
  <si>
    <t>Sep-21-2022</t>
  </si>
  <si>
    <t>Sep-22-2022</t>
  </si>
  <si>
    <t>Sep-23-2022</t>
  </si>
  <si>
    <t>Sep-24-2022</t>
  </si>
  <si>
    <t>Sep-25-2022</t>
  </si>
  <si>
    <t>Sep-26-2022</t>
  </si>
  <si>
    <t>Sep-27-2022</t>
  </si>
  <si>
    <t>Sep-28-2022</t>
  </si>
  <si>
    <t>Sep-29-2022</t>
  </si>
  <si>
    <t>Sep-30-2022</t>
  </si>
  <si>
    <t>Oct-01-2022</t>
  </si>
  <si>
    <t>Oct-02-2022</t>
  </si>
  <si>
    <t>Oct-03-2022</t>
  </si>
  <si>
    <t>Oct-04-2022</t>
  </si>
  <si>
    <t>Oct-05-2022</t>
  </si>
  <si>
    <t>Oct-06-2022</t>
  </si>
  <si>
    <t>Oct-07-2022</t>
  </si>
  <si>
    <t>Oct-08-2022</t>
  </si>
  <si>
    <t>Oct-09-2022</t>
  </si>
  <si>
    <t>Oct-10-2022</t>
  </si>
  <si>
    <t>Oct-11-2022</t>
  </si>
  <si>
    <t>Oct-12-2022</t>
  </si>
  <si>
    <t>Oct-13-2022</t>
  </si>
  <si>
    <t>Oct-14-2022</t>
  </si>
  <si>
    <t>Oct-15-2022</t>
  </si>
  <si>
    <t>Oct-16-2022</t>
  </si>
  <si>
    <t>Oct-17-2022</t>
  </si>
  <si>
    <t>Oct-18-2022</t>
  </si>
  <si>
    <t>Oct-19-2022</t>
  </si>
  <si>
    <t>Oct-20-2022</t>
  </si>
  <si>
    <t>Oct-21-2022</t>
  </si>
  <si>
    <t>Oct-22-2022</t>
  </si>
  <si>
    <t>Oct-23-2022</t>
  </si>
  <si>
    <t>Oct-24-2022</t>
  </si>
  <si>
    <t>Oct-25-2022</t>
  </si>
  <si>
    <t>Oct-26-2022</t>
  </si>
  <si>
    <t>Oct-27-2022</t>
  </si>
  <si>
    <t>Oct-28-2022</t>
  </si>
  <si>
    <t>Oct-29-2022</t>
  </si>
  <si>
    <t>Oct-30-2022</t>
  </si>
  <si>
    <t>Oct-31-2022</t>
  </si>
  <si>
    <t>Nov-01-2022</t>
  </si>
  <si>
    <t>Nov-02-2022</t>
  </si>
  <si>
    <t>Nov-03-2022</t>
  </si>
  <si>
    <t>Nov-04-2022</t>
  </si>
  <si>
    <t>Nov-05-2022</t>
  </si>
  <si>
    <t>Nov-06-2022</t>
  </si>
  <si>
    <t>Nov-07-2022</t>
  </si>
  <si>
    <t>Nov-08-2022</t>
  </si>
  <si>
    <t>Nov-09-2022</t>
  </si>
  <si>
    <t>Nov-10-2022</t>
  </si>
  <si>
    <t>Nov-11-2022</t>
  </si>
  <si>
    <t>Nov-12-2022</t>
  </si>
  <si>
    <t>Nov-13-2022</t>
  </si>
  <si>
    <t>Nov-14-2022</t>
  </si>
  <si>
    <t>Nov-15-2022</t>
  </si>
  <si>
    <t>Nov-16-2022</t>
  </si>
  <si>
    <t>Nov-17-2022</t>
  </si>
  <si>
    <t>Nov-18-2022</t>
  </si>
  <si>
    <t>Nov-19-2022</t>
  </si>
  <si>
    <t>Nov-20-2022</t>
  </si>
  <si>
    <t>Nov-21-2022</t>
  </si>
  <si>
    <t>Nov-22-2022</t>
  </si>
  <si>
    <t>Nov-23-2022</t>
  </si>
  <si>
    <t>Nov-24-2022</t>
  </si>
  <si>
    <t>Nov-25-2022</t>
  </si>
  <si>
    <t>Nov-26-2022</t>
  </si>
  <si>
    <t>Nov-27-2022</t>
  </si>
  <si>
    <t>Nov-28-2022</t>
  </si>
  <si>
    <t>Nov-29-2022</t>
  </si>
  <si>
    <t>Nov-30-2022</t>
  </si>
  <si>
    <t>Dec-01-2022</t>
  </si>
  <si>
    <t>Dec-02-2022</t>
  </si>
  <si>
    <t>Dec-03-2022</t>
  </si>
  <si>
    <t>Dec-04-2022</t>
  </si>
  <si>
    <t>Dec-05-2022</t>
  </si>
  <si>
    <t>Dec-06-2022</t>
  </si>
  <si>
    <t>Dec-07-2022</t>
  </si>
  <si>
    <t>Dec-08-2022</t>
  </si>
  <si>
    <t>Dec-09-2022</t>
  </si>
  <si>
    <t>Dec-10-2022</t>
  </si>
  <si>
    <t>Dec-11-2022</t>
  </si>
  <si>
    <t>Dec-12-2022</t>
  </si>
  <si>
    <t>Dec-13-2022</t>
  </si>
  <si>
    <t>Dec-14-2022</t>
  </si>
  <si>
    <t>Dec-15-2022</t>
  </si>
  <si>
    <t>Dec-16-2022</t>
  </si>
  <si>
    <t>Dec-17-2022</t>
  </si>
  <si>
    <t>Dec-18-2022</t>
  </si>
  <si>
    <t>Dec-19-2022</t>
  </si>
  <si>
    <t>Dec-20-2022</t>
  </si>
  <si>
    <t>Dec-21-2022</t>
  </si>
  <si>
    <t>Dec-22-2022</t>
  </si>
  <si>
    <t>Dec-23-2022</t>
  </si>
  <si>
    <t>Dec-24-2022</t>
  </si>
  <si>
    <t>Dec-25-2022</t>
  </si>
  <si>
    <t>Dec-26-2022</t>
  </si>
  <si>
    <t>Dec-27-2022</t>
  </si>
  <si>
    <t>Dec-28-2022</t>
  </si>
  <si>
    <t>Dec-29-2022</t>
  </si>
  <si>
    <t>Dec-30-2022</t>
  </si>
  <si>
    <t>Dec-31-2022</t>
  </si>
  <si>
    <t>Jan-01-2023</t>
  </si>
  <si>
    <t>Jan-02-2023</t>
  </si>
  <si>
    <t>Jan-03-2023</t>
  </si>
  <si>
    <t>Jan-04-2023</t>
  </si>
  <si>
    <t>Jan-05-2023</t>
  </si>
  <si>
    <t>Jan-06-2023</t>
  </si>
  <si>
    <t>Jan-07-2023</t>
  </si>
  <si>
    <t>Jan-08-2023</t>
  </si>
  <si>
    <t>Jan-09-2023</t>
  </si>
  <si>
    <t>Jan-10-2023</t>
  </si>
  <si>
    <t>Jan-11-2023</t>
  </si>
  <si>
    <t>Jan-12-2023</t>
  </si>
  <si>
    <t>Jan-13-2023</t>
  </si>
  <si>
    <t>Jan-14-2023</t>
  </si>
  <si>
    <t>Jan-15-2023</t>
  </si>
  <si>
    <t>Jan-16-2023</t>
  </si>
  <si>
    <t>Jan-17-2023</t>
  </si>
  <si>
    <t>Jan-18-2023</t>
  </si>
  <si>
    <t>Jan-19-2023</t>
  </si>
  <si>
    <t>Jan-20-2023</t>
  </si>
  <si>
    <t>Jan-21-2023</t>
  </si>
  <si>
    <t>Jan-22-2023</t>
  </si>
  <si>
    <t>Jan-23-2023</t>
  </si>
  <si>
    <t>Jan-24-2023</t>
  </si>
  <si>
    <t>Jan-25-2023</t>
  </si>
  <si>
    <t>Jan-26-2023</t>
  </si>
  <si>
    <t>Jan-27-2023</t>
  </si>
  <si>
    <t>Jan-28-2023</t>
  </si>
  <si>
    <t>Jan-29-2023</t>
  </si>
  <si>
    <t>Jan-30-2023</t>
  </si>
  <si>
    <t>Jan-31-2023</t>
  </si>
  <si>
    <t>Feb-01-2023</t>
  </si>
  <si>
    <t>Feb-02-2023</t>
  </si>
  <si>
    <t>Feb-03-2023</t>
  </si>
  <si>
    <t>Feb-04-2023</t>
  </si>
  <si>
    <t>Feb-05-2023</t>
  </si>
  <si>
    <t>Feb-06-2023</t>
  </si>
  <si>
    <t>Feb-07-2023</t>
  </si>
  <si>
    <t>Feb-08-2023</t>
  </si>
  <si>
    <t>Feb-09-2023</t>
  </si>
  <si>
    <t>Feb-10-2023</t>
  </si>
  <si>
    <t>Feb-11-2023</t>
  </si>
  <si>
    <t>Feb-12-2023</t>
  </si>
  <si>
    <t>Feb-13-2023</t>
  </si>
  <si>
    <t>Feb-14-2023</t>
  </si>
  <si>
    <t>Feb-15-2023</t>
  </si>
  <si>
    <t>Feb-16-2023</t>
  </si>
  <si>
    <t>Feb-17-2023</t>
  </si>
  <si>
    <t>Feb-18-2023</t>
  </si>
  <si>
    <t>Feb-19-2023</t>
  </si>
  <si>
    <t>Feb-20-2023</t>
  </si>
  <si>
    <t>Feb-21-2023</t>
  </si>
  <si>
    <t>Feb-22-2023</t>
  </si>
  <si>
    <t>Feb-23-2023</t>
  </si>
  <si>
    <t>Feb-24-2023</t>
  </si>
  <si>
    <t>Feb-25-2023</t>
  </si>
  <si>
    <t>Feb-26-2023</t>
  </si>
  <si>
    <t>Feb-27-2023</t>
  </si>
  <si>
    <t>Feb-28-2023</t>
  </si>
  <si>
    <t>Mar-01-2023</t>
  </si>
  <si>
    <t>Mar-02-2023</t>
  </si>
  <si>
    <t>Mar-03-2023</t>
  </si>
  <si>
    <t>Mar-04-2023</t>
  </si>
  <si>
    <t>Mar-05-2023</t>
  </si>
  <si>
    <t>Mar-06-2023</t>
  </si>
  <si>
    <t>Mar-07-2023</t>
  </si>
  <si>
    <t>Mar-08-2023</t>
  </si>
  <si>
    <t>Mar-09-2023</t>
  </si>
  <si>
    <t>Mar-10-2023</t>
  </si>
  <si>
    <t>Mar-11-2023</t>
  </si>
  <si>
    <t>Mar-12-2023</t>
  </si>
  <si>
    <t>Mar-13-2023</t>
  </si>
  <si>
    <t>Mar-14-2023</t>
  </si>
  <si>
    <t>Mar-15-2023</t>
  </si>
  <si>
    <t>Mar-16-2023</t>
  </si>
  <si>
    <t>Mar-17-2023</t>
  </si>
  <si>
    <t>Mar-18-2023</t>
  </si>
  <si>
    <t>Mar-19-2023</t>
  </si>
  <si>
    <t>Mar-20-2023</t>
  </si>
  <si>
    <t>Mar-21-2023</t>
  </si>
  <si>
    <t>Mar-22-2023</t>
  </si>
  <si>
    <t>Mar-23-2023</t>
  </si>
  <si>
    <t>Mar-24-2023</t>
  </si>
  <si>
    <t>Mar-25-2023</t>
  </si>
  <si>
    <t>Mar-26-2023</t>
  </si>
  <si>
    <t>Mar-27-2023</t>
  </si>
  <si>
    <t>Mar-28-2023</t>
  </si>
  <si>
    <t>Mar-29-2023</t>
  </si>
  <si>
    <t>Mar-30-2023</t>
  </si>
  <si>
    <t>Mar-31-2023</t>
  </si>
  <si>
    <t>Apr-01-2023</t>
  </si>
  <si>
    <t>Apr-02-2023</t>
  </si>
  <si>
    <t>Apr-03-2023</t>
  </si>
  <si>
    <t>Apr-04-2023</t>
  </si>
  <si>
    <t>Apr-05-2023</t>
  </si>
  <si>
    <t>Apr-06-2023</t>
  </si>
  <si>
    <t>Apr-07-2023</t>
  </si>
  <si>
    <t>Apr-08-2023</t>
  </si>
  <si>
    <t>Apr-09-2023</t>
  </si>
  <si>
    <t>Apr-10-2023</t>
  </si>
  <si>
    <t>Apr-11-2023</t>
  </si>
  <si>
    <t>Apr-12-2023</t>
  </si>
  <si>
    <t>Apr-13-2023</t>
  </si>
  <si>
    <t>Apr-14-2023</t>
  </si>
  <si>
    <t>Apr-15-2023</t>
  </si>
  <si>
    <t>Apr-16-2023</t>
  </si>
  <si>
    <t>Apr-17-2023</t>
  </si>
  <si>
    <t>Apr-18-2023</t>
  </si>
  <si>
    <t>Apr-19-2023</t>
  </si>
  <si>
    <t>Apr-20-2023</t>
  </si>
  <si>
    <t>Apr-21-2023</t>
  </si>
  <si>
    <t>Apr-22-2023</t>
  </si>
  <si>
    <t>Apr-23-2023</t>
  </si>
  <si>
    <t>Apr-24-2023</t>
  </si>
  <si>
    <t>Apr-25-2023</t>
  </si>
  <si>
    <t>Apr-26-2023</t>
  </si>
  <si>
    <t>Apr-27-2023</t>
  </si>
  <si>
    <t>Apr-28-2023</t>
  </si>
  <si>
    <t>Apr-29-2023</t>
  </si>
  <si>
    <t>Apr-30-2023</t>
  </si>
  <si>
    <t>May-01-2023</t>
  </si>
  <si>
    <t>May-02-2023</t>
  </si>
  <si>
    <t>May-03-2023</t>
  </si>
  <si>
    <t>May-04-2023</t>
  </si>
  <si>
    <t>May-05-2023</t>
  </si>
  <si>
    <t>May-06-2023</t>
  </si>
  <si>
    <t>May-07-2023</t>
  </si>
  <si>
    <t>May-08-2023</t>
  </si>
  <si>
    <t>May-09-2023</t>
  </si>
  <si>
    <t>May-10-2023</t>
  </si>
  <si>
    <t>May-11-2023</t>
  </si>
  <si>
    <t>May-12-2023</t>
  </si>
  <si>
    <t>May-13-2023</t>
  </si>
  <si>
    <t>May-14-2023</t>
  </si>
  <si>
    <t>May-15-2023</t>
  </si>
  <si>
    <t>May-16-2023</t>
  </si>
  <si>
    <t>May-17-2023</t>
  </si>
  <si>
    <t>May-18-2023</t>
  </si>
  <si>
    <t>May-19-2023</t>
  </si>
  <si>
    <t>May-20-2023</t>
  </si>
  <si>
    <t>May-21-2023</t>
  </si>
  <si>
    <t>May-22-2023</t>
  </si>
  <si>
    <t>May-23-2023</t>
  </si>
  <si>
    <t>May-24-2023</t>
  </si>
  <si>
    <t>May-25-2023</t>
  </si>
  <si>
    <t>May-26-2023</t>
  </si>
  <si>
    <t>May-27-2023</t>
  </si>
  <si>
    <t>May-28-2023</t>
  </si>
  <si>
    <t>May-29-2023</t>
  </si>
  <si>
    <t>May-30-2023</t>
  </si>
  <si>
    <t>May-31-2023</t>
  </si>
  <si>
    <t>Jun-01-2023</t>
  </si>
  <si>
    <t>Jun-02-2023</t>
  </si>
  <si>
    <t>Jun-03-2023</t>
  </si>
  <si>
    <t>Jun-04-2023</t>
  </si>
  <si>
    <t>Jun-05-2023</t>
  </si>
  <si>
    <t>Jun-06-2023</t>
  </si>
  <si>
    <t>Jun-07-2023</t>
  </si>
  <si>
    <t>Jun-08-2023</t>
  </si>
  <si>
    <t>Jun-09-2023</t>
  </si>
  <si>
    <t>Jun-10-2023</t>
  </si>
  <si>
    <t>Jun-11-2023</t>
  </si>
  <si>
    <t>Jun-12-2023</t>
  </si>
  <si>
    <t>Jun-13-2023</t>
  </si>
  <si>
    <t>Jun-14-2023</t>
  </si>
  <si>
    <t>Jun-15-2023</t>
  </si>
  <si>
    <t>Jun-16-2023</t>
  </si>
  <si>
    <t>Jun-17-2023</t>
  </si>
  <si>
    <t>Jun-18-2023</t>
  </si>
  <si>
    <t>Jun-19-2023</t>
  </si>
  <si>
    <t>Jun-20-2023</t>
  </si>
  <si>
    <t>Jun-21-2023</t>
  </si>
  <si>
    <t>Jun-22-2023</t>
  </si>
  <si>
    <t>Jun-23-2023</t>
  </si>
  <si>
    <t>Jun-24-2023</t>
  </si>
  <si>
    <t>Jun-25-2023</t>
  </si>
  <si>
    <t>Jun-26-2023</t>
  </si>
  <si>
    <t>Jun-27-2023</t>
  </si>
  <si>
    <t>Jun-28-2023</t>
  </si>
  <si>
    <t>Jun-29-2023</t>
  </si>
  <si>
    <t>Jun-30-2023</t>
  </si>
  <si>
    <t>Jul-01-2023</t>
  </si>
  <si>
    <t>Jul-02-2023</t>
  </si>
  <si>
    <t>Jul-03-2023</t>
  </si>
  <si>
    <t>Jul-04-2023</t>
  </si>
  <si>
    <t>Jul-05-2023</t>
  </si>
  <si>
    <t>Jul-06-2023</t>
  </si>
  <si>
    <t>Jul-07-2023</t>
  </si>
  <si>
    <t>Jul-08-2023</t>
  </si>
  <si>
    <t>Jul-09-2023</t>
  </si>
  <si>
    <t>Jul-10-2023</t>
  </si>
  <si>
    <t>Jul-11-2023</t>
  </si>
  <si>
    <t>Jul-12-2023</t>
  </si>
  <si>
    <t>Jul-13-2023</t>
  </si>
  <si>
    <t>Jul-14-2023</t>
  </si>
  <si>
    <t>Jul-15-2023</t>
  </si>
  <si>
    <t>Jul-16-2023</t>
  </si>
  <si>
    <t>Jul-17-2023</t>
  </si>
  <si>
    <t>Jul-18-2023</t>
  </si>
  <si>
    <t>Jul-19-2023</t>
  </si>
  <si>
    <t>Jul-20-2023</t>
  </si>
  <si>
    <t>Jul-21-2023</t>
  </si>
  <si>
    <t>Jul-22-2023</t>
  </si>
  <si>
    <t>Jul-23-2023</t>
  </si>
  <si>
    <t>Jul-24-2023</t>
  </si>
  <si>
    <t>Jul-25-2023</t>
  </si>
  <si>
    <t>Jul-26-2023</t>
  </si>
  <si>
    <t>Jul-27-2023</t>
  </si>
  <si>
    <t>Jul-28-2023</t>
  </si>
  <si>
    <t>Jul-29-2023</t>
  </si>
  <si>
    <t>Jul-30-2023</t>
  </si>
  <si>
    <t>Jul-31-2023</t>
  </si>
  <si>
    <t>Aug-01-2023</t>
  </si>
  <si>
    <t>Aug-02-2023</t>
  </si>
  <si>
    <t>Aug-03-2023</t>
  </si>
  <si>
    <t>Aug-04-2023</t>
  </si>
  <si>
    <t>Aug-05-2023</t>
  </si>
  <si>
    <t>Aug-06-2023</t>
  </si>
  <si>
    <t>Aug-07-2023</t>
  </si>
  <si>
    <t>Aug-08-2023</t>
  </si>
  <si>
    <t>Aug-09-2023</t>
  </si>
  <si>
    <t>Aug-10-2023</t>
  </si>
  <si>
    <t>Aug-11-2023</t>
  </si>
  <si>
    <t>Aug-12-2023</t>
  </si>
  <si>
    <t>Aug-13-2023</t>
  </si>
  <si>
    <t>Aug-14-2023</t>
  </si>
  <si>
    <t>Aug-15-2023</t>
  </si>
  <si>
    <t>Aug-16-2023</t>
  </si>
  <si>
    <t>Aug-17-2023</t>
  </si>
  <si>
    <t>Aug-18-2023</t>
  </si>
  <si>
    <t>Aug-19-2023</t>
  </si>
  <si>
    <t>Aug-20-2023</t>
  </si>
  <si>
    <t>Aug-21-2023</t>
  </si>
  <si>
    <t>Aug-22-2023</t>
  </si>
  <si>
    <t>Aug-23-2023</t>
  </si>
  <si>
    <t>Aug-24-2023</t>
  </si>
  <si>
    <t>Aug-25-2023</t>
  </si>
  <si>
    <t>Aug-26-2023</t>
  </si>
  <si>
    <t>Aug-27-2023</t>
  </si>
  <si>
    <t>Aug-28-2023</t>
  </si>
  <si>
    <t>Aug-29-2023</t>
  </si>
  <si>
    <t>Aug-30-2023</t>
  </si>
  <si>
    <t>Aug-31-2023</t>
  </si>
  <si>
    <t>Sep-01-2023</t>
  </si>
  <si>
    <t>Sep-02-2023</t>
  </si>
  <si>
    <t>Sep-03-2023</t>
  </si>
  <si>
    <t>Sep-04-2023</t>
  </si>
  <si>
    <t>Sep-05-2023</t>
  </si>
  <si>
    <t>Sep-06-2023</t>
  </si>
  <si>
    <t>Sep-07-2023</t>
  </si>
  <si>
    <t>Sep-08-2023</t>
  </si>
  <si>
    <t>Sep-09-2023</t>
  </si>
  <si>
    <t>Sep-10-2023</t>
  </si>
  <si>
    <t>Sep-11-2023</t>
  </si>
  <si>
    <t>Sep-12-2023</t>
  </si>
  <si>
    <t>Sep-13-2023</t>
  </si>
  <si>
    <t>Sep-14-2023</t>
  </si>
  <si>
    <t>Sep-15-2023</t>
  </si>
  <si>
    <t>Sep-16-2023</t>
  </si>
  <si>
    <t>Sep-17-2023</t>
  </si>
  <si>
    <t>Sep-18-2023</t>
  </si>
  <si>
    <t>Sep-19-2023</t>
  </si>
  <si>
    <t>Sep-20-2023</t>
  </si>
  <si>
    <t>Sep-21-2023</t>
  </si>
  <si>
    <t>Sep-22-2023</t>
  </si>
  <si>
    <t>Sep-23-2023</t>
  </si>
  <si>
    <t>Sep-24-2023</t>
  </si>
  <si>
    <t>Sep-25-2023</t>
  </si>
  <si>
    <t>Sep-26-2023</t>
  </si>
  <si>
    <t>Sep-27-2023</t>
  </si>
  <si>
    <t>Sep-28-2023</t>
  </si>
  <si>
    <t>Sep-29-2023</t>
  </si>
  <si>
    <t>Sep-30-2023</t>
  </si>
  <si>
    <t>Oct-01-2023</t>
  </si>
  <si>
    <t>Oct-02-2023</t>
  </si>
  <si>
    <t>Oct-03-2023</t>
  </si>
  <si>
    <t>Oct-04-2023</t>
  </si>
  <si>
    <t>Oct-05-2023</t>
  </si>
  <si>
    <t>Oct-06-2023</t>
  </si>
  <si>
    <t>Oct-07-2023</t>
  </si>
  <si>
    <t>Oct-08-2023</t>
  </si>
  <si>
    <t>Oct-09-2023</t>
  </si>
  <si>
    <t>Oct-10-2023</t>
  </si>
  <si>
    <t>Oct-11-2023</t>
  </si>
  <si>
    <t>Oct-12-2023</t>
  </si>
  <si>
    <t>Oct-13-2023</t>
  </si>
  <si>
    <t>Oct-14-2023</t>
  </si>
  <si>
    <t>Oct-15-2023</t>
  </si>
  <si>
    <t>Oct-16-2023</t>
  </si>
  <si>
    <t>Oct-17-2023</t>
  </si>
  <si>
    <t>Oct-18-2023</t>
  </si>
  <si>
    <t>Oct-19-2023</t>
  </si>
  <si>
    <t>Oct-20-2023</t>
  </si>
  <si>
    <t>Oct-21-2023</t>
  </si>
  <si>
    <t>Oct-22-2023</t>
  </si>
  <si>
    <t>Oct-23-2023</t>
  </si>
  <si>
    <t>Oct-24-2023</t>
  </si>
  <si>
    <t>Oct-25-2023</t>
  </si>
  <si>
    <t>Oct-26-2023</t>
  </si>
  <si>
    <t>Oct-27-2023</t>
  </si>
  <si>
    <t>Oct-28-2023</t>
  </si>
  <si>
    <t>Oct-29-2023</t>
  </si>
  <si>
    <t>Oct-30-2023</t>
  </si>
  <si>
    <t>Oct-31-2023</t>
  </si>
  <si>
    <t>Nov-01-2023</t>
  </si>
  <si>
    <t>Nov-02-2023</t>
  </si>
  <si>
    <t>Nov-03-2023</t>
  </si>
  <si>
    <t>Nov-04-2023</t>
  </si>
  <si>
    <t>Nov-05-2023</t>
  </si>
  <si>
    <t>Nov-06-2023</t>
  </si>
  <si>
    <t>Nov-07-2023</t>
  </si>
  <si>
    <t>Nov-08-2023</t>
  </si>
  <si>
    <t>Nov-09-2023</t>
  </si>
  <si>
    <t>Nov-10-2023</t>
  </si>
  <si>
    <t>Nov-11-2023</t>
  </si>
  <si>
    <t>Nov-12-2023</t>
  </si>
  <si>
    <t>Nov-13-2023</t>
  </si>
  <si>
    <t>Nov-14-2023</t>
  </si>
  <si>
    <t>Nov-15-2023</t>
  </si>
  <si>
    <t>Nov-16-2023</t>
  </si>
  <si>
    <t>Nov-17-2023</t>
  </si>
  <si>
    <t>Nov-18-2023</t>
  </si>
  <si>
    <t>Nov-19-2023</t>
  </si>
  <si>
    <t>Nov-20-2023</t>
  </si>
  <si>
    <t>Nov-21-2023</t>
  </si>
  <si>
    <t>Nov-22-2023</t>
  </si>
  <si>
    <t>Nov-23-2023</t>
  </si>
  <si>
    <t>Nov-24-2023</t>
  </si>
  <si>
    <t>Nov-25-2023</t>
  </si>
  <si>
    <t>Nov-26-2023</t>
  </si>
  <si>
    <t>Nov-27-2023</t>
  </si>
  <si>
    <t>Nov-28-2023</t>
  </si>
  <si>
    <t>Nov-29-2023</t>
  </si>
  <si>
    <t>Nov-30-2023</t>
  </si>
  <si>
    <t>Dec-01-2023</t>
  </si>
  <si>
    <t>Dec-02-2023</t>
  </si>
  <si>
    <t>Dec-03-2023</t>
  </si>
  <si>
    <t>Dec-04-2023</t>
  </si>
  <si>
    <t>Dec-05-2023</t>
  </si>
  <si>
    <t>Dec-06-2023</t>
  </si>
  <si>
    <t>Dec-07-2023</t>
  </si>
  <si>
    <t>Dec-08-2023</t>
  </si>
  <si>
    <t>Dec-09-2023</t>
  </si>
  <si>
    <t>Dec-10-2023</t>
  </si>
  <si>
    <t>Dec-11-2023</t>
  </si>
  <si>
    <t>Dec-12-2023</t>
  </si>
  <si>
    <t>Dec-13-2023</t>
  </si>
  <si>
    <t>Dec-14-2023</t>
  </si>
  <si>
    <t>Dec-15-2023</t>
  </si>
  <si>
    <t>Dec-16-2023</t>
  </si>
  <si>
    <t>Dec-17-2023</t>
  </si>
  <si>
    <t>Dec-18-2023</t>
  </si>
  <si>
    <t>Dec-19-2023</t>
  </si>
  <si>
    <t>Dec-20-2023</t>
  </si>
  <si>
    <t>Dec-21-2023</t>
  </si>
  <si>
    <t>Dec-22-2023</t>
  </si>
  <si>
    <t>Dec-23-2023</t>
  </si>
  <si>
    <t>Dec-24-2023</t>
  </si>
  <si>
    <t>Dec-25-2023</t>
  </si>
  <si>
    <t>Dec-26-2023</t>
  </si>
  <si>
    <t>Dec-27-2023</t>
  </si>
  <si>
    <t>Dec-28-2023</t>
  </si>
  <si>
    <t>Dec-29-2023</t>
  </si>
  <si>
    <t>Dec-30-2023</t>
  </si>
  <si>
    <t>Dec-31-2023</t>
  </si>
  <si>
    <t>Jan-01-2024</t>
  </si>
  <si>
    <t>Jan-02-2024</t>
  </si>
  <si>
    <t>Jan-03-2024</t>
  </si>
  <si>
    <t>Jan-04-2024</t>
  </si>
  <si>
    <t>Jan-05-2024</t>
  </si>
  <si>
    <t>Jan-06-2024</t>
  </si>
  <si>
    <t>Jan-07-2024</t>
  </si>
  <si>
    <t>Jan-08-2024</t>
  </si>
  <si>
    <t>Jan-09-2024</t>
  </si>
  <si>
    <t>Jan-10-2024</t>
  </si>
  <si>
    <t>Jan-11-2024</t>
  </si>
  <si>
    <t>Jan-12-2024</t>
  </si>
  <si>
    <t>Jan-13-2024</t>
  </si>
  <si>
    <t>Jan-14-2024</t>
  </si>
  <si>
    <t>Jan-15-2024</t>
  </si>
  <si>
    <t>Jan-16-2024</t>
  </si>
  <si>
    <t>Jan-17-2024</t>
  </si>
  <si>
    <t>Jan-18-2024</t>
  </si>
  <si>
    <t>Jan-19-2024</t>
  </si>
  <si>
    <t>Jan-20-2024</t>
  </si>
  <si>
    <t>Jan-21-2024</t>
  </si>
  <si>
    <t>Jan-22-2024</t>
  </si>
  <si>
    <t>Jan-23-2024</t>
  </si>
  <si>
    <t>Jan-24-2024</t>
  </si>
  <si>
    <t>Jan-25-2024</t>
  </si>
  <si>
    <t>Jan-26-2024</t>
  </si>
  <si>
    <t>Jan-27-2024</t>
  </si>
  <si>
    <t>Jan-28-2024</t>
  </si>
  <si>
    <t>Jan-29-2024</t>
  </si>
  <si>
    <t>Jan-30-2024</t>
  </si>
  <si>
    <t>Jan-31-2024</t>
  </si>
  <si>
    <t>Feb-01-2024</t>
  </si>
  <si>
    <t>Feb-02-2024</t>
  </si>
  <si>
    <t>Feb-03-2024</t>
  </si>
  <si>
    <t>Feb-04-2024</t>
  </si>
  <si>
    <t>Feb-05-2024</t>
  </si>
  <si>
    <t>Feb-06-2024</t>
  </si>
  <si>
    <t>Feb-07-2024</t>
  </si>
  <si>
    <t>Feb-08-2024</t>
  </si>
  <si>
    <t>Feb-09-2024</t>
  </si>
  <si>
    <t>Feb-10-2024</t>
  </si>
  <si>
    <t>Feb-11-2024</t>
  </si>
  <si>
    <t>Feb-12-2024</t>
  </si>
  <si>
    <t>Feb-13-2024</t>
  </si>
  <si>
    <t>Feb-14-2024</t>
  </si>
  <si>
    <t>Feb-15-2024</t>
  </si>
  <si>
    <t>Feb-16-2024</t>
  </si>
  <si>
    <t>Feb-17-2024</t>
  </si>
  <si>
    <t>Feb-18-2024</t>
  </si>
  <si>
    <t>Feb-19-2024</t>
  </si>
  <si>
    <t>Feb-20-2024</t>
  </si>
  <si>
    <t>Feb-21-2024</t>
  </si>
  <si>
    <t>Feb-22-2024</t>
  </si>
  <si>
    <t>Feb-23-2024</t>
  </si>
  <si>
    <t>Feb-24-2024</t>
  </si>
  <si>
    <t>Feb-25-2024</t>
  </si>
  <si>
    <t>Feb-26-2024</t>
  </si>
  <si>
    <t>Feb-27-2024</t>
  </si>
  <si>
    <t>Feb-28-2024</t>
  </si>
  <si>
    <t>Feb-29-2024</t>
  </si>
  <si>
    <t>Mar-01-2024</t>
  </si>
  <si>
    <t>Mar-02-2024</t>
  </si>
  <si>
    <t>Mar-03-2024</t>
  </si>
  <si>
    <t>Mar-04-2024</t>
  </si>
  <si>
    <t>Mar-05-2024</t>
  </si>
  <si>
    <t>Mar-06-2024</t>
  </si>
  <si>
    <t>Mar-07-2024</t>
  </si>
  <si>
    <t>Mar-08-2024</t>
  </si>
  <si>
    <t>Mar-09-2024</t>
  </si>
  <si>
    <t>Mar-10-2024</t>
  </si>
  <si>
    <t>Mar-11-2024</t>
  </si>
  <si>
    <t>Mar-12-2024</t>
  </si>
  <si>
    <t>Mar-13-2024</t>
  </si>
  <si>
    <t>Mar-14-2024</t>
  </si>
  <si>
    <t>Mar-15-2024</t>
  </si>
  <si>
    <t>Mar-16-2024</t>
  </si>
  <si>
    <t>Mar-17-2024</t>
  </si>
  <si>
    <t>Mar-18-2024</t>
  </si>
  <si>
    <t>Mar-19-2024</t>
  </si>
  <si>
    <t>Mar-20-2024</t>
  </si>
  <si>
    <t>Mar-21-2024</t>
  </si>
  <si>
    <t>Mar-22-2024</t>
  </si>
  <si>
    <t>Mar-23-2024</t>
  </si>
  <si>
    <t>Mar-24-2024</t>
  </si>
  <si>
    <t>Mar-25-2024</t>
  </si>
  <si>
    <t>Mar-26-2024</t>
  </si>
  <si>
    <t>Mar-27-2024</t>
  </si>
  <si>
    <t>Mar-28-2024</t>
  </si>
  <si>
    <t>Mar-29-2024</t>
  </si>
  <si>
    <t>Mar-30-2024</t>
  </si>
  <si>
    <t>Mar-31-2024</t>
  </si>
  <si>
    <t>Apr-01-2024</t>
  </si>
  <si>
    <t>Apr-02-2024</t>
  </si>
  <si>
    <t>Apr-03-2024</t>
  </si>
  <si>
    <t>Apr-04-2024</t>
  </si>
  <si>
    <t>Apr-05-2024</t>
  </si>
  <si>
    <t>Apr-06-2024</t>
  </si>
  <si>
    <t>Apr-07-2024</t>
  </si>
  <si>
    <t>Apr-08-2024</t>
  </si>
  <si>
    <t>Apr-09-2024</t>
  </si>
  <si>
    <t>Apr-10-2024</t>
  </si>
  <si>
    <t>Apr-11-2024</t>
  </si>
  <si>
    <t>Apr-12-2024</t>
  </si>
  <si>
    <t>Apr-13-2024</t>
  </si>
  <si>
    <t>Apr-14-2024</t>
  </si>
  <si>
    <t>Apr-15-2024</t>
  </si>
  <si>
    <t>Apr-16-2024</t>
  </si>
  <si>
    <t>Apr-17-2024</t>
  </si>
  <si>
    <t>Apr-18-2024</t>
  </si>
  <si>
    <t>Apr-19-2024</t>
  </si>
  <si>
    <t>Apr-20-2024</t>
  </si>
  <si>
    <t>Apr-21-2024</t>
  </si>
  <si>
    <t>Apr-22-2024</t>
  </si>
  <si>
    <t>Apr-23-2024</t>
  </si>
  <si>
    <t>Apr-24-2024</t>
  </si>
  <si>
    <t>Apr-25-2024</t>
  </si>
  <si>
    <t>Apr-26-2024</t>
  </si>
  <si>
    <t>Apr-27-2024</t>
  </si>
  <si>
    <t>Apr-28-2024</t>
  </si>
  <si>
    <t>Apr-29-2024</t>
  </si>
  <si>
    <t>Apr-30-2024</t>
  </si>
  <si>
    <t>May-01-2024</t>
  </si>
  <si>
    <t>May-02-2024</t>
  </si>
  <si>
    <t>May-03-2024</t>
  </si>
  <si>
    <t>May-04-2024</t>
  </si>
  <si>
    <t>May-05-2024</t>
  </si>
  <si>
    <t>May-06-2024</t>
  </si>
  <si>
    <t>May-07-2024</t>
  </si>
  <si>
    <t>May-08-2024</t>
  </si>
  <si>
    <t>May-09-2024</t>
  </si>
  <si>
    <t>May-10-2024</t>
  </si>
  <si>
    <t>May-11-2024</t>
  </si>
  <si>
    <t>May-12-2024</t>
  </si>
  <si>
    <t>May-13-2024</t>
  </si>
  <si>
    <t>May-14-2024</t>
  </si>
  <si>
    <t>May-15-2024</t>
  </si>
  <si>
    <t>May-16-2024</t>
  </si>
  <si>
    <t>May-17-2024</t>
  </si>
  <si>
    <t>May-18-2024</t>
  </si>
  <si>
    <t>May-19-2024</t>
  </si>
  <si>
    <t>May-20-2024</t>
  </si>
  <si>
    <t>May-21-2024</t>
  </si>
  <si>
    <t>May-22-2024</t>
  </si>
  <si>
    <t>May-23-2024</t>
  </si>
  <si>
    <t>May-24-2024</t>
  </si>
  <si>
    <t>May-25-2024</t>
  </si>
  <si>
    <t>May-26-2024</t>
  </si>
  <si>
    <t>May-27-2024</t>
  </si>
  <si>
    <t>May-28-2024</t>
  </si>
  <si>
    <t>May-29-2024</t>
  </si>
  <si>
    <t>May-30-2024</t>
  </si>
  <si>
    <t>May-31-2024</t>
  </si>
  <si>
    <t>Jun-01-2024</t>
  </si>
  <si>
    <t>Jun-02-2024</t>
  </si>
  <si>
    <t>Jun-03-2024</t>
  </si>
  <si>
    <t>Jun-04-2024</t>
  </si>
  <si>
    <t>Jun-05-2024</t>
  </si>
  <si>
    <t>Jun-06-2024</t>
  </si>
  <si>
    <t>Jun-07-2024</t>
  </si>
  <si>
    <t>Jun-08-2024</t>
  </si>
  <si>
    <t>Jun-09-2024</t>
  </si>
  <si>
    <t>Jun-10-2024</t>
  </si>
  <si>
    <t>Jun-11-2024</t>
  </si>
  <si>
    <t>Jun-12-2024</t>
  </si>
  <si>
    <t>Jun-13-2024</t>
  </si>
  <si>
    <t>Jun-14-2024</t>
  </si>
  <si>
    <t>Jun-15-2024</t>
  </si>
  <si>
    <t>Jun-16-2024</t>
  </si>
  <si>
    <t>Jun-17-2024</t>
  </si>
  <si>
    <t>Jun-18-2024</t>
  </si>
  <si>
    <t>Jun-19-2024</t>
  </si>
  <si>
    <t>Jun-20-2024</t>
  </si>
  <si>
    <t>Jun-21-2024</t>
  </si>
  <si>
    <t>Jun-22-2024</t>
  </si>
  <si>
    <t>Jun-23-2024</t>
  </si>
  <si>
    <t>Jun-24-2024</t>
  </si>
  <si>
    <t>Jun-25-2024</t>
  </si>
  <si>
    <t>Jun-26-2024</t>
  </si>
  <si>
    <t>Jun-27-2024</t>
  </si>
  <si>
    <t>Jun-28-2024</t>
  </si>
  <si>
    <t>Jun-29-2024</t>
  </si>
  <si>
    <t>Jun-30-2024</t>
  </si>
  <si>
    <t>Jul-01-2024</t>
  </si>
  <si>
    <t>Jul-02-2024</t>
  </si>
  <si>
    <t>Jul-03-2024</t>
  </si>
  <si>
    <t>Jul-04-2024</t>
  </si>
  <si>
    <t>Jul-05-2024</t>
  </si>
  <si>
    <t>Jul-06-2024</t>
  </si>
  <si>
    <t>Jul-07-2024</t>
  </si>
  <si>
    <t>Jul-08-2024</t>
  </si>
  <si>
    <t>Jul-09-2024</t>
  </si>
  <si>
    <t>Jul-10-2024</t>
  </si>
  <si>
    <t>Jul-11-2024</t>
  </si>
  <si>
    <t>Jul-12-2024</t>
  </si>
  <si>
    <t>Jul-13-2024</t>
  </si>
  <si>
    <t>Jul-14-2024</t>
  </si>
  <si>
    <t>Jul-15-2024</t>
  </si>
  <si>
    <t>Jul-16-2024</t>
  </si>
  <si>
    <t>Jul-17-2024</t>
  </si>
  <si>
    <t>Jul-18-2024</t>
  </si>
  <si>
    <t>Jul-19-2024</t>
  </si>
  <si>
    <t>Jul-20-2024</t>
  </si>
  <si>
    <t>Jul-21-2024</t>
  </si>
  <si>
    <t>Jul-22-2024</t>
  </si>
  <si>
    <t>Jul-23-2024</t>
  </si>
  <si>
    <t>Jul-24-2024</t>
  </si>
  <si>
    <t>Jul-25-2024</t>
  </si>
  <si>
    <t>Jul-26-2024</t>
  </si>
  <si>
    <t>Jul-27-2024</t>
  </si>
  <si>
    <t>Jul-28-2024</t>
  </si>
  <si>
    <t>Jul-29-2024</t>
  </si>
  <si>
    <t>Jul-30-2024</t>
  </si>
  <si>
    <t>Jul-31-2024</t>
  </si>
  <si>
    <t>Aug-01-2024</t>
  </si>
  <si>
    <t>Aug-02-2024</t>
  </si>
  <si>
    <t>Aug-03-2024</t>
  </si>
  <si>
    <t>Aug-04-2024</t>
  </si>
  <si>
    <t>Aug-05-2024</t>
  </si>
  <si>
    <t>Aug-06-2024</t>
  </si>
  <si>
    <t>Aug-07-2024</t>
  </si>
  <si>
    <t>Aug-08-2024</t>
  </si>
  <si>
    <t>Aug-09-2024</t>
  </si>
  <si>
    <t>Aug-10-2024</t>
  </si>
  <si>
    <t>Aug-11-2024</t>
  </si>
  <si>
    <t>Aug-12-2024</t>
  </si>
  <si>
    <t>Aug-13-2024</t>
  </si>
  <si>
    <t>Aug-14-2024</t>
  </si>
  <si>
    <t>Aug-15-2024</t>
  </si>
  <si>
    <t>Aug-16-2024</t>
  </si>
  <si>
    <t>Aug-17-2024</t>
  </si>
  <si>
    <t>Aug-18-2024</t>
  </si>
  <si>
    <t>Aug-19-2024</t>
  </si>
  <si>
    <t>Aug-20-2024</t>
  </si>
  <si>
    <t>Aug-21-2024</t>
  </si>
  <si>
    <t>Aug-22-2024</t>
  </si>
  <si>
    <t>Aug-23-2024</t>
  </si>
  <si>
    <t>Aug-24-2024</t>
  </si>
  <si>
    <t>Aug-25-2024</t>
  </si>
  <si>
    <t>Aug-26-2024</t>
  </si>
  <si>
    <t>Aug-27-2024</t>
  </si>
  <si>
    <t>Aug-28-2024</t>
  </si>
  <si>
    <t>Aug-29-2024</t>
  </si>
  <si>
    <t>Aug-30-2024</t>
  </si>
  <si>
    <t>Aug-31-2024</t>
  </si>
  <si>
    <t>Sep-01-2024</t>
  </si>
  <si>
    <t>Sep-02-2024</t>
  </si>
  <si>
    <t>Sep-03-2024</t>
  </si>
  <si>
    <t>Sep-04-2024</t>
  </si>
  <si>
    <t>Sep-05-2024</t>
  </si>
  <si>
    <t>Sep-06-2024</t>
  </si>
  <si>
    <t>Sep-07-2024</t>
  </si>
  <si>
    <t>Sep-08-2024</t>
  </si>
  <si>
    <t>Sep-09-2024</t>
  </si>
  <si>
    <t>Sep-10-2024</t>
  </si>
  <si>
    <t>Sep-11-2024</t>
  </si>
  <si>
    <t>Sep-12-2024</t>
  </si>
  <si>
    <t>Sep-13-2024</t>
  </si>
  <si>
    <t>Sep-14-2024</t>
  </si>
  <si>
    <t>Sep-15-2024</t>
  </si>
  <si>
    <t>Sep-16-2024</t>
  </si>
  <si>
    <t>Sep-17-2024</t>
  </si>
  <si>
    <t>Sep-18-2024</t>
  </si>
  <si>
    <t>Sep-19-2024</t>
  </si>
  <si>
    <t>Sep-20-2024</t>
  </si>
  <si>
    <t>Sep-21-2024</t>
  </si>
  <si>
    <t>Sep-22-2024</t>
  </si>
  <si>
    <t>Sep-23-2024</t>
  </si>
  <si>
    <t>Sep-24-2024</t>
  </si>
  <si>
    <t>Sep-25-2024</t>
  </si>
  <si>
    <t>Sep-26-2024</t>
  </si>
  <si>
    <t>Sep-27-2024</t>
  </si>
  <si>
    <t>Sep-28-2024</t>
  </si>
  <si>
    <t>Sep-29-2024</t>
  </si>
  <si>
    <t>Sep-30-2024</t>
  </si>
  <si>
    <t>Oct-01-2024</t>
  </si>
  <si>
    <t>Oct-02-2024</t>
  </si>
  <si>
    <t>Oct-03-2024</t>
  </si>
  <si>
    <t>Oct-04-2024</t>
  </si>
  <si>
    <t>Oct-05-2024</t>
  </si>
  <si>
    <t>Oct-06-2024</t>
  </si>
  <si>
    <t>Oct-07-2024</t>
  </si>
  <si>
    <t>Oct-08-2024</t>
  </si>
  <si>
    <t>Oct-09-2024</t>
  </si>
  <si>
    <t>Oct-10-2024</t>
  </si>
  <si>
    <t>Oct-11-2024</t>
  </si>
  <si>
    <t>Oct-12-2024</t>
  </si>
  <si>
    <t>Oct-13-2024</t>
  </si>
  <si>
    <t>Oct-14-2024</t>
  </si>
  <si>
    <t>Oct-15-2024</t>
  </si>
  <si>
    <t>Oct-16-2024</t>
  </si>
  <si>
    <t>Oct-17-2024</t>
  </si>
  <si>
    <t>Oct-18-2024</t>
  </si>
  <si>
    <t>Oct-19-2024</t>
  </si>
  <si>
    <t>Oct-20-2024</t>
  </si>
  <si>
    <t>Oct-21-2024</t>
  </si>
  <si>
    <t>Oct-22-2024</t>
  </si>
  <si>
    <t>Oct-23-2024</t>
  </si>
  <si>
    <t>Oct-24-2024</t>
  </si>
  <si>
    <t>Oct-25-2024</t>
  </si>
  <si>
    <t>Oct-26-2024</t>
  </si>
  <si>
    <t>Oct-27-2024</t>
  </si>
  <si>
    <t>Oct-28-2024</t>
  </si>
  <si>
    <t>Oct-29-2024</t>
  </si>
  <si>
    <t>Oct-30-2024</t>
  </si>
  <si>
    <t>Oct-31-2024</t>
  </si>
  <si>
    <t>Nov-01-2024</t>
  </si>
  <si>
    <t>Nov-02-2024</t>
  </si>
  <si>
    <t>Nov-03-2024</t>
  </si>
  <si>
    <t>Nov-04-2024</t>
  </si>
  <si>
    <t>Nov-05-2024</t>
  </si>
  <si>
    <t>Nov-06-2024</t>
  </si>
  <si>
    <t>Nov-07-2024</t>
  </si>
  <si>
    <t>Nov-08-2024</t>
  </si>
  <si>
    <t>Nov-09-2024</t>
  </si>
  <si>
    <t>Nov-10-2024</t>
  </si>
  <si>
    <t>Nov-11-2024</t>
  </si>
  <si>
    <t>Nov-12-2024</t>
  </si>
  <si>
    <t>Nov-13-2024</t>
  </si>
  <si>
    <t>Nov-14-2024</t>
  </si>
  <si>
    <t>Nov-15-2024</t>
  </si>
  <si>
    <t>Nov-16-2024</t>
  </si>
  <si>
    <t>Nov-17-2024</t>
  </si>
  <si>
    <t>Nov-18-2024</t>
  </si>
  <si>
    <t>Nov-19-2024</t>
  </si>
  <si>
    <t>Nov-20-2024</t>
  </si>
  <si>
    <t>Nov-21-2024</t>
  </si>
  <si>
    <t>Nov-22-2024</t>
  </si>
  <si>
    <t>Nov-23-2024</t>
  </si>
  <si>
    <t>Nov-24-2024</t>
  </si>
  <si>
    <t>Nov-25-2024</t>
  </si>
  <si>
    <t>Nov-26-2024</t>
  </si>
  <si>
    <t>Nov-27-2024</t>
  </si>
  <si>
    <t>Nov-28-2024</t>
  </si>
  <si>
    <t>Nov-29-2024</t>
  </si>
  <si>
    <t>Nov-30-2024</t>
  </si>
  <si>
    <t>Dec-01-2024</t>
  </si>
  <si>
    <t>Dec-02-2024</t>
  </si>
  <si>
    <t>Dec-03-2024</t>
  </si>
  <si>
    <t>Dec-04-2024</t>
  </si>
  <si>
    <t>Dec-05-2024</t>
  </si>
  <si>
    <t>Dec-06-2024</t>
  </si>
  <si>
    <t>Dec-07-2024</t>
  </si>
  <si>
    <t>Dec-08-2024</t>
  </si>
  <si>
    <t>Dec-09-2024</t>
  </si>
  <si>
    <t>Dec-10-2024</t>
  </si>
  <si>
    <t>Dec-11-2024</t>
  </si>
  <si>
    <t>Dec-12-2024</t>
  </si>
  <si>
    <t>Dec-13-2024</t>
  </si>
  <si>
    <t>Dec-14-2024</t>
  </si>
  <si>
    <t>Dec-15-2024</t>
  </si>
  <si>
    <t>Dec-16-2024</t>
  </si>
  <si>
    <t>Dec-17-2024</t>
  </si>
  <si>
    <t>Dec-18-2024</t>
  </si>
  <si>
    <t>Dec-19-2024</t>
  </si>
  <si>
    <t>Dec-20-2024</t>
  </si>
  <si>
    <t>Dec-21-2024</t>
  </si>
  <si>
    <t>Dec-22-2024</t>
  </si>
  <si>
    <t>Dec-23-2024</t>
  </si>
  <si>
    <t>Dec-24-2024</t>
  </si>
  <si>
    <t>Dec-25-2024</t>
  </si>
  <si>
    <t>Dec-26-2024</t>
  </si>
  <si>
    <t>Dec-27-2024</t>
  </si>
  <si>
    <t>Dec-28-2024</t>
  </si>
  <si>
    <t>Dec-29-2024</t>
  </si>
  <si>
    <t>Dec-30-2024</t>
  </si>
  <si>
    <t>Dec-31-2024</t>
  </si>
  <si>
    <t>Jan-01-2025</t>
  </si>
  <si>
    <t>Jan-02-2025</t>
  </si>
  <si>
    <t>Jan-03-2025</t>
  </si>
  <si>
    <t>Jan-04-2025</t>
  </si>
  <si>
    <t>Jan-05-2025</t>
  </si>
  <si>
    <t>Jan-06-2025</t>
  </si>
  <si>
    <t>Jan-07-2025</t>
  </si>
  <si>
    <t>Jan-08-2025</t>
  </si>
  <si>
    <t>Jan-09-2025</t>
  </si>
  <si>
    <t>Jan-10-2025</t>
  </si>
  <si>
    <t>Jan-11-2025</t>
  </si>
  <si>
    <t>Jan-12-2025</t>
  </si>
  <si>
    <t>Jan-13-2025</t>
  </si>
  <si>
    <t>Jan-14-2025</t>
  </si>
  <si>
    <t>Jan-15-2025</t>
  </si>
  <si>
    <t>Jan-16-2025</t>
  </si>
  <si>
    <t>Jan-17-2025</t>
  </si>
  <si>
    <t>Jan-18-2025</t>
  </si>
  <si>
    <t>Jan-19-2025</t>
  </si>
  <si>
    <t>Jan-20-2025</t>
  </si>
  <si>
    <t>Jan-21-2025</t>
  </si>
  <si>
    <t>Jan-22-2025</t>
  </si>
  <si>
    <t>Jan-23-2025</t>
  </si>
  <si>
    <t>Jan-24-2025</t>
  </si>
  <si>
    <t>Jan-25-2025</t>
  </si>
  <si>
    <t>Jan-26-2025</t>
  </si>
  <si>
    <t>Jan-27-2025</t>
  </si>
  <si>
    <t>Jan-28-2025</t>
  </si>
  <si>
    <t>Jan-29-2025</t>
  </si>
  <si>
    <t>Jan-30-2025</t>
  </si>
  <si>
    <t>Jan-31-2025</t>
  </si>
  <si>
    <t>Feb-01-2025</t>
  </si>
  <si>
    <t>Feb-02-2025</t>
  </si>
  <si>
    <t>Feb-03-2025</t>
  </si>
  <si>
    <t>Feb-04-2025</t>
  </si>
  <si>
    <t>Feb-05-2025</t>
  </si>
  <si>
    <t>Feb-06-2025</t>
  </si>
  <si>
    <t>Feb-07-2025</t>
  </si>
  <si>
    <t>Feb-08-2025</t>
  </si>
  <si>
    <t>Feb-09-2025</t>
  </si>
  <si>
    <t>Feb-10-2025</t>
  </si>
  <si>
    <t>Feb-11-2025</t>
  </si>
  <si>
    <t>Feb-12-2025</t>
  </si>
  <si>
    <t>Feb-13-2025</t>
  </si>
  <si>
    <t>Feb-14-2025</t>
  </si>
  <si>
    <t>Feb-15-2025</t>
  </si>
  <si>
    <t>Feb-16-2025</t>
  </si>
  <si>
    <t>Feb-17-2025</t>
  </si>
  <si>
    <t>Feb-18-2025</t>
  </si>
  <si>
    <t>Feb-19-2025</t>
  </si>
  <si>
    <t>Feb-20-2025</t>
  </si>
  <si>
    <t>Feb-21-2025</t>
  </si>
  <si>
    <t>Feb-22-2025</t>
  </si>
  <si>
    <t>Feb-23-2025</t>
  </si>
  <si>
    <t>Feb-24-2025</t>
  </si>
  <si>
    <t>Feb-25-2025</t>
  </si>
  <si>
    <t>Feb-26-2025</t>
  </si>
  <si>
    <t>Feb-27-2025</t>
  </si>
  <si>
    <t>Feb-28-2025</t>
  </si>
  <si>
    <t>Mar-01-2025</t>
  </si>
  <si>
    <t>Mar-02-2025</t>
  </si>
  <si>
    <t>Mar-03-2025</t>
  </si>
  <si>
    <t>Mar-04-2025</t>
  </si>
  <si>
    <t>Mar-05-2025</t>
  </si>
  <si>
    <t>Mar-06-2025</t>
  </si>
  <si>
    <t>Mar-07-2025</t>
  </si>
  <si>
    <t>Mar-08-2025</t>
  </si>
  <si>
    <t>Mar-09-2025</t>
  </si>
  <si>
    <t>Mar-10-2025</t>
  </si>
  <si>
    <t>Mar-11-2025</t>
  </si>
  <si>
    <t>Mar-12-2025</t>
  </si>
  <si>
    <t>Mar-13-2025</t>
  </si>
  <si>
    <t>Mar-14-2025</t>
  </si>
  <si>
    <t>Mar-15-2025</t>
  </si>
  <si>
    <t>Mar-16-2025</t>
  </si>
  <si>
    <t>Mar-17-2025</t>
  </si>
  <si>
    <t>Mar-18-2025</t>
  </si>
  <si>
    <t>Mar-19-2025</t>
  </si>
  <si>
    <t>Mar-20-2025</t>
  </si>
  <si>
    <t>Mar-21-2025</t>
  </si>
  <si>
    <t>Mar-22-2025</t>
  </si>
  <si>
    <t>Mar-23-2025</t>
  </si>
  <si>
    <t>Mar-24-2025</t>
  </si>
  <si>
    <t>Mar-25-2025</t>
  </si>
  <si>
    <t>Mar-26-2025</t>
  </si>
  <si>
    <t>Mar-27-2025</t>
  </si>
  <si>
    <t>Mar-28-2025</t>
  </si>
  <si>
    <t>Mar-29-2025</t>
  </si>
  <si>
    <t>Mar-30-2025</t>
  </si>
  <si>
    <t>Mar-31-2025</t>
  </si>
  <si>
    <t>Apr-01-2025</t>
  </si>
  <si>
    <t>Apr-02-2025</t>
  </si>
  <si>
    <t>Apr-03-2025</t>
  </si>
  <si>
    <t>Apr-04-2025</t>
  </si>
  <si>
    <t>Apr-05-2025</t>
  </si>
  <si>
    <t>Apr-06-2025</t>
  </si>
  <si>
    <t>Apr-07-2025</t>
  </si>
  <si>
    <t>Apr-08-2025</t>
  </si>
  <si>
    <t>Apr-09-2025</t>
  </si>
  <si>
    <t>Apr-10-2025</t>
  </si>
  <si>
    <t>Apr-11-2025</t>
  </si>
  <si>
    <t>Apr-12-2025</t>
  </si>
  <si>
    <t>Apr-13-2025</t>
  </si>
  <si>
    <t>Apr-14-2025</t>
  </si>
  <si>
    <t>Apr-15-2025</t>
  </si>
  <si>
    <t>Apr-16-2025</t>
  </si>
  <si>
    <t>Apr-17-2025</t>
  </si>
  <si>
    <t>Apr-18-2025</t>
  </si>
  <si>
    <t>Apr-19-2025</t>
  </si>
  <si>
    <t>Apr-20-2025</t>
  </si>
  <si>
    <t>Apr-21-2025</t>
  </si>
  <si>
    <t>Apr-22-2025</t>
  </si>
  <si>
    <t>Apr-23-2025</t>
  </si>
  <si>
    <t>Apr-24-2025</t>
  </si>
  <si>
    <t>Apr-25-2025</t>
  </si>
  <si>
    <t>Apr-26-2025</t>
  </si>
  <si>
    <t>Apr-27-2025</t>
  </si>
  <si>
    <t>Apr-28-2025</t>
  </si>
  <si>
    <t>Apr-29-2025</t>
  </si>
  <si>
    <t>Apr-30-2025</t>
  </si>
  <si>
    <t>May-01-2025</t>
  </si>
  <si>
    <t>May-02-2025</t>
  </si>
  <si>
    <t>May-03-2025</t>
  </si>
  <si>
    <t>May-04-2025</t>
  </si>
  <si>
    <t>May-05-2025</t>
  </si>
  <si>
    <t>May-06-2025</t>
  </si>
  <si>
    <t>May-07-2025</t>
  </si>
  <si>
    <t>May-08-2025</t>
  </si>
  <si>
    <t>May-09-2025</t>
  </si>
  <si>
    <t>May-10-2025</t>
  </si>
  <si>
    <t>May-11-2025</t>
  </si>
  <si>
    <t>May-12-2025</t>
  </si>
  <si>
    <t>May-13-2025</t>
  </si>
  <si>
    <t>May-14-2025</t>
  </si>
  <si>
    <t>May-15-2025</t>
  </si>
  <si>
    <t>May-16-2025</t>
  </si>
  <si>
    <t>May-17-2025</t>
  </si>
  <si>
    <t>May-18-2025</t>
  </si>
  <si>
    <t>May-19-2025</t>
  </si>
  <si>
    <t>May-20-2025</t>
  </si>
  <si>
    <t>May-21-2025</t>
  </si>
  <si>
    <t>May-22-2025</t>
  </si>
  <si>
    <t>May-23-2025</t>
  </si>
  <si>
    <t>May-24-2025</t>
  </si>
  <si>
    <t>May-25-2025</t>
  </si>
  <si>
    <t>May-26-2025</t>
  </si>
  <si>
    <t>May-27-2025</t>
  </si>
  <si>
    <t>May-28-2025</t>
  </si>
  <si>
    <t>May-29-2025</t>
  </si>
  <si>
    <t>May-30-2025</t>
  </si>
  <si>
    <t>May-31-2025</t>
  </si>
  <si>
    <t>Jun-01-2025</t>
  </si>
  <si>
    <t>Jun-02-2025</t>
  </si>
  <si>
    <t>Jun-03-2025</t>
  </si>
  <si>
    <t>Jun-04-2025</t>
  </si>
  <si>
    <t>Jun-05-2025</t>
  </si>
  <si>
    <t>Jun-06-2025</t>
  </si>
  <si>
    <t>Jun-07-2025</t>
  </si>
  <si>
    <t>Jun-08-2025</t>
  </si>
  <si>
    <t>Jun-09-2025</t>
  </si>
  <si>
    <t>Jun-10-2025</t>
  </si>
  <si>
    <t>Jun-11-2025</t>
  </si>
  <si>
    <t>Jun-12-2025</t>
  </si>
  <si>
    <t>Jun-13-2025</t>
  </si>
  <si>
    <t>Jun-14-2025</t>
  </si>
  <si>
    <t>Jun-15-2025</t>
  </si>
  <si>
    <t>Jun-16-2025</t>
  </si>
  <si>
    <t>Jun-17-2025</t>
  </si>
  <si>
    <t>Jun-18-2025</t>
  </si>
  <si>
    <t>Jun-19-2025</t>
  </si>
  <si>
    <t>Jun-20-2025</t>
  </si>
  <si>
    <t>Jun-21-2025</t>
  </si>
  <si>
    <t>Jun-22-2025</t>
  </si>
  <si>
    <t>Jun-23-2025</t>
  </si>
  <si>
    <t>Jun-24-2025</t>
  </si>
  <si>
    <t>Jun-25-2025</t>
  </si>
  <si>
    <t>Jun-26-2025</t>
  </si>
  <si>
    <t>Jun-27-2025</t>
  </si>
  <si>
    <t>Jun-28-2025</t>
  </si>
  <si>
    <t>Jun-29-2025</t>
  </si>
  <si>
    <t>Jun-30-2025</t>
  </si>
  <si>
    <t>Jul-01-2025</t>
  </si>
  <si>
    <t>Jul-02-2025</t>
  </si>
  <si>
    <t>Jul-03-2025</t>
  </si>
  <si>
    <t>Jul-04-2025</t>
  </si>
  <si>
    <t>Jul-05-2025</t>
  </si>
  <si>
    <t>Jul-06-2025</t>
  </si>
  <si>
    <t>Jul-07-2025</t>
  </si>
  <si>
    <t>Jul-08-2025</t>
  </si>
  <si>
    <t>Jul-09-2025</t>
  </si>
  <si>
    <t>Jul-10-2025</t>
  </si>
  <si>
    <t>Jul-11-2025</t>
  </si>
  <si>
    <t>Jul-12-2025</t>
  </si>
  <si>
    <t>Jul-13-2025</t>
  </si>
  <si>
    <t>Jul-14-2025</t>
  </si>
  <si>
    <t>Jul-15-2025</t>
  </si>
  <si>
    <t>Jul-16-2025</t>
  </si>
  <si>
    <t>Jul-17-2025</t>
  </si>
  <si>
    <t>Jul-18-2025</t>
  </si>
  <si>
    <t>Jul-19-2025</t>
  </si>
  <si>
    <t>Jul-20-2025</t>
  </si>
  <si>
    <t>Jul-21-2025</t>
  </si>
  <si>
    <t>Jul-22-2025</t>
  </si>
  <si>
    <t>Jul-23-2025</t>
  </si>
  <si>
    <t>Jul-24-2025</t>
  </si>
  <si>
    <t>Jul-25-2025</t>
  </si>
  <si>
    <t>Jul-26-2025</t>
  </si>
  <si>
    <t>Jul-27-2025</t>
  </si>
  <si>
    <t>Jul-28-2025</t>
  </si>
  <si>
    <t>Jul-29-2025</t>
  </si>
  <si>
    <t>Jul-30-2025</t>
  </si>
  <si>
    <t>Jul-31-2025</t>
  </si>
  <si>
    <t>Aug-01-2025</t>
  </si>
  <si>
    <t>Aug-02-2025</t>
  </si>
  <si>
    <t>Aug-03-2025</t>
  </si>
  <si>
    <t>Aug-04-2025</t>
  </si>
  <si>
    <t>Aug-05-2025</t>
  </si>
  <si>
    <t>Aug-06-2025</t>
  </si>
  <si>
    <t>Aug-07-2025</t>
  </si>
  <si>
    <t>Aug-08-2025</t>
  </si>
  <si>
    <t>Aug-09-2025</t>
  </si>
  <si>
    <t>Aug-10-2025</t>
  </si>
  <si>
    <t>Aug-11-2025</t>
  </si>
  <si>
    <t>Aug-12-2025</t>
  </si>
  <si>
    <t>Aug-13-2025</t>
  </si>
  <si>
    <t>Aug-14-2025</t>
  </si>
  <si>
    <t>Aug-15-2025</t>
  </si>
  <si>
    <t>Aug-16-2025</t>
  </si>
  <si>
    <t>Aug-17-2025</t>
  </si>
  <si>
    <t>Aug-18-2025</t>
  </si>
  <si>
    <t>Aug-19-2025</t>
  </si>
  <si>
    <t>Aug-20-2025</t>
  </si>
  <si>
    <t>Aug-21-2025</t>
  </si>
  <si>
    <t>Aug-22-2025</t>
  </si>
  <si>
    <t>Aug-23-2025</t>
  </si>
  <si>
    <t>Aug-24-2025</t>
  </si>
  <si>
    <t>Aug-25-2025</t>
  </si>
  <si>
    <t>Aug-26-2025</t>
  </si>
  <si>
    <t>Aug-27-2025</t>
  </si>
  <si>
    <t>Aug-28-2025</t>
  </si>
  <si>
    <t>Aug-29-2025</t>
  </si>
  <si>
    <t>Aug-30-2025</t>
  </si>
  <si>
    <t>Aug-31-2025</t>
  </si>
  <si>
    <t>Sep-01-2025</t>
  </si>
  <si>
    <t>Sep-02-2025</t>
  </si>
  <si>
    <t>Sep-03-2025</t>
  </si>
  <si>
    <t>Sep-04-2025</t>
  </si>
  <si>
    <t>Sep-05-2025</t>
  </si>
  <si>
    <t>Sep-06-2025</t>
  </si>
  <si>
    <t>Sep-07-2025</t>
  </si>
  <si>
    <t>Sep-08-2025</t>
  </si>
  <si>
    <t>Sep-09-2025</t>
  </si>
  <si>
    <t>Sep-10-2025</t>
  </si>
  <si>
    <t>Sep-11-2025</t>
  </si>
  <si>
    <t>Sep-12-2025</t>
  </si>
  <si>
    <t>Sep-13-2025</t>
  </si>
  <si>
    <t>Sep-14-2025</t>
  </si>
  <si>
    <t>Sep-15-2025</t>
  </si>
  <si>
    <t>Sep-16-2025</t>
  </si>
  <si>
    <t>Sep-17-2025</t>
  </si>
  <si>
    <t>Sep-18-2025</t>
  </si>
  <si>
    <t>Sep-19-2025</t>
  </si>
  <si>
    <t>Sep-20-2025</t>
  </si>
  <si>
    <t>Sep-21-2025</t>
  </si>
  <si>
    <t>Sep-22-2025</t>
  </si>
  <si>
    <t>Sep-23-2025</t>
  </si>
  <si>
    <t>Sep-24-2025</t>
  </si>
  <si>
    <t>Sep-25-2025</t>
  </si>
  <si>
    <t>Sep-26-2025</t>
  </si>
  <si>
    <t>Sep-27-2025</t>
  </si>
  <si>
    <t>Sep-28-2025</t>
  </si>
  <si>
    <t>Sep-29-2025</t>
  </si>
  <si>
    <t>Sep-30-2025</t>
  </si>
  <si>
    <t>Oct-01-2025</t>
  </si>
  <si>
    <t>Oct-02-2025</t>
  </si>
  <si>
    <t>Oct-03-2025</t>
  </si>
  <si>
    <t>Oct-04-2025</t>
  </si>
  <si>
    <t>Oct-05-2025</t>
  </si>
  <si>
    <t>Oct-06-2025</t>
  </si>
  <si>
    <t>Oct-07-2025</t>
  </si>
  <si>
    <t>Oct-08-2025</t>
  </si>
  <si>
    <t>Oct-09-2025</t>
  </si>
  <si>
    <t>Oct-10-2025</t>
  </si>
  <si>
    <t>Oct-11-2025</t>
  </si>
  <si>
    <t>Oct-12-2025</t>
  </si>
  <si>
    <t>Oct-13-2025</t>
  </si>
  <si>
    <t>Oct-14-2025</t>
  </si>
  <si>
    <t>Oct-15-2025</t>
  </si>
  <si>
    <t>Oct-16-2025</t>
  </si>
  <si>
    <t>Oct-17-2025</t>
  </si>
  <si>
    <t>Oct-18-2025</t>
  </si>
  <si>
    <t>Oct-19-2025</t>
  </si>
  <si>
    <t>Oct-20-2025</t>
  </si>
  <si>
    <t>Oct-21-2025</t>
  </si>
  <si>
    <t>Oct-22-2025</t>
  </si>
  <si>
    <t>Oct-23-2025</t>
  </si>
  <si>
    <t>Oct-24-2025</t>
  </si>
  <si>
    <t>Oct-25-2025</t>
  </si>
  <si>
    <t>Oct-26-2025</t>
  </si>
  <si>
    <t>Oct-27-2025</t>
  </si>
  <si>
    <t>Oct-28-2025</t>
  </si>
  <si>
    <t>Oct-29-2025</t>
  </si>
  <si>
    <t>Oct-30-2025</t>
  </si>
  <si>
    <t>Oct-31-2025</t>
  </si>
  <si>
    <t>Nov-01-2025</t>
  </si>
  <si>
    <t>Nov-02-2025</t>
  </si>
  <si>
    <t>Nov-03-2025</t>
  </si>
  <si>
    <t>Nov-04-2025</t>
  </si>
  <si>
    <t>Nov-05-2025</t>
  </si>
  <si>
    <t>Nov-06-2025</t>
  </si>
  <si>
    <t>Nov-07-2025</t>
  </si>
  <si>
    <t>Nov-08-2025</t>
  </si>
  <si>
    <t>Nov-09-2025</t>
  </si>
  <si>
    <t>Nov-10-2025</t>
  </si>
  <si>
    <t>Nov-11-2025</t>
  </si>
  <si>
    <t>Nov-12-2025</t>
  </si>
  <si>
    <t>Nov-13-2025</t>
  </si>
  <si>
    <t>Nov-14-2025</t>
  </si>
  <si>
    <t>Nov-15-2025</t>
  </si>
  <si>
    <t>Nov-16-2025</t>
  </si>
  <si>
    <t>Nov-17-2025</t>
  </si>
  <si>
    <t>Nov-18-2025</t>
  </si>
  <si>
    <t>Nov-19-2025</t>
  </si>
  <si>
    <t>Nov-20-2025</t>
  </si>
  <si>
    <t>Nov-21-2025</t>
  </si>
  <si>
    <t>Nov-22-2025</t>
  </si>
  <si>
    <t>Nov-23-2025</t>
  </si>
  <si>
    <t>Nov-24-2025</t>
  </si>
  <si>
    <t>Nov-25-2025</t>
  </si>
  <si>
    <t>Nov-26-2025</t>
  </si>
  <si>
    <t>Nov-27-2025</t>
  </si>
  <si>
    <t>Nov-28-2025</t>
  </si>
  <si>
    <t>Nov-29-2025</t>
  </si>
  <si>
    <t>Nov-30-2025</t>
  </si>
  <si>
    <t>Dec-01-2025</t>
  </si>
  <si>
    <t>Dec-02-2025</t>
  </si>
  <si>
    <t>Dec-03-2025</t>
  </si>
  <si>
    <t>Dec-04-2025</t>
  </si>
  <si>
    <t>Dec-05-2025</t>
  </si>
  <si>
    <t>Dec-06-2025</t>
  </si>
  <si>
    <t>Dec-07-2025</t>
  </si>
  <si>
    <t>Dec-08-2025</t>
  </si>
  <si>
    <t>Dec-09-2025</t>
  </si>
  <si>
    <t>Dec-10-2025</t>
  </si>
  <si>
    <t>Dec-11-2025</t>
  </si>
  <si>
    <t>Dec-12-2025</t>
  </si>
  <si>
    <t>Dec-13-2025</t>
  </si>
  <si>
    <t>Dec-14-2025</t>
  </si>
  <si>
    <t>Dec-15-2025</t>
  </si>
  <si>
    <t>Dec-16-2025</t>
  </si>
  <si>
    <t>Dec-17-2025</t>
  </si>
  <si>
    <t>Dec-18-2025</t>
  </si>
  <si>
    <t>Dec-19-2025</t>
  </si>
  <si>
    <t>Dec-20-2025</t>
  </si>
  <si>
    <t>Dec-21-2025</t>
  </si>
  <si>
    <t>Dec-22-2025</t>
  </si>
  <si>
    <t>Dec-23-2025</t>
  </si>
  <si>
    <t>Dec-24-2025</t>
  </si>
  <si>
    <t>Dec-25-2025</t>
  </si>
  <si>
    <t>Dec-26-2025</t>
  </si>
  <si>
    <t>Dec-27-2025</t>
  </si>
  <si>
    <t>Dec-28-2025</t>
  </si>
  <si>
    <t>Dec-29-2025</t>
  </si>
  <si>
    <t>Dec-30-2025</t>
  </si>
  <si>
    <t>Dec-31-2025</t>
  </si>
  <si>
    <t>Jan-01-2026</t>
  </si>
  <si>
    <t>Jan-02-2026</t>
  </si>
  <si>
    <t>Jan-03-2026</t>
  </si>
  <si>
    <t>Jan-04-2026</t>
  </si>
  <si>
    <t>Jan-05-2026</t>
  </si>
  <si>
    <t>Jan-06-2026</t>
  </si>
  <si>
    <t>Jan-07-2026</t>
  </si>
  <si>
    <t>Jan-08-2026</t>
  </si>
  <si>
    <t>Jan-09-2026</t>
  </si>
  <si>
    <t>Jan-10-2026</t>
  </si>
  <si>
    <t>Jan-11-2026</t>
  </si>
  <si>
    <t>Jan-12-2026</t>
  </si>
  <si>
    <t>Jan-13-2026</t>
  </si>
  <si>
    <t>Jan-14-2026</t>
  </si>
  <si>
    <t>Jan-15-2026</t>
  </si>
  <si>
    <t>Jan-16-2026</t>
  </si>
  <si>
    <t>Jan-17-2026</t>
  </si>
  <si>
    <t>Jan-18-2026</t>
  </si>
  <si>
    <t>Jan-19-2026</t>
  </si>
  <si>
    <t>Jan-20-2026</t>
  </si>
  <si>
    <t>Jan-21-2026</t>
  </si>
  <si>
    <t>Jan-22-2026</t>
  </si>
  <si>
    <t>Jan-23-2026</t>
  </si>
  <si>
    <t>Jan-24-2026</t>
  </si>
  <si>
    <t>Jan-25-2026</t>
  </si>
  <si>
    <t>Jan-26-2026</t>
  </si>
  <si>
    <t>Jan-27-2026</t>
  </si>
  <si>
    <t>Jan-28-2026</t>
  </si>
  <si>
    <t>Jan-29-2026</t>
  </si>
  <si>
    <t>Jan-30-2026</t>
  </si>
  <si>
    <t>Jan-31-2026</t>
  </si>
  <si>
    <t>Feb-01-2026</t>
  </si>
  <si>
    <t>Feb-02-2026</t>
  </si>
  <si>
    <t>Feb-03-2026</t>
  </si>
  <si>
    <t>Feb-04-2026</t>
  </si>
  <si>
    <t>Feb-05-2026</t>
  </si>
  <si>
    <t>Feb-06-2026</t>
  </si>
  <si>
    <t>Feb-07-2026</t>
  </si>
  <si>
    <t>Feb-08-2026</t>
  </si>
  <si>
    <t>Feb-09-2026</t>
  </si>
  <si>
    <t>Feb-10-2026</t>
  </si>
  <si>
    <t>Feb-11-2026</t>
  </si>
  <si>
    <t>Feb-12-2026</t>
  </si>
  <si>
    <t>Feb-13-2026</t>
  </si>
  <si>
    <t>Feb-14-2026</t>
  </si>
  <si>
    <t>Feb-15-2026</t>
  </si>
  <si>
    <t>Feb-16-2026</t>
  </si>
  <si>
    <t>Feb-17-2026</t>
  </si>
  <si>
    <t>Feb-18-2026</t>
  </si>
  <si>
    <t>Feb-19-2026</t>
  </si>
  <si>
    <t>Feb-20-2026</t>
  </si>
  <si>
    <t>Feb-21-2026</t>
  </si>
  <si>
    <t>Feb-22-2026</t>
  </si>
  <si>
    <t>Feb-23-2026</t>
  </si>
  <si>
    <t>Feb-24-2026</t>
  </si>
  <si>
    <t>Feb-25-2026</t>
  </si>
  <si>
    <t>Feb-26-2026</t>
  </si>
  <si>
    <t>Feb-27-2026</t>
  </si>
  <si>
    <t>Feb-28-2026</t>
  </si>
  <si>
    <t>Mar-01-2026</t>
  </si>
  <si>
    <t>Mar-02-2026</t>
  </si>
  <si>
    <t>Mar-03-2026</t>
  </si>
  <si>
    <t>Mar-04-2026</t>
  </si>
  <si>
    <t>Mar-05-2026</t>
  </si>
  <si>
    <t>Mar-06-2026</t>
  </si>
  <si>
    <t>Mar-07-2026</t>
  </si>
  <si>
    <t>Mar-08-2026</t>
  </si>
  <si>
    <t>Mar-09-2026</t>
  </si>
  <si>
    <t>Mar-10-2026</t>
  </si>
  <si>
    <t>Mar-11-2026</t>
  </si>
  <si>
    <t>Mar-12-2026</t>
  </si>
  <si>
    <t>Mar-13-2026</t>
  </si>
  <si>
    <t>Mar-14-2026</t>
  </si>
  <si>
    <t>Mar-15-2026</t>
  </si>
  <si>
    <t>Mar-16-2026</t>
  </si>
  <si>
    <t>Mar-17-2026</t>
  </si>
  <si>
    <t>Mar-18-2026</t>
  </si>
  <si>
    <t>Mar-19-2026</t>
  </si>
  <si>
    <t>Mar-20-2026</t>
  </si>
  <si>
    <t>Mar-21-2026</t>
  </si>
  <si>
    <t>Mar-22-2026</t>
  </si>
  <si>
    <t>Mar-23-2026</t>
  </si>
  <si>
    <t>Mar-24-2026</t>
  </si>
  <si>
    <t>Mar-25-2026</t>
  </si>
  <si>
    <t>Mar-26-2026</t>
  </si>
  <si>
    <t>Mar-27-2026</t>
  </si>
  <si>
    <t>Mar-28-2026</t>
  </si>
  <si>
    <t>Mar-29-2026</t>
  </si>
  <si>
    <t>Mar-30-2026</t>
  </si>
  <si>
    <t>Mar-31-2026</t>
  </si>
  <si>
    <t>Apr-01-2026</t>
  </si>
  <si>
    <t>Apr-02-2026</t>
  </si>
  <si>
    <t>Apr-03-2026</t>
  </si>
  <si>
    <t>Apr-04-2026</t>
  </si>
  <si>
    <t>Apr-05-2026</t>
  </si>
  <si>
    <t>Apr-06-2026</t>
  </si>
  <si>
    <t>Apr-07-2026</t>
  </si>
  <si>
    <t>Apr-08-2026</t>
  </si>
  <si>
    <t>Apr-09-2026</t>
  </si>
  <si>
    <t>Apr-10-2026</t>
  </si>
  <si>
    <t>Apr-11-2026</t>
  </si>
  <si>
    <t>Apr-12-2026</t>
  </si>
  <si>
    <t>Apr-13-2026</t>
  </si>
  <si>
    <t>Apr-14-2026</t>
  </si>
  <si>
    <t>Apr-15-2026</t>
  </si>
  <si>
    <t>Apr-16-2026</t>
  </si>
  <si>
    <t>Apr-17-2026</t>
  </si>
  <si>
    <t>Apr-18-2026</t>
  </si>
  <si>
    <t>Apr-19-2026</t>
  </si>
  <si>
    <t>Apr-20-2026</t>
  </si>
  <si>
    <t>Apr-21-2026</t>
  </si>
  <si>
    <t>Apr-22-2026</t>
  </si>
  <si>
    <t>Apr-23-2026</t>
  </si>
  <si>
    <t>Apr-24-2026</t>
  </si>
  <si>
    <t>Apr-25-2026</t>
  </si>
  <si>
    <t>Apr-26-2026</t>
  </si>
  <si>
    <t>Apr-27-2026</t>
  </si>
  <si>
    <t>Apr-28-2026</t>
  </si>
  <si>
    <t>Apr-29-2026</t>
  </si>
  <si>
    <t>Apr-30-2026</t>
  </si>
  <si>
    <t>May-01-2026</t>
  </si>
  <si>
    <t>May-02-2026</t>
  </si>
  <si>
    <t>May-03-2026</t>
  </si>
  <si>
    <t>May-04-2026</t>
  </si>
  <si>
    <t>May-05-2026</t>
  </si>
  <si>
    <t>May-06-2026</t>
  </si>
  <si>
    <t>May-07-2026</t>
  </si>
  <si>
    <t>May-08-2026</t>
  </si>
  <si>
    <t>May-09-2026</t>
  </si>
  <si>
    <t>May-10-2026</t>
  </si>
  <si>
    <t>May-11-2026</t>
  </si>
  <si>
    <t>May-12-2026</t>
  </si>
  <si>
    <t>May-13-2026</t>
  </si>
  <si>
    <t>May-14-2026</t>
  </si>
  <si>
    <t>May-15-2026</t>
  </si>
  <si>
    <t>May-16-2026</t>
  </si>
  <si>
    <t>May-17-2026</t>
  </si>
  <si>
    <t>May-18-2026</t>
  </si>
  <si>
    <t>May-19-2026</t>
  </si>
  <si>
    <t>May-20-2026</t>
  </si>
  <si>
    <t>May-21-2026</t>
  </si>
  <si>
    <t>May-22-2026</t>
  </si>
  <si>
    <t>May-23-2026</t>
  </si>
  <si>
    <t>May-24-2026</t>
  </si>
  <si>
    <t>May-25-2026</t>
  </si>
  <si>
    <t>May-26-2026</t>
  </si>
  <si>
    <t>May-27-2026</t>
  </si>
  <si>
    <t>May-28-2026</t>
  </si>
  <si>
    <t>May-29-2026</t>
  </si>
  <si>
    <t>May-30-2026</t>
  </si>
  <si>
    <t>May-31-2026</t>
  </si>
  <si>
    <t>Jun-01-2026</t>
  </si>
  <si>
    <t>Jun-02-2026</t>
  </si>
  <si>
    <t>Jun-03-2026</t>
  </si>
  <si>
    <t>Jun-04-2026</t>
  </si>
  <si>
    <t>Jun-05-2026</t>
  </si>
  <si>
    <t>Jun-06-2026</t>
  </si>
  <si>
    <t>Jun-07-2026</t>
  </si>
  <si>
    <t>Jun-08-2026</t>
  </si>
  <si>
    <t>Jun-09-2026</t>
  </si>
  <si>
    <t>Jun-10-2026</t>
  </si>
  <si>
    <t>Jun-11-2026</t>
  </si>
  <si>
    <t>Jun-12-2026</t>
  </si>
  <si>
    <t>Jun-13-2026</t>
  </si>
  <si>
    <t>Jun-14-2026</t>
  </si>
  <si>
    <t>Jun-15-2026</t>
  </si>
  <si>
    <t>Jun-16-2026</t>
  </si>
  <si>
    <t>Jun-17-2026</t>
  </si>
  <si>
    <t>Jun-18-2026</t>
  </si>
  <si>
    <t>Jun-19-2026</t>
  </si>
  <si>
    <t>Jun-20-2026</t>
  </si>
  <si>
    <t>Jun-21-2026</t>
  </si>
  <si>
    <t>Jun-22-2026</t>
  </si>
  <si>
    <t>Jun-23-2026</t>
  </si>
  <si>
    <t>Jun-24-2026</t>
  </si>
  <si>
    <t>Jun-25-2026</t>
  </si>
  <si>
    <t>Jun-26-2026</t>
  </si>
  <si>
    <t>Jun-27-2026</t>
  </si>
  <si>
    <t>Jun-28-2026</t>
  </si>
  <si>
    <t>Jun-29-2026</t>
  </si>
  <si>
    <t>Jun-30-2026</t>
  </si>
  <si>
    <t>Jul-01-2026</t>
  </si>
  <si>
    <t>Jul-02-2026</t>
  </si>
  <si>
    <t>Jul-03-2026</t>
  </si>
  <si>
    <t>Jul-04-2026</t>
  </si>
  <si>
    <t>Jul-05-2026</t>
  </si>
  <si>
    <t>Jul-06-2026</t>
  </si>
  <si>
    <t>Jul-07-2026</t>
  </si>
  <si>
    <t>Jul-08-2026</t>
  </si>
  <si>
    <t>Jul-09-2026</t>
  </si>
  <si>
    <t>Jul-10-2026</t>
  </si>
  <si>
    <t>Jul-11-2026</t>
  </si>
  <si>
    <t>Jul-12-2026</t>
  </si>
  <si>
    <t>Jul-13-2026</t>
  </si>
  <si>
    <t>Jul-14-2026</t>
  </si>
  <si>
    <t>Jul-15-2026</t>
  </si>
  <si>
    <t>Jul-16-2026</t>
  </si>
  <si>
    <t>Jul-17-2026</t>
  </si>
  <si>
    <t>Jul-18-2026</t>
  </si>
  <si>
    <t>Jul-19-2026</t>
  </si>
  <si>
    <t>Jul-20-2026</t>
  </si>
  <si>
    <t>Jul-21-2026</t>
  </si>
  <si>
    <t>Jul-22-2026</t>
  </si>
  <si>
    <t>Jul-23-2026</t>
  </si>
  <si>
    <t>Jul-24-2026</t>
  </si>
  <si>
    <t>Jul-25-2026</t>
  </si>
  <si>
    <t>Jul-26-2026</t>
  </si>
  <si>
    <t>Jul-27-2026</t>
  </si>
  <si>
    <t>Jul-28-2026</t>
  </si>
  <si>
    <t>Jul-29-2026</t>
  </si>
  <si>
    <t>Jul-30-2026</t>
  </si>
  <si>
    <t>Jul-31-2026</t>
  </si>
  <si>
    <t>Aug-01-2026</t>
  </si>
  <si>
    <t>Aug-02-2026</t>
  </si>
  <si>
    <t>Aug-03-2026</t>
  </si>
  <si>
    <t>Aug-04-2026</t>
  </si>
  <si>
    <t>Aug-05-2026</t>
  </si>
  <si>
    <t>Aug-06-2026</t>
  </si>
  <si>
    <t>Aug-07-2026</t>
  </si>
  <si>
    <t>Aug-08-2026</t>
  </si>
  <si>
    <t>Aug-09-2026</t>
  </si>
  <si>
    <t>Aug-10-2026</t>
  </si>
  <si>
    <t>Aug-11-2026</t>
  </si>
  <si>
    <t>Aug-12-2026</t>
  </si>
  <si>
    <t>Aug-13-2026</t>
  </si>
  <si>
    <t>Aug-14-2026</t>
  </si>
  <si>
    <t>Aug-15-2026</t>
  </si>
  <si>
    <t>Aug-16-2026</t>
  </si>
  <si>
    <t>Aug-17-2026</t>
  </si>
  <si>
    <t>Aug-18-2026</t>
  </si>
  <si>
    <t>Aug-19-2026</t>
  </si>
  <si>
    <t>Aug-20-2026</t>
  </si>
  <si>
    <t>Aug-21-2026</t>
  </si>
  <si>
    <t>Aug-22-2026</t>
  </si>
  <si>
    <t>Aug-23-2026</t>
  </si>
  <si>
    <t>Aug-24-2026</t>
  </si>
  <si>
    <t>Aug-25-2026</t>
  </si>
  <si>
    <t>Aug-26-2026</t>
  </si>
  <si>
    <t>Aug-27-2026</t>
  </si>
  <si>
    <t>Aug-28-2026</t>
  </si>
  <si>
    <t>Aug-29-2026</t>
  </si>
  <si>
    <t>Aug-30-2026</t>
  </si>
  <si>
    <t>Aug-31-2026</t>
  </si>
  <si>
    <t>Sep-01-2026</t>
  </si>
  <si>
    <t>Sep-02-2026</t>
  </si>
  <si>
    <t>Sep-03-2026</t>
  </si>
  <si>
    <t>Sep-04-2026</t>
  </si>
  <si>
    <t>Sep-05-2026</t>
  </si>
  <si>
    <t>Sep-06-2026</t>
  </si>
  <si>
    <t>Sep-07-2026</t>
  </si>
  <si>
    <t>Sep-08-2026</t>
  </si>
  <si>
    <t>Sep-09-2026</t>
  </si>
  <si>
    <t>Sep-10-2026</t>
  </si>
  <si>
    <t>Sep-11-2026</t>
  </si>
  <si>
    <t>Sep-12-2026</t>
  </si>
  <si>
    <t>Sep-13-2026</t>
  </si>
  <si>
    <t>Sep-14-2026</t>
  </si>
  <si>
    <t>Sep-15-2026</t>
  </si>
  <si>
    <t>Sep-16-2026</t>
  </si>
  <si>
    <t>Sep-17-2026</t>
  </si>
  <si>
    <t>Sep-18-2026</t>
  </si>
  <si>
    <t>Sep-19-2026</t>
  </si>
  <si>
    <t>Sep-20-2026</t>
  </si>
  <si>
    <t>Sep-21-2026</t>
  </si>
  <si>
    <t>Sep-22-2026</t>
  </si>
  <si>
    <t>Sep-23-2026</t>
  </si>
  <si>
    <t>Sep-24-2026</t>
  </si>
  <si>
    <t>Sep-25-2026</t>
  </si>
  <si>
    <t>Sep-26-2026</t>
  </si>
  <si>
    <t>Sep-27-2026</t>
  </si>
  <si>
    <t>Sep-28-2026</t>
  </si>
  <si>
    <t>Sep-29-2026</t>
  </si>
  <si>
    <t>Sep-30-2026</t>
  </si>
  <si>
    <t>Oct-01-2026</t>
  </si>
  <si>
    <t>Oct-02-2026</t>
  </si>
  <si>
    <t>Oct-03-2026</t>
  </si>
  <si>
    <t>Oct-04-2026</t>
  </si>
  <si>
    <t>Oct-05-2026</t>
  </si>
  <si>
    <t>Oct-06-2026</t>
  </si>
  <si>
    <t>Oct-07-2026</t>
  </si>
  <si>
    <t>Oct-08-2026</t>
  </si>
  <si>
    <t>Oct-09-2026</t>
  </si>
  <si>
    <t>Oct-10-2026</t>
  </si>
  <si>
    <t>Oct-11-2026</t>
  </si>
  <si>
    <t>Oct-12-2026</t>
  </si>
  <si>
    <t>Oct-13-2026</t>
  </si>
  <si>
    <t>Oct-14-2026</t>
  </si>
  <si>
    <t>Oct-15-2026</t>
  </si>
  <si>
    <t>Oct-16-2026</t>
  </si>
  <si>
    <t>Oct-17-2026</t>
  </si>
  <si>
    <t>Oct-18-2026</t>
  </si>
  <si>
    <t>Oct-19-2026</t>
  </si>
  <si>
    <t>Oct-20-2026</t>
  </si>
  <si>
    <t>Oct-21-2026</t>
  </si>
  <si>
    <t>Oct-22-2026</t>
  </si>
  <si>
    <t>Oct-23-2026</t>
  </si>
  <si>
    <t>Oct-24-2026</t>
  </si>
  <si>
    <t>Oct-25-2026</t>
  </si>
  <si>
    <t>Oct-26-2026</t>
  </si>
  <si>
    <t>Oct-27-2026</t>
  </si>
  <si>
    <t>Oct-28-2026</t>
  </si>
  <si>
    <t>Oct-29-2026</t>
  </si>
  <si>
    <t>Oct-30-2026</t>
  </si>
  <si>
    <t>Oct-31-2026</t>
  </si>
  <si>
    <t>Nov-01-2026</t>
  </si>
  <si>
    <t>Nov-02-2026</t>
  </si>
  <si>
    <t>Nov-03-2026</t>
  </si>
  <si>
    <t>Nov-04-2026</t>
  </si>
  <si>
    <t>Nov-05-2026</t>
  </si>
  <si>
    <t>Nov-06-2026</t>
  </si>
  <si>
    <t>Nov-07-2026</t>
  </si>
  <si>
    <t>Nov-08-2026</t>
  </si>
  <si>
    <t>Nov-09-2026</t>
  </si>
  <si>
    <t>Nov-10-2026</t>
  </si>
  <si>
    <t>Nov-11-2026</t>
  </si>
  <si>
    <t>Nov-12-2026</t>
  </si>
  <si>
    <t>Nov-13-2026</t>
  </si>
  <si>
    <t>Nov-14-2026</t>
  </si>
  <si>
    <t>Nov-15-2026</t>
  </si>
  <si>
    <t>Nov-16-2026</t>
  </si>
  <si>
    <t>Nov-17-2026</t>
  </si>
  <si>
    <t>Nov-18-2026</t>
  </si>
  <si>
    <t>Nov-19-2026</t>
  </si>
  <si>
    <t>Nov-20-2026</t>
  </si>
  <si>
    <t>Nov-21-2026</t>
  </si>
  <si>
    <t>Nov-22-2026</t>
  </si>
  <si>
    <t>Nov-23-2026</t>
  </si>
  <si>
    <t>Nov-24-2026</t>
  </si>
  <si>
    <t>Nov-25-2026</t>
  </si>
  <si>
    <t>Nov-26-2026</t>
  </si>
  <si>
    <t>Nov-27-2026</t>
  </si>
  <si>
    <t>Nov-28-2026</t>
  </si>
  <si>
    <t>Nov-29-2026</t>
  </si>
  <si>
    <t>Nov-30-2026</t>
  </si>
  <si>
    <t>Dec-01-2026</t>
  </si>
  <si>
    <t>Dec-02-2026</t>
  </si>
  <si>
    <t>Dec-03-2026</t>
  </si>
  <si>
    <t>Dec-04-2026</t>
  </si>
  <si>
    <t>Dec-05-2026</t>
  </si>
  <si>
    <t>Dec-06-2026</t>
  </si>
  <si>
    <t>Dec-07-2026</t>
  </si>
  <si>
    <t>Dec-08-2026</t>
  </si>
  <si>
    <t>Dec-09-2026</t>
  </si>
  <si>
    <t>Dec-10-2026</t>
  </si>
  <si>
    <t>Dec-11-2026</t>
  </si>
  <si>
    <t>Dec-12-2026</t>
  </si>
  <si>
    <t>Dec-13-2026</t>
  </si>
  <si>
    <t>Dec-14-2026</t>
  </si>
  <si>
    <t>Dec-15-2026</t>
  </si>
  <si>
    <t>Dec-16-2026</t>
  </si>
  <si>
    <t>Dec-17-2026</t>
  </si>
  <si>
    <t>Dec-18-2026</t>
  </si>
  <si>
    <t>Dec-19-2026</t>
  </si>
  <si>
    <t>Dec-20-2026</t>
  </si>
  <si>
    <t>Dec-21-2026</t>
  </si>
  <si>
    <t>Dec-22-2026</t>
  </si>
  <si>
    <t>Dec-23-2026</t>
  </si>
  <si>
    <t>Dec-24-2026</t>
  </si>
  <si>
    <t>Dec-25-2026</t>
  </si>
  <si>
    <t>Dec-26-2026</t>
  </si>
  <si>
    <t>Dec-27-2026</t>
  </si>
  <si>
    <t>Dec-28-2026</t>
  </si>
  <si>
    <t>Dec-29-2026</t>
  </si>
  <si>
    <t>Dec-30-2026</t>
  </si>
  <si>
    <t>Dec-31-2026</t>
  </si>
  <si>
    <t>Jan-01-2027</t>
  </si>
  <si>
    <t>Jan-02-2027</t>
  </si>
  <si>
    <t>Jan-03-2027</t>
  </si>
  <si>
    <t>Jan-04-2027</t>
  </si>
  <si>
    <t>Jan-05-2027</t>
  </si>
  <si>
    <t>Jan-06-2027</t>
  </si>
  <si>
    <t>Jan-07-2027</t>
  </si>
  <si>
    <t>Jan-08-2027</t>
  </si>
  <si>
    <t>Jan-09-2027</t>
  </si>
  <si>
    <t>Jan-10-2027</t>
  </si>
  <si>
    <t>Jan-11-2027</t>
  </si>
  <si>
    <t>Jan-12-2027</t>
  </si>
  <si>
    <t>Jan-13-2027</t>
  </si>
  <si>
    <t>Jan-14-2027</t>
  </si>
  <si>
    <t>Jan-15-2027</t>
  </si>
  <si>
    <t>Jan-16-2027</t>
  </si>
  <si>
    <t>Jan-17-2027</t>
  </si>
  <si>
    <t>Jan-18-2027</t>
  </si>
  <si>
    <t>Jan-19-2027</t>
  </si>
  <si>
    <t>Jan-20-2027</t>
  </si>
  <si>
    <t>Jan-21-2027</t>
  </si>
  <si>
    <t>Jan-22-2027</t>
  </si>
  <si>
    <t>Jan-23-2027</t>
  </si>
  <si>
    <t>Jan-24-2027</t>
  </si>
  <si>
    <t>Jan-25-2027</t>
  </si>
  <si>
    <t>Jan-26-2027</t>
  </si>
  <si>
    <t>Jan-27-2027</t>
  </si>
  <si>
    <t>Jan-28-2027</t>
  </si>
  <si>
    <t>Jan-29-2027</t>
  </si>
  <si>
    <t>Jan-30-2027</t>
  </si>
  <si>
    <t>Jan-31-2027</t>
  </si>
  <si>
    <t>Natural Gas</t>
    <phoneticPr fontId="1" type="noConversion"/>
  </si>
  <si>
    <t>2021 3mF</t>
    <phoneticPr fontId="1" type="noConversion"/>
  </si>
  <si>
    <t>황산/PSA ton 당 LNG 비용</t>
    <phoneticPr fontId="1" type="noConversion"/>
  </si>
  <si>
    <t>미래추정(황산/PSA ton 당 LNG 비용)</t>
    <phoneticPr fontId="1" type="noConversion"/>
  </si>
  <si>
    <t>2021 3m은 2021 9mA 수준 유지 및 이후 CIQ 추정 LNG 가격 전망치에 따른 변동 가정</t>
    <phoneticPr fontId="1" type="noConversion"/>
  </si>
  <si>
    <r>
      <rPr>
        <b/>
        <sz val="9"/>
        <color theme="1"/>
        <rFont val="맑은 고딕"/>
        <family val="3"/>
        <charset val="129"/>
        <scheme val="minor"/>
      </rPr>
      <t>[에너지비]</t>
    </r>
    <r>
      <rPr>
        <sz val="9"/>
        <color theme="1"/>
        <rFont val="맑은 고딕"/>
        <family val="3"/>
        <charset val="129"/>
        <scheme val="minor"/>
      </rPr>
      <t xml:space="preserve">
BC유 및 LNG로 구분하여 재 추정함
1) BC유: 대부분 제련공정에서 발생하며, 전기동 판매량을 Driver로 향후 유가 전망치(Word Bank)에 따른 단가 변동 가정
2) LNG: 대부분 화성공정(PSA 및 황산)에서 발생하며, PSA 및 황산 판매량을 Driver로 향후 LNG 전망치(CIQ)에 따른 단가 변동 가정. LNG 단가의 경우 과거 자체 스팀 사용액 증가, 원료 Mix 등으로 인해 원재료 가격 변동 이외의 Fluctuation이 존재하나, 향후에는 현재 수준의 원료 Mix를 가정하여 현재 수준의 단가에 향후 LNG 가격 전망치를 반영하여 추정함.
</t>
    </r>
    <r>
      <rPr>
        <b/>
        <sz val="9"/>
        <color theme="1"/>
        <rFont val="맑은 고딕"/>
        <family val="3"/>
        <charset val="129"/>
        <scheme val="minor"/>
      </rPr>
      <t>[용역원가]</t>
    </r>
    <r>
      <rPr>
        <sz val="9"/>
        <color theme="1"/>
        <rFont val="맑은 고딕"/>
        <family val="3"/>
        <charset val="129"/>
        <scheme val="minor"/>
      </rPr>
      <t xml:space="preserve">
해당 비용은 수출과 관련한 창고비용 등으로, COVID-19 영향에 따른 보관료 및 보관기간 증가로 인해 크게 증가하였음. 향후 점진적으로 물류가 정상화됨에 따라 오히려 감소할 가능성도 있으나, 현재 Base Case 상 보수적인 관점에서 현재 수준을 유지할 것으로 추정함(물가상승율 반영)</t>
    </r>
    <phoneticPr fontId="1" type="noConversion"/>
  </si>
  <si>
    <t>Val DCF model_0103 / 가정 / 채취율</t>
  </si>
  <si>
    <t>[은 채취율] 3,4번 토글 확인 - 작동되지 않음</t>
  </si>
  <si>
    <t>Val DCF model_0103  / 가정 / 재료비율</t>
  </si>
  <si>
    <t>[기타재료비] Val 16p. PSA, 황산, Ferrosand 재료비는 별도의 재료비 발생 없음으로 기재
&gt; 이중 PSA는 과거 재료비 발생 안하다가, '21년 부터 발생, 이후 현재 수준 유지 또는 평균으로 추정되었는데 근거는 어떤 것인가요?
&gt; 추정 근거를 확인 후 Val Report와 Model의 일치가 필요함</t>
  </si>
  <si>
    <t>Val DCF model_0103  / 가정 / 에너지비</t>
  </si>
  <si>
    <t xml:space="preserve">[전련사용량, CDD추정치 Sheet, 가동율 Sheet, 판매량 Sheet] 가동률에 기반한 선형회귀 분석 시나리오 옵션, 가동률이 Revenue의 판매량과 연동되어 있지 않고, 사업계획 상 Key-in 숫자로 반영되어 있음
&gt; 판매량의 변동에 따라 가동률이 변화, 가동률 변화에 따른 전련사용량 변화가 연결되고 있는지 확인 필요
&gt; 또한 제련공장(특히 2공장)의 가동률 정상화 수준에 따른 수익성의 변화를 파악할 수 있도록 Assumption Sheet에 시나리오 추가 요청
&gt; 또한 동 Assumption의 추가로 영향을 받는 부분(e.g. 재료비, 소모품비) 보완 필요 시 작업 요청
&gt; 현재 Ver.으로 연도별 가동률 1% 당 전력사용량이 다른데, 그 이유는 무엇인가요?
(e.g. 2018년 가동률 97% / 713gwh, 2026년 가동률 97% / 706gwh) (sheet #1. 참고)
</t>
  </si>
  <si>
    <t>[에너지비 Sheet 및 가정 Sheet]
CDD Report 26p에는 유가 향후 64불로 상승 전망, Val Model에는 톤 당 벙커씨유 및 LNG가 감소하는 Ref로 추정됨, Macro 전망에 대한 일치가 필요하지 않을지 검토 요청합니다.</t>
  </si>
  <si>
    <t>Val DCF model_0103  / 가정 / 소모품비</t>
  </si>
  <si>
    <t xml:space="preserve">톤당 소모품비의 감소 트렌드가 존재함(18-21 연평균 2%씩 감소, 증감율 -6%), 감소한 이유는 무엇이었으며, 향후 추정 시 이런 Trend를 반영하지 않은 근거는 무엇인가요?
</t>
  </si>
  <si>
    <t xml:space="preserve">Val DCF model_0103  / 가정 / 용역원가
</t>
  </si>
  <si>
    <t>용역원가가 발생하는 주요 제품(황산, 전기동 등)의 수출/내수 비중 변화에 따른 용역원가 산정 로직이 필요함
- 현재는 톤당 용역원가를 기본으로 AS-IS 내수/수출 비중 유지 가정으로 추정되는데, 민감도 Test를 위해 내수/수출 비중 Table과 그에 따른 용역원가 산출 로직으로 다시 설계 요청
- 톤당 용역원가도 수출 용역원가로 추출하여, Mixed 기준이 아닌 Pure로 직접 용역원가 산출이 가능하도록 요청</t>
  </si>
  <si>
    <t>Val DCF model_0103  / SG&amp;A / 일반임직원 급여</t>
  </si>
  <si>
    <t>[상여, 성과급] '18년~'20년 상여, 성과급의 지급비율이 일정한 Trend가 파악되지 않음(상여는 급여 대비 감소 중, 성과급은 증가 후 감소), 급여 대비 비중으로 향후 추정하는 근거는 무엇인가요?
&gt; 성과급/상여 테이블에 따른 지급 로직이 불가능하다면, 급여대비 수준 외에 다른 지표를 활용하는 방법 필요(영업이익, EBITDA 대비 등 다른 지표 검토, 현재 성과급은 토글로 EBIT이 연결되어 있음 &gt; 해당 로직 내부 검토 후 적정한 근거를 갖추었다고 판단한 것인지요?+3번 토글 확인 필요, 작동되지 않음)</t>
  </si>
  <si>
    <t xml:space="preserve">Val DCF model_0103  / SG&amp;A / 광고비
</t>
  </si>
  <si>
    <t>광고비 물가 연동 로직은 무엇인가요?
&gt; 18-21년 연 5%의 증가율을 시현, 과거 3년 물가상승률과 괴리가 큼, 향후 물가에 연동하는 근거는 무엇인가요?
&gt; 회사 내부적으로 광고선전비 집행에 대한 정책은(확대, 축소) 어떤 방향성인가요?</t>
  </si>
  <si>
    <t xml:space="preserve">Val DCF model_0103  / SG&amp;A / 운반비
</t>
  </si>
  <si>
    <t xml:space="preserve">2021년 전사 기준 운반비의 감소는 특이점이었던 2020년 황산 운반비가 정상화됨에 따른 것이지, 전기동 기준으로는 운반비가 증가하였음(FDD Final 10p 참조). 또한 물류적체는 현재도 지속되고 있는 상황
&gt; 이를 바탕으로, Assumption Sheet 상 "매출액 대비 운반비"를 최근 3년 내 최저치인 0.15% 지속한다는 가정은 다소 과도한 것이 아닌지? 구체적인 근거 제시 요청
</t>
  </si>
  <si>
    <t>Val DCF model_0103  / IRR</t>
  </si>
  <si>
    <t>[IRR Sheet]
Entry Multiple 수식 다시 확인 - PER만 맞는 것 같음
IPO 공모 테이블 중 TR.A 잔액, 리파이낸싱 시 잔액도 포함하도록 연결+TR.A+TR.B잔액으로 변경
인수금융 TR.B는 한도대로, 아래 CF잔액 수식에 한도 이상 인출 못하도록 설정</t>
  </si>
  <si>
    <t xml:space="preserve">Val DCF model_0103  / CAPEX
</t>
  </si>
  <si>
    <t>[종속기업 CAPEX] 사용권자산이 매년 동일규모로 투입되는데, 어떤 내용인가요?</t>
  </si>
  <si>
    <t xml:space="preserve">Val DCF model_0103  / Assumption
</t>
  </si>
  <si>
    <t xml:space="preserve">[회전기일 가정] LS글로벌향 매출은 발생하지 않을 터이나, LS Captive에 대한 매출은 다시 인식될 것임
&gt; LS글로벌향 매출 인식 전, 각 LS Captive에 대한 매출채권 회전기일은 어느 수준이었는가?
&gt; LS Captive 향 매출채권 회전기일과 매출채권(기타) 회전기일이 유의한 수준에서 차이가 없다고 볼 수 있을 것인가? 만약 그렇지 않다고 한다면 별도 분석 요청
</t>
  </si>
  <si>
    <t>[기타매출가정] 기타매출의 매출액 대비 비율이 매년 크게 감소하고 있는 상황임
&gt; 기타매출은 대강 무엇이며, 왜 감소 추세에 있었는가?
&gt; 어떤 근거로 1.81%가 유지된다고 가정하였는가?</t>
  </si>
  <si>
    <t>Val DCF model_0103  / 일반</t>
  </si>
  <si>
    <t>순환참조오류 등 완결성 보완 요청</t>
  </si>
  <si>
    <t>Project Linus_DCF model_0103_vShare</t>
  </si>
  <si>
    <t>Project Linus_DCF model_0103_vShare</t>
    <phoneticPr fontId="1" type="noConversion"/>
  </si>
  <si>
    <r>
      <rPr>
        <b/>
        <sz val="9"/>
        <color theme="1"/>
        <rFont val="맑은 고딕"/>
        <family val="3"/>
        <charset val="129"/>
        <scheme val="minor"/>
      </rPr>
      <t>[답변]</t>
    </r>
    <r>
      <rPr>
        <sz val="9"/>
        <color theme="1"/>
        <rFont val="맑은 고딕"/>
        <family val="3"/>
        <charset val="129"/>
        <scheme val="minor"/>
      </rPr>
      <t xml:space="preserve">
IRR시트 작성 등을 위하여 순환참조 필수적임(Excel 설정 상 반복계산 체크 필요)</t>
    </r>
    <phoneticPr fontId="1" type="noConversion"/>
  </si>
  <si>
    <r>
      <rPr>
        <b/>
        <sz val="9"/>
        <color theme="1"/>
        <rFont val="맑은 고딕"/>
        <family val="3"/>
        <charset val="129"/>
        <scheme val="minor"/>
      </rPr>
      <t>[답변]</t>
    </r>
    <r>
      <rPr>
        <sz val="9"/>
        <color theme="1"/>
        <rFont val="맑은 고딕"/>
        <family val="3"/>
        <charset val="129"/>
        <scheme val="minor"/>
      </rPr>
      <t xml:space="preserve">
회사는 18-21년 10억 미만의 광고선전비를 지출하였으며, 회사 규모를 고려하였을 때 거의 발생하지 않는 비용임
회사는 향후 광고선전비와 관련한 별도의 방향성을 갖고 있지는 않으며, 인터뷰 결과 향후 특별한 증가 또는 감소 유인이 없는 것으로 답변 받음
이에 따라 향후 물가상승율 수준의 상승만을 고려함</t>
    </r>
    <phoneticPr fontId="1" type="noConversion"/>
  </si>
  <si>
    <r>
      <rPr>
        <b/>
        <sz val="9"/>
        <color theme="1"/>
        <rFont val="맑은 고딕"/>
        <family val="3"/>
        <charset val="129"/>
        <scheme val="minor"/>
      </rPr>
      <t>[답변]</t>
    </r>
    <r>
      <rPr>
        <sz val="9"/>
        <color theme="1"/>
        <rFont val="맑은 고딕"/>
        <family val="3"/>
        <charset val="129"/>
        <scheme val="minor"/>
      </rPr>
      <t xml:space="preserve">
실제 현금으로 지급되는 리스료이며, 회사는 별도의 리스자산 확대 또는 감소를 고려하지 않고 있고 필요할 것으로 판단되지 않음.
이에 따라 향후에도 현재수준의 리스료를 지출할 것으로 가정함</t>
    </r>
    <phoneticPr fontId="1" type="noConversion"/>
  </si>
  <si>
    <r>
      <rPr>
        <b/>
        <sz val="9"/>
        <color theme="1"/>
        <rFont val="맑은 고딕"/>
        <family val="3"/>
        <charset val="129"/>
        <scheme val="minor"/>
      </rPr>
      <t>[답변]</t>
    </r>
    <r>
      <rPr>
        <sz val="9"/>
        <color theme="1"/>
        <rFont val="맑은 고딕"/>
        <family val="3"/>
        <charset val="129"/>
        <scheme val="minor"/>
      </rPr>
      <t xml:space="preserve">
대상기간 지속적으로 LS글로벌향 매출이 존재하였으며, LS Captive에 대한 별도의 회전기일은 확인 불가함
LS글로벌을 통하여 발생하던 매출처의 경우 거래처별로 회전기을 상이할 것이나, 해당 거래처가 모두 반영된 평균 매출채권 회전기일은 2021년 기준 16일 수준으로 관측됨
향후 거래처별 회전기일의 특별한 변동 유인이 없고, 거래처 Mix의 특별한 변동 유인 또한 없는 것으로 파악되었으며 이에 따라 현재 수준의 회전기일이 유지되는 것으로 가정함</t>
    </r>
    <phoneticPr fontId="1" type="noConversion"/>
  </si>
  <si>
    <r>
      <rPr>
        <b/>
        <sz val="9"/>
        <color theme="1"/>
        <rFont val="맑은 고딕"/>
        <family val="3"/>
        <charset val="129"/>
        <scheme val="minor"/>
      </rPr>
      <t>[답변]</t>
    </r>
    <r>
      <rPr>
        <sz val="9"/>
        <color theme="1"/>
        <rFont val="맑은 고딕"/>
        <family val="3"/>
        <charset val="129"/>
        <scheme val="minor"/>
      </rPr>
      <t xml:space="preserve">
석고, 셀레늄, 레늄 등 소규모로 발생하는 부산물임
주요 매출 항목인 전기동 등의 금속가격 상승 등에 따라 주요 매출항목의 매출액이 크게 증가함에 따라 주요 매출항목 대비 매출 비중은 감소함
추정 시 CDD의 추정치를 준용하였으며, 과거 평균 수준의 기타 매출은 지속 발생함을 가정한 것으로 이해함</t>
    </r>
    <phoneticPr fontId="1" type="noConversion"/>
  </si>
  <si>
    <r>
      <rPr>
        <b/>
        <sz val="9"/>
        <color theme="1"/>
        <rFont val="맑은 고딕"/>
        <family val="3"/>
        <charset val="129"/>
        <scheme val="minor"/>
      </rPr>
      <t>[답변]</t>
    </r>
    <r>
      <rPr>
        <sz val="9"/>
        <color theme="1"/>
        <rFont val="맑은 고딕"/>
        <family val="3"/>
        <charset val="129"/>
        <scheme val="minor"/>
      </rPr>
      <t xml:space="preserve">
회사의 성과급의 경우 영업이익수준, 계획대비 달성 정도 등 다양한 요인에 의해 결정되나 상세 로직은 제공불가로 답변 받았으며, 최선의 적용치는 전년도 영업이익 수준인 것으로 판단함
3번토글 정상 작동됨(51% 미만 소수점에서 변동)
상여의 경우 고정상여의 성격으로 현재수준을 유지함을 가정함</t>
    </r>
    <phoneticPr fontId="1" type="noConversion"/>
  </si>
  <si>
    <r>
      <rPr>
        <b/>
        <sz val="9"/>
        <color theme="1"/>
        <rFont val="맑은 고딕"/>
        <family val="3"/>
        <charset val="129"/>
        <scheme val="minor"/>
      </rPr>
      <t>[답변]</t>
    </r>
    <r>
      <rPr>
        <sz val="9"/>
        <color theme="1"/>
        <rFont val="맑은 고딕"/>
        <family val="3"/>
        <charset val="129"/>
        <scheme val="minor"/>
      </rPr>
      <t xml:space="preserve">
매출액 대비 운반비의 경우, 관련 매출액이 금속가격 상승 등에 따라 크게 증하하여 매출액 대비 운반비 비율은 감소한 부분임
다만, 현재 반영된 CDD Top line에 따르면 향후 금속가격의 점진적 하락 등이 예상되는 점을 고려하여 0.15%가 아닌 과거 평균 수준인 0.21% 수준으로 Base Case 수정함</t>
    </r>
    <phoneticPr fontId="1" type="noConversion"/>
  </si>
  <si>
    <r>
      <rPr>
        <b/>
        <sz val="9"/>
        <color theme="1"/>
        <rFont val="맑은 고딕"/>
        <family val="3"/>
        <charset val="129"/>
        <scheme val="minor"/>
      </rPr>
      <t>[답변]</t>
    </r>
    <r>
      <rPr>
        <sz val="9"/>
        <color theme="1"/>
        <rFont val="맑은 고딕"/>
        <family val="3"/>
        <charset val="129"/>
        <scheme val="minor"/>
      </rPr>
      <t xml:space="preserve">
18-20년의 경우 감소 트랜드가 있었으나, 21년의 경우 20년 대비 상승하였으므로 지속적인 감소 트랜드를 반영하는 것은 타당하지 않은 것으로 판단함
소모품비의 경우 향후 특별한 증가 또는 감소 유인이 없는 것으로 대상회사 인터뷰 결과 확인하였으며, 이에 따라 현재 수준에서 물가상승율 수준만을 고려함</t>
    </r>
    <phoneticPr fontId="1" type="noConversion"/>
  </si>
  <si>
    <r>
      <rPr>
        <b/>
        <sz val="9"/>
        <color theme="1"/>
        <rFont val="맑은 고딕"/>
        <family val="3"/>
        <charset val="129"/>
        <scheme val="minor"/>
      </rPr>
      <t>[답변]</t>
    </r>
    <r>
      <rPr>
        <sz val="9"/>
        <color theme="1"/>
        <rFont val="맑은 고딕"/>
        <family val="3"/>
        <charset val="129"/>
        <scheme val="minor"/>
      </rPr>
      <t xml:space="preserve">
벙커씨유의 경우 유가가 driver로 CDD Report와 일치하도록 수정함
LNG의 경우 LNG와 관련한 별도 Macro 전망치를 사용하였음(Source: Worldbank)</t>
    </r>
    <phoneticPr fontId="1" type="noConversion"/>
  </si>
  <si>
    <t>Excess Only Option</t>
  </si>
  <si>
    <t>Excess Only Option</t>
    <phoneticPr fontId="1" type="noConversion"/>
  </si>
  <si>
    <r>
      <rPr>
        <b/>
        <sz val="9"/>
        <color theme="1"/>
        <rFont val="맑은 고딕"/>
        <family val="3"/>
        <charset val="129"/>
        <scheme val="minor"/>
      </rPr>
      <t>[답변]</t>
    </r>
    <r>
      <rPr>
        <sz val="9"/>
        <color theme="1"/>
        <rFont val="맑은 고딕"/>
        <family val="3"/>
        <charset val="129"/>
        <scheme val="minor"/>
      </rPr>
      <t xml:space="preserve">
수정 완료(3/4번은 Excess관련 Option으로 표준채취율에는 활용X)</t>
    </r>
    <phoneticPr fontId="1" type="noConversion"/>
  </si>
  <si>
    <r>
      <rPr>
        <b/>
        <sz val="9"/>
        <color theme="1"/>
        <rFont val="맑은 고딕"/>
        <family val="3"/>
        <charset val="129"/>
        <scheme val="minor"/>
      </rPr>
      <t>[답변]</t>
    </r>
    <r>
      <rPr>
        <sz val="9"/>
        <color theme="1"/>
        <rFont val="맑은 고딕"/>
        <family val="3"/>
        <charset val="129"/>
        <scheme val="minor"/>
      </rPr>
      <t xml:space="preserve">
자체생산한 황산을 재료로 사용하므로 발생하지 않는 것이 맞으나, 21년의 경우 일시적인 원재료 부족으로 외부로부터 소량 구매한 것으로 확인됨
향후에는 이러한 계획이 없고, 발생하지 않을 것으로 대상회사도 예상하고 있어 발생하지 않는 것으로 수정함</t>
    </r>
    <phoneticPr fontId="1" type="noConversion"/>
  </si>
  <si>
    <t>판매기준가동율</t>
    <phoneticPr fontId="1" type="noConversion"/>
  </si>
  <si>
    <t>CDD판매량기준</t>
    <phoneticPr fontId="1" type="noConversion"/>
  </si>
  <si>
    <t>2021 3m은 2021 9mA 수준 전력사용량 유지 및 이후 전련공장 가동률 예상치 변동에 따라 변동 가정</t>
    <phoneticPr fontId="1" type="noConversion"/>
  </si>
  <si>
    <r>
      <rPr>
        <b/>
        <sz val="9"/>
        <color theme="1"/>
        <rFont val="맑은 고딕"/>
        <family val="3"/>
        <charset val="129"/>
        <scheme val="minor"/>
      </rPr>
      <t>[답변]</t>
    </r>
    <r>
      <rPr>
        <sz val="9"/>
        <color theme="1"/>
        <rFont val="맑은 고딕"/>
        <family val="3"/>
        <charset val="129"/>
        <scheme val="minor"/>
      </rPr>
      <t xml:space="preserve">
가동율 및 전력사용량 수정 완료
제련공장 가동율 변화, 즉, 제련/전련 가동율 차이에 따른 수익성 변화를 확인하기 위해서는 각 원재료별 금속 함유량과 그에 대한 T/RC, 지불율, 채취율 등의 data가 필요함(제련/전련 가동율의 차이는 Free-Metal과 T/RC에 영향을 일부 미침). 이부분에 대해 대상회사에 지속 요청하였으나, 민감한 정보라 제공이 어렵고, 전체 원재료 합산 수준의 Free-Metal과 T/RC만 제공가능하다고 답변 받음.
이에 따라 CDD에서 T/RC를 추정 할 때에도 현재 수준의 원재료 Mix와 사업계획 수준 등을 고려한 것으로 이해하고 있=으며 본 추정 시 CDD추정치를 준용함. 또한 과거 아노드 투입량이 원재료 Mix 측면에서 중요한 수준이 아닌 것으로 회사 답변을 통해 이해하고 있음.</t>
    </r>
    <phoneticPr fontId="1" type="noConversion"/>
  </si>
  <si>
    <t>황산 수출판매량</t>
    <phoneticPr fontId="1" type="noConversion"/>
  </si>
  <si>
    <t>수출비중</t>
    <phoneticPr fontId="1" type="noConversion"/>
  </si>
  <si>
    <t>전기동 수출판매량</t>
    <phoneticPr fontId="1" type="noConversion"/>
  </si>
  <si>
    <t>수출 ton 당 용역원가</t>
  </si>
  <si>
    <t>수출 ton 당 용역원가</t>
    <phoneticPr fontId="1" type="noConversion"/>
  </si>
  <si>
    <t>황산 수출 비중</t>
    <phoneticPr fontId="1" type="noConversion"/>
  </si>
  <si>
    <t>전기동 수출 비중</t>
    <phoneticPr fontId="1" type="noConversion"/>
  </si>
  <si>
    <r>
      <rPr>
        <b/>
        <sz val="9"/>
        <color theme="1"/>
        <rFont val="맑은 고딕"/>
        <family val="3"/>
        <charset val="129"/>
        <scheme val="minor"/>
      </rPr>
      <t>[답변]</t>
    </r>
    <r>
      <rPr>
        <sz val="9"/>
        <color theme="1"/>
        <rFont val="맑은 고딕"/>
        <family val="3"/>
        <charset val="129"/>
        <scheme val="minor"/>
      </rPr>
      <t xml:space="preserve">
반영완료</t>
    </r>
    <phoneticPr fontId="1" type="noConversion"/>
  </si>
  <si>
    <r>
      <rPr>
        <b/>
        <sz val="9"/>
        <color theme="1"/>
        <rFont val="맑은 고딕"/>
        <family val="3"/>
        <charset val="129"/>
        <scheme val="minor"/>
      </rPr>
      <t>[답변]</t>
    </r>
    <r>
      <rPr>
        <sz val="9"/>
        <color theme="1"/>
        <rFont val="맑은 고딕"/>
        <family val="3"/>
        <charset val="129"/>
        <scheme val="minor"/>
      </rPr>
      <t xml:space="preserve">
1) EV/EBITDA 수정완료, PBR은 정상인 것으로 보임
2) 수정완료
3) 수정완료</t>
    </r>
    <phoneticPr fontId="1" type="noConversion"/>
  </si>
  <si>
    <t>Project Linus_DCF model_0111_vShare</t>
  </si>
  <si>
    <t>Project Linus_DCF model_0111_vShare</t>
    <phoneticPr fontId="1" type="noConversion"/>
  </si>
  <si>
    <t>Assumption</t>
    <phoneticPr fontId="1" type="noConversion"/>
  </si>
  <si>
    <t>Deal Structure</t>
    <phoneticPr fontId="1" type="noConversion"/>
  </si>
  <si>
    <t>내용</t>
    <phoneticPr fontId="1" type="noConversion"/>
  </si>
  <si>
    <t>LS 구주 거래 Value(백만원)</t>
    <phoneticPr fontId="1" type="noConversion"/>
  </si>
  <si>
    <t>JKL EB 투입 Value(백만원)</t>
    <phoneticPr fontId="1" type="noConversion"/>
  </si>
  <si>
    <t>JKL EB 교환대상 지분율</t>
    <phoneticPr fontId="1" type="noConversion"/>
  </si>
  <si>
    <t>IPO</t>
    <phoneticPr fontId="1" type="noConversion"/>
  </si>
  <si>
    <t>IPO 시기</t>
    <phoneticPr fontId="1" type="noConversion"/>
  </si>
  <si>
    <t>IPO Multiple(PER)</t>
    <phoneticPr fontId="1" type="noConversion"/>
  </si>
  <si>
    <t>IPO 할인율</t>
    <phoneticPr fontId="1" type="noConversion"/>
  </si>
  <si>
    <t>EB Term</t>
    <phoneticPr fontId="1" type="noConversion"/>
  </si>
  <si>
    <t>Coupon%</t>
    <phoneticPr fontId="1" type="noConversion"/>
  </si>
  <si>
    <t>EB 교환 시점</t>
    <phoneticPr fontId="1" type="noConversion"/>
  </si>
  <si>
    <t>[Note] : EB 교환시점은 IPO 시기 이전 또는 동일 시점으로 설정</t>
    <phoneticPr fontId="1" type="noConversion"/>
  </si>
  <si>
    <t>인수금융 Term</t>
    <phoneticPr fontId="1" type="noConversion"/>
  </si>
  <si>
    <t>인수금융 활용여부</t>
    <phoneticPr fontId="1" type="noConversion"/>
  </si>
  <si>
    <t>O</t>
  </si>
  <si>
    <t>인수금융 LTV(Tr.A)</t>
    <phoneticPr fontId="1" type="noConversion"/>
  </si>
  <si>
    <t>인수금융 LTV(Tr.B)</t>
    <phoneticPr fontId="1" type="noConversion"/>
  </si>
  <si>
    <t>이자율(Tr.A)</t>
    <phoneticPr fontId="1" type="noConversion"/>
  </si>
  <si>
    <t>이자율(Tr.B)</t>
    <phoneticPr fontId="1" type="noConversion"/>
  </si>
  <si>
    <t>주선수수료율</t>
    <phoneticPr fontId="1" type="noConversion"/>
  </si>
  <si>
    <t>조기상환수수료(Tr.A)</t>
    <phoneticPr fontId="1" type="noConversion"/>
  </si>
  <si>
    <t>OpCo.</t>
    <phoneticPr fontId="1" type="noConversion"/>
  </si>
  <si>
    <t>Stpe 1. JKL SPC의 EB투입</t>
    <phoneticPr fontId="1" type="noConversion"/>
  </si>
  <si>
    <t>전환대상 주식 수</t>
    <phoneticPr fontId="1" type="noConversion"/>
  </si>
  <si>
    <t>주당 전환가격(원)</t>
    <phoneticPr fontId="1" type="noConversion"/>
  </si>
  <si>
    <t>100% 기준 Value(백만원)</t>
    <phoneticPr fontId="1" type="noConversion"/>
  </si>
  <si>
    <t>EB 발행금액(백만원)</t>
    <phoneticPr fontId="1" type="noConversion"/>
  </si>
  <si>
    <t>Step 2. LS가 JKJS 지분 전부 인수(구주 거래)</t>
    <phoneticPr fontId="1" type="noConversion"/>
  </si>
  <si>
    <t>거래주식 수</t>
    <phoneticPr fontId="1" type="noConversion"/>
  </si>
  <si>
    <t>주당 가격(원)</t>
    <phoneticPr fontId="1" type="noConversion"/>
  </si>
  <si>
    <t>거래금액(백만원)</t>
    <phoneticPr fontId="1" type="noConversion"/>
  </si>
  <si>
    <t>JKL SPC 자금조달</t>
    <phoneticPr fontId="1" type="noConversion"/>
  </si>
  <si>
    <t>인수금융(Tr.A)(백만원)</t>
    <phoneticPr fontId="1" type="noConversion"/>
  </si>
  <si>
    <t>Fund</t>
    <phoneticPr fontId="1" type="noConversion"/>
  </si>
  <si>
    <t>적용 NI(백만원)</t>
    <phoneticPr fontId="1" type="noConversion"/>
  </si>
  <si>
    <t>Multiple</t>
    <phoneticPr fontId="1" type="noConversion"/>
  </si>
  <si>
    <t>할인율</t>
    <phoneticPr fontId="1" type="noConversion"/>
  </si>
  <si>
    <t>Value(백만원)</t>
    <phoneticPr fontId="1" type="noConversion"/>
  </si>
  <si>
    <t>Op Co. 지분율</t>
    <phoneticPr fontId="1" type="noConversion"/>
  </si>
  <si>
    <t>주식 수</t>
    <phoneticPr fontId="1" type="noConversion"/>
  </si>
  <si>
    <t>JKJS</t>
    <phoneticPr fontId="1" type="noConversion"/>
  </si>
  <si>
    <t>JKL SPC</t>
    <phoneticPr fontId="1" type="noConversion"/>
  </si>
  <si>
    <t>OP Co. 영업성과</t>
    <phoneticPr fontId="1" type="noConversion"/>
  </si>
  <si>
    <t>당기순이익(백만원)</t>
    <phoneticPr fontId="1" type="noConversion"/>
  </si>
  <si>
    <t>배당금지급일</t>
    <phoneticPr fontId="1" type="noConversion"/>
  </si>
  <si>
    <t>배당금지급액</t>
    <phoneticPr fontId="1" type="noConversion"/>
  </si>
  <si>
    <t>Analysis</t>
    <phoneticPr fontId="1" type="noConversion"/>
  </si>
  <si>
    <t>SPC Cash Flow</t>
    <phoneticPr fontId="1" type="noConversion"/>
  </si>
  <si>
    <t>Fund</t>
  </si>
  <si>
    <t>Coupon</t>
  </si>
  <si>
    <t>Deal</t>
  </si>
  <si>
    <t>주선수수료</t>
    <phoneticPr fontId="1" type="noConversion"/>
  </si>
  <si>
    <t>대리기관수수료</t>
    <phoneticPr fontId="1" type="noConversion"/>
  </si>
  <si>
    <t>조기상환수수료</t>
    <phoneticPr fontId="1" type="noConversion"/>
  </si>
  <si>
    <t>Tr.A원금</t>
  </si>
  <si>
    <t>Fund IRR</t>
    <phoneticPr fontId="1" type="noConversion"/>
  </si>
  <si>
    <t>잔액</t>
    <phoneticPr fontId="1" type="noConversion"/>
  </si>
  <si>
    <t>CB Coupon</t>
    <phoneticPr fontId="1" type="noConversion"/>
  </si>
  <si>
    <t>Tr.A 이자</t>
    <phoneticPr fontId="1" type="noConversion"/>
  </si>
  <si>
    <t>Tr.B 이자</t>
    <phoneticPr fontId="1" type="noConversion"/>
  </si>
  <si>
    <t>Fund
Cashflow</t>
    <phoneticPr fontId="1" type="noConversion"/>
  </si>
  <si>
    <t>Tr.B 한도
준수여부</t>
    <phoneticPr fontId="1" type="noConversion"/>
  </si>
  <si>
    <t>Tr.A</t>
    <phoneticPr fontId="1" type="noConversion"/>
  </si>
  <si>
    <t>Coupon</t>
    <phoneticPr fontId="1" type="noConversion"/>
  </si>
  <si>
    <t>IPO Exit</t>
    <phoneticPr fontId="1" type="noConversion"/>
  </si>
  <si>
    <t>Tr.B</t>
    <phoneticPr fontId="1" type="noConversion"/>
  </si>
  <si>
    <t>Deal</t>
    <phoneticPr fontId="1" type="noConversion"/>
  </si>
  <si>
    <t>주선</t>
    <phoneticPr fontId="1" type="noConversion"/>
  </si>
  <si>
    <t>대리기관</t>
    <phoneticPr fontId="1" type="noConversion"/>
  </si>
  <si>
    <t>Tr.B 원금</t>
    <phoneticPr fontId="1" type="noConversion"/>
  </si>
  <si>
    <t>조기상환</t>
    <phoneticPr fontId="1" type="noConversion"/>
  </si>
  <si>
    <t>Tr.A원금</t>
    <phoneticPr fontId="1" type="noConversion"/>
  </si>
  <si>
    <t>현금</t>
    <phoneticPr fontId="1" type="noConversion"/>
  </si>
  <si>
    <t>발생</t>
    <phoneticPr fontId="1" type="noConversion"/>
  </si>
  <si>
    <t>수취</t>
    <phoneticPr fontId="1" type="noConversion"/>
  </si>
  <si>
    <t>미수이자</t>
    <phoneticPr fontId="1" type="noConversion"/>
  </si>
  <si>
    <t>지급</t>
    <phoneticPr fontId="1" type="noConversion"/>
  </si>
  <si>
    <t>미지급이자</t>
    <phoneticPr fontId="1" type="noConversion"/>
  </si>
  <si>
    <t>Equity Cashflow</t>
    <phoneticPr fontId="1" type="noConversion"/>
  </si>
  <si>
    <t>MOIC</t>
    <phoneticPr fontId="1" type="noConversion"/>
  </si>
  <si>
    <t>IPO Multiple</t>
    <phoneticPr fontId="1" type="noConversion"/>
  </si>
  <si>
    <t>PER</t>
  </si>
  <si>
    <t>EV/EBITDA</t>
  </si>
  <si>
    <t>PBR</t>
  </si>
  <si>
    <t>Jiangxi Copper</t>
  </si>
  <si>
    <t>Tongling</t>
  </si>
  <si>
    <t>Boliden</t>
  </si>
  <si>
    <t>단위 억원으로 통일</t>
  </si>
  <si>
    <t>DCF Results - 연결기준</t>
  </si>
  <si>
    <t>2026F</t>
  </si>
  <si>
    <t>Terminal</t>
  </si>
  <si>
    <t>EBIT</t>
  </si>
  <si>
    <t>Income Tax</t>
  </si>
  <si>
    <t>EBIT after Tax</t>
  </si>
  <si>
    <t>(+) D&amp;A</t>
  </si>
  <si>
    <t>(-) CAPEX</t>
  </si>
  <si>
    <t>(+/-) NWC</t>
  </si>
  <si>
    <t>FCFF</t>
  </si>
  <si>
    <t>할인기간</t>
  </si>
  <si>
    <t>할인계수</t>
  </si>
  <si>
    <t>PV of FCFF</t>
  </si>
  <si>
    <t>대상기간 누적 현재가치</t>
  </si>
  <si>
    <t>Terminal Value의 현재가치</t>
  </si>
  <si>
    <t>영업가치</t>
  </si>
  <si>
    <t>NOA</t>
  </si>
  <si>
    <t>Enterprise Value</t>
  </si>
  <si>
    <t>IBD</t>
  </si>
  <si>
    <t>Equity Value</t>
  </si>
  <si>
    <t>Margin Projection - 연결기준</t>
  </si>
  <si>
    <t>'21 - '26 CAGR</t>
  </si>
  <si>
    <t xml:space="preserve">Revenue </t>
  </si>
  <si>
    <t>내부거래</t>
  </si>
  <si>
    <t>COGS</t>
  </si>
  <si>
    <t>Gross Profit</t>
  </si>
  <si>
    <t>GP%</t>
  </si>
  <si>
    <t>SG&amp;A</t>
  </si>
  <si>
    <t>EBIT%</t>
  </si>
  <si>
    <t>D&amp;A</t>
  </si>
  <si>
    <t>EBITDA%</t>
  </si>
  <si>
    <t>Margin Projection - 동제련</t>
  </si>
  <si>
    <t>주요금속</t>
  </si>
  <si>
    <t>부산물</t>
  </si>
  <si>
    <t>Revenue Projection - 동제련</t>
  </si>
  <si>
    <t>억원</t>
  </si>
  <si>
    <t>판매단가(백만원/ton)</t>
  </si>
  <si>
    <t>판매량(ton)</t>
  </si>
  <si>
    <t>판매단가(백만원/kg)</t>
  </si>
  <si>
    <t>판매량(kg)</t>
  </si>
  <si>
    <t>은 소재</t>
  </si>
  <si>
    <t>COGS Projection - 동제련</t>
  </si>
  <si>
    <t>재료비</t>
  </si>
  <si>
    <t>COGS Projection - 동제련 재료비</t>
  </si>
  <si>
    <t>P(백만원/ton)</t>
  </si>
  <si>
    <t>Q(ton)</t>
  </si>
  <si>
    <t>P(백만원/kg)</t>
  </si>
  <si>
    <t>Q(kg)</t>
  </si>
  <si>
    <t>COGS Projection - 동제련 노무비/제조경비</t>
  </si>
  <si>
    <t>인당급여(백만원)</t>
  </si>
  <si>
    <t>% of 성과급</t>
  </si>
  <si>
    <t>에너지비</t>
  </si>
  <si>
    <t>용역원가</t>
  </si>
  <si>
    <t>고정비</t>
  </si>
  <si>
    <t>SG&amp;A Projection - 동제련</t>
  </si>
  <si>
    <t>일본파견임원</t>
  </si>
  <si>
    <t>상여</t>
  </si>
  <si>
    <t>일반임직원</t>
  </si>
  <si>
    <t>NWC Projection - 연결기준</t>
  </si>
  <si>
    <t>NWC 변동</t>
  </si>
  <si>
    <t>NWC</t>
  </si>
  <si>
    <t>운전자산</t>
  </si>
  <si>
    <t>운전부채</t>
  </si>
  <si>
    <t>Usance</t>
  </si>
  <si>
    <t>CAPEX/D&amp;A Projection - 동제련</t>
  </si>
  <si>
    <t>% of 동제련 CAPEX</t>
  </si>
  <si>
    <t>% of 동제련 감가상각비</t>
  </si>
  <si>
    <t>Proforma BS - 연결기준</t>
  </si>
  <si>
    <t>자산총계</t>
  </si>
  <si>
    <t>당기법인세부채</t>
  </si>
  <si>
    <t>부채총계</t>
  </si>
  <si>
    <t>자본총계</t>
  </si>
  <si>
    <t>Proforma PL - 연결기준</t>
  </si>
  <si>
    <t>매출총이익%</t>
  </si>
  <si>
    <t>영업외손익</t>
  </si>
  <si>
    <t>현금 평균잔액 대비%</t>
  </si>
  <si>
    <t>법인세차감전순이익</t>
  </si>
  <si>
    <t>당기순이익%</t>
  </si>
  <si>
    <t>Wacc</t>
    <phoneticPr fontId="1" type="noConversion"/>
  </si>
  <si>
    <t>Finalize</t>
    <phoneticPr fontId="1" type="noConversion"/>
  </si>
  <si>
    <t>풍산을 유사회사에서 제거</t>
    <phoneticPr fontId="1" type="noConversion"/>
  </si>
  <si>
    <t>Finalize 요청</t>
    <phoneticPr fontId="1" type="noConversion"/>
  </si>
  <si>
    <r>
      <rPr>
        <b/>
        <sz val="9"/>
        <color theme="1"/>
        <rFont val="맑은 고딕"/>
        <family val="3"/>
        <charset val="129"/>
        <scheme val="minor"/>
      </rPr>
      <t>[답변]</t>
    </r>
    <r>
      <rPr>
        <sz val="9"/>
        <color theme="1"/>
        <rFont val="맑은 고딕"/>
        <family val="3"/>
        <charset val="129"/>
        <scheme val="minor"/>
      </rPr>
      <t xml:space="preserve">
풍산 제거하여 WACC update 완료</t>
    </r>
    <phoneticPr fontId="1" type="noConversion"/>
  </si>
  <si>
    <r>
      <rPr>
        <b/>
        <sz val="9"/>
        <color theme="1"/>
        <rFont val="맑은 고딕"/>
        <family val="3"/>
        <charset val="129"/>
        <scheme val="minor"/>
      </rPr>
      <t>[답변]</t>
    </r>
    <r>
      <rPr>
        <sz val="9"/>
        <color theme="1"/>
        <rFont val="맑은 고딕"/>
        <family val="3"/>
        <charset val="129"/>
        <scheme val="minor"/>
      </rPr>
      <t xml:space="preserve">
FDD Report 등과의 cross check를 통해 Finalize 완료</t>
    </r>
    <phoneticPr fontId="1" type="noConversion"/>
  </si>
  <si>
    <t>Project Linus_DCF model_0329_vF</t>
  </si>
  <si>
    <t>Project Linus_DCF model_0329_vF</t>
    <phoneticPr fontId="1" type="noConversion"/>
  </si>
  <si>
    <t>Valuation</t>
    <phoneticPr fontId="1" type="noConversion"/>
  </si>
  <si>
    <t>주당금액</t>
    <phoneticPr fontId="1" type="noConversion"/>
  </si>
  <si>
    <t>감자주식 수</t>
    <phoneticPr fontId="1" type="noConversion"/>
  </si>
  <si>
    <t>As-IS</t>
    <phoneticPr fontId="1" type="noConversion"/>
  </si>
  <si>
    <t>감자 후</t>
    <phoneticPr fontId="1" type="noConversion"/>
  </si>
  <si>
    <t>EB교환 전</t>
    <phoneticPr fontId="1" type="noConversion"/>
  </si>
  <si>
    <t>EB교환 후</t>
    <phoneticPr fontId="1" type="noConversion"/>
  </si>
  <si>
    <t>감자 후 주식 수</t>
    <phoneticPr fontId="1" type="noConversion"/>
  </si>
  <si>
    <t>JKL Blind</t>
    <phoneticPr fontId="1" type="noConversion"/>
  </si>
  <si>
    <t>VL</t>
    <phoneticPr fontId="1" type="noConversion"/>
  </si>
  <si>
    <t>JKL Project</t>
    <phoneticPr fontId="1" type="noConversion"/>
  </si>
  <si>
    <t>대리기관수수료(백만원) - 최초 및 1년단위</t>
    <phoneticPr fontId="1" type="noConversion"/>
  </si>
  <si>
    <t>미인출수수료</t>
    <phoneticPr fontId="1" type="noConversion"/>
  </si>
  <si>
    <t>미인출수수료(Tr.B)</t>
    <phoneticPr fontId="1" type="noConversion"/>
  </si>
  <si>
    <t>Tr.B미인출</t>
    <phoneticPr fontId="1" type="noConversion"/>
  </si>
  <si>
    <t>Tr.B 미인출수수료</t>
    <phoneticPr fontId="1" type="noConversion"/>
  </si>
  <si>
    <t>미지급수수료</t>
    <phoneticPr fontId="1" type="noConversion"/>
  </si>
  <si>
    <t>JKL
Blind</t>
    <phoneticPr fontId="1" type="noConversion"/>
  </si>
  <si>
    <t>JKL
Project</t>
    <phoneticPr fontId="1" type="noConversion"/>
  </si>
  <si>
    <t>Equity Cash Flow</t>
    <phoneticPr fontId="1" type="noConversion"/>
  </si>
  <si>
    <t>Equity IRR</t>
    <phoneticPr fontId="1" type="noConversion"/>
  </si>
  <si>
    <t>IPO Multiple / IPO 시기 IRR Sensitivity</t>
    <phoneticPr fontId="1" type="noConversion"/>
  </si>
  <si>
    <t>IPO Multiple / IPO 시기 MOIC Sensitivity</t>
    <phoneticPr fontId="1" type="noConversion"/>
  </si>
  <si>
    <t>2021.12.31</t>
  </si>
  <si>
    <t>2022-01-03 ~ 2022-04-29</t>
  </si>
  <si>
    <t>0.29%~0.60%</t>
  </si>
  <si>
    <t>1,087,792 </t>
  </si>
  <si>
    <t>  원화차입금</t>
  </si>
  <si>
    <t>산업은행 외 1개 금융기관</t>
  </si>
  <si>
    <t>2022-06-18 ~ 2022-07-15</t>
  </si>
  <si>
    <t>1.62%~2.32%</t>
  </si>
  <si>
    <t>12,475 </t>
  </si>
  <si>
    <t>9,100 </t>
  </si>
  <si>
    <t>비유동차입금</t>
  </si>
  <si>
    <t>산업은행</t>
  </si>
  <si>
    <t>2.35%~2.38%</t>
  </si>
  <si>
    <t>1,400 </t>
  </si>
  <si>
    <t>1,059,388 </t>
  </si>
  <si>
    <t>1,096,892 </t>
  </si>
  <si>
    <t>271,627 </t>
  </si>
  <si>
    <t>조정:  </t>
  </si>
  <si>
    <t>77,306 </t>
  </si>
  <si>
    <t>  이자비용 </t>
  </si>
  <si>
    <t>12,141 </t>
  </si>
  <si>
    <t>  외화환산손익 </t>
  </si>
  <si>
    <t>  감가상각비 </t>
  </si>
  <si>
    <t>73,376 </t>
  </si>
  <si>
    <t>  무형자산상각비 </t>
  </si>
  <si>
    <t>2,921 </t>
  </si>
  <si>
    <t>  사용권자산감가상각비</t>
  </si>
  <si>
    <t>  유형자산손상차손</t>
  </si>
  <si>
    <t>13 </t>
  </si>
  <si>
    <t>  퇴직급여 </t>
  </si>
  <si>
    <t>7,456 </t>
  </si>
  <si>
    <t>  파생상품관련손익 </t>
  </si>
  <si>
    <t>  유형자산처분손실 </t>
  </si>
  <si>
    <t>4,084 </t>
  </si>
  <si>
    <t>  이자수익 </t>
  </si>
  <si>
    <t>  유형자산처분이익 </t>
  </si>
  <si>
    <t>  지분법손익 </t>
  </si>
  <si>
    <t>  충당부채전입(환입)</t>
  </si>
  <si>
    <t>1,630 </t>
  </si>
  <si>
    <t>  무형자산처분손실</t>
  </si>
  <si>
    <t>  기타 </t>
  </si>
  <si>
    <t>577 </t>
  </si>
  <si>
    <t>영업활동으로 인한 자산ㆍ부채의 변동</t>
  </si>
  <si>
    <t>  매출채권의 감소(증가)</t>
  </si>
  <si>
    <t>  재고자산의 감소(증가)</t>
  </si>
  <si>
    <t>  기타수취채권의 감소</t>
  </si>
  <si>
    <t>  파생상품자산의 감소</t>
  </si>
  <si>
    <t>811 </t>
  </si>
  <si>
    <t>  기타자산의 증가</t>
  </si>
  <si>
    <t>18,020 </t>
  </si>
  <si>
    <t>156,862 </t>
  </si>
  <si>
    <t>  기타지급채무의 증가(감소)</t>
  </si>
  <si>
    <t>28,536 </t>
  </si>
  <si>
    <t>  파생상품부채의 감소</t>
  </si>
  <si>
    <t>1,020 </t>
  </si>
  <si>
    <t>  기타부채의 증가(감소)</t>
  </si>
  <si>
    <t>22,601 </t>
  </si>
  <si>
    <t>  퇴직급여 순지급액</t>
  </si>
  <si>
    <t>  충당부채의 감소</t>
  </si>
  <si>
    <t>66,348 </t>
  </si>
  <si>
    <t>3% 유지 가정</t>
    <phoneticPr fontId="1" type="noConversion"/>
  </si>
  <si>
    <t>유무형자산</t>
  </si>
  <si>
    <t>영업이익%</t>
  </si>
  <si>
    <t>2021A</t>
    <phoneticPr fontId="1" type="noConversion"/>
  </si>
  <si>
    <t>Proforma(연결)_IM용</t>
    <phoneticPr fontId="1" type="noConversion"/>
  </si>
  <si>
    <t>1. 2021년 Full-year를 공시된 Dart 재무제표 기준으로 수정함(2022-04-07) / DCF 이하 시트는 수정하지 않음</t>
    <phoneticPr fontId="1" type="noConversion"/>
  </si>
  <si>
    <t>2. 2021년 Actual 재무제표 기반으로, 기 평가(2021년 9월말 기준)한 DCF 상 2022년 이후 손익, NWC변동, CAPEX, D&amp;A 반영</t>
    <phoneticPr fontId="1" type="noConversion"/>
  </si>
  <si>
    <t>3. 주요 항목이 아닌 기타자산부채의 변동은 발생하지 않는 것으로 가정함</t>
    <phoneticPr fontId="1" type="noConversion"/>
  </si>
  <si>
    <t>4. 주요 항목이 아닌 기타손익은 발생하지 않는 것으로 가정함</t>
    <phoneticPr fontId="1" type="noConversion"/>
  </si>
  <si>
    <t>SPC 운영경비</t>
    <phoneticPr fontId="1" type="noConversion"/>
  </si>
  <si>
    <t>본 거래 자문비용</t>
    <phoneticPr fontId="1" type="noConversion"/>
  </si>
  <si>
    <t>연간 운영경비</t>
    <phoneticPr fontId="1" type="noConversion"/>
  </si>
  <si>
    <t>Exit 시 증권거래세</t>
    <phoneticPr fontId="1" type="noConversion"/>
  </si>
  <si>
    <t>운영경비</t>
    <phoneticPr fontId="1" type="noConversion"/>
  </si>
  <si>
    <t>[Note] : 연중 균등하게 발생한다고 가정함</t>
    <phoneticPr fontId="1" type="noConversion"/>
  </si>
  <si>
    <t>(VLI) '23년부터 LME시세의 BM TC 비중 연간 증가폭 CDD比 절반</t>
  </si>
  <si>
    <t>(VLI) CDD와 동일하게 '23년부터 BM 증감율 반영(전기동)</t>
    <phoneticPr fontId="1" type="noConversion"/>
  </si>
  <si>
    <t>인수금융</t>
    <phoneticPr fontId="1" type="noConversion"/>
  </si>
  <si>
    <t>EB Coupon</t>
    <phoneticPr fontId="1" type="noConversion"/>
  </si>
  <si>
    <t>Exit</t>
    <phoneticPr fontId="1" type="noConversion"/>
  </si>
  <si>
    <t>SPC Cash Flow 성격별 분류</t>
    <phoneticPr fontId="1" type="noConversion"/>
  </si>
  <si>
    <t>자문수수료</t>
    <phoneticPr fontId="1" type="noConversion"/>
  </si>
  <si>
    <t>인수금융 대주단 보고서비용(PWC)</t>
    <phoneticPr fontId="1" type="noConversion"/>
  </si>
  <si>
    <t>인수금융 대주단보고서비용</t>
    <phoneticPr fontId="1" type="noConversion"/>
  </si>
  <si>
    <t>LS 고의/중과실</t>
    <phoneticPr fontId="1" type="noConversion"/>
  </si>
  <si>
    <t>X</t>
  </si>
  <si>
    <t>Penalty Put Option</t>
    <phoneticPr fontId="1" type="noConversion"/>
  </si>
  <si>
    <t>[Note] : "O" Check 시, 5년되는 시점에 Put 행사되는 것으로 반영</t>
    <phoneticPr fontId="1" type="noConversion"/>
  </si>
  <si>
    <t>ROE</t>
    <phoneticPr fontId="1" type="noConversion"/>
  </si>
  <si>
    <t>Cost of Equity</t>
    <phoneticPr fontId="1" type="noConversion"/>
  </si>
  <si>
    <t>자기자본</t>
    <phoneticPr fontId="1" type="noConversion"/>
  </si>
  <si>
    <t>초과이익</t>
    <phoneticPr fontId="1" type="noConversion"/>
  </si>
  <si>
    <t>CoE</t>
    <phoneticPr fontId="1" type="noConversion"/>
  </si>
  <si>
    <t>초과이익의 현재가치</t>
    <phoneticPr fontId="1" type="noConversion"/>
  </si>
  <si>
    <t>현재 Book Value</t>
    <phoneticPr fontId="1" type="noConversion"/>
  </si>
  <si>
    <t>3개월 CD</t>
  </si>
  <si>
    <t>3개월 CD</t>
    <phoneticPr fontId="1" type="noConversion"/>
  </si>
  <si>
    <t xml:space="preserve">Spread </t>
    <phoneticPr fontId="1" type="noConversion"/>
  </si>
  <si>
    <t>변동/고정 비중</t>
    <phoneticPr fontId="1" type="noConversion"/>
  </si>
  <si>
    <t>&lt;변동</t>
    <phoneticPr fontId="1" type="noConversion"/>
  </si>
  <si>
    <t>고정&gt;</t>
    <phoneticPr fontId="1" type="noConversion"/>
  </si>
  <si>
    <t>고정비율(%)</t>
    <phoneticPr fontId="1" type="noConversion"/>
  </si>
  <si>
    <t>변동비율(%)</t>
    <phoneticPr fontId="1" type="noConversion"/>
  </si>
  <si>
    <t>변동금리 이자율</t>
    <phoneticPr fontId="1" type="noConversion"/>
  </si>
  <si>
    <t>금융채 5년, AAA</t>
    <phoneticPr fontId="1" type="noConversion"/>
  </si>
  <si>
    <t>고정금리 이자율</t>
    <phoneticPr fontId="1" type="noConversion"/>
  </si>
  <si>
    <t>Waterfall Analysis</t>
    <phoneticPr fontId="1" type="noConversion"/>
  </si>
  <si>
    <t>Fund CF</t>
    <phoneticPr fontId="1" type="noConversion"/>
  </si>
  <si>
    <t>Total</t>
  </si>
  <si>
    <t>IRR</t>
    <phoneticPr fontId="1" type="noConversion"/>
  </si>
  <si>
    <t>VL CF</t>
    <phoneticPr fontId="1" type="noConversion"/>
  </si>
  <si>
    <t>1) 6% 구간 선취 (A)</t>
    <phoneticPr fontId="1" type="noConversion"/>
  </si>
  <si>
    <t>- VL 6% 분배 후 잔액</t>
    <phoneticPr fontId="1" type="noConversion"/>
  </si>
  <si>
    <t>2) JKL 6%까지 C/U (B)</t>
    <phoneticPr fontId="1" type="noConversion"/>
  </si>
  <si>
    <t>- JKL 6% 분배 후 잔액</t>
    <phoneticPr fontId="1" type="noConversion"/>
  </si>
  <si>
    <t>3) VL Pro-rata (C)</t>
    <phoneticPr fontId="1" type="noConversion"/>
  </si>
  <si>
    <t>4) JKL Pro-rata (D)</t>
    <phoneticPr fontId="1" type="noConversion"/>
  </si>
  <si>
    <t>5) JKL Drag (E)</t>
    <phoneticPr fontId="1" type="noConversion"/>
  </si>
  <si>
    <t>VL C/F (A+C-E)</t>
    <phoneticPr fontId="1" type="noConversion"/>
  </si>
  <si>
    <t>Stress</t>
    <phoneticPr fontId="1" type="noConversion"/>
  </si>
  <si>
    <t>적용X</t>
  </si>
  <si>
    <t>2022년 이후 USD5,000 유지(전기동만 해당)</t>
    <phoneticPr fontId="1" type="noConversion"/>
  </si>
  <si>
    <t>JKL CF</t>
    <phoneticPr fontId="1" type="noConversion"/>
  </si>
  <si>
    <t>Total (B+D+E)</t>
    <phoneticPr fontId="1" type="noConversion"/>
  </si>
  <si>
    <t xml:space="preserve">당초 구조 시 </t>
    <phoneticPr fontId="1" type="noConversion"/>
  </si>
  <si>
    <t>Total</t>
    <phoneticPr fontId="1" type="noConversion"/>
  </si>
  <si>
    <t>Gap</t>
    <phoneticPr fontId="1" type="noConversion"/>
  </si>
  <si>
    <t>회수액</t>
    <phoneticPr fontId="1" type="noConversion"/>
  </si>
  <si>
    <t>[JKL IRR, VL Hurdle x JKL 초과수익 참여율]</t>
    <phoneticPr fontId="1" type="noConversion"/>
  </si>
  <si>
    <t>VL YTM(선취수익률)</t>
    <phoneticPr fontId="1" type="noConversion"/>
  </si>
  <si>
    <t>JKL Drag %</t>
    <phoneticPr fontId="1" type="noConversion"/>
  </si>
  <si>
    <t>[JKL MOIC, VL Hurdle x JKL 초과수익 참여율]</t>
    <phoneticPr fontId="1" type="noConversion"/>
  </si>
  <si>
    <t>Peer Multiple(2021년 12월말기준임)</t>
    <phoneticPr fontId="1" type="noConversion"/>
  </si>
  <si>
    <t>Entry Multiple</t>
    <phoneticPr fontId="1" type="noConversion"/>
  </si>
  <si>
    <t>EV/EBITDA</t>
    <phoneticPr fontId="1" type="noConversion"/>
  </si>
  <si>
    <t>EBITDA(2021년 Actual)</t>
    <phoneticPr fontId="1" type="noConversion"/>
  </si>
  <si>
    <t>Equity Value</t>
    <phoneticPr fontId="1" type="noConversion"/>
  </si>
  <si>
    <t>EV</t>
    <phoneticPr fontId="1" type="noConversion"/>
  </si>
  <si>
    <t>금융자산</t>
    <phoneticPr fontId="1" type="noConversion"/>
  </si>
  <si>
    <t>차입금</t>
    <phoneticPr fontId="1" type="noConversion"/>
  </si>
  <si>
    <t>Netdebt(2021년말기준)</t>
    <phoneticPr fontId="1" type="noConversion"/>
  </si>
  <si>
    <t>PER</t>
    <phoneticPr fontId="1" type="noConversion"/>
  </si>
  <si>
    <t>NI(2021년 Actual)</t>
    <phoneticPr fontId="1" type="noConversion"/>
  </si>
  <si>
    <t>동 FreeMetal 민감도(단위: 억원) : : Assumption 설정값 대비 Free Metal% 절대값 변동</t>
    <phoneticPr fontId="1" type="noConversion"/>
  </si>
  <si>
    <t>동 Price</t>
    <phoneticPr fontId="1" type="noConversion"/>
  </si>
  <si>
    <t>금 Price</t>
    <phoneticPr fontId="1" type="noConversion"/>
  </si>
  <si>
    <t>은 Price</t>
    <phoneticPr fontId="1" type="noConversion"/>
  </si>
  <si>
    <t>환율 민감도(단위: 억원): Assumption 설정값 대비 변동율</t>
    <phoneticPr fontId="1" type="noConversion"/>
  </si>
  <si>
    <t>금리 민감도(단위: 억원): Assumption 설정값 대비 절대값 변동</t>
    <phoneticPr fontId="1" type="noConversion"/>
  </si>
  <si>
    <t>금리</t>
    <phoneticPr fontId="1" type="noConversion"/>
  </si>
  <si>
    <t>Entry Assumptions</t>
    <phoneticPr fontId="1" type="noConversion"/>
  </si>
  <si>
    <t>Op. Co</t>
    <phoneticPr fontId="1" type="noConversion"/>
  </si>
  <si>
    <t>배당성향</t>
  </si>
  <si>
    <t>EB Value</t>
    <phoneticPr fontId="1" type="noConversion"/>
  </si>
  <si>
    <t>SPC 운영경비</t>
  </si>
  <si>
    <t>EB 교환대상 지분율</t>
    <phoneticPr fontId="1" type="noConversion"/>
  </si>
  <si>
    <t>본 거래 자문비용</t>
  </si>
  <si>
    <t>인수금융 대주단 보고서비용(PWC)</t>
  </si>
  <si>
    <t>EBITDA (Y21)</t>
    <phoneticPr fontId="1" type="noConversion"/>
  </si>
  <si>
    <t>Exit 시 증권거래세</t>
  </si>
  <si>
    <t>연간 운영경비</t>
  </si>
  <si>
    <t>Hold. Co Syndication</t>
    <phoneticPr fontId="1" type="noConversion"/>
  </si>
  <si>
    <t>Exit Assumption</t>
    <phoneticPr fontId="1" type="noConversion"/>
  </si>
  <si>
    <t>Hold. Co Loan</t>
    <phoneticPr fontId="1" type="noConversion"/>
  </si>
  <si>
    <t>LTV</t>
    <phoneticPr fontId="1" type="noConversion"/>
  </si>
  <si>
    <t>Term Loan</t>
    <phoneticPr fontId="1" type="noConversion"/>
  </si>
  <si>
    <t>이자율 (4/25)</t>
    <phoneticPr fontId="1" type="noConversion"/>
  </si>
  <si>
    <t>Exit NI</t>
    <phoneticPr fontId="1" type="noConversion"/>
  </si>
  <si>
    <t>RCF</t>
    <phoneticPr fontId="1" type="noConversion"/>
  </si>
  <si>
    <t>주선수수료율</t>
  </si>
  <si>
    <t>Results</t>
    <phoneticPr fontId="1" type="noConversion"/>
  </si>
  <si>
    <t>미인출수수료(Tr.B)</t>
  </si>
  <si>
    <t>JKL IRR</t>
    <phoneticPr fontId="1" type="noConversion"/>
  </si>
  <si>
    <t>조기상환수수료(Tr.A)</t>
  </si>
  <si>
    <t>JKL MOIC</t>
    <phoneticPr fontId="1" type="noConversion"/>
  </si>
  <si>
    <t>2012-01-03</t>
  </si>
  <si>
    <t>2012-01-04</t>
  </si>
  <si>
    <t>2012-01-05</t>
  </si>
  <si>
    <t>2012-01-06</t>
  </si>
  <si>
    <t>2012-01-09</t>
  </si>
  <si>
    <t>2012-01-10</t>
  </si>
  <si>
    <t>2012-01-11</t>
  </si>
  <si>
    <t>2012-01-12</t>
  </si>
  <si>
    <t>2012-01-13</t>
  </si>
  <si>
    <t>2012-01-16</t>
  </si>
  <si>
    <t>2012-01-17</t>
  </si>
  <si>
    <t>2012-01-18</t>
  </si>
  <si>
    <t>2012-01-19</t>
  </si>
  <si>
    <t>2012-01-20</t>
  </si>
  <si>
    <t>2012-01-23</t>
  </si>
  <si>
    <t>2012-01-24</t>
  </si>
  <si>
    <t>2012-01-25</t>
  </si>
  <si>
    <t>2012-01-26</t>
  </si>
  <si>
    <t>2012-01-27</t>
  </si>
  <si>
    <t>2012-01-30</t>
  </si>
  <si>
    <t>2012-01-31</t>
  </si>
  <si>
    <t>2012-02-01</t>
  </si>
  <si>
    <t>2012-02-02</t>
  </si>
  <si>
    <t>2012-02-03</t>
  </si>
  <si>
    <t>2012-02-06</t>
  </si>
  <si>
    <t>2012-02-07</t>
  </si>
  <si>
    <t>2012-02-08</t>
  </si>
  <si>
    <t>2012-02-09</t>
  </si>
  <si>
    <t>2012-02-10</t>
  </si>
  <si>
    <t>2012-02-13</t>
  </si>
  <si>
    <t>2012-02-14</t>
  </si>
  <si>
    <t>2012-02-15</t>
  </si>
  <si>
    <t>2012-02-16</t>
  </si>
  <si>
    <t>2012-02-17</t>
  </si>
  <si>
    <t>2012-02-20</t>
  </si>
  <si>
    <t>2012-02-21</t>
  </si>
  <si>
    <t>2012-02-22</t>
  </si>
  <si>
    <t>2012-02-23</t>
  </si>
  <si>
    <t>2012-02-24</t>
  </si>
  <si>
    <t>2012-02-27</t>
  </si>
  <si>
    <t>2012-02-28</t>
  </si>
  <si>
    <t>2012-02-29</t>
  </si>
  <si>
    <t>2012-03-01</t>
  </si>
  <si>
    <t>2012-03-02</t>
  </si>
  <si>
    <t>2012-03-05</t>
  </si>
  <si>
    <t>2012-03-06</t>
  </si>
  <si>
    <t>2012-03-07</t>
  </si>
  <si>
    <t>2012-03-08</t>
  </si>
  <si>
    <t>2012-03-09</t>
  </si>
  <si>
    <t>2012-03-12</t>
  </si>
  <si>
    <t>2012-03-13</t>
  </si>
  <si>
    <t>2012-03-14</t>
  </si>
  <si>
    <t>2012-03-15</t>
  </si>
  <si>
    <t>2012-03-16</t>
  </si>
  <si>
    <t>2012-03-19</t>
  </si>
  <si>
    <t>2012-03-20</t>
  </si>
  <si>
    <t>2012-03-21</t>
  </si>
  <si>
    <t>2012-03-22</t>
  </si>
  <si>
    <t>2012-03-23</t>
  </si>
  <si>
    <t>2012-03-26</t>
  </si>
  <si>
    <t>2012-03-27</t>
  </si>
  <si>
    <t>2012-03-28</t>
  </si>
  <si>
    <t>2012-03-29</t>
  </si>
  <si>
    <t>2012-03-30</t>
  </si>
  <si>
    <t>2012-04-02</t>
  </si>
  <si>
    <t>2012-04-03</t>
  </si>
  <si>
    <t>2012-04-04</t>
  </si>
  <si>
    <t>2012-04-05</t>
  </si>
  <si>
    <t>2012-04-10</t>
  </si>
  <si>
    <t>2012-04-11</t>
  </si>
  <si>
    <t>2012-04-12</t>
  </si>
  <si>
    <t>2012-04-13</t>
  </si>
  <si>
    <t>2012-04-16</t>
  </si>
  <si>
    <t>2012-04-17</t>
  </si>
  <si>
    <t>2012-04-18</t>
  </si>
  <si>
    <t>2012-04-19</t>
  </si>
  <si>
    <t>2012-04-20</t>
  </si>
  <si>
    <t>2012-04-23</t>
  </si>
  <si>
    <t>2012-04-24</t>
  </si>
  <si>
    <t>2012-04-25</t>
  </si>
  <si>
    <t>2012-04-26</t>
  </si>
  <si>
    <t>2012-04-27</t>
  </si>
  <si>
    <t>2012-04-30</t>
  </si>
  <si>
    <t>2012-05-01</t>
  </si>
  <si>
    <t>2012-05-02</t>
  </si>
  <si>
    <t>2012-05-03</t>
  </si>
  <si>
    <t>2012-05-04</t>
  </si>
  <si>
    <t>2012-05-08</t>
  </si>
  <si>
    <t>2012-05-09</t>
  </si>
  <si>
    <t>2012-05-10</t>
  </si>
  <si>
    <t>2012-05-11</t>
  </si>
  <si>
    <t>2012-05-14</t>
  </si>
  <si>
    <t>2012-05-15</t>
  </si>
  <si>
    <t>2012-05-16</t>
  </si>
  <si>
    <t>2012-05-17</t>
  </si>
  <si>
    <t>2012-05-18</t>
  </si>
  <si>
    <t>2012-05-21</t>
  </si>
  <si>
    <t>2012-05-22</t>
  </si>
  <si>
    <t>2012-05-23</t>
  </si>
  <si>
    <t>2012-05-24</t>
  </si>
  <si>
    <t>2012-05-25</t>
  </si>
  <si>
    <t>2012-05-28</t>
  </si>
  <si>
    <t>2012-05-29</t>
  </si>
  <si>
    <t>2012-05-30</t>
  </si>
  <si>
    <t>2012-05-31</t>
  </si>
  <si>
    <t>2012-06-01</t>
  </si>
  <si>
    <t>2012-06-06</t>
  </si>
  <si>
    <t>2012-06-07</t>
  </si>
  <si>
    <t>2012-06-08</t>
  </si>
  <si>
    <t>2012-06-11</t>
  </si>
  <si>
    <t>2012-06-12</t>
  </si>
  <si>
    <t>2012-06-13</t>
  </si>
  <si>
    <t>2012-06-14</t>
  </si>
  <si>
    <t>2012-06-15</t>
  </si>
  <si>
    <t>2012-06-18</t>
  </si>
  <si>
    <t>2012-06-19</t>
  </si>
  <si>
    <t>2012-06-20</t>
  </si>
  <si>
    <t>2012-06-21</t>
  </si>
  <si>
    <t>2012-06-22</t>
  </si>
  <si>
    <t>2012-06-25</t>
  </si>
  <si>
    <t>2012-06-26</t>
  </si>
  <si>
    <t>2012-06-27</t>
  </si>
  <si>
    <t>2012-06-28</t>
  </si>
  <si>
    <t>2012-06-29</t>
  </si>
  <si>
    <t>2012-07-02</t>
  </si>
  <si>
    <t>2012-07-03</t>
  </si>
  <si>
    <t>2012-07-04</t>
  </si>
  <si>
    <t>2012-07-05</t>
  </si>
  <si>
    <t>2012-07-06</t>
  </si>
  <si>
    <t>2012-07-09</t>
  </si>
  <si>
    <t>2012-07-10</t>
  </si>
  <si>
    <t>2012-07-11</t>
  </si>
  <si>
    <t>2012-07-12</t>
  </si>
  <si>
    <t>2012-07-13</t>
  </si>
  <si>
    <t>2012-07-16</t>
  </si>
  <si>
    <t>2012-07-17</t>
  </si>
  <si>
    <t>2012-07-18</t>
  </si>
  <si>
    <t>2012-07-19</t>
  </si>
  <si>
    <t>2012-07-20</t>
  </si>
  <si>
    <t>2012-07-23</t>
  </si>
  <si>
    <t>2012-07-24</t>
  </si>
  <si>
    <t>2012-07-25</t>
  </si>
  <si>
    <t>2012-07-26</t>
  </si>
  <si>
    <t>2012-07-27</t>
  </si>
  <si>
    <t>2012-07-30</t>
  </si>
  <si>
    <t>2012-07-31</t>
  </si>
  <si>
    <t>2012-08-01</t>
  </si>
  <si>
    <t>2012-08-02</t>
  </si>
  <si>
    <t>2012-08-03</t>
  </si>
  <si>
    <t>2012-08-06</t>
  </si>
  <si>
    <t>2012-08-07</t>
  </si>
  <si>
    <t>2012-08-08</t>
  </si>
  <si>
    <t>2012-08-09</t>
  </si>
  <si>
    <t>2012-08-10</t>
  </si>
  <si>
    <t>2012-08-13</t>
  </si>
  <si>
    <t>2012-08-14</t>
  </si>
  <si>
    <t>2012-08-15</t>
  </si>
  <si>
    <t>2012-08-16</t>
  </si>
  <si>
    <t>2012-08-17</t>
  </si>
  <si>
    <t>2012-08-20</t>
  </si>
  <si>
    <t>2012-08-21</t>
  </si>
  <si>
    <t>2012-08-22</t>
  </si>
  <si>
    <t>2012-08-23</t>
  </si>
  <si>
    <t>2012-08-24</t>
  </si>
  <si>
    <t>2012-08-28</t>
  </si>
  <si>
    <t>2012-08-29</t>
  </si>
  <si>
    <t>2012-08-30</t>
  </si>
  <si>
    <t>2012-08-31</t>
  </si>
  <si>
    <t>2012-09-03</t>
  </si>
  <si>
    <t>2012-09-04</t>
  </si>
  <si>
    <t>2012-09-05</t>
  </si>
  <si>
    <t>2012-09-06</t>
  </si>
  <si>
    <t>2012-09-07</t>
  </si>
  <si>
    <t>2012-09-10</t>
  </si>
  <si>
    <t>2012-09-11</t>
  </si>
  <si>
    <t>2012-09-12</t>
  </si>
  <si>
    <t>2012-09-13</t>
  </si>
  <si>
    <t>2012-09-14</t>
  </si>
  <si>
    <t>2012-09-17</t>
  </si>
  <si>
    <t>2012-09-18</t>
  </si>
  <si>
    <t>2012-09-19</t>
  </si>
  <si>
    <t>2012-09-20</t>
  </si>
  <si>
    <t>2012-09-21</t>
  </si>
  <si>
    <t>2012-09-24</t>
  </si>
  <si>
    <t>2012-09-25</t>
  </si>
  <si>
    <t>2012-09-26</t>
  </si>
  <si>
    <t>2012-09-27</t>
  </si>
  <si>
    <t>2012-09-28</t>
  </si>
  <si>
    <t>2012-10-01</t>
  </si>
  <si>
    <t>2012-10-02</t>
  </si>
  <si>
    <t>2012-10-03</t>
  </si>
  <si>
    <t>2012-10-04</t>
  </si>
  <si>
    <t>2012-10-05</t>
  </si>
  <si>
    <t>2012-10-08</t>
  </si>
  <si>
    <t>2012-10-09</t>
  </si>
  <si>
    <t>2012-10-10</t>
  </si>
  <si>
    <t>2012-10-11</t>
  </si>
  <si>
    <t>2012-10-12</t>
  </si>
  <si>
    <t>2012-10-15</t>
  </si>
  <si>
    <t>2012-10-16</t>
  </si>
  <si>
    <t>2012-10-17</t>
  </si>
  <si>
    <t>2012-10-18</t>
  </si>
  <si>
    <t>2012-10-19</t>
  </si>
  <si>
    <t>2012-10-22</t>
  </si>
  <si>
    <t>2012-10-23</t>
  </si>
  <si>
    <t>2012-10-24</t>
  </si>
  <si>
    <t>2012-10-25</t>
  </si>
  <si>
    <t>2012-10-26</t>
  </si>
  <si>
    <t>2012-10-29</t>
  </si>
  <si>
    <t>2012-10-30</t>
  </si>
  <si>
    <t>2012-10-31</t>
  </si>
  <si>
    <t>2012-11-01</t>
  </si>
  <si>
    <t>2012-11-02</t>
  </si>
  <si>
    <t>2012-11-05</t>
  </si>
  <si>
    <t>2012-11-06</t>
  </si>
  <si>
    <t>2012-11-07</t>
  </si>
  <si>
    <t>2012-11-08</t>
  </si>
  <si>
    <t>2012-11-09</t>
  </si>
  <si>
    <t>2012-11-12</t>
  </si>
  <si>
    <t>2012-11-13</t>
  </si>
  <si>
    <t>2012-11-14</t>
  </si>
  <si>
    <t>2012-11-15</t>
  </si>
  <si>
    <t>2012-11-16</t>
  </si>
  <si>
    <t>2012-11-19</t>
  </si>
  <si>
    <t>2012-11-20</t>
  </si>
  <si>
    <t>2012-11-21</t>
  </si>
  <si>
    <t>2012-11-22</t>
  </si>
  <si>
    <t>2012-11-23</t>
  </si>
  <si>
    <t>2012-11-26</t>
  </si>
  <si>
    <t>2012-11-27</t>
  </si>
  <si>
    <t>2012-11-28</t>
  </si>
  <si>
    <t>2012-11-29</t>
  </si>
  <si>
    <t>2012-11-30</t>
  </si>
  <si>
    <t>2012-12-03</t>
  </si>
  <si>
    <t>2012-12-04</t>
  </si>
  <si>
    <t>2012-12-05</t>
  </si>
  <si>
    <t>2012-12-06</t>
  </si>
  <si>
    <t>2012-12-07</t>
  </si>
  <si>
    <t>2012-12-10</t>
  </si>
  <si>
    <t>2012-12-11</t>
  </si>
  <si>
    <t>2012-12-12</t>
  </si>
  <si>
    <t>2012-12-13</t>
  </si>
  <si>
    <t>2012-12-14</t>
  </si>
  <si>
    <t>2012-12-17</t>
  </si>
  <si>
    <t>2012-12-18</t>
  </si>
  <si>
    <t>2012-12-19</t>
  </si>
  <si>
    <t>2012-12-20</t>
  </si>
  <si>
    <t>2012-12-21</t>
  </si>
  <si>
    <t>2012-12-24</t>
  </si>
  <si>
    <t>2012-12-27</t>
  </si>
  <si>
    <t>2012-12-28</t>
  </si>
  <si>
    <t>2012-12-31</t>
  </si>
  <si>
    <t>2013-01-02</t>
  </si>
  <si>
    <t>2013-01-03</t>
  </si>
  <si>
    <t>2013-01-04</t>
  </si>
  <si>
    <t>2013-01-07</t>
  </si>
  <si>
    <t>2013-01-08</t>
  </si>
  <si>
    <t>2013-01-09</t>
  </si>
  <si>
    <t>2013-01-10</t>
  </si>
  <si>
    <t>2013-01-11</t>
  </si>
  <si>
    <t>2013-01-14</t>
  </si>
  <si>
    <t>2013-01-15</t>
  </si>
  <si>
    <t>2013-01-16</t>
  </si>
  <si>
    <t>2013-01-17</t>
  </si>
  <si>
    <t>2013-01-18</t>
  </si>
  <si>
    <t>2013-01-21</t>
  </si>
  <si>
    <t>2013-01-22</t>
  </si>
  <si>
    <t>2013-01-23</t>
  </si>
  <si>
    <t>2013-01-24</t>
  </si>
  <si>
    <t>2013-01-25</t>
  </si>
  <si>
    <t>2013-01-28</t>
  </si>
  <si>
    <t>2013-01-29</t>
  </si>
  <si>
    <t>2013-01-30</t>
  </si>
  <si>
    <t>2013-01-31</t>
  </si>
  <si>
    <t>2013-02-01</t>
  </si>
  <si>
    <t>2013-02-04</t>
  </si>
  <si>
    <t>2013-02-05</t>
  </si>
  <si>
    <t>2013-02-06</t>
  </si>
  <si>
    <t>2013-02-07</t>
  </si>
  <si>
    <t>2013-02-08</t>
  </si>
  <si>
    <t>2013-02-11</t>
  </si>
  <si>
    <t>2013-02-12</t>
  </si>
  <si>
    <t>2013-02-13</t>
  </si>
  <si>
    <t>2013-02-14</t>
  </si>
  <si>
    <t>2013-02-15</t>
  </si>
  <si>
    <t>2013-02-18</t>
  </si>
  <si>
    <t>2013-02-19</t>
  </si>
  <si>
    <t>2013-02-20</t>
  </si>
  <si>
    <t>2013-02-21</t>
  </si>
  <si>
    <t>2013-02-22</t>
  </si>
  <si>
    <t>2013-02-25</t>
  </si>
  <si>
    <t>2013-02-26</t>
  </si>
  <si>
    <t>2013-02-27</t>
  </si>
  <si>
    <t>2013-02-28</t>
  </si>
  <si>
    <t>2013-03-01</t>
  </si>
  <si>
    <t>2013-03-04</t>
  </si>
  <si>
    <t>2013-03-05</t>
  </si>
  <si>
    <t>2013-03-06</t>
  </si>
  <si>
    <t>2013-03-07</t>
  </si>
  <si>
    <t>2013-03-08</t>
  </si>
  <si>
    <t>2013-03-11</t>
  </si>
  <si>
    <t>2013-03-12</t>
  </si>
  <si>
    <t>2013-03-13</t>
  </si>
  <si>
    <t>2013-03-14</t>
  </si>
  <si>
    <t>2013-03-15</t>
  </si>
  <si>
    <t>2013-03-18</t>
  </si>
  <si>
    <t>2013-03-19</t>
  </si>
  <si>
    <t>2013-03-20</t>
  </si>
  <si>
    <t>2013-03-21</t>
  </si>
  <si>
    <t>2013-03-22</t>
  </si>
  <si>
    <t>2013-03-25</t>
  </si>
  <si>
    <t>2013-03-26</t>
  </si>
  <si>
    <t>2013-03-27</t>
  </si>
  <si>
    <t>2013-03-28</t>
  </si>
  <si>
    <t>2013-04-02</t>
  </si>
  <si>
    <t>2013-04-03</t>
  </si>
  <si>
    <t>2013-04-04</t>
  </si>
  <si>
    <t>2013-04-05</t>
  </si>
  <si>
    <t>2013-04-08</t>
  </si>
  <si>
    <t>2013-04-09</t>
  </si>
  <si>
    <t>2013-04-10</t>
  </si>
  <si>
    <t>2013-04-11</t>
  </si>
  <si>
    <t>2013-04-12</t>
  </si>
  <si>
    <t>2013-04-15</t>
  </si>
  <si>
    <t>2013-04-16</t>
  </si>
  <si>
    <t>2013-04-17</t>
  </si>
  <si>
    <t>2013-04-18</t>
  </si>
  <si>
    <t>2013-04-19</t>
  </si>
  <si>
    <t>2013-04-22</t>
  </si>
  <si>
    <t>2013-04-23</t>
  </si>
  <si>
    <t>2013-04-24</t>
  </si>
  <si>
    <t>2013-04-25</t>
  </si>
  <si>
    <t>2013-04-26</t>
  </si>
  <si>
    <t>2013-04-29</t>
  </si>
  <si>
    <t>2013-04-30</t>
  </si>
  <si>
    <t>2013-05-01</t>
  </si>
  <si>
    <t>2013-05-02</t>
  </si>
  <si>
    <t>2013-05-03</t>
  </si>
  <si>
    <t>2013-05-07</t>
  </si>
  <si>
    <t>2013-05-08</t>
  </si>
  <si>
    <t>2013-05-09</t>
  </si>
  <si>
    <t>2013-05-10</t>
  </si>
  <si>
    <t>2013-05-13</t>
  </si>
  <si>
    <t>2013-05-14</t>
  </si>
  <si>
    <t>2013-05-15</t>
  </si>
  <si>
    <t>2013-05-16</t>
  </si>
  <si>
    <t>2013-05-17</t>
  </si>
  <si>
    <t>2013-05-20</t>
  </si>
  <si>
    <t>2013-05-21</t>
  </si>
  <si>
    <t>2013-05-22</t>
  </si>
  <si>
    <t>2013-05-23</t>
  </si>
  <si>
    <t>2013-05-24</t>
  </si>
  <si>
    <t>2013-05-28</t>
  </si>
  <si>
    <t>2013-05-29</t>
  </si>
  <si>
    <t>2013-05-30</t>
  </si>
  <si>
    <t>2013-05-31</t>
  </si>
  <si>
    <t>2013-06-03</t>
  </si>
  <si>
    <t>2013-06-04</t>
  </si>
  <si>
    <t>2013-06-05</t>
  </si>
  <si>
    <t>2013-06-06</t>
  </si>
  <si>
    <t>2013-06-07</t>
  </si>
  <si>
    <t>2013-06-10</t>
  </si>
  <si>
    <t>2013-06-11</t>
  </si>
  <si>
    <t>2013-06-12</t>
  </si>
  <si>
    <t>2013-06-13</t>
  </si>
  <si>
    <t>2013-06-14</t>
  </si>
  <si>
    <t>2013-06-17</t>
  </si>
  <si>
    <t>2013-06-18</t>
  </si>
  <si>
    <t>2013-06-19</t>
  </si>
  <si>
    <t>2013-06-20</t>
  </si>
  <si>
    <t>2013-06-21</t>
  </si>
  <si>
    <t>2013-06-24</t>
  </si>
  <si>
    <t>2013-06-25</t>
  </si>
  <si>
    <t>2013-06-26</t>
  </si>
  <si>
    <t>2013-06-27</t>
  </si>
  <si>
    <t>2013-06-28</t>
  </si>
  <si>
    <t>2013-07-01</t>
  </si>
  <si>
    <t>2013-07-02</t>
  </si>
  <si>
    <t>2013-07-03</t>
  </si>
  <si>
    <t>2013-07-04</t>
  </si>
  <si>
    <t>2013-07-05</t>
  </si>
  <si>
    <t>2013-07-08</t>
  </si>
  <si>
    <t>2013-07-09</t>
  </si>
  <si>
    <t>2013-07-10</t>
  </si>
  <si>
    <t>2013-07-11</t>
  </si>
  <si>
    <t>2013-07-12</t>
  </si>
  <si>
    <t>2013-07-15</t>
  </si>
  <si>
    <t>2013-07-16</t>
  </si>
  <si>
    <t>2013-07-17</t>
  </si>
  <si>
    <t>2013-07-18</t>
  </si>
  <si>
    <t>2013-07-19</t>
  </si>
  <si>
    <t>2013-07-22</t>
  </si>
  <si>
    <t>2013-07-23</t>
  </si>
  <si>
    <t>2013-07-24</t>
  </si>
  <si>
    <t>2013-07-25</t>
  </si>
  <si>
    <t>2013-07-26</t>
  </si>
  <si>
    <t>2013-07-29</t>
  </si>
  <si>
    <t>2013-07-30</t>
  </si>
  <si>
    <t>2013-07-31</t>
  </si>
  <si>
    <t>2013-08-01</t>
  </si>
  <si>
    <t>2013-08-02</t>
  </si>
  <si>
    <t>2013-08-05</t>
  </si>
  <si>
    <t>2013-08-06</t>
  </si>
  <si>
    <t>2013-08-07</t>
  </si>
  <si>
    <t>2013-08-08</t>
  </si>
  <si>
    <t>2013-08-09</t>
  </si>
  <si>
    <t>2013-08-12</t>
  </si>
  <si>
    <t>2013-08-13</t>
  </si>
  <si>
    <t>2013-08-14</t>
  </si>
  <si>
    <t>2013-08-15</t>
  </si>
  <si>
    <t>2013-08-16</t>
  </si>
  <si>
    <t>2013-08-19</t>
  </si>
  <si>
    <t>2013-08-20</t>
  </si>
  <si>
    <t>2013-08-21</t>
  </si>
  <si>
    <t>2013-08-22</t>
  </si>
  <si>
    <t>2013-08-23</t>
  </si>
  <si>
    <t>2013-08-27</t>
  </si>
  <si>
    <t>2013-08-28</t>
  </si>
  <si>
    <t>2013-08-29</t>
  </si>
  <si>
    <t>2013-08-30</t>
  </si>
  <si>
    <t>2013-09-02</t>
  </si>
  <si>
    <t>2013-09-03</t>
  </si>
  <si>
    <t>2013-09-04</t>
  </si>
  <si>
    <t>2013-09-05</t>
  </si>
  <si>
    <t>2013-09-06</t>
  </si>
  <si>
    <t>2013-09-09</t>
  </si>
  <si>
    <t>2013-09-10</t>
  </si>
  <si>
    <t>2013-09-11</t>
  </si>
  <si>
    <t>2013-09-12</t>
  </si>
  <si>
    <t>2013-09-13</t>
  </si>
  <si>
    <t>2013-09-16</t>
  </si>
  <si>
    <t>2013-09-17</t>
  </si>
  <si>
    <t>2013-09-18</t>
  </si>
  <si>
    <t>2013-09-19</t>
  </si>
  <si>
    <t>2013-09-20</t>
  </si>
  <si>
    <t>2013-09-23</t>
  </si>
  <si>
    <t>2013-09-24</t>
  </si>
  <si>
    <t>2013-09-25</t>
  </si>
  <si>
    <t>2013-09-26</t>
  </si>
  <si>
    <t>2013-09-27</t>
  </si>
  <si>
    <t>2013-09-30</t>
  </si>
  <si>
    <t>2013-10-01</t>
  </si>
  <si>
    <t>2013-10-02</t>
  </si>
  <si>
    <t>2013-10-03</t>
  </si>
  <si>
    <t>2013-10-04</t>
  </si>
  <si>
    <t>2013-10-07</t>
  </si>
  <si>
    <t>2013-10-08</t>
  </si>
  <si>
    <t>2013-10-09</t>
  </si>
  <si>
    <t>2013-10-10</t>
  </si>
  <si>
    <t>2013-10-11</t>
  </si>
  <si>
    <t>2013-10-14</t>
  </si>
  <si>
    <t>2013-10-15</t>
  </si>
  <si>
    <t>2013-10-16</t>
  </si>
  <si>
    <t>2013-10-17</t>
  </si>
  <si>
    <t>2013-10-18</t>
  </si>
  <si>
    <t>2013-10-21</t>
  </si>
  <si>
    <t>2013-10-22</t>
  </si>
  <si>
    <t>2013-10-23</t>
  </si>
  <si>
    <t>2013-10-24</t>
  </si>
  <si>
    <t>2013-10-25</t>
  </si>
  <si>
    <t>2013-10-28</t>
  </si>
  <si>
    <t>2013-10-29</t>
  </si>
  <si>
    <t>2013-10-30</t>
  </si>
  <si>
    <t>2013-10-31</t>
  </si>
  <si>
    <t>2013-11-01</t>
  </si>
  <si>
    <t>2013-11-04</t>
  </si>
  <si>
    <t>2013-11-05</t>
  </si>
  <si>
    <t>2013-11-06</t>
  </si>
  <si>
    <t>2013-11-07</t>
  </si>
  <si>
    <t>2013-11-08</t>
  </si>
  <si>
    <t>2013-11-11</t>
  </si>
  <si>
    <t>2013-11-12</t>
  </si>
  <si>
    <t>2013-11-13</t>
  </si>
  <si>
    <t>2013-11-14</t>
  </si>
  <si>
    <t>2013-11-15</t>
  </si>
  <si>
    <t>2013-11-18</t>
  </si>
  <si>
    <t>2013-11-19</t>
  </si>
  <si>
    <t>2013-11-20</t>
  </si>
  <si>
    <t>2013-11-21</t>
  </si>
  <si>
    <t>2013-11-22</t>
  </si>
  <si>
    <t>2013-11-25</t>
  </si>
  <si>
    <t>2013-11-26</t>
  </si>
  <si>
    <t>2013-11-27</t>
  </si>
  <si>
    <t>2013-11-28</t>
  </si>
  <si>
    <t>2013-11-29</t>
  </si>
  <si>
    <t>2013-12-02</t>
  </si>
  <si>
    <t>2013-12-03</t>
  </si>
  <si>
    <t>2013-12-04</t>
  </si>
  <si>
    <t>2013-12-05</t>
  </si>
  <si>
    <t>2013-12-06</t>
  </si>
  <si>
    <t>2013-12-09</t>
  </si>
  <si>
    <t>2013-12-10</t>
  </si>
  <si>
    <t>2013-12-11</t>
  </si>
  <si>
    <t>2013-12-12</t>
  </si>
  <si>
    <t>2013-12-13</t>
  </si>
  <si>
    <t>2013-12-16</t>
  </si>
  <si>
    <t>2013-12-17</t>
  </si>
  <si>
    <t>2013-12-18</t>
  </si>
  <si>
    <t>2013-12-19</t>
  </si>
  <si>
    <t>2013-12-20</t>
  </si>
  <si>
    <t>2013-12-23</t>
  </si>
  <si>
    <t>2013-12-24</t>
  </si>
  <si>
    <t>2013-12-27</t>
  </si>
  <si>
    <t>2013-12-30</t>
  </si>
  <si>
    <t>2013-12-31</t>
  </si>
  <si>
    <t>2014-01-02</t>
  </si>
  <si>
    <t>2014-01-03</t>
  </si>
  <si>
    <t>2014-01-06</t>
  </si>
  <si>
    <t>2014-01-07</t>
  </si>
  <si>
    <t>2014-01-08</t>
  </si>
  <si>
    <t>2014-01-09</t>
  </si>
  <si>
    <t>2014-01-10</t>
  </si>
  <si>
    <t>2014-01-13</t>
  </si>
  <si>
    <t>2014-01-14</t>
  </si>
  <si>
    <t>2014-01-15</t>
  </si>
  <si>
    <t>2014-01-16</t>
  </si>
  <si>
    <t>2014-01-17</t>
  </si>
  <si>
    <t>2014-01-20</t>
  </si>
  <si>
    <t>2014-01-21</t>
  </si>
  <si>
    <t>2014-01-22</t>
  </si>
  <si>
    <t>2014-01-23</t>
  </si>
  <si>
    <t>2014-01-24</t>
  </si>
  <si>
    <t>2014-01-27</t>
  </si>
  <si>
    <t>2014-01-28</t>
  </si>
  <si>
    <t>2014-01-29</t>
  </si>
  <si>
    <t>2014-01-30</t>
  </si>
  <si>
    <t>2014-01-31</t>
  </si>
  <si>
    <t>2014-02-03</t>
  </si>
  <si>
    <t>2014-02-04</t>
  </si>
  <si>
    <t>2014-02-05</t>
  </si>
  <si>
    <t>2014-02-06</t>
  </si>
  <si>
    <t>2014-02-07</t>
  </si>
  <si>
    <t>2014-02-10</t>
  </si>
  <si>
    <t>2014-02-11</t>
  </si>
  <si>
    <t>2014-02-12</t>
  </si>
  <si>
    <t>2014-02-13</t>
  </si>
  <si>
    <t>2014-02-14</t>
  </si>
  <si>
    <t>2014-02-17</t>
  </si>
  <si>
    <t>2014-02-18</t>
  </si>
  <si>
    <t>2014-02-19</t>
  </si>
  <si>
    <t>2014-02-20</t>
  </si>
  <si>
    <t>2014-02-21</t>
  </si>
  <si>
    <t>2014-02-24</t>
  </si>
  <si>
    <t>2014-02-25</t>
  </si>
  <si>
    <t>2014-02-26</t>
  </si>
  <si>
    <t>2014-02-27</t>
  </si>
  <si>
    <t>2014-02-28</t>
  </si>
  <si>
    <t>2014-03-03</t>
  </si>
  <si>
    <t>2014-03-04</t>
  </si>
  <si>
    <t>2014-03-05</t>
  </si>
  <si>
    <t>2014-03-06</t>
  </si>
  <si>
    <t>2014-03-07</t>
  </si>
  <si>
    <t>2014-03-10</t>
  </si>
  <si>
    <t>2014-03-11</t>
  </si>
  <si>
    <t>2014-03-12</t>
  </si>
  <si>
    <t>2014-03-13</t>
  </si>
  <si>
    <t>2014-03-14</t>
  </si>
  <si>
    <t>2014-03-17</t>
  </si>
  <si>
    <t>2014-03-18</t>
  </si>
  <si>
    <t>2014-03-19</t>
  </si>
  <si>
    <t>2014-03-20</t>
  </si>
  <si>
    <t>2014-03-21</t>
  </si>
  <si>
    <t>2014-03-24</t>
  </si>
  <si>
    <t>2014-03-25</t>
  </si>
  <si>
    <t>2014-03-26</t>
  </si>
  <si>
    <t>2014-03-27</t>
  </si>
  <si>
    <t>2014-03-28</t>
  </si>
  <si>
    <t>2014-03-31</t>
  </si>
  <si>
    <t>2014-04-01</t>
  </si>
  <si>
    <t>2014-04-02</t>
  </si>
  <si>
    <t>2014-04-03</t>
  </si>
  <si>
    <t>2014-04-04</t>
  </si>
  <si>
    <t>2014-04-07</t>
  </si>
  <si>
    <t>2014-04-08</t>
  </si>
  <si>
    <t>2014-04-09</t>
  </si>
  <si>
    <t>2014-04-10</t>
  </si>
  <si>
    <t>2014-04-11</t>
  </si>
  <si>
    <t>2014-04-14</t>
  </si>
  <si>
    <t>2014-04-15</t>
  </si>
  <si>
    <t>2014-04-16</t>
  </si>
  <si>
    <t>2014-04-17</t>
  </si>
  <si>
    <t>2014-04-22</t>
  </si>
  <si>
    <t>2014-04-23</t>
  </si>
  <si>
    <t>2014-04-24</t>
  </si>
  <si>
    <t>2014-04-25</t>
  </si>
  <si>
    <t>2014-04-28</t>
  </si>
  <si>
    <t>2014-04-29</t>
  </si>
  <si>
    <t>2014-04-30</t>
  </si>
  <si>
    <t>2014-05-01</t>
  </si>
  <si>
    <t>2014-05-02</t>
  </si>
  <si>
    <t>2014-05-06</t>
  </si>
  <si>
    <t>2014-05-07</t>
  </si>
  <si>
    <t>2014-05-08</t>
  </si>
  <si>
    <t>2014-05-09</t>
  </si>
  <si>
    <t>2014-05-12</t>
  </si>
  <si>
    <t>2014-05-13</t>
  </si>
  <si>
    <t>2014-05-14</t>
  </si>
  <si>
    <t>2014-05-15</t>
  </si>
  <si>
    <t>2014-05-16</t>
  </si>
  <si>
    <t>2014-05-19</t>
  </si>
  <si>
    <t>2014-05-20</t>
  </si>
  <si>
    <t>2014-05-21</t>
  </si>
  <si>
    <t>2014-05-22</t>
  </si>
  <si>
    <t>2014-05-23</t>
  </si>
  <si>
    <t>2014-05-27</t>
  </si>
  <si>
    <t>2014-05-28</t>
  </si>
  <si>
    <t>2014-05-29</t>
  </si>
  <si>
    <t>2014-05-30</t>
  </si>
  <si>
    <t>2014-06-02</t>
  </si>
  <si>
    <t>2014-06-03</t>
  </si>
  <si>
    <t>2014-06-04</t>
  </si>
  <si>
    <t>2014-06-05</t>
  </si>
  <si>
    <t>2014-06-06</t>
  </si>
  <si>
    <t>2014-06-09</t>
  </si>
  <si>
    <t>2014-06-10</t>
  </si>
  <si>
    <t>2014-06-11</t>
  </si>
  <si>
    <t>2014-06-12</t>
  </si>
  <si>
    <t>2014-06-13</t>
  </si>
  <si>
    <t>2014-06-16</t>
  </si>
  <si>
    <t>2014-06-17</t>
  </si>
  <si>
    <t>2014-06-18</t>
  </si>
  <si>
    <t>2014-06-19</t>
  </si>
  <si>
    <t>2014-06-20</t>
  </si>
  <si>
    <t>2014-06-23</t>
  </si>
  <si>
    <t>2014-06-24</t>
  </si>
  <si>
    <t>2014-06-25</t>
  </si>
  <si>
    <t>2014-06-26</t>
  </si>
  <si>
    <t>2014-06-27</t>
  </si>
  <si>
    <t>2014-06-30</t>
  </si>
  <si>
    <t>2014-07-01</t>
  </si>
  <si>
    <t>2014-07-02</t>
  </si>
  <si>
    <t>2014-07-03</t>
  </si>
  <si>
    <t>2014-07-04</t>
  </si>
  <si>
    <t>2014-07-07</t>
  </si>
  <si>
    <t>2014-07-08</t>
  </si>
  <si>
    <t>2014-07-09</t>
  </si>
  <si>
    <t>2014-07-10</t>
  </si>
  <si>
    <t>2014-07-11</t>
  </si>
  <si>
    <t>2014-07-14</t>
  </si>
  <si>
    <t>2014-07-15</t>
  </si>
  <si>
    <t>2014-07-16</t>
  </si>
  <si>
    <t>2014-07-17</t>
  </si>
  <si>
    <t>2014-07-18</t>
  </si>
  <si>
    <t>2014-07-21</t>
  </si>
  <si>
    <t>2014-07-22</t>
  </si>
  <si>
    <t>2014-07-23</t>
  </si>
  <si>
    <t>2014-07-24</t>
  </si>
  <si>
    <t>2014-07-25</t>
  </si>
  <si>
    <t>2014-07-28</t>
  </si>
  <si>
    <t>2014-07-29</t>
  </si>
  <si>
    <t>2014-07-30</t>
  </si>
  <si>
    <t>2014-07-31</t>
  </si>
  <si>
    <t>2014-08-01</t>
  </si>
  <si>
    <t>2014-08-04</t>
  </si>
  <si>
    <t>2014-08-05</t>
  </si>
  <si>
    <t>2014-08-06</t>
  </si>
  <si>
    <t>2014-08-07</t>
  </si>
  <si>
    <t>2014-08-08</t>
  </si>
  <si>
    <t>2014-08-11</t>
  </si>
  <si>
    <t>2014-08-12</t>
  </si>
  <si>
    <t>2014-08-13</t>
  </si>
  <si>
    <t>2014-08-14</t>
  </si>
  <si>
    <t>2014-08-15</t>
  </si>
  <si>
    <t>2014-08-18</t>
  </si>
  <si>
    <t>2014-08-19</t>
  </si>
  <si>
    <t>2014-08-20</t>
  </si>
  <si>
    <t>2014-08-21</t>
  </si>
  <si>
    <t>2014-08-22</t>
  </si>
  <si>
    <t>2014-08-26</t>
  </si>
  <si>
    <t>2014-08-27</t>
  </si>
  <si>
    <t>2014-08-28</t>
  </si>
  <si>
    <t>2014-08-29</t>
  </si>
  <si>
    <t>2014-09-01</t>
  </si>
  <si>
    <t>2014-09-02</t>
  </si>
  <si>
    <t>2014-09-03</t>
  </si>
  <si>
    <t>2014-09-04</t>
  </si>
  <si>
    <t>2014-09-05</t>
  </si>
  <si>
    <t>2014-09-08</t>
  </si>
  <si>
    <t>2014-09-09</t>
  </si>
  <si>
    <t>2014-09-10</t>
  </si>
  <si>
    <t>2014-09-11</t>
  </si>
  <si>
    <t>2014-09-12</t>
  </si>
  <si>
    <t>2014-09-15</t>
  </si>
  <si>
    <t>2014-09-16</t>
  </si>
  <si>
    <t>2014-09-17</t>
  </si>
  <si>
    <t>2014-09-18</t>
  </si>
  <si>
    <t>2014-09-19</t>
  </si>
  <si>
    <t>2014-09-22</t>
  </si>
  <si>
    <t>2014-09-23</t>
  </si>
  <si>
    <t>2014-09-24</t>
  </si>
  <si>
    <t>2014-09-25</t>
  </si>
  <si>
    <t>2014-09-26</t>
  </si>
  <si>
    <t>2014-09-29</t>
  </si>
  <si>
    <t>2014-09-30</t>
  </si>
  <si>
    <t>2014-10-01</t>
  </si>
  <si>
    <t>2014-10-02</t>
  </si>
  <si>
    <t>2014-10-03</t>
  </si>
  <si>
    <t>2014-10-06</t>
  </si>
  <si>
    <t>2014-10-07</t>
  </si>
  <si>
    <t>2014-10-08</t>
  </si>
  <si>
    <t>2014-10-09</t>
  </si>
  <si>
    <t>2014-10-10</t>
  </si>
  <si>
    <t>2014-10-13</t>
  </si>
  <si>
    <t>2014-10-14</t>
  </si>
  <si>
    <t>2014-10-15</t>
  </si>
  <si>
    <t>2014-10-16</t>
  </si>
  <si>
    <t>2014-10-17</t>
  </si>
  <si>
    <t>2014-10-20</t>
  </si>
  <si>
    <t>2014-10-21</t>
  </si>
  <si>
    <t>2014-10-22</t>
  </si>
  <si>
    <t>2014-10-23</t>
  </si>
  <si>
    <t>2014-10-24</t>
  </si>
  <si>
    <t>2014-10-27</t>
  </si>
  <si>
    <t>2014-10-28</t>
  </si>
  <si>
    <t>2014-10-29</t>
  </si>
  <si>
    <t>2014-10-30</t>
  </si>
  <si>
    <t>2014-10-31</t>
  </si>
  <si>
    <t>2014-11-03</t>
  </si>
  <si>
    <t>2014-11-04</t>
  </si>
  <si>
    <t>2014-11-05</t>
  </si>
  <si>
    <t>2014-11-06</t>
  </si>
  <si>
    <t>2014-11-07</t>
  </si>
  <si>
    <t>2014-11-10</t>
  </si>
  <si>
    <t>2014-11-11</t>
  </si>
  <si>
    <t>2014-11-12</t>
  </si>
  <si>
    <t>2014-11-13</t>
  </si>
  <si>
    <t>2014-11-14</t>
  </si>
  <si>
    <t>2014-11-17</t>
  </si>
  <si>
    <t>2014-11-18</t>
  </si>
  <si>
    <t>2014-11-19</t>
  </si>
  <si>
    <t>2014-11-20</t>
  </si>
  <si>
    <t>2014-11-21</t>
  </si>
  <si>
    <t>2014-11-24</t>
  </si>
  <si>
    <t>2014-11-25</t>
  </si>
  <si>
    <t>2014-11-26</t>
  </si>
  <si>
    <t>2014-11-27</t>
  </si>
  <si>
    <t>2014-11-28</t>
  </si>
  <si>
    <t>2014-12-01</t>
  </si>
  <si>
    <t>2014-12-02</t>
  </si>
  <si>
    <t>2014-12-03</t>
  </si>
  <si>
    <t>2014-12-04</t>
  </si>
  <si>
    <t>2014-12-05</t>
  </si>
  <si>
    <t>2014-12-08</t>
  </si>
  <si>
    <t>2014-12-09</t>
  </si>
  <si>
    <t>2014-12-10</t>
  </si>
  <si>
    <t>2014-12-11</t>
  </si>
  <si>
    <t>2014-12-12</t>
  </si>
  <si>
    <t>2014-12-15</t>
  </si>
  <si>
    <t>2014-12-16</t>
  </si>
  <si>
    <t>2014-12-17</t>
  </si>
  <si>
    <t>2014-12-18</t>
  </si>
  <si>
    <t>2014-12-19</t>
  </si>
  <si>
    <t>2014-12-22</t>
  </si>
  <si>
    <t>2014-12-23</t>
  </si>
  <si>
    <t>2014-12-24</t>
  </si>
  <si>
    <t>2014-12-29</t>
  </si>
  <si>
    <t>2014-12-30</t>
  </si>
  <si>
    <t>2014-12-31</t>
  </si>
  <si>
    <t>2015-01-02</t>
  </si>
  <si>
    <t>2015-01-05</t>
  </si>
  <si>
    <t>2015-01-06</t>
  </si>
  <si>
    <t>2015-01-07</t>
  </si>
  <si>
    <t>2015-01-08</t>
  </si>
  <si>
    <t>2015-01-09</t>
  </si>
  <si>
    <t>2015-01-12</t>
  </si>
  <si>
    <t>2015-01-13</t>
  </si>
  <si>
    <t>2015-01-14</t>
  </si>
  <si>
    <t>2015-01-15</t>
  </si>
  <si>
    <t>2015-01-16</t>
  </si>
  <si>
    <t>2015-01-19</t>
  </si>
  <si>
    <t>2015-01-20</t>
  </si>
  <si>
    <t>2015-01-21</t>
  </si>
  <si>
    <t>2015-01-22</t>
  </si>
  <si>
    <t>2015-01-23</t>
  </si>
  <si>
    <t>2015-01-26</t>
  </si>
  <si>
    <t>2015-01-27</t>
  </si>
  <si>
    <t>2015-01-28</t>
  </si>
  <si>
    <t>2015-01-29</t>
  </si>
  <si>
    <t>2015-01-30</t>
  </si>
  <si>
    <t>2015-02-02</t>
  </si>
  <si>
    <t>2015-02-03</t>
  </si>
  <si>
    <t>2015-02-04</t>
  </si>
  <si>
    <t>2015-02-05</t>
  </si>
  <si>
    <t>2015-02-06</t>
  </si>
  <si>
    <t>2015-02-09</t>
  </si>
  <si>
    <t>2015-02-10</t>
  </si>
  <si>
    <t>2015-02-11</t>
  </si>
  <si>
    <t>2015-02-12</t>
  </si>
  <si>
    <t>2015-02-13</t>
  </si>
  <si>
    <t>2015-02-16</t>
  </si>
  <si>
    <t>2015-02-17</t>
  </si>
  <si>
    <t>2015-02-18</t>
  </si>
  <si>
    <t>2015-02-19</t>
  </si>
  <si>
    <t>2015-02-20</t>
  </si>
  <si>
    <t>2015-02-23</t>
  </si>
  <si>
    <t>2015-02-24</t>
  </si>
  <si>
    <t>2015-02-25</t>
  </si>
  <si>
    <t>2015-02-26</t>
  </si>
  <si>
    <t>2015-02-27</t>
  </si>
  <si>
    <t>2015-03-02</t>
  </si>
  <si>
    <t>2015-03-03</t>
  </si>
  <si>
    <t>2015-03-04</t>
  </si>
  <si>
    <t>2015-03-05</t>
  </si>
  <si>
    <t>2015-03-06</t>
  </si>
  <si>
    <t>2015-03-09</t>
  </si>
  <si>
    <t>2015-03-10</t>
  </si>
  <si>
    <t>2015-03-11</t>
  </si>
  <si>
    <t>2015-03-12</t>
  </si>
  <si>
    <t>2015-03-13</t>
  </si>
  <si>
    <t>2015-03-16</t>
  </si>
  <si>
    <t>2015-03-17</t>
  </si>
  <si>
    <t>2015-03-18</t>
  </si>
  <si>
    <t>2015-03-19</t>
  </si>
  <si>
    <t>2015-03-20</t>
  </si>
  <si>
    <t>2015-03-23</t>
  </si>
  <si>
    <t>2015-03-24</t>
  </si>
  <si>
    <t>2015-03-25</t>
  </si>
  <si>
    <t>2015-03-26</t>
  </si>
  <si>
    <t>2015-03-27</t>
  </si>
  <si>
    <t>2015-03-30</t>
  </si>
  <si>
    <t>2015-03-31</t>
  </si>
  <si>
    <t>2015-04-01</t>
  </si>
  <si>
    <t>2015-04-02</t>
  </si>
  <si>
    <t>2015-04-07</t>
  </si>
  <si>
    <t>2015-04-08</t>
  </si>
  <si>
    <t>2015-04-09</t>
  </si>
  <si>
    <t>2015-04-10</t>
  </si>
  <si>
    <t>2015-04-13</t>
  </si>
  <si>
    <t>2015-04-14</t>
  </si>
  <si>
    <t>2015-04-15</t>
  </si>
  <si>
    <t>2015-04-16</t>
  </si>
  <si>
    <t>2015-04-17</t>
  </si>
  <si>
    <t>2015-04-20</t>
  </si>
  <si>
    <t>2015-04-21</t>
  </si>
  <si>
    <t>2015-04-22</t>
  </si>
  <si>
    <t>2015-04-23</t>
  </si>
  <si>
    <t>2015-04-24</t>
  </si>
  <si>
    <t>2015-04-27</t>
  </si>
  <si>
    <t>2015-04-28</t>
  </si>
  <si>
    <t>2015-04-29</t>
  </si>
  <si>
    <t>2015-04-30</t>
  </si>
  <si>
    <t>2015-05-01</t>
  </si>
  <si>
    <t>2015-05-05</t>
  </si>
  <si>
    <t>2015-05-06</t>
  </si>
  <si>
    <t>2015-05-07</t>
  </si>
  <si>
    <t>2015-05-08</t>
  </si>
  <si>
    <t>2015-05-11</t>
  </si>
  <si>
    <t>2015-05-12</t>
  </si>
  <si>
    <t>2015-05-13</t>
  </si>
  <si>
    <t>2015-05-14</t>
  </si>
  <si>
    <t>2015-05-15</t>
  </si>
  <si>
    <t>2015-05-18</t>
  </si>
  <si>
    <t>2015-05-19</t>
  </si>
  <si>
    <t>2015-05-20</t>
  </si>
  <si>
    <t>2015-05-21</t>
  </si>
  <si>
    <t>2015-05-22</t>
  </si>
  <si>
    <t>2015-05-26</t>
  </si>
  <si>
    <t>2015-05-27</t>
  </si>
  <si>
    <t>2015-05-28</t>
  </si>
  <si>
    <t>2015-05-29</t>
  </si>
  <si>
    <t>2015-06-01</t>
  </si>
  <si>
    <t>2015-06-02</t>
  </si>
  <si>
    <t>2015-06-03</t>
  </si>
  <si>
    <t>2015-06-04</t>
  </si>
  <si>
    <t>2015-06-05</t>
  </si>
  <si>
    <t>2015-06-08</t>
  </si>
  <si>
    <t>2015-06-09</t>
  </si>
  <si>
    <t>2015-06-10</t>
  </si>
  <si>
    <t>2015-06-11</t>
  </si>
  <si>
    <t>2015-06-12</t>
  </si>
  <si>
    <t>2015-06-15</t>
  </si>
  <si>
    <t>2015-06-16</t>
  </si>
  <si>
    <t>2015-06-17</t>
  </si>
  <si>
    <t>2015-06-18</t>
  </si>
  <si>
    <t>2015-06-19</t>
  </si>
  <si>
    <t>2015-06-22</t>
  </si>
  <si>
    <t>2015-06-23</t>
  </si>
  <si>
    <t>2015-06-24</t>
  </si>
  <si>
    <t>2015-06-25</t>
  </si>
  <si>
    <t>2015-06-26</t>
  </si>
  <si>
    <t>2015-06-29</t>
  </si>
  <si>
    <t>2015-06-30</t>
  </si>
  <si>
    <t>2015-07-01</t>
  </si>
  <si>
    <t>2015-07-02</t>
  </si>
  <si>
    <t>2015-07-03</t>
  </si>
  <si>
    <t>2015-07-06</t>
  </si>
  <si>
    <t>2015-07-07</t>
  </si>
  <si>
    <t>2015-07-08</t>
  </si>
  <si>
    <t>2015-07-09</t>
  </si>
  <si>
    <t>2015-07-10</t>
  </si>
  <si>
    <t>2015-07-13</t>
  </si>
  <si>
    <t>2015-07-14</t>
  </si>
  <si>
    <t>2015-07-15</t>
  </si>
  <si>
    <t>2015-07-16</t>
  </si>
  <si>
    <t>2015-07-17</t>
  </si>
  <si>
    <t>2015-07-20</t>
  </si>
  <si>
    <t>2015-07-21</t>
  </si>
  <si>
    <t>2015-07-22</t>
  </si>
  <si>
    <t>2015-07-23</t>
  </si>
  <si>
    <t>2015-07-24</t>
  </si>
  <si>
    <t>2015-07-27</t>
  </si>
  <si>
    <t>2015-07-28</t>
  </si>
  <si>
    <t>2015-07-29</t>
  </si>
  <si>
    <t>2015-07-30</t>
  </si>
  <si>
    <t>2015-07-31</t>
  </si>
  <si>
    <t>2015-08-03</t>
  </si>
  <si>
    <t>2015-08-04</t>
  </si>
  <si>
    <t>2015-08-05</t>
  </si>
  <si>
    <t>2015-08-06</t>
  </si>
  <si>
    <t>2015-08-07</t>
  </si>
  <si>
    <t>2015-08-10</t>
  </si>
  <si>
    <t>2015-08-11</t>
  </si>
  <si>
    <t>2015-08-12</t>
  </si>
  <si>
    <t>2015-08-13</t>
  </si>
  <si>
    <t>2015-08-14</t>
  </si>
  <si>
    <t>2015-08-17</t>
  </si>
  <si>
    <t>2015-08-18</t>
  </si>
  <si>
    <t>2015-08-19</t>
  </si>
  <si>
    <t>2015-08-20</t>
  </si>
  <si>
    <t>2015-08-21</t>
  </si>
  <si>
    <t>2015-08-24</t>
  </si>
  <si>
    <t>2015-08-25</t>
  </si>
  <si>
    <t>2015-08-26</t>
  </si>
  <si>
    <t>2015-08-27</t>
  </si>
  <si>
    <t>2015-08-28</t>
  </si>
  <si>
    <t>2015-09-01</t>
  </si>
  <si>
    <t>2015-09-02</t>
  </si>
  <si>
    <t>2015-09-03</t>
  </si>
  <si>
    <t>2015-09-04</t>
  </si>
  <si>
    <t>2015-09-07</t>
  </si>
  <si>
    <t>2015-09-08</t>
  </si>
  <si>
    <t>2015-09-09</t>
  </si>
  <si>
    <t>2015-09-10</t>
  </si>
  <si>
    <t>2015-09-11</t>
  </si>
  <si>
    <t>2015-09-14</t>
  </si>
  <si>
    <t>2015-09-15</t>
  </si>
  <si>
    <t>2015-09-16</t>
  </si>
  <si>
    <t>2015-09-17</t>
  </si>
  <si>
    <t>2015-09-18</t>
  </si>
  <si>
    <t>2015-09-21</t>
  </si>
  <si>
    <t>2015-09-22</t>
  </si>
  <si>
    <t>2015-09-23</t>
  </si>
  <si>
    <t>2015-09-24</t>
  </si>
  <si>
    <t>2015-09-25</t>
  </si>
  <si>
    <t>2015-09-28</t>
  </si>
  <si>
    <t>2015-09-29</t>
  </si>
  <si>
    <t>2015-09-30</t>
  </si>
  <si>
    <t>2015-10-01</t>
  </si>
  <si>
    <t>2015-10-02</t>
  </si>
  <si>
    <t>2015-10-05</t>
  </si>
  <si>
    <t>2015-10-06</t>
  </si>
  <si>
    <t>2015-10-07</t>
  </si>
  <si>
    <t>2015-10-08</t>
  </si>
  <si>
    <t>2015-10-09</t>
  </si>
  <si>
    <t>2015-10-12</t>
  </si>
  <si>
    <t>2015-10-13</t>
  </si>
  <si>
    <t>2015-10-14</t>
  </si>
  <si>
    <t>2015-10-15</t>
  </si>
  <si>
    <t>2015-10-16</t>
  </si>
  <si>
    <t>2015-10-19</t>
  </si>
  <si>
    <t>2015-10-20</t>
  </si>
  <si>
    <t>2015-10-21</t>
  </si>
  <si>
    <t>2015-10-22</t>
  </si>
  <si>
    <t>2015-10-23</t>
  </si>
  <si>
    <t>2015-10-26</t>
  </si>
  <si>
    <t>2015-10-27</t>
  </si>
  <si>
    <t>2015-10-28</t>
  </si>
  <si>
    <t>2015-10-29</t>
  </si>
  <si>
    <t>2015-10-30</t>
  </si>
  <si>
    <t>2015-11-02</t>
  </si>
  <si>
    <t>2015-11-03</t>
  </si>
  <si>
    <t>2015-11-04</t>
  </si>
  <si>
    <t>2015-11-05</t>
  </si>
  <si>
    <t>2015-11-06</t>
  </si>
  <si>
    <t>2015-11-09</t>
  </si>
  <si>
    <t>2015-11-10</t>
  </si>
  <si>
    <t>2015-11-11</t>
  </si>
  <si>
    <t>2015-11-12</t>
  </si>
  <si>
    <t>2015-11-13</t>
  </si>
  <si>
    <t>2015-11-16</t>
  </si>
  <si>
    <t>2015-11-17</t>
  </si>
  <si>
    <t>2015-11-18</t>
  </si>
  <si>
    <t>2015-11-19</t>
  </si>
  <si>
    <t>2015-11-20</t>
  </si>
  <si>
    <t>2015-11-23</t>
  </si>
  <si>
    <t>2015-11-24</t>
  </si>
  <si>
    <t>2015-11-25</t>
  </si>
  <si>
    <t>2015-11-26</t>
  </si>
  <si>
    <t>2015-11-27</t>
  </si>
  <si>
    <t>2015-11-30</t>
  </si>
  <si>
    <t>2015-12-01</t>
  </si>
  <si>
    <t>2015-12-02</t>
  </si>
  <si>
    <t>2015-12-03</t>
  </si>
  <si>
    <t>2015-12-04</t>
  </si>
  <si>
    <t>2015-12-07</t>
  </si>
  <si>
    <t>2015-12-08</t>
  </si>
  <si>
    <t>2015-12-09</t>
  </si>
  <si>
    <t>2015-12-10</t>
  </si>
  <si>
    <t>2015-12-11</t>
  </si>
  <si>
    <t>2015-12-14</t>
  </si>
  <si>
    <t>2015-12-15</t>
  </si>
  <si>
    <t>2015-12-16</t>
  </si>
  <si>
    <t>2015-12-17</t>
  </si>
  <si>
    <t>2015-12-18</t>
  </si>
  <si>
    <t>2015-12-21</t>
  </si>
  <si>
    <t>2015-12-22</t>
  </si>
  <si>
    <t>2015-12-23</t>
  </si>
  <si>
    <t>2015-12-24</t>
  </si>
  <si>
    <t>2015-12-29</t>
  </si>
  <si>
    <t>2015-12-30</t>
  </si>
  <si>
    <t>2015-12-31</t>
  </si>
  <si>
    <t>2016-01-04</t>
  </si>
  <si>
    <t>2016-01-05</t>
  </si>
  <si>
    <t>2016-01-06</t>
  </si>
  <si>
    <t>2016-01-07</t>
  </si>
  <si>
    <t>2016-01-08</t>
  </si>
  <si>
    <t>2016-01-11</t>
  </si>
  <si>
    <t>2016-01-12</t>
  </si>
  <si>
    <t>2016-01-13</t>
  </si>
  <si>
    <t>2016-01-14</t>
  </si>
  <si>
    <t>2016-01-15</t>
  </si>
  <si>
    <t>2016-01-18</t>
  </si>
  <si>
    <t>2016-01-19</t>
  </si>
  <si>
    <t>2016-01-20</t>
  </si>
  <si>
    <t>2016-01-21</t>
  </si>
  <si>
    <t>2016-01-22</t>
  </si>
  <si>
    <t>2016-01-25</t>
  </si>
  <si>
    <t>2016-01-26</t>
  </si>
  <si>
    <t>2016-01-27</t>
  </si>
  <si>
    <t>2016-01-28</t>
  </si>
  <si>
    <t>2016-01-29</t>
  </si>
  <si>
    <t>2016-02-01</t>
  </si>
  <si>
    <t>2016-02-02</t>
  </si>
  <si>
    <t>2016-02-03</t>
  </si>
  <si>
    <t>2016-02-04</t>
  </si>
  <si>
    <t>2016-02-05</t>
  </si>
  <si>
    <t>2016-02-08</t>
  </si>
  <si>
    <t>2016-02-09</t>
  </si>
  <si>
    <t>2016-02-10</t>
  </si>
  <si>
    <t>2016-02-11</t>
  </si>
  <si>
    <t>2016-02-12</t>
  </si>
  <si>
    <t>2016-02-15</t>
  </si>
  <si>
    <t>2016-02-16</t>
  </si>
  <si>
    <t>2016-02-17</t>
  </si>
  <si>
    <t>2016-02-18</t>
  </si>
  <si>
    <t>2016-02-19</t>
  </si>
  <si>
    <t>2016-02-22</t>
  </si>
  <si>
    <t>2016-02-23</t>
  </si>
  <si>
    <t>2016-02-24</t>
  </si>
  <si>
    <t>2016-02-25</t>
  </si>
  <si>
    <t>2016-02-26</t>
  </si>
  <si>
    <t>2016-02-29</t>
  </si>
  <si>
    <t>2016-03-01</t>
  </si>
  <si>
    <t>2016-03-02</t>
  </si>
  <si>
    <t>2016-03-03</t>
  </si>
  <si>
    <t>2016-03-04</t>
  </si>
  <si>
    <t>2016-03-07</t>
  </si>
  <si>
    <t>2016-03-08</t>
  </si>
  <si>
    <t>2016-03-09</t>
  </si>
  <si>
    <t>2016-03-10</t>
  </si>
  <si>
    <t>2016-03-11</t>
  </si>
  <si>
    <t>2016-03-14</t>
  </si>
  <si>
    <t>2016-03-15</t>
  </si>
  <si>
    <t>2016-03-16</t>
  </si>
  <si>
    <t>2016-03-17</t>
  </si>
  <si>
    <t>2016-03-18</t>
  </si>
  <si>
    <t>2016-03-21</t>
  </si>
  <si>
    <t>2016-03-22</t>
  </si>
  <si>
    <t>2016-03-23</t>
  </si>
  <si>
    <t>2016-03-24</t>
  </si>
  <si>
    <t>2016-03-29</t>
  </si>
  <si>
    <t>2016-03-30</t>
  </si>
  <si>
    <t>2016-03-31</t>
  </si>
  <si>
    <t>2016-04-01</t>
  </si>
  <si>
    <t>2016-04-04</t>
  </si>
  <si>
    <t>2016-04-05</t>
  </si>
  <si>
    <t>2016-04-06</t>
  </si>
  <si>
    <t>2016-04-07</t>
  </si>
  <si>
    <t>2016-04-08</t>
  </si>
  <si>
    <t>2016-04-11</t>
  </si>
  <si>
    <t>2016-04-12</t>
  </si>
  <si>
    <t>2016-04-13</t>
  </si>
  <si>
    <t>2016-04-14</t>
  </si>
  <si>
    <t>2016-04-15</t>
  </si>
  <si>
    <t>2016-04-18</t>
  </si>
  <si>
    <t>2016-04-19</t>
  </si>
  <si>
    <t>2016-04-20</t>
  </si>
  <si>
    <t>2016-04-21</t>
  </si>
  <si>
    <t>2016-04-22</t>
  </si>
  <si>
    <t>2016-04-25</t>
  </si>
  <si>
    <t>2016-04-26</t>
  </si>
  <si>
    <t>2016-04-27</t>
  </si>
  <si>
    <t>2016-04-28</t>
  </si>
  <si>
    <t>2016-04-29</t>
  </si>
  <si>
    <t>2016-05-03</t>
  </si>
  <si>
    <t>2016-05-04</t>
  </si>
  <si>
    <t>2016-05-05</t>
  </si>
  <si>
    <t>2016-05-06</t>
  </si>
  <si>
    <t>2016-05-09</t>
  </si>
  <si>
    <t>2016-05-10</t>
  </si>
  <si>
    <t>2016-05-11</t>
  </si>
  <si>
    <t>2016-05-12</t>
  </si>
  <si>
    <t>2016-05-13</t>
  </si>
  <si>
    <t>2016-05-16</t>
  </si>
  <si>
    <t>2016-05-17</t>
  </si>
  <si>
    <t>2016-05-18</t>
  </si>
  <si>
    <t>2016-05-19</t>
  </si>
  <si>
    <t>2016-05-20</t>
  </si>
  <si>
    <t>2016-05-23</t>
  </si>
  <si>
    <t>2016-05-24</t>
  </si>
  <si>
    <t>2016-05-25</t>
  </si>
  <si>
    <t>2016-05-26</t>
  </si>
  <si>
    <t>2016-05-27</t>
  </si>
  <si>
    <t>2016-05-31</t>
  </si>
  <si>
    <t>2016-06-01</t>
  </si>
  <si>
    <t>2016-06-02</t>
  </si>
  <si>
    <t>2016-06-03</t>
  </si>
  <si>
    <t>2016-06-06</t>
  </si>
  <si>
    <t>2016-06-07</t>
  </si>
  <si>
    <t>2016-06-08</t>
  </si>
  <si>
    <t>2016-06-09</t>
  </si>
  <si>
    <t>2016-06-10</t>
  </si>
  <si>
    <t>2016-06-13</t>
  </si>
  <si>
    <t>2016-06-14</t>
  </si>
  <si>
    <t>2016-06-15</t>
  </si>
  <si>
    <t>2016-06-16</t>
  </si>
  <si>
    <t>2016-06-17</t>
  </si>
  <si>
    <t>2016-06-20</t>
  </si>
  <si>
    <t>2016-06-21</t>
  </si>
  <si>
    <t>2016-06-22</t>
  </si>
  <si>
    <t>2016-06-23</t>
  </si>
  <si>
    <t>2016-06-24</t>
  </si>
  <si>
    <t>2016-06-27</t>
  </si>
  <si>
    <t>2016-06-28</t>
  </si>
  <si>
    <t>2016-06-29</t>
  </si>
  <si>
    <t>2016-06-30</t>
  </si>
  <si>
    <t>2016-07-01</t>
  </si>
  <si>
    <t>2016-07-04</t>
  </si>
  <si>
    <t>2016-07-05</t>
  </si>
  <si>
    <t>2016-07-06</t>
  </si>
  <si>
    <t>2016-07-07</t>
  </si>
  <si>
    <t>2016-07-08</t>
  </si>
  <si>
    <t>2016-07-11</t>
  </si>
  <si>
    <t>2016-07-12</t>
  </si>
  <si>
    <t>2016-07-13</t>
  </si>
  <si>
    <t>2016-07-14</t>
  </si>
  <si>
    <t>2016-07-15</t>
  </si>
  <si>
    <t>2016-07-18</t>
  </si>
  <si>
    <t>2016-07-19</t>
  </si>
  <si>
    <t>2016-07-20</t>
  </si>
  <si>
    <t>2016-07-21</t>
  </si>
  <si>
    <t>2016-07-22</t>
  </si>
  <si>
    <t>2016-07-25</t>
  </si>
  <si>
    <t>2016-07-26</t>
  </si>
  <si>
    <t>2016-07-27</t>
  </si>
  <si>
    <t>2016-07-28</t>
  </si>
  <si>
    <t>2016-07-29</t>
  </si>
  <si>
    <t>2016-08-01</t>
  </si>
  <si>
    <t>2016-08-02</t>
  </si>
  <si>
    <t>2016-08-03</t>
  </si>
  <si>
    <t>2016-08-04</t>
  </si>
  <si>
    <t>2016-08-05</t>
  </si>
  <si>
    <t>2016-08-08</t>
  </si>
  <si>
    <t>2016-08-09</t>
  </si>
  <si>
    <t>2016-08-10</t>
  </si>
  <si>
    <t>2016-08-11</t>
  </si>
  <si>
    <t>2016-08-12</t>
  </si>
  <si>
    <t>2016-08-15</t>
  </si>
  <si>
    <t>2016-08-16</t>
  </si>
  <si>
    <t>2016-08-17</t>
  </si>
  <si>
    <t>2016-08-18</t>
  </si>
  <si>
    <t>2016-08-19</t>
  </si>
  <si>
    <t>2016-08-22</t>
  </si>
  <si>
    <t>2016-08-23</t>
  </si>
  <si>
    <t>2016-08-24</t>
  </si>
  <si>
    <t>2016-08-25</t>
  </si>
  <si>
    <t>2016-08-26</t>
  </si>
  <si>
    <t>2016-08-30</t>
  </si>
  <si>
    <t>2016-08-31</t>
  </si>
  <si>
    <t>2016-09-01</t>
  </si>
  <si>
    <t>2016-09-02</t>
  </si>
  <si>
    <t>2016-09-05</t>
  </si>
  <si>
    <t>2016-09-06</t>
  </si>
  <si>
    <t>2016-09-07</t>
  </si>
  <si>
    <t>2016-09-08</t>
  </si>
  <si>
    <t>2016-09-09</t>
  </si>
  <si>
    <t>2016-09-12</t>
  </si>
  <si>
    <t>2016-09-13</t>
  </si>
  <si>
    <t>2016-09-14</t>
  </si>
  <si>
    <t>2016-09-15</t>
  </si>
  <si>
    <t>2016-09-16</t>
  </si>
  <si>
    <t>2016-09-19</t>
  </si>
  <si>
    <t>2016-09-20</t>
  </si>
  <si>
    <t>2016-09-21</t>
  </si>
  <si>
    <t>2016-09-22</t>
  </si>
  <si>
    <t>2016-09-23</t>
  </si>
  <si>
    <t>2016-09-26</t>
  </si>
  <si>
    <t>2016-09-27</t>
  </si>
  <si>
    <t>2016-09-28</t>
  </si>
  <si>
    <t>2016-09-29</t>
  </si>
  <si>
    <t>2016-09-30</t>
  </si>
  <si>
    <t>2016-10-03</t>
  </si>
  <si>
    <t>2016-10-04</t>
  </si>
  <si>
    <t>2016-10-05</t>
  </si>
  <si>
    <t>2016-10-06</t>
  </si>
  <si>
    <t>2016-10-07</t>
  </si>
  <si>
    <t>2016-10-10</t>
  </si>
  <si>
    <t>2016-10-11</t>
  </si>
  <si>
    <t>2016-10-12</t>
  </si>
  <si>
    <t>2016-10-13</t>
  </si>
  <si>
    <t>2016-10-14</t>
  </si>
  <si>
    <t>2016-10-17</t>
  </si>
  <si>
    <t>2016-10-18</t>
  </si>
  <si>
    <t>2016-10-19</t>
  </si>
  <si>
    <t>2016-10-20</t>
  </si>
  <si>
    <t>2016-10-21</t>
  </si>
  <si>
    <t>2016-10-24</t>
  </si>
  <si>
    <t>2016-10-25</t>
  </si>
  <si>
    <t>2016-10-26</t>
  </si>
  <si>
    <t>2016-10-27</t>
  </si>
  <si>
    <t>2016-10-28</t>
  </si>
  <si>
    <t>2016-10-31</t>
  </si>
  <si>
    <t>2016-11-01</t>
  </si>
  <si>
    <t>2016-11-02</t>
  </si>
  <si>
    <t>2016-11-03</t>
  </si>
  <si>
    <t>2016-11-04</t>
  </si>
  <si>
    <t>2016-11-07</t>
  </si>
  <si>
    <t>2016-11-08</t>
  </si>
  <si>
    <t>2016-11-09</t>
  </si>
  <si>
    <t>2016-11-10</t>
  </si>
  <si>
    <t>2016-11-11</t>
  </si>
  <si>
    <t>2016-11-14</t>
  </si>
  <si>
    <t>2016-11-15</t>
  </si>
  <si>
    <t>2016-11-16</t>
  </si>
  <si>
    <t>2016-11-17</t>
  </si>
  <si>
    <t>2016-11-18</t>
  </si>
  <si>
    <t>2016-11-21</t>
  </si>
  <si>
    <t>2016-11-22</t>
  </si>
  <si>
    <t>2016-11-23</t>
  </si>
  <si>
    <t>2016-11-24</t>
  </si>
  <si>
    <t>2016-11-25</t>
  </si>
  <si>
    <t>2016-11-28</t>
  </si>
  <si>
    <t>2016-11-29</t>
  </si>
  <si>
    <t>2016-11-30</t>
  </si>
  <si>
    <t>2016-12-01</t>
  </si>
  <si>
    <t>2016-12-02</t>
  </si>
  <si>
    <t>2016-12-05</t>
  </si>
  <si>
    <t>2016-12-06</t>
  </si>
  <si>
    <t>2016-12-07</t>
  </si>
  <si>
    <t>2016-12-08</t>
  </si>
  <si>
    <t>2016-12-09</t>
  </si>
  <si>
    <t>2016-12-12</t>
  </si>
  <si>
    <t>2016-12-13</t>
  </si>
  <si>
    <t>2016-12-14</t>
  </si>
  <si>
    <t>2016-12-15</t>
  </si>
  <si>
    <t>2016-12-16</t>
  </si>
  <si>
    <t>2016-12-19</t>
  </si>
  <si>
    <t>2016-12-20</t>
  </si>
  <si>
    <t>2016-12-21</t>
  </si>
  <si>
    <t>2016-12-22</t>
  </si>
  <si>
    <t>2016-12-23</t>
  </si>
  <si>
    <t>2016-12-28</t>
  </si>
  <si>
    <t>2016-12-29</t>
  </si>
  <si>
    <t>2016-12-30</t>
  </si>
  <si>
    <t>2017-01-03</t>
  </si>
  <si>
    <t>2017-01-04</t>
  </si>
  <si>
    <t>2017-01-05</t>
  </si>
  <si>
    <t>2017-01-06</t>
  </si>
  <si>
    <t>2017-01-09</t>
  </si>
  <si>
    <t>2017-01-10</t>
  </si>
  <si>
    <t>2017-01-11</t>
  </si>
  <si>
    <t>2017-01-12</t>
  </si>
  <si>
    <t>2017-01-13</t>
  </si>
  <si>
    <t>2017-01-16</t>
  </si>
  <si>
    <t>2017-01-17</t>
  </si>
  <si>
    <t>2017-01-18</t>
  </si>
  <si>
    <t>2017-01-19</t>
  </si>
  <si>
    <t>2017-01-20</t>
  </si>
  <si>
    <t>2017-01-23</t>
  </si>
  <si>
    <t>2017-01-24</t>
  </si>
  <si>
    <t>2017-01-25</t>
  </si>
  <si>
    <t>2017-01-26</t>
  </si>
  <si>
    <t>2017-01-27</t>
  </si>
  <si>
    <t>2017-01-30</t>
  </si>
  <si>
    <t>2017-01-31</t>
  </si>
  <si>
    <t>2017-02-01</t>
  </si>
  <si>
    <t>2017-02-02</t>
  </si>
  <si>
    <t>2017-02-03</t>
  </si>
  <si>
    <t>2017-02-06</t>
  </si>
  <si>
    <t>2017-02-07</t>
  </si>
  <si>
    <t>2017-02-08</t>
  </si>
  <si>
    <t>2017-02-09</t>
  </si>
  <si>
    <t>2017-02-10</t>
  </si>
  <si>
    <t>2017-02-13</t>
  </si>
  <si>
    <t>2017-02-14</t>
  </si>
  <si>
    <t>2017-02-15</t>
  </si>
  <si>
    <t>2017-02-16</t>
  </si>
  <si>
    <t>2017-02-17</t>
  </si>
  <si>
    <t>2017-02-20</t>
  </si>
  <si>
    <t>2017-02-21</t>
  </si>
  <si>
    <t>2017-02-22</t>
  </si>
  <si>
    <t>2017-02-23</t>
  </si>
  <si>
    <t>2017-02-24</t>
  </si>
  <si>
    <t>2017-02-27</t>
  </si>
  <si>
    <t>2017-02-28</t>
  </si>
  <si>
    <t>2017-03-01</t>
  </si>
  <si>
    <t>2017-03-02</t>
  </si>
  <si>
    <t>2017-03-03</t>
  </si>
  <si>
    <t>2017-03-06</t>
  </si>
  <si>
    <t>2017-03-07</t>
  </si>
  <si>
    <t>2017-03-08</t>
  </si>
  <si>
    <t>2017-03-09</t>
  </si>
  <si>
    <t>2017-03-10</t>
  </si>
  <si>
    <t>2017-03-13</t>
  </si>
  <si>
    <t>2017-03-14</t>
  </si>
  <si>
    <t>2017-03-15</t>
  </si>
  <si>
    <t>2017-03-16</t>
  </si>
  <si>
    <t>2017-03-17</t>
  </si>
  <si>
    <t>2017-03-20</t>
  </si>
  <si>
    <t>2017-03-21</t>
  </si>
  <si>
    <t>2017-03-22</t>
  </si>
  <si>
    <t>2017-03-23</t>
  </si>
  <si>
    <t>2017-03-24</t>
  </si>
  <si>
    <t>2017-03-27</t>
  </si>
  <si>
    <t>2017-03-28</t>
  </si>
  <si>
    <t>2017-03-29</t>
  </si>
  <si>
    <t>2017-03-30</t>
  </si>
  <si>
    <t>2017-03-31</t>
  </si>
  <si>
    <t>2017-04-03</t>
  </si>
  <si>
    <t>2017-04-04</t>
  </si>
  <si>
    <t>2017-04-05</t>
  </si>
  <si>
    <t>2017-04-06</t>
  </si>
  <si>
    <t>2017-04-07</t>
  </si>
  <si>
    <t>2017-04-10</t>
  </si>
  <si>
    <t>2017-04-11</t>
  </si>
  <si>
    <t>2017-04-12</t>
  </si>
  <si>
    <t>2017-04-13</t>
  </si>
  <si>
    <t>2017-04-18</t>
  </si>
  <si>
    <t>2017-04-19</t>
  </si>
  <si>
    <t>2017-04-20</t>
  </si>
  <si>
    <t>2017-04-21</t>
  </si>
  <si>
    <t>2017-04-24</t>
  </si>
  <si>
    <t>2017-04-25</t>
  </si>
  <si>
    <t>2017-04-26</t>
  </si>
  <si>
    <t>2017-04-27</t>
  </si>
  <si>
    <t>2017-04-28</t>
  </si>
  <si>
    <t>2017-05-02</t>
  </si>
  <si>
    <t>2017-05-03</t>
  </si>
  <si>
    <t>2017-05-04</t>
  </si>
  <si>
    <t>2017-05-05</t>
  </si>
  <si>
    <t>2017-05-08</t>
  </si>
  <si>
    <t>2017-05-09</t>
  </si>
  <si>
    <t>2017-05-10</t>
  </si>
  <si>
    <t>2017-05-11</t>
  </si>
  <si>
    <t>2017-05-12</t>
  </si>
  <si>
    <t>2017-05-15</t>
  </si>
  <si>
    <t>2017-05-16</t>
  </si>
  <si>
    <t>2017-05-17</t>
  </si>
  <si>
    <t>2017-05-18</t>
  </si>
  <si>
    <t>2017-05-19</t>
  </si>
  <si>
    <t>2017-05-22</t>
  </si>
  <si>
    <t>2017-05-23</t>
  </si>
  <si>
    <t>2017-05-24</t>
  </si>
  <si>
    <t>2017-05-25</t>
  </si>
  <si>
    <t>2017-05-26</t>
  </si>
  <si>
    <t>2017-05-30</t>
  </si>
  <si>
    <t>2017-05-31</t>
  </si>
  <si>
    <t>2017-06-01</t>
  </si>
  <si>
    <t>2017-06-02</t>
  </si>
  <si>
    <t>2017-06-05</t>
  </si>
  <si>
    <t>2017-06-06</t>
  </si>
  <si>
    <t>2017-06-07</t>
  </si>
  <si>
    <t>2017-06-08</t>
  </si>
  <si>
    <t>2017-06-09</t>
  </si>
  <si>
    <t>2017-06-12</t>
  </si>
  <si>
    <t>2017-06-13</t>
  </si>
  <si>
    <t>2017-06-14</t>
  </si>
  <si>
    <t>2017-06-15</t>
  </si>
  <si>
    <t>2017-06-16</t>
  </si>
  <si>
    <t>2017-06-19</t>
  </si>
  <si>
    <t>2017-06-20</t>
  </si>
  <si>
    <t>2017-06-21</t>
  </si>
  <si>
    <t>2017-06-22</t>
  </si>
  <si>
    <t>2017-06-23</t>
  </si>
  <si>
    <t>2017-06-26</t>
  </si>
  <si>
    <t>2017-06-27</t>
  </si>
  <si>
    <t>2017-06-28</t>
  </si>
  <si>
    <t>2017-06-29</t>
  </si>
  <si>
    <t>2017-06-30</t>
  </si>
  <si>
    <t>2017-07-03</t>
  </si>
  <si>
    <t>2017-07-04</t>
  </si>
  <si>
    <t>2017-07-05</t>
  </si>
  <si>
    <t>2017-07-06</t>
  </si>
  <si>
    <t>2017-07-07</t>
  </si>
  <si>
    <t>2017-07-10</t>
  </si>
  <si>
    <t>2017-07-11</t>
  </si>
  <si>
    <t>2017-07-12</t>
  </si>
  <si>
    <t>2017-07-13</t>
  </si>
  <si>
    <t>2017-07-14</t>
  </si>
  <si>
    <t>2017-07-17</t>
  </si>
  <si>
    <t>2017-07-18</t>
  </si>
  <si>
    <t>2017-07-19</t>
  </si>
  <si>
    <t>2017-07-20</t>
  </si>
  <si>
    <t>2017-07-21</t>
  </si>
  <si>
    <t>2017-07-24</t>
  </si>
  <si>
    <t>2017-07-25</t>
  </si>
  <si>
    <t>2017-07-26</t>
  </si>
  <si>
    <t>2017-07-27</t>
  </si>
  <si>
    <t>2017-07-28</t>
  </si>
  <si>
    <t>2017-07-31</t>
  </si>
  <si>
    <t>2017-08-01</t>
  </si>
  <si>
    <t>2017-08-02</t>
  </si>
  <si>
    <t>2017-08-03</t>
  </si>
  <si>
    <t>2017-08-04</t>
  </si>
  <si>
    <t>2017-08-07</t>
  </si>
  <si>
    <t>2017-08-08</t>
  </si>
  <si>
    <t>2017-08-09</t>
  </si>
  <si>
    <t>2017-08-10</t>
  </si>
  <si>
    <t>2017-08-11</t>
  </si>
  <si>
    <t>2017-08-14</t>
  </si>
  <si>
    <t>2017-08-15</t>
  </si>
  <si>
    <t>2017-08-16</t>
  </si>
  <si>
    <t>2017-08-17</t>
  </si>
  <si>
    <t>2017-08-18</t>
  </si>
  <si>
    <t>2017-08-21</t>
  </si>
  <si>
    <t>2017-08-22</t>
  </si>
  <si>
    <t>2017-08-23</t>
  </si>
  <si>
    <t>2017-08-24</t>
  </si>
  <si>
    <t>2017-08-25</t>
  </si>
  <si>
    <t>2017-08-29</t>
  </si>
  <si>
    <t>2017-08-30</t>
  </si>
  <si>
    <t>2017-08-31</t>
  </si>
  <si>
    <t>2017-09-01</t>
  </si>
  <si>
    <t>2017-09-04</t>
  </si>
  <si>
    <t>2017-09-05</t>
  </si>
  <si>
    <t>2017-09-06</t>
  </si>
  <si>
    <t>2017-09-07</t>
  </si>
  <si>
    <t>2017-09-08</t>
  </si>
  <si>
    <t>2017-09-11</t>
  </si>
  <si>
    <t>2017-09-12</t>
  </si>
  <si>
    <t>2017-09-13</t>
  </si>
  <si>
    <t>2017-09-14</t>
  </si>
  <si>
    <t>2017-09-15</t>
  </si>
  <si>
    <t>2017-09-18</t>
  </si>
  <si>
    <t>2017-09-19</t>
  </si>
  <si>
    <t>2017-09-20</t>
  </si>
  <si>
    <t>2017-09-21</t>
  </si>
  <si>
    <t>2017-09-22</t>
  </si>
  <si>
    <t>2017-09-25</t>
  </si>
  <si>
    <t>2017-09-26</t>
  </si>
  <si>
    <t>2017-09-27</t>
  </si>
  <si>
    <t>2017-09-28</t>
  </si>
  <si>
    <t>2017-09-29</t>
  </si>
  <si>
    <t>2017-10-02</t>
  </si>
  <si>
    <t>2017-10-03</t>
  </si>
  <si>
    <t>2017-10-04</t>
  </si>
  <si>
    <t>2017-10-05</t>
  </si>
  <si>
    <t>2017-10-06</t>
  </si>
  <si>
    <t>2017-10-09</t>
  </si>
  <si>
    <t>2017-10-10</t>
  </si>
  <si>
    <t>2017-10-11</t>
  </si>
  <si>
    <t>2017-10-12</t>
  </si>
  <si>
    <t>2017-10-13</t>
  </si>
  <si>
    <t>2017-10-16</t>
  </si>
  <si>
    <t>2017-10-17</t>
  </si>
  <si>
    <t>2017-10-18</t>
  </si>
  <si>
    <t>2017-10-19</t>
  </si>
  <si>
    <t>2017-10-20</t>
  </si>
  <si>
    <t>2017-10-23</t>
  </si>
  <si>
    <t>2017-10-24</t>
  </si>
  <si>
    <t>2017-10-25</t>
  </si>
  <si>
    <t>2017-10-26</t>
  </si>
  <si>
    <t>2017-10-27</t>
  </si>
  <si>
    <t>2017-10-30</t>
  </si>
  <si>
    <t>2017-10-31</t>
  </si>
  <si>
    <t>2017-11-01</t>
  </si>
  <si>
    <t>2017-11-02</t>
  </si>
  <si>
    <t>2017-11-03</t>
  </si>
  <si>
    <t>2017-11-06</t>
  </si>
  <si>
    <t>2017-11-07</t>
  </si>
  <si>
    <t>2017-11-08</t>
  </si>
  <si>
    <t>2017-11-09</t>
  </si>
  <si>
    <t>2017-11-10</t>
  </si>
  <si>
    <t>2017-11-13</t>
  </si>
  <si>
    <t>2017-11-14</t>
  </si>
  <si>
    <t>2017-11-15</t>
  </si>
  <si>
    <t>2017-11-16</t>
  </si>
  <si>
    <t>2017-11-17</t>
  </si>
  <si>
    <t>2017-11-20</t>
  </si>
  <si>
    <t>2017-11-21</t>
  </si>
  <si>
    <t>2017-11-22</t>
  </si>
  <si>
    <t>2017-11-23</t>
  </si>
  <si>
    <t>2017-11-24</t>
  </si>
  <si>
    <t>2017-11-27</t>
  </si>
  <si>
    <t>2017-11-28</t>
  </si>
  <si>
    <t>2017-11-29</t>
  </si>
  <si>
    <t>2017-11-30</t>
  </si>
  <si>
    <t>2017-12-01</t>
  </si>
  <si>
    <t>2017-12-04</t>
  </si>
  <si>
    <t>2017-12-05</t>
  </si>
  <si>
    <t>2017-12-06</t>
  </si>
  <si>
    <t>2017-12-07</t>
  </si>
  <si>
    <t>2017-12-08</t>
  </si>
  <si>
    <t>2017-12-11</t>
  </si>
  <si>
    <t>2017-12-12</t>
  </si>
  <si>
    <t>2017-12-13</t>
  </si>
  <si>
    <t>2017-12-14</t>
  </si>
  <si>
    <t>2017-12-15</t>
  </si>
  <si>
    <t>2017-12-18</t>
  </si>
  <si>
    <t>2017-12-19</t>
  </si>
  <si>
    <t>2017-12-20</t>
  </si>
  <si>
    <t>2017-12-21</t>
  </si>
  <si>
    <t>2017-12-22</t>
  </si>
  <si>
    <t>2017-12-27</t>
  </si>
  <si>
    <t>2017-12-28</t>
  </si>
  <si>
    <t>2017-12-29</t>
  </si>
  <si>
    <t>2018-01-02</t>
  </si>
  <si>
    <t>2018-01-03</t>
  </si>
  <si>
    <t>2018-01-04</t>
  </si>
  <si>
    <t>2018-01-05</t>
  </si>
  <si>
    <t>2018-01-08</t>
  </si>
  <si>
    <t>2018-01-09</t>
  </si>
  <si>
    <t>2018-01-10</t>
  </si>
  <si>
    <t>2018-01-11</t>
  </si>
  <si>
    <t>2018-01-12</t>
  </si>
  <si>
    <t>2018-01-15</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</si>
  <si>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</si>
  <si>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</si>
  <si>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</si>
  <si>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</si>
  <si>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</si>
  <si>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</si>
  <si>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</si>
  <si>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</si>
  <si>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</si>
  <si>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</si>
  <si>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</si>
  <si>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</si>
  <si>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</si>
  <si>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</si>
  <si>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</si>
  <si>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</si>
  <si>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</si>
  <si>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</si>
  <si>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</si>
  <si>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</si>
  <si>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</si>
  <si>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</si>
  <si>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2018-02-15</t>
  </si>
  <si>
    <t>2018-02-16</t>
  </si>
  <si>
    <t>2018-02-19</t>
  </si>
  <si>
    <t>2018-02-20</t>
  </si>
  <si>
    <t>2018-02-21</t>
  </si>
  <si>
    <t>2018-02-22</t>
  </si>
  <si>
    <t>2018-02-23</t>
  </si>
  <si>
    <t>2018-02-26</t>
  </si>
  <si>
    <t>2018-02-27</t>
  </si>
  <si>
    <t>2018-02-28</t>
  </si>
  <si>
    <t>2018-03-01</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</si>
  <si>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</si>
  <si>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</si>
  <si>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</si>
  <si>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</si>
  <si>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</si>
  <si>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</si>
  <si>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</si>
  <si>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</si>
  <si>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</si>
  <si>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</si>
  <si>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</si>
  <si>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</si>
  <si>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</si>
  <si>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</si>
  <si>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</si>
  <si>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</si>
  <si>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</si>
  <si>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</si>
  <si>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</si>
  <si>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</si>
  <si>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</si>
  <si>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</si>
  <si>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</si>
  <si>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</si>
  <si>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</si>
  <si>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</si>
  <si>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</si>
  <si>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</si>
  <si>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</si>
  <si>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</si>
  <si>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</si>
  <si>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</si>
  <si>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</si>
  <si>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</si>
  <si>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</si>
  <si>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</si>
  <si>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</si>
  <si>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</si>
  <si>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</si>
  <si>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</si>
  <si>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2018-05-01</t>
  </si>
  <si>
    <t>2018-05-02</t>
  </si>
  <si>
    <t>2018-05-03</t>
  </si>
  <si>
    <t>2018-05-04</t>
  </si>
  <si>
    <t>2018-05-08</t>
  </si>
  <si>
    <t>2018-05-09</t>
  </si>
  <si>
    <t>2018-05-10</t>
  </si>
  <si>
    <t>2018-05-11</t>
  </si>
  <si>
    <t>2018-05-14</t>
  </si>
  <si>
    <t>2018-05-15</t>
  </si>
  <si>
    <t>2018-05-16</t>
  </si>
  <si>
    <t>2018-05-17</t>
  </si>
  <si>
    <t>2018-05-18</t>
  </si>
  <si>
    <t>2018-05-21</t>
  </si>
  <si>
    <t>2018-05-22</t>
  </si>
  <si>
    <t>2018-05-23</t>
  </si>
  <si>
    <t>2018-05-24</t>
  </si>
  <si>
    <t>2018-05-25</t>
  </si>
  <si>
    <t>2018-05-29</t>
  </si>
  <si>
    <t>2018-05-30</t>
  </si>
  <si>
    <t>2018-05-31</t>
  </si>
  <si>
    <t>2018-06-01</t>
  </si>
  <si>
    <t>2018-06-04</t>
  </si>
  <si>
    <t>2018-06-05</t>
  </si>
  <si>
    <t>2018-06-06</t>
  </si>
  <si>
    <t>2018-06-07</t>
  </si>
  <si>
    <t>2018-06-08</t>
  </si>
  <si>
    <t>2018-06-11</t>
  </si>
  <si>
    <t>2018-06-12</t>
  </si>
  <si>
    <t>2018-06-13</t>
  </si>
  <si>
    <t>2018-06-14</t>
  </si>
  <si>
    <t>2018-06-15</t>
  </si>
  <si>
    <t>2018-06-18</t>
  </si>
  <si>
    <t>2018-06-19</t>
  </si>
  <si>
    <t>2018-06-20</t>
  </si>
  <si>
    <t>2018-06-21</t>
  </si>
  <si>
    <t>2018-06-22</t>
  </si>
  <si>
    <t>2018-06-25</t>
  </si>
  <si>
    <t>2018-06-26</t>
  </si>
  <si>
    <t>2018-06-27</t>
  </si>
  <si>
    <t>2018-06-28</t>
  </si>
  <si>
    <t>2018-06-29</t>
  </si>
  <si>
    <t>2018-07-02</t>
  </si>
  <si>
    <t>2018-07-03</t>
  </si>
  <si>
    <t>2018-07-04</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</si>
  <si>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</si>
  <si>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</si>
  <si>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</si>
  <si>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</si>
  <si>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</si>
  <si>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</si>
  <si>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</si>
  <si>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</si>
  <si>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</si>
  <si>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</si>
  <si>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</si>
  <si>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</si>
  <si>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</si>
  <si>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</si>
  <si>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</si>
  <si>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</si>
  <si>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</si>
  <si>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</si>
  <si>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</si>
  <si>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</si>
  <si>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</si>
  <si>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</si>
  <si>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</si>
  <si>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</si>
  <si>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</si>
  <si>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</si>
  <si>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</si>
  <si>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</si>
  <si>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</si>
  <si>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2018-08-15</t>
  </si>
  <si>
    <t>2018-08-16</t>
  </si>
  <si>
    <t>2018-08-17</t>
  </si>
  <si>
    <t>2018-08-20</t>
  </si>
  <si>
    <t>2018-08-21</t>
  </si>
  <si>
    <t>2018-08-22</t>
  </si>
  <si>
    <t>2018-08-23</t>
  </si>
  <si>
    <t>2018-08-24</t>
  </si>
  <si>
    <t>2018-08-28</t>
  </si>
  <si>
    <t>2018-08-29</t>
  </si>
  <si>
    <t>2018-08-30</t>
  </si>
  <si>
    <t>2018-08-31</t>
  </si>
  <si>
    <t>2018-09-03</t>
  </si>
  <si>
    <t>2018-09-04</t>
  </si>
  <si>
    <t>2018-09-05</t>
  </si>
  <si>
    <t>2018-09-06</t>
  </si>
  <si>
    <t>2018-09-07</t>
  </si>
  <si>
    <t>2018-09-10</t>
  </si>
  <si>
    <t>2018-09-11</t>
  </si>
  <si>
    <t>2018-09-12</t>
  </si>
  <si>
    <t>2018-09-13</t>
  </si>
  <si>
    <t>2018-09-14</t>
  </si>
  <si>
    <t>2018-09-17</t>
  </si>
  <si>
    <t>2018-09-18</t>
  </si>
  <si>
    <t>2018-09-19</t>
  </si>
  <si>
    <t>2018-09-20</t>
  </si>
  <si>
    <t>2018-09-21</t>
  </si>
  <si>
    <t>2018-09-24</t>
  </si>
  <si>
    <t>2018-09-25</t>
  </si>
  <si>
    <t>2018-09-26</t>
  </si>
  <si>
    <t>2018-09-27</t>
  </si>
  <si>
    <t>2018-09-28</t>
  </si>
  <si>
    <t>2018-10-01</t>
  </si>
  <si>
    <t>2018-10-02</t>
  </si>
  <si>
    <t>2018-10-03</t>
  </si>
  <si>
    <t>2018-10-04</t>
  </si>
  <si>
    <t>2018-10-05</t>
  </si>
  <si>
    <t>2018-10-08</t>
  </si>
  <si>
    <t>2018-10-09</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</si>
  <si>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</si>
  <si>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</si>
  <si>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</si>
  <si>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</si>
  <si>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</si>
  <si>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</si>
  <si>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</si>
  <si>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</si>
  <si>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</si>
  <si>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</si>
  <si>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</si>
  <si>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</si>
  <si>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</si>
  <si>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</si>
  <si>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</si>
  <si>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</si>
  <si>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</si>
  <si>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</si>
  <si>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</si>
  <si>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</si>
  <si>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</si>
  <si>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</si>
  <si>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</si>
  <si>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</si>
  <si>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</si>
  <si>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</si>
  <si>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</si>
  <si>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</si>
  <si>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</si>
  <si>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</si>
  <si>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</si>
  <si>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2018-11-22</t>
  </si>
  <si>
    <t>2018-11-23</t>
  </si>
  <si>
    <t>2018-11-26</t>
  </si>
  <si>
    <t>2018-11-27</t>
  </si>
  <si>
    <t>2018-11-28</t>
  </si>
  <si>
    <t>2018-11-29</t>
  </si>
  <si>
    <t>2018-11-30</t>
  </si>
  <si>
    <t>2018-12-03</t>
  </si>
  <si>
    <t>2018-12-04</t>
  </si>
  <si>
    <t>2018-12-05</t>
  </si>
  <si>
    <t>2018-12-06</t>
  </si>
  <si>
    <t>2018-12-07</t>
  </si>
  <si>
    <t>2018-12-10</t>
  </si>
  <si>
    <t>2018-12-11</t>
  </si>
  <si>
    <t>2018-12-12</t>
  </si>
  <si>
    <t>2018-12-13</t>
  </si>
  <si>
    <t>2018-12-14</t>
  </si>
  <si>
    <t>2018-12-17</t>
  </si>
  <si>
    <t>2018-12-18</t>
  </si>
  <si>
    <t>2018-12-19</t>
  </si>
  <si>
    <t>2018-12-20</t>
  </si>
  <si>
    <t>2018-12-21</t>
  </si>
  <si>
    <t>2018-12-24</t>
  </si>
  <si>
    <t>2018-12-27</t>
  </si>
  <si>
    <t>2018-12-28</t>
  </si>
  <si>
    <t>2018-12-31</t>
  </si>
  <si>
    <t>2019-01-02</t>
  </si>
  <si>
    <t>2019-01-03</t>
  </si>
  <si>
    <t>2019-01-04</t>
  </si>
  <si>
    <t>2019-01-07</t>
  </si>
  <si>
    <t>2019-01-08</t>
  </si>
  <si>
    <t>2019-01-09</t>
  </si>
  <si>
    <t>2019-01-10</t>
  </si>
  <si>
    <t>2019-01-11</t>
  </si>
  <si>
    <t>2019-01-14</t>
  </si>
  <si>
    <t>2019-01-15</t>
  </si>
  <si>
    <t>2019-01-16</t>
  </si>
  <si>
    <t>2019-01-17</t>
  </si>
  <si>
    <t>2019-01-18</t>
  </si>
  <si>
    <t>2019-01-21</t>
  </si>
  <si>
    <t>2019-01-22</t>
  </si>
  <si>
    <t>2019-01-23</t>
  </si>
  <si>
    <t>2019-01-24</t>
  </si>
  <si>
    <t>2019-01-25</t>
  </si>
  <si>
    <t>2019-01-28</t>
  </si>
  <si>
    <t>2019-01-29</t>
  </si>
  <si>
    <t>2019-01-30</t>
  </si>
  <si>
    <t>2019-01-31</t>
  </si>
  <si>
    <t>2019-02-01</t>
  </si>
  <si>
    <t>2019-02-04</t>
  </si>
  <si>
    <t>2019-02-05</t>
  </si>
  <si>
    <t>2019-02-06</t>
  </si>
  <si>
    <t>2019-02-07</t>
  </si>
  <si>
    <t>2019-02-08</t>
  </si>
  <si>
    <t>2019-02-11</t>
  </si>
  <si>
    <t>2019-02-12</t>
  </si>
  <si>
    <t>2019-02-13</t>
  </si>
  <si>
    <t>2019-02-14</t>
  </si>
  <si>
    <t>2019-02-15</t>
  </si>
  <si>
    <t>2019-02-18</t>
  </si>
  <si>
    <t>2019-02-19</t>
  </si>
  <si>
    <t>2019-02-20</t>
  </si>
  <si>
    <t>2019-02-21</t>
  </si>
  <si>
    <t>2019-02-22</t>
  </si>
  <si>
    <t>2019-02-25</t>
  </si>
  <si>
    <t>2019-02-26</t>
  </si>
  <si>
    <t>2019-02-27</t>
  </si>
  <si>
    <t>2019-02-28</t>
  </si>
  <si>
    <t>2019-03-01</t>
  </si>
  <si>
    <t>2019-03-04</t>
  </si>
  <si>
    <t>2019-03-05</t>
  </si>
  <si>
    <t>2019-03-06</t>
  </si>
  <si>
    <t>2019-03-07</t>
  </si>
  <si>
    <t>2019-03-08</t>
  </si>
  <si>
    <t>2019-03-11</t>
  </si>
  <si>
    <t>2019-03-12</t>
  </si>
  <si>
    <t>2019-03-13</t>
  </si>
  <si>
    <t>2019-03-14</t>
  </si>
  <si>
    <t>2019-03-15</t>
  </si>
  <si>
    <t>2019-03-18</t>
  </si>
  <si>
    <t>2019-03-19</t>
  </si>
  <si>
    <t>2019-03-20</t>
  </si>
  <si>
    <t>2019-03-21</t>
  </si>
  <si>
    <t>2019-03-22</t>
  </si>
  <si>
    <t>2019-03-25</t>
  </si>
  <si>
    <t>2019-03-26</t>
  </si>
  <si>
    <t>2019-03-27</t>
  </si>
  <si>
    <t>2019-03-28</t>
  </si>
  <si>
    <t>2019-03-29</t>
  </si>
  <si>
    <t>2019-04-01</t>
  </si>
  <si>
    <t>2019-04-02</t>
  </si>
  <si>
    <t>2019-04-03</t>
  </si>
  <si>
    <t>2019-04-04</t>
  </si>
  <si>
    <t>2019-04-05</t>
  </si>
  <si>
    <t>2019-04-08</t>
  </si>
  <si>
    <t>2019-04-09</t>
  </si>
  <si>
    <t>2019-04-10</t>
  </si>
  <si>
    <t>2019-04-11</t>
  </si>
  <si>
    <t>2019-04-12</t>
  </si>
  <si>
    <t>2019-04-15</t>
  </si>
  <si>
    <t>2019-04-16</t>
  </si>
  <si>
    <t>2019-04-17</t>
  </si>
  <si>
    <t>2019-04-18</t>
  </si>
  <si>
    <t>2019-04-23</t>
  </si>
  <si>
    <t>2019-04-24</t>
  </si>
  <si>
    <t>2019-04-25</t>
  </si>
  <si>
    <t>2019-04-26</t>
  </si>
  <si>
    <t>2019-04-29</t>
  </si>
  <si>
    <t>2019-04-30</t>
  </si>
  <si>
    <t>2019-05-01</t>
  </si>
  <si>
    <t>2019-05-02</t>
  </si>
  <si>
    <t>2019-05-03</t>
  </si>
  <si>
    <t>2019-05-07</t>
  </si>
  <si>
    <t>2019-05-08</t>
  </si>
  <si>
    <t>2019-05-09</t>
  </si>
  <si>
    <t>2019-05-10</t>
  </si>
  <si>
    <t>2019-05-13</t>
  </si>
  <si>
    <t>2019-05-14</t>
  </si>
  <si>
    <t>2019-05-15</t>
  </si>
  <si>
    <t>2019-05-16</t>
  </si>
  <si>
    <t>2019-05-17</t>
  </si>
  <si>
    <t>2019-05-20</t>
  </si>
  <si>
    <t>2019-05-21</t>
  </si>
  <si>
    <t>2019-05-22</t>
  </si>
  <si>
    <t>2019-05-23</t>
  </si>
  <si>
    <t>2019-05-24</t>
  </si>
  <si>
    <t>2019-05-28</t>
  </si>
  <si>
    <t>2019-05-29</t>
  </si>
  <si>
    <t>2019-05-30</t>
  </si>
  <si>
    <t>2019-05-31</t>
  </si>
  <si>
    <t>2019-06-03</t>
  </si>
  <si>
    <t>2019-06-04</t>
  </si>
  <si>
    <t>2019-06-05</t>
  </si>
  <si>
    <t>2019-06-06</t>
  </si>
  <si>
    <t>2019-06-07</t>
  </si>
  <si>
    <t>2019-06-10</t>
  </si>
  <si>
    <t>2019-06-11</t>
  </si>
  <si>
    <t>2019-06-12</t>
  </si>
  <si>
    <t>2019-06-13</t>
  </si>
  <si>
    <t>2019-06-14</t>
  </si>
  <si>
    <t>2019-06-17</t>
  </si>
  <si>
    <t>2019-06-18</t>
  </si>
  <si>
    <t>2019-06-19</t>
  </si>
  <si>
    <t>2019-06-20</t>
  </si>
  <si>
    <t>2019-06-21</t>
  </si>
  <si>
    <t>2019-06-24</t>
  </si>
  <si>
    <t>2019-06-25</t>
  </si>
  <si>
    <t>2019-06-26</t>
  </si>
  <si>
    <t>2019-06-27</t>
  </si>
  <si>
    <t>2019-06-28</t>
  </si>
  <si>
    <t>2019-07-01</t>
  </si>
  <si>
    <t>2019-07-02</t>
  </si>
  <si>
    <t>2019-07-03</t>
  </si>
  <si>
    <t>2019-07-04</t>
  </si>
  <si>
    <t>2019-07-05</t>
  </si>
  <si>
    <t>2019-07-08</t>
  </si>
  <si>
    <t>2019-07-09</t>
  </si>
  <si>
    <t>2019-07-10</t>
  </si>
  <si>
    <t>2019-07-11</t>
  </si>
  <si>
    <t>2019-07-12</t>
  </si>
  <si>
    <t>2019-07-15</t>
  </si>
  <si>
    <t>2019-07-16</t>
  </si>
  <si>
    <t>2019-07-17</t>
  </si>
  <si>
    <t>2019-07-18</t>
  </si>
  <si>
    <t>2019-07-19</t>
  </si>
  <si>
    <t>2019-07-22</t>
  </si>
  <si>
    <t>2019-07-23</t>
  </si>
  <si>
    <t>2019-07-24</t>
  </si>
  <si>
    <t>2019-07-25</t>
  </si>
  <si>
    <t>2019-07-26</t>
  </si>
  <si>
    <t>2019-07-29</t>
  </si>
  <si>
    <t>2019-07-30</t>
  </si>
  <si>
    <t>2019-07-31</t>
  </si>
  <si>
    <t>2019-08-01</t>
  </si>
  <si>
    <t>2019-08-02</t>
  </si>
  <si>
    <t>2019-08-05</t>
  </si>
  <si>
    <t>2019-08-06</t>
  </si>
  <si>
    <t>2019-08-07</t>
  </si>
  <si>
    <t>2019-08-08</t>
  </si>
  <si>
    <t>2019-08-09</t>
  </si>
  <si>
    <t>2019-08-12</t>
  </si>
  <si>
    <t>2019-08-13</t>
  </si>
  <si>
    <t>2019-08-14</t>
  </si>
  <si>
    <t>2019-08-15</t>
  </si>
  <si>
    <t>2019-08-16</t>
  </si>
  <si>
    <t>2019-08-19</t>
  </si>
  <si>
    <t>2019-08-20</t>
  </si>
  <si>
    <t>2019-08-21</t>
  </si>
  <si>
    <t>2019-08-22</t>
  </si>
  <si>
    <t>2019-08-23</t>
  </si>
  <si>
    <t>2019-08-27</t>
  </si>
  <si>
    <t>2019-08-28</t>
  </si>
  <si>
    <t>2019-08-29</t>
  </si>
  <si>
    <t>2019-08-30</t>
  </si>
  <si>
    <t>2019-09-02</t>
  </si>
  <si>
    <t>2019-09-03</t>
  </si>
  <si>
    <t>2019-09-04</t>
  </si>
  <si>
    <t>2019-09-05</t>
  </si>
  <si>
    <t>2019-09-06</t>
  </si>
  <si>
    <t>2019-09-09</t>
  </si>
  <si>
    <t>2019-09-10</t>
  </si>
  <si>
    <t>2019-09-11</t>
  </si>
  <si>
    <t>2019-09-12</t>
  </si>
  <si>
    <t>2019-09-13</t>
  </si>
  <si>
    <t>2019-09-16</t>
  </si>
  <si>
    <t>2019-09-17</t>
  </si>
  <si>
    <t>2019-09-18</t>
  </si>
  <si>
    <t>2019-09-19</t>
  </si>
  <si>
    <t>2019-09-20</t>
  </si>
  <si>
    <t>2019-09-23</t>
  </si>
  <si>
    <t>2019-09-24</t>
  </si>
  <si>
    <t>2019-09-25</t>
  </si>
  <si>
    <t>2019-09-26</t>
  </si>
  <si>
    <t>2019-09-27</t>
  </si>
  <si>
    <t>2019-09-30</t>
  </si>
  <si>
    <t>2019-10-01</t>
  </si>
  <si>
    <t>2019-10-02</t>
  </si>
  <si>
    <t>2019-10-03</t>
  </si>
  <si>
    <t>2019-10-04</t>
  </si>
  <si>
    <t>2019-10-07</t>
  </si>
  <si>
    <t>2019-10-08</t>
  </si>
  <si>
    <t>2019-10-09</t>
  </si>
  <si>
    <t>2019-10-10</t>
  </si>
  <si>
    <t>2019-10-11</t>
  </si>
  <si>
    <t>2019-10-14</t>
  </si>
  <si>
    <t>2019-10-15</t>
  </si>
  <si>
    <t>2019-10-16</t>
  </si>
  <si>
    <t>2019-10-17</t>
  </si>
  <si>
    <t>2019-10-18</t>
  </si>
  <si>
    <t>2019-10-21</t>
  </si>
  <si>
    <t>2019-10-22</t>
  </si>
  <si>
    <t>2019-10-23</t>
  </si>
  <si>
    <t>2019-10-24</t>
  </si>
  <si>
    <t>2019-10-25</t>
  </si>
  <si>
    <t>2019-10-28</t>
  </si>
  <si>
    <t>2019-10-29</t>
  </si>
  <si>
    <t>2019-10-30</t>
  </si>
  <si>
    <t>2019-10-31</t>
  </si>
  <si>
    <t>2019-11-01</t>
  </si>
  <si>
    <t>2019-11-04</t>
  </si>
  <si>
    <t>2019-11-05</t>
  </si>
  <si>
    <t>2019-11-06</t>
  </si>
  <si>
    <t>2019-11-07</t>
  </si>
  <si>
    <t>2019-11-08</t>
  </si>
  <si>
    <t>2019-11-11</t>
  </si>
  <si>
    <t>2019-11-12</t>
  </si>
  <si>
    <t>2019-11-13</t>
  </si>
  <si>
    <t>2019-11-14</t>
  </si>
  <si>
    <t>2019-11-15</t>
  </si>
  <si>
    <t>2019-11-18</t>
  </si>
  <si>
    <t>2019-11-19</t>
  </si>
  <si>
    <t>2019-11-20</t>
  </si>
  <si>
    <t>2019-11-21</t>
  </si>
  <si>
    <t>2019-11-22</t>
  </si>
  <si>
    <t>2019-11-25</t>
  </si>
  <si>
    <t>2019-11-26</t>
  </si>
  <si>
    <t>2019-11-27</t>
  </si>
  <si>
    <t>2019-11-28</t>
  </si>
  <si>
    <t>2019-11-29</t>
  </si>
  <si>
    <t>2019-12-02</t>
  </si>
  <si>
    <t>2019-12-03</t>
  </si>
  <si>
    <t>2019-12-04</t>
  </si>
  <si>
    <t>2019-12-05</t>
  </si>
  <si>
    <t>2019-12-06</t>
  </si>
  <si>
    <t>2019-12-09</t>
  </si>
  <si>
    <t>2019-12-10</t>
  </si>
  <si>
    <t>2019-12-11</t>
  </si>
  <si>
    <t>2019-12-12</t>
  </si>
  <si>
    <t>2019-12-13</t>
  </si>
  <si>
    <t>2019-12-16</t>
  </si>
  <si>
    <t>2019-12-17</t>
  </si>
  <si>
    <t>2019-12-18</t>
  </si>
  <si>
    <t>2019-12-19</t>
  </si>
  <si>
    <t>2019-12-20</t>
  </si>
  <si>
    <t>2019-12-23</t>
  </si>
  <si>
    <t>2019-12-24</t>
  </si>
  <si>
    <t>2019-12-27</t>
  </si>
  <si>
    <t>2019-12-30</t>
  </si>
  <si>
    <t>2019-12-31</t>
  </si>
  <si>
    <t>2020-01-02</t>
  </si>
  <si>
    <t>2020-01-03</t>
  </si>
  <si>
    <t>2020-01-06</t>
  </si>
  <si>
    <t>2020-01-07</t>
  </si>
  <si>
    <t>2020-01-08</t>
  </si>
  <si>
    <t>2020-01-09</t>
  </si>
  <si>
    <t>2020-01-10</t>
  </si>
  <si>
    <t>2020-01-13</t>
  </si>
  <si>
    <t>2020-01-14</t>
  </si>
  <si>
    <t>2020-01-15</t>
  </si>
  <si>
    <t>2020-01-16</t>
  </si>
  <si>
    <t>2020-01-17</t>
  </si>
  <si>
    <t>2020-01-20</t>
  </si>
  <si>
    <t>2020-01-21</t>
  </si>
  <si>
    <t>2020-01-22</t>
  </si>
  <si>
    <t>2020-01-23</t>
  </si>
  <si>
    <t>2020-01-24</t>
  </si>
  <si>
    <t>2020-01-27</t>
  </si>
  <si>
    <t>2020-01-28</t>
  </si>
  <si>
    <t>2020-01-29</t>
  </si>
  <si>
    <t>2020-01-30</t>
  </si>
  <si>
    <t>2020-01-31</t>
  </si>
  <si>
    <t>2020-02-03</t>
  </si>
  <si>
    <t>2020-02-04</t>
  </si>
  <si>
    <t>2020-02-05</t>
  </si>
  <si>
    <t>2020-02-06</t>
  </si>
  <si>
    <t>2020-02-07</t>
  </si>
  <si>
    <t>2020-02-10</t>
  </si>
  <si>
    <t>2020-02-11</t>
  </si>
  <si>
    <t>2020-02-12</t>
  </si>
  <si>
    <t>2020-02-13</t>
  </si>
  <si>
    <t>2020-02-14</t>
  </si>
  <si>
    <t>2020-02-17</t>
  </si>
  <si>
    <t>2020-02-18</t>
  </si>
  <si>
    <t>2020-02-19</t>
  </si>
  <si>
    <t>2020-02-20</t>
  </si>
  <si>
    <t>2020-02-21</t>
  </si>
  <si>
    <t>2020-02-24</t>
  </si>
  <si>
    <t>2020-02-25</t>
  </si>
  <si>
    <t>2020-02-26</t>
  </si>
  <si>
    <t>2020-02-27</t>
  </si>
  <si>
    <t>2020-02-28</t>
  </si>
  <si>
    <t>2020-03-02</t>
  </si>
  <si>
    <t>2020-03-03</t>
  </si>
  <si>
    <t>2020-03-04</t>
  </si>
  <si>
    <t>2020-03-05</t>
  </si>
  <si>
    <t>2020-03-06</t>
  </si>
  <si>
    <t>2020-03-09</t>
  </si>
  <si>
    <t>2020-03-10</t>
  </si>
  <si>
    <t>2020-03-11</t>
  </si>
  <si>
    <t>2020-03-12</t>
  </si>
  <si>
    <t>2020-03-13</t>
  </si>
  <si>
    <t>2020-03-16</t>
  </si>
  <si>
    <t>2020-03-17</t>
  </si>
  <si>
    <t>2020-03-18</t>
  </si>
  <si>
    <t>2020-03-19</t>
  </si>
  <si>
    <t>2020-03-20</t>
  </si>
  <si>
    <t>2020-03-23</t>
  </si>
  <si>
    <t>2020-03-24</t>
  </si>
  <si>
    <t>2020-03-25</t>
  </si>
  <si>
    <t>2020-03-26</t>
  </si>
  <si>
    <t>2020-03-27</t>
  </si>
  <si>
    <t>2020-03-30</t>
  </si>
  <si>
    <t>2020-03-31</t>
  </si>
  <si>
    <t>2020-04-01</t>
  </si>
  <si>
    <t>2020-04-02</t>
  </si>
  <si>
    <t>2020-04-03</t>
  </si>
  <si>
    <t>2020-04-06</t>
  </si>
  <si>
    <t>2020-04-07</t>
  </si>
  <si>
    <t>2020-04-08</t>
  </si>
  <si>
    <t>2020-04-09</t>
  </si>
  <si>
    <t>2020-04-14</t>
  </si>
  <si>
    <t>2020-04-15</t>
  </si>
  <si>
    <t>2020-04-16</t>
  </si>
  <si>
    <t>2020-04-17</t>
  </si>
  <si>
    <t>2020-04-20</t>
  </si>
  <si>
    <t>2020-04-21</t>
  </si>
  <si>
    <t>2020-04-22</t>
  </si>
  <si>
    <t>2020-04-23</t>
  </si>
  <si>
    <t>2020-04-24</t>
  </si>
  <si>
    <t>2020-04-27</t>
  </si>
  <si>
    <t>2020-04-28</t>
  </si>
  <si>
    <t>2020-04-29</t>
  </si>
  <si>
    <t>2020-04-30</t>
  </si>
  <si>
    <t>2020-05-01</t>
  </si>
  <si>
    <t>2020-05-04</t>
  </si>
  <si>
    <t>2020-05-05</t>
  </si>
  <si>
    <t>2020-05-06</t>
  </si>
  <si>
    <t>2020-05-07</t>
  </si>
  <si>
    <t>2020-05-11</t>
  </si>
  <si>
    <t>2020-05-12</t>
  </si>
  <si>
    <t>2020-05-13</t>
  </si>
  <si>
    <t>2020-05-14</t>
  </si>
  <si>
    <t>2020-05-15</t>
  </si>
  <si>
    <t>2020-05-18</t>
  </si>
  <si>
    <t>2020-05-19</t>
  </si>
  <si>
    <t>2020-05-20</t>
  </si>
  <si>
    <t>2020-05-21</t>
  </si>
  <si>
    <t>2020-05-22</t>
  </si>
  <si>
    <t>2020-05-26</t>
  </si>
  <si>
    <t>2020-05-27</t>
  </si>
  <si>
    <t>2020-05-28</t>
  </si>
  <si>
    <t>2020-05-29</t>
  </si>
  <si>
    <t>2020-06-01</t>
  </si>
  <si>
    <t>2020-06-02</t>
  </si>
  <si>
    <t>2020-06-03</t>
  </si>
  <si>
    <t>2020-06-04</t>
  </si>
  <si>
    <t>2020-06-05</t>
  </si>
  <si>
    <t>2020-06-08</t>
  </si>
  <si>
    <t>2020-06-09</t>
  </si>
  <si>
    <t>2020-06-10</t>
  </si>
  <si>
    <t>2020-06-11</t>
  </si>
  <si>
    <t>2020-06-12</t>
  </si>
  <si>
    <t>2020-06-15</t>
  </si>
  <si>
    <t>2020-06-16</t>
  </si>
  <si>
    <t>2020-06-17</t>
  </si>
  <si>
    <t>2020-06-18</t>
  </si>
  <si>
    <t>2020-06-19</t>
  </si>
  <si>
    <t>2020-06-22</t>
  </si>
  <si>
    <t>2020-06-23</t>
  </si>
  <si>
    <t>2020-06-24</t>
  </si>
  <si>
    <t>2020-06-25</t>
  </si>
  <si>
    <t>2020-06-26</t>
  </si>
  <si>
    <t>2020-06-29</t>
  </si>
  <si>
    <t>2020-06-30</t>
  </si>
  <si>
    <t>2020-07-01</t>
  </si>
  <si>
    <t>2020-07-02</t>
  </si>
  <si>
    <t>2020-07-03</t>
  </si>
  <si>
    <t>2020-07-06</t>
  </si>
  <si>
    <t>2020-07-07</t>
  </si>
  <si>
    <t>2020-07-08</t>
  </si>
  <si>
    <t>2020-07-09</t>
  </si>
  <si>
    <t>2020-07-10</t>
  </si>
  <si>
    <t>2020-07-13</t>
  </si>
  <si>
    <t>2020-07-14</t>
  </si>
  <si>
    <t>2020-07-15</t>
  </si>
  <si>
    <t>2020-07-16</t>
  </si>
  <si>
    <t>2020-07-17</t>
  </si>
  <si>
    <t>2020-07-20</t>
  </si>
  <si>
    <t>2020-07-21</t>
  </si>
  <si>
    <t>2020-07-22</t>
  </si>
  <si>
    <t>2020-07-23</t>
  </si>
  <si>
    <t>2020-07-24</t>
  </si>
  <si>
    <t>2020-07-27</t>
  </si>
  <si>
    <t>2020-07-28</t>
  </si>
  <si>
    <t>2020-07-29</t>
  </si>
  <si>
    <t>2020-07-30</t>
  </si>
  <si>
    <t>2020-07-31</t>
  </si>
  <si>
    <t>2020-08-03</t>
  </si>
  <si>
    <t>2020-08-04</t>
  </si>
  <si>
    <t>2020-08-05</t>
  </si>
  <si>
    <t>2020-08-06</t>
  </si>
  <si>
    <t>2020-08-07</t>
  </si>
  <si>
    <t>2020-08-10</t>
  </si>
  <si>
    <t>2020-08-11</t>
  </si>
  <si>
    <t>2020-08-12</t>
  </si>
  <si>
    <t>2020-08-13</t>
  </si>
  <si>
    <t>2020-08-14</t>
  </si>
  <si>
    <t>2020-08-17</t>
  </si>
  <si>
    <t>2020-08-18</t>
  </si>
  <si>
    <t>2020-08-19</t>
  </si>
  <si>
    <t>2020-08-20</t>
  </si>
  <si>
    <t>2020-08-21</t>
  </si>
  <si>
    <t>2020-08-24</t>
  </si>
  <si>
    <t>2020-08-25</t>
  </si>
  <si>
    <t>2020-08-26</t>
  </si>
  <si>
    <t>2020-08-27</t>
  </si>
  <si>
    <t>2020-08-28</t>
  </si>
  <si>
    <t>2020-09-01</t>
  </si>
  <si>
    <t>2020-09-02</t>
  </si>
  <si>
    <t>2020-09-03</t>
  </si>
  <si>
    <t>2020-09-04</t>
  </si>
  <si>
    <t>2020-09-07</t>
  </si>
  <si>
    <t>2020-09-08</t>
  </si>
  <si>
    <t>2020-09-09</t>
  </si>
  <si>
    <t>2020-09-10</t>
  </si>
  <si>
    <t>2020-09-11</t>
  </si>
  <si>
    <t>2020-09-14</t>
  </si>
  <si>
    <t>2020-09-15</t>
  </si>
  <si>
    <t>2020-09-16</t>
  </si>
  <si>
    <t>2020-09-17</t>
  </si>
  <si>
    <t>2020-09-18</t>
  </si>
  <si>
    <t>2020-09-21</t>
  </si>
  <si>
    <t>2020-09-22</t>
  </si>
  <si>
    <t>2020-09-23</t>
  </si>
  <si>
    <t>2020-09-24</t>
  </si>
  <si>
    <t>2020-09-25</t>
  </si>
  <si>
    <t>2020-09-28</t>
  </si>
  <si>
    <t>2020-09-29</t>
  </si>
  <si>
    <t>2020-09-30</t>
  </si>
  <si>
    <t>2020-10-01</t>
  </si>
  <si>
    <t>2020-10-02</t>
  </si>
  <si>
    <t>2020-10-05</t>
  </si>
  <si>
    <t>2020-10-06</t>
  </si>
  <si>
    <t>2020-10-07</t>
  </si>
  <si>
    <t>2020-10-08</t>
  </si>
  <si>
    <t>2020-10-09</t>
  </si>
  <si>
    <t>2020-10-12</t>
  </si>
  <si>
    <t>2020-10-13</t>
  </si>
  <si>
    <t>2020-10-14</t>
  </si>
  <si>
    <t>2020-10-15</t>
  </si>
  <si>
    <t>2020-10-16</t>
  </si>
  <si>
    <t>2020-10-19</t>
  </si>
  <si>
    <t>2020-10-20</t>
  </si>
  <si>
    <t>2020-10-21</t>
  </si>
  <si>
    <t>2020-10-22</t>
  </si>
  <si>
    <t>2020-10-23</t>
  </si>
  <si>
    <t>2020-10-26</t>
  </si>
  <si>
    <t>2020-10-27</t>
  </si>
  <si>
    <t>2020-10-28</t>
  </si>
  <si>
    <t>2020-10-29</t>
  </si>
  <si>
    <t>2020-10-30</t>
  </si>
  <si>
    <t>2020-11-02</t>
  </si>
  <si>
    <t>2020-11-03</t>
  </si>
  <si>
    <t>2020-11-04</t>
  </si>
  <si>
    <t>2020-11-05</t>
  </si>
  <si>
    <t>2020-11-06</t>
  </si>
  <si>
    <t>2020-11-09</t>
  </si>
  <si>
    <t>2020-11-10</t>
  </si>
  <si>
    <t>2020-11-11</t>
  </si>
  <si>
    <t>2020-11-12</t>
  </si>
  <si>
    <t>2020-11-13</t>
  </si>
  <si>
    <t>2020-11-16</t>
  </si>
  <si>
    <t>2020-11-17</t>
  </si>
  <si>
    <t>2020-11-18</t>
  </si>
  <si>
    <t>2020-11-19</t>
  </si>
  <si>
    <t>2020-11-20</t>
  </si>
  <si>
    <t>2020-11-23</t>
  </si>
  <si>
    <t>2020-11-24</t>
  </si>
  <si>
    <t>2020-11-25</t>
  </si>
  <si>
    <t>2020-11-26</t>
  </si>
  <si>
    <t>2020-11-27</t>
  </si>
  <si>
    <t>2020-11-30</t>
  </si>
  <si>
    <t>2020-12-01</t>
  </si>
  <si>
    <t>2020-12-02</t>
  </si>
  <si>
    <t>2020-12-03</t>
  </si>
  <si>
    <t>2020-12-04</t>
  </si>
  <si>
    <t>2020-12-07</t>
  </si>
  <si>
    <t>2020-12-08</t>
  </si>
  <si>
    <t>2020-12-09</t>
  </si>
  <si>
    <t>2020-12-10</t>
  </si>
  <si>
    <t>2020-12-11</t>
  </si>
  <si>
    <t>2020-12-14</t>
  </si>
  <si>
    <t>2020-12-15</t>
  </si>
  <si>
    <t>2020-12-16</t>
  </si>
  <si>
    <t>2020-12-17</t>
  </si>
  <si>
    <t>2020-12-18</t>
  </si>
  <si>
    <t>2020-12-21</t>
  </si>
  <si>
    <t>2020-12-22</t>
  </si>
  <si>
    <t>2020-12-23</t>
  </si>
  <si>
    <t>2020-12-24</t>
  </si>
  <si>
    <t>2020-12-29</t>
  </si>
  <si>
    <t>2020-12-30</t>
  </si>
  <si>
    <t>2020-12-31</t>
  </si>
  <si>
    <t>2021-01-04</t>
  </si>
  <si>
    <t>2021-01-05</t>
  </si>
  <si>
    <t>2021-01-06</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</si>
  <si>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</si>
  <si>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</si>
  <si>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</si>
  <si>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</si>
  <si>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</si>
  <si>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</si>
  <si>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</si>
  <si>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</si>
  <si>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</si>
  <si>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</si>
  <si>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</si>
  <si>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</si>
  <si>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</si>
  <si>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</si>
  <si>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</si>
  <si>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</si>
  <si>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</si>
  <si>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</si>
  <si>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</si>
  <si>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</si>
  <si>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</si>
  <si>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</si>
  <si>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</si>
  <si>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</si>
  <si>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</si>
  <si>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2021-02-11</t>
  </si>
  <si>
    <t>2021-02-12</t>
  </si>
  <si>
    <t>2021-02-15</t>
  </si>
  <si>
    <t>2021-02-16</t>
  </si>
  <si>
    <t>2021-02-17</t>
  </si>
  <si>
    <t>2021-02-18</t>
  </si>
  <si>
    <t>2021-02-19</t>
  </si>
  <si>
    <t>2021-02-22</t>
  </si>
  <si>
    <t>2021-02-23</t>
  </si>
  <si>
    <t>2021-02-24</t>
  </si>
  <si>
    <t>2021-02-25</t>
  </si>
  <si>
    <t>2021-02-26</t>
  </si>
  <si>
    <t>2021-03-01</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</si>
  <si>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</si>
  <si>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</si>
  <si>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</si>
  <si>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</si>
  <si>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</si>
  <si>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</si>
  <si>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</si>
  <si>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</si>
  <si>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</si>
  <si>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</si>
  <si>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</si>
  <si>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</si>
  <si>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</si>
  <si>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</si>
  <si>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</si>
  <si>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</si>
  <si>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</si>
  <si>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</si>
  <si>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</si>
  <si>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</si>
  <si>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</si>
  <si>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</si>
  <si>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</si>
  <si>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2021-04-06</t>
  </si>
  <si>
    <t>2021-04-07</t>
  </si>
  <si>
    <t>2021-04-08</t>
  </si>
  <si>
    <t>2021-04-09</t>
  </si>
  <si>
    <t>2021-04-12</t>
  </si>
  <si>
    <t>2021-04-13</t>
  </si>
  <si>
    <t>2021-04-14</t>
  </si>
  <si>
    <t>2021-04-15</t>
  </si>
  <si>
    <t>2021-04-16</t>
  </si>
  <si>
    <t>2021-04-19</t>
  </si>
  <si>
    <t>2021-04-20</t>
  </si>
  <si>
    <t>2021-04-21</t>
  </si>
  <si>
    <t>2021-04-22</t>
  </si>
  <si>
    <t>2021-04-23</t>
  </si>
  <si>
    <t>2021-04-26</t>
  </si>
  <si>
    <t>2021-04-27</t>
  </si>
  <si>
    <t>2021-04-28</t>
  </si>
  <si>
    <t>2021-04-29</t>
  </si>
  <si>
    <t>2021-04-30</t>
  </si>
  <si>
    <t>2021-05-04</t>
  </si>
  <si>
    <t>2021-05-05</t>
  </si>
  <si>
    <t>2021-05-06</t>
  </si>
  <si>
    <t>2021-05-07</t>
  </si>
  <si>
    <t>2021-05-10</t>
  </si>
  <si>
    <t>2021-05-11</t>
  </si>
  <si>
    <t>2021-05-12</t>
  </si>
  <si>
    <t>2021-05-13</t>
  </si>
  <si>
    <t>2021-05-14</t>
  </si>
  <si>
    <t>2021-05-17</t>
  </si>
  <si>
    <t>2021-05-18</t>
  </si>
  <si>
    <t>2021-05-19</t>
  </si>
  <si>
    <t>2021-05-20</t>
  </si>
  <si>
    <t>2021-05-21</t>
  </si>
  <si>
    <t>2021-05-24</t>
  </si>
  <si>
    <t>2021-05-25</t>
  </si>
  <si>
    <t>2021-05-26</t>
  </si>
  <si>
    <t>2021-05-27</t>
  </si>
  <si>
    <t>2021-05-28</t>
  </si>
  <si>
    <t>2021-06-01</t>
  </si>
  <si>
    <t>2021-06-02</t>
  </si>
  <si>
    <t>2021-06-03</t>
  </si>
  <si>
    <t>2021-06-04</t>
  </si>
  <si>
    <t>2021-06-07</t>
  </si>
  <si>
    <t>2021-06-08</t>
  </si>
  <si>
    <t>2021-06-09</t>
  </si>
  <si>
    <t>2021-06-10</t>
  </si>
  <si>
    <t>2021-06-11</t>
  </si>
  <si>
    <t>2021-06-14</t>
  </si>
  <si>
    <t>2021-06-15</t>
  </si>
  <si>
    <t>2021-06-16</t>
  </si>
  <si>
    <t>2021-06-17</t>
  </si>
  <si>
    <t>2021-06-18</t>
  </si>
  <si>
    <t>2021-06-21</t>
  </si>
  <si>
    <t>2021-06-22</t>
  </si>
  <si>
    <t>2021-06-23</t>
  </si>
  <si>
    <t>2021-06-24</t>
  </si>
  <si>
    <t>2021-06-25</t>
  </si>
  <si>
    <t>2021-06-28</t>
  </si>
  <si>
    <t>2021-06-29</t>
  </si>
  <si>
    <t>2021-06-30</t>
  </si>
  <si>
    <t>기준가격</t>
  </si>
  <si>
    <t>동 가격: 2012년 ~ 2021년 9월</t>
    <phoneticPr fontId="1" type="noConversion"/>
  </si>
  <si>
    <t>평균</t>
    <phoneticPr fontId="1" type="noConversion"/>
  </si>
  <si>
    <t>표준편차</t>
    <phoneticPr fontId="1" type="noConversion"/>
  </si>
  <si>
    <r>
      <t>1</t>
    </r>
    <r>
      <rPr>
        <b/>
        <sz val="9"/>
        <color theme="1"/>
        <rFont val="Calibri"/>
        <family val="3"/>
        <charset val="161"/>
      </rPr>
      <t>σ</t>
    </r>
    <phoneticPr fontId="1" type="noConversion"/>
  </si>
  <si>
    <r>
      <t>2</t>
    </r>
    <r>
      <rPr>
        <b/>
        <sz val="9"/>
        <color theme="1"/>
        <rFont val="Calibri"/>
        <family val="3"/>
        <charset val="161"/>
      </rPr>
      <t>σ</t>
    </r>
    <phoneticPr fontId="1" type="noConversion"/>
  </si>
  <si>
    <t>분포값</t>
    <phoneticPr fontId="1" type="noConversion"/>
  </si>
  <si>
    <t>금 가격: 2012년 ~ 2021년 9월</t>
    <phoneticPr fontId="1" type="noConversion"/>
  </si>
  <si>
    <t>(USD/ton)</t>
    <phoneticPr fontId="1" type="noConversion"/>
  </si>
  <si>
    <t>(USD/Kg)</t>
    <phoneticPr fontId="1" type="noConversion"/>
  </si>
  <si>
    <t>2015-08-31</t>
  </si>
  <si>
    <t>2015-12-05</t>
  </si>
  <si>
    <t>2016-01-09</t>
  </si>
  <si>
    <t>기준가격</t>
    <phoneticPr fontId="1" type="noConversion"/>
  </si>
  <si>
    <t>은 가격: 2012년 ~ 2021년 9월</t>
    <phoneticPr fontId="1" type="noConversion"/>
  </si>
  <si>
    <t>2017-08-28</t>
  </si>
  <si>
    <t>기준연도</t>
    <phoneticPr fontId="1" type="noConversion"/>
  </si>
  <si>
    <t>Benchmark T/RC: 2010년 ~ 2021년</t>
    <phoneticPr fontId="1" type="noConversion"/>
  </si>
  <si>
    <t>Benchmark Premium: 2010년 ~ 2021년</t>
    <phoneticPr fontId="1" type="noConversion"/>
  </si>
  <si>
    <t>동 T/RC 민감도(단위: 억원): 설정값 대비 과거 Benchmark T/RC (표준편차/평균) 비율 * 0.5 단위</t>
    <phoneticPr fontId="1" type="noConversion"/>
  </si>
  <si>
    <t>동 Premium 민감도(단위: 억원): 설정값 대비 과거 Benchmark Premium (표준편차/평균) 비율 * 1.0 단위</t>
    <phoneticPr fontId="1" type="noConversion"/>
  </si>
  <si>
    <t>동 가격 민감도(단위: 억원): Assumption 설정값 대비 과거 표준편차/평균 비율 변동</t>
    <phoneticPr fontId="1" type="noConversion"/>
  </si>
  <si>
    <t>금 가격 민감도(단위: 억원): Assumption 설정값 대비 과거 표준편차/평균 비율 변동</t>
    <phoneticPr fontId="1" type="noConversion"/>
  </si>
  <si>
    <t>은 가격 민감도(단위: 억원): Assumption 설정값 대비 과거 표준편차/평균 비율 변동</t>
    <phoneticPr fontId="1" type="noConversion"/>
  </si>
  <si>
    <t>동 가격 민감도(단위: 억원): 일정 가격 유지 가정(과거 평균 및 시그마 단위)</t>
    <phoneticPr fontId="1" type="noConversion"/>
  </si>
  <si>
    <t>동 Price(고정)</t>
    <phoneticPr fontId="1" type="noConversion"/>
  </si>
  <si>
    <t>금 가격 민감도(단위: 억원): 일정 가격 유지 가정(과거 평균 및 시그마 단위)</t>
    <phoneticPr fontId="1" type="noConversion"/>
  </si>
  <si>
    <t>은 가격 민감도(단위: 억원): 일정 가격 유지 가정(과거 평균 및 시그마 단위)</t>
    <phoneticPr fontId="1" type="noConversion"/>
  </si>
  <si>
    <t>금 Price(고정)</t>
    <phoneticPr fontId="1" type="noConversion"/>
  </si>
  <si>
    <t>은 Price(고정)</t>
    <phoneticPr fontId="1" type="noConversion"/>
  </si>
  <si>
    <t>18년 대비</t>
    <phoneticPr fontId="1" type="noConversion"/>
  </si>
  <si>
    <t>21년 대비</t>
    <phoneticPr fontId="1" type="noConversion"/>
  </si>
  <si>
    <t>% 영업이익</t>
    <phoneticPr fontId="1" type="noConversion"/>
  </si>
  <si>
    <t>% EBITDA</t>
    <phoneticPr fontId="1" type="noConversion"/>
  </si>
  <si>
    <t>% NI</t>
    <phoneticPr fontId="1" type="noConversion"/>
  </si>
  <si>
    <t>과거 4년(A)</t>
    <phoneticPr fontId="1" type="noConversion"/>
  </si>
  <si>
    <t>과거 10년(B)</t>
    <phoneticPr fontId="1" type="noConversion"/>
  </si>
  <si>
    <t>추정 5년(C)</t>
    <phoneticPr fontId="1" type="noConversion"/>
  </si>
  <si>
    <t>C-B(10년)</t>
    <phoneticPr fontId="1" type="noConversion"/>
  </si>
  <si>
    <t>C-A(과거4년)</t>
    <phoneticPr fontId="1" type="noConversion"/>
  </si>
  <si>
    <t>% Margin/Cost</t>
    <phoneticPr fontId="1" type="noConversion"/>
  </si>
  <si>
    <t>22-21</t>
    <phoneticPr fontId="1" type="noConversion"/>
  </si>
  <si>
    <t>25-21</t>
    <phoneticPr fontId="1" type="noConversion"/>
  </si>
  <si>
    <t>Smelting</t>
    <phoneticPr fontId="1" type="noConversion"/>
  </si>
  <si>
    <t>가나다</t>
    <phoneticPr fontId="1" type="noConversion"/>
  </si>
  <si>
    <t>한국은행 기준금리</t>
    <phoneticPr fontId="67" type="noConversion"/>
  </si>
  <si>
    <t>Q2 19</t>
  </si>
  <si>
    <t>Q3 19</t>
  </si>
  <si>
    <t>Q4 19</t>
  </si>
  <si>
    <t>Q1 20</t>
    <phoneticPr fontId="67" type="noConversion"/>
  </si>
  <si>
    <t>Q2 20</t>
  </si>
  <si>
    <t>Q3 20</t>
  </si>
  <si>
    <t>Q4 20</t>
  </si>
  <si>
    <t>Q1 21</t>
  </si>
  <si>
    <t>Q2 21</t>
  </si>
  <si>
    <t>Q1 22</t>
    <phoneticPr fontId="67" type="noConversion"/>
  </si>
  <si>
    <t>Q1 24</t>
  </si>
  <si>
    <t>Q2 24</t>
  </si>
  <si>
    <t>Q3 24</t>
  </si>
  <si>
    <t>한국은행 기준금리(Bloomgberg)</t>
    <phoneticPr fontId="67" type="noConversion"/>
  </si>
  <si>
    <t>3개월 CD(Bloomberg)</t>
    <phoneticPr fontId="67" type="noConversion"/>
  </si>
  <si>
    <t>이후 유지 가정함</t>
    <phoneticPr fontId="1" type="noConversion"/>
  </si>
  <si>
    <t>Correl &gt;&gt;&gt;</t>
    <phoneticPr fontId="67" type="noConversion"/>
  </si>
  <si>
    <t>(2) 미래 추정(은/Silver소재/황산/PSA 제외)</t>
    <phoneticPr fontId="1" type="noConversion"/>
  </si>
  <si>
    <t>현 시점</t>
    <phoneticPr fontId="1" type="noConversion"/>
  </si>
  <si>
    <t>IPO 공모 시 구주매출 하는 경우 비과세(증권거래세법 제6조)</t>
    <phoneticPr fontId="1" type="noConversion"/>
  </si>
  <si>
    <t>최종 Fix</t>
  </si>
  <si>
    <t>최종 Fix</t>
    <phoneticPr fontId="1" type="noConversion"/>
  </si>
  <si>
    <t>5월 16일</t>
    <phoneticPr fontId="1" type="noConversion"/>
  </si>
  <si>
    <t>IRR</t>
  </si>
  <si>
    <r>
      <t>IPO Multiple</t>
    </r>
    <r>
      <rPr>
        <sz val="7"/>
        <color rgb="FF001650"/>
        <rFont val="맑은 고딕"/>
        <family val="3"/>
        <charset val="129"/>
      </rPr>
      <t>(PER)</t>
    </r>
  </si>
  <si>
    <t>10.0x</t>
  </si>
  <si>
    <t>11.0x</t>
  </si>
  <si>
    <t>12.0x</t>
  </si>
  <si>
    <t>13.0x</t>
  </si>
  <si>
    <t>14.0x</t>
  </si>
  <si>
    <t>IPO</t>
  </si>
  <si>
    <t>시점</t>
  </si>
  <si>
    <t>25년 06월</t>
  </si>
  <si>
    <t>25년 12월</t>
  </si>
  <si>
    <t>26년 06월</t>
  </si>
  <si>
    <t>26년 12월</t>
  </si>
  <si>
    <t>27년 06월</t>
  </si>
  <si>
    <t>MOIC</t>
  </si>
  <si>
    <t>추정치반영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</si>
</sst>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1">
    <numFmt numFmtId="41" formatCode="_-* #,##0_-;\-* #,##0_-;_-* &quot;-&quot;_-;_-@_-"/>
    <numFmt numFmtId="43" formatCode="_-* #,##0.00_-;\-* #,##0.00_-;_-* &quot;-&quot;??_-;_-@_-"/>
    <numFmt numFmtId="176" formatCode="#,##0;\(#,##0\);\-"/>
    <numFmt numFmtId="177" formatCode="#,##0.00;\(#,##0.00\);\-"/>
    <numFmt numFmtId="178" formatCode="0.0%"/>
    <numFmt numFmtId="179" formatCode="#,###;\(#,###\);\-"/>
    <numFmt numFmtId="180" formatCode="#,##0_);\(#,##0\)"/>
    <numFmt numFmtId="181" formatCode="#,##0;\(#,##0\);&quot;-&quot;"/>
    <numFmt numFmtId="182" formatCode="0.000%"/>
    <numFmt numFmtId="183" formatCode="#,##0_);[Red]\(#,##0\)"/>
    <numFmt numFmtId="184" formatCode="0_);[Red]\(0\)"/>
    <numFmt numFmtId="185" formatCode="_-* #,##0.00_-;\-* #,##0.00_-;_-* &quot;-&quot;_-;_-@_-"/>
    <numFmt numFmtId="186" formatCode="_-* #,##0.000_-;\-* #,##0.000_-;_-* &quot;-&quot;_-;_-@_-"/>
    <numFmt numFmtId="187" formatCode="_-* #,##0.0_-;\-* #,##0.0_-;_-* &quot;-&quot;_-;_-@_-"/>
    <numFmt numFmtId="188" formatCode="0.0000%"/>
    <numFmt numFmtId="189" formatCode="#,##0.0;\(#,##0.0\);\-"/>
    <numFmt numFmtId="190" formatCode="_-* #,##0.0_-;\-* #,##0.0_-;_-* &quot;-&quot;?_-;_-@_-"/>
    <numFmt numFmtId="191" formatCode="_-* #,##0.00_-;\-* #,##0_-;_-* &quot;-&quot;_-;_-@_-"/>
    <numFmt numFmtId="192" formatCode="0.0\x"/>
    <numFmt numFmtId="193" formatCode="###,##0"/>
    <numFmt numFmtId="194" formatCode="#,##0;\(#,##0\);&quot;-&quot;;@"/>
    <numFmt numFmtId="195" formatCode="##,###"/>
    <numFmt numFmtId="196" formatCode="###,###"/>
    <numFmt numFmtId="197" formatCode="#,##0;\-#,##0;0;@"/>
    <numFmt numFmtId="198" formatCode="#,##0.##############;\-#,##0.##############;0;@"/>
    <numFmt numFmtId="199" formatCode="#,##0_ ;[Red]\-#,##0\ "/>
    <numFmt numFmtId="200" formatCode="#,##0_ "/>
    <numFmt numFmtId="201" formatCode="#,##0_-;[Red]\(#,##0\);&quot;-&quot;_-"/>
    <numFmt numFmtId="202" formatCode="#,##0.000_ ;[Red]\-#,##0.000\ "/>
    <numFmt numFmtId="203" formatCode="#,##0.0000_);[Red]\(#,##0.0000\)"/>
    <numFmt numFmtId="204" formatCode="General&quot;년&quot;"/>
    <numFmt numFmtId="205" formatCode="General&quot;월&quot;"/>
    <numFmt numFmtId="206" formatCode="#,##0,\ ;[Red]&quot;△&quot;#,##0,\ ;&quot;- &quot;"/>
    <numFmt numFmtId="207" formatCode="_(* #,##0_);_(* \(#,##0\);_(* &quot;-&quot;_);_(@_)"/>
    <numFmt numFmtId="208" formatCode="#,##0,"/>
    <numFmt numFmtId="209" formatCode="_-* #,##0_-;\-* #,##0_-;_-* &quot;-&quot;??_-;_-@_-"/>
    <numFmt numFmtId="210" formatCode="0.0"/>
    <numFmt numFmtId="211" formatCode="_-* #,##0.0_-;\-* #,##0.0_-;_-* &quot;-&quot;??_-;_-@_-"/>
    <numFmt numFmtId="212" formatCode="_-* #,##0_-;\-* #,##0_-;_-* &quot;-&quot;?_-;_-@_-"/>
    <numFmt numFmtId="213" formatCode="0.0_ "/>
    <numFmt numFmtId="214" formatCode="#,##0;\-#,##0;&quot;-&quot;"/>
    <numFmt numFmtId="215" formatCode="#,##0;[Red]\(#,##0\);\-"/>
    <numFmt numFmtId="216" formatCode="0.0000_ "/>
    <numFmt numFmtId="217" formatCode="#,##0;\(#,##0\);&quot;-&quot;\ "/>
    <numFmt numFmtId="218" formatCode="#,##0.000_);[Red]\(#,##0.000\)"/>
    <numFmt numFmtId="219" formatCode="#,##0.000"/>
    <numFmt numFmtId="220" formatCode="yyyy&quot;년&quot;\ m&quot;월&quot;;@"/>
    <numFmt numFmtId="221" formatCode="#,##0.0"/>
    <numFmt numFmtId="222" formatCode="#,##0.0000"/>
    <numFmt numFmtId="223" formatCode="_(* #,##0_);_(* \(#,##0\);_(* &quot;-&quot;??_);_(@_)"/>
    <numFmt numFmtId="224" formatCode="_(* #,##0.0_);_(* \(#,##0.0\);_(* &quot;-&quot;??_);_(@_)"/>
    <numFmt numFmtId="225" formatCode="#,##0.00_);[Red]\(#,##0.00\)"/>
    <numFmt numFmtId="226" formatCode="#,##0.00_ "/>
    <numFmt numFmtId="227" formatCode="#,##0.000;[Red]\-#,##0.000"/>
    <numFmt numFmtId="228" formatCode="#,##0;\(#,##0\);\-&quot;₩&quot;"/>
    <numFmt numFmtId="229" formatCode="#,##0_ &quot;년&quot;"/>
    <numFmt numFmtId="230" formatCode="yy\.mm\.dd"/>
    <numFmt numFmtId="231" formatCode="0.0_);[Red]\(0.0\)"/>
    <numFmt numFmtId="232" formatCode="#,##0\ [$€-1];[Red]\-#,##0\ [$€-1]"/>
    <numFmt numFmtId="233" formatCode="#,##0.00;\(#,##0.00\);&quot;-&quot;\ "/>
    <numFmt numFmtId="234" formatCode="#,##0.0_);\(#,##0.0\)"/>
    <numFmt numFmtId="235" formatCode="#"/>
    <numFmt numFmtId="236" formatCode="#,##0.000000;\(#,##0.000000\);\-"/>
    <numFmt numFmtId="237" formatCode="#,###;\(#,###\);&quot;-&quot;"/>
    <numFmt numFmtId="238" formatCode="#,##0,,;\-#,##0,,;"/>
    <numFmt numFmtId="239" formatCode="#,##0.0_ "/>
    <numFmt numFmtId="240" formatCode="#,##0,;\-#,##0,"/>
    <numFmt numFmtId="241" formatCode="#.#\x"/>
    <numFmt numFmtId="242" formatCode="#&quot;년&quot;"/>
    <numFmt numFmtId="243" formatCode="#,##0.00;\(#,##0.00\);&quot;-&quot;;@"/>
    <numFmt numFmtId="244" formatCode="#,##0.0;\(#,##0.0\);&quot;-&quot;;@"/>
    <numFmt numFmtId="245" formatCode="#,##0.000;\(#,##0.000\);&quot;-&quot;;@"/>
    <numFmt numFmtId="246" formatCode="0_ "/>
    <numFmt numFmtId="247" formatCode="0.00\x"/>
    <numFmt numFmtId="248" formatCode="0.0%\p"/>
    <numFmt numFmtId="249" formatCode="#.##\x"/>
    <numFmt numFmtId="250" formatCode="#,##0.00000;\(#,##0.00000\);\-"/>
    <numFmt numFmtId="251" formatCode="#,##0.0000_ "/>
    <numFmt numFmtId="252" formatCode="0.0000"/>
    <numFmt numFmtId="253" formatCode="0.000"/>
    <numFmt numFmtId="254" formatCode="#,##0.000;\(#,##0.000\);\-"/>
  </numFmts>
  <fonts count="338">
    <font>
      <sz val="11"/>
      <color theme="1"/>
      <name val="맑은 고딕"/>
      <family val="2"/>
      <charset val="129"/>
      <scheme val="minor"/>
    </font>
    <font>
      <sz val="8"/>
      <name val="맑은 고딕"/>
      <family val="2"/>
      <charset val="129"/>
      <scheme val="minor"/>
    </font>
    <font>
      <sz val="9"/>
      <color theme="1"/>
      <name val="맑은 고딕"/>
      <family val="2"/>
      <charset val="129"/>
      <scheme val="minor"/>
    </font>
    <font>
      <b/>
      <sz val="9"/>
      <color theme="0"/>
      <name val="맑은 고딕"/>
      <family val="3"/>
      <charset val="129"/>
      <scheme val="minor"/>
    </font>
    <font>
      <sz val="9"/>
      <color theme="1"/>
      <name val="맑은 고딕"/>
      <family val="3"/>
      <charset val="129"/>
      <scheme val="minor"/>
    </font>
    <font>
      <b/>
      <sz val="9"/>
      <name val="맑은 고딕"/>
      <family val="3"/>
      <charset val="129"/>
      <scheme val="minor"/>
    </font>
    <font>
      <sz val="8"/>
      <name val="맑은 고딕"/>
      <family val="2"/>
      <charset val="129"/>
    </font>
    <font>
      <sz val="9"/>
      <color theme="1"/>
      <name val="맑은 고딕"/>
      <family val="3"/>
      <charset val="129"/>
      <scheme val="major"/>
    </font>
    <font>
      <sz val="9"/>
      <color rgb="FF0070C0"/>
      <name val="맑은 고딕"/>
      <family val="3"/>
      <charset val="129"/>
      <scheme val="major"/>
    </font>
    <font>
      <sz val="10"/>
      <color theme="1"/>
      <name val="맑은 고딕"/>
      <family val="3"/>
      <charset val="129"/>
      <scheme val="major"/>
    </font>
    <font>
      <b/>
      <sz val="9"/>
      <name val="맑은 고딕"/>
      <family val="3"/>
      <charset val="129"/>
      <scheme val="major"/>
    </font>
    <font>
      <i/>
      <sz val="9"/>
      <color theme="1"/>
      <name val="맑은 고딕"/>
      <family val="3"/>
      <charset val="129"/>
      <scheme val="minor"/>
    </font>
    <font>
      <sz val="9"/>
      <color rgb="FF0070C0"/>
      <name val="맑은 고딕"/>
      <family val="3"/>
      <charset val="129"/>
      <scheme val="minor"/>
    </font>
    <font>
      <sz val="9"/>
      <color rgb="FF00B050"/>
      <name val="맑은 고딕"/>
      <family val="3"/>
      <charset val="129"/>
      <scheme val="minor"/>
    </font>
    <font>
      <sz val="9"/>
      <color rgb="FFFF0000"/>
      <name val="맑은 고딕"/>
      <family val="3"/>
      <charset val="129"/>
      <scheme val="minor"/>
    </font>
    <font>
      <b/>
      <sz val="9"/>
      <color theme="1"/>
      <name val="맑은 고딕"/>
      <family val="3"/>
      <charset val="129"/>
      <scheme val="minor"/>
    </font>
    <font>
      <sz val="9"/>
      <name val="맑은 고딕"/>
      <family val="3"/>
      <charset val="129"/>
      <scheme val="minor"/>
    </font>
    <font>
      <sz val="9"/>
      <color theme="0"/>
      <name val="맑은 고딕"/>
      <family val="2"/>
      <charset val="129"/>
      <scheme val="minor"/>
    </font>
    <font>
      <sz val="9"/>
      <color theme="8" tint="0.59999389629810485"/>
      <name val="맑은 고딕"/>
      <family val="3"/>
      <charset val="129"/>
      <scheme val="minor"/>
    </font>
    <font>
      <b/>
      <sz val="11"/>
      <color theme="1"/>
      <name val="맑은 고딕"/>
      <family val="3"/>
      <charset val="129"/>
      <scheme val="minor"/>
    </font>
    <font>
      <b/>
      <sz val="9"/>
      <color theme="1"/>
      <name val="맑은 고딕"/>
      <family val="3"/>
      <charset val="129"/>
      <scheme val="major"/>
    </font>
    <font>
      <sz val="9"/>
      <color rgb="FF000000"/>
      <name val="맑은 고딕"/>
      <family val="3"/>
      <charset val="129"/>
      <scheme val="major"/>
    </font>
    <font>
      <sz val="9"/>
      <color rgb="FF0070C0"/>
      <name val="맑은 고딕"/>
      <family val="2"/>
      <charset val="129"/>
      <scheme val="minor"/>
    </font>
    <font>
      <b/>
      <sz val="9"/>
      <color rgb="FF0070C0"/>
      <name val="맑은 고딕"/>
      <family val="3"/>
      <charset val="129"/>
      <scheme val="minor"/>
    </font>
    <font>
      <sz val="9"/>
      <color rgb="FF00B050"/>
      <name val="맑은 고딕"/>
      <family val="2"/>
      <charset val="129"/>
      <scheme val="minor"/>
    </font>
    <font>
      <i/>
      <sz val="9"/>
      <color rgb="FF00B050"/>
      <name val="맑은 고딕"/>
      <family val="3"/>
      <charset val="129"/>
      <scheme val="minor"/>
    </font>
    <font>
      <i/>
      <sz val="9"/>
      <color rgb="FF0070C0"/>
      <name val="맑은 고딕"/>
      <family val="3"/>
      <charset val="129"/>
      <scheme val="minor"/>
    </font>
    <font>
      <sz val="11"/>
      <color theme="1"/>
      <name val="맑은 고딕"/>
      <family val="3"/>
      <charset val="129"/>
      <scheme val="minor"/>
    </font>
    <font>
      <i/>
      <sz val="9"/>
      <color rgb="FFFF0000"/>
      <name val="맑은 고딕"/>
      <family val="3"/>
      <charset val="129"/>
      <scheme val="minor"/>
    </font>
    <font>
      <i/>
      <sz val="9"/>
      <name val="맑은 고딕"/>
      <family val="3"/>
      <charset val="129"/>
      <scheme val="minor"/>
    </font>
    <font>
      <sz val="9"/>
      <color theme="1"/>
      <name val="Univers for KPMG"/>
      <family val="2"/>
    </font>
    <font>
      <sz val="9"/>
      <color theme="0"/>
      <name val="Univers for KPMG"/>
      <family val="2"/>
    </font>
    <font>
      <b/>
      <sz val="9"/>
      <color theme="1"/>
      <name val="Univers for KPMG"/>
      <family val="2"/>
    </font>
    <font>
      <sz val="10"/>
      <name val="Arial"/>
      <family val="2"/>
    </font>
    <font>
      <sz val="10"/>
      <name val="Arial Unicode MS"/>
      <family val="2"/>
      <charset val="129"/>
    </font>
    <font>
      <sz val="11"/>
      <name val="맑은 고딕"/>
      <family val="3"/>
      <charset val="129"/>
      <scheme val="minor"/>
    </font>
    <font>
      <i/>
      <sz val="11"/>
      <color theme="1"/>
      <name val="맑은 고딕"/>
      <family val="3"/>
      <charset val="129"/>
      <scheme val="minor"/>
    </font>
    <font>
      <b/>
      <sz val="9"/>
      <color rgb="FFFFFFFF"/>
      <name val="맑은 고딕"/>
      <family val="3"/>
      <charset val="129"/>
      <scheme val="major"/>
    </font>
    <font>
      <sz val="9"/>
      <name val="맑은 고딕"/>
      <family val="3"/>
      <charset val="129"/>
      <scheme val="major"/>
    </font>
    <font>
      <b/>
      <sz val="9"/>
      <color rgb="FF000000"/>
      <name val="맑은 고딕"/>
      <family val="3"/>
      <charset val="129"/>
      <scheme val="major"/>
    </font>
    <font>
      <sz val="9"/>
      <color rgb="FFFF0000"/>
      <name val="맑은 고딕"/>
      <family val="3"/>
      <charset val="129"/>
      <scheme val="major"/>
    </font>
    <font>
      <u/>
      <sz val="9"/>
      <name val="맑은 고딕"/>
      <family val="3"/>
      <charset val="129"/>
      <scheme val="minor"/>
    </font>
    <font>
      <sz val="8"/>
      <name val="바탕"/>
      <family val="1"/>
      <charset val="129"/>
    </font>
    <font>
      <sz val="9"/>
      <color indexed="8"/>
      <name val="굴림체"/>
      <family val="3"/>
      <charset val="129"/>
    </font>
    <font>
      <sz val="8"/>
      <name val="돋움"/>
      <family val="3"/>
      <charset val="129"/>
    </font>
    <font>
      <b/>
      <sz val="9"/>
      <color indexed="20"/>
      <name val="맑은 고딕"/>
      <family val="3"/>
      <charset val="129"/>
      <scheme val="minor"/>
    </font>
    <font>
      <sz val="9"/>
      <color indexed="10"/>
      <name val="맑은 고딕"/>
      <family val="3"/>
      <charset val="129"/>
      <scheme val="minor"/>
    </font>
    <font>
      <sz val="9"/>
      <color indexed="12"/>
      <name val="맑은 고딕"/>
      <family val="3"/>
      <charset val="129"/>
      <scheme val="minor"/>
    </font>
    <font>
      <sz val="9"/>
      <color rgb="FF0000FF"/>
      <name val="맑은 고딕"/>
      <family val="3"/>
      <charset val="129"/>
      <scheme val="minor"/>
    </font>
    <font>
      <sz val="9"/>
      <color indexed="20"/>
      <name val="맑은 고딕"/>
      <family val="3"/>
      <charset val="129"/>
      <scheme val="minor"/>
    </font>
    <font>
      <b/>
      <sz val="9"/>
      <color theme="7" tint="-0.499984740745262"/>
      <name val="맑은 고딕"/>
      <family val="3"/>
      <charset val="129"/>
      <scheme val="minor"/>
    </font>
    <font>
      <sz val="9"/>
      <color rgb="FF7030A0"/>
      <name val="맑은 고딕"/>
      <family val="3"/>
      <charset val="129"/>
      <scheme val="minor"/>
    </font>
    <font>
      <sz val="9"/>
      <name val="돋움"/>
      <family val="3"/>
      <charset val="129"/>
    </font>
    <font>
      <b/>
      <sz val="9"/>
      <name val="돋움"/>
      <family val="3"/>
      <charset val="129"/>
    </font>
    <font>
      <sz val="9"/>
      <name val="굴림체"/>
      <family val="3"/>
      <charset val="129"/>
    </font>
    <font>
      <sz val="9"/>
      <color indexed="63"/>
      <name val="굴림체"/>
      <family val="3"/>
      <charset val="129"/>
    </font>
    <font>
      <sz val="10"/>
      <color theme="1"/>
      <name val="맑은 고딕"/>
      <family val="2"/>
      <charset val="129"/>
      <scheme val="minor"/>
    </font>
    <font>
      <b/>
      <sz val="10"/>
      <color theme="0"/>
      <name val="맑은 고딕"/>
      <family val="3"/>
      <charset val="129"/>
      <scheme val="minor"/>
    </font>
    <font>
      <b/>
      <sz val="10"/>
      <color theme="1"/>
      <name val="맑은 고딕"/>
      <family val="3"/>
      <charset val="129"/>
      <scheme val="minor"/>
    </font>
    <font>
      <sz val="10"/>
      <name val="맑은 고딕"/>
      <family val="3"/>
      <charset val="129"/>
    </font>
    <font>
      <sz val="9"/>
      <name val="Arial"/>
      <family val="2"/>
    </font>
    <font>
      <sz val="8"/>
      <name val="굴림체"/>
      <family val="3"/>
      <charset val="129"/>
    </font>
    <font>
      <sz val="9"/>
      <name val="맑은 고딕"/>
      <family val="3"/>
      <charset val="129"/>
    </font>
    <font>
      <b/>
      <sz val="10"/>
      <color theme="1"/>
      <name val="맑은 고딕"/>
      <family val="2"/>
      <charset val="129"/>
      <scheme val="minor"/>
    </font>
    <font>
      <b/>
      <sz val="10"/>
      <name val="맑은 고딕"/>
      <family val="3"/>
      <charset val="129"/>
    </font>
    <font>
      <b/>
      <sz val="9"/>
      <name val="Arial"/>
      <family val="2"/>
    </font>
    <font>
      <b/>
      <sz val="10"/>
      <name val="Arial"/>
      <family val="2"/>
    </font>
    <font>
      <sz val="8"/>
      <name val="맑은 고딕"/>
      <family val="3"/>
      <charset val="129"/>
      <scheme val="minor"/>
    </font>
    <font>
      <b/>
      <sz val="9"/>
      <name val="굴림체"/>
      <family val="3"/>
      <charset val="129"/>
    </font>
    <font>
      <b/>
      <sz val="11"/>
      <color rgb="FF002060"/>
      <name val="맑은 고딕"/>
      <family val="3"/>
      <charset val="129"/>
      <scheme val="minor"/>
    </font>
    <font>
      <sz val="11"/>
      <color rgb="FF002060"/>
      <name val="맑은 고딕"/>
      <family val="2"/>
      <charset val="129"/>
      <scheme val="minor"/>
    </font>
    <font>
      <b/>
      <sz val="11"/>
      <color rgb="FF002060"/>
      <name val="굴림체"/>
      <family val="3"/>
      <charset val="129"/>
    </font>
    <font>
      <sz val="11"/>
      <color rgb="FF002060"/>
      <name val="굴림체"/>
      <family val="3"/>
      <charset val="129"/>
    </font>
    <font>
      <sz val="9"/>
      <color rgb="FF000000"/>
      <name val="바탕"/>
      <family val="1"/>
      <charset val="129"/>
    </font>
    <font>
      <sz val="9"/>
      <color rgb="FF000000"/>
      <name val="굴림"/>
      <family val="3"/>
      <charset val="129"/>
    </font>
    <font>
      <sz val="9"/>
      <name val="Calibri"/>
      <family val="2"/>
    </font>
    <font>
      <sz val="9"/>
      <color rgb="FF000000"/>
      <name val="맑은 고딕"/>
      <family val="3"/>
      <charset val="129"/>
    </font>
    <font>
      <b/>
      <i/>
      <sz val="9"/>
      <color rgb="FFFF0000"/>
      <name val="맑은 고딕"/>
      <family val="3"/>
      <charset val="129"/>
      <scheme val="minor"/>
    </font>
    <font>
      <sz val="10"/>
      <name val="맑은 고딕"/>
      <family val="3"/>
      <charset val="129"/>
      <scheme val="minor"/>
    </font>
    <font>
      <sz val="10"/>
      <color theme="1"/>
      <name val="맑은 고딕"/>
      <family val="3"/>
      <charset val="129"/>
      <scheme val="minor"/>
    </font>
    <font>
      <b/>
      <sz val="10"/>
      <name val="맑은 고딕"/>
      <family val="3"/>
      <charset val="129"/>
      <scheme val="minor"/>
    </font>
    <font>
      <sz val="10"/>
      <name val="굴림"/>
      <family val="3"/>
      <charset val="129"/>
    </font>
    <font>
      <b/>
      <sz val="10"/>
      <name val="굴림"/>
      <family val="3"/>
      <charset val="129"/>
    </font>
    <font>
      <b/>
      <sz val="10"/>
      <color theme="1"/>
      <name val="굴림"/>
      <family val="3"/>
      <charset val="129"/>
    </font>
    <font>
      <sz val="9"/>
      <name val="굴림"/>
      <family val="3"/>
      <charset val="129"/>
    </font>
    <font>
      <sz val="10"/>
      <color theme="1"/>
      <name val="굴림"/>
      <family val="3"/>
      <charset val="129"/>
    </font>
    <font>
      <sz val="10"/>
      <color indexed="12"/>
      <name val="굴림"/>
      <family val="3"/>
      <charset val="129"/>
    </font>
    <font>
      <b/>
      <sz val="10"/>
      <color rgb="FFFF0000"/>
      <name val="맑은 고딕"/>
      <family val="3"/>
      <charset val="129"/>
      <scheme val="minor"/>
    </font>
    <font>
      <b/>
      <sz val="10"/>
      <color indexed="12"/>
      <name val="굴림"/>
      <family val="3"/>
      <charset val="129"/>
    </font>
    <font>
      <sz val="10"/>
      <color rgb="FF000000"/>
      <name val="바탕"/>
      <family val="1"/>
      <charset val="129"/>
    </font>
    <font>
      <sz val="10"/>
      <color rgb="FF000000"/>
      <name val="굴림"/>
      <family val="3"/>
      <charset val="129"/>
    </font>
    <font>
      <b/>
      <sz val="10"/>
      <color rgb="FF000000"/>
      <name val="바탕"/>
      <family val="1"/>
      <charset val="129"/>
    </font>
    <font>
      <b/>
      <i/>
      <sz val="10"/>
      <color theme="1"/>
      <name val="맑은 고딕"/>
      <family val="3"/>
      <charset val="129"/>
      <scheme val="minor"/>
    </font>
    <font>
      <sz val="11"/>
      <name val="맑은 고딕"/>
      <family val="3"/>
      <charset val="129"/>
    </font>
    <font>
      <b/>
      <sz val="10"/>
      <color indexed="9"/>
      <name val="맑은 고딕"/>
      <family val="3"/>
      <charset val="129"/>
    </font>
    <font>
      <b/>
      <sz val="10"/>
      <color theme="0"/>
      <name val="맑은 고딕"/>
      <family val="3"/>
      <charset val="129"/>
      <scheme val="major"/>
    </font>
    <font>
      <sz val="10"/>
      <name val="맑은 고딕"/>
      <family val="3"/>
      <charset val="129"/>
      <scheme val="major"/>
    </font>
    <font>
      <sz val="10"/>
      <color rgb="FF4D4D4D"/>
      <name val="맑은 고딕"/>
      <family val="3"/>
      <charset val="129"/>
    </font>
    <font>
      <b/>
      <sz val="10"/>
      <color rgb="FF007A37"/>
      <name val="맑은 고딕"/>
      <family val="3"/>
      <charset val="129"/>
    </font>
    <font>
      <sz val="11"/>
      <color rgb="FF000000"/>
      <name val="굴림"/>
      <family val="3"/>
      <charset val="129"/>
    </font>
    <font>
      <b/>
      <i/>
      <sz val="9"/>
      <color rgb="FFFF0000"/>
      <name val="맑은 고딕"/>
      <family val="3"/>
      <charset val="129"/>
      <scheme val="major"/>
    </font>
    <font>
      <sz val="10"/>
      <name val="돋움"/>
      <family val="3"/>
      <charset val="129"/>
    </font>
    <font>
      <sz val="18"/>
      <name val="HY견고딕"/>
      <family val="1"/>
      <charset val="129"/>
    </font>
    <font>
      <b/>
      <sz val="18"/>
      <name val="맑은 고딕"/>
      <family val="3"/>
      <charset val="129"/>
    </font>
    <font>
      <b/>
      <sz val="18"/>
      <name val="HY견고딕"/>
      <family val="1"/>
      <charset val="129"/>
    </font>
    <font>
      <b/>
      <sz val="12"/>
      <name val="맑은 고딕"/>
      <family val="3"/>
      <charset val="129"/>
    </font>
    <font>
      <b/>
      <sz val="11"/>
      <color theme="0"/>
      <name val="HY견고딕"/>
      <family val="1"/>
      <charset val="129"/>
    </font>
    <font>
      <b/>
      <sz val="12"/>
      <color indexed="9"/>
      <name val="맑은 고딕"/>
      <family val="3"/>
      <charset val="129"/>
    </font>
    <font>
      <b/>
      <sz val="9"/>
      <color indexed="9"/>
      <name val="맑은 고딕"/>
      <family val="3"/>
      <charset val="129"/>
    </font>
    <font>
      <b/>
      <sz val="9"/>
      <color indexed="9"/>
      <name val="Arial"/>
      <family val="2"/>
    </font>
    <font>
      <b/>
      <sz val="12"/>
      <color indexed="9"/>
      <name val="맑은 고딕"/>
      <family val="3"/>
      <charset val="129"/>
      <scheme val="major"/>
    </font>
    <font>
      <b/>
      <sz val="12"/>
      <color indexed="12"/>
      <name val="Arial"/>
      <family val="2"/>
    </font>
    <font>
      <sz val="8"/>
      <name val="맑은 고딕"/>
      <family val="3"/>
      <charset val="129"/>
    </font>
    <font>
      <sz val="11"/>
      <name val="Arial"/>
      <family val="2"/>
    </font>
    <font>
      <b/>
      <sz val="12"/>
      <name val="맑은 고딕"/>
      <family val="3"/>
      <charset val="129"/>
      <scheme val="major"/>
    </font>
    <font>
      <sz val="12"/>
      <name val="HY견고딕"/>
      <family val="1"/>
      <charset val="129"/>
    </font>
    <font>
      <b/>
      <sz val="12"/>
      <name val="Arial"/>
      <family val="2"/>
    </font>
    <font>
      <b/>
      <sz val="11"/>
      <name val="맑은 고딕"/>
      <family val="3"/>
      <charset val="129"/>
    </font>
    <font>
      <b/>
      <sz val="11"/>
      <name val="Arial"/>
      <family val="2"/>
    </font>
    <font>
      <b/>
      <sz val="11"/>
      <color indexed="9"/>
      <name val="맑은 고딕"/>
      <family val="3"/>
      <charset val="129"/>
    </font>
    <font>
      <b/>
      <sz val="10"/>
      <color indexed="12"/>
      <name val="HY견고딕"/>
      <family val="1"/>
      <charset val="129"/>
    </font>
    <font>
      <b/>
      <sz val="10"/>
      <name val="HY견고딕"/>
      <family val="1"/>
      <charset val="129"/>
    </font>
    <font>
      <b/>
      <sz val="9"/>
      <name val="맑은 고딕"/>
      <family val="3"/>
      <charset val="129"/>
    </font>
    <font>
      <vertAlign val="subscript"/>
      <sz val="10"/>
      <name val="맑은 고딕"/>
      <family val="3"/>
      <charset val="129"/>
    </font>
    <font>
      <b/>
      <sz val="10"/>
      <color theme="1"/>
      <name val="맑은 고딕"/>
      <family val="3"/>
      <charset val="129"/>
    </font>
    <font>
      <b/>
      <sz val="10"/>
      <color theme="1"/>
      <name val="Arial"/>
      <family val="2"/>
    </font>
    <font>
      <b/>
      <sz val="10"/>
      <color rgb="FF0000FF"/>
      <name val="HY견고딕"/>
      <family val="1"/>
      <charset val="129"/>
    </font>
    <font>
      <b/>
      <vertAlign val="subscript"/>
      <sz val="10"/>
      <color rgb="FF0000FF"/>
      <name val="HY견고딕"/>
      <family val="1"/>
      <charset val="129"/>
    </font>
    <font>
      <i/>
      <sz val="10"/>
      <name val="맑은 고딕"/>
      <family val="3"/>
      <charset val="129"/>
    </font>
    <font>
      <i/>
      <sz val="10"/>
      <color indexed="12"/>
      <name val="HY견고딕"/>
      <family val="1"/>
      <charset val="129"/>
    </font>
    <font>
      <b/>
      <vertAlign val="subscript"/>
      <sz val="10"/>
      <name val="맑은 고딕"/>
      <family val="3"/>
      <charset val="129"/>
    </font>
    <font>
      <b/>
      <i/>
      <sz val="10"/>
      <color indexed="12"/>
      <name val="Arial"/>
      <family val="2"/>
    </font>
    <font>
      <i/>
      <sz val="10"/>
      <name val="Arial"/>
      <family val="2"/>
    </font>
    <font>
      <b/>
      <i/>
      <sz val="10"/>
      <color indexed="12"/>
      <name val="맑은 고딕"/>
      <family val="3"/>
      <charset val="129"/>
    </font>
    <font>
      <b/>
      <i/>
      <sz val="11"/>
      <color indexed="12"/>
      <name val="맑은 고딕"/>
      <family val="3"/>
      <charset val="129"/>
    </font>
    <font>
      <b/>
      <i/>
      <sz val="11"/>
      <color indexed="12"/>
      <name val="Arial"/>
      <family val="2"/>
    </font>
    <font>
      <b/>
      <i/>
      <sz val="11"/>
      <color theme="3" tint="-0.499984740745262"/>
      <name val="맑은 고딕"/>
      <family val="3"/>
      <charset val="129"/>
      <scheme val="major"/>
    </font>
    <font>
      <b/>
      <i/>
      <sz val="11"/>
      <color theme="3" tint="-0.499984740745262"/>
      <name val="Arial"/>
      <family val="2"/>
    </font>
    <font>
      <b/>
      <vertAlign val="subscript"/>
      <sz val="11"/>
      <color indexed="9"/>
      <name val="맑은 고딕"/>
      <family val="3"/>
      <charset val="129"/>
    </font>
    <font>
      <b/>
      <sz val="11"/>
      <color indexed="9"/>
      <name val="HY견고딕"/>
      <family val="1"/>
      <charset val="129"/>
    </font>
    <font>
      <sz val="10"/>
      <name val="HY견고딕"/>
      <family val="1"/>
      <charset val="129"/>
    </font>
    <font>
      <i/>
      <sz val="11"/>
      <name val="맑은 고딕"/>
      <family val="3"/>
      <charset val="129"/>
    </font>
    <font>
      <b/>
      <sz val="11"/>
      <color theme="1"/>
      <name val="HY견고딕"/>
      <family val="1"/>
      <charset val="129"/>
    </font>
    <font>
      <sz val="11"/>
      <color theme="1"/>
      <name val="HY견고딕"/>
      <family val="1"/>
      <charset val="129"/>
    </font>
    <font>
      <b/>
      <sz val="11"/>
      <name val="맑은 고딕"/>
      <family val="3"/>
      <charset val="129"/>
      <scheme val="major"/>
    </font>
    <font>
      <sz val="11"/>
      <name val="맑은 고딕"/>
      <family val="3"/>
      <charset val="129"/>
      <scheme val="major"/>
    </font>
    <font>
      <b/>
      <sz val="11"/>
      <name val="HY견고딕"/>
      <family val="1"/>
      <charset val="129"/>
    </font>
    <font>
      <sz val="10"/>
      <color theme="1"/>
      <name val="Arial"/>
      <family val="2"/>
    </font>
    <font>
      <b/>
      <sz val="10"/>
      <name val="맑은 고딕"/>
      <family val="3"/>
      <charset val="129"/>
      <scheme val="major"/>
    </font>
    <font>
      <i/>
      <sz val="10"/>
      <color theme="1"/>
      <name val="맑은 고딕"/>
      <family val="3"/>
      <charset val="129"/>
      <scheme val="minor"/>
    </font>
    <font>
      <b/>
      <sz val="20"/>
      <color theme="8" tint="-0.499984740745262"/>
      <name val="맑은 고딕"/>
      <family val="3"/>
      <charset val="129"/>
      <scheme val="minor"/>
    </font>
    <font>
      <b/>
      <sz val="24"/>
      <color theme="8" tint="-0.499984740745262"/>
      <name val="맑은 고딕"/>
      <family val="3"/>
      <charset val="129"/>
      <scheme val="minor"/>
    </font>
    <font>
      <b/>
      <sz val="11"/>
      <color rgb="FFFF0000"/>
      <name val="맑은 고딕"/>
      <family val="3"/>
      <charset val="129"/>
      <scheme val="minor"/>
    </font>
    <font>
      <b/>
      <sz val="16"/>
      <name val="맑은 고딕"/>
      <family val="3"/>
      <charset val="129"/>
      <scheme val="minor"/>
    </font>
    <font>
      <b/>
      <sz val="11"/>
      <name val="맑은 고딕"/>
      <family val="3"/>
      <charset val="129"/>
      <scheme val="minor"/>
    </font>
    <font>
      <b/>
      <u/>
      <sz val="16"/>
      <name val="맑은 고딕"/>
      <family val="3"/>
      <charset val="129"/>
      <scheme val="minor"/>
    </font>
    <font>
      <sz val="8"/>
      <name val="바탕체"/>
      <family val="1"/>
      <charset val="129"/>
    </font>
    <font>
      <sz val="10"/>
      <color theme="0"/>
      <name val="맑은 고딕"/>
      <family val="2"/>
      <charset val="129"/>
      <scheme val="minor"/>
    </font>
    <font>
      <b/>
      <i/>
      <sz val="10"/>
      <name val="맑은 고딕"/>
      <family val="3"/>
      <charset val="129"/>
      <scheme val="minor"/>
    </font>
    <font>
      <b/>
      <i/>
      <sz val="10"/>
      <color rgb="FFFF0000"/>
      <name val="맑은 고딕"/>
      <family val="3"/>
      <charset val="129"/>
      <scheme val="minor"/>
    </font>
    <font>
      <b/>
      <i/>
      <sz val="9"/>
      <color theme="1"/>
      <name val="맑은 고딕"/>
      <family val="3"/>
      <charset val="129"/>
      <scheme val="minor"/>
    </font>
    <font>
      <b/>
      <i/>
      <sz val="11"/>
      <color theme="1"/>
      <name val="맑은 고딕"/>
      <family val="3"/>
      <charset val="129"/>
      <scheme val="minor"/>
    </font>
    <font>
      <i/>
      <sz val="9"/>
      <color theme="8" tint="0.59999389629810485"/>
      <name val="맑은 고딕"/>
      <family val="3"/>
      <charset val="129"/>
      <scheme val="minor"/>
    </font>
    <font>
      <sz val="9"/>
      <color rgb="FFFF0000"/>
      <name val="맑은 고딕"/>
      <family val="2"/>
      <charset val="129"/>
      <scheme val="minor"/>
    </font>
    <font>
      <b/>
      <sz val="9"/>
      <color rgb="FF000000"/>
      <name val="맑은 고딕"/>
      <family val="3"/>
      <charset val="129"/>
    </font>
    <font>
      <sz val="9"/>
      <color theme="1"/>
      <name val="맑은 고딕"/>
      <family val="3"/>
      <charset val="129"/>
    </font>
    <font>
      <sz val="10"/>
      <color rgb="FF000000"/>
      <name val="맑은 고딕"/>
      <family val="3"/>
      <charset val="129"/>
    </font>
    <font>
      <i/>
      <sz val="11"/>
      <name val="맑은 고딕"/>
      <family val="3"/>
      <charset val="129"/>
      <scheme val="minor"/>
    </font>
    <font>
      <sz val="11"/>
      <color rgb="FFFF0000"/>
      <name val="맑은 고딕"/>
      <family val="2"/>
      <charset val="129"/>
      <scheme val="minor"/>
    </font>
    <font>
      <b/>
      <sz val="11"/>
      <color indexed="9"/>
      <name val="Calibri"/>
      <family val="2"/>
    </font>
    <font>
      <sz val="9"/>
      <color rgb="FF000000"/>
      <name val="맑은고딕"/>
      <family val="3"/>
      <charset val="129"/>
    </font>
    <font>
      <sz val="9"/>
      <color theme="1"/>
      <name val="맑은고딕"/>
      <family val="3"/>
      <charset val="129"/>
    </font>
    <font>
      <u/>
      <sz val="10"/>
      <color theme="10"/>
      <name val="맑은 고딕"/>
      <family val="3"/>
      <charset val="129"/>
      <scheme val="minor"/>
    </font>
    <font>
      <b/>
      <sz val="9"/>
      <color indexed="81"/>
      <name val="Tahoma"/>
      <family val="2"/>
    </font>
    <font>
      <b/>
      <sz val="9"/>
      <color indexed="81"/>
      <name val="돋움"/>
      <family val="3"/>
      <charset val="129"/>
    </font>
    <font>
      <i/>
      <sz val="9"/>
      <color rgb="FFFF0000"/>
      <name val="맑은 고딕"/>
      <family val="3"/>
      <charset val="129"/>
      <scheme val="major"/>
    </font>
    <font>
      <b/>
      <sz val="11"/>
      <color theme="3"/>
      <name val="Arial"/>
      <family val="2"/>
    </font>
    <font>
      <sz val="10"/>
      <color theme="1"/>
      <name val="맑은 고딕"/>
      <family val="2"/>
      <charset val="129"/>
      <scheme val="major"/>
    </font>
    <font>
      <b/>
      <sz val="10"/>
      <color theme="3"/>
      <name val="맑은 고딕"/>
      <family val="3"/>
      <charset val="129"/>
    </font>
    <font>
      <b/>
      <sz val="9"/>
      <color theme="3"/>
      <name val="Arial"/>
      <family val="2"/>
    </font>
    <font>
      <b/>
      <sz val="9"/>
      <color theme="0"/>
      <name val="맑은 고딕"/>
      <family val="3"/>
      <charset val="129"/>
      <scheme val="major"/>
    </font>
    <font>
      <b/>
      <sz val="9"/>
      <color theme="3"/>
      <name val="맑은 고딕"/>
      <family val="3"/>
      <charset val="129"/>
    </font>
    <font>
      <b/>
      <sz val="9"/>
      <color theme="3"/>
      <name val="돋움"/>
      <family val="3"/>
      <charset val="129"/>
    </font>
    <font>
      <sz val="9"/>
      <color theme="1"/>
      <name val="맑은 고딕"/>
      <family val="2"/>
      <charset val="129"/>
      <scheme val="major"/>
    </font>
    <font>
      <b/>
      <sz val="9"/>
      <color rgb="FFFF0000"/>
      <name val="맑은 고딕"/>
      <family val="3"/>
      <charset val="129"/>
      <scheme val="major"/>
    </font>
    <font>
      <b/>
      <sz val="10"/>
      <color indexed="9"/>
      <name val="맑은 고딕"/>
      <family val="3"/>
      <charset val="129"/>
      <scheme val="major"/>
    </font>
    <font>
      <sz val="10"/>
      <color indexed="8"/>
      <name val="맑은 고딕"/>
      <family val="3"/>
      <charset val="129"/>
      <scheme val="major"/>
    </font>
    <font>
      <sz val="9"/>
      <name val="바탕체"/>
      <family val="1"/>
      <charset val="129"/>
    </font>
    <font>
      <sz val="9"/>
      <color theme="0"/>
      <name val="바탕체"/>
      <family val="1"/>
      <charset val="129"/>
    </font>
    <font>
      <b/>
      <sz val="9"/>
      <color indexed="9"/>
      <name val="Calibri"/>
      <family val="2"/>
    </font>
    <font>
      <sz val="9"/>
      <color rgb="FF000000"/>
      <name val="Arial"/>
      <family val="2"/>
    </font>
    <font>
      <sz val="9"/>
      <color rgb="FF000000"/>
      <name val="Arial Unicode MS"/>
      <family val="2"/>
      <charset val="129"/>
    </font>
    <font>
      <b/>
      <sz val="14"/>
      <name val="맑은 고딕"/>
      <family val="3"/>
      <charset val="129"/>
      <scheme val="major"/>
    </font>
    <font>
      <b/>
      <sz val="9"/>
      <color rgb="FF000000"/>
      <name val="바탕체"/>
      <family val="1"/>
      <charset val="129"/>
    </font>
    <font>
      <b/>
      <sz val="9"/>
      <color rgb="FF000000"/>
      <name val="Arial"/>
      <family val="2"/>
    </font>
    <font>
      <sz val="9"/>
      <color rgb="FF000000"/>
      <name val="바탕체"/>
      <family val="1"/>
      <charset val="129"/>
    </font>
    <font>
      <sz val="9"/>
      <color theme="0"/>
      <name val="Arial"/>
      <family val="2"/>
    </font>
    <font>
      <sz val="9"/>
      <color theme="1"/>
      <name val="Arial"/>
      <family val="2"/>
    </font>
    <font>
      <b/>
      <sz val="20"/>
      <color theme="0"/>
      <name val="맑은 고딕"/>
      <family val="3"/>
      <charset val="129"/>
      <scheme val="minor"/>
    </font>
    <font>
      <b/>
      <i/>
      <sz val="16"/>
      <color theme="0"/>
      <name val="맑은 고딕"/>
      <family val="3"/>
      <charset val="129"/>
      <scheme val="major"/>
    </font>
    <font>
      <b/>
      <sz val="12"/>
      <color theme="0"/>
      <name val="맑은 고딕"/>
      <family val="3"/>
      <charset val="129"/>
      <scheme val="major"/>
    </font>
    <font>
      <b/>
      <sz val="9"/>
      <color theme="1"/>
      <name val="Arial"/>
      <family val="2"/>
    </font>
    <font>
      <b/>
      <sz val="9"/>
      <color theme="0"/>
      <name val="Arial"/>
      <family val="2"/>
    </font>
    <font>
      <b/>
      <sz val="14"/>
      <color rgb="FFFFFFFF"/>
      <name val="맑은 고딕"/>
      <family val="3"/>
      <charset val="129"/>
      <scheme val="major"/>
    </font>
    <font>
      <b/>
      <sz val="16"/>
      <color rgb="FFFFFFFF"/>
      <name val="맑은 고딕"/>
      <family val="3"/>
      <charset val="129"/>
      <scheme val="major"/>
    </font>
    <font>
      <i/>
      <sz val="9"/>
      <name val="Arial"/>
      <family val="2"/>
    </font>
    <font>
      <b/>
      <sz val="9"/>
      <color rgb="FFFF0000"/>
      <name val="Arial"/>
      <family val="2"/>
    </font>
    <font>
      <sz val="9"/>
      <color theme="0" tint="-0.249977111117893"/>
      <name val="Arial"/>
      <family val="2"/>
    </font>
    <font>
      <sz val="9"/>
      <color rgb="FF00338D"/>
      <name val="Arial"/>
      <family val="2"/>
    </font>
    <font>
      <b/>
      <i/>
      <sz val="9"/>
      <color theme="0" tint="-0.249977111117893"/>
      <name val="Arial"/>
      <family val="2"/>
    </font>
    <font>
      <b/>
      <sz val="9"/>
      <color theme="0" tint="-0.249977111117893"/>
      <name val="Arial"/>
      <family val="2"/>
    </font>
    <font>
      <sz val="9"/>
      <color theme="0" tint="-0.34998626667073579"/>
      <name val="Arial"/>
      <family val="2"/>
    </font>
    <font>
      <b/>
      <sz val="9"/>
      <color theme="0" tint="-0.34998626667073579"/>
      <name val="Arial"/>
      <family val="2"/>
    </font>
    <font>
      <b/>
      <sz val="9"/>
      <color theme="0" tint="-0.249977111117893"/>
      <name val="맑은 고딕"/>
      <family val="3"/>
      <charset val="129"/>
      <scheme val="major"/>
    </font>
    <font>
      <sz val="9"/>
      <color indexed="12"/>
      <name val="Arial"/>
      <family val="2"/>
    </font>
    <font>
      <b/>
      <u/>
      <sz val="9"/>
      <name val="Arial"/>
      <family val="2"/>
    </font>
    <font>
      <b/>
      <sz val="9"/>
      <color theme="0" tint="-0.499984740745262"/>
      <name val="Arial"/>
      <family val="2"/>
      <charset val="129"/>
    </font>
    <font>
      <sz val="9"/>
      <color theme="0" tint="-0.499984740745262"/>
      <name val="Arial"/>
      <family val="2"/>
    </font>
    <font>
      <b/>
      <sz val="9"/>
      <color theme="0"/>
      <name val="맑은 고딕"/>
      <family val="3"/>
      <charset val="129"/>
    </font>
    <font>
      <b/>
      <sz val="9"/>
      <color theme="0"/>
      <name val="Arial"/>
      <family val="3"/>
      <charset val="129"/>
    </font>
    <font>
      <sz val="9"/>
      <color theme="0"/>
      <name val="맑은 고딕"/>
      <family val="3"/>
      <charset val="129"/>
      <scheme val="major"/>
    </font>
    <font>
      <b/>
      <sz val="9"/>
      <name val="Arial Unicode MS"/>
      <family val="2"/>
      <charset val="129"/>
    </font>
    <font>
      <b/>
      <vertAlign val="superscript"/>
      <sz val="9"/>
      <color indexed="9"/>
      <name val="Arial"/>
      <family val="2"/>
    </font>
    <font>
      <b/>
      <u/>
      <vertAlign val="subscript"/>
      <sz val="9"/>
      <name val="Arial"/>
      <family val="2"/>
    </font>
    <font>
      <b/>
      <sz val="9"/>
      <color theme="0" tint="-0.499984740745262"/>
      <name val="Arial Unicode MS"/>
      <family val="2"/>
      <charset val="129"/>
    </font>
    <font>
      <b/>
      <sz val="9"/>
      <color theme="0" tint="-0.499984740745262"/>
      <name val="Arial"/>
      <family val="2"/>
    </font>
    <font>
      <b/>
      <sz val="9"/>
      <color theme="0"/>
      <name val="돋움"/>
      <family val="3"/>
      <charset val="129"/>
    </font>
    <font>
      <b/>
      <sz val="9"/>
      <color rgb="FFFF0000"/>
      <name val="맑은 고딕"/>
      <family val="3"/>
      <charset val="129"/>
      <scheme val="minor"/>
    </font>
    <font>
      <b/>
      <sz val="13"/>
      <color rgb="FF000000"/>
      <name val="바탕체"/>
      <family val="1"/>
      <charset val="129"/>
    </font>
    <font>
      <b/>
      <sz val="13"/>
      <color rgb="FF000000"/>
      <name val="Arial"/>
      <family val="2"/>
    </font>
    <font>
      <sz val="13"/>
      <color rgb="FF000000"/>
      <name val="바탕체"/>
      <family val="1"/>
      <charset val="129"/>
    </font>
    <font>
      <sz val="13"/>
      <color rgb="FF000000"/>
      <name val="Arial"/>
      <family val="2"/>
    </font>
    <font>
      <sz val="11"/>
      <color rgb="FF000000"/>
      <name val="Arial"/>
      <family val="2"/>
    </font>
    <font>
      <sz val="11"/>
      <color rgb="FF000000"/>
      <name val="바탕체"/>
      <family val="1"/>
      <charset val="129"/>
    </font>
    <font>
      <sz val="8"/>
      <color theme="1"/>
      <name val="맑은 고딕"/>
      <family val="2"/>
      <scheme val="minor"/>
    </font>
    <font>
      <sz val="18"/>
      <name val="Arial"/>
      <family val="2"/>
    </font>
    <font>
      <b/>
      <sz val="11"/>
      <color rgb="FF000000"/>
      <name val="바탕체"/>
      <family val="1"/>
      <charset val="129"/>
    </font>
    <font>
      <b/>
      <sz val="11"/>
      <color rgb="FF000000"/>
      <name val="Arial"/>
      <family val="2"/>
    </font>
    <font>
      <sz val="10"/>
      <color rgb="FF000000"/>
      <name val="바탕체"/>
      <family val="1"/>
      <charset val="129"/>
    </font>
    <font>
      <b/>
      <sz val="11"/>
      <color rgb="FF7F7F7F"/>
      <name val="Arial"/>
      <family val="2"/>
    </font>
    <font>
      <b/>
      <sz val="11"/>
      <color rgb="FF7F7F7F"/>
      <name val="바탕체"/>
      <family val="1"/>
      <charset val="129"/>
    </font>
    <font>
      <sz val="11"/>
      <color rgb="FF7F7F7F"/>
      <name val="Arial"/>
      <family val="2"/>
    </font>
    <font>
      <sz val="9"/>
      <color rgb="FF7F7F7F"/>
      <name val="Arial"/>
      <family val="2"/>
    </font>
    <font>
      <sz val="9"/>
      <color rgb="FF7F7F7F"/>
      <name val="바탕체"/>
      <family val="1"/>
      <charset val="129"/>
    </font>
    <font>
      <sz val="10"/>
      <color rgb="FF7F7F7F"/>
      <name val="Arial"/>
      <family val="2"/>
    </font>
    <font>
      <sz val="12"/>
      <name val="굴림체"/>
      <family val="3"/>
      <charset val="129"/>
    </font>
    <font>
      <sz val="10"/>
      <name val="바탕체"/>
      <family val="1"/>
      <charset val="129"/>
    </font>
    <font>
      <u/>
      <sz val="11"/>
      <color indexed="12"/>
      <name val="돋움"/>
      <family val="3"/>
      <charset val="129"/>
    </font>
    <font>
      <sz val="8"/>
      <name val="Arial"/>
      <family val="2"/>
    </font>
    <font>
      <b/>
      <sz val="9"/>
      <color indexed="8"/>
      <name val="맑은 고딕"/>
      <family val="3"/>
      <charset val="129"/>
      <scheme val="major"/>
    </font>
    <font>
      <sz val="9"/>
      <color indexed="8"/>
      <name val="맑은 고딕"/>
      <family val="3"/>
      <charset val="129"/>
      <scheme val="major"/>
    </font>
    <font>
      <sz val="9"/>
      <color theme="1"/>
      <name val="굴림체"/>
      <family val="3"/>
      <charset val="129"/>
    </font>
    <font>
      <sz val="9"/>
      <color rgb="FFFF0000"/>
      <name val="Arial"/>
      <family val="2"/>
    </font>
    <font>
      <sz val="9"/>
      <color rgb="FFFF0000"/>
      <name val="바탕체"/>
      <family val="1"/>
      <charset val="129"/>
    </font>
    <font>
      <sz val="9"/>
      <color rgb="FF000000"/>
      <name val="돋움"/>
      <family val="3"/>
      <charset val="129"/>
    </font>
    <font>
      <b/>
      <i/>
      <sz val="9"/>
      <color rgb="FF0070C0"/>
      <name val="맑은 고딕"/>
      <family val="3"/>
      <charset val="129"/>
      <scheme val="minor"/>
    </font>
    <font>
      <b/>
      <i/>
      <sz val="9"/>
      <name val="맑은 고딕"/>
      <family val="3"/>
      <charset val="129"/>
      <scheme val="minor"/>
    </font>
    <font>
      <sz val="9"/>
      <name val="맑은 고딕"/>
      <family val="2"/>
      <charset val="129"/>
      <scheme val="minor"/>
    </font>
    <font>
      <b/>
      <sz val="9"/>
      <color rgb="FF00A3A1"/>
      <name val="맑은 고딕"/>
      <family val="3"/>
      <charset val="129"/>
    </font>
    <font>
      <sz val="9"/>
      <color rgb="FF00A3A1"/>
      <name val="맑은 고딕"/>
      <family val="3"/>
      <charset val="129"/>
    </font>
    <font>
      <sz val="9"/>
      <color rgb="FF000000"/>
      <name val="Univers for KPMG"/>
      <family val="2"/>
    </font>
    <font>
      <b/>
      <sz val="9"/>
      <color rgb="FFFF0066"/>
      <name val="Univers for KPMG"/>
      <family val="2"/>
    </font>
    <font>
      <b/>
      <sz val="9"/>
      <color rgb="FFE71C57"/>
      <name val="맑은 고딕"/>
      <family val="3"/>
      <charset val="129"/>
    </font>
    <font>
      <sz val="8"/>
      <color theme="1"/>
      <name val="맑은 고딕"/>
      <family val="3"/>
      <charset val="129"/>
      <scheme val="minor"/>
    </font>
    <font>
      <i/>
      <sz val="10"/>
      <color rgb="FF00B050"/>
      <name val="맑은 고딕"/>
      <family val="3"/>
      <charset val="129"/>
      <scheme val="minor"/>
    </font>
    <font>
      <sz val="10"/>
      <color rgb="FF00B050"/>
      <name val="맑은 고딕"/>
      <family val="3"/>
      <charset val="129"/>
      <scheme val="minor"/>
    </font>
    <font>
      <i/>
      <sz val="10"/>
      <color rgb="FF0070C0"/>
      <name val="맑은 고딕"/>
      <family val="3"/>
      <charset val="129"/>
      <scheme val="minor"/>
    </font>
    <font>
      <sz val="10"/>
      <color rgb="FFFF0000"/>
      <name val="맑은 고딕"/>
      <family val="3"/>
      <charset val="129"/>
      <scheme val="minor"/>
    </font>
    <font>
      <sz val="9"/>
      <color theme="0"/>
      <name val="맑은 고딕"/>
      <family val="3"/>
      <charset val="129"/>
      <scheme val="minor"/>
    </font>
    <font>
      <b/>
      <sz val="9"/>
      <color rgb="FF008000"/>
      <name val="굴림"/>
      <family val="3"/>
      <charset val="129"/>
    </font>
    <font>
      <sz val="9"/>
      <color indexed="81"/>
      <name val="Tahoma"/>
      <family val="2"/>
    </font>
    <font>
      <sz val="9"/>
      <color indexed="81"/>
      <name val="돋움"/>
      <family val="3"/>
      <charset val="129"/>
    </font>
    <font>
      <b/>
      <sz val="16"/>
      <color indexed="8"/>
      <name val="HY견고딕"/>
      <family val="1"/>
      <charset val="129"/>
    </font>
    <font>
      <b/>
      <sz val="16"/>
      <color indexed="8"/>
      <name val="맑은 고딕"/>
      <family val="3"/>
      <charset val="129"/>
    </font>
    <font>
      <b/>
      <sz val="11"/>
      <color indexed="8"/>
      <name val="맑은 고딕"/>
      <family val="3"/>
      <charset val="129"/>
    </font>
    <font>
      <sz val="10"/>
      <color indexed="8"/>
      <name val="Arial"/>
      <family val="2"/>
    </font>
    <font>
      <b/>
      <sz val="10"/>
      <color indexed="8"/>
      <name val="Arial"/>
      <family val="2"/>
    </font>
    <font>
      <sz val="10"/>
      <name val="돋움"/>
      <family val="2"/>
      <charset val="129"/>
    </font>
    <font>
      <b/>
      <sz val="10"/>
      <color indexed="8"/>
      <name val="HY견고딕"/>
      <family val="1"/>
      <charset val="129"/>
    </font>
    <font>
      <b/>
      <i/>
      <sz val="11"/>
      <color theme="0"/>
      <name val="HY견고딕"/>
      <family val="1"/>
      <charset val="129"/>
    </font>
    <font>
      <b/>
      <i/>
      <sz val="10"/>
      <color theme="0"/>
      <name val="HY견고딕"/>
      <family val="1"/>
      <charset val="129"/>
    </font>
    <font>
      <b/>
      <sz val="11"/>
      <color rgb="FF0000FF"/>
      <name val="Arial"/>
      <family val="2"/>
    </font>
    <font>
      <i/>
      <sz val="11"/>
      <name val="Arial"/>
      <family val="2"/>
    </font>
    <font>
      <i/>
      <sz val="11"/>
      <color theme="1"/>
      <name val="Arial"/>
      <family val="2"/>
    </font>
    <font>
      <b/>
      <sz val="11"/>
      <color theme="1"/>
      <name val="Arial"/>
      <family val="2"/>
    </font>
    <font>
      <b/>
      <i/>
      <sz val="11"/>
      <color rgb="FF0000FF"/>
      <name val="맑은 고딕"/>
      <family val="3"/>
      <charset val="129"/>
      <scheme val="minor"/>
    </font>
    <font>
      <b/>
      <i/>
      <sz val="11"/>
      <color rgb="FF0000FF"/>
      <name val="Arial"/>
      <family val="2"/>
    </font>
    <font>
      <b/>
      <i/>
      <sz val="10"/>
      <color rgb="FF0000FF"/>
      <name val="맑은 고딕"/>
      <family val="3"/>
      <charset val="129"/>
      <scheme val="minor"/>
    </font>
    <font>
      <b/>
      <i/>
      <sz val="10"/>
      <color rgb="FF0000FF"/>
      <name val="Arial"/>
      <family val="2"/>
    </font>
    <font>
      <b/>
      <sz val="9"/>
      <color indexed="9"/>
      <name val="맑은 고딕"/>
      <family val="3"/>
      <charset val="129"/>
      <scheme val="major"/>
    </font>
    <font>
      <b/>
      <sz val="9"/>
      <name val="HY견고딕"/>
      <family val="1"/>
      <charset val="129"/>
    </font>
    <font>
      <b/>
      <sz val="14"/>
      <name val="맑은 고딕"/>
      <family val="3"/>
      <charset val="129"/>
    </font>
    <font>
      <sz val="9"/>
      <color indexed="10"/>
      <name val="Arial"/>
      <family val="2"/>
    </font>
    <font>
      <b/>
      <sz val="9"/>
      <color indexed="10"/>
      <name val="Arial"/>
      <family val="2"/>
    </font>
    <font>
      <b/>
      <sz val="9"/>
      <color indexed="18"/>
      <name val="Arial"/>
      <family val="2"/>
    </font>
    <font>
      <b/>
      <sz val="9"/>
      <color rgb="FF00B050"/>
      <name val="맑은 고딕"/>
      <family val="3"/>
      <charset val="129"/>
      <scheme val="minor"/>
    </font>
    <font>
      <b/>
      <sz val="9"/>
      <color theme="0" tint="-0.499984740745262"/>
      <name val="맑은 고딕"/>
      <family val="3"/>
      <charset val="129"/>
      <scheme val="minor"/>
    </font>
    <font>
      <sz val="9"/>
      <color theme="0" tint="-0.499984740745262"/>
      <name val="맑은 고딕"/>
      <family val="3"/>
      <charset val="129"/>
      <scheme val="minor"/>
    </font>
    <font>
      <sz val="9"/>
      <color rgb="FF9C5700"/>
      <name val="맑은 고딕"/>
      <family val="3"/>
      <charset val="129"/>
      <scheme val="minor"/>
    </font>
    <font>
      <sz val="10.1"/>
      <color theme="1"/>
      <name val="맑은 고딕"/>
      <family val="2"/>
      <charset val="129"/>
      <scheme val="minor"/>
    </font>
    <font>
      <b/>
      <sz val="10.1"/>
      <name val="맑은 고딕"/>
      <family val="2"/>
      <charset val="129"/>
      <scheme val="major"/>
    </font>
    <font>
      <b/>
      <sz val="8"/>
      <name val="Arial"/>
      <family val="2"/>
    </font>
    <font>
      <sz val="7"/>
      <name val="Arial"/>
      <family val="2"/>
    </font>
    <font>
      <sz val="7"/>
      <color rgb="FF000000"/>
      <name val="Arial"/>
      <family val="2"/>
    </font>
    <font>
      <b/>
      <sz val="7"/>
      <name val="Arial"/>
      <family val="2"/>
    </font>
    <font>
      <b/>
      <sz val="7.5"/>
      <name val="Arial"/>
      <family val="2"/>
    </font>
    <font>
      <sz val="7.5"/>
      <name val="Arial"/>
      <family val="2"/>
    </font>
    <font>
      <sz val="7.5"/>
      <color rgb="FF000000"/>
      <name val="Arial"/>
      <family val="2"/>
    </font>
    <font>
      <i/>
      <sz val="9"/>
      <color theme="0"/>
      <name val="맑은 고딕"/>
      <family val="3"/>
      <charset val="129"/>
      <scheme val="minor"/>
    </font>
    <font>
      <sz val="10"/>
      <color rgb="FF00A3A1"/>
      <name val="맑은 고딕"/>
      <family val="3"/>
      <charset val="129"/>
      <scheme val="minor"/>
    </font>
    <font>
      <b/>
      <sz val="10"/>
      <color rgb="FF0091DA"/>
      <name val="맑은 고딕"/>
      <family val="3"/>
      <charset val="129"/>
      <scheme val="major"/>
    </font>
    <font>
      <b/>
      <i/>
      <sz val="10"/>
      <color rgb="FF00A3A1"/>
      <name val="맑은 고딕"/>
      <family val="3"/>
      <charset val="129"/>
      <scheme val="minor"/>
    </font>
    <font>
      <i/>
      <sz val="10"/>
      <color rgb="FF00A3A1"/>
      <name val="맑은 고딕"/>
      <family val="3"/>
      <charset val="129"/>
      <scheme val="minor"/>
    </font>
    <font>
      <b/>
      <sz val="10"/>
      <color rgb="FF00A3A1"/>
      <name val="맑은 고딕"/>
      <family val="3"/>
      <charset val="129"/>
      <scheme val="minor"/>
    </font>
    <font>
      <b/>
      <sz val="10"/>
      <color rgb="FF00A3A1"/>
      <name val="맑은 고딕"/>
      <family val="3"/>
      <charset val="129"/>
      <scheme val="major"/>
    </font>
    <font>
      <sz val="9"/>
      <color theme="9" tint="0.79998168889431442"/>
      <name val="맑은 고딕"/>
      <family val="2"/>
      <charset val="129"/>
      <scheme val="minor"/>
    </font>
    <font>
      <b/>
      <sz val="10"/>
      <color rgb="FF001650"/>
      <name val="맑은 고딕"/>
      <family val="3"/>
      <charset val="129"/>
    </font>
    <font>
      <b/>
      <sz val="10"/>
      <color rgb="FF000000"/>
      <name val="맑은 고딕"/>
      <family val="3"/>
      <charset val="129"/>
    </font>
    <font>
      <i/>
      <sz val="10"/>
      <color rgb="FF000000"/>
      <name val="맑은 고딕"/>
      <family val="3"/>
      <charset val="129"/>
    </font>
    <font>
      <b/>
      <i/>
      <sz val="9"/>
      <color theme="5" tint="-0.249977111117893"/>
      <name val="맑은 고딕"/>
      <family val="3"/>
      <charset val="129"/>
      <scheme val="minor"/>
    </font>
    <font>
      <sz val="9"/>
      <color theme="0" tint="-0.249977111117893"/>
      <name val="맑은 고딕"/>
      <family val="2"/>
      <charset val="129"/>
      <scheme val="minor"/>
    </font>
    <font>
      <b/>
      <u/>
      <sz val="9"/>
      <color theme="1"/>
      <name val="맑은 고딕"/>
      <family val="3"/>
      <charset val="129"/>
      <scheme val="minor"/>
    </font>
    <font>
      <sz val="9"/>
      <color theme="0" tint="-4.9989318521683403E-2"/>
      <name val="맑은 고딕"/>
      <family val="3"/>
      <charset val="129"/>
      <scheme val="minor"/>
    </font>
    <font>
      <b/>
      <sz val="9"/>
      <color theme="8"/>
      <name val="맑은 고딕"/>
      <family val="3"/>
      <charset val="129"/>
      <scheme val="minor"/>
    </font>
    <font>
      <b/>
      <sz val="9"/>
      <color theme="1"/>
      <name val="맑은 고딕"/>
      <family val="3"/>
      <charset val="129"/>
    </font>
    <font>
      <b/>
      <sz val="9"/>
      <color theme="1"/>
      <name val="Calibri"/>
      <family val="3"/>
      <charset val="161"/>
    </font>
    <font>
      <sz val="9"/>
      <color rgb="FF404040"/>
      <name val="Arial"/>
      <family val="2"/>
    </font>
    <font>
      <b/>
      <i/>
      <sz val="11"/>
      <name val="맑은 고딕"/>
      <family val="3"/>
      <charset val="129"/>
      <scheme val="minor"/>
    </font>
    <font>
      <b/>
      <sz val="11"/>
      <color rgb="FFFFFFFF"/>
      <name val="맑은 고딕"/>
      <family val="2"/>
      <charset val="129"/>
    </font>
    <font>
      <i/>
      <sz val="11"/>
      <color rgb="FFFF0000"/>
      <name val="맑은 고딕"/>
      <family val="3"/>
      <charset val="129"/>
      <scheme val="minor"/>
    </font>
    <font>
      <sz val="9"/>
      <color rgb="FF00B0F0"/>
      <name val="맑은 고딕"/>
      <family val="2"/>
      <charset val="129"/>
      <scheme val="minor"/>
    </font>
    <font>
      <sz val="9"/>
      <color rgb="FF00B0F0"/>
      <name val="맑은 고딕"/>
      <family val="3"/>
      <charset val="129"/>
      <scheme val="minor"/>
    </font>
    <font>
      <i/>
      <sz val="9"/>
      <color rgb="FF00B0F0"/>
      <name val="맑은 고딕"/>
      <family val="3"/>
      <charset val="129"/>
      <scheme val="minor"/>
    </font>
    <font>
      <b/>
      <sz val="9"/>
      <color rgb="FF001650"/>
      <name val="맑은 고딕"/>
      <family val="3"/>
      <charset val="129"/>
    </font>
    <font>
      <sz val="7"/>
      <color rgb="FF001650"/>
      <name val="맑은 고딕"/>
      <family val="3"/>
      <charset val="129"/>
    </font>
    <font>
      <i/>
      <sz val="9"/>
      <color rgb="FF000000"/>
      <name val="맑은 고딕"/>
      <family val="3"/>
      <charset val="129"/>
    </font>
    <font>
      <b/>
      <i/>
      <sz val="9"/>
      <color rgb="FFFFFFFF"/>
      <name val="맑은 고딕"/>
      <family val="3"/>
      <charset val="129"/>
    </font>
    <font>
      <sz val="11"/>
      <color theme="1"/>
      <name val="맑은 고딕"/>
      <family val="2"/>
      <charset val="129"/>
      <scheme val="minor"/>
    </font>
  </fonts>
  <fills count="98">
    <fill>
      <patternFill patternType="none"/>
    </fill>
    <fill>
      <patternFill patternType="gray125"/>
    </fill>
    <fill>
      <patternFill patternType="solid">
        <fgColor rgb="FF00338D"/>
        <bgColor indexed="64"/>
      </patternFill>
    </fill>
    <fill>
      <patternFill patternType="solid">
        <fgColor theme="8" tint="0.79998168889431442"/>
        <bgColor indexed="64"/>
      </patternFill>
    </fill>
    <fill>
      <patternFill patternType="solid">
        <fgColor rgb="FFFFFF00"/>
        <bgColor indexed="64"/>
      </patternFill>
    </fill>
    <fill>
      <patternFill patternType="solid">
        <fgColor theme="8" tint="0.59999389629810485"/>
        <bgColor indexed="64"/>
      </patternFill>
    </fill>
    <fill>
      <patternFill patternType="lightUp"/>
    </fill>
    <fill>
      <patternFill patternType="solid">
        <fgColor rgb="FFDCDCDC"/>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1"/>
        <bgColor indexed="64"/>
      </patternFill>
    </fill>
    <fill>
      <patternFill patternType="solid">
        <fgColor rgb="FF4F81BD"/>
        <bgColor indexed="64"/>
      </patternFill>
    </fill>
    <fill>
      <patternFill patternType="solid">
        <fgColor rgb="FFEEF3F9"/>
        <bgColor indexed="64"/>
      </patternFill>
    </fill>
    <fill>
      <patternFill patternType="solid">
        <fgColor rgb="FFDCE6F2"/>
        <bgColor indexed="64"/>
      </patternFill>
    </fill>
    <fill>
      <patternFill patternType="solid">
        <fgColor rgb="FFB9CDE5"/>
        <bgColor indexed="64"/>
      </patternFill>
    </fill>
    <fill>
      <patternFill patternType="solid">
        <fgColor rgb="FF00FF00"/>
        <bgColor indexed="64"/>
      </patternFill>
    </fill>
    <fill>
      <patternFill patternType="solid">
        <fgColor indexed="9"/>
        <bgColor indexed="64"/>
      </patternFill>
    </fill>
    <fill>
      <patternFill patternType="solid">
        <fgColor rgb="FFFFFFFF"/>
        <bgColor rgb="FFFFFFFF"/>
      </patternFill>
    </fill>
    <fill>
      <patternFill patternType="solid">
        <fgColor indexed="13"/>
        <bgColor indexed="64"/>
      </patternFill>
    </fill>
    <fill>
      <patternFill patternType="solid">
        <fgColor indexed="41"/>
        <bgColor indexed="64"/>
      </patternFill>
    </fill>
    <fill>
      <patternFill patternType="solid">
        <fgColor theme="0"/>
        <bgColor indexed="64"/>
      </patternFill>
    </fill>
    <fill>
      <patternFill patternType="solid">
        <fgColor indexed="46"/>
        <bgColor indexed="64"/>
      </patternFill>
    </fill>
    <fill>
      <patternFill patternType="solid">
        <fgColor indexed="51"/>
        <bgColor indexed="64"/>
      </patternFill>
    </fill>
    <fill>
      <patternFill patternType="solid">
        <fgColor indexed="43"/>
        <bgColor indexed="64"/>
      </patternFill>
    </fill>
    <fill>
      <patternFill patternType="solid">
        <fgColor indexed="30"/>
        <bgColor indexed="64"/>
      </patternFill>
    </fill>
    <fill>
      <patternFill patternType="solid">
        <fgColor indexed="56"/>
        <bgColor indexed="64"/>
      </patternFill>
    </fill>
    <fill>
      <patternFill patternType="solid">
        <fgColor indexed="17"/>
        <bgColor indexed="64"/>
      </patternFill>
    </fill>
    <fill>
      <patternFill patternType="solid">
        <fgColor indexed="5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3" tint="-0.499984740745262"/>
        <bgColor indexed="64"/>
      </patternFill>
    </fill>
    <fill>
      <patternFill patternType="solid">
        <fgColor indexed="61"/>
        <bgColor indexed="64"/>
      </patternFill>
    </fill>
    <fill>
      <patternFill patternType="solid">
        <fgColor indexed="42"/>
        <bgColor indexed="64"/>
      </patternFill>
    </fill>
    <fill>
      <patternFill patternType="solid">
        <fgColor indexed="11"/>
        <bgColor indexed="64"/>
      </patternFill>
    </fill>
    <fill>
      <patternFill patternType="solid">
        <fgColor indexed="44"/>
        <bgColor indexed="64"/>
      </patternFill>
    </fill>
    <fill>
      <patternFill patternType="solid">
        <fgColor indexed="48"/>
        <bgColor indexed="64"/>
      </patternFill>
    </fill>
    <fill>
      <patternFill patternType="solid">
        <fgColor indexed="2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8" tint="0.39997558519241921"/>
        <bgColor indexed="64"/>
      </patternFill>
    </fill>
    <fill>
      <patternFill patternType="solid">
        <fgColor theme="9" tint="0.59996337778862885"/>
        <bgColor indexed="64"/>
      </patternFill>
    </fill>
    <fill>
      <patternFill patternType="solid">
        <fgColor theme="8"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4" tint="0.59996337778862885"/>
        <bgColor indexed="64"/>
      </patternFill>
    </fill>
    <fill>
      <patternFill patternType="solid">
        <fgColor theme="9" tint="0.79995117038483843"/>
        <bgColor indexed="64"/>
      </patternFill>
    </fill>
    <fill>
      <patternFill patternType="solid">
        <fgColor theme="8" tint="0.79995117038483843"/>
        <bgColor indexed="64"/>
      </patternFill>
    </fill>
    <fill>
      <patternFill patternType="solid">
        <fgColor theme="5" tint="0.79995117038483843"/>
        <bgColor indexed="64"/>
      </patternFill>
    </fill>
    <fill>
      <patternFill patternType="solid">
        <fgColor theme="6" tint="0.79995117038483843"/>
        <bgColor indexed="64"/>
      </patternFill>
    </fill>
    <fill>
      <patternFill patternType="solid">
        <fgColor theme="4" tint="0.79995117038483843"/>
        <bgColor indexed="64"/>
      </patternFill>
    </fill>
    <fill>
      <patternFill patternType="solid">
        <fgColor theme="9" tint="-0.49995422223578601"/>
        <bgColor indexed="64"/>
      </patternFill>
    </fill>
    <fill>
      <patternFill patternType="solid">
        <fgColor theme="9"/>
        <bgColor indexed="64"/>
      </patternFill>
    </fill>
    <fill>
      <patternFill patternType="solid">
        <fgColor rgb="FF00B0F0"/>
        <bgColor indexed="64"/>
      </patternFill>
    </fill>
    <fill>
      <patternFill patternType="solid">
        <fgColor theme="7" tint="0.59996337778862885"/>
        <bgColor indexed="64"/>
      </patternFill>
    </fill>
    <fill>
      <patternFill patternType="solid">
        <fgColor indexed="47"/>
        <bgColor indexed="64"/>
      </patternFill>
    </fill>
    <fill>
      <patternFill patternType="solid">
        <fgColor theme="0" tint="-0.14996795556505021"/>
        <bgColor indexed="64"/>
      </patternFill>
    </fill>
    <fill>
      <patternFill patternType="solid">
        <fgColor indexed="65"/>
        <bgColor indexed="64"/>
      </patternFill>
    </fill>
    <fill>
      <patternFill patternType="solid">
        <fgColor rgb="FFF2F2F2"/>
        <bgColor indexed="64"/>
      </patternFill>
    </fill>
    <fill>
      <patternFill patternType="solid">
        <fgColor rgb="FFCCFFFF"/>
        <bgColor indexed="64"/>
      </patternFill>
    </fill>
    <fill>
      <patternFill patternType="solid">
        <fgColor rgb="FFE1E1E1"/>
        <bgColor indexed="64"/>
      </patternFill>
    </fill>
    <fill>
      <patternFill patternType="solid">
        <fgColor rgb="FFFFFFFF"/>
        <bgColor indexed="64"/>
      </patternFill>
    </fill>
    <fill>
      <patternFill patternType="solid">
        <fgColor rgb="FF005EB8"/>
        <bgColor indexed="64"/>
      </patternFill>
    </fill>
    <fill>
      <patternFill patternType="solid">
        <fgColor rgb="FFDDDDDD"/>
        <bgColor indexed="64"/>
      </patternFill>
    </fill>
    <fill>
      <patternFill patternType="solid">
        <fgColor theme="0" tint="-0.499984740745262"/>
        <bgColor indexed="64"/>
      </patternFill>
    </fill>
    <fill>
      <patternFill patternType="solid">
        <fgColor rgb="FFCCECFF"/>
        <bgColor indexed="64"/>
      </patternFill>
    </fill>
    <fill>
      <patternFill patternType="solid">
        <fgColor rgb="FFEDEDED"/>
        <bgColor indexed="64"/>
      </patternFill>
    </fill>
    <fill>
      <patternFill patternType="solid">
        <fgColor rgb="FFE2E2E2"/>
        <bgColor indexed="64"/>
      </patternFill>
    </fill>
    <fill>
      <patternFill patternType="solid">
        <fgColor theme="4" tint="0.79998168889431442"/>
        <bgColor theme="4" tint="0.79998168889431442"/>
      </patternFill>
    </fill>
    <fill>
      <patternFill patternType="solid">
        <fgColor rgb="FFCCFFCC"/>
        <bgColor indexed="64"/>
      </patternFill>
    </fill>
    <fill>
      <patternFill patternType="solid">
        <fgColor rgb="FFFFFF99"/>
        <bgColor indexed="64"/>
      </patternFill>
    </fill>
    <fill>
      <patternFill patternType="solid">
        <fgColor rgb="FFFF0000"/>
        <bgColor indexed="64"/>
      </patternFill>
    </fill>
    <fill>
      <patternFill patternType="solid">
        <fgColor rgb="FFFFFFCC"/>
        <bgColor indexed="64"/>
      </patternFill>
    </fill>
    <fill>
      <patternFill patternType="solid">
        <fgColor rgb="FFFFEB9C"/>
      </patternFill>
    </fill>
    <fill>
      <patternFill patternType="solid">
        <fgColor theme="7" tint="0.79995117038483843"/>
        <bgColor indexed="64"/>
      </patternFill>
    </fill>
    <fill>
      <patternFill patternType="solid">
        <fgColor rgb="FFFDE9D2"/>
      </patternFill>
    </fill>
    <fill>
      <patternFill patternType="solid">
        <fgColor rgb="FFF78D28"/>
      </patternFill>
    </fill>
    <fill>
      <patternFill patternType="solid">
        <fgColor rgb="FFFDE9D3"/>
      </patternFill>
    </fill>
    <fill>
      <patternFill patternType="solid">
        <fgColor theme="5" tint="0.39997558519241921"/>
        <bgColor indexed="64"/>
      </patternFill>
    </fill>
    <fill>
      <patternFill patternType="solid">
        <fgColor theme="8"/>
        <bgColor indexed="64"/>
      </patternFill>
    </fill>
    <fill>
      <patternFill patternType="solid">
        <fgColor theme="3"/>
        <bgColor indexed="64"/>
      </patternFill>
    </fill>
    <fill>
      <patternFill patternType="lightUp">
        <bgColor theme="7" tint="0.79998168889431442"/>
      </patternFill>
    </fill>
    <fill>
      <patternFill patternType="lightUp">
        <bgColor theme="0" tint="-0.249977111117893"/>
      </patternFill>
    </fill>
    <fill>
      <patternFill patternType="solid">
        <fgColor rgb="FF001650"/>
        <bgColor indexed="64"/>
      </patternFill>
    </fill>
  </fills>
  <borders count="893">
    <border>
      <left/>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dotted">
        <color indexed="64"/>
      </left>
      <right/>
      <top style="thin">
        <color indexed="64"/>
      </top>
      <bottom/>
      <diagonal/>
    </border>
    <border>
      <left/>
      <right style="dotted">
        <color indexed="64"/>
      </right>
      <top style="thin">
        <color indexed="64"/>
      </top>
      <bottom/>
      <diagonal/>
    </border>
    <border>
      <left/>
      <right/>
      <top/>
      <bottom style="dotted">
        <color indexed="64"/>
      </bottom>
      <diagonal/>
    </border>
    <border>
      <left style="dotted">
        <color indexed="64"/>
      </left>
      <right/>
      <top/>
      <bottom style="dotted">
        <color indexed="64"/>
      </bottom>
      <diagonal/>
    </border>
    <border>
      <left/>
      <right style="dotted">
        <color indexed="64"/>
      </right>
      <top/>
      <bottom style="dotted">
        <color indexed="64"/>
      </bottom>
      <diagonal/>
    </border>
    <border>
      <left/>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top/>
      <bottom style="thin">
        <color indexed="64"/>
      </bottom>
      <diagonal/>
    </border>
    <border>
      <left/>
      <right style="dotted">
        <color indexed="64"/>
      </right>
      <top/>
      <bottom style="thin">
        <color indexed="64"/>
      </bottom>
      <diagonal/>
    </border>
    <border>
      <left style="thin">
        <color indexed="64"/>
      </left>
      <right/>
      <top style="thin">
        <color indexed="64"/>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808080"/>
      </left>
      <right style="thin">
        <color rgb="FF808080"/>
      </right>
      <top style="thin">
        <color rgb="FF808080"/>
      </top>
      <bottom style="thin">
        <color rgb="FF80808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style="thin">
        <color rgb="FF808080"/>
      </right>
      <top style="thin">
        <color rgb="FF808080"/>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dotted">
        <color indexed="64"/>
      </left>
      <right/>
      <top style="thin">
        <color indexed="64"/>
      </top>
      <bottom style="thin">
        <color indexed="64"/>
      </bottom>
      <diagonal/>
    </border>
    <border>
      <left/>
      <right style="dotted">
        <color indexed="64"/>
      </right>
      <top style="thin">
        <color indexed="64"/>
      </top>
      <bottom style="thin">
        <color indexed="64"/>
      </bottom>
      <diagonal/>
    </border>
    <border>
      <left style="thin">
        <color rgb="FF00338D"/>
      </left>
      <right/>
      <top style="thin">
        <color rgb="FF00338D"/>
      </top>
      <bottom/>
      <diagonal/>
    </border>
    <border>
      <left/>
      <right/>
      <top style="thin">
        <color rgb="FF00338D"/>
      </top>
      <bottom/>
      <diagonal/>
    </border>
    <border>
      <left/>
      <right style="thin">
        <color rgb="FF00338D"/>
      </right>
      <top style="thin">
        <color rgb="FF00338D"/>
      </top>
      <bottom/>
      <diagonal/>
    </border>
    <border>
      <left style="thin">
        <color rgb="FF00338D"/>
      </left>
      <right style="thin">
        <color rgb="FF00338D"/>
      </right>
      <top/>
      <bottom style="thin">
        <color rgb="FF00338D"/>
      </bottom>
      <diagonal/>
    </border>
    <border>
      <left/>
      <right/>
      <top/>
      <bottom style="thin">
        <color rgb="FF00338D"/>
      </bottom>
      <diagonal/>
    </border>
    <border>
      <left/>
      <right style="thin">
        <color rgb="FF00338D"/>
      </right>
      <top/>
      <bottom style="thin">
        <color rgb="FF00338D"/>
      </bottom>
      <diagonal/>
    </border>
    <border>
      <left style="thin">
        <color rgb="FF808080"/>
      </left>
      <right/>
      <top style="thin">
        <color rgb="FF000000"/>
      </top>
      <bottom style="thin">
        <color rgb="FF808080"/>
      </bottom>
      <diagonal/>
    </border>
    <border>
      <left style="thin">
        <color rgb="FF808080"/>
      </left>
      <right/>
      <top style="thin">
        <color rgb="FF808080"/>
      </top>
      <bottom style="thin">
        <color rgb="FF808080"/>
      </bottom>
      <diagonal/>
    </border>
    <border>
      <left style="thin">
        <color rgb="FF808080"/>
      </left>
      <right/>
      <top style="thin">
        <color rgb="FF808080"/>
      </top>
      <bottom style="thin">
        <color rgb="FF000000"/>
      </bottom>
      <diagonal/>
    </border>
    <border>
      <left/>
      <right/>
      <top style="thin">
        <color rgb="FF0D0D0D"/>
      </top>
      <bottom/>
      <diagonal/>
    </border>
    <border>
      <left/>
      <right style="thin">
        <color rgb="FFBFBFBF"/>
      </right>
      <top style="thin">
        <color rgb="FF0D0D0D"/>
      </top>
      <bottom/>
      <diagonal/>
    </border>
    <border>
      <left style="thin">
        <color rgb="FFBFBFBF"/>
      </left>
      <right style="thin">
        <color rgb="FFBFBFBF"/>
      </right>
      <top style="thin">
        <color rgb="FF0D0D0D"/>
      </top>
      <bottom/>
      <diagonal/>
    </border>
    <border>
      <left style="thin">
        <color rgb="FFBFBFBF"/>
      </left>
      <right/>
      <top style="thin">
        <color rgb="FF0D0D0D"/>
      </top>
      <bottom/>
      <diagonal/>
    </border>
    <border>
      <left style="thin">
        <color rgb="FFBFBFBF"/>
      </left>
      <right/>
      <top style="thin">
        <color rgb="FF0D0D0D"/>
      </top>
      <bottom style="thick">
        <color rgb="FF000000"/>
      </bottom>
      <diagonal/>
    </border>
    <border>
      <left/>
      <right/>
      <top style="thin">
        <color rgb="FF0D0D0D"/>
      </top>
      <bottom style="thick">
        <color rgb="FF000000"/>
      </bottom>
      <diagonal/>
    </border>
    <border>
      <left/>
      <right/>
      <top/>
      <bottom style="thin">
        <color rgb="FF0D0D0D"/>
      </bottom>
      <diagonal/>
    </border>
    <border>
      <left/>
      <right style="thin">
        <color rgb="FFBFBFBF"/>
      </right>
      <top/>
      <bottom style="thin">
        <color rgb="FF0D0D0D"/>
      </bottom>
      <diagonal/>
    </border>
    <border>
      <left style="thin">
        <color rgb="FFBFBFBF"/>
      </left>
      <right style="thin">
        <color rgb="FFBFBFBF"/>
      </right>
      <top/>
      <bottom style="thin">
        <color rgb="FF0D0D0D"/>
      </bottom>
      <diagonal/>
    </border>
    <border>
      <left style="thin">
        <color rgb="FFBFBFBF"/>
      </left>
      <right style="thick">
        <color rgb="FF000000"/>
      </right>
      <top style="thin">
        <color rgb="FFBFBFBF"/>
      </top>
      <bottom style="thin">
        <color rgb="FF0D0D0D"/>
      </bottom>
      <diagonal/>
    </border>
    <border>
      <left style="thick">
        <color rgb="FF000000"/>
      </left>
      <right style="thin">
        <color rgb="FFBFBFBF"/>
      </right>
      <top style="thick">
        <color rgb="FF000000"/>
      </top>
      <bottom style="thin">
        <color rgb="FF0D0D0D"/>
      </bottom>
      <diagonal/>
    </border>
    <border>
      <left style="thin">
        <color rgb="FFBFBFBF"/>
      </left>
      <right style="thin">
        <color rgb="FFBFBFBF"/>
      </right>
      <top style="thick">
        <color rgb="FF000000"/>
      </top>
      <bottom style="thin">
        <color rgb="FF0D0D0D"/>
      </bottom>
      <diagonal/>
    </border>
    <border>
      <left style="thin">
        <color rgb="FFBFBFBF"/>
      </left>
      <right style="thick">
        <color rgb="FF000000"/>
      </right>
      <top style="thick">
        <color rgb="FF000000"/>
      </top>
      <bottom style="thin">
        <color rgb="FF0D0D0D"/>
      </bottom>
      <diagonal/>
    </border>
    <border>
      <left style="thick">
        <color rgb="FF000000"/>
      </left>
      <right/>
      <top style="dotted">
        <color rgb="FF002060"/>
      </top>
      <bottom style="thin">
        <color rgb="FF0D0D0D"/>
      </bottom>
      <diagonal/>
    </border>
    <border>
      <left/>
      <right style="thin">
        <color rgb="FF0D0D0D"/>
      </right>
      <top style="thin">
        <color rgb="FF0D0D0D"/>
      </top>
      <bottom/>
      <diagonal/>
    </border>
    <border>
      <left style="thin">
        <color rgb="FF0D0D0D"/>
      </left>
      <right style="thin">
        <color rgb="FF0D0D0D"/>
      </right>
      <top style="thin">
        <color rgb="FF0D0D0D"/>
      </top>
      <bottom style="dotted">
        <color rgb="FF000000"/>
      </bottom>
      <diagonal/>
    </border>
    <border>
      <left style="thin">
        <color rgb="FF0D0D0D"/>
      </left>
      <right style="thick">
        <color rgb="FF000000"/>
      </right>
      <top style="thin">
        <color rgb="FF0D0D0D"/>
      </top>
      <bottom style="dotted">
        <color rgb="FF000000"/>
      </bottom>
      <diagonal/>
    </border>
    <border>
      <left style="thick">
        <color rgb="FF000000"/>
      </left>
      <right style="thin">
        <color rgb="FF0D0D0D"/>
      </right>
      <top style="thin">
        <color rgb="FF0D0D0D"/>
      </top>
      <bottom style="dotted">
        <color rgb="FF000000"/>
      </bottom>
      <diagonal/>
    </border>
    <border>
      <left style="thin">
        <color rgb="FF0D0D0D"/>
      </left>
      <right style="dotted">
        <color rgb="FF002060"/>
      </right>
      <top style="thin">
        <color rgb="FF0D0D0D"/>
      </top>
      <bottom style="dotted">
        <color rgb="FF000000"/>
      </bottom>
      <diagonal/>
    </border>
    <border>
      <left style="dotted">
        <color rgb="FF002060"/>
      </left>
      <right style="dotted">
        <color rgb="FF002060"/>
      </right>
      <top style="thin">
        <color rgb="FF0D0D0D"/>
      </top>
      <bottom style="dotted">
        <color rgb="FF000000"/>
      </bottom>
      <diagonal/>
    </border>
    <border>
      <left style="dotted">
        <color rgb="FF002060"/>
      </left>
      <right style="thick">
        <color rgb="FF000000"/>
      </right>
      <top style="thin">
        <color rgb="FF0D0D0D"/>
      </top>
      <bottom style="dotted">
        <color rgb="FF000000"/>
      </bottom>
      <diagonal/>
    </border>
    <border>
      <left style="thick">
        <color rgb="FF000000"/>
      </left>
      <right/>
      <top style="thin">
        <color rgb="FF0D0D0D"/>
      </top>
      <bottom style="dotted">
        <color rgb="FF000000"/>
      </bottom>
      <diagonal/>
    </border>
    <border>
      <left/>
      <right style="dotted">
        <color rgb="FF000000"/>
      </right>
      <top style="dotted">
        <color rgb="FFFFFFFF"/>
      </top>
      <bottom/>
      <diagonal/>
    </border>
    <border>
      <left style="dotted">
        <color rgb="FF000000"/>
      </left>
      <right/>
      <top style="dotted">
        <color rgb="FF000000"/>
      </top>
      <bottom/>
      <diagonal/>
    </border>
    <border>
      <left/>
      <right/>
      <top style="dotted">
        <color rgb="FF000000"/>
      </top>
      <bottom/>
      <diagonal/>
    </border>
    <border>
      <left/>
      <right style="thin">
        <color rgb="FF0D0D0D"/>
      </right>
      <top style="dotted">
        <color rgb="FF000000"/>
      </top>
      <bottom/>
      <diagonal/>
    </border>
    <border>
      <left style="thin">
        <color rgb="FF0D0D0D"/>
      </left>
      <right style="thin">
        <color rgb="FF0D0D0D"/>
      </right>
      <top style="dotted">
        <color rgb="FF000000"/>
      </top>
      <bottom style="dotted">
        <color rgb="FF000000"/>
      </bottom>
      <diagonal/>
    </border>
    <border>
      <left style="thin">
        <color rgb="FF0D0D0D"/>
      </left>
      <right style="thick">
        <color rgb="FF000000"/>
      </right>
      <top style="dotted">
        <color rgb="FF000000"/>
      </top>
      <bottom style="dotted">
        <color rgb="FF000000"/>
      </bottom>
      <diagonal/>
    </border>
    <border>
      <left style="thick">
        <color rgb="FF000000"/>
      </left>
      <right style="thin">
        <color rgb="FF0D0D0D"/>
      </right>
      <top style="dotted">
        <color rgb="FF000000"/>
      </top>
      <bottom style="dotted">
        <color rgb="FF000000"/>
      </bottom>
      <diagonal/>
    </border>
    <border>
      <left style="thin">
        <color rgb="FF0D0D0D"/>
      </left>
      <right style="dotted">
        <color rgb="FF002060"/>
      </right>
      <top style="dotted">
        <color rgb="FF000000"/>
      </top>
      <bottom style="dotted">
        <color rgb="FF000000"/>
      </bottom>
      <diagonal/>
    </border>
    <border>
      <left style="dotted">
        <color rgb="FF002060"/>
      </left>
      <right style="dotted">
        <color rgb="FF002060"/>
      </right>
      <top style="dotted">
        <color rgb="FF000000"/>
      </top>
      <bottom style="dotted">
        <color rgb="FF000000"/>
      </bottom>
      <diagonal/>
    </border>
    <border>
      <left style="dotted">
        <color rgb="FF002060"/>
      </left>
      <right style="thick">
        <color rgb="FF000000"/>
      </right>
      <top style="dotted">
        <color rgb="FF000000"/>
      </top>
      <bottom style="dotted">
        <color rgb="FF000000"/>
      </bottom>
      <diagonal/>
    </border>
    <border>
      <left style="thick">
        <color rgb="FF000000"/>
      </left>
      <right/>
      <top style="dotted">
        <color rgb="FF000000"/>
      </top>
      <bottom style="dotted">
        <color rgb="FF000000"/>
      </bottom>
      <diagonal/>
    </border>
    <border>
      <left/>
      <right style="dotted">
        <color rgb="FF000000"/>
      </right>
      <top/>
      <bottom style="thin">
        <color rgb="FFFFFFFF"/>
      </bottom>
      <diagonal/>
    </border>
    <border>
      <left style="dotted">
        <color rgb="FF000000"/>
      </left>
      <right style="dotted">
        <color rgb="FF000000"/>
      </right>
      <top style="dotted">
        <color rgb="FFFFFFFF"/>
      </top>
      <bottom style="thin">
        <color rgb="FFFFFFFF"/>
      </bottom>
      <diagonal/>
    </border>
    <border>
      <left style="dotted">
        <color rgb="FF000000"/>
      </left>
      <right/>
      <top style="dotted">
        <color rgb="FF000000"/>
      </top>
      <bottom style="thin">
        <color rgb="FFFFFFFF"/>
      </bottom>
      <diagonal/>
    </border>
    <border>
      <left/>
      <right style="thin">
        <color rgb="FF0D0D0D"/>
      </right>
      <top style="dotted">
        <color rgb="FF000000"/>
      </top>
      <bottom style="thin">
        <color rgb="FFFFFFFF"/>
      </bottom>
      <diagonal/>
    </border>
    <border>
      <left style="thin">
        <color rgb="FF0D0D0D"/>
      </left>
      <right style="thin">
        <color rgb="FF0D0D0D"/>
      </right>
      <top style="dotted">
        <color rgb="FF000000"/>
      </top>
      <bottom style="thin">
        <color rgb="FFFFFFFF"/>
      </bottom>
      <diagonal/>
    </border>
    <border>
      <left style="thin">
        <color rgb="FF0D0D0D"/>
      </left>
      <right style="thick">
        <color rgb="FF000000"/>
      </right>
      <top style="dotted">
        <color rgb="FF000000"/>
      </top>
      <bottom style="thin">
        <color rgb="FFFFFFFF"/>
      </bottom>
      <diagonal/>
    </border>
    <border>
      <left style="thick">
        <color rgb="FF000000"/>
      </left>
      <right style="thin">
        <color rgb="FF0D0D0D"/>
      </right>
      <top style="dotted">
        <color rgb="FF000000"/>
      </top>
      <bottom style="thin">
        <color rgb="FFFFFFFF"/>
      </bottom>
      <diagonal/>
    </border>
    <border>
      <left style="thin">
        <color rgb="FF0D0D0D"/>
      </left>
      <right style="dotted">
        <color rgb="FF002060"/>
      </right>
      <top style="dotted">
        <color rgb="FF000000"/>
      </top>
      <bottom style="thin">
        <color rgb="FFFFFFFF"/>
      </bottom>
      <diagonal/>
    </border>
    <border>
      <left style="dotted">
        <color rgb="FF002060"/>
      </left>
      <right style="dotted">
        <color rgb="FF002060"/>
      </right>
      <top style="dotted">
        <color rgb="FF000000"/>
      </top>
      <bottom style="thin">
        <color rgb="FFFFFFFF"/>
      </bottom>
      <diagonal/>
    </border>
    <border>
      <left style="dotted">
        <color rgb="FF002060"/>
      </left>
      <right style="thick">
        <color rgb="FF000000"/>
      </right>
      <top style="dotted">
        <color rgb="FF000000"/>
      </top>
      <bottom style="thin">
        <color rgb="FFFFFFFF"/>
      </bottom>
      <diagonal/>
    </border>
    <border>
      <left style="thick">
        <color rgb="FF000000"/>
      </left>
      <right/>
      <top style="dotted">
        <color rgb="FF000000"/>
      </top>
      <bottom style="thin">
        <color rgb="FFFFFFFF"/>
      </bottom>
      <diagonal/>
    </border>
    <border>
      <left/>
      <right style="dotted">
        <color rgb="FF000000"/>
      </right>
      <top style="thin">
        <color rgb="FFFFFFFF"/>
      </top>
      <bottom style="thin">
        <color rgb="FFFFFFFF"/>
      </bottom>
      <diagonal/>
    </border>
    <border>
      <left style="dotted">
        <color rgb="FF000000"/>
      </left>
      <right style="dotted">
        <color rgb="FF000000"/>
      </right>
      <top style="thin">
        <color rgb="FFFFFFFF"/>
      </top>
      <bottom style="thin">
        <color rgb="FFFFFFFF"/>
      </bottom>
      <diagonal/>
    </border>
    <border>
      <left style="dotted">
        <color rgb="FF000000"/>
      </left>
      <right/>
      <top style="thin">
        <color rgb="FFFFFFFF"/>
      </top>
      <bottom style="thin">
        <color rgb="FFFFFFFF"/>
      </bottom>
      <diagonal/>
    </border>
    <border>
      <left/>
      <right style="thin">
        <color rgb="FF0D0D0D"/>
      </right>
      <top style="thin">
        <color rgb="FFFFFFFF"/>
      </top>
      <bottom style="thin">
        <color rgb="FFFFFFFF"/>
      </bottom>
      <diagonal/>
    </border>
    <border>
      <left style="thin">
        <color rgb="FF0D0D0D"/>
      </left>
      <right style="thin">
        <color rgb="FF0D0D0D"/>
      </right>
      <top style="thin">
        <color rgb="FFFFFFFF"/>
      </top>
      <bottom style="thin">
        <color rgb="FFFFFFFF"/>
      </bottom>
      <diagonal/>
    </border>
    <border>
      <left style="thin">
        <color rgb="FF0D0D0D"/>
      </left>
      <right style="thick">
        <color rgb="FF000000"/>
      </right>
      <top style="thin">
        <color rgb="FFFFFFFF"/>
      </top>
      <bottom style="thin">
        <color rgb="FFFFFFFF"/>
      </bottom>
      <diagonal/>
    </border>
    <border>
      <left style="thick">
        <color rgb="FF000000"/>
      </left>
      <right style="thin">
        <color rgb="FF0D0D0D"/>
      </right>
      <top style="thin">
        <color rgb="FFFFFFFF"/>
      </top>
      <bottom style="thin">
        <color rgb="FFFFFFFF"/>
      </bottom>
      <diagonal/>
    </border>
    <border>
      <left style="thin">
        <color rgb="FF0D0D0D"/>
      </left>
      <right style="dotted">
        <color rgb="FF002060"/>
      </right>
      <top style="thin">
        <color rgb="FFFFFFFF"/>
      </top>
      <bottom style="thin">
        <color rgb="FFFFFFFF"/>
      </bottom>
      <diagonal/>
    </border>
    <border>
      <left style="dotted">
        <color rgb="FF002060"/>
      </left>
      <right style="dotted">
        <color rgb="FF002060"/>
      </right>
      <top style="thin">
        <color rgb="FFFFFFFF"/>
      </top>
      <bottom style="thin">
        <color rgb="FFFFFFFF"/>
      </bottom>
      <diagonal/>
    </border>
    <border>
      <left style="dotted">
        <color rgb="FF002060"/>
      </left>
      <right style="thick">
        <color rgb="FF000000"/>
      </right>
      <top style="thin">
        <color rgb="FFFFFFFF"/>
      </top>
      <bottom style="thin">
        <color rgb="FFFFFFFF"/>
      </bottom>
      <diagonal/>
    </border>
    <border>
      <left style="thick">
        <color rgb="FF000000"/>
      </left>
      <right/>
      <top style="thin">
        <color rgb="FFFFFFFF"/>
      </top>
      <bottom style="thin">
        <color rgb="FFFFFFFF"/>
      </bottom>
      <diagonal/>
    </border>
    <border>
      <left/>
      <right style="dotted">
        <color rgb="FF000000"/>
      </right>
      <top style="thin">
        <color rgb="FFFFFFFF"/>
      </top>
      <bottom/>
      <diagonal/>
    </border>
    <border>
      <left style="dotted">
        <color rgb="FF000000"/>
      </left>
      <right style="dotted">
        <color rgb="FF000000"/>
      </right>
      <top style="thin">
        <color rgb="FFFFFFFF"/>
      </top>
      <bottom style="thin">
        <color rgb="FFBFBFBF"/>
      </bottom>
      <diagonal/>
    </border>
    <border>
      <left style="dotted">
        <color rgb="FF000000"/>
      </left>
      <right/>
      <top style="thin">
        <color rgb="FFFFFFFF"/>
      </top>
      <bottom style="thin">
        <color rgb="FFBFBFBF"/>
      </bottom>
      <diagonal/>
    </border>
    <border>
      <left/>
      <right style="thin">
        <color rgb="FF0D0D0D"/>
      </right>
      <top style="thin">
        <color rgb="FFFFFFFF"/>
      </top>
      <bottom style="thin">
        <color rgb="FFBFBFBF"/>
      </bottom>
      <diagonal/>
    </border>
    <border>
      <left style="thin">
        <color rgb="FF0D0D0D"/>
      </left>
      <right style="thin">
        <color rgb="FF0D0D0D"/>
      </right>
      <top style="thin">
        <color rgb="FFFFFFFF"/>
      </top>
      <bottom style="thin">
        <color rgb="FFBFBFBF"/>
      </bottom>
      <diagonal/>
    </border>
    <border>
      <left style="thin">
        <color rgb="FF0D0D0D"/>
      </left>
      <right style="thick">
        <color rgb="FF000000"/>
      </right>
      <top style="thin">
        <color rgb="FFFFFFFF"/>
      </top>
      <bottom style="thin">
        <color rgb="FFBFBFBF"/>
      </bottom>
      <diagonal/>
    </border>
    <border>
      <left style="thick">
        <color rgb="FF000000"/>
      </left>
      <right style="thin">
        <color rgb="FF0D0D0D"/>
      </right>
      <top style="thin">
        <color rgb="FFFFFFFF"/>
      </top>
      <bottom style="thin">
        <color rgb="FFBFBFBF"/>
      </bottom>
      <diagonal/>
    </border>
    <border>
      <left style="thin">
        <color rgb="FF0D0D0D"/>
      </left>
      <right style="dotted">
        <color rgb="FF002060"/>
      </right>
      <top style="thin">
        <color rgb="FFFFFFFF"/>
      </top>
      <bottom style="thin">
        <color rgb="FFBFBFBF"/>
      </bottom>
      <diagonal/>
    </border>
    <border>
      <left style="dotted">
        <color rgb="FF002060"/>
      </left>
      <right style="dotted">
        <color rgb="FF002060"/>
      </right>
      <top style="thin">
        <color rgb="FFFFFFFF"/>
      </top>
      <bottom style="thin">
        <color rgb="FFBFBFBF"/>
      </bottom>
      <diagonal/>
    </border>
    <border>
      <left style="dotted">
        <color rgb="FF002060"/>
      </left>
      <right style="thick">
        <color rgb="FF000000"/>
      </right>
      <top style="thin">
        <color rgb="FFFFFFFF"/>
      </top>
      <bottom style="thin">
        <color rgb="FFBFBFBF"/>
      </bottom>
      <diagonal/>
    </border>
    <border>
      <left style="thick">
        <color rgb="FF000000"/>
      </left>
      <right/>
      <top style="thin">
        <color rgb="FFFFFFFF"/>
      </top>
      <bottom style="thin">
        <color rgb="FFBFBFBF"/>
      </bottom>
      <diagonal/>
    </border>
    <border>
      <left/>
      <right style="dotted">
        <color rgb="FF000000"/>
      </right>
      <top/>
      <bottom/>
      <diagonal/>
    </border>
    <border>
      <left style="dotted">
        <color rgb="FF000000"/>
      </left>
      <right/>
      <top style="thin">
        <color rgb="FFBFBFBF"/>
      </top>
      <bottom style="dotted">
        <color rgb="FF000000"/>
      </bottom>
      <diagonal/>
    </border>
    <border>
      <left/>
      <right/>
      <top style="thin">
        <color rgb="FFBFBFBF"/>
      </top>
      <bottom style="dotted">
        <color rgb="FF000000"/>
      </bottom>
      <diagonal/>
    </border>
    <border>
      <left/>
      <right style="thin">
        <color rgb="FF0D0D0D"/>
      </right>
      <top style="thin">
        <color rgb="FFBFBFBF"/>
      </top>
      <bottom style="dotted">
        <color rgb="FF000000"/>
      </bottom>
      <diagonal/>
    </border>
    <border>
      <left style="thin">
        <color rgb="FF0D0D0D"/>
      </left>
      <right style="thin">
        <color rgb="FF0D0D0D"/>
      </right>
      <top style="thin">
        <color rgb="FFBFBFBF"/>
      </top>
      <bottom style="dotted">
        <color rgb="FF000000"/>
      </bottom>
      <diagonal/>
    </border>
    <border>
      <left style="thin">
        <color rgb="FF0D0D0D"/>
      </left>
      <right style="thick">
        <color rgb="FF000000"/>
      </right>
      <top style="thin">
        <color rgb="FFBFBFBF"/>
      </top>
      <bottom style="dotted">
        <color rgb="FF000000"/>
      </bottom>
      <diagonal/>
    </border>
    <border>
      <left style="thick">
        <color rgb="FF000000"/>
      </left>
      <right style="thin">
        <color rgb="FF0D0D0D"/>
      </right>
      <top style="thin">
        <color rgb="FFBFBFBF"/>
      </top>
      <bottom style="dotted">
        <color rgb="FF000000"/>
      </bottom>
      <diagonal/>
    </border>
    <border>
      <left style="thin">
        <color rgb="FF0D0D0D"/>
      </left>
      <right style="dotted">
        <color rgb="FF002060"/>
      </right>
      <top style="thin">
        <color rgb="FFBFBFBF"/>
      </top>
      <bottom style="dotted">
        <color rgb="FF000000"/>
      </bottom>
      <diagonal/>
    </border>
    <border>
      <left style="dotted">
        <color rgb="FF002060"/>
      </left>
      <right style="dotted">
        <color rgb="FF002060"/>
      </right>
      <top style="thin">
        <color rgb="FFBFBFBF"/>
      </top>
      <bottom style="dotted">
        <color rgb="FF000000"/>
      </bottom>
      <diagonal/>
    </border>
    <border>
      <left style="dotted">
        <color rgb="FF002060"/>
      </left>
      <right style="thick">
        <color rgb="FF000000"/>
      </right>
      <top style="thin">
        <color rgb="FFBFBFBF"/>
      </top>
      <bottom style="dotted">
        <color rgb="FF000000"/>
      </bottom>
      <diagonal/>
    </border>
    <border>
      <left style="thick">
        <color rgb="FF000000"/>
      </left>
      <right/>
      <top style="thin">
        <color rgb="FFBFBFBF"/>
      </top>
      <bottom style="dotted">
        <color rgb="FF000000"/>
      </bottom>
      <diagonal/>
    </border>
    <border>
      <left style="dotted">
        <color rgb="FF000000"/>
      </left>
      <right/>
      <top style="dotted">
        <color rgb="FF000000"/>
      </top>
      <bottom style="dotted">
        <color rgb="FFFFFFFF"/>
      </bottom>
      <diagonal/>
    </border>
    <border>
      <left/>
      <right/>
      <top style="dotted">
        <color rgb="FF000000"/>
      </top>
      <bottom style="dotted">
        <color rgb="FFFFFFFF"/>
      </bottom>
      <diagonal/>
    </border>
    <border>
      <left/>
      <right style="thin">
        <color rgb="FF0D0D0D"/>
      </right>
      <top style="dotted">
        <color rgb="FF000000"/>
      </top>
      <bottom style="dotted">
        <color rgb="FFFFFFFF"/>
      </bottom>
      <diagonal/>
    </border>
    <border>
      <left style="dotted">
        <color rgb="FF000000"/>
      </left>
      <right/>
      <top style="dotted">
        <color rgb="FFFFFFFF"/>
      </top>
      <bottom/>
      <diagonal/>
    </border>
    <border>
      <left/>
      <right style="thin">
        <color rgb="FF0D0D0D"/>
      </right>
      <top style="dotted">
        <color rgb="FFFFFFFF"/>
      </top>
      <bottom/>
      <diagonal/>
    </border>
    <border>
      <left style="thin">
        <color rgb="FF0D0D0D"/>
      </left>
      <right style="thin">
        <color rgb="FF0D0D0D"/>
      </right>
      <top style="dotted">
        <color rgb="FF000000"/>
      </top>
      <bottom/>
      <diagonal/>
    </border>
    <border>
      <left style="thin">
        <color rgb="FF0D0D0D"/>
      </left>
      <right style="thick">
        <color rgb="FF000000"/>
      </right>
      <top style="dotted">
        <color rgb="FF000000"/>
      </top>
      <bottom/>
      <diagonal/>
    </border>
    <border>
      <left style="thick">
        <color rgb="FF000000"/>
      </left>
      <right style="thin">
        <color rgb="FF0D0D0D"/>
      </right>
      <top style="dotted">
        <color rgb="FF000000"/>
      </top>
      <bottom/>
      <diagonal/>
    </border>
    <border>
      <left style="thin">
        <color rgb="FF0D0D0D"/>
      </left>
      <right style="dotted">
        <color rgb="FF002060"/>
      </right>
      <top style="dotted">
        <color rgb="FF000000"/>
      </top>
      <bottom/>
      <diagonal/>
    </border>
    <border>
      <left style="dotted">
        <color rgb="FF002060"/>
      </left>
      <right style="dotted">
        <color rgb="FF002060"/>
      </right>
      <top style="dotted">
        <color rgb="FF000000"/>
      </top>
      <bottom/>
      <diagonal/>
    </border>
    <border>
      <left style="dotted">
        <color rgb="FF002060"/>
      </left>
      <right style="thick">
        <color rgb="FF000000"/>
      </right>
      <top style="dotted">
        <color rgb="FF000000"/>
      </top>
      <bottom/>
      <diagonal/>
    </border>
    <border>
      <left style="thick">
        <color rgb="FF000000"/>
      </left>
      <right/>
      <top style="dotted">
        <color rgb="FF000000"/>
      </top>
      <bottom/>
      <diagonal/>
    </border>
    <border>
      <left style="dotted">
        <color rgb="FF000000"/>
      </left>
      <right style="dotted">
        <color rgb="FF000000"/>
      </right>
      <top style="thin">
        <color rgb="FFFFFFFF"/>
      </top>
      <bottom/>
      <diagonal/>
    </border>
    <border>
      <left style="dotted">
        <color rgb="FF000000"/>
      </left>
      <right/>
      <top/>
      <bottom style="dotted">
        <color rgb="FF000000"/>
      </bottom>
      <diagonal/>
    </border>
    <border>
      <left/>
      <right style="thin">
        <color rgb="FF0D0D0D"/>
      </right>
      <top/>
      <bottom style="dotted">
        <color rgb="FF000000"/>
      </bottom>
      <diagonal/>
    </border>
    <border>
      <left style="thin">
        <color rgb="FF0D0D0D"/>
      </left>
      <right style="thin">
        <color rgb="FF0D0D0D"/>
      </right>
      <top/>
      <bottom style="dotted">
        <color rgb="FF000000"/>
      </bottom>
      <diagonal/>
    </border>
    <border>
      <left style="thin">
        <color rgb="FF0D0D0D"/>
      </left>
      <right style="thick">
        <color rgb="FF000000"/>
      </right>
      <top/>
      <bottom style="dotted">
        <color rgb="FF000000"/>
      </bottom>
      <diagonal/>
    </border>
    <border>
      <left style="thick">
        <color rgb="FF000000"/>
      </left>
      <right style="thin">
        <color rgb="FF0D0D0D"/>
      </right>
      <top/>
      <bottom style="dotted">
        <color rgb="FF000000"/>
      </bottom>
      <diagonal/>
    </border>
    <border>
      <left style="thin">
        <color rgb="FF0D0D0D"/>
      </left>
      <right style="dotted">
        <color rgb="FF002060"/>
      </right>
      <top/>
      <bottom style="dotted">
        <color rgb="FF000000"/>
      </bottom>
      <diagonal/>
    </border>
    <border>
      <left style="dotted">
        <color rgb="FF002060"/>
      </left>
      <right style="dotted">
        <color rgb="FF002060"/>
      </right>
      <top/>
      <bottom style="dotted">
        <color rgb="FF000000"/>
      </bottom>
      <diagonal/>
    </border>
    <border>
      <left style="dotted">
        <color rgb="FF002060"/>
      </left>
      <right style="thick">
        <color rgb="FF000000"/>
      </right>
      <top/>
      <bottom style="dotted">
        <color rgb="FF000000"/>
      </bottom>
      <diagonal/>
    </border>
    <border>
      <left style="thick">
        <color rgb="FF000000"/>
      </left>
      <right/>
      <top/>
      <bottom style="dotted">
        <color rgb="FF000000"/>
      </bottom>
      <diagonal/>
    </border>
    <border>
      <left style="dotted">
        <color rgb="FF000000"/>
      </left>
      <right style="dotted">
        <color rgb="FF000000"/>
      </right>
      <top/>
      <bottom/>
      <diagonal/>
    </border>
    <border>
      <left style="dotted">
        <color rgb="FF000000"/>
      </left>
      <right style="dotted">
        <color rgb="FF000000"/>
      </right>
      <top style="dotted">
        <color rgb="FF000000"/>
      </top>
      <bottom/>
      <diagonal/>
    </border>
    <border>
      <left style="dotted">
        <color rgb="FF000000"/>
      </left>
      <right style="thin">
        <color rgb="FF0D0D0D"/>
      </right>
      <top style="dotted">
        <color rgb="FF000000"/>
      </top>
      <bottom/>
      <diagonal/>
    </border>
    <border>
      <left/>
      <right style="dotted">
        <color rgb="FF000000"/>
      </right>
      <top/>
      <bottom style="thin">
        <color rgb="FF0D0D0D"/>
      </bottom>
      <diagonal/>
    </border>
    <border>
      <left style="dotted">
        <color rgb="FF000000"/>
      </left>
      <right style="dotted">
        <color rgb="FF000000"/>
      </right>
      <top/>
      <bottom style="thin">
        <color rgb="FF0D0D0D"/>
      </bottom>
      <diagonal/>
    </border>
    <border>
      <left style="dotted">
        <color rgb="FF000000"/>
      </left>
      <right style="thin">
        <color rgb="FF0D0D0D"/>
      </right>
      <top/>
      <bottom style="thin">
        <color rgb="FF0D0D0D"/>
      </bottom>
      <diagonal/>
    </border>
    <border>
      <left style="thin">
        <color rgb="FF0D0D0D"/>
      </left>
      <right style="thin">
        <color rgb="FF0D0D0D"/>
      </right>
      <top/>
      <bottom style="thin">
        <color rgb="FF0D0D0D"/>
      </bottom>
      <diagonal/>
    </border>
    <border>
      <left style="thin">
        <color rgb="FF0D0D0D"/>
      </left>
      <right style="thick">
        <color rgb="FF000000"/>
      </right>
      <top/>
      <bottom style="thin">
        <color rgb="FF0D0D0D"/>
      </bottom>
      <diagonal/>
    </border>
    <border>
      <left style="thick">
        <color rgb="FF000000"/>
      </left>
      <right style="thin">
        <color rgb="FF0D0D0D"/>
      </right>
      <top/>
      <bottom style="thin">
        <color rgb="FF0D0D0D"/>
      </bottom>
      <diagonal/>
    </border>
    <border>
      <left style="thin">
        <color rgb="FF0D0D0D"/>
      </left>
      <right style="dotted">
        <color rgb="FF002060"/>
      </right>
      <top/>
      <bottom style="thin">
        <color rgb="FF0D0D0D"/>
      </bottom>
      <diagonal/>
    </border>
    <border>
      <left style="dotted">
        <color rgb="FF002060"/>
      </left>
      <right style="dotted">
        <color rgb="FF002060"/>
      </right>
      <top/>
      <bottom style="thin">
        <color rgb="FF0D0D0D"/>
      </bottom>
      <diagonal/>
    </border>
    <border>
      <left style="dotted">
        <color rgb="FF002060"/>
      </left>
      <right style="thick">
        <color rgb="FF000000"/>
      </right>
      <top/>
      <bottom style="thin">
        <color rgb="FF0D0D0D"/>
      </bottom>
      <diagonal/>
    </border>
    <border>
      <left style="thick">
        <color rgb="FF000000"/>
      </left>
      <right/>
      <top/>
      <bottom style="thin">
        <color rgb="FF0D0D0D"/>
      </bottom>
      <diagonal/>
    </border>
    <border>
      <left/>
      <right style="dotted">
        <color rgb="FF000000"/>
      </right>
      <top style="dotted">
        <color rgb="FFFFFFFF"/>
      </top>
      <bottom style="thin">
        <color rgb="FFFFFFFF"/>
      </bottom>
      <diagonal/>
    </border>
    <border>
      <left style="dotted">
        <color rgb="FF000000"/>
      </left>
      <right/>
      <top/>
      <bottom/>
      <diagonal/>
    </border>
    <border>
      <left/>
      <right style="thin">
        <color rgb="FF0D0D0D"/>
      </right>
      <top/>
      <bottom/>
      <diagonal/>
    </border>
    <border>
      <left style="thin">
        <color rgb="FF0D0D0D"/>
      </left>
      <right style="thin">
        <color rgb="FF0D0D0D"/>
      </right>
      <top/>
      <bottom/>
      <diagonal/>
    </border>
    <border>
      <left style="thin">
        <color rgb="FF0D0D0D"/>
      </left>
      <right style="thick">
        <color rgb="FF000000"/>
      </right>
      <top/>
      <bottom/>
      <diagonal/>
    </border>
    <border>
      <left style="thick">
        <color rgb="FF000000"/>
      </left>
      <right style="thin">
        <color rgb="FF0D0D0D"/>
      </right>
      <top/>
      <bottom/>
      <diagonal/>
    </border>
    <border>
      <left style="thin">
        <color rgb="FF0D0D0D"/>
      </left>
      <right style="dotted">
        <color rgb="FF002060"/>
      </right>
      <top/>
      <bottom/>
      <diagonal/>
    </border>
    <border>
      <left style="dotted">
        <color rgb="FF002060"/>
      </left>
      <right style="dotted">
        <color rgb="FF002060"/>
      </right>
      <top/>
      <bottom/>
      <diagonal/>
    </border>
    <border>
      <left style="dotted">
        <color rgb="FF002060"/>
      </left>
      <right style="thick">
        <color rgb="FF000000"/>
      </right>
      <top/>
      <bottom/>
      <diagonal/>
    </border>
    <border>
      <left style="thick">
        <color rgb="FF000000"/>
      </left>
      <right/>
      <top/>
      <bottom/>
      <diagonal/>
    </border>
    <border>
      <left/>
      <right style="dotted">
        <color rgb="FF000000"/>
      </right>
      <top style="thin">
        <color rgb="FFFFFFFF"/>
      </top>
      <bottom style="thin">
        <color rgb="FF0D0D0D"/>
      </bottom>
      <diagonal/>
    </border>
    <border>
      <left style="dotted">
        <color rgb="FF000000"/>
      </left>
      <right/>
      <top/>
      <bottom style="thin">
        <color rgb="FF0D0D0D"/>
      </bottom>
      <diagonal/>
    </border>
    <border>
      <left/>
      <right style="thin">
        <color rgb="FF0D0D0D"/>
      </right>
      <top/>
      <bottom style="thin">
        <color rgb="FF0D0D0D"/>
      </bottom>
      <diagonal/>
    </border>
    <border>
      <left/>
      <right/>
      <top style="thin">
        <color rgb="FF0D0D0D"/>
      </top>
      <bottom style="thin">
        <color rgb="FF0D0D0D"/>
      </bottom>
      <diagonal/>
    </border>
    <border>
      <left/>
      <right style="thin">
        <color rgb="FF0D0D0D"/>
      </right>
      <top style="thin">
        <color rgb="FF0D0D0D"/>
      </top>
      <bottom style="thin">
        <color rgb="FF0D0D0D"/>
      </bottom>
      <diagonal/>
    </border>
    <border>
      <left style="thin">
        <color rgb="FF0D0D0D"/>
      </left>
      <right style="thin">
        <color rgb="FF0D0D0D"/>
      </right>
      <top style="thin">
        <color rgb="FF0D0D0D"/>
      </top>
      <bottom style="thin">
        <color rgb="FF0D0D0D"/>
      </bottom>
      <diagonal/>
    </border>
    <border>
      <left style="thin">
        <color rgb="FF0D0D0D"/>
      </left>
      <right style="thick">
        <color rgb="FF000000"/>
      </right>
      <top style="thin">
        <color rgb="FF0D0D0D"/>
      </top>
      <bottom style="thin">
        <color rgb="FF0D0D0D"/>
      </bottom>
      <diagonal/>
    </border>
    <border>
      <left style="thick">
        <color rgb="FF000000"/>
      </left>
      <right style="thin">
        <color rgb="FF0D0D0D"/>
      </right>
      <top style="thin">
        <color rgb="FF0D0D0D"/>
      </top>
      <bottom style="thick">
        <color rgb="FF000000"/>
      </bottom>
      <diagonal/>
    </border>
    <border>
      <left style="thin">
        <color rgb="FF0D0D0D"/>
      </left>
      <right style="dotted">
        <color rgb="FF002060"/>
      </right>
      <top style="thin">
        <color rgb="FF0D0D0D"/>
      </top>
      <bottom style="thick">
        <color rgb="FF000000"/>
      </bottom>
      <diagonal/>
    </border>
    <border>
      <left style="dotted">
        <color rgb="FF002060"/>
      </left>
      <right style="dotted">
        <color rgb="FF002060"/>
      </right>
      <top style="thin">
        <color rgb="FF0D0D0D"/>
      </top>
      <bottom style="thick">
        <color rgb="FF000000"/>
      </bottom>
      <diagonal/>
    </border>
    <border>
      <left style="dotted">
        <color rgb="FF002060"/>
      </left>
      <right style="thick">
        <color rgb="FF000000"/>
      </right>
      <top style="thin">
        <color rgb="FF0D0D0D"/>
      </top>
      <bottom style="thick">
        <color rgb="FF000000"/>
      </bottom>
      <diagonal/>
    </border>
    <border>
      <left style="thick">
        <color rgb="FF000000"/>
      </left>
      <right/>
      <top style="thin">
        <color rgb="FF0D0D0D"/>
      </top>
      <bottom style="thin">
        <color rgb="FF0D0D0D"/>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22"/>
      </right>
      <top style="thin">
        <color indexed="64"/>
      </top>
      <bottom/>
      <diagonal/>
    </border>
    <border>
      <left/>
      <right style="thin">
        <color indexed="22"/>
      </right>
      <top/>
      <bottom/>
      <diagonal/>
    </border>
    <border>
      <left/>
      <right style="thin">
        <color indexed="22"/>
      </right>
      <top/>
      <bottom style="thin">
        <color indexed="64"/>
      </bottom>
      <diagonal/>
    </border>
    <border>
      <left style="dashed">
        <color rgb="FF00338D"/>
      </left>
      <right/>
      <top style="dashed">
        <color rgb="FF00338D"/>
      </top>
      <bottom/>
      <diagonal/>
    </border>
    <border>
      <left/>
      <right/>
      <top style="dashed">
        <color rgb="FF00338D"/>
      </top>
      <bottom/>
      <diagonal/>
    </border>
    <border>
      <left/>
      <right style="dashed">
        <color rgb="FF00338D"/>
      </right>
      <top style="dashed">
        <color rgb="FF00338D"/>
      </top>
      <bottom/>
      <diagonal/>
    </border>
    <border>
      <left style="dashed">
        <color rgb="FF00338D"/>
      </left>
      <right/>
      <top/>
      <bottom/>
      <diagonal/>
    </border>
    <border>
      <left/>
      <right style="dashed">
        <color rgb="FF00338D"/>
      </right>
      <top/>
      <bottom/>
      <diagonal/>
    </border>
    <border>
      <left style="dashed">
        <color rgb="FF00338D"/>
      </left>
      <right/>
      <top/>
      <bottom style="dashed">
        <color rgb="FF00338D"/>
      </bottom>
      <diagonal/>
    </border>
    <border>
      <left/>
      <right/>
      <top/>
      <bottom style="dashed">
        <color rgb="FF00338D"/>
      </bottom>
      <diagonal/>
    </border>
    <border>
      <left/>
      <right style="dashed">
        <color rgb="FF00338D"/>
      </right>
      <top/>
      <bottom style="dashed">
        <color rgb="FF00338D"/>
      </bottom>
      <diagonal/>
    </border>
    <border>
      <left/>
      <right style="dashed">
        <color indexed="64"/>
      </right>
      <top style="thin">
        <color indexed="64"/>
      </top>
      <bottom/>
      <diagonal/>
    </border>
    <border>
      <left/>
      <right style="dashed">
        <color indexed="64"/>
      </right>
      <top/>
      <bottom/>
      <diagonal/>
    </border>
    <border>
      <left/>
      <right style="dashed">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style="thin">
        <color rgb="FF000000"/>
      </left>
      <right style="thin">
        <color rgb="FF808080"/>
      </right>
      <top style="thin">
        <color rgb="FF808080"/>
      </top>
      <bottom/>
      <diagonal/>
    </border>
    <border>
      <left style="thin">
        <color rgb="FF000000"/>
      </left>
      <right style="thin">
        <color rgb="FF808080"/>
      </right>
      <top/>
      <bottom/>
      <diagonal/>
    </border>
    <border>
      <left style="thin">
        <color rgb="FF000000"/>
      </left>
      <right style="thin">
        <color rgb="FF808080"/>
      </right>
      <top/>
      <bottom style="thin">
        <color rgb="FF808080"/>
      </bottom>
      <diagonal/>
    </border>
    <border>
      <left style="thin">
        <color rgb="FF000000"/>
      </left>
      <right/>
      <top style="thin">
        <color rgb="FF808080"/>
      </top>
      <bottom style="thin">
        <color rgb="FF000000"/>
      </bottom>
      <diagonal/>
    </border>
    <border>
      <left/>
      <right style="thin">
        <color rgb="FF808080"/>
      </right>
      <top style="thin">
        <color rgb="FF808080"/>
      </top>
      <bottom style="thin">
        <color rgb="FF000000"/>
      </bottom>
      <diagonal/>
    </border>
    <border>
      <left style="thin">
        <color auto="1"/>
      </left>
      <right style="hair">
        <color auto="1"/>
      </right>
      <top style="thin">
        <color auto="1"/>
      </top>
      <bottom/>
      <diagonal/>
    </border>
    <border>
      <left style="hair">
        <color auto="1"/>
      </left>
      <right style="thin">
        <color auto="1"/>
      </right>
      <top style="thin">
        <color indexed="64"/>
      </top>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auto="1"/>
      </left>
      <right style="hair">
        <color auto="1"/>
      </right>
      <top style="hair">
        <color auto="1"/>
      </top>
      <bottom/>
      <diagonal/>
    </border>
    <border>
      <left style="hair">
        <color auto="1"/>
      </left>
      <right style="thin">
        <color auto="1"/>
      </right>
      <top style="hair">
        <color auto="1"/>
      </top>
      <bottom/>
      <diagonal/>
    </border>
    <border>
      <left style="thin">
        <color indexed="64"/>
      </left>
      <right style="double">
        <color indexed="64"/>
      </right>
      <top/>
      <bottom/>
      <diagonal/>
    </border>
    <border>
      <left style="double">
        <color indexed="64"/>
      </left>
      <right style="thin">
        <color indexed="64"/>
      </right>
      <top/>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bottom/>
      <diagonal/>
    </border>
    <border>
      <left style="hair">
        <color auto="1"/>
      </left>
      <right style="thin">
        <color auto="1"/>
      </right>
      <top style="thin">
        <color auto="1"/>
      </top>
      <bottom style="hair">
        <color auto="1"/>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double">
        <color indexed="64"/>
      </left>
      <right/>
      <top/>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rgb="FF000000"/>
      </left>
      <right style="thin">
        <color rgb="FF808080"/>
      </right>
      <top style="thin">
        <color rgb="FF000000"/>
      </top>
      <bottom/>
      <diagonal/>
    </border>
    <border>
      <left style="thin">
        <color rgb="FF808080"/>
      </left>
      <right style="thin">
        <color rgb="FF808080"/>
      </right>
      <top style="thin">
        <color rgb="FF000000"/>
      </top>
      <bottom/>
      <diagonal/>
    </border>
    <border>
      <left/>
      <right/>
      <top style="thin">
        <color rgb="FF000000"/>
      </top>
      <bottom style="thin">
        <color rgb="FF808080"/>
      </bottom>
      <diagonal/>
    </border>
    <border>
      <left/>
      <right style="thin">
        <color rgb="FF808080"/>
      </right>
      <top style="thin">
        <color rgb="FF000000"/>
      </top>
      <bottom style="thin">
        <color rgb="FF808080"/>
      </bottom>
      <diagonal/>
    </border>
    <border>
      <left/>
      <right style="thin">
        <color rgb="FF000000"/>
      </right>
      <top style="thin">
        <color rgb="FF000000"/>
      </top>
      <bottom style="thin">
        <color rgb="FF808080"/>
      </bottom>
      <diagonal/>
    </border>
    <border>
      <left style="thin">
        <color rgb="FF808080"/>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rgb="FF808080"/>
      </left>
      <right style="thin">
        <color rgb="FF000000"/>
      </right>
      <top style="thin">
        <color rgb="FF808080"/>
      </top>
      <bottom/>
      <diagonal/>
    </border>
    <border>
      <left style="thin">
        <color rgb="FF808080"/>
      </left>
      <right style="thin">
        <color rgb="FF000000"/>
      </right>
      <top/>
      <bottom style="thin">
        <color rgb="FF808080"/>
      </bottom>
      <diagonal/>
    </border>
    <border>
      <left style="thin">
        <color rgb="FF000000"/>
      </left>
      <right style="thin">
        <color rgb="FF808080"/>
      </right>
      <top/>
      <bottom style="thin">
        <color rgb="FF000000"/>
      </bottom>
      <diagonal/>
    </border>
    <border>
      <left/>
      <right style="hair">
        <color indexed="64"/>
      </right>
      <top style="thin">
        <color indexed="64"/>
      </top>
      <bottom/>
      <diagonal/>
    </border>
    <border>
      <left/>
      <right style="hair">
        <color indexed="64"/>
      </right>
      <top/>
      <bottom style="thin">
        <color indexed="64"/>
      </bottom>
      <diagonal/>
    </border>
    <border>
      <left/>
      <right style="hair">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theme="0"/>
      </right>
      <top style="thin">
        <color indexed="64"/>
      </top>
      <bottom style="thin">
        <color indexed="64"/>
      </bottom>
      <diagonal/>
    </border>
    <border>
      <left style="thin">
        <color theme="0"/>
      </left>
      <right/>
      <top style="thin">
        <color theme="0"/>
      </top>
      <bottom style="medium">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theme="0"/>
      </left>
      <right/>
      <top style="medium">
        <color indexed="64"/>
      </top>
      <bottom/>
      <diagonal/>
    </border>
    <border>
      <left/>
      <right style="thin">
        <color theme="0"/>
      </right>
      <top style="medium">
        <color indexed="64"/>
      </top>
      <bottom/>
      <diagonal/>
    </border>
    <border>
      <left style="medium">
        <color theme="0"/>
      </left>
      <right style="medium">
        <color indexed="64"/>
      </right>
      <top style="medium">
        <color indexed="64"/>
      </top>
      <bottom/>
      <diagonal/>
    </border>
    <border>
      <left style="dotted">
        <color theme="1"/>
      </left>
      <right style="dotted">
        <color indexed="64"/>
      </right>
      <top style="thin">
        <color theme="0"/>
      </top>
      <bottom style="medium">
        <color indexed="64"/>
      </bottom>
      <diagonal/>
    </border>
    <border>
      <left style="dotted">
        <color indexed="64"/>
      </left>
      <right style="dotted">
        <color indexed="64"/>
      </right>
      <top style="thin">
        <color theme="0"/>
      </top>
      <bottom style="medium">
        <color indexed="64"/>
      </bottom>
      <diagonal/>
    </border>
    <border>
      <left style="dotted">
        <color indexed="64"/>
      </left>
      <right style="thin">
        <color theme="0"/>
      </right>
      <top style="thin">
        <color theme="0"/>
      </top>
      <bottom style="medium">
        <color indexed="64"/>
      </bottom>
      <diagonal/>
    </border>
    <border>
      <left/>
      <right style="thin">
        <color theme="0"/>
      </right>
      <top style="thin">
        <color theme="0"/>
      </top>
      <bottom style="medium">
        <color indexed="64"/>
      </bottom>
      <diagonal/>
    </border>
    <border>
      <left/>
      <right style="dotted">
        <color indexed="64"/>
      </right>
      <top style="thin">
        <color theme="0"/>
      </top>
      <bottom style="medium">
        <color indexed="64"/>
      </bottom>
      <diagonal/>
    </border>
    <border>
      <left style="dotted">
        <color indexed="64"/>
      </left>
      <right/>
      <top style="thin">
        <color theme="0"/>
      </top>
      <bottom style="medium">
        <color indexed="64"/>
      </bottom>
      <diagonal/>
    </border>
    <border>
      <left style="medium">
        <color theme="0"/>
      </left>
      <right style="medium">
        <color indexed="64"/>
      </right>
      <top/>
      <bottom style="medium">
        <color indexed="64"/>
      </bottom>
      <diagonal/>
    </border>
    <border>
      <left style="dotted">
        <color indexed="64"/>
      </left>
      <right style="dotted">
        <color indexed="64"/>
      </right>
      <top style="medium">
        <color indexed="64"/>
      </top>
      <bottom/>
      <diagonal/>
    </border>
    <border>
      <left style="dotted">
        <color indexed="64"/>
      </left>
      <right/>
      <top style="medium">
        <color indexed="64"/>
      </top>
      <bottom/>
      <diagonal/>
    </border>
    <border>
      <left style="dotted">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style="dotted">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right>
      <top style="thin">
        <color indexed="64"/>
      </top>
      <bottom style="thin">
        <color indexed="64"/>
      </bottom>
      <diagonal/>
    </border>
    <border>
      <left style="medium">
        <color indexed="14"/>
      </left>
      <right style="medium">
        <color indexed="14"/>
      </right>
      <top style="medium">
        <color indexed="14"/>
      </top>
      <bottom style="thin">
        <color indexed="64"/>
      </bottom>
      <diagonal/>
    </border>
    <border>
      <left style="thin">
        <color indexed="64"/>
      </left>
      <right style="dotted">
        <color indexed="64"/>
      </right>
      <top/>
      <bottom/>
      <diagonal/>
    </border>
    <border>
      <left style="medium">
        <color indexed="14"/>
      </left>
      <right style="medium">
        <color indexed="14"/>
      </right>
      <top/>
      <bottom/>
      <diagonal/>
    </border>
    <border>
      <left style="medium">
        <color indexed="14"/>
      </left>
      <right style="medium">
        <color indexed="14"/>
      </right>
      <top style="thin">
        <color indexed="64"/>
      </top>
      <bottom style="thin">
        <color indexed="64"/>
      </bottom>
      <diagonal/>
    </border>
    <border>
      <left style="thin">
        <color indexed="64"/>
      </left>
      <right style="dotted">
        <color indexed="64"/>
      </right>
      <top/>
      <bottom style="thin">
        <color indexed="64"/>
      </bottom>
      <diagonal/>
    </border>
    <border>
      <left style="medium">
        <color indexed="14"/>
      </left>
      <right style="medium">
        <color indexed="14"/>
      </right>
      <top/>
      <bottom style="thin">
        <color indexed="64"/>
      </bottom>
      <diagonal/>
    </border>
    <border>
      <left style="thin">
        <color indexed="64"/>
      </left>
      <right style="dotted">
        <color indexed="64"/>
      </right>
      <top style="thin">
        <color indexed="64"/>
      </top>
      <bottom/>
      <diagonal/>
    </border>
    <border>
      <left style="dotted">
        <color indexed="64"/>
      </left>
      <right style="dotted">
        <color indexed="64"/>
      </right>
      <top style="thin">
        <color indexed="64"/>
      </top>
      <bottom/>
      <diagonal/>
    </border>
    <border>
      <left style="medium">
        <color indexed="14"/>
      </left>
      <right style="medium">
        <color indexed="14"/>
      </right>
      <top style="thin">
        <color indexed="64"/>
      </top>
      <bottom/>
      <diagonal/>
    </border>
    <border>
      <left style="medium">
        <color indexed="14"/>
      </left>
      <right style="medium">
        <color indexed="14"/>
      </right>
      <top/>
      <bottom style="medium">
        <color indexed="14"/>
      </bottom>
      <diagonal/>
    </border>
    <border>
      <left style="medium">
        <color indexed="33"/>
      </left>
      <right style="medium">
        <color indexed="33"/>
      </right>
      <top style="thin">
        <color indexed="64"/>
      </top>
      <bottom/>
      <diagonal/>
    </border>
    <border>
      <left style="medium">
        <color indexed="33"/>
      </left>
      <right style="medium">
        <color indexed="33"/>
      </right>
      <top/>
      <bottom/>
      <diagonal/>
    </border>
    <border>
      <left style="medium">
        <color indexed="33"/>
      </left>
      <right style="medium">
        <color indexed="33"/>
      </right>
      <top/>
      <bottom style="thin">
        <color indexed="64"/>
      </bottom>
      <diagonal/>
    </border>
    <border>
      <left style="thin">
        <color indexed="64"/>
      </left>
      <right style="hair">
        <color indexed="64"/>
      </right>
      <top/>
      <bottom style="thin">
        <color indexed="64"/>
      </bottom>
      <diagonal/>
    </border>
    <border>
      <left style="medium">
        <color indexed="33"/>
      </left>
      <right style="medium">
        <color indexed="33"/>
      </right>
      <top/>
      <bottom style="medium">
        <color indexed="33"/>
      </bottom>
      <diagonal/>
    </border>
    <border>
      <left/>
      <right style="medium">
        <color indexed="33"/>
      </right>
      <top style="thin">
        <color indexed="64"/>
      </top>
      <bottom/>
      <diagonal/>
    </border>
    <border>
      <left style="medium">
        <color indexed="33"/>
      </left>
      <right style="medium">
        <color indexed="33"/>
      </right>
      <top style="medium">
        <color indexed="33"/>
      </top>
      <bottom/>
      <diagonal/>
    </border>
    <border>
      <left style="medium">
        <color indexed="33"/>
      </left>
      <right/>
      <top style="thin">
        <color indexed="64"/>
      </top>
      <bottom/>
      <diagonal/>
    </border>
    <border>
      <left/>
      <right style="medium">
        <color indexed="14"/>
      </right>
      <top style="thin">
        <color indexed="64"/>
      </top>
      <bottom/>
      <diagonal/>
    </border>
    <border>
      <left style="medium">
        <color indexed="14"/>
      </left>
      <right style="medium">
        <color indexed="14"/>
      </right>
      <top style="medium">
        <color indexed="14"/>
      </top>
      <bottom/>
      <diagonal/>
    </border>
    <border>
      <left/>
      <right style="medium">
        <color indexed="33"/>
      </right>
      <top/>
      <bottom style="thin">
        <color indexed="64"/>
      </bottom>
      <diagonal/>
    </border>
    <border>
      <left style="medium">
        <color indexed="33"/>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medium">
        <color indexed="14"/>
      </right>
      <top style="dotted">
        <color indexed="64"/>
      </top>
      <bottom style="thin">
        <color indexed="64"/>
      </bottom>
      <diagonal/>
    </border>
    <border>
      <left style="medium">
        <color indexed="33"/>
      </left>
      <right style="medium">
        <color indexed="33"/>
      </right>
      <top style="thin">
        <color indexed="64"/>
      </top>
      <bottom style="medium">
        <color indexed="33"/>
      </bottom>
      <diagonal/>
    </border>
    <border>
      <left style="medium">
        <color indexed="14"/>
      </left>
      <right style="medium">
        <color indexed="14"/>
      </right>
      <top style="thin">
        <color indexed="64"/>
      </top>
      <bottom style="medium">
        <color indexed="14"/>
      </bottom>
      <diagonal/>
    </border>
    <border>
      <left style="thin">
        <color theme="0"/>
      </left>
      <right style="dotted">
        <color indexed="64"/>
      </right>
      <top style="thin">
        <color indexed="64"/>
      </top>
      <bottom style="thin">
        <color indexed="64"/>
      </bottom>
      <diagonal/>
    </border>
    <border>
      <left style="dotted">
        <color indexed="64"/>
      </left>
      <right style="medium">
        <color indexed="14"/>
      </right>
      <top style="thin">
        <color indexed="64"/>
      </top>
      <bottom style="thin">
        <color indexed="64"/>
      </bottom>
      <diagonal/>
    </border>
    <border>
      <left style="dotted">
        <color indexed="64"/>
      </left>
      <right style="medium">
        <color indexed="14"/>
      </right>
      <top/>
      <bottom/>
      <diagonal/>
    </border>
    <border>
      <left style="dotted">
        <color indexed="64"/>
      </left>
      <right style="medium">
        <color indexed="14"/>
      </right>
      <top/>
      <bottom style="thin">
        <color indexed="64"/>
      </bottom>
      <diagonal/>
    </border>
    <border>
      <left style="thin">
        <color theme="1"/>
      </left>
      <right style="thin">
        <color theme="0"/>
      </right>
      <top style="thin">
        <color indexed="64"/>
      </top>
      <bottom style="thin">
        <color indexed="64"/>
      </bottom>
      <diagonal/>
    </border>
    <border>
      <left style="dotted">
        <color indexed="64"/>
      </left>
      <right style="thin">
        <color theme="0"/>
      </right>
      <top style="thin">
        <color indexed="64"/>
      </top>
      <bottom style="thin">
        <color indexed="64"/>
      </bottom>
      <diagonal/>
    </border>
    <border>
      <left style="thin">
        <color theme="0"/>
      </left>
      <right style="thin">
        <color theme="1"/>
      </right>
      <top style="thin">
        <color indexed="64"/>
      </top>
      <bottom style="thin">
        <color indexed="64"/>
      </bottom>
      <diagonal/>
    </border>
    <border>
      <left style="thin">
        <color indexed="64"/>
      </left>
      <right/>
      <top style="thin">
        <color indexed="64"/>
      </top>
      <bottom style="dotted">
        <color indexed="64"/>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auto="1"/>
      </left>
      <right style="dotted">
        <color auto="1"/>
      </right>
      <top style="dotted">
        <color auto="1"/>
      </top>
      <bottom style="dotted">
        <color auto="1"/>
      </bottom>
      <diagonal/>
    </border>
    <border>
      <left style="dotted">
        <color indexed="64"/>
      </left>
      <right style="thin">
        <color indexed="64"/>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dotted">
        <color indexed="64"/>
      </top>
      <bottom style="thin">
        <color indexed="64"/>
      </bottom>
      <diagonal/>
    </border>
    <border>
      <left/>
      <right/>
      <top/>
      <bottom style="double">
        <color theme="8" tint="-0.499984740745262"/>
      </bottom>
      <diagonal/>
    </border>
    <border>
      <left/>
      <right style="thin">
        <color auto="1"/>
      </right>
      <top style="medium">
        <color auto="1"/>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top style="medium">
        <color indexed="64"/>
      </top>
      <bottom style="medium">
        <color indexed="64"/>
      </bottom>
      <diagonal/>
    </border>
    <border>
      <left/>
      <right style="double">
        <color indexed="64"/>
      </right>
      <top style="medium">
        <color indexed="64"/>
      </top>
      <bottom style="medium">
        <color indexed="64"/>
      </bottom>
      <diagonal/>
    </border>
    <border>
      <left style="double">
        <color indexed="64"/>
      </left>
      <right style="double">
        <color indexed="64"/>
      </right>
      <top style="medium">
        <color indexed="64"/>
      </top>
      <bottom/>
      <diagonal/>
    </border>
    <border>
      <left/>
      <right/>
      <top style="dotted">
        <color indexed="64"/>
      </top>
      <bottom style="thin">
        <color indexed="64"/>
      </bottom>
      <diagonal/>
    </border>
    <border>
      <left/>
      <right style="dotted">
        <color auto="1"/>
      </right>
      <top style="dotted">
        <color auto="1"/>
      </top>
      <bottom style="thin">
        <color auto="1"/>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double">
        <color indexed="64"/>
      </left>
      <right style="double">
        <color indexed="64"/>
      </right>
      <top/>
      <bottom style="medium">
        <color auto="1"/>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style="double">
        <color indexed="64"/>
      </right>
      <top/>
      <bottom/>
      <diagonal/>
    </border>
    <border>
      <left style="medium">
        <color indexed="64"/>
      </left>
      <right style="thin">
        <color indexed="64"/>
      </right>
      <top/>
      <bottom style="hair">
        <color indexed="64"/>
      </bottom>
      <diagonal/>
    </border>
    <border>
      <left/>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style="double">
        <color indexed="64"/>
      </left>
      <right style="double">
        <color indexed="64"/>
      </right>
      <top/>
      <bottom style="hair">
        <color indexed="64"/>
      </bottom>
      <diagonal/>
    </border>
    <border>
      <left style="thin">
        <color indexed="64"/>
      </left>
      <right/>
      <top style="hair">
        <color indexed="64"/>
      </top>
      <bottom style="hair">
        <color indexed="64"/>
      </bottom>
      <diagonal/>
    </border>
    <border>
      <left/>
      <right/>
      <top style="hair">
        <color auto="1"/>
      </top>
      <bottom style="hair">
        <color auto="1"/>
      </bottom>
      <diagonal/>
    </border>
    <border>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double">
        <color indexed="64"/>
      </left>
      <right style="double">
        <color indexed="64"/>
      </right>
      <top style="hair">
        <color auto="1"/>
      </top>
      <bottom style="thin">
        <color auto="1"/>
      </bottom>
      <diagonal/>
    </border>
    <border>
      <left style="medium">
        <color indexed="64"/>
      </left>
      <right style="thin">
        <color indexed="64"/>
      </right>
      <top style="thin">
        <color auto="1"/>
      </top>
      <bottom/>
      <diagonal/>
    </border>
    <border>
      <left style="double">
        <color indexed="64"/>
      </left>
      <right style="double">
        <color indexed="64"/>
      </right>
      <top style="thin">
        <color indexed="64"/>
      </top>
      <bottom/>
      <diagonal/>
    </border>
    <border>
      <left style="hair">
        <color indexed="64"/>
      </left>
      <right style="thin">
        <color indexed="64"/>
      </right>
      <top/>
      <bottom/>
      <diagonal/>
    </border>
    <border>
      <left style="dotted">
        <color theme="0" tint="-0.499984740745262"/>
      </left>
      <right/>
      <top/>
      <bottom/>
      <diagonal/>
    </border>
    <border>
      <left style="thin">
        <color indexed="64"/>
      </left>
      <right style="thin">
        <color indexed="64"/>
      </right>
      <top/>
      <bottom style="hair">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auto="1"/>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double">
        <color indexed="64"/>
      </left>
      <right style="double">
        <color indexed="64"/>
      </right>
      <top style="medium">
        <color indexed="64"/>
      </top>
      <bottom style="medium">
        <color indexed="64"/>
      </bottom>
      <diagonal/>
    </border>
    <border>
      <left style="medium">
        <color indexed="64"/>
      </left>
      <right/>
      <top style="medium">
        <color indexed="64"/>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double">
        <color indexed="64"/>
      </left>
      <right style="double">
        <color indexed="64"/>
      </right>
      <top style="medium">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rgb="FF808080"/>
      </left>
      <right style="thin">
        <color rgb="FF808080"/>
      </right>
      <top/>
      <bottom/>
      <diagonal/>
    </border>
    <border>
      <left/>
      <right style="medium">
        <color indexed="64"/>
      </right>
      <top/>
      <bottom style="thin">
        <color indexed="64"/>
      </bottom>
      <diagonal/>
    </border>
    <border>
      <left style="thin">
        <color rgb="FF808080"/>
      </left>
      <right style="thin">
        <color rgb="FF000000"/>
      </right>
      <top style="thin">
        <color rgb="FF000000"/>
      </top>
      <bottom/>
      <diagonal/>
    </border>
    <border>
      <left style="thin">
        <color rgb="FF000000"/>
      </left>
      <right/>
      <top style="thin">
        <color rgb="FF808080"/>
      </top>
      <bottom style="thin">
        <color rgb="FF808080"/>
      </bottom>
      <diagonal/>
    </border>
    <border>
      <left/>
      <right/>
      <top style="thin">
        <color rgb="FF808080"/>
      </top>
      <bottom style="thin">
        <color rgb="FF808080"/>
      </bottom>
      <diagonal/>
    </border>
    <border>
      <left/>
      <right style="thin">
        <color rgb="FF808080"/>
      </right>
      <top style="thin">
        <color rgb="FF808080"/>
      </top>
      <bottom style="thin">
        <color rgb="FF808080"/>
      </bottom>
      <diagonal/>
    </border>
    <border>
      <left/>
      <right/>
      <top style="thin">
        <color rgb="FF808080"/>
      </top>
      <bottom style="thin">
        <color rgb="FF000000"/>
      </bottom>
      <diagonal/>
    </border>
    <border>
      <left style="dotted">
        <color indexed="64"/>
      </left>
      <right/>
      <top style="dotted">
        <color indexed="64"/>
      </top>
      <bottom style="thin">
        <color indexed="64"/>
      </bottom>
      <diagonal/>
    </border>
    <border>
      <left/>
      <right style="double">
        <color auto="1"/>
      </right>
      <top/>
      <bottom/>
      <diagonal/>
    </border>
    <border>
      <left style="hair">
        <color auto="1"/>
      </left>
      <right style="hair">
        <color auto="1"/>
      </right>
      <top style="hair">
        <color auto="1"/>
      </top>
      <bottom style="hair">
        <color auto="1"/>
      </bottom>
      <diagonal/>
    </border>
    <border>
      <left style="double">
        <color auto="1"/>
      </left>
      <right/>
      <top/>
      <bottom style="thin">
        <color auto="1"/>
      </bottom>
      <diagonal/>
    </border>
    <border>
      <left/>
      <right style="double">
        <color auto="1"/>
      </right>
      <top/>
      <bottom style="thin">
        <color auto="1"/>
      </bottom>
      <diagonal/>
    </border>
    <border>
      <left/>
      <right style="double">
        <color auto="1"/>
      </right>
      <top style="thin">
        <color auto="1"/>
      </top>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hair">
        <color auto="1"/>
      </bottom>
      <diagonal/>
    </border>
    <border>
      <left style="double">
        <color auto="1"/>
      </left>
      <right/>
      <top style="thin">
        <color auto="1"/>
      </top>
      <bottom/>
      <diagonal/>
    </border>
    <border>
      <left style="double">
        <color indexed="64"/>
      </left>
      <right/>
      <top/>
      <bottom style="double">
        <color indexed="64"/>
      </bottom>
      <diagonal/>
    </border>
    <border>
      <left/>
      <right/>
      <top/>
      <bottom style="double">
        <color indexed="64"/>
      </bottom>
      <diagonal/>
    </border>
    <border>
      <left/>
      <right style="double">
        <color auto="1"/>
      </right>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auto="1"/>
      </right>
      <top style="double">
        <color indexed="64"/>
      </top>
      <bottom/>
      <diagonal/>
    </border>
    <border>
      <left/>
      <right style="thin">
        <color auto="1"/>
      </right>
      <top/>
      <bottom/>
      <diagonal/>
    </border>
    <border>
      <left/>
      <right style="thin">
        <color auto="1"/>
      </right>
      <top style="hair">
        <color auto="1"/>
      </top>
      <bottom/>
      <diagonal/>
    </border>
    <border>
      <left style="thin">
        <color auto="1"/>
      </left>
      <right style="thin">
        <color auto="1"/>
      </right>
      <top style="thin">
        <color theme="0"/>
      </top>
      <bottom style="thin">
        <color theme="0"/>
      </bottom>
      <diagonal/>
    </border>
    <border>
      <left style="medium">
        <color indexed="64"/>
      </left>
      <right style="medium">
        <color indexed="64"/>
      </right>
      <top/>
      <bottom style="medium">
        <color indexed="64"/>
      </bottom>
      <diagonal/>
    </border>
    <border>
      <left style="medium">
        <color rgb="FFA6A6A6"/>
      </left>
      <right/>
      <top style="medium">
        <color rgb="FFA6A6A6"/>
      </top>
      <bottom style="medium">
        <color rgb="FFA6A6A6"/>
      </bottom>
      <diagonal/>
    </border>
    <border>
      <left/>
      <right style="medium">
        <color rgb="FFA6A6A6"/>
      </right>
      <top style="medium">
        <color rgb="FFA6A6A6"/>
      </top>
      <bottom style="medium">
        <color rgb="FFA6A6A6"/>
      </bottom>
      <diagonal/>
    </border>
    <border>
      <left style="medium">
        <color rgb="FFA6A6A6"/>
      </left>
      <right style="thick">
        <color rgb="FF000000"/>
      </right>
      <top style="medium">
        <color rgb="FFA6A6A6"/>
      </top>
      <bottom style="thin">
        <color rgb="FF7F7F7F"/>
      </bottom>
      <diagonal/>
    </border>
    <border>
      <left style="thick">
        <color rgb="FF000000"/>
      </left>
      <right style="thick">
        <color rgb="FF000000"/>
      </right>
      <top style="thick">
        <color rgb="FF000000"/>
      </top>
      <bottom style="thin">
        <color rgb="FF7F7F7F"/>
      </bottom>
      <diagonal/>
    </border>
    <border>
      <left style="thick">
        <color rgb="FF000000"/>
      </left>
      <right style="medium">
        <color rgb="FFA6A6A6"/>
      </right>
      <top style="medium">
        <color rgb="FFA6A6A6"/>
      </top>
      <bottom style="thin">
        <color rgb="FF7F7F7F"/>
      </bottom>
      <diagonal/>
    </border>
    <border>
      <left style="medium">
        <color rgb="FFA6A6A6"/>
      </left>
      <right style="medium">
        <color rgb="FFA6A6A6"/>
      </right>
      <top style="medium">
        <color rgb="FFA6A6A6"/>
      </top>
      <bottom style="thin">
        <color rgb="FF7F7F7F"/>
      </bottom>
      <diagonal/>
    </border>
    <border>
      <left style="medium">
        <color rgb="FFA6A6A6"/>
      </left>
      <right style="medium">
        <color rgb="FFA6A6A6"/>
      </right>
      <top style="medium">
        <color rgb="FFA6A6A6"/>
      </top>
      <bottom/>
      <diagonal/>
    </border>
    <border>
      <left style="medium">
        <color rgb="FFA6A6A6"/>
      </left>
      <right style="medium">
        <color rgb="FFA6A6A6"/>
      </right>
      <top/>
      <bottom/>
      <diagonal/>
    </border>
    <border>
      <left style="medium">
        <color rgb="FFA6A6A6"/>
      </left>
      <right style="medium">
        <color rgb="FFA6A6A6"/>
      </right>
      <top/>
      <bottom style="thin">
        <color rgb="FF7F7F7F"/>
      </bottom>
      <diagonal/>
    </border>
    <border>
      <left style="medium">
        <color rgb="FFA6A6A6"/>
      </left>
      <right style="medium">
        <color rgb="FFA6A6A6"/>
      </right>
      <top style="thin">
        <color rgb="FF7F7F7F"/>
      </top>
      <bottom style="thin">
        <color rgb="FF7F7F7F"/>
      </bottom>
      <diagonal/>
    </border>
    <border>
      <left style="medium">
        <color rgb="FFA6A6A6"/>
      </left>
      <right style="thick">
        <color rgb="FF000000"/>
      </right>
      <top style="thin">
        <color rgb="FF7F7F7F"/>
      </top>
      <bottom style="thin">
        <color rgb="FF7F7F7F"/>
      </bottom>
      <diagonal/>
    </border>
    <border>
      <left style="thick">
        <color rgb="FF000000"/>
      </left>
      <right style="thick">
        <color rgb="FF000000"/>
      </right>
      <top style="thin">
        <color rgb="FF7F7F7F"/>
      </top>
      <bottom style="thin">
        <color rgb="FF7F7F7F"/>
      </bottom>
      <diagonal/>
    </border>
    <border>
      <left style="thick">
        <color rgb="FF000000"/>
      </left>
      <right style="medium">
        <color rgb="FFA6A6A6"/>
      </right>
      <top style="thin">
        <color rgb="FF7F7F7F"/>
      </top>
      <bottom style="thin">
        <color rgb="FF7F7F7F"/>
      </bottom>
      <diagonal/>
    </border>
    <border>
      <left style="medium">
        <color rgb="FFA6A6A6"/>
      </left>
      <right style="medium">
        <color rgb="FFA6A6A6"/>
      </right>
      <top style="thin">
        <color rgb="FF7F7F7F"/>
      </top>
      <bottom/>
      <diagonal/>
    </border>
    <border>
      <left style="medium">
        <color rgb="FFA6A6A6"/>
      </left>
      <right style="medium">
        <color rgb="FFA6A6A6"/>
      </right>
      <top/>
      <bottom style="medium">
        <color rgb="FFA6A6A6"/>
      </bottom>
      <diagonal/>
    </border>
    <border>
      <left style="medium">
        <color rgb="FFA6A6A6"/>
      </left>
      <right style="medium">
        <color rgb="FFA6A6A6"/>
      </right>
      <top style="thin">
        <color rgb="FF7F7F7F"/>
      </top>
      <bottom style="thin">
        <color rgb="FFBFBFBF"/>
      </bottom>
      <diagonal/>
    </border>
    <border>
      <left style="medium">
        <color rgb="FFA6A6A6"/>
      </left>
      <right style="thick">
        <color rgb="FF000000"/>
      </right>
      <top style="thin">
        <color rgb="FF7F7F7F"/>
      </top>
      <bottom style="thin">
        <color rgb="FFBFBFBF"/>
      </bottom>
      <diagonal/>
    </border>
    <border>
      <left style="thick">
        <color rgb="FF000000"/>
      </left>
      <right style="thick">
        <color rgb="FF000000"/>
      </right>
      <top style="thin">
        <color rgb="FF7F7F7F"/>
      </top>
      <bottom style="thin">
        <color rgb="FFBFBFBF"/>
      </bottom>
      <diagonal/>
    </border>
    <border>
      <left style="thick">
        <color rgb="FF000000"/>
      </left>
      <right style="medium">
        <color rgb="FFA6A6A6"/>
      </right>
      <top style="thin">
        <color rgb="FF7F7F7F"/>
      </top>
      <bottom style="thin">
        <color rgb="FFBFBFBF"/>
      </bottom>
      <diagonal/>
    </border>
    <border>
      <left style="medium">
        <color rgb="FFA6A6A6"/>
      </left>
      <right style="medium">
        <color rgb="FFA6A6A6"/>
      </right>
      <top style="thin">
        <color rgb="FFBFBFBF"/>
      </top>
      <bottom style="medium">
        <color rgb="FFA6A6A6"/>
      </bottom>
      <diagonal/>
    </border>
    <border>
      <left style="medium">
        <color rgb="FFA6A6A6"/>
      </left>
      <right style="thick">
        <color rgb="FF000000"/>
      </right>
      <top style="thin">
        <color rgb="FFBFBFBF"/>
      </top>
      <bottom style="medium">
        <color rgb="FFA6A6A6"/>
      </bottom>
      <diagonal/>
    </border>
    <border>
      <left style="thick">
        <color rgb="FF000000"/>
      </left>
      <right style="thick">
        <color rgb="FF000000"/>
      </right>
      <top style="thin">
        <color rgb="FFBFBFBF"/>
      </top>
      <bottom style="thick">
        <color rgb="FF000000"/>
      </bottom>
      <diagonal/>
    </border>
    <border>
      <left style="thick">
        <color rgb="FF000000"/>
      </left>
      <right style="medium">
        <color rgb="FFA6A6A6"/>
      </right>
      <top style="thin">
        <color rgb="FFBFBFBF"/>
      </top>
      <bottom style="medium">
        <color rgb="FFA6A6A6"/>
      </bottom>
      <diagonal/>
    </border>
    <border>
      <left style="thin">
        <color rgb="FF00338D"/>
      </left>
      <right/>
      <top/>
      <bottom style="thin">
        <color rgb="FF00338D"/>
      </bottom>
      <diagonal/>
    </border>
    <border>
      <left/>
      <right/>
      <top style="thin">
        <color rgb="FF00338D"/>
      </top>
      <bottom style="thin">
        <color theme="0"/>
      </bottom>
      <diagonal/>
    </border>
    <border>
      <left style="thin">
        <color rgb="FF00338D"/>
      </left>
      <right/>
      <top/>
      <bottom/>
      <diagonal/>
    </border>
    <border>
      <left/>
      <right style="thin">
        <color rgb="FF00338D"/>
      </right>
      <top/>
      <bottom/>
      <diagonal/>
    </border>
    <border>
      <left style="thin">
        <color rgb="FF00338D"/>
      </left>
      <right/>
      <top style="thin">
        <color rgb="FF00338D"/>
      </top>
      <bottom style="thin">
        <color rgb="FF00338D"/>
      </bottom>
      <diagonal/>
    </border>
    <border>
      <left/>
      <right/>
      <top style="thin">
        <color rgb="FF00338D"/>
      </top>
      <bottom style="thin">
        <color rgb="FF00338D"/>
      </bottom>
      <diagonal/>
    </border>
    <border>
      <left/>
      <right style="thin">
        <color rgb="FF00338D"/>
      </right>
      <top style="thin">
        <color rgb="FF00338D"/>
      </top>
      <bottom style="thin">
        <color rgb="FF00338D"/>
      </bottom>
      <diagonal/>
    </border>
    <border>
      <left/>
      <right/>
      <top style="thin">
        <color rgb="FF007C92"/>
      </top>
      <bottom/>
      <diagonal/>
    </border>
    <border>
      <left/>
      <right/>
      <top/>
      <bottom style="thin">
        <color rgb="FF007C92"/>
      </bottom>
      <diagonal/>
    </border>
    <border>
      <left style="thin">
        <color rgb="FF00338D"/>
      </left>
      <right style="thin">
        <color rgb="FF00338D"/>
      </right>
      <top style="thin">
        <color rgb="FF00338D"/>
      </top>
      <bottom style="thin">
        <color rgb="FF00338D"/>
      </bottom>
      <diagonal/>
    </border>
    <border>
      <left style="thin">
        <color rgb="FF00338D"/>
      </left>
      <right style="thin">
        <color rgb="FF00338D"/>
      </right>
      <top style="thin">
        <color rgb="FF00338D"/>
      </top>
      <bottom/>
      <diagonal/>
    </border>
    <border>
      <left style="thin">
        <color rgb="FF00338D"/>
      </left>
      <right style="thin">
        <color rgb="FF00338D"/>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ck">
        <color rgb="FF000000"/>
      </right>
      <top style="medium">
        <color rgb="FF000000"/>
      </top>
      <bottom style="medium">
        <color rgb="FF000000"/>
      </bottom>
      <diagonal/>
    </border>
    <border>
      <left style="thick">
        <color rgb="FF000000"/>
      </left>
      <right style="thick">
        <color rgb="FF000000"/>
      </right>
      <top style="thick">
        <color rgb="FF000000"/>
      </top>
      <bottom style="medium">
        <color rgb="FF000000"/>
      </bottom>
      <diagonal/>
    </border>
    <border>
      <left style="thick">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thick">
        <color rgb="FF000000"/>
      </right>
      <top style="medium">
        <color rgb="FF000000"/>
      </top>
      <bottom/>
      <diagonal/>
    </border>
    <border>
      <left style="thick">
        <color rgb="FF000000"/>
      </left>
      <right style="thick">
        <color rgb="FF000000"/>
      </right>
      <top style="medium">
        <color rgb="FF000000"/>
      </top>
      <bottom/>
      <diagonal/>
    </border>
    <border>
      <left style="thick">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thick">
        <color rgb="FF000000"/>
      </right>
      <top/>
      <bottom/>
      <diagonal/>
    </border>
    <border>
      <left style="thick">
        <color rgb="FF000000"/>
      </left>
      <right style="thick">
        <color rgb="FF000000"/>
      </right>
      <top/>
      <bottom/>
      <diagonal/>
    </border>
    <border>
      <left style="thick">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thick">
        <color rgb="FF000000"/>
      </right>
      <top/>
      <bottom style="medium">
        <color rgb="FF000000"/>
      </bottom>
      <diagonal/>
    </border>
    <border>
      <left style="thick">
        <color rgb="FF000000"/>
      </left>
      <right style="thick">
        <color rgb="FF000000"/>
      </right>
      <top/>
      <bottom style="medium">
        <color rgb="FF000000"/>
      </bottom>
      <diagonal/>
    </border>
    <border>
      <left style="thick">
        <color rgb="FF000000"/>
      </left>
      <right style="medium">
        <color rgb="FF000000"/>
      </right>
      <top/>
      <bottom style="medium">
        <color rgb="FF000000"/>
      </bottom>
      <diagonal/>
    </border>
    <border>
      <left style="thick">
        <color rgb="FF000000"/>
      </left>
      <right style="thick">
        <color rgb="FF000000"/>
      </right>
      <top style="medium">
        <color rgb="FF000000"/>
      </top>
      <bottom style="medium">
        <color rgb="FF000000"/>
      </bottom>
      <diagonal/>
    </border>
    <border>
      <left style="thick">
        <color rgb="FF000000"/>
      </left>
      <right style="thick">
        <color rgb="FF000000"/>
      </right>
      <top style="medium">
        <color rgb="FF000000"/>
      </top>
      <bottom style="thick">
        <color rgb="FF000000"/>
      </bottom>
      <diagonal/>
    </border>
    <border>
      <left/>
      <right style="thin">
        <color rgb="FF000000"/>
      </right>
      <top style="thin">
        <color rgb="FF0D0D0D"/>
      </top>
      <bottom/>
      <diagonal/>
    </border>
    <border>
      <left/>
      <right style="thin">
        <color rgb="FF000000"/>
      </right>
      <top/>
      <bottom style="thin">
        <color rgb="FF0D0D0D"/>
      </bottom>
      <diagonal/>
    </border>
    <border>
      <left style="thin">
        <color rgb="FF000000"/>
      </left>
      <right style="thin">
        <color rgb="FF000000"/>
      </right>
      <top style="thin">
        <color rgb="FF0D0D0D"/>
      </top>
      <bottom/>
      <diagonal/>
    </border>
    <border>
      <left style="thin">
        <color rgb="FF000000"/>
      </left>
      <right style="thin">
        <color rgb="FF000000"/>
      </right>
      <top/>
      <bottom style="thin">
        <color rgb="FF0D0D0D"/>
      </bottom>
      <diagonal/>
    </border>
    <border>
      <left style="thin">
        <color rgb="FF000000"/>
      </left>
      <right/>
      <top style="thin">
        <color rgb="FF0D0D0D"/>
      </top>
      <bottom style="thick">
        <color rgb="FF000000"/>
      </bottom>
      <diagonal/>
    </border>
    <border>
      <left style="thin">
        <color rgb="FF000000"/>
      </left>
      <right style="thick">
        <color rgb="FF000000"/>
      </right>
      <top style="thin">
        <color rgb="FFBFBFBF"/>
      </top>
      <bottom style="thin">
        <color rgb="FF0D0D0D"/>
      </bottom>
      <diagonal/>
    </border>
    <border>
      <left style="thick">
        <color rgb="FF000000"/>
      </left>
      <right style="thin">
        <color rgb="FF000000"/>
      </right>
      <top style="thick">
        <color rgb="FF000000"/>
      </top>
      <bottom style="thin">
        <color rgb="FF0D0D0D"/>
      </bottom>
      <diagonal/>
    </border>
    <border>
      <left style="thin">
        <color rgb="FF000000"/>
      </left>
      <right style="thin">
        <color rgb="FFBFBFBF"/>
      </right>
      <top style="thick">
        <color rgb="FF000000"/>
      </top>
      <bottom style="thin">
        <color rgb="FF0D0D0D"/>
      </bottom>
      <diagonal/>
    </border>
    <border>
      <left style="thin">
        <color rgb="FF000000"/>
      </left>
      <right style="thin">
        <color rgb="FF000000"/>
      </right>
      <top style="thin">
        <color rgb="FF0D0D0D"/>
      </top>
      <bottom style="dotted">
        <color rgb="FF000000"/>
      </bottom>
      <diagonal/>
    </border>
    <border>
      <left style="thin">
        <color rgb="FF000000"/>
      </left>
      <right style="thick">
        <color rgb="FF000000"/>
      </right>
      <top style="thin">
        <color rgb="FF0D0D0D"/>
      </top>
      <bottom style="dotted">
        <color rgb="FF000000"/>
      </bottom>
      <diagonal/>
    </border>
    <border>
      <left style="thick">
        <color rgb="FF000000"/>
      </left>
      <right style="thin">
        <color rgb="FF000000"/>
      </right>
      <top style="thin">
        <color rgb="FF0D0D0D"/>
      </top>
      <bottom style="dotted">
        <color rgb="FF000000"/>
      </bottom>
      <diagonal/>
    </border>
    <border>
      <left style="thin">
        <color rgb="FF000000"/>
      </left>
      <right style="dotted">
        <color rgb="FF002060"/>
      </right>
      <top style="thin">
        <color rgb="FF0D0D0D"/>
      </top>
      <bottom style="dotted">
        <color rgb="FF000000"/>
      </bottom>
      <diagonal/>
    </border>
    <border>
      <left/>
      <right style="thin">
        <color rgb="FF000000"/>
      </right>
      <top style="dotted">
        <color rgb="FF000000"/>
      </top>
      <bottom style="dotted">
        <color rgb="FFFFFFFF"/>
      </bottom>
      <diagonal/>
    </border>
    <border>
      <left style="thin">
        <color rgb="FF000000"/>
      </left>
      <right style="thin">
        <color rgb="FF000000"/>
      </right>
      <top style="dotted">
        <color rgb="FF000000"/>
      </top>
      <bottom style="dotted">
        <color rgb="FF000000"/>
      </bottom>
      <diagonal/>
    </border>
    <border>
      <left style="thin">
        <color rgb="FF000000"/>
      </left>
      <right style="thick">
        <color rgb="FF000000"/>
      </right>
      <top style="dotted">
        <color rgb="FF000000"/>
      </top>
      <bottom style="dotted">
        <color rgb="FF000000"/>
      </bottom>
      <diagonal/>
    </border>
    <border>
      <left style="thick">
        <color rgb="FF000000"/>
      </left>
      <right style="thin">
        <color rgb="FF000000"/>
      </right>
      <top style="dotted">
        <color rgb="FF000000"/>
      </top>
      <bottom style="dotted">
        <color rgb="FF000000"/>
      </bottom>
      <diagonal/>
    </border>
    <border>
      <left style="thin">
        <color rgb="FF000000"/>
      </left>
      <right style="dotted">
        <color rgb="FF002060"/>
      </right>
      <top style="dotted">
        <color rgb="FF000000"/>
      </top>
      <bottom style="dotted">
        <color rgb="FF000000"/>
      </bottom>
      <diagonal/>
    </border>
    <border>
      <left/>
      <right style="thin">
        <color rgb="FF000000"/>
      </right>
      <top style="dotted">
        <color rgb="FF000000"/>
      </top>
      <bottom style="thin">
        <color rgb="FFFFFFFF"/>
      </bottom>
      <diagonal/>
    </border>
    <border>
      <left style="thin">
        <color rgb="FF000000"/>
      </left>
      <right style="thin">
        <color rgb="FF000000"/>
      </right>
      <top style="dotted">
        <color rgb="FF000000"/>
      </top>
      <bottom style="thin">
        <color rgb="FFFFFFFF"/>
      </bottom>
      <diagonal/>
    </border>
    <border>
      <left style="thin">
        <color rgb="FF000000"/>
      </left>
      <right style="thick">
        <color rgb="FF000000"/>
      </right>
      <top style="dotted">
        <color rgb="FF000000"/>
      </top>
      <bottom style="thin">
        <color rgb="FFFFFFFF"/>
      </bottom>
      <diagonal/>
    </border>
    <border>
      <left style="thick">
        <color rgb="FF000000"/>
      </left>
      <right style="thin">
        <color rgb="FF000000"/>
      </right>
      <top style="dotted">
        <color rgb="FF000000"/>
      </top>
      <bottom style="thin">
        <color rgb="FFFFFFFF"/>
      </bottom>
      <diagonal/>
    </border>
    <border>
      <left style="thin">
        <color rgb="FF000000"/>
      </left>
      <right style="dotted">
        <color rgb="FF002060"/>
      </right>
      <top style="dotted">
        <color rgb="FF000000"/>
      </top>
      <bottom style="thin">
        <color rgb="FFFFFFFF"/>
      </bottom>
      <diagonal/>
    </border>
    <border>
      <left/>
      <right style="thin">
        <color rgb="FF000000"/>
      </right>
      <top style="thin">
        <color rgb="FFFFFFFF"/>
      </top>
      <bottom style="thin">
        <color rgb="FFFFFFFF"/>
      </bottom>
      <diagonal/>
    </border>
    <border>
      <left style="thin">
        <color rgb="FF000000"/>
      </left>
      <right style="thin">
        <color rgb="FF000000"/>
      </right>
      <top style="thin">
        <color rgb="FFFFFFFF"/>
      </top>
      <bottom style="thin">
        <color rgb="FFFFFFFF"/>
      </bottom>
      <diagonal/>
    </border>
    <border>
      <left style="thin">
        <color rgb="FF000000"/>
      </left>
      <right style="thick">
        <color rgb="FF000000"/>
      </right>
      <top style="thin">
        <color rgb="FFFFFFFF"/>
      </top>
      <bottom style="thin">
        <color rgb="FFFFFFFF"/>
      </bottom>
      <diagonal/>
    </border>
    <border>
      <left style="thick">
        <color rgb="FF000000"/>
      </left>
      <right style="thin">
        <color rgb="FF000000"/>
      </right>
      <top style="thin">
        <color rgb="FFFFFFFF"/>
      </top>
      <bottom style="thin">
        <color rgb="FFFFFFFF"/>
      </bottom>
      <diagonal/>
    </border>
    <border>
      <left style="thin">
        <color rgb="FF000000"/>
      </left>
      <right style="dotted">
        <color rgb="FF002060"/>
      </right>
      <top style="thin">
        <color rgb="FFFFFFFF"/>
      </top>
      <bottom style="thin">
        <color rgb="FFFFFFFF"/>
      </bottom>
      <diagonal/>
    </border>
    <border>
      <left/>
      <right style="thin">
        <color rgb="FF000000"/>
      </right>
      <top style="thin">
        <color rgb="FFFFFFFF"/>
      </top>
      <bottom style="thin">
        <color rgb="FFBFBFBF"/>
      </bottom>
      <diagonal/>
    </border>
    <border>
      <left style="thin">
        <color rgb="FF000000"/>
      </left>
      <right style="thin">
        <color rgb="FF000000"/>
      </right>
      <top style="thin">
        <color rgb="FFFFFFFF"/>
      </top>
      <bottom style="thin">
        <color rgb="FFBFBFBF"/>
      </bottom>
      <diagonal/>
    </border>
    <border>
      <left style="thin">
        <color rgb="FF000000"/>
      </left>
      <right style="thick">
        <color rgb="FF000000"/>
      </right>
      <top style="thin">
        <color rgb="FFFFFFFF"/>
      </top>
      <bottom style="thin">
        <color rgb="FFBFBFBF"/>
      </bottom>
      <diagonal/>
    </border>
    <border>
      <left style="thick">
        <color rgb="FF000000"/>
      </left>
      <right style="thin">
        <color rgb="FF000000"/>
      </right>
      <top style="thin">
        <color rgb="FFFFFFFF"/>
      </top>
      <bottom style="thin">
        <color rgb="FFBFBFBF"/>
      </bottom>
      <diagonal/>
    </border>
    <border>
      <left style="thin">
        <color rgb="FF000000"/>
      </left>
      <right style="dotted">
        <color rgb="FF002060"/>
      </right>
      <top style="thin">
        <color rgb="FFFFFFFF"/>
      </top>
      <bottom style="thin">
        <color rgb="FFBFBFBF"/>
      </bottom>
      <diagonal/>
    </border>
    <border>
      <left/>
      <right style="thin">
        <color rgb="FF000000"/>
      </right>
      <top style="thin">
        <color rgb="FFBFBFBF"/>
      </top>
      <bottom style="dotted">
        <color rgb="FF000000"/>
      </bottom>
      <diagonal/>
    </border>
    <border>
      <left style="thin">
        <color rgb="FF000000"/>
      </left>
      <right style="thin">
        <color rgb="FF000000"/>
      </right>
      <top style="thin">
        <color rgb="FFBFBFBF"/>
      </top>
      <bottom style="dotted">
        <color rgb="FF000000"/>
      </bottom>
      <diagonal/>
    </border>
    <border>
      <left style="thin">
        <color rgb="FF000000"/>
      </left>
      <right style="thick">
        <color rgb="FF000000"/>
      </right>
      <top style="thin">
        <color rgb="FFBFBFBF"/>
      </top>
      <bottom style="dotted">
        <color rgb="FF000000"/>
      </bottom>
      <diagonal/>
    </border>
    <border>
      <left style="thick">
        <color rgb="FF000000"/>
      </left>
      <right style="thin">
        <color rgb="FF000000"/>
      </right>
      <top style="thin">
        <color rgb="FFBFBFBF"/>
      </top>
      <bottom style="dotted">
        <color rgb="FF000000"/>
      </bottom>
      <diagonal/>
    </border>
    <border>
      <left style="thin">
        <color rgb="FF000000"/>
      </left>
      <right style="dotted">
        <color rgb="FF002060"/>
      </right>
      <top style="thin">
        <color rgb="FFBFBFBF"/>
      </top>
      <bottom style="dotted">
        <color rgb="FF000000"/>
      </bottom>
      <diagonal/>
    </border>
    <border>
      <left/>
      <right style="thin">
        <color rgb="FF000000"/>
      </right>
      <top style="dotted">
        <color rgb="FFFFFFFF"/>
      </top>
      <bottom/>
      <diagonal/>
    </border>
    <border>
      <left/>
      <right style="thin">
        <color rgb="FF000000"/>
      </right>
      <top/>
      <bottom/>
      <diagonal/>
    </border>
    <border>
      <left/>
      <right style="thin">
        <color rgb="FF000000"/>
      </right>
      <top/>
      <bottom style="dotted">
        <color rgb="FF000000"/>
      </bottom>
      <diagonal/>
    </border>
    <border>
      <left style="thin">
        <color rgb="FF000000"/>
      </left>
      <right style="thin">
        <color rgb="FF000000"/>
      </right>
      <top style="dotted">
        <color rgb="FF000000"/>
      </top>
      <bottom/>
      <diagonal/>
    </border>
    <border>
      <left style="thin">
        <color rgb="FF000000"/>
      </left>
      <right style="thin">
        <color rgb="FF000000"/>
      </right>
      <top/>
      <bottom/>
      <diagonal/>
    </border>
    <border>
      <left style="thin">
        <color rgb="FF000000"/>
      </left>
      <right style="thick">
        <color rgb="FF000000"/>
      </right>
      <top style="dotted">
        <color rgb="FF000000"/>
      </top>
      <bottom/>
      <diagonal/>
    </border>
    <border>
      <left style="thin">
        <color rgb="FF000000"/>
      </left>
      <right style="thick">
        <color rgb="FF000000"/>
      </right>
      <top/>
      <bottom/>
      <diagonal/>
    </border>
    <border>
      <left style="thick">
        <color rgb="FF000000"/>
      </left>
      <right style="thin">
        <color rgb="FF000000"/>
      </right>
      <top style="dotted">
        <color rgb="FF000000"/>
      </top>
      <bottom/>
      <diagonal/>
    </border>
    <border>
      <left style="thick">
        <color rgb="FF000000"/>
      </left>
      <right style="thin">
        <color rgb="FF000000"/>
      </right>
      <top/>
      <bottom/>
      <diagonal/>
    </border>
    <border>
      <left style="thin">
        <color rgb="FF000000"/>
      </left>
      <right style="dotted">
        <color rgb="FF002060"/>
      </right>
      <top style="dotted">
        <color rgb="FF000000"/>
      </top>
      <bottom/>
      <diagonal/>
    </border>
    <border>
      <left style="thin">
        <color rgb="FF000000"/>
      </left>
      <right style="dotted">
        <color rgb="FF002060"/>
      </right>
      <top/>
      <bottom/>
      <diagonal/>
    </border>
    <border>
      <left style="thin">
        <color rgb="FF000000"/>
      </left>
      <right style="thin">
        <color rgb="FF000000"/>
      </right>
      <top/>
      <bottom style="dotted">
        <color rgb="FF000000"/>
      </bottom>
      <diagonal/>
    </border>
    <border>
      <left style="thin">
        <color rgb="FF000000"/>
      </left>
      <right style="thick">
        <color rgb="FF000000"/>
      </right>
      <top/>
      <bottom style="dotted">
        <color rgb="FF000000"/>
      </bottom>
      <diagonal/>
    </border>
    <border>
      <left style="thick">
        <color rgb="FF000000"/>
      </left>
      <right style="thin">
        <color rgb="FF000000"/>
      </right>
      <top/>
      <bottom style="dotted">
        <color rgb="FF000000"/>
      </bottom>
      <diagonal/>
    </border>
    <border>
      <left style="thin">
        <color rgb="FF000000"/>
      </left>
      <right style="dotted">
        <color rgb="FF002060"/>
      </right>
      <top/>
      <bottom style="dotted">
        <color rgb="FF000000"/>
      </bottom>
      <diagonal/>
    </border>
    <border>
      <left style="dotted">
        <color rgb="FF000000"/>
      </left>
      <right style="thin">
        <color rgb="FF000000"/>
      </right>
      <top style="dotted">
        <color rgb="FF000000"/>
      </top>
      <bottom/>
      <diagonal/>
    </border>
    <border>
      <left style="dotted">
        <color rgb="FF000000"/>
      </left>
      <right style="thin">
        <color rgb="FF000000"/>
      </right>
      <top/>
      <bottom style="thin">
        <color rgb="FF0D0D0D"/>
      </bottom>
      <diagonal/>
    </border>
    <border>
      <left style="thin">
        <color rgb="FF000000"/>
      </left>
      <right style="thick">
        <color rgb="FF000000"/>
      </right>
      <top/>
      <bottom style="thin">
        <color rgb="FF0D0D0D"/>
      </bottom>
      <diagonal/>
    </border>
    <border>
      <left style="thick">
        <color rgb="FF000000"/>
      </left>
      <right style="thin">
        <color rgb="FF000000"/>
      </right>
      <top/>
      <bottom style="thick">
        <color rgb="FF000000"/>
      </bottom>
      <diagonal/>
    </border>
    <border>
      <left style="thin">
        <color rgb="FF000000"/>
      </left>
      <right style="dotted">
        <color rgb="FF002060"/>
      </right>
      <top/>
      <bottom style="thick">
        <color rgb="FF000000"/>
      </bottom>
      <diagonal/>
    </border>
    <border>
      <left style="dotted">
        <color rgb="FF002060"/>
      </left>
      <right style="dotted">
        <color rgb="FF002060"/>
      </right>
      <top/>
      <bottom style="thick">
        <color rgb="FF000000"/>
      </bottom>
      <diagonal/>
    </border>
    <border>
      <left style="dotted">
        <color rgb="FF002060"/>
      </left>
      <right style="thick">
        <color rgb="FF000000"/>
      </right>
      <top/>
      <bottom style="thick">
        <color rgb="FF000000"/>
      </bottom>
      <diagonal/>
    </border>
    <border>
      <left style="thin">
        <color rgb="FF000000"/>
      </left>
      <right/>
      <top style="thin">
        <color rgb="FF0D0D0D"/>
      </top>
      <bottom/>
      <diagonal/>
    </border>
    <border>
      <left/>
      <right style="thin">
        <color rgb="FF000000"/>
      </right>
      <top style="dotted">
        <color rgb="FF000000"/>
      </top>
      <bottom/>
      <diagonal/>
    </border>
    <border>
      <left style="thin">
        <color rgb="FF0D0D0D"/>
      </left>
      <right style="thick">
        <color rgb="FF7F7F7F"/>
      </right>
      <top style="thin">
        <color rgb="FF0D0D0D"/>
      </top>
      <bottom style="dotted">
        <color rgb="FF000000"/>
      </bottom>
      <diagonal/>
    </border>
    <border>
      <left style="thick">
        <color rgb="FF7F7F7F"/>
      </left>
      <right style="thin">
        <color rgb="FF0D0D0D"/>
      </right>
      <top style="thick">
        <color rgb="FF7F7F7F"/>
      </top>
      <bottom style="dotted">
        <color rgb="FF000000"/>
      </bottom>
      <diagonal/>
    </border>
    <border>
      <left style="thin">
        <color rgb="FF0D0D0D"/>
      </left>
      <right style="dotted">
        <color rgb="FF002060"/>
      </right>
      <top style="thick">
        <color rgb="FF7F7F7F"/>
      </top>
      <bottom style="dotted">
        <color rgb="FF000000"/>
      </bottom>
      <diagonal/>
    </border>
    <border>
      <left style="dotted">
        <color rgb="FF002060"/>
      </left>
      <right style="dotted">
        <color rgb="FF002060"/>
      </right>
      <top style="thick">
        <color rgb="FF7F7F7F"/>
      </top>
      <bottom style="dotted">
        <color rgb="FF000000"/>
      </bottom>
      <diagonal/>
    </border>
    <border>
      <left style="dotted">
        <color rgb="FF002060"/>
      </left>
      <right style="thick">
        <color rgb="FF7F7F7F"/>
      </right>
      <top style="thick">
        <color rgb="FF7F7F7F"/>
      </top>
      <bottom style="dotted">
        <color rgb="FF000000"/>
      </bottom>
      <diagonal/>
    </border>
    <border>
      <left style="thick">
        <color rgb="FF7F7F7F"/>
      </left>
      <right/>
      <top style="thin">
        <color rgb="FF0D0D0D"/>
      </top>
      <bottom style="dotted">
        <color rgb="FF000000"/>
      </bottom>
      <diagonal/>
    </border>
    <border>
      <left style="thin">
        <color rgb="FF0D0D0D"/>
      </left>
      <right style="thick">
        <color rgb="FF7F7F7F"/>
      </right>
      <top style="dotted">
        <color rgb="FF000000"/>
      </top>
      <bottom/>
      <diagonal/>
    </border>
    <border>
      <left style="thin">
        <color rgb="FF0D0D0D"/>
      </left>
      <right style="thick">
        <color rgb="FF7F7F7F"/>
      </right>
      <top/>
      <bottom/>
      <diagonal/>
    </border>
    <border>
      <left style="thin">
        <color rgb="FF0D0D0D"/>
      </left>
      <right style="thick">
        <color rgb="FF7F7F7F"/>
      </right>
      <top/>
      <bottom style="thin">
        <color rgb="FF0D0D0D"/>
      </bottom>
      <diagonal/>
    </border>
    <border>
      <left style="thick">
        <color rgb="FF7F7F7F"/>
      </left>
      <right style="thin">
        <color rgb="FF0D0D0D"/>
      </right>
      <top style="dotted">
        <color rgb="FF000000"/>
      </top>
      <bottom/>
      <diagonal/>
    </border>
    <border>
      <left style="thick">
        <color rgb="FF7F7F7F"/>
      </left>
      <right style="thin">
        <color rgb="FF0D0D0D"/>
      </right>
      <top/>
      <bottom/>
      <diagonal/>
    </border>
    <border>
      <left style="thick">
        <color rgb="FF7F7F7F"/>
      </left>
      <right style="thin">
        <color rgb="FF0D0D0D"/>
      </right>
      <top/>
      <bottom style="thick">
        <color rgb="FF7F7F7F"/>
      </bottom>
      <diagonal/>
    </border>
    <border>
      <left style="thin">
        <color rgb="FF0D0D0D"/>
      </left>
      <right style="dotted">
        <color rgb="FF002060"/>
      </right>
      <top/>
      <bottom style="thick">
        <color rgb="FF7F7F7F"/>
      </bottom>
      <diagonal/>
    </border>
    <border>
      <left style="dotted">
        <color rgb="FF002060"/>
      </left>
      <right style="dotted">
        <color rgb="FF002060"/>
      </right>
      <top/>
      <bottom style="thick">
        <color rgb="FF7F7F7F"/>
      </bottom>
      <diagonal/>
    </border>
    <border>
      <left style="dotted">
        <color rgb="FF002060"/>
      </left>
      <right style="thick">
        <color rgb="FF7F7F7F"/>
      </right>
      <top style="dotted">
        <color rgb="FF000000"/>
      </top>
      <bottom/>
      <diagonal/>
    </border>
    <border>
      <left style="dotted">
        <color rgb="FF002060"/>
      </left>
      <right style="thick">
        <color rgb="FF7F7F7F"/>
      </right>
      <top/>
      <bottom/>
      <diagonal/>
    </border>
    <border>
      <left style="dotted">
        <color rgb="FF002060"/>
      </left>
      <right style="thick">
        <color rgb="FF7F7F7F"/>
      </right>
      <top/>
      <bottom style="thick">
        <color rgb="FF7F7F7F"/>
      </bottom>
      <diagonal/>
    </border>
    <border>
      <left style="thick">
        <color rgb="FF7F7F7F"/>
      </left>
      <right/>
      <top style="dotted">
        <color rgb="FF000000"/>
      </top>
      <bottom/>
      <diagonal/>
    </border>
    <border>
      <left style="thick">
        <color rgb="FF7F7F7F"/>
      </left>
      <right/>
      <top/>
      <bottom/>
      <diagonal/>
    </border>
    <border>
      <left style="thick">
        <color rgb="FF7F7F7F"/>
      </left>
      <right/>
      <top/>
      <bottom style="thin">
        <color rgb="FF0D0D0D"/>
      </bottom>
      <diagonal/>
    </border>
    <border>
      <left/>
      <right style="thin">
        <color indexed="64"/>
      </right>
      <top style="thin">
        <color indexed="64"/>
      </top>
      <bottom/>
      <diagonal/>
    </border>
    <border>
      <left/>
      <right/>
      <top style="thin">
        <color indexed="64"/>
      </top>
      <bottom style="double">
        <color indexed="64"/>
      </bottom>
      <diagonal/>
    </border>
    <border>
      <left style="thick">
        <color rgb="FF00B0F0"/>
      </left>
      <right/>
      <top style="thick">
        <color rgb="FF00B0F0"/>
      </top>
      <bottom style="thick">
        <color rgb="FF00B0F0"/>
      </bottom>
      <diagonal/>
    </border>
    <border>
      <left/>
      <right style="thick">
        <color rgb="FF00B0F0"/>
      </right>
      <top style="thick">
        <color rgb="FF00B0F0"/>
      </top>
      <bottom style="thick">
        <color rgb="FF00B0F0"/>
      </bottom>
      <diagonal/>
    </border>
    <border>
      <left style="thin">
        <color indexed="64"/>
      </left>
      <right style="thin">
        <color indexed="64"/>
      </right>
      <top style="thin">
        <color indexed="64"/>
      </top>
      <bottom style="thin">
        <color theme="0"/>
      </bottom>
      <diagonal/>
    </border>
    <border>
      <left/>
      <right style="thin">
        <color indexed="64"/>
      </right>
      <top style="thin">
        <color indexed="64"/>
      </top>
      <bottom style="thin">
        <color theme="0"/>
      </bottom>
      <diagonal/>
    </border>
    <border>
      <left/>
      <right style="thin">
        <color indexed="64"/>
      </right>
      <top style="thin">
        <color theme="0"/>
      </top>
      <bottom style="thin">
        <color theme="0"/>
      </bottom>
      <diagonal/>
    </border>
    <border>
      <left style="thin">
        <color indexed="64"/>
      </left>
      <right style="thin">
        <color indexed="64"/>
      </right>
      <top style="thin">
        <color theme="0"/>
      </top>
      <bottom/>
      <diagonal/>
    </border>
    <border>
      <left/>
      <right style="thin">
        <color indexed="64"/>
      </right>
      <top style="thin">
        <color theme="0"/>
      </top>
      <bottom/>
      <diagonal/>
    </border>
    <border>
      <left style="thin">
        <color indexed="64"/>
      </left>
      <right style="thin">
        <color indexed="64"/>
      </right>
      <top style="thin">
        <color theme="0"/>
      </top>
      <bottom style="thin">
        <color indexed="64"/>
      </bottom>
      <diagonal/>
    </border>
    <border diagonalDown="1">
      <left style="thin">
        <color auto="1"/>
      </left>
      <right style="thin">
        <color auto="1"/>
      </right>
      <top style="thin">
        <color auto="1"/>
      </top>
      <bottom style="thin">
        <color auto="1"/>
      </bottom>
      <diagonal style="thin">
        <color auto="1"/>
      </diagonal>
    </border>
    <border>
      <left style="thin">
        <color indexed="64"/>
      </left>
      <right/>
      <top style="thin">
        <color indexed="64"/>
      </top>
      <bottom style="thin">
        <color indexed="8"/>
      </bottom>
      <diagonal/>
    </border>
    <border>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64"/>
      </right>
      <top style="thin">
        <color indexed="8"/>
      </top>
      <bottom/>
      <diagonal/>
    </border>
    <border>
      <left style="thin">
        <color indexed="64"/>
      </left>
      <right style="thick">
        <color rgb="FFFF0000"/>
      </right>
      <top style="thin">
        <color indexed="64"/>
      </top>
      <bottom style="thin">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ck">
        <color rgb="FFFF0000"/>
      </bottom>
      <diagonal/>
    </border>
    <border>
      <left/>
      <right/>
      <top style="medium">
        <color theme="1" tint="0.499984740745262"/>
      </top>
      <bottom style="medium">
        <color theme="1" tint="0.499984740745262"/>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thick">
        <color rgb="FF000000"/>
      </left>
      <right/>
      <top style="thick">
        <color rgb="FF000000"/>
      </top>
      <bottom style="medium">
        <color rgb="FF000000"/>
      </bottom>
      <diagonal/>
    </border>
    <border>
      <left/>
      <right/>
      <top style="thick">
        <color rgb="FF000000"/>
      </top>
      <bottom style="medium">
        <color rgb="FF000000"/>
      </bottom>
      <diagonal/>
    </border>
    <border>
      <left/>
      <right style="thick">
        <color rgb="FF000000"/>
      </right>
      <top style="thick">
        <color rgb="FF000000"/>
      </top>
      <bottom style="medium">
        <color rgb="FF000000"/>
      </bottom>
      <diagonal/>
    </border>
    <border>
      <left style="medium">
        <color rgb="FF000000"/>
      </left>
      <right style="dotted">
        <color rgb="FF000000"/>
      </right>
      <top style="medium">
        <color rgb="FF000000"/>
      </top>
      <bottom/>
      <diagonal/>
    </border>
    <border>
      <left style="medium">
        <color rgb="FF000000"/>
      </left>
      <right style="dotted">
        <color rgb="FF000000"/>
      </right>
      <top/>
      <bottom/>
      <diagonal/>
    </border>
    <border>
      <left style="medium">
        <color rgb="FF000000"/>
      </left>
      <right style="dotted">
        <color rgb="FF000000"/>
      </right>
      <top/>
      <bottom style="medium">
        <color rgb="FF000000"/>
      </bottom>
      <diagonal/>
    </border>
    <border>
      <left style="dotted">
        <color rgb="FF000000"/>
      </left>
      <right/>
      <top style="medium">
        <color rgb="FF000000"/>
      </top>
      <bottom style="thin">
        <color rgb="FF000000"/>
      </bottom>
      <diagonal/>
    </border>
    <border>
      <left/>
      <right/>
      <top style="medium">
        <color rgb="FF000000"/>
      </top>
      <bottom style="thin">
        <color rgb="FF000000"/>
      </bottom>
      <diagonal/>
    </border>
    <border>
      <left/>
      <right style="thick">
        <color rgb="FF000000"/>
      </right>
      <top style="medium">
        <color rgb="FF000000"/>
      </top>
      <bottom style="thin">
        <color rgb="FF000000"/>
      </bottom>
      <diagonal/>
    </border>
    <border>
      <left style="dotted">
        <color rgb="FF000000"/>
      </left>
      <right style="dotted">
        <color rgb="FF000000"/>
      </right>
      <top style="thin">
        <color rgb="FF000000"/>
      </top>
      <bottom style="medium">
        <color rgb="FF000000"/>
      </bottom>
      <diagonal/>
    </border>
    <border>
      <left style="dotted">
        <color rgb="FF000000"/>
      </left>
      <right style="dotted">
        <color rgb="FF000000"/>
      </right>
      <top style="thin">
        <color rgb="FF000000"/>
      </top>
      <bottom/>
      <diagonal/>
    </border>
    <border>
      <left style="dotted">
        <color rgb="FF000000"/>
      </left>
      <right style="dotted">
        <color rgb="FF000000"/>
      </right>
      <top/>
      <bottom style="medium">
        <color rgb="FF000000"/>
      </bottom>
      <diagonal/>
    </border>
    <border>
      <left style="dotted">
        <color rgb="FF000000"/>
      </left>
      <right/>
      <top style="thin">
        <color rgb="FF000000"/>
      </top>
      <bottom/>
      <diagonal/>
    </border>
    <border>
      <left/>
      <right style="dotted">
        <color rgb="FF000000"/>
      </right>
      <top style="thin">
        <color rgb="FF000000"/>
      </top>
      <bottom/>
      <diagonal/>
    </border>
    <border>
      <left style="dotted">
        <color rgb="FF000000"/>
      </left>
      <right/>
      <top/>
      <bottom style="thin">
        <color rgb="FF000000"/>
      </bottom>
      <diagonal/>
    </border>
    <border>
      <left/>
      <right style="dotted">
        <color rgb="FF000000"/>
      </right>
      <top/>
      <bottom style="thin">
        <color rgb="FF000000"/>
      </bottom>
      <diagonal/>
    </border>
    <border>
      <left style="dotted">
        <color rgb="FF000000"/>
      </left>
      <right style="thick">
        <color rgb="FF000000"/>
      </right>
      <top style="thin">
        <color rgb="FF000000"/>
      </top>
      <bottom/>
      <diagonal/>
    </border>
    <border>
      <left style="dotted">
        <color rgb="FF000000"/>
      </left>
      <right style="thick">
        <color rgb="FF000000"/>
      </right>
      <top/>
      <bottom/>
      <diagonal/>
    </border>
    <border>
      <left style="dotted">
        <color rgb="FF000000"/>
      </left>
      <right style="thick">
        <color rgb="FF000000"/>
      </right>
      <top/>
      <bottom style="medium">
        <color rgb="FF000000"/>
      </bottom>
      <diagonal/>
    </border>
    <border>
      <left style="dotted">
        <color rgb="FF000000"/>
      </left>
      <right style="dotted">
        <color rgb="FF000000"/>
      </right>
      <top style="medium">
        <color rgb="FF000000"/>
      </top>
      <bottom/>
      <diagonal/>
    </border>
    <border>
      <left style="dotted">
        <color rgb="FF000000"/>
      </left>
      <right style="thick">
        <color rgb="FF000000"/>
      </right>
      <top style="medium">
        <color rgb="FF000000"/>
      </top>
      <bottom/>
      <diagonal/>
    </border>
    <border>
      <left style="thick">
        <color rgb="FF000000"/>
      </left>
      <right style="medium">
        <color rgb="FF000000"/>
      </right>
      <top style="medium">
        <color rgb="FF000000"/>
      </top>
      <bottom style="thick">
        <color rgb="FF000000"/>
      </bottom>
      <diagonal/>
    </border>
    <border>
      <left style="medium">
        <color rgb="FF000000"/>
      </left>
      <right style="dotted">
        <color rgb="FF000000"/>
      </right>
      <top style="medium">
        <color rgb="FF000000"/>
      </top>
      <bottom style="thick">
        <color rgb="FF000000"/>
      </bottom>
      <diagonal/>
    </border>
    <border>
      <left style="dotted">
        <color rgb="FF000000"/>
      </left>
      <right style="dotted">
        <color rgb="FF000000"/>
      </right>
      <top style="medium">
        <color rgb="FF000000"/>
      </top>
      <bottom style="thick">
        <color rgb="FF000000"/>
      </bottom>
      <diagonal/>
    </border>
    <border>
      <left style="dotted">
        <color rgb="FF000000"/>
      </left>
      <right style="thick">
        <color rgb="FF000000"/>
      </right>
      <top style="medium">
        <color rgb="FF000000"/>
      </top>
      <bottom style="thick">
        <color rgb="FF000000"/>
      </bottom>
      <diagonal/>
    </border>
    <border>
      <left style="thick">
        <color rgb="FF000000"/>
      </left>
      <right/>
      <top style="thick">
        <color rgb="FF000000"/>
      </top>
      <bottom style="thin">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style="medium">
        <color rgb="FF000000"/>
      </right>
      <top style="thin">
        <color rgb="FF000000"/>
      </top>
      <bottom/>
      <diagonal/>
    </border>
    <border>
      <left style="medium">
        <color rgb="FF000000"/>
      </left>
      <right style="dotted">
        <color rgb="FF000000"/>
      </right>
      <top style="thin">
        <color rgb="FF000000"/>
      </top>
      <bottom/>
      <diagonal/>
    </border>
    <border>
      <left style="medium">
        <color rgb="FF000000"/>
      </left>
      <right style="medium">
        <color rgb="FF000000"/>
      </right>
      <top/>
      <bottom style="dotted">
        <color rgb="FF000000"/>
      </bottom>
      <diagonal/>
    </border>
    <border>
      <left style="medium">
        <color rgb="FF000000"/>
      </left>
      <right style="thick">
        <color rgb="FF000000"/>
      </right>
      <top/>
      <bottom style="dotted">
        <color rgb="FF000000"/>
      </bottom>
      <diagonal/>
    </border>
    <border>
      <left style="thick">
        <color rgb="FF000000"/>
      </left>
      <right style="medium">
        <color rgb="FF000000"/>
      </right>
      <top/>
      <bottom style="dotted">
        <color rgb="FF000000"/>
      </bottom>
      <diagonal/>
    </border>
    <border>
      <left style="medium">
        <color rgb="FF000000"/>
      </left>
      <right style="dotted">
        <color rgb="FF000000"/>
      </right>
      <top/>
      <bottom style="dotted">
        <color rgb="FF000000"/>
      </bottom>
      <diagonal/>
    </border>
    <border>
      <left style="dotted">
        <color rgb="FF000000"/>
      </left>
      <right style="thick">
        <color rgb="FF000000"/>
      </right>
      <top/>
      <bottom style="dotted">
        <color rgb="FF000000"/>
      </bottom>
      <diagonal/>
    </border>
    <border>
      <left style="medium">
        <color rgb="FF000000"/>
      </left>
      <right style="medium">
        <color rgb="FF000000"/>
      </right>
      <top style="dotted">
        <color rgb="FF000000"/>
      </top>
      <bottom style="dotted">
        <color rgb="FF000000"/>
      </bottom>
      <diagonal/>
    </border>
    <border>
      <left style="medium">
        <color rgb="FF000000"/>
      </left>
      <right style="thick">
        <color rgb="FF000000"/>
      </right>
      <top style="dotted">
        <color rgb="FF000000"/>
      </top>
      <bottom style="dotted">
        <color rgb="FF000000"/>
      </bottom>
      <diagonal/>
    </border>
    <border>
      <left style="thick">
        <color rgb="FF000000"/>
      </left>
      <right style="medium">
        <color rgb="FF000000"/>
      </right>
      <top style="dotted">
        <color rgb="FF000000"/>
      </top>
      <bottom style="dotted">
        <color rgb="FF000000"/>
      </bottom>
      <diagonal/>
    </border>
    <border>
      <left style="medium">
        <color rgb="FF000000"/>
      </left>
      <right style="dotted">
        <color rgb="FF000000"/>
      </right>
      <top style="dotted">
        <color rgb="FF000000"/>
      </top>
      <bottom style="dotted">
        <color rgb="FF000000"/>
      </bottom>
      <diagonal/>
    </border>
    <border>
      <left style="dotted">
        <color rgb="FF000000"/>
      </left>
      <right style="thick">
        <color rgb="FF000000"/>
      </right>
      <top style="dotted">
        <color rgb="FF000000"/>
      </top>
      <bottom style="dotted">
        <color rgb="FF000000"/>
      </bottom>
      <diagonal/>
    </border>
    <border>
      <left style="medium">
        <color rgb="FF000000"/>
      </left>
      <right style="medium">
        <color rgb="FF000000"/>
      </right>
      <top style="dotted">
        <color rgb="FF000000"/>
      </top>
      <bottom style="medium">
        <color rgb="FF000000"/>
      </bottom>
      <diagonal/>
    </border>
    <border>
      <left style="medium">
        <color rgb="FF000000"/>
      </left>
      <right style="thick">
        <color rgb="FF000000"/>
      </right>
      <top style="dotted">
        <color rgb="FF000000"/>
      </top>
      <bottom style="medium">
        <color rgb="FF000000"/>
      </bottom>
      <diagonal/>
    </border>
    <border>
      <left style="thick">
        <color rgb="FF000000"/>
      </left>
      <right style="medium">
        <color rgb="FF000000"/>
      </right>
      <top style="dotted">
        <color rgb="FF000000"/>
      </top>
      <bottom style="medium">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thick">
        <color rgb="FF000000"/>
      </right>
      <top style="dotted">
        <color rgb="FF000000"/>
      </top>
      <bottom style="medium">
        <color rgb="FF000000"/>
      </bottom>
      <diagonal/>
    </border>
    <border>
      <left style="medium">
        <color rgb="FF000000"/>
      </left>
      <right/>
      <top style="medium">
        <color rgb="FF000000"/>
      </top>
      <bottom style="medium">
        <color rgb="FF000000"/>
      </bottom>
      <diagonal/>
    </border>
    <border>
      <left/>
      <right style="thin">
        <color rgb="FF7F7F7F"/>
      </right>
      <top style="medium">
        <color rgb="FF000000"/>
      </top>
      <bottom style="medium">
        <color rgb="FF000000"/>
      </bottom>
      <diagonal/>
    </border>
    <border>
      <left style="thin">
        <color rgb="FF7F7F7F"/>
      </left>
      <right style="thick">
        <color rgb="FF000000"/>
      </right>
      <top style="medium">
        <color rgb="FF000000"/>
      </top>
      <bottom style="medium">
        <color rgb="FF000000"/>
      </bottom>
      <diagonal/>
    </border>
    <border>
      <left style="thick">
        <color rgb="FF000000"/>
      </left>
      <right style="thin">
        <color rgb="FF7F7F7F"/>
      </right>
      <top style="medium">
        <color rgb="FF000000"/>
      </top>
      <bottom style="medium">
        <color rgb="FF000000"/>
      </bottom>
      <diagonal/>
    </border>
    <border>
      <left style="thin">
        <color rgb="FF7F7F7F"/>
      </left>
      <right style="medium">
        <color rgb="FF000000"/>
      </right>
      <top style="medium">
        <color rgb="FF000000"/>
      </top>
      <bottom style="medium">
        <color rgb="FF000000"/>
      </bottom>
      <diagonal/>
    </border>
    <border>
      <left/>
      <right style="thin">
        <color rgb="FF7F7F7F"/>
      </right>
      <top style="medium">
        <color rgb="FF000000"/>
      </top>
      <bottom/>
      <diagonal/>
    </border>
    <border>
      <left style="thin">
        <color rgb="FF7F7F7F"/>
      </left>
      <right style="thick">
        <color rgb="FF000000"/>
      </right>
      <top style="medium">
        <color rgb="FF000000"/>
      </top>
      <bottom style="thin">
        <color rgb="FF7F7F7F"/>
      </bottom>
      <diagonal/>
    </border>
    <border>
      <left style="thick">
        <color rgb="FF000000"/>
      </left>
      <right style="thick">
        <color rgb="FF000000"/>
      </right>
      <top style="medium">
        <color rgb="FF000000"/>
      </top>
      <bottom style="thin">
        <color rgb="FF7F7F7F"/>
      </bottom>
      <diagonal/>
    </border>
    <border>
      <left style="thick">
        <color rgb="FF000000"/>
      </left>
      <right style="thin">
        <color rgb="FF7F7F7F"/>
      </right>
      <top style="medium">
        <color rgb="FF000000"/>
      </top>
      <bottom style="thin">
        <color rgb="FF7F7F7F"/>
      </bottom>
      <diagonal/>
    </border>
    <border>
      <left style="thin">
        <color rgb="FF7F7F7F"/>
      </left>
      <right style="medium">
        <color rgb="FF000000"/>
      </right>
      <top style="medium">
        <color rgb="FF000000"/>
      </top>
      <bottom style="thin">
        <color rgb="FF7F7F7F"/>
      </bottom>
      <diagonal/>
    </border>
    <border>
      <left style="medium">
        <color rgb="FF000000"/>
      </left>
      <right style="thin">
        <color rgb="FF7F7F7F"/>
      </right>
      <top/>
      <bottom/>
      <diagonal/>
    </border>
    <border>
      <left style="thin">
        <color rgb="FF7F7F7F"/>
      </left>
      <right style="thin">
        <color rgb="FF7F7F7F"/>
      </right>
      <top style="thin">
        <color rgb="FF7F7F7F"/>
      </top>
      <bottom/>
      <diagonal/>
    </border>
    <border>
      <left style="thin">
        <color rgb="FF7F7F7F"/>
      </left>
      <right style="thick">
        <color rgb="FF000000"/>
      </right>
      <top style="thin">
        <color rgb="FF7F7F7F"/>
      </top>
      <bottom/>
      <diagonal/>
    </border>
    <border>
      <left style="thick">
        <color rgb="FF000000"/>
      </left>
      <right style="thick">
        <color rgb="FF000000"/>
      </right>
      <top style="thin">
        <color rgb="FF7F7F7F"/>
      </top>
      <bottom/>
      <diagonal/>
    </border>
    <border>
      <left style="thick">
        <color rgb="FF000000"/>
      </left>
      <right style="thin">
        <color rgb="FF7F7F7F"/>
      </right>
      <top style="thin">
        <color rgb="FF7F7F7F"/>
      </top>
      <bottom/>
      <diagonal/>
    </border>
    <border>
      <left style="thin">
        <color rgb="FF7F7F7F"/>
      </left>
      <right style="medium">
        <color rgb="FF000000"/>
      </right>
      <top style="thin">
        <color rgb="FF7F7F7F"/>
      </top>
      <bottom/>
      <diagonal/>
    </border>
    <border>
      <left style="medium">
        <color rgb="FF000000"/>
      </left>
      <right style="thin">
        <color rgb="FF7F7F7F"/>
      </right>
      <top/>
      <bottom style="thin">
        <color rgb="FF000000"/>
      </bottom>
      <diagonal/>
    </border>
    <border>
      <left style="thin">
        <color rgb="FF7F7F7F"/>
      </left>
      <right style="thin">
        <color rgb="FF7F7F7F"/>
      </right>
      <top/>
      <bottom style="thin">
        <color rgb="FF000000"/>
      </bottom>
      <diagonal/>
    </border>
    <border>
      <left style="thin">
        <color rgb="FF7F7F7F"/>
      </left>
      <right style="thick">
        <color rgb="FF000000"/>
      </right>
      <top/>
      <bottom style="thin">
        <color rgb="FF000000"/>
      </bottom>
      <diagonal/>
    </border>
    <border>
      <left style="thick">
        <color rgb="FF000000"/>
      </left>
      <right style="thick">
        <color rgb="FF000000"/>
      </right>
      <top/>
      <bottom style="thin">
        <color rgb="FF000000"/>
      </bottom>
      <diagonal/>
    </border>
    <border>
      <left style="thick">
        <color rgb="FF000000"/>
      </left>
      <right style="thin">
        <color rgb="FF7F7F7F"/>
      </right>
      <top/>
      <bottom style="thin">
        <color rgb="FF000000"/>
      </bottom>
      <diagonal/>
    </border>
    <border>
      <left style="thin">
        <color rgb="FF7F7F7F"/>
      </left>
      <right style="medium">
        <color rgb="FF000000"/>
      </right>
      <top/>
      <bottom style="thin">
        <color rgb="FF000000"/>
      </bottom>
      <diagonal/>
    </border>
    <border>
      <left style="medium">
        <color rgb="FF000000"/>
      </left>
      <right/>
      <top style="thin">
        <color rgb="FF000000"/>
      </top>
      <bottom style="thin">
        <color rgb="FF000000"/>
      </bottom>
      <diagonal/>
    </border>
    <border>
      <left/>
      <right style="thin">
        <color rgb="FF7F7F7F"/>
      </right>
      <top style="thin">
        <color rgb="FF000000"/>
      </top>
      <bottom style="thin">
        <color rgb="FF000000"/>
      </bottom>
      <diagonal/>
    </border>
    <border>
      <left style="thin">
        <color rgb="FF7F7F7F"/>
      </left>
      <right style="thick">
        <color rgb="FF000000"/>
      </right>
      <top style="thin">
        <color rgb="FF000000"/>
      </top>
      <bottom style="thin">
        <color rgb="FF000000"/>
      </bottom>
      <diagonal/>
    </border>
    <border>
      <left style="thick">
        <color rgb="FF000000"/>
      </left>
      <right style="thick">
        <color rgb="FF000000"/>
      </right>
      <top style="thin">
        <color rgb="FF000000"/>
      </top>
      <bottom style="thin">
        <color rgb="FF000000"/>
      </bottom>
      <diagonal/>
    </border>
    <border>
      <left style="thick">
        <color rgb="FF000000"/>
      </left>
      <right style="thin">
        <color rgb="FF7F7F7F"/>
      </right>
      <top style="thin">
        <color rgb="FF000000"/>
      </top>
      <bottom style="thin">
        <color rgb="FF000000"/>
      </bottom>
      <diagonal/>
    </border>
    <border>
      <left style="thin">
        <color rgb="FF7F7F7F"/>
      </left>
      <right style="medium">
        <color rgb="FF000000"/>
      </right>
      <top style="thin">
        <color rgb="FF000000"/>
      </top>
      <bottom style="thin">
        <color rgb="FF000000"/>
      </bottom>
      <diagonal/>
    </border>
    <border>
      <left style="medium">
        <color rgb="FF000000"/>
      </left>
      <right/>
      <top style="thin">
        <color rgb="FF000000"/>
      </top>
      <bottom/>
      <diagonal/>
    </border>
    <border>
      <left/>
      <right style="thin">
        <color rgb="FF7F7F7F"/>
      </right>
      <top style="thin">
        <color rgb="FF000000"/>
      </top>
      <bottom/>
      <diagonal/>
    </border>
    <border>
      <left style="thin">
        <color rgb="FF7F7F7F"/>
      </left>
      <right style="thick">
        <color rgb="FF000000"/>
      </right>
      <top style="thin">
        <color rgb="FF000000"/>
      </top>
      <bottom/>
      <diagonal/>
    </border>
    <border>
      <left style="thick">
        <color rgb="FF000000"/>
      </left>
      <right style="thick">
        <color rgb="FF000000"/>
      </right>
      <top style="thin">
        <color rgb="FF000000"/>
      </top>
      <bottom/>
      <diagonal/>
    </border>
    <border>
      <left style="thick">
        <color rgb="FF000000"/>
      </left>
      <right style="thin">
        <color rgb="FF7F7F7F"/>
      </right>
      <top style="thin">
        <color rgb="FF000000"/>
      </top>
      <bottom/>
      <diagonal/>
    </border>
    <border>
      <left style="thin">
        <color rgb="FF7F7F7F"/>
      </left>
      <right style="medium">
        <color rgb="FF000000"/>
      </right>
      <top style="thin">
        <color rgb="FF000000"/>
      </top>
      <bottom/>
      <diagonal/>
    </border>
    <border>
      <left style="medium">
        <color rgb="FF000000"/>
      </left>
      <right/>
      <top/>
      <bottom style="thin">
        <color rgb="FF000000"/>
      </bottom>
      <diagonal/>
    </border>
    <border>
      <left/>
      <right style="thin">
        <color rgb="FF7F7F7F"/>
      </right>
      <top/>
      <bottom style="thin">
        <color rgb="FF000000"/>
      </bottom>
      <diagonal/>
    </border>
    <border>
      <left style="medium">
        <color rgb="FF000000"/>
      </left>
      <right/>
      <top style="thin">
        <color rgb="FF000000"/>
      </top>
      <bottom style="medium">
        <color rgb="FF000000"/>
      </bottom>
      <diagonal/>
    </border>
    <border>
      <left/>
      <right style="thin">
        <color rgb="FF7F7F7F"/>
      </right>
      <top style="thin">
        <color rgb="FF000000"/>
      </top>
      <bottom style="medium">
        <color rgb="FF000000"/>
      </bottom>
      <diagonal/>
    </border>
    <border>
      <left style="thin">
        <color rgb="FF7F7F7F"/>
      </left>
      <right style="thick">
        <color rgb="FF000000"/>
      </right>
      <top style="thin">
        <color rgb="FF000000"/>
      </top>
      <bottom style="medium">
        <color rgb="FF000000"/>
      </bottom>
      <diagonal/>
    </border>
    <border>
      <left style="thick">
        <color rgb="FF000000"/>
      </left>
      <right style="thick">
        <color rgb="FF000000"/>
      </right>
      <top style="thin">
        <color rgb="FF000000"/>
      </top>
      <bottom style="thick">
        <color rgb="FF000000"/>
      </bottom>
      <diagonal/>
    </border>
    <border>
      <left style="thick">
        <color rgb="FF000000"/>
      </left>
      <right style="thin">
        <color rgb="FF7F7F7F"/>
      </right>
      <top style="thin">
        <color rgb="FF000000"/>
      </top>
      <bottom style="medium">
        <color rgb="FF000000"/>
      </bottom>
      <diagonal/>
    </border>
    <border>
      <left style="thin">
        <color rgb="FF7F7F7F"/>
      </left>
      <right style="medium">
        <color rgb="FF000000"/>
      </right>
      <top style="thin">
        <color rgb="FF000000"/>
      </top>
      <bottom style="medium">
        <color rgb="FF000000"/>
      </bottom>
      <diagonal/>
    </border>
    <border>
      <left style="thin">
        <color rgb="FF7F7F7F"/>
      </left>
      <right/>
      <top style="medium">
        <color rgb="FF000000"/>
      </top>
      <bottom style="thin">
        <color rgb="FF000000"/>
      </bottom>
      <diagonal/>
    </border>
    <border>
      <left style="thick">
        <color rgb="FF000000"/>
      </left>
      <right/>
      <top style="medium">
        <color rgb="FF000000"/>
      </top>
      <bottom style="thin">
        <color rgb="FF000000"/>
      </bottom>
      <diagonal/>
    </border>
    <border>
      <left/>
      <right style="thin">
        <color rgb="FF7F7F7F"/>
      </right>
      <top style="medium">
        <color rgb="FF000000"/>
      </top>
      <bottom style="thin">
        <color rgb="FF000000"/>
      </bottom>
      <diagonal/>
    </border>
    <border>
      <left/>
      <right style="medium">
        <color rgb="FF000000"/>
      </right>
      <top style="medium">
        <color rgb="FF000000"/>
      </top>
      <bottom style="thin">
        <color rgb="FF000000"/>
      </bottom>
      <diagonal/>
    </border>
    <border>
      <left/>
      <right style="thin">
        <color rgb="FF7F7F7F"/>
      </right>
      <top/>
      <bottom style="medium">
        <color rgb="FF000000"/>
      </bottom>
      <diagonal/>
    </border>
    <border>
      <left style="thin">
        <color rgb="FF7F7F7F"/>
      </left>
      <right style="dotted">
        <color rgb="FF000000"/>
      </right>
      <top style="thin">
        <color rgb="FF000000"/>
      </top>
      <bottom style="medium">
        <color rgb="FF000000"/>
      </bottom>
      <diagonal/>
    </border>
    <border>
      <left style="dotted">
        <color rgb="FF000000"/>
      </left>
      <right style="thick">
        <color rgb="FF000000"/>
      </right>
      <top style="thin">
        <color rgb="FF000000"/>
      </top>
      <bottom style="medium">
        <color rgb="FF000000"/>
      </bottom>
      <diagonal/>
    </border>
    <border>
      <left style="thick">
        <color rgb="FF000000"/>
      </left>
      <right style="dotted">
        <color rgb="FF7F7F7F"/>
      </right>
      <top style="thin">
        <color rgb="FF000000"/>
      </top>
      <bottom style="medium">
        <color rgb="FF000000"/>
      </bottom>
      <diagonal/>
    </border>
    <border>
      <left style="dotted">
        <color rgb="FF7F7F7F"/>
      </left>
      <right style="dotted">
        <color rgb="FF7F7F7F"/>
      </right>
      <top style="thin">
        <color rgb="FF000000"/>
      </top>
      <bottom style="medium">
        <color rgb="FF000000"/>
      </bottom>
      <diagonal/>
    </border>
    <border>
      <left style="dotted">
        <color rgb="FF7F7F7F"/>
      </left>
      <right style="thick">
        <color rgb="FF000000"/>
      </right>
      <top style="thin">
        <color rgb="FF000000"/>
      </top>
      <bottom style="medium">
        <color rgb="FF000000"/>
      </bottom>
      <diagonal/>
    </border>
    <border>
      <left style="thick">
        <color rgb="FF000000"/>
      </left>
      <right style="dotted">
        <color rgb="FF000000"/>
      </right>
      <top style="thin">
        <color rgb="FF000000"/>
      </top>
      <bottom style="medium">
        <color rgb="FF000000"/>
      </bottom>
      <diagonal/>
    </border>
    <border>
      <left style="dotted">
        <color rgb="FF000000"/>
      </left>
      <right style="thin">
        <color rgb="FF7F7F7F"/>
      </right>
      <top style="thin">
        <color rgb="FF000000"/>
      </top>
      <bottom style="medium">
        <color rgb="FF000000"/>
      </bottom>
      <diagonal/>
    </border>
    <border>
      <left style="dotted">
        <color rgb="FF000000"/>
      </left>
      <right style="medium">
        <color rgb="FF000000"/>
      </right>
      <top style="thin">
        <color rgb="FF000000"/>
      </top>
      <bottom style="medium">
        <color rgb="FF000000"/>
      </bottom>
      <diagonal/>
    </border>
    <border>
      <left style="thin">
        <color rgb="FF7F7F7F"/>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thick">
        <color rgb="FF000000"/>
      </right>
      <top style="medium">
        <color rgb="FF000000"/>
      </top>
      <bottom style="dotted">
        <color rgb="FF000000"/>
      </bottom>
      <diagonal/>
    </border>
    <border>
      <left style="thick">
        <color rgb="FF000000"/>
      </left>
      <right style="dotted">
        <color rgb="FF7F7F7F"/>
      </right>
      <top style="medium">
        <color rgb="FF000000"/>
      </top>
      <bottom style="dotted">
        <color rgb="FF000000"/>
      </bottom>
      <diagonal/>
    </border>
    <border>
      <left style="dotted">
        <color rgb="FF7F7F7F"/>
      </left>
      <right style="dotted">
        <color rgb="FF7F7F7F"/>
      </right>
      <top style="medium">
        <color rgb="FF000000"/>
      </top>
      <bottom style="dotted">
        <color rgb="FF000000"/>
      </bottom>
      <diagonal/>
    </border>
    <border>
      <left style="dotted">
        <color rgb="FF7F7F7F"/>
      </left>
      <right style="thick">
        <color rgb="FF000000"/>
      </right>
      <top style="medium">
        <color rgb="FF000000"/>
      </top>
      <bottom style="dotted">
        <color rgb="FF000000"/>
      </bottom>
      <diagonal/>
    </border>
    <border>
      <left style="thick">
        <color rgb="FF000000"/>
      </left>
      <right style="dotted">
        <color rgb="FF000000"/>
      </right>
      <top style="medium">
        <color rgb="FF000000"/>
      </top>
      <bottom style="dotted">
        <color rgb="FF000000"/>
      </bottom>
      <diagonal/>
    </border>
    <border>
      <left style="dotted">
        <color rgb="FF000000"/>
      </left>
      <right style="thin">
        <color rgb="FF7F7F7F"/>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style="medium">
        <color rgb="FF000000"/>
      </left>
      <right style="dotted">
        <color rgb="FF000000"/>
      </right>
      <top/>
      <bottom style="dotted">
        <color rgb="FFFFFFFF"/>
      </bottom>
      <diagonal/>
    </border>
    <border>
      <left style="dotted">
        <color rgb="FF000000"/>
      </left>
      <right style="thin">
        <color rgb="FF7F7F7F"/>
      </right>
      <top style="dotted">
        <color rgb="FF000000"/>
      </top>
      <bottom style="dotted">
        <color rgb="FFFFFFFF"/>
      </bottom>
      <diagonal/>
    </border>
    <border>
      <left style="thin">
        <color rgb="FF7F7F7F"/>
      </left>
      <right style="dotted">
        <color rgb="FF000000"/>
      </right>
      <top style="dotted">
        <color rgb="FF000000"/>
      </top>
      <bottom style="dotted">
        <color rgb="FFFFFFFF"/>
      </bottom>
      <diagonal/>
    </border>
    <border>
      <left style="dotted">
        <color rgb="FF000000"/>
      </left>
      <right style="dotted">
        <color rgb="FF000000"/>
      </right>
      <top style="dotted">
        <color rgb="FF000000"/>
      </top>
      <bottom style="dotted">
        <color rgb="FFFFFFFF"/>
      </bottom>
      <diagonal/>
    </border>
    <border>
      <left style="dotted">
        <color rgb="FF000000"/>
      </left>
      <right style="thick">
        <color rgb="FF000000"/>
      </right>
      <top style="dotted">
        <color rgb="FF000000"/>
      </top>
      <bottom style="dotted">
        <color rgb="FFFFFFFF"/>
      </bottom>
      <diagonal/>
    </border>
    <border>
      <left style="thick">
        <color rgb="FF000000"/>
      </left>
      <right style="dotted">
        <color rgb="FF7F7F7F"/>
      </right>
      <top style="dotted">
        <color rgb="FF000000"/>
      </top>
      <bottom style="dotted">
        <color rgb="FFD9D9D9"/>
      </bottom>
      <diagonal/>
    </border>
    <border>
      <left style="dotted">
        <color rgb="FF7F7F7F"/>
      </left>
      <right style="dotted">
        <color rgb="FF7F7F7F"/>
      </right>
      <top style="dotted">
        <color rgb="FF000000"/>
      </top>
      <bottom style="dotted">
        <color rgb="FFD9D9D9"/>
      </bottom>
      <diagonal/>
    </border>
    <border>
      <left style="dotted">
        <color rgb="FF7F7F7F"/>
      </left>
      <right style="thick">
        <color rgb="FF000000"/>
      </right>
      <top style="dotted">
        <color rgb="FF000000"/>
      </top>
      <bottom style="dotted">
        <color rgb="FFD9D9D9"/>
      </bottom>
      <diagonal/>
    </border>
    <border>
      <left style="thick">
        <color rgb="FF000000"/>
      </left>
      <right style="dotted">
        <color rgb="FF000000"/>
      </right>
      <top style="dotted">
        <color rgb="FF000000"/>
      </top>
      <bottom style="dotted">
        <color rgb="FFFFFFFF"/>
      </bottom>
      <diagonal/>
    </border>
    <border>
      <left style="dotted">
        <color rgb="FF000000"/>
      </left>
      <right style="medium">
        <color rgb="FF000000"/>
      </right>
      <top style="dotted">
        <color rgb="FF000000"/>
      </top>
      <bottom style="dotted">
        <color rgb="FFFFFFFF"/>
      </bottom>
      <diagonal/>
    </border>
    <border>
      <left style="medium">
        <color rgb="FF000000"/>
      </left>
      <right style="dotted">
        <color rgb="FF000000"/>
      </right>
      <top style="dotted">
        <color rgb="FFFFFFFF"/>
      </top>
      <bottom style="thin">
        <color rgb="FF000000"/>
      </bottom>
      <diagonal/>
    </border>
    <border>
      <left style="dotted">
        <color rgb="FF000000"/>
      </left>
      <right style="thin">
        <color rgb="FF7F7F7F"/>
      </right>
      <top style="dotted">
        <color rgb="FFFFFFFF"/>
      </top>
      <bottom style="thin">
        <color rgb="FF000000"/>
      </bottom>
      <diagonal/>
    </border>
    <border>
      <left style="thin">
        <color rgb="FF7F7F7F"/>
      </left>
      <right style="dotted">
        <color rgb="FF000000"/>
      </right>
      <top style="dotted">
        <color rgb="FFFFFFFF"/>
      </top>
      <bottom style="thin">
        <color rgb="FF000000"/>
      </bottom>
      <diagonal/>
    </border>
    <border>
      <left style="dotted">
        <color rgb="FF000000"/>
      </left>
      <right style="dotted">
        <color rgb="FF000000"/>
      </right>
      <top style="dotted">
        <color rgb="FFFFFFFF"/>
      </top>
      <bottom style="thin">
        <color rgb="FF000000"/>
      </bottom>
      <diagonal/>
    </border>
    <border>
      <left style="dotted">
        <color rgb="FF000000"/>
      </left>
      <right style="thick">
        <color rgb="FF000000"/>
      </right>
      <top style="dotted">
        <color rgb="FFFFFFFF"/>
      </top>
      <bottom style="thin">
        <color rgb="FF000000"/>
      </bottom>
      <diagonal/>
    </border>
    <border>
      <left style="thick">
        <color rgb="FF000000"/>
      </left>
      <right style="dotted">
        <color rgb="FF7F7F7F"/>
      </right>
      <top style="dotted">
        <color rgb="FFD9D9D9"/>
      </top>
      <bottom style="thin">
        <color rgb="FF000000"/>
      </bottom>
      <diagonal/>
    </border>
    <border>
      <left style="dotted">
        <color rgb="FF7F7F7F"/>
      </left>
      <right style="dotted">
        <color rgb="FF7F7F7F"/>
      </right>
      <top style="dotted">
        <color rgb="FFD9D9D9"/>
      </top>
      <bottom style="thin">
        <color rgb="FF000000"/>
      </bottom>
      <diagonal/>
    </border>
    <border>
      <left style="dotted">
        <color rgb="FF7F7F7F"/>
      </left>
      <right style="thick">
        <color rgb="FF000000"/>
      </right>
      <top style="dotted">
        <color rgb="FFD9D9D9"/>
      </top>
      <bottom style="thin">
        <color rgb="FF000000"/>
      </bottom>
      <diagonal/>
    </border>
    <border>
      <left style="thick">
        <color rgb="FF000000"/>
      </left>
      <right style="dotted">
        <color rgb="FF000000"/>
      </right>
      <top style="dotted">
        <color rgb="FFFFFFFF"/>
      </top>
      <bottom style="thin">
        <color rgb="FF000000"/>
      </bottom>
      <diagonal/>
    </border>
    <border>
      <left style="dotted">
        <color rgb="FF000000"/>
      </left>
      <right style="medium">
        <color rgb="FF000000"/>
      </right>
      <top style="dotted">
        <color rgb="FFFFFFFF"/>
      </top>
      <bottom style="thin">
        <color rgb="FF000000"/>
      </bottom>
      <diagonal/>
    </border>
    <border>
      <left style="thin">
        <color rgb="FF7F7F7F"/>
      </left>
      <right style="dotted">
        <color rgb="FF000000"/>
      </right>
      <top style="thin">
        <color rgb="FF000000"/>
      </top>
      <bottom style="thin">
        <color rgb="FF000000"/>
      </bottom>
      <diagonal/>
    </border>
    <border>
      <left style="dotted">
        <color rgb="FF000000"/>
      </left>
      <right style="dotted">
        <color rgb="FF000000"/>
      </right>
      <top style="thin">
        <color rgb="FF000000"/>
      </top>
      <bottom style="thin">
        <color rgb="FF000000"/>
      </bottom>
      <diagonal/>
    </border>
    <border>
      <left style="dotted">
        <color rgb="FF000000"/>
      </left>
      <right style="thick">
        <color rgb="FF000000"/>
      </right>
      <top style="thin">
        <color rgb="FF000000"/>
      </top>
      <bottom style="thin">
        <color rgb="FF000000"/>
      </bottom>
      <diagonal/>
    </border>
    <border>
      <left style="thick">
        <color rgb="FF000000"/>
      </left>
      <right style="dotted">
        <color rgb="FF7F7F7F"/>
      </right>
      <top style="thin">
        <color rgb="FF000000"/>
      </top>
      <bottom style="thin">
        <color rgb="FF000000"/>
      </bottom>
      <diagonal/>
    </border>
    <border>
      <left style="dotted">
        <color rgb="FF7F7F7F"/>
      </left>
      <right style="dotted">
        <color rgb="FF7F7F7F"/>
      </right>
      <top style="thin">
        <color rgb="FF000000"/>
      </top>
      <bottom style="thin">
        <color rgb="FF000000"/>
      </bottom>
      <diagonal/>
    </border>
    <border>
      <left style="dotted">
        <color rgb="FF7F7F7F"/>
      </left>
      <right style="thick">
        <color rgb="FF000000"/>
      </right>
      <top style="thin">
        <color rgb="FF000000"/>
      </top>
      <bottom style="thin">
        <color rgb="FF000000"/>
      </bottom>
      <diagonal/>
    </border>
    <border>
      <left style="thick">
        <color rgb="FF000000"/>
      </left>
      <right style="dotted">
        <color rgb="FF000000"/>
      </right>
      <top style="thin">
        <color rgb="FF000000"/>
      </top>
      <bottom style="thin">
        <color rgb="FF000000"/>
      </bottom>
      <diagonal/>
    </border>
    <border>
      <left style="dotted">
        <color rgb="FF000000"/>
      </left>
      <right style="thin">
        <color rgb="FF7F7F7F"/>
      </right>
      <top style="thin">
        <color rgb="FF000000"/>
      </top>
      <bottom style="thin">
        <color rgb="FF000000"/>
      </bottom>
      <diagonal/>
    </border>
    <border>
      <left style="dotted">
        <color rgb="FF000000"/>
      </left>
      <right style="medium">
        <color rgb="FF000000"/>
      </right>
      <top style="thin">
        <color rgb="FF000000"/>
      </top>
      <bottom style="thin">
        <color rgb="FF000000"/>
      </bottom>
      <diagonal/>
    </border>
    <border>
      <left style="medium">
        <color rgb="FF000000"/>
      </left>
      <right/>
      <top style="thin">
        <color rgb="FF000000"/>
      </top>
      <bottom style="dotted">
        <color rgb="FFFFFFFF"/>
      </bottom>
      <diagonal/>
    </border>
    <border>
      <left/>
      <right style="thin">
        <color rgb="FF7F7F7F"/>
      </right>
      <top style="thin">
        <color rgb="FF000000"/>
      </top>
      <bottom style="dotted">
        <color rgb="FFFFFFFF"/>
      </bottom>
      <diagonal/>
    </border>
    <border>
      <left style="thin">
        <color rgb="FF7F7F7F"/>
      </left>
      <right style="dotted">
        <color rgb="FF000000"/>
      </right>
      <top style="thin">
        <color rgb="FF000000"/>
      </top>
      <bottom style="dotted">
        <color rgb="FFFFFFFF"/>
      </bottom>
      <diagonal/>
    </border>
    <border>
      <left style="dotted">
        <color rgb="FF000000"/>
      </left>
      <right style="dotted">
        <color rgb="FF000000"/>
      </right>
      <top style="thin">
        <color rgb="FF000000"/>
      </top>
      <bottom style="dotted">
        <color rgb="FFFFFFFF"/>
      </bottom>
      <diagonal/>
    </border>
    <border>
      <left style="dotted">
        <color rgb="FF000000"/>
      </left>
      <right style="thick">
        <color rgb="FF000000"/>
      </right>
      <top style="thin">
        <color rgb="FF000000"/>
      </top>
      <bottom style="dotted">
        <color rgb="FFFFFFFF"/>
      </bottom>
      <diagonal/>
    </border>
    <border>
      <left style="thick">
        <color rgb="FF000000"/>
      </left>
      <right style="dotted">
        <color rgb="FF7F7F7F"/>
      </right>
      <top style="thin">
        <color rgb="FF000000"/>
      </top>
      <bottom style="dotted">
        <color rgb="FFD9D9D9"/>
      </bottom>
      <diagonal/>
    </border>
    <border>
      <left style="dotted">
        <color rgb="FF7F7F7F"/>
      </left>
      <right style="dotted">
        <color rgb="FF7F7F7F"/>
      </right>
      <top style="thin">
        <color rgb="FF000000"/>
      </top>
      <bottom style="dotted">
        <color rgb="FFD9D9D9"/>
      </bottom>
      <diagonal/>
    </border>
    <border>
      <left style="dotted">
        <color rgb="FF7F7F7F"/>
      </left>
      <right style="thick">
        <color rgb="FF000000"/>
      </right>
      <top style="thin">
        <color rgb="FF000000"/>
      </top>
      <bottom style="dotted">
        <color rgb="FFD9D9D9"/>
      </bottom>
      <diagonal/>
    </border>
    <border>
      <left style="thick">
        <color rgb="FF000000"/>
      </left>
      <right style="dotted">
        <color rgb="FF000000"/>
      </right>
      <top style="thin">
        <color rgb="FF000000"/>
      </top>
      <bottom style="dotted">
        <color rgb="FFFFFFFF"/>
      </bottom>
      <diagonal/>
    </border>
    <border>
      <left style="dotted">
        <color rgb="FF000000"/>
      </left>
      <right style="thin">
        <color rgb="FF7F7F7F"/>
      </right>
      <top style="thin">
        <color rgb="FF000000"/>
      </top>
      <bottom style="dotted">
        <color rgb="FFFFFFFF"/>
      </bottom>
      <diagonal/>
    </border>
    <border>
      <left style="dotted">
        <color rgb="FF000000"/>
      </left>
      <right style="medium">
        <color rgb="FF000000"/>
      </right>
      <top style="thin">
        <color rgb="FF000000"/>
      </top>
      <bottom style="dotted">
        <color rgb="FFFFFFFF"/>
      </bottom>
      <diagonal/>
    </border>
    <border>
      <left style="medium">
        <color rgb="FF000000"/>
      </left>
      <right/>
      <top style="dotted">
        <color rgb="FFFFFFFF"/>
      </top>
      <bottom style="thin">
        <color rgb="FF000000"/>
      </bottom>
      <diagonal/>
    </border>
    <border>
      <left/>
      <right style="thin">
        <color rgb="FF7F7F7F"/>
      </right>
      <top style="dotted">
        <color rgb="FFFFFFFF"/>
      </top>
      <bottom style="thin">
        <color rgb="FF000000"/>
      </bottom>
      <diagonal/>
    </border>
    <border>
      <left style="thin">
        <color rgb="FF7F7F7F"/>
      </left>
      <right style="dotted">
        <color rgb="FF000000"/>
      </right>
      <top style="medium">
        <color rgb="FF000000"/>
      </top>
      <bottom style="medium">
        <color rgb="FF000000"/>
      </bottom>
      <diagonal/>
    </border>
    <border>
      <left style="dotted">
        <color rgb="FF000000"/>
      </left>
      <right style="dotted">
        <color rgb="FF000000"/>
      </right>
      <top style="medium">
        <color rgb="FF000000"/>
      </top>
      <bottom style="medium">
        <color rgb="FF000000"/>
      </bottom>
      <diagonal/>
    </border>
    <border>
      <left style="dotted">
        <color rgb="FF000000"/>
      </left>
      <right style="thick">
        <color rgb="FF000000"/>
      </right>
      <top style="medium">
        <color rgb="FF000000"/>
      </top>
      <bottom style="medium">
        <color rgb="FF000000"/>
      </bottom>
      <diagonal/>
    </border>
    <border>
      <left style="thick">
        <color rgb="FF000000"/>
      </left>
      <right style="dotted">
        <color rgb="FF7F7F7F"/>
      </right>
      <top style="medium">
        <color rgb="FF000000"/>
      </top>
      <bottom style="thick">
        <color rgb="FF000000"/>
      </bottom>
      <diagonal/>
    </border>
    <border>
      <left style="dotted">
        <color rgb="FF7F7F7F"/>
      </left>
      <right style="dotted">
        <color rgb="FF7F7F7F"/>
      </right>
      <top style="medium">
        <color rgb="FF000000"/>
      </top>
      <bottom style="thick">
        <color rgb="FF000000"/>
      </bottom>
      <diagonal/>
    </border>
    <border>
      <left style="dotted">
        <color rgb="FF7F7F7F"/>
      </left>
      <right style="thick">
        <color rgb="FF000000"/>
      </right>
      <top style="medium">
        <color rgb="FF000000"/>
      </top>
      <bottom style="thick">
        <color rgb="FF000000"/>
      </bottom>
      <diagonal/>
    </border>
    <border>
      <left style="thick">
        <color rgb="FF000000"/>
      </left>
      <right style="dotted">
        <color rgb="FF000000"/>
      </right>
      <top style="medium">
        <color rgb="FF000000"/>
      </top>
      <bottom style="medium">
        <color rgb="FF000000"/>
      </bottom>
      <diagonal/>
    </border>
    <border>
      <left style="dotted">
        <color rgb="FF000000"/>
      </left>
      <right style="thin">
        <color rgb="FF7F7F7F"/>
      </right>
      <top style="medium">
        <color rgb="FF000000"/>
      </top>
      <bottom style="medium">
        <color rgb="FF000000"/>
      </bottom>
      <diagonal/>
    </border>
    <border>
      <left style="dotted">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thin">
        <color rgb="FF7F7F7F"/>
      </bottom>
      <diagonal/>
    </border>
    <border>
      <left style="medium">
        <color rgb="FF000000"/>
      </left>
      <right style="thick">
        <color rgb="FF000000"/>
      </right>
      <top/>
      <bottom style="thin">
        <color rgb="FF7F7F7F"/>
      </bottom>
      <diagonal/>
    </border>
    <border>
      <left style="thick">
        <color rgb="FF000000"/>
      </left>
      <right style="thick">
        <color rgb="FF000000"/>
      </right>
      <top/>
      <bottom style="thin">
        <color rgb="FF7F7F7F"/>
      </bottom>
      <diagonal/>
    </border>
    <border>
      <left style="thick">
        <color rgb="FF000000"/>
      </left>
      <right style="medium">
        <color rgb="FF000000"/>
      </right>
      <top/>
      <bottom style="thin">
        <color rgb="FF7F7F7F"/>
      </bottom>
      <diagonal/>
    </border>
    <border>
      <left style="thin">
        <color rgb="FF7F7F7F"/>
      </left>
      <right style="medium">
        <color rgb="FF000000"/>
      </right>
      <top style="dotted">
        <color rgb="FF000000"/>
      </top>
      <bottom/>
      <diagonal/>
    </border>
    <border>
      <left style="medium">
        <color rgb="FF000000"/>
      </left>
      <right style="medium">
        <color rgb="FF000000"/>
      </right>
      <top style="thin">
        <color rgb="FF7F7F7F"/>
      </top>
      <bottom/>
      <diagonal/>
    </border>
    <border>
      <left style="medium">
        <color rgb="FF000000"/>
      </left>
      <right style="thick">
        <color rgb="FF000000"/>
      </right>
      <top style="thin">
        <color rgb="FF7F7F7F"/>
      </top>
      <bottom/>
      <diagonal/>
    </border>
    <border>
      <left style="thick">
        <color rgb="FF000000"/>
      </left>
      <right style="medium">
        <color rgb="FF000000"/>
      </right>
      <top style="thin">
        <color rgb="FF7F7F7F"/>
      </top>
      <bottom/>
      <diagonal/>
    </border>
    <border>
      <left style="medium">
        <color rgb="FF000000"/>
      </left>
      <right style="medium">
        <color rgb="FF000000"/>
      </right>
      <top/>
      <bottom style="thin">
        <color rgb="FF000000"/>
      </bottom>
      <diagonal/>
    </border>
    <border>
      <left style="medium">
        <color rgb="FF000000"/>
      </left>
      <right style="thick">
        <color rgb="FF000000"/>
      </right>
      <top/>
      <bottom style="thin">
        <color rgb="FF000000"/>
      </bottom>
      <diagonal/>
    </border>
    <border>
      <left style="thick">
        <color rgb="FF000000"/>
      </left>
      <right style="medium">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thick">
        <color rgb="FF000000"/>
      </right>
      <top style="thin">
        <color rgb="FF000000"/>
      </top>
      <bottom style="thin">
        <color rgb="FF000000"/>
      </bottom>
      <diagonal/>
    </border>
    <border>
      <left style="thick">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diagonal/>
    </border>
    <border>
      <left/>
      <right style="medium">
        <color rgb="FF000000"/>
      </right>
      <top style="thin">
        <color rgb="FF000000"/>
      </top>
      <bottom/>
      <diagonal/>
    </border>
    <border>
      <left style="medium">
        <color rgb="FF000000"/>
      </left>
      <right style="thick">
        <color rgb="FF000000"/>
      </right>
      <top style="thin">
        <color rgb="FF000000"/>
      </top>
      <bottom/>
      <diagonal/>
    </border>
    <border>
      <left/>
      <right style="medium">
        <color rgb="FF000000"/>
      </right>
      <top/>
      <bottom style="thin">
        <color rgb="FF000000"/>
      </bottom>
      <diagonal/>
    </border>
    <border>
      <left style="medium">
        <color rgb="FF000000"/>
      </left>
      <right style="medium">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thick">
        <color rgb="FF000000"/>
      </right>
      <top style="thin">
        <color rgb="FF000000"/>
      </top>
      <bottom style="medium">
        <color rgb="FF000000"/>
      </bottom>
      <diagonal/>
    </border>
    <border>
      <left style="thick">
        <color rgb="FF000000"/>
      </left>
      <right style="medium">
        <color rgb="FF000000"/>
      </right>
      <top style="thin">
        <color rgb="FF000000"/>
      </top>
      <bottom style="medium">
        <color rgb="FF000000"/>
      </bottom>
      <diagonal/>
    </border>
    <border>
      <left/>
      <right/>
      <top/>
      <bottom style="thin">
        <color theme="4" tint="0.39997558519241921"/>
      </bottom>
      <diagonal/>
    </border>
    <border>
      <left/>
      <right/>
      <top style="thin">
        <color theme="4" tint="0.39997558519241921"/>
      </top>
      <bottom/>
      <diagonal/>
    </border>
    <border>
      <left/>
      <right style="medium">
        <color rgb="FFD2D2D2"/>
      </right>
      <top style="thin">
        <color rgb="FF7F7F7F"/>
      </top>
      <bottom style="thin">
        <color rgb="FF7F7F7F"/>
      </bottom>
      <diagonal/>
    </border>
    <border>
      <left style="medium">
        <color rgb="FFD2D2D2"/>
      </left>
      <right style="medium">
        <color rgb="FFD2D2D2"/>
      </right>
      <top style="thin">
        <color rgb="FF7F7F7F"/>
      </top>
      <bottom style="thin">
        <color rgb="FF7F7F7F"/>
      </bottom>
      <diagonal/>
    </border>
    <border>
      <left style="medium">
        <color rgb="FFD2D2D2"/>
      </left>
      <right/>
      <top style="thin">
        <color rgb="FF7F7F7F"/>
      </top>
      <bottom style="thin">
        <color rgb="FF7F7F7F"/>
      </bottom>
      <diagonal/>
    </border>
    <border>
      <left/>
      <right style="medium">
        <color rgb="FFD2D2D2"/>
      </right>
      <top style="thin">
        <color rgb="FF7F7F7F"/>
      </top>
      <bottom/>
      <diagonal/>
    </border>
    <border>
      <left style="medium">
        <color rgb="FFD2D2D2"/>
      </left>
      <right style="medium">
        <color rgb="FFD2D2D2"/>
      </right>
      <top style="thin">
        <color rgb="FF7F7F7F"/>
      </top>
      <bottom/>
      <diagonal/>
    </border>
    <border>
      <left style="medium">
        <color rgb="FFD2D2D2"/>
      </left>
      <right/>
      <top style="thin">
        <color rgb="FF7F7F7F"/>
      </top>
      <bottom/>
      <diagonal/>
    </border>
    <border>
      <left/>
      <right style="medium">
        <color rgb="FFD2D2D2"/>
      </right>
      <top/>
      <bottom/>
      <diagonal/>
    </border>
    <border>
      <left style="medium">
        <color rgb="FFD2D2D2"/>
      </left>
      <right style="medium">
        <color rgb="FFD2D2D2"/>
      </right>
      <top/>
      <bottom/>
      <diagonal/>
    </border>
    <border>
      <left style="medium">
        <color rgb="FFD2D2D2"/>
      </left>
      <right/>
      <top/>
      <bottom/>
      <diagonal/>
    </border>
    <border>
      <left/>
      <right style="medium">
        <color rgb="FFD2D2D2"/>
      </right>
      <top/>
      <bottom style="medium">
        <color rgb="FFD2D2D2"/>
      </bottom>
      <diagonal/>
    </border>
    <border>
      <left style="medium">
        <color rgb="FFD2D2D2"/>
      </left>
      <right style="medium">
        <color rgb="FFD2D2D2"/>
      </right>
      <top/>
      <bottom style="medium">
        <color rgb="FFD2D2D2"/>
      </bottom>
      <diagonal/>
    </border>
    <border>
      <left style="medium">
        <color rgb="FFD2D2D2"/>
      </left>
      <right/>
      <top/>
      <bottom style="medium">
        <color rgb="FFD2D2D2"/>
      </bottom>
      <diagonal/>
    </border>
    <border>
      <left/>
      <right style="medium">
        <color rgb="FFD2D2D2"/>
      </right>
      <top style="medium">
        <color rgb="FFD2D2D2"/>
      </top>
      <bottom style="medium">
        <color rgb="FFD2D2D2"/>
      </bottom>
      <diagonal/>
    </border>
    <border>
      <left style="medium">
        <color rgb="FFD2D2D2"/>
      </left>
      <right style="medium">
        <color rgb="FFD2D2D2"/>
      </right>
      <top style="medium">
        <color rgb="FFD2D2D2"/>
      </top>
      <bottom style="medium">
        <color rgb="FFD2D2D2"/>
      </bottom>
      <diagonal/>
    </border>
    <border>
      <left style="medium">
        <color rgb="FFD2D2D2"/>
      </left>
      <right/>
      <top style="medium">
        <color rgb="FFD2D2D2"/>
      </top>
      <bottom style="medium">
        <color rgb="FFD2D2D2"/>
      </bottom>
      <diagonal/>
    </border>
    <border>
      <left/>
      <right style="thin">
        <color rgb="FF00338D"/>
      </right>
      <top style="dashed">
        <color rgb="FF00338D"/>
      </top>
      <bottom/>
      <diagonal/>
    </border>
    <border>
      <left/>
      <right style="thin">
        <color rgb="FF00338D"/>
      </right>
      <top/>
      <bottom style="dashed">
        <color rgb="FF00338D"/>
      </bottom>
      <diagonal/>
    </border>
    <border>
      <left style="thin">
        <color rgb="FF00338D"/>
      </left>
      <right/>
      <top style="thin">
        <color rgb="FF00338D"/>
      </top>
      <bottom style="medium">
        <color rgb="FF00338D"/>
      </bottom>
      <diagonal/>
    </border>
    <border>
      <left/>
      <right/>
      <top style="thin">
        <color rgb="FF00338D"/>
      </top>
      <bottom style="medium">
        <color rgb="FF00338D"/>
      </bottom>
      <diagonal/>
    </border>
    <border>
      <left/>
      <right style="thin">
        <color rgb="FF00338D"/>
      </right>
      <top style="thin">
        <color rgb="FF00338D"/>
      </top>
      <bottom style="medium">
        <color rgb="FF00338D"/>
      </bottom>
      <diagonal/>
    </border>
    <border>
      <left style="dotted">
        <color indexed="64"/>
      </left>
      <right/>
      <top style="thin">
        <color indexed="64"/>
      </top>
      <bottom/>
      <diagonal/>
    </border>
    <border>
      <left/>
      <right style="dotted">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1"/>
      </left>
      <right style="thin">
        <color theme="1"/>
      </right>
      <top style="thin">
        <color theme="1"/>
      </top>
      <bottom/>
      <diagonal/>
    </border>
    <border>
      <left style="medium">
        <color theme="9" tint="-0.24994659260841701"/>
      </left>
      <right style="medium">
        <color theme="9" tint="-0.24994659260841701"/>
      </right>
      <top style="medium">
        <color theme="9" tint="-0.24994659260841701"/>
      </top>
      <bottom/>
      <diagonal/>
    </border>
    <border>
      <left style="hair">
        <color indexed="64"/>
      </left>
      <right/>
      <top style="thin">
        <color indexed="64"/>
      </top>
      <bottom style="thin">
        <color indexed="64"/>
      </bottom>
      <diagonal/>
    </border>
    <border>
      <left style="medium">
        <color theme="9" tint="-0.24994659260841701"/>
      </left>
      <right style="medium">
        <color theme="9" tint="-0.24994659260841701"/>
      </right>
      <top style="medium">
        <color theme="9" tint="-0.24994659260841701"/>
      </top>
      <bottom style="thin">
        <color indexed="64"/>
      </bottom>
      <diagonal/>
    </border>
    <border>
      <left style="thin">
        <color theme="1"/>
      </left>
      <right style="thin">
        <color theme="1"/>
      </right>
      <top/>
      <bottom style="thin">
        <color indexed="64"/>
      </bottom>
      <diagonal/>
    </border>
    <border>
      <left style="medium">
        <color theme="9" tint="-0.24994659260841701"/>
      </left>
      <right style="medium">
        <color theme="9" tint="-0.24994659260841701"/>
      </right>
      <top/>
      <bottom style="thin">
        <color indexed="64"/>
      </bottom>
      <diagonal/>
    </border>
    <border>
      <left style="thin">
        <color indexed="64"/>
      </left>
      <right style="hair">
        <color indexed="64"/>
      </right>
      <top style="thin">
        <color indexed="64"/>
      </top>
      <bottom style="dotted">
        <color indexed="64"/>
      </bottom>
      <diagonal/>
    </border>
    <border>
      <left style="hair">
        <color indexed="64"/>
      </left>
      <right/>
      <top style="thin">
        <color indexed="64"/>
      </top>
      <bottom style="dotted">
        <color indexed="64"/>
      </bottom>
      <diagonal/>
    </border>
    <border>
      <left style="medium">
        <color theme="9" tint="-0.24994659260841701"/>
      </left>
      <right style="medium">
        <color theme="9" tint="-0.24994659260841701"/>
      </right>
      <top style="thin">
        <color indexed="64"/>
      </top>
      <bottom style="dotted">
        <color indexed="64"/>
      </bottom>
      <diagonal/>
    </border>
    <border>
      <left/>
      <right/>
      <top style="thin">
        <color indexed="64"/>
      </top>
      <bottom style="dotted">
        <color indexed="64"/>
      </bottom>
      <diagonal/>
    </border>
    <border>
      <left style="thin">
        <color theme="1"/>
      </left>
      <right style="thin">
        <color theme="1"/>
      </right>
      <top style="thin">
        <color indexed="64"/>
      </top>
      <bottom style="dotted">
        <color indexed="64"/>
      </bottom>
      <diagonal/>
    </border>
    <border>
      <left style="thin">
        <color indexed="64"/>
      </left>
      <right style="hair">
        <color indexed="64"/>
      </right>
      <top style="dotted">
        <color indexed="64"/>
      </top>
      <bottom style="dotted">
        <color indexed="64"/>
      </bottom>
      <diagonal/>
    </border>
    <border>
      <left style="hair">
        <color indexed="64"/>
      </left>
      <right/>
      <top style="dotted">
        <color indexed="64"/>
      </top>
      <bottom style="dotted">
        <color indexed="64"/>
      </bottom>
      <diagonal/>
    </border>
    <border>
      <left style="medium">
        <color theme="9" tint="-0.24994659260841701"/>
      </left>
      <right style="medium">
        <color theme="9" tint="-0.24994659260841701"/>
      </right>
      <top style="dotted">
        <color indexed="64"/>
      </top>
      <bottom style="dotted">
        <color indexed="64"/>
      </bottom>
      <diagonal/>
    </border>
    <border>
      <left style="thin">
        <color theme="1"/>
      </left>
      <right style="thin">
        <color theme="1"/>
      </right>
      <top style="dotted">
        <color indexed="64"/>
      </top>
      <bottom style="dotted">
        <color indexed="64"/>
      </bottom>
      <diagonal/>
    </border>
    <border>
      <left style="thin">
        <color indexed="64"/>
      </left>
      <right style="hair">
        <color indexed="64"/>
      </right>
      <top style="dotted">
        <color indexed="64"/>
      </top>
      <bottom style="thin">
        <color indexed="64"/>
      </bottom>
      <diagonal/>
    </border>
    <border>
      <left style="hair">
        <color indexed="64"/>
      </left>
      <right/>
      <top style="dotted">
        <color indexed="64"/>
      </top>
      <bottom style="thin">
        <color indexed="64"/>
      </bottom>
      <diagonal/>
    </border>
    <border>
      <left style="medium">
        <color theme="9" tint="-0.24994659260841701"/>
      </left>
      <right style="medium">
        <color theme="9" tint="-0.24994659260841701"/>
      </right>
      <top style="dotted">
        <color indexed="64"/>
      </top>
      <bottom style="thin">
        <color indexed="64"/>
      </bottom>
      <diagonal/>
    </border>
    <border>
      <left style="thin">
        <color theme="1"/>
      </left>
      <right style="thin">
        <color theme="1"/>
      </right>
      <top style="dotted">
        <color indexed="64"/>
      </top>
      <bottom style="thin">
        <color indexed="64"/>
      </bottom>
      <diagonal/>
    </border>
    <border>
      <left style="medium">
        <color theme="9" tint="-0.24994659260841701"/>
      </left>
      <right style="medium">
        <color theme="9" tint="-0.2499465926084170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medium">
        <color theme="9" tint="-0.24994659260841701"/>
      </left>
      <right style="medium">
        <color theme="9" tint="-0.24994659260841701"/>
      </right>
      <top style="thin">
        <color indexed="64"/>
      </top>
      <bottom style="medium">
        <color theme="9" tint="-0.24994659260841701"/>
      </bottom>
      <diagonal/>
    </border>
    <border>
      <left style="thin">
        <color theme="1"/>
      </left>
      <right style="thin">
        <color theme="1"/>
      </right>
      <top style="thin">
        <color indexed="64"/>
      </top>
      <bottom style="thin">
        <color theme="1"/>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indexed="64"/>
      </right>
      <top style="dotted">
        <color indexed="64"/>
      </top>
      <bottom/>
      <diagonal/>
    </border>
    <border>
      <left style="thin">
        <color indexed="64"/>
      </left>
      <right style="thin">
        <color indexed="64"/>
      </right>
      <top/>
      <bottom style="dotted">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style="dotted">
        <color indexed="64"/>
      </bottom>
      <diagonal/>
    </border>
    <border>
      <left style="hair">
        <color indexed="64"/>
      </left>
      <right style="thin">
        <color indexed="64"/>
      </right>
      <top/>
      <bottom style="thin">
        <color indexed="64"/>
      </bottom>
      <diagonal/>
    </border>
    <border>
      <left style="hair">
        <color indexed="64"/>
      </left>
      <right style="hair">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medium">
        <color indexed="64"/>
      </left>
      <right/>
      <top style="thin">
        <color indexed="64"/>
      </top>
      <bottom/>
      <diagonal/>
    </border>
    <border>
      <left/>
      <right/>
      <top style="medium">
        <color indexed="64"/>
      </top>
      <bottom/>
      <diagonal/>
    </border>
    <border>
      <left/>
      <right style="hair">
        <color indexed="64"/>
      </right>
      <top style="thin">
        <color indexed="64"/>
      </top>
      <bottom/>
      <diagonal/>
    </border>
    <border>
      <left style="medium">
        <color auto="1"/>
      </left>
      <right/>
      <top style="medium">
        <color auto="1"/>
      </top>
      <bottom/>
      <diagonal/>
    </border>
    <border>
      <left/>
      <right style="medium">
        <color auto="1"/>
      </right>
      <top style="medium">
        <color auto="1"/>
      </top>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hair">
        <color auto="1"/>
      </right>
      <top/>
      <bottom style="thin">
        <color indexed="64"/>
      </bottom>
      <diagonal/>
    </border>
    <border>
      <left style="medium">
        <color indexed="64"/>
      </left>
      <right/>
      <top/>
      <bottom style="thin">
        <color indexed="64"/>
      </bottom>
      <diagonal/>
    </border>
    <border>
      <left/>
      <right/>
      <top style="thin">
        <color rgb="FFE16B09"/>
      </top>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style="thin">
        <color theme="0" tint="-0.499984740745262"/>
      </top>
      <bottom style="thin">
        <color theme="0" tint="-0.499984740745262"/>
      </bottom>
      <diagonal/>
    </border>
    <border>
      <left/>
      <right/>
      <top/>
      <bottom style="thin">
        <color theme="0" tint="-0.499984740745262"/>
      </bottom>
      <diagonal/>
    </border>
    <border>
      <left style="hair">
        <color indexed="64"/>
      </left>
      <right style="hair">
        <color indexed="64"/>
      </right>
      <top style="thin">
        <color indexed="64"/>
      </top>
      <bottom style="dotted">
        <color indexed="64"/>
      </bottom>
      <diagonal/>
    </border>
    <border>
      <left/>
      <right/>
      <top style="thin">
        <color rgb="FF7F7F7F"/>
      </top>
      <bottom style="thin">
        <color rgb="FF7F7F7F"/>
      </bottom>
      <diagonal/>
    </border>
    <border>
      <left/>
      <right/>
      <top style="thin">
        <color rgb="FF7F7F7F"/>
      </top>
      <bottom/>
      <diagonal/>
    </border>
    <border>
      <left/>
      <right/>
      <top/>
      <bottom style="dashed">
        <color rgb="FF7F7F7F"/>
      </bottom>
      <diagonal/>
    </border>
    <border>
      <left/>
      <right/>
      <top style="dashed">
        <color rgb="FF7F7F7F"/>
      </top>
      <bottom/>
      <diagonal/>
    </border>
    <border>
      <left/>
      <right/>
      <top style="dashed">
        <color rgb="FF7F7F7F"/>
      </top>
      <bottom style="dashed">
        <color rgb="FF7F7F7F"/>
      </bottom>
      <diagonal/>
    </border>
    <border>
      <left/>
      <right/>
      <top style="dashed">
        <color rgb="FF7F7F7F"/>
      </top>
      <bottom style="thin">
        <color rgb="FF7F7F7F"/>
      </bottom>
      <diagonal/>
    </border>
    <border>
      <left/>
      <right/>
      <top style="thin">
        <color rgb="FF7F7F7F"/>
      </top>
      <bottom style="dashed">
        <color rgb="FF7F7F7F"/>
      </bottom>
      <diagonal/>
    </border>
    <border>
      <left/>
      <right/>
      <top/>
      <bottom style="thin">
        <color rgb="FF7F7F7F"/>
      </bottom>
      <diagonal/>
    </border>
    <border>
      <left/>
      <right/>
      <top style="dashed">
        <color auto="1"/>
      </top>
      <bottom/>
      <diagonal/>
    </border>
    <border>
      <left/>
      <right style="thin">
        <color rgb="FF7F7F7F"/>
      </right>
      <top style="thin">
        <color rgb="FF7F7F7F"/>
      </top>
      <bottom/>
      <diagonal/>
    </border>
    <border>
      <left/>
      <right style="thin">
        <color rgb="FF7F7F7F"/>
      </right>
      <top/>
      <bottom style="thin">
        <color rgb="FF7F7F7F"/>
      </bottom>
      <diagonal/>
    </border>
    <border>
      <left style="thin">
        <color rgb="FF7F7F7F"/>
      </left>
      <right/>
      <top style="thin">
        <color rgb="FF7F7F7F"/>
      </top>
      <bottom style="dashed">
        <color rgb="FF7F7F7F"/>
      </bottom>
      <diagonal/>
    </border>
    <border>
      <left style="thin">
        <color rgb="FF7F7F7F"/>
      </left>
      <right style="dashed">
        <color rgb="FF7F7F7F"/>
      </right>
      <top style="dashed">
        <color rgb="FF7F7F7F"/>
      </top>
      <bottom style="thin">
        <color rgb="FF7F7F7F"/>
      </bottom>
      <diagonal/>
    </border>
    <border>
      <left style="dashed">
        <color rgb="FF7F7F7F"/>
      </left>
      <right style="dashed">
        <color rgb="FF7F7F7F"/>
      </right>
      <top style="dashed">
        <color rgb="FF7F7F7F"/>
      </top>
      <bottom style="thin">
        <color rgb="FF7F7F7F"/>
      </bottom>
      <diagonal/>
    </border>
    <border>
      <left style="dashed">
        <color rgb="FF7F7F7F"/>
      </left>
      <right/>
      <top style="dashed">
        <color rgb="FF7F7F7F"/>
      </top>
      <bottom style="thin">
        <color rgb="FF7F7F7F"/>
      </bottom>
      <diagonal/>
    </border>
    <border>
      <left/>
      <right style="dashed">
        <color rgb="FF7F7F7F"/>
      </right>
      <top style="thin">
        <color rgb="FF7F7F7F"/>
      </top>
      <bottom/>
      <diagonal/>
    </border>
    <border>
      <left/>
      <right style="dashed">
        <color rgb="FF7F7F7F"/>
      </right>
      <top/>
      <bottom/>
      <diagonal/>
    </border>
    <border>
      <left/>
      <right style="dashed">
        <color rgb="FF7F7F7F"/>
      </right>
      <top/>
      <bottom style="thin">
        <color rgb="FF7F7F7F"/>
      </bottom>
      <diagonal/>
    </border>
    <border>
      <left style="dashed">
        <color rgb="FF7F7F7F"/>
      </left>
      <right style="thin">
        <color rgb="FF7F7F7F"/>
      </right>
      <top style="thin">
        <color rgb="FF7F7F7F"/>
      </top>
      <bottom style="dashed">
        <color rgb="FF7F7F7F"/>
      </bottom>
      <diagonal/>
    </border>
    <border>
      <left style="thin">
        <color rgb="FF7F7F7F"/>
      </left>
      <right style="dashed">
        <color rgb="FF7F7F7F"/>
      </right>
      <top style="thin">
        <color rgb="FF7F7F7F"/>
      </top>
      <bottom style="dashed">
        <color rgb="FF7F7F7F"/>
      </bottom>
      <diagonal/>
    </border>
    <border>
      <left style="dashed">
        <color rgb="FF7F7F7F"/>
      </left>
      <right style="dashed">
        <color rgb="FF7F7F7F"/>
      </right>
      <top style="thin">
        <color rgb="FF7F7F7F"/>
      </top>
      <bottom style="dashed">
        <color rgb="FF7F7F7F"/>
      </bottom>
      <diagonal/>
    </border>
    <border>
      <left style="dashed">
        <color rgb="FF7F7F7F"/>
      </left>
      <right/>
      <top style="thin">
        <color rgb="FF7F7F7F"/>
      </top>
      <bottom style="dashed">
        <color rgb="FF7F7F7F"/>
      </bottom>
      <diagonal/>
    </border>
    <border>
      <left style="dashed">
        <color rgb="FF7F7F7F"/>
      </left>
      <right style="thin">
        <color rgb="FF7F7F7F"/>
      </right>
      <top style="dashed">
        <color rgb="FF7F7F7F"/>
      </top>
      <bottom style="dashed">
        <color rgb="FF7F7F7F"/>
      </bottom>
      <diagonal/>
    </border>
    <border>
      <left style="thin">
        <color rgb="FF7F7F7F"/>
      </left>
      <right style="dashed">
        <color rgb="FF7F7F7F"/>
      </right>
      <top style="dashed">
        <color rgb="FF7F7F7F"/>
      </top>
      <bottom style="dashed">
        <color rgb="FF7F7F7F"/>
      </bottom>
      <diagonal/>
    </border>
    <border>
      <left style="dashed">
        <color rgb="FF7F7F7F"/>
      </left>
      <right style="dashed">
        <color rgb="FF7F7F7F"/>
      </right>
      <top style="dashed">
        <color rgb="FF7F7F7F"/>
      </top>
      <bottom style="dashed">
        <color rgb="FF7F7F7F"/>
      </bottom>
      <diagonal/>
    </border>
    <border>
      <left style="dashed">
        <color rgb="FF7F7F7F"/>
      </left>
      <right/>
      <top style="dashed">
        <color rgb="FF7F7F7F"/>
      </top>
      <bottom style="dashed">
        <color rgb="FF7F7F7F"/>
      </bottom>
      <diagonal/>
    </border>
    <border>
      <left style="dashed">
        <color rgb="FF7F7F7F"/>
      </left>
      <right style="thin">
        <color rgb="FF7F7F7F"/>
      </right>
      <top style="dashed">
        <color rgb="FF7F7F7F"/>
      </top>
      <bottom style="thin">
        <color rgb="FF7F7F7F"/>
      </bottom>
      <diagonal/>
    </border>
  </borders>
  <cellStyleXfs count="2">
    <xf numFmtId="0" fontId="0" fillId="0" borderId="0">
      <alignment vertical="center"/>
    </xf>
    <xf numFmtId="41" fontId="337" fillId="0" borderId="0" applyFont="0" applyFill="0" applyBorder="0" applyAlignment="0" applyProtection="0">
      <alignment vertical="center"/>
    </xf>
  </cellStyleXfs>
  <cellXfs count="5819">
    <xf numFmtId="0" fontId="0" fillId="0" borderId="0" xfId="0">
      <alignment vertical="center"/>
    </xf>
    <xf numFmtId="0" fontId="2" fillId="0" borderId="0" xfId="0" applyFont="1">
      <alignment vertical="center"/>
    </xf>
    <xf numFmtId="0" fontId="3" fillId="2" borderId="0" xfId="0" applyFont="1" applyFill="1">
      <alignment vertical="center"/>
    </xf>
    <xf numFmtId="0" fontId="4" fillId="0" borderId="0" xfId="0" applyFont="1">
      <alignment vertical="center"/>
    </xf>
    <xf numFmtId="0" fontId="5" fillId="3" borderId="1" xfId="0" applyFont="1" applyFill="1" applyBorder="1">
      <alignment vertical="center"/>
    </xf>
    <xf numFmtId="176" fontId="7" fillId="0" borderId="0" xfId="0" applyNumberFormat="1" applyFont="1">
      <alignment vertical="center"/>
    </xf>
    <xf numFmtId="14" fontId="8" fillId="0" borderId="0" xfId="0" applyNumberFormat="1" applyFont="1" applyAlignment="1">
      <alignment horizontal="center" vertical="center"/>
    </xf>
    <xf numFmtId="14" fontId="7" fillId="0" borderId="0" xfId="0" applyNumberFormat="1" applyFont="1" applyAlignment="1">
      <alignment horizontal="center" vertical="center"/>
    </xf>
    <xf numFmtId="176" fontId="7" fillId="0" borderId="2" xfId="0" applyNumberFormat="1" applyFont="1" applyBorder="1">
      <alignment vertical="center"/>
    </xf>
    <xf numFmtId="177" fontId="9" fillId="0" borderId="2" xfId="0" applyNumberFormat="1" applyFont="1" applyBorder="1" applyAlignment="1">
      <alignment horizontal="right" vertical="center"/>
    </xf>
    <xf numFmtId="176" fontId="10" fillId="3" borderId="1" xfId="0" applyNumberFormat="1" applyFont="1" applyFill="1" applyBorder="1" applyAlignment="1">
      <alignment horizontal="right" vertical="center"/>
    </xf>
    <xf numFmtId="178" fontId="11" fillId="0" borderId="0" xfId="0" applyNumberFormat="1" applyFont="1">
      <alignment vertical="center"/>
    </xf>
    <xf numFmtId="0" fontId="4" fillId="0" borderId="2" xfId="0" applyFont="1" applyBorder="1">
      <alignment vertical="center"/>
    </xf>
    <xf numFmtId="178" fontId="11" fillId="0" borderId="2" xfId="0" applyNumberFormat="1" applyFont="1" applyBorder="1">
      <alignment vertical="center"/>
    </xf>
    <xf numFmtId="179" fontId="4" fillId="0" borderId="0" xfId="0" applyNumberFormat="1" applyFont="1">
      <alignment vertical="center"/>
    </xf>
    <xf numFmtId="0" fontId="12" fillId="0" borderId="0" xfId="0" applyFont="1">
      <alignment vertical="center"/>
    </xf>
    <xf numFmtId="0" fontId="13" fillId="0" borderId="0" xfId="0" applyFont="1">
      <alignment vertical="center"/>
    </xf>
    <xf numFmtId="0" fontId="14" fillId="4" borderId="2" xfId="0" applyFont="1" applyFill="1" applyBorder="1">
      <alignment vertical="center"/>
    </xf>
    <xf numFmtId="0" fontId="4" fillId="4" borderId="2" xfId="0" applyFont="1" applyFill="1" applyBorder="1">
      <alignment vertical="center"/>
    </xf>
    <xf numFmtId="3" fontId="2" fillId="0" borderId="0" xfId="0" applyNumberFormat="1" applyFont="1">
      <alignment vertical="center"/>
    </xf>
    <xf numFmtId="0" fontId="15" fillId="5" borderId="0" xfId="0" quotePrefix="1" applyFont="1" applyFill="1" applyAlignment="1">
      <alignment horizontal="right" vertical="center"/>
    </xf>
    <xf numFmtId="0" fontId="15" fillId="5" borderId="0" xfId="0" applyFont="1" applyFill="1">
      <alignment vertical="center"/>
    </xf>
    <xf numFmtId="0" fontId="2" fillId="5" borderId="0" xfId="0" applyFont="1" applyFill="1">
      <alignment vertical="center"/>
    </xf>
    <xf numFmtId="3" fontId="2" fillId="5" borderId="0" xfId="0" applyNumberFormat="1" applyFont="1" applyFill="1">
      <alignment vertical="center"/>
    </xf>
    <xf numFmtId="0" fontId="5" fillId="3" borderId="3" xfId="0" applyFont="1" applyFill="1" applyBorder="1">
      <alignment vertical="center"/>
    </xf>
    <xf numFmtId="0" fontId="5" fillId="3" borderId="4" xfId="0" applyFont="1" applyFill="1" applyBorder="1" applyAlignment="1">
      <alignment horizontal="centerContinuous" vertical="center"/>
    </xf>
    <xf numFmtId="0" fontId="5" fillId="3" borderId="1" xfId="0" applyFont="1" applyFill="1" applyBorder="1" applyAlignment="1">
      <alignment horizontal="centerContinuous" vertical="center"/>
    </xf>
    <xf numFmtId="0" fontId="5" fillId="3" borderId="5" xfId="0" applyFont="1" applyFill="1" applyBorder="1" applyAlignment="1">
      <alignment horizontal="centerContinuous" vertical="center"/>
    </xf>
    <xf numFmtId="0" fontId="5" fillId="3" borderId="2" xfId="0" applyFont="1" applyFill="1" applyBorder="1">
      <alignment vertical="center"/>
    </xf>
    <xf numFmtId="176" fontId="10" fillId="3" borderId="6" xfId="0" applyNumberFormat="1" applyFont="1" applyFill="1" applyBorder="1" applyAlignment="1">
      <alignment horizontal="right" vertical="center"/>
    </xf>
    <xf numFmtId="176" fontId="10" fillId="3" borderId="2" xfId="0" applyNumberFormat="1" applyFont="1" applyFill="1" applyBorder="1" applyAlignment="1">
      <alignment horizontal="right" vertical="center"/>
    </xf>
    <xf numFmtId="176" fontId="10" fillId="3" borderId="7" xfId="0" applyNumberFormat="1" applyFont="1" applyFill="1" applyBorder="1" applyAlignment="1">
      <alignment horizontal="right" vertical="center"/>
    </xf>
    <xf numFmtId="0" fontId="15" fillId="0" borderId="0" xfId="0" applyFont="1">
      <alignment vertical="center"/>
    </xf>
    <xf numFmtId="0" fontId="15" fillId="0" borderId="3" xfId="0" applyFont="1" applyBorder="1">
      <alignment vertical="center"/>
    </xf>
    <xf numFmtId="3" fontId="15" fillId="0" borderId="8" xfId="0" applyNumberFormat="1" applyFont="1" applyBorder="1">
      <alignment vertical="center"/>
    </xf>
    <xf numFmtId="3" fontId="15" fillId="0" borderId="3" xfId="0" applyNumberFormat="1" applyFont="1" applyBorder="1">
      <alignment vertical="center"/>
    </xf>
    <xf numFmtId="3" fontId="15" fillId="0" borderId="0" xfId="0" applyNumberFormat="1" applyFont="1">
      <alignment vertical="center"/>
    </xf>
    <xf numFmtId="9" fontId="15" fillId="0" borderId="0" xfId="0" applyNumberFormat="1" applyFont="1">
      <alignment vertical="center"/>
    </xf>
    <xf numFmtId="0" fontId="2" fillId="0" borderId="10" xfId="0" applyFont="1" applyBorder="1">
      <alignment vertical="center"/>
    </xf>
    <xf numFmtId="3" fontId="2" fillId="0" borderId="11" xfId="0" applyNumberFormat="1" applyFont="1" applyBorder="1">
      <alignment vertical="center"/>
    </xf>
    <xf numFmtId="3" fontId="2" fillId="0" borderId="10" xfId="0" applyNumberFormat="1" applyFont="1" applyBorder="1">
      <alignment vertical="center"/>
    </xf>
    <xf numFmtId="0" fontId="15" fillId="0" borderId="13" xfId="0" applyFont="1" applyBorder="1">
      <alignment vertical="center"/>
    </xf>
    <xf numFmtId="0" fontId="2" fillId="0" borderId="13" xfId="0" applyFont="1" applyBorder="1">
      <alignment vertical="center"/>
    </xf>
    <xf numFmtId="3" fontId="2" fillId="0" borderId="14" xfId="0" applyNumberFormat="1" applyFont="1" applyBorder="1">
      <alignment vertical="center"/>
    </xf>
    <xf numFmtId="3" fontId="2" fillId="0" borderId="13" xfId="0" applyNumberFormat="1" applyFont="1" applyBorder="1">
      <alignment vertical="center"/>
    </xf>
    <xf numFmtId="0" fontId="11" fillId="0" borderId="0" xfId="0" applyFont="1">
      <alignment vertical="center"/>
    </xf>
    <xf numFmtId="0" fontId="11" fillId="0" borderId="10" xfId="0" applyFont="1" applyBorder="1">
      <alignment vertical="center"/>
    </xf>
    <xf numFmtId="178" fontId="11" fillId="0" borderId="11" xfId="0" applyNumberFormat="1" applyFont="1" applyBorder="1">
      <alignment vertical="center"/>
    </xf>
    <xf numFmtId="178" fontId="11" fillId="0" borderId="10" xfId="0" applyNumberFormat="1" applyFont="1" applyBorder="1">
      <alignment vertical="center"/>
    </xf>
    <xf numFmtId="3" fontId="11" fillId="0" borderId="0" xfId="0" applyNumberFormat="1" applyFont="1">
      <alignment vertical="center"/>
    </xf>
    <xf numFmtId="3" fontId="2" fillId="0" borderId="16" xfId="0" applyNumberFormat="1" applyFont="1" applyBorder="1">
      <alignment vertical="center"/>
    </xf>
    <xf numFmtId="3" fontId="15" fillId="0" borderId="16" xfId="0" applyNumberFormat="1" applyFont="1" applyBorder="1">
      <alignment vertical="center"/>
    </xf>
    <xf numFmtId="0" fontId="2" fillId="6" borderId="16" xfId="0" applyFont="1" applyFill="1" applyBorder="1">
      <alignment vertical="center"/>
    </xf>
    <xf numFmtId="0" fontId="2" fillId="6" borderId="0" xfId="0" applyFont="1" applyFill="1">
      <alignment vertical="center"/>
    </xf>
    <xf numFmtId="0" fontId="2" fillId="6" borderId="17" xfId="0" applyFont="1" applyFill="1" applyBorder="1">
      <alignment vertical="center"/>
    </xf>
    <xf numFmtId="180" fontId="2" fillId="0" borderId="0" xfId="0" applyNumberFormat="1" applyFont="1">
      <alignment vertical="center"/>
    </xf>
    <xf numFmtId="0" fontId="15" fillId="0" borderId="10" xfId="0" applyFont="1" applyBorder="1">
      <alignment vertical="center"/>
    </xf>
    <xf numFmtId="0" fontId="2" fillId="6" borderId="11" xfId="0" applyFont="1" applyFill="1" applyBorder="1">
      <alignment vertical="center"/>
    </xf>
    <xf numFmtId="0" fontId="2" fillId="6" borderId="10" xfId="0" applyFont="1" applyFill="1" applyBorder="1">
      <alignment vertical="center"/>
    </xf>
    <xf numFmtId="0" fontId="2" fillId="6" borderId="12" xfId="0" applyFont="1" applyFill="1" applyBorder="1">
      <alignment vertical="center"/>
    </xf>
    <xf numFmtId="180" fontId="2" fillId="0" borderId="10" xfId="0" applyNumberFormat="1" applyFont="1" applyBorder="1">
      <alignment vertical="center"/>
    </xf>
    <xf numFmtId="0" fontId="15" fillId="0" borderId="18" xfId="0" applyFont="1" applyBorder="1">
      <alignment vertical="center"/>
    </xf>
    <xf numFmtId="4" fontId="2" fillId="0" borderId="0" xfId="0" applyNumberFormat="1" applyFont="1">
      <alignment vertical="center"/>
    </xf>
    <xf numFmtId="0" fontId="15" fillId="6" borderId="19" xfId="0" applyFont="1" applyFill="1" applyBorder="1">
      <alignment vertical="center"/>
    </xf>
    <xf numFmtId="0" fontId="15" fillId="6" borderId="18" xfId="0" applyFont="1" applyFill="1" applyBorder="1">
      <alignment vertical="center"/>
    </xf>
    <xf numFmtId="0" fontId="15" fillId="6" borderId="20" xfId="0" applyFont="1" applyFill="1" applyBorder="1">
      <alignment vertical="center"/>
    </xf>
    <xf numFmtId="180" fontId="15" fillId="0" borderId="18" xfId="0" applyNumberFormat="1" applyFont="1" applyBorder="1">
      <alignment vertical="center"/>
    </xf>
    <xf numFmtId="0" fontId="15" fillId="0" borderId="2" xfId="0" applyFont="1" applyBorder="1">
      <alignment vertical="center"/>
    </xf>
    <xf numFmtId="0" fontId="2" fillId="0" borderId="2" xfId="0" applyFont="1" applyBorder="1">
      <alignment vertical="center"/>
    </xf>
    <xf numFmtId="0" fontId="2" fillId="6" borderId="21" xfId="0" applyFont="1" applyFill="1" applyBorder="1">
      <alignment vertical="center"/>
    </xf>
    <xf numFmtId="0" fontId="2" fillId="6" borderId="2" xfId="0" applyFont="1" applyFill="1" applyBorder="1">
      <alignment vertical="center"/>
    </xf>
    <xf numFmtId="0" fontId="2" fillId="6" borderId="22" xfId="0" applyFont="1" applyFill="1" applyBorder="1">
      <alignment vertical="center"/>
    </xf>
    <xf numFmtId="180" fontId="2" fillId="0" borderId="2" xfId="0" applyNumberFormat="1" applyFont="1" applyBorder="1">
      <alignment vertical="center"/>
    </xf>
    <xf numFmtId="41" fontId="2" fillId="0" borderId="0" xfId="0" applyNumberFormat="1" applyFont="1">
      <alignment vertical="center"/>
    </xf>
    <xf numFmtId="176" fontId="10" fillId="3" borderId="3" xfId="0" applyNumberFormat="1" applyFont="1" applyFill="1" applyBorder="1">
      <alignment vertical="center"/>
    </xf>
    <xf numFmtId="9" fontId="16" fillId="0" borderId="3" xfId="0" applyNumberFormat="1" applyFont="1" applyBorder="1">
      <alignment vertical="center"/>
    </xf>
    <xf numFmtId="178" fontId="2" fillId="0" borderId="0" xfId="0" applyNumberFormat="1" applyFont="1">
      <alignment vertical="center"/>
    </xf>
    <xf numFmtId="176" fontId="10" fillId="3" borderId="2" xfId="0" applyNumberFormat="1" applyFont="1" applyFill="1" applyBorder="1">
      <alignment vertical="center"/>
    </xf>
    <xf numFmtId="9" fontId="2" fillId="0" borderId="0" xfId="0" applyNumberFormat="1" applyFont="1">
      <alignment vertical="center"/>
    </xf>
    <xf numFmtId="176" fontId="10" fillId="3" borderId="1" xfId="0" applyNumberFormat="1" applyFont="1" applyFill="1" applyBorder="1">
      <alignment vertical="center"/>
    </xf>
    <xf numFmtId="178" fontId="2" fillId="3" borderId="23" xfId="0" applyNumberFormat="1" applyFont="1" applyFill="1" applyBorder="1">
      <alignment vertical="center"/>
    </xf>
    <xf numFmtId="178" fontId="2" fillId="3" borderId="3" xfId="0" applyNumberFormat="1" applyFont="1" applyFill="1" applyBorder="1">
      <alignment vertical="center"/>
    </xf>
    <xf numFmtId="0" fontId="2" fillId="3" borderId="3" xfId="0" applyFont="1" applyFill="1" applyBorder="1">
      <alignment vertical="center"/>
    </xf>
    <xf numFmtId="0" fontId="15" fillId="3" borderId="3" xfId="0" applyFont="1" applyFill="1" applyBorder="1" applyAlignment="1">
      <alignment horizontal="center" vertical="center"/>
    </xf>
    <xf numFmtId="178" fontId="2" fillId="3" borderId="24" xfId="0" applyNumberFormat="1" applyFont="1" applyFill="1" applyBorder="1">
      <alignment vertical="center"/>
    </xf>
    <xf numFmtId="0" fontId="2" fillId="3" borderId="25" xfId="0" applyFont="1" applyFill="1" applyBorder="1">
      <alignment vertical="center"/>
    </xf>
    <xf numFmtId="3" fontId="17" fillId="0" borderId="0" xfId="0" applyNumberFormat="1" applyFont="1" applyAlignment="1">
      <alignment horizontal="center" vertical="center"/>
    </xf>
    <xf numFmtId="178" fontId="2" fillId="0" borderId="0" xfId="0" applyNumberFormat="1" applyFont="1" applyAlignment="1">
      <alignment horizontal="center" vertical="center"/>
    </xf>
    <xf numFmtId="10" fontId="2" fillId="0" borderId="0" xfId="0" applyNumberFormat="1" applyFont="1" applyAlignment="1">
      <alignment horizontal="center" vertical="center"/>
    </xf>
    <xf numFmtId="9" fontId="2" fillId="0" borderId="26" xfId="0" applyNumberFormat="1" applyFont="1" applyBorder="1" applyAlignment="1">
      <alignment horizontal="center" vertical="center"/>
    </xf>
    <xf numFmtId="3" fontId="2" fillId="0" borderId="23" xfId="0" applyNumberFormat="1" applyFont="1" applyBorder="1">
      <alignment vertical="center"/>
    </xf>
    <xf numFmtId="3" fontId="2" fillId="0" borderId="3" xfId="0" applyNumberFormat="1" applyFont="1" applyBorder="1">
      <alignment vertical="center"/>
    </xf>
    <xf numFmtId="3" fontId="2" fillId="0" borderId="24" xfId="0" applyNumberFormat="1" applyFont="1" applyBorder="1">
      <alignment vertical="center"/>
    </xf>
    <xf numFmtId="3" fontId="2" fillId="0" borderId="25" xfId="0" applyNumberFormat="1" applyFont="1" applyBorder="1">
      <alignment vertical="center"/>
    </xf>
    <xf numFmtId="3" fontId="2" fillId="0" borderId="26" xfId="0" applyNumberFormat="1" applyFont="1" applyBorder="1">
      <alignment vertical="center"/>
    </xf>
    <xf numFmtId="0" fontId="15" fillId="3" borderId="25" xfId="0" applyFont="1" applyFill="1" applyBorder="1" applyAlignment="1">
      <alignment horizontal="center" vertical="center"/>
    </xf>
    <xf numFmtId="3" fontId="15" fillId="0" borderId="2" xfId="0" applyNumberFormat="1" applyFont="1" applyBorder="1">
      <alignment vertical="center"/>
    </xf>
    <xf numFmtId="0" fontId="2" fillId="3" borderId="6" xfId="0" applyFont="1" applyFill="1" applyBorder="1">
      <alignment vertical="center"/>
    </xf>
    <xf numFmtId="10" fontId="2" fillId="0" borderId="2" xfId="0" applyNumberFormat="1" applyFont="1" applyBorder="1" applyAlignment="1">
      <alignment horizontal="center" vertical="center"/>
    </xf>
    <xf numFmtId="3" fontId="2" fillId="0" borderId="6" xfId="0" applyNumberFormat="1" applyFont="1" applyBorder="1">
      <alignment vertical="center"/>
    </xf>
    <xf numFmtId="3" fontId="2" fillId="0" borderId="2" xfId="0" applyNumberFormat="1" applyFont="1" applyBorder="1">
      <alignment vertical="center"/>
    </xf>
    <xf numFmtId="3" fontId="2" fillId="0" borderId="7" xfId="0" applyNumberFormat="1" applyFont="1" applyBorder="1">
      <alignment vertical="center"/>
    </xf>
    <xf numFmtId="0" fontId="4" fillId="5" borderId="0" xfId="0" applyFont="1" applyFill="1">
      <alignment vertical="center"/>
    </xf>
    <xf numFmtId="176" fontId="15" fillId="0" borderId="3" xfId="0" applyNumberFormat="1" applyFont="1" applyBorder="1">
      <alignment vertical="center"/>
    </xf>
    <xf numFmtId="176" fontId="15" fillId="0" borderId="9" xfId="0" applyNumberFormat="1" applyFont="1" applyBorder="1">
      <alignment vertical="center"/>
    </xf>
    <xf numFmtId="176" fontId="4" fillId="0" borderId="0" xfId="0" applyNumberFormat="1" applyFont="1">
      <alignment vertical="center"/>
    </xf>
    <xf numFmtId="176" fontId="4" fillId="0" borderId="17" xfId="0" applyNumberFormat="1" applyFont="1" applyBorder="1">
      <alignment vertical="center"/>
    </xf>
    <xf numFmtId="176" fontId="4" fillId="0" borderId="2" xfId="0" applyNumberFormat="1" applyFont="1" applyBorder="1">
      <alignment vertical="center"/>
    </xf>
    <xf numFmtId="176" fontId="10" fillId="3" borderId="0" xfId="0" applyNumberFormat="1" applyFont="1" applyFill="1" applyAlignment="1">
      <alignment horizontal="right" vertical="center"/>
    </xf>
    <xf numFmtId="14" fontId="18" fillId="5" borderId="0" xfId="0" applyNumberFormat="1" applyFont="1" applyFill="1">
      <alignment vertical="center"/>
    </xf>
    <xf numFmtId="0" fontId="4" fillId="0" borderId="0" xfId="0" applyFont="1" applyAlignment="1">
      <alignment horizontal="center" vertical="center"/>
    </xf>
    <xf numFmtId="176" fontId="15" fillId="0" borderId="2" xfId="0" applyNumberFormat="1" applyFont="1" applyBorder="1">
      <alignment vertical="center"/>
    </xf>
    <xf numFmtId="176" fontId="15" fillId="0" borderId="0" xfId="0" applyNumberFormat="1" applyFont="1">
      <alignment vertical="center"/>
    </xf>
    <xf numFmtId="0" fontId="19" fillId="0" borderId="0" xfId="0" applyFont="1">
      <alignment vertical="center"/>
    </xf>
    <xf numFmtId="0" fontId="20" fillId="0" borderId="0" xfId="0" applyFont="1">
      <alignment vertical="center"/>
    </xf>
    <xf numFmtId="0" fontId="7" fillId="0" borderId="0" xfId="0" applyFont="1">
      <alignment vertical="center"/>
    </xf>
    <xf numFmtId="0" fontId="21" fillId="7" borderId="28" xfId="0" applyFont="1" applyFill="1" applyBorder="1" applyAlignment="1">
      <alignment horizontal="center" vertical="center"/>
    </xf>
    <xf numFmtId="0" fontId="21" fillId="7" borderId="30" xfId="0" applyFont="1" applyFill="1" applyBorder="1" applyAlignment="1">
      <alignment horizontal="center" vertical="center"/>
    </xf>
    <xf numFmtId="0" fontId="21" fillId="7" borderId="29" xfId="0" applyFont="1" applyFill="1" applyBorder="1" applyAlignment="1">
      <alignment horizontal="center" vertical="center"/>
    </xf>
    <xf numFmtId="0" fontId="21" fillId="0" borderId="31" xfId="0" applyFont="1" applyBorder="1" applyAlignment="1">
      <alignment vertical="top"/>
    </xf>
    <xf numFmtId="0" fontId="21" fillId="0" borderId="32" xfId="0" applyFont="1" applyBorder="1" applyAlignment="1">
      <alignment horizontal="right" vertical="top"/>
    </xf>
    <xf numFmtId="0" fontId="21" fillId="0" borderId="27" xfId="0" applyFont="1" applyBorder="1" applyAlignment="1">
      <alignment horizontal="right" vertical="top"/>
    </xf>
    <xf numFmtId="3" fontId="21" fillId="0" borderId="27" xfId="0" applyNumberFormat="1" applyFont="1" applyBorder="1" applyAlignment="1">
      <alignment horizontal="right" vertical="top"/>
    </xf>
    <xf numFmtId="3" fontId="21" fillId="0" borderId="32" xfId="0" applyNumberFormat="1" applyFont="1" applyBorder="1" applyAlignment="1">
      <alignment horizontal="right" vertical="top"/>
    </xf>
    <xf numFmtId="0" fontId="21" fillId="0" borderId="31" xfId="0" applyFont="1" applyBorder="1" applyAlignment="1">
      <alignment horizontal="center" vertical="top"/>
    </xf>
    <xf numFmtId="0" fontId="21" fillId="0" borderId="31" xfId="0" applyFont="1" applyBorder="1">
      <alignment vertical="center"/>
    </xf>
    <xf numFmtId="0" fontId="21" fillId="0" borderId="33" xfId="0" applyFont="1" applyBorder="1" applyAlignment="1">
      <alignment vertical="top"/>
    </xf>
    <xf numFmtId="3" fontId="21" fillId="0" borderId="34" xfId="0" applyNumberFormat="1" applyFont="1" applyBorder="1" applyAlignment="1">
      <alignment horizontal="right" vertical="top"/>
    </xf>
    <xf numFmtId="3" fontId="21" fillId="0" borderId="35" xfId="0" applyNumberFormat="1" applyFont="1" applyBorder="1" applyAlignment="1">
      <alignment horizontal="right" vertical="top"/>
    </xf>
    <xf numFmtId="0" fontId="21" fillId="0" borderId="33" xfId="0" applyFont="1" applyBorder="1" applyAlignment="1">
      <alignment horizontal="center" vertical="top"/>
    </xf>
    <xf numFmtId="0" fontId="21" fillId="0" borderId="0" xfId="0" applyFont="1" applyAlignment="1">
      <alignment horizontal="center" vertical="top"/>
    </xf>
    <xf numFmtId="0" fontId="15" fillId="0" borderId="36" xfId="0" applyFont="1" applyBorder="1" applyAlignment="1">
      <alignment horizontal="center" vertical="center"/>
    </xf>
    <xf numFmtId="0" fontId="15" fillId="8" borderId="36" xfId="0" applyFont="1" applyFill="1" applyBorder="1" applyAlignment="1">
      <alignment horizontal="center" vertical="center"/>
    </xf>
    <xf numFmtId="0" fontId="15" fillId="9" borderId="36" xfId="0" applyFont="1" applyFill="1" applyBorder="1" applyAlignment="1">
      <alignment horizontal="center" vertical="center"/>
    </xf>
    <xf numFmtId="0" fontId="15" fillId="5" borderId="36" xfId="0" applyFont="1" applyFill="1" applyBorder="1" applyAlignment="1">
      <alignment horizontal="center" vertical="center"/>
    </xf>
    <xf numFmtId="0" fontId="15" fillId="10" borderId="36" xfId="0" applyFont="1" applyFill="1" applyBorder="1" applyAlignment="1">
      <alignment horizontal="center" vertical="center"/>
    </xf>
    <xf numFmtId="0" fontId="15" fillId="11" borderId="36" xfId="0" applyFont="1" applyFill="1" applyBorder="1" applyAlignment="1">
      <alignment horizontal="center" vertical="center"/>
    </xf>
    <xf numFmtId="0" fontId="15" fillId="0" borderId="37" xfId="0" applyFont="1" applyBorder="1">
      <alignment vertical="center"/>
    </xf>
    <xf numFmtId="183" fontId="15" fillId="0" borderId="37" xfId="0" applyNumberFormat="1" applyFont="1" applyBorder="1">
      <alignment vertical="center"/>
    </xf>
    <xf numFmtId="183" fontId="15" fillId="12" borderId="37" xfId="0" applyNumberFormat="1" applyFont="1" applyFill="1" applyBorder="1">
      <alignment vertical="center"/>
    </xf>
    <xf numFmtId="183" fontId="4" fillId="12" borderId="37" xfId="0" applyNumberFormat="1" applyFont="1" applyFill="1" applyBorder="1">
      <alignment vertical="center"/>
    </xf>
    <xf numFmtId="183" fontId="15" fillId="13" borderId="37" xfId="0" applyNumberFormat="1" applyFont="1" applyFill="1" applyBorder="1">
      <alignment vertical="center"/>
    </xf>
    <xf numFmtId="183" fontId="4" fillId="13" borderId="37" xfId="0" applyNumberFormat="1" applyFont="1" applyFill="1" applyBorder="1">
      <alignment vertical="center"/>
    </xf>
    <xf numFmtId="183" fontId="15" fillId="3" borderId="37" xfId="0" applyNumberFormat="1" applyFont="1" applyFill="1" applyBorder="1">
      <alignment vertical="center"/>
    </xf>
    <xf numFmtId="183" fontId="4" fillId="3" borderId="37" xfId="0" applyNumberFormat="1" applyFont="1" applyFill="1" applyBorder="1">
      <alignment vertical="center"/>
    </xf>
    <xf numFmtId="183" fontId="15" fillId="14" borderId="37" xfId="0" applyNumberFormat="1" applyFont="1" applyFill="1" applyBorder="1">
      <alignment vertical="center"/>
    </xf>
    <xf numFmtId="183" fontId="4" fillId="14" borderId="37" xfId="0" applyNumberFormat="1" applyFont="1" applyFill="1" applyBorder="1">
      <alignment vertical="center"/>
    </xf>
    <xf numFmtId="183" fontId="15" fillId="15" borderId="37" xfId="0" applyNumberFormat="1" applyFont="1" applyFill="1" applyBorder="1">
      <alignment vertical="center"/>
    </xf>
    <xf numFmtId="183" fontId="4" fillId="15" borderId="37" xfId="0" applyNumberFormat="1" applyFont="1" applyFill="1" applyBorder="1">
      <alignment vertical="center"/>
    </xf>
    <xf numFmtId="0" fontId="15" fillId="0" borderId="38" xfId="0" applyFont="1" applyBorder="1">
      <alignment vertical="center"/>
    </xf>
    <xf numFmtId="183" fontId="15" fillId="0" borderId="38" xfId="0" applyNumberFormat="1" applyFont="1" applyBorder="1">
      <alignment vertical="center"/>
    </xf>
    <xf numFmtId="183" fontId="15" fillId="12" borderId="38" xfId="0" applyNumberFormat="1" applyFont="1" applyFill="1" applyBorder="1">
      <alignment vertical="center"/>
    </xf>
    <xf numFmtId="183" fontId="4" fillId="12" borderId="38" xfId="0" applyNumberFormat="1" applyFont="1" applyFill="1" applyBorder="1">
      <alignment vertical="center"/>
    </xf>
    <xf numFmtId="183" fontId="15" fillId="13" borderId="38" xfId="0" applyNumberFormat="1" applyFont="1" applyFill="1" applyBorder="1">
      <alignment vertical="center"/>
    </xf>
    <xf numFmtId="183" fontId="4" fillId="13" borderId="38" xfId="0" applyNumberFormat="1" applyFont="1" applyFill="1" applyBorder="1">
      <alignment vertical="center"/>
    </xf>
    <xf numFmtId="183" fontId="15" fillId="3" borderId="38" xfId="0" applyNumberFormat="1" applyFont="1" applyFill="1" applyBorder="1">
      <alignment vertical="center"/>
    </xf>
    <xf numFmtId="183" fontId="4" fillId="3" borderId="38" xfId="0" applyNumberFormat="1" applyFont="1" applyFill="1" applyBorder="1">
      <alignment vertical="center"/>
    </xf>
    <xf numFmtId="183" fontId="15" fillId="14" borderId="38" xfId="0" applyNumberFormat="1" applyFont="1" applyFill="1" applyBorder="1">
      <alignment vertical="center"/>
    </xf>
    <xf numFmtId="183" fontId="4" fillId="14" borderId="38" xfId="0" applyNumberFormat="1" applyFont="1" applyFill="1" applyBorder="1">
      <alignment vertical="center"/>
    </xf>
    <xf numFmtId="183" fontId="15" fillId="15" borderId="38" xfId="0" applyNumberFormat="1" applyFont="1" applyFill="1" applyBorder="1">
      <alignment vertical="center"/>
    </xf>
    <xf numFmtId="183" fontId="4" fillId="15" borderId="38" xfId="0" applyNumberFormat="1" applyFont="1" applyFill="1" applyBorder="1">
      <alignment vertical="center"/>
    </xf>
    <xf numFmtId="183" fontId="15" fillId="0" borderId="39" xfId="0" applyNumberFormat="1" applyFont="1" applyBorder="1">
      <alignment vertical="center"/>
    </xf>
    <xf numFmtId="183" fontId="15" fillId="0" borderId="40" xfId="0" applyNumberFormat="1" applyFont="1" applyBorder="1">
      <alignment vertical="center"/>
    </xf>
    <xf numFmtId="0" fontId="15" fillId="0" borderId="36" xfId="0" applyFont="1" applyBorder="1">
      <alignment vertical="center"/>
    </xf>
    <xf numFmtId="183" fontId="15" fillId="0" borderId="36" xfId="0" applyNumberFormat="1" applyFont="1" applyBorder="1">
      <alignment vertical="center"/>
    </xf>
    <xf numFmtId="183" fontId="15" fillId="12" borderId="36" xfId="0" applyNumberFormat="1" applyFont="1" applyFill="1" applyBorder="1">
      <alignment vertical="center"/>
    </xf>
    <xf numFmtId="183" fontId="4" fillId="12" borderId="36" xfId="0" applyNumberFormat="1" applyFont="1" applyFill="1" applyBorder="1">
      <alignment vertical="center"/>
    </xf>
    <xf numFmtId="183" fontId="15" fillId="13" borderId="36" xfId="0" applyNumberFormat="1" applyFont="1" applyFill="1" applyBorder="1">
      <alignment vertical="center"/>
    </xf>
    <xf numFmtId="183" fontId="4" fillId="13" borderId="36" xfId="0" applyNumberFormat="1" applyFont="1" applyFill="1" applyBorder="1">
      <alignment vertical="center"/>
    </xf>
    <xf numFmtId="183" fontId="15" fillId="3" borderId="36" xfId="0" applyNumberFormat="1" applyFont="1" applyFill="1" applyBorder="1">
      <alignment vertical="center"/>
    </xf>
    <xf numFmtId="183" fontId="4" fillId="3" borderId="36" xfId="0" applyNumberFormat="1" applyFont="1" applyFill="1" applyBorder="1">
      <alignment vertical="center"/>
    </xf>
    <xf numFmtId="183" fontId="15" fillId="14" borderId="36" xfId="0" applyNumberFormat="1" applyFont="1" applyFill="1" applyBorder="1">
      <alignment vertical="center"/>
    </xf>
    <xf numFmtId="183" fontId="4" fillId="14" borderId="36" xfId="0" applyNumberFormat="1" applyFont="1" applyFill="1" applyBorder="1">
      <alignment vertical="center"/>
    </xf>
    <xf numFmtId="183" fontId="15" fillId="15" borderId="36" xfId="0" applyNumberFormat="1" applyFont="1" applyFill="1" applyBorder="1">
      <alignment vertical="center"/>
    </xf>
    <xf numFmtId="183" fontId="4" fillId="15" borderId="36" xfId="0" applyNumberFormat="1" applyFont="1" applyFill="1" applyBorder="1">
      <alignment vertical="center"/>
    </xf>
    <xf numFmtId="183" fontId="15" fillId="0" borderId="36" xfId="0" applyNumberFormat="1" applyFont="1" applyBorder="1" applyAlignment="1">
      <alignment horizontal="center" vertical="center"/>
    </xf>
    <xf numFmtId="183" fontId="15" fillId="9" borderId="36" xfId="0" applyNumberFormat="1" applyFont="1" applyFill="1" applyBorder="1" applyAlignment="1">
      <alignment horizontal="center" vertical="center"/>
    </xf>
    <xf numFmtId="183" fontId="15" fillId="5" borderId="36" xfId="0" applyNumberFormat="1" applyFont="1" applyFill="1" applyBorder="1" applyAlignment="1">
      <alignment horizontal="center" vertical="center"/>
    </xf>
    <xf numFmtId="183" fontId="15" fillId="11" borderId="36" xfId="0" applyNumberFormat="1" applyFont="1" applyFill="1" applyBorder="1" applyAlignment="1">
      <alignment horizontal="center" vertical="center"/>
    </xf>
    <xf numFmtId="183" fontId="15" fillId="16" borderId="36" xfId="0" applyNumberFormat="1" applyFont="1" applyFill="1" applyBorder="1" applyAlignment="1">
      <alignment horizontal="center" vertical="center"/>
    </xf>
    <xf numFmtId="183" fontId="15" fillId="17" borderId="36" xfId="0" applyNumberFormat="1" applyFont="1" applyFill="1" applyBorder="1" applyAlignment="1">
      <alignment horizontal="center" vertical="center"/>
    </xf>
    <xf numFmtId="183" fontId="15" fillId="18" borderId="37" xfId="0" applyNumberFormat="1" applyFont="1" applyFill="1" applyBorder="1">
      <alignment vertical="center"/>
    </xf>
    <xf numFmtId="183" fontId="4" fillId="18" borderId="37" xfId="0" applyNumberFormat="1" applyFont="1" applyFill="1" applyBorder="1">
      <alignment vertical="center"/>
    </xf>
    <xf numFmtId="183" fontId="15" fillId="19" borderId="37" xfId="0" applyNumberFormat="1" applyFont="1" applyFill="1" applyBorder="1">
      <alignment vertical="center"/>
    </xf>
    <xf numFmtId="183" fontId="4" fillId="19" borderId="37" xfId="0" applyNumberFormat="1" applyFont="1" applyFill="1" applyBorder="1">
      <alignment vertical="center"/>
    </xf>
    <xf numFmtId="183" fontId="15" fillId="18" borderId="38" xfId="0" applyNumberFormat="1" applyFont="1" applyFill="1" applyBorder="1">
      <alignment vertical="center"/>
    </xf>
    <xf numFmtId="183" fontId="4" fillId="18" borderId="38" xfId="0" applyNumberFormat="1" applyFont="1" applyFill="1" applyBorder="1">
      <alignment vertical="center"/>
    </xf>
    <xf numFmtId="183" fontId="15" fillId="19" borderId="38" xfId="0" applyNumberFormat="1" applyFont="1" applyFill="1" applyBorder="1">
      <alignment vertical="center"/>
    </xf>
    <xf numFmtId="183" fontId="4" fillId="19" borderId="38" xfId="0" applyNumberFormat="1" applyFont="1" applyFill="1" applyBorder="1">
      <alignment vertical="center"/>
    </xf>
    <xf numFmtId="183" fontId="15" fillId="13" borderId="39" xfId="0" applyNumberFormat="1" applyFont="1" applyFill="1" applyBorder="1">
      <alignment vertical="center"/>
    </xf>
    <xf numFmtId="183" fontId="4" fillId="13" borderId="39" xfId="0" applyNumberFormat="1" applyFont="1" applyFill="1" applyBorder="1">
      <alignment vertical="center"/>
    </xf>
    <xf numFmtId="183" fontId="15" fillId="3" borderId="39" xfId="0" applyNumberFormat="1" applyFont="1" applyFill="1" applyBorder="1">
      <alignment vertical="center"/>
    </xf>
    <xf numFmtId="183" fontId="4" fillId="3" borderId="39" xfId="0" applyNumberFormat="1" applyFont="1" applyFill="1" applyBorder="1">
      <alignment vertical="center"/>
    </xf>
    <xf numFmtId="183" fontId="15" fillId="15" borderId="39" xfId="0" applyNumberFormat="1" applyFont="1" applyFill="1" applyBorder="1">
      <alignment vertical="center"/>
    </xf>
    <xf numFmtId="183" fontId="4" fillId="15" borderId="39" xfId="0" applyNumberFormat="1" applyFont="1" applyFill="1" applyBorder="1">
      <alignment vertical="center"/>
    </xf>
    <xf numFmtId="183" fontId="15" fillId="18" borderId="39" xfId="0" applyNumberFormat="1" applyFont="1" applyFill="1" applyBorder="1">
      <alignment vertical="center"/>
    </xf>
    <xf numFmtId="183" fontId="4" fillId="18" borderId="39" xfId="0" applyNumberFormat="1" applyFont="1" applyFill="1" applyBorder="1">
      <alignment vertical="center"/>
    </xf>
    <xf numFmtId="183" fontId="15" fillId="19" borderId="39" xfId="0" applyNumberFormat="1" applyFont="1" applyFill="1" applyBorder="1">
      <alignment vertical="center"/>
    </xf>
    <xf numFmtId="183" fontId="4" fillId="19" borderId="39" xfId="0" applyNumberFormat="1" applyFont="1" applyFill="1" applyBorder="1">
      <alignment vertical="center"/>
    </xf>
    <xf numFmtId="183" fontId="15" fillId="18" borderId="36" xfId="0" applyNumberFormat="1" applyFont="1" applyFill="1" applyBorder="1">
      <alignment vertical="center"/>
    </xf>
    <xf numFmtId="183" fontId="4" fillId="18" borderId="36" xfId="0" applyNumberFormat="1" applyFont="1" applyFill="1" applyBorder="1">
      <alignment vertical="center"/>
    </xf>
    <xf numFmtId="183" fontId="15" fillId="19" borderId="36" xfId="0" applyNumberFormat="1" applyFont="1" applyFill="1" applyBorder="1">
      <alignment vertical="center"/>
    </xf>
    <xf numFmtId="183" fontId="4" fillId="19" borderId="36" xfId="0" applyNumberFormat="1" applyFont="1" applyFill="1" applyBorder="1">
      <alignment vertical="center"/>
    </xf>
    <xf numFmtId="0" fontId="15" fillId="0" borderId="0" xfId="0" quotePrefix="1" applyFont="1" applyAlignment="1">
      <alignment horizontal="left" vertical="center"/>
    </xf>
    <xf numFmtId="0" fontId="15" fillId="0" borderId="1" xfId="0" applyFont="1" applyBorder="1" applyAlignment="1">
      <alignment horizontal="center" vertical="center"/>
    </xf>
    <xf numFmtId="176" fontId="2" fillId="0" borderId="0" xfId="0" applyNumberFormat="1" applyFont="1">
      <alignment vertical="center"/>
    </xf>
    <xf numFmtId="14" fontId="2" fillId="0" borderId="0" xfId="0" applyNumberFormat="1" applyFont="1" applyAlignment="1">
      <alignment horizontal="center" vertical="center"/>
    </xf>
    <xf numFmtId="176" fontId="2" fillId="0" borderId="0" xfId="0" applyNumberFormat="1" applyFont="1" applyAlignment="1">
      <alignment horizontal="right" vertical="center"/>
    </xf>
    <xf numFmtId="176" fontId="2" fillId="0" borderId="2" xfId="0" applyNumberFormat="1" applyFont="1" applyBorder="1">
      <alignment vertical="center"/>
    </xf>
    <xf numFmtId="176" fontId="2" fillId="0" borderId="2" xfId="0" applyNumberFormat="1" applyFont="1" applyBorder="1" applyAlignment="1">
      <alignment horizontal="right" vertical="center"/>
    </xf>
    <xf numFmtId="0" fontId="2" fillId="0" borderId="0" xfId="0" applyFont="1" applyAlignment="1">
      <alignment horizontal="center" vertical="center"/>
    </xf>
    <xf numFmtId="184" fontId="2" fillId="0" borderId="0" xfId="0" applyNumberFormat="1" applyFont="1" applyAlignment="1">
      <alignment horizontal="center" vertical="center"/>
    </xf>
    <xf numFmtId="0" fontId="2" fillId="0" borderId="2" xfId="0" applyFont="1" applyBorder="1" applyAlignment="1">
      <alignment horizontal="center" vertical="center"/>
    </xf>
    <xf numFmtId="0" fontId="22" fillId="0" borderId="0" xfId="0" applyFont="1">
      <alignment vertical="center"/>
    </xf>
    <xf numFmtId="0" fontId="23" fillId="0" borderId="0" xfId="0" applyFont="1">
      <alignment vertical="center"/>
    </xf>
    <xf numFmtId="0" fontId="15" fillId="0" borderId="0" xfId="0" applyFont="1" applyAlignment="1">
      <alignment horizontal="center" vertical="center"/>
    </xf>
    <xf numFmtId="176" fontId="4" fillId="0" borderId="16" xfId="0" applyNumberFormat="1" applyFont="1" applyBorder="1">
      <alignment vertical="center"/>
    </xf>
    <xf numFmtId="176" fontId="13" fillId="0" borderId="8" xfId="0" applyNumberFormat="1" applyFont="1" applyBorder="1">
      <alignment vertical="center"/>
    </xf>
    <xf numFmtId="176" fontId="13" fillId="0" borderId="3" xfId="0" applyNumberFormat="1" applyFont="1" applyBorder="1">
      <alignment vertical="center"/>
    </xf>
    <xf numFmtId="176" fontId="13" fillId="0" borderId="9" xfId="0" applyNumberFormat="1" applyFont="1" applyBorder="1">
      <alignment vertical="center"/>
    </xf>
    <xf numFmtId="176" fontId="13" fillId="0" borderId="16" xfId="0" applyNumberFormat="1" applyFont="1" applyBorder="1">
      <alignment vertical="center"/>
    </xf>
    <xf numFmtId="176" fontId="13" fillId="0" borderId="0" xfId="0" applyNumberFormat="1" applyFont="1">
      <alignment vertical="center"/>
    </xf>
    <xf numFmtId="176" fontId="13" fillId="0" borderId="17" xfId="0" applyNumberFormat="1" applyFont="1" applyBorder="1">
      <alignment vertical="center"/>
    </xf>
    <xf numFmtId="176" fontId="13" fillId="0" borderId="21" xfId="0" applyNumberFormat="1" applyFont="1" applyBorder="1">
      <alignment vertical="center"/>
    </xf>
    <xf numFmtId="176" fontId="13" fillId="0" borderId="2" xfId="0" applyNumberFormat="1" applyFont="1" applyBorder="1">
      <alignment vertical="center"/>
    </xf>
    <xf numFmtId="176" fontId="13" fillId="0" borderId="22" xfId="0" applyNumberFormat="1" applyFont="1" applyBorder="1">
      <alignment vertical="center"/>
    </xf>
    <xf numFmtId="176" fontId="2" fillId="0" borderId="16" xfId="0" applyNumberFormat="1" applyFont="1" applyBorder="1">
      <alignment vertical="center"/>
    </xf>
    <xf numFmtId="176" fontId="15" fillId="0" borderId="8" xfId="0" applyNumberFormat="1" applyFont="1" applyBorder="1">
      <alignment vertical="center"/>
    </xf>
    <xf numFmtId="9" fontId="11" fillId="0" borderId="21" xfId="0" applyNumberFormat="1" applyFont="1" applyBorder="1">
      <alignment vertical="center"/>
    </xf>
    <xf numFmtId="9" fontId="11" fillId="0" borderId="2" xfId="0" applyNumberFormat="1" applyFont="1" applyBorder="1">
      <alignment vertical="center"/>
    </xf>
    <xf numFmtId="176" fontId="24" fillId="0" borderId="16" xfId="0" applyNumberFormat="1" applyFont="1" applyBorder="1">
      <alignment vertical="center"/>
    </xf>
    <xf numFmtId="176" fontId="24" fillId="0" borderId="0" xfId="0" applyNumberFormat="1" applyFont="1">
      <alignment vertical="center"/>
    </xf>
    <xf numFmtId="177" fontId="2" fillId="0" borderId="16" xfId="0" applyNumberFormat="1" applyFont="1" applyBorder="1">
      <alignment vertical="center"/>
    </xf>
    <xf numFmtId="177" fontId="2" fillId="0" borderId="0" xfId="0" applyNumberFormat="1" applyFont="1">
      <alignment vertical="center"/>
    </xf>
    <xf numFmtId="0" fontId="4" fillId="8" borderId="36" xfId="0" applyFont="1" applyFill="1" applyBorder="1" applyAlignment="1">
      <alignment horizontal="center" vertical="center"/>
    </xf>
    <xf numFmtId="0" fontId="4" fillId="0" borderId="36" xfId="0" applyFont="1" applyBorder="1">
      <alignment vertical="center"/>
    </xf>
    <xf numFmtId="185" fontId="4" fillId="0" borderId="36" xfId="0" applyNumberFormat="1" applyFont="1" applyBorder="1">
      <alignment vertical="center"/>
    </xf>
    <xf numFmtId="10" fontId="4" fillId="0" borderId="36" xfId="0" applyNumberFormat="1" applyFont="1" applyBorder="1">
      <alignment vertical="center"/>
    </xf>
    <xf numFmtId="186" fontId="4" fillId="0" borderId="36" xfId="0" applyNumberFormat="1" applyFont="1" applyBorder="1">
      <alignment vertical="center"/>
    </xf>
    <xf numFmtId="2" fontId="4" fillId="0" borderId="36" xfId="0" applyNumberFormat="1" applyFont="1" applyBorder="1">
      <alignment vertical="center"/>
    </xf>
    <xf numFmtId="3" fontId="4" fillId="0" borderId="36" xfId="0" applyNumberFormat="1" applyFont="1" applyBorder="1">
      <alignment vertical="center"/>
    </xf>
    <xf numFmtId="9" fontId="4" fillId="0" borderId="36" xfId="0" applyNumberFormat="1" applyFont="1" applyBorder="1">
      <alignment vertical="center"/>
    </xf>
    <xf numFmtId="0" fontId="26" fillId="0" borderId="0" xfId="0" applyFont="1">
      <alignment vertical="center"/>
    </xf>
    <xf numFmtId="0" fontId="2" fillId="0" borderId="36" xfId="0" applyFont="1" applyBorder="1">
      <alignment vertical="center"/>
    </xf>
    <xf numFmtId="9" fontId="2" fillId="0" borderId="36" xfId="0" applyNumberFormat="1" applyFont="1" applyBorder="1">
      <alignment vertical="center"/>
    </xf>
    <xf numFmtId="10" fontId="11" fillId="0" borderId="0" xfId="0" applyNumberFormat="1" applyFont="1">
      <alignment vertical="center"/>
    </xf>
    <xf numFmtId="10" fontId="25" fillId="0" borderId="0" xfId="0" applyNumberFormat="1" applyFont="1">
      <alignment vertical="center"/>
    </xf>
    <xf numFmtId="10" fontId="11" fillId="0" borderId="2" xfId="0" applyNumberFormat="1" applyFont="1" applyBorder="1">
      <alignment vertical="center"/>
    </xf>
    <xf numFmtId="3" fontId="4" fillId="0" borderId="0" xfId="0" applyNumberFormat="1" applyFont="1">
      <alignment vertical="center"/>
    </xf>
    <xf numFmtId="183" fontId="15" fillId="20" borderId="36" xfId="0" applyNumberFormat="1" applyFont="1" applyFill="1" applyBorder="1" applyAlignment="1">
      <alignment horizontal="center" vertical="center"/>
    </xf>
    <xf numFmtId="183" fontId="15" fillId="21" borderId="36" xfId="0" applyNumberFormat="1" applyFont="1" applyFill="1" applyBorder="1" applyAlignment="1">
      <alignment horizontal="center" vertical="center"/>
    </xf>
    <xf numFmtId="183" fontId="15" fillId="22" borderId="37" xfId="0" applyNumberFormat="1" applyFont="1" applyFill="1" applyBorder="1">
      <alignment vertical="center"/>
    </xf>
    <xf numFmtId="183" fontId="4" fillId="22" borderId="37" xfId="0" applyNumberFormat="1" applyFont="1" applyFill="1" applyBorder="1">
      <alignment vertical="center"/>
    </xf>
    <xf numFmtId="183" fontId="15" fillId="23" borderId="37" xfId="0" applyNumberFormat="1" applyFont="1" applyFill="1" applyBorder="1">
      <alignment vertical="center"/>
    </xf>
    <xf numFmtId="183" fontId="4" fillId="23" borderId="37" xfId="0" applyNumberFormat="1" applyFont="1" applyFill="1" applyBorder="1">
      <alignment vertical="center"/>
    </xf>
    <xf numFmtId="183" fontId="4" fillId="0" borderId="0" xfId="0" applyNumberFormat="1" applyFont="1">
      <alignment vertical="center"/>
    </xf>
    <xf numFmtId="183" fontId="15" fillId="22" borderId="38" xfId="0" applyNumberFormat="1" applyFont="1" applyFill="1" applyBorder="1">
      <alignment vertical="center"/>
    </xf>
    <xf numFmtId="183" fontId="4" fillId="22" borderId="38" xfId="0" applyNumberFormat="1" applyFont="1" applyFill="1" applyBorder="1">
      <alignment vertical="center"/>
    </xf>
    <xf numFmtId="183" fontId="15" fillId="23" borderId="38" xfId="0" applyNumberFormat="1" applyFont="1" applyFill="1" applyBorder="1">
      <alignment vertical="center"/>
    </xf>
    <xf numFmtId="183" fontId="4" fillId="23" borderId="38" xfId="0" applyNumberFormat="1" applyFont="1" applyFill="1" applyBorder="1">
      <alignment vertical="center"/>
    </xf>
    <xf numFmtId="183" fontId="15" fillId="22" borderId="39" xfId="0" applyNumberFormat="1" applyFont="1" applyFill="1" applyBorder="1">
      <alignment vertical="center"/>
    </xf>
    <xf numFmtId="183" fontId="4" fillId="22" borderId="39" xfId="0" applyNumberFormat="1" applyFont="1" applyFill="1" applyBorder="1">
      <alignment vertical="center"/>
    </xf>
    <xf numFmtId="183" fontId="15" fillId="23" borderId="39" xfId="0" applyNumberFormat="1" applyFont="1" applyFill="1" applyBorder="1">
      <alignment vertical="center"/>
    </xf>
    <xf numFmtId="183" fontId="4" fillId="23" borderId="39" xfId="0" applyNumberFormat="1" applyFont="1" applyFill="1" applyBorder="1">
      <alignment vertical="center"/>
    </xf>
    <xf numFmtId="183" fontId="15" fillId="22" borderId="36" xfId="0" applyNumberFormat="1" applyFont="1" applyFill="1" applyBorder="1">
      <alignment vertical="center"/>
    </xf>
    <xf numFmtId="183" fontId="4" fillId="22" borderId="36" xfId="0" applyNumberFormat="1" applyFont="1" applyFill="1" applyBorder="1">
      <alignment vertical="center"/>
    </xf>
    <xf numFmtId="183" fontId="15" fillId="23" borderId="36" xfId="0" applyNumberFormat="1" applyFont="1" applyFill="1" applyBorder="1">
      <alignment vertical="center"/>
    </xf>
    <xf numFmtId="183" fontId="4" fillId="23" borderId="36" xfId="0" applyNumberFormat="1" applyFont="1" applyFill="1" applyBorder="1">
      <alignment vertical="center"/>
    </xf>
    <xf numFmtId="41" fontId="4" fillId="0" borderId="0" xfId="0" applyNumberFormat="1" applyFont="1">
      <alignment vertical="center"/>
    </xf>
    <xf numFmtId="0" fontId="4" fillId="0" borderId="41" xfId="0" applyFont="1" applyBorder="1">
      <alignment vertical="center"/>
    </xf>
    <xf numFmtId="0" fontId="4" fillId="0" borderId="36" xfId="0" applyFont="1" applyBorder="1" applyAlignment="1">
      <alignment horizontal="center" vertical="center"/>
    </xf>
    <xf numFmtId="187" fontId="4" fillId="0" borderId="36" xfId="0" applyNumberFormat="1" applyFont="1" applyBorder="1">
      <alignment vertical="center"/>
    </xf>
    <xf numFmtId="187" fontId="15" fillId="0" borderId="36" xfId="0" applyNumberFormat="1" applyFont="1" applyBorder="1">
      <alignment vertical="center"/>
    </xf>
    <xf numFmtId="0" fontId="4" fillId="0" borderId="42" xfId="0" applyFont="1" applyBorder="1">
      <alignment vertical="center"/>
    </xf>
    <xf numFmtId="9" fontId="15" fillId="19" borderId="36" xfId="0" applyNumberFormat="1" applyFont="1" applyFill="1" applyBorder="1">
      <alignment vertical="center"/>
    </xf>
    <xf numFmtId="9" fontId="4" fillId="19" borderId="36" xfId="0" applyNumberFormat="1" applyFont="1" applyFill="1" applyBorder="1">
      <alignment vertical="center"/>
    </xf>
    <xf numFmtId="188" fontId="4" fillId="0" borderId="0" xfId="0" applyNumberFormat="1" applyFont="1">
      <alignment vertical="center"/>
    </xf>
    <xf numFmtId="3" fontId="15" fillId="0" borderId="36" xfId="0" applyNumberFormat="1" applyFont="1" applyBorder="1">
      <alignment vertical="center"/>
    </xf>
    <xf numFmtId="9" fontId="4" fillId="0" borderId="0" xfId="0" applyNumberFormat="1" applyFont="1">
      <alignment vertical="center"/>
    </xf>
    <xf numFmtId="178" fontId="4" fillId="24" borderId="36" xfId="0" applyNumberFormat="1" applyFont="1" applyFill="1" applyBorder="1">
      <alignment vertical="center"/>
    </xf>
    <xf numFmtId="0" fontId="4" fillId="19" borderId="36" xfId="0" applyFont="1" applyFill="1" applyBorder="1">
      <alignment vertical="center"/>
    </xf>
    <xf numFmtId="3" fontId="4" fillId="19" borderId="36" xfId="0" applyNumberFormat="1" applyFont="1" applyFill="1" applyBorder="1">
      <alignment vertical="center"/>
    </xf>
    <xf numFmtId="182" fontId="4" fillId="0" borderId="36" xfId="0" applyNumberFormat="1" applyFont="1" applyBorder="1">
      <alignment vertical="center"/>
    </xf>
    <xf numFmtId="182" fontId="4" fillId="19" borderId="36" xfId="0" applyNumberFormat="1" applyFont="1" applyFill="1" applyBorder="1">
      <alignment vertical="center"/>
    </xf>
    <xf numFmtId="10" fontId="25" fillId="0" borderId="8" xfId="0" applyNumberFormat="1" applyFont="1" applyBorder="1">
      <alignment vertical="center"/>
    </xf>
    <xf numFmtId="10" fontId="25" fillId="0" borderId="3" xfId="0" applyNumberFormat="1" applyFont="1" applyBorder="1">
      <alignment vertical="center"/>
    </xf>
    <xf numFmtId="10" fontId="25" fillId="0" borderId="16" xfId="0" applyNumberFormat="1" applyFont="1" applyBorder="1">
      <alignment vertical="center"/>
    </xf>
    <xf numFmtId="10" fontId="25" fillId="0" borderId="21" xfId="0" applyNumberFormat="1" applyFont="1" applyBorder="1">
      <alignment vertical="center"/>
    </xf>
    <xf numFmtId="10" fontId="25" fillId="0" borderId="2" xfId="0" applyNumberFormat="1" applyFont="1" applyBorder="1">
      <alignment vertical="center"/>
    </xf>
    <xf numFmtId="0" fontId="28" fillId="0" borderId="0" xfId="0" applyFont="1">
      <alignment vertical="center"/>
    </xf>
    <xf numFmtId="0" fontId="15" fillId="3" borderId="1" xfId="0" applyFont="1" applyFill="1" applyBorder="1" applyAlignment="1">
      <alignment horizontal="center" vertical="center"/>
    </xf>
    <xf numFmtId="0" fontId="14" fillId="4" borderId="43" xfId="0" applyFont="1" applyFill="1" applyBorder="1" applyAlignment="1">
      <alignment horizontal="center" vertical="center"/>
    </xf>
    <xf numFmtId="177" fontId="2" fillId="0" borderId="16" xfId="0" applyNumberFormat="1" applyFont="1" applyBorder="1" applyAlignment="1">
      <alignment horizontal="right" vertical="center"/>
    </xf>
    <xf numFmtId="0" fontId="4" fillId="0" borderId="44" xfId="0" applyFont="1" applyBorder="1" applyAlignment="1">
      <alignment vertical="center" wrapText="1"/>
    </xf>
    <xf numFmtId="4" fontId="4" fillId="0" borderId="44" xfId="0" applyNumberFormat="1" applyFont="1" applyBorder="1" applyAlignment="1">
      <alignment vertical="center" wrapText="1"/>
    </xf>
    <xf numFmtId="0" fontId="4" fillId="0" borderId="1" xfId="0" applyFont="1" applyBorder="1">
      <alignment vertical="center"/>
    </xf>
    <xf numFmtId="176" fontId="13" fillId="0" borderId="1" xfId="0" applyNumberFormat="1" applyFont="1" applyBorder="1">
      <alignment vertical="center"/>
    </xf>
    <xf numFmtId="176" fontId="4" fillId="0" borderId="1" xfId="0" applyNumberFormat="1" applyFont="1" applyBorder="1">
      <alignment vertical="center"/>
    </xf>
    <xf numFmtId="176" fontId="12" fillId="0" borderId="1" xfId="0" applyNumberFormat="1" applyFont="1" applyBorder="1">
      <alignment vertical="center"/>
    </xf>
    <xf numFmtId="176" fontId="2" fillId="0" borderId="16" xfId="0" applyNumberFormat="1" applyFont="1" applyBorder="1" applyAlignment="1">
      <alignment horizontal="right" vertical="center"/>
    </xf>
    <xf numFmtId="176" fontId="13" fillId="0" borderId="45" xfId="0" applyNumberFormat="1" applyFont="1" applyBorder="1">
      <alignment vertical="center"/>
    </xf>
    <xf numFmtId="176" fontId="13" fillId="0" borderId="46" xfId="0" applyNumberFormat="1" applyFont="1" applyBorder="1">
      <alignment vertical="center"/>
    </xf>
    <xf numFmtId="0" fontId="4" fillId="0" borderId="3" xfId="0" applyFont="1" applyBorder="1">
      <alignment vertical="center"/>
    </xf>
    <xf numFmtId="0" fontId="4" fillId="0" borderId="22" xfId="0" applyFont="1" applyBorder="1">
      <alignment vertical="center"/>
    </xf>
    <xf numFmtId="176" fontId="4" fillId="0" borderId="3" xfId="0" applyNumberFormat="1" applyFont="1" applyBorder="1">
      <alignment vertical="center"/>
    </xf>
    <xf numFmtId="190" fontId="4" fillId="0" borderId="0" xfId="0" applyNumberFormat="1" applyFont="1">
      <alignment vertical="center"/>
    </xf>
    <xf numFmtId="177" fontId="4" fillId="0" borderId="0" xfId="0" applyNumberFormat="1" applyFont="1">
      <alignment vertical="center"/>
    </xf>
    <xf numFmtId="177" fontId="13" fillId="0" borderId="16" xfId="0" applyNumberFormat="1" applyFont="1" applyBorder="1">
      <alignment vertical="center"/>
    </xf>
    <xf numFmtId="177" fontId="13" fillId="0" borderId="0" xfId="0" applyNumberFormat="1" applyFont="1">
      <alignment vertical="center"/>
    </xf>
    <xf numFmtId="177" fontId="13" fillId="0" borderId="21" xfId="0" applyNumberFormat="1" applyFont="1" applyBorder="1">
      <alignment vertical="center"/>
    </xf>
    <xf numFmtId="177" fontId="13" fillId="0" borderId="2" xfId="0" applyNumberFormat="1" applyFont="1" applyBorder="1">
      <alignment vertical="center"/>
    </xf>
    <xf numFmtId="177" fontId="4" fillId="0" borderId="2" xfId="0" applyNumberFormat="1" applyFont="1" applyBorder="1">
      <alignment vertical="center"/>
    </xf>
    <xf numFmtId="10" fontId="25" fillId="0" borderId="45" xfId="0" applyNumberFormat="1" applyFont="1" applyBorder="1">
      <alignment vertical="center"/>
    </xf>
    <xf numFmtId="10" fontId="25" fillId="0" borderId="1" xfId="0" applyNumberFormat="1" applyFont="1" applyBorder="1">
      <alignment vertical="center"/>
    </xf>
    <xf numFmtId="10" fontId="29" fillId="0" borderId="1" xfId="0" applyNumberFormat="1" applyFont="1" applyBorder="1">
      <alignment vertical="center"/>
    </xf>
    <xf numFmtId="176" fontId="2" fillId="0" borderId="21" xfId="0" applyNumberFormat="1" applyFont="1" applyBorder="1">
      <alignment vertical="center"/>
    </xf>
    <xf numFmtId="0" fontId="4" fillId="0" borderId="0" xfId="0" applyFont="1" applyAlignment="1">
      <alignment horizontal="left" vertical="center" indent="1"/>
    </xf>
    <xf numFmtId="176" fontId="5" fillId="0" borderId="8" xfId="0" applyNumberFormat="1" applyFont="1" applyBorder="1">
      <alignment vertical="center"/>
    </xf>
    <xf numFmtId="176" fontId="5" fillId="0" borderId="3" xfId="0" applyNumberFormat="1" applyFont="1" applyBorder="1">
      <alignment vertical="center"/>
    </xf>
    <xf numFmtId="176" fontId="16" fillId="0" borderId="16" xfId="0" applyNumberFormat="1" applyFont="1" applyBorder="1">
      <alignment vertical="center"/>
    </xf>
    <xf numFmtId="176" fontId="16" fillId="0" borderId="0" xfId="0" applyNumberFormat="1" applyFont="1">
      <alignment vertical="center"/>
    </xf>
    <xf numFmtId="0" fontId="3" fillId="25" borderId="36" xfId="0" applyFont="1" applyFill="1" applyBorder="1" applyAlignment="1">
      <alignment horizontal="center" vertical="center"/>
    </xf>
    <xf numFmtId="0" fontId="2" fillId="0" borderId="3" xfId="0" applyFont="1" applyBorder="1" applyAlignment="1">
      <alignment horizontal="center" vertical="center"/>
    </xf>
    <xf numFmtId="0" fontId="2" fillId="0" borderId="3" xfId="0" applyFont="1" applyBorder="1">
      <alignment vertical="center"/>
    </xf>
    <xf numFmtId="176" fontId="2" fillId="0" borderId="3" xfId="0" applyNumberFormat="1" applyFont="1" applyBorder="1">
      <alignment vertical="center"/>
    </xf>
    <xf numFmtId="10" fontId="11" fillId="0" borderId="3" xfId="0" applyNumberFormat="1" applyFont="1" applyBorder="1" applyAlignment="1">
      <alignment horizontal="center" vertical="center"/>
    </xf>
    <xf numFmtId="10" fontId="11" fillId="0" borderId="0" xfId="0" applyNumberFormat="1" applyFont="1" applyAlignment="1">
      <alignment horizontal="center" vertical="center"/>
    </xf>
    <xf numFmtId="10" fontId="11" fillId="0" borderId="2" xfId="0" applyNumberFormat="1" applyFont="1" applyBorder="1" applyAlignment="1">
      <alignment horizontal="center" vertical="center"/>
    </xf>
    <xf numFmtId="0" fontId="2" fillId="19" borderId="0" xfId="0" applyFont="1" applyFill="1">
      <alignment vertical="center"/>
    </xf>
    <xf numFmtId="3" fontId="2" fillId="19" borderId="0" xfId="0" applyNumberFormat="1" applyFont="1" applyFill="1">
      <alignment vertical="center"/>
    </xf>
    <xf numFmtId="10" fontId="2" fillId="0" borderId="0" xfId="0" applyNumberFormat="1" applyFont="1">
      <alignment vertical="center"/>
    </xf>
    <xf numFmtId="41" fontId="2" fillId="19" borderId="0" xfId="0" applyNumberFormat="1" applyFont="1" applyFill="1">
      <alignment vertical="center"/>
    </xf>
    <xf numFmtId="0" fontId="30" fillId="0" borderId="0" xfId="0" applyFont="1">
      <alignment vertical="center"/>
    </xf>
    <xf numFmtId="3" fontId="30" fillId="0" borderId="0" xfId="0" applyNumberFormat="1" applyFont="1">
      <alignment vertical="center"/>
    </xf>
    <xf numFmtId="191" fontId="30" fillId="0" borderId="0" xfId="0" applyNumberFormat="1" applyFont="1">
      <alignment vertical="center"/>
    </xf>
    <xf numFmtId="43" fontId="30" fillId="0" borderId="0" xfId="0" applyNumberFormat="1" applyFont="1">
      <alignment vertical="center"/>
    </xf>
    <xf numFmtId="0" fontId="30" fillId="0" borderId="3" xfId="0" applyFont="1" applyBorder="1">
      <alignment vertical="center"/>
    </xf>
    <xf numFmtId="3" fontId="30" fillId="0" borderId="3" xfId="0" applyNumberFormat="1" applyFont="1" applyBorder="1">
      <alignment vertical="center"/>
    </xf>
    <xf numFmtId="0" fontId="30" fillId="0" borderId="2" xfId="0" applyFont="1" applyBorder="1">
      <alignment vertical="center"/>
    </xf>
    <xf numFmtId="191" fontId="30" fillId="0" borderId="2" xfId="0" applyNumberFormat="1" applyFont="1" applyBorder="1">
      <alignment vertical="center"/>
    </xf>
    <xf numFmtId="3" fontId="30" fillId="0" borderId="2" xfId="0" applyNumberFormat="1" applyFont="1" applyBorder="1">
      <alignment vertical="center"/>
    </xf>
    <xf numFmtId="3" fontId="30" fillId="17" borderId="2" xfId="0" applyNumberFormat="1" applyFont="1" applyFill="1" applyBorder="1">
      <alignment vertical="center"/>
    </xf>
    <xf numFmtId="41" fontId="31" fillId="2" borderId="47" xfId="0" applyNumberFormat="1" applyFont="1" applyFill="1" applyBorder="1">
      <alignment vertical="center"/>
    </xf>
    <xf numFmtId="41" fontId="31" fillId="2" borderId="48" xfId="0" applyNumberFormat="1" applyFont="1" applyFill="1" applyBorder="1">
      <alignment vertical="center"/>
    </xf>
    <xf numFmtId="41" fontId="31" fillId="2" borderId="49" xfId="0" applyNumberFormat="1" applyFont="1" applyFill="1" applyBorder="1">
      <alignment vertical="center"/>
    </xf>
    <xf numFmtId="41" fontId="30" fillId="0" borderId="50" xfId="0" applyNumberFormat="1" applyFont="1" applyBorder="1">
      <alignment vertical="center"/>
    </xf>
    <xf numFmtId="0" fontId="32" fillId="0" borderId="51" xfId="0" applyFont="1" applyBorder="1">
      <alignment vertical="center"/>
    </xf>
    <xf numFmtId="0" fontId="32" fillId="0" borderId="52" xfId="0" applyFont="1" applyBorder="1">
      <alignment vertical="center"/>
    </xf>
    <xf numFmtId="41" fontId="32" fillId="0" borderId="50" xfId="0" applyNumberFormat="1" applyFont="1" applyBorder="1">
      <alignment vertical="center"/>
    </xf>
    <xf numFmtId="191" fontId="30" fillId="0" borderId="51" xfId="0" applyNumberFormat="1" applyFont="1" applyBorder="1">
      <alignment vertical="center"/>
    </xf>
    <xf numFmtId="191" fontId="30" fillId="0" borderId="51" xfId="0" applyNumberFormat="1" applyFont="1" applyBorder="1" applyAlignment="1">
      <alignment horizontal="center" vertical="center"/>
    </xf>
    <xf numFmtId="191" fontId="30" fillId="0" borderId="52" xfId="0" applyNumberFormat="1" applyFont="1" applyBorder="1" applyAlignment="1">
      <alignment horizontal="center" vertical="center"/>
    </xf>
    <xf numFmtId="189" fontId="13" fillId="0" borderId="45" xfId="0" applyNumberFormat="1" applyFont="1" applyBorder="1">
      <alignment vertical="center"/>
    </xf>
    <xf numFmtId="189" fontId="13" fillId="0" borderId="1" xfId="0" applyNumberFormat="1" applyFont="1" applyBorder="1">
      <alignment vertical="center"/>
    </xf>
    <xf numFmtId="176" fontId="4" fillId="0" borderId="46" xfId="0" applyNumberFormat="1" applyFont="1" applyBorder="1">
      <alignment vertical="center"/>
    </xf>
    <xf numFmtId="176" fontId="16" fillId="0" borderId="2" xfId="0" applyNumberFormat="1" applyFont="1" applyBorder="1">
      <alignment vertical="center"/>
    </xf>
    <xf numFmtId="177" fontId="16" fillId="0" borderId="16" xfId="0" applyNumberFormat="1" applyFont="1" applyBorder="1">
      <alignment vertical="center"/>
    </xf>
    <xf numFmtId="177" fontId="16" fillId="0" borderId="0" xfId="0" applyNumberFormat="1" applyFont="1">
      <alignment vertical="center"/>
    </xf>
    <xf numFmtId="0" fontId="34" fillId="0" borderId="36" xfId="0" applyFont="1" applyBorder="1" applyAlignment="1">
      <alignment vertical="top"/>
    </xf>
    <xf numFmtId="0" fontId="33" fillId="0" borderId="36" xfId="0" applyFont="1" applyBorder="1" applyAlignment="1">
      <alignment vertical="top"/>
    </xf>
    <xf numFmtId="9" fontId="33" fillId="0" borderId="36" xfId="0" applyNumberFormat="1" applyFont="1" applyBorder="1" applyAlignment="1">
      <alignment vertical="top"/>
    </xf>
    <xf numFmtId="0" fontId="11" fillId="0" borderId="2" xfId="0" applyFont="1" applyBorder="1">
      <alignment vertical="center"/>
    </xf>
    <xf numFmtId="0" fontId="16" fillId="0" borderId="0" xfId="0" applyFont="1">
      <alignment vertical="center"/>
    </xf>
    <xf numFmtId="177" fontId="16" fillId="0" borderId="16" xfId="0" applyNumberFormat="1" applyFont="1" applyBorder="1" applyAlignment="1">
      <alignment horizontal="right" vertical="center"/>
    </xf>
    <xf numFmtId="177" fontId="16" fillId="0" borderId="0" xfId="0" applyNumberFormat="1" applyFont="1" applyAlignment="1">
      <alignment horizontal="right" vertical="center"/>
    </xf>
    <xf numFmtId="177" fontId="16" fillId="6" borderId="16" xfId="0" applyNumberFormat="1" applyFont="1" applyFill="1" applyBorder="1" applyAlignment="1">
      <alignment horizontal="right" vertical="center"/>
    </xf>
    <xf numFmtId="177" fontId="16" fillId="6" borderId="0" xfId="0" applyNumberFormat="1" applyFont="1" applyFill="1" applyAlignment="1">
      <alignment horizontal="right" vertical="center"/>
    </xf>
    <xf numFmtId="176" fontId="13" fillId="6" borderId="16" xfId="0" applyNumberFormat="1" applyFont="1" applyFill="1" applyBorder="1">
      <alignment vertical="center"/>
    </xf>
    <xf numFmtId="176" fontId="13" fillId="6" borderId="0" xfId="0" applyNumberFormat="1" applyFont="1" applyFill="1">
      <alignment vertical="center"/>
    </xf>
    <xf numFmtId="176" fontId="16" fillId="6" borderId="16" xfId="0" applyNumberFormat="1" applyFont="1" applyFill="1" applyBorder="1">
      <alignment vertical="center"/>
    </xf>
    <xf numFmtId="176" fontId="16" fillId="6" borderId="0" xfId="0" applyNumberFormat="1" applyFont="1" applyFill="1">
      <alignment vertical="center"/>
    </xf>
    <xf numFmtId="10" fontId="25" fillId="6" borderId="16" xfId="0" applyNumberFormat="1" applyFont="1" applyFill="1" applyBorder="1">
      <alignment vertical="center"/>
    </xf>
    <xf numFmtId="10" fontId="25" fillId="6" borderId="0" xfId="0" applyNumberFormat="1" applyFont="1" applyFill="1">
      <alignment vertical="center"/>
    </xf>
    <xf numFmtId="10" fontId="29" fillId="0" borderId="0" xfId="0" applyNumberFormat="1" applyFont="1">
      <alignment vertical="center"/>
    </xf>
    <xf numFmtId="178" fontId="29" fillId="0" borderId="16" xfId="0" applyNumberFormat="1" applyFont="1" applyBorder="1">
      <alignment vertical="center"/>
    </xf>
    <xf numFmtId="178" fontId="29" fillId="0" borderId="0" xfId="0" applyNumberFormat="1" applyFont="1">
      <alignment vertical="center"/>
    </xf>
    <xf numFmtId="10" fontId="11" fillId="0" borderId="1" xfId="0" applyNumberFormat="1" applyFont="1" applyBorder="1">
      <alignment vertical="center"/>
    </xf>
    <xf numFmtId="0" fontId="35" fillId="0" borderId="0" xfId="0" applyFont="1">
      <alignment vertical="center"/>
    </xf>
    <xf numFmtId="10" fontId="29" fillId="0" borderId="2" xfId="0" applyNumberFormat="1" applyFont="1" applyBorder="1">
      <alignment vertical="center"/>
    </xf>
    <xf numFmtId="0" fontId="4" fillId="0" borderId="0" xfId="0" applyFont="1" applyAlignment="1">
      <alignment horizontal="left" vertical="center"/>
    </xf>
    <xf numFmtId="0" fontId="4" fillId="0" borderId="2" xfId="0" applyFont="1" applyBorder="1" applyAlignment="1">
      <alignment horizontal="left" vertical="center"/>
    </xf>
    <xf numFmtId="0" fontId="4" fillId="4" borderId="0" xfId="0" applyFont="1" applyFill="1">
      <alignment vertical="center"/>
    </xf>
    <xf numFmtId="176" fontId="4" fillId="4" borderId="0" xfId="0" applyNumberFormat="1" applyFont="1" applyFill="1">
      <alignment vertical="center"/>
    </xf>
    <xf numFmtId="0" fontId="21" fillId="7" borderId="53" xfId="0" applyFont="1" applyFill="1" applyBorder="1" applyAlignment="1">
      <alignment horizontal="center" vertical="center"/>
    </xf>
    <xf numFmtId="0" fontId="21" fillId="0" borderId="54" xfId="0" applyFont="1" applyBorder="1" applyAlignment="1">
      <alignment horizontal="right" vertical="top"/>
    </xf>
    <xf numFmtId="3" fontId="21" fillId="0" borderId="54" xfId="0" applyNumberFormat="1" applyFont="1" applyBorder="1" applyAlignment="1">
      <alignment horizontal="right" vertical="top"/>
    </xf>
    <xf numFmtId="3" fontId="21" fillId="0" borderId="55" xfId="0" applyNumberFormat="1" applyFont="1" applyBorder="1" applyAlignment="1">
      <alignment horizontal="right" vertical="top"/>
    </xf>
    <xf numFmtId="0" fontId="21" fillId="0" borderId="0" xfId="0" applyFont="1" applyAlignment="1">
      <alignment horizontal="justify" vertical="center"/>
    </xf>
    <xf numFmtId="0" fontId="21" fillId="0" borderId="0" xfId="0" applyFont="1" applyAlignment="1">
      <alignment horizontal="right" vertical="center"/>
    </xf>
    <xf numFmtId="0" fontId="21" fillId="0" borderId="27" xfId="0" applyFont="1" applyBorder="1" applyAlignment="1">
      <alignment horizontal="right" vertical="center"/>
    </xf>
    <xf numFmtId="0" fontId="21" fillId="0" borderId="32" xfId="0" applyFont="1" applyBorder="1" applyAlignment="1">
      <alignment horizontal="right" vertical="center"/>
    </xf>
    <xf numFmtId="3" fontId="21" fillId="0" borderId="32" xfId="0" applyNumberFormat="1" applyFont="1" applyBorder="1" applyAlignment="1">
      <alignment horizontal="right" vertical="center"/>
    </xf>
    <xf numFmtId="0" fontId="21" fillId="0" borderId="33" xfId="0" applyFont="1" applyBorder="1" applyAlignment="1">
      <alignment horizontal="center" vertical="center"/>
    </xf>
    <xf numFmtId="3" fontId="21" fillId="0" borderId="27" xfId="0" applyNumberFormat="1" applyFont="1" applyBorder="1" applyAlignment="1">
      <alignment horizontal="right" vertical="center"/>
    </xf>
    <xf numFmtId="3" fontId="21" fillId="0" borderId="34" xfId="0" applyNumberFormat="1" applyFont="1" applyBorder="1" applyAlignment="1">
      <alignment horizontal="right" vertical="center"/>
    </xf>
    <xf numFmtId="3" fontId="21" fillId="0" borderId="35" xfId="0" applyNumberFormat="1" applyFont="1" applyBorder="1" applyAlignment="1">
      <alignment horizontal="right" vertical="center"/>
    </xf>
    <xf numFmtId="176" fontId="15" fillId="0" borderId="16" xfId="0" applyNumberFormat="1" applyFont="1" applyBorder="1">
      <alignment vertical="center"/>
    </xf>
    <xf numFmtId="176" fontId="4" fillId="0" borderId="21" xfId="0" applyNumberFormat="1" applyFont="1" applyBorder="1">
      <alignment vertical="center"/>
    </xf>
    <xf numFmtId="9" fontId="11" fillId="0" borderId="16" xfId="0" applyNumberFormat="1" applyFont="1" applyBorder="1">
      <alignment vertical="center"/>
    </xf>
    <xf numFmtId="9" fontId="11" fillId="0" borderId="0" xfId="0" applyNumberFormat="1" applyFont="1">
      <alignment vertical="center"/>
    </xf>
    <xf numFmtId="0" fontId="36" fillId="0" borderId="0" xfId="0" applyFont="1">
      <alignment vertical="center"/>
    </xf>
    <xf numFmtId="9" fontId="25" fillId="0" borderId="8" xfId="0" applyNumberFormat="1" applyFont="1" applyBorder="1">
      <alignment vertical="center"/>
    </xf>
    <xf numFmtId="9" fontId="25" fillId="0" borderId="3" xfId="0" applyNumberFormat="1" applyFont="1" applyBorder="1">
      <alignment vertical="center"/>
    </xf>
    <xf numFmtId="9" fontId="25" fillId="0" borderId="21" xfId="0" applyNumberFormat="1" applyFont="1" applyBorder="1">
      <alignment vertical="center"/>
    </xf>
    <xf numFmtId="9" fontId="25" fillId="0" borderId="2" xfId="0" applyNumberFormat="1" applyFont="1" applyBorder="1">
      <alignment vertical="center"/>
    </xf>
    <xf numFmtId="9" fontId="25" fillId="0" borderId="0" xfId="0" applyNumberFormat="1" applyFont="1">
      <alignment vertical="center"/>
    </xf>
    <xf numFmtId="178" fontId="26" fillId="0" borderId="21" xfId="0" applyNumberFormat="1" applyFont="1" applyBorder="1">
      <alignment vertical="center"/>
    </xf>
    <xf numFmtId="178" fontId="26" fillId="0" borderId="2" xfId="0" applyNumberFormat="1" applyFont="1" applyBorder="1">
      <alignment vertical="center"/>
    </xf>
    <xf numFmtId="0" fontId="21" fillId="0" borderId="0" xfId="0" applyFont="1" applyAlignment="1">
      <alignment vertical="top"/>
    </xf>
    <xf numFmtId="0" fontId="21" fillId="0" borderId="34" xfId="0" applyFont="1" applyBorder="1" applyAlignment="1">
      <alignment horizontal="right" vertical="top"/>
    </xf>
    <xf numFmtId="0" fontId="21" fillId="0" borderId="35" xfId="0" applyFont="1" applyBorder="1" applyAlignment="1">
      <alignment horizontal="right" vertical="top"/>
    </xf>
    <xf numFmtId="0" fontId="37" fillId="26" borderId="65" xfId="0" applyFont="1" applyFill="1" applyBorder="1" applyAlignment="1">
      <alignment horizontal="center" vertical="center" wrapText="1"/>
    </xf>
    <xf numFmtId="0" fontId="37" fillId="26" borderId="66" xfId="0" applyFont="1" applyFill="1" applyBorder="1" applyAlignment="1">
      <alignment horizontal="center" vertical="center" wrapText="1"/>
    </xf>
    <xf numFmtId="0" fontId="37" fillId="26" borderId="67" xfId="0" applyFont="1" applyFill="1" applyBorder="1" applyAlignment="1">
      <alignment horizontal="center" vertical="center" wrapText="1"/>
    </xf>
    <xf numFmtId="0" fontId="37" fillId="26" borderId="68" xfId="0" applyFont="1" applyFill="1" applyBorder="1" applyAlignment="1">
      <alignment horizontal="center" vertical="center" wrapText="1"/>
    </xf>
    <xf numFmtId="0" fontId="37" fillId="26" borderId="69" xfId="0" applyFont="1" applyFill="1" applyBorder="1" applyAlignment="1">
      <alignment horizontal="center" vertical="center" wrapText="1"/>
    </xf>
    <xf numFmtId="0" fontId="39" fillId="0" borderId="71" xfId="0" applyFont="1" applyBorder="1" applyAlignment="1">
      <alignment horizontal="right" vertical="center" wrapText="1"/>
    </xf>
    <xf numFmtId="3" fontId="39" fillId="0" borderId="72" xfId="0" applyNumberFormat="1" applyFont="1" applyBorder="1" applyAlignment="1">
      <alignment horizontal="right" vertical="center" wrapText="1"/>
    </xf>
    <xf numFmtId="0" fontId="39" fillId="27" borderId="73" xfId="0" applyFont="1" applyFill="1" applyBorder="1" applyAlignment="1">
      <alignment horizontal="right" vertical="center" wrapText="1"/>
    </xf>
    <xf numFmtId="3" fontId="39" fillId="27" borderId="74" xfId="0" applyNumberFormat="1" applyFont="1" applyFill="1" applyBorder="1" applyAlignment="1">
      <alignment horizontal="right" vertical="center" wrapText="1"/>
    </xf>
    <xf numFmtId="0" fontId="39" fillId="27" borderId="75" xfId="0" applyFont="1" applyFill="1" applyBorder="1" applyAlignment="1">
      <alignment horizontal="right" vertical="center" wrapText="1"/>
    </xf>
    <xf numFmtId="0" fontId="39" fillId="27" borderId="76" xfId="0" applyFont="1" applyFill="1" applyBorder="1" applyAlignment="1">
      <alignment horizontal="right" vertical="center" wrapText="1"/>
    </xf>
    <xf numFmtId="3" fontId="39" fillId="0" borderId="77" xfId="0" applyNumberFormat="1" applyFont="1" applyBorder="1" applyAlignment="1">
      <alignment horizontal="right" vertical="center" wrapText="1"/>
    </xf>
    <xf numFmtId="0" fontId="38" fillId="0" borderId="78" xfId="0" applyFont="1" applyBorder="1" applyAlignment="1">
      <alignment vertical="center" wrapText="1"/>
    </xf>
    <xf numFmtId="0" fontId="21" fillId="0" borderId="82" xfId="0" applyFont="1" applyBorder="1" applyAlignment="1">
      <alignment horizontal="right" vertical="center" wrapText="1"/>
    </xf>
    <xf numFmtId="0" fontId="21" fillId="0" borderId="83" xfId="0" applyFont="1" applyBorder="1" applyAlignment="1">
      <alignment horizontal="right" vertical="center" wrapText="1"/>
    </xf>
    <xf numFmtId="0" fontId="21" fillId="27" borderId="84" xfId="0" applyFont="1" applyFill="1" applyBorder="1" applyAlignment="1">
      <alignment horizontal="right" vertical="center" wrapText="1"/>
    </xf>
    <xf numFmtId="0" fontId="21" fillId="27" borderId="85" xfId="0" applyFont="1" applyFill="1" applyBorder="1" applyAlignment="1">
      <alignment horizontal="right" vertical="center" wrapText="1"/>
    </xf>
    <xf numFmtId="0" fontId="21" fillId="27" borderId="86" xfId="0" applyFont="1" applyFill="1" applyBorder="1" applyAlignment="1">
      <alignment horizontal="right" vertical="center" wrapText="1"/>
    </xf>
    <xf numFmtId="0" fontId="21" fillId="27" borderId="87" xfId="0" applyFont="1" applyFill="1" applyBorder="1" applyAlignment="1">
      <alignment horizontal="right" vertical="center" wrapText="1"/>
    </xf>
    <xf numFmtId="3" fontId="21" fillId="0" borderId="88" xfId="0" applyNumberFormat="1" applyFont="1" applyBorder="1" applyAlignment="1">
      <alignment horizontal="right" vertical="center" wrapText="1"/>
    </xf>
    <xf numFmtId="0" fontId="38" fillId="0" borderId="89" xfId="0" applyFont="1" applyBorder="1" applyAlignment="1">
      <alignment vertical="center" wrapText="1"/>
    </xf>
    <xf numFmtId="0" fontId="21" fillId="0" borderId="90" xfId="0" applyFont="1" applyBorder="1" applyAlignment="1">
      <alignment horizontal="left" vertical="center" wrapText="1"/>
    </xf>
    <xf numFmtId="0" fontId="21" fillId="0" borderId="93" xfId="0" applyFont="1" applyBorder="1" applyAlignment="1">
      <alignment horizontal="right" vertical="center" wrapText="1"/>
    </xf>
    <xf numFmtId="0" fontId="21" fillId="0" borderId="94" xfId="0" applyFont="1" applyBorder="1" applyAlignment="1">
      <alignment horizontal="right" vertical="center" wrapText="1"/>
    </xf>
    <xf numFmtId="0" fontId="21" fillId="27" borderId="95" xfId="0" applyFont="1" applyFill="1" applyBorder="1" applyAlignment="1">
      <alignment horizontal="right" vertical="center" wrapText="1"/>
    </xf>
    <xf numFmtId="0" fontId="21" fillId="27" borderId="96" xfId="0" applyFont="1" applyFill="1" applyBorder="1" applyAlignment="1">
      <alignment horizontal="right" vertical="center" wrapText="1"/>
    </xf>
    <xf numFmtId="0" fontId="21" fillId="27" borderId="97" xfId="0" applyFont="1" applyFill="1" applyBorder="1" applyAlignment="1">
      <alignment horizontal="right" vertical="center" wrapText="1" readingOrder="1"/>
    </xf>
    <xf numFmtId="0" fontId="21" fillId="27" borderId="98" xfId="0" applyFont="1" applyFill="1" applyBorder="1" applyAlignment="1">
      <alignment horizontal="right" vertical="center" wrapText="1" readingOrder="1"/>
    </xf>
    <xf numFmtId="0" fontId="21" fillId="0" borderId="99" xfId="0" applyFont="1" applyBorder="1" applyAlignment="1">
      <alignment horizontal="right" vertical="center" wrapText="1" readingOrder="1"/>
    </xf>
    <xf numFmtId="0" fontId="38" fillId="0" borderId="100" xfId="0" applyFont="1" applyBorder="1" applyAlignment="1">
      <alignment vertical="center" wrapText="1"/>
    </xf>
    <xf numFmtId="0" fontId="38" fillId="0" borderId="101" xfId="0" applyFont="1" applyBorder="1" applyAlignment="1">
      <alignment vertical="center" wrapText="1"/>
    </xf>
    <xf numFmtId="0" fontId="21" fillId="0" borderId="104" xfId="0" applyFont="1" applyBorder="1" applyAlignment="1">
      <alignment horizontal="right" vertical="center" wrapText="1"/>
    </xf>
    <xf numFmtId="0" fontId="21" fillId="0" borderId="105" xfId="0" applyFont="1" applyBorder="1" applyAlignment="1">
      <alignment horizontal="right" vertical="center" wrapText="1"/>
    </xf>
    <xf numFmtId="0" fontId="21" fillId="27" borderId="106" xfId="0" applyFont="1" applyFill="1" applyBorder="1" applyAlignment="1">
      <alignment horizontal="right" vertical="center" wrapText="1"/>
    </xf>
    <xf numFmtId="0" fontId="21" fillId="27" borderId="107" xfId="0" applyFont="1" applyFill="1" applyBorder="1" applyAlignment="1">
      <alignment horizontal="right" vertical="center" wrapText="1"/>
    </xf>
    <xf numFmtId="0" fontId="21" fillId="27" borderId="108" xfId="0" applyFont="1" applyFill="1" applyBorder="1" applyAlignment="1">
      <alignment horizontal="right" vertical="center" wrapText="1"/>
    </xf>
    <xf numFmtId="0" fontId="21" fillId="27" borderId="109" xfId="0" applyFont="1" applyFill="1" applyBorder="1" applyAlignment="1">
      <alignment horizontal="right" vertical="center" wrapText="1"/>
    </xf>
    <xf numFmtId="0" fontId="21" fillId="0" borderId="110" xfId="0" applyFont="1" applyBorder="1" applyAlignment="1">
      <alignment horizontal="right" vertical="center" wrapText="1"/>
    </xf>
    <xf numFmtId="0" fontId="38" fillId="0" borderId="111" xfId="0" applyFont="1" applyBorder="1" applyAlignment="1">
      <alignment vertical="center" wrapText="1"/>
    </xf>
    <xf numFmtId="0" fontId="38" fillId="0" borderId="112" xfId="0" applyFont="1" applyBorder="1" applyAlignment="1">
      <alignment vertical="center" wrapText="1"/>
    </xf>
    <xf numFmtId="0" fontId="21" fillId="0" borderId="115" xfId="0" applyFont="1" applyBorder="1" applyAlignment="1">
      <alignment horizontal="right" vertical="center" wrapText="1"/>
    </xf>
    <xf numFmtId="0" fontId="21" fillId="0" borderId="116" xfId="0" applyFont="1" applyBorder="1" applyAlignment="1">
      <alignment horizontal="right" vertical="center" wrapText="1"/>
    </xf>
    <xf numFmtId="0" fontId="21" fillId="27" borderId="117" xfId="0" applyFont="1" applyFill="1" applyBorder="1" applyAlignment="1">
      <alignment horizontal="right" vertical="center" wrapText="1"/>
    </xf>
    <xf numFmtId="0" fontId="21" fillId="27" borderId="118" xfId="0" applyFont="1" applyFill="1" applyBorder="1" applyAlignment="1">
      <alignment horizontal="right" vertical="center" wrapText="1"/>
    </xf>
    <xf numFmtId="0" fontId="21" fillId="27" borderId="119" xfId="0" applyFont="1" applyFill="1" applyBorder="1" applyAlignment="1">
      <alignment horizontal="right" vertical="center" wrapText="1"/>
    </xf>
    <xf numFmtId="0" fontId="21" fillId="27" borderId="120" xfId="0" applyFont="1" applyFill="1" applyBorder="1" applyAlignment="1">
      <alignment horizontal="right" vertical="center" wrapText="1"/>
    </xf>
    <xf numFmtId="3" fontId="21" fillId="0" borderId="121" xfId="0" applyNumberFormat="1" applyFont="1" applyBorder="1" applyAlignment="1">
      <alignment horizontal="right" vertical="center" wrapText="1"/>
    </xf>
    <xf numFmtId="0" fontId="38" fillId="0" borderId="122" xfId="0" applyFont="1" applyBorder="1" applyAlignment="1">
      <alignment vertical="center" wrapText="1"/>
    </xf>
    <xf numFmtId="0" fontId="21" fillId="0" borderId="126" xfId="0" applyFont="1" applyBorder="1" applyAlignment="1">
      <alignment horizontal="right" vertical="center" wrapText="1"/>
    </xf>
    <xf numFmtId="0" fontId="21" fillId="0" borderId="127" xfId="0" applyFont="1" applyBorder="1" applyAlignment="1">
      <alignment horizontal="right" vertical="center" wrapText="1"/>
    </xf>
    <xf numFmtId="0" fontId="21" fillId="27" borderId="128" xfId="0" applyFont="1" applyFill="1" applyBorder="1" applyAlignment="1">
      <alignment horizontal="right" vertical="center" wrapText="1"/>
    </xf>
    <xf numFmtId="0" fontId="21" fillId="27" borderId="129" xfId="0" applyFont="1" applyFill="1" applyBorder="1" applyAlignment="1">
      <alignment horizontal="right" vertical="center" wrapText="1"/>
    </xf>
    <xf numFmtId="0" fontId="21" fillId="27" borderId="130" xfId="0" applyFont="1" applyFill="1" applyBorder="1" applyAlignment="1">
      <alignment horizontal="right" vertical="center" wrapText="1"/>
    </xf>
    <xf numFmtId="0" fontId="21" fillId="27" borderId="131" xfId="0" applyFont="1" applyFill="1" applyBorder="1" applyAlignment="1">
      <alignment horizontal="right" vertical="center" wrapText="1"/>
    </xf>
    <xf numFmtId="0" fontId="21" fillId="0" borderId="132" xfId="0" applyFont="1" applyBorder="1" applyAlignment="1">
      <alignment horizontal="right" vertical="center" wrapText="1"/>
    </xf>
    <xf numFmtId="0" fontId="21" fillId="28" borderId="82" xfId="0" applyFont="1" applyFill="1" applyBorder="1" applyAlignment="1">
      <alignment horizontal="right" vertical="center" wrapText="1"/>
    </xf>
    <xf numFmtId="0" fontId="21" fillId="28" borderId="83" xfId="0" applyFont="1" applyFill="1" applyBorder="1" applyAlignment="1">
      <alignment horizontal="right" vertical="center" wrapText="1"/>
    </xf>
    <xf numFmtId="0" fontId="21" fillId="28" borderId="84" xfId="0" applyFont="1" applyFill="1" applyBorder="1" applyAlignment="1">
      <alignment horizontal="right" vertical="center" wrapText="1"/>
    </xf>
    <xf numFmtId="0" fontId="21" fillId="28" borderId="85" xfId="0" applyFont="1" applyFill="1" applyBorder="1" applyAlignment="1">
      <alignment horizontal="right" vertical="center" wrapText="1"/>
    </xf>
    <xf numFmtId="0" fontId="21" fillId="28" borderId="86" xfId="0" applyFont="1" applyFill="1" applyBorder="1" applyAlignment="1">
      <alignment horizontal="right" vertical="center" wrapText="1"/>
    </xf>
    <xf numFmtId="0" fontId="21" fillId="28" borderId="87" xfId="0" applyFont="1" applyFill="1" applyBorder="1" applyAlignment="1">
      <alignment horizontal="right" vertical="center" wrapText="1"/>
    </xf>
    <xf numFmtId="3" fontId="21" fillId="28" borderId="88" xfId="0" applyNumberFormat="1" applyFont="1" applyFill="1" applyBorder="1" applyAlignment="1">
      <alignment horizontal="right" vertical="center" wrapText="1"/>
    </xf>
    <xf numFmtId="0" fontId="38" fillId="0" borderId="90" xfId="0" applyFont="1" applyBorder="1" applyAlignment="1">
      <alignment vertical="center" wrapText="1"/>
    </xf>
    <xf numFmtId="0" fontId="21" fillId="0" borderId="138" xfId="0" applyFont="1" applyBorder="1" applyAlignment="1">
      <alignment horizontal="right" vertical="center" wrapText="1"/>
    </xf>
    <xf numFmtId="0" fontId="21" fillId="0" borderId="139" xfId="0" applyFont="1" applyBorder="1" applyAlignment="1">
      <alignment horizontal="right" vertical="center" wrapText="1"/>
    </xf>
    <xf numFmtId="0" fontId="21" fillId="27" borderId="140" xfId="0" applyFont="1" applyFill="1" applyBorder="1" applyAlignment="1">
      <alignment horizontal="right" vertical="center" wrapText="1"/>
    </xf>
    <xf numFmtId="0" fontId="21" fillId="27" borderId="141" xfId="0" applyFont="1" applyFill="1" applyBorder="1" applyAlignment="1">
      <alignment horizontal="right" vertical="center" wrapText="1"/>
    </xf>
    <xf numFmtId="0" fontId="21" fillId="27" borderId="142" xfId="0" applyFont="1" applyFill="1" applyBorder="1" applyAlignment="1">
      <alignment horizontal="right" vertical="center" wrapText="1"/>
    </xf>
    <xf numFmtId="0" fontId="21" fillId="27" borderId="143" xfId="0" applyFont="1" applyFill="1" applyBorder="1" applyAlignment="1">
      <alignment horizontal="right" vertical="center" wrapText="1"/>
    </xf>
    <xf numFmtId="0" fontId="21" fillId="0" borderId="144" xfId="0" applyFont="1" applyBorder="1" applyAlignment="1">
      <alignment horizontal="right" vertical="center" wrapText="1"/>
    </xf>
    <xf numFmtId="0" fontId="21" fillId="0" borderId="148" xfId="0" applyFont="1" applyBorder="1" applyAlignment="1">
      <alignment horizontal="right" vertical="center" wrapText="1"/>
    </xf>
    <xf numFmtId="0" fontId="21" fillId="0" borderId="149" xfId="0" applyFont="1" applyBorder="1" applyAlignment="1">
      <alignment horizontal="right" vertical="center" wrapText="1"/>
    </xf>
    <xf numFmtId="0" fontId="21" fillId="27" borderId="150" xfId="0" applyFont="1" applyFill="1" applyBorder="1" applyAlignment="1">
      <alignment horizontal="right" vertical="center" wrapText="1"/>
    </xf>
    <xf numFmtId="0" fontId="21" fillId="27" borderId="151" xfId="0" applyFont="1" applyFill="1" applyBorder="1" applyAlignment="1">
      <alignment horizontal="right" vertical="center" wrapText="1"/>
    </xf>
    <xf numFmtId="0" fontId="21" fillId="27" borderId="152" xfId="0" applyFont="1" applyFill="1" applyBorder="1" applyAlignment="1">
      <alignment horizontal="right" vertical="center" wrapText="1"/>
    </xf>
    <xf numFmtId="0" fontId="21" fillId="27" borderId="153" xfId="0" applyFont="1" applyFill="1" applyBorder="1" applyAlignment="1">
      <alignment horizontal="right" vertical="center" wrapText="1"/>
    </xf>
    <xf numFmtId="0" fontId="21" fillId="0" borderId="154" xfId="0" applyFont="1" applyBorder="1" applyAlignment="1">
      <alignment horizontal="right" vertical="center" wrapText="1"/>
    </xf>
    <xf numFmtId="0" fontId="21" fillId="0" borderId="157" xfId="0" applyFont="1" applyBorder="1" applyAlignment="1">
      <alignment horizontal="left" vertical="center" wrapText="1"/>
    </xf>
    <xf numFmtId="0" fontId="21" fillId="0" borderId="160" xfId="0" applyFont="1" applyBorder="1" applyAlignment="1">
      <alignment horizontal="left" vertical="center" wrapText="1"/>
    </xf>
    <xf numFmtId="0" fontId="21" fillId="0" borderId="161" xfId="0" applyFont="1" applyBorder="1" applyAlignment="1">
      <alignment horizontal="right" vertical="center" wrapText="1"/>
    </xf>
    <xf numFmtId="0" fontId="21" fillId="0" borderId="162" xfId="0" applyFont="1" applyBorder="1" applyAlignment="1">
      <alignment horizontal="right" vertical="center" wrapText="1"/>
    </xf>
    <xf numFmtId="0" fontId="21" fillId="27" borderId="163" xfId="0" applyFont="1" applyFill="1" applyBorder="1" applyAlignment="1">
      <alignment horizontal="right" vertical="center" wrapText="1"/>
    </xf>
    <xf numFmtId="0" fontId="21" fillId="27" borderId="164" xfId="0" applyFont="1" applyFill="1" applyBorder="1" applyAlignment="1">
      <alignment horizontal="right" vertical="center" wrapText="1"/>
    </xf>
    <xf numFmtId="0" fontId="21" fillId="27" borderId="165" xfId="0" applyFont="1" applyFill="1" applyBorder="1" applyAlignment="1">
      <alignment horizontal="right" vertical="center" wrapText="1"/>
    </xf>
    <xf numFmtId="0" fontId="21" fillId="27" borderId="166" xfId="0" applyFont="1" applyFill="1" applyBorder="1" applyAlignment="1">
      <alignment horizontal="right" vertical="center" wrapText="1"/>
    </xf>
    <xf numFmtId="0" fontId="21" fillId="0" borderId="167" xfId="0" applyFont="1" applyBorder="1" applyAlignment="1">
      <alignment horizontal="right" vertical="center" wrapText="1"/>
    </xf>
    <xf numFmtId="0" fontId="39" fillId="0" borderId="72" xfId="0" applyFont="1" applyBorder="1" applyAlignment="1">
      <alignment horizontal="right" vertical="center" wrapText="1"/>
    </xf>
    <xf numFmtId="0" fontId="39" fillId="27" borderId="74" xfId="0" applyFont="1" applyFill="1" applyBorder="1" applyAlignment="1">
      <alignment horizontal="right" vertical="center" wrapText="1"/>
    </xf>
    <xf numFmtId="0" fontId="39" fillId="0" borderId="77" xfId="0" applyFont="1" applyBorder="1" applyAlignment="1">
      <alignment horizontal="right" vertical="center" wrapText="1"/>
    </xf>
    <xf numFmtId="0" fontId="38" fillId="0" borderId="168" xfId="0" applyFont="1" applyBorder="1" applyAlignment="1">
      <alignment vertical="center" wrapText="1"/>
    </xf>
    <xf numFmtId="0" fontId="21" fillId="0" borderId="171" xfId="0" applyFont="1" applyBorder="1" applyAlignment="1">
      <alignment horizontal="right" vertical="center" wrapText="1"/>
    </xf>
    <xf numFmtId="0" fontId="21" fillId="0" borderId="172" xfId="0" applyFont="1" applyBorder="1" applyAlignment="1">
      <alignment horizontal="right" vertical="center" wrapText="1"/>
    </xf>
    <xf numFmtId="0" fontId="21" fillId="27" borderId="173" xfId="0" applyFont="1" applyFill="1" applyBorder="1" applyAlignment="1">
      <alignment horizontal="right" vertical="center" wrapText="1"/>
    </xf>
    <xf numFmtId="0" fontId="21" fillId="27" borderId="174" xfId="0" applyFont="1" applyFill="1" applyBorder="1" applyAlignment="1">
      <alignment horizontal="right" vertical="center" wrapText="1"/>
    </xf>
    <xf numFmtId="0" fontId="21" fillId="27" borderId="175" xfId="0" applyFont="1" applyFill="1" applyBorder="1" applyAlignment="1">
      <alignment horizontal="right" vertical="center" wrapText="1"/>
    </xf>
    <xf numFmtId="0" fontId="21" fillId="27" borderId="176" xfId="0" applyFont="1" applyFill="1" applyBorder="1" applyAlignment="1">
      <alignment horizontal="right" vertical="center" wrapText="1"/>
    </xf>
    <xf numFmtId="0" fontId="21" fillId="0" borderId="177" xfId="0" applyFont="1" applyBorder="1" applyAlignment="1">
      <alignment horizontal="right" vertical="center" wrapText="1"/>
    </xf>
    <xf numFmtId="0" fontId="38" fillId="0" borderId="178" xfId="0" applyFont="1" applyBorder="1" applyAlignment="1">
      <alignment vertical="center" wrapText="1"/>
    </xf>
    <xf numFmtId="0" fontId="39" fillId="29" borderId="183" xfId="0" applyFont="1" applyFill="1" applyBorder="1" applyAlignment="1">
      <alignment horizontal="right" vertical="center" wrapText="1"/>
    </xf>
    <xf numFmtId="3" fontId="39" fillId="29" borderId="184" xfId="0" applyNumberFormat="1" applyFont="1" applyFill="1" applyBorder="1" applyAlignment="1">
      <alignment horizontal="right" vertical="center" wrapText="1"/>
    </xf>
    <xf numFmtId="0" fontId="39" fillId="29" borderId="185" xfId="0" applyFont="1" applyFill="1" applyBorder="1" applyAlignment="1">
      <alignment horizontal="right" vertical="center" wrapText="1"/>
    </xf>
    <xf numFmtId="3" fontId="39" fillId="29" borderId="186" xfId="0" applyNumberFormat="1" applyFont="1" applyFill="1" applyBorder="1" applyAlignment="1">
      <alignment horizontal="right" vertical="center" wrapText="1"/>
    </xf>
    <xf numFmtId="0" fontId="39" fillId="29" borderId="187" xfId="0" applyFont="1" applyFill="1" applyBorder="1" applyAlignment="1">
      <alignment horizontal="right" vertical="center" wrapText="1"/>
    </xf>
    <xf numFmtId="0" fontId="39" fillId="29" borderId="188" xfId="0" applyFont="1" applyFill="1" applyBorder="1" applyAlignment="1">
      <alignment horizontal="right" vertical="center" wrapText="1"/>
    </xf>
    <xf numFmtId="3" fontId="39" fillId="29" borderId="189" xfId="0" applyNumberFormat="1" applyFont="1" applyFill="1" applyBorder="1" applyAlignment="1">
      <alignment horizontal="right" vertical="center" wrapText="1"/>
    </xf>
    <xf numFmtId="3" fontId="7" fillId="0" borderId="0" xfId="0" applyNumberFormat="1" applyFont="1">
      <alignment vertical="center"/>
    </xf>
    <xf numFmtId="0" fontId="21" fillId="0" borderId="0" xfId="0" applyFont="1" applyAlignment="1">
      <alignment horizontal="justify" vertical="center" wrapText="1"/>
    </xf>
    <xf numFmtId="0" fontId="21" fillId="7" borderId="28" xfId="0" applyFont="1" applyFill="1" applyBorder="1" applyAlignment="1">
      <alignment horizontal="center" vertical="center" wrapText="1"/>
    </xf>
    <xf numFmtId="0" fontId="21" fillId="7" borderId="29" xfId="0" applyFont="1" applyFill="1" applyBorder="1" applyAlignment="1">
      <alignment horizontal="center" vertical="center" wrapText="1"/>
    </xf>
    <xf numFmtId="0" fontId="21" fillId="7" borderId="30" xfId="0" applyFont="1" applyFill="1" applyBorder="1" applyAlignment="1">
      <alignment horizontal="center" vertical="center" wrapText="1"/>
    </xf>
    <xf numFmtId="0" fontId="7" fillId="0" borderId="0" xfId="0" applyFont="1" applyAlignment="1">
      <alignment horizontal="justify" vertical="center"/>
    </xf>
    <xf numFmtId="0" fontId="20" fillId="0" borderId="1" xfId="0" applyFont="1" applyBorder="1" applyAlignment="1">
      <alignment horizontal="center" vertical="center"/>
    </xf>
    <xf numFmtId="176" fontId="8" fillId="0" borderId="0" xfId="0" applyNumberFormat="1" applyFont="1">
      <alignment vertical="center"/>
    </xf>
    <xf numFmtId="176" fontId="40" fillId="0" borderId="0" xfId="0" applyNumberFormat="1" applyFont="1">
      <alignment vertical="center"/>
    </xf>
    <xf numFmtId="0" fontId="21" fillId="0" borderId="0" xfId="0" applyFont="1" applyAlignment="1">
      <alignment horizontal="right" vertical="center" wrapText="1"/>
    </xf>
    <xf numFmtId="0" fontId="21" fillId="0" borderId="31" xfId="0" applyFont="1" applyBorder="1" applyAlignment="1">
      <alignment vertical="center" wrapText="1"/>
    </xf>
    <xf numFmtId="0" fontId="21" fillId="0" borderId="27" xfId="0" applyFont="1" applyBorder="1" applyAlignment="1">
      <alignment horizontal="right" vertical="top" wrapText="1"/>
    </xf>
    <xf numFmtId="0" fontId="21" fillId="0" borderId="32" xfId="0" applyFont="1" applyBorder="1" applyAlignment="1">
      <alignment horizontal="right" vertical="top" wrapText="1"/>
    </xf>
    <xf numFmtId="3" fontId="21" fillId="0" borderId="27" xfId="0" applyNumberFormat="1" applyFont="1" applyBorder="1" applyAlignment="1">
      <alignment horizontal="right" vertical="top" wrapText="1"/>
    </xf>
    <xf numFmtId="3" fontId="21" fillId="0" borderId="32" xfId="0" applyNumberFormat="1" applyFont="1" applyBorder="1" applyAlignment="1">
      <alignment horizontal="right" vertical="top" wrapText="1"/>
    </xf>
    <xf numFmtId="0" fontId="21" fillId="0" borderId="32" xfId="0" applyFont="1" applyBorder="1" applyAlignment="1">
      <alignment horizontal="right" vertical="center" wrapText="1"/>
    </xf>
    <xf numFmtId="3" fontId="21" fillId="0" borderId="32" xfId="0" applyNumberFormat="1" applyFont="1" applyBorder="1" applyAlignment="1">
      <alignment horizontal="right" vertical="center" wrapText="1"/>
    </xf>
    <xf numFmtId="0" fontId="21" fillId="0" borderId="33" xfId="0" applyFont="1" applyBorder="1" applyAlignment="1">
      <alignment vertical="top" wrapText="1"/>
    </xf>
    <xf numFmtId="0" fontId="21" fillId="0" borderId="34" xfId="0" applyFont="1" applyBorder="1" applyAlignment="1">
      <alignment horizontal="right" vertical="top" wrapText="1"/>
    </xf>
    <xf numFmtId="0" fontId="21" fillId="0" borderId="35" xfId="0" applyFont="1" applyBorder="1" applyAlignment="1">
      <alignment horizontal="right" vertical="top" wrapText="1"/>
    </xf>
    <xf numFmtId="0" fontId="7" fillId="0" borderId="0" xfId="0" applyFont="1" applyAlignment="1">
      <alignment horizontal="justify" vertical="center" wrapText="1"/>
    </xf>
    <xf numFmtId="0" fontId="21" fillId="0" borderId="0" xfId="0" applyFont="1" applyAlignment="1">
      <alignment horizontal="left" vertical="center"/>
    </xf>
    <xf numFmtId="0" fontId="21" fillId="0" borderId="0" xfId="0" applyFont="1">
      <alignment vertical="center"/>
    </xf>
    <xf numFmtId="0" fontId="21" fillId="0" borderId="33" xfId="0" applyFont="1" applyBorder="1">
      <alignment vertical="center"/>
    </xf>
    <xf numFmtId="176" fontId="2" fillId="0" borderId="3" xfId="0" applyNumberFormat="1" applyFont="1" applyBorder="1" applyAlignment="1">
      <alignment horizontal="right" vertical="center"/>
    </xf>
    <xf numFmtId="176" fontId="15" fillId="0" borderId="10" xfId="0" applyNumberFormat="1" applyFont="1" applyBorder="1">
      <alignment vertical="center"/>
    </xf>
    <xf numFmtId="176" fontId="15" fillId="0" borderId="12" xfId="0" applyNumberFormat="1" applyFont="1" applyBorder="1">
      <alignment vertical="center"/>
    </xf>
    <xf numFmtId="0" fontId="7" fillId="0" borderId="0" xfId="0" applyFont="1" applyAlignment="1">
      <alignment horizontal="left" vertical="center" indent="1"/>
    </xf>
    <xf numFmtId="0" fontId="7" fillId="0" borderId="2" xfId="0" applyFont="1" applyBorder="1">
      <alignment vertical="center"/>
    </xf>
    <xf numFmtId="41" fontId="7" fillId="0" borderId="0" xfId="0" applyNumberFormat="1" applyFont="1">
      <alignment vertical="center"/>
    </xf>
    <xf numFmtId="41" fontId="7" fillId="0" borderId="2" xfId="0" applyNumberFormat="1" applyFont="1" applyBorder="1">
      <alignment vertical="center"/>
    </xf>
    <xf numFmtId="41" fontId="21" fillId="0" borderId="2" xfId="0" applyNumberFormat="1" applyFont="1" applyBorder="1">
      <alignment vertical="center"/>
    </xf>
    <xf numFmtId="192" fontId="11" fillId="0" borderId="0" xfId="0" applyNumberFormat="1" applyFont="1">
      <alignment vertical="center"/>
    </xf>
    <xf numFmtId="192" fontId="11" fillId="0" borderId="17" xfId="0" applyNumberFormat="1" applyFont="1" applyBorder="1">
      <alignment vertical="center"/>
    </xf>
    <xf numFmtId="192" fontId="11" fillId="0" borderId="2" xfId="0" applyNumberFormat="1" applyFont="1" applyBorder="1">
      <alignment vertical="center"/>
    </xf>
    <xf numFmtId="192" fontId="25" fillId="0" borderId="0" xfId="0" applyNumberFormat="1" applyFont="1">
      <alignment vertical="center"/>
    </xf>
    <xf numFmtId="192" fontId="25" fillId="0" borderId="2" xfId="0" applyNumberFormat="1" applyFont="1" applyBorder="1">
      <alignment vertical="center"/>
    </xf>
    <xf numFmtId="0" fontId="4" fillId="2" borderId="0" xfId="0" applyFont="1" applyFill="1">
      <alignment vertical="center"/>
    </xf>
    <xf numFmtId="0" fontId="15" fillId="3" borderId="0" xfId="0" quotePrefix="1" applyFont="1" applyFill="1">
      <alignment vertical="center"/>
    </xf>
    <xf numFmtId="0" fontId="15" fillId="3" borderId="0" xfId="0" applyFont="1" applyFill="1">
      <alignment vertical="center"/>
    </xf>
    <xf numFmtId="0" fontId="41" fillId="0" borderId="23" xfId="0" applyFont="1" applyBorder="1">
      <alignment vertical="center"/>
    </xf>
    <xf numFmtId="0" fontId="41" fillId="0" borderId="3" xfId="0" applyFont="1" applyBorder="1">
      <alignment vertical="center"/>
    </xf>
    <xf numFmtId="0" fontId="41" fillId="0" borderId="24" xfId="0" applyFont="1" applyBorder="1">
      <alignment vertical="center"/>
    </xf>
    <xf numFmtId="0" fontId="41" fillId="0" borderId="0" xfId="0" applyFont="1">
      <alignment vertical="center"/>
    </xf>
    <xf numFmtId="41" fontId="16" fillId="0" borderId="23" xfId="0" applyNumberFormat="1" applyFont="1" applyBorder="1">
      <alignment vertical="center"/>
    </xf>
    <xf numFmtId="41" fontId="16" fillId="0" borderId="3" xfId="0" applyNumberFormat="1" applyFont="1" applyBorder="1">
      <alignment vertical="center"/>
    </xf>
    <xf numFmtId="0" fontId="16" fillId="0" borderId="25" xfId="0" applyFont="1" applyBorder="1" applyAlignment="1">
      <alignment horizontal="center" vertical="center"/>
    </xf>
    <xf numFmtId="3" fontId="16" fillId="0" borderId="0" xfId="0" applyNumberFormat="1" applyFont="1" applyAlignment="1">
      <alignment horizontal="center" vertical="center"/>
    </xf>
    <xf numFmtId="0" fontId="16" fillId="0" borderId="0" xfId="0" applyFont="1" applyAlignment="1">
      <alignment horizontal="center" vertical="center"/>
    </xf>
    <xf numFmtId="3" fontId="16" fillId="0" borderId="26" xfId="0" applyNumberFormat="1" applyFont="1" applyBorder="1" applyAlignment="1">
      <alignment horizontal="center" vertical="center"/>
    </xf>
    <xf numFmtId="3" fontId="16" fillId="0" borderId="25" xfId="0" applyNumberFormat="1" applyFont="1" applyBorder="1">
      <alignment vertical="center"/>
    </xf>
    <xf numFmtId="3" fontId="16" fillId="0" borderId="0" xfId="0" applyNumberFormat="1" applyFont="1">
      <alignment vertical="center"/>
    </xf>
    <xf numFmtId="41" fontId="16" fillId="0" borderId="25" xfId="0" applyNumberFormat="1" applyFont="1" applyBorder="1">
      <alignment vertical="center"/>
    </xf>
    <xf numFmtId="41" fontId="16" fillId="0" borderId="0" xfId="0" applyNumberFormat="1" applyFont="1">
      <alignment vertical="center"/>
    </xf>
    <xf numFmtId="41" fontId="16" fillId="0" borderId="26" xfId="0" applyNumberFormat="1" applyFont="1" applyBorder="1">
      <alignment vertical="center"/>
    </xf>
    <xf numFmtId="3" fontId="16" fillId="0" borderId="25" xfId="0" applyNumberFormat="1" applyFont="1" applyBorder="1" applyAlignment="1">
      <alignment horizontal="left" vertical="center"/>
    </xf>
    <xf numFmtId="3" fontId="16" fillId="0" borderId="0" xfId="0" applyNumberFormat="1" applyFont="1" applyAlignment="1">
      <alignment horizontal="left" vertical="center"/>
    </xf>
    <xf numFmtId="41" fontId="16" fillId="0" borderId="0" xfId="0" applyNumberFormat="1" applyFont="1" applyAlignment="1">
      <alignment horizontal="left" vertical="center"/>
    </xf>
    <xf numFmtId="3" fontId="16" fillId="0" borderId="2" xfId="0" applyNumberFormat="1" applyFont="1" applyBorder="1">
      <alignment vertical="center"/>
    </xf>
    <xf numFmtId="41" fontId="16" fillId="0" borderId="2" xfId="0" applyNumberFormat="1" applyFont="1" applyBorder="1" applyAlignment="1">
      <alignment horizontal="left" vertical="center"/>
    </xf>
    <xf numFmtId="3" fontId="16" fillId="0" borderId="6" xfId="0" applyNumberFormat="1" applyFont="1" applyBorder="1">
      <alignment vertical="center"/>
    </xf>
    <xf numFmtId="0" fontId="16" fillId="0" borderId="2" xfId="0" applyFont="1" applyBorder="1">
      <alignment vertical="center"/>
    </xf>
    <xf numFmtId="0" fontId="16" fillId="0" borderId="23" xfId="0" applyFont="1" applyBorder="1">
      <alignment vertical="center"/>
    </xf>
    <xf numFmtId="0" fontId="16" fillId="0" borderId="3" xfId="0" applyFont="1" applyBorder="1">
      <alignment vertical="center"/>
    </xf>
    <xf numFmtId="0" fontId="16" fillId="0" borderId="24" xfId="0" applyFont="1" applyBorder="1">
      <alignment vertical="center"/>
    </xf>
    <xf numFmtId="3" fontId="16" fillId="0" borderId="4" xfId="0" applyNumberFormat="1" applyFont="1" applyBorder="1">
      <alignment vertical="center"/>
    </xf>
    <xf numFmtId="3" fontId="16" fillId="0" borderId="36" xfId="0" applyNumberFormat="1" applyFont="1" applyBorder="1">
      <alignment vertical="center"/>
    </xf>
    <xf numFmtId="3" fontId="5" fillId="0" borderId="25" xfId="0" applyNumberFormat="1" applyFont="1" applyBorder="1">
      <alignment vertical="center"/>
    </xf>
    <xf numFmtId="3" fontId="5" fillId="0" borderId="0" xfId="0" applyNumberFormat="1" applyFont="1">
      <alignment vertical="center"/>
    </xf>
    <xf numFmtId="3" fontId="5" fillId="0" borderId="26" xfId="0" applyNumberFormat="1" applyFont="1" applyBorder="1">
      <alignment vertical="center"/>
    </xf>
    <xf numFmtId="183" fontId="5" fillId="0" borderId="41" xfId="0" applyNumberFormat="1" applyFont="1" applyBorder="1" applyAlignment="1">
      <alignment horizontal="right" vertical="center"/>
    </xf>
    <xf numFmtId="183" fontId="5" fillId="0" borderId="0" xfId="0" applyNumberFormat="1" applyFont="1" applyAlignment="1">
      <alignment horizontal="right" vertical="center"/>
    </xf>
    <xf numFmtId="37" fontId="5" fillId="0" borderId="25" xfId="0" applyNumberFormat="1" applyFont="1" applyBorder="1">
      <alignment vertical="center"/>
    </xf>
    <xf numFmtId="37" fontId="5" fillId="0" borderId="0" xfId="0" applyNumberFormat="1" applyFont="1">
      <alignment vertical="center"/>
    </xf>
    <xf numFmtId="37" fontId="5" fillId="0" borderId="26" xfId="0" applyNumberFormat="1" applyFont="1" applyBorder="1">
      <alignment vertical="center"/>
    </xf>
    <xf numFmtId="3" fontId="45" fillId="0" borderId="190" xfId="0" applyNumberFormat="1" applyFont="1" applyBorder="1">
      <alignment vertical="center"/>
    </xf>
    <xf numFmtId="183" fontId="45" fillId="0" borderId="190" xfId="0" applyNumberFormat="1" applyFont="1" applyBorder="1">
      <alignment vertical="center"/>
    </xf>
    <xf numFmtId="3" fontId="16" fillId="0" borderId="26" xfId="0" applyNumberFormat="1" applyFont="1" applyBorder="1">
      <alignment vertical="center"/>
    </xf>
    <xf numFmtId="183" fontId="16" fillId="0" borderId="25" xfId="0" applyNumberFormat="1" applyFont="1" applyBorder="1">
      <alignment vertical="center"/>
    </xf>
    <xf numFmtId="183" fontId="16" fillId="0" borderId="190" xfId="0" applyNumberFormat="1" applyFont="1" applyBorder="1">
      <alignment vertical="center"/>
    </xf>
    <xf numFmtId="183" fontId="16" fillId="0" borderId="0" xfId="0" applyNumberFormat="1" applyFont="1">
      <alignment vertical="center"/>
    </xf>
    <xf numFmtId="37" fontId="16" fillId="0" borderId="25" xfId="0" applyNumberFormat="1" applyFont="1" applyBorder="1">
      <alignment vertical="center"/>
    </xf>
    <xf numFmtId="37" fontId="16" fillId="0" borderId="0" xfId="0" applyNumberFormat="1" applyFont="1">
      <alignment vertical="center"/>
    </xf>
    <xf numFmtId="37" fontId="16" fillId="0" borderId="26" xfId="0" applyNumberFormat="1" applyFont="1" applyBorder="1" applyAlignment="1">
      <alignment horizontal="distributed" vertical="center"/>
    </xf>
    <xf numFmtId="3" fontId="46" fillId="0" borderId="26" xfId="0" applyNumberFormat="1" applyFont="1" applyBorder="1">
      <alignment vertical="center"/>
    </xf>
    <xf numFmtId="183" fontId="16" fillId="0" borderId="26" xfId="0" applyNumberFormat="1" applyFont="1" applyBorder="1">
      <alignment vertical="center"/>
    </xf>
    <xf numFmtId="183" fontId="46" fillId="0" borderId="26" xfId="0" applyNumberFormat="1" applyFont="1" applyBorder="1">
      <alignment vertical="center"/>
    </xf>
    <xf numFmtId="3" fontId="16" fillId="0" borderId="0" xfId="0" quotePrefix="1" applyNumberFormat="1" applyFont="1">
      <alignment vertical="center"/>
    </xf>
    <xf numFmtId="3" fontId="47" fillId="0" borderId="26" xfId="0" applyNumberFormat="1" applyFont="1" applyBorder="1">
      <alignment vertical="center"/>
    </xf>
    <xf numFmtId="183" fontId="47" fillId="0" borderId="26" xfId="0" applyNumberFormat="1" applyFont="1" applyBorder="1">
      <alignment vertical="center"/>
    </xf>
    <xf numFmtId="3" fontId="16" fillId="0" borderId="7" xfId="0" applyNumberFormat="1" applyFont="1" applyBorder="1">
      <alignment vertical="center"/>
    </xf>
    <xf numFmtId="3" fontId="48" fillId="0" borderId="7" xfId="0" applyNumberFormat="1" applyFont="1" applyBorder="1">
      <alignment vertical="center"/>
    </xf>
    <xf numFmtId="183" fontId="16" fillId="0" borderId="7" xfId="0" applyNumberFormat="1" applyFont="1" applyBorder="1">
      <alignment vertical="center"/>
    </xf>
    <xf numFmtId="183" fontId="48" fillId="0" borderId="7" xfId="0" applyNumberFormat="1" applyFont="1" applyBorder="1">
      <alignment vertical="center"/>
    </xf>
    <xf numFmtId="3" fontId="16" fillId="0" borderId="0" xfId="0" applyNumberFormat="1" applyFont="1" applyAlignment="1">
      <alignment horizontal="distributed" vertical="center"/>
    </xf>
    <xf numFmtId="0" fontId="16" fillId="0" borderId="25" xfId="0" applyFont="1" applyBorder="1">
      <alignment vertical="center"/>
    </xf>
    <xf numFmtId="3" fontId="49" fillId="0" borderId="41" xfId="0" applyNumberFormat="1" applyFont="1" applyBorder="1">
      <alignment vertical="center"/>
    </xf>
    <xf numFmtId="183" fontId="49" fillId="0" borderId="41" xfId="0" applyNumberFormat="1" applyFont="1" applyBorder="1">
      <alignment vertical="center"/>
    </xf>
    <xf numFmtId="183" fontId="5" fillId="0" borderId="190" xfId="0" applyNumberFormat="1" applyFont="1" applyBorder="1">
      <alignment vertical="center"/>
    </xf>
    <xf numFmtId="183" fontId="5" fillId="0" borderId="0" xfId="0" applyNumberFormat="1" applyFont="1">
      <alignment vertical="center"/>
    </xf>
    <xf numFmtId="3" fontId="16" fillId="0" borderId="0" xfId="0" applyNumberFormat="1" applyFont="1" applyAlignment="1">
      <alignment horizontal="right" vertical="center"/>
    </xf>
    <xf numFmtId="183" fontId="50" fillId="0" borderId="25" xfId="0" applyNumberFormat="1" applyFont="1" applyBorder="1" applyAlignment="1">
      <alignment horizontal="right" vertical="center"/>
    </xf>
    <xf numFmtId="183" fontId="50" fillId="0" borderId="190" xfId="0" applyNumberFormat="1" applyFont="1" applyBorder="1" applyAlignment="1">
      <alignment horizontal="right" vertical="center"/>
    </xf>
    <xf numFmtId="183" fontId="50" fillId="0" borderId="0" xfId="0" applyNumberFormat="1" applyFont="1" applyAlignment="1">
      <alignment horizontal="right" vertical="center"/>
    </xf>
    <xf numFmtId="183" fontId="16" fillId="0" borderId="25" xfId="0" applyNumberFormat="1" applyFont="1" applyBorder="1" applyAlignment="1">
      <alignment horizontal="right" vertical="center"/>
    </xf>
    <xf numFmtId="183" fontId="14" fillId="0" borderId="25" xfId="0" applyNumberFormat="1" applyFont="1" applyBorder="1" applyAlignment="1">
      <alignment horizontal="right" vertical="center"/>
    </xf>
    <xf numFmtId="183" fontId="14" fillId="0" borderId="190" xfId="0" applyNumberFormat="1" applyFont="1" applyBorder="1" applyAlignment="1">
      <alignment horizontal="right" vertical="center"/>
    </xf>
    <xf numFmtId="183" fontId="14" fillId="0" borderId="0" xfId="0" applyNumberFormat="1" applyFont="1" applyAlignment="1">
      <alignment horizontal="right" vertical="center"/>
    </xf>
    <xf numFmtId="37" fontId="16" fillId="0" borderId="0" xfId="0" quotePrefix="1" applyNumberFormat="1" applyFont="1">
      <alignment vertical="center"/>
    </xf>
    <xf numFmtId="183" fontId="47" fillId="0" borderId="25" xfId="0" applyNumberFormat="1" applyFont="1" applyBorder="1" applyAlignment="1">
      <alignment horizontal="right" vertical="center"/>
    </xf>
    <xf numFmtId="183" fontId="47" fillId="0" borderId="190" xfId="0" applyNumberFormat="1" applyFont="1" applyBorder="1" applyAlignment="1">
      <alignment horizontal="right" vertical="center"/>
    </xf>
    <xf numFmtId="183" fontId="47" fillId="0" borderId="0" xfId="0" applyNumberFormat="1" applyFont="1" applyAlignment="1">
      <alignment horizontal="right" vertical="center"/>
    </xf>
    <xf numFmtId="183" fontId="16" fillId="0" borderId="42" xfId="0" applyNumberFormat="1" applyFont="1" applyBorder="1" applyAlignment="1">
      <alignment horizontal="right" vertical="center"/>
    </xf>
    <xf numFmtId="183" fontId="16" fillId="0" borderId="0" xfId="0" applyNumberFormat="1" applyFont="1" applyAlignment="1">
      <alignment horizontal="right" vertical="center"/>
    </xf>
    <xf numFmtId="0" fontId="5" fillId="0" borderId="25" xfId="0" applyFont="1" applyBorder="1">
      <alignment vertical="center"/>
    </xf>
    <xf numFmtId="3" fontId="45" fillId="0" borderId="26" xfId="0" applyNumberFormat="1" applyFont="1" applyBorder="1">
      <alignment vertical="center"/>
    </xf>
    <xf numFmtId="183" fontId="45" fillId="0" borderId="26" xfId="0" applyNumberFormat="1" applyFont="1" applyBorder="1">
      <alignment vertical="center"/>
    </xf>
    <xf numFmtId="183" fontId="48" fillId="0" borderId="25" xfId="0" applyNumberFormat="1" applyFont="1" applyBorder="1" applyAlignment="1">
      <alignment horizontal="right" vertical="center"/>
    </xf>
    <xf numFmtId="37" fontId="16" fillId="0" borderId="25" xfId="0" quotePrefix="1" applyNumberFormat="1" applyFont="1" applyBorder="1">
      <alignment vertical="center"/>
    </xf>
    <xf numFmtId="183" fontId="16" fillId="0" borderId="190" xfId="0" applyNumberFormat="1" applyFont="1" applyBorder="1" applyAlignment="1">
      <alignment horizontal="right" vertical="center"/>
    </xf>
    <xf numFmtId="37" fontId="5" fillId="0" borderId="25" xfId="0" quotePrefix="1" applyNumberFormat="1" applyFont="1" applyBorder="1">
      <alignment vertical="center"/>
    </xf>
    <xf numFmtId="183" fontId="16" fillId="0" borderId="6" xfId="0" applyNumberFormat="1" applyFont="1" applyBorder="1" applyAlignment="1">
      <alignment horizontal="right" vertical="center"/>
    </xf>
    <xf numFmtId="37" fontId="16" fillId="13" borderId="26" xfId="0" applyNumberFormat="1" applyFont="1" applyFill="1" applyBorder="1" applyAlignment="1">
      <alignment horizontal="distributed" vertical="center"/>
    </xf>
    <xf numFmtId="3" fontId="16" fillId="0" borderId="0" xfId="0" quotePrefix="1" applyNumberFormat="1" applyFont="1" applyAlignment="1">
      <alignment horizontal="right" vertical="center"/>
    </xf>
    <xf numFmtId="3" fontId="16" fillId="0" borderId="26" xfId="0" quotePrefix="1" applyNumberFormat="1" applyFont="1" applyBorder="1">
      <alignment vertical="center"/>
    </xf>
    <xf numFmtId="3" fontId="16" fillId="13" borderId="0" xfId="0" applyNumberFormat="1" applyFont="1" applyFill="1">
      <alignment vertical="center"/>
    </xf>
    <xf numFmtId="0" fontId="16" fillId="0" borderId="25" xfId="0" quotePrefix="1" applyFont="1" applyBorder="1">
      <alignment vertical="center"/>
    </xf>
    <xf numFmtId="0" fontId="16" fillId="0" borderId="26" xfId="0" applyFont="1" applyBorder="1" applyAlignment="1">
      <alignment horizontal="distributed" vertical="center"/>
    </xf>
    <xf numFmtId="37" fontId="16" fillId="0" borderId="26" xfId="0" applyNumberFormat="1" applyFont="1" applyBorder="1">
      <alignment vertical="center"/>
    </xf>
    <xf numFmtId="3" fontId="49" fillId="0" borderId="190" xfId="0" applyNumberFormat="1" applyFont="1" applyBorder="1">
      <alignment vertical="center"/>
    </xf>
    <xf numFmtId="183" fontId="49" fillId="0" borderId="190" xfId="0" applyNumberFormat="1" applyFont="1" applyBorder="1">
      <alignment vertical="center"/>
    </xf>
    <xf numFmtId="3" fontId="16" fillId="0" borderId="190" xfId="0" applyNumberFormat="1" applyFont="1" applyBorder="1">
      <alignment vertical="center"/>
    </xf>
    <xf numFmtId="3" fontId="46" fillId="0" borderId="190" xfId="0" applyNumberFormat="1" applyFont="1" applyBorder="1">
      <alignment vertical="center"/>
    </xf>
    <xf numFmtId="183" fontId="46" fillId="0" borderId="190" xfId="0" applyNumberFormat="1" applyFont="1" applyBorder="1">
      <alignment vertical="center"/>
    </xf>
    <xf numFmtId="183" fontId="51" fillId="0" borderId="190" xfId="0" applyNumberFormat="1" applyFont="1" applyBorder="1">
      <alignment vertical="center"/>
    </xf>
    <xf numFmtId="37" fontId="5" fillId="0" borderId="6" xfId="0" quotePrefix="1" applyNumberFormat="1" applyFont="1" applyBorder="1">
      <alignment vertical="center"/>
    </xf>
    <xf numFmtId="37" fontId="5" fillId="0" borderId="2" xfId="0" applyNumberFormat="1" applyFont="1" applyBorder="1">
      <alignment vertical="center"/>
    </xf>
    <xf numFmtId="37" fontId="5" fillId="0" borderId="7" xfId="0" applyNumberFormat="1" applyFont="1" applyBorder="1">
      <alignment vertical="center"/>
    </xf>
    <xf numFmtId="3" fontId="45" fillId="0" borderId="42" xfId="0" applyNumberFormat="1" applyFont="1" applyBorder="1">
      <alignment vertical="center"/>
    </xf>
    <xf numFmtId="183" fontId="45" fillId="0" borderId="42" xfId="0" applyNumberFormat="1" applyFont="1" applyBorder="1">
      <alignment vertical="center"/>
    </xf>
    <xf numFmtId="3" fontId="5" fillId="0" borderId="0" xfId="0" applyNumberFormat="1" applyFont="1" applyAlignment="1">
      <alignment horizontal="left" vertical="center"/>
    </xf>
    <xf numFmtId="3" fontId="5" fillId="0" borderId="0" xfId="0" applyNumberFormat="1" applyFont="1" applyAlignment="1">
      <alignment vertical="center" shrinkToFit="1"/>
    </xf>
    <xf numFmtId="3" fontId="5" fillId="0" borderId="26" xfId="0" applyNumberFormat="1" applyFont="1" applyBorder="1" applyAlignment="1">
      <alignment vertical="center" shrinkToFit="1"/>
    </xf>
    <xf numFmtId="3" fontId="5" fillId="0" borderId="6" xfId="0" applyNumberFormat="1" applyFont="1" applyBorder="1">
      <alignment vertical="center"/>
    </xf>
    <xf numFmtId="3" fontId="5" fillId="0" borderId="2" xfId="0" applyNumberFormat="1" applyFont="1" applyBorder="1">
      <alignment vertical="center"/>
    </xf>
    <xf numFmtId="183" fontId="5" fillId="0" borderId="42" xfId="0" applyNumberFormat="1" applyFont="1" applyBorder="1">
      <alignment vertical="center"/>
    </xf>
    <xf numFmtId="0" fontId="52" fillId="0" borderId="0" xfId="0" applyFont="1">
      <alignment vertical="center"/>
    </xf>
    <xf numFmtId="0" fontId="53" fillId="0" borderId="0" xfId="0" applyFont="1">
      <alignment vertical="center"/>
    </xf>
    <xf numFmtId="0" fontId="52" fillId="0" borderId="0" xfId="0" applyFont="1" applyAlignment="1">
      <alignment horizontal="center" vertical="center"/>
    </xf>
    <xf numFmtId="0" fontId="52" fillId="0" borderId="191" xfId="0" applyFont="1" applyBorder="1" applyAlignment="1">
      <alignment horizontal="center" vertical="center" wrapText="1"/>
    </xf>
    <xf numFmtId="0" fontId="52" fillId="0" borderId="192" xfId="0" applyFont="1" applyBorder="1" applyAlignment="1">
      <alignment horizontal="center" vertical="center" wrapText="1"/>
    </xf>
    <xf numFmtId="0" fontId="52" fillId="0" borderId="193" xfId="0" applyFont="1" applyBorder="1" applyAlignment="1">
      <alignment horizontal="center" vertical="center" wrapText="1"/>
    </xf>
    <xf numFmtId="193" fontId="52" fillId="0" borderId="0" xfId="0" applyNumberFormat="1" applyFont="1" applyAlignment="1">
      <alignment horizontal="right" vertical="center" wrapText="1"/>
    </xf>
    <xf numFmtId="0" fontId="52" fillId="0" borderId="0" xfId="0" applyFont="1" applyAlignment="1">
      <alignment horizontal="center" vertical="center" shrinkToFit="1"/>
    </xf>
    <xf numFmtId="0" fontId="52" fillId="0" borderId="2" xfId="0" applyFont="1" applyBorder="1" applyAlignment="1">
      <alignment horizontal="center" vertical="center"/>
    </xf>
    <xf numFmtId="193" fontId="52" fillId="0" borderId="2" xfId="0" applyNumberFormat="1" applyFont="1" applyBorder="1" applyAlignment="1">
      <alignment horizontal="right" vertical="center" wrapText="1"/>
    </xf>
    <xf numFmtId="0" fontId="52" fillId="0" borderId="2" xfId="0" applyFont="1" applyBorder="1" applyAlignment="1">
      <alignment horizontal="center" vertical="center" shrinkToFit="1"/>
    </xf>
    <xf numFmtId="0" fontId="52" fillId="0" borderId="2" xfId="0" applyFont="1" applyBorder="1">
      <alignment vertical="center"/>
    </xf>
    <xf numFmtId="0" fontId="52" fillId="0" borderId="3" xfId="0" applyFont="1" applyBorder="1" applyAlignment="1">
      <alignment horizontal="center" vertical="center"/>
    </xf>
    <xf numFmtId="193" fontId="54" fillId="0" borderId="3" xfId="0" applyNumberFormat="1" applyFont="1" applyBorder="1" applyAlignment="1">
      <alignment horizontal="right" vertical="center" wrapText="1"/>
    </xf>
    <xf numFmtId="0" fontId="52" fillId="0" borderId="3" xfId="0" applyFont="1" applyBorder="1" applyAlignment="1">
      <alignment horizontal="center" vertical="center" shrinkToFit="1"/>
    </xf>
    <xf numFmtId="0" fontId="54" fillId="0" borderId="3" xfId="0" applyFont="1" applyBorder="1" applyAlignment="1">
      <alignment horizontal="center" vertical="center"/>
    </xf>
    <xf numFmtId="0" fontId="54" fillId="0" borderId="3" xfId="0" applyFont="1" applyBorder="1" applyAlignment="1">
      <alignment horizontal="left" vertical="center"/>
    </xf>
    <xf numFmtId="193" fontId="54" fillId="0" borderId="2" xfId="0" applyNumberFormat="1" applyFont="1" applyBorder="1" applyAlignment="1">
      <alignment horizontal="right" vertical="center" wrapText="1"/>
    </xf>
    <xf numFmtId="0" fontId="54" fillId="0" borderId="2" xfId="0" applyFont="1" applyBorder="1" applyAlignment="1">
      <alignment horizontal="center" vertical="center"/>
    </xf>
    <xf numFmtId="0" fontId="54" fillId="0" borderId="2" xfId="0" applyFont="1" applyBorder="1" applyAlignment="1">
      <alignment horizontal="left" vertical="center"/>
    </xf>
    <xf numFmtId="193" fontId="54" fillId="0" borderId="0" xfId="0" applyNumberFormat="1" applyFont="1" applyAlignment="1">
      <alignment horizontal="right" vertical="center" wrapText="1"/>
    </xf>
    <xf numFmtId="0" fontId="54" fillId="0" borderId="0" xfId="0" applyFont="1" applyAlignment="1">
      <alignment horizontal="center" vertical="center"/>
    </xf>
    <xf numFmtId="0" fontId="54" fillId="0" borderId="0" xfId="0" applyFont="1" applyAlignment="1">
      <alignment horizontal="left" vertical="center"/>
    </xf>
    <xf numFmtId="193" fontId="55" fillId="0" borderId="3" xfId="0" applyNumberFormat="1" applyFont="1" applyBorder="1" applyAlignment="1">
      <alignment horizontal="right" vertical="center" wrapText="1"/>
    </xf>
    <xf numFmtId="0" fontId="55" fillId="0" borderId="3" xfId="0" applyFont="1" applyBorder="1" applyAlignment="1">
      <alignment horizontal="center" vertical="center"/>
    </xf>
    <xf numFmtId="0" fontId="55" fillId="0" borderId="3" xfId="0" applyFont="1" applyBorder="1" applyAlignment="1">
      <alignment horizontal="left" vertical="center"/>
    </xf>
    <xf numFmtId="193" fontId="55" fillId="0" borderId="2" xfId="0" applyNumberFormat="1" applyFont="1" applyBorder="1" applyAlignment="1">
      <alignment horizontal="right" vertical="center" wrapText="1"/>
    </xf>
    <xf numFmtId="0" fontId="55" fillId="0" borderId="2" xfId="0" applyFont="1" applyBorder="1" applyAlignment="1">
      <alignment horizontal="center" vertical="center"/>
    </xf>
    <xf numFmtId="0" fontId="55" fillId="0" borderId="2" xfId="0" applyFont="1" applyBorder="1" applyAlignment="1">
      <alignment horizontal="left" vertical="center"/>
    </xf>
    <xf numFmtId="193" fontId="55" fillId="0" borderId="0" xfId="0" applyNumberFormat="1" applyFont="1" applyAlignment="1">
      <alignment horizontal="right" vertical="center" wrapText="1"/>
    </xf>
    <xf numFmtId="0" fontId="55" fillId="0" borderId="0" xfId="0" applyFont="1" applyAlignment="1">
      <alignment horizontal="center" vertical="center"/>
    </xf>
    <xf numFmtId="0" fontId="55" fillId="0" borderId="0" xfId="0" applyFont="1" applyAlignment="1">
      <alignment horizontal="left" vertical="center"/>
    </xf>
    <xf numFmtId="0" fontId="55" fillId="0" borderId="194" xfId="0" applyFont="1" applyBorder="1" applyAlignment="1">
      <alignment horizontal="left" vertical="center"/>
    </xf>
    <xf numFmtId="0" fontId="55" fillId="0" borderId="195" xfId="0" applyFont="1" applyBorder="1" applyAlignment="1">
      <alignment horizontal="left" vertical="center"/>
    </xf>
    <xf numFmtId="0" fontId="55" fillId="0" borderId="196" xfId="0" applyFont="1" applyBorder="1" applyAlignment="1">
      <alignment horizontal="left" vertical="center"/>
    </xf>
    <xf numFmtId="41" fontId="54" fillId="0" borderId="0" xfId="0" applyNumberFormat="1" applyFont="1">
      <alignment vertical="center"/>
    </xf>
    <xf numFmtId="41" fontId="54" fillId="0" borderId="2" xfId="0" applyNumberFormat="1" applyFont="1" applyBorder="1">
      <alignment vertical="center"/>
    </xf>
    <xf numFmtId="0" fontId="56" fillId="0" borderId="0" xfId="0" applyFont="1">
      <alignment vertical="center"/>
    </xf>
    <xf numFmtId="181" fontId="57" fillId="2" borderId="197" xfId="0" applyNumberFormat="1" applyFont="1" applyFill="1" applyBorder="1">
      <alignment vertical="center"/>
    </xf>
    <xf numFmtId="181" fontId="57" fillId="2" borderId="198" xfId="0" applyNumberFormat="1" applyFont="1" applyFill="1" applyBorder="1" applyAlignment="1">
      <alignment horizontal="center" vertical="center"/>
    </xf>
    <xf numFmtId="181" fontId="57" fillId="2" borderId="199" xfId="0" applyNumberFormat="1" applyFont="1" applyFill="1" applyBorder="1" applyAlignment="1">
      <alignment horizontal="center" vertical="center"/>
    </xf>
    <xf numFmtId="181" fontId="56" fillId="0" borderId="0" xfId="0" applyNumberFormat="1" applyFont="1">
      <alignment vertical="center"/>
    </xf>
    <xf numFmtId="181" fontId="58" fillId="0" borderId="200" xfId="0" applyNumberFormat="1" applyFont="1" applyBorder="1">
      <alignment vertical="center"/>
    </xf>
    <xf numFmtId="181" fontId="56" fillId="0" borderId="201" xfId="0" applyNumberFormat="1" applyFont="1" applyBorder="1">
      <alignment vertical="center"/>
    </xf>
    <xf numFmtId="181" fontId="58" fillId="0" borderId="202" xfId="0" applyNumberFormat="1" applyFont="1" applyBorder="1">
      <alignment vertical="center"/>
    </xf>
    <xf numFmtId="181" fontId="56" fillId="0" borderId="203" xfId="0" applyNumberFormat="1" applyFont="1" applyBorder="1">
      <alignment vertical="center"/>
    </xf>
    <xf numFmtId="181" fontId="56" fillId="0" borderId="204" xfId="0" applyNumberFormat="1" applyFont="1" applyBorder="1">
      <alignment vertical="center"/>
    </xf>
    <xf numFmtId="0" fontId="58" fillId="0" borderId="0" xfId="0" applyFont="1">
      <alignment vertical="center"/>
    </xf>
    <xf numFmtId="0" fontId="58" fillId="0" borderId="3" xfId="0" applyFont="1" applyBorder="1">
      <alignment vertical="center"/>
    </xf>
    <xf numFmtId="181" fontId="58" fillId="0" borderId="3" xfId="0" applyNumberFormat="1" applyFont="1" applyBorder="1">
      <alignment vertical="center"/>
    </xf>
    <xf numFmtId="181" fontId="58" fillId="0" borderId="3" xfId="0" applyNumberFormat="1" applyFont="1" applyBorder="1" applyAlignment="1">
      <alignment horizontal="center" vertical="center"/>
    </xf>
    <xf numFmtId="181" fontId="58" fillId="0" borderId="205" xfId="0" applyNumberFormat="1" applyFont="1" applyBorder="1" applyAlignment="1">
      <alignment horizontal="center" vertical="center"/>
    </xf>
    <xf numFmtId="181" fontId="59" fillId="0" borderId="3" xfId="0" applyNumberFormat="1" applyFont="1" applyBorder="1" applyAlignment="1">
      <alignment horizontal="center" vertical="center"/>
    </xf>
    <xf numFmtId="181" fontId="60" fillId="0" borderId="3" xfId="0" applyNumberFormat="1" applyFont="1" applyBorder="1">
      <alignment vertical="center"/>
    </xf>
    <xf numFmtId="181" fontId="60" fillId="0" borderId="205" xfId="0" applyNumberFormat="1" applyFont="1" applyBorder="1">
      <alignment vertical="center"/>
    </xf>
    <xf numFmtId="181" fontId="56" fillId="0" borderId="3" xfId="0" applyNumberFormat="1" applyFont="1" applyBorder="1">
      <alignment vertical="center"/>
    </xf>
    <xf numFmtId="0" fontId="58" fillId="0" borderId="0" xfId="0" applyFont="1" applyAlignment="1">
      <alignment horizontal="center" vertical="center"/>
    </xf>
    <xf numFmtId="181" fontId="59" fillId="0" borderId="0" xfId="0" applyNumberFormat="1" applyFont="1" applyAlignment="1">
      <alignment horizontal="center" vertical="center"/>
    </xf>
    <xf numFmtId="181" fontId="60" fillId="0" borderId="0" xfId="0" applyNumberFormat="1" applyFont="1">
      <alignment vertical="center"/>
    </xf>
    <xf numFmtId="181" fontId="60" fillId="0" borderId="206" xfId="0" applyNumberFormat="1" applyFont="1" applyBorder="1">
      <alignment vertical="center"/>
    </xf>
    <xf numFmtId="181" fontId="62" fillId="0" borderId="0" xfId="0" applyNumberFormat="1" applyFont="1" applyAlignment="1">
      <alignment horizontal="center" vertical="center"/>
    </xf>
    <xf numFmtId="0" fontId="63" fillId="0" borderId="0" xfId="0" applyFont="1">
      <alignment vertical="center"/>
    </xf>
    <xf numFmtId="181" fontId="64" fillId="0" borderId="2" xfId="0" applyNumberFormat="1" applyFont="1" applyBorder="1" applyAlignment="1">
      <alignment horizontal="center" vertical="center"/>
    </xf>
    <xf numFmtId="181" fontId="65" fillId="0" borderId="2" xfId="0" applyNumberFormat="1" applyFont="1" applyBorder="1">
      <alignment vertical="center"/>
    </xf>
    <xf numFmtId="181" fontId="65" fillId="0" borderId="207" xfId="0" applyNumberFormat="1" applyFont="1" applyBorder="1">
      <alignment vertical="center"/>
    </xf>
    <xf numFmtId="181" fontId="63" fillId="0" borderId="2" xfId="0" applyNumberFormat="1" applyFont="1" applyBorder="1">
      <alignment vertical="center"/>
    </xf>
    <xf numFmtId="181" fontId="64" fillId="0" borderId="0" xfId="0" applyNumberFormat="1" applyFont="1" applyAlignment="1">
      <alignment horizontal="center" vertical="center"/>
    </xf>
    <xf numFmtId="181" fontId="65" fillId="0" borderId="0" xfId="0" applyNumberFormat="1" applyFont="1">
      <alignment vertical="center"/>
    </xf>
    <xf numFmtId="181" fontId="65" fillId="0" borderId="206" xfId="0" applyNumberFormat="1" applyFont="1" applyBorder="1">
      <alignment vertical="center"/>
    </xf>
    <xf numFmtId="181" fontId="63" fillId="0" borderId="0" xfId="0" applyNumberFormat="1" applyFont="1">
      <alignment vertical="center"/>
    </xf>
    <xf numFmtId="181" fontId="33" fillId="0" borderId="0" xfId="0" applyNumberFormat="1" applyFont="1">
      <alignment vertical="center"/>
    </xf>
    <xf numFmtId="181" fontId="66" fillId="0" borderId="2" xfId="0" applyNumberFormat="1" applyFont="1" applyBorder="1">
      <alignment vertical="center"/>
    </xf>
    <xf numFmtId="181" fontId="66" fillId="30" borderId="2" xfId="0" applyNumberFormat="1" applyFont="1" applyFill="1" applyBorder="1">
      <alignment vertical="center"/>
    </xf>
    <xf numFmtId="194" fontId="15" fillId="0" borderId="3" xfId="0" applyNumberFormat="1" applyFont="1" applyBorder="1">
      <alignment vertical="center"/>
    </xf>
    <xf numFmtId="194" fontId="15" fillId="0" borderId="8" xfId="0" applyNumberFormat="1" applyFont="1" applyBorder="1">
      <alignment vertical="center"/>
    </xf>
    <xf numFmtId="3" fontId="67" fillId="0" borderId="0" xfId="0" applyNumberFormat="1" applyFont="1" applyAlignment="1">
      <alignment horizontal="distributed" vertical="center"/>
    </xf>
    <xf numFmtId="0" fontId="2" fillId="0" borderId="0" xfId="0" applyFont="1" applyAlignment="1"/>
    <xf numFmtId="0" fontId="43" fillId="0" borderId="0" xfId="0" applyFont="1" applyAlignment="1"/>
    <xf numFmtId="0" fontId="68" fillId="0" borderId="0" xfId="0" applyFont="1">
      <alignment vertical="center"/>
    </xf>
    <xf numFmtId="0" fontId="69" fillId="0" borderId="0" xfId="0" applyFont="1" applyAlignment="1"/>
    <xf numFmtId="0" fontId="70" fillId="0" borderId="0" xfId="0" applyFont="1">
      <alignment vertical="center"/>
    </xf>
    <xf numFmtId="0" fontId="70" fillId="0" borderId="0" xfId="0" applyFont="1" applyAlignment="1"/>
    <xf numFmtId="0" fontId="71" fillId="0" borderId="0" xfId="0" applyFont="1">
      <alignment vertical="center"/>
    </xf>
    <xf numFmtId="0" fontId="72" fillId="0" borderId="0" xfId="0" applyFont="1" applyAlignment="1"/>
    <xf numFmtId="0" fontId="69" fillId="0" borderId="0" xfId="0" applyFont="1">
      <alignment vertical="center"/>
    </xf>
    <xf numFmtId="0" fontId="68" fillId="0" borderId="0" xfId="0" applyFont="1" applyAlignment="1">
      <alignment horizontal="left" vertical="center"/>
    </xf>
    <xf numFmtId="0" fontId="68" fillId="0" borderId="0" xfId="0" applyFont="1" applyAlignment="1">
      <alignment horizontal="right" vertical="center"/>
    </xf>
    <xf numFmtId="0" fontId="53" fillId="0" borderId="0" xfId="0" applyFont="1" applyAlignment="1">
      <alignment horizontal="left" vertical="center"/>
    </xf>
    <xf numFmtId="183" fontId="52" fillId="0" borderId="0" xfId="0" applyNumberFormat="1" applyFont="1">
      <alignment vertical="center"/>
    </xf>
    <xf numFmtId="0" fontId="68" fillId="31" borderId="36" xfId="0" applyFont="1" applyFill="1" applyBorder="1" applyAlignment="1">
      <alignment horizontal="center" vertical="center"/>
    </xf>
    <xf numFmtId="0" fontId="68" fillId="31" borderId="36" xfId="0" applyFont="1" applyFill="1" applyBorder="1">
      <alignment vertical="center"/>
    </xf>
    <xf numFmtId="183" fontId="52" fillId="0" borderId="192" xfId="0" applyNumberFormat="1" applyFont="1" applyBorder="1" applyAlignment="1">
      <alignment horizontal="center" vertical="center" wrapText="1"/>
    </xf>
    <xf numFmtId="0" fontId="68" fillId="0" borderId="42" xfId="0" applyFont="1" applyBorder="1" applyAlignment="1">
      <alignment horizontal="left" vertical="center"/>
    </xf>
    <xf numFmtId="195" fontId="68" fillId="0" borderId="6" xfId="0" applyNumberFormat="1" applyFont="1" applyBorder="1" applyAlignment="1">
      <alignment horizontal="right" vertical="center"/>
    </xf>
    <xf numFmtId="195" fontId="68" fillId="0" borderId="42" xfId="0" applyNumberFormat="1" applyFont="1" applyBorder="1" applyAlignment="1">
      <alignment horizontal="right" vertical="center"/>
    </xf>
    <xf numFmtId="0" fontId="54" fillId="0" borderId="42" xfId="0" applyFont="1" applyBorder="1" applyAlignment="1">
      <alignment horizontal="left" vertical="center"/>
    </xf>
    <xf numFmtId="195" fontId="54" fillId="0" borderId="6" xfId="0" applyNumberFormat="1" applyFont="1" applyBorder="1" applyAlignment="1">
      <alignment horizontal="right" vertical="center"/>
    </xf>
    <xf numFmtId="195" fontId="54" fillId="0" borderId="42" xfId="0" applyNumberFormat="1" applyFont="1" applyBorder="1" applyAlignment="1">
      <alignment horizontal="right" vertical="center"/>
    </xf>
    <xf numFmtId="196" fontId="68" fillId="0" borderId="42" xfId="0" applyNumberFormat="1" applyFont="1" applyBorder="1" applyAlignment="1">
      <alignment horizontal="right" vertical="center"/>
    </xf>
    <xf numFmtId="196" fontId="54" fillId="0" borderId="42" xfId="0" applyNumberFormat="1" applyFont="1" applyBorder="1" applyAlignment="1">
      <alignment horizontal="right" vertical="center"/>
    </xf>
    <xf numFmtId="41" fontId="52" fillId="0" borderId="0" xfId="0" applyNumberFormat="1" applyFont="1" applyAlignment="1">
      <alignment horizontal="right" vertical="center"/>
    </xf>
    <xf numFmtId="0" fontId="52" fillId="0" borderId="208" xfId="0" applyFont="1" applyBorder="1" applyAlignment="1">
      <alignment horizontal="center" vertical="center" wrapText="1"/>
    </xf>
    <xf numFmtId="0" fontId="52" fillId="0" borderId="209" xfId="0" applyFont="1" applyBorder="1" applyAlignment="1">
      <alignment horizontal="center" vertical="center" wrapText="1"/>
    </xf>
    <xf numFmtId="41" fontId="52" fillId="0" borderId="209" xfId="0" applyNumberFormat="1" applyFont="1" applyBorder="1" applyAlignment="1">
      <alignment horizontal="right" vertical="center" wrapText="1"/>
    </xf>
    <xf numFmtId="0" fontId="52" fillId="0" borderId="210" xfId="0" applyFont="1" applyBorder="1" applyAlignment="1">
      <alignment horizontal="center" vertical="center"/>
    </xf>
    <xf numFmtId="0" fontId="52" fillId="0" borderId="211" xfId="0" applyFont="1" applyBorder="1" applyAlignment="1">
      <alignment horizontal="center" vertical="center"/>
    </xf>
    <xf numFmtId="41" fontId="52" fillId="0" borderId="211" xfId="0" applyNumberFormat="1" applyFont="1" applyBorder="1" applyAlignment="1">
      <alignment horizontal="right" vertical="center"/>
    </xf>
    <xf numFmtId="0" fontId="2" fillId="0" borderId="211" xfId="0" applyFont="1" applyBorder="1">
      <alignment vertical="center"/>
    </xf>
    <xf numFmtId="0" fontId="73" fillId="0" borderId="0" xfId="0" applyFont="1" applyAlignment="1">
      <alignment horizontal="justify" vertical="center"/>
    </xf>
    <xf numFmtId="0" fontId="74" fillId="0" borderId="0" xfId="0" applyFont="1" applyAlignment="1">
      <alignment horizontal="right" vertical="top"/>
    </xf>
    <xf numFmtId="0" fontId="75" fillId="0" borderId="0" xfId="0" applyFont="1" applyAlignment="1">
      <alignment horizontal="right"/>
    </xf>
    <xf numFmtId="0" fontId="74" fillId="7" borderId="28" xfId="0" applyFont="1" applyFill="1" applyBorder="1" applyAlignment="1">
      <alignment horizontal="center" vertical="center"/>
    </xf>
    <xf numFmtId="0" fontId="74" fillId="7" borderId="29" xfId="0" applyFont="1" applyFill="1" applyBorder="1" applyAlignment="1">
      <alignment horizontal="center" vertical="center"/>
    </xf>
    <xf numFmtId="0" fontId="74" fillId="7" borderId="30" xfId="0" applyFont="1" applyFill="1" applyBorder="1" applyAlignment="1">
      <alignment horizontal="center" vertical="center"/>
    </xf>
    <xf numFmtId="0" fontId="74" fillId="0" borderId="0" xfId="0" applyFont="1" applyAlignment="1">
      <alignment horizontal="center" vertical="center"/>
    </xf>
    <xf numFmtId="0" fontId="62" fillId="0" borderId="36" xfId="0" applyFont="1" applyBorder="1" applyAlignment="1"/>
    <xf numFmtId="197" fontId="62" fillId="32" borderId="36" xfId="0" applyNumberFormat="1" applyFont="1" applyFill="1" applyBorder="1" applyAlignment="1">
      <alignment horizontal="center" vertical="center"/>
    </xf>
    <xf numFmtId="0" fontId="74" fillId="0" borderId="31" xfId="0" applyFont="1" applyBorder="1" applyAlignment="1">
      <alignment vertical="top"/>
    </xf>
    <xf numFmtId="0" fontId="74" fillId="0" borderId="27" xfId="0" applyFont="1" applyBorder="1" applyAlignment="1">
      <alignment vertical="top"/>
    </xf>
    <xf numFmtId="0" fontId="74" fillId="0" borderId="27" xfId="0" applyFont="1" applyBorder="1" applyAlignment="1">
      <alignment horizontal="right" vertical="top"/>
    </xf>
    <xf numFmtId="0" fontId="74" fillId="0" borderId="32" xfId="0" applyFont="1" applyBorder="1" applyAlignment="1">
      <alignment horizontal="right" vertical="top"/>
    </xf>
    <xf numFmtId="0" fontId="62" fillId="0" borderId="36" xfId="0" applyFont="1" applyBorder="1">
      <alignment vertical="center"/>
    </xf>
    <xf numFmtId="198" fontId="76" fillId="0" borderId="41" xfId="0" applyNumberFormat="1" applyFont="1" applyBorder="1" applyAlignment="1">
      <alignment horizontal="center" vertical="center"/>
    </xf>
    <xf numFmtId="41" fontId="62" fillId="0" borderId="41" xfId="0" applyNumberFormat="1" applyFont="1" applyBorder="1" applyAlignment="1"/>
    <xf numFmtId="3" fontId="74" fillId="0" borderId="27" xfId="0" applyNumberFormat="1" applyFont="1" applyBorder="1" applyAlignment="1">
      <alignment horizontal="right" vertical="top"/>
    </xf>
    <xf numFmtId="198" fontId="76" fillId="0" borderId="42" xfId="0" applyNumberFormat="1" applyFont="1" applyBorder="1" applyAlignment="1">
      <alignment horizontal="center" vertical="center"/>
    </xf>
    <xf numFmtId="41" fontId="62" fillId="0" borderId="42" xfId="0" applyNumberFormat="1" applyFont="1" applyBorder="1" applyAlignment="1"/>
    <xf numFmtId="0" fontId="74" fillId="0" borderId="212" xfId="0" applyFont="1" applyBorder="1" applyAlignment="1">
      <alignment vertical="top"/>
    </xf>
    <xf numFmtId="0" fontId="74" fillId="0" borderId="213" xfId="0" applyFont="1" applyBorder="1" applyAlignment="1">
      <alignment vertical="top"/>
    </xf>
    <xf numFmtId="0" fontId="74" fillId="0" borderId="214" xfId="0" applyFont="1" applyBorder="1" applyAlignment="1">
      <alignment vertical="top"/>
    </xf>
    <xf numFmtId="0" fontId="74" fillId="0" borderId="215" xfId="0" applyFont="1" applyBorder="1">
      <alignment vertical="center"/>
    </xf>
    <xf numFmtId="0" fontId="74" fillId="0" borderId="216" xfId="0" applyFont="1" applyBorder="1">
      <alignment vertical="center"/>
    </xf>
    <xf numFmtId="0" fontId="74" fillId="0" borderId="34" xfId="0" applyFont="1" applyBorder="1" applyAlignment="1">
      <alignment horizontal="right" vertical="top"/>
    </xf>
    <xf numFmtId="0" fontId="74" fillId="0" borderId="35" xfId="0" applyFont="1" applyBorder="1" applyAlignment="1">
      <alignment horizontal="right" vertical="top"/>
    </xf>
    <xf numFmtId="0" fontId="2" fillId="0" borderId="0" xfId="0" applyFont="1" applyAlignment="1">
      <alignment horizontal="justify" vertical="center"/>
    </xf>
    <xf numFmtId="0" fontId="74" fillId="0" borderId="27" xfId="0" applyFont="1" applyBorder="1" applyAlignment="1">
      <alignment horizontal="right" vertical="center"/>
    </xf>
    <xf numFmtId="0" fontId="74" fillId="0" borderId="32" xfId="0" applyFont="1" applyBorder="1" applyAlignment="1">
      <alignment horizontal="right" vertical="center"/>
    </xf>
    <xf numFmtId="3" fontId="74" fillId="0" borderId="32" xfId="0" applyNumberFormat="1" applyFont="1" applyBorder="1" applyAlignment="1">
      <alignment horizontal="right" vertical="top"/>
    </xf>
    <xf numFmtId="3" fontId="74" fillId="0" borderId="27" xfId="0" applyNumberFormat="1" applyFont="1" applyBorder="1" applyAlignment="1">
      <alignment horizontal="right" vertical="center"/>
    </xf>
    <xf numFmtId="3" fontId="74" fillId="0" borderId="32" xfId="0" applyNumberFormat="1" applyFont="1" applyBorder="1" applyAlignment="1">
      <alignment horizontal="right" vertical="center"/>
    </xf>
    <xf numFmtId="0" fontId="74" fillId="0" borderId="215" xfId="0" applyFont="1" applyBorder="1" applyAlignment="1">
      <alignment vertical="top"/>
    </xf>
    <xf numFmtId="0" fontId="74" fillId="0" borderId="216" xfId="0" applyFont="1" applyBorder="1" applyAlignment="1">
      <alignment vertical="top"/>
    </xf>
    <xf numFmtId="3" fontId="74" fillId="0" borderId="34" xfId="0" applyNumberFormat="1" applyFont="1" applyBorder="1" applyAlignment="1">
      <alignment horizontal="right" vertical="top"/>
    </xf>
    <xf numFmtId="3" fontId="74" fillId="0" borderId="35" xfId="0" applyNumberFormat="1" applyFont="1" applyBorder="1" applyAlignment="1">
      <alignment horizontal="right" vertical="top"/>
    </xf>
    <xf numFmtId="0" fontId="77" fillId="0" borderId="0" xfId="0" applyFont="1" applyAlignment="1"/>
    <xf numFmtId="3" fontId="77" fillId="0" borderId="7" xfId="0" applyNumberFormat="1" applyFont="1" applyBorder="1">
      <alignment vertical="center"/>
    </xf>
    <xf numFmtId="0" fontId="78" fillId="2" borderId="0" xfId="0" applyFont="1" applyFill="1">
      <alignment vertical="center"/>
    </xf>
    <xf numFmtId="0" fontId="78" fillId="2" borderId="0" xfId="0" applyFont="1" applyFill="1" applyAlignment="1">
      <alignment horizontal="right" vertical="center"/>
    </xf>
    <xf numFmtId="0" fontId="79" fillId="2" borderId="0" xfId="0" applyFont="1" applyFill="1">
      <alignment vertical="center"/>
    </xf>
    <xf numFmtId="0" fontId="33" fillId="2" borderId="0" xfId="0" applyFont="1" applyFill="1">
      <alignment vertical="center"/>
    </xf>
    <xf numFmtId="0" fontId="3" fillId="0" borderId="0" xfId="0" applyFont="1">
      <alignment vertical="center"/>
    </xf>
    <xf numFmtId="0" fontId="78" fillId="0" borderId="0" xfId="0" applyFont="1">
      <alignment vertical="center"/>
    </xf>
    <xf numFmtId="0" fontId="78" fillId="0" borderId="0" xfId="0" applyFont="1" applyAlignment="1">
      <alignment horizontal="right" vertical="center"/>
    </xf>
    <xf numFmtId="0" fontId="79" fillId="0" borderId="0" xfId="0" applyFont="1">
      <alignment vertical="center"/>
    </xf>
    <xf numFmtId="0" fontId="66" fillId="3" borderId="0" xfId="0" quotePrefix="1" applyFont="1" applyFill="1">
      <alignment vertical="center"/>
    </xf>
    <xf numFmtId="0" fontId="80" fillId="3" borderId="0" xfId="0" applyFont="1" applyFill="1">
      <alignment vertical="center"/>
    </xf>
    <xf numFmtId="0" fontId="80" fillId="3" borderId="0" xfId="0" applyFont="1" applyFill="1" applyAlignment="1">
      <alignment horizontal="right" vertical="center"/>
    </xf>
    <xf numFmtId="0" fontId="58" fillId="3" borderId="0" xfId="0" applyFont="1" applyFill="1">
      <alignment vertical="center"/>
    </xf>
    <xf numFmtId="0" fontId="66" fillId="3" borderId="0" xfId="0" applyFont="1" applyFill="1">
      <alignment vertical="center"/>
    </xf>
    <xf numFmtId="0" fontId="56" fillId="0" borderId="217" xfId="0" applyFont="1" applyBorder="1" applyAlignment="1">
      <alignment horizontal="center" vertical="center"/>
    </xf>
    <xf numFmtId="0" fontId="56" fillId="0" borderId="218" xfId="0" applyFont="1" applyBorder="1" applyAlignment="1">
      <alignment horizontal="center" vertical="center"/>
    </xf>
    <xf numFmtId="183" fontId="81" fillId="0" borderId="0" xfId="0" applyNumberFormat="1" applyFont="1">
      <alignment vertical="center"/>
    </xf>
    <xf numFmtId="183" fontId="82" fillId="0" borderId="0" xfId="0" applyNumberFormat="1" applyFont="1">
      <alignment vertical="center"/>
    </xf>
    <xf numFmtId="183" fontId="82" fillId="0" borderId="0" xfId="0" applyNumberFormat="1" applyFont="1" applyAlignment="1">
      <alignment horizontal="right" vertical="center"/>
    </xf>
    <xf numFmtId="0" fontId="83" fillId="0" borderId="0" xfId="0" applyFont="1">
      <alignment vertical="center"/>
    </xf>
    <xf numFmtId="0" fontId="82" fillId="0" borderId="0" xfId="0" applyFont="1">
      <alignment vertical="center"/>
    </xf>
    <xf numFmtId="14" fontId="84" fillId="0" borderId="0" xfId="0" applyNumberFormat="1" applyFont="1" applyAlignment="1">
      <alignment horizontal="right" vertical="center"/>
    </xf>
    <xf numFmtId="199" fontId="82" fillId="0" borderId="0" xfId="0" applyNumberFormat="1" applyFont="1">
      <alignment vertical="center"/>
    </xf>
    <xf numFmtId="0" fontId="58" fillId="0" borderId="219" xfId="0" applyFont="1" applyBorder="1">
      <alignment vertical="center"/>
    </xf>
    <xf numFmtId="200" fontId="58" fillId="0" borderId="220" xfId="0" applyNumberFormat="1" applyFont="1" applyBorder="1">
      <alignment vertical="center"/>
    </xf>
    <xf numFmtId="0" fontId="81" fillId="0" borderId="0" xfId="0" applyFont="1">
      <alignment vertical="center"/>
    </xf>
    <xf numFmtId="0" fontId="81" fillId="0" borderId="0" xfId="0" applyFont="1" applyAlignment="1">
      <alignment horizontal="right" vertical="center"/>
    </xf>
    <xf numFmtId="199" fontId="83" fillId="0" borderId="0" xfId="0" quotePrefix="1" applyNumberFormat="1" applyFont="1">
      <alignment vertical="center"/>
    </xf>
    <xf numFmtId="0" fontId="84" fillId="0" borderId="0" xfId="0" applyFont="1" applyAlignment="1">
      <alignment horizontal="right" vertical="center"/>
    </xf>
    <xf numFmtId="0" fontId="79" fillId="0" borderId="221" xfId="0" applyFont="1" applyBorder="1" applyAlignment="1">
      <alignment horizontal="right" vertical="center"/>
    </xf>
    <xf numFmtId="200" fontId="79" fillId="0" borderId="222" xfId="0" applyNumberFormat="1" applyFont="1" applyBorder="1">
      <alignment vertical="center"/>
    </xf>
    <xf numFmtId="0" fontId="82" fillId="0" borderId="0" xfId="0" applyFont="1" applyAlignment="1">
      <alignment horizontal="center" vertical="center"/>
    </xf>
    <xf numFmtId="0" fontId="82" fillId="33" borderId="4" xfId="0" applyFont="1" applyFill="1" applyBorder="1" applyAlignment="1">
      <alignment horizontal="center" vertical="center"/>
    </xf>
    <xf numFmtId="0" fontId="82" fillId="33" borderId="4" xfId="0" quotePrefix="1" applyFont="1" applyFill="1" applyBorder="1" applyAlignment="1">
      <alignment horizontal="center" vertical="center"/>
    </xf>
    <xf numFmtId="0" fontId="83" fillId="33" borderId="223" xfId="0" applyFont="1" applyFill="1" applyBorder="1" applyAlignment="1">
      <alignment horizontal="center" vertical="center" wrapText="1"/>
    </xf>
    <xf numFmtId="184" fontId="82" fillId="33" borderId="224" xfId="0" applyNumberFormat="1" applyFont="1" applyFill="1" applyBorder="1" applyAlignment="1">
      <alignment horizontal="center" vertical="center"/>
    </xf>
    <xf numFmtId="0" fontId="82" fillId="33" borderId="36" xfId="0" applyFont="1" applyFill="1" applyBorder="1" applyAlignment="1">
      <alignment horizontal="center" vertical="center"/>
    </xf>
    <xf numFmtId="0" fontId="79" fillId="0" borderId="225" xfId="0" applyFont="1" applyBorder="1" applyAlignment="1">
      <alignment horizontal="right" vertical="center"/>
    </xf>
    <xf numFmtId="200" fontId="79" fillId="0" borderId="226" xfId="0" applyNumberFormat="1" applyFont="1" applyBorder="1">
      <alignment vertical="center"/>
    </xf>
    <xf numFmtId="0" fontId="82" fillId="0" borderId="25" xfId="0" applyFont="1" applyBorder="1">
      <alignment vertical="center"/>
    </xf>
    <xf numFmtId="0" fontId="82" fillId="0" borderId="25" xfId="0" applyFont="1" applyBorder="1" applyAlignment="1">
      <alignment horizontal="right" vertical="center"/>
    </xf>
    <xf numFmtId="183" fontId="85" fillId="0" borderId="227" xfId="0" applyNumberFormat="1" applyFont="1" applyBorder="1">
      <alignment vertical="center"/>
    </xf>
    <xf numFmtId="199" fontId="86" fillId="0" borderId="228" xfId="0" applyNumberFormat="1" applyFont="1" applyBorder="1">
      <alignment vertical="center"/>
    </xf>
    <xf numFmtId="183" fontId="86" fillId="0" borderId="190" xfId="0" applyNumberFormat="1" applyFont="1" applyBorder="1">
      <alignment vertical="center"/>
    </xf>
    <xf numFmtId="0" fontId="83" fillId="34" borderId="25" xfId="0" applyFont="1" applyFill="1" applyBorder="1">
      <alignment vertical="center"/>
    </xf>
    <xf numFmtId="199" fontId="83" fillId="34" borderId="25" xfId="0" applyNumberFormat="1" applyFont="1" applyFill="1" applyBorder="1" applyAlignment="1">
      <alignment horizontal="right" vertical="center"/>
    </xf>
    <xf numFmtId="199" fontId="83" fillId="34" borderId="227" xfId="0" applyNumberFormat="1" applyFont="1" applyFill="1" applyBorder="1">
      <alignment vertical="center"/>
    </xf>
    <xf numFmtId="199" fontId="83" fillId="34" borderId="228" xfId="0" applyNumberFormat="1" applyFont="1" applyFill="1" applyBorder="1">
      <alignment vertical="center"/>
    </xf>
    <xf numFmtId="199" fontId="83" fillId="34" borderId="190" xfId="0" applyNumberFormat="1" applyFont="1" applyFill="1" applyBorder="1">
      <alignment vertical="center"/>
    </xf>
    <xf numFmtId="199" fontId="82" fillId="0" borderId="25" xfId="0" applyNumberFormat="1" applyFont="1" applyBorder="1" applyAlignment="1">
      <alignment horizontal="right" vertical="center"/>
    </xf>
    <xf numFmtId="199" fontId="85" fillId="0" borderId="227" xfId="0" applyNumberFormat="1" applyFont="1" applyBorder="1">
      <alignment vertical="center"/>
    </xf>
    <xf numFmtId="199" fontId="86" fillId="0" borderId="190" xfId="0" applyNumberFormat="1" applyFont="1" applyBorder="1">
      <alignment vertical="center"/>
    </xf>
    <xf numFmtId="0" fontId="85" fillId="0" borderId="0" xfId="0" applyFont="1">
      <alignment vertical="center"/>
    </xf>
    <xf numFmtId="0" fontId="85" fillId="0" borderId="25" xfId="0" applyFont="1" applyBorder="1">
      <alignment vertical="center"/>
    </xf>
    <xf numFmtId="199" fontId="85" fillId="0" borderId="25" xfId="0" applyNumberFormat="1" applyFont="1" applyBorder="1" applyAlignment="1">
      <alignment horizontal="right" vertical="center"/>
    </xf>
    <xf numFmtId="199" fontId="85" fillId="0" borderId="228" xfId="0" applyNumberFormat="1" applyFont="1" applyBorder="1">
      <alignment vertical="center"/>
    </xf>
    <xf numFmtId="199" fontId="85" fillId="0" borderId="190" xfId="0" applyNumberFormat="1" applyFont="1" applyBorder="1">
      <alignment vertical="center"/>
    </xf>
    <xf numFmtId="199" fontId="85" fillId="0" borderId="0" xfId="0" applyNumberFormat="1" applyFont="1">
      <alignment vertical="center"/>
    </xf>
    <xf numFmtId="0" fontId="79" fillId="0" borderId="229" xfId="0" applyFont="1" applyBorder="1" applyAlignment="1">
      <alignment horizontal="right" vertical="center"/>
    </xf>
    <xf numFmtId="200" fontId="79" fillId="0" borderId="230" xfId="0" applyNumberFormat="1" applyFont="1" applyBorder="1">
      <alignment vertical="center"/>
    </xf>
    <xf numFmtId="200" fontId="58" fillId="0" borderId="231" xfId="0" applyNumberFormat="1" applyFont="1" applyBorder="1">
      <alignment vertical="center"/>
    </xf>
    <xf numFmtId="0" fontId="81" fillId="0" borderId="25" xfId="0" applyFont="1" applyBorder="1">
      <alignment vertical="center"/>
    </xf>
    <xf numFmtId="199" fontId="81" fillId="0" borderId="25" xfId="0" applyNumberFormat="1" applyFont="1" applyBorder="1" applyAlignment="1">
      <alignment horizontal="right" vertical="center"/>
    </xf>
    <xf numFmtId="0" fontId="78" fillId="0" borderId="221" xfId="0" applyFont="1" applyBorder="1" applyAlignment="1">
      <alignment horizontal="right" vertical="center"/>
    </xf>
    <xf numFmtId="200" fontId="78" fillId="0" borderId="222" xfId="0" applyNumberFormat="1" applyFont="1" applyBorder="1">
      <alignment vertical="center"/>
    </xf>
    <xf numFmtId="199" fontId="83" fillId="0" borderId="227" xfId="0" applyNumberFormat="1" applyFont="1" applyBorder="1" applyAlignment="1">
      <alignment horizontal="right" vertical="center"/>
    </xf>
    <xf numFmtId="199" fontId="82" fillId="0" borderId="228" xfId="0" applyNumberFormat="1" applyFont="1" applyBorder="1">
      <alignment vertical="center"/>
    </xf>
    <xf numFmtId="199" fontId="82" fillId="0" borderId="190" xfId="0" applyNumberFormat="1" applyFont="1" applyBorder="1">
      <alignment vertical="center"/>
    </xf>
    <xf numFmtId="0" fontId="79" fillId="0" borderId="232" xfId="0" applyFont="1" applyBorder="1" applyAlignment="1">
      <alignment horizontal="right" vertical="center"/>
    </xf>
    <xf numFmtId="0" fontId="81" fillId="0" borderId="25" xfId="0" applyFont="1" applyBorder="1" applyAlignment="1">
      <alignment horizontal="center" vertical="center"/>
    </xf>
    <xf numFmtId="9" fontId="81" fillId="0" borderId="25" xfId="0" applyNumberFormat="1" applyFont="1" applyBorder="1" applyAlignment="1">
      <alignment horizontal="right" vertical="center"/>
    </xf>
    <xf numFmtId="9" fontId="85" fillId="0" borderId="227" xfId="0" applyNumberFormat="1" applyFont="1" applyBorder="1">
      <alignment vertical="center"/>
    </xf>
    <xf numFmtId="9" fontId="81" fillId="0" borderId="228" xfId="0" applyNumberFormat="1" applyFont="1" applyBorder="1">
      <alignment vertical="center"/>
    </xf>
    <xf numFmtId="9" fontId="81" fillId="0" borderId="190" xfId="0" applyNumberFormat="1" applyFont="1" applyBorder="1">
      <alignment vertical="center"/>
    </xf>
    <xf numFmtId="0" fontId="80" fillId="0" borderId="219" xfId="0" applyFont="1" applyBorder="1" applyAlignment="1">
      <alignment horizontal="left" vertical="center"/>
    </xf>
    <xf numFmtId="200" fontId="80" fillId="0" borderId="220" xfId="0" applyNumberFormat="1" applyFont="1" applyBorder="1">
      <alignment vertical="center"/>
    </xf>
    <xf numFmtId="0" fontId="81" fillId="0" borderId="25" xfId="0" applyFont="1" applyBorder="1" applyAlignment="1">
      <alignment horizontal="left" vertical="center"/>
    </xf>
    <xf numFmtId="199" fontId="81" fillId="0" borderId="228" xfId="0" applyNumberFormat="1" applyFont="1" applyBorder="1">
      <alignment vertical="center"/>
    </xf>
    <xf numFmtId="199" fontId="81" fillId="0" borderId="190" xfId="0" applyNumberFormat="1" applyFont="1" applyBorder="1">
      <alignment vertical="center"/>
    </xf>
    <xf numFmtId="199" fontId="85" fillId="35" borderId="227" xfId="0" applyNumberFormat="1" applyFont="1" applyFill="1" applyBorder="1">
      <alignment vertical="center"/>
    </xf>
    <xf numFmtId="178" fontId="82" fillId="0" borderId="0" xfId="0" applyNumberFormat="1" applyFont="1">
      <alignment vertical="center"/>
    </xf>
    <xf numFmtId="199" fontId="83" fillId="0" borderId="227" xfId="0" applyNumberFormat="1" applyFont="1" applyBorder="1">
      <alignment vertical="center"/>
    </xf>
    <xf numFmtId="0" fontId="87" fillId="0" borderId="0" xfId="0" applyFont="1">
      <alignment vertical="center"/>
    </xf>
    <xf numFmtId="200" fontId="87" fillId="0" borderId="0" xfId="0" applyNumberFormat="1" applyFont="1">
      <alignment vertical="center"/>
    </xf>
    <xf numFmtId="0" fontId="82" fillId="34" borderId="25" xfId="0" applyFont="1" applyFill="1" applyBorder="1">
      <alignment vertical="center"/>
    </xf>
    <xf numFmtId="199" fontId="82" fillId="34" borderId="25" xfId="0" applyNumberFormat="1" applyFont="1" applyFill="1" applyBorder="1" applyAlignment="1">
      <alignment horizontal="right" vertical="center"/>
    </xf>
    <xf numFmtId="199" fontId="83" fillId="34" borderId="227" xfId="0" applyNumberFormat="1" applyFont="1" applyFill="1" applyBorder="1" applyAlignment="1">
      <alignment horizontal="right" vertical="center"/>
    </xf>
    <xf numFmtId="199" fontId="86" fillId="34" borderId="228" xfId="0" applyNumberFormat="1" applyFont="1" applyFill="1" applyBorder="1">
      <alignment vertical="center"/>
    </xf>
    <xf numFmtId="199" fontId="86" fillId="34" borderId="190" xfId="0" applyNumberFormat="1" applyFont="1" applyFill="1" applyBorder="1">
      <alignment vertical="center"/>
    </xf>
    <xf numFmtId="178" fontId="86" fillId="0" borderId="228" xfId="0" applyNumberFormat="1" applyFont="1" applyBorder="1">
      <alignment vertical="center"/>
    </xf>
    <xf numFmtId="178" fontId="86" fillId="0" borderId="190" xfId="0" applyNumberFormat="1" applyFont="1" applyBorder="1">
      <alignment vertical="center"/>
    </xf>
    <xf numFmtId="0" fontId="58" fillId="0" borderId="217" xfId="0" applyFont="1" applyBorder="1" applyAlignment="1">
      <alignment horizontal="left" vertical="center"/>
    </xf>
    <xf numFmtId="200" fontId="79" fillId="0" borderId="233" xfId="0" applyNumberFormat="1" applyFont="1" applyBorder="1">
      <alignment vertical="center"/>
    </xf>
    <xf numFmtId="0" fontId="82" fillId="12" borderId="25" xfId="0" applyFont="1" applyFill="1" applyBorder="1">
      <alignment vertical="center"/>
    </xf>
    <xf numFmtId="199" fontId="82" fillId="12" borderId="25" xfId="0" applyNumberFormat="1" applyFont="1" applyFill="1" applyBorder="1" applyAlignment="1">
      <alignment horizontal="right" vertical="center"/>
    </xf>
    <xf numFmtId="199" fontId="83" fillId="12" borderId="227" xfId="0" applyNumberFormat="1" applyFont="1" applyFill="1" applyBorder="1" applyAlignment="1">
      <alignment horizontal="right" vertical="center"/>
    </xf>
    <xf numFmtId="199" fontId="81" fillId="12" borderId="228" xfId="0" applyNumberFormat="1" applyFont="1" applyFill="1" applyBorder="1">
      <alignment vertical="center"/>
    </xf>
    <xf numFmtId="199" fontId="81" fillId="12" borderId="190" xfId="0" applyNumberFormat="1" applyFont="1" applyFill="1" applyBorder="1">
      <alignment vertical="center"/>
    </xf>
    <xf numFmtId="0" fontId="58" fillId="0" borderId="232" xfId="0" applyFont="1" applyBorder="1">
      <alignment vertical="center"/>
    </xf>
    <xf numFmtId="178" fontId="81" fillId="0" borderId="228" xfId="0" applyNumberFormat="1" applyFont="1" applyBorder="1">
      <alignment vertical="center"/>
    </xf>
    <xf numFmtId="178" fontId="81" fillId="0" borderId="190" xfId="0" applyNumberFormat="1" applyFont="1" applyBorder="1">
      <alignment vertical="center"/>
    </xf>
    <xf numFmtId="0" fontId="82" fillId="0" borderId="190" xfId="0" applyFont="1" applyBorder="1">
      <alignment vertical="center"/>
    </xf>
    <xf numFmtId="199" fontId="82" fillId="0" borderId="190" xfId="0" applyNumberFormat="1" applyFont="1" applyBorder="1" applyAlignment="1">
      <alignment horizontal="right" vertical="center"/>
    </xf>
    <xf numFmtId="0" fontId="58" fillId="0" borderId="232" xfId="0" applyFont="1" applyBorder="1" applyAlignment="1">
      <alignment horizontal="left" vertical="center"/>
    </xf>
    <xf numFmtId="41" fontId="82" fillId="0" borderId="0" xfId="0" applyNumberFormat="1" applyFont="1">
      <alignment vertical="center"/>
    </xf>
    <xf numFmtId="200" fontId="81" fillId="0" borderId="25" xfId="0" applyNumberFormat="1" applyFont="1" applyBorder="1" applyAlignment="1">
      <alignment horizontal="right" vertical="center"/>
    </xf>
    <xf numFmtId="0" fontId="88" fillId="36" borderId="6" xfId="0" applyFont="1" applyFill="1" applyBorder="1">
      <alignment vertical="center"/>
    </xf>
    <xf numFmtId="178" fontId="88" fillId="36" borderId="6" xfId="0" applyNumberFormat="1" applyFont="1" applyFill="1" applyBorder="1" applyAlignment="1">
      <alignment horizontal="right" vertical="center"/>
    </xf>
    <xf numFmtId="178" fontId="83" fillId="36" borderId="234" xfId="0" applyNumberFormat="1" applyFont="1" applyFill="1" applyBorder="1" applyAlignment="1">
      <alignment horizontal="center" vertical="center"/>
    </xf>
    <xf numFmtId="178" fontId="88" fillId="36" borderId="235" xfId="0" applyNumberFormat="1" applyFont="1" applyFill="1" applyBorder="1" applyAlignment="1">
      <alignment horizontal="center" vertical="center"/>
    </xf>
    <xf numFmtId="178" fontId="88" fillId="36" borderId="42" xfId="0" applyNumberFormat="1" applyFont="1" applyFill="1" applyBorder="1" applyAlignment="1">
      <alignment horizontal="center" vertical="center"/>
    </xf>
    <xf numFmtId="200" fontId="82" fillId="0" borderId="25" xfId="0" applyNumberFormat="1" applyFont="1" applyBorder="1" applyAlignment="1">
      <alignment horizontal="right" vertical="center"/>
    </xf>
    <xf numFmtId="183" fontId="83" fillId="0" borderId="227" xfId="0" applyNumberFormat="1" applyFont="1" applyBorder="1">
      <alignment vertical="center"/>
    </xf>
    <xf numFmtId="183" fontId="82" fillId="0" borderId="190" xfId="0" applyNumberFormat="1" applyFont="1" applyBorder="1">
      <alignment vertical="center"/>
    </xf>
    <xf numFmtId="0" fontId="78" fillId="0" borderId="229" xfId="0" applyFont="1" applyBorder="1" applyAlignment="1">
      <alignment horizontal="right" vertical="center"/>
    </xf>
    <xf numFmtId="199" fontId="82" fillId="0" borderId="236" xfId="0" applyNumberFormat="1" applyFont="1" applyBorder="1">
      <alignment vertical="center"/>
    </xf>
    <xf numFmtId="199" fontId="82" fillId="0" borderId="26" xfId="0" applyNumberFormat="1" applyFont="1" applyBorder="1">
      <alignment vertical="center"/>
    </xf>
    <xf numFmtId="0" fontId="58" fillId="0" borderId="237" xfId="0" applyFont="1" applyBorder="1" applyAlignment="1">
      <alignment horizontal="right" vertical="center"/>
    </xf>
    <xf numFmtId="200" fontId="79" fillId="0" borderId="238" xfId="0" applyNumberFormat="1" applyFont="1" applyBorder="1">
      <alignment vertical="center"/>
    </xf>
    <xf numFmtId="0" fontId="58" fillId="0" borderId="0" xfId="0" applyFont="1" applyAlignment="1">
      <alignment horizontal="right" vertical="center"/>
    </xf>
    <xf numFmtId="200" fontId="79" fillId="0" borderId="0" xfId="0" applyNumberFormat="1" applyFont="1">
      <alignment vertical="center"/>
    </xf>
    <xf numFmtId="0" fontId="82" fillId="37" borderId="25" xfId="0" applyFont="1" applyFill="1" applyBorder="1">
      <alignment vertical="center"/>
    </xf>
    <xf numFmtId="199" fontId="82" fillId="37" borderId="25" xfId="0" applyNumberFormat="1" applyFont="1" applyFill="1" applyBorder="1" applyAlignment="1">
      <alignment horizontal="right" vertical="center"/>
    </xf>
    <xf numFmtId="199" fontId="83" fillId="37" borderId="227" xfId="0" applyNumberFormat="1" applyFont="1" applyFill="1" applyBorder="1" applyAlignment="1">
      <alignment horizontal="right" vertical="center"/>
    </xf>
    <xf numFmtId="199" fontId="82" fillId="37" borderId="228" xfId="0" applyNumberFormat="1" applyFont="1" applyFill="1" applyBorder="1">
      <alignment vertical="center"/>
    </xf>
    <xf numFmtId="199" fontId="82" fillId="37" borderId="190" xfId="0" applyNumberFormat="1" applyFont="1" applyFill="1" applyBorder="1">
      <alignment vertical="center"/>
    </xf>
    <xf numFmtId="0" fontId="81" fillId="0" borderId="25" xfId="0" applyFont="1" applyBorder="1" applyAlignment="1">
      <alignment horizontal="right" vertical="center"/>
    </xf>
    <xf numFmtId="183" fontId="81" fillId="0" borderId="228" xfId="0" applyNumberFormat="1" applyFont="1" applyBorder="1">
      <alignment vertical="center"/>
    </xf>
    <xf numFmtId="183" fontId="81" fillId="0" borderId="190" xfId="0" applyNumberFormat="1" applyFont="1" applyBorder="1">
      <alignment vertical="center"/>
    </xf>
    <xf numFmtId="0" fontId="82" fillId="3" borderId="0" xfId="0" applyFont="1" applyFill="1">
      <alignment vertical="center"/>
    </xf>
    <xf numFmtId="0" fontId="86" fillId="38" borderId="25" xfId="0" applyFont="1" applyFill="1" applyBorder="1">
      <alignment vertical="center"/>
    </xf>
    <xf numFmtId="178" fontId="86" fillId="38" borderId="25" xfId="0" applyNumberFormat="1" applyFont="1" applyFill="1" applyBorder="1" applyAlignment="1">
      <alignment horizontal="right" vertical="center"/>
    </xf>
    <xf numFmtId="178" fontId="85" fillId="38" borderId="227" xfId="0" applyNumberFormat="1" applyFont="1" applyFill="1" applyBorder="1" applyAlignment="1">
      <alignment horizontal="center" vertical="center"/>
    </xf>
    <xf numFmtId="178" fontId="86" fillId="38" borderId="228" xfId="0" applyNumberFormat="1" applyFont="1" applyFill="1" applyBorder="1" applyAlignment="1">
      <alignment horizontal="center" vertical="center"/>
    </xf>
    <xf numFmtId="178" fontId="86" fillId="38" borderId="25" xfId="0" applyNumberFormat="1" applyFont="1" applyFill="1" applyBorder="1" applyAlignment="1">
      <alignment horizontal="center" vertical="center"/>
    </xf>
    <xf numFmtId="0" fontId="86" fillId="38" borderId="6" xfId="0" applyFont="1" applyFill="1" applyBorder="1">
      <alignment vertical="center"/>
    </xf>
    <xf numFmtId="178" fontId="86" fillId="38" borderId="6" xfId="0" applyNumberFormat="1" applyFont="1" applyFill="1" applyBorder="1" applyAlignment="1">
      <alignment horizontal="right" vertical="center"/>
    </xf>
    <xf numFmtId="178" fontId="85" fillId="38" borderId="234" xfId="0" applyNumberFormat="1" applyFont="1" applyFill="1" applyBorder="1" applyAlignment="1">
      <alignment horizontal="center" vertical="center"/>
    </xf>
    <xf numFmtId="178" fontId="86" fillId="38" borderId="235" xfId="0" applyNumberFormat="1" applyFont="1" applyFill="1" applyBorder="1" applyAlignment="1">
      <alignment horizontal="center" vertical="center"/>
    </xf>
    <xf numFmtId="178" fontId="86" fillId="38" borderId="6" xfId="0" applyNumberFormat="1" applyFont="1" applyFill="1" applyBorder="1" applyAlignment="1">
      <alignment horizontal="center" vertical="center"/>
    </xf>
    <xf numFmtId="0" fontId="86" fillId="0" borderId="0" xfId="0" applyFont="1">
      <alignment vertical="center"/>
    </xf>
    <xf numFmtId="178" fontId="86" fillId="0" borderId="0" xfId="0" applyNumberFormat="1" applyFont="1" applyAlignment="1">
      <alignment horizontal="right" vertical="center"/>
    </xf>
    <xf numFmtId="178" fontId="85" fillId="0" borderId="0" xfId="0" applyNumberFormat="1" applyFont="1" applyAlignment="1">
      <alignment horizontal="center" vertical="center"/>
    </xf>
    <xf numFmtId="178" fontId="86" fillId="0" borderId="0" xfId="0" applyNumberFormat="1" applyFont="1" applyAlignment="1">
      <alignment horizontal="center" vertical="center"/>
    </xf>
    <xf numFmtId="0" fontId="82" fillId="3" borderId="0" xfId="0" quotePrefix="1" applyFont="1" applyFill="1">
      <alignment vertical="center"/>
    </xf>
    <xf numFmtId="178" fontId="88" fillId="3" borderId="0" xfId="0" applyNumberFormat="1" applyFont="1" applyFill="1" applyAlignment="1">
      <alignment horizontal="right" vertical="center"/>
    </xf>
    <xf numFmtId="178" fontId="83" fillId="3" borderId="0" xfId="0" applyNumberFormat="1" applyFont="1" applyFill="1" applyAlignment="1">
      <alignment horizontal="center" vertical="center"/>
    </xf>
    <xf numFmtId="178" fontId="88" fillId="3" borderId="0" xfId="0" applyNumberFormat="1" applyFont="1" applyFill="1" applyAlignment="1">
      <alignment horizontal="center" vertical="center"/>
    </xf>
    <xf numFmtId="0" fontId="89" fillId="0" borderId="0" xfId="0" applyFont="1" applyAlignment="1">
      <alignment horizontal="justify" vertical="center"/>
    </xf>
    <xf numFmtId="0" fontId="56" fillId="0" borderId="0" xfId="0" applyFont="1" applyAlignment="1">
      <alignment horizontal="justify" vertical="center"/>
    </xf>
    <xf numFmtId="0" fontId="90" fillId="0" borderId="0" xfId="0" applyFont="1" applyAlignment="1">
      <alignment horizontal="right" vertical="top"/>
    </xf>
    <xf numFmtId="0" fontId="90" fillId="7" borderId="239" xfId="0" applyFont="1" applyFill="1" applyBorder="1">
      <alignment vertical="center"/>
    </xf>
    <xf numFmtId="0" fontId="90" fillId="7" borderId="240" xfId="0" applyFont="1" applyFill="1" applyBorder="1">
      <alignment vertical="center"/>
    </xf>
    <xf numFmtId="0" fontId="90" fillId="7" borderId="53" xfId="0" applyFont="1" applyFill="1" applyBorder="1">
      <alignment vertical="center"/>
    </xf>
    <xf numFmtId="0" fontId="90" fillId="7" borderId="241" xfId="0" applyFont="1" applyFill="1" applyBorder="1">
      <alignment vertical="center"/>
    </xf>
    <xf numFmtId="0" fontId="90" fillId="7" borderId="242" xfId="0" applyFont="1" applyFill="1" applyBorder="1">
      <alignment vertical="center"/>
    </xf>
    <xf numFmtId="0" fontId="90" fillId="7" borderId="243" xfId="0" applyFont="1" applyFill="1" applyBorder="1">
      <alignment vertical="center"/>
    </xf>
    <xf numFmtId="0" fontId="90" fillId="7" borderId="214" xfId="0" applyFont="1" applyFill="1" applyBorder="1">
      <alignment vertical="center"/>
    </xf>
    <xf numFmtId="0" fontId="90" fillId="7" borderId="244" xfId="0" applyFont="1" applyFill="1" applyBorder="1">
      <alignment vertical="center"/>
    </xf>
    <xf numFmtId="0" fontId="90" fillId="7" borderId="27" xfId="0" applyFont="1" applyFill="1" applyBorder="1" applyAlignment="1">
      <alignment horizontal="center" vertical="center"/>
    </xf>
    <xf numFmtId="0" fontId="90" fillId="7" borderId="32" xfId="0" applyFont="1" applyFill="1" applyBorder="1" applyAlignment="1">
      <alignment horizontal="center" vertical="center"/>
    </xf>
    <xf numFmtId="0" fontId="90" fillId="0" borderId="31" xfId="0" applyFont="1" applyBorder="1" applyAlignment="1">
      <alignment vertical="top"/>
    </xf>
    <xf numFmtId="0" fontId="90" fillId="0" borderId="27" xfId="0" applyFont="1" applyBorder="1" applyAlignment="1">
      <alignment vertical="top"/>
    </xf>
    <xf numFmtId="0" fontId="90" fillId="0" borderId="27" xfId="0" applyFont="1" applyBorder="1" applyAlignment="1">
      <alignment horizontal="right" vertical="top"/>
    </xf>
    <xf numFmtId="0" fontId="90" fillId="0" borderId="32" xfId="0" applyFont="1" applyBorder="1" applyAlignment="1">
      <alignment horizontal="right" vertical="top"/>
    </xf>
    <xf numFmtId="3" fontId="90" fillId="0" borderId="27" xfId="0" applyNumberFormat="1" applyFont="1" applyBorder="1" applyAlignment="1">
      <alignment horizontal="right" vertical="top"/>
    </xf>
    <xf numFmtId="3" fontId="90" fillId="0" borderId="32" xfId="0" applyNumberFormat="1" applyFont="1" applyBorder="1" applyAlignment="1">
      <alignment horizontal="right" vertical="top"/>
    </xf>
    <xf numFmtId="0" fontId="90" fillId="0" borderId="27" xfId="0" applyFont="1" applyBorder="1">
      <alignment vertical="center"/>
    </xf>
    <xf numFmtId="3" fontId="90" fillId="0" borderId="27" xfId="0" applyNumberFormat="1" applyFont="1" applyBorder="1" applyAlignment="1">
      <alignment horizontal="right"/>
    </xf>
    <xf numFmtId="0" fontId="90" fillId="0" borderId="27" xfId="0" applyFont="1" applyBorder="1" applyAlignment="1">
      <alignment horizontal="right"/>
    </xf>
    <xf numFmtId="0" fontId="90" fillId="0" borderId="32" xfId="0" applyFont="1" applyBorder="1" applyAlignment="1">
      <alignment horizontal="right"/>
    </xf>
    <xf numFmtId="3" fontId="90" fillId="0" borderId="32" xfId="0" applyNumberFormat="1" applyFont="1" applyBorder="1" applyAlignment="1">
      <alignment horizontal="right"/>
    </xf>
    <xf numFmtId="0" fontId="90" fillId="0" borderId="212" xfId="0" applyFont="1" applyBorder="1" applyAlignment="1">
      <alignment vertical="top"/>
    </xf>
    <xf numFmtId="0" fontId="90" fillId="0" borderId="33" xfId="0" applyFont="1" applyBorder="1" applyAlignment="1">
      <alignment vertical="top"/>
    </xf>
    <xf numFmtId="0" fontId="90" fillId="0" borderId="34" xfId="0" applyFont="1" applyBorder="1" applyAlignment="1">
      <alignment vertical="top"/>
    </xf>
    <xf numFmtId="0" fontId="90" fillId="0" borderId="34" xfId="0" applyFont="1" applyBorder="1" applyAlignment="1">
      <alignment horizontal="right" vertical="top"/>
    </xf>
    <xf numFmtId="0" fontId="90" fillId="0" borderId="35" xfId="0" applyFont="1" applyBorder="1" applyAlignment="1">
      <alignment horizontal="right" vertical="top"/>
    </xf>
    <xf numFmtId="0" fontId="90" fillId="0" borderId="214" xfId="0" applyFont="1" applyBorder="1" applyAlignment="1">
      <alignment vertical="top"/>
    </xf>
    <xf numFmtId="0" fontId="90" fillId="0" borderId="0" xfId="0" applyFont="1" applyAlignment="1">
      <alignment vertical="top"/>
    </xf>
    <xf numFmtId="0" fontId="90" fillId="0" borderId="215" xfId="0" applyFont="1" applyBorder="1" applyAlignment="1">
      <alignment vertical="top"/>
    </xf>
    <xf numFmtId="0" fontId="90" fillId="0" borderId="216" xfId="0" applyFont="1" applyBorder="1" applyAlignment="1">
      <alignment vertical="top"/>
    </xf>
    <xf numFmtId="3" fontId="90" fillId="0" borderId="34" xfId="0" applyNumberFormat="1" applyFont="1" applyBorder="1" applyAlignment="1">
      <alignment horizontal="right"/>
    </xf>
    <xf numFmtId="0" fontId="90" fillId="0" borderId="34" xfId="0" applyFont="1" applyBorder="1" applyAlignment="1">
      <alignment horizontal="right"/>
    </xf>
    <xf numFmtId="0" fontId="90" fillId="0" borderId="35" xfId="0" applyFont="1" applyBorder="1" applyAlignment="1">
      <alignment horizontal="right"/>
    </xf>
    <xf numFmtId="3" fontId="90" fillId="0" borderId="35" xfId="0" applyNumberFormat="1" applyFont="1" applyBorder="1" applyAlignment="1">
      <alignment horizontal="right"/>
    </xf>
    <xf numFmtId="3" fontId="90" fillId="0" borderId="34" xfId="0" applyNumberFormat="1" applyFont="1" applyBorder="1" applyAlignment="1">
      <alignment horizontal="right" vertical="top"/>
    </xf>
    <xf numFmtId="3" fontId="90" fillId="0" borderId="35" xfId="0" applyNumberFormat="1" applyFont="1" applyBorder="1" applyAlignment="1">
      <alignment horizontal="right" vertical="top"/>
    </xf>
    <xf numFmtId="0" fontId="90" fillId="0" borderId="213" xfId="0" applyFont="1" applyBorder="1" applyAlignment="1">
      <alignment vertical="top"/>
    </xf>
    <xf numFmtId="0" fontId="33" fillId="0" borderId="0" xfId="0" applyFont="1">
      <alignment vertical="center"/>
    </xf>
    <xf numFmtId="3" fontId="79" fillId="0" borderId="0" xfId="0" applyNumberFormat="1" applyFont="1">
      <alignment vertical="center"/>
    </xf>
    <xf numFmtId="3" fontId="78" fillId="0" borderId="0" xfId="0" applyNumberFormat="1" applyFont="1">
      <alignment vertical="center"/>
    </xf>
    <xf numFmtId="3" fontId="56" fillId="0" borderId="0" xfId="0" applyNumberFormat="1" applyFont="1">
      <alignment vertical="center"/>
    </xf>
    <xf numFmtId="0" fontId="91" fillId="3" borderId="0" xfId="0" applyFont="1" applyFill="1" applyAlignment="1">
      <alignment horizontal="justify" vertical="center"/>
    </xf>
    <xf numFmtId="0" fontId="63" fillId="3" borderId="0" xfId="0" applyFont="1" applyFill="1">
      <alignment vertical="center"/>
    </xf>
    <xf numFmtId="0" fontId="80" fillId="0" borderId="0" xfId="0" applyFont="1" applyAlignment="1">
      <alignment horizontal="left" vertical="center" wrapText="1"/>
    </xf>
    <xf numFmtId="0" fontId="90" fillId="7" borderId="28" xfId="0" applyFont="1" applyFill="1" applyBorder="1" applyAlignment="1">
      <alignment horizontal="center" vertical="center"/>
    </xf>
    <xf numFmtId="0" fontId="90" fillId="7" borderId="29" xfId="0" applyFont="1" applyFill="1" applyBorder="1" applyAlignment="1">
      <alignment horizontal="center" vertical="center"/>
    </xf>
    <xf numFmtId="0" fontId="90" fillId="7" borderId="30" xfId="0" applyFont="1" applyFill="1" applyBorder="1" applyAlignment="1">
      <alignment horizontal="center" vertical="center"/>
    </xf>
    <xf numFmtId="183" fontId="80" fillId="0" borderId="0" xfId="0" applyNumberFormat="1" applyFont="1" applyAlignment="1">
      <alignment horizontal="left" vertical="center"/>
    </xf>
    <xf numFmtId="0" fontId="90" fillId="0" borderId="27" xfId="0" applyFont="1" applyBorder="1" applyAlignment="1">
      <alignment horizontal="center" vertical="top"/>
    </xf>
    <xf numFmtId="0" fontId="80" fillId="0" borderId="0" xfId="0" applyFont="1" applyAlignment="1">
      <alignment horizontal="left" vertical="center"/>
    </xf>
    <xf numFmtId="41" fontId="81" fillId="0" borderId="0" xfId="0" applyNumberFormat="1" applyFont="1">
      <alignment vertical="center"/>
    </xf>
    <xf numFmtId="41" fontId="78" fillId="0" borderId="0" xfId="0" applyNumberFormat="1" applyFont="1" applyAlignment="1">
      <alignment horizontal="left" vertical="center"/>
    </xf>
    <xf numFmtId="0" fontId="78" fillId="0" borderId="0" xfId="0" applyFont="1" applyAlignment="1">
      <alignment horizontal="left" vertical="center"/>
    </xf>
    <xf numFmtId="183" fontId="78" fillId="0" borderId="0" xfId="0" applyNumberFormat="1" applyFont="1">
      <alignment vertical="center"/>
    </xf>
    <xf numFmtId="41" fontId="78" fillId="0" borderId="0" xfId="0" applyNumberFormat="1" applyFont="1">
      <alignment vertical="center"/>
    </xf>
    <xf numFmtId="199" fontId="78" fillId="0" borderId="0" xfId="0" applyNumberFormat="1" applyFont="1">
      <alignment vertical="center"/>
    </xf>
    <xf numFmtId="0" fontId="90" fillId="0" borderId="31" xfId="0" applyFont="1" applyBorder="1">
      <alignment vertical="center"/>
    </xf>
    <xf numFmtId="0" fontId="90" fillId="0" borderId="245" xfId="0" applyFont="1" applyBorder="1" applyAlignment="1">
      <alignment vertical="top"/>
    </xf>
    <xf numFmtId="0" fontId="90" fillId="0" borderId="246" xfId="0" applyFont="1" applyBorder="1" applyAlignment="1">
      <alignment vertical="top"/>
    </xf>
    <xf numFmtId="0" fontId="90" fillId="0" borderId="244" xfId="0" applyFont="1" applyBorder="1" applyAlignment="1">
      <alignment vertical="top"/>
    </xf>
    <xf numFmtId="0" fontId="90" fillId="0" borderId="247" xfId="0" applyFont="1" applyBorder="1" applyAlignment="1">
      <alignment vertical="top"/>
    </xf>
    <xf numFmtId="0" fontId="90" fillId="0" borderId="33" xfId="0" applyFont="1" applyBorder="1">
      <alignment vertical="center"/>
    </xf>
    <xf numFmtId="0" fontId="90" fillId="0" borderId="34" xfId="0" applyFont="1" applyBorder="1" applyAlignment="1">
      <alignment horizontal="center" vertical="top"/>
    </xf>
    <xf numFmtId="0" fontId="90" fillId="0" borderId="0" xfId="0" applyFont="1" applyAlignment="1">
      <alignment horizontal="center" vertical="top"/>
    </xf>
    <xf numFmtId="0" fontId="90" fillId="0" borderId="31" xfId="0" applyFont="1" applyBorder="1" applyAlignment="1"/>
    <xf numFmtId="0" fontId="90" fillId="0" borderId="33" xfId="0" applyFont="1" applyBorder="1" applyAlignment="1">
      <alignment horizontal="center"/>
    </xf>
    <xf numFmtId="0" fontId="91" fillId="0" borderId="0" xfId="0" applyFont="1" applyAlignment="1">
      <alignment horizontal="justify" vertical="center"/>
    </xf>
    <xf numFmtId="0" fontId="90" fillId="0" borderId="33" xfId="0" applyFont="1" applyBorder="1" applyAlignment="1"/>
    <xf numFmtId="3" fontId="90" fillId="0" borderId="0" xfId="0" applyNumberFormat="1" applyFont="1" applyAlignment="1">
      <alignment horizontal="right"/>
    </xf>
    <xf numFmtId="0" fontId="90" fillId="0" borderId="33" xfId="0" applyFont="1" applyBorder="1" applyAlignment="1">
      <alignment horizontal="center" vertical="center"/>
    </xf>
    <xf numFmtId="0" fontId="90" fillId="0" borderId="34" xfId="0" applyFont="1" applyBorder="1" applyAlignment="1">
      <alignment horizontal="right" vertical="center"/>
    </xf>
    <xf numFmtId="0" fontId="90" fillId="0" borderId="35" xfId="0" applyFont="1" applyBorder="1" applyAlignment="1">
      <alignment horizontal="right" vertical="center"/>
    </xf>
    <xf numFmtId="3" fontId="90" fillId="0" borderId="35" xfId="0" applyNumberFormat="1" applyFont="1" applyBorder="1" applyAlignment="1">
      <alignment horizontal="right" vertical="center"/>
    </xf>
    <xf numFmtId="0" fontId="74" fillId="7" borderId="239" xfId="0" applyFont="1" applyFill="1" applyBorder="1">
      <alignment vertical="center"/>
    </xf>
    <xf numFmtId="0" fontId="74" fillId="7" borderId="240" xfId="0" applyFont="1" applyFill="1" applyBorder="1">
      <alignment vertical="center"/>
    </xf>
    <xf numFmtId="0" fontId="74" fillId="7" borderId="53" xfId="0" applyFont="1" applyFill="1" applyBorder="1">
      <alignment vertical="center"/>
    </xf>
    <xf numFmtId="0" fontId="74" fillId="7" borderId="241" xfId="0" applyFont="1" applyFill="1" applyBorder="1">
      <alignment vertical="center"/>
    </xf>
    <xf numFmtId="0" fontId="74" fillId="7" borderId="243" xfId="0" applyFont="1" applyFill="1" applyBorder="1">
      <alignment vertical="center"/>
    </xf>
    <xf numFmtId="0" fontId="74" fillId="7" borderId="214" xfId="0" applyFont="1" applyFill="1" applyBorder="1">
      <alignment vertical="center"/>
    </xf>
    <xf numFmtId="0" fontId="74" fillId="7" borderId="244" xfId="0" applyFont="1" applyFill="1" applyBorder="1">
      <alignment vertical="center"/>
    </xf>
    <xf numFmtId="0" fontId="74" fillId="7" borderId="27" xfId="0" applyFont="1" applyFill="1" applyBorder="1" applyAlignment="1">
      <alignment horizontal="center" vertical="center"/>
    </xf>
    <xf numFmtId="0" fontId="74" fillId="7" borderId="32" xfId="0" applyFont="1" applyFill="1" applyBorder="1" applyAlignment="1">
      <alignment horizontal="center" vertical="center"/>
    </xf>
    <xf numFmtId="0" fontId="74" fillId="0" borderId="31" xfId="0" applyFont="1" applyBorder="1">
      <alignment vertical="center"/>
    </xf>
    <xf numFmtId="0" fontId="74" fillId="0" borderId="212" xfId="0" applyFont="1" applyBorder="1">
      <alignment vertical="center"/>
    </xf>
    <xf numFmtId="0" fontId="74" fillId="0" borderId="213" xfId="0" applyFont="1" applyBorder="1">
      <alignment vertical="center"/>
    </xf>
    <xf numFmtId="0" fontId="74" fillId="0" borderId="248" xfId="0" applyFont="1" applyBorder="1">
      <alignment vertical="center"/>
    </xf>
    <xf numFmtId="0" fontId="74" fillId="0" borderId="34" xfId="0" applyFont="1" applyBorder="1" applyAlignment="1">
      <alignment vertical="top"/>
    </xf>
    <xf numFmtId="0" fontId="74" fillId="0" borderId="34" xfId="0" applyFont="1" applyBorder="1" applyAlignment="1">
      <alignment horizontal="right" vertical="center"/>
    </xf>
    <xf numFmtId="0" fontId="74" fillId="0" borderId="35" xfId="0" applyFont="1" applyBorder="1" applyAlignment="1">
      <alignment horizontal="right" vertical="center"/>
    </xf>
    <xf numFmtId="0" fontId="74" fillId="0" borderId="27" xfId="0" applyFont="1" applyBorder="1">
      <alignment vertical="center"/>
    </xf>
    <xf numFmtId="3" fontId="74" fillId="0" borderId="27" xfId="0" applyNumberFormat="1" applyFont="1" applyBorder="1" applyAlignment="1">
      <alignment horizontal="right"/>
    </xf>
    <xf numFmtId="3" fontId="74" fillId="0" borderId="32" xfId="0" applyNumberFormat="1" applyFont="1" applyBorder="1" applyAlignment="1">
      <alignment horizontal="right"/>
    </xf>
    <xf numFmtId="3" fontId="74" fillId="0" borderId="35" xfId="0" applyNumberFormat="1" applyFont="1" applyBorder="1" applyAlignment="1">
      <alignment horizontal="right"/>
    </xf>
    <xf numFmtId="3" fontId="74" fillId="0" borderId="34" xfId="0" applyNumberFormat="1" applyFont="1" applyBorder="1" applyAlignment="1">
      <alignment horizontal="right"/>
    </xf>
    <xf numFmtId="0" fontId="92" fillId="0" borderId="0" xfId="0" applyFont="1">
      <alignment vertical="center"/>
    </xf>
    <xf numFmtId="0" fontId="90" fillId="7" borderId="27" xfId="0" applyFont="1" applyFill="1" applyBorder="1">
      <alignment vertical="center"/>
    </xf>
    <xf numFmtId="0" fontId="90" fillId="7" borderId="32" xfId="0" applyFont="1" applyFill="1" applyBorder="1">
      <alignment vertical="center"/>
    </xf>
    <xf numFmtId="0" fontId="27" fillId="0" borderId="0" xfId="0" applyFont="1">
      <alignment vertical="center"/>
    </xf>
    <xf numFmtId="0" fontId="15" fillId="0" borderId="249" xfId="0" applyFont="1" applyBorder="1">
      <alignment vertical="center"/>
    </xf>
    <xf numFmtId="0" fontId="4" fillId="0" borderId="251" xfId="0" applyFont="1" applyBorder="1">
      <alignment vertical="center"/>
    </xf>
    <xf numFmtId="0" fontId="11" fillId="0" borderId="251" xfId="0" applyFont="1" applyBorder="1">
      <alignment vertical="center"/>
    </xf>
    <xf numFmtId="0" fontId="4" fillId="0" borderId="250" xfId="0" applyFont="1" applyBorder="1">
      <alignment vertical="center"/>
    </xf>
    <xf numFmtId="0" fontId="64" fillId="0" borderId="0" xfId="0" applyFont="1">
      <alignment vertical="center"/>
    </xf>
    <xf numFmtId="3" fontId="64" fillId="0" borderId="0" xfId="0" applyNumberFormat="1" applyFont="1">
      <alignment vertical="center"/>
    </xf>
    <xf numFmtId="41" fontId="64" fillId="0" borderId="0" xfId="0" applyNumberFormat="1" applyFont="1">
      <alignment vertical="center"/>
    </xf>
    <xf numFmtId="0" fontId="59" fillId="0" borderId="0" xfId="0" applyFont="1">
      <alignment vertical="center"/>
    </xf>
    <xf numFmtId="3" fontId="59" fillId="0" borderId="0" xfId="0" applyNumberFormat="1" applyFont="1">
      <alignment vertical="center"/>
    </xf>
    <xf numFmtId="41" fontId="59" fillId="0" borderId="0" xfId="0" applyNumberFormat="1" applyFont="1">
      <alignment vertical="center"/>
    </xf>
    <xf numFmtId="0" fontId="94" fillId="39" borderId="36" xfId="0" applyFont="1" applyFill="1" applyBorder="1" applyAlignment="1">
      <alignment horizontal="center"/>
    </xf>
    <xf numFmtId="183" fontId="94" fillId="0" borderId="0" xfId="0" applyNumberFormat="1" applyFont="1" applyAlignment="1">
      <alignment horizontal="center" vertical="center" wrapText="1"/>
    </xf>
    <xf numFmtId="0" fontId="94" fillId="41" borderId="36" xfId="0" applyFont="1" applyFill="1" applyBorder="1" applyAlignment="1">
      <alignment horizontal="center" vertical="center"/>
    </xf>
    <xf numFmtId="183" fontId="94" fillId="0" borderId="0" xfId="0" applyNumberFormat="1" applyFont="1" applyAlignment="1">
      <alignment horizontal="center" vertical="center"/>
    </xf>
    <xf numFmtId="0" fontId="59" fillId="42" borderId="190" xfId="0" applyFont="1" applyFill="1" applyBorder="1" applyAlignment="1">
      <alignment horizontal="center" vertical="center"/>
    </xf>
    <xf numFmtId="0" fontId="59" fillId="42" borderId="190" xfId="0" applyFont="1" applyFill="1" applyBorder="1">
      <alignment vertical="center"/>
    </xf>
    <xf numFmtId="201" fontId="59" fillId="42" borderId="190" xfId="0" applyNumberFormat="1" applyFont="1" applyFill="1" applyBorder="1" applyAlignment="1">
      <alignment horizontal="right" vertical="center"/>
    </xf>
    <xf numFmtId="201" fontId="59" fillId="0" borderId="0" xfId="0" applyNumberFormat="1" applyFont="1" applyAlignment="1">
      <alignment horizontal="right" vertical="center"/>
    </xf>
    <xf numFmtId="201" fontId="96" fillId="0" borderId="36" xfId="0" applyNumberFormat="1" applyFont="1" applyBorder="1">
      <alignment vertical="center"/>
    </xf>
    <xf numFmtId="0" fontId="59" fillId="34" borderId="190" xfId="0" applyFont="1" applyFill="1" applyBorder="1" applyAlignment="1">
      <alignment horizontal="center" vertical="center"/>
    </xf>
    <xf numFmtId="0" fontId="59" fillId="34" borderId="190" xfId="0" applyFont="1" applyFill="1" applyBorder="1">
      <alignment vertical="center"/>
    </xf>
    <xf numFmtId="201" fontId="59" fillId="34" borderId="190" xfId="0" applyNumberFormat="1" applyFont="1" applyFill="1" applyBorder="1" applyAlignment="1">
      <alignment horizontal="right" vertical="center"/>
    </xf>
    <xf numFmtId="0" fontId="59" fillId="0" borderId="190" xfId="0" applyFont="1" applyBorder="1" applyAlignment="1">
      <alignment horizontal="center" vertical="center"/>
    </xf>
    <xf numFmtId="0" fontId="59" fillId="0" borderId="190" xfId="0" applyFont="1" applyBorder="1">
      <alignment vertical="center"/>
    </xf>
    <xf numFmtId="201" fontId="59" fillId="0" borderId="190" xfId="0" applyNumberFormat="1" applyFont="1" applyBorder="1" applyAlignment="1">
      <alignment horizontal="right" vertical="center"/>
    </xf>
    <xf numFmtId="0" fontId="59" fillId="43" borderId="190" xfId="0" applyFont="1" applyFill="1" applyBorder="1" applyAlignment="1">
      <alignment horizontal="center" vertical="center"/>
    </xf>
    <xf numFmtId="0" fontId="59" fillId="43" borderId="190" xfId="0" applyFont="1" applyFill="1" applyBorder="1">
      <alignment vertical="center"/>
    </xf>
    <xf numFmtId="201" fontId="59" fillId="43" borderId="190" xfId="0" applyNumberFormat="1" applyFont="1" applyFill="1" applyBorder="1" applyAlignment="1">
      <alignment horizontal="right" vertical="center"/>
    </xf>
    <xf numFmtId="0" fontId="59" fillId="0" borderId="190" xfId="0" applyFont="1" applyBorder="1" applyAlignment="1"/>
    <xf numFmtId="201" fontId="96" fillId="0" borderId="41" xfId="0" applyNumberFormat="1" applyFont="1" applyBorder="1">
      <alignment vertical="center"/>
    </xf>
    <xf numFmtId="0" fontId="59" fillId="4" borderId="190" xfId="0" applyFont="1" applyFill="1" applyBorder="1" applyAlignment="1">
      <alignment horizontal="center" vertical="center"/>
    </xf>
    <xf numFmtId="0" fontId="59" fillId="4" borderId="190" xfId="0" applyFont="1" applyFill="1" applyBorder="1">
      <alignment vertical="center"/>
    </xf>
    <xf numFmtId="201" fontId="59" fillId="4" borderId="190" xfId="0" applyNumberFormat="1" applyFont="1" applyFill="1" applyBorder="1" applyAlignment="1">
      <alignment horizontal="right" vertical="center"/>
    </xf>
    <xf numFmtId="178" fontId="59" fillId="0" borderId="0" xfId="0" applyNumberFormat="1" applyFont="1">
      <alignment vertical="center"/>
    </xf>
    <xf numFmtId="201" fontId="59" fillId="0" borderId="0" xfId="0" applyNumberFormat="1" applyFont="1">
      <alignment vertical="center"/>
    </xf>
    <xf numFmtId="10" fontId="59" fillId="0" borderId="0" xfId="0" applyNumberFormat="1" applyFont="1">
      <alignment vertical="center"/>
    </xf>
    <xf numFmtId="200" fontId="59" fillId="0" borderId="0" xfId="0" applyNumberFormat="1" applyFont="1">
      <alignment vertical="center"/>
    </xf>
    <xf numFmtId="3" fontId="59" fillId="33" borderId="43" xfId="0" applyNumberFormat="1" applyFont="1" applyFill="1" applyBorder="1">
      <alignment vertical="center"/>
    </xf>
    <xf numFmtId="0" fontId="64" fillId="44" borderId="252" xfId="0" applyFont="1" applyFill="1" applyBorder="1" applyAlignment="1">
      <alignment horizontal="center" vertical="center"/>
    </xf>
    <xf numFmtId="201" fontId="64" fillId="44" borderId="211" xfId="0" applyNumberFormat="1" applyFont="1" applyFill="1" applyBorder="1">
      <alignment vertical="center"/>
    </xf>
    <xf numFmtId="201" fontId="64" fillId="44" borderId="253" xfId="0" applyNumberFormat="1" applyFont="1" applyFill="1" applyBorder="1">
      <alignment vertical="center"/>
    </xf>
    <xf numFmtId="0" fontId="64" fillId="44" borderId="254" xfId="0" applyFont="1" applyFill="1" applyBorder="1" applyAlignment="1">
      <alignment horizontal="center" vertical="center"/>
    </xf>
    <xf numFmtId="201" fontId="64" fillId="44" borderId="255" xfId="0" applyNumberFormat="1" applyFont="1" applyFill="1" applyBorder="1">
      <alignment vertical="center"/>
    </xf>
    <xf numFmtId="201" fontId="64" fillId="44" borderId="256" xfId="0" applyNumberFormat="1" applyFont="1" applyFill="1" applyBorder="1">
      <alignment vertical="center"/>
    </xf>
    <xf numFmtId="3" fontId="59" fillId="0" borderId="43" xfId="0" applyNumberFormat="1" applyFont="1" applyBorder="1">
      <alignment vertical="center"/>
    </xf>
    <xf numFmtId="4" fontId="59" fillId="0" borderId="0" xfId="0" applyNumberFormat="1" applyFont="1">
      <alignment vertical="center"/>
    </xf>
    <xf numFmtId="0" fontId="64" fillId="0" borderId="0" xfId="0" applyFont="1" applyAlignment="1">
      <alignment horizontal="center" vertical="center"/>
    </xf>
    <xf numFmtId="41" fontId="64" fillId="0" borderId="0" xfId="0" applyNumberFormat="1" applyFont="1" applyAlignment="1">
      <alignment horizontal="center" vertical="center"/>
    </xf>
    <xf numFmtId="10" fontId="64" fillId="0" borderId="0" xfId="0" applyNumberFormat="1" applyFont="1" applyAlignment="1">
      <alignment horizontal="center" vertical="center"/>
    </xf>
    <xf numFmtId="3" fontId="64" fillId="0" borderId="0" xfId="0" applyNumberFormat="1" applyFont="1" applyAlignment="1">
      <alignment horizontal="center" vertical="center"/>
    </xf>
    <xf numFmtId="0" fontId="59" fillId="0" borderId="0" xfId="0" applyFont="1" applyAlignment="1">
      <alignment horizontal="center" vertical="center"/>
    </xf>
    <xf numFmtId="3" fontId="97" fillId="0" borderId="0" xfId="0" applyNumberFormat="1" applyFont="1" applyAlignment="1">
      <alignment horizontal="right" vertical="center" wrapText="1" readingOrder="1"/>
    </xf>
    <xf numFmtId="201" fontId="97" fillId="0" borderId="0" xfId="0" applyNumberFormat="1" applyFont="1" applyAlignment="1">
      <alignment horizontal="right" vertical="center" wrapText="1" readingOrder="1"/>
    </xf>
    <xf numFmtId="201" fontId="98" fillId="0" borderId="0" xfId="0" applyNumberFormat="1" applyFont="1" applyAlignment="1">
      <alignment horizontal="right" vertical="center" wrapText="1" readingOrder="1"/>
    </xf>
    <xf numFmtId="0" fontId="97" fillId="0" borderId="0" xfId="0" applyFont="1" applyAlignment="1">
      <alignment horizontal="right" vertical="center" wrapText="1" readingOrder="1"/>
    </xf>
    <xf numFmtId="3" fontId="98" fillId="0" borderId="0" xfId="0" applyNumberFormat="1" applyFont="1" applyAlignment="1">
      <alignment horizontal="right" vertical="center" wrapText="1" readingOrder="1"/>
    </xf>
    <xf numFmtId="0" fontId="74" fillId="0" borderId="31" xfId="0" applyFont="1" applyBorder="1" applyAlignment="1"/>
    <xf numFmtId="0" fontId="74" fillId="0" borderId="27" xfId="0" applyFont="1" applyBorder="1" applyAlignment="1">
      <alignment horizontal="right"/>
    </xf>
    <xf numFmtId="0" fontId="74" fillId="0" borderId="33" xfId="0" applyFont="1" applyBorder="1" applyAlignment="1">
      <alignment horizontal="center"/>
    </xf>
    <xf numFmtId="0" fontId="74" fillId="0" borderId="34" xfId="0" applyFont="1" applyBorder="1" applyAlignment="1">
      <alignment horizontal="right"/>
    </xf>
    <xf numFmtId="0" fontId="100" fillId="0" borderId="0" xfId="0" applyFont="1" applyAlignment="1"/>
    <xf numFmtId="194" fontId="24" fillId="0" borderId="16" xfId="0" applyNumberFormat="1" applyFont="1" applyBorder="1">
      <alignment vertical="center"/>
    </xf>
    <xf numFmtId="194" fontId="24" fillId="0" borderId="0" xfId="0" applyNumberFormat="1" applyFont="1">
      <alignment vertical="center"/>
    </xf>
    <xf numFmtId="194" fontId="13" fillId="0" borderId="0" xfId="0" applyNumberFormat="1" applyFont="1">
      <alignment vertical="center"/>
    </xf>
    <xf numFmtId="194" fontId="13" fillId="0" borderId="2" xfId="0" applyNumberFormat="1" applyFont="1" applyBorder="1">
      <alignment vertical="center"/>
    </xf>
    <xf numFmtId="3" fontId="99" fillId="0" borderId="0" xfId="0" applyNumberFormat="1" applyFont="1">
      <alignment vertical="center"/>
    </xf>
    <xf numFmtId="194" fontId="16" fillId="0" borderId="0" xfId="0" applyNumberFormat="1" applyFont="1">
      <alignment vertical="center"/>
    </xf>
    <xf numFmtId="0" fontId="101" fillId="0" borderId="0" xfId="0" applyFont="1" applyAlignment="1">
      <alignment horizontal="center" vertical="center"/>
    </xf>
    <xf numFmtId="0" fontId="101" fillId="0" borderId="0" xfId="0" applyFont="1">
      <alignment vertical="center"/>
    </xf>
    <xf numFmtId="183" fontId="0" fillId="0" borderId="0" xfId="0" applyNumberFormat="1">
      <alignment vertical="center"/>
    </xf>
    <xf numFmtId="183" fontId="102" fillId="0" borderId="0" xfId="0" applyNumberFormat="1" applyFont="1">
      <alignment vertical="center"/>
    </xf>
    <xf numFmtId="183" fontId="103" fillId="0" borderId="0" xfId="0" applyNumberFormat="1" applyFont="1">
      <alignment vertical="center"/>
    </xf>
    <xf numFmtId="178" fontId="102" fillId="0" borderId="0" xfId="0" applyNumberFormat="1" applyFont="1" applyAlignment="1">
      <alignment horizontal="right" vertical="center"/>
    </xf>
    <xf numFmtId="0" fontId="102" fillId="31" borderId="0" xfId="0" applyFont="1" applyFill="1">
      <alignment vertical="center"/>
    </xf>
    <xf numFmtId="0" fontId="104" fillId="31" borderId="0" xfId="0" applyFont="1" applyFill="1">
      <alignment vertical="center"/>
    </xf>
    <xf numFmtId="0" fontId="93" fillId="0" borderId="0" xfId="0" applyFont="1">
      <alignment vertical="center"/>
    </xf>
    <xf numFmtId="0" fontId="93" fillId="0" borderId="0" xfId="0" applyFont="1" applyAlignment="1">
      <alignment horizontal="right" vertical="center"/>
    </xf>
    <xf numFmtId="0" fontId="62" fillId="31" borderId="0" xfId="0" applyFont="1" applyFill="1" applyAlignment="1">
      <alignment horizontal="right" vertical="center"/>
    </xf>
    <xf numFmtId="0" fontId="105" fillId="0" borderId="0" xfId="0" applyFont="1">
      <alignment vertical="center"/>
    </xf>
    <xf numFmtId="0" fontId="101" fillId="0" borderId="0" xfId="0" quotePrefix="1" applyFont="1">
      <alignment vertical="center"/>
    </xf>
    <xf numFmtId="0" fontId="106" fillId="45" borderId="257" xfId="0" applyFont="1" applyFill="1" applyBorder="1" applyAlignment="1">
      <alignment horizontal="center" vertical="center"/>
    </xf>
    <xf numFmtId="0" fontId="107" fillId="45" borderId="258" xfId="0" applyFont="1" applyFill="1" applyBorder="1" applyAlignment="1">
      <alignment horizontal="center" vertical="center"/>
    </xf>
    <xf numFmtId="0" fontId="106" fillId="45" borderId="259" xfId="0" applyFont="1" applyFill="1" applyBorder="1" applyAlignment="1">
      <alignment horizontal="center" vertical="center"/>
    </xf>
    <xf numFmtId="0" fontId="106" fillId="45" borderId="260" xfId="0" applyFont="1" applyFill="1" applyBorder="1" applyAlignment="1">
      <alignment horizontal="center" vertical="center"/>
    </xf>
    <xf numFmtId="0" fontId="108" fillId="46" borderId="257" xfId="0" applyFont="1" applyFill="1" applyBorder="1" applyAlignment="1">
      <alignment horizontal="center" vertical="center"/>
    </xf>
    <xf numFmtId="0" fontId="109" fillId="46" borderId="260" xfId="0" applyFont="1" applyFill="1" applyBorder="1" applyAlignment="1">
      <alignment horizontal="center" vertical="center"/>
    </xf>
    <xf numFmtId="0" fontId="109" fillId="46" borderId="257" xfId="0" applyFont="1" applyFill="1" applyBorder="1" applyAlignment="1">
      <alignment horizontal="center" vertical="center"/>
    </xf>
    <xf numFmtId="0" fontId="109" fillId="46" borderId="259" xfId="0" applyFont="1" applyFill="1" applyBorder="1" applyAlignment="1">
      <alignment horizontal="center" vertical="center"/>
    </xf>
    <xf numFmtId="0" fontId="105" fillId="34" borderId="25" xfId="0" applyFont="1" applyFill="1" applyBorder="1">
      <alignment vertical="center"/>
    </xf>
    <xf numFmtId="199" fontId="111" fillId="34" borderId="190" xfId="0" applyNumberFormat="1" applyFont="1" applyFill="1" applyBorder="1">
      <alignment vertical="center"/>
    </xf>
    <xf numFmtId="0" fontId="62" fillId="31" borderId="25" xfId="0" applyFont="1" applyFill="1" applyBorder="1" applyAlignment="1">
      <alignment horizontal="center" vertical="center"/>
    </xf>
    <xf numFmtId="41" fontId="60" fillId="31" borderId="190" xfId="0" applyNumberFormat="1" applyFont="1" applyFill="1" applyBorder="1">
      <alignment vertical="center"/>
    </xf>
    <xf numFmtId="0" fontId="110" fillId="45" borderId="258" xfId="0" applyFont="1" applyFill="1" applyBorder="1" applyAlignment="1">
      <alignment horizontal="center" vertical="center"/>
    </xf>
    <xf numFmtId="0" fontId="107" fillId="45" borderId="264" xfId="0" applyFont="1" applyFill="1" applyBorder="1" applyAlignment="1">
      <alignment horizontal="center" vertical="center"/>
    </xf>
    <xf numFmtId="0" fontId="107" fillId="45" borderId="265" xfId="0" applyFont="1" applyFill="1" applyBorder="1" applyAlignment="1">
      <alignment horizontal="center" vertical="center"/>
    </xf>
    <xf numFmtId="0" fontId="107" fillId="45" borderId="266" xfId="0" applyFont="1" applyFill="1" applyBorder="1" applyAlignment="1">
      <alignment horizontal="center" vertical="center"/>
    </xf>
    <xf numFmtId="0" fontId="107" fillId="45" borderId="267" xfId="0" applyFont="1" applyFill="1" applyBorder="1" applyAlignment="1">
      <alignment horizontal="center" vertical="center"/>
    </xf>
    <xf numFmtId="0" fontId="107" fillId="45" borderId="268" xfId="0" applyFont="1" applyFill="1" applyBorder="1" applyAlignment="1">
      <alignment horizontal="center" vertical="center"/>
    </xf>
    <xf numFmtId="0" fontId="107" fillId="45" borderId="269" xfId="0" applyFont="1" applyFill="1" applyBorder="1" applyAlignment="1">
      <alignment horizontal="center" vertical="center"/>
    </xf>
    <xf numFmtId="0" fontId="93" fillId="0" borderId="25" xfId="0" applyFont="1" applyBorder="1">
      <alignment vertical="center"/>
    </xf>
    <xf numFmtId="199" fontId="113" fillId="0" borderId="190" xfId="0" applyNumberFormat="1" applyFont="1" applyBorder="1">
      <alignment vertical="center"/>
    </xf>
    <xf numFmtId="199" fontId="113" fillId="0" borderId="232" xfId="0" applyNumberFormat="1" applyFont="1" applyBorder="1">
      <alignment vertical="center"/>
    </xf>
    <xf numFmtId="0" fontId="114" fillId="38" borderId="209" xfId="0" applyFont="1" applyFill="1" applyBorder="1" applyAlignment="1">
      <alignment horizontal="center" vertical="center"/>
    </xf>
    <xf numFmtId="0" fontId="114" fillId="0" borderId="209" xfId="0" applyFont="1" applyBorder="1" applyAlignment="1">
      <alignment horizontal="center" vertical="center"/>
    </xf>
    <xf numFmtId="187" fontId="111" fillId="0" borderId="271" xfId="0" applyNumberFormat="1" applyFont="1" applyBorder="1">
      <alignment vertical="center"/>
    </xf>
    <xf numFmtId="187" fontId="111" fillId="0" borderId="272" xfId="0" applyNumberFormat="1" applyFont="1" applyBorder="1">
      <alignment vertical="center"/>
    </xf>
    <xf numFmtId="0" fontId="115" fillId="0" borderId="209" xfId="0" applyFont="1" applyBorder="1" applyAlignment="1">
      <alignment horizontal="center" vertical="center"/>
    </xf>
    <xf numFmtId="41" fontId="116" fillId="0" borderId="271" xfId="0" applyNumberFormat="1" applyFont="1" applyBorder="1">
      <alignment vertical="center"/>
    </xf>
    <xf numFmtId="41" fontId="116" fillId="0" borderId="273" xfId="0" applyNumberFormat="1" applyFont="1" applyBorder="1">
      <alignment vertical="center"/>
    </xf>
    <xf numFmtId="41" fontId="116" fillId="0" borderId="274" xfId="0" applyNumberFormat="1" applyFont="1" applyBorder="1" applyAlignment="1">
      <alignment horizontal="center" vertical="center"/>
    </xf>
    <xf numFmtId="185" fontId="59" fillId="0" borderId="0" xfId="0" applyNumberFormat="1" applyFont="1">
      <alignment vertical="center"/>
    </xf>
    <xf numFmtId="0" fontId="114" fillId="38" borderId="190" xfId="0" applyFont="1" applyFill="1" applyBorder="1" applyAlignment="1">
      <alignment horizontal="center" vertical="center"/>
    </xf>
    <xf numFmtId="0" fontId="114" fillId="0" borderId="190" xfId="0" applyFont="1" applyBorder="1" applyAlignment="1">
      <alignment horizontal="center" vertical="center"/>
    </xf>
    <xf numFmtId="187" fontId="111" fillId="0" borderId="276" xfId="0" applyNumberFormat="1" applyFont="1" applyBorder="1">
      <alignment vertical="center"/>
    </xf>
    <xf numFmtId="187" fontId="111" fillId="0" borderId="16" xfId="0" applyNumberFormat="1" applyFont="1" applyBorder="1">
      <alignment vertical="center"/>
    </xf>
    <xf numFmtId="0" fontId="115" fillId="0" borderId="190" xfId="0" applyFont="1" applyBorder="1" applyAlignment="1">
      <alignment horizontal="center" vertical="center"/>
    </xf>
    <xf numFmtId="41" fontId="116" fillId="0" borderId="276" xfId="0" applyNumberFormat="1" applyFont="1" applyBorder="1">
      <alignment vertical="center"/>
    </xf>
    <xf numFmtId="41" fontId="116" fillId="0" borderId="277" xfId="0" applyNumberFormat="1" applyFont="1" applyBorder="1">
      <alignment vertical="center"/>
    </xf>
    <xf numFmtId="41" fontId="116" fillId="0" borderId="278" xfId="0" applyNumberFormat="1" applyFont="1" applyBorder="1" applyAlignment="1">
      <alignment horizontal="center" vertical="center"/>
    </xf>
    <xf numFmtId="0" fontId="62" fillId="47" borderId="4" xfId="0" applyFont="1" applyFill="1" applyBorder="1" applyAlignment="1">
      <alignment horizontal="center" vertical="center"/>
    </xf>
    <xf numFmtId="41" fontId="60" fillId="47" borderId="36" xfId="0" applyNumberFormat="1" applyFont="1" applyFill="1" applyBorder="1">
      <alignment vertical="center"/>
    </xf>
    <xf numFmtId="0" fontId="62" fillId="0" borderId="23" xfId="0" applyFont="1" applyBorder="1" applyAlignment="1">
      <alignment horizontal="center" vertical="center"/>
    </xf>
    <xf numFmtId="41" fontId="60" fillId="31" borderId="41" xfId="0" applyNumberFormat="1" applyFont="1" applyFill="1" applyBorder="1">
      <alignment vertical="center"/>
    </xf>
    <xf numFmtId="0" fontId="62" fillId="0" borderId="25" xfId="0" applyFont="1" applyBorder="1" applyAlignment="1">
      <alignment horizontal="center" vertical="center"/>
    </xf>
    <xf numFmtId="0" fontId="117" fillId="34" borderId="25" xfId="0" applyFont="1" applyFill="1" applyBorder="1">
      <alignment vertical="center"/>
    </xf>
    <xf numFmtId="199" fontId="118" fillId="34" borderId="190" xfId="0" applyNumberFormat="1" applyFont="1" applyFill="1" applyBorder="1">
      <alignment vertical="center"/>
    </xf>
    <xf numFmtId="199" fontId="118" fillId="34" borderId="232" xfId="0" applyNumberFormat="1" applyFont="1" applyFill="1" applyBorder="1">
      <alignment vertical="center"/>
    </xf>
    <xf numFmtId="41" fontId="60" fillId="0" borderId="190" xfId="0" applyNumberFormat="1" applyFont="1" applyBorder="1">
      <alignment vertical="center"/>
    </xf>
    <xf numFmtId="0" fontId="114" fillId="38" borderId="42" xfId="0" applyFont="1" applyFill="1" applyBorder="1" applyAlignment="1">
      <alignment horizontal="center" vertical="center"/>
    </xf>
    <xf numFmtId="0" fontId="114" fillId="0" borderId="42" xfId="0" applyFont="1" applyBorder="1" applyAlignment="1">
      <alignment horizontal="center" vertical="center"/>
    </xf>
    <xf numFmtId="187" fontId="111" fillId="0" borderId="280" xfId="0" applyNumberFormat="1" applyFont="1" applyBorder="1">
      <alignment vertical="center"/>
    </xf>
    <xf numFmtId="187" fontId="111" fillId="0" borderId="21" xfId="0" applyNumberFormat="1" applyFont="1" applyBorder="1">
      <alignment vertical="center"/>
    </xf>
    <xf numFmtId="0" fontId="115" fillId="0" borderId="42" xfId="0" applyFont="1" applyBorder="1" applyAlignment="1">
      <alignment horizontal="center" vertical="center"/>
    </xf>
    <xf numFmtId="41" fontId="116" fillId="0" borderId="280" xfId="0" applyNumberFormat="1" applyFont="1" applyBorder="1">
      <alignment vertical="center"/>
    </xf>
    <xf numFmtId="41" fontId="116" fillId="0" borderId="281" xfId="0" applyNumberFormat="1" applyFont="1" applyBorder="1">
      <alignment vertical="center"/>
    </xf>
    <xf numFmtId="41" fontId="116" fillId="0" borderId="282" xfId="0" applyNumberFormat="1" applyFont="1" applyBorder="1" applyAlignment="1">
      <alignment horizontal="center" vertical="center"/>
    </xf>
    <xf numFmtId="0" fontId="114" fillId="0" borderId="36" xfId="0" applyFont="1" applyBorder="1" applyAlignment="1">
      <alignment horizontal="center" vertical="center"/>
    </xf>
    <xf numFmtId="187" fontId="111" fillId="0" borderId="284" xfId="0" applyNumberFormat="1" applyFont="1" applyBorder="1">
      <alignment vertical="center"/>
    </xf>
    <xf numFmtId="187" fontId="111" fillId="0" borderId="45" xfId="0" applyNumberFormat="1" applyFont="1" applyBorder="1">
      <alignment vertical="center"/>
    </xf>
    <xf numFmtId="0" fontId="115" fillId="0" borderId="36" xfId="0" applyFont="1" applyBorder="1" applyAlignment="1">
      <alignment horizontal="center" vertical="center"/>
    </xf>
    <xf numFmtId="0" fontId="115" fillId="0" borderId="285" xfId="0" applyFont="1" applyBorder="1" applyAlignment="1">
      <alignment horizontal="center" vertical="center"/>
    </xf>
    <xf numFmtId="41" fontId="116" fillId="0" borderId="284" xfId="0" applyNumberFormat="1" applyFont="1" applyBorder="1">
      <alignment vertical="center"/>
    </xf>
    <xf numFmtId="41" fontId="116" fillId="0" borderId="286" xfId="0" applyNumberFormat="1" applyFont="1" applyBorder="1">
      <alignment vertical="center"/>
    </xf>
    <xf numFmtId="41" fontId="116" fillId="0" borderId="287" xfId="0" applyNumberFormat="1" applyFont="1" applyBorder="1" applyAlignment="1">
      <alignment horizontal="center" vertical="center"/>
    </xf>
    <xf numFmtId="0" fontId="114" fillId="0" borderId="290" xfId="0" applyFont="1" applyBorder="1" applyAlignment="1">
      <alignment horizontal="center" vertical="center"/>
    </xf>
    <xf numFmtId="10" fontId="111" fillId="0" borderId="291" xfId="0" applyNumberFormat="1" applyFont="1" applyBorder="1">
      <alignment vertical="center"/>
    </xf>
    <xf numFmtId="10" fontId="111" fillId="0" borderId="292" xfId="0" applyNumberFormat="1" applyFont="1" applyBorder="1">
      <alignment vertical="center"/>
    </xf>
    <xf numFmtId="0" fontId="115" fillId="0" borderId="290" xfId="0" applyFont="1" applyBorder="1" applyAlignment="1">
      <alignment horizontal="center" vertical="center"/>
    </xf>
    <xf numFmtId="0" fontId="115" fillId="0" borderId="293" xfId="0" applyFont="1" applyBorder="1" applyAlignment="1">
      <alignment horizontal="center" vertical="center"/>
    </xf>
    <xf numFmtId="10" fontId="116" fillId="0" borderId="291" xfId="0" applyNumberFormat="1" applyFont="1" applyBorder="1">
      <alignment vertical="center"/>
    </xf>
    <xf numFmtId="10" fontId="116" fillId="0" borderId="294" xfId="0" applyNumberFormat="1" applyFont="1" applyBorder="1">
      <alignment vertical="center"/>
    </xf>
    <xf numFmtId="10" fontId="116" fillId="0" borderId="295" xfId="0" applyNumberFormat="1" applyFont="1" applyBorder="1" applyAlignment="1">
      <alignment horizontal="center" vertical="center"/>
    </xf>
    <xf numFmtId="0" fontId="93" fillId="38" borderId="25" xfId="0" applyFont="1" applyFill="1" applyBorder="1">
      <alignment vertical="center"/>
    </xf>
    <xf numFmtId="199" fontId="113" fillId="38" borderId="190" xfId="0" applyNumberFormat="1" applyFont="1" applyFill="1" applyBorder="1">
      <alignment vertical="center"/>
    </xf>
    <xf numFmtId="199" fontId="113" fillId="38" borderId="232" xfId="0" applyNumberFormat="1" applyFont="1" applyFill="1" applyBorder="1">
      <alignment vertical="center"/>
    </xf>
    <xf numFmtId="0" fontId="59" fillId="0" borderId="0" xfId="0" applyFont="1" applyAlignment="1">
      <alignment horizontal="right" vertical="center"/>
    </xf>
    <xf numFmtId="0" fontId="119" fillId="46" borderId="46" xfId="0" applyFont="1" applyFill="1" applyBorder="1" applyAlignment="1">
      <alignment horizontal="center" vertical="center"/>
    </xf>
    <xf numFmtId="0" fontId="119" fillId="46" borderId="284" xfId="0" applyFont="1" applyFill="1" applyBorder="1" applyAlignment="1">
      <alignment horizontal="center" vertical="center"/>
    </xf>
    <xf numFmtId="0" fontId="119" fillId="46" borderId="45" xfId="0" applyFont="1" applyFill="1" applyBorder="1" applyAlignment="1">
      <alignment horizontal="center" vertical="center"/>
    </xf>
    <xf numFmtId="0" fontId="119" fillId="46" borderId="297" xfId="0" applyFont="1" applyFill="1" applyBorder="1" applyAlignment="1">
      <alignment horizontal="center" vertical="center"/>
    </xf>
    <xf numFmtId="0" fontId="64" fillId="0" borderId="190" xfId="0" applyFont="1" applyBorder="1">
      <alignment vertical="center"/>
    </xf>
    <xf numFmtId="41" fontId="66" fillId="0" borderId="298" xfId="0" applyNumberFormat="1" applyFont="1" applyBorder="1">
      <alignment vertical="center"/>
    </xf>
    <xf numFmtId="41" fontId="66" fillId="0" borderId="276" xfId="0" applyNumberFormat="1" applyFont="1" applyBorder="1">
      <alignment vertical="center"/>
    </xf>
    <xf numFmtId="41" fontId="66" fillId="0" borderId="16" xfId="0" applyNumberFormat="1" applyFont="1" applyBorder="1">
      <alignment vertical="center"/>
    </xf>
    <xf numFmtId="41" fontId="66" fillId="0" borderId="299" xfId="0" applyNumberFormat="1" applyFont="1" applyBorder="1">
      <alignment vertical="center"/>
    </xf>
    <xf numFmtId="0" fontId="64" fillId="48" borderId="190" xfId="0" applyFont="1" applyFill="1" applyBorder="1">
      <alignment vertical="center"/>
    </xf>
    <xf numFmtId="41" fontId="66" fillId="48" borderId="298" xfId="0" applyNumberFormat="1" applyFont="1" applyFill="1" applyBorder="1">
      <alignment vertical="center"/>
    </xf>
    <xf numFmtId="41" fontId="66" fillId="48" borderId="276" xfId="0" applyNumberFormat="1" applyFont="1" applyFill="1" applyBorder="1">
      <alignment vertical="center"/>
    </xf>
    <xf numFmtId="41" fontId="66" fillId="48" borderId="16" xfId="0" applyNumberFormat="1" applyFont="1" applyFill="1" applyBorder="1">
      <alignment vertical="center"/>
    </xf>
    <xf numFmtId="41" fontId="66" fillId="48" borderId="299" xfId="0" applyNumberFormat="1" applyFont="1" applyFill="1" applyBorder="1">
      <alignment vertical="center"/>
    </xf>
    <xf numFmtId="0" fontId="59" fillId="0" borderId="190" xfId="0" quotePrefix="1" applyFont="1" applyBorder="1">
      <alignment vertical="center"/>
    </xf>
    <xf numFmtId="41" fontId="33" fillId="0" borderId="298" xfId="0" applyNumberFormat="1" applyFont="1" applyBorder="1">
      <alignment vertical="center"/>
    </xf>
    <xf numFmtId="41" fontId="33" fillId="0" borderId="276" xfId="0" applyNumberFormat="1" applyFont="1" applyBorder="1">
      <alignment vertical="center"/>
    </xf>
    <xf numFmtId="41" fontId="33" fillId="0" borderId="16" xfId="0" applyNumberFormat="1" applyFont="1" applyBorder="1">
      <alignment vertical="center"/>
    </xf>
    <xf numFmtId="0" fontId="59" fillId="0" borderId="190" xfId="0" quotePrefix="1" applyFont="1" applyBorder="1" applyAlignment="1">
      <alignment vertical="center" shrinkToFit="1"/>
    </xf>
    <xf numFmtId="0" fontId="120" fillId="0" borderId="5" xfId="0" applyFont="1" applyBorder="1" applyAlignment="1">
      <alignment horizontal="center" vertical="center"/>
    </xf>
    <xf numFmtId="41" fontId="120" fillId="0" borderId="285" xfId="0" applyNumberFormat="1" applyFont="1" applyBorder="1">
      <alignment vertical="center"/>
    </xf>
    <xf numFmtId="41" fontId="120" fillId="0" borderId="284" xfId="0" applyNumberFormat="1" applyFont="1" applyBorder="1">
      <alignment vertical="center"/>
    </xf>
    <xf numFmtId="41" fontId="120" fillId="0" borderId="45" xfId="0" applyNumberFormat="1" applyFont="1" applyBorder="1">
      <alignment vertical="center"/>
    </xf>
    <xf numFmtId="41" fontId="120" fillId="0" borderId="300" xfId="0" applyNumberFormat="1" applyFont="1" applyBorder="1">
      <alignment vertical="center"/>
    </xf>
    <xf numFmtId="0" fontId="121" fillId="0" borderId="0" xfId="0" applyFont="1">
      <alignment vertical="center"/>
    </xf>
    <xf numFmtId="41" fontId="33" fillId="0" borderId="301" xfId="0" applyNumberFormat="1" applyFont="1" applyBorder="1">
      <alignment vertical="center"/>
    </xf>
    <xf numFmtId="41" fontId="33" fillId="0" borderId="280" xfId="0" applyNumberFormat="1" applyFont="1" applyBorder="1">
      <alignment vertical="center"/>
    </xf>
    <xf numFmtId="41" fontId="33" fillId="0" borderId="21" xfId="0" applyNumberFormat="1" applyFont="1" applyBorder="1">
      <alignment vertical="center"/>
    </xf>
    <xf numFmtId="41" fontId="66" fillId="0" borderId="302" xfId="0" applyNumberFormat="1" applyFont="1" applyBorder="1">
      <alignment vertical="center"/>
    </xf>
    <xf numFmtId="187" fontId="66" fillId="0" borderId="298" xfId="0" applyNumberFormat="1" applyFont="1" applyBorder="1">
      <alignment vertical="center"/>
    </xf>
    <xf numFmtId="187" fontId="66" fillId="48" borderId="298" xfId="0" applyNumberFormat="1" applyFont="1" applyFill="1" applyBorder="1">
      <alignment vertical="center"/>
    </xf>
    <xf numFmtId="0" fontId="122" fillId="49" borderId="4" xfId="0" applyFont="1" applyFill="1" applyBorder="1" applyAlignment="1">
      <alignment horizontal="center" vertical="center"/>
    </xf>
    <xf numFmtId="41" fontId="65" fillId="49" borderId="36" xfId="0" applyNumberFormat="1" applyFont="1" applyFill="1" applyBorder="1">
      <alignment vertical="center"/>
    </xf>
    <xf numFmtId="187" fontId="33" fillId="0" borderId="298" xfId="0" applyNumberFormat="1" applyFont="1" applyBorder="1">
      <alignment vertical="center"/>
    </xf>
    <xf numFmtId="199" fontId="116" fillId="34" borderId="232" xfId="0" applyNumberFormat="1" applyFont="1" applyFill="1" applyBorder="1">
      <alignment vertical="center"/>
    </xf>
    <xf numFmtId="199" fontId="116" fillId="34" borderId="190" xfId="0" applyNumberFormat="1" applyFont="1" applyFill="1" applyBorder="1">
      <alignment vertical="center"/>
    </xf>
    <xf numFmtId="0" fontId="124" fillId="0" borderId="41" xfId="0" applyFont="1" applyBorder="1">
      <alignment vertical="center"/>
    </xf>
    <xf numFmtId="41" fontId="125" fillId="0" borderId="303" xfId="0" applyNumberFormat="1" applyFont="1" applyBorder="1">
      <alignment vertical="center"/>
    </xf>
    <xf numFmtId="41" fontId="125" fillId="0" borderId="304" xfId="0" applyNumberFormat="1" applyFont="1" applyBorder="1">
      <alignment vertical="center"/>
    </xf>
    <xf numFmtId="41" fontId="125" fillId="0" borderId="8" xfId="0" applyNumberFormat="1" applyFont="1" applyBorder="1">
      <alignment vertical="center"/>
    </xf>
    <xf numFmtId="41" fontId="125" fillId="0" borderId="305" xfId="0" applyNumberFormat="1" applyFont="1" applyBorder="1">
      <alignment vertical="center"/>
    </xf>
    <xf numFmtId="0" fontId="117" fillId="0" borderId="25" xfId="0" applyFont="1" applyBorder="1">
      <alignment vertical="center"/>
    </xf>
    <xf numFmtId="199" fontId="118" fillId="0" borderId="190" xfId="0" applyNumberFormat="1" applyFont="1" applyBorder="1">
      <alignment vertical="center"/>
    </xf>
    <xf numFmtId="199" fontId="118" fillId="0" borderId="232" xfId="0" applyNumberFormat="1" applyFont="1" applyBorder="1">
      <alignment vertical="center"/>
    </xf>
    <xf numFmtId="0" fontId="124" fillId="0" borderId="190" xfId="0" applyFont="1" applyBorder="1">
      <alignment vertical="center"/>
    </xf>
    <xf numFmtId="41" fontId="125" fillId="0" borderId="298" xfId="0" applyNumberFormat="1" applyFont="1" applyBorder="1">
      <alignment vertical="center"/>
    </xf>
    <xf numFmtId="41" fontId="125" fillId="0" borderId="276" xfId="0" applyNumberFormat="1" applyFont="1" applyBorder="1">
      <alignment vertical="center"/>
    </xf>
    <xf numFmtId="41" fontId="125" fillId="0" borderId="16" xfId="0" applyNumberFormat="1" applyFont="1" applyBorder="1">
      <alignment vertical="center"/>
    </xf>
    <xf numFmtId="41" fontId="125" fillId="0" borderId="299" xfId="0" applyNumberFormat="1" applyFont="1" applyBorder="1">
      <alignment vertical="center"/>
    </xf>
    <xf numFmtId="0" fontId="64" fillId="0" borderId="41" xfId="0" applyFont="1" applyBorder="1">
      <alignment vertical="center"/>
    </xf>
    <xf numFmtId="41" fontId="120" fillId="0" borderId="303" xfId="0" applyNumberFormat="1" applyFont="1" applyBorder="1">
      <alignment vertical="center"/>
    </xf>
    <xf numFmtId="41" fontId="120" fillId="0" borderId="304" xfId="0" applyNumberFormat="1" applyFont="1" applyBorder="1">
      <alignment vertical="center"/>
    </xf>
    <xf numFmtId="41" fontId="120" fillId="0" borderId="8" xfId="0" applyNumberFormat="1" applyFont="1" applyBorder="1">
      <alignment vertical="center"/>
    </xf>
    <xf numFmtId="41" fontId="120" fillId="0" borderId="305" xfId="0" applyNumberFormat="1" applyFont="1" applyBorder="1">
      <alignment vertical="center"/>
    </xf>
    <xf numFmtId="0" fontId="128" fillId="0" borderId="42" xfId="0" applyFont="1" applyBorder="1">
      <alignment vertical="center"/>
    </xf>
    <xf numFmtId="41" fontId="129" fillId="0" borderId="301" xfId="0" applyNumberFormat="1" applyFont="1" applyBorder="1">
      <alignment vertical="center"/>
    </xf>
    <xf numFmtId="41" fontId="129" fillId="0" borderId="280" xfId="0" applyNumberFormat="1" applyFont="1" applyBorder="1">
      <alignment vertical="center"/>
    </xf>
    <xf numFmtId="41" fontId="129" fillId="0" borderId="21" xfId="0" applyNumberFormat="1" applyFont="1" applyBorder="1">
      <alignment vertical="center"/>
    </xf>
    <xf numFmtId="41" fontId="129" fillId="0" borderId="302" xfId="0" applyNumberFormat="1" applyFont="1" applyBorder="1">
      <alignment vertical="center"/>
    </xf>
    <xf numFmtId="0" fontId="126" fillId="0" borderId="36" xfId="0" applyFont="1" applyBorder="1" applyAlignment="1">
      <alignment horizontal="center" vertical="center"/>
    </xf>
    <xf numFmtId="0" fontId="59" fillId="0" borderId="36" xfId="0" applyFont="1" applyBorder="1">
      <alignment vertical="center"/>
    </xf>
    <xf numFmtId="41" fontId="33" fillId="0" borderId="285" xfId="0" applyNumberFormat="1" applyFont="1" applyBorder="1">
      <alignment vertical="center"/>
    </xf>
    <xf numFmtId="41" fontId="33" fillId="0" borderId="284" xfId="0" applyNumberFormat="1" applyFont="1" applyBorder="1">
      <alignment vertical="center"/>
    </xf>
    <xf numFmtId="41" fontId="33" fillId="0" borderId="45" xfId="0" applyNumberFormat="1" applyFont="1" applyBorder="1">
      <alignment vertical="center"/>
    </xf>
    <xf numFmtId="41" fontId="66" fillId="0" borderId="300" xfId="0" applyNumberFormat="1" applyFont="1" applyBorder="1">
      <alignment vertical="center"/>
    </xf>
    <xf numFmtId="0" fontId="59" fillId="0" borderId="42" xfId="0" applyFont="1" applyBorder="1">
      <alignment vertical="center"/>
    </xf>
    <xf numFmtId="41" fontId="66" fillId="0" borderId="306" xfId="0" applyNumberFormat="1" applyFont="1" applyBorder="1">
      <alignment vertical="center"/>
    </xf>
    <xf numFmtId="0" fontId="119" fillId="46" borderId="9" xfId="0" applyFont="1" applyFill="1" applyBorder="1" applyAlignment="1">
      <alignment horizontal="center" vertical="center"/>
    </xf>
    <xf numFmtId="0" fontId="119" fillId="46" borderId="304" xfId="0" applyFont="1" applyFill="1" applyBorder="1" applyAlignment="1">
      <alignment horizontal="center" vertical="center"/>
    </xf>
    <xf numFmtId="0" fontId="119" fillId="46" borderId="8" xfId="0" applyFont="1" applyFill="1" applyBorder="1" applyAlignment="1">
      <alignment horizontal="center" vertical="center"/>
    </xf>
    <xf numFmtId="199" fontId="118" fillId="47" borderId="303" xfId="0" applyNumberFormat="1" applyFont="1" applyFill="1" applyBorder="1">
      <alignment vertical="center"/>
    </xf>
    <xf numFmtId="199" fontId="118" fillId="47" borderId="304" xfId="0" applyNumberFormat="1" applyFont="1" applyFill="1" applyBorder="1">
      <alignment vertical="center"/>
    </xf>
    <xf numFmtId="199" fontId="118" fillId="47" borderId="8" xfId="0" applyNumberFormat="1" applyFont="1" applyFill="1" applyBorder="1">
      <alignment vertical="center"/>
    </xf>
    <xf numFmtId="199" fontId="118" fillId="47" borderId="307" xfId="0" applyNumberFormat="1" applyFont="1" applyFill="1" applyBorder="1">
      <alignment vertical="center"/>
    </xf>
    <xf numFmtId="0" fontId="64" fillId="0" borderId="25" xfId="0" applyFont="1" applyBorder="1" applyAlignment="1">
      <alignment horizontal="center" vertical="center"/>
    </xf>
    <xf numFmtId="0" fontId="64" fillId="0" borderId="26" xfId="0" quotePrefix="1" applyFont="1" applyBorder="1" applyAlignment="1">
      <alignment horizontal="center" vertical="center"/>
    </xf>
    <xf numFmtId="199" fontId="33" fillId="0" borderId="298" xfId="0" applyNumberFormat="1" applyFont="1" applyBorder="1">
      <alignment vertical="center"/>
    </xf>
    <xf numFmtId="199" fontId="33" fillId="0" borderId="276" xfId="0" applyNumberFormat="1" applyFont="1" applyBorder="1">
      <alignment vertical="center"/>
    </xf>
    <xf numFmtId="199" fontId="33" fillId="0" borderId="16" xfId="0" applyNumberFormat="1" applyFont="1" applyBorder="1">
      <alignment vertical="center"/>
    </xf>
    <xf numFmtId="199" fontId="33" fillId="0" borderId="308" xfId="0" applyNumberFormat="1" applyFont="1" applyBorder="1">
      <alignment vertical="center"/>
    </xf>
    <xf numFmtId="41" fontId="33" fillId="0" borderId="308" xfId="0" applyNumberFormat="1" applyFont="1" applyBorder="1">
      <alignment vertical="center"/>
    </xf>
    <xf numFmtId="199" fontId="118" fillId="34" borderId="298" xfId="0" applyNumberFormat="1" applyFont="1" applyFill="1" applyBorder="1">
      <alignment vertical="center"/>
    </xf>
    <xf numFmtId="199" fontId="118" fillId="34" borderId="276" xfId="0" applyNumberFormat="1" applyFont="1" applyFill="1" applyBorder="1">
      <alignment vertical="center"/>
    </xf>
    <xf numFmtId="199" fontId="118" fillId="34" borderId="16" xfId="0" applyNumberFormat="1" applyFont="1" applyFill="1" applyBorder="1">
      <alignment vertical="center"/>
    </xf>
    <xf numFmtId="199" fontId="118" fillId="34" borderId="308" xfId="0" applyNumberFormat="1" applyFont="1" applyFill="1" applyBorder="1">
      <alignment vertical="center"/>
    </xf>
    <xf numFmtId="0" fontId="64" fillId="0" borderId="26" xfId="0" applyFont="1" applyBorder="1" applyAlignment="1">
      <alignment horizontal="center" vertical="center"/>
    </xf>
    <xf numFmtId="178" fontId="131" fillId="0" borderId="298" xfId="0" applyNumberFormat="1" applyFont="1" applyBorder="1">
      <alignment vertical="center"/>
    </xf>
    <xf numFmtId="178" fontId="131" fillId="0" borderId="276" xfId="0" applyNumberFormat="1" applyFont="1" applyBorder="1">
      <alignment vertical="center"/>
    </xf>
    <xf numFmtId="178" fontId="131" fillId="0" borderId="16" xfId="0" applyNumberFormat="1" applyFont="1" applyBorder="1">
      <alignment vertical="center"/>
    </xf>
    <xf numFmtId="178" fontId="131" fillId="0" borderId="308" xfId="0" applyNumberFormat="1" applyFont="1" applyBorder="1">
      <alignment vertical="center"/>
    </xf>
    <xf numFmtId="0" fontId="128" fillId="0" borderId="25" xfId="0" applyFont="1" applyBorder="1">
      <alignment vertical="center"/>
    </xf>
    <xf numFmtId="199" fontId="132" fillId="0" borderId="190" xfId="0" applyNumberFormat="1" applyFont="1" applyBorder="1">
      <alignment vertical="center"/>
    </xf>
    <xf numFmtId="199" fontId="118" fillId="33" borderId="298" xfId="0" applyNumberFormat="1" applyFont="1" applyFill="1" applyBorder="1">
      <alignment vertical="center"/>
    </xf>
    <xf numFmtId="199" fontId="118" fillId="33" borderId="276" xfId="0" applyNumberFormat="1" applyFont="1" applyFill="1" applyBorder="1">
      <alignment vertical="center"/>
    </xf>
    <xf numFmtId="199" fontId="118" fillId="33" borderId="16" xfId="0" applyNumberFormat="1" applyFont="1" applyFill="1" applyBorder="1">
      <alignment vertical="center"/>
    </xf>
    <xf numFmtId="199" fontId="118" fillId="33" borderId="308" xfId="0" applyNumberFormat="1" applyFont="1" applyFill="1" applyBorder="1">
      <alignment vertical="center"/>
    </xf>
    <xf numFmtId="0" fontId="64" fillId="0" borderId="6" xfId="0" applyFont="1" applyBorder="1" applyAlignment="1">
      <alignment horizontal="center" vertical="center"/>
    </xf>
    <xf numFmtId="0" fontId="64" fillId="0" borderId="7" xfId="0" applyFont="1" applyBorder="1" applyAlignment="1">
      <alignment horizontal="center" vertical="center"/>
    </xf>
    <xf numFmtId="199" fontId="131" fillId="0" borderId="301" xfId="0" applyNumberFormat="1" applyFont="1" applyBorder="1">
      <alignment vertical="center"/>
    </xf>
    <xf numFmtId="199" fontId="131" fillId="0" borderId="280" xfId="0" applyNumberFormat="1" applyFont="1" applyBorder="1">
      <alignment vertical="center"/>
    </xf>
    <xf numFmtId="199" fontId="131" fillId="0" borderId="21" xfId="0" applyNumberFormat="1" applyFont="1" applyBorder="1">
      <alignment vertical="center"/>
    </xf>
    <xf numFmtId="178" fontId="131" fillId="0" borderId="309" xfId="0" applyNumberFormat="1" applyFont="1" applyBorder="1">
      <alignment vertical="center"/>
    </xf>
    <xf numFmtId="0" fontId="64" fillId="0" borderId="0" xfId="0" quotePrefix="1" applyFont="1" applyAlignment="1">
      <alignment horizontal="center" vertical="center"/>
    </xf>
    <xf numFmtId="183" fontId="59" fillId="0" borderId="0" xfId="0" applyNumberFormat="1" applyFont="1">
      <alignment vertical="center"/>
    </xf>
    <xf numFmtId="186" fontId="59" fillId="0" borderId="0" xfId="0" applyNumberFormat="1" applyFont="1">
      <alignment vertical="center"/>
    </xf>
    <xf numFmtId="0" fontId="64" fillId="0" borderId="26" xfId="0" quotePrefix="1" applyFont="1" applyBorder="1" applyAlignment="1">
      <alignment horizontal="right" vertical="center"/>
    </xf>
    <xf numFmtId="199" fontId="118" fillId="0" borderId="298" xfId="0" applyNumberFormat="1" applyFont="1" applyBorder="1">
      <alignment vertical="center"/>
    </xf>
    <xf numFmtId="199" fontId="118" fillId="0" borderId="276" xfId="0" applyNumberFormat="1" applyFont="1" applyBorder="1">
      <alignment vertical="center"/>
    </xf>
    <xf numFmtId="199" fontId="118" fillId="0" borderId="16" xfId="0" applyNumberFormat="1" applyFont="1" applyBorder="1">
      <alignment vertical="center"/>
    </xf>
    <xf numFmtId="199" fontId="118" fillId="0" borderId="308" xfId="0" applyNumberFormat="1" applyFont="1" applyBorder="1">
      <alignment vertical="center"/>
    </xf>
    <xf numFmtId="0" fontId="64" fillId="36" borderId="25" xfId="0" applyFont="1" applyFill="1" applyBorder="1" applyAlignment="1">
      <alignment horizontal="center" vertical="center"/>
    </xf>
    <xf numFmtId="0" fontId="64" fillId="36" borderId="26" xfId="0" quotePrefix="1" applyFont="1" applyFill="1" applyBorder="1" applyAlignment="1">
      <alignment horizontal="right" vertical="center"/>
    </xf>
    <xf numFmtId="199" fontId="33" fillId="36" borderId="298" xfId="0" applyNumberFormat="1" applyFont="1" applyFill="1" applyBorder="1">
      <alignment vertical="center"/>
    </xf>
    <xf numFmtId="199" fontId="33" fillId="36" borderId="276" xfId="0" applyNumberFormat="1" applyFont="1" applyFill="1" applyBorder="1">
      <alignment vertical="center"/>
    </xf>
    <xf numFmtId="199" fontId="33" fillId="36" borderId="16" xfId="0" applyNumberFormat="1" applyFont="1" applyFill="1" applyBorder="1">
      <alignment vertical="center"/>
    </xf>
    <xf numFmtId="199" fontId="33" fillId="36" borderId="308" xfId="0" applyNumberFormat="1" applyFont="1" applyFill="1" applyBorder="1">
      <alignment vertical="center"/>
    </xf>
    <xf numFmtId="0" fontId="133" fillId="36" borderId="26" xfId="0" applyFont="1" applyFill="1" applyBorder="1" applyAlignment="1">
      <alignment horizontal="right" vertical="center"/>
    </xf>
    <xf numFmtId="178" fontId="131" fillId="36" borderId="298" xfId="0" applyNumberFormat="1" applyFont="1" applyFill="1" applyBorder="1">
      <alignment vertical="center"/>
    </xf>
    <xf numFmtId="178" fontId="131" fillId="36" borderId="276" xfId="0" applyNumberFormat="1" applyFont="1" applyFill="1" applyBorder="1">
      <alignment vertical="center"/>
    </xf>
    <xf numFmtId="178" fontId="131" fillId="36" borderId="16" xfId="0" applyNumberFormat="1" applyFont="1" applyFill="1" applyBorder="1">
      <alignment vertical="center"/>
    </xf>
    <xf numFmtId="178" fontId="131" fillId="36" borderId="308" xfId="0" applyNumberFormat="1" applyFont="1" applyFill="1" applyBorder="1">
      <alignment vertical="center"/>
    </xf>
    <xf numFmtId="41" fontId="113" fillId="0" borderId="190" xfId="0" applyNumberFormat="1" applyFont="1" applyBorder="1">
      <alignment vertical="center"/>
    </xf>
    <xf numFmtId="183" fontId="113" fillId="0" borderId="190" xfId="0" applyNumberFormat="1" applyFont="1" applyBorder="1">
      <alignment vertical="center"/>
    </xf>
    <xf numFmtId="199" fontId="118" fillId="48" borderId="298" xfId="0" applyNumberFormat="1" applyFont="1" applyFill="1" applyBorder="1">
      <alignment vertical="center"/>
    </xf>
    <xf numFmtId="199" fontId="118" fillId="48" borderId="276" xfId="0" applyNumberFormat="1" applyFont="1" applyFill="1" applyBorder="1">
      <alignment vertical="center"/>
    </xf>
    <xf numFmtId="199" fontId="118" fillId="48" borderId="16" xfId="0" applyNumberFormat="1" applyFont="1" applyFill="1" applyBorder="1">
      <alignment vertical="center"/>
    </xf>
    <xf numFmtId="199" fontId="118" fillId="48" borderId="308" xfId="0" applyNumberFormat="1" applyFont="1" applyFill="1" applyBorder="1">
      <alignment vertical="center"/>
    </xf>
    <xf numFmtId="0" fontId="134" fillId="36" borderId="6" xfId="0" applyFont="1" applyFill="1" applyBorder="1">
      <alignment vertical="center"/>
    </xf>
    <xf numFmtId="178" fontId="135" fillId="36" borderId="42" xfId="0" applyNumberFormat="1" applyFont="1" applyFill="1" applyBorder="1" applyAlignment="1">
      <alignment horizontal="center" vertical="center"/>
    </xf>
    <xf numFmtId="178" fontId="135" fillId="36" borderId="310" xfId="0" applyNumberFormat="1" applyFont="1" applyFill="1" applyBorder="1" applyAlignment="1">
      <alignment horizontal="center" vertical="center"/>
    </xf>
    <xf numFmtId="178" fontId="131" fillId="48" borderId="301" xfId="0" applyNumberFormat="1" applyFont="1" applyFill="1" applyBorder="1">
      <alignment vertical="center"/>
    </xf>
    <xf numFmtId="178" fontId="131" fillId="48" borderId="280" xfId="0" applyNumberFormat="1" applyFont="1" applyFill="1" applyBorder="1">
      <alignment vertical="center"/>
    </xf>
    <xf numFmtId="178" fontId="131" fillId="48" borderId="21" xfId="0" applyNumberFormat="1" applyFont="1" applyFill="1" applyBorder="1">
      <alignment vertical="center"/>
    </xf>
    <xf numFmtId="178" fontId="131" fillId="48" borderId="311" xfId="0" applyNumberFormat="1" applyFont="1" applyFill="1" applyBorder="1">
      <alignment vertical="center"/>
    </xf>
    <xf numFmtId="199" fontId="113" fillId="0" borderId="0" xfId="0" applyNumberFormat="1" applyFont="1">
      <alignment vertical="center"/>
    </xf>
    <xf numFmtId="0" fontId="113" fillId="0" borderId="0" xfId="0" applyFont="1">
      <alignment vertical="center"/>
    </xf>
    <xf numFmtId="183" fontId="113" fillId="0" borderId="0" xfId="0" applyNumberFormat="1" applyFont="1">
      <alignment vertical="center"/>
    </xf>
    <xf numFmtId="0" fontId="117" fillId="0" borderId="0" xfId="0" applyFont="1">
      <alignment vertical="center"/>
    </xf>
    <xf numFmtId="41" fontId="118" fillId="0" borderId="0" xfId="0" applyNumberFormat="1" applyFont="1">
      <alignment vertical="center"/>
    </xf>
    <xf numFmtId="0" fontId="93" fillId="0" borderId="0" xfId="0" quotePrefix="1" applyFont="1">
      <alignment vertical="center"/>
    </xf>
    <xf numFmtId="41" fontId="113" fillId="0" borderId="0" xfId="0" applyNumberFormat="1" applyFont="1">
      <alignment vertical="center"/>
    </xf>
    <xf numFmtId="199" fontId="118" fillId="0" borderId="0" xfId="0" applyNumberFormat="1" applyFont="1">
      <alignment vertical="center"/>
    </xf>
    <xf numFmtId="0" fontId="136" fillId="0" borderId="0" xfId="0" applyFont="1">
      <alignment vertical="center"/>
    </xf>
    <xf numFmtId="178" fontId="137" fillId="0" borderId="0" xfId="0" applyNumberFormat="1" applyFont="1">
      <alignment vertical="center"/>
    </xf>
    <xf numFmtId="202" fontId="113" fillId="0" borderId="0" xfId="0" applyNumberFormat="1" applyFont="1">
      <alignment vertical="center"/>
    </xf>
    <xf numFmtId="199" fontId="113" fillId="30" borderId="0" xfId="0" applyNumberFormat="1" applyFont="1" applyFill="1">
      <alignment vertical="center"/>
    </xf>
    <xf numFmtId="186" fontId="0" fillId="0" borderId="0" xfId="0" applyNumberFormat="1">
      <alignment vertical="center"/>
    </xf>
    <xf numFmtId="41" fontId="118" fillId="47" borderId="303" xfId="0" applyNumberFormat="1" applyFont="1" applyFill="1" applyBorder="1">
      <alignment vertical="center"/>
    </xf>
    <xf numFmtId="41" fontId="118" fillId="47" borderId="304" xfId="0" applyNumberFormat="1" applyFont="1" applyFill="1" applyBorder="1">
      <alignment vertical="center"/>
    </xf>
    <xf numFmtId="41" fontId="118" fillId="47" borderId="8" xfId="0" applyNumberFormat="1" applyFont="1" applyFill="1" applyBorder="1">
      <alignment vertical="center"/>
    </xf>
    <xf numFmtId="41" fontId="118" fillId="47" borderId="307" xfId="0" applyNumberFormat="1" applyFont="1" applyFill="1" applyBorder="1">
      <alignment vertical="center"/>
    </xf>
    <xf numFmtId="41" fontId="118" fillId="0" borderId="298" xfId="0" applyNumberFormat="1" applyFont="1" applyBorder="1">
      <alignment vertical="center"/>
    </xf>
    <xf numFmtId="41" fontId="118" fillId="0" borderId="276" xfId="0" applyNumberFormat="1" applyFont="1" applyBorder="1">
      <alignment vertical="center"/>
    </xf>
    <xf numFmtId="41" fontId="118" fillId="0" borderId="16" xfId="0" applyNumberFormat="1" applyFont="1" applyBorder="1">
      <alignment vertical="center"/>
    </xf>
    <xf numFmtId="41" fontId="118" fillId="0" borderId="308" xfId="0" applyNumberFormat="1" applyFont="1" applyBorder="1">
      <alignment vertical="center"/>
    </xf>
    <xf numFmtId="41" fontId="33" fillId="36" borderId="298" xfId="0" applyNumberFormat="1" applyFont="1" applyFill="1" applyBorder="1">
      <alignment vertical="center"/>
    </xf>
    <xf numFmtId="41" fontId="33" fillId="36" borderId="276" xfId="0" applyNumberFormat="1" applyFont="1" applyFill="1" applyBorder="1">
      <alignment vertical="center"/>
    </xf>
    <xf numFmtId="41" fontId="33" fillId="36" borderId="16" xfId="0" applyNumberFormat="1" applyFont="1" applyFill="1" applyBorder="1">
      <alignment vertical="center"/>
    </xf>
    <xf numFmtId="41" fontId="33" fillId="36" borderId="308" xfId="0" applyNumberFormat="1" applyFont="1" applyFill="1" applyBorder="1">
      <alignment vertical="center"/>
    </xf>
    <xf numFmtId="41" fontId="118" fillId="33" borderId="298" xfId="0" applyNumberFormat="1" applyFont="1" applyFill="1" applyBorder="1">
      <alignment vertical="center"/>
    </xf>
    <xf numFmtId="41" fontId="118" fillId="33" borderId="276" xfId="0" applyNumberFormat="1" applyFont="1" applyFill="1" applyBorder="1">
      <alignment vertical="center"/>
    </xf>
    <xf numFmtId="41" fontId="118" fillId="33" borderId="16" xfId="0" applyNumberFormat="1" applyFont="1" applyFill="1" applyBorder="1">
      <alignment vertical="center"/>
    </xf>
    <xf numFmtId="41" fontId="118" fillId="33" borderId="308" xfId="0" applyNumberFormat="1" applyFont="1" applyFill="1" applyBorder="1">
      <alignment vertical="center"/>
    </xf>
    <xf numFmtId="41" fontId="118" fillId="48" borderId="298" xfId="0" applyNumberFormat="1" applyFont="1" applyFill="1" applyBorder="1">
      <alignment vertical="center"/>
    </xf>
    <xf numFmtId="41" fontId="118" fillId="48" borderId="276" xfId="0" applyNumberFormat="1" applyFont="1" applyFill="1" applyBorder="1">
      <alignment vertical="center"/>
    </xf>
    <xf numFmtId="41" fontId="118" fillId="48" borderId="16" xfId="0" applyNumberFormat="1" applyFont="1" applyFill="1" applyBorder="1">
      <alignment vertical="center"/>
    </xf>
    <xf numFmtId="41" fontId="118" fillId="48" borderId="308" xfId="0" applyNumberFormat="1" applyFont="1" applyFill="1" applyBorder="1">
      <alignment vertical="center"/>
    </xf>
    <xf numFmtId="43" fontId="118" fillId="48" borderId="308" xfId="0" applyNumberFormat="1" applyFont="1" applyFill="1" applyBorder="1">
      <alignment vertical="center"/>
    </xf>
    <xf numFmtId="187" fontId="59" fillId="0" borderId="0" xfId="0" applyNumberFormat="1" applyFont="1">
      <alignment vertical="center"/>
    </xf>
    <xf numFmtId="203" fontId="101" fillId="0" borderId="0" xfId="0" applyNumberFormat="1" applyFont="1">
      <alignment vertical="center"/>
    </xf>
    <xf numFmtId="0" fontId="119" fillId="46" borderId="318" xfId="0" applyFont="1" applyFill="1" applyBorder="1" applyAlignment="1">
      <alignment horizontal="center" vertical="center"/>
    </xf>
    <xf numFmtId="0" fontId="119" fillId="46" borderId="319" xfId="0" applyFont="1" applyFill="1" applyBorder="1" applyAlignment="1">
      <alignment horizontal="center" vertical="center"/>
    </xf>
    <xf numFmtId="0" fontId="119" fillId="46" borderId="320" xfId="0" applyFont="1" applyFill="1" applyBorder="1" applyAlignment="1">
      <alignment horizontal="center" vertical="center"/>
    </xf>
    <xf numFmtId="187" fontId="66" fillId="0" borderId="307" xfId="0" applyNumberFormat="1" applyFont="1" applyBorder="1">
      <alignment vertical="center"/>
    </xf>
    <xf numFmtId="187" fontId="33" fillId="0" borderId="9" xfId="0" applyNumberFormat="1" applyFont="1" applyBorder="1">
      <alignment vertical="center"/>
    </xf>
    <xf numFmtId="187" fontId="33" fillId="0" borderId="304" xfId="0" applyNumberFormat="1" applyFont="1" applyBorder="1">
      <alignment vertical="center"/>
    </xf>
    <xf numFmtId="187" fontId="33" fillId="0" borderId="8" xfId="0" applyNumberFormat="1" applyFont="1" applyBorder="1">
      <alignment vertical="center"/>
    </xf>
    <xf numFmtId="187" fontId="66" fillId="0" borderId="305" xfId="0" applyNumberFormat="1" applyFont="1" applyBorder="1">
      <alignment vertical="center"/>
    </xf>
    <xf numFmtId="187" fontId="66" fillId="0" borderId="308" xfId="0" applyNumberFormat="1" applyFont="1" applyBorder="1">
      <alignment vertical="center"/>
    </xf>
    <xf numFmtId="187" fontId="33" fillId="0" borderId="17" xfId="0" applyNumberFormat="1" applyFont="1" applyBorder="1">
      <alignment vertical="center"/>
    </xf>
    <xf numFmtId="187" fontId="33" fillId="0" borderId="276" xfId="0" applyNumberFormat="1" applyFont="1" applyBorder="1">
      <alignment vertical="center"/>
    </xf>
    <xf numFmtId="187" fontId="33" fillId="0" borderId="16" xfId="0" applyNumberFormat="1" applyFont="1" applyBorder="1">
      <alignment vertical="center"/>
    </xf>
    <xf numFmtId="187" fontId="66" fillId="0" borderId="299" xfId="0" applyNumberFormat="1" applyFont="1" applyBorder="1">
      <alignment vertical="center"/>
    </xf>
    <xf numFmtId="187" fontId="66" fillId="13" borderId="308" xfId="0" applyNumberFormat="1" applyFont="1" applyFill="1" applyBorder="1">
      <alignment vertical="center"/>
    </xf>
    <xf numFmtId="187" fontId="66" fillId="0" borderId="309" xfId="0" applyNumberFormat="1" applyFont="1" applyBorder="1" applyAlignment="1">
      <alignment horizontal="center" vertical="center"/>
    </xf>
    <xf numFmtId="187" fontId="33" fillId="0" borderId="22" xfId="0" applyNumberFormat="1" applyFont="1" applyBorder="1" applyAlignment="1">
      <alignment horizontal="center" vertical="center"/>
    </xf>
    <xf numFmtId="187" fontId="33" fillId="0" borderId="280" xfId="0" applyNumberFormat="1" applyFont="1" applyBorder="1" applyAlignment="1">
      <alignment horizontal="center" vertical="center"/>
    </xf>
    <xf numFmtId="187" fontId="33" fillId="0" borderId="21" xfId="0" applyNumberFormat="1" applyFont="1" applyBorder="1" applyAlignment="1">
      <alignment horizontal="center" vertical="center"/>
    </xf>
    <xf numFmtId="187" fontId="66" fillId="0" borderId="302" xfId="0" applyNumberFormat="1" applyFont="1" applyBorder="1" applyAlignment="1">
      <alignment horizontal="center" vertical="center"/>
    </xf>
    <xf numFmtId="187" fontId="139" fillId="50" borderId="321" xfId="0" applyNumberFormat="1" applyFont="1" applyFill="1" applyBorder="1">
      <alignment vertical="center"/>
    </xf>
    <xf numFmtId="187" fontId="139" fillId="50" borderId="46" xfId="0" applyNumberFormat="1" applyFont="1" applyFill="1" applyBorder="1">
      <alignment vertical="center"/>
    </xf>
    <xf numFmtId="187" fontId="139" fillId="50" borderId="284" xfId="0" applyNumberFormat="1" applyFont="1" applyFill="1" applyBorder="1">
      <alignment vertical="center"/>
    </xf>
    <xf numFmtId="187" fontId="139" fillId="50" borderId="45" xfId="0" applyNumberFormat="1" applyFont="1" applyFill="1" applyBorder="1">
      <alignment vertical="center"/>
    </xf>
    <xf numFmtId="187" fontId="139" fillId="50" borderId="322" xfId="0" applyNumberFormat="1" applyFont="1" applyFill="1" applyBorder="1">
      <alignment vertical="center"/>
    </xf>
    <xf numFmtId="0" fontId="140" fillId="0" borderId="0" xfId="0" applyFont="1">
      <alignment vertical="center"/>
    </xf>
    <xf numFmtId="183" fontId="93" fillId="0" borderId="0" xfId="0" applyNumberFormat="1" applyFont="1" applyAlignment="1">
      <alignment horizontal="right" vertical="center"/>
    </xf>
    <xf numFmtId="0" fontId="119" fillId="46" borderId="323" xfId="0" applyFont="1" applyFill="1" applyBorder="1" applyAlignment="1">
      <alignment horizontal="center" vertical="center"/>
    </xf>
    <xf numFmtId="0" fontId="119" fillId="46" borderId="324" xfId="0" applyFont="1" applyFill="1" applyBorder="1" applyAlignment="1">
      <alignment horizontal="center" vertical="center"/>
    </xf>
    <xf numFmtId="183" fontId="93" fillId="0" borderId="0" xfId="0" applyNumberFormat="1" applyFont="1" applyAlignment="1">
      <alignment horizontal="center" vertical="center"/>
    </xf>
    <xf numFmtId="183" fontId="117" fillId="0" borderId="25" xfId="0" applyNumberFormat="1" applyFont="1" applyBorder="1" applyAlignment="1">
      <alignment horizontal="left" vertical="center"/>
    </xf>
    <xf numFmtId="183" fontId="117" fillId="0" borderId="0" xfId="0" applyNumberFormat="1" applyFont="1" applyAlignment="1">
      <alignment horizontal="left" vertical="center"/>
    </xf>
    <xf numFmtId="199" fontId="118" fillId="0" borderId="325" xfId="0" applyNumberFormat="1" applyFont="1" applyBorder="1">
      <alignment vertical="center"/>
    </xf>
    <xf numFmtId="199" fontId="118" fillId="0" borderId="299" xfId="0" applyNumberFormat="1" applyFont="1" applyBorder="1">
      <alignment vertical="center"/>
    </xf>
    <xf numFmtId="183" fontId="93" fillId="0" borderId="0" xfId="0" applyNumberFormat="1" applyFont="1">
      <alignment vertical="center"/>
    </xf>
    <xf numFmtId="183" fontId="128" fillId="0" borderId="25" xfId="0" quotePrefix="1" applyNumberFormat="1" applyFont="1" applyBorder="1" applyAlignment="1">
      <alignment horizontal="right" vertical="center"/>
    </xf>
    <xf numFmtId="183" fontId="128" fillId="0" borderId="0" xfId="0" quotePrefix="1" applyNumberFormat="1" applyFont="1" applyAlignment="1">
      <alignment horizontal="right" vertical="center"/>
    </xf>
    <xf numFmtId="199" fontId="132" fillId="0" borderId="298" xfId="0" applyNumberFormat="1" applyFont="1" applyBorder="1">
      <alignment vertical="center"/>
    </xf>
    <xf numFmtId="199" fontId="132" fillId="0" borderId="276" xfId="0" applyNumberFormat="1" applyFont="1" applyBorder="1">
      <alignment vertical="center"/>
    </xf>
    <xf numFmtId="199" fontId="132" fillId="0" borderId="325" xfId="0" applyNumberFormat="1" applyFont="1" applyBorder="1">
      <alignment vertical="center"/>
    </xf>
    <xf numFmtId="199" fontId="132" fillId="0" borderId="299" xfId="0" applyNumberFormat="1" applyFont="1" applyBorder="1">
      <alignment vertical="center"/>
    </xf>
    <xf numFmtId="183" fontId="141" fillId="0" borderId="0" xfId="0" applyNumberFormat="1" applyFont="1">
      <alignment vertical="center"/>
    </xf>
    <xf numFmtId="41" fontId="132" fillId="0" borderId="298" xfId="0" applyNumberFormat="1" applyFont="1" applyBorder="1">
      <alignment vertical="center"/>
    </xf>
    <xf numFmtId="41" fontId="132" fillId="0" borderId="276" xfId="0" applyNumberFormat="1" applyFont="1" applyBorder="1">
      <alignment vertical="center"/>
    </xf>
    <xf numFmtId="41" fontId="132" fillId="0" borderId="325" xfId="0" applyNumberFormat="1" applyFont="1" applyBorder="1">
      <alignment vertical="center"/>
    </xf>
    <xf numFmtId="41" fontId="132" fillId="0" borderId="299" xfId="0" applyNumberFormat="1" applyFont="1" applyBorder="1">
      <alignment vertical="center"/>
    </xf>
    <xf numFmtId="183" fontId="117" fillId="0" borderId="6" xfId="0" applyNumberFormat="1" applyFont="1" applyBorder="1" applyAlignment="1">
      <alignment horizontal="left" vertical="center"/>
    </xf>
    <xf numFmtId="183" fontId="117" fillId="0" borderId="2" xfId="0" applyNumberFormat="1" applyFont="1" applyBorder="1" applyAlignment="1">
      <alignment horizontal="left" vertical="center"/>
    </xf>
    <xf numFmtId="199" fontId="118" fillId="0" borderId="301" xfId="0" applyNumberFormat="1" applyFont="1" applyBorder="1">
      <alignment vertical="center"/>
    </xf>
    <xf numFmtId="199" fontId="118" fillId="0" borderId="280" xfId="0" applyNumberFormat="1" applyFont="1" applyBorder="1">
      <alignment vertical="center"/>
    </xf>
    <xf numFmtId="199" fontId="118" fillId="0" borderId="326" xfId="0" applyNumberFormat="1" applyFont="1" applyBorder="1">
      <alignment vertical="center"/>
    </xf>
    <xf numFmtId="199" fontId="118" fillId="0" borderId="302" xfId="0" applyNumberFormat="1" applyFont="1" applyBorder="1">
      <alignment vertical="center"/>
    </xf>
    <xf numFmtId="199" fontId="142" fillId="0" borderId="285" xfId="0" applyNumberFormat="1" applyFont="1" applyBorder="1">
      <alignment vertical="center"/>
    </xf>
    <xf numFmtId="199" fontId="142" fillId="0" borderId="284" xfId="0" applyNumberFormat="1" applyFont="1" applyBorder="1">
      <alignment vertical="center"/>
    </xf>
    <xf numFmtId="199" fontId="142" fillId="0" borderId="324" xfId="0" applyNumberFormat="1" applyFont="1" applyBorder="1">
      <alignment vertical="center"/>
    </xf>
    <xf numFmtId="199" fontId="142" fillId="0" borderId="322" xfId="0" applyNumberFormat="1" applyFont="1" applyBorder="1">
      <alignment vertical="center"/>
    </xf>
    <xf numFmtId="183" fontId="143" fillId="0" borderId="0" xfId="0" applyNumberFormat="1" applyFont="1">
      <alignment vertical="center"/>
    </xf>
    <xf numFmtId="183" fontId="94" fillId="0" borderId="0" xfId="0" applyNumberFormat="1" applyFont="1">
      <alignment vertical="center"/>
    </xf>
    <xf numFmtId="183" fontId="124" fillId="0" borderId="0" xfId="0" applyNumberFormat="1" applyFont="1">
      <alignment vertical="center"/>
    </xf>
    <xf numFmtId="0" fontId="144" fillId="0" borderId="0" xfId="0" applyFont="1">
      <alignment vertical="center"/>
    </xf>
    <xf numFmtId="0" fontId="145" fillId="0" borderId="0" xfId="0" applyFont="1">
      <alignment vertical="center"/>
    </xf>
    <xf numFmtId="0" fontId="145" fillId="0" borderId="0" xfId="0" applyFont="1" applyAlignment="1">
      <alignment horizontal="right" vertical="center"/>
    </xf>
    <xf numFmtId="0" fontId="144" fillId="51" borderId="36" xfId="0" applyFont="1" applyFill="1" applyBorder="1" applyAlignment="1">
      <alignment horizontal="center" vertical="center"/>
    </xf>
    <xf numFmtId="0" fontId="144" fillId="51" borderId="4" xfId="0" applyFont="1" applyFill="1" applyBorder="1" applyAlignment="1">
      <alignment horizontal="center" vertical="center"/>
    </xf>
    <xf numFmtId="0" fontId="144" fillId="51" borderId="297" xfId="0" applyFont="1" applyFill="1" applyBorder="1" applyAlignment="1">
      <alignment horizontal="center" vertical="center"/>
    </xf>
    <xf numFmtId="183" fontId="64" fillId="0" borderId="25" xfId="0" applyNumberFormat="1" applyFont="1" applyBorder="1" applyAlignment="1">
      <alignment horizontal="left" vertical="center"/>
    </xf>
    <xf numFmtId="183" fontId="64" fillId="0" borderId="0" xfId="0" applyNumberFormat="1" applyFont="1" applyAlignment="1">
      <alignment horizontal="left" vertical="center"/>
    </xf>
    <xf numFmtId="199" fontId="66" fillId="0" borderId="190" xfId="0" applyNumberFormat="1" applyFont="1" applyBorder="1">
      <alignment vertical="center"/>
    </xf>
    <xf numFmtId="199" fontId="66" fillId="0" borderId="25" xfId="0" applyNumberFormat="1" applyFont="1" applyBorder="1">
      <alignment vertical="center"/>
    </xf>
    <xf numFmtId="199" fontId="66" fillId="0" borderId="299" xfId="0" applyNumberFormat="1" applyFont="1" applyBorder="1">
      <alignment vertical="center"/>
    </xf>
    <xf numFmtId="41" fontId="66" fillId="0" borderId="190" xfId="0" applyNumberFormat="1" applyFont="1" applyBorder="1">
      <alignment vertical="center"/>
    </xf>
    <xf numFmtId="41" fontId="66" fillId="0" borderId="25" xfId="0" applyNumberFormat="1" applyFont="1" applyBorder="1">
      <alignment vertical="center"/>
    </xf>
    <xf numFmtId="199" fontId="146" fillId="0" borderId="36" xfId="0" applyNumberFormat="1" applyFont="1" applyBorder="1">
      <alignment vertical="center"/>
    </xf>
    <xf numFmtId="199" fontId="146" fillId="0" borderId="4" xfId="0" applyNumberFormat="1" applyFont="1" applyBorder="1">
      <alignment vertical="center"/>
    </xf>
    <xf numFmtId="199" fontId="146" fillId="0" borderId="322" xfId="0" applyNumberFormat="1" applyFont="1" applyBorder="1">
      <alignment vertical="center"/>
    </xf>
    <xf numFmtId="183" fontId="59" fillId="0" borderId="0" xfId="0" applyNumberFormat="1" applyFont="1" applyAlignment="1">
      <alignment horizontal="right" vertical="center"/>
    </xf>
    <xf numFmtId="183" fontId="101" fillId="0" borderId="0" xfId="0" applyNumberFormat="1" applyFont="1" applyAlignment="1">
      <alignment horizontal="right" vertical="center"/>
    </xf>
    <xf numFmtId="183" fontId="101" fillId="0" borderId="0" xfId="0" applyNumberFormat="1" applyFont="1">
      <alignment vertical="center"/>
    </xf>
    <xf numFmtId="0" fontId="119" fillId="46" borderId="327" xfId="0" applyFont="1" applyFill="1" applyBorder="1" applyAlignment="1">
      <alignment horizontal="center" vertical="center"/>
    </xf>
    <xf numFmtId="0" fontId="119" fillId="46" borderId="328" xfId="0" applyFont="1" applyFill="1" applyBorder="1" applyAlignment="1">
      <alignment horizontal="center" vertical="center"/>
    </xf>
    <xf numFmtId="0" fontId="119" fillId="46" borderId="259" xfId="0" quotePrefix="1" applyFont="1" applyFill="1" applyBorder="1" applyAlignment="1">
      <alignment horizontal="center" vertical="center"/>
    </xf>
    <xf numFmtId="0" fontId="119" fillId="46" borderId="323" xfId="0" quotePrefix="1" applyFont="1" applyFill="1" applyBorder="1" applyAlignment="1">
      <alignment horizontal="center" vertical="center"/>
    </xf>
    <xf numFmtId="0" fontId="119" fillId="46" borderId="329" xfId="0" applyFont="1" applyFill="1" applyBorder="1" applyAlignment="1">
      <alignment horizontal="center" vertical="center"/>
    </xf>
    <xf numFmtId="0" fontId="58" fillId="0" borderId="330" xfId="0" applyFont="1" applyBorder="1">
      <alignment vertical="center"/>
    </xf>
    <xf numFmtId="41" fontId="147" fillId="0" borderId="331" xfId="0" applyNumberFormat="1" applyFont="1" applyBorder="1">
      <alignment vertical="center"/>
    </xf>
    <xf numFmtId="41" fontId="147" fillId="0" borderId="332" xfId="0" applyNumberFormat="1" applyFont="1" applyBorder="1">
      <alignment vertical="center"/>
    </xf>
    <xf numFmtId="41" fontId="147" fillId="0" borderId="333" xfId="0" applyNumberFormat="1" applyFont="1" applyBorder="1">
      <alignment vertical="center"/>
    </xf>
    <xf numFmtId="41" fontId="125" fillId="0" borderId="334" xfId="0" applyNumberFormat="1" applyFont="1" applyBorder="1">
      <alignment vertical="center"/>
    </xf>
    <xf numFmtId="41" fontId="125" fillId="0" borderId="335" xfId="0" applyNumberFormat="1" applyFont="1" applyBorder="1">
      <alignment vertical="center"/>
    </xf>
    <xf numFmtId="0" fontId="79" fillId="0" borderId="335" xfId="0" applyFont="1" applyBorder="1">
      <alignment vertical="center"/>
    </xf>
    <xf numFmtId="0" fontId="58" fillId="0" borderId="336" xfId="0" applyFont="1" applyBorder="1">
      <alignment vertical="center"/>
    </xf>
    <xf numFmtId="41" fontId="147" fillId="0" borderId="337" xfId="0" applyNumberFormat="1" applyFont="1" applyBorder="1">
      <alignment vertical="center"/>
    </xf>
    <xf numFmtId="41" fontId="147" fillId="0" borderId="338" xfId="0" applyNumberFormat="1" applyFont="1" applyBorder="1">
      <alignment vertical="center"/>
    </xf>
    <xf numFmtId="41" fontId="147" fillId="0" borderId="339" xfId="0" applyNumberFormat="1" applyFont="1" applyBorder="1">
      <alignment vertical="center"/>
    </xf>
    <xf numFmtId="41" fontId="125" fillId="0" borderId="340" xfId="0" applyNumberFormat="1" applyFont="1" applyBorder="1">
      <alignment vertical="center"/>
    </xf>
    <xf numFmtId="41" fontId="125" fillId="0" borderId="341" xfId="0" applyNumberFormat="1" applyFont="1" applyBorder="1">
      <alignment vertical="center"/>
    </xf>
    <xf numFmtId="0" fontId="79" fillId="0" borderId="341" xfId="0" applyFont="1" applyBorder="1">
      <alignment vertical="center"/>
    </xf>
    <xf numFmtId="41" fontId="101" fillId="0" borderId="0" xfId="0" applyNumberFormat="1" applyFont="1">
      <alignment vertical="center"/>
    </xf>
    <xf numFmtId="0" fontId="58" fillId="0" borderId="342" xfId="0" applyFont="1" applyBorder="1">
      <alignment vertical="center"/>
    </xf>
    <xf numFmtId="41" fontId="147" fillId="0" borderId="343" xfId="0" applyNumberFormat="1" applyFont="1" applyBorder="1">
      <alignment vertical="center"/>
    </xf>
    <xf numFmtId="41" fontId="147" fillId="0" borderId="319" xfId="0" applyNumberFormat="1" applyFont="1" applyBorder="1">
      <alignment vertical="center"/>
    </xf>
    <xf numFmtId="41" fontId="147" fillId="0" borderId="344" xfId="0" applyNumberFormat="1" applyFont="1" applyBorder="1">
      <alignment vertical="center"/>
    </xf>
    <xf numFmtId="41" fontId="125" fillId="0" borderId="345" xfId="0" applyNumberFormat="1" applyFont="1" applyBorder="1">
      <alignment vertical="center"/>
    </xf>
    <xf numFmtId="41" fontId="125" fillId="0" borderId="346" xfId="0" applyNumberFormat="1" applyFont="1" applyBorder="1">
      <alignment vertical="center"/>
    </xf>
    <xf numFmtId="0" fontId="79" fillId="0" borderId="346" xfId="0" applyFont="1" applyBorder="1">
      <alignment vertical="center"/>
    </xf>
    <xf numFmtId="41" fontId="139" fillId="50" borderId="257" xfId="0" applyNumberFormat="1" applyFont="1" applyFill="1" applyBorder="1" applyAlignment="1">
      <alignment horizontal="center" vertical="center" shrinkToFit="1"/>
    </xf>
    <xf numFmtId="41" fontId="139" fillId="50" borderId="323" xfId="0" applyNumberFormat="1" applyFont="1" applyFill="1" applyBorder="1" applyAlignment="1">
      <alignment vertical="center" shrinkToFit="1"/>
    </xf>
    <xf numFmtId="41" fontId="139" fillId="50" borderId="284" xfId="0" applyNumberFormat="1" applyFont="1" applyFill="1" applyBorder="1" applyAlignment="1">
      <alignment vertical="center" shrinkToFit="1"/>
    </xf>
    <xf numFmtId="41" fontId="139" fillId="50" borderId="328" xfId="0" applyNumberFormat="1" applyFont="1" applyFill="1" applyBorder="1" applyAlignment="1">
      <alignment vertical="center" shrinkToFit="1"/>
    </xf>
    <xf numFmtId="41" fontId="139" fillId="50" borderId="259" xfId="0" applyNumberFormat="1" applyFont="1" applyFill="1" applyBorder="1" applyAlignment="1">
      <alignment vertical="center" shrinkToFit="1"/>
    </xf>
    <xf numFmtId="41" fontId="139" fillId="50" borderId="260" xfId="0" applyNumberFormat="1" applyFont="1" applyFill="1" applyBorder="1" applyAlignment="1">
      <alignment vertical="center" shrinkToFit="1"/>
    </xf>
    <xf numFmtId="183" fontId="64" fillId="0" borderId="0" xfId="0" applyNumberFormat="1" applyFont="1">
      <alignment vertical="center"/>
    </xf>
    <xf numFmtId="0" fontId="56" fillId="35" borderId="0" xfId="0" applyFont="1" applyFill="1">
      <alignment vertical="center"/>
    </xf>
    <xf numFmtId="0" fontId="56" fillId="35" borderId="0" xfId="0" applyFont="1" applyFill="1" applyAlignment="1">
      <alignment horizontal="center" vertical="center"/>
    </xf>
    <xf numFmtId="0" fontId="56" fillId="0" borderId="0" xfId="0" applyFont="1" applyAlignment="1">
      <alignment horizontal="center" vertical="center"/>
    </xf>
    <xf numFmtId="176" fontId="148" fillId="3" borderId="2" xfId="0" applyNumberFormat="1" applyFont="1" applyFill="1" applyBorder="1" applyAlignment="1">
      <alignment horizontal="right" vertical="center"/>
    </xf>
    <xf numFmtId="0" fontId="79" fillId="35" borderId="0" xfId="0" applyFont="1" applyFill="1" applyAlignment="1">
      <alignment horizontal="right" vertical="center"/>
    </xf>
    <xf numFmtId="0" fontId="79" fillId="35" borderId="0" xfId="0" applyFont="1" applyFill="1">
      <alignment vertical="center"/>
    </xf>
    <xf numFmtId="41" fontId="79" fillId="35" borderId="0" xfId="0" applyNumberFormat="1" applyFont="1" applyFill="1">
      <alignment vertical="center"/>
    </xf>
    <xf numFmtId="0" fontId="56" fillId="0" borderId="0" xfId="0" applyFont="1" applyAlignment="1">
      <alignment horizontal="left" vertical="center"/>
    </xf>
    <xf numFmtId="0" fontId="16" fillId="31" borderId="0" xfId="0" applyFont="1" applyFill="1" applyAlignment="1">
      <alignment horizontal="center" vertical="center" shrinkToFit="1"/>
    </xf>
    <xf numFmtId="41" fontId="16" fillId="31" borderId="0" xfId="0" applyNumberFormat="1" applyFont="1" applyFill="1" applyAlignment="1">
      <alignment horizontal="center" vertical="center" shrinkToFit="1"/>
    </xf>
    <xf numFmtId="41" fontId="5" fillId="31" borderId="0" xfId="0" applyNumberFormat="1" applyFont="1" applyFill="1" applyAlignment="1">
      <alignment horizontal="center" vertical="center" shrinkToFit="1"/>
    </xf>
    <xf numFmtId="0" fontId="58" fillId="35" borderId="0" xfId="0" applyFont="1" applyFill="1">
      <alignment vertical="center"/>
    </xf>
    <xf numFmtId="181" fontId="58" fillId="0" borderId="0" xfId="0" applyNumberFormat="1" applyFont="1">
      <alignment vertical="center"/>
    </xf>
    <xf numFmtId="181" fontId="58" fillId="35" borderId="0" xfId="0" applyNumberFormat="1" applyFont="1" applyFill="1">
      <alignment vertical="center"/>
    </xf>
    <xf numFmtId="0" fontId="58" fillId="35" borderId="0" xfId="0" applyFont="1" applyFill="1" applyAlignment="1">
      <alignment horizontal="center" vertical="center"/>
    </xf>
    <xf numFmtId="0" fontId="58" fillId="35" borderId="0" xfId="0" applyFont="1" applyFill="1" applyAlignment="1">
      <alignment horizontal="right" vertical="center"/>
    </xf>
    <xf numFmtId="41" fontId="58" fillId="35" borderId="0" xfId="0" applyNumberFormat="1" applyFont="1" applyFill="1">
      <alignment vertical="center"/>
    </xf>
    <xf numFmtId="0" fontId="58" fillId="0" borderId="0" xfId="0" applyFont="1" applyAlignment="1">
      <alignment horizontal="left" vertical="center"/>
    </xf>
    <xf numFmtId="0" fontId="5" fillId="31" borderId="0" xfId="0" applyFont="1" applyFill="1" applyAlignment="1">
      <alignment horizontal="center" vertical="center" shrinkToFit="1"/>
    </xf>
    <xf numFmtId="181" fontId="56" fillId="35" borderId="0" xfId="0" applyNumberFormat="1" applyFont="1" applyFill="1">
      <alignment vertical="center"/>
    </xf>
    <xf numFmtId="0" fontId="149" fillId="0" borderId="0" xfId="0" applyFont="1">
      <alignment vertical="center"/>
    </xf>
    <xf numFmtId="0" fontId="150" fillId="35" borderId="347" xfId="0" applyFont="1" applyFill="1" applyBorder="1">
      <alignment vertical="center"/>
    </xf>
    <xf numFmtId="0" fontId="0" fillId="35" borderId="347" xfId="0" applyFill="1" applyBorder="1">
      <alignment vertical="center"/>
    </xf>
    <xf numFmtId="0" fontId="0" fillId="35" borderId="347" xfId="0" applyFill="1" applyBorder="1" applyAlignment="1">
      <alignment horizontal="center" vertical="center"/>
    </xf>
    <xf numFmtId="0" fontId="0" fillId="0" borderId="347" xfId="0" applyBorder="1" applyAlignment="1">
      <alignment horizontal="center" vertical="center"/>
    </xf>
    <xf numFmtId="41" fontId="0" fillId="0" borderId="347" xfId="0" applyNumberFormat="1" applyBorder="1" applyAlignment="1">
      <alignment horizontal="center" vertical="center"/>
    </xf>
    <xf numFmtId="3" fontId="0" fillId="0" borderId="347" xfId="0" applyNumberFormat="1" applyBorder="1" applyAlignment="1">
      <alignment horizontal="center" vertical="center"/>
    </xf>
    <xf numFmtId="43" fontId="0" fillId="35" borderId="347" xfId="0" applyNumberFormat="1" applyFill="1" applyBorder="1" applyAlignment="1">
      <alignment horizontal="center" vertical="center"/>
    </xf>
    <xf numFmtId="41" fontId="0" fillId="35" borderId="347" xfId="0" applyNumberFormat="1" applyFill="1" applyBorder="1" applyAlignment="1">
      <alignment horizontal="center" vertical="center"/>
    </xf>
    <xf numFmtId="41" fontId="2" fillId="35" borderId="0" xfId="0" applyNumberFormat="1" applyFont="1" applyFill="1" applyAlignment="1">
      <alignment horizontal="center" vertical="center"/>
    </xf>
    <xf numFmtId="0" fontId="0" fillId="0" borderId="0" xfId="0" applyAlignment="1">
      <alignment horizontal="center" vertical="center"/>
    </xf>
    <xf numFmtId="0" fontId="27" fillId="35" borderId="0" xfId="0" applyFont="1" applyFill="1" applyAlignment="1">
      <alignment horizontal="right" vertical="center"/>
    </xf>
    <xf numFmtId="0" fontId="27" fillId="35" borderId="0" xfId="0" applyFont="1" applyFill="1">
      <alignment vertical="center"/>
    </xf>
    <xf numFmtId="0" fontId="27" fillId="0" borderId="0" xfId="0" applyFont="1" applyAlignment="1">
      <alignment horizontal="left" vertical="center"/>
    </xf>
    <xf numFmtId="41" fontId="27" fillId="0" borderId="0" xfId="0" applyNumberFormat="1" applyFont="1" applyAlignment="1">
      <alignment horizontal="center" vertical="center"/>
    </xf>
    <xf numFmtId="41" fontId="0" fillId="0" borderId="0" xfId="0" applyNumberFormat="1" applyAlignment="1">
      <alignment horizontal="center" vertical="center"/>
    </xf>
    <xf numFmtId="0" fontId="0" fillId="35" borderId="0" xfId="0" applyFill="1">
      <alignment vertical="center"/>
    </xf>
    <xf numFmtId="0" fontId="151" fillId="35" borderId="347" xfId="0" applyFont="1" applyFill="1" applyBorder="1" applyAlignment="1">
      <alignment horizontal="left" vertical="center"/>
    </xf>
    <xf numFmtId="0" fontId="27" fillId="35" borderId="347" xfId="0" applyFont="1" applyFill="1" applyBorder="1">
      <alignment vertical="center"/>
    </xf>
    <xf numFmtId="0" fontId="35" fillId="35" borderId="347" xfId="0" applyFont="1" applyFill="1" applyBorder="1">
      <alignment vertical="center"/>
    </xf>
    <xf numFmtId="0" fontId="27" fillId="35" borderId="347" xfId="0" applyFont="1" applyFill="1" applyBorder="1" applyAlignment="1">
      <alignment horizontal="center" vertical="center"/>
    </xf>
    <xf numFmtId="0" fontId="152" fillId="35" borderId="347" xfId="0" quotePrefix="1" applyFont="1" applyFill="1" applyBorder="1" applyAlignment="1">
      <alignment horizontal="left" vertical="center"/>
    </xf>
    <xf numFmtId="0" fontId="153" fillId="0" borderId="0" xfId="0" applyFont="1">
      <alignment vertical="center"/>
    </xf>
    <xf numFmtId="49" fontId="154" fillId="0" borderId="0" xfId="0" applyNumberFormat="1" applyFont="1">
      <alignment vertical="center"/>
    </xf>
    <xf numFmtId="0" fontId="35" fillId="0" borderId="0" xfId="0" applyFont="1" applyAlignment="1">
      <alignment horizontal="left" vertical="center"/>
    </xf>
    <xf numFmtId="0" fontId="35" fillId="0" borderId="0" xfId="0" applyFont="1" applyAlignment="1">
      <alignment horizontal="center" vertical="center"/>
    </xf>
    <xf numFmtId="0" fontId="35" fillId="0" borderId="0" xfId="0" applyFont="1" applyAlignment="1">
      <alignment vertical="center" shrinkToFit="1"/>
    </xf>
    <xf numFmtId="0" fontId="56" fillId="35" borderId="211" xfId="0" applyFont="1" applyFill="1" applyBorder="1">
      <alignment vertical="center"/>
    </xf>
    <xf numFmtId="0" fontId="56" fillId="35" borderId="211" xfId="0" applyFont="1" applyFill="1" applyBorder="1" applyAlignment="1">
      <alignment horizontal="center" vertical="center"/>
    </xf>
    <xf numFmtId="0" fontId="56" fillId="0" borderId="211" xfId="0" applyFont="1" applyBorder="1" applyAlignment="1">
      <alignment horizontal="center" vertical="center"/>
    </xf>
    <xf numFmtId="0" fontId="56" fillId="35" borderId="0" xfId="0" applyFont="1" applyFill="1" applyAlignment="1">
      <alignment horizontal="right" vertical="center"/>
    </xf>
    <xf numFmtId="0" fontId="56" fillId="0" borderId="0" xfId="0" applyFont="1" applyAlignment="1">
      <alignment horizontal="right" vertical="center"/>
    </xf>
    <xf numFmtId="0" fontId="79" fillId="0" borderId="0" xfId="0" applyFont="1" applyAlignment="1">
      <alignment horizontal="left" vertical="center"/>
    </xf>
    <xf numFmtId="0" fontId="155" fillId="31" borderId="0" xfId="0" applyFont="1" applyFill="1" applyAlignment="1">
      <alignment horizontal="center" vertical="center" shrinkToFit="1"/>
    </xf>
    <xf numFmtId="0" fontId="155" fillId="31" borderId="255" xfId="0" applyFont="1" applyFill="1" applyBorder="1" applyAlignment="1">
      <alignment horizontal="center" vertical="center" shrinkToFit="1"/>
    </xf>
    <xf numFmtId="0" fontId="155" fillId="31" borderId="255" xfId="0" applyFont="1" applyFill="1" applyBorder="1" applyAlignment="1">
      <alignment horizontal="left" vertical="center" shrinkToFit="1"/>
    </xf>
    <xf numFmtId="0" fontId="155" fillId="31" borderId="0" xfId="0" applyFont="1" applyFill="1" applyAlignment="1">
      <alignment vertical="center" shrinkToFit="1"/>
    </xf>
    <xf numFmtId="0" fontId="16" fillId="31" borderId="0" xfId="0" applyFont="1" applyFill="1" applyAlignment="1">
      <alignment horizontal="right" shrinkToFit="1"/>
    </xf>
    <xf numFmtId="0" fontId="16" fillId="31" borderId="255" xfId="0" applyFont="1" applyFill="1" applyBorder="1" applyAlignment="1">
      <alignment horizontal="right" shrinkToFit="1"/>
    </xf>
    <xf numFmtId="49" fontId="35" fillId="0" borderId="0" xfId="0" applyNumberFormat="1" applyFont="1">
      <alignment vertical="center"/>
    </xf>
    <xf numFmtId="0" fontId="35" fillId="0" borderId="0" xfId="0" applyFont="1" applyAlignment="1">
      <alignment horizontal="center" vertical="center" shrinkToFit="1"/>
    </xf>
    <xf numFmtId="0" fontId="35" fillId="0" borderId="0" xfId="0" applyFont="1" applyAlignment="1">
      <alignment horizontal="right" vertical="center" shrinkToFit="1"/>
    </xf>
    <xf numFmtId="0" fontId="35" fillId="0" borderId="0" xfId="0" applyFont="1" applyAlignment="1">
      <alignment horizontal="right" vertical="center"/>
    </xf>
    <xf numFmtId="0" fontId="56" fillId="35" borderId="211" xfId="0" applyFont="1" applyFill="1" applyBorder="1" applyAlignment="1">
      <alignment horizontal="centerContinuous" vertical="center"/>
    </xf>
    <xf numFmtId="0" fontId="56" fillId="35" borderId="348" xfId="0" applyFont="1" applyFill="1" applyBorder="1" applyAlignment="1">
      <alignment horizontal="center" vertical="center"/>
    </xf>
    <xf numFmtId="0" fontId="79" fillId="0" borderId="0" xfId="0" applyFont="1" applyAlignment="1">
      <alignment horizontal="center" vertical="center"/>
    </xf>
    <xf numFmtId="0" fontId="78" fillId="31" borderId="0" xfId="0" applyFont="1" applyFill="1" applyAlignment="1">
      <alignment horizontal="center" vertical="center" shrinkToFit="1"/>
    </xf>
    <xf numFmtId="41" fontId="80" fillId="5" borderId="352" xfId="0" quotePrefix="1" applyNumberFormat="1" applyFont="1" applyFill="1" applyBorder="1" applyAlignment="1">
      <alignment vertical="center" shrinkToFit="1"/>
    </xf>
    <xf numFmtId="41" fontId="80" fillId="5" borderId="353" xfId="0" quotePrefix="1" applyNumberFormat="1" applyFont="1" applyFill="1" applyBorder="1" applyAlignment="1">
      <alignment vertical="center" shrinkToFit="1"/>
    </xf>
    <xf numFmtId="0" fontId="154" fillId="52" borderId="23" xfId="0" quotePrefix="1" applyFont="1" applyFill="1" applyBorder="1">
      <alignment vertical="center"/>
    </xf>
    <xf numFmtId="0" fontId="154" fillId="52" borderId="3" xfId="0" quotePrefix="1" applyFont="1" applyFill="1" applyBorder="1">
      <alignment vertical="center"/>
    </xf>
    <xf numFmtId="0" fontId="154" fillId="52" borderId="24" xfId="0" quotePrefix="1" applyFont="1" applyFill="1" applyBorder="1">
      <alignment vertical="center"/>
    </xf>
    <xf numFmtId="0" fontId="56" fillId="35" borderId="2" xfId="0" applyFont="1" applyFill="1" applyBorder="1">
      <alignment vertical="center"/>
    </xf>
    <xf numFmtId="0" fontId="157" fillId="53" borderId="7" xfId="0" applyFont="1" applyFill="1" applyBorder="1" applyAlignment="1">
      <alignment horizontal="center" vertical="center"/>
    </xf>
    <xf numFmtId="205" fontId="56" fillId="13" borderId="342" xfId="0" applyNumberFormat="1" applyFont="1" applyFill="1" applyBorder="1" applyAlignment="1">
      <alignment horizontal="center" vertical="center"/>
    </xf>
    <xf numFmtId="205" fontId="56" fillId="13" borderId="355" xfId="0" applyNumberFormat="1" applyFont="1" applyFill="1" applyBorder="1" applyAlignment="1">
      <alignment horizontal="center" vertical="center"/>
    </xf>
    <xf numFmtId="205" fontId="56" fillId="13" borderId="356" xfId="0" applyNumberFormat="1" applyFont="1" applyFill="1" applyBorder="1" applyAlignment="1">
      <alignment horizontal="center" vertical="center"/>
    </xf>
    <xf numFmtId="205" fontId="56" fillId="35" borderId="356" xfId="0" applyNumberFormat="1" applyFont="1" applyFill="1" applyBorder="1" applyAlignment="1">
      <alignment horizontal="center" vertical="center"/>
    </xf>
    <xf numFmtId="205" fontId="56" fillId="35" borderId="355" xfId="0" applyNumberFormat="1" applyFont="1" applyFill="1" applyBorder="1" applyAlignment="1">
      <alignment horizontal="center" vertical="center"/>
    </xf>
    <xf numFmtId="205" fontId="56" fillId="35" borderId="346" xfId="0" applyNumberFormat="1" applyFont="1" applyFill="1" applyBorder="1" applyAlignment="1">
      <alignment horizontal="center" vertical="center"/>
    </xf>
    <xf numFmtId="205" fontId="56" fillId="35" borderId="342" xfId="0" applyNumberFormat="1" applyFont="1" applyFill="1" applyBorder="1" applyAlignment="1">
      <alignment horizontal="center" vertical="center"/>
    </xf>
    <xf numFmtId="205" fontId="56" fillId="0" borderId="0" xfId="0" applyNumberFormat="1" applyFont="1" applyAlignment="1">
      <alignment horizontal="center" vertical="center"/>
    </xf>
    <xf numFmtId="205" fontId="79" fillId="0" borderId="0" xfId="0" applyNumberFormat="1" applyFont="1" applyAlignment="1">
      <alignment horizontal="center" vertical="center"/>
    </xf>
    <xf numFmtId="41" fontId="80" fillId="5" borderId="211" xfId="0" quotePrefix="1" applyNumberFormat="1" applyFont="1" applyFill="1" applyBorder="1" applyAlignment="1">
      <alignment horizontal="center" vertical="center" shrinkToFit="1"/>
    </xf>
    <xf numFmtId="41" fontId="80" fillId="5" borderId="211" xfId="0" applyNumberFormat="1" applyFont="1" applyFill="1" applyBorder="1" applyAlignment="1">
      <alignment horizontal="center" vertical="center" shrinkToFit="1"/>
    </xf>
    <xf numFmtId="41" fontId="80" fillId="5" borderId="348" xfId="0" applyNumberFormat="1" applyFont="1" applyFill="1" applyBorder="1" applyAlignment="1">
      <alignment horizontal="center" vertical="center" shrinkToFit="1"/>
    </xf>
    <xf numFmtId="41" fontId="80" fillId="5" borderId="358" xfId="0" applyNumberFormat="1" applyFont="1" applyFill="1" applyBorder="1" applyAlignment="1">
      <alignment horizontal="center" vertical="center" shrinkToFit="1"/>
    </xf>
    <xf numFmtId="0" fontId="154" fillId="52" borderId="36" xfId="0" quotePrefix="1" applyFont="1" applyFill="1" applyBorder="1" applyAlignment="1">
      <alignment horizontal="center" vertical="center"/>
    </xf>
    <xf numFmtId="0" fontId="56" fillId="35" borderId="26" xfId="0" applyFont="1" applyFill="1" applyBorder="1" applyAlignment="1">
      <alignment horizontal="right" vertical="center"/>
    </xf>
    <xf numFmtId="178" fontId="56" fillId="13" borderId="25" xfId="0" applyNumberFormat="1" applyFont="1" applyFill="1" applyBorder="1" applyAlignment="1">
      <alignment horizontal="right" vertical="center"/>
    </xf>
    <xf numFmtId="178" fontId="56" fillId="13" borderId="0" xfId="0" applyNumberFormat="1" applyFont="1" applyFill="1" applyAlignment="1">
      <alignment horizontal="right" vertical="center"/>
    </xf>
    <xf numFmtId="178" fontId="56" fillId="13" borderId="17" xfId="0" applyNumberFormat="1" applyFont="1" applyFill="1" applyBorder="1" applyAlignment="1">
      <alignment horizontal="right" vertical="center"/>
    </xf>
    <xf numFmtId="178" fontId="56" fillId="35" borderId="17" xfId="0" applyNumberFormat="1" applyFont="1" applyFill="1" applyBorder="1" applyAlignment="1">
      <alignment horizontal="right" vertical="center"/>
    </xf>
    <xf numFmtId="178" fontId="56" fillId="35" borderId="0" xfId="0" applyNumberFormat="1" applyFont="1" applyFill="1" applyAlignment="1">
      <alignment horizontal="right" vertical="center"/>
    </xf>
    <xf numFmtId="178" fontId="56" fillId="35" borderId="190" xfId="0" applyNumberFormat="1" applyFont="1" applyFill="1" applyBorder="1" applyAlignment="1">
      <alignment horizontal="right" vertical="center"/>
    </xf>
    <xf numFmtId="178" fontId="56" fillId="35" borderId="25" xfId="0" applyNumberFormat="1" applyFont="1" applyFill="1" applyBorder="1" applyAlignment="1">
      <alignment horizontal="right" vertical="center"/>
    </xf>
    <xf numFmtId="41" fontId="56" fillId="35" borderId="0" xfId="0" applyNumberFormat="1" applyFont="1" applyFill="1">
      <alignment vertical="center"/>
    </xf>
    <xf numFmtId="178" fontId="56" fillId="0" borderId="0" xfId="0" applyNumberFormat="1" applyFont="1" applyAlignment="1">
      <alignment horizontal="right" vertical="center"/>
    </xf>
    <xf numFmtId="178" fontId="79" fillId="0" borderId="0" xfId="0" applyNumberFormat="1" applyFont="1" applyAlignment="1">
      <alignment horizontal="right" vertical="center"/>
    </xf>
    <xf numFmtId="0" fontId="78" fillId="12" borderId="208" xfId="0" applyFont="1" applyFill="1" applyBorder="1" applyAlignment="1">
      <alignment horizontal="center" vertical="center" shrinkToFit="1"/>
    </xf>
    <xf numFmtId="206" fontId="78" fillId="12" borderId="211" xfId="0" applyNumberFormat="1" applyFont="1" applyFill="1" applyBorder="1" applyAlignment="1">
      <alignment horizontal="right" vertical="center" shrinkToFit="1"/>
    </xf>
    <xf numFmtId="206" fontId="78" fillId="12" borderId="358" xfId="0" applyNumberFormat="1" applyFont="1" applyFill="1" applyBorder="1" applyAlignment="1">
      <alignment horizontal="right" vertical="center" shrinkToFit="1"/>
    </xf>
    <xf numFmtId="206" fontId="78" fillId="12" borderId="348" xfId="0" applyNumberFormat="1" applyFont="1" applyFill="1" applyBorder="1" applyAlignment="1">
      <alignment horizontal="right" vertical="center" shrinkToFit="1"/>
    </xf>
    <xf numFmtId="206" fontId="80" fillId="12" borderId="354" xfId="0" applyNumberFormat="1" applyFont="1" applyFill="1" applyBorder="1" applyAlignment="1">
      <alignment horizontal="right" vertical="center" shrinkToFit="1"/>
    </xf>
    <xf numFmtId="0" fontId="35" fillId="19" borderId="360" xfId="0" applyFont="1" applyFill="1" applyBorder="1">
      <alignment vertical="center"/>
    </xf>
    <xf numFmtId="49" fontId="35" fillId="19" borderId="361" xfId="0" applyNumberFormat="1" applyFont="1" applyFill="1" applyBorder="1">
      <alignment vertical="center"/>
    </xf>
    <xf numFmtId="0" fontId="35" fillId="19" borderId="362" xfId="0" applyFont="1" applyFill="1" applyBorder="1" applyAlignment="1">
      <alignment horizontal="left" vertical="center"/>
    </xf>
    <xf numFmtId="0" fontId="35" fillId="19" borderId="362" xfId="0" applyFont="1" applyFill="1" applyBorder="1">
      <alignment vertical="center"/>
    </xf>
    <xf numFmtId="41" fontId="35" fillId="19" borderId="362" xfId="0" applyNumberFormat="1" applyFont="1" applyFill="1" applyBorder="1" applyAlignment="1">
      <alignment horizontal="center" vertical="center"/>
    </xf>
    <xf numFmtId="41" fontId="35" fillId="19" borderId="362" xfId="0" applyNumberFormat="1" applyFont="1" applyFill="1" applyBorder="1">
      <alignment vertical="center"/>
    </xf>
    <xf numFmtId="0" fontId="35" fillId="19" borderId="37" xfId="0" applyFont="1" applyFill="1" applyBorder="1" applyAlignment="1">
      <alignment horizontal="center" vertical="center" shrinkToFit="1"/>
    </xf>
    <xf numFmtId="41" fontId="35" fillId="19" borderId="37" xfId="0" applyNumberFormat="1" applyFont="1" applyFill="1" applyBorder="1">
      <alignment vertical="center"/>
    </xf>
    <xf numFmtId="41" fontId="35" fillId="19" borderId="37" xfId="0" applyNumberFormat="1" applyFont="1" applyFill="1" applyBorder="1" applyAlignment="1">
      <alignment vertical="center" shrinkToFit="1"/>
    </xf>
    <xf numFmtId="41" fontId="35" fillId="19" borderId="37" xfId="0" applyNumberFormat="1" applyFont="1" applyFill="1" applyBorder="1" applyAlignment="1">
      <alignment horizontal="left" vertical="center"/>
    </xf>
    <xf numFmtId="0" fontId="56" fillId="35" borderId="26" xfId="0" applyFont="1" applyFill="1" applyBorder="1" applyAlignment="1">
      <alignment horizontal="center" vertical="center"/>
    </xf>
    <xf numFmtId="41" fontId="56" fillId="13" borderId="25" xfId="0" applyNumberFormat="1" applyFont="1" applyFill="1" applyBorder="1" applyAlignment="1">
      <alignment horizontal="center" vertical="center"/>
    </xf>
    <xf numFmtId="41" fontId="56" fillId="13" borderId="0" xfId="0" applyNumberFormat="1" applyFont="1" applyFill="1">
      <alignment vertical="center"/>
    </xf>
    <xf numFmtId="41" fontId="56" fillId="13" borderId="17" xfId="0" applyNumberFormat="1" applyFont="1" applyFill="1" applyBorder="1">
      <alignment vertical="center"/>
    </xf>
    <xf numFmtId="41" fontId="56" fillId="35" borderId="17" xfId="0" applyNumberFormat="1" applyFont="1" applyFill="1" applyBorder="1">
      <alignment vertical="center"/>
    </xf>
    <xf numFmtId="41" fontId="56" fillId="35" borderId="190" xfId="0" applyNumberFormat="1" applyFont="1" applyFill="1" applyBorder="1">
      <alignment vertical="center"/>
    </xf>
    <xf numFmtId="41" fontId="56" fillId="35" borderId="25" xfId="0" applyNumberFormat="1" applyFont="1" applyFill="1" applyBorder="1" applyAlignment="1">
      <alignment horizontal="center" vertical="center"/>
    </xf>
    <xf numFmtId="41" fontId="56" fillId="35" borderId="25" xfId="0" applyNumberFormat="1" applyFont="1" applyFill="1" applyBorder="1">
      <alignment vertical="center"/>
    </xf>
    <xf numFmtId="41" fontId="56" fillId="0" borderId="0" xfId="0" applyNumberFormat="1" applyFont="1">
      <alignment vertical="center"/>
    </xf>
    <xf numFmtId="0" fontId="79" fillId="35" borderId="0" xfId="0" applyFont="1" applyFill="1" applyAlignment="1">
      <alignment horizontal="center" vertical="center"/>
    </xf>
    <xf numFmtId="41" fontId="79" fillId="0" borderId="0" xfId="0" applyNumberFormat="1" applyFont="1">
      <alignment vertical="center"/>
    </xf>
    <xf numFmtId="0" fontId="78" fillId="12" borderId="275" xfId="0" applyFont="1" applyFill="1" applyBorder="1" applyAlignment="1">
      <alignment horizontal="center" vertical="center" shrinkToFit="1"/>
    </xf>
    <xf numFmtId="206" fontId="78" fillId="12" borderId="0" xfId="0" applyNumberFormat="1" applyFont="1" applyFill="1" applyAlignment="1">
      <alignment horizontal="right" vertical="center" shrinkToFit="1"/>
    </xf>
    <xf numFmtId="206" fontId="78" fillId="12" borderId="25" xfId="0" applyNumberFormat="1" applyFont="1" applyFill="1" applyBorder="1" applyAlignment="1">
      <alignment horizontal="right" vertical="center" shrinkToFit="1"/>
    </xf>
    <xf numFmtId="206" fontId="78" fillId="12" borderId="26" xfId="0" applyNumberFormat="1" applyFont="1" applyFill="1" applyBorder="1" applyAlignment="1">
      <alignment horizontal="right" vertical="center" shrinkToFit="1"/>
    </xf>
    <xf numFmtId="206" fontId="80" fillId="12" borderId="363" xfId="0" applyNumberFormat="1" applyFont="1" applyFill="1" applyBorder="1" applyAlignment="1">
      <alignment horizontal="right" vertical="center" shrinkToFit="1"/>
    </xf>
    <xf numFmtId="0" fontId="35" fillId="0" borderId="25" xfId="0" applyFont="1" applyBorder="1">
      <alignment vertical="center"/>
    </xf>
    <xf numFmtId="49" fontId="35" fillId="0" borderId="251" xfId="0" applyNumberFormat="1" applyFont="1" applyBorder="1">
      <alignment vertical="center"/>
    </xf>
    <xf numFmtId="0" fontId="35" fillId="0" borderId="26" xfId="0" applyFont="1" applyBorder="1" applyAlignment="1">
      <alignment horizontal="left" vertical="center"/>
    </xf>
    <xf numFmtId="0" fontId="35" fillId="0" borderId="26" xfId="0" applyFont="1" applyBorder="1">
      <alignment vertical="center"/>
    </xf>
    <xf numFmtId="41" fontId="35" fillId="0" borderId="26" xfId="0" applyNumberFormat="1" applyFont="1" applyBorder="1" applyAlignment="1">
      <alignment horizontal="center" vertical="center"/>
    </xf>
    <xf numFmtId="41" fontId="35" fillId="0" borderId="26" xfId="0" applyNumberFormat="1" applyFont="1" applyBorder="1">
      <alignment vertical="center"/>
    </xf>
    <xf numFmtId="0" fontId="35" fillId="0" borderId="190" xfId="0" quotePrefix="1" applyFont="1" applyBorder="1" applyAlignment="1">
      <alignment horizontal="center" vertical="center" shrinkToFit="1"/>
    </xf>
    <xf numFmtId="207" fontId="35" fillId="0" borderId="190" xfId="0" applyNumberFormat="1" applyFont="1" applyBorder="1" applyAlignment="1">
      <alignment vertical="center" shrinkToFit="1"/>
    </xf>
    <xf numFmtId="207" fontId="35" fillId="0" borderId="190" xfId="0" applyNumberFormat="1" applyFont="1" applyBorder="1">
      <alignment vertical="center"/>
    </xf>
    <xf numFmtId="41" fontId="35" fillId="0" borderId="190" xfId="0" applyNumberFormat="1" applyFont="1" applyBorder="1" applyAlignment="1">
      <alignment vertical="center" shrinkToFit="1"/>
    </xf>
    <xf numFmtId="41" fontId="35" fillId="0" borderId="190" xfId="0" applyNumberFormat="1" applyFont="1" applyBorder="1">
      <alignment vertical="center"/>
    </xf>
    <xf numFmtId="208" fontId="35" fillId="0" borderId="26" xfId="0" applyNumberFormat="1" applyFont="1" applyBorder="1" applyAlignment="1">
      <alignment horizontal="left" vertical="center"/>
    </xf>
    <xf numFmtId="0" fontId="58" fillId="35" borderId="2" xfId="0" applyFont="1" applyFill="1" applyBorder="1">
      <alignment vertical="center"/>
    </xf>
    <xf numFmtId="0" fontId="56" fillId="35" borderId="7" xfId="0" applyFont="1" applyFill="1" applyBorder="1" applyAlignment="1">
      <alignment horizontal="center" vertical="center"/>
    </xf>
    <xf numFmtId="41" fontId="56" fillId="13" borderId="6" xfId="0" applyNumberFormat="1" applyFont="1" applyFill="1" applyBorder="1" applyAlignment="1">
      <alignment horizontal="center" vertical="center"/>
    </xf>
    <xf numFmtId="41" fontId="56" fillId="13" borderId="2" xfId="0" applyNumberFormat="1" applyFont="1" applyFill="1" applyBorder="1">
      <alignment vertical="center"/>
    </xf>
    <xf numFmtId="41" fontId="56" fillId="13" borderId="22" xfId="0" applyNumberFormat="1" applyFont="1" applyFill="1" applyBorder="1">
      <alignment vertical="center"/>
    </xf>
    <xf numFmtId="41" fontId="56" fillId="35" borderId="22" xfId="0" applyNumberFormat="1" applyFont="1" applyFill="1" applyBorder="1">
      <alignment vertical="center"/>
    </xf>
    <xf numFmtId="41" fontId="56" fillId="35" borderId="2" xfId="0" applyNumberFormat="1" applyFont="1" applyFill="1" applyBorder="1">
      <alignment vertical="center"/>
    </xf>
    <xf numFmtId="41" fontId="56" fillId="35" borderId="42" xfId="0" applyNumberFormat="1" applyFont="1" applyFill="1" applyBorder="1">
      <alignment vertical="center"/>
    </xf>
    <xf numFmtId="41" fontId="56" fillId="35" borderId="6" xfId="0" applyNumberFormat="1" applyFont="1" applyFill="1" applyBorder="1" applyAlignment="1">
      <alignment horizontal="center" vertical="center"/>
    </xf>
    <xf numFmtId="41" fontId="56" fillId="35" borderId="6" xfId="0" applyNumberFormat="1" applyFont="1" applyFill="1" applyBorder="1">
      <alignment vertical="center"/>
    </xf>
    <xf numFmtId="41" fontId="79" fillId="35" borderId="0" xfId="0" applyNumberFormat="1" applyFont="1" applyFill="1" applyAlignment="1">
      <alignment horizontal="center" vertical="center"/>
    </xf>
    <xf numFmtId="187" fontId="79" fillId="35" borderId="0" xfId="0" applyNumberFormat="1" applyFont="1" applyFill="1">
      <alignment vertical="center"/>
    </xf>
    <xf numFmtId="0" fontId="78" fillId="31" borderId="275" xfId="0" applyFont="1" applyFill="1" applyBorder="1" applyAlignment="1">
      <alignment horizontal="center" vertical="center" shrinkToFit="1"/>
    </xf>
    <xf numFmtId="206" fontId="78" fillId="0" borderId="0" xfId="0" applyNumberFormat="1" applyFont="1" applyAlignment="1">
      <alignment horizontal="right" vertical="center" shrinkToFit="1"/>
    </xf>
    <xf numFmtId="206" fontId="78" fillId="0" borderId="25" xfId="0" applyNumberFormat="1" applyFont="1" applyBorder="1" applyAlignment="1">
      <alignment horizontal="right" vertical="center" shrinkToFit="1"/>
    </xf>
    <xf numFmtId="206" fontId="78" fillId="0" borderId="26" xfId="0" applyNumberFormat="1" applyFont="1" applyBorder="1" applyAlignment="1">
      <alignment horizontal="right" vertical="center" shrinkToFit="1"/>
    </xf>
    <xf numFmtId="206" fontId="80" fillId="0" borderId="363" xfId="0" applyNumberFormat="1" applyFont="1" applyBorder="1" applyAlignment="1">
      <alignment horizontal="right" vertical="center" shrinkToFit="1"/>
    </xf>
    <xf numFmtId="0" fontId="35" fillId="12" borderId="25" xfId="0" applyFont="1" applyFill="1" applyBorder="1">
      <alignment vertical="center"/>
    </xf>
    <xf numFmtId="49" fontId="35" fillId="12" borderId="251" xfId="0" applyNumberFormat="1" applyFont="1" applyFill="1" applyBorder="1">
      <alignment vertical="center"/>
    </xf>
    <xf numFmtId="0" fontId="35" fillId="12" borderId="26" xfId="0" applyFont="1" applyFill="1" applyBorder="1" applyAlignment="1">
      <alignment horizontal="left" vertical="center"/>
    </xf>
    <xf numFmtId="0" fontId="35" fillId="12" borderId="26" xfId="0" applyFont="1" applyFill="1" applyBorder="1">
      <alignment vertical="center"/>
    </xf>
    <xf numFmtId="41" fontId="35" fillId="12" borderId="26" xfId="0" applyNumberFormat="1" applyFont="1" applyFill="1" applyBorder="1" applyAlignment="1">
      <alignment horizontal="center" vertical="center"/>
    </xf>
    <xf numFmtId="41" fontId="35" fillId="12" borderId="26" xfId="0" applyNumberFormat="1" applyFont="1" applyFill="1" applyBorder="1">
      <alignment vertical="center"/>
    </xf>
    <xf numFmtId="0" fontId="35" fillId="12" borderId="190" xfId="0" quotePrefix="1" applyFont="1" applyFill="1" applyBorder="1" applyAlignment="1">
      <alignment horizontal="center" vertical="center" shrinkToFit="1"/>
    </xf>
    <xf numFmtId="207" fontId="35" fillId="12" borderId="190" xfId="0" applyNumberFormat="1" applyFont="1" applyFill="1" applyBorder="1" applyAlignment="1">
      <alignment vertical="center" shrinkToFit="1"/>
    </xf>
    <xf numFmtId="207" fontId="35" fillId="12" borderId="190" xfId="0" applyNumberFormat="1" applyFont="1" applyFill="1" applyBorder="1">
      <alignment vertical="center"/>
    </xf>
    <xf numFmtId="41" fontId="35" fillId="12" borderId="190" xfId="0" applyNumberFormat="1" applyFont="1" applyFill="1" applyBorder="1" applyAlignment="1">
      <alignment vertical="center" shrinkToFit="1"/>
    </xf>
    <xf numFmtId="41" fontId="35" fillId="12" borderId="190" xfId="0" applyNumberFormat="1" applyFont="1" applyFill="1" applyBorder="1">
      <alignment vertical="center"/>
    </xf>
    <xf numFmtId="208" fontId="35" fillId="12" borderId="26" xfId="0" applyNumberFormat="1" applyFont="1" applyFill="1" applyBorder="1" applyAlignment="1">
      <alignment horizontal="left" vertical="center"/>
    </xf>
    <xf numFmtId="0" fontId="58" fillId="8" borderId="0" xfId="0" applyFont="1" applyFill="1">
      <alignment vertical="center"/>
    </xf>
    <xf numFmtId="0" fontId="58" fillId="8" borderId="26" xfId="0" applyFont="1" applyFill="1" applyBorder="1" applyAlignment="1">
      <alignment horizontal="center" vertical="center"/>
    </xf>
    <xf numFmtId="41" fontId="58" fillId="13" borderId="25" xfId="0" applyNumberFormat="1" applyFont="1" applyFill="1" applyBorder="1" applyAlignment="1">
      <alignment horizontal="center" vertical="center"/>
    </xf>
    <xf numFmtId="41" fontId="58" fillId="13" borderId="0" xfId="0" applyNumberFormat="1" applyFont="1" applyFill="1">
      <alignment vertical="center"/>
    </xf>
    <xf numFmtId="41" fontId="58" fillId="13" borderId="17" xfId="0" applyNumberFormat="1" applyFont="1" applyFill="1" applyBorder="1">
      <alignment vertical="center"/>
    </xf>
    <xf numFmtId="41" fontId="58" fillId="8" borderId="17" xfId="0" applyNumberFormat="1" applyFont="1" applyFill="1" applyBorder="1">
      <alignment vertical="center"/>
    </xf>
    <xf numFmtId="41" fontId="58" fillId="8" borderId="0" xfId="0" applyNumberFormat="1" applyFont="1" applyFill="1">
      <alignment vertical="center"/>
    </xf>
    <xf numFmtId="41" fontId="58" fillId="8" borderId="190" xfId="0" applyNumberFormat="1" applyFont="1" applyFill="1" applyBorder="1">
      <alignment vertical="center"/>
    </xf>
    <xf numFmtId="41" fontId="58" fillId="8" borderId="25" xfId="0" applyNumberFormat="1" applyFont="1" applyFill="1" applyBorder="1" applyAlignment="1">
      <alignment horizontal="center" vertical="center"/>
    </xf>
    <xf numFmtId="41" fontId="58" fillId="8" borderId="25" xfId="0" applyNumberFormat="1" applyFont="1" applyFill="1" applyBorder="1">
      <alignment vertical="center"/>
    </xf>
    <xf numFmtId="0" fontId="78" fillId="31" borderId="364" xfId="0" applyFont="1" applyFill="1" applyBorder="1" applyAlignment="1">
      <alignment horizontal="center" vertical="center" shrinkToFit="1"/>
    </xf>
    <xf numFmtId="206" fontId="78" fillId="0" borderId="365" xfId="0" applyNumberFormat="1" applyFont="1" applyBorder="1" applyAlignment="1">
      <alignment horizontal="right" vertical="center" shrinkToFit="1"/>
    </xf>
    <xf numFmtId="206" fontId="78" fillId="0" borderId="366" xfId="0" applyNumberFormat="1" applyFont="1" applyBorder="1" applyAlignment="1">
      <alignment horizontal="right" vertical="center" shrinkToFit="1"/>
    </xf>
    <xf numFmtId="206" fontId="78" fillId="0" borderId="367" xfId="0" applyNumberFormat="1" applyFont="1" applyBorder="1" applyAlignment="1">
      <alignment horizontal="right" vertical="center" shrinkToFit="1"/>
    </xf>
    <xf numFmtId="206" fontId="80" fillId="0" borderId="368" xfId="0" applyNumberFormat="1" applyFont="1" applyBorder="1" applyAlignment="1">
      <alignment horizontal="right" vertical="center" shrinkToFit="1"/>
    </xf>
    <xf numFmtId="0" fontId="35" fillId="19" borderId="369" xfId="0" applyFont="1" applyFill="1" applyBorder="1">
      <alignment vertical="center"/>
    </xf>
    <xf numFmtId="49" fontId="35" fillId="19" borderId="370" xfId="0" applyNumberFormat="1" applyFont="1" applyFill="1" applyBorder="1">
      <alignment vertical="center"/>
    </xf>
    <xf numFmtId="0" fontId="35" fillId="19" borderId="371" xfId="0" applyFont="1" applyFill="1" applyBorder="1" applyAlignment="1">
      <alignment horizontal="left" vertical="center"/>
    </xf>
    <xf numFmtId="0" fontId="35" fillId="19" borderId="371" xfId="0" applyFont="1" applyFill="1" applyBorder="1">
      <alignment vertical="center"/>
    </xf>
    <xf numFmtId="41" fontId="35" fillId="19" borderId="371" xfId="0" applyNumberFormat="1" applyFont="1" applyFill="1" applyBorder="1" applyAlignment="1">
      <alignment horizontal="center" vertical="center"/>
    </xf>
    <xf numFmtId="41" fontId="35" fillId="19" borderId="371" xfId="0" applyNumberFormat="1" applyFont="1" applyFill="1" applyBorder="1">
      <alignment vertical="center"/>
    </xf>
    <xf numFmtId="0" fontId="35" fillId="19" borderId="38" xfId="0" applyFont="1" applyFill="1" applyBorder="1" applyAlignment="1">
      <alignment horizontal="center" vertical="center" shrinkToFit="1"/>
    </xf>
    <xf numFmtId="41" fontId="35" fillId="19" borderId="38" xfId="0" applyNumberFormat="1" applyFont="1" applyFill="1" applyBorder="1">
      <alignment vertical="center"/>
    </xf>
    <xf numFmtId="208" fontId="35" fillId="19" borderId="371" xfId="0" applyNumberFormat="1" applyFont="1" applyFill="1" applyBorder="1" applyAlignment="1">
      <alignment horizontal="left" vertical="center"/>
    </xf>
    <xf numFmtId="0" fontId="80" fillId="16" borderId="372" xfId="0" applyFont="1" applyFill="1" applyBorder="1" applyAlignment="1">
      <alignment horizontal="center" vertical="center" shrinkToFit="1"/>
    </xf>
    <xf numFmtId="206" fontId="80" fillId="16" borderId="373" xfId="0" applyNumberFormat="1" applyFont="1" applyFill="1" applyBorder="1" applyAlignment="1">
      <alignment horizontal="right" vertical="center" shrinkToFit="1"/>
    </xf>
    <xf numFmtId="206" fontId="80" fillId="16" borderId="374" xfId="0" applyNumberFormat="1" applyFont="1" applyFill="1" applyBorder="1" applyAlignment="1">
      <alignment horizontal="right" vertical="center" shrinkToFit="1"/>
    </xf>
    <xf numFmtId="206" fontId="80" fillId="16" borderId="375" xfId="0" applyNumberFormat="1" applyFont="1" applyFill="1" applyBorder="1" applyAlignment="1">
      <alignment horizontal="right" vertical="center" shrinkToFit="1"/>
    </xf>
    <xf numFmtId="206" fontId="80" fillId="16" borderId="376" xfId="0" applyNumberFormat="1" applyFont="1" applyFill="1" applyBorder="1" applyAlignment="1">
      <alignment horizontal="right" vertical="center" shrinkToFit="1"/>
    </xf>
    <xf numFmtId="0" fontId="35" fillId="8" borderId="371" xfId="0" quotePrefix="1" applyFont="1" applyFill="1" applyBorder="1" applyAlignment="1">
      <alignment horizontal="left" vertical="center"/>
    </xf>
    <xf numFmtId="0" fontId="35" fillId="8" borderId="371" xfId="0" quotePrefix="1" applyFont="1" applyFill="1" applyBorder="1" applyAlignment="1">
      <alignment horizontal="center" vertical="center"/>
    </xf>
    <xf numFmtId="0" fontId="35" fillId="8" borderId="38" xfId="0" applyFont="1" applyFill="1" applyBorder="1" applyAlignment="1">
      <alignment horizontal="center" vertical="center" shrinkToFit="1"/>
    </xf>
    <xf numFmtId="41" fontId="35" fillId="8" borderId="38" xfId="0" applyNumberFormat="1" applyFont="1" applyFill="1" applyBorder="1">
      <alignment vertical="center"/>
    </xf>
    <xf numFmtId="208" fontId="35" fillId="8" borderId="38" xfId="0" applyNumberFormat="1" applyFont="1" applyFill="1" applyBorder="1" applyAlignment="1">
      <alignment horizontal="left" vertical="center"/>
    </xf>
    <xf numFmtId="0" fontId="78" fillId="12" borderId="0" xfId="0" applyFont="1" applyFill="1" applyAlignment="1">
      <alignment horizontal="center" vertical="center" shrinkToFit="1"/>
    </xf>
    <xf numFmtId="0" fontId="78" fillId="12" borderId="377" xfId="0" applyFont="1" applyFill="1" applyBorder="1" applyAlignment="1">
      <alignment horizontal="center" vertical="center" shrinkToFit="1"/>
    </xf>
    <xf numFmtId="206" fontId="78" fillId="12" borderId="3" xfId="0" applyNumberFormat="1" applyFont="1" applyFill="1" applyBorder="1" applyAlignment="1">
      <alignment horizontal="right" vertical="center" shrinkToFit="1"/>
    </xf>
    <xf numFmtId="206" fontId="78" fillId="12" borderId="23" xfId="0" applyNumberFormat="1" applyFont="1" applyFill="1" applyBorder="1" applyAlignment="1">
      <alignment horizontal="right" vertical="center" shrinkToFit="1"/>
    </xf>
    <xf numFmtId="206" fontId="78" fillId="12" borderId="24" xfId="0" applyNumberFormat="1" applyFont="1" applyFill="1" applyBorder="1" applyAlignment="1">
      <alignment horizontal="right" vertical="center" shrinkToFit="1"/>
    </xf>
    <xf numFmtId="206" fontId="80" fillId="12" borderId="378" xfId="0" applyNumberFormat="1" applyFont="1" applyFill="1" applyBorder="1" applyAlignment="1">
      <alignment horizontal="right" vertical="center" shrinkToFit="1"/>
    </xf>
    <xf numFmtId="0" fontId="35" fillId="0" borderId="379" xfId="0" applyFont="1" applyBorder="1" applyAlignment="1">
      <alignment horizontal="left" vertical="center" shrinkToFit="1"/>
    </xf>
    <xf numFmtId="0" fontId="35" fillId="0" borderId="26" xfId="0" quotePrefix="1" applyFont="1" applyBorder="1" applyAlignment="1">
      <alignment horizontal="left" vertical="center"/>
    </xf>
    <xf numFmtId="0" fontId="35" fillId="0" borderId="190" xfId="0" applyFont="1" applyBorder="1" applyAlignment="1">
      <alignment horizontal="center" vertical="center" shrinkToFit="1"/>
    </xf>
    <xf numFmtId="208" fontId="35" fillId="0" borderId="190" xfId="0" applyNumberFormat="1" applyFont="1" applyBorder="1" applyAlignment="1">
      <alignment horizontal="left" vertical="center"/>
    </xf>
    <xf numFmtId="209" fontId="56" fillId="35" borderId="25" xfId="0" applyNumberFormat="1" applyFont="1" applyFill="1" applyBorder="1" applyAlignment="1">
      <alignment horizontal="center" vertical="center"/>
    </xf>
    <xf numFmtId="49" fontId="35" fillId="12" borderId="0" xfId="0" applyNumberFormat="1" applyFont="1" applyFill="1">
      <alignment vertical="center"/>
    </xf>
    <xf numFmtId="0" fontId="35" fillId="12" borderId="379" xfId="0" applyFont="1" applyFill="1" applyBorder="1" applyAlignment="1">
      <alignment horizontal="left" vertical="center" shrinkToFit="1"/>
    </xf>
    <xf numFmtId="0" fontId="35" fillId="12" borderId="26" xfId="0" quotePrefix="1" applyFont="1" applyFill="1" applyBorder="1" applyAlignment="1">
      <alignment horizontal="left" vertical="center"/>
    </xf>
    <xf numFmtId="0" fontId="35" fillId="12" borderId="190" xfId="0" applyFont="1" applyFill="1" applyBorder="1" applyAlignment="1">
      <alignment horizontal="center" vertical="center" shrinkToFit="1"/>
    </xf>
    <xf numFmtId="208" fontId="35" fillId="12" borderId="190" xfId="0" applyNumberFormat="1" applyFont="1" applyFill="1" applyBorder="1" applyAlignment="1">
      <alignment horizontal="left" vertical="center"/>
    </xf>
    <xf numFmtId="0" fontId="35" fillId="12" borderId="379" xfId="0" applyFont="1" applyFill="1" applyBorder="1" applyAlignment="1">
      <alignment horizontal="left" vertical="center"/>
    </xf>
    <xf numFmtId="41" fontId="58" fillId="8" borderId="23" xfId="0" applyNumberFormat="1" applyFont="1" applyFill="1" applyBorder="1">
      <alignment vertical="center"/>
    </xf>
    <xf numFmtId="0" fontId="78" fillId="0" borderId="275" xfId="0" applyFont="1" applyBorder="1" applyAlignment="1">
      <alignment horizontal="center" vertical="center" shrinkToFit="1"/>
    </xf>
    <xf numFmtId="0" fontId="79" fillId="35" borderId="26" xfId="0" applyFont="1" applyFill="1" applyBorder="1" applyAlignment="1">
      <alignment horizontal="center" vertical="center"/>
    </xf>
    <xf numFmtId="41" fontId="79" fillId="13" borderId="25" xfId="0" applyNumberFormat="1" applyFont="1" applyFill="1" applyBorder="1" applyAlignment="1">
      <alignment horizontal="center" vertical="center"/>
    </xf>
    <xf numFmtId="41" fontId="79" fillId="13" borderId="0" xfId="0" applyNumberFormat="1" applyFont="1" applyFill="1">
      <alignment vertical="center"/>
    </xf>
    <xf numFmtId="41" fontId="79" fillId="13" borderId="16" xfId="0" applyNumberFormat="1" applyFont="1" applyFill="1" applyBorder="1">
      <alignment vertical="center"/>
    </xf>
    <xf numFmtId="41" fontId="79" fillId="13" borderId="17" xfId="0" applyNumberFormat="1" applyFont="1" applyFill="1" applyBorder="1">
      <alignment vertical="center"/>
    </xf>
    <xf numFmtId="41" fontId="79" fillId="35" borderId="17" xfId="0" applyNumberFormat="1" applyFont="1" applyFill="1" applyBorder="1">
      <alignment vertical="center"/>
    </xf>
    <xf numFmtId="41" fontId="79" fillId="35" borderId="190" xfId="0" applyNumberFormat="1" applyFont="1" applyFill="1" applyBorder="1">
      <alignment vertical="center"/>
    </xf>
    <xf numFmtId="41" fontId="79" fillId="35" borderId="25" xfId="0" applyNumberFormat="1" applyFont="1" applyFill="1" applyBorder="1" applyAlignment="1">
      <alignment horizontal="center" vertical="center"/>
    </xf>
    <xf numFmtId="41" fontId="79" fillId="35" borderId="16" xfId="0" applyNumberFormat="1" applyFont="1" applyFill="1" applyBorder="1">
      <alignment vertical="center"/>
    </xf>
    <xf numFmtId="41" fontId="56" fillId="35" borderId="380" xfId="0" applyNumberFormat="1" applyFont="1" applyFill="1" applyBorder="1">
      <alignment vertical="center"/>
    </xf>
    <xf numFmtId="41" fontId="79" fillId="35" borderId="25" xfId="0" applyNumberFormat="1" applyFont="1" applyFill="1" applyBorder="1">
      <alignment vertical="center"/>
    </xf>
    <xf numFmtId="0" fontId="35" fillId="0" borderId="379" xfId="0" applyFont="1" applyBorder="1" applyAlignment="1">
      <alignment horizontal="left" vertical="center"/>
    </xf>
    <xf numFmtId="0" fontId="78" fillId="0" borderId="0" xfId="0" applyFont="1" applyAlignment="1">
      <alignment horizontal="center" vertical="center" shrinkToFit="1"/>
    </xf>
    <xf numFmtId="0" fontId="35" fillId="0" borderId="366" xfId="0" applyFont="1" applyBorder="1">
      <alignment vertical="center"/>
    </xf>
    <xf numFmtId="49" fontId="35" fillId="0" borderId="365" xfId="0" applyNumberFormat="1" applyFont="1" applyBorder="1">
      <alignment vertical="center"/>
    </xf>
    <xf numFmtId="0" fontId="35" fillId="0" borderId="222" xfId="0" applyFont="1" applyBorder="1" applyAlignment="1">
      <alignment horizontal="left" vertical="center"/>
    </xf>
    <xf numFmtId="0" fontId="35" fillId="0" borderId="367" xfId="0" applyFont="1" applyBorder="1">
      <alignment vertical="center"/>
    </xf>
    <xf numFmtId="41" fontId="35" fillId="0" borderId="367" xfId="0" applyNumberFormat="1" applyFont="1" applyBorder="1" applyAlignment="1">
      <alignment horizontal="center" vertical="center"/>
    </xf>
    <xf numFmtId="0" fontId="35" fillId="0" borderId="367" xfId="0" quotePrefix="1" applyFont="1" applyBorder="1" applyAlignment="1">
      <alignment horizontal="left" vertical="center"/>
    </xf>
    <xf numFmtId="0" fontId="35" fillId="0" borderId="381" xfId="0" applyFont="1" applyBorder="1" applyAlignment="1">
      <alignment horizontal="center" vertical="center" shrinkToFit="1"/>
    </xf>
    <xf numFmtId="41" fontId="35" fillId="0" borderId="381" xfId="0" applyNumberFormat="1" applyFont="1" applyBorder="1">
      <alignment vertical="center"/>
    </xf>
    <xf numFmtId="41" fontId="35" fillId="0" borderId="381" xfId="0" applyNumberFormat="1" applyFont="1" applyBorder="1" applyAlignment="1">
      <alignment vertical="center" shrinkToFit="1"/>
    </xf>
    <xf numFmtId="41" fontId="35" fillId="0" borderId="381" xfId="0" applyNumberFormat="1" applyFont="1" applyBorder="1" applyAlignment="1">
      <alignment horizontal="left" vertical="center"/>
    </xf>
    <xf numFmtId="0" fontId="79" fillId="0" borderId="26" xfId="0" applyFont="1" applyBorder="1" applyAlignment="1">
      <alignment horizontal="center" vertical="center"/>
    </xf>
    <xf numFmtId="41" fontId="79" fillId="0" borderId="17" xfId="0" applyNumberFormat="1" applyFont="1" applyBorder="1">
      <alignment vertical="center"/>
    </xf>
    <xf numFmtId="41" fontId="79" fillId="0" borderId="190" xfId="0" applyNumberFormat="1" applyFont="1" applyBorder="1">
      <alignment vertical="center"/>
    </xf>
    <xf numFmtId="209" fontId="79" fillId="0" borderId="25" xfId="0" applyNumberFormat="1" applyFont="1" applyBorder="1" applyAlignment="1">
      <alignment horizontal="center" vertical="center"/>
    </xf>
    <xf numFmtId="41" fontId="79" fillId="0" borderId="25" xfId="0" applyNumberFormat="1" applyFont="1" applyBorder="1" applyAlignment="1">
      <alignment horizontal="center" vertical="center"/>
    </xf>
    <xf numFmtId="41" fontId="79" fillId="0" borderId="25" xfId="0" applyNumberFormat="1" applyFont="1" applyBorder="1">
      <alignment vertical="center"/>
    </xf>
    <xf numFmtId="49" fontId="35" fillId="0" borderId="0" xfId="0" quotePrefix="1" applyNumberFormat="1" applyFont="1" applyAlignment="1">
      <alignment horizontal="right" vertical="center"/>
    </xf>
    <xf numFmtId="207" fontId="35" fillId="0" borderId="26" xfId="0" quotePrefix="1" applyNumberFormat="1" applyFont="1" applyBorder="1" applyAlignment="1">
      <alignment horizontal="center" vertical="center"/>
    </xf>
    <xf numFmtId="49" fontId="35" fillId="12" borderId="0" xfId="0" quotePrefix="1" applyNumberFormat="1" applyFont="1" applyFill="1" applyAlignment="1">
      <alignment horizontal="right" vertical="center"/>
    </xf>
    <xf numFmtId="207" fontId="35" fillId="12" borderId="26" xfId="0" quotePrefix="1" applyNumberFormat="1" applyFont="1" applyFill="1" applyBorder="1" applyAlignment="1">
      <alignment horizontal="center" vertical="center"/>
    </xf>
    <xf numFmtId="0" fontId="56" fillId="35" borderId="2" xfId="0" applyFont="1" applyFill="1" applyBorder="1" applyAlignment="1">
      <alignment horizontal="right" vertical="center"/>
    </xf>
    <xf numFmtId="0" fontId="56" fillId="35" borderId="7" xfId="0" applyFont="1" applyFill="1" applyBorder="1" applyAlignment="1">
      <alignment horizontal="right" vertical="center"/>
    </xf>
    <xf numFmtId="187" fontId="56" fillId="13" borderId="6" xfId="0" applyNumberFormat="1" applyFont="1" applyFill="1" applyBorder="1" applyAlignment="1">
      <alignment horizontal="right" vertical="center"/>
    </xf>
    <xf numFmtId="187" fontId="56" fillId="13" borderId="2" xfId="0" applyNumberFormat="1" applyFont="1" applyFill="1" applyBorder="1" applyAlignment="1">
      <alignment horizontal="right" vertical="center"/>
    </xf>
    <xf numFmtId="187" fontId="56" fillId="13" borderId="22" xfId="0" applyNumberFormat="1" applyFont="1" applyFill="1" applyBorder="1" applyAlignment="1">
      <alignment horizontal="right" vertical="center"/>
    </xf>
    <xf numFmtId="187" fontId="56" fillId="35" borderId="22" xfId="0" applyNumberFormat="1" applyFont="1" applyFill="1" applyBorder="1" applyAlignment="1">
      <alignment horizontal="right" vertical="center"/>
    </xf>
    <xf numFmtId="187" fontId="56" fillId="35" borderId="2" xfId="0" applyNumberFormat="1" applyFont="1" applyFill="1" applyBorder="1" applyAlignment="1">
      <alignment horizontal="right" vertical="center"/>
    </xf>
    <xf numFmtId="187" fontId="56" fillId="35" borderId="42" xfId="0" applyNumberFormat="1" applyFont="1" applyFill="1" applyBorder="1" applyAlignment="1">
      <alignment horizontal="right" vertical="center"/>
    </xf>
    <xf numFmtId="187" fontId="56" fillId="35" borderId="6" xfId="0" applyNumberFormat="1" applyFont="1" applyFill="1" applyBorder="1" applyAlignment="1">
      <alignment horizontal="right" vertical="center"/>
    </xf>
    <xf numFmtId="41" fontId="58" fillId="0" borderId="0" xfId="0" applyNumberFormat="1" applyFont="1">
      <alignment vertical="center"/>
    </xf>
    <xf numFmtId="209" fontId="79" fillId="35" borderId="0" xfId="0" applyNumberFormat="1" applyFont="1" applyFill="1">
      <alignment vertical="center"/>
    </xf>
    <xf numFmtId="187" fontId="79" fillId="14" borderId="0" xfId="0" applyNumberFormat="1" applyFont="1" applyFill="1">
      <alignment vertical="center"/>
    </xf>
    <xf numFmtId="0" fontId="79" fillId="35" borderId="0" xfId="0" applyFont="1" applyFill="1" applyAlignment="1">
      <alignment horizontal="left" vertical="center"/>
    </xf>
    <xf numFmtId="43" fontId="79" fillId="0" borderId="0" xfId="0" applyNumberFormat="1" applyFont="1">
      <alignment vertical="center"/>
    </xf>
    <xf numFmtId="0" fontId="58" fillId="35" borderId="1" xfId="0" applyFont="1" applyFill="1" applyBorder="1">
      <alignment vertical="center"/>
    </xf>
    <xf numFmtId="0" fontId="58" fillId="35" borderId="5" xfId="0" applyFont="1" applyFill="1" applyBorder="1" applyAlignment="1">
      <alignment horizontal="center" vertical="center"/>
    </xf>
    <xf numFmtId="41" fontId="58" fillId="13" borderId="4" xfId="0" applyNumberFormat="1" applyFont="1" applyFill="1" applyBorder="1" applyAlignment="1">
      <alignment horizontal="center" vertical="center"/>
    </xf>
    <xf numFmtId="41" fontId="58" fillId="13" borderId="1" xfId="0" applyNumberFormat="1" applyFont="1" applyFill="1" applyBorder="1">
      <alignment vertical="center"/>
    </xf>
    <xf numFmtId="41" fontId="58" fillId="13" borderId="46" xfId="0" applyNumberFormat="1" applyFont="1" applyFill="1" applyBorder="1">
      <alignment vertical="center"/>
    </xf>
    <xf numFmtId="41" fontId="58" fillId="35" borderId="46" xfId="0" applyNumberFormat="1" applyFont="1" applyFill="1" applyBorder="1">
      <alignment vertical="center"/>
    </xf>
    <xf numFmtId="41" fontId="58" fillId="35" borderId="1" xfId="0" applyNumberFormat="1" applyFont="1" applyFill="1" applyBorder="1">
      <alignment vertical="center"/>
    </xf>
    <xf numFmtId="41" fontId="58" fillId="35" borderId="36" xfId="0" applyNumberFormat="1" applyFont="1" applyFill="1" applyBorder="1">
      <alignment vertical="center"/>
    </xf>
    <xf numFmtId="41" fontId="58" fillId="35" borderId="4" xfId="0" applyNumberFormat="1" applyFont="1" applyFill="1" applyBorder="1" applyAlignment="1">
      <alignment horizontal="center" vertical="center"/>
    </xf>
    <xf numFmtId="41" fontId="58" fillId="35" borderId="4" xfId="0" applyNumberFormat="1" applyFont="1" applyFill="1" applyBorder="1">
      <alignment vertical="center"/>
    </xf>
    <xf numFmtId="209" fontId="79" fillId="0" borderId="0" xfId="0" applyNumberFormat="1" applyFont="1">
      <alignment vertical="center"/>
    </xf>
    <xf numFmtId="41" fontId="56" fillId="0" borderId="17" xfId="0" applyNumberFormat="1" applyFont="1" applyBorder="1">
      <alignment vertical="center"/>
    </xf>
    <xf numFmtId="210" fontId="79" fillId="0" borderId="0" xfId="0" applyNumberFormat="1" applyFont="1">
      <alignment vertical="center"/>
    </xf>
    <xf numFmtId="211" fontId="79" fillId="35" borderId="0" xfId="0" applyNumberFormat="1" applyFont="1" applyFill="1">
      <alignment vertical="center"/>
    </xf>
    <xf numFmtId="210" fontId="79" fillId="35" borderId="0" xfId="0" applyNumberFormat="1" applyFont="1" applyFill="1">
      <alignment vertical="center"/>
    </xf>
    <xf numFmtId="0" fontId="56" fillId="35" borderId="2" xfId="0" applyFont="1" applyFill="1" applyBorder="1" applyAlignment="1">
      <alignment horizontal="center" vertical="center"/>
    </xf>
    <xf numFmtId="41" fontId="56" fillId="0" borderId="22" xfId="0" applyNumberFormat="1" applyFont="1" applyBorder="1">
      <alignment vertical="center"/>
    </xf>
    <xf numFmtId="41" fontId="56" fillId="0" borderId="2" xfId="0" applyNumberFormat="1" applyFont="1" applyBorder="1">
      <alignment vertical="center"/>
    </xf>
    <xf numFmtId="41" fontId="79" fillId="43" borderId="0" xfId="0" applyNumberFormat="1" applyFont="1" applyFill="1">
      <alignment vertical="center"/>
    </xf>
    <xf numFmtId="211" fontId="79" fillId="14" borderId="0" xfId="0" applyNumberFormat="1" applyFont="1" applyFill="1">
      <alignment vertical="center"/>
    </xf>
    <xf numFmtId="209" fontId="56" fillId="13" borderId="17" xfId="0" applyNumberFormat="1" applyFont="1" applyFill="1" applyBorder="1">
      <alignment vertical="center"/>
    </xf>
    <xf numFmtId="209" fontId="56" fillId="13" borderId="0" xfId="0" applyNumberFormat="1" applyFont="1" applyFill="1">
      <alignment vertical="center"/>
    </xf>
    <xf numFmtId="209" fontId="56" fillId="0" borderId="17" xfId="0" applyNumberFormat="1" applyFont="1" applyBorder="1">
      <alignment vertical="center"/>
    </xf>
    <xf numFmtId="209" fontId="56" fillId="0" borderId="0" xfId="0" applyNumberFormat="1" applyFont="1">
      <alignment vertical="center"/>
    </xf>
    <xf numFmtId="209" fontId="56" fillId="35" borderId="0" xfId="0" applyNumberFormat="1" applyFont="1" applyFill="1">
      <alignment vertical="center"/>
    </xf>
    <xf numFmtId="209" fontId="56" fillId="35" borderId="17" xfId="0" applyNumberFormat="1" applyFont="1" applyFill="1" applyBorder="1">
      <alignment vertical="center"/>
    </xf>
    <xf numFmtId="43" fontId="56" fillId="35" borderId="25" xfId="0" applyNumberFormat="1" applyFont="1" applyFill="1" applyBorder="1" applyAlignment="1">
      <alignment horizontal="center" vertical="center"/>
    </xf>
    <xf numFmtId="0" fontId="79" fillId="0" borderId="0" xfId="0" applyFont="1" applyAlignment="1">
      <alignment horizontal="right" vertical="center"/>
    </xf>
    <xf numFmtId="187" fontId="79" fillId="8" borderId="0" xfId="0" applyNumberFormat="1" applyFont="1" applyFill="1">
      <alignment vertical="center"/>
    </xf>
    <xf numFmtId="41" fontId="56" fillId="35" borderId="0" xfId="0" applyNumberFormat="1" applyFont="1" applyFill="1" applyAlignment="1">
      <alignment horizontal="right" vertical="center"/>
    </xf>
    <xf numFmtId="187" fontId="56" fillId="0" borderId="0" xfId="0" applyNumberFormat="1" applyFont="1" applyAlignment="1">
      <alignment horizontal="right" vertical="center"/>
    </xf>
    <xf numFmtId="187" fontId="79" fillId="13" borderId="0" xfId="0" applyNumberFormat="1" applyFont="1" applyFill="1">
      <alignment vertical="center"/>
    </xf>
    <xf numFmtId="41" fontId="79" fillId="35" borderId="0" xfId="0" applyNumberFormat="1" applyFont="1" applyFill="1" applyAlignment="1">
      <alignment horizontal="right" vertical="center"/>
    </xf>
    <xf numFmtId="9" fontId="79" fillId="35" borderId="0" xfId="0" applyNumberFormat="1" applyFont="1" applyFill="1" applyAlignment="1">
      <alignment horizontal="right" vertical="center"/>
    </xf>
    <xf numFmtId="178" fontId="79" fillId="35" borderId="0" xfId="0" applyNumberFormat="1" applyFont="1" applyFill="1">
      <alignment vertical="center"/>
    </xf>
    <xf numFmtId="178" fontId="79" fillId="0" borderId="0" xfId="0" applyNumberFormat="1" applyFont="1">
      <alignment vertical="center"/>
    </xf>
    <xf numFmtId="41" fontId="79" fillId="0" borderId="0" xfId="0" applyNumberFormat="1" applyFont="1" applyAlignment="1">
      <alignment horizontal="right" vertical="center"/>
    </xf>
    <xf numFmtId="212" fontId="79" fillId="0" borderId="0" xfId="0" applyNumberFormat="1" applyFont="1" applyAlignment="1">
      <alignment horizontal="right" vertical="center"/>
    </xf>
    <xf numFmtId="209" fontId="79" fillId="0" borderId="0" xfId="0" applyNumberFormat="1" applyFont="1" applyAlignment="1">
      <alignment horizontal="left" vertical="center"/>
    </xf>
    <xf numFmtId="187" fontId="79" fillId="0" borderId="0" xfId="0" applyNumberFormat="1" applyFont="1" applyAlignment="1">
      <alignment horizontal="right" vertical="center"/>
    </xf>
    <xf numFmtId="0" fontId="80" fillId="13" borderId="382" xfId="0" applyFont="1" applyFill="1" applyBorder="1" applyAlignment="1">
      <alignment horizontal="center" vertical="center" shrinkToFit="1"/>
    </xf>
    <xf numFmtId="206" fontId="80" fillId="13" borderId="255" xfId="0" applyNumberFormat="1" applyFont="1" applyFill="1" applyBorder="1" applyAlignment="1">
      <alignment horizontal="right" vertical="center" shrinkToFit="1"/>
    </xf>
    <xf numFmtId="206" fontId="80" fillId="13" borderId="383" xfId="0" applyNumberFormat="1" applyFont="1" applyFill="1" applyBorder="1" applyAlignment="1">
      <alignment horizontal="right" vertical="center" shrinkToFit="1"/>
    </xf>
    <xf numFmtId="206" fontId="80" fillId="13" borderId="384" xfId="0" applyNumberFormat="1" applyFont="1" applyFill="1" applyBorder="1" applyAlignment="1">
      <alignment horizontal="right" vertical="center" shrinkToFit="1"/>
    </xf>
    <xf numFmtId="206" fontId="80" fillId="13" borderId="359" xfId="0" applyNumberFormat="1" applyFont="1" applyFill="1" applyBorder="1" applyAlignment="1">
      <alignment horizontal="right" vertical="center" shrinkToFit="1"/>
    </xf>
    <xf numFmtId="41" fontId="78" fillId="31" borderId="0" xfId="0" applyNumberFormat="1" applyFont="1" applyFill="1" applyAlignment="1">
      <alignment horizontal="right" vertical="center" shrinkToFit="1"/>
    </xf>
    <xf numFmtId="41" fontId="80" fillId="31" borderId="0" xfId="0" applyNumberFormat="1" applyFont="1" applyFill="1" applyAlignment="1">
      <alignment horizontal="right" vertical="center" shrinkToFit="1"/>
    </xf>
    <xf numFmtId="187" fontId="79" fillId="0" borderId="0" xfId="0" applyNumberFormat="1" applyFont="1">
      <alignment vertical="center"/>
    </xf>
    <xf numFmtId="41" fontId="79" fillId="14" borderId="0" xfId="0" applyNumberFormat="1" applyFont="1" applyFill="1">
      <alignment vertical="center"/>
    </xf>
    <xf numFmtId="209" fontId="79" fillId="14" borderId="0" xfId="0" applyNumberFormat="1" applyFont="1" applyFill="1" applyAlignment="1">
      <alignment horizontal="left" vertical="center"/>
    </xf>
    <xf numFmtId="0" fontId="78" fillId="3" borderId="0" xfId="0" applyFont="1" applyFill="1" applyAlignment="1">
      <alignment horizontal="center" vertical="center" shrinkToFit="1"/>
    </xf>
    <xf numFmtId="41" fontId="78" fillId="3" borderId="0" xfId="0" applyNumberFormat="1" applyFont="1" applyFill="1" applyAlignment="1">
      <alignment horizontal="right" vertical="center" shrinkToFit="1"/>
    </xf>
    <xf numFmtId="9" fontId="158" fillId="3" borderId="0" xfId="0" applyNumberFormat="1" applyFont="1" applyFill="1" applyAlignment="1">
      <alignment horizontal="right" vertical="center" shrinkToFit="1"/>
    </xf>
    <xf numFmtId="0" fontId="78" fillId="0" borderId="385" xfId="0" applyFont="1" applyBorder="1" applyAlignment="1">
      <alignment horizontal="center" vertical="center" shrinkToFit="1"/>
    </xf>
    <xf numFmtId="41" fontId="78" fillId="0" borderId="386" xfId="0" applyNumberFormat="1" applyFont="1" applyBorder="1" applyAlignment="1">
      <alignment horizontal="center" vertical="center" shrinkToFit="1"/>
    </xf>
    <xf numFmtId="41" fontId="78" fillId="0" borderId="352" xfId="0" applyNumberFormat="1" applyFont="1" applyBorder="1" applyAlignment="1">
      <alignment horizontal="center" vertical="center" shrinkToFit="1"/>
    </xf>
    <xf numFmtId="41" fontId="78" fillId="0" borderId="387" xfId="0" applyNumberFormat="1" applyFont="1" applyBorder="1" applyAlignment="1">
      <alignment horizontal="center" vertical="center" shrinkToFit="1"/>
    </xf>
    <xf numFmtId="41" fontId="80" fillId="0" borderId="388" xfId="0" applyNumberFormat="1" applyFont="1" applyBorder="1" applyAlignment="1">
      <alignment horizontal="right" vertical="center" shrinkToFit="1"/>
    </xf>
    <xf numFmtId="0" fontId="56" fillId="35" borderId="1" xfId="0" applyFont="1" applyFill="1" applyBorder="1">
      <alignment vertical="center"/>
    </xf>
    <xf numFmtId="0" fontId="56" fillId="35" borderId="5" xfId="0" applyFont="1" applyFill="1" applyBorder="1" applyAlignment="1">
      <alignment horizontal="center" vertical="center"/>
    </xf>
    <xf numFmtId="41" fontId="56" fillId="13" borderId="4" xfId="0" applyNumberFormat="1" applyFont="1" applyFill="1" applyBorder="1" applyAlignment="1">
      <alignment horizontal="center" vertical="center"/>
    </xf>
    <xf numFmtId="41" fontId="56" fillId="13" borderId="1" xfId="0" applyNumberFormat="1" applyFont="1" applyFill="1" applyBorder="1">
      <alignment vertical="center"/>
    </xf>
    <xf numFmtId="41" fontId="56" fillId="13" borderId="46" xfId="0" applyNumberFormat="1" applyFont="1" applyFill="1" applyBorder="1">
      <alignment vertical="center"/>
    </xf>
    <xf numFmtId="41" fontId="56" fillId="35" borderId="46" xfId="0" applyNumberFormat="1" applyFont="1" applyFill="1" applyBorder="1">
      <alignment vertical="center"/>
    </xf>
    <xf numFmtId="41" fontId="56" fillId="35" borderId="1" xfId="0" applyNumberFormat="1" applyFont="1" applyFill="1" applyBorder="1">
      <alignment vertical="center"/>
    </xf>
    <xf numFmtId="41" fontId="56" fillId="35" borderId="36" xfId="0" applyNumberFormat="1" applyFont="1" applyFill="1" applyBorder="1">
      <alignment vertical="center"/>
    </xf>
    <xf numFmtId="41" fontId="56" fillId="35" borderId="4" xfId="0" applyNumberFormat="1" applyFont="1" applyFill="1" applyBorder="1" applyAlignment="1">
      <alignment horizontal="center" vertical="center"/>
    </xf>
    <xf numFmtId="41" fontId="56" fillId="35" borderId="4" xfId="0" applyNumberFormat="1" applyFont="1" applyFill="1" applyBorder="1">
      <alignment vertical="center"/>
    </xf>
    <xf numFmtId="43" fontId="79" fillId="35" borderId="0" xfId="0" applyNumberFormat="1" applyFont="1" applyFill="1">
      <alignment vertical="center"/>
    </xf>
    <xf numFmtId="1" fontId="79" fillId="35" borderId="0" xfId="0" applyNumberFormat="1" applyFont="1" applyFill="1" applyAlignment="1">
      <alignment horizontal="right" vertical="center"/>
    </xf>
    <xf numFmtId="211" fontId="79" fillId="14" borderId="0" xfId="0" applyNumberFormat="1" applyFont="1" applyFill="1" applyAlignment="1">
      <alignment horizontal="right" vertical="center"/>
    </xf>
    <xf numFmtId="187" fontId="79" fillId="35" borderId="0" xfId="0" applyNumberFormat="1" applyFont="1" applyFill="1" applyAlignment="1">
      <alignment horizontal="right" vertical="center"/>
    </xf>
    <xf numFmtId="211" fontId="79" fillId="0" borderId="0" xfId="0" applyNumberFormat="1" applyFont="1">
      <alignment vertical="center"/>
    </xf>
    <xf numFmtId="41" fontId="78" fillId="0" borderId="0" xfId="0" applyNumberFormat="1" applyFont="1" applyAlignment="1">
      <alignment horizontal="right" vertical="center" shrinkToFit="1"/>
    </xf>
    <xf numFmtId="41" fontId="80" fillId="0" borderId="352" xfId="0" applyNumberFormat="1" applyFont="1" applyBorder="1" applyAlignment="1">
      <alignment horizontal="center" vertical="center" shrinkToFit="1"/>
    </xf>
    <xf numFmtId="187" fontId="79" fillId="14" borderId="0" xfId="0" applyNumberFormat="1" applyFont="1" applyFill="1" applyAlignment="1">
      <alignment horizontal="left" vertical="center"/>
    </xf>
    <xf numFmtId="0" fontId="78" fillId="0" borderId="389" xfId="0" applyFont="1" applyBorder="1" applyAlignment="1">
      <alignment horizontal="center" vertical="center" shrinkToFit="1"/>
    </xf>
    <xf numFmtId="41" fontId="78" fillId="31" borderId="390" xfId="0" applyNumberFormat="1" applyFont="1" applyFill="1" applyBorder="1" applyAlignment="1">
      <alignment horizontal="center" vertical="center" shrinkToFit="1"/>
    </xf>
    <xf numFmtId="41" fontId="78" fillId="31" borderId="391" xfId="0" applyNumberFormat="1" applyFont="1" applyFill="1" applyBorder="1" applyAlignment="1">
      <alignment horizontal="center" vertical="center" shrinkToFit="1"/>
    </xf>
    <xf numFmtId="41" fontId="78" fillId="31" borderId="392" xfId="0" applyNumberFormat="1" applyFont="1" applyFill="1" applyBorder="1" applyAlignment="1">
      <alignment horizontal="center" vertical="center" shrinkToFit="1"/>
    </xf>
    <xf numFmtId="41" fontId="78" fillId="31" borderId="393" xfId="0" applyNumberFormat="1" applyFont="1" applyFill="1" applyBorder="1" applyAlignment="1">
      <alignment horizontal="center" vertical="center" shrinkToFit="1"/>
    </xf>
    <xf numFmtId="187" fontId="79" fillId="14" borderId="0" xfId="0" applyNumberFormat="1" applyFont="1" applyFill="1" applyAlignment="1">
      <alignment horizontal="right" vertical="center"/>
    </xf>
    <xf numFmtId="0" fontId="78" fillId="0" borderId="254" xfId="0" applyFont="1" applyBorder="1" applyAlignment="1">
      <alignment horizontal="center" vertical="center" shrinkToFit="1"/>
    </xf>
    <xf numFmtId="209" fontId="78" fillId="0" borderId="394" xfId="0" applyNumberFormat="1" applyFont="1" applyBorder="1" applyAlignment="1">
      <alignment horizontal="center" vertical="center" shrinkToFit="1"/>
    </xf>
    <xf numFmtId="209" fontId="78" fillId="0" borderId="395" xfId="0" applyNumberFormat="1" applyFont="1" applyBorder="1" applyAlignment="1">
      <alignment horizontal="center" vertical="center" shrinkToFit="1"/>
    </xf>
    <xf numFmtId="209" fontId="78" fillId="0" borderId="396" xfId="0" applyNumberFormat="1" applyFont="1" applyBorder="1" applyAlignment="1">
      <alignment horizontal="center" vertical="center" shrinkToFit="1"/>
    </xf>
    <xf numFmtId="41" fontId="80" fillId="0" borderId="359" xfId="0" applyNumberFormat="1" applyFont="1" applyBorder="1" applyAlignment="1">
      <alignment horizontal="right" vertical="center" shrinkToFit="1"/>
    </xf>
    <xf numFmtId="0" fontId="56" fillId="35" borderId="1" xfId="0" applyFont="1" applyFill="1" applyBorder="1" applyAlignment="1">
      <alignment horizontal="center" vertical="center"/>
    </xf>
    <xf numFmtId="209" fontId="56" fillId="13" borderId="4" xfId="0" applyNumberFormat="1" applyFont="1" applyFill="1" applyBorder="1" applyAlignment="1">
      <alignment horizontal="center" vertical="center"/>
    </xf>
    <xf numFmtId="209" fontId="56" fillId="13" borderId="1" xfId="0" applyNumberFormat="1" applyFont="1" applyFill="1" applyBorder="1">
      <alignment vertical="center"/>
    </xf>
    <xf numFmtId="209" fontId="56" fillId="13" borderId="46" xfId="0" applyNumberFormat="1" applyFont="1" applyFill="1" applyBorder="1">
      <alignment vertical="center"/>
    </xf>
    <xf numFmtId="209" fontId="56" fillId="35" borderId="46" xfId="0" applyNumberFormat="1" applyFont="1" applyFill="1" applyBorder="1">
      <alignment vertical="center"/>
    </xf>
    <xf numFmtId="209" fontId="56" fillId="35" borderId="1" xfId="0" applyNumberFormat="1" applyFont="1" applyFill="1" applyBorder="1">
      <alignment vertical="center"/>
    </xf>
    <xf numFmtId="209" fontId="56" fillId="35" borderId="36" xfId="0" applyNumberFormat="1" applyFont="1" applyFill="1" applyBorder="1">
      <alignment vertical="center"/>
    </xf>
    <xf numFmtId="209" fontId="56" fillId="35" borderId="4" xfId="0" applyNumberFormat="1" applyFont="1" applyFill="1" applyBorder="1" applyAlignment="1">
      <alignment horizontal="center" vertical="center"/>
    </xf>
    <xf numFmtId="209" fontId="56" fillId="35" borderId="4" xfId="0" applyNumberFormat="1" applyFont="1" applyFill="1" applyBorder="1">
      <alignment vertical="center"/>
    </xf>
    <xf numFmtId="209" fontId="78" fillId="0" borderId="0" xfId="0" applyNumberFormat="1" applyFont="1" applyAlignment="1">
      <alignment horizontal="center" vertical="center" shrinkToFit="1"/>
    </xf>
    <xf numFmtId="41" fontId="5" fillId="0" borderId="0" xfId="0" applyNumberFormat="1" applyFont="1" applyAlignment="1">
      <alignment horizontal="center" vertical="center" shrinkToFit="1"/>
    </xf>
    <xf numFmtId="209" fontId="5" fillId="31" borderId="0" xfId="0" applyNumberFormat="1" applyFont="1" applyFill="1" applyAlignment="1">
      <alignment horizontal="center" vertical="center" shrinkToFit="1"/>
    </xf>
    <xf numFmtId="207" fontId="35" fillId="4" borderId="26" xfId="0" quotePrefix="1" applyNumberFormat="1" applyFont="1" applyFill="1" applyBorder="1" applyAlignment="1">
      <alignment horizontal="center" vertical="center"/>
    </xf>
    <xf numFmtId="211" fontId="79" fillId="14" borderId="0" xfId="0" applyNumberFormat="1" applyFont="1" applyFill="1" applyAlignment="1">
      <alignment horizontal="left" vertical="center"/>
    </xf>
    <xf numFmtId="0" fontId="79" fillId="0" borderId="397" xfId="0" applyFont="1" applyBorder="1" applyAlignment="1">
      <alignment horizontal="center" vertical="center"/>
    </xf>
    <xf numFmtId="0" fontId="79" fillId="0" borderId="398" xfId="0" applyFont="1" applyBorder="1" applyAlignment="1">
      <alignment horizontal="center" vertical="center"/>
    </xf>
    <xf numFmtId="209" fontId="80" fillId="0" borderId="359" xfId="0" applyNumberFormat="1" applyFont="1" applyBorder="1" applyAlignment="1">
      <alignment horizontal="right" vertical="center" shrinkToFit="1"/>
    </xf>
    <xf numFmtId="0" fontId="79" fillId="0" borderId="399" xfId="0" applyFont="1" applyBorder="1">
      <alignment vertical="center"/>
    </xf>
    <xf numFmtId="210" fontId="79" fillId="0" borderId="400" xfId="0" applyNumberFormat="1" applyFont="1" applyBorder="1">
      <alignment vertical="center"/>
    </xf>
    <xf numFmtId="213" fontId="79" fillId="0" borderId="0" xfId="0" applyNumberFormat="1" applyFont="1">
      <alignment vertical="center"/>
    </xf>
    <xf numFmtId="178" fontId="56" fillId="0" borderId="0" xfId="0" applyNumberFormat="1" applyFont="1" applyAlignment="1">
      <alignment horizontal="center" vertical="center"/>
    </xf>
    <xf numFmtId="178" fontId="56" fillId="35" borderId="0" xfId="0" applyNumberFormat="1" applyFont="1" applyFill="1" applyAlignment="1">
      <alignment horizontal="center" vertical="center"/>
    </xf>
    <xf numFmtId="210" fontId="79" fillId="0" borderId="399" xfId="0" applyNumberFormat="1" applyFont="1" applyBorder="1">
      <alignment vertical="center"/>
    </xf>
    <xf numFmtId="41" fontId="56" fillId="35" borderId="0" xfId="0" applyNumberFormat="1" applyFont="1" applyFill="1" applyAlignment="1">
      <alignment horizontal="center" vertical="center"/>
    </xf>
    <xf numFmtId="209" fontId="16" fillId="31" borderId="0" xfId="0" applyNumberFormat="1" applyFont="1" applyFill="1" applyAlignment="1">
      <alignment horizontal="center" vertical="center" shrinkToFit="1"/>
    </xf>
    <xf numFmtId="41" fontId="56" fillId="4" borderId="0" xfId="0" applyNumberFormat="1" applyFont="1" applyFill="1">
      <alignment vertical="center"/>
    </xf>
    <xf numFmtId="210" fontId="79" fillId="0" borderId="401" xfId="0" applyNumberFormat="1" applyFont="1" applyBorder="1">
      <alignment vertical="center"/>
    </xf>
    <xf numFmtId="210" fontId="79" fillId="0" borderId="402" xfId="0" applyNumberFormat="1" applyFont="1" applyBorder="1">
      <alignment vertical="center"/>
    </xf>
    <xf numFmtId="3" fontId="56" fillId="35" borderId="0" xfId="0" applyNumberFormat="1" applyFont="1" applyFill="1">
      <alignment vertical="center"/>
    </xf>
    <xf numFmtId="41" fontId="79" fillId="35" borderId="0" xfId="0" applyNumberFormat="1" applyFont="1" applyFill="1" applyAlignment="1">
      <alignment horizontal="left" vertical="center"/>
    </xf>
    <xf numFmtId="209" fontId="56" fillId="35" borderId="0" xfId="0" applyNumberFormat="1" applyFont="1" applyFill="1" applyAlignment="1">
      <alignment horizontal="center" vertical="center"/>
    </xf>
    <xf numFmtId="0" fontId="79" fillId="14" borderId="0" xfId="0" applyFont="1" applyFill="1">
      <alignment vertical="center"/>
    </xf>
    <xf numFmtId="187" fontId="58" fillId="8" borderId="0" xfId="0" applyNumberFormat="1" applyFont="1" applyFill="1" applyAlignment="1">
      <alignment horizontal="right" vertical="center"/>
    </xf>
    <xf numFmtId="0" fontId="35" fillId="12" borderId="0" xfId="0" applyFont="1" applyFill="1">
      <alignment vertical="center"/>
    </xf>
    <xf numFmtId="187" fontId="58" fillId="8" borderId="0" xfId="0" applyNumberFormat="1" applyFont="1" applyFill="1">
      <alignment vertical="center"/>
    </xf>
    <xf numFmtId="187" fontId="56" fillId="0" borderId="0" xfId="0" applyNumberFormat="1" applyFont="1">
      <alignment vertical="center"/>
    </xf>
    <xf numFmtId="41" fontId="56" fillId="0" borderId="0" xfId="0" applyNumberFormat="1" applyFont="1" applyAlignment="1">
      <alignment horizontal="center" vertical="center"/>
    </xf>
    <xf numFmtId="178" fontId="79" fillId="0" borderId="0" xfId="0" applyNumberFormat="1" applyFont="1" applyAlignment="1">
      <alignment horizontal="center" vertical="center"/>
    </xf>
    <xf numFmtId="209" fontId="79" fillId="0" borderId="0" xfId="0" applyNumberFormat="1" applyFont="1" applyAlignment="1">
      <alignment horizontal="center" vertical="center"/>
    </xf>
    <xf numFmtId="209" fontId="56" fillId="0" borderId="0" xfId="0" applyNumberFormat="1" applyFont="1" applyAlignment="1">
      <alignment horizontal="center" vertical="center"/>
    </xf>
    <xf numFmtId="0" fontId="35" fillId="8" borderId="371" xfId="0" applyFont="1" applyFill="1" applyBorder="1" applyAlignment="1">
      <alignment horizontal="left" vertical="center"/>
    </xf>
    <xf numFmtId="0" fontId="35" fillId="8" borderId="371" xfId="0" applyFont="1" applyFill="1" applyBorder="1" applyAlignment="1">
      <alignment horizontal="center" vertical="center"/>
    </xf>
    <xf numFmtId="49" fontId="35" fillId="0" borderId="251" xfId="0" quotePrefix="1" applyNumberFormat="1" applyFont="1" applyBorder="1" applyAlignment="1">
      <alignment horizontal="right" vertical="center"/>
    </xf>
    <xf numFmtId="0" fontId="35" fillId="0" borderId="26" xfId="0" applyFont="1" applyBorder="1" applyAlignment="1">
      <alignment horizontal="left" vertical="center" shrinkToFit="1"/>
    </xf>
    <xf numFmtId="41" fontId="35" fillId="8" borderId="38" xfId="0" applyNumberFormat="1" applyFont="1" applyFill="1" applyBorder="1" applyAlignment="1">
      <alignment vertical="center" shrinkToFit="1"/>
    </xf>
    <xf numFmtId="49" fontId="35" fillId="12" borderId="251" xfId="0" quotePrefix="1" applyNumberFormat="1" applyFont="1" applyFill="1" applyBorder="1" applyAlignment="1">
      <alignment horizontal="right" vertical="center"/>
    </xf>
    <xf numFmtId="0" fontId="35" fillId="12" borderId="26" xfId="0" applyFont="1" applyFill="1" applyBorder="1" applyAlignment="1">
      <alignment horizontal="left" vertical="center" shrinkToFit="1"/>
    </xf>
    <xf numFmtId="41" fontId="35" fillId="12" borderId="190" xfId="0" applyNumberFormat="1" applyFont="1" applyFill="1" applyBorder="1" applyAlignment="1">
      <alignment horizontal="center" vertical="center"/>
    </xf>
    <xf numFmtId="41" fontId="35" fillId="0" borderId="190" xfId="0" applyNumberFormat="1" applyFont="1" applyBorder="1" applyAlignment="1">
      <alignment horizontal="center" vertical="center"/>
    </xf>
    <xf numFmtId="0" fontId="35" fillId="0" borderId="25" xfId="0" applyFont="1" applyBorder="1" applyAlignment="1">
      <alignment horizontal="left" vertical="center"/>
    </xf>
    <xf numFmtId="41" fontId="35" fillId="0" borderId="26" xfId="0" quotePrefix="1" applyNumberFormat="1" applyFont="1" applyBorder="1" applyAlignment="1">
      <alignment horizontal="center" vertical="center"/>
    </xf>
    <xf numFmtId="0" fontId="35" fillId="12" borderId="25" xfId="0" applyFont="1" applyFill="1" applyBorder="1" applyAlignment="1">
      <alignment horizontal="left" vertical="center"/>
    </xf>
    <xf numFmtId="41" fontId="35" fillId="12" borderId="26" xfId="0" quotePrefix="1" applyNumberFormat="1" applyFont="1" applyFill="1" applyBorder="1" applyAlignment="1">
      <alignment horizontal="center" vertical="center"/>
    </xf>
    <xf numFmtId="0" fontId="35" fillId="13" borderId="36" xfId="0" applyFont="1" applyFill="1" applyBorder="1" applyAlignment="1">
      <alignment horizontal="center" vertical="center"/>
    </xf>
    <xf numFmtId="0" fontId="35" fillId="13" borderId="36" xfId="0" applyFont="1" applyFill="1" applyBorder="1" applyAlignment="1">
      <alignment horizontal="center" vertical="center" shrinkToFit="1"/>
    </xf>
    <xf numFmtId="41" fontId="154" fillId="13" borderId="36" xfId="0" applyNumberFormat="1" applyFont="1" applyFill="1" applyBorder="1" applyAlignment="1">
      <alignment vertical="center" shrinkToFit="1"/>
    </xf>
    <xf numFmtId="208" fontId="154" fillId="13" borderId="36" xfId="0" applyNumberFormat="1" applyFont="1" applyFill="1" applyBorder="1" applyAlignment="1">
      <alignment horizontal="left" vertical="center" shrinkToFit="1"/>
    </xf>
    <xf numFmtId="0" fontId="35" fillId="13" borderId="36" xfId="0" applyFont="1" applyFill="1" applyBorder="1" applyAlignment="1">
      <alignment horizontal="left" vertical="center"/>
    </xf>
    <xf numFmtId="49" fontId="35" fillId="13" borderId="36" xfId="0" applyNumberFormat="1" applyFont="1" applyFill="1" applyBorder="1" applyAlignment="1">
      <alignment horizontal="center" vertical="center"/>
    </xf>
    <xf numFmtId="41" fontId="154" fillId="13" borderId="1" xfId="0" applyNumberFormat="1" applyFont="1" applyFill="1" applyBorder="1" applyAlignment="1">
      <alignment vertical="center" shrinkToFit="1"/>
    </xf>
    <xf numFmtId="208" fontId="154" fillId="13" borderId="36" xfId="0" applyNumberFormat="1" applyFont="1" applyFill="1" applyBorder="1" applyAlignment="1">
      <alignment vertical="center" shrinkToFit="1"/>
    </xf>
    <xf numFmtId="9" fontId="29" fillId="0" borderId="0" xfId="0" applyNumberFormat="1" applyFont="1">
      <alignment vertical="center"/>
    </xf>
    <xf numFmtId="9" fontId="25" fillId="0" borderId="16" xfId="0" applyNumberFormat="1" applyFont="1" applyBorder="1">
      <alignment vertical="center"/>
    </xf>
    <xf numFmtId="200" fontId="56" fillId="0" borderId="0" xfId="0" applyNumberFormat="1" applyFont="1">
      <alignment vertical="center"/>
    </xf>
    <xf numFmtId="0" fontId="74" fillId="0" borderId="33" xfId="0" applyFont="1" applyBorder="1" applyAlignment="1">
      <alignment horizontal="center" vertical="center"/>
    </xf>
    <xf numFmtId="3" fontId="74" fillId="0" borderId="34" xfId="0" applyNumberFormat="1" applyFont="1" applyBorder="1" applyAlignment="1">
      <alignment horizontal="right" vertical="center"/>
    </xf>
    <xf numFmtId="0" fontId="159" fillId="0" borderId="0" xfId="0" applyFont="1">
      <alignment vertical="center"/>
    </xf>
    <xf numFmtId="0" fontId="15" fillId="3" borderId="0" xfId="0" quotePrefix="1" applyFont="1" applyFill="1" applyAlignment="1">
      <alignment horizontal="right" vertical="center"/>
    </xf>
    <xf numFmtId="0" fontId="4" fillId="3" borderId="0" xfId="0" applyFont="1" applyFill="1">
      <alignment vertical="center"/>
    </xf>
    <xf numFmtId="0" fontId="21" fillId="7" borderId="27" xfId="0" applyFont="1" applyFill="1" applyBorder="1" applyAlignment="1">
      <alignment horizontal="center" vertical="center"/>
    </xf>
    <xf numFmtId="0" fontId="21" fillId="7" borderId="32" xfId="0" applyFont="1" applyFill="1" applyBorder="1" applyAlignment="1">
      <alignment horizontal="center" vertical="center"/>
    </xf>
    <xf numFmtId="0" fontId="21" fillId="0" borderId="27" xfId="0" applyFont="1" applyBorder="1">
      <alignment vertical="center"/>
    </xf>
    <xf numFmtId="0" fontId="21" fillId="0" borderId="27" xfId="0" applyFont="1" applyBorder="1" applyAlignment="1">
      <alignment horizontal="right"/>
    </xf>
    <xf numFmtId="3" fontId="21" fillId="0" borderId="27" xfId="0" applyNumberFormat="1" applyFont="1" applyBorder="1" applyAlignment="1">
      <alignment horizontal="right"/>
    </xf>
    <xf numFmtId="0" fontId="21" fillId="0" borderId="32" xfId="0" applyFont="1" applyBorder="1" applyAlignment="1">
      <alignment horizontal="right"/>
    </xf>
    <xf numFmtId="0" fontId="21" fillId="7" borderId="245" xfId="0" applyFont="1" applyFill="1" applyBorder="1" applyAlignment="1">
      <alignment horizontal="center" vertical="center"/>
    </xf>
    <xf numFmtId="0" fontId="21" fillId="7" borderId="244" xfId="0" applyFont="1" applyFill="1" applyBorder="1" applyAlignment="1">
      <alignment horizontal="center" vertical="center"/>
    </xf>
    <xf numFmtId="0" fontId="21" fillId="0" borderId="27" xfId="0" applyFont="1" applyBorder="1" applyAlignment="1"/>
    <xf numFmtId="41" fontId="4" fillId="5" borderId="0" xfId="0" applyNumberFormat="1" applyFont="1" applyFill="1">
      <alignment vertical="center"/>
    </xf>
    <xf numFmtId="0" fontId="160" fillId="0" borderId="0" xfId="0" applyFont="1">
      <alignment vertical="center"/>
    </xf>
    <xf numFmtId="0" fontId="161" fillId="0" borderId="0" xfId="0" applyFont="1">
      <alignment vertical="center"/>
    </xf>
    <xf numFmtId="176" fontId="15" fillId="0" borderId="3" xfId="0" applyNumberFormat="1" applyFont="1" applyBorder="1" applyAlignment="1">
      <alignment horizontal="right" vertical="center"/>
    </xf>
    <xf numFmtId="176" fontId="15" fillId="0" borderId="0" xfId="0" applyNumberFormat="1" applyFont="1" applyAlignment="1">
      <alignment horizontal="right" vertical="center"/>
    </xf>
    <xf numFmtId="176" fontId="4" fillId="0" borderId="0" xfId="0" applyNumberFormat="1" applyFont="1" applyAlignment="1">
      <alignment horizontal="right" vertical="center"/>
    </xf>
    <xf numFmtId="176" fontId="4" fillId="0" borderId="2" xfId="0" applyNumberFormat="1" applyFont="1" applyBorder="1" applyAlignment="1">
      <alignment horizontal="right" vertical="center"/>
    </xf>
    <xf numFmtId="9" fontId="11" fillId="0" borderId="0" xfId="0" applyNumberFormat="1" applyFont="1" applyAlignment="1">
      <alignment horizontal="right" vertical="center"/>
    </xf>
    <xf numFmtId="176" fontId="13" fillId="0" borderId="0" xfId="0" applyNumberFormat="1" applyFont="1" applyAlignment="1">
      <alignment horizontal="right" vertical="center"/>
    </xf>
    <xf numFmtId="0" fontId="4" fillId="0" borderId="0" xfId="0" quotePrefix="1" applyFont="1" applyAlignment="1">
      <alignment horizontal="left" vertical="center"/>
    </xf>
    <xf numFmtId="0" fontId="4" fillId="0" borderId="2" xfId="0" quotePrefix="1" applyFont="1" applyBorder="1" applyAlignment="1">
      <alignment horizontal="left" vertical="center"/>
    </xf>
    <xf numFmtId="176" fontId="12" fillId="0" borderId="2" xfId="0" applyNumberFormat="1" applyFont="1" applyBorder="1" applyAlignment="1">
      <alignment horizontal="right" vertical="center"/>
    </xf>
    <xf numFmtId="9" fontId="25" fillId="0" borderId="0" xfId="0" applyNumberFormat="1" applyFont="1" applyAlignment="1">
      <alignment horizontal="right" vertical="center"/>
    </xf>
    <xf numFmtId="176" fontId="13" fillId="0" borderId="2" xfId="0" applyNumberFormat="1" applyFont="1" applyBorder="1" applyAlignment="1">
      <alignment horizontal="right" vertical="center"/>
    </xf>
    <xf numFmtId="0" fontId="11" fillId="0" borderId="1" xfId="0" applyFont="1" applyBorder="1">
      <alignment vertical="center"/>
    </xf>
    <xf numFmtId="9" fontId="25" fillId="0" borderId="45" xfId="0" applyNumberFormat="1" applyFont="1" applyBorder="1">
      <alignment vertical="center"/>
    </xf>
    <xf numFmtId="9" fontId="25" fillId="0" borderId="1" xfId="0" applyNumberFormat="1" applyFont="1" applyBorder="1">
      <alignment vertical="center"/>
    </xf>
    <xf numFmtId="9" fontId="11" fillId="5" borderId="0" xfId="0" applyNumberFormat="1" applyFont="1" applyFill="1">
      <alignment vertical="center"/>
    </xf>
    <xf numFmtId="9" fontId="162" fillId="5" borderId="0" xfId="0" applyNumberFormat="1" applyFont="1" applyFill="1">
      <alignment vertical="center"/>
    </xf>
    <xf numFmtId="176" fontId="4" fillId="0" borderId="45" xfId="0" applyNumberFormat="1" applyFont="1" applyBorder="1">
      <alignment vertical="center"/>
    </xf>
    <xf numFmtId="0" fontId="5" fillId="3" borderId="2" xfId="0" applyFont="1" applyFill="1" applyBorder="1" applyAlignment="1">
      <alignment horizontal="center" vertical="center"/>
    </xf>
    <xf numFmtId="0" fontId="4" fillId="0" borderId="2" xfId="0" applyFont="1" applyBorder="1" applyAlignment="1">
      <alignment horizontal="center" vertical="center"/>
    </xf>
    <xf numFmtId="0" fontId="11" fillId="0" borderId="0" xfId="0" applyFont="1" applyAlignment="1">
      <alignment horizontal="center" vertical="center"/>
    </xf>
    <xf numFmtId="0" fontId="11" fillId="0" borderId="2" xfId="0" applyFont="1" applyBorder="1" applyAlignment="1">
      <alignment horizontal="center" vertical="center"/>
    </xf>
    <xf numFmtId="0" fontId="14" fillId="0" borderId="0" xfId="0" applyFont="1">
      <alignment vertical="center"/>
    </xf>
    <xf numFmtId="0" fontId="28" fillId="0" borderId="2" xfId="0" applyFont="1" applyBorder="1">
      <alignment vertical="center"/>
    </xf>
    <xf numFmtId="176" fontId="163" fillId="0" borderId="0" xfId="0" applyNumberFormat="1" applyFont="1">
      <alignment vertical="center"/>
    </xf>
    <xf numFmtId="0" fontId="4" fillId="0" borderId="0" xfId="0" quotePrefix="1" applyFont="1">
      <alignment vertical="center"/>
    </xf>
    <xf numFmtId="0" fontId="4" fillId="0" borderId="2" xfId="0" applyFont="1" applyBorder="1" applyAlignment="1">
      <alignment horizontal="centerContinuous" vertical="center"/>
    </xf>
    <xf numFmtId="0" fontId="4" fillId="0" borderId="3" xfId="0" applyFont="1" applyBorder="1" applyAlignment="1">
      <alignment horizontal="center" vertical="center"/>
    </xf>
    <xf numFmtId="177" fontId="16" fillId="0" borderId="2" xfId="0" applyNumberFormat="1" applyFont="1" applyBorder="1">
      <alignment vertical="center"/>
    </xf>
    <xf numFmtId="0" fontId="4" fillId="0" borderId="1" xfId="0" applyFont="1" applyBorder="1" applyAlignment="1">
      <alignment horizontal="center" vertical="center"/>
    </xf>
    <xf numFmtId="0" fontId="28" fillId="0" borderId="1" xfId="0" applyFont="1" applyBorder="1">
      <alignment vertical="center"/>
    </xf>
    <xf numFmtId="0" fontId="15" fillId="0" borderId="0" xfId="0" quotePrefix="1" applyFont="1" applyAlignment="1">
      <alignment horizontal="right" vertical="center"/>
    </xf>
    <xf numFmtId="0" fontId="15" fillId="13" borderId="0" xfId="0" quotePrefix="1" applyFont="1" applyFill="1" applyAlignment="1">
      <alignment horizontal="right" vertical="center"/>
    </xf>
    <xf numFmtId="0" fontId="15" fillId="13" borderId="0" xfId="0" applyFont="1" applyFill="1">
      <alignment vertical="center"/>
    </xf>
    <xf numFmtId="0" fontId="4" fillId="13" borderId="0" xfId="0" applyFont="1" applyFill="1">
      <alignment vertical="center"/>
    </xf>
    <xf numFmtId="178" fontId="29" fillId="0" borderId="2" xfId="0" applyNumberFormat="1" applyFont="1" applyBorder="1">
      <alignment vertical="center"/>
    </xf>
    <xf numFmtId="192" fontId="25" fillId="0" borderId="3" xfId="0" applyNumberFormat="1" applyFont="1" applyBorder="1">
      <alignment vertical="center"/>
    </xf>
    <xf numFmtId="192" fontId="25" fillId="0" borderId="8" xfId="0" applyNumberFormat="1" applyFont="1" applyBorder="1">
      <alignment vertical="center"/>
    </xf>
    <xf numFmtId="192" fontId="25" fillId="0" borderId="16" xfId="0" applyNumberFormat="1" applyFont="1" applyBorder="1">
      <alignment vertical="center"/>
    </xf>
    <xf numFmtId="192" fontId="25" fillId="0" borderId="21" xfId="0" applyNumberFormat="1" applyFont="1" applyBorder="1">
      <alignment vertical="center"/>
    </xf>
    <xf numFmtId="10" fontId="4" fillId="0" borderId="1" xfId="0" applyNumberFormat="1" applyFont="1" applyBorder="1">
      <alignment vertical="center"/>
    </xf>
    <xf numFmtId="194" fontId="16" fillId="0" borderId="2" xfId="0" applyNumberFormat="1" applyFont="1" applyBorder="1">
      <alignment vertical="center"/>
    </xf>
    <xf numFmtId="0" fontId="4" fillId="0" borderId="404" xfId="0" applyFont="1" applyBorder="1" applyAlignment="1">
      <alignment horizontal="center" vertical="center"/>
    </xf>
    <xf numFmtId="0" fontId="15" fillId="0" borderId="3" xfId="0" applyFont="1" applyBorder="1" applyAlignment="1">
      <alignment horizontal="center" vertical="center"/>
    </xf>
    <xf numFmtId="0" fontId="5" fillId="3" borderId="4" xfId="0" applyFont="1" applyFill="1" applyBorder="1" applyAlignment="1">
      <alignment horizontal="right" vertical="center"/>
    </xf>
    <xf numFmtId="176" fontId="15" fillId="0" borderId="11" xfId="0" applyNumberFormat="1" applyFont="1" applyBorder="1">
      <alignment vertical="center"/>
    </xf>
    <xf numFmtId="176" fontId="4" fillId="6" borderId="16" xfId="0" applyNumberFormat="1" applyFont="1" applyFill="1" applyBorder="1">
      <alignment vertical="center"/>
    </xf>
    <xf numFmtId="0" fontId="15" fillId="6" borderId="8" xfId="0" applyFont="1" applyFill="1" applyBorder="1">
      <alignment vertical="center"/>
    </xf>
    <xf numFmtId="0" fontId="4" fillId="6" borderId="21" xfId="0" applyFont="1" applyFill="1" applyBorder="1">
      <alignment vertical="center"/>
    </xf>
    <xf numFmtId="10" fontId="4" fillId="0" borderId="2" xfId="0" applyNumberFormat="1" applyFont="1" applyBorder="1">
      <alignment vertical="center"/>
    </xf>
    <xf numFmtId="10" fontId="4" fillId="0" borderId="0" xfId="0" applyNumberFormat="1" applyFont="1">
      <alignment vertical="center"/>
    </xf>
    <xf numFmtId="0" fontId="10" fillId="3" borderId="2" xfId="0" applyFont="1" applyFill="1" applyBorder="1" applyAlignment="1">
      <alignment horizontal="center" vertical="center"/>
    </xf>
    <xf numFmtId="0" fontId="62" fillId="0" borderId="0" xfId="0" applyFont="1">
      <alignment vertical="center"/>
    </xf>
    <xf numFmtId="215" fontId="4" fillId="0" borderId="0" xfId="0" applyNumberFormat="1" applyFont="1">
      <alignment vertical="center"/>
    </xf>
    <xf numFmtId="0" fontId="62" fillId="43" borderId="0" xfId="0" applyFont="1" applyFill="1">
      <alignment vertical="center"/>
    </xf>
    <xf numFmtId="0" fontId="62" fillId="3" borderId="0" xfId="0" applyFont="1" applyFill="1">
      <alignment vertical="center"/>
    </xf>
    <xf numFmtId="215" fontId="4" fillId="3" borderId="0" xfId="0" applyNumberFormat="1" applyFont="1" applyFill="1">
      <alignment vertical="center"/>
    </xf>
    <xf numFmtId="0" fontId="62" fillId="0" borderId="2" xfId="0" applyFont="1" applyBorder="1">
      <alignment vertical="center"/>
    </xf>
    <xf numFmtId="215" fontId="4" fillId="0" borderId="2" xfId="0" applyNumberFormat="1" applyFont="1" applyBorder="1">
      <alignment vertical="center"/>
    </xf>
    <xf numFmtId="176" fontId="15" fillId="0" borderId="21" xfId="0" applyNumberFormat="1" applyFont="1" applyBorder="1">
      <alignment vertical="center"/>
    </xf>
    <xf numFmtId="0" fontId="7" fillId="4" borderId="0" xfId="0" applyFont="1" applyFill="1">
      <alignment vertical="center"/>
    </xf>
    <xf numFmtId="0" fontId="89" fillId="7" borderId="28" xfId="0" applyFont="1" applyFill="1" applyBorder="1" applyAlignment="1">
      <alignment horizontal="center" vertical="center" wrapText="1"/>
    </xf>
    <xf numFmtId="0" fontId="89" fillId="7" borderId="29" xfId="0" applyFont="1" applyFill="1" applyBorder="1" applyAlignment="1">
      <alignment horizontal="center" vertical="center" wrapText="1"/>
    </xf>
    <xf numFmtId="0" fontId="89" fillId="7" borderId="30" xfId="0" applyFont="1" applyFill="1" applyBorder="1" applyAlignment="1">
      <alignment horizontal="center" vertical="center" wrapText="1"/>
    </xf>
    <xf numFmtId="0" fontId="89" fillId="0" borderId="31" xfId="0" applyFont="1" applyBorder="1" applyAlignment="1">
      <alignment vertical="top" wrapText="1"/>
    </xf>
    <xf numFmtId="0" fontId="89" fillId="0" borderId="27" xfId="0" applyFont="1" applyBorder="1" applyAlignment="1">
      <alignment horizontal="right" vertical="top" wrapText="1"/>
    </xf>
    <xf numFmtId="3" fontId="89" fillId="0" borderId="27" xfId="0" applyNumberFormat="1" applyFont="1" applyBorder="1" applyAlignment="1">
      <alignment horizontal="right" vertical="top" wrapText="1"/>
    </xf>
    <xf numFmtId="0" fontId="89" fillId="0" borderId="32" xfId="0" applyFont="1" applyBorder="1" applyAlignment="1">
      <alignment horizontal="right" vertical="top" wrapText="1"/>
    </xf>
    <xf numFmtId="3" fontId="89" fillId="0" borderId="32" xfId="0" applyNumberFormat="1" applyFont="1" applyBorder="1" applyAlignment="1">
      <alignment horizontal="right" vertical="top" wrapText="1"/>
    </xf>
    <xf numFmtId="0" fontId="89" fillId="0" borderId="33" xfId="0" applyFont="1" applyBorder="1" applyAlignment="1">
      <alignment vertical="top" wrapText="1"/>
    </xf>
    <xf numFmtId="3" fontId="89" fillId="0" borderId="34" xfId="0" applyNumberFormat="1" applyFont="1" applyBorder="1" applyAlignment="1">
      <alignment horizontal="right" vertical="top" wrapText="1"/>
    </xf>
    <xf numFmtId="0" fontId="89" fillId="0" borderId="34" xfId="0" applyFont="1" applyBorder="1" applyAlignment="1">
      <alignment horizontal="right" vertical="top" wrapText="1"/>
    </xf>
    <xf numFmtId="3" fontId="89" fillId="0" borderId="35" xfId="0" applyNumberFormat="1" applyFont="1" applyBorder="1" applyAlignment="1">
      <alignment horizontal="right" vertical="top" wrapText="1"/>
    </xf>
    <xf numFmtId="0" fontId="164" fillId="0" borderId="0" xfId="0" applyFont="1" applyAlignment="1">
      <alignment horizontal="left" vertical="top" wrapText="1"/>
    </xf>
    <xf numFmtId="0" fontId="165" fillId="0" borderId="0" xfId="0" applyFont="1">
      <alignment vertical="center"/>
    </xf>
    <xf numFmtId="0" fontId="76" fillId="7" borderId="240" xfId="0" applyFont="1" applyFill="1" applyBorder="1" applyAlignment="1">
      <alignment horizontal="center" vertical="center" wrapText="1"/>
    </xf>
    <xf numFmtId="0" fontId="76" fillId="7" borderId="244" xfId="0" applyFont="1" applyFill="1" applyBorder="1" applyAlignment="1">
      <alignment horizontal="center" vertical="center" wrapText="1"/>
    </xf>
    <xf numFmtId="0" fontId="76" fillId="0" borderId="31" xfId="0" applyFont="1" applyBorder="1" applyAlignment="1">
      <alignment vertical="center" wrapText="1"/>
    </xf>
    <xf numFmtId="0" fontId="76" fillId="0" borderId="27" xfId="0" applyFont="1" applyBorder="1" applyAlignment="1">
      <alignment vertical="center" wrapText="1"/>
    </xf>
    <xf numFmtId="0" fontId="76" fillId="0" borderId="27" xfId="0" applyFont="1" applyBorder="1" applyAlignment="1">
      <alignment horizontal="center" vertical="center" wrapText="1"/>
    </xf>
    <xf numFmtId="0" fontId="76" fillId="0" borderId="27" xfId="0" applyFont="1" applyBorder="1" applyAlignment="1">
      <alignment horizontal="right" vertical="center" wrapText="1"/>
    </xf>
    <xf numFmtId="0" fontId="76" fillId="0" borderId="32" xfId="0" applyFont="1" applyBorder="1" applyAlignment="1">
      <alignment horizontal="right" vertical="center" wrapText="1"/>
    </xf>
    <xf numFmtId="3" fontId="76" fillId="0" borderId="27" xfId="0" applyNumberFormat="1" applyFont="1" applyBorder="1" applyAlignment="1">
      <alignment horizontal="right" vertical="center" wrapText="1"/>
    </xf>
    <xf numFmtId="3" fontId="76" fillId="0" borderId="32" xfId="0" applyNumberFormat="1" applyFont="1" applyBorder="1" applyAlignment="1">
      <alignment horizontal="right" vertical="center" wrapText="1"/>
    </xf>
    <xf numFmtId="3" fontId="76" fillId="0" borderId="34" xfId="0" applyNumberFormat="1" applyFont="1" applyBorder="1" applyAlignment="1">
      <alignment horizontal="right" vertical="center" wrapText="1"/>
    </xf>
    <xf numFmtId="3" fontId="76" fillId="0" borderId="35" xfId="0" applyNumberFormat="1" applyFont="1" applyBorder="1" applyAlignment="1">
      <alignment horizontal="right" vertical="center" wrapText="1"/>
    </xf>
    <xf numFmtId="0" fontId="76" fillId="0" borderId="0" xfId="0" applyFont="1" applyAlignment="1">
      <alignment horizontal="justify" vertical="center" wrapText="1"/>
    </xf>
    <xf numFmtId="0" fontId="166" fillId="7" borderId="28" xfId="0" applyFont="1" applyFill="1" applyBorder="1" applyAlignment="1">
      <alignment horizontal="center" vertical="center" wrapText="1"/>
    </xf>
    <xf numFmtId="0" fontId="166" fillId="7" borderId="29" xfId="0" applyFont="1" applyFill="1" applyBorder="1" applyAlignment="1">
      <alignment horizontal="center" vertical="center" wrapText="1"/>
    </xf>
    <xf numFmtId="0" fontId="166" fillId="7" borderId="30" xfId="0" applyFont="1" applyFill="1" applyBorder="1" applyAlignment="1">
      <alignment horizontal="center" vertical="center" wrapText="1"/>
    </xf>
    <xf numFmtId="0" fontId="166" fillId="0" borderId="31" xfId="0" applyFont="1" applyBorder="1" applyAlignment="1">
      <alignment wrapText="1"/>
    </xf>
    <xf numFmtId="0" fontId="166" fillId="0" borderId="27" xfId="0" applyFont="1" applyBorder="1" applyAlignment="1">
      <alignment horizontal="right" wrapText="1"/>
    </xf>
    <xf numFmtId="0" fontId="166" fillId="0" borderId="32" xfId="0" applyFont="1" applyBorder="1" applyAlignment="1">
      <alignment horizontal="right" wrapText="1"/>
    </xf>
    <xf numFmtId="3" fontId="166" fillId="0" borderId="27" xfId="0" applyNumberFormat="1" applyFont="1" applyBorder="1" applyAlignment="1">
      <alignment horizontal="right" wrapText="1"/>
    </xf>
    <xf numFmtId="3" fontId="166" fillId="0" borderId="32" xfId="0" applyNumberFormat="1" applyFont="1" applyBorder="1" applyAlignment="1">
      <alignment horizontal="right" wrapText="1"/>
    </xf>
    <xf numFmtId="0" fontId="166" fillId="0" borderId="31" xfId="0" applyFont="1" applyBorder="1" applyAlignment="1">
      <alignment horizontal="center" wrapText="1"/>
    </xf>
    <xf numFmtId="0" fontId="166" fillId="0" borderId="33" xfId="0" applyFont="1" applyBorder="1" applyAlignment="1">
      <alignment horizontal="center" wrapText="1"/>
    </xf>
    <xf numFmtId="3" fontId="166" fillId="0" borderId="34" xfId="0" applyNumberFormat="1" applyFont="1" applyBorder="1" applyAlignment="1">
      <alignment horizontal="right" wrapText="1"/>
    </xf>
    <xf numFmtId="3" fontId="166" fillId="0" borderId="35" xfId="0" applyNumberFormat="1" applyFont="1" applyBorder="1" applyAlignment="1">
      <alignment horizontal="right" wrapText="1"/>
    </xf>
    <xf numFmtId="3" fontId="15" fillId="3" borderId="0" xfId="0" applyNumberFormat="1" applyFont="1" applyFill="1">
      <alignment vertical="center"/>
    </xf>
    <xf numFmtId="3" fontId="2" fillId="3" borderId="0" xfId="0" applyNumberFormat="1" applyFont="1" applyFill="1">
      <alignment vertical="center"/>
    </xf>
    <xf numFmtId="3" fontId="15" fillId="54" borderId="0" xfId="0" applyNumberFormat="1" applyFont="1" applyFill="1">
      <alignment vertical="center"/>
    </xf>
    <xf numFmtId="176" fontId="11" fillId="0" borderId="0" xfId="0" applyNumberFormat="1" applyFont="1">
      <alignment vertical="center"/>
    </xf>
    <xf numFmtId="9" fontId="11" fillId="0" borderId="16" xfId="0" applyNumberFormat="1" applyFont="1" applyBorder="1" applyAlignment="1">
      <alignment horizontal="right" vertical="center"/>
    </xf>
    <xf numFmtId="9" fontId="11" fillId="0" borderId="21" xfId="0" applyNumberFormat="1" applyFont="1" applyBorder="1" applyAlignment="1">
      <alignment horizontal="right" vertical="center"/>
    </xf>
    <xf numFmtId="9" fontId="11" fillId="0" borderId="2" xfId="0" applyNumberFormat="1" applyFont="1" applyBorder="1" applyAlignment="1">
      <alignment horizontal="right" vertical="center"/>
    </xf>
    <xf numFmtId="9" fontId="11" fillId="0" borderId="17" xfId="0" applyNumberFormat="1" applyFont="1" applyBorder="1">
      <alignment vertical="center"/>
    </xf>
    <xf numFmtId="0" fontId="29" fillId="0" borderId="0" xfId="0" applyFont="1">
      <alignment vertical="center"/>
    </xf>
    <xf numFmtId="9" fontId="29" fillId="0" borderId="16" xfId="0" applyNumberFormat="1" applyFont="1" applyBorder="1">
      <alignment vertical="center"/>
    </xf>
    <xf numFmtId="0" fontId="167" fillId="0" borderId="0" xfId="0" applyFont="1">
      <alignment vertical="center"/>
    </xf>
    <xf numFmtId="0" fontId="15" fillId="3" borderId="1" xfId="0" applyFont="1" applyFill="1" applyBorder="1" applyAlignment="1">
      <alignment horizontal="centerContinuous" vertical="center"/>
    </xf>
    <xf numFmtId="14" fontId="0" fillId="0" borderId="0" xfId="0" applyNumberFormat="1">
      <alignment vertical="center"/>
    </xf>
    <xf numFmtId="2" fontId="0" fillId="0" borderId="0" xfId="0" applyNumberFormat="1">
      <alignment vertical="center"/>
    </xf>
    <xf numFmtId="0" fontId="169" fillId="26" borderId="0" xfId="0" applyFont="1" applyFill="1" applyAlignment="1"/>
    <xf numFmtId="0" fontId="0" fillId="0" borderId="0" xfId="0" applyAlignment="1"/>
    <xf numFmtId="10" fontId="0" fillId="0" borderId="0" xfId="0" applyNumberFormat="1">
      <alignment vertical="center"/>
    </xf>
    <xf numFmtId="216" fontId="168" fillId="0" borderId="0" xfId="0" applyNumberFormat="1" applyFont="1">
      <alignment vertical="center"/>
    </xf>
    <xf numFmtId="41" fontId="0" fillId="0" borderId="0" xfId="0" applyNumberFormat="1">
      <alignment vertical="center"/>
    </xf>
    <xf numFmtId="176" fontId="15" fillId="0" borderId="18" xfId="0" applyNumberFormat="1" applyFont="1" applyBorder="1">
      <alignment vertical="center"/>
    </xf>
    <xf numFmtId="0" fontId="15" fillId="0" borderId="355" xfId="0" applyFont="1" applyBorder="1">
      <alignment vertical="center"/>
    </xf>
    <xf numFmtId="176" fontId="15" fillId="0" borderId="355" xfId="0" applyNumberFormat="1" applyFont="1" applyBorder="1">
      <alignment vertical="center"/>
    </xf>
    <xf numFmtId="176" fontId="15" fillId="0" borderId="19" xfId="0" applyNumberFormat="1" applyFont="1" applyBorder="1">
      <alignment vertical="center"/>
    </xf>
    <xf numFmtId="176" fontId="15" fillId="0" borderId="410" xfId="0" applyNumberFormat="1" applyFont="1" applyBorder="1">
      <alignment vertical="center"/>
    </xf>
    <xf numFmtId="0" fontId="170" fillId="0" borderId="0" xfId="0" applyFont="1" applyAlignment="1">
      <alignment horizontal="justify" vertical="center" wrapText="1"/>
    </xf>
    <xf numFmtId="0" fontId="171" fillId="0" borderId="0" xfId="0" applyFont="1">
      <alignment vertical="center"/>
    </xf>
    <xf numFmtId="0" fontId="170" fillId="0" borderId="0" xfId="0" applyFont="1" applyAlignment="1">
      <alignment horizontal="right" vertical="top" wrapText="1"/>
    </xf>
    <xf numFmtId="0" fontId="170" fillId="7" borderId="28" xfId="0" applyFont="1" applyFill="1" applyBorder="1" applyAlignment="1">
      <alignment horizontal="center" vertical="center" wrapText="1"/>
    </xf>
    <xf numFmtId="0" fontId="170" fillId="7" borderId="29" xfId="0" applyFont="1" applyFill="1" applyBorder="1" applyAlignment="1">
      <alignment horizontal="center" vertical="center" wrapText="1"/>
    </xf>
    <xf numFmtId="0" fontId="170" fillId="7" borderId="30" xfId="0" applyFont="1" applyFill="1" applyBorder="1" applyAlignment="1">
      <alignment horizontal="center" vertical="center" wrapText="1"/>
    </xf>
    <xf numFmtId="0" fontId="170" fillId="0" borderId="31" xfId="0" applyFont="1" applyBorder="1" applyAlignment="1">
      <alignment vertical="top" wrapText="1"/>
    </xf>
    <xf numFmtId="0" fontId="170" fillId="0" borderId="27" xfId="0" applyFont="1" applyBorder="1" applyAlignment="1">
      <alignment horizontal="right" wrapText="1"/>
    </xf>
    <xf numFmtId="0" fontId="170" fillId="0" borderId="32" xfId="0" applyFont="1" applyBorder="1" applyAlignment="1">
      <alignment horizontal="right" wrapText="1"/>
    </xf>
    <xf numFmtId="0" fontId="170" fillId="0" borderId="33" xfId="0" applyFont="1" applyBorder="1" applyAlignment="1">
      <alignment horizontal="center" wrapText="1"/>
    </xf>
    <xf numFmtId="0" fontId="170" fillId="0" borderId="0" xfId="0" applyFont="1">
      <alignment vertical="center"/>
    </xf>
    <xf numFmtId="0" fontId="170" fillId="0" borderId="31" xfId="0" applyFont="1" applyBorder="1" applyAlignment="1">
      <alignment wrapText="1"/>
    </xf>
    <xf numFmtId="0" fontId="170" fillId="0" borderId="33" xfId="0" applyFont="1" applyBorder="1" applyAlignment="1">
      <alignment horizontal="center" vertical="top" wrapText="1"/>
    </xf>
    <xf numFmtId="0" fontId="21" fillId="0" borderId="0" xfId="0" applyFont="1" applyAlignment="1">
      <alignment horizontal="right" vertical="top" wrapText="1"/>
    </xf>
    <xf numFmtId="0" fontId="21" fillId="0" borderId="31" xfId="0" applyFont="1" applyBorder="1" applyAlignment="1">
      <alignment vertical="top" wrapText="1"/>
    </xf>
    <xf numFmtId="0" fontId="21" fillId="0" borderId="27" xfId="0" applyFont="1" applyBorder="1" applyAlignment="1">
      <alignment horizontal="right" wrapText="1"/>
    </xf>
    <xf numFmtId="0" fontId="21" fillId="0" borderId="32" xfId="0" applyFont="1" applyBorder="1" applyAlignment="1">
      <alignment horizontal="right" wrapText="1"/>
    </xf>
    <xf numFmtId="0" fontId="21" fillId="0" borderId="33" xfId="0" applyFont="1" applyBorder="1" applyAlignment="1">
      <alignment horizontal="center" wrapText="1"/>
    </xf>
    <xf numFmtId="3" fontId="21" fillId="0" borderId="34" xfId="0" applyNumberFormat="1" applyFont="1" applyBorder="1" applyAlignment="1">
      <alignment horizontal="right" wrapText="1"/>
    </xf>
    <xf numFmtId="0" fontId="21" fillId="0" borderId="31" xfId="0" applyFont="1" applyBorder="1" applyAlignment="1">
      <alignment wrapText="1"/>
    </xf>
    <xf numFmtId="0" fontId="21" fillId="0" borderId="33" xfId="0" applyFont="1" applyBorder="1" applyAlignment="1">
      <alignment horizontal="center" vertical="top" wrapText="1"/>
    </xf>
    <xf numFmtId="3" fontId="170" fillId="0" borderId="27" xfId="0" applyNumberFormat="1" applyFont="1" applyBorder="1" applyAlignment="1">
      <alignment horizontal="right" wrapText="1"/>
    </xf>
    <xf numFmtId="3" fontId="170" fillId="0" borderId="32" xfId="0" applyNumberFormat="1" applyFont="1" applyBorder="1" applyAlignment="1">
      <alignment horizontal="right" wrapText="1"/>
    </xf>
    <xf numFmtId="3" fontId="170" fillId="0" borderId="34" xfId="0" applyNumberFormat="1" applyFont="1" applyBorder="1" applyAlignment="1">
      <alignment horizontal="right" wrapText="1"/>
    </xf>
    <xf numFmtId="3" fontId="170" fillId="0" borderId="35" xfId="0" applyNumberFormat="1" applyFont="1" applyBorder="1" applyAlignment="1">
      <alignment horizontal="right" wrapText="1"/>
    </xf>
    <xf numFmtId="3" fontId="21" fillId="0" borderId="27" xfId="0" applyNumberFormat="1" applyFont="1" applyBorder="1" applyAlignment="1">
      <alignment horizontal="right" wrapText="1"/>
    </xf>
    <xf numFmtId="3" fontId="21" fillId="0" borderId="32" xfId="0" applyNumberFormat="1" applyFont="1" applyBorder="1" applyAlignment="1">
      <alignment horizontal="right" wrapText="1"/>
    </xf>
    <xf numFmtId="3" fontId="21" fillId="0" borderId="35" xfId="0" applyNumberFormat="1" applyFont="1" applyBorder="1" applyAlignment="1">
      <alignment horizontal="right" wrapText="1"/>
    </xf>
    <xf numFmtId="176" fontId="15" fillId="0" borderId="13" xfId="0" applyNumberFormat="1" applyFont="1" applyBorder="1">
      <alignment vertical="center"/>
    </xf>
    <xf numFmtId="176" fontId="15" fillId="0" borderId="14" xfId="0" applyNumberFormat="1" applyFont="1" applyBorder="1">
      <alignment vertical="center"/>
    </xf>
    <xf numFmtId="176" fontId="0" fillId="0" borderId="0" xfId="0" applyNumberFormat="1">
      <alignment vertical="center"/>
    </xf>
    <xf numFmtId="176" fontId="4" fillId="5" borderId="0" xfId="0" applyNumberFormat="1" applyFont="1" applyFill="1">
      <alignment vertical="center"/>
    </xf>
    <xf numFmtId="0" fontId="58" fillId="0" borderId="1" xfId="0" applyFont="1" applyBorder="1" applyAlignment="1">
      <alignment horizontal="center" vertical="center"/>
    </xf>
    <xf numFmtId="0" fontId="79" fillId="0" borderId="3" xfId="0" applyFont="1" applyBorder="1" applyAlignment="1">
      <alignment horizontal="center" vertical="center"/>
    </xf>
    <xf numFmtId="210" fontId="79" fillId="0" borderId="3" xfId="0" applyNumberFormat="1" applyFont="1" applyBorder="1" applyAlignment="1">
      <alignment horizontal="center" vertical="center"/>
    </xf>
    <xf numFmtId="14" fontId="79" fillId="0" borderId="3" xfId="0" applyNumberFormat="1" applyFont="1" applyBorder="1" applyAlignment="1">
      <alignment horizontal="center" vertical="center"/>
    </xf>
    <xf numFmtId="0" fontId="172" fillId="0" borderId="3" xfId="0" applyFont="1" applyBorder="1">
      <alignment vertical="center"/>
    </xf>
    <xf numFmtId="210" fontId="79" fillId="0" borderId="0" xfId="0" applyNumberFormat="1" applyFont="1" applyAlignment="1">
      <alignment horizontal="center" vertical="center"/>
    </xf>
    <xf numFmtId="14" fontId="79" fillId="0" borderId="0" xfId="0" applyNumberFormat="1" applyFont="1" applyAlignment="1">
      <alignment horizontal="center" vertical="center"/>
    </xf>
    <xf numFmtId="0" fontId="172" fillId="0" borderId="0" xfId="0" applyFont="1">
      <alignment vertical="center"/>
    </xf>
    <xf numFmtId="0" fontId="79" fillId="0" borderId="2" xfId="0" applyFont="1" applyBorder="1" applyAlignment="1">
      <alignment horizontal="center" vertical="center"/>
    </xf>
    <xf numFmtId="210" fontId="79" fillId="0" borderId="2" xfId="0" applyNumberFormat="1" applyFont="1" applyBorder="1" applyAlignment="1">
      <alignment horizontal="center" vertical="center"/>
    </xf>
    <xf numFmtId="14" fontId="79" fillId="0" borderId="2" xfId="0" applyNumberFormat="1" applyFont="1" applyBorder="1" applyAlignment="1">
      <alignment horizontal="center" vertical="center"/>
    </xf>
    <xf numFmtId="0" fontId="172" fillId="0" borderId="2" xfId="0" applyFont="1" applyBorder="1">
      <alignment vertical="center"/>
    </xf>
    <xf numFmtId="189" fontId="16" fillId="0" borderId="1" xfId="0" applyNumberFormat="1" applyFont="1" applyBorder="1">
      <alignment vertical="center"/>
    </xf>
    <xf numFmtId="189" fontId="13" fillId="0" borderId="46" xfId="0" applyNumberFormat="1" applyFont="1" applyBorder="1">
      <alignment vertical="center"/>
    </xf>
    <xf numFmtId="176" fontId="16" fillId="0" borderId="1" xfId="0" applyNumberFormat="1" applyFont="1" applyBorder="1">
      <alignment vertical="center"/>
    </xf>
    <xf numFmtId="0" fontId="15" fillId="0" borderId="2" xfId="0" applyFont="1" applyBorder="1" applyAlignment="1">
      <alignment horizontal="center" vertical="center"/>
    </xf>
    <xf numFmtId="14" fontId="2" fillId="0" borderId="0" xfId="0" applyNumberFormat="1" applyFont="1">
      <alignment vertical="center"/>
    </xf>
    <xf numFmtId="0" fontId="15" fillId="0" borderId="1" xfId="0" applyFont="1" applyBorder="1" applyAlignment="1">
      <alignment horizontal="left" vertical="center"/>
    </xf>
    <xf numFmtId="3" fontId="4" fillId="4" borderId="0" xfId="0" applyNumberFormat="1" applyFont="1" applyFill="1">
      <alignment vertical="center"/>
    </xf>
    <xf numFmtId="215" fontId="175" fillId="0" borderId="0" xfId="0" applyNumberFormat="1" applyFont="1" applyAlignment="1"/>
    <xf numFmtId="183" fontId="15" fillId="0" borderId="36" xfId="0" applyNumberFormat="1" applyFont="1" applyBorder="1" applyAlignment="1" applyProtection="1">
      <alignment horizontal="center" vertical="center"/>
      <protection locked="0"/>
    </xf>
    <xf numFmtId="183" fontId="15" fillId="55" borderId="36" xfId="0" applyNumberFormat="1" applyFont="1" applyFill="1" applyBorder="1" applyAlignment="1" applyProtection="1">
      <alignment horizontal="center" vertical="center"/>
      <protection locked="0"/>
    </xf>
    <xf numFmtId="183" fontId="15" fillId="56" borderId="36" xfId="0" applyNumberFormat="1" applyFont="1" applyFill="1" applyBorder="1" applyAlignment="1" applyProtection="1">
      <alignment horizontal="center" vertical="center"/>
      <protection locked="0"/>
    </xf>
    <xf numFmtId="183" fontId="15" fillId="57" borderId="36" xfId="0" applyNumberFormat="1" applyFont="1" applyFill="1" applyBorder="1" applyAlignment="1" applyProtection="1">
      <alignment horizontal="center" vertical="center"/>
      <protection locked="0"/>
    </xf>
    <xf numFmtId="183" fontId="15" fillId="58" borderId="36" xfId="0" applyNumberFormat="1" applyFont="1" applyFill="1" applyBorder="1" applyAlignment="1" applyProtection="1">
      <alignment horizontal="center" vertical="center"/>
      <protection locked="0"/>
    </xf>
    <xf numFmtId="183" fontId="15" fillId="59" borderId="36" xfId="0" applyNumberFormat="1" applyFont="1" applyFill="1" applyBorder="1" applyAlignment="1" applyProtection="1">
      <alignment horizontal="center" vertical="center"/>
      <protection locked="0"/>
    </xf>
    <xf numFmtId="183" fontId="15" fillId="0" borderId="37" xfId="0" applyNumberFormat="1" applyFont="1" applyBorder="1" applyProtection="1">
      <alignment vertical="center"/>
      <protection locked="0"/>
    </xf>
    <xf numFmtId="183" fontId="15" fillId="60" borderId="37" xfId="0" applyNumberFormat="1" applyFont="1" applyFill="1" applyBorder="1" applyProtection="1">
      <alignment vertical="center"/>
      <protection locked="0"/>
    </xf>
    <xf numFmtId="183" fontId="4" fillId="60" borderId="37" xfId="0" applyNumberFormat="1" applyFont="1" applyFill="1" applyBorder="1" applyProtection="1">
      <alignment vertical="center"/>
      <protection locked="0"/>
    </xf>
    <xf numFmtId="183" fontId="15" fillId="61" borderId="37" xfId="0" applyNumberFormat="1" applyFont="1" applyFill="1" applyBorder="1" applyProtection="1">
      <alignment vertical="center"/>
      <protection locked="0"/>
    </xf>
    <xf numFmtId="183" fontId="4" fillId="61" borderId="37" xfId="0" applyNumberFormat="1" applyFont="1" applyFill="1" applyBorder="1" applyProtection="1">
      <alignment vertical="center"/>
      <protection locked="0"/>
    </xf>
    <xf numFmtId="183" fontId="15" fillId="62" borderId="37" xfId="0" applyNumberFormat="1" applyFont="1" applyFill="1" applyBorder="1" applyProtection="1">
      <alignment vertical="center"/>
      <protection locked="0"/>
    </xf>
    <xf numFmtId="183" fontId="4" fillId="62" borderId="37" xfId="0" applyNumberFormat="1" applyFont="1" applyFill="1" applyBorder="1" applyProtection="1">
      <alignment vertical="center"/>
      <protection locked="0"/>
    </xf>
    <xf numFmtId="183" fontId="15" fillId="63" borderId="37" xfId="0" applyNumberFormat="1" applyFont="1" applyFill="1" applyBorder="1" applyProtection="1">
      <alignment vertical="center"/>
      <protection locked="0"/>
    </xf>
    <xf numFmtId="183" fontId="4" fillId="63" borderId="37" xfId="0" applyNumberFormat="1" applyFont="1" applyFill="1" applyBorder="1" applyProtection="1">
      <alignment vertical="center"/>
      <protection locked="0"/>
    </xf>
    <xf numFmtId="183" fontId="15" fillId="64" borderId="37" xfId="0" applyNumberFormat="1" applyFont="1" applyFill="1" applyBorder="1" applyProtection="1">
      <alignment vertical="center"/>
      <protection locked="0"/>
    </xf>
    <xf numFmtId="183" fontId="4" fillId="64" borderId="37" xfId="0" applyNumberFormat="1" applyFont="1" applyFill="1" applyBorder="1" applyProtection="1">
      <alignment vertical="center"/>
      <protection locked="0"/>
    </xf>
    <xf numFmtId="183" fontId="15" fillId="0" borderId="38" xfId="0" applyNumberFormat="1" applyFont="1" applyBorder="1" applyProtection="1">
      <alignment vertical="center"/>
      <protection locked="0"/>
    </xf>
    <xf numFmtId="183" fontId="15" fillId="60" borderId="38" xfId="0" applyNumberFormat="1" applyFont="1" applyFill="1" applyBorder="1" applyProtection="1">
      <alignment vertical="center"/>
      <protection locked="0"/>
    </xf>
    <xf numFmtId="183" fontId="4" fillId="60" borderId="38" xfId="0" applyNumberFormat="1" applyFont="1" applyFill="1" applyBorder="1" applyProtection="1">
      <alignment vertical="center"/>
      <protection locked="0"/>
    </xf>
    <xf numFmtId="183" fontId="15" fillId="61" borderId="38" xfId="0" applyNumberFormat="1" applyFont="1" applyFill="1" applyBorder="1" applyProtection="1">
      <alignment vertical="center"/>
      <protection locked="0"/>
    </xf>
    <xf numFmtId="183" fontId="4" fillId="61" borderId="38" xfId="0" applyNumberFormat="1" applyFont="1" applyFill="1" applyBorder="1" applyProtection="1">
      <alignment vertical="center"/>
      <protection locked="0"/>
    </xf>
    <xf numFmtId="183" fontId="15" fillId="62" borderId="38" xfId="0" applyNumberFormat="1" applyFont="1" applyFill="1" applyBorder="1" applyProtection="1">
      <alignment vertical="center"/>
      <protection locked="0"/>
    </xf>
    <xf numFmtId="183" fontId="4" fillId="62" borderId="38" xfId="0" applyNumberFormat="1" applyFont="1" applyFill="1" applyBorder="1" applyProtection="1">
      <alignment vertical="center"/>
      <protection locked="0"/>
    </xf>
    <xf numFmtId="183" fontId="15" fillId="63" borderId="38" xfId="0" applyNumberFormat="1" applyFont="1" applyFill="1" applyBorder="1" applyProtection="1">
      <alignment vertical="center"/>
      <protection locked="0"/>
    </xf>
    <xf numFmtId="183" fontId="4" fillId="63" borderId="38" xfId="0" applyNumberFormat="1" applyFont="1" applyFill="1" applyBorder="1" applyProtection="1">
      <alignment vertical="center"/>
      <protection locked="0"/>
    </xf>
    <xf numFmtId="183" fontId="15" fillId="64" borderId="38" xfId="0" applyNumberFormat="1" applyFont="1" applyFill="1" applyBorder="1" applyProtection="1">
      <alignment vertical="center"/>
      <protection locked="0"/>
    </xf>
    <xf numFmtId="183" fontId="4" fillId="64" borderId="38" xfId="0" applyNumberFormat="1" applyFont="1" applyFill="1" applyBorder="1" applyProtection="1">
      <alignment vertical="center"/>
      <protection locked="0"/>
    </xf>
    <xf numFmtId="183" fontId="15" fillId="0" borderId="39" xfId="0" applyNumberFormat="1" applyFont="1" applyBorder="1" applyProtection="1">
      <alignment vertical="center"/>
      <protection locked="0"/>
    </xf>
    <xf numFmtId="183" fontId="15" fillId="60" borderId="39" xfId="0" applyNumberFormat="1" applyFont="1" applyFill="1" applyBorder="1" applyProtection="1">
      <alignment vertical="center"/>
      <protection locked="0"/>
    </xf>
    <xf numFmtId="183" fontId="4" fillId="60" borderId="39" xfId="0" applyNumberFormat="1" applyFont="1" applyFill="1" applyBorder="1" applyProtection="1">
      <alignment vertical="center"/>
      <protection locked="0"/>
    </xf>
    <xf numFmtId="183" fontId="15" fillId="61" borderId="39" xfId="0" applyNumberFormat="1" applyFont="1" applyFill="1" applyBorder="1" applyProtection="1">
      <alignment vertical="center"/>
      <protection locked="0"/>
    </xf>
    <xf numFmtId="183" fontId="4" fillId="61" borderId="39" xfId="0" applyNumberFormat="1" applyFont="1" applyFill="1" applyBorder="1" applyProtection="1">
      <alignment vertical="center"/>
      <protection locked="0"/>
    </xf>
    <xf numFmtId="183" fontId="15" fillId="62" borderId="39" xfId="0" applyNumberFormat="1" applyFont="1" applyFill="1" applyBorder="1" applyProtection="1">
      <alignment vertical="center"/>
      <protection locked="0"/>
    </xf>
    <xf numFmtId="183" fontId="4" fillId="62" borderId="39" xfId="0" applyNumberFormat="1" applyFont="1" applyFill="1" applyBorder="1" applyProtection="1">
      <alignment vertical="center"/>
      <protection locked="0"/>
    </xf>
    <xf numFmtId="183" fontId="15" fillId="63" borderId="39" xfId="0" applyNumberFormat="1" applyFont="1" applyFill="1" applyBorder="1" applyProtection="1">
      <alignment vertical="center"/>
      <protection locked="0"/>
    </xf>
    <xf numFmtId="183" fontId="4" fillId="63" borderId="39" xfId="0" applyNumberFormat="1" applyFont="1" applyFill="1" applyBorder="1" applyProtection="1">
      <alignment vertical="center"/>
      <protection locked="0"/>
    </xf>
    <xf numFmtId="183" fontId="15" fillId="64" borderId="39" xfId="0" applyNumberFormat="1" applyFont="1" applyFill="1" applyBorder="1" applyProtection="1">
      <alignment vertical="center"/>
      <protection locked="0"/>
    </xf>
    <xf numFmtId="183" fontId="4" fillId="64" borderId="39" xfId="0" applyNumberFormat="1" applyFont="1" applyFill="1" applyBorder="1" applyProtection="1">
      <alignment vertical="center"/>
      <protection locked="0"/>
    </xf>
    <xf numFmtId="183" fontId="15" fillId="0" borderId="36" xfId="0" applyNumberFormat="1" applyFont="1" applyBorder="1" applyProtection="1">
      <alignment vertical="center"/>
      <protection locked="0"/>
    </xf>
    <xf numFmtId="183" fontId="15" fillId="60" borderId="36" xfId="0" applyNumberFormat="1" applyFont="1" applyFill="1" applyBorder="1" applyProtection="1">
      <alignment vertical="center"/>
      <protection locked="0"/>
    </xf>
    <xf numFmtId="183" fontId="4" fillId="60" borderId="36" xfId="0" applyNumberFormat="1" applyFont="1" applyFill="1" applyBorder="1" applyProtection="1">
      <alignment vertical="center"/>
      <protection locked="0"/>
    </xf>
    <xf numFmtId="183" fontId="15" fillId="61" borderId="36" xfId="0" applyNumberFormat="1" applyFont="1" applyFill="1" applyBorder="1" applyProtection="1">
      <alignment vertical="center"/>
      <protection locked="0"/>
    </xf>
    <xf numFmtId="183" fontId="4" fillId="61" borderId="36" xfId="0" applyNumberFormat="1" applyFont="1" applyFill="1" applyBorder="1" applyProtection="1">
      <alignment vertical="center"/>
      <protection locked="0"/>
    </xf>
    <xf numFmtId="183" fontId="15" fillId="62" borderId="36" xfId="0" applyNumberFormat="1" applyFont="1" applyFill="1" applyBorder="1" applyProtection="1">
      <alignment vertical="center"/>
      <protection locked="0"/>
    </xf>
    <xf numFmtId="183" fontId="4" fillId="62" borderId="36" xfId="0" applyNumberFormat="1" applyFont="1" applyFill="1" applyBorder="1" applyProtection="1">
      <alignment vertical="center"/>
      <protection locked="0"/>
    </xf>
    <xf numFmtId="183" fontId="15" fillId="63" borderId="36" xfId="0" applyNumberFormat="1" applyFont="1" applyFill="1" applyBorder="1" applyProtection="1">
      <alignment vertical="center"/>
      <protection locked="0"/>
    </xf>
    <xf numFmtId="183" fontId="4" fillId="63" borderId="36" xfId="0" applyNumberFormat="1" applyFont="1" applyFill="1" applyBorder="1" applyProtection="1">
      <alignment vertical="center"/>
      <protection locked="0"/>
    </xf>
    <xf numFmtId="183" fontId="15" fillId="64" borderId="36" xfId="0" applyNumberFormat="1" applyFont="1" applyFill="1" applyBorder="1" applyProtection="1">
      <alignment vertical="center"/>
      <protection locked="0"/>
    </xf>
    <xf numFmtId="183" fontId="4" fillId="64" borderId="36" xfId="0" applyNumberFormat="1" applyFont="1" applyFill="1" applyBorder="1" applyProtection="1">
      <alignment vertical="center"/>
      <protection locked="0"/>
    </xf>
    <xf numFmtId="183" fontId="4" fillId="0" borderId="0" xfId="0" applyNumberFormat="1" applyFont="1" applyProtection="1">
      <alignment vertical="center"/>
      <protection locked="0"/>
    </xf>
    <xf numFmtId="183" fontId="4" fillId="0" borderId="36" xfId="0" applyNumberFormat="1" applyFont="1" applyBorder="1" applyProtection="1">
      <alignment vertical="center"/>
      <protection locked="0"/>
    </xf>
    <xf numFmtId="183" fontId="15" fillId="0" borderId="4" xfId="0" applyNumberFormat="1" applyFont="1" applyBorder="1" applyAlignment="1" applyProtection="1">
      <alignment horizontal="center" vertical="center"/>
      <protection locked="0"/>
    </xf>
    <xf numFmtId="183" fontId="15" fillId="0" borderId="360" xfId="0" applyNumberFormat="1" applyFont="1" applyBorder="1" applyProtection="1">
      <alignment vertical="center"/>
      <protection locked="0"/>
    </xf>
    <xf numFmtId="183" fontId="15" fillId="0" borderId="369" xfId="0" applyNumberFormat="1" applyFont="1" applyBorder="1" applyProtection="1">
      <alignment vertical="center"/>
      <protection locked="0"/>
    </xf>
    <xf numFmtId="183" fontId="15" fillId="0" borderId="374" xfId="0" applyNumberFormat="1" applyFont="1" applyBorder="1" applyProtection="1">
      <alignment vertical="center"/>
      <protection locked="0"/>
    </xf>
    <xf numFmtId="183" fontId="15" fillId="0" borderId="4" xfId="0" applyNumberFormat="1" applyFont="1" applyBorder="1" applyProtection="1">
      <alignment vertical="center"/>
      <protection locked="0"/>
    </xf>
    <xf numFmtId="183" fontId="15" fillId="0" borderId="6" xfId="0" applyNumberFormat="1" applyFont="1" applyBorder="1" applyProtection="1">
      <alignment vertical="center"/>
      <protection locked="0"/>
    </xf>
    <xf numFmtId="176" fontId="4" fillId="0" borderId="22" xfId="0" applyNumberFormat="1" applyFont="1" applyBorder="1">
      <alignment vertical="center"/>
    </xf>
    <xf numFmtId="9" fontId="11" fillId="0" borderId="22" xfId="0" applyNumberFormat="1" applyFont="1" applyBorder="1">
      <alignment vertical="center"/>
    </xf>
    <xf numFmtId="178" fontId="11" fillId="0" borderId="21" xfId="0" applyNumberFormat="1" applyFont="1" applyBorder="1">
      <alignment vertical="center"/>
    </xf>
    <xf numFmtId="0" fontId="59" fillId="0" borderId="0" xfId="0" applyFont="1" applyProtection="1">
      <alignment vertical="center"/>
      <protection locked="0"/>
    </xf>
    <xf numFmtId="3" fontId="59" fillId="0" borderId="0" xfId="0" applyNumberFormat="1" applyFont="1" applyProtection="1">
      <alignment vertical="center"/>
      <protection locked="0"/>
    </xf>
    <xf numFmtId="0" fontId="94" fillId="39" borderId="36" xfId="0" applyFont="1" applyFill="1" applyBorder="1" applyAlignment="1" applyProtection="1">
      <alignment horizontal="center"/>
      <protection locked="0"/>
    </xf>
    <xf numFmtId="0" fontId="94" fillId="41" borderId="36" xfId="0" applyFont="1" applyFill="1" applyBorder="1" applyAlignment="1" applyProtection="1">
      <alignment horizontal="center" vertical="center"/>
      <protection locked="0"/>
    </xf>
    <xf numFmtId="0" fontId="59" fillId="42" borderId="190" xfId="0" applyFont="1" applyFill="1" applyBorder="1" applyAlignment="1" applyProtection="1">
      <alignment horizontal="center" vertical="center"/>
      <protection locked="0"/>
    </xf>
    <xf numFmtId="0" fontId="59" fillId="42" borderId="190" xfId="0" applyFont="1" applyFill="1" applyBorder="1" applyProtection="1">
      <alignment vertical="center"/>
      <protection locked="0"/>
    </xf>
    <xf numFmtId="201" fontId="59" fillId="42" borderId="190" xfId="0" applyNumberFormat="1" applyFont="1" applyFill="1" applyBorder="1" applyAlignment="1" applyProtection="1">
      <alignment horizontal="right" vertical="center"/>
      <protection locked="0"/>
    </xf>
    <xf numFmtId="0" fontId="59" fillId="34" borderId="190" xfId="0" applyFont="1" applyFill="1" applyBorder="1" applyAlignment="1" applyProtection="1">
      <alignment horizontal="center" vertical="center"/>
      <protection locked="0"/>
    </xf>
    <xf numFmtId="0" fontId="59" fillId="34" borderId="190" xfId="0" applyFont="1" applyFill="1" applyBorder="1" applyProtection="1">
      <alignment vertical="center"/>
      <protection locked="0"/>
    </xf>
    <xf numFmtId="201" fontId="59" fillId="34" borderId="190" xfId="0" applyNumberFormat="1" applyFont="1" applyFill="1" applyBorder="1" applyAlignment="1" applyProtection="1">
      <alignment horizontal="right" vertical="center"/>
      <protection locked="0"/>
    </xf>
    <xf numFmtId="0" fontId="59" fillId="0" borderId="190" xfId="0" applyFont="1" applyBorder="1" applyAlignment="1" applyProtection="1">
      <alignment horizontal="center" vertical="center"/>
      <protection locked="0"/>
    </xf>
    <xf numFmtId="0" fontId="59" fillId="0" borderId="190" xfId="0" applyFont="1" applyBorder="1" applyProtection="1">
      <alignment vertical="center"/>
      <protection locked="0"/>
    </xf>
    <xf numFmtId="201" fontId="59" fillId="0" borderId="190" xfId="0" applyNumberFormat="1" applyFont="1" applyBorder="1" applyAlignment="1" applyProtection="1">
      <alignment horizontal="right" vertical="center"/>
      <protection locked="0"/>
    </xf>
    <xf numFmtId="0" fontId="59" fillId="0" borderId="190" xfId="0" applyFont="1" applyBorder="1" applyAlignment="1" applyProtection="1">
      <protection locked="0"/>
    </xf>
    <xf numFmtId="0" fontId="59" fillId="4" borderId="190" xfId="0" applyFont="1" applyFill="1" applyBorder="1" applyAlignment="1" applyProtection="1">
      <alignment horizontal="center" vertical="center"/>
      <protection locked="0"/>
    </xf>
    <xf numFmtId="0" fontId="59" fillId="4" borderId="190" xfId="0" applyFont="1" applyFill="1" applyBorder="1" applyProtection="1">
      <alignment vertical="center"/>
      <protection locked="0"/>
    </xf>
    <xf numFmtId="201" fontId="59" fillId="4" borderId="190" xfId="0" applyNumberFormat="1" applyFont="1" applyFill="1" applyBorder="1" applyAlignment="1" applyProtection="1">
      <alignment horizontal="right" vertical="center"/>
      <protection locked="0"/>
    </xf>
    <xf numFmtId="194" fontId="15" fillId="0" borderId="9" xfId="0" applyNumberFormat="1" applyFont="1" applyBorder="1">
      <alignment vertical="center"/>
    </xf>
    <xf numFmtId="194" fontId="4" fillId="0" borderId="17" xfId="0" applyNumberFormat="1" applyFont="1" applyBorder="1">
      <alignment vertical="center"/>
    </xf>
    <xf numFmtId="176" fontId="13" fillId="0" borderId="17" xfId="0" applyNumberFormat="1" applyFont="1" applyBorder="1" applyAlignment="1">
      <alignment horizontal="right" vertical="center"/>
    </xf>
    <xf numFmtId="176" fontId="4" fillId="0" borderId="22" xfId="0" applyNumberFormat="1" applyFont="1" applyBorder="1" applyAlignment="1">
      <alignment horizontal="right" vertical="center"/>
    </xf>
    <xf numFmtId="176" fontId="15" fillId="0" borderId="9" xfId="0" applyNumberFormat="1" applyFont="1" applyBorder="1" applyAlignment="1">
      <alignment horizontal="right" vertical="center"/>
    </xf>
    <xf numFmtId="0" fontId="148" fillId="0" borderId="0" xfId="0" applyFont="1" applyAlignment="1" applyProtection="1">
      <alignment horizontal="center"/>
      <protection locked="0"/>
    </xf>
    <xf numFmtId="0" fontId="96" fillId="0" borderId="0" xfId="0" applyFont="1" applyAlignment="1" applyProtection="1">
      <protection locked="0"/>
    </xf>
    <xf numFmtId="183" fontId="96" fillId="0" borderId="0" xfId="0" applyNumberFormat="1" applyFont="1" applyAlignment="1" applyProtection="1">
      <protection locked="0"/>
    </xf>
    <xf numFmtId="0" fontId="96" fillId="0" borderId="0" xfId="0" applyFont="1" applyAlignment="1" applyProtection="1">
      <alignment horizontal="center"/>
      <protection locked="0"/>
    </xf>
    <xf numFmtId="49" fontId="96" fillId="0" borderId="0" xfId="0" applyNumberFormat="1" applyFont="1" applyAlignment="1" applyProtection="1">
      <alignment horizontal="center"/>
      <protection locked="0"/>
    </xf>
    <xf numFmtId="0" fontId="96" fillId="0" borderId="411" xfId="0" applyFont="1" applyBorder="1" applyAlignment="1" applyProtection="1">
      <alignment horizontal="left"/>
      <protection locked="0"/>
    </xf>
    <xf numFmtId="0" fontId="176" fillId="0" borderId="412" xfId="0" applyFont="1" applyBorder="1" applyAlignment="1" applyProtection="1">
      <alignment horizontal="center"/>
      <protection locked="0"/>
    </xf>
    <xf numFmtId="0" fontId="96" fillId="0" borderId="236" xfId="0" applyFont="1" applyBorder="1" applyAlignment="1" applyProtection="1">
      <protection locked="0"/>
    </xf>
    <xf numFmtId="183" fontId="96" fillId="0" borderId="411" xfId="0" applyNumberFormat="1" applyFont="1" applyBorder="1" applyAlignment="1" applyProtection="1">
      <alignment horizontal="left"/>
      <protection locked="0"/>
    </xf>
    <xf numFmtId="218" fontId="96" fillId="0" borderId="0" xfId="0" applyNumberFormat="1" applyFont="1" applyAlignment="1" applyProtection="1">
      <protection locked="0"/>
    </xf>
    <xf numFmtId="183" fontId="177" fillId="0" borderId="0" xfId="0" applyNumberFormat="1" applyFont="1" applyAlignment="1" applyProtection="1">
      <protection locked="0"/>
    </xf>
    <xf numFmtId="0" fontId="148" fillId="44" borderId="416" xfId="0" applyFont="1" applyFill="1" applyBorder="1" applyAlignment="1" applyProtection="1">
      <protection locked="0"/>
    </xf>
    <xf numFmtId="0" fontId="96" fillId="44" borderId="417" xfId="0" applyFont="1" applyFill="1" applyBorder="1" applyAlignment="1" applyProtection="1">
      <protection locked="0"/>
    </xf>
    <xf numFmtId="0" fontId="96" fillId="44" borderId="417" xfId="0" applyFont="1" applyFill="1" applyBorder="1" applyAlignment="1" applyProtection="1">
      <alignment horizontal="center"/>
      <protection locked="0"/>
    </xf>
    <xf numFmtId="183" fontId="96" fillId="44" borderId="417" xfId="0" applyNumberFormat="1" applyFont="1" applyFill="1" applyBorder="1" applyAlignment="1" applyProtection="1">
      <protection locked="0"/>
    </xf>
    <xf numFmtId="49" fontId="96" fillId="44" borderId="417" xfId="0" applyNumberFormat="1" applyFont="1" applyFill="1" applyBorder="1" applyAlignment="1" applyProtection="1">
      <alignment horizontal="center"/>
      <protection locked="0"/>
    </xf>
    <xf numFmtId="0" fontId="96" fillId="44" borderId="418" xfId="0" applyFont="1" applyFill="1" applyBorder="1" applyAlignment="1" applyProtection="1">
      <alignment horizontal="left"/>
      <protection locked="0"/>
    </xf>
    <xf numFmtId="0" fontId="96" fillId="0" borderId="3" xfId="0" applyFont="1" applyBorder="1" applyAlignment="1" applyProtection="1">
      <alignment horizontal="left"/>
      <protection locked="0"/>
    </xf>
    <xf numFmtId="183" fontId="96" fillId="0" borderId="3" xfId="0" applyNumberFormat="1" applyFont="1" applyBorder="1" applyAlignment="1" applyProtection="1">
      <protection locked="0"/>
    </xf>
    <xf numFmtId="0" fontId="96" fillId="0" borderId="415" xfId="0" applyFont="1" applyBorder="1" applyAlignment="1" applyProtection="1">
      <alignment horizontal="left"/>
      <protection locked="0"/>
    </xf>
    <xf numFmtId="0" fontId="178" fillId="0" borderId="412" xfId="0" applyFont="1" applyBorder="1" applyAlignment="1" applyProtection="1">
      <alignment horizontal="center" vertical="center"/>
      <protection locked="0"/>
    </xf>
    <xf numFmtId="0" fontId="95" fillId="0" borderId="236" xfId="0" applyFont="1" applyBorder="1" applyAlignment="1" applyProtection="1">
      <alignment horizontal="center"/>
      <protection locked="0"/>
    </xf>
    <xf numFmtId="0" fontId="148" fillId="0" borderId="236" xfId="0" applyFont="1" applyBorder="1" applyAlignment="1" applyProtection="1">
      <protection locked="0"/>
    </xf>
    <xf numFmtId="0" fontId="148" fillId="0" borderId="3" xfId="0" applyFont="1" applyBorder="1" applyAlignment="1" applyProtection="1">
      <alignment horizontal="center"/>
      <protection locked="0"/>
    </xf>
    <xf numFmtId="183" fontId="0" fillId="0" borderId="0" xfId="0" applyNumberFormat="1" applyProtection="1">
      <alignment vertical="center"/>
      <protection locked="0"/>
    </xf>
    <xf numFmtId="0" fontId="0" fillId="0" borderId="0" xfId="0" applyProtection="1">
      <alignment vertical="center"/>
      <protection locked="0"/>
    </xf>
    <xf numFmtId="0" fontId="176" fillId="0" borderId="412" xfId="0" applyFont="1" applyBorder="1" applyAlignment="1" applyProtection="1">
      <alignment horizontal="center" vertical="center"/>
      <protection locked="0"/>
    </xf>
    <xf numFmtId="14" fontId="0" fillId="0" borderId="0" xfId="0" applyNumberFormat="1" applyProtection="1">
      <alignment vertical="center"/>
      <protection locked="0"/>
    </xf>
    <xf numFmtId="0" fontId="96" fillId="0" borderId="0" xfId="0" applyFont="1" applyAlignment="1" applyProtection="1">
      <alignment horizontal="left"/>
      <protection locked="0"/>
    </xf>
    <xf numFmtId="49" fontId="96" fillId="0" borderId="3" xfId="0" applyNumberFormat="1" applyFont="1" applyBorder="1" applyAlignment="1" applyProtection="1">
      <alignment horizontal="left"/>
      <protection locked="0"/>
    </xf>
    <xf numFmtId="49" fontId="96" fillId="0" borderId="0" xfId="0" applyNumberFormat="1" applyFont="1" applyAlignment="1" applyProtection="1">
      <alignment horizontal="left"/>
      <protection locked="0"/>
    </xf>
    <xf numFmtId="41" fontId="96" fillId="0" borderId="0" xfId="0" applyNumberFormat="1" applyFont="1" applyAlignment="1" applyProtection="1">
      <alignment horizontal="left"/>
      <protection locked="0"/>
    </xf>
    <xf numFmtId="0" fontId="177" fillId="0" borderId="0" xfId="0" applyFont="1" applyAlignment="1" applyProtection="1">
      <alignment horizontal="left"/>
      <protection locked="0"/>
    </xf>
    <xf numFmtId="49" fontId="177" fillId="0" borderId="0" xfId="0" applyNumberFormat="1" applyFont="1" applyAlignment="1" applyProtection="1">
      <alignment horizontal="left"/>
      <protection locked="0"/>
    </xf>
    <xf numFmtId="201" fontId="96" fillId="68" borderId="0" xfId="0" applyNumberFormat="1" applyFont="1" applyFill="1" applyAlignment="1" applyProtection="1">
      <protection locked="0"/>
    </xf>
    <xf numFmtId="0" fontId="101" fillId="0" borderId="0" xfId="0" applyFont="1" applyAlignment="1" applyProtection="1">
      <protection locked="0"/>
    </xf>
    <xf numFmtId="183" fontId="96" fillId="0" borderId="411" xfId="0" applyNumberFormat="1" applyFont="1" applyBorder="1" applyAlignment="1" applyProtection="1">
      <protection locked="0"/>
    </xf>
    <xf numFmtId="0" fontId="101" fillId="0" borderId="0" xfId="0" applyFont="1" applyProtection="1">
      <alignment vertical="center"/>
      <protection locked="0"/>
    </xf>
    <xf numFmtId="0" fontId="178" fillId="4" borderId="412" xfId="0" applyFont="1" applyFill="1" applyBorder="1" applyAlignment="1" applyProtection="1">
      <alignment horizontal="center" vertical="center"/>
      <protection locked="0"/>
    </xf>
    <xf numFmtId="201" fontId="96" fillId="0" borderId="0" xfId="0" applyNumberFormat="1" applyFont="1" applyAlignment="1" applyProtection="1">
      <protection locked="0"/>
    </xf>
    <xf numFmtId="0" fontId="96" fillId="0" borderId="0" xfId="0" quotePrefix="1" applyFont="1" applyAlignment="1" applyProtection="1">
      <protection locked="0"/>
    </xf>
    <xf numFmtId="0" fontId="96" fillId="0" borderId="411" xfId="0" applyFont="1" applyBorder="1" applyAlignment="1" applyProtection="1">
      <protection locked="0"/>
    </xf>
    <xf numFmtId="0" fontId="148" fillId="0" borderId="0" xfId="0" applyFont="1" applyAlignment="1" applyProtection="1">
      <protection locked="0"/>
    </xf>
    <xf numFmtId="0" fontId="10" fillId="0" borderId="0" xfId="0" applyFont="1" applyAlignment="1" applyProtection="1">
      <alignment horizontal="center"/>
      <protection locked="0"/>
    </xf>
    <xf numFmtId="0" fontId="38" fillId="0" borderId="0" xfId="0" applyFont="1" applyAlignment="1" applyProtection="1">
      <protection locked="0"/>
    </xf>
    <xf numFmtId="183" fontId="38" fillId="0" borderId="0" xfId="0" applyNumberFormat="1" applyFont="1" applyAlignment="1" applyProtection="1">
      <protection locked="0"/>
    </xf>
    <xf numFmtId="0" fontId="10" fillId="44" borderId="413" xfId="0" applyFont="1" applyFill="1" applyBorder="1" applyAlignment="1" applyProtection="1">
      <protection locked="0"/>
    </xf>
    <xf numFmtId="0" fontId="38" fillId="44" borderId="2" xfId="0" applyFont="1" applyFill="1" applyBorder="1" applyAlignment="1" applyProtection="1">
      <protection locked="0"/>
    </xf>
    <xf numFmtId="0" fontId="38" fillId="44" borderId="2" xfId="0" applyFont="1" applyFill="1" applyBorder="1" applyAlignment="1" applyProtection="1">
      <alignment horizontal="center"/>
      <protection locked="0"/>
    </xf>
    <xf numFmtId="183" fontId="38" fillId="44" borderId="2" xfId="0" applyNumberFormat="1" applyFont="1" applyFill="1" applyBorder="1" applyAlignment="1" applyProtection="1">
      <protection locked="0"/>
    </xf>
    <xf numFmtId="49" fontId="38" fillId="44" borderId="2" xfId="0" applyNumberFormat="1" applyFont="1" applyFill="1" applyBorder="1" applyAlignment="1" applyProtection="1">
      <alignment horizontal="center"/>
      <protection locked="0"/>
    </xf>
    <xf numFmtId="0" fontId="38" fillId="44" borderId="414" xfId="0" applyFont="1" applyFill="1" applyBorder="1" applyAlignment="1" applyProtection="1">
      <alignment horizontal="left"/>
      <protection locked="0"/>
    </xf>
    <xf numFmtId="0" fontId="65" fillId="58" borderId="412" xfId="0" applyFont="1" applyFill="1" applyBorder="1" applyAlignment="1" applyProtection="1">
      <alignment horizontal="center"/>
      <protection locked="0"/>
    </xf>
    <xf numFmtId="0" fontId="180" fillId="65" borderId="236" xfId="0" applyFont="1" applyFill="1" applyBorder="1" applyAlignment="1" applyProtection="1">
      <alignment horizontal="center"/>
      <protection locked="0"/>
    </xf>
    <xf numFmtId="0" fontId="38" fillId="0" borderId="0" xfId="0" applyFont="1" applyAlignment="1" applyProtection="1">
      <alignment horizontal="center"/>
      <protection locked="0"/>
    </xf>
    <xf numFmtId="183" fontId="38" fillId="57" borderId="0" xfId="0" applyNumberFormat="1" applyFont="1" applyFill="1" applyAlignment="1" applyProtection="1">
      <protection locked="0"/>
    </xf>
    <xf numFmtId="49" fontId="38" fillId="0" borderId="0" xfId="0" applyNumberFormat="1" applyFont="1" applyAlignment="1" applyProtection="1">
      <alignment horizontal="center"/>
      <protection locked="0"/>
    </xf>
    <xf numFmtId="183" fontId="38" fillId="0" borderId="0" xfId="0" applyNumberFormat="1" applyFont="1" applyAlignment="1" applyProtection="1">
      <alignment horizontal="center"/>
      <protection locked="0"/>
    </xf>
    <xf numFmtId="0" fontId="38" fillId="0" borderId="411" xfId="0" applyFont="1" applyBorder="1" applyAlignment="1" applyProtection="1">
      <alignment horizontal="left"/>
      <protection locked="0"/>
    </xf>
    <xf numFmtId="0" fontId="179" fillId="0" borderId="412" xfId="0" applyFont="1" applyBorder="1" applyAlignment="1" applyProtection="1">
      <alignment horizontal="center"/>
      <protection locked="0"/>
    </xf>
    <xf numFmtId="0" fontId="181" fillId="0" borderId="412" xfId="0" applyFont="1" applyBorder="1" applyAlignment="1" applyProtection="1">
      <alignment horizontal="center"/>
      <protection locked="0"/>
    </xf>
    <xf numFmtId="0" fontId="38" fillId="0" borderId="236" xfId="0" applyFont="1" applyBorder="1" applyAlignment="1" applyProtection="1">
      <protection locked="0"/>
    </xf>
    <xf numFmtId="183" fontId="38" fillId="0" borderId="411" xfId="0" applyNumberFormat="1" applyFont="1" applyBorder="1" applyAlignment="1" applyProtection="1">
      <alignment horizontal="left"/>
      <protection locked="0"/>
    </xf>
    <xf numFmtId="183" fontId="40" fillId="66" borderId="0" xfId="0" applyNumberFormat="1" applyFont="1" applyFill="1" applyAlignment="1" applyProtection="1">
      <protection locked="0"/>
    </xf>
    <xf numFmtId="183" fontId="40" fillId="0" borderId="0" xfId="0" applyNumberFormat="1" applyFont="1" applyAlignment="1" applyProtection="1">
      <protection locked="0"/>
    </xf>
    <xf numFmtId="218" fontId="38" fillId="0" borderId="0" xfId="0" applyNumberFormat="1" applyFont="1" applyAlignment="1" applyProtection="1">
      <protection locked="0"/>
    </xf>
    <xf numFmtId="0" fontId="182" fillId="0" borderId="412" xfId="0" applyFont="1" applyBorder="1" applyAlignment="1" applyProtection="1">
      <alignment horizontal="center"/>
      <protection locked="0"/>
    </xf>
    <xf numFmtId="0" fontId="183" fillId="0" borderId="3" xfId="0" applyFont="1" applyBorder="1" applyAlignment="1" applyProtection="1">
      <alignment horizontal="center"/>
      <protection locked="0"/>
    </xf>
    <xf numFmtId="183" fontId="183" fillId="67" borderId="3" xfId="0" applyNumberFormat="1" applyFont="1" applyFill="1" applyBorder="1" applyAlignment="1" applyProtection="1">
      <protection locked="0"/>
    </xf>
    <xf numFmtId="49" fontId="183" fillId="0" borderId="3" xfId="0" applyNumberFormat="1" applyFont="1" applyBorder="1" applyAlignment="1" applyProtection="1">
      <alignment horizontal="center"/>
      <protection locked="0"/>
    </xf>
    <xf numFmtId="183" fontId="183" fillId="0" borderId="3" xfId="0" applyNumberFormat="1" applyFont="1" applyBorder="1" applyAlignment="1" applyProtection="1">
      <protection locked="0"/>
    </xf>
    <xf numFmtId="183" fontId="183" fillId="0" borderId="3" xfId="0" applyNumberFormat="1" applyFont="1" applyBorder="1" applyAlignment="1" applyProtection="1">
      <alignment horizontal="center"/>
      <protection locked="0"/>
    </xf>
    <xf numFmtId="0" fontId="183" fillId="0" borderId="415" xfId="0" applyFont="1" applyBorder="1" applyAlignment="1" applyProtection="1">
      <alignment horizontal="left"/>
      <protection locked="0"/>
    </xf>
    <xf numFmtId="0" fontId="184" fillId="0" borderId="0" xfId="0" applyFont="1" applyAlignment="1" applyProtection="1">
      <protection locked="0"/>
    </xf>
    <xf numFmtId="0" fontId="184" fillId="0" borderId="236" xfId="0" applyFont="1" applyBorder="1" applyAlignment="1" applyProtection="1">
      <alignment horizontal="center"/>
      <protection locked="0"/>
    </xf>
    <xf numFmtId="0" fontId="183" fillId="0" borderId="0" xfId="0" applyFont="1" applyAlignment="1" applyProtection="1">
      <alignment horizontal="center"/>
      <protection locked="0"/>
    </xf>
    <xf numFmtId="183" fontId="183" fillId="67" borderId="0" xfId="0" applyNumberFormat="1" applyFont="1" applyFill="1" applyAlignment="1" applyProtection="1">
      <protection locked="0"/>
    </xf>
    <xf numFmtId="49" fontId="183" fillId="0" borderId="0" xfId="0" applyNumberFormat="1" applyFont="1" applyAlignment="1" applyProtection="1">
      <alignment horizontal="center"/>
      <protection locked="0"/>
    </xf>
    <xf numFmtId="183" fontId="183" fillId="0" borderId="0" xfId="0" applyNumberFormat="1" applyFont="1" applyAlignment="1" applyProtection="1">
      <protection locked="0"/>
    </xf>
    <xf numFmtId="183" fontId="183" fillId="0" borderId="0" xfId="0" applyNumberFormat="1" applyFont="1" applyAlignment="1" applyProtection="1">
      <alignment horizontal="center"/>
      <protection locked="0"/>
    </xf>
    <xf numFmtId="0" fontId="183" fillId="0" borderId="411" xfId="0" applyFont="1" applyBorder="1" applyAlignment="1" applyProtection="1">
      <alignment horizontal="left"/>
      <protection locked="0"/>
    </xf>
    <xf numFmtId="0" fontId="184" fillId="0" borderId="236" xfId="0" applyFont="1" applyBorder="1" applyAlignment="1" applyProtection="1">
      <protection locked="0"/>
    </xf>
    <xf numFmtId="0" fontId="183" fillId="0" borderId="2" xfId="0" applyFont="1" applyBorder="1" applyAlignment="1" applyProtection="1">
      <alignment horizontal="center"/>
      <protection locked="0"/>
    </xf>
    <xf numFmtId="183" fontId="183" fillId="0" borderId="2" xfId="0" applyNumberFormat="1" applyFont="1" applyBorder="1" applyAlignment="1" applyProtection="1">
      <protection locked="0"/>
    </xf>
    <xf numFmtId="49" fontId="183" fillId="0" borderId="2" xfId="0" applyNumberFormat="1" applyFont="1" applyBorder="1" applyAlignment="1" applyProtection="1">
      <alignment horizontal="center"/>
      <protection locked="0"/>
    </xf>
    <xf numFmtId="183" fontId="183" fillId="0" borderId="2" xfId="0" applyNumberFormat="1" applyFont="1" applyBorder="1" applyAlignment="1" applyProtection="1">
      <alignment horizontal="center"/>
      <protection locked="0"/>
    </xf>
    <xf numFmtId="0" fontId="183" fillId="0" borderId="414" xfId="0" applyFont="1" applyBorder="1" applyAlignment="1" applyProtection="1">
      <alignment horizontal="left"/>
      <protection locked="0"/>
    </xf>
    <xf numFmtId="183" fontId="183" fillId="68" borderId="0" xfId="0" applyNumberFormat="1" applyFont="1" applyFill="1" applyAlignment="1" applyProtection="1">
      <protection locked="0"/>
    </xf>
    <xf numFmtId="0" fontId="183" fillId="0" borderId="0" xfId="0" applyFont="1" applyAlignment="1" applyProtection="1">
      <protection locked="0"/>
    </xf>
    <xf numFmtId="183" fontId="183" fillId="68" borderId="3" xfId="0" applyNumberFormat="1" applyFont="1" applyFill="1" applyBorder="1" applyAlignment="1" applyProtection="1">
      <protection locked="0"/>
    </xf>
    <xf numFmtId="183" fontId="184" fillId="0" borderId="0" xfId="0" applyNumberFormat="1" applyFont="1" applyAlignment="1" applyProtection="1">
      <protection locked="0"/>
    </xf>
    <xf numFmtId="41" fontId="184" fillId="0" borderId="0" xfId="0" applyNumberFormat="1" applyFont="1" applyAlignment="1" applyProtection="1">
      <protection locked="0"/>
    </xf>
    <xf numFmtId="0" fontId="10" fillId="44" borderId="416" xfId="0" applyFont="1" applyFill="1" applyBorder="1" applyAlignment="1" applyProtection="1">
      <protection locked="0"/>
    </xf>
    <xf numFmtId="0" fontId="38" fillId="44" borderId="417" xfId="0" applyFont="1" applyFill="1" applyBorder="1" applyAlignment="1" applyProtection="1">
      <protection locked="0"/>
    </xf>
    <xf numFmtId="0" fontId="38" fillId="44" borderId="417" xfId="0" applyFont="1" applyFill="1" applyBorder="1" applyAlignment="1" applyProtection="1">
      <alignment horizontal="center"/>
      <protection locked="0"/>
    </xf>
    <xf numFmtId="183" fontId="38" fillId="44" borderId="417" xfId="0" applyNumberFormat="1" applyFont="1" applyFill="1" applyBorder="1" applyAlignment="1" applyProtection="1">
      <protection locked="0"/>
    </xf>
    <xf numFmtId="49" fontId="38" fillId="44" borderId="417" xfId="0" applyNumberFormat="1" applyFont="1" applyFill="1" applyBorder="1" applyAlignment="1" applyProtection="1">
      <alignment horizontal="center"/>
      <protection locked="0"/>
    </xf>
    <xf numFmtId="0" fontId="38" fillId="44" borderId="418" xfId="0" applyFont="1" applyFill="1" applyBorder="1" applyAlignment="1" applyProtection="1">
      <alignment horizontal="left"/>
      <protection locked="0"/>
    </xf>
    <xf numFmtId="0" fontId="38" fillId="0" borderId="3" xfId="0" applyFont="1" applyBorder="1" applyAlignment="1" applyProtection="1">
      <alignment horizontal="left"/>
      <protection locked="0"/>
    </xf>
    <xf numFmtId="0" fontId="38" fillId="0" borderId="3" xfId="0" applyFont="1" applyBorder="1" applyAlignment="1" applyProtection="1">
      <alignment horizontal="center"/>
      <protection locked="0"/>
    </xf>
    <xf numFmtId="183" fontId="38" fillId="0" borderId="3" xfId="0" applyNumberFormat="1" applyFont="1" applyBorder="1" applyAlignment="1" applyProtection="1">
      <protection locked="0"/>
    </xf>
    <xf numFmtId="49" fontId="38" fillId="0" borderId="3" xfId="0" applyNumberFormat="1" applyFont="1" applyBorder="1" applyAlignment="1" applyProtection="1">
      <alignment horizontal="center"/>
      <protection locked="0"/>
    </xf>
    <xf numFmtId="0" fontId="38" fillId="0" borderId="415" xfId="0" applyFont="1" applyBorder="1" applyAlignment="1" applyProtection="1">
      <alignment horizontal="left"/>
      <protection locked="0"/>
    </xf>
    <xf numFmtId="0" fontId="181" fillId="0" borderId="412" xfId="0" applyFont="1" applyBorder="1" applyAlignment="1" applyProtection="1">
      <alignment horizontal="center" vertical="center"/>
      <protection locked="0"/>
    </xf>
    <xf numFmtId="0" fontId="38" fillId="4" borderId="0" xfId="0" applyFont="1" applyFill="1" applyAlignment="1" applyProtection="1">
      <alignment horizontal="center"/>
      <protection locked="0"/>
    </xf>
    <xf numFmtId="0" fontId="180" fillId="0" borderId="236" xfId="0" applyFont="1" applyBorder="1" applyAlignment="1" applyProtection="1">
      <alignment horizontal="center"/>
      <protection locked="0"/>
    </xf>
    <xf numFmtId="0" fontId="38" fillId="0" borderId="365" xfId="0" applyFont="1" applyBorder="1" applyAlignment="1" applyProtection="1">
      <protection locked="0"/>
    </xf>
    <xf numFmtId="0" fontId="38" fillId="0" borderId="365" xfId="0" applyFont="1" applyBorder="1" applyAlignment="1" applyProtection="1">
      <alignment horizontal="center"/>
      <protection locked="0"/>
    </xf>
    <xf numFmtId="183" fontId="38" fillId="57" borderId="365" xfId="0" applyNumberFormat="1" applyFont="1" applyFill="1" applyBorder="1" applyAlignment="1" applyProtection="1">
      <protection locked="0"/>
    </xf>
    <xf numFmtId="49" fontId="38" fillId="0" borderId="365" xfId="0" applyNumberFormat="1" applyFont="1" applyBorder="1" applyAlignment="1" applyProtection="1">
      <alignment horizontal="center"/>
      <protection locked="0"/>
    </xf>
    <xf numFmtId="183" fontId="38" fillId="0" borderId="365" xfId="0" applyNumberFormat="1" applyFont="1" applyBorder="1" applyAlignment="1" applyProtection="1">
      <protection locked="0"/>
    </xf>
    <xf numFmtId="0" fontId="38" fillId="0" borderId="419" xfId="0" applyFont="1" applyBorder="1" applyAlignment="1" applyProtection="1">
      <alignment horizontal="left"/>
      <protection locked="0"/>
    </xf>
    <xf numFmtId="0" fontId="181" fillId="4" borderId="412" xfId="0" applyFont="1" applyFill="1" applyBorder="1" applyAlignment="1" applyProtection="1">
      <alignment horizontal="center"/>
      <protection locked="0"/>
    </xf>
    <xf numFmtId="0" fontId="38" fillId="4" borderId="365" xfId="0" applyFont="1" applyFill="1" applyBorder="1" applyAlignment="1" applyProtection="1">
      <alignment horizontal="center"/>
      <protection locked="0"/>
    </xf>
    <xf numFmtId="0" fontId="38" fillId="0" borderId="0" xfId="0" applyFont="1" applyAlignment="1" applyProtection="1">
      <alignment horizontal="center" vertical="center"/>
      <protection locked="0"/>
    </xf>
    <xf numFmtId="41" fontId="38" fillId="0" borderId="0" xfId="0" applyNumberFormat="1" applyFont="1" applyProtection="1">
      <alignment vertical="center"/>
      <protection locked="0"/>
    </xf>
    <xf numFmtId="0" fontId="10" fillId="0" borderId="236" xfId="0" applyFont="1" applyBorder="1" applyAlignment="1" applyProtection="1">
      <protection locked="0"/>
    </xf>
    <xf numFmtId="49" fontId="183" fillId="0" borderId="365" xfId="0" applyNumberFormat="1" applyFont="1" applyBorder="1" applyAlignment="1" applyProtection="1">
      <alignment horizontal="center"/>
      <protection locked="0"/>
    </xf>
    <xf numFmtId="0" fontId="183" fillId="0" borderId="365" xfId="0" applyFont="1" applyBorder="1" applyAlignment="1" applyProtection="1">
      <alignment horizontal="center"/>
      <protection locked="0"/>
    </xf>
    <xf numFmtId="0" fontId="180" fillId="65" borderId="420"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183" fontId="38" fillId="68" borderId="3" xfId="0" applyNumberFormat="1" applyFont="1" applyFill="1" applyBorder="1" applyAlignment="1" applyProtection="1">
      <protection locked="0"/>
    </xf>
    <xf numFmtId="183" fontId="2" fillId="0" borderId="0" xfId="0" applyNumberFormat="1" applyFont="1" applyProtection="1">
      <alignment vertical="center"/>
      <protection locked="0"/>
    </xf>
    <xf numFmtId="0" fontId="10" fillId="35" borderId="0" xfId="0" applyFont="1" applyFill="1" applyAlignment="1" applyProtection="1">
      <alignment horizontal="center"/>
      <protection locked="0"/>
    </xf>
    <xf numFmtId="0" fontId="183" fillId="35" borderId="0" xfId="0" applyFont="1" applyFill="1" applyAlignment="1" applyProtection="1">
      <alignment horizontal="center"/>
      <protection locked="0"/>
    </xf>
    <xf numFmtId="183" fontId="38" fillId="68" borderId="0" xfId="0" applyNumberFormat="1" applyFont="1" applyFill="1" applyAlignment="1" applyProtection="1">
      <protection locked="0"/>
    </xf>
    <xf numFmtId="183" fontId="38" fillId="35" borderId="0" xfId="0" applyNumberFormat="1" applyFont="1" applyFill="1" applyAlignment="1" applyProtection="1">
      <protection locked="0"/>
    </xf>
    <xf numFmtId="0" fontId="38" fillId="35" borderId="411" xfId="0" applyFont="1" applyFill="1" applyBorder="1" applyAlignment="1" applyProtection="1">
      <alignment horizontal="left"/>
      <protection locked="0"/>
    </xf>
    <xf numFmtId="0" fontId="10" fillId="35" borderId="365" xfId="0" applyFont="1" applyFill="1" applyBorder="1" applyAlignment="1" applyProtection="1">
      <alignment horizontal="center"/>
      <protection locked="0"/>
    </xf>
    <xf numFmtId="0" fontId="183" fillId="35" borderId="365" xfId="0" applyFont="1" applyFill="1" applyBorder="1" applyAlignment="1" applyProtection="1">
      <alignment horizontal="center"/>
      <protection locked="0"/>
    </xf>
    <xf numFmtId="183" fontId="38" fillId="68" borderId="365" xfId="0" applyNumberFormat="1" applyFont="1" applyFill="1" applyBorder="1" applyAlignment="1" applyProtection="1">
      <protection locked="0"/>
    </xf>
    <xf numFmtId="183" fontId="183" fillId="0" borderId="365" xfId="0" applyNumberFormat="1" applyFont="1" applyBorder="1" applyAlignment="1" applyProtection="1">
      <protection locked="0"/>
    </xf>
    <xf numFmtId="183" fontId="38" fillId="35" borderId="365" xfId="0" applyNumberFormat="1" applyFont="1" applyFill="1" applyBorder="1" applyAlignment="1" applyProtection="1">
      <protection locked="0"/>
    </xf>
    <xf numFmtId="0" fontId="38" fillId="35" borderId="419" xfId="0" applyFont="1" applyFill="1" applyBorder="1" applyAlignment="1" applyProtection="1">
      <alignment horizontal="left"/>
      <protection locked="0"/>
    </xf>
    <xf numFmtId="183" fontId="40" fillId="68" borderId="0" xfId="0" applyNumberFormat="1" applyFont="1" applyFill="1" applyAlignment="1" applyProtection="1">
      <protection locked="0"/>
    </xf>
    <xf numFmtId="0" fontId="2" fillId="0" borderId="0" xfId="0" applyFont="1" applyProtection="1">
      <alignment vertical="center"/>
      <protection locked="0"/>
    </xf>
    <xf numFmtId="0" fontId="181" fillId="4" borderId="412" xfId="0" applyFont="1" applyFill="1" applyBorder="1" applyAlignment="1" applyProtection="1">
      <alignment horizontal="center" vertical="center"/>
      <protection locked="0"/>
    </xf>
    <xf numFmtId="183" fontId="52" fillId="0" borderId="0" xfId="0" applyNumberFormat="1" applyFont="1" applyProtection="1">
      <alignment vertical="center"/>
      <protection locked="0"/>
    </xf>
    <xf numFmtId="0" fontId="179" fillId="0" borderId="412" xfId="0" applyFont="1" applyBorder="1" applyAlignment="1" applyProtection="1">
      <alignment horizontal="center" vertical="center"/>
      <protection locked="0"/>
    </xf>
    <xf numFmtId="0" fontId="10" fillId="0" borderId="365" xfId="0" applyFont="1" applyBorder="1" applyAlignment="1" applyProtection="1">
      <alignment horizontal="center"/>
      <protection locked="0"/>
    </xf>
    <xf numFmtId="183" fontId="40" fillId="68" borderId="365" xfId="0" applyNumberFormat="1" applyFont="1" applyFill="1" applyBorder="1" applyAlignment="1" applyProtection="1">
      <protection locked="0"/>
    </xf>
    <xf numFmtId="14" fontId="2" fillId="0" borderId="0" xfId="0" applyNumberFormat="1" applyFont="1" applyProtection="1">
      <alignment vertical="center"/>
      <protection locked="0"/>
    </xf>
    <xf numFmtId="0" fontId="182" fillId="0" borderId="412" xfId="0" applyFont="1" applyBorder="1" applyAlignment="1" applyProtection="1">
      <alignment horizontal="center" vertical="center"/>
      <protection locked="0"/>
    </xf>
    <xf numFmtId="3" fontId="2" fillId="0" borderId="0" xfId="0" applyNumberFormat="1" applyFont="1" applyProtection="1">
      <alignment vertical="center"/>
      <protection locked="0"/>
    </xf>
    <xf numFmtId="41" fontId="38" fillId="0" borderId="0" xfId="0" applyNumberFormat="1" applyFont="1" applyAlignment="1" applyProtection="1">
      <protection locked="0"/>
    </xf>
    <xf numFmtId="0" fontId="38" fillId="0" borderId="0" xfId="0" applyFont="1" applyAlignment="1" applyProtection="1">
      <alignment horizontal="left"/>
      <protection locked="0"/>
    </xf>
    <xf numFmtId="0" fontId="96" fillId="0" borderId="421" xfId="0" applyFont="1" applyBorder="1" applyAlignment="1" applyProtection="1">
      <protection locked="0"/>
    </xf>
    <xf numFmtId="0" fontId="96" fillId="0" borderId="422" xfId="0" applyFont="1" applyBorder="1" applyAlignment="1" applyProtection="1">
      <protection locked="0"/>
    </xf>
    <xf numFmtId="0" fontId="96" fillId="0" borderId="422" xfId="0" applyFont="1" applyBorder="1" applyAlignment="1" applyProtection="1">
      <alignment horizontal="center"/>
      <protection locked="0"/>
    </xf>
    <xf numFmtId="183" fontId="96" fillId="0" borderId="422" xfId="0" applyNumberFormat="1" applyFont="1" applyBorder="1" applyAlignment="1" applyProtection="1">
      <protection locked="0"/>
    </xf>
    <xf numFmtId="218" fontId="96" fillId="0" borderId="422" xfId="0" applyNumberFormat="1" applyFont="1" applyBorder="1" applyAlignment="1" applyProtection="1">
      <protection locked="0"/>
    </xf>
    <xf numFmtId="183" fontId="96" fillId="0" borderId="423" xfId="0" applyNumberFormat="1" applyFont="1" applyBorder="1" applyAlignment="1" applyProtection="1">
      <protection locked="0"/>
    </xf>
    <xf numFmtId="0" fontId="10" fillId="0" borderId="424" xfId="0" applyFont="1" applyBorder="1" applyAlignment="1" applyProtection="1">
      <alignment horizontal="center"/>
      <protection locked="0"/>
    </xf>
    <xf numFmtId="0" fontId="10" fillId="0" borderId="425" xfId="0" applyFont="1" applyBorder="1" applyAlignment="1" applyProtection="1">
      <alignment horizontal="center"/>
      <protection locked="0"/>
    </xf>
    <xf numFmtId="0" fontId="16" fillId="0" borderId="425" xfId="0" applyFont="1" applyBorder="1" applyAlignment="1" applyProtection="1">
      <alignment horizontal="center"/>
      <protection locked="0"/>
    </xf>
    <xf numFmtId="183" fontId="16" fillId="0" borderId="425" xfId="0" applyNumberFormat="1" applyFont="1" applyBorder="1" applyAlignment="1" applyProtection="1">
      <protection locked="0"/>
    </xf>
    <xf numFmtId="0" fontId="16" fillId="0" borderId="426" xfId="0" applyFont="1" applyBorder="1" applyAlignment="1" applyProtection="1">
      <alignment horizontal="left"/>
      <protection locked="0"/>
    </xf>
    <xf numFmtId="0" fontId="2" fillId="0" borderId="1" xfId="0" applyFont="1" applyBorder="1">
      <alignment vertical="center"/>
    </xf>
    <xf numFmtId="179" fontId="2" fillId="0" borderId="3" xfId="0" applyNumberFormat="1" applyFont="1" applyBorder="1">
      <alignment vertical="center"/>
    </xf>
    <xf numFmtId="179" fontId="2" fillId="0" borderId="0" xfId="0" applyNumberFormat="1" applyFont="1">
      <alignment vertical="center"/>
    </xf>
    <xf numFmtId="179" fontId="2" fillId="0" borderId="2" xfId="0" applyNumberFormat="1" applyFont="1" applyBorder="1">
      <alignment vertical="center"/>
    </xf>
    <xf numFmtId="176" fontId="16" fillId="0" borderId="0" xfId="0" applyNumberFormat="1" applyFont="1" applyAlignment="1">
      <alignment horizontal="right" vertical="center"/>
    </xf>
    <xf numFmtId="3" fontId="0" fillId="0" borderId="0" xfId="0" applyNumberFormat="1">
      <alignment vertical="center"/>
    </xf>
    <xf numFmtId="183" fontId="4" fillId="43" borderId="0" xfId="0" applyNumberFormat="1" applyFont="1" applyFill="1">
      <alignment vertical="center"/>
    </xf>
    <xf numFmtId="194" fontId="15" fillId="0" borderId="249" xfId="0" applyNumberFormat="1" applyFont="1" applyBorder="1">
      <alignment vertical="center"/>
    </xf>
    <xf numFmtId="9" fontId="11" fillId="0" borderId="251" xfId="0" applyNumberFormat="1" applyFont="1" applyBorder="1">
      <alignment vertical="center"/>
    </xf>
    <xf numFmtId="9" fontId="11" fillId="0" borderId="250" xfId="0" applyNumberFormat="1" applyFont="1" applyBorder="1">
      <alignment vertical="center"/>
    </xf>
    <xf numFmtId="194" fontId="13" fillId="0" borderId="251" xfId="0" applyNumberFormat="1" applyFont="1" applyBorder="1">
      <alignment vertical="center"/>
    </xf>
    <xf numFmtId="9" fontId="4" fillId="0" borderId="251" xfId="0" applyNumberFormat="1" applyFont="1" applyBorder="1">
      <alignment vertical="center"/>
    </xf>
    <xf numFmtId="9" fontId="4" fillId="0" borderId="17" xfId="0" applyNumberFormat="1" applyFont="1" applyBorder="1">
      <alignment vertical="center"/>
    </xf>
    <xf numFmtId="10" fontId="25" fillId="0" borderId="22" xfId="0" applyNumberFormat="1" applyFont="1" applyBorder="1">
      <alignment vertical="center"/>
    </xf>
    <xf numFmtId="0" fontId="96" fillId="0" borderId="0" xfId="0" applyFont="1" applyProtection="1">
      <alignment vertical="center"/>
      <protection locked="0"/>
    </xf>
    <xf numFmtId="41" fontId="96" fillId="0" borderId="0" xfId="0" applyNumberFormat="1" applyFont="1" applyProtection="1">
      <alignment vertical="center"/>
      <protection locked="0"/>
    </xf>
    <xf numFmtId="3" fontId="96" fillId="0" borderId="0" xfId="0" applyNumberFormat="1" applyFont="1" applyProtection="1">
      <alignment vertical="center"/>
      <protection locked="0"/>
    </xf>
    <xf numFmtId="219" fontId="96" fillId="0" borderId="0" xfId="0" applyNumberFormat="1" applyFont="1" applyProtection="1">
      <alignment vertical="center"/>
      <protection locked="0"/>
    </xf>
    <xf numFmtId="201" fontId="185" fillId="39" borderId="36" xfId="0" applyNumberFormat="1" applyFont="1" applyFill="1" applyBorder="1" applyAlignment="1" applyProtection="1">
      <alignment horizontal="center"/>
      <protection locked="0"/>
    </xf>
    <xf numFmtId="41" fontId="185" fillId="39" borderId="36" xfId="0" applyNumberFormat="1" applyFont="1" applyFill="1" applyBorder="1" applyAlignment="1" applyProtection="1">
      <alignment horizontal="center"/>
      <protection locked="0"/>
    </xf>
    <xf numFmtId="41" fontId="185" fillId="39" borderId="4" xfId="0" applyNumberFormat="1" applyFont="1" applyFill="1" applyBorder="1" applyAlignment="1" applyProtection="1">
      <alignment horizontal="center"/>
      <protection locked="0"/>
    </xf>
    <xf numFmtId="0" fontId="185" fillId="39" borderId="5" xfId="0" applyFont="1" applyFill="1" applyBorder="1" applyAlignment="1" applyProtection="1">
      <alignment horizontal="center"/>
      <protection locked="0"/>
    </xf>
    <xf numFmtId="0" fontId="185" fillId="39" borderId="36" xfId="0" applyFont="1" applyFill="1" applyBorder="1" applyAlignment="1" applyProtection="1">
      <alignment horizontal="center"/>
      <protection locked="0"/>
    </xf>
    <xf numFmtId="0" fontId="185" fillId="39" borderId="41" xfId="0" applyFont="1" applyFill="1" applyBorder="1" applyProtection="1">
      <alignment vertical="center"/>
      <protection locked="0"/>
    </xf>
    <xf numFmtId="0" fontId="185" fillId="39" borderId="42" xfId="0" applyFont="1" applyFill="1" applyBorder="1" applyProtection="1">
      <alignment vertical="center"/>
      <protection locked="0"/>
    </xf>
    <xf numFmtId="3" fontId="185" fillId="41" borderId="36" xfId="0" applyNumberFormat="1" applyFont="1" applyFill="1" applyBorder="1" applyAlignment="1" applyProtection="1">
      <alignment horizontal="center" vertical="center"/>
      <protection locked="0"/>
    </xf>
    <xf numFmtId="0" fontId="96" fillId="38" borderId="190" xfId="0" applyFont="1" applyFill="1" applyBorder="1" applyAlignment="1" applyProtection="1">
      <alignment horizontal="center" vertical="center"/>
      <protection locked="0"/>
    </xf>
    <xf numFmtId="41" fontId="96" fillId="38" borderId="190" xfId="0" applyNumberFormat="1" applyFont="1" applyFill="1" applyBorder="1" applyProtection="1">
      <alignment vertical="center"/>
      <protection locked="0"/>
    </xf>
    <xf numFmtId="201" fontId="96" fillId="38" borderId="190" xfId="0" applyNumberFormat="1" applyFont="1" applyFill="1" applyBorder="1" applyAlignment="1" applyProtection="1">
      <alignment horizontal="right" vertical="center"/>
      <protection locked="0"/>
    </xf>
    <xf numFmtId="201" fontId="96" fillId="38" borderId="25" xfId="0" applyNumberFormat="1" applyFont="1" applyFill="1" applyBorder="1" applyAlignment="1" applyProtection="1">
      <alignment horizontal="right" vertical="center"/>
      <protection locked="0"/>
    </xf>
    <xf numFmtId="201" fontId="96" fillId="38" borderId="427" xfId="0" applyNumberFormat="1" applyFont="1" applyFill="1" applyBorder="1" applyAlignment="1" applyProtection="1">
      <alignment horizontal="right" vertical="center"/>
      <protection locked="0"/>
    </xf>
    <xf numFmtId="3" fontId="96" fillId="38" borderId="190" xfId="0" applyNumberFormat="1" applyFont="1" applyFill="1" applyBorder="1" applyAlignment="1" applyProtection="1">
      <alignment horizontal="right" vertical="center"/>
      <protection locked="0"/>
    </xf>
    <xf numFmtId="0" fontId="96" fillId="69" borderId="190" xfId="0" applyFont="1" applyFill="1" applyBorder="1" applyAlignment="1" applyProtection="1">
      <alignment horizontal="center" vertical="center"/>
      <protection locked="0"/>
    </xf>
    <xf numFmtId="41" fontId="96" fillId="69" borderId="190" xfId="0" applyNumberFormat="1" applyFont="1" applyFill="1" applyBorder="1" applyProtection="1">
      <alignment vertical="center"/>
      <protection locked="0"/>
    </xf>
    <xf numFmtId="201" fontId="96" fillId="69" borderId="190" xfId="0" applyNumberFormat="1" applyFont="1" applyFill="1" applyBorder="1" applyAlignment="1" applyProtection="1">
      <alignment horizontal="right" vertical="center"/>
      <protection locked="0"/>
    </xf>
    <xf numFmtId="201" fontId="96" fillId="69" borderId="25" xfId="0" applyNumberFormat="1" applyFont="1" applyFill="1" applyBorder="1" applyAlignment="1" applyProtection="1">
      <alignment horizontal="right" vertical="center"/>
      <protection locked="0"/>
    </xf>
    <xf numFmtId="201" fontId="96" fillId="69" borderId="427" xfId="0" applyNumberFormat="1" applyFont="1" applyFill="1" applyBorder="1" applyAlignment="1" applyProtection="1">
      <alignment horizontal="right" vertical="center"/>
      <protection locked="0"/>
    </xf>
    <xf numFmtId="3" fontId="96" fillId="69" borderId="190" xfId="0" applyNumberFormat="1" applyFont="1" applyFill="1" applyBorder="1" applyAlignment="1" applyProtection="1">
      <alignment horizontal="right" vertical="center"/>
      <protection locked="0"/>
    </xf>
    <xf numFmtId="0" fontId="96" fillId="42" borderId="190" xfId="0" applyFont="1" applyFill="1" applyBorder="1" applyAlignment="1" applyProtection="1">
      <alignment horizontal="center" vertical="center"/>
      <protection locked="0"/>
    </xf>
    <xf numFmtId="41" fontId="186" fillId="42" borderId="190" xfId="0" applyNumberFormat="1" applyFont="1" applyFill="1" applyBorder="1" applyProtection="1">
      <alignment vertical="center"/>
      <protection locked="0"/>
    </xf>
    <xf numFmtId="201" fontId="96" fillId="42" borderId="190" xfId="0" applyNumberFormat="1" applyFont="1" applyFill="1" applyBorder="1" applyAlignment="1" applyProtection="1">
      <alignment horizontal="right" vertical="center"/>
      <protection locked="0"/>
    </xf>
    <xf numFmtId="201" fontId="96" fillId="42" borderId="25" xfId="0" applyNumberFormat="1" applyFont="1" applyFill="1" applyBorder="1" applyAlignment="1" applyProtection="1">
      <alignment horizontal="right" vertical="center"/>
      <protection locked="0"/>
    </xf>
    <xf numFmtId="201" fontId="96" fillId="42" borderId="427" xfId="0" applyNumberFormat="1" applyFont="1" applyFill="1" applyBorder="1" applyAlignment="1" applyProtection="1">
      <alignment horizontal="right" vertical="center"/>
      <protection locked="0"/>
    </xf>
    <xf numFmtId="3" fontId="96" fillId="42" borderId="190" xfId="0" applyNumberFormat="1" applyFont="1" applyFill="1" applyBorder="1" applyAlignment="1" applyProtection="1">
      <alignment horizontal="right" vertical="center"/>
      <protection locked="0"/>
    </xf>
    <xf numFmtId="0" fontId="96" fillId="34" borderId="190" xfId="0" applyFont="1" applyFill="1" applyBorder="1" applyAlignment="1" applyProtection="1">
      <alignment horizontal="center" vertical="center"/>
      <protection locked="0"/>
    </xf>
    <xf numFmtId="41" fontId="186" fillId="34" borderId="190" xfId="0" applyNumberFormat="1" applyFont="1" applyFill="1" applyBorder="1" applyProtection="1">
      <alignment vertical="center"/>
      <protection locked="0"/>
    </xf>
    <xf numFmtId="201" fontId="96" fillId="34" borderId="190" xfId="0" applyNumberFormat="1" applyFont="1" applyFill="1" applyBorder="1" applyAlignment="1" applyProtection="1">
      <alignment horizontal="right" vertical="center"/>
      <protection locked="0"/>
    </xf>
    <xf numFmtId="201" fontId="96" fillId="34" borderId="25" xfId="0" applyNumberFormat="1" applyFont="1" applyFill="1" applyBorder="1" applyAlignment="1" applyProtection="1">
      <alignment horizontal="right" vertical="center"/>
      <protection locked="0"/>
    </xf>
    <xf numFmtId="201" fontId="96" fillId="34" borderId="427" xfId="0" applyNumberFormat="1" applyFont="1" applyFill="1" applyBorder="1" applyAlignment="1" applyProtection="1">
      <alignment horizontal="right" vertical="center"/>
      <protection locked="0"/>
    </xf>
    <xf numFmtId="3" fontId="96" fillId="34" borderId="190" xfId="0" applyNumberFormat="1" applyFont="1" applyFill="1" applyBorder="1" applyAlignment="1" applyProtection="1">
      <alignment horizontal="right" vertical="center"/>
      <protection locked="0"/>
    </xf>
    <xf numFmtId="0" fontId="96" fillId="0" borderId="190" xfId="0" applyFont="1" applyBorder="1" applyAlignment="1" applyProtection="1">
      <alignment horizontal="center" vertical="center"/>
      <protection locked="0"/>
    </xf>
    <xf numFmtId="41" fontId="96" fillId="0" borderId="190" xfId="0" applyNumberFormat="1" applyFont="1" applyBorder="1" applyProtection="1">
      <alignment vertical="center"/>
      <protection locked="0"/>
    </xf>
    <xf numFmtId="201" fontId="96" fillId="0" borderId="190" xfId="0" applyNumberFormat="1" applyFont="1" applyBorder="1" applyAlignment="1" applyProtection="1">
      <alignment horizontal="right" vertical="center"/>
      <protection locked="0"/>
    </xf>
    <xf numFmtId="201" fontId="59" fillId="0" borderId="25" xfId="0" applyNumberFormat="1" applyFont="1" applyBorder="1" applyAlignment="1" applyProtection="1">
      <alignment horizontal="right" vertical="center"/>
      <protection locked="0"/>
    </xf>
    <xf numFmtId="201" fontId="96" fillId="0" borderId="427" xfId="0" applyNumberFormat="1" applyFont="1" applyBorder="1" applyAlignment="1" applyProtection="1">
      <alignment horizontal="right" vertical="center"/>
      <protection locked="0"/>
    </xf>
    <xf numFmtId="3" fontId="96" fillId="0" borderId="190" xfId="0" applyNumberFormat="1" applyFont="1" applyBorder="1" applyAlignment="1" applyProtection="1">
      <alignment horizontal="right" vertical="center"/>
      <protection locked="0"/>
    </xf>
    <xf numFmtId="41" fontId="96" fillId="42" borderId="190" xfId="0" applyNumberFormat="1" applyFont="1" applyFill="1" applyBorder="1" applyProtection="1">
      <alignment vertical="center"/>
      <protection locked="0"/>
    </xf>
    <xf numFmtId="41" fontId="96" fillId="34" borderId="190" xfId="0" applyNumberFormat="1" applyFont="1" applyFill="1" applyBorder="1" applyProtection="1">
      <alignment vertical="center"/>
      <protection locked="0"/>
    </xf>
    <xf numFmtId="201" fontId="59" fillId="0" borderId="427" xfId="0" applyNumberFormat="1" applyFont="1" applyBorder="1" applyAlignment="1" applyProtection="1">
      <alignment horizontal="right" vertical="center"/>
      <protection locked="0"/>
    </xf>
    <xf numFmtId="3" fontId="96" fillId="34" borderId="190" xfId="0" applyNumberFormat="1" applyFont="1" applyFill="1" applyBorder="1" applyProtection="1">
      <alignment vertical="center"/>
      <protection locked="0"/>
    </xf>
    <xf numFmtId="3" fontId="96" fillId="0" borderId="190" xfId="0" applyNumberFormat="1" applyFont="1" applyBorder="1" applyProtection="1">
      <alignment vertical="center"/>
      <protection locked="0"/>
    </xf>
    <xf numFmtId="41" fontId="96" fillId="34" borderId="190" xfId="0" applyNumberFormat="1" applyFont="1" applyFill="1" applyBorder="1" applyAlignment="1" applyProtection="1">
      <alignment horizontal="left" vertical="center"/>
      <protection locked="0"/>
    </xf>
    <xf numFmtId="201" fontId="96" fillId="4" borderId="427" xfId="0" applyNumberFormat="1" applyFont="1" applyFill="1" applyBorder="1" applyAlignment="1" applyProtection="1">
      <alignment horizontal="right" vertical="center"/>
      <protection locked="0"/>
    </xf>
    <xf numFmtId="201" fontId="96" fillId="4" borderId="190" xfId="0" applyNumberFormat="1" applyFont="1" applyFill="1" applyBorder="1" applyAlignment="1" applyProtection="1">
      <alignment horizontal="right" vertical="center"/>
      <protection locked="0"/>
    </xf>
    <xf numFmtId="3" fontId="96" fillId="4" borderId="190" xfId="0" applyNumberFormat="1" applyFont="1" applyFill="1" applyBorder="1" applyAlignment="1" applyProtection="1">
      <alignment horizontal="right" vertical="center"/>
      <protection locked="0"/>
    </xf>
    <xf numFmtId="0" fontId="96" fillId="0" borderId="42" xfId="0" applyFont="1" applyBorder="1" applyAlignment="1" applyProtection="1">
      <alignment horizontal="center" vertical="center"/>
      <protection locked="0"/>
    </xf>
    <xf numFmtId="41" fontId="96" fillId="0" borderId="42" xfId="0" applyNumberFormat="1" applyFont="1" applyBorder="1" applyProtection="1">
      <alignment vertical="center"/>
      <protection locked="0"/>
    </xf>
    <xf numFmtId="201" fontId="96" fillId="0" borderId="42" xfId="0" applyNumberFormat="1" applyFont="1" applyBorder="1" applyAlignment="1" applyProtection="1">
      <alignment horizontal="right" vertical="center"/>
      <protection locked="0"/>
    </xf>
    <xf numFmtId="3" fontId="96" fillId="0" borderId="42" xfId="0" applyNumberFormat="1" applyFont="1" applyBorder="1" applyAlignment="1" applyProtection="1">
      <alignment horizontal="right" vertical="center"/>
      <protection locked="0"/>
    </xf>
    <xf numFmtId="201" fontId="96" fillId="0" borderId="25" xfId="0" applyNumberFormat="1" applyFont="1" applyBorder="1" applyAlignment="1" applyProtection="1">
      <alignment horizontal="right" vertical="center"/>
      <protection locked="0"/>
    </xf>
    <xf numFmtId="0" fontId="78" fillId="0" borderId="0" xfId="0" applyFont="1" applyAlignment="1" applyProtection="1">
      <alignment vertical="top"/>
      <protection locked="0"/>
    </xf>
    <xf numFmtId="0" fontId="78" fillId="70" borderId="36" xfId="0" applyFont="1" applyFill="1" applyBorder="1" applyAlignment="1" applyProtection="1">
      <alignment vertical="top"/>
      <protection locked="0"/>
    </xf>
    <xf numFmtId="41" fontId="78" fillId="70" borderId="36" xfId="0" applyNumberFormat="1" applyFont="1" applyFill="1" applyBorder="1" applyAlignment="1" applyProtection="1">
      <alignment horizontal="center" vertical="top"/>
      <protection locked="0"/>
    </xf>
    <xf numFmtId="0" fontId="78" fillId="70" borderId="36" xfId="0" quotePrefix="1" applyFont="1" applyFill="1" applyBorder="1" applyAlignment="1" applyProtection="1">
      <alignment horizontal="center" vertical="top"/>
      <protection locked="0"/>
    </xf>
    <xf numFmtId="0" fontId="78" fillId="70" borderId="36" xfId="0" applyFont="1" applyFill="1" applyBorder="1" applyAlignment="1" applyProtection="1">
      <alignment horizontal="center" vertical="top"/>
      <protection locked="0"/>
    </xf>
    <xf numFmtId="0" fontId="78" fillId="0" borderId="41" xfId="0" applyFont="1" applyBorder="1" applyAlignment="1" applyProtection="1">
      <alignment vertical="top"/>
      <protection locked="0"/>
    </xf>
    <xf numFmtId="41" fontId="78" fillId="0" borderId="23" xfId="0" applyNumberFormat="1" applyFont="1" applyBorder="1" applyAlignment="1" applyProtection="1">
      <alignment vertical="top"/>
      <protection locked="0"/>
    </xf>
    <xf numFmtId="4" fontId="78" fillId="0" borderId="41" xfId="0" applyNumberFormat="1" applyFont="1" applyBorder="1" applyAlignment="1" applyProtection="1">
      <alignment horizontal="right" vertical="top"/>
      <protection locked="0"/>
    </xf>
    <xf numFmtId="185" fontId="78" fillId="0" borderId="41" xfId="0" applyNumberFormat="1" applyFont="1" applyBorder="1" applyAlignment="1" applyProtection="1">
      <alignment vertical="top"/>
      <protection locked="0"/>
    </xf>
    <xf numFmtId="41" fontId="78" fillId="0" borderId="41" xfId="0" applyNumberFormat="1" applyFont="1" applyBorder="1" applyAlignment="1" applyProtection="1">
      <alignment vertical="top"/>
      <protection locked="0"/>
    </xf>
    <xf numFmtId="3" fontId="78" fillId="0" borderId="41" xfId="0" applyNumberFormat="1" applyFont="1" applyBorder="1" applyAlignment="1" applyProtection="1">
      <alignment vertical="top"/>
      <protection locked="0"/>
    </xf>
    <xf numFmtId="10" fontId="78" fillId="0" borderId="41" xfId="0" applyNumberFormat="1" applyFont="1" applyBorder="1" applyAlignment="1" applyProtection="1">
      <alignment vertical="top"/>
      <protection locked="0"/>
    </xf>
    <xf numFmtId="41" fontId="78" fillId="0" borderId="190" xfId="0" applyNumberFormat="1" applyFont="1" applyBorder="1" applyAlignment="1" applyProtection="1">
      <alignment vertical="top"/>
      <protection locked="0"/>
    </xf>
    <xf numFmtId="0" fontId="78" fillId="0" borderId="190" xfId="0" applyFont="1" applyBorder="1" applyAlignment="1" applyProtection="1">
      <alignment vertical="top"/>
      <protection locked="0"/>
    </xf>
    <xf numFmtId="41" fontId="78" fillId="0" borderId="25" xfId="0" applyNumberFormat="1" applyFont="1" applyBorder="1" applyAlignment="1" applyProtection="1">
      <alignment vertical="top"/>
      <protection locked="0"/>
    </xf>
    <xf numFmtId="4" fontId="78" fillId="0" borderId="190" xfId="0" applyNumberFormat="1" applyFont="1" applyBorder="1" applyAlignment="1" applyProtection="1">
      <alignment horizontal="right" vertical="top"/>
      <protection locked="0"/>
    </xf>
    <xf numFmtId="185" fontId="78" fillId="0" borderId="190" xfId="0" applyNumberFormat="1" applyFont="1" applyBorder="1" applyAlignment="1" applyProtection="1">
      <alignment vertical="top"/>
      <protection locked="0"/>
    </xf>
    <xf numFmtId="3" fontId="78" fillId="0" borderId="190" xfId="0" applyNumberFormat="1" applyFont="1" applyBorder="1" applyAlignment="1" applyProtection="1">
      <alignment vertical="top"/>
      <protection locked="0"/>
    </xf>
    <xf numFmtId="10" fontId="78" fillId="0" borderId="190" xfId="0" applyNumberFormat="1" applyFont="1" applyBorder="1" applyAlignment="1" applyProtection="1">
      <alignment vertical="top"/>
      <protection locked="0"/>
    </xf>
    <xf numFmtId="41" fontId="78" fillId="0" borderId="190" xfId="0" quotePrefix="1" applyNumberFormat="1" applyFont="1" applyBorder="1" applyAlignment="1" applyProtection="1">
      <alignment horizontal="right" vertical="top"/>
      <protection locked="0"/>
    </xf>
    <xf numFmtId="0" fontId="78" fillId="0" borderId="42" xfId="0" applyFont="1" applyBorder="1" applyAlignment="1" applyProtection="1">
      <alignment vertical="top"/>
      <protection locked="0"/>
    </xf>
    <xf numFmtId="41" fontId="78" fillId="0" borderId="6" xfId="0" applyNumberFormat="1" applyFont="1" applyBorder="1" applyAlignment="1" applyProtection="1">
      <alignment vertical="top"/>
      <protection locked="0"/>
    </xf>
    <xf numFmtId="4" fontId="78" fillId="0" borderId="42" xfId="0" applyNumberFormat="1" applyFont="1" applyBorder="1" applyAlignment="1" applyProtection="1">
      <alignment horizontal="right" vertical="top"/>
      <protection locked="0"/>
    </xf>
    <xf numFmtId="185" fontId="78" fillId="0" borderId="42" xfId="0" applyNumberFormat="1" applyFont="1" applyBorder="1" applyAlignment="1" applyProtection="1">
      <alignment vertical="top"/>
      <protection locked="0"/>
    </xf>
    <xf numFmtId="41" fontId="78" fillId="0" borderId="42" xfId="0" applyNumberFormat="1" applyFont="1" applyBorder="1" applyAlignment="1" applyProtection="1">
      <alignment vertical="top"/>
      <protection locked="0"/>
    </xf>
    <xf numFmtId="3" fontId="78" fillId="0" borderId="42" xfId="0" applyNumberFormat="1" applyFont="1" applyBorder="1" applyAlignment="1" applyProtection="1">
      <alignment vertical="top"/>
      <protection locked="0"/>
    </xf>
    <xf numFmtId="10" fontId="78" fillId="0" borderId="42" xfId="0" applyNumberFormat="1" applyFont="1" applyBorder="1" applyAlignment="1" applyProtection="1">
      <alignment vertical="top"/>
      <protection locked="0"/>
    </xf>
    <xf numFmtId="0" fontId="78" fillId="64" borderId="36" xfId="0" applyFont="1" applyFill="1" applyBorder="1" applyProtection="1">
      <alignment vertical="center"/>
      <protection locked="0"/>
    </xf>
    <xf numFmtId="41" fontId="78" fillId="64" borderId="36" xfId="0" applyNumberFormat="1" applyFont="1" applyFill="1" applyBorder="1" applyProtection="1">
      <alignment vertical="center"/>
      <protection locked="0"/>
    </xf>
    <xf numFmtId="185" fontId="78" fillId="64" borderId="36" xfId="0" applyNumberFormat="1" applyFont="1" applyFill="1" applyBorder="1" applyProtection="1">
      <alignment vertical="center"/>
      <protection locked="0"/>
    </xf>
    <xf numFmtId="3" fontId="78" fillId="64" borderId="36" xfId="0" applyNumberFormat="1" applyFont="1" applyFill="1" applyBorder="1" applyProtection="1">
      <alignment vertical="center"/>
      <protection locked="0"/>
    </xf>
    <xf numFmtId="10" fontId="78" fillId="64" borderId="36" xfId="0" applyNumberFormat="1" applyFont="1" applyFill="1" applyBorder="1" applyProtection="1">
      <alignment vertical="center"/>
      <protection locked="0"/>
    </xf>
    <xf numFmtId="0" fontId="78" fillId="0" borderId="0" xfId="0" applyFont="1" applyProtection="1">
      <alignment vertical="center"/>
      <protection locked="0"/>
    </xf>
    <xf numFmtId="192" fontId="11" fillId="0" borderId="22" xfId="0" applyNumberFormat="1" applyFont="1" applyBorder="1">
      <alignment vertical="center"/>
    </xf>
    <xf numFmtId="41" fontId="78" fillId="0" borderId="25" xfId="0" applyNumberFormat="1" applyFont="1" applyBorder="1" applyAlignment="1" applyProtection="1">
      <alignment horizontal="right" vertical="top"/>
      <protection locked="0"/>
    </xf>
    <xf numFmtId="10" fontId="11" fillId="0" borderId="21" xfId="0" applyNumberFormat="1" applyFont="1" applyBorder="1">
      <alignment vertical="center"/>
    </xf>
    <xf numFmtId="10" fontId="4" fillId="0" borderId="22" xfId="0" applyNumberFormat="1" applyFont="1" applyBorder="1">
      <alignment vertical="center"/>
    </xf>
    <xf numFmtId="192" fontId="11" fillId="6" borderId="0" xfId="0" applyNumberFormat="1" applyFont="1" applyFill="1">
      <alignment vertical="center"/>
    </xf>
    <xf numFmtId="192" fontId="11" fillId="6" borderId="2" xfId="0" applyNumberFormat="1" applyFont="1" applyFill="1" applyBorder="1">
      <alignment vertical="center"/>
    </xf>
    <xf numFmtId="41" fontId="187" fillId="0" borderId="36" xfId="0" applyNumberFormat="1" applyFont="1" applyBorder="1" applyAlignment="1" applyProtection="1">
      <alignment horizontal="center" vertical="center"/>
      <protection locked="0"/>
    </xf>
    <xf numFmtId="41" fontId="187" fillId="0" borderId="5" xfId="0" applyNumberFormat="1" applyFont="1" applyBorder="1" applyAlignment="1" applyProtection="1">
      <alignment horizontal="center" vertical="center"/>
      <protection locked="0"/>
    </xf>
    <xf numFmtId="41" fontId="187" fillId="60" borderId="190" xfId="0" applyNumberFormat="1" applyFont="1" applyFill="1" applyBorder="1" applyAlignment="1" applyProtection="1">
      <alignment horizontal="center" vertical="center"/>
      <protection locked="0"/>
    </xf>
    <xf numFmtId="41" fontId="187" fillId="60" borderId="190" xfId="0" applyNumberFormat="1" applyFont="1" applyFill="1" applyBorder="1" applyAlignment="1" applyProtection="1">
      <alignment horizontal="center" vertical="center" shrinkToFit="1"/>
      <protection locked="0"/>
    </xf>
    <xf numFmtId="41" fontId="187" fillId="60" borderId="427" xfId="0" applyNumberFormat="1" applyFont="1" applyFill="1" applyBorder="1" applyProtection="1">
      <alignment vertical="center"/>
      <protection locked="0"/>
    </xf>
    <xf numFmtId="41" fontId="187" fillId="60" borderId="427" xfId="0" applyNumberFormat="1" applyFont="1" applyFill="1" applyBorder="1" applyAlignment="1" applyProtection="1">
      <alignment horizontal="center" vertical="center"/>
      <protection locked="0"/>
    </xf>
    <xf numFmtId="41" fontId="187" fillId="0" borderId="190" xfId="0" applyNumberFormat="1" applyFont="1" applyBorder="1" applyAlignment="1" applyProtection="1">
      <alignment horizontal="center" vertical="center"/>
      <protection locked="0"/>
    </xf>
    <xf numFmtId="41" fontId="187" fillId="60" borderId="190" xfId="0" applyNumberFormat="1" applyFont="1" applyFill="1" applyBorder="1" applyProtection="1">
      <alignment vertical="center"/>
      <protection locked="0"/>
    </xf>
    <xf numFmtId="41" fontId="187" fillId="0" borderId="42" xfId="0" applyNumberFormat="1" applyFont="1" applyBorder="1" applyAlignment="1" applyProtection="1">
      <alignment horizontal="center" vertical="center"/>
      <protection locked="0"/>
    </xf>
    <xf numFmtId="41" fontId="187" fillId="0" borderId="36" xfId="0" applyNumberFormat="1" applyFont="1" applyBorder="1" applyAlignment="1" applyProtection="1">
      <alignment horizontal="center" vertical="center" shrinkToFit="1"/>
      <protection locked="0"/>
    </xf>
    <xf numFmtId="41" fontId="187" fillId="0" borderId="36" xfId="0" applyNumberFormat="1" applyFont="1" applyBorder="1" applyProtection="1">
      <alignment vertical="center"/>
      <protection locked="0"/>
    </xf>
    <xf numFmtId="41" fontId="187" fillId="60" borderId="24" xfId="0" applyNumberFormat="1" applyFont="1" applyFill="1" applyBorder="1" applyAlignment="1" applyProtection="1">
      <alignment horizontal="center" vertical="center"/>
      <protection locked="0"/>
    </xf>
    <xf numFmtId="41" fontId="187" fillId="60" borderId="381" xfId="0" applyNumberFormat="1" applyFont="1" applyFill="1" applyBorder="1" applyAlignment="1" applyProtection="1">
      <alignment horizontal="center" vertical="center" shrinkToFit="1"/>
      <protection locked="0"/>
    </xf>
    <xf numFmtId="41" fontId="188" fillId="0" borderId="190" xfId="0" applyNumberFormat="1" applyFont="1" applyBorder="1" applyAlignment="1" applyProtection="1">
      <alignment horizontal="center" vertical="center"/>
      <protection locked="0"/>
    </xf>
    <xf numFmtId="41" fontId="187" fillId="60" borderId="40" xfId="0" quotePrefix="1" applyNumberFormat="1" applyFont="1" applyFill="1" applyBorder="1" applyAlignment="1" applyProtection="1">
      <alignment horizontal="left" vertical="center" shrinkToFit="1"/>
      <protection locked="0"/>
    </xf>
    <xf numFmtId="41" fontId="187" fillId="60" borderId="40" xfId="0" applyNumberFormat="1" applyFont="1" applyFill="1" applyBorder="1" applyProtection="1">
      <alignment vertical="center"/>
      <protection locked="0"/>
    </xf>
    <xf numFmtId="41" fontId="187" fillId="60" borderId="428" xfId="0" applyNumberFormat="1" applyFont="1" applyFill="1" applyBorder="1" applyProtection="1">
      <alignment vertical="center"/>
      <protection locked="0"/>
    </xf>
    <xf numFmtId="41" fontId="187" fillId="60" borderId="190" xfId="0" quotePrefix="1" applyNumberFormat="1" applyFont="1" applyFill="1" applyBorder="1" applyAlignment="1" applyProtection="1">
      <alignment horizontal="left" vertical="center" shrinkToFit="1"/>
      <protection locked="0"/>
    </xf>
    <xf numFmtId="0" fontId="187" fillId="60" borderId="190" xfId="0" quotePrefix="1" applyFont="1" applyFill="1" applyBorder="1" applyAlignment="1" applyProtection="1">
      <alignment horizontal="left" vertical="center" shrinkToFit="1"/>
      <protection locked="0"/>
    </xf>
    <xf numFmtId="41" fontId="187" fillId="60" borderId="429" xfId="0" applyNumberFormat="1" applyFont="1" applyFill="1" applyBorder="1" applyProtection="1">
      <alignment vertical="center"/>
      <protection locked="0"/>
    </xf>
    <xf numFmtId="41" fontId="187" fillId="0" borderId="5" xfId="0" applyNumberFormat="1" applyFont="1" applyBorder="1" applyProtection="1">
      <alignment vertical="center"/>
      <protection locked="0"/>
    </xf>
    <xf numFmtId="41" fontId="187" fillId="0" borderId="7" xfId="0" applyNumberFormat="1" applyFont="1" applyBorder="1" applyProtection="1">
      <alignment vertical="center"/>
      <protection locked="0"/>
    </xf>
    <xf numFmtId="41" fontId="187" fillId="0" borderId="7" xfId="0" applyNumberFormat="1" applyFont="1" applyBorder="1" applyAlignment="1" applyProtection="1">
      <alignment horizontal="center" vertical="center"/>
      <protection locked="0"/>
    </xf>
    <xf numFmtId="177" fontId="13" fillId="0" borderId="0" xfId="0" applyNumberFormat="1" applyFont="1" applyAlignment="1">
      <alignment horizontal="right" vertical="center"/>
    </xf>
    <xf numFmtId="177" fontId="13" fillId="0" borderId="17" xfId="0" applyNumberFormat="1" applyFont="1" applyBorder="1" applyAlignment="1">
      <alignment horizontal="right" vertical="center"/>
    </xf>
    <xf numFmtId="177" fontId="13" fillId="0" borderId="2" xfId="0" applyNumberFormat="1" applyFont="1" applyBorder="1" applyAlignment="1">
      <alignment horizontal="right" vertical="center"/>
    </xf>
    <xf numFmtId="177" fontId="13" fillId="0" borderId="22" xfId="0" applyNumberFormat="1" applyFont="1" applyBorder="1" applyAlignment="1">
      <alignment horizontal="right" vertical="center"/>
    </xf>
    <xf numFmtId="10" fontId="25" fillId="0" borderId="46" xfId="0" applyNumberFormat="1" applyFont="1" applyBorder="1">
      <alignment vertical="center"/>
    </xf>
    <xf numFmtId="10" fontId="25" fillId="0" borderId="3" xfId="0" applyNumberFormat="1" applyFont="1" applyBorder="1" applyAlignment="1">
      <alignment horizontal="right" vertical="center"/>
    </xf>
    <xf numFmtId="10" fontId="25" fillId="0" borderId="9" xfId="0" applyNumberFormat="1" applyFont="1" applyBorder="1" applyAlignment="1">
      <alignment horizontal="right" vertical="center"/>
    </xf>
    <xf numFmtId="10" fontId="25" fillId="0" borderId="0" xfId="0" applyNumberFormat="1" applyFont="1" applyAlignment="1">
      <alignment horizontal="right" vertical="center"/>
    </xf>
    <xf numFmtId="10" fontId="25" fillId="0" borderId="17" xfId="0" applyNumberFormat="1" applyFont="1" applyBorder="1" applyAlignment="1">
      <alignment horizontal="right" vertical="center"/>
    </xf>
    <xf numFmtId="10" fontId="25" fillId="0" borderId="2" xfId="0" applyNumberFormat="1" applyFont="1" applyBorder="1" applyAlignment="1">
      <alignment horizontal="right" vertical="center"/>
    </xf>
    <xf numFmtId="10" fontId="25" fillId="0" borderId="22" xfId="0" applyNumberFormat="1" applyFont="1" applyBorder="1" applyAlignment="1">
      <alignment horizontal="right" vertical="center"/>
    </xf>
    <xf numFmtId="214" fontId="29" fillId="0" borderId="0" xfId="0" applyNumberFormat="1" applyFont="1">
      <alignment vertical="center"/>
    </xf>
    <xf numFmtId="9" fontId="25" fillId="0" borderId="9" xfId="0" applyNumberFormat="1" applyFont="1" applyBorder="1">
      <alignment vertical="center"/>
    </xf>
    <xf numFmtId="9" fontId="25" fillId="0" borderId="22" xfId="0" applyNumberFormat="1" applyFont="1" applyBorder="1">
      <alignment vertical="center"/>
    </xf>
    <xf numFmtId="178" fontId="26" fillId="0" borderId="22" xfId="0" applyNumberFormat="1" applyFont="1" applyBorder="1">
      <alignment vertical="center"/>
    </xf>
    <xf numFmtId="10" fontId="25" fillId="0" borderId="9" xfId="0" applyNumberFormat="1" applyFont="1" applyBorder="1">
      <alignment vertical="center"/>
    </xf>
    <xf numFmtId="10" fontId="13" fillId="0" borderId="46" xfId="0" applyNumberFormat="1" applyFont="1" applyBorder="1">
      <alignment vertical="center"/>
    </xf>
    <xf numFmtId="194" fontId="13" fillId="0" borderId="17" xfId="0" applyNumberFormat="1" applyFont="1" applyBorder="1">
      <alignment vertical="center"/>
    </xf>
    <xf numFmtId="194" fontId="13" fillId="0" borderId="22" xfId="0" applyNumberFormat="1" applyFont="1" applyBorder="1">
      <alignment vertical="center"/>
    </xf>
    <xf numFmtId="9" fontId="11" fillId="0" borderId="17" xfId="0" applyNumberFormat="1" applyFont="1" applyBorder="1" applyAlignment="1">
      <alignment horizontal="right" vertical="center"/>
    </xf>
    <xf numFmtId="9" fontId="25" fillId="0" borderId="17" xfId="0" applyNumberFormat="1" applyFont="1" applyBorder="1">
      <alignment vertical="center"/>
    </xf>
    <xf numFmtId="176" fontId="25" fillId="0" borderId="22" xfId="0" applyNumberFormat="1" applyFont="1" applyBorder="1" applyAlignment="1">
      <alignment horizontal="right" vertical="center"/>
    </xf>
    <xf numFmtId="176" fontId="25" fillId="0" borderId="46" xfId="0" applyNumberFormat="1" applyFont="1" applyBorder="1">
      <alignment vertical="center"/>
    </xf>
    <xf numFmtId="176" fontId="25" fillId="0" borderId="2" xfId="0" applyNumberFormat="1" applyFont="1" applyBorder="1" applyAlignment="1">
      <alignment horizontal="right" vertical="center"/>
    </xf>
    <xf numFmtId="3" fontId="15" fillId="0" borderId="9" xfId="0" applyNumberFormat="1" applyFont="1" applyBorder="1">
      <alignment vertical="center"/>
    </xf>
    <xf numFmtId="3" fontId="2" fillId="0" borderId="12" xfId="0" applyNumberFormat="1" applyFont="1" applyBorder="1">
      <alignment vertical="center"/>
    </xf>
    <xf numFmtId="3" fontId="2" fillId="0" borderId="15" xfId="0" applyNumberFormat="1" applyFont="1" applyBorder="1">
      <alignment vertical="center"/>
    </xf>
    <xf numFmtId="178" fontId="11" fillId="0" borderId="12" xfId="0" applyNumberFormat="1" applyFont="1" applyBorder="1">
      <alignment vertical="center"/>
    </xf>
    <xf numFmtId="3" fontId="2" fillId="0" borderId="17" xfId="0" applyNumberFormat="1" applyFont="1" applyBorder="1">
      <alignment vertical="center"/>
    </xf>
    <xf numFmtId="3" fontId="15" fillId="0" borderId="17" xfId="0" applyNumberFormat="1" applyFont="1" applyBorder="1">
      <alignment vertical="center"/>
    </xf>
    <xf numFmtId="192" fontId="26" fillId="6" borderId="0" xfId="0" applyNumberFormat="1" applyFont="1" applyFill="1">
      <alignment vertical="center"/>
    </xf>
    <xf numFmtId="192" fontId="11" fillId="6" borderId="17" xfId="0" applyNumberFormat="1" applyFont="1" applyFill="1" applyBorder="1">
      <alignment vertical="center"/>
    </xf>
    <xf numFmtId="184" fontId="0" fillId="0" borderId="0" xfId="0" applyNumberFormat="1" applyAlignment="1">
      <alignment horizontal="center" vertical="center"/>
    </xf>
    <xf numFmtId="178" fontId="36" fillId="0" borderId="0" xfId="0" applyNumberFormat="1" applyFont="1">
      <alignment vertical="center"/>
    </xf>
    <xf numFmtId="14" fontId="19" fillId="0" borderId="0" xfId="0" applyNumberFormat="1" applyFont="1">
      <alignment vertical="center"/>
    </xf>
    <xf numFmtId="41" fontId="19" fillId="0" borderId="0" xfId="0" applyNumberFormat="1" applyFont="1">
      <alignment vertical="center"/>
    </xf>
    <xf numFmtId="9" fontId="167" fillId="0" borderId="0" xfId="0" applyNumberFormat="1" applyFont="1">
      <alignment vertical="center"/>
    </xf>
    <xf numFmtId="0" fontId="14" fillId="4" borderId="430" xfId="0" applyFont="1" applyFill="1" applyBorder="1" applyAlignment="1">
      <alignment horizontal="center" vertical="center"/>
    </xf>
    <xf numFmtId="178" fontId="4" fillId="0" borderId="22" xfId="0" applyNumberFormat="1" applyFont="1" applyBorder="1">
      <alignment vertical="center"/>
    </xf>
    <xf numFmtId="178" fontId="25" fillId="0" borderId="2" xfId="0" applyNumberFormat="1" applyFont="1" applyBorder="1">
      <alignment vertical="center"/>
    </xf>
    <xf numFmtId="176" fontId="4" fillId="71" borderId="0" xfId="0" applyNumberFormat="1" applyFont="1" applyFill="1">
      <alignment vertical="center"/>
    </xf>
    <xf numFmtId="176" fontId="15" fillId="0" borderId="16" xfId="0" applyNumberFormat="1" applyFont="1" applyBorder="1" applyAlignment="1">
      <alignment horizontal="right" vertical="center"/>
    </xf>
    <xf numFmtId="0" fontId="189" fillId="26" borderId="0" xfId="0" applyFont="1" applyFill="1" applyAlignment="1"/>
    <xf numFmtId="3" fontId="2" fillId="0" borderId="0" xfId="0" applyNumberFormat="1" applyFont="1" applyAlignment="1"/>
    <xf numFmtId="0" fontId="2" fillId="43" borderId="0" xfId="0" applyFont="1" applyFill="1" applyAlignment="1"/>
    <xf numFmtId="3" fontId="2" fillId="43" borderId="0" xfId="0" applyNumberFormat="1" applyFont="1" applyFill="1" applyAlignment="1"/>
    <xf numFmtId="176" fontId="4" fillId="6" borderId="17" xfId="0" applyNumberFormat="1" applyFont="1" applyFill="1" applyBorder="1">
      <alignment vertical="center"/>
    </xf>
    <xf numFmtId="176" fontId="4" fillId="6" borderId="0" xfId="0" applyNumberFormat="1" applyFont="1" applyFill="1">
      <alignment vertical="center"/>
    </xf>
    <xf numFmtId="192" fontId="25" fillId="6" borderId="0" xfId="0" applyNumberFormat="1" applyFont="1" applyFill="1">
      <alignment vertical="center"/>
    </xf>
    <xf numFmtId="192" fontId="25" fillId="0" borderId="17" xfId="0" applyNumberFormat="1" applyFont="1" applyBorder="1">
      <alignment vertical="center"/>
    </xf>
    <xf numFmtId="192" fontId="25" fillId="0" borderId="22" xfId="0" applyNumberFormat="1" applyFont="1" applyBorder="1">
      <alignment vertical="center"/>
    </xf>
    <xf numFmtId="192" fontId="25" fillId="6" borderId="9" xfId="0" applyNumberFormat="1" applyFont="1" applyFill="1" applyBorder="1">
      <alignment vertical="center"/>
    </xf>
    <xf numFmtId="10" fontId="26" fillId="6" borderId="46" xfId="0" applyNumberFormat="1" applyFont="1" applyFill="1" applyBorder="1">
      <alignment vertical="center"/>
    </xf>
    <xf numFmtId="10" fontId="26" fillId="6" borderId="1" xfId="0" applyNumberFormat="1" applyFont="1" applyFill="1" applyBorder="1">
      <alignment vertical="center"/>
    </xf>
    <xf numFmtId="0" fontId="185" fillId="39" borderId="41" xfId="0" applyFont="1" applyFill="1" applyBorder="1">
      <alignment vertical="center"/>
    </xf>
    <xf numFmtId="201" fontId="185" fillId="39" borderId="36" xfId="0" applyNumberFormat="1" applyFont="1" applyFill="1" applyBorder="1" applyAlignment="1">
      <alignment horizontal="center"/>
    </xf>
    <xf numFmtId="41" fontId="185" fillId="39" borderId="36" xfId="0" applyNumberFormat="1" applyFont="1" applyFill="1" applyBorder="1" applyAlignment="1">
      <alignment horizontal="center"/>
    </xf>
    <xf numFmtId="41" fontId="185" fillId="39" borderId="4" xfId="0" applyNumberFormat="1" applyFont="1" applyFill="1" applyBorder="1" applyAlignment="1">
      <alignment horizontal="center"/>
    </xf>
    <xf numFmtId="0" fontId="185" fillId="39" borderId="5" xfId="0" applyFont="1" applyFill="1" applyBorder="1" applyAlignment="1">
      <alignment horizontal="center"/>
    </xf>
    <xf numFmtId="0" fontId="185" fillId="39" borderId="36" xfId="0" applyFont="1" applyFill="1" applyBorder="1" applyAlignment="1">
      <alignment horizontal="center"/>
    </xf>
    <xf numFmtId="0" fontId="185" fillId="39" borderId="42" xfId="0" applyFont="1" applyFill="1" applyBorder="1">
      <alignment vertical="center"/>
    </xf>
    <xf numFmtId="3" fontId="185" fillId="41" borderId="36" xfId="0" applyNumberFormat="1" applyFont="1" applyFill="1" applyBorder="1" applyAlignment="1">
      <alignment horizontal="center" vertical="center"/>
    </xf>
    <xf numFmtId="0" fontId="96" fillId="38" borderId="190" xfId="0" applyFont="1" applyFill="1" applyBorder="1" applyAlignment="1">
      <alignment horizontal="center" vertical="center"/>
    </xf>
    <xf numFmtId="41" fontId="96" fillId="38" borderId="190" xfId="0" applyNumberFormat="1" applyFont="1" applyFill="1" applyBorder="1">
      <alignment vertical="center"/>
    </xf>
    <xf numFmtId="201" fontId="96" fillId="38" borderId="190" xfId="0" applyNumberFormat="1" applyFont="1" applyFill="1" applyBorder="1" applyAlignment="1">
      <alignment horizontal="right" vertical="center"/>
    </xf>
    <xf numFmtId="201" fontId="96" fillId="38" borderId="25" xfId="0" applyNumberFormat="1" applyFont="1" applyFill="1" applyBorder="1" applyAlignment="1">
      <alignment horizontal="right" vertical="center"/>
    </xf>
    <xf numFmtId="201" fontId="96" fillId="38" borderId="427" xfId="0" applyNumberFormat="1" applyFont="1" applyFill="1" applyBorder="1" applyAlignment="1">
      <alignment horizontal="right" vertical="center"/>
    </xf>
    <xf numFmtId="3" fontId="96" fillId="38" borderId="190" xfId="0" applyNumberFormat="1" applyFont="1" applyFill="1" applyBorder="1" applyAlignment="1">
      <alignment horizontal="right" vertical="center"/>
    </xf>
    <xf numFmtId="0" fontId="96" fillId="69" borderId="190" xfId="0" applyFont="1" applyFill="1" applyBorder="1" applyAlignment="1">
      <alignment horizontal="center" vertical="center"/>
    </xf>
    <xf numFmtId="41" fontId="96" fillId="69" borderId="190" xfId="0" applyNumberFormat="1" applyFont="1" applyFill="1" applyBorder="1">
      <alignment vertical="center"/>
    </xf>
    <xf numFmtId="201" fontId="96" fillId="69" borderId="190" xfId="0" applyNumberFormat="1" applyFont="1" applyFill="1" applyBorder="1" applyAlignment="1">
      <alignment horizontal="right" vertical="center"/>
    </xf>
    <xf numFmtId="201" fontId="96" fillId="69" borderId="25" xfId="0" applyNumberFormat="1" applyFont="1" applyFill="1" applyBorder="1" applyAlignment="1">
      <alignment horizontal="right" vertical="center"/>
    </xf>
    <xf numFmtId="201" fontId="96" fillId="69" borderId="427" xfId="0" applyNumberFormat="1" applyFont="1" applyFill="1" applyBorder="1" applyAlignment="1">
      <alignment horizontal="right" vertical="center"/>
    </xf>
    <xf numFmtId="3" fontId="96" fillId="69" borderId="190" xfId="0" applyNumberFormat="1" applyFont="1" applyFill="1" applyBorder="1" applyAlignment="1">
      <alignment horizontal="right" vertical="center"/>
    </xf>
    <xf numFmtId="0" fontId="96" fillId="42" borderId="190" xfId="0" applyFont="1" applyFill="1" applyBorder="1" applyAlignment="1">
      <alignment horizontal="center" vertical="center"/>
    </xf>
    <xf numFmtId="41" fontId="186" fillId="42" borderId="190" xfId="0" applyNumberFormat="1" applyFont="1" applyFill="1" applyBorder="1">
      <alignment vertical="center"/>
    </xf>
    <xf numFmtId="201" fontId="96" fillId="42" borderId="190" xfId="0" applyNumberFormat="1" applyFont="1" applyFill="1" applyBorder="1" applyAlignment="1">
      <alignment horizontal="right" vertical="center"/>
    </xf>
    <xf numFmtId="201" fontId="96" fillId="42" borderId="25" xfId="0" applyNumberFormat="1" applyFont="1" applyFill="1" applyBorder="1" applyAlignment="1">
      <alignment horizontal="right" vertical="center"/>
    </xf>
    <xf numFmtId="201" fontId="96" fillId="42" borderId="427" xfId="0" applyNumberFormat="1" applyFont="1" applyFill="1" applyBorder="1" applyAlignment="1">
      <alignment horizontal="right" vertical="center"/>
    </xf>
    <xf numFmtId="3" fontId="96" fillId="42" borderId="190" xfId="0" applyNumberFormat="1" applyFont="1" applyFill="1" applyBorder="1" applyAlignment="1">
      <alignment horizontal="right" vertical="center"/>
    </xf>
    <xf numFmtId="0" fontId="96" fillId="34" borderId="190" xfId="0" applyFont="1" applyFill="1" applyBorder="1" applyAlignment="1">
      <alignment horizontal="center" vertical="center"/>
    </xf>
    <xf numFmtId="41" fontId="186" fillId="34" borderId="190" xfId="0" applyNumberFormat="1" applyFont="1" applyFill="1" applyBorder="1">
      <alignment vertical="center"/>
    </xf>
    <xf numFmtId="201" fontId="96" fillId="34" borderId="190" xfId="0" applyNumberFormat="1" applyFont="1" applyFill="1" applyBorder="1" applyAlignment="1">
      <alignment horizontal="right" vertical="center"/>
    </xf>
    <xf numFmtId="201" fontId="96" fillId="34" borderId="25" xfId="0" applyNumberFormat="1" applyFont="1" applyFill="1" applyBorder="1" applyAlignment="1">
      <alignment horizontal="right" vertical="center"/>
    </xf>
    <xf numFmtId="201" fontId="96" fillId="34" borderId="427" xfId="0" applyNumberFormat="1" applyFont="1" applyFill="1" applyBorder="1" applyAlignment="1">
      <alignment horizontal="right" vertical="center"/>
    </xf>
    <xf numFmtId="3" fontId="96" fillId="34" borderId="190" xfId="0" applyNumberFormat="1" applyFont="1" applyFill="1" applyBorder="1" applyAlignment="1">
      <alignment horizontal="right" vertical="center"/>
    </xf>
    <xf numFmtId="0" fontId="96" fillId="0" borderId="190" xfId="0" applyFont="1" applyBorder="1" applyAlignment="1">
      <alignment horizontal="center" vertical="center"/>
    </xf>
    <xf numFmtId="41" fontId="96" fillId="0" borderId="190" xfId="0" applyNumberFormat="1" applyFont="1" applyBorder="1">
      <alignment vertical="center"/>
    </xf>
    <xf numFmtId="201" fontId="96" fillId="0" borderId="190" xfId="0" applyNumberFormat="1" applyFont="1" applyBorder="1" applyAlignment="1">
      <alignment horizontal="right" vertical="center"/>
    </xf>
    <xf numFmtId="201" fontId="59" fillId="0" borderId="25" xfId="0" applyNumberFormat="1" applyFont="1" applyBorder="1" applyAlignment="1">
      <alignment horizontal="right" vertical="center"/>
    </xf>
    <xf numFmtId="201" fontId="96" fillId="0" borderId="427" xfId="0" applyNumberFormat="1" applyFont="1" applyBorder="1" applyAlignment="1">
      <alignment horizontal="right" vertical="center"/>
    </xf>
    <xf numFmtId="3" fontId="96" fillId="0" borderId="190" xfId="0" applyNumberFormat="1" applyFont="1" applyBorder="1" applyAlignment="1">
      <alignment horizontal="right" vertical="center"/>
    </xf>
    <xf numFmtId="41" fontId="96" fillId="42" borderId="190" xfId="0" applyNumberFormat="1" applyFont="1" applyFill="1" applyBorder="1">
      <alignment vertical="center"/>
    </xf>
    <xf numFmtId="41" fontId="96" fillId="34" borderId="190" xfId="0" applyNumberFormat="1" applyFont="1" applyFill="1" applyBorder="1">
      <alignment vertical="center"/>
    </xf>
    <xf numFmtId="201" fontId="59" fillId="0" borderId="427" xfId="0" applyNumberFormat="1" applyFont="1" applyBorder="1" applyAlignment="1">
      <alignment horizontal="right" vertical="center"/>
    </xf>
    <xf numFmtId="3" fontId="96" fillId="34" borderId="190" xfId="0" applyNumberFormat="1" applyFont="1" applyFill="1" applyBorder="1">
      <alignment vertical="center"/>
    </xf>
    <xf numFmtId="3" fontId="96" fillId="0" borderId="190" xfId="0" applyNumberFormat="1" applyFont="1" applyBorder="1">
      <alignment vertical="center"/>
    </xf>
    <xf numFmtId="41" fontId="96" fillId="34" borderId="190" xfId="0" applyNumberFormat="1" applyFont="1" applyFill="1" applyBorder="1" applyAlignment="1">
      <alignment horizontal="left" vertical="center"/>
    </xf>
    <xf numFmtId="201" fontId="96" fillId="4" borderId="427" xfId="0" applyNumberFormat="1" applyFont="1" applyFill="1" applyBorder="1" applyAlignment="1">
      <alignment horizontal="right" vertical="center"/>
    </xf>
    <xf numFmtId="201" fontId="96" fillId="4" borderId="190" xfId="0" applyNumberFormat="1" applyFont="1" applyFill="1" applyBorder="1" applyAlignment="1">
      <alignment horizontal="right" vertical="center"/>
    </xf>
    <xf numFmtId="3" fontId="96" fillId="4" borderId="190" xfId="0" applyNumberFormat="1" applyFont="1" applyFill="1" applyBorder="1" applyAlignment="1">
      <alignment horizontal="right" vertical="center"/>
    </xf>
    <xf numFmtId="0" fontId="96" fillId="0" borderId="42" xfId="0" applyFont="1" applyBorder="1" applyAlignment="1">
      <alignment horizontal="center" vertical="center"/>
    </xf>
    <xf numFmtId="41" fontId="96" fillId="0" borderId="42" xfId="0" applyNumberFormat="1" applyFont="1" applyBorder="1">
      <alignment vertical="center"/>
    </xf>
    <xf numFmtId="201" fontId="96" fillId="0" borderId="42" xfId="0" applyNumberFormat="1" applyFont="1" applyBorder="1" applyAlignment="1">
      <alignment horizontal="right" vertical="center"/>
    </xf>
    <xf numFmtId="3" fontId="96" fillId="0" borderId="42" xfId="0" applyNumberFormat="1" applyFont="1" applyBorder="1" applyAlignment="1">
      <alignment horizontal="right" vertical="center"/>
    </xf>
    <xf numFmtId="201" fontId="96" fillId="0" borderId="25" xfId="0" applyNumberFormat="1" applyFont="1" applyBorder="1" applyAlignment="1">
      <alignment horizontal="right" vertical="center"/>
    </xf>
    <xf numFmtId="184" fontId="2" fillId="0" borderId="0" xfId="0" applyNumberFormat="1" applyFont="1">
      <alignment vertical="center"/>
    </xf>
    <xf numFmtId="220" fontId="0" fillId="0" borderId="0" xfId="0" applyNumberFormat="1">
      <alignment vertical="center"/>
    </xf>
    <xf numFmtId="0" fontId="2" fillId="4" borderId="0" xfId="0" applyFont="1" applyFill="1">
      <alignment vertical="center"/>
    </xf>
    <xf numFmtId="10" fontId="2" fillId="0" borderId="2" xfId="0" applyNumberFormat="1" applyFont="1" applyBorder="1">
      <alignment vertical="center"/>
    </xf>
    <xf numFmtId="9" fontId="33" fillId="4" borderId="36" xfId="0" applyNumberFormat="1" applyFont="1" applyFill="1" applyBorder="1" applyAlignment="1">
      <alignment horizontal="right" vertical="top"/>
    </xf>
    <xf numFmtId="0" fontId="2" fillId="0" borderId="0" xfId="0" applyFont="1" applyAlignment="1">
      <alignment horizontal="right" vertical="center"/>
    </xf>
    <xf numFmtId="176" fontId="2" fillId="52" borderId="0" xfId="0" applyNumberFormat="1" applyFont="1" applyFill="1">
      <alignment vertical="center"/>
    </xf>
    <xf numFmtId="176" fontId="2" fillId="52" borderId="2" xfId="0" applyNumberFormat="1" applyFont="1" applyFill="1" applyBorder="1">
      <alignment vertical="center"/>
    </xf>
    <xf numFmtId="183" fontId="15" fillId="0" borderId="4" xfId="0" applyNumberFormat="1" applyFont="1" applyBorder="1" applyAlignment="1">
      <alignment horizontal="center" vertical="center"/>
    </xf>
    <xf numFmtId="183" fontId="4" fillId="0" borderId="36" xfId="0" applyNumberFormat="1" applyFont="1" applyBorder="1">
      <alignment vertical="center"/>
    </xf>
    <xf numFmtId="183" fontId="15" fillId="0" borderId="360" xfId="0" applyNumberFormat="1" applyFont="1" applyBorder="1">
      <alignment vertical="center"/>
    </xf>
    <xf numFmtId="183" fontId="15" fillId="0" borderId="369" xfId="0" applyNumberFormat="1" applyFont="1" applyBorder="1">
      <alignment vertical="center"/>
    </xf>
    <xf numFmtId="183" fontId="15" fillId="0" borderId="374" xfId="0" applyNumberFormat="1" applyFont="1" applyBorder="1">
      <alignment vertical="center"/>
    </xf>
    <xf numFmtId="183" fontId="15" fillId="0" borderId="6" xfId="0" applyNumberFormat="1" applyFont="1" applyBorder="1">
      <alignment vertical="center"/>
    </xf>
    <xf numFmtId="183" fontId="15" fillId="0" borderId="4" xfId="0" applyNumberFormat="1" applyFont="1" applyBorder="1">
      <alignment vertical="center"/>
    </xf>
    <xf numFmtId="4" fontId="2" fillId="0" borderId="2" xfId="0" applyNumberFormat="1" applyFont="1" applyBorder="1">
      <alignment vertical="center"/>
    </xf>
    <xf numFmtId="176" fontId="10" fillId="3" borderId="1" xfId="0" applyNumberFormat="1" applyFont="1" applyFill="1" applyBorder="1" applyAlignment="1">
      <alignment horizontal="center" vertical="center"/>
    </xf>
    <xf numFmtId="3" fontId="13" fillId="0" borderId="8" xfId="0" applyNumberFormat="1" applyFont="1" applyBorder="1">
      <alignment vertical="center"/>
    </xf>
    <xf numFmtId="3" fontId="13" fillId="0" borderId="3" xfId="0" applyNumberFormat="1" applyFont="1" applyBorder="1">
      <alignment vertical="center"/>
    </xf>
    <xf numFmtId="178" fontId="2" fillId="4" borderId="2" xfId="0" applyNumberFormat="1" applyFont="1" applyFill="1" applyBorder="1">
      <alignment vertical="center"/>
    </xf>
    <xf numFmtId="3" fontId="76" fillId="0" borderId="0" xfId="0" applyNumberFormat="1" applyFont="1" applyAlignment="1">
      <alignment horizontal="center" vertical="center" wrapText="1"/>
    </xf>
    <xf numFmtId="3" fontId="190" fillId="0" borderId="0" xfId="0" applyNumberFormat="1" applyFont="1" applyAlignment="1">
      <alignment horizontal="center" vertical="center" wrapText="1"/>
    </xf>
    <xf numFmtId="3" fontId="190" fillId="0" borderId="0" xfId="0" applyNumberFormat="1" applyFont="1" applyAlignment="1">
      <alignment horizontal="right" vertical="center" wrapText="1"/>
    </xf>
    <xf numFmtId="3" fontId="190" fillId="72" borderId="0" xfId="0" applyNumberFormat="1" applyFont="1" applyFill="1" applyAlignment="1">
      <alignment horizontal="right" vertical="center" wrapText="1"/>
    </xf>
    <xf numFmtId="3" fontId="76" fillId="0" borderId="3" xfId="0" applyNumberFormat="1" applyFont="1" applyBorder="1" applyAlignment="1">
      <alignment horizontal="center" vertical="center" wrapText="1"/>
    </xf>
    <xf numFmtId="3" fontId="190" fillId="0" borderId="3" xfId="0" applyNumberFormat="1" applyFont="1" applyBorder="1" applyAlignment="1">
      <alignment horizontal="center" vertical="center" wrapText="1"/>
    </xf>
    <xf numFmtId="3" fontId="190" fillId="0" borderId="3" xfId="0" applyNumberFormat="1" applyFont="1" applyBorder="1" applyAlignment="1">
      <alignment horizontal="right" vertical="center" wrapText="1"/>
    </xf>
    <xf numFmtId="3" fontId="4" fillId="0" borderId="3" xfId="0" applyNumberFormat="1" applyFont="1" applyBorder="1">
      <alignment vertical="center"/>
    </xf>
    <xf numFmtId="3" fontId="190" fillId="0" borderId="2" xfId="0" applyNumberFormat="1" applyFont="1" applyBorder="1" applyAlignment="1">
      <alignment horizontal="center" vertical="center" wrapText="1"/>
    </xf>
    <xf numFmtId="3" fontId="190" fillId="0" borderId="2" xfId="0" applyNumberFormat="1" applyFont="1" applyBorder="1" applyAlignment="1">
      <alignment horizontal="right" vertical="center" wrapText="1"/>
    </xf>
    <xf numFmtId="3" fontId="190" fillId="72" borderId="2" xfId="0" applyNumberFormat="1" applyFont="1" applyFill="1" applyBorder="1" applyAlignment="1">
      <alignment horizontal="right" vertical="center" wrapText="1"/>
    </xf>
    <xf numFmtId="3" fontId="4" fillId="0" borderId="2" xfId="0" applyNumberFormat="1" applyFont="1" applyBorder="1">
      <alignment vertical="center"/>
    </xf>
    <xf numFmtId="221" fontId="4" fillId="0" borderId="0" xfId="0" applyNumberFormat="1" applyFont="1">
      <alignment vertical="center"/>
    </xf>
    <xf numFmtId="0" fontId="2" fillId="0" borderId="0" xfId="0" applyFont="1" applyAlignment="1">
      <alignment horizontal="left" vertical="center" indent="1"/>
    </xf>
    <xf numFmtId="182" fontId="15" fillId="0" borderId="36" xfId="0" applyNumberFormat="1" applyFont="1" applyBorder="1">
      <alignment vertical="center"/>
    </xf>
    <xf numFmtId="221" fontId="15" fillId="0" borderId="0" xfId="0" applyNumberFormat="1" applyFont="1">
      <alignment vertical="center"/>
    </xf>
    <xf numFmtId="3" fontId="2" fillId="4" borderId="0" xfId="0" applyNumberFormat="1" applyFont="1" applyFill="1">
      <alignment vertical="center"/>
    </xf>
    <xf numFmtId="176" fontId="2" fillId="4" borderId="0" xfId="0" applyNumberFormat="1" applyFont="1" applyFill="1">
      <alignment vertical="center"/>
    </xf>
    <xf numFmtId="176" fontId="15" fillId="4" borderId="0" xfId="0" applyNumberFormat="1" applyFont="1" applyFill="1">
      <alignment vertical="center"/>
    </xf>
    <xf numFmtId="9" fontId="2" fillId="4" borderId="0" xfId="0" applyNumberFormat="1" applyFont="1" applyFill="1">
      <alignment vertical="center"/>
    </xf>
    <xf numFmtId="189" fontId="2" fillId="0" borderId="0" xfId="0" applyNumberFormat="1" applyFont="1">
      <alignment vertical="center"/>
    </xf>
    <xf numFmtId="0" fontId="4" fillId="19" borderId="1" xfId="0" applyFont="1" applyFill="1" applyBorder="1">
      <alignment vertical="center"/>
    </xf>
    <xf numFmtId="0" fontId="4" fillId="19" borderId="1" xfId="0" applyFont="1" applyFill="1" applyBorder="1" applyAlignment="1">
      <alignment horizontal="center" vertical="center"/>
    </xf>
    <xf numFmtId="3" fontId="4" fillId="0" borderId="3" xfId="0" applyNumberFormat="1" applyFont="1" applyBorder="1" applyAlignment="1">
      <alignment horizontal="center" vertical="center"/>
    </xf>
    <xf numFmtId="3" fontId="4" fillId="0" borderId="0" xfId="0" applyNumberFormat="1" applyFont="1" applyAlignment="1">
      <alignment horizontal="center" vertical="center"/>
    </xf>
    <xf numFmtId="10" fontId="4" fillId="0" borderId="3" xfId="0" applyNumberFormat="1" applyFont="1" applyBorder="1">
      <alignment vertical="center"/>
    </xf>
    <xf numFmtId="3" fontId="15" fillId="19" borderId="1" xfId="0" applyNumberFormat="1" applyFont="1" applyFill="1" applyBorder="1" applyAlignment="1">
      <alignment horizontal="right" vertical="center"/>
    </xf>
    <xf numFmtId="178" fontId="4" fillId="0" borderId="0" xfId="0" applyNumberFormat="1" applyFont="1">
      <alignment vertical="center"/>
    </xf>
    <xf numFmtId="178" fontId="4" fillId="0" borderId="2" xfId="0" applyNumberFormat="1" applyFont="1" applyBorder="1">
      <alignment vertical="center"/>
    </xf>
    <xf numFmtId="0" fontId="4" fillId="0" borderId="0" xfId="0" applyFont="1" applyAlignment="1">
      <alignment horizontal="right" vertical="center"/>
    </xf>
    <xf numFmtId="10" fontId="25" fillId="0" borderId="17" xfId="0" applyNumberFormat="1" applyFont="1" applyBorder="1">
      <alignment vertical="center"/>
    </xf>
    <xf numFmtId="10" fontId="13" fillId="0" borderId="3" xfId="0" applyNumberFormat="1" applyFont="1" applyBorder="1">
      <alignment vertical="center"/>
    </xf>
    <xf numFmtId="10" fontId="13" fillId="0" borderId="9" xfId="0" applyNumberFormat="1" applyFont="1" applyBorder="1">
      <alignment vertical="center"/>
    </xf>
    <xf numFmtId="10" fontId="13" fillId="0" borderId="0" xfId="0" applyNumberFormat="1" applyFont="1">
      <alignment vertical="center"/>
    </xf>
    <xf numFmtId="10" fontId="13" fillId="0" borderId="17" xfId="0" applyNumberFormat="1" applyFont="1" applyBorder="1">
      <alignment vertical="center"/>
    </xf>
    <xf numFmtId="0" fontId="192" fillId="0" borderId="0" xfId="0" applyFont="1" applyAlignment="1">
      <alignment vertical="top"/>
    </xf>
    <xf numFmtId="0" fontId="96" fillId="0" borderId="0" xfId="0" applyFont="1" applyAlignment="1">
      <alignment vertical="top"/>
    </xf>
    <xf numFmtId="0" fontId="96" fillId="0" borderId="0" xfId="0" applyFont="1">
      <alignment vertical="center"/>
    </xf>
    <xf numFmtId="0" fontId="144" fillId="0" borderId="0" xfId="0" applyFont="1" applyAlignment="1">
      <alignment vertical="top"/>
    </xf>
    <xf numFmtId="0" fontId="148" fillId="8" borderId="36" xfId="0" applyFont="1" applyFill="1" applyBorder="1" applyAlignment="1">
      <alignment horizontal="center" vertical="center"/>
    </xf>
    <xf numFmtId="0" fontId="96" fillId="0" borderId="36" xfId="0" applyFont="1" applyBorder="1" applyAlignment="1">
      <alignment horizontal="center" vertical="center"/>
    </xf>
    <xf numFmtId="0" fontId="0" fillId="0" borderId="0" xfId="0" applyAlignment="1">
      <alignment vertical="top"/>
    </xf>
    <xf numFmtId="0" fontId="148" fillId="8" borderId="36" xfId="0" applyFont="1" applyFill="1" applyBorder="1">
      <alignment vertical="center"/>
    </xf>
    <xf numFmtId="0" fontId="148" fillId="8" borderId="36" xfId="0" applyFont="1" applyFill="1" applyBorder="1" applyAlignment="1">
      <alignment horizontal="left" vertical="center"/>
    </xf>
    <xf numFmtId="0" fontId="148" fillId="8" borderId="4" xfId="0" applyFont="1" applyFill="1" applyBorder="1" applyAlignment="1">
      <alignment horizontal="center" vertical="center"/>
    </xf>
    <xf numFmtId="0" fontId="148" fillId="8" borderId="5" xfId="0" applyFont="1" applyFill="1" applyBorder="1" applyAlignment="1">
      <alignment horizontal="center" vertical="center"/>
    </xf>
    <xf numFmtId="0" fontId="101" fillId="17" borderId="0" xfId="0" applyFont="1" applyFill="1">
      <alignment vertical="center"/>
    </xf>
    <xf numFmtId="0" fontId="0" fillId="17" borderId="0" xfId="0" applyFill="1">
      <alignment vertical="center"/>
    </xf>
    <xf numFmtId="183" fontId="0" fillId="17" borderId="0" xfId="0" applyNumberFormat="1" applyFill="1">
      <alignment vertical="center"/>
    </xf>
    <xf numFmtId="0" fontId="194" fillId="73" borderId="433" xfId="0" applyFont="1" applyFill="1" applyBorder="1" applyAlignment="1">
      <alignment horizontal="center" vertical="center" wrapText="1" readingOrder="1"/>
    </xf>
    <xf numFmtId="0" fontId="194" fillId="73" borderId="434" xfId="0" applyFont="1" applyFill="1" applyBorder="1" applyAlignment="1">
      <alignment horizontal="center" vertical="center" wrapText="1" readingOrder="1"/>
    </xf>
    <xf numFmtId="0" fontId="194" fillId="73" borderId="435" xfId="0" applyFont="1" applyFill="1" applyBorder="1" applyAlignment="1">
      <alignment horizontal="center" vertical="center" wrapText="1" readingOrder="1"/>
    </xf>
    <xf numFmtId="0" fontId="194" fillId="73" borderId="436" xfId="0" applyFont="1" applyFill="1" applyBorder="1" applyAlignment="1">
      <alignment horizontal="center" vertical="center" wrapText="1" readingOrder="1"/>
    </xf>
    <xf numFmtId="0" fontId="193" fillId="0" borderId="437" xfId="0" applyFont="1" applyBorder="1" applyAlignment="1">
      <alignment horizontal="center" vertical="center" wrapText="1" readingOrder="1"/>
    </xf>
    <xf numFmtId="0" fontId="190" fillId="0" borderId="440" xfId="0" applyFont="1" applyBorder="1" applyAlignment="1">
      <alignment horizontal="left" vertical="center" wrapText="1" readingOrder="1"/>
    </xf>
    <xf numFmtId="3" fontId="190" fillId="0" borderId="441" xfId="0" applyNumberFormat="1" applyFont="1" applyBorder="1" applyAlignment="1">
      <alignment horizontal="right" vertical="center" wrapText="1" readingOrder="1"/>
    </xf>
    <xf numFmtId="3" fontId="194" fillId="74" borderId="442" xfId="0" applyNumberFormat="1" applyFont="1" applyFill="1" applyBorder="1" applyAlignment="1">
      <alignment horizontal="right" vertical="center" wrapText="1" readingOrder="1"/>
    </xf>
    <xf numFmtId="3" fontId="190" fillId="0" borderId="443" xfId="0" applyNumberFormat="1" applyFont="1" applyBorder="1" applyAlignment="1">
      <alignment horizontal="right" vertical="center" wrapText="1" readingOrder="1"/>
    </xf>
    <xf numFmtId="3" fontId="190" fillId="0" borderId="440" xfId="0" applyNumberFormat="1" applyFont="1" applyBorder="1" applyAlignment="1">
      <alignment horizontal="right" vertical="center" wrapText="1" readingOrder="1"/>
    </xf>
    <xf numFmtId="0" fontId="193" fillId="0" borderId="438" xfId="0" applyFont="1" applyBorder="1" applyAlignment="1">
      <alignment horizontal="center" vertical="center" wrapText="1" readingOrder="1"/>
    </xf>
    <xf numFmtId="0" fontId="195" fillId="0" borderId="440" xfId="0" applyFont="1" applyBorder="1" applyAlignment="1">
      <alignment horizontal="left" vertical="center" wrapText="1" readingOrder="1"/>
    </xf>
    <xf numFmtId="0" fontId="190" fillId="0" borderId="441" xfId="0" applyFont="1" applyBorder="1" applyAlignment="1">
      <alignment horizontal="right" vertical="center" wrapText="1" readingOrder="1"/>
    </xf>
    <xf numFmtId="0" fontId="194" fillId="74" borderId="442" xfId="0" applyFont="1" applyFill="1" applyBorder="1" applyAlignment="1">
      <alignment horizontal="right" vertical="center" wrapText="1" readingOrder="1"/>
    </xf>
    <xf numFmtId="0" fontId="190" fillId="0" borderId="443" xfId="0" applyFont="1" applyBorder="1" applyAlignment="1">
      <alignment horizontal="right" vertical="center" wrapText="1" readingOrder="1"/>
    </xf>
    <xf numFmtId="0" fontId="190" fillId="0" borderId="440" xfId="0" applyFont="1" applyBorder="1" applyAlignment="1">
      <alignment horizontal="right" vertical="center" wrapText="1" readingOrder="1"/>
    </xf>
    <xf numFmtId="0" fontId="2" fillId="0" borderId="438" xfId="0" applyFont="1" applyBorder="1" applyAlignment="1">
      <alignment horizontal="center" vertical="center" wrapText="1"/>
    </xf>
    <xf numFmtId="0" fontId="190" fillId="0" borderId="440" xfId="0" applyFont="1" applyBorder="1" applyAlignment="1">
      <alignment horizontal="left" vertical="center" wrapText="1"/>
    </xf>
    <xf numFmtId="0" fontId="190" fillId="0" borderId="441" xfId="0" applyFont="1" applyBorder="1" applyAlignment="1">
      <alignment horizontal="right" vertical="center" wrapText="1"/>
    </xf>
    <xf numFmtId="0" fontId="194" fillId="74" borderId="442" xfId="0" applyFont="1" applyFill="1" applyBorder="1" applyAlignment="1">
      <alignment horizontal="right" vertical="center" wrapText="1"/>
    </xf>
    <xf numFmtId="0" fontId="190" fillId="0" borderId="443" xfId="0" applyFont="1" applyBorder="1" applyAlignment="1">
      <alignment horizontal="right" vertical="center" wrapText="1"/>
    </xf>
    <xf numFmtId="0" fontId="190" fillId="0" borderId="440" xfId="0" applyFont="1" applyBorder="1" applyAlignment="1">
      <alignment horizontal="right" vertical="center" wrapText="1"/>
    </xf>
    <xf numFmtId="0" fontId="2" fillId="0" borderId="439" xfId="0" applyFont="1" applyBorder="1" applyAlignment="1">
      <alignment horizontal="center" vertical="center" wrapText="1"/>
    </xf>
    <xf numFmtId="0" fontId="193" fillId="75" borderId="440" xfId="0" applyFont="1" applyFill="1" applyBorder="1" applyAlignment="1">
      <alignment horizontal="left" vertical="center" wrapText="1" readingOrder="1"/>
    </xf>
    <xf numFmtId="3" fontId="194" fillId="75" borderId="441" xfId="0" applyNumberFormat="1" applyFont="1" applyFill="1" applyBorder="1" applyAlignment="1">
      <alignment horizontal="right" vertical="center" wrapText="1"/>
    </xf>
    <xf numFmtId="3" fontId="194" fillId="74" borderId="442" xfId="0" applyNumberFormat="1" applyFont="1" applyFill="1" applyBorder="1" applyAlignment="1">
      <alignment horizontal="right" vertical="center" wrapText="1"/>
    </xf>
    <xf numFmtId="3" fontId="194" fillId="75" borderId="443" xfId="0" applyNumberFormat="1" applyFont="1" applyFill="1" applyBorder="1" applyAlignment="1">
      <alignment horizontal="right" vertical="center" wrapText="1"/>
    </xf>
    <xf numFmtId="3" fontId="194" fillId="75" borderId="440" xfId="0" applyNumberFormat="1" applyFont="1" applyFill="1" applyBorder="1" applyAlignment="1">
      <alignment horizontal="right" vertical="center" wrapText="1"/>
    </xf>
    <xf numFmtId="0" fontId="193" fillId="0" borderId="444" xfId="0" applyFont="1" applyBorder="1" applyAlignment="1">
      <alignment horizontal="center" vertical="center" wrapText="1" readingOrder="1"/>
    </xf>
    <xf numFmtId="0" fontId="190" fillId="0" borderId="446" xfId="0" applyFont="1" applyBorder="1" applyAlignment="1">
      <alignment horizontal="left" vertical="center" wrapText="1"/>
    </xf>
    <xf numFmtId="0" fontId="190" fillId="0" borderId="447" xfId="0" applyFont="1" applyBorder="1" applyAlignment="1">
      <alignment horizontal="right" vertical="center" wrapText="1"/>
    </xf>
    <xf numFmtId="0" fontId="194" fillId="74" borderId="448" xfId="0" applyFont="1" applyFill="1" applyBorder="1" applyAlignment="1">
      <alignment horizontal="right" vertical="center" wrapText="1"/>
    </xf>
    <xf numFmtId="0" fontId="190" fillId="0" borderId="449" xfId="0" applyFont="1" applyBorder="1" applyAlignment="1">
      <alignment horizontal="right" vertical="center" wrapText="1"/>
    </xf>
    <xf numFmtId="0" fontId="190" fillId="0" borderId="446" xfId="0" applyFont="1" applyBorder="1" applyAlignment="1">
      <alignment horizontal="right" vertical="center" wrapText="1"/>
    </xf>
    <xf numFmtId="0" fontId="2" fillId="0" borderId="445" xfId="0" applyFont="1" applyBorder="1" applyAlignment="1">
      <alignment horizontal="center" vertical="center" wrapText="1"/>
    </xf>
    <xf numFmtId="0" fontId="193" fillId="75" borderId="450" xfId="0" applyFont="1" applyFill="1" applyBorder="1" applyAlignment="1">
      <alignment horizontal="left" vertical="center" wrapText="1" readingOrder="1"/>
    </xf>
    <xf numFmtId="0" fontId="194" fillId="75" borderId="451" xfId="0" applyFont="1" applyFill="1" applyBorder="1" applyAlignment="1">
      <alignment horizontal="right" vertical="center" wrapText="1"/>
    </xf>
    <xf numFmtId="0" fontId="194" fillId="74" borderId="452" xfId="0" applyFont="1" applyFill="1" applyBorder="1" applyAlignment="1">
      <alignment horizontal="right" vertical="center" wrapText="1"/>
    </xf>
    <xf numFmtId="0" fontId="194" fillId="75" borderId="453" xfId="0" applyFont="1" applyFill="1" applyBorder="1" applyAlignment="1">
      <alignment horizontal="right" vertical="center" wrapText="1"/>
    </xf>
    <xf numFmtId="0" fontId="194" fillId="75" borderId="450" xfId="0" applyFont="1" applyFill="1" applyBorder="1" applyAlignment="1">
      <alignment horizontal="right" vertical="center" wrapText="1"/>
    </xf>
    <xf numFmtId="201" fontId="56" fillId="0" borderId="0" xfId="0" applyNumberFormat="1" applyFont="1">
      <alignment vertical="center"/>
    </xf>
    <xf numFmtId="10" fontId="2" fillId="4" borderId="2" xfId="0" applyNumberFormat="1" applyFont="1" applyFill="1" applyBorder="1">
      <alignment vertical="center"/>
    </xf>
    <xf numFmtId="0" fontId="2" fillId="4" borderId="2" xfId="0" applyFont="1" applyFill="1" applyBorder="1">
      <alignment vertical="center"/>
    </xf>
    <xf numFmtId="222" fontId="2" fillId="0" borderId="0" xfId="0" applyNumberFormat="1" applyFont="1">
      <alignment vertical="center"/>
    </xf>
    <xf numFmtId="4" fontId="2" fillId="4" borderId="0" xfId="0" applyNumberFormat="1" applyFont="1" applyFill="1">
      <alignment vertical="center"/>
    </xf>
    <xf numFmtId="3" fontId="190" fillId="4" borderId="0" xfId="0" applyNumberFormat="1" applyFont="1" applyFill="1" applyAlignment="1">
      <alignment horizontal="center" vertical="center" wrapText="1"/>
    </xf>
    <xf numFmtId="3" fontId="190" fillId="4" borderId="0" xfId="0" applyNumberFormat="1" applyFont="1" applyFill="1" applyAlignment="1">
      <alignment horizontal="right" vertical="center" wrapText="1"/>
    </xf>
    <xf numFmtId="3" fontId="76" fillId="4" borderId="0" xfId="0" applyNumberFormat="1" applyFont="1" applyFill="1" applyAlignment="1">
      <alignment horizontal="center" vertical="center" wrapText="1"/>
    </xf>
    <xf numFmtId="0" fontId="190" fillId="0" borderId="0" xfId="0" applyFont="1" applyAlignment="1">
      <alignment horizontal="left" vertical="center" readingOrder="1"/>
    </xf>
    <xf numFmtId="10" fontId="15" fillId="0" borderId="2" xfId="0" applyNumberFormat="1" applyFont="1" applyBorder="1">
      <alignment vertical="center"/>
    </xf>
    <xf numFmtId="4" fontId="4" fillId="0" borderId="0" xfId="0" applyNumberFormat="1" applyFont="1">
      <alignment vertical="center"/>
    </xf>
    <xf numFmtId="4" fontId="4" fillId="0" borderId="2" xfId="0" applyNumberFormat="1" applyFont="1" applyBorder="1">
      <alignment vertical="center"/>
    </xf>
    <xf numFmtId="3" fontId="4" fillId="0" borderId="1" xfId="0" applyNumberFormat="1" applyFont="1" applyBorder="1">
      <alignment vertical="center"/>
    </xf>
    <xf numFmtId="221" fontId="2" fillId="0" borderId="0" xfId="0" applyNumberFormat="1" applyFont="1">
      <alignment vertical="center"/>
    </xf>
    <xf numFmtId="176" fontId="15" fillId="0" borderId="18" xfId="0" applyNumberFormat="1" applyFont="1" applyBorder="1" applyAlignment="1">
      <alignment horizontal="right" vertical="center"/>
    </xf>
    <xf numFmtId="176" fontId="15" fillId="6" borderId="18" xfId="0" applyNumberFormat="1" applyFont="1" applyFill="1" applyBorder="1" applyAlignment="1">
      <alignment horizontal="right" vertical="center"/>
    </xf>
    <xf numFmtId="3" fontId="13" fillId="0" borderId="16" xfId="0" applyNumberFormat="1" applyFont="1" applyBorder="1">
      <alignment vertical="center"/>
    </xf>
    <xf numFmtId="3" fontId="13" fillId="0" borderId="0" xfId="0" applyNumberFormat="1" applyFont="1">
      <alignment vertical="center"/>
    </xf>
    <xf numFmtId="0" fontId="196" fillId="0" borderId="0" xfId="0" applyFont="1">
      <alignment vertical="center"/>
    </xf>
    <xf numFmtId="0" fontId="197" fillId="0" borderId="0" xfId="0" applyFont="1">
      <alignment vertical="center"/>
    </xf>
    <xf numFmtId="0" fontId="198" fillId="2" borderId="47" xfId="0" applyFont="1" applyFill="1" applyBorder="1" applyAlignment="1">
      <alignment horizontal="left" vertical="center"/>
    </xf>
    <xf numFmtId="0" fontId="9" fillId="2" borderId="48" xfId="0" applyFont="1" applyFill="1" applyBorder="1">
      <alignment vertical="center"/>
    </xf>
    <xf numFmtId="0" fontId="199" fillId="2" borderId="48" xfId="0" applyFont="1" applyFill="1" applyBorder="1" applyAlignment="1">
      <alignment horizontal="right" vertical="center"/>
    </xf>
    <xf numFmtId="0" fontId="200" fillId="2" borderId="49" xfId="0" applyFont="1" applyFill="1" applyBorder="1" applyAlignment="1">
      <alignment horizontal="right" vertical="center"/>
    </xf>
    <xf numFmtId="0" fontId="200" fillId="0" borderId="0" xfId="0" applyFont="1" applyAlignment="1">
      <alignment horizontal="right" vertical="center"/>
    </xf>
    <xf numFmtId="0" fontId="197" fillId="0" borderId="0" xfId="0" applyFont="1" applyAlignment="1">
      <alignment horizontal="left" vertical="center"/>
    </xf>
    <xf numFmtId="0" fontId="201" fillId="0" borderId="0" xfId="0" applyFont="1">
      <alignment vertical="center"/>
    </xf>
    <xf numFmtId="0" fontId="202" fillId="0" borderId="0" xfId="0" applyFont="1">
      <alignment vertical="center"/>
    </xf>
    <xf numFmtId="0" fontId="203" fillId="76" borderId="454" xfId="0" applyFont="1" applyFill="1" applyBorder="1">
      <alignment vertical="center"/>
    </xf>
    <xf numFmtId="0" fontId="204" fillId="76" borderId="51" xfId="0" applyFont="1" applyFill="1" applyBorder="1">
      <alignment vertical="center"/>
    </xf>
    <xf numFmtId="0" fontId="204" fillId="76" borderId="51" xfId="0" applyFont="1" applyFill="1" applyBorder="1" applyAlignment="1">
      <alignment horizontal="center" vertical="center"/>
    </xf>
    <xf numFmtId="178" fontId="203" fillId="76" borderId="52" xfId="0" applyNumberFormat="1" applyFont="1" applyFill="1" applyBorder="1">
      <alignment vertical="center"/>
    </xf>
    <xf numFmtId="178" fontId="203" fillId="0" borderId="0" xfId="0" applyNumberFormat="1" applyFont="1">
      <alignment vertical="center"/>
    </xf>
    <xf numFmtId="0" fontId="197" fillId="35" borderId="4" xfId="0" applyFont="1" applyFill="1" applyBorder="1" applyAlignment="1">
      <alignment horizontal="left" vertical="center"/>
    </xf>
    <xf numFmtId="0" fontId="197" fillId="35" borderId="5" xfId="0" applyFont="1" applyFill="1" applyBorder="1" applyAlignment="1">
      <alignment horizontal="left" vertical="center"/>
    </xf>
    <xf numFmtId="10" fontId="197" fillId="35" borderId="36" xfId="0" applyNumberFormat="1" applyFont="1" applyFill="1" applyBorder="1" applyAlignment="1">
      <alignment horizontal="center" vertical="center"/>
    </xf>
    <xf numFmtId="0" fontId="60" fillId="0" borderId="0" xfId="0" applyFont="1">
      <alignment vertical="center"/>
    </xf>
    <xf numFmtId="0" fontId="205" fillId="0" borderId="0" xfId="0" applyFont="1">
      <alignment vertical="center"/>
    </xf>
    <xf numFmtId="0" fontId="60" fillId="0" borderId="0" xfId="0" applyFont="1" applyAlignment="1">
      <alignment horizontal="center" vertical="center"/>
    </xf>
    <xf numFmtId="0" fontId="206" fillId="0" borderId="0" xfId="0" applyFont="1">
      <alignment vertical="center"/>
    </xf>
    <xf numFmtId="0" fontId="205" fillId="0" borderId="0" xfId="0" applyFont="1" applyAlignment="1">
      <alignment horizontal="left" vertical="center"/>
    </xf>
    <xf numFmtId="0" fontId="60" fillId="35" borderId="4" xfId="0" applyFont="1" applyFill="1" applyBorder="1" applyAlignment="1">
      <alignment horizontal="left" vertical="center"/>
    </xf>
    <xf numFmtId="0" fontId="60" fillId="35" borderId="5" xfId="0" applyFont="1" applyFill="1" applyBorder="1" applyAlignment="1">
      <alignment horizontal="left" vertical="center"/>
    </xf>
    <xf numFmtId="0" fontId="65" fillId="0" borderId="0" xfId="0" applyFont="1">
      <alignment vertical="center"/>
    </xf>
    <xf numFmtId="0" fontId="109" fillId="2" borderId="48" xfId="0" applyFont="1" applyFill="1" applyBorder="1" applyAlignment="1">
      <alignment horizontal="center" vertical="center"/>
    </xf>
    <xf numFmtId="223" fontId="109" fillId="2" borderId="455" xfId="0" applyNumberFormat="1" applyFont="1" applyFill="1" applyBorder="1" applyAlignment="1">
      <alignment horizontal="center" vertical="center"/>
    </xf>
    <xf numFmtId="223" fontId="109" fillId="2" borderId="48" xfId="0" applyNumberFormat="1" applyFont="1" applyFill="1" applyBorder="1" applyAlignment="1">
      <alignment horizontal="left" vertical="center"/>
    </xf>
    <xf numFmtId="223" fontId="109" fillId="0" borderId="0" xfId="0" applyNumberFormat="1" applyFont="1" applyAlignment="1">
      <alignment horizontal="center" vertical="center" wrapText="1"/>
    </xf>
    <xf numFmtId="0" fontId="60" fillId="0" borderId="0" xfId="0" applyFont="1" applyAlignment="1">
      <alignment horizontal="left" vertical="center"/>
    </xf>
    <xf numFmtId="14" fontId="60" fillId="0" borderId="0" xfId="0" applyNumberFormat="1" applyFont="1" applyAlignment="1">
      <alignment horizontal="center" vertical="center"/>
    </xf>
    <xf numFmtId="14" fontId="60" fillId="0" borderId="0" xfId="0" applyNumberFormat="1" applyFont="1">
      <alignment vertical="center"/>
    </xf>
    <xf numFmtId="0" fontId="109" fillId="2" borderId="51" xfId="0" applyFont="1" applyFill="1" applyBorder="1" applyAlignment="1">
      <alignment horizontal="center" vertical="top"/>
    </xf>
    <xf numFmtId="223" fontId="109" fillId="2" borderId="51" xfId="0" applyNumberFormat="1" applyFont="1" applyFill="1" applyBorder="1" applyAlignment="1">
      <alignment horizontal="center" vertical="center"/>
    </xf>
    <xf numFmtId="223" fontId="109" fillId="2" borderId="51" xfId="0" applyNumberFormat="1" applyFont="1" applyFill="1" applyBorder="1" applyAlignment="1">
      <alignment horizontal="left" vertical="center"/>
    </xf>
    <xf numFmtId="0" fontId="207" fillId="0" borderId="0" xfId="0" applyFont="1" applyAlignment="1">
      <alignment horizontal="center" vertical="center"/>
    </xf>
    <xf numFmtId="0" fontId="60" fillId="0" borderId="456" xfId="0" applyFont="1" applyBorder="1">
      <alignment vertical="center"/>
    </xf>
    <xf numFmtId="223" fontId="60" fillId="0" borderId="0" xfId="0" applyNumberFormat="1" applyFont="1" applyAlignment="1">
      <alignment horizontal="center" vertical="center" wrapText="1"/>
    </xf>
    <xf numFmtId="223" fontId="60" fillId="0" borderId="0" xfId="0" applyNumberFormat="1" applyFont="1" applyAlignment="1">
      <alignment horizontal="center" vertical="center"/>
    </xf>
    <xf numFmtId="0" fontId="60" fillId="0" borderId="0" xfId="0" quotePrefix="1" applyFont="1" applyAlignment="1">
      <alignment horizontal="center" vertical="center"/>
    </xf>
    <xf numFmtId="185" fontId="60" fillId="0" borderId="0" xfId="0" applyNumberFormat="1" applyFont="1" applyAlignment="1">
      <alignment horizontal="center" vertical="center"/>
    </xf>
    <xf numFmtId="200" fontId="60" fillId="0" borderId="0" xfId="0" applyNumberFormat="1" applyFont="1">
      <alignment vertical="center"/>
    </xf>
    <xf numFmtId="200" fontId="60" fillId="0" borderId="0" xfId="0" applyNumberFormat="1" applyFont="1" applyAlignment="1">
      <alignment horizontal="right" vertical="center"/>
    </xf>
    <xf numFmtId="178" fontId="60" fillId="0" borderId="0" xfId="0" applyNumberFormat="1" applyFont="1" applyAlignment="1">
      <alignment horizontal="right" vertical="center"/>
    </xf>
    <xf numFmtId="178" fontId="208" fillId="0" borderId="0" xfId="0" applyNumberFormat="1" applyFont="1" applyAlignment="1">
      <alignment horizontal="center" vertical="center"/>
    </xf>
    <xf numFmtId="185" fontId="60" fillId="0" borderId="0" xfId="0" applyNumberFormat="1" applyFont="1" applyAlignment="1">
      <alignment horizontal="right" vertical="center"/>
    </xf>
    <xf numFmtId="185" fontId="60" fillId="0" borderId="457" xfId="0" applyNumberFormat="1" applyFont="1" applyBorder="1" applyAlignment="1">
      <alignment horizontal="right" vertical="center"/>
    </xf>
    <xf numFmtId="0" fontId="60" fillId="0" borderId="0" xfId="0" applyFont="1" applyAlignment="1">
      <alignment horizontal="left"/>
    </xf>
    <xf numFmtId="0" fontId="65" fillId="0" borderId="0" xfId="0" applyFont="1" applyAlignment="1">
      <alignment horizontal="left" vertical="center"/>
    </xf>
    <xf numFmtId="0" fontId="209" fillId="0" borderId="0" xfId="0" applyFont="1" applyAlignment="1">
      <alignment horizontal="right" vertical="center"/>
    </xf>
    <xf numFmtId="0" fontId="210" fillId="0" borderId="0" xfId="0" applyFont="1" applyAlignment="1">
      <alignment horizontal="right" vertical="center"/>
    </xf>
    <xf numFmtId="0" fontId="209" fillId="35" borderId="0" xfId="0" applyFont="1" applyFill="1" applyAlignment="1">
      <alignment horizontal="right" vertical="center"/>
    </xf>
    <xf numFmtId="14" fontId="60" fillId="0" borderId="0" xfId="0" applyNumberFormat="1" applyFont="1" applyAlignment="1">
      <alignment horizontal="left" vertical="center"/>
    </xf>
    <xf numFmtId="0" fontId="211" fillId="0" borderId="0" xfId="0" applyFont="1">
      <alignment vertical="center"/>
    </xf>
    <xf numFmtId="0" fontId="201" fillId="0" borderId="0" xfId="0" applyFont="1" applyAlignment="1">
      <alignment horizontal="left" vertical="center"/>
    </xf>
    <xf numFmtId="0" fontId="212" fillId="0" borderId="0" xfId="0" applyFont="1" applyAlignment="1">
      <alignment horizontal="left" vertical="center"/>
    </xf>
    <xf numFmtId="10" fontId="60" fillId="0" borderId="0" xfId="0" applyNumberFormat="1" applyFont="1">
      <alignment vertical="center"/>
    </xf>
    <xf numFmtId="0" fontId="10" fillId="0" borderId="0" xfId="0" applyFont="1">
      <alignment vertical="center"/>
    </xf>
    <xf numFmtId="0" fontId="60" fillId="0" borderId="454" xfId="0" applyFont="1" applyBorder="1">
      <alignment vertical="center"/>
    </xf>
    <xf numFmtId="0" fontId="60" fillId="0" borderId="51" xfId="0" applyFont="1" applyBorder="1">
      <alignment vertical="center"/>
    </xf>
    <xf numFmtId="0" fontId="60" fillId="0" borderId="51" xfId="0" applyFont="1" applyBorder="1" applyAlignment="1">
      <alignment horizontal="center" vertical="center"/>
    </xf>
    <xf numFmtId="0" fontId="60" fillId="0" borderId="51" xfId="0" quotePrefix="1" applyFont="1" applyBorder="1" applyAlignment="1">
      <alignment horizontal="center" vertical="center"/>
    </xf>
    <xf numFmtId="178" fontId="60" fillId="0" borderId="51" xfId="0" applyNumberFormat="1" applyFont="1" applyBorder="1" applyAlignment="1">
      <alignment horizontal="right" vertical="center"/>
    </xf>
    <xf numFmtId="0" fontId="202" fillId="76" borderId="47" xfId="0" applyFont="1" applyFill="1" applyBorder="1" applyAlignment="1">
      <alignment horizontal="left" vertical="center"/>
    </xf>
    <xf numFmtId="0" fontId="202" fillId="76" borderId="48" xfId="0" applyFont="1" applyFill="1" applyBorder="1" applyAlignment="1">
      <alignment horizontal="right" vertical="center"/>
    </xf>
    <xf numFmtId="224" fontId="202" fillId="76" borderId="48" xfId="0" applyNumberFormat="1" applyFont="1" applyFill="1" applyBorder="1" applyAlignment="1">
      <alignment horizontal="right" vertical="center"/>
    </xf>
    <xf numFmtId="225" fontId="196" fillId="76" borderId="48" xfId="0" applyNumberFormat="1" applyFont="1" applyFill="1" applyBorder="1">
      <alignment vertical="center"/>
    </xf>
    <xf numFmtId="2" fontId="202" fillId="76" borderId="48" xfId="0" applyNumberFormat="1" applyFont="1" applyFill="1" applyBorder="1" applyAlignment="1">
      <alignment horizontal="right" vertical="center"/>
    </xf>
    <xf numFmtId="178" fontId="202" fillId="76" borderId="48" xfId="0" applyNumberFormat="1" applyFont="1" applyFill="1" applyBorder="1" applyAlignment="1">
      <alignment horizontal="right" vertical="center"/>
    </xf>
    <xf numFmtId="225" fontId="202" fillId="76" borderId="48" xfId="0" applyNumberFormat="1" applyFont="1" applyFill="1" applyBorder="1">
      <alignment vertical="center"/>
    </xf>
    <xf numFmtId="225" fontId="202" fillId="76" borderId="49" xfId="0" applyNumberFormat="1" applyFont="1" applyFill="1" applyBorder="1">
      <alignment vertical="center"/>
    </xf>
    <xf numFmtId="225" fontId="196" fillId="0" borderId="0" xfId="0" applyNumberFormat="1" applyFont="1">
      <alignment vertical="center"/>
    </xf>
    <xf numFmtId="0" fontId="202" fillId="76" borderId="456" xfId="0" applyFont="1" applyFill="1" applyBorder="1" applyAlignment="1">
      <alignment horizontal="left" vertical="center"/>
    </xf>
    <xf numFmtId="0" fontId="202" fillId="76" borderId="0" xfId="0" applyFont="1" applyFill="1" applyAlignment="1">
      <alignment horizontal="right" vertical="center"/>
    </xf>
    <xf numFmtId="224" fontId="202" fillId="76" borderId="0" xfId="0" applyNumberFormat="1" applyFont="1" applyFill="1" applyAlignment="1">
      <alignment horizontal="right" vertical="center"/>
    </xf>
    <xf numFmtId="225" fontId="196" fillId="76" borderId="0" xfId="0" applyNumberFormat="1" applyFont="1" applyFill="1">
      <alignment vertical="center"/>
    </xf>
    <xf numFmtId="2" fontId="202" fillId="76" borderId="0" xfId="0" applyNumberFormat="1" applyFont="1" applyFill="1" applyAlignment="1">
      <alignment horizontal="right" vertical="center"/>
    </xf>
    <xf numFmtId="178" fontId="202" fillId="76" borderId="0" xfId="0" applyNumberFormat="1" applyFont="1" applyFill="1" applyAlignment="1">
      <alignment horizontal="right" vertical="center"/>
    </xf>
    <xf numFmtId="225" fontId="202" fillId="76" borderId="0" xfId="0" applyNumberFormat="1" applyFont="1" applyFill="1">
      <alignment vertical="center"/>
    </xf>
    <xf numFmtId="225" fontId="202" fillId="76" borderId="457" xfId="0" applyNumberFormat="1" applyFont="1" applyFill="1" applyBorder="1">
      <alignment vertical="center"/>
    </xf>
    <xf numFmtId="0" fontId="38" fillId="0" borderId="0" xfId="0" applyFont="1">
      <alignment vertical="center"/>
    </xf>
    <xf numFmtId="0" fontId="213" fillId="0" borderId="0" xfId="0" applyFont="1" applyAlignment="1">
      <alignment horizontal="right" vertical="center"/>
    </xf>
    <xf numFmtId="0" fontId="202" fillId="76" borderId="454" xfId="0" applyFont="1" applyFill="1" applyBorder="1" applyAlignment="1">
      <alignment horizontal="left" vertical="center"/>
    </xf>
    <xf numFmtId="0" fontId="202" fillId="76" borderId="51" xfId="0" applyFont="1" applyFill="1" applyBorder="1" applyAlignment="1">
      <alignment horizontal="right" vertical="center"/>
    </xf>
    <xf numFmtId="224" fontId="202" fillId="76" borderId="51" xfId="0" applyNumberFormat="1" applyFont="1" applyFill="1" applyBorder="1" applyAlignment="1">
      <alignment horizontal="right" vertical="center"/>
    </xf>
    <xf numFmtId="225" fontId="196" fillId="76" borderId="51" xfId="0" applyNumberFormat="1" applyFont="1" applyFill="1" applyBorder="1">
      <alignment vertical="center"/>
    </xf>
    <xf numFmtId="2" fontId="202" fillId="76" borderId="51" xfId="0" applyNumberFormat="1" applyFont="1" applyFill="1" applyBorder="1" applyAlignment="1">
      <alignment horizontal="right" vertical="center"/>
    </xf>
    <xf numFmtId="178" fontId="202" fillId="76" borderId="51" xfId="0" applyNumberFormat="1" applyFont="1" applyFill="1" applyBorder="1" applyAlignment="1">
      <alignment horizontal="right" vertical="center"/>
    </xf>
    <xf numFmtId="225" fontId="202" fillId="76" borderId="51" xfId="0" applyNumberFormat="1" applyFont="1" applyFill="1" applyBorder="1">
      <alignment vertical="center"/>
    </xf>
    <xf numFmtId="225" fontId="202" fillId="76" borderId="52" xfId="0" applyNumberFormat="1" applyFont="1" applyFill="1" applyBorder="1">
      <alignment vertical="center"/>
    </xf>
    <xf numFmtId="0" fontId="65" fillId="0" borderId="458" xfId="0" applyFont="1" applyBorder="1" applyAlignment="1">
      <alignment horizontal="left" vertical="center"/>
    </xf>
    <xf numFmtId="0" fontId="65" fillId="0" borderId="459" xfId="0" applyFont="1" applyBorder="1" applyAlignment="1">
      <alignment horizontal="left" vertical="center"/>
    </xf>
    <xf numFmtId="0" fontId="65" fillId="0" borderId="459" xfId="0" applyFont="1" applyBorder="1">
      <alignment vertical="center"/>
    </xf>
    <xf numFmtId="0" fontId="65" fillId="0" borderId="459" xfId="0" applyFont="1" applyBorder="1" applyAlignment="1">
      <alignment horizontal="center" vertical="center"/>
    </xf>
    <xf numFmtId="0" fontId="208" fillId="0" borderId="459" xfId="0" applyFont="1" applyBorder="1" applyAlignment="1">
      <alignment horizontal="right" vertical="center"/>
    </xf>
    <xf numFmtId="178" fontId="208" fillId="0" borderId="459" xfId="0" applyNumberFormat="1" applyFont="1" applyBorder="1" applyAlignment="1">
      <alignment horizontal="right" vertical="center"/>
    </xf>
    <xf numFmtId="0" fontId="214" fillId="0" borderId="459" xfId="0" applyFont="1" applyBorder="1">
      <alignment vertical="center"/>
    </xf>
    <xf numFmtId="0" fontId="208" fillId="0" borderId="459" xfId="0" applyFont="1" applyBorder="1" applyAlignment="1">
      <alignment horizontal="center" vertical="center"/>
    </xf>
    <xf numFmtId="185" fontId="208" fillId="0" borderId="459" xfId="0" applyNumberFormat="1" applyFont="1" applyBorder="1" applyAlignment="1">
      <alignment horizontal="right" vertical="center"/>
    </xf>
    <xf numFmtId="43" fontId="65" fillId="0" borderId="460" xfId="0" applyNumberFormat="1" applyFont="1" applyBorder="1" applyAlignment="1">
      <alignment horizontal="center" vertical="center"/>
    </xf>
    <xf numFmtId="43" fontId="65" fillId="0" borderId="0" xfId="0" applyNumberFormat="1" applyFont="1" applyAlignment="1">
      <alignment horizontal="center" vertical="center"/>
    </xf>
    <xf numFmtId="0" fontId="215" fillId="0" borderId="0" xfId="0" applyFont="1">
      <alignment vertical="center"/>
    </xf>
    <xf numFmtId="43" fontId="60" fillId="0" borderId="0" xfId="0" applyNumberFormat="1" applyFont="1">
      <alignment vertical="center"/>
    </xf>
    <xf numFmtId="0" fontId="65" fillId="0" borderId="0" xfId="0" applyFont="1" applyAlignment="1">
      <alignment horizontal="left"/>
    </xf>
    <xf numFmtId="224" fontId="109" fillId="2" borderId="459" xfId="0" applyNumberFormat="1" applyFont="1" applyFill="1" applyBorder="1" applyAlignment="1">
      <alignment horizontal="center" vertical="center"/>
    </xf>
    <xf numFmtId="0" fontId="109" fillId="2" borderId="459" xfId="0" applyFont="1" applyFill="1" applyBorder="1" applyAlignment="1">
      <alignment horizontal="center" vertical="center" wrapText="1"/>
    </xf>
    <xf numFmtId="0" fontId="109" fillId="2" borderId="459" xfId="0" applyFont="1" applyFill="1" applyBorder="1" applyAlignment="1">
      <alignment horizontal="center" vertical="center"/>
    </xf>
    <xf numFmtId="0" fontId="109" fillId="2" borderId="460" xfId="0" applyFont="1" applyFill="1" applyBorder="1" applyAlignment="1">
      <alignment horizontal="center" vertical="center" wrapText="1"/>
    </xf>
    <xf numFmtId="0" fontId="109" fillId="0" borderId="0" xfId="0" applyFont="1" applyAlignment="1">
      <alignment horizontal="center" vertical="center" wrapText="1"/>
    </xf>
    <xf numFmtId="41" fontId="60" fillId="0" borderId="0" xfId="0" applyNumberFormat="1" applyFont="1">
      <alignment vertical="center"/>
    </xf>
    <xf numFmtId="0" fontId="60" fillId="0" borderId="459" xfId="0" applyFont="1" applyBorder="1">
      <alignment vertical="center"/>
    </xf>
    <xf numFmtId="226" fontId="60" fillId="0" borderId="459" xfId="0" applyNumberFormat="1" applyFont="1" applyBorder="1" applyAlignment="1">
      <alignment horizontal="center" vertical="center"/>
    </xf>
    <xf numFmtId="178" fontId="208" fillId="35" borderId="459" xfId="0" applyNumberFormat="1" applyFont="1" applyFill="1" applyBorder="1" applyAlignment="1">
      <alignment horizontal="center" vertical="center"/>
    </xf>
    <xf numFmtId="0" fontId="208" fillId="0" borderId="459" xfId="0" applyFont="1" applyBorder="1">
      <alignment vertical="center"/>
    </xf>
    <xf numFmtId="178" fontId="208" fillId="0" borderId="459" xfId="0" applyNumberFormat="1" applyFont="1" applyBorder="1" applyAlignment="1">
      <alignment horizontal="center" vertical="center"/>
    </xf>
    <xf numFmtId="178" fontId="65" fillId="0" borderId="460" xfId="0" applyNumberFormat="1" applyFont="1" applyBorder="1" applyAlignment="1">
      <alignment horizontal="center" vertical="center"/>
    </xf>
    <xf numFmtId="178" fontId="65" fillId="0" borderId="0" xfId="0" applyNumberFormat="1" applyFont="1" applyAlignment="1">
      <alignment horizontal="center" vertical="center"/>
    </xf>
    <xf numFmtId="0" fontId="109" fillId="2" borderId="458" xfId="0" applyFont="1" applyFill="1" applyBorder="1" applyAlignment="1">
      <alignment horizontal="center" vertical="center" wrapText="1"/>
    </xf>
    <xf numFmtId="178" fontId="60" fillId="0" borderId="459" xfId="0" applyNumberFormat="1" applyFont="1" applyBorder="1" applyAlignment="1">
      <alignment horizontal="center" vertical="center"/>
    </xf>
    <xf numFmtId="0" fontId="65" fillId="0" borderId="0" xfId="0" applyFont="1" applyAlignment="1">
      <alignment horizontal="right" vertical="center"/>
    </xf>
    <xf numFmtId="178" fontId="60" fillId="0" borderId="47" xfId="0" applyNumberFormat="1" applyFont="1" applyBorder="1" applyAlignment="1">
      <alignment horizontal="center" vertical="center"/>
    </xf>
    <xf numFmtId="0" fontId="60" fillId="0" borderId="48" xfId="0" applyFont="1" applyBorder="1">
      <alignment vertical="center"/>
    </xf>
    <xf numFmtId="178" fontId="60" fillId="0" borderId="48" xfId="0" applyNumberFormat="1" applyFont="1" applyBorder="1" applyAlignment="1">
      <alignment horizontal="center" vertical="center"/>
    </xf>
    <xf numFmtId="178" fontId="60" fillId="0" borderId="49" xfId="0" applyNumberFormat="1" applyFont="1" applyBorder="1" applyAlignment="1">
      <alignment horizontal="center" vertical="center"/>
    </xf>
    <xf numFmtId="178" fontId="60" fillId="0" borderId="0" xfId="0" applyNumberFormat="1" applyFont="1" applyAlignment="1">
      <alignment horizontal="center" vertical="center"/>
    </xf>
    <xf numFmtId="178" fontId="208" fillId="0" borderId="0" xfId="0" applyNumberFormat="1" applyFont="1" applyAlignment="1">
      <alignment horizontal="center" vertical="center" wrapText="1"/>
    </xf>
    <xf numFmtId="178" fontId="60" fillId="0" borderId="456" xfId="0" applyNumberFormat="1" applyFont="1" applyBorder="1" applyAlignment="1">
      <alignment horizontal="center" vertical="center"/>
    </xf>
    <xf numFmtId="178" fontId="60" fillId="0" borderId="457" xfId="0" applyNumberFormat="1" applyFont="1" applyBorder="1" applyAlignment="1">
      <alignment horizontal="center" vertical="center"/>
    </xf>
    <xf numFmtId="178" fontId="60" fillId="0" borderId="454" xfId="0" applyNumberFormat="1" applyFont="1" applyBorder="1" applyAlignment="1">
      <alignment horizontal="center" vertical="center"/>
    </xf>
    <xf numFmtId="178" fontId="60" fillId="0" borderId="51" xfId="0" applyNumberFormat="1" applyFont="1" applyBorder="1" applyAlignment="1">
      <alignment horizontal="center" vertical="center"/>
    </xf>
    <xf numFmtId="178" fontId="60" fillId="0" borderId="52" xfId="0" applyNumberFormat="1" applyFont="1" applyBorder="1" applyAlignment="1">
      <alignment horizontal="center" vertical="center"/>
    </xf>
    <xf numFmtId="0" fontId="216" fillId="0" borderId="0" xfId="0" applyFont="1" applyAlignment="1">
      <alignment horizontal="right" vertical="center"/>
    </xf>
    <xf numFmtId="178" fontId="217" fillId="0" borderId="0" xfId="0" applyNumberFormat="1" applyFont="1" applyAlignment="1">
      <alignment horizontal="center" vertical="center"/>
    </xf>
    <xf numFmtId="0" fontId="65" fillId="0" borderId="458" xfId="0" applyFont="1" applyBorder="1" applyAlignment="1">
      <alignment horizontal="center" vertical="center"/>
    </xf>
    <xf numFmtId="0" fontId="65" fillId="0" borderId="0" xfId="0" applyFont="1" applyAlignment="1">
      <alignment horizontal="center" vertical="center"/>
    </xf>
    <xf numFmtId="178" fontId="208" fillId="0" borderId="458" xfId="0" applyNumberFormat="1" applyFont="1" applyBorder="1" applyAlignment="1">
      <alignment horizontal="center" vertical="center" wrapText="1"/>
    </xf>
    <xf numFmtId="178" fontId="208" fillId="0" borderId="459" xfId="0" applyNumberFormat="1" applyFont="1" applyBorder="1" applyAlignment="1">
      <alignment horizontal="center" vertical="center" wrapText="1"/>
    </xf>
    <xf numFmtId="49" fontId="60" fillId="0" borderId="461" xfId="0" applyNumberFormat="1" applyFont="1" applyBorder="1" applyAlignment="1">
      <alignment horizontal="center" vertical="center"/>
    </xf>
    <xf numFmtId="0" fontId="60" fillId="0" borderId="0" xfId="0" applyFont="1" applyAlignment="1">
      <alignment horizontal="left" vertical="center" wrapText="1"/>
    </xf>
    <xf numFmtId="49" fontId="60" fillId="0" borderId="0" xfId="0" applyNumberFormat="1" applyFont="1" applyAlignment="1">
      <alignment horizontal="center" vertical="center"/>
    </xf>
    <xf numFmtId="49" fontId="60" fillId="0" borderId="462" xfId="0" applyNumberFormat="1" applyFont="1" applyBorder="1" applyAlignment="1">
      <alignment horizontal="center" vertical="center"/>
    </xf>
    <xf numFmtId="0" fontId="60" fillId="35" borderId="0" xfId="0" applyFont="1" applyFill="1" applyAlignment="1">
      <alignment horizontal="left" vertical="center"/>
    </xf>
    <xf numFmtId="49" fontId="65" fillId="0" borderId="0" xfId="0" applyNumberFormat="1" applyFont="1" applyAlignment="1">
      <alignment horizontal="left" vertical="center"/>
    </xf>
    <xf numFmtId="0" fontId="65" fillId="35" borderId="0" xfId="0" applyFont="1" applyFill="1" applyAlignment="1">
      <alignment horizontal="left" vertical="center"/>
    </xf>
    <xf numFmtId="0" fontId="202" fillId="2" borderId="458" xfId="0" applyFont="1" applyFill="1" applyBorder="1" applyAlignment="1">
      <alignment horizontal="right"/>
    </xf>
    <xf numFmtId="0" fontId="202" fillId="2" borderId="459" xfId="0" applyFont="1" applyFill="1" applyBorder="1" applyAlignment="1">
      <alignment horizontal="right"/>
    </xf>
    <xf numFmtId="0" fontId="202" fillId="2" borderId="460" xfId="0" applyFont="1" applyFill="1" applyBorder="1" applyAlignment="1">
      <alignment horizontal="right"/>
    </xf>
    <xf numFmtId="0" fontId="202" fillId="2" borderId="458" xfId="0" applyFont="1" applyFill="1" applyBorder="1" applyAlignment="1">
      <alignment horizontal="center" vertical="center"/>
    </xf>
    <xf numFmtId="0" fontId="202" fillId="2" borderId="459" xfId="0" applyFont="1" applyFill="1" applyBorder="1" applyAlignment="1">
      <alignment horizontal="center" vertical="center" wrapText="1"/>
    </xf>
    <xf numFmtId="0" fontId="202" fillId="2" borderId="460" xfId="0" applyFont="1" applyFill="1" applyBorder="1" applyAlignment="1">
      <alignment horizontal="center" vertical="center" wrapText="1"/>
    </xf>
    <xf numFmtId="0" fontId="202" fillId="2" borderId="463" xfId="0" applyFont="1" applyFill="1" applyBorder="1" applyAlignment="1">
      <alignment horizontal="center" vertical="center"/>
    </xf>
    <xf numFmtId="0" fontId="197" fillId="0" borderId="0" xfId="0" applyFont="1" applyAlignment="1">
      <alignment horizontal="center" vertical="center"/>
    </xf>
    <xf numFmtId="0" fontId="190" fillId="0" borderId="47" xfId="0" applyFont="1" applyBorder="1" applyAlignment="1">
      <alignment horizontal="left"/>
    </xf>
    <xf numFmtId="0" fontId="194" fillId="0" borderId="48" xfId="0" applyFont="1" applyBorder="1" applyAlignment="1">
      <alignment horizontal="right"/>
    </xf>
    <xf numFmtId="227" fontId="60" fillId="0" borderId="48" xfId="0" applyNumberFormat="1" applyFont="1" applyBorder="1" applyAlignment="1">
      <alignment horizontal="right" vertical="center"/>
    </xf>
    <xf numFmtId="227" fontId="60" fillId="0" borderId="49" xfId="0" applyNumberFormat="1" applyFont="1" applyBorder="1" applyAlignment="1">
      <alignment horizontal="right" vertical="center"/>
    </xf>
    <xf numFmtId="227" fontId="60" fillId="0" borderId="47" xfId="0" applyNumberFormat="1" applyFont="1" applyBorder="1" applyAlignment="1">
      <alignment horizontal="right" vertical="center"/>
    </xf>
    <xf numFmtId="0" fontId="197" fillId="0" borderId="464" xfId="0" applyFont="1" applyBorder="1" applyAlignment="1">
      <alignment horizontal="center" vertical="center"/>
    </xf>
    <xf numFmtId="0" fontId="190" fillId="0" borderId="456" xfId="0" applyFont="1" applyBorder="1" applyAlignment="1">
      <alignment horizontal="left"/>
    </xf>
    <xf numFmtId="0" fontId="194" fillId="0" borderId="0" xfId="0" applyFont="1" applyAlignment="1">
      <alignment horizontal="right"/>
    </xf>
    <xf numFmtId="227" fontId="60" fillId="0" borderId="0" xfId="0" applyNumberFormat="1" applyFont="1" applyAlignment="1">
      <alignment horizontal="right" vertical="center"/>
    </xf>
    <xf numFmtId="227" fontId="60" fillId="0" borderId="457" xfId="0" applyNumberFormat="1" applyFont="1" applyBorder="1" applyAlignment="1">
      <alignment horizontal="right" vertical="center"/>
    </xf>
    <xf numFmtId="227" fontId="60" fillId="0" borderId="456" xfId="0" applyNumberFormat="1" applyFont="1" applyBorder="1" applyAlignment="1">
      <alignment horizontal="right" vertical="center"/>
    </xf>
    <xf numFmtId="0" fontId="197" fillId="0" borderId="465" xfId="0" applyFont="1" applyBorder="1" applyAlignment="1">
      <alignment horizontal="center" vertical="center"/>
    </xf>
    <xf numFmtId="0" fontId="190" fillId="0" borderId="454" xfId="0" applyFont="1" applyBorder="1" applyAlignment="1">
      <alignment horizontal="left"/>
    </xf>
    <xf numFmtId="0" fontId="194" fillId="0" borderId="51" xfId="0" applyFont="1" applyBorder="1" applyAlignment="1">
      <alignment horizontal="right"/>
    </xf>
    <xf numFmtId="227" fontId="60" fillId="0" borderId="51" xfId="0" applyNumberFormat="1" applyFont="1" applyBorder="1" applyAlignment="1">
      <alignment horizontal="right" vertical="center"/>
    </xf>
    <xf numFmtId="227" fontId="60" fillId="0" borderId="52" xfId="0" applyNumberFormat="1" applyFont="1" applyBorder="1" applyAlignment="1">
      <alignment horizontal="right" vertical="center"/>
    </xf>
    <xf numFmtId="227" fontId="60" fillId="0" borderId="454" xfId="0" applyNumberFormat="1" applyFont="1" applyBorder="1" applyAlignment="1">
      <alignment horizontal="right" vertical="center"/>
    </xf>
    <xf numFmtId="0" fontId="197" fillId="0" borderId="50" xfId="0" applyFont="1" applyBorder="1" applyAlignment="1">
      <alignment horizontal="center" vertical="center"/>
    </xf>
    <xf numFmtId="0" fontId="60" fillId="75" borderId="0" xfId="0" applyFont="1" applyFill="1" applyAlignment="1">
      <alignment horizontal="left" vertical="center"/>
    </xf>
    <xf numFmtId="0" fontId="60" fillId="75" borderId="0" xfId="0" applyFont="1" applyFill="1" applyAlignment="1">
      <alignment horizontal="right" vertical="center"/>
    </xf>
    <xf numFmtId="0" fontId="60" fillId="0" borderId="0" xfId="0" applyFont="1" applyAlignment="1">
      <alignment horizontal="right" vertical="center"/>
    </xf>
    <xf numFmtId="0" fontId="202" fillId="2" borderId="458" xfId="0" applyFont="1" applyFill="1" applyBorder="1" applyAlignment="1">
      <alignment horizontal="left"/>
    </xf>
    <xf numFmtId="14" fontId="202" fillId="2" borderId="459" xfId="0" quotePrefix="1" applyNumberFormat="1" applyFont="1" applyFill="1" applyBorder="1" applyAlignment="1">
      <alignment horizontal="right"/>
    </xf>
    <xf numFmtId="14" fontId="202" fillId="0" borderId="0" xfId="0" quotePrefix="1" applyNumberFormat="1" applyFont="1" applyAlignment="1">
      <alignment horizontal="right"/>
    </xf>
    <xf numFmtId="14" fontId="194" fillId="75" borderId="0" xfId="0" quotePrefix="1" applyNumberFormat="1" applyFont="1" applyFill="1" applyAlignment="1">
      <alignment horizontal="right"/>
    </xf>
    <xf numFmtId="14" fontId="65" fillId="0" borderId="0" xfId="0" applyNumberFormat="1" applyFont="1" applyAlignment="1">
      <alignment horizontal="left" vertical="center"/>
    </xf>
    <xf numFmtId="41" fontId="190" fillId="0" borderId="48" xfId="0" quotePrefix="1" applyNumberFormat="1" applyFont="1" applyBorder="1" applyAlignment="1">
      <alignment horizontal="right"/>
    </xf>
    <xf numFmtId="200" fontId="190" fillId="0" borderId="48" xfId="0" quotePrefix="1" applyNumberFormat="1" applyFont="1" applyBorder="1" applyAlignment="1">
      <alignment horizontal="center"/>
    </xf>
    <xf numFmtId="200" fontId="190" fillId="0" borderId="49" xfId="0" quotePrefix="1" applyNumberFormat="1" applyFont="1" applyBorder="1" applyAlignment="1">
      <alignment horizontal="center"/>
    </xf>
    <xf numFmtId="200" fontId="190" fillId="0" borderId="0" xfId="0" quotePrefix="1" applyNumberFormat="1" applyFont="1" applyAlignment="1">
      <alignment horizontal="center"/>
    </xf>
    <xf numFmtId="41" fontId="190" fillId="0" borderId="0" xfId="0" quotePrefix="1" applyNumberFormat="1" applyFont="1" applyAlignment="1">
      <alignment horizontal="right"/>
    </xf>
    <xf numFmtId="14" fontId="65" fillId="75" borderId="0" xfId="0" applyNumberFormat="1" applyFont="1" applyFill="1" applyAlignment="1">
      <alignment horizontal="left" vertical="center"/>
    </xf>
    <xf numFmtId="200" fontId="60" fillId="0" borderId="0" xfId="0" applyNumberFormat="1" applyFont="1" applyAlignment="1">
      <alignment horizontal="center" vertical="center"/>
    </xf>
    <xf numFmtId="200" fontId="190" fillId="0" borderId="0" xfId="0" applyNumberFormat="1" applyFont="1" applyAlignment="1">
      <alignment horizontal="center"/>
    </xf>
    <xf numFmtId="200" fontId="190" fillId="0" borderId="457" xfId="0" quotePrefix="1" applyNumberFormat="1" applyFont="1" applyBorder="1" applyAlignment="1">
      <alignment horizontal="center"/>
    </xf>
    <xf numFmtId="41" fontId="60" fillId="35" borderId="0" xfId="0" applyNumberFormat="1" applyFont="1" applyFill="1">
      <alignment vertical="center"/>
    </xf>
    <xf numFmtId="14" fontId="65" fillId="35" borderId="0" xfId="0" applyNumberFormat="1" applyFont="1" applyFill="1" applyAlignment="1">
      <alignment horizontal="left" vertical="center"/>
    </xf>
    <xf numFmtId="14" fontId="60" fillId="35" borderId="0" xfId="0" applyNumberFormat="1" applyFont="1" applyFill="1" applyAlignment="1">
      <alignment horizontal="right" vertical="center"/>
    </xf>
    <xf numFmtId="0" fontId="190" fillId="0" borderId="0" xfId="0" applyFont="1" applyAlignment="1">
      <alignment horizontal="left"/>
    </xf>
    <xf numFmtId="41" fontId="60" fillId="0" borderId="51" xfId="0" applyNumberFormat="1" applyFont="1" applyBorder="1">
      <alignment vertical="center"/>
    </xf>
    <xf numFmtId="200" fontId="60" fillId="0" borderId="51" xfId="0" applyNumberFormat="1" applyFont="1" applyBorder="1" applyAlignment="1">
      <alignment horizontal="center" vertical="center"/>
    </xf>
    <xf numFmtId="200" fontId="190" fillId="0" borderId="51" xfId="0" applyNumberFormat="1" applyFont="1" applyBorder="1" applyAlignment="1">
      <alignment horizontal="center"/>
    </xf>
    <xf numFmtId="200" fontId="190" fillId="0" borderId="52" xfId="0" quotePrefix="1" applyNumberFormat="1" applyFont="1" applyBorder="1" applyAlignment="1">
      <alignment horizontal="center"/>
    </xf>
    <xf numFmtId="0" fontId="202" fillId="2" borderId="459" xfId="0" applyFont="1" applyFill="1" applyBorder="1" applyAlignment="1">
      <alignment horizontal="center" vertical="center"/>
    </xf>
    <xf numFmtId="0" fontId="202" fillId="2" borderId="460" xfId="0" applyFont="1" applyFill="1" applyBorder="1" applyAlignment="1">
      <alignment horizontal="center" vertical="center"/>
    </xf>
    <xf numFmtId="0" fontId="218" fillId="2" borderId="459" xfId="0" applyFont="1" applyFill="1" applyBorder="1" applyAlignment="1">
      <alignment horizontal="center" vertical="center"/>
    </xf>
    <xf numFmtId="0" fontId="190" fillId="0" borderId="48" xfId="0" applyFont="1" applyBorder="1" applyAlignment="1">
      <alignment horizontal="right"/>
    </xf>
    <xf numFmtId="200" fontId="190" fillId="0" borderId="48" xfId="0" quotePrefix="1" applyNumberFormat="1" applyFont="1" applyBorder="1" applyAlignment="1">
      <alignment horizontal="right"/>
    </xf>
    <xf numFmtId="183" fontId="190" fillId="0" borderId="48" xfId="0" applyNumberFormat="1" applyFont="1" applyBorder="1" applyAlignment="1">
      <alignment horizontal="right"/>
    </xf>
    <xf numFmtId="14" fontId="190" fillId="0" borderId="49" xfId="0" applyNumberFormat="1" applyFont="1" applyBorder="1" applyAlignment="1">
      <alignment horizontal="right"/>
    </xf>
    <xf numFmtId="0" fontId="190" fillId="0" borderId="47" xfId="0" applyFont="1" applyBorder="1" applyAlignment="1"/>
    <xf numFmtId="0" fontId="190" fillId="0" borderId="0" xfId="0" applyFont="1" applyAlignment="1">
      <alignment horizontal="right"/>
    </xf>
    <xf numFmtId="200" fontId="190" fillId="0" borderId="0" xfId="0" quotePrefix="1" applyNumberFormat="1" applyFont="1" applyAlignment="1">
      <alignment horizontal="right"/>
    </xf>
    <xf numFmtId="183" fontId="190" fillId="0" borderId="0" xfId="0" applyNumberFormat="1" applyFont="1" applyAlignment="1">
      <alignment horizontal="right"/>
    </xf>
    <xf numFmtId="14" fontId="190" fillId="0" borderId="457" xfId="0" applyNumberFormat="1" applyFont="1" applyBorder="1" applyAlignment="1">
      <alignment horizontal="right"/>
    </xf>
    <xf numFmtId="0" fontId="190" fillId="0" borderId="456" xfId="0" applyFont="1" applyBorder="1" applyAlignment="1"/>
    <xf numFmtId="0" fontId="190" fillId="0" borderId="51" xfId="0" applyFont="1" applyBorder="1" applyAlignment="1">
      <alignment horizontal="right"/>
    </xf>
    <xf numFmtId="200" fontId="190" fillId="0" borderId="51" xfId="0" quotePrefix="1" applyNumberFormat="1" applyFont="1" applyBorder="1" applyAlignment="1">
      <alignment horizontal="right"/>
    </xf>
    <xf numFmtId="183" fontId="190" fillId="0" borderId="51" xfId="0" applyNumberFormat="1" applyFont="1" applyBorder="1" applyAlignment="1">
      <alignment horizontal="right"/>
    </xf>
    <xf numFmtId="14" fontId="190" fillId="0" borderId="52" xfId="0" applyNumberFormat="1" applyFont="1" applyBorder="1" applyAlignment="1">
      <alignment horizontal="right"/>
    </xf>
    <xf numFmtId="0" fontId="190" fillId="0" borderId="454" xfId="0" applyFont="1" applyBorder="1" applyAlignment="1"/>
    <xf numFmtId="3" fontId="60" fillId="0" borderId="0" xfId="0" applyNumberFormat="1" applyFont="1" applyAlignment="1">
      <alignment horizontal="right" vertical="center"/>
    </xf>
    <xf numFmtId="14" fontId="202" fillId="2" borderId="460" xfId="0" quotePrefix="1" applyNumberFormat="1" applyFont="1" applyFill="1" applyBorder="1" applyAlignment="1">
      <alignment horizontal="right"/>
    </xf>
    <xf numFmtId="14" fontId="190" fillId="35" borderId="47" xfId="0" applyNumberFormat="1" applyFont="1" applyFill="1" applyBorder="1" applyAlignment="1">
      <alignment horizontal="left"/>
    </xf>
    <xf numFmtId="0" fontId="194" fillId="35" borderId="48" xfId="0" applyFont="1" applyFill="1" applyBorder="1" applyAlignment="1">
      <alignment horizontal="right"/>
    </xf>
    <xf numFmtId="41" fontId="60" fillId="35" borderId="48" xfId="0" applyNumberFormat="1" applyFont="1" applyFill="1" applyBorder="1">
      <alignment vertical="center"/>
    </xf>
    <xf numFmtId="10" fontId="60" fillId="35" borderId="49" xfId="0" applyNumberFormat="1" applyFont="1" applyFill="1" applyBorder="1">
      <alignment vertical="center"/>
    </xf>
    <xf numFmtId="10" fontId="60" fillId="35" borderId="47" xfId="0" applyNumberFormat="1" applyFont="1" applyFill="1" applyBorder="1">
      <alignment vertical="center"/>
    </xf>
    <xf numFmtId="14" fontId="190" fillId="35" borderId="47" xfId="0" applyNumberFormat="1" applyFont="1" applyFill="1" applyBorder="1" applyAlignment="1"/>
    <xf numFmtId="0" fontId="194" fillId="35" borderId="48" xfId="0" applyFont="1" applyFill="1" applyBorder="1" applyAlignment="1"/>
    <xf numFmtId="10" fontId="60" fillId="0" borderId="457" xfId="0" applyNumberFormat="1" applyFont="1" applyBorder="1">
      <alignment vertical="center"/>
    </xf>
    <xf numFmtId="10" fontId="60" fillId="35" borderId="456" xfId="0" applyNumberFormat="1" applyFont="1" applyFill="1" applyBorder="1">
      <alignment vertical="center"/>
    </xf>
    <xf numFmtId="10" fontId="60" fillId="35" borderId="457" xfId="0" applyNumberFormat="1" applyFont="1" applyFill="1" applyBorder="1">
      <alignment vertical="center"/>
    </xf>
    <xf numFmtId="0" fontId="194" fillId="0" borderId="0" xfId="0" applyFont="1" applyAlignment="1"/>
    <xf numFmtId="10" fontId="60" fillId="0" borderId="456" xfId="0" applyNumberFormat="1" applyFont="1" applyBorder="1">
      <alignment vertical="center"/>
    </xf>
    <xf numFmtId="10" fontId="190" fillId="0" borderId="457" xfId="0" quotePrefix="1" applyNumberFormat="1" applyFont="1" applyBorder="1" applyAlignment="1"/>
    <xf numFmtId="10" fontId="190" fillId="0" borderId="456" xfId="0" quotePrefix="1" applyNumberFormat="1" applyFont="1" applyBorder="1" applyAlignment="1"/>
    <xf numFmtId="41" fontId="190" fillId="0" borderId="0" xfId="0" quotePrefix="1" applyNumberFormat="1" applyFont="1" applyAlignment="1"/>
    <xf numFmtId="0" fontId="60" fillId="75" borderId="454" xfId="0" applyFont="1" applyFill="1" applyBorder="1">
      <alignment vertical="center"/>
    </xf>
    <xf numFmtId="0" fontId="60" fillId="75" borderId="51" xfId="0" applyFont="1" applyFill="1" applyBorder="1">
      <alignment vertical="center"/>
    </xf>
    <xf numFmtId="10" fontId="60" fillId="75" borderId="52" xfId="0" applyNumberFormat="1" applyFont="1" applyFill="1" applyBorder="1">
      <alignment vertical="center"/>
    </xf>
    <xf numFmtId="0" fontId="60" fillId="75" borderId="0" xfId="0" applyFont="1" applyFill="1">
      <alignment vertical="center"/>
    </xf>
    <xf numFmtId="10" fontId="60" fillId="75" borderId="0" xfId="0" applyNumberFormat="1" applyFont="1" applyFill="1">
      <alignment vertical="center"/>
    </xf>
    <xf numFmtId="0" fontId="60" fillId="75" borderId="454" xfId="0" applyFont="1" applyFill="1" applyBorder="1" applyAlignment="1">
      <alignment horizontal="left" vertical="center"/>
    </xf>
    <xf numFmtId="0" fontId="60" fillId="75" borderId="51" xfId="0" applyFont="1" applyFill="1" applyBorder="1" applyAlignment="1">
      <alignment horizontal="right" vertical="center"/>
    </xf>
    <xf numFmtId="10" fontId="60" fillId="75" borderId="454" xfId="0" applyNumberFormat="1" applyFont="1" applyFill="1" applyBorder="1">
      <alignment vertical="center"/>
    </xf>
    <xf numFmtId="10" fontId="202" fillId="2" borderId="460" xfId="0" applyNumberFormat="1" applyFont="1" applyFill="1" applyBorder="1" applyAlignment="1">
      <alignment horizontal="right"/>
    </xf>
    <xf numFmtId="14" fontId="190" fillId="35" borderId="0" xfId="0" applyNumberFormat="1" applyFont="1" applyFill="1" applyAlignment="1">
      <alignment horizontal="left"/>
    </xf>
    <xf numFmtId="0" fontId="194" fillId="35" borderId="0" xfId="0" applyFont="1" applyFill="1" applyAlignment="1">
      <alignment horizontal="right"/>
    </xf>
    <xf numFmtId="14" fontId="60" fillId="35" borderId="0" xfId="0" applyNumberFormat="1" applyFont="1" applyFill="1">
      <alignment vertical="center"/>
    </xf>
    <xf numFmtId="207" fontId="60" fillId="35" borderId="0" xfId="0" applyNumberFormat="1" applyFont="1" applyFill="1">
      <alignment vertical="center"/>
    </xf>
    <xf numFmtId="10" fontId="60" fillId="35" borderId="0" xfId="0" applyNumberFormat="1" applyFont="1" applyFill="1" applyAlignment="1">
      <alignment horizontal="center" vertical="center"/>
    </xf>
    <xf numFmtId="14" fontId="60" fillId="35" borderId="48" xfId="0" applyNumberFormat="1" applyFont="1" applyFill="1" applyBorder="1">
      <alignment vertical="center"/>
    </xf>
    <xf numFmtId="207" fontId="60" fillId="35" borderId="48" xfId="0" applyNumberFormat="1" applyFont="1" applyFill="1" applyBorder="1">
      <alignment vertical="center"/>
    </xf>
    <xf numFmtId="10" fontId="60" fillId="35" borderId="49" xfId="0" applyNumberFormat="1" applyFont="1" applyFill="1" applyBorder="1" applyAlignment="1">
      <alignment horizontal="center" vertical="center"/>
    </xf>
    <xf numFmtId="14" fontId="190" fillId="35" borderId="456" xfId="0" applyNumberFormat="1" applyFont="1" applyFill="1" applyBorder="1" applyAlignment="1">
      <alignment horizontal="left"/>
    </xf>
    <xf numFmtId="10" fontId="60" fillId="35" borderId="457" xfId="0" applyNumberFormat="1" applyFont="1" applyFill="1" applyBorder="1" applyAlignment="1">
      <alignment horizontal="center" vertical="center"/>
    </xf>
    <xf numFmtId="14" fontId="190" fillId="35" borderId="454" xfId="0" applyNumberFormat="1" applyFont="1" applyFill="1" applyBorder="1" applyAlignment="1">
      <alignment horizontal="left"/>
    </xf>
    <xf numFmtId="0" fontId="194" fillId="35" borderId="51" xfId="0" applyFont="1" applyFill="1" applyBorder="1" applyAlignment="1">
      <alignment horizontal="right"/>
    </xf>
    <xf numFmtId="14" fontId="60" fillId="35" borderId="51" xfId="0" applyNumberFormat="1" applyFont="1" applyFill="1" applyBorder="1">
      <alignment vertical="center"/>
    </xf>
    <xf numFmtId="207" fontId="60" fillId="35" borderId="51" xfId="0" applyNumberFormat="1" applyFont="1" applyFill="1" applyBorder="1">
      <alignment vertical="center"/>
    </xf>
    <xf numFmtId="10" fontId="60" fillId="35" borderId="52" xfId="0" applyNumberFormat="1" applyFont="1" applyFill="1" applyBorder="1" applyAlignment="1">
      <alignment horizontal="center" vertical="center"/>
    </xf>
    <xf numFmtId="14" fontId="60" fillId="0" borderId="0" xfId="0" applyNumberFormat="1" applyFont="1" applyAlignment="1">
      <alignment horizontal="right" vertical="center"/>
    </xf>
    <xf numFmtId="10" fontId="65" fillId="35" borderId="457" xfId="0" applyNumberFormat="1" applyFont="1" applyFill="1" applyBorder="1">
      <alignment vertical="center"/>
    </xf>
    <xf numFmtId="10" fontId="60" fillId="0" borderId="52" xfId="0" applyNumberFormat="1" applyFont="1" applyBorder="1">
      <alignment vertical="center"/>
    </xf>
    <xf numFmtId="0" fontId="219" fillId="2" borderId="458" xfId="0" applyFont="1" applyFill="1" applyBorder="1" applyAlignment="1">
      <alignment horizontal="left"/>
    </xf>
    <xf numFmtId="0" fontId="202" fillId="2" borderId="458" xfId="0" applyFont="1" applyFill="1" applyBorder="1">
      <alignment vertical="center"/>
    </xf>
    <xf numFmtId="0" fontId="196" fillId="2" borderId="459" xfId="0" applyFont="1" applyFill="1" applyBorder="1">
      <alignment vertical="center"/>
    </xf>
    <xf numFmtId="10" fontId="202" fillId="2" borderId="460" xfId="0" applyNumberFormat="1" applyFont="1" applyFill="1" applyBorder="1" applyAlignment="1">
      <alignment horizontal="right" vertical="center"/>
    </xf>
    <xf numFmtId="0" fontId="196" fillId="2" borderId="460" xfId="0" applyFont="1" applyFill="1" applyBorder="1">
      <alignment vertical="center"/>
    </xf>
    <xf numFmtId="0" fontId="60" fillId="0" borderId="458" xfId="0" applyFont="1" applyBorder="1">
      <alignment vertical="center"/>
    </xf>
    <xf numFmtId="10" fontId="60" fillId="0" borderId="460" xfId="0" applyNumberFormat="1" applyFont="1" applyBorder="1" applyAlignment="1">
      <alignment horizontal="right" vertical="center"/>
    </xf>
    <xf numFmtId="0" fontId="38" fillId="0" borderId="0" xfId="0" applyFont="1" applyAlignment="1">
      <alignment horizontal="center" vertical="center"/>
    </xf>
    <xf numFmtId="0" fontId="180" fillId="2" borderId="464" xfId="0" applyFont="1" applyFill="1" applyBorder="1" applyAlignment="1">
      <alignment horizontal="center" vertical="center"/>
    </xf>
    <xf numFmtId="10" fontId="10" fillId="75" borderId="50" xfId="0" applyNumberFormat="1" applyFont="1" applyFill="1" applyBorder="1" applyAlignment="1">
      <alignment horizontal="right" vertical="center"/>
    </xf>
    <xf numFmtId="0" fontId="180" fillId="2" borderId="47" xfId="0" applyFont="1" applyFill="1" applyBorder="1">
      <alignment vertical="center"/>
    </xf>
    <xf numFmtId="0" fontId="220" fillId="2" borderId="48" xfId="0" applyFont="1" applyFill="1" applyBorder="1">
      <alignment vertical="center"/>
    </xf>
    <xf numFmtId="0" fontId="180" fillId="2" borderId="48" xfId="0" applyFont="1" applyFill="1" applyBorder="1" applyAlignment="1">
      <alignment horizontal="center" vertical="center"/>
    </xf>
    <xf numFmtId="0" fontId="180" fillId="2" borderId="49" xfId="0" applyFont="1" applyFill="1" applyBorder="1" applyAlignment="1">
      <alignment horizontal="center" vertical="center"/>
    </xf>
    <xf numFmtId="10" fontId="10" fillId="75" borderId="454" xfId="0" applyNumberFormat="1" applyFont="1" applyFill="1" applyBorder="1" applyAlignment="1">
      <alignment horizontal="right" vertical="center"/>
    </xf>
    <xf numFmtId="0" fontId="38" fillId="75" borderId="51" xfId="0" applyFont="1" applyFill="1" applyBorder="1" applyAlignment="1">
      <alignment horizontal="right" vertical="center"/>
    </xf>
    <xf numFmtId="10" fontId="10" fillId="75" borderId="51" xfId="0" applyNumberFormat="1" applyFont="1" applyFill="1" applyBorder="1" applyAlignment="1">
      <alignment horizontal="right" vertical="center"/>
    </xf>
    <xf numFmtId="10" fontId="10" fillId="75" borderId="52" xfId="0" applyNumberFormat="1" applyFont="1" applyFill="1" applyBorder="1" applyAlignment="1">
      <alignment horizontal="right" vertical="center"/>
    </xf>
    <xf numFmtId="0" fontId="60" fillId="75" borderId="458" xfId="0" applyFont="1" applyFill="1" applyBorder="1" applyAlignment="1">
      <alignment horizontal="left" vertical="center"/>
    </xf>
    <xf numFmtId="0" fontId="60" fillId="75" borderId="459" xfId="0" applyFont="1" applyFill="1" applyBorder="1" applyAlignment="1">
      <alignment horizontal="right" vertical="center"/>
    </xf>
    <xf numFmtId="10" fontId="60" fillId="75" borderId="459" xfId="0" applyNumberFormat="1" applyFont="1" applyFill="1" applyBorder="1" applyAlignment="1">
      <alignment horizontal="right" vertical="center"/>
    </xf>
    <xf numFmtId="10" fontId="60" fillId="75" borderId="460" xfId="0" applyNumberFormat="1" applyFont="1" applyFill="1" applyBorder="1" applyAlignment="1">
      <alignment horizontal="right" vertical="center"/>
    </xf>
    <xf numFmtId="178" fontId="16" fillId="0" borderId="2" xfId="0" applyNumberFormat="1" applyFont="1" applyBorder="1">
      <alignment vertical="center"/>
    </xf>
    <xf numFmtId="9" fontId="160" fillId="0" borderId="0" xfId="0" applyNumberFormat="1" applyFont="1" applyAlignment="1">
      <alignment horizontal="right" vertical="center"/>
    </xf>
    <xf numFmtId="9" fontId="160" fillId="0" borderId="0" xfId="0" applyNumberFormat="1" applyFont="1">
      <alignment vertical="center"/>
    </xf>
    <xf numFmtId="176" fontId="2" fillId="0" borderId="17" xfId="0" applyNumberFormat="1" applyFont="1" applyBorder="1" applyAlignment="1">
      <alignment horizontal="right" vertical="center"/>
    </xf>
    <xf numFmtId="176" fontId="15" fillId="0" borderId="17" xfId="0" applyNumberFormat="1" applyFont="1" applyBorder="1" applyAlignment="1">
      <alignment horizontal="right" vertical="center"/>
    </xf>
    <xf numFmtId="178" fontId="2" fillId="0" borderId="2" xfId="0" applyNumberFormat="1" applyFont="1" applyBorder="1">
      <alignment vertical="center"/>
    </xf>
    <xf numFmtId="176" fontId="14" fillId="0" borderId="0" xfId="0" applyNumberFormat="1" applyFont="1">
      <alignment vertical="center"/>
    </xf>
    <xf numFmtId="0" fontId="227" fillId="0" borderId="0" xfId="0" applyFont="1">
      <alignment vertical="center"/>
    </xf>
    <xf numFmtId="176" fontId="2" fillId="3" borderId="0" xfId="0" applyNumberFormat="1" applyFont="1" applyFill="1">
      <alignment vertical="center"/>
    </xf>
    <xf numFmtId="176" fontId="2" fillId="3" borderId="2" xfId="0" applyNumberFormat="1" applyFont="1" applyFill="1" applyBorder="1">
      <alignment vertical="center"/>
    </xf>
    <xf numFmtId="176" fontId="2" fillId="3" borderId="3" xfId="0" applyNumberFormat="1" applyFont="1" applyFill="1" applyBorder="1">
      <alignment vertical="center"/>
    </xf>
    <xf numFmtId="176" fontId="11" fillId="6" borderId="17" xfId="0" applyNumberFormat="1" applyFont="1" applyFill="1" applyBorder="1">
      <alignment vertical="center"/>
    </xf>
    <xf numFmtId="176" fontId="11" fillId="6" borderId="0" xfId="0" applyNumberFormat="1" applyFont="1" applyFill="1">
      <alignment vertical="center"/>
    </xf>
    <xf numFmtId="41" fontId="14" fillId="0" borderId="0" xfId="0" applyNumberFormat="1" applyFont="1">
      <alignment vertical="center"/>
    </xf>
    <xf numFmtId="0" fontId="14" fillId="4" borderId="466" xfId="0" applyFont="1" applyFill="1" applyBorder="1" applyAlignment="1">
      <alignment horizontal="center" vertical="center"/>
    </xf>
    <xf numFmtId="10" fontId="29" fillId="0" borderId="16" xfId="0" applyNumberFormat="1" applyFont="1" applyBorder="1">
      <alignment vertical="center"/>
    </xf>
    <xf numFmtId="10" fontId="29" fillId="0" borderId="17" xfId="0" applyNumberFormat="1" applyFont="1" applyBorder="1">
      <alignment vertical="center"/>
    </xf>
    <xf numFmtId="0" fontId="14" fillId="4" borderId="467" xfId="0" applyFont="1" applyFill="1" applyBorder="1" applyAlignment="1">
      <alignment horizontal="center" vertical="center"/>
    </xf>
    <xf numFmtId="176" fontId="16" fillId="0" borderId="3" xfId="0" applyNumberFormat="1" applyFont="1" applyBorder="1">
      <alignment vertical="center"/>
    </xf>
    <xf numFmtId="0" fontId="28" fillId="0" borderId="3" xfId="0" applyFont="1" applyBorder="1">
      <alignment vertical="center"/>
    </xf>
    <xf numFmtId="176" fontId="13" fillId="0" borderId="16" xfId="0" applyNumberFormat="1" applyFont="1" applyBorder="1" applyAlignment="1">
      <alignment horizontal="right" vertical="center"/>
    </xf>
    <xf numFmtId="3" fontId="13" fillId="0" borderId="9" xfId="0" applyNumberFormat="1" applyFont="1" applyBorder="1">
      <alignment vertical="center"/>
    </xf>
    <xf numFmtId="187" fontId="4" fillId="0" borderId="0" xfId="0" applyNumberFormat="1" applyFont="1">
      <alignment vertical="center"/>
    </xf>
    <xf numFmtId="0" fontId="77" fillId="0" borderId="0" xfId="0" applyFont="1">
      <alignment vertical="center"/>
    </xf>
    <xf numFmtId="228" fontId="4" fillId="0" borderId="0" xfId="0" applyNumberFormat="1" applyFont="1">
      <alignment vertical="center"/>
    </xf>
    <xf numFmtId="228" fontId="16" fillId="0" borderId="0" xfId="0" applyNumberFormat="1" applyFont="1">
      <alignment vertical="center"/>
    </xf>
    <xf numFmtId="189" fontId="13" fillId="0" borderId="8" xfId="0" applyNumberFormat="1" applyFont="1" applyBorder="1">
      <alignment vertical="center"/>
    </xf>
    <xf numFmtId="189" fontId="13" fillId="0" borderId="3" xfId="0" applyNumberFormat="1" applyFont="1" applyBorder="1">
      <alignment vertical="center"/>
    </xf>
    <xf numFmtId="189" fontId="13" fillId="0" borderId="3" xfId="0" applyNumberFormat="1" applyFont="1" applyBorder="1" applyAlignment="1">
      <alignment horizontal="right" vertical="center"/>
    </xf>
    <xf numFmtId="189" fontId="13" fillId="0" borderId="9" xfId="0" applyNumberFormat="1" applyFont="1" applyBorder="1" applyAlignment="1">
      <alignment horizontal="right" vertical="center"/>
    </xf>
    <xf numFmtId="189" fontId="4" fillId="0" borderId="0" xfId="0" applyNumberFormat="1" applyFont="1">
      <alignment vertical="center"/>
    </xf>
    <xf numFmtId="189" fontId="16" fillId="0" borderId="0" xfId="0" applyNumberFormat="1" applyFont="1">
      <alignment vertical="center"/>
    </xf>
    <xf numFmtId="0" fontId="14" fillId="4" borderId="468" xfId="0" applyFont="1" applyFill="1" applyBorder="1" applyAlignment="1">
      <alignment horizontal="center" vertical="center"/>
    </xf>
    <xf numFmtId="176" fontId="11" fillId="6" borderId="22" xfId="0" applyNumberFormat="1" applyFont="1" applyFill="1" applyBorder="1">
      <alignment vertical="center"/>
    </xf>
    <xf numFmtId="176" fontId="11" fillId="6" borderId="2" xfId="0" applyNumberFormat="1" applyFont="1" applyFill="1" applyBorder="1">
      <alignment vertical="center"/>
    </xf>
    <xf numFmtId="176" fontId="16" fillId="6" borderId="0" xfId="0" applyNumberFormat="1" applyFont="1" applyFill="1" applyAlignment="1">
      <alignment horizontal="right" vertical="center"/>
    </xf>
    <xf numFmtId="3" fontId="16" fillId="6" borderId="0" xfId="0" applyNumberFormat="1" applyFont="1" applyFill="1" applyAlignment="1">
      <alignment horizontal="right" vertical="center"/>
    </xf>
    <xf numFmtId="9" fontId="29" fillId="0" borderId="16" xfId="0" applyNumberFormat="1" applyFont="1" applyBorder="1" applyAlignment="1">
      <alignment horizontal="right" vertical="center"/>
    </xf>
    <xf numFmtId="9" fontId="29" fillId="0" borderId="0" xfId="0" applyNumberFormat="1" applyFont="1" applyAlignment="1">
      <alignment horizontal="right" vertical="center"/>
    </xf>
    <xf numFmtId="10" fontId="29" fillId="0" borderId="21" xfId="0" applyNumberFormat="1" applyFont="1" applyBorder="1">
      <alignment vertical="center"/>
    </xf>
    <xf numFmtId="10" fontId="29" fillId="0" borderId="22" xfId="0" applyNumberFormat="1" applyFont="1" applyBorder="1">
      <alignment vertical="center"/>
    </xf>
    <xf numFmtId="176" fontId="16" fillId="0" borderId="16" xfId="0" applyNumberFormat="1" applyFont="1" applyBorder="1" applyAlignment="1">
      <alignment horizontal="right" vertical="center"/>
    </xf>
    <xf numFmtId="0" fontId="228" fillId="73" borderId="469" xfId="0" applyFont="1" applyFill="1" applyBorder="1" applyAlignment="1">
      <alignment horizontal="center" vertical="center" readingOrder="1"/>
    </xf>
    <xf numFmtId="0" fontId="229" fillId="73" borderId="470" xfId="0" applyFont="1" applyFill="1" applyBorder="1" applyAlignment="1">
      <alignment horizontal="center" vertical="center" readingOrder="1"/>
    </xf>
    <xf numFmtId="0" fontId="229" fillId="73" borderId="471" xfId="0" applyFont="1" applyFill="1" applyBorder="1" applyAlignment="1">
      <alignment horizontal="center" vertical="center" readingOrder="1"/>
    </xf>
    <xf numFmtId="0" fontId="229" fillId="73" borderId="472" xfId="0" applyFont="1" applyFill="1" applyBorder="1" applyAlignment="1">
      <alignment horizontal="center" vertical="center" readingOrder="1"/>
    </xf>
    <xf numFmtId="0" fontId="229" fillId="73" borderId="469" xfId="0" applyFont="1" applyFill="1" applyBorder="1" applyAlignment="1">
      <alignment horizontal="center" vertical="center" readingOrder="1"/>
    </xf>
    <xf numFmtId="0" fontId="230" fillId="0" borderId="473" xfId="0" applyFont="1" applyBorder="1" applyAlignment="1">
      <alignment horizontal="center" vertical="center" readingOrder="1"/>
    </xf>
    <xf numFmtId="0" fontId="231" fillId="0" borderId="474" xfId="0" applyFont="1" applyBorder="1" applyAlignment="1">
      <alignment horizontal="right" vertical="center"/>
    </xf>
    <xf numFmtId="0" fontId="231" fillId="77" borderId="475" xfId="0" applyFont="1" applyFill="1" applyBorder="1" applyAlignment="1">
      <alignment horizontal="right" vertical="center"/>
    </xf>
    <xf numFmtId="0" fontId="231" fillId="0" borderId="476" xfId="0" applyFont="1" applyBorder="1" applyAlignment="1">
      <alignment horizontal="right" vertical="center"/>
    </xf>
    <xf numFmtId="0" fontId="231" fillId="0" borderId="473" xfId="0" applyFont="1" applyBorder="1" applyAlignment="1">
      <alignment horizontal="right" vertical="center"/>
    </xf>
    <xf numFmtId="0" fontId="230" fillId="0" borderId="477" xfId="0" applyFont="1" applyBorder="1" applyAlignment="1">
      <alignment horizontal="center" vertical="center" readingOrder="1"/>
    </xf>
    <xf numFmtId="0" fontId="231" fillId="0" borderId="478" xfId="0" applyFont="1" applyBorder="1" applyAlignment="1">
      <alignment horizontal="right" vertical="center"/>
    </xf>
    <xf numFmtId="0" fontId="231" fillId="77" borderId="479" xfId="0" applyFont="1" applyFill="1" applyBorder="1" applyAlignment="1">
      <alignment horizontal="right" vertical="center"/>
    </xf>
    <xf numFmtId="0" fontId="231" fillId="0" borderId="480" xfId="0" applyFont="1" applyBorder="1" applyAlignment="1">
      <alignment horizontal="right" vertical="center"/>
    </xf>
    <xf numFmtId="0" fontId="231" fillId="0" borderId="477" xfId="0" applyFont="1" applyBorder="1" applyAlignment="1">
      <alignment horizontal="right" vertical="center"/>
    </xf>
    <xf numFmtId="0" fontId="232" fillId="0" borderId="477" xfId="0" applyFont="1" applyBorder="1" applyAlignment="1">
      <alignment horizontal="center" vertical="center" readingOrder="1"/>
    </xf>
    <xf numFmtId="0" fontId="232" fillId="0" borderId="478" xfId="0" applyFont="1" applyBorder="1" applyAlignment="1">
      <alignment horizontal="right" vertical="center"/>
    </xf>
    <xf numFmtId="0" fontId="232" fillId="77" borderId="479" xfId="0" applyFont="1" applyFill="1" applyBorder="1" applyAlignment="1">
      <alignment horizontal="right" vertical="center"/>
    </xf>
    <xf numFmtId="0" fontId="232" fillId="0" borderId="480" xfId="0" applyFont="1" applyBorder="1" applyAlignment="1">
      <alignment horizontal="right" vertical="center"/>
    </xf>
    <xf numFmtId="0" fontId="232" fillId="0" borderId="477" xfId="0" applyFont="1" applyBorder="1" applyAlignment="1">
      <alignment horizontal="right" vertical="center"/>
    </xf>
    <xf numFmtId="0" fontId="231" fillId="0" borderId="481" xfId="0" applyFont="1" applyBorder="1" applyAlignment="1">
      <alignment horizontal="center" vertical="center" readingOrder="1"/>
    </xf>
    <xf numFmtId="0" fontId="231" fillId="0" borderId="482" xfId="0" applyFont="1" applyBorder="1" applyAlignment="1">
      <alignment horizontal="right" vertical="center"/>
    </xf>
    <xf numFmtId="0" fontId="231" fillId="77" borderId="483" xfId="0" applyFont="1" applyFill="1" applyBorder="1" applyAlignment="1">
      <alignment horizontal="right" vertical="center"/>
    </xf>
    <xf numFmtId="0" fontId="231" fillId="0" borderId="484" xfId="0" applyFont="1" applyBorder="1" applyAlignment="1">
      <alignment horizontal="right" vertical="center"/>
    </xf>
    <xf numFmtId="0" fontId="231" fillId="0" borderId="481" xfId="0" applyFont="1" applyBorder="1" applyAlignment="1">
      <alignment horizontal="right" vertical="center"/>
    </xf>
    <xf numFmtId="0" fontId="230" fillId="0" borderId="469" xfId="0" applyFont="1" applyBorder="1" applyAlignment="1">
      <alignment horizontal="center" vertical="center" readingOrder="1"/>
    </xf>
    <xf numFmtId="0" fontId="231" fillId="0" borderId="470" xfId="0" applyFont="1" applyBorder="1" applyAlignment="1">
      <alignment horizontal="right" vertical="center"/>
    </xf>
    <xf numFmtId="0" fontId="231" fillId="77" borderId="485" xfId="0" applyFont="1" applyFill="1" applyBorder="1" applyAlignment="1">
      <alignment horizontal="right" vertical="center"/>
    </xf>
    <xf numFmtId="0" fontId="231" fillId="0" borderId="472" xfId="0" applyFont="1" applyBorder="1" applyAlignment="1">
      <alignment horizontal="right" vertical="center"/>
    </xf>
    <xf numFmtId="0" fontId="231" fillId="0" borderId="469" xfId="0" applyFont="1" applyBorder="1" applyAlignment="1">
      <alignment horizontal="right" vertical="center"/>
    </xf>
    <xf numFmtId="0" fontId="228" fillId="0" borderId="469" xfId="0" applyFont="1" applyBorder="1" applyAlignment="1">
      <alignment horizontal="center" vertical="center" readingOrder="1"/>
    </xf>
    <xf numFmtId="0" fontId="229" fillId="77" borderId="486" xfId="0" applyFont="1" applyFill="1" applyBorder="1" applyAlignment="1">
      <alignment horizontal="right" vertical="center"/>
    </xf>
    <xf numFmtId="9" fontId="29" fillId="0" borderId="2" xfId="0" applyNumberFormat="1" applyFont="1" applyBorder="1">
      <alignment vertical="center"/>
    </xf>
    <xf numFmtId="10" fontId="13" fillId="0" borderId="2" xfId="0" applyNumberFormat="1" applyFont="1" applyBorder="1">
      <alignment vertical="center"/>
    </xf>
    <xf numFmtId="10" fontId="13" fillId="0" borderId="22" xfId="0" applyNumberFormat="1" applyFont="1" applyBorder="1">
      <alignment vertical="center"/>
    </xf>
    <xf numFmtId="217" fontId="13" fillId="0" borderId="21" xfId="0" applyNumberFormat="1" applyFont="1" applyBorder="1">
      <alignment vertical="center"/>
    </xf>
    <xf numFmtId="217" fontId="13" fillId="0" borderId="2" xfId="0" applyNumberFormat="1" applyFont="1" applyBorder="1">
      <alignment vertical="center"/>
    </xf>
    <xf numFmtId="217" fontId="13" fillId="0" borderId="22" xfId="0" applyNumberFormat="1" applyFont="1" applyBorder="1">
      <alignment vertical="center"/>
    </xf>
    <xf numFmtId="181" fontId="4" fillId="0" borderId="2" xfId="0" applyNumberFormat="1" applyFont="1" applyBorder="1">
      <alignment vertical="center"/>
    </xf>
    <xf numFmtId="181" fontId="13" fillId="0" borderId="2" xfId="0" applyNumberFormat="1" applyFont="1" applyBorder="1">
      <alignment vertical="center"/>
    </xf>
    <xf numFmtId="0" fontId="19" fillId="0" borderId="1" xfId="0" applyFont="1" applyBorder="1" applyAlignment="1"/>
    <xf numFmtId="0" fontId="0" fillId="0" borderId="1" xfId="0" applyBorder="1" applyAlignment="1"/>
    <xf numFmtId="0" fontId="234" fillId="0" borderId="0" xfId="0" applyFont="1" applyAlignment="1"/>
    <xf numFmtId="2" fontId="0" fillId="0" borderId="0" xfId="0" applyNumberFormat="1" applyAlignment="1"/>
    <xf numFmtId="0" fontId="0" fillId="0" borderId="2" xfId="0" applyBorder="1" applyAlignment="1"/>
    <xf numFmtId="0" fontId="36" fillId="0" borderId="0" xfId="0" applyFont="1" applyAlignment="1"/>
    <xf numFmtId="9" fontId="36" fillId="0" borderId="0" xfId="0" applyNumberFormat="1" applyFont="1" applyAlignment="1"/>
    <xf numFmtId="9" fontId="36" fillId="0" borderId="2" xfId="0" applyNumberFormat="1" applyFont="1" applyBorder="1" applyAlignment="1"/>
    <xf numFmtId="0" fontId="236" fillId="73" borderId="492" xfId="0" applyFont="1" applyFill="1" applyBorder="1" applyAlignment="1">
      <alignment horizontal="center" vertical="center" wrapText="1"/>
    </xf>
    <xf numFmtId="0" fontId="236" fillId="73" borderId="493" xfId="0" applyFont="1" applyFill="1" applyBorder="1" applyAlignment="1">
      <alignment horizontal="center" vertical="center" wrapText="1"/>
    </xf>
    <xf numFmtId="0" fontId="237" fillId="73" borderId="494" xfId="0" applyFont="1" applyFill="1" applyBorder="1" applyAlignment="1">
      <alignment horizontal="center" vertical="center" wrapText="1"/>
    </xf>
    <xf numFmtId="0" fontId="237" fillId="73" borderId="67" xfId="0" applyFont="1" applyFill="1" applyBorder="1" applyAlignment="1">
      <alignment horizontal="center" vertical="center" wrapText="1"/>
    </xf>
    <xf numFmtId="0" fontId="237" fillId="73" borderId="68" xfId="0" applyFont="1" applyFill="1" applyBorder="1" applyAlignment="1">
      <alignment horizontal="center" vertical="center" wrapText="1"/>
    </xf>
    <xf numFmtId="0" fontId="236" fillId="73" borderId="69" xfId="0" applyFont="1" applyFill="1" applyBorder="1" applyAlignment="1">
      <alignment horizontal="center" vertical="center" wrapText="1"/>
    </xf>
    <xf numFmtId="0" fontId="237" fillId="0" borderId="78" xfId="0" applyFont="1" applyBorder="1" applyAlignment="1">
      <alignment horizontal="left" vertical="center" wrapText="1"/>
    </xf>
    <xf numFmtId="0" fontId="237" fillId="0" borderId="89" xfId="0" applyFont="1" applyBorder="1" applyAlignment="1">
      <alignment horizontal="left" vertical="center" wrapText="1"/>
    </xf>
    <xf numFmtId="0" fontId="233" fillId="0" borderId="90" xfId="0" applyFont="1" applyBorder="1" applyAlignment="1">
      <alignment horizontal="left" vertical="center" wrapText="1"/>
    </xf>
    <xf numFmtId="0" fontId="235" fillId="0" borderId="100" xfId="0" applyFont="1" applyBorder="1" applyAlignment="1">
      <alignment vertical="center" wrapText="1"/>
    </xf>
    <xf numFmtId="0" fontId="235" fillId="0" borderId="101" xfId="0" applyFont="1" applyBorder="1" applyAlignment="1">
      <alignment vertical="center" wrapText="1"/>
    </xf>
    <xf numFmtId="0" fontId="235" fillId="0" borderId="111" xfId="0" applyFont="1" applyBorder="1" applyAlignment="1">
      <alignment vertical="center" wrapText="1"/>
    </xf>
    <xf numFmtId="0" fontId="235" fillId="0" borderId="112" xfId="0" applyFont="1" applyBorder="1" applyAlignment="1">
      <alignment vertical="center" wrapText="1"/>
    </xf>
    <xf numFmtId="0" fontId="237" fillId="0" borderId="122" xfId="0" applyFont="1" applyBorder="1" applyAlignment="1">
      <alignment horizontal="left" vertical="center" wrapText="1"/>
    </xf>
    <xf numFmtId="0" fontId="235" fillId="0" borderId="90" xfId="0" applyFont="1" applyBorder="1" applyAlignment="1">
      <alignment vertical="center" wrapText="1"/>
    </xf>
    <xf numFmtId="0" fontId="233" fillId="0" borderId="539" xfId="0" applyFont="1" applyBorder="1" applyAlignment="1">
      <alignment horizontal="left" vertical="center" wrapText="1"/>
    </xf>
    <xf numFmtId="0" fontId="233" fillId="0" borderId="540" xfId="0" applyFont="1" applyBorder="1" applyAlignment="1">
      <alignment horizontal="left" vertical="center" wrapText="1"/>
    </xf>
    <xf numFmtId="0" fontId="237" fillId="0" borderId="495" xfId="0" applyFont="1" applyBorder="1" applyAlignment="1">
      <alignment vertical="center" wrapText="1"/>
    </xf>
    <xf numFmtId="3" fontId="237" fillId="0" borderId="496" xfId="0" applyNumberFormat="1" applyFont="1" applyBorder="1" applyAlignment="1">
      <alignment vertical="center" wrapText="1"/>
    </xf>
    <xf numFmtId="3" fontId="237" fillId="75" borderId="497" xfId="0" applyNumberFormat="1" applyFont="1" applyFill="1" applyBorder="1" applyAlignment="1">
      <alignment vertical="center" wrapText="1"/>
    </xf>
    <xf numFmtId="3" fontId="237" fillId="27" borderId="498" xfId="0" applyNumberFormat="1" applyFont="1" applyFill="1" applyBorder="1" applyAlignment="1">
      <alignment vertical="center" wrapText="1"/>
    </xf>
    <xf numFmtId="3" fontId="237" fillId="75" borderId="75" xfId="0" applyNumberFormat="1" applyFont="1" applyFill="1" applyBorder="1" applyAlignment="1">
      <alignment vertical="center" wrapText="1"/>
    </xf>
    <xf numFmtId="3" fontId="237" fillId="75" borderId="76" xfId="0" applyNumberFormat="1" applyFont="1" applyFill="1" applyBorder="1" applyAlignment="1">
      <alignment vertical="center" wrapText="1"/>
    </xf>
    <xf numFmtId="3" fontId="237" fillId="0" borderId="77" xfId="0" applyNumberFormat="1" applyFont="1" applyBorder="1" applyAlignment="1">
      <alignment vertical="center" wrapText="1"/>
    </xf>
    <xf numFmtId="0" fontId="232" fillId="0" borderId="500" xfId="0" applyFont="1" applyBorder="1" applyAlignment="1">
      <alignment vertical="center" wrapText="1"/>
    </xf>
    <xf numFmtId="0" fontId="232" fillId="0" borderId="501" xfId="0" applyFont="1" applyBorder="1" applyAlignment="1">
      <alignment vertical="center" wrapText="1"/>
    </xf>
    <xf numFmtId="0" fontId="232" fillId="75" borderId="502" xfId="0" applyFont="1" applyFill="1" applyBorder="1" applyAlignment="1">
      <alignment vertical="center" wrapText="1"/>
    </xf>
    <xf numFmtId="0" fontId="232" fillId="27" borderId="503" xfId="0" applyFont="1" applyFill="1" applyBorder="1" applyAlignment="1">
      <alignment vertical="center" wrapText="1"/>
    </xf>
    <xf numFmtId="0" fontId="232" fillId="75" borderId="86" xfId="0" applyFont="1" applyFill="1" applyBorder="1" applyAlignment="1">
      <alignment vertical="center" wrapText="1"/>
    </xf>
    <xf numFmtId="0" fontId="232" fillId="75" borderId="87" xfId="0" applyFont="1" applyFill="1" applyBorder="1" applyAlignment="1">
      <alignment vertical="center" wrapText="1"/>
    </xf>
    <xf numFmtId="3" fontId="232" fillId="0" borderId="88" xfId="0" applyNumberFormat="1" applyFont="1" applyBorder="1" applyAlignment="1">
      <alignment vertical="center" wrapText="1"/>
    </xf>
    <xf numFmtId="0" fontId="232" fillId="0" borderId="505" xfId="0" applyFont="1" applyBorder="1" applyAlignment="1">
      <alignment vertical="center" wrapText="1"/>
    </xf>
    <xf numFmtId="0" fontId="232" fillId="0" borderId="506" xfId="0" applyFont="1" applyBorder="1" applyAlignment="1">
      <alignment vertical="center" wrapText="1"/>
    </xf>
    <xf numFmtId="0" fontId="232" fillId="75" borderId="507" xfId="0" applyFont="1" applyFill="1" applyBorder="1" applyAlignment="1">
      <alignment vertical="center" wrapText="1"/>
    </xf>
    <xf numFmtId="0" fontId="232" fillId="27" borderId="508" xfId="0" applyFont="1" applyFill="1" applyBorder="1" applyAlignment="1">
      <alignment vertical="center" wrapText="1"/>
    </xf>
    <xf numFmtId="0" fontId="232" fillId="75" borderId="97" xfId="0" applyFont="1" applyFill="1" applyBorder="1" applyAlignment="1">
      <alignment vertical="center" wrapText="1"/>
    </xf>
    <xf numFmtId="0" fontId="232" fillId="75" borderId="98" xfId="0" applyFont="1" applyFill="1" applyBorder="1" applyAlignment="1">
      <alignment vertical="center" wrapText="1"/>
    </xf>
    <xf numFmtId="0" fontId="232" fillId="0" borderId="99" xfId="0" applyFont="1" applyBorder="1" applyAlignment="1">
      <alignment vertical="center" wrapText="1"/>
    </xf>
    <xf numFmtId="0" fontId="232" fillId="0" borderId="510" xfId="0" applyFont="1" applyBorder="1" applyAlignment="1">
      <alignment vertical="center" wrapText="1"/>
    </xf>
    <xf numFmtId="0" fontId="232" fillId="0" borderId="511" xfId="0" applyFont="1" applyBorder="1" applyAlignment="1">
      <alignment vertical="center" wrapText="1"/>
    </xf>
    <xf numFmtId="0" fontId="232" fillId="75" borderId="512" xfId="0" applyFont="1" applyFill="1" applyBorder="1" applyAlignment="1">
      <alignment vertical="center" wrapText="1"/>
    </xf>
    <xf numFmtId="0" fontId="232" fillId="27" borderId="513" xfId="0" applyFont="1" applyFill="1" applyBorder="1" applyAlignment="1">
      <alignment vertical="center" wrapText="1"/>
    </xf>
    <xf numFmtId="0" fontId="232" fillId="75" borderId="108" xfId="0" applyFont="1" applyFill="1" applyBorder="1" applyAlignment="1">
      <alignment vertical="center" wrapText="1"/>
    </xf>
    <xf numFmtId="0" fontId="232" fillId="75" borderId="109" xfId="0" applyFont="1" applyFill="1" applyBorder="1" applyAlignment="1">
      <alignment vertical="center" wrapText="1"/>
    </xf>
    <xf numFmtId="0" fontId="232" fillId="0" borderId="110" xfId="0" applyFont="1" applyBorder="1" applyAlignment="1">
      <alignment vertical="center" wrapText="1"/>
    </xf>
    <xf numFmtId="0" fontId="232" fillId="0" borderId="515" xfId="0" applyFont="1" applyBorder="1" applyAlignment="1">
      <alignment vertical="center" wrapText="1"/>
    </xf>
    <xf numFmtId="0" fontId="232" fillId="0" borderId="516" xfId="0" applyFont="1" applyBorder="1" applyAlignment="1">
      <alignment vertical="center" wrapText="1"/>
    </xf>
    <xf numFmtId="0" fontId="232" fillId="75" borderId="517" xfId="0" applyFont="1" applyFill="1" applyBorder="1" applyAlignment="1">
      <alignment vertical="center" wrapText="1"/>
    </xf>
    <xf numFmtId="0" fontId="232" fillId="27" borderId="518" xfId="0" applyFont="1" applyFill="1" applyBorder="1" applyAlignment="1">
      <alignment vertical="center" wrapText="1"/>
    </xf>
    <xf numFmtId="0" fontId="232" fillId="75" borderId="119" xfId="0" applyFont="1" applyFill="1" applyBorder="1" applyAlignment="1">
      <alignment vertical="center" wrapText="1"/>
    </xf>
    <xf numFmtId="0" fontId="232" fillId="75" borderId="120" xfId="0" applyFont="1" applyFill="1" applyBorder="1" applyAlignment="1">
      <alignment vertical="center" wrapText="1"/>
    </xf>
    <xf numFmtId="3" fontId="232" fillId="0" borderId="121" xfId="0" applyNumberFormat="1" applyFont="1" applyBorder="1" applyAlignment="1">
      <alignment vertical="center" wrapText="1"/>
    </xf>
    <xf numFmtId="0" fontId="232" fillId="0" borderId="520" xfId="0" applyFont="1" applyBorder="1" applyAlignment="1">
      <alignment vertical="center" wrapText="1"/>
    </xf>
    <xf numFmtId="0" fontId="232" fillId="0" borderId="521" xfId="0" applyFont="1" applyBorder="1" applyAlignment="1">
      <alignment vertical="center" wrapText="1"/>
    </xf>
    <xf numFmtId="0" fontId="232" fillId="75" borderId="522" xfId="0" applyFont="1" applyFill="1" applyBorder="1" applyAlignment="1">
      <alignment vertical="center" wrapText="1"/>
    </xf>
    <xf numFmtId="0" fontId="232" fillId="27" borderId="523" xfId="0" applyFont="1" applyFill="1" applyBorder="1" applyAlignment="1">
      <alignment vertical="center" wrapText="1"/>
    </xf>
    <xf numFmtId="0" fontId="232" fillId="75" borderId="130" xfId="0" applyFont="1" applyFill="1" applyBorder="1" applyAlignment="1">
      <alignment vertical="center" wrapText="1"/>
    </xf>
    <xf numFmtId="0" fontId="232" fillId="75" borderId="131" xfId="0" applyFont="1" applyFill="1" applyBorder="1" applyAlignment="1">
      <alignment vertical="center" wrapText="1"/>
    </xf>
    <xf numFmtId="0" fontId="232" fillId="0" borderId="132" xfId="0" applyFont="1" applyBorder="1" applyAlignment="1">
      <alignment vertical="center" wrapText="1"/>
    </xf>
    <xf numFmtId="0" fontId="232" fillId="73" borderId="500" xfId="0" applyFont="1" applyFill="1" applyBorder="1" applyAlignment="1">
      <alignment vertical="center" wrapText="1"/>
    </xf>
    <xf numFmtId="0" fontId="232" fillId="73" borderId="501" xfId="0" applyFont="1" applyFill="1" applyBorder="1" applyAlignment="1">
      <alignment vertical="center" wrapText="1"/>
    </xf>
    <xf numFmtId="0" fontId="232" fillId="73" borderId="502" xfId="0" applyFont="1" applyFill="1" applyBorder="1" applyAlignment="1">
      <alignment vertical="center" wrapText="1"/>
    </xf>
    <xf numFmtId="0" fontId="232" fillId="73" borderId="503" xfId="0" applyFont="1" applyFill="1" applyBorder="1" applyAlignment="1">
      <alignment vertical="center" wrapText="1"/>
    </xf>
    <xf numFmtId="0" fontId="232" fillId="73" borderId="86" xfId="0" applyFont="1" applyFill="1" applyBorder="1" applyAlignment="1">
      <alignment vertical="center" wrapText="1"/>
    </xf>
    <xf numFmtId="0" fontId="232" fillId="73" borderId="87" xfId="0" applyFont="1" applyFill="1" applyBorder="1" applyAlignment="1">
      <alignment vertical="center" wrapText="1"/>
    </xf>
    <xf numFmtId="3" fontId="232" fillId="73" borderId="88" xfId="0" applyNumberFormat="1" applyFont="1" applyFill="1" applyBorder="1" applyAlignment="1">
      <alignment vertical="center" wrapText="1"/>
    </xf>
    <xf numFmtId="0" fontId="232" fillId="0" borderId="535" xfId="0" applyFont="1" applyBorder="1" applyAlignment="1">
      <alignment vertical="center" wrapText="1"/>
    </xf>
    <xf numFmtId="0" fontId="232" fillId="0" borderId="536" xfId="0" applyFont="1" applyBorder="1" applyAlignment="1">
      <alignment vertical="center" wrapText="1"/>
    </xf>
    <xf numFmtId="0" fontId="232" fillId="75" borderId="537" xfId="0" applyFont="1" applyFill="1" applyBorder="1" applyAlignment="1">
      <alignment vertical="center" wrapText="1"/>
    </xf>
    <xf numFmtId="0" fontId="232" fillId="27" borderId="538" xfId="0" applyFont="1" applyFill="1" applyBorder="1" applyAlignment="1">
      <alignment vertical="center" wrapText="1"/>
    </xf>
    <xf numFmtId="0" fontId="232" fillId="75" borderId="152" xfId="0" applyFont="1" applyFill="1" applyBorder="1" applyAlignment="1">
      <alignment vertical="center" wrapText="1"/>
    </xf>
    <xf numFmtId="0" fontId="232" fillId="75" borderId="153" xfId="0" applyFont="1" applyFill="1" applyBorder="1" applyAlignment="1">
      <alignment vertical="center" wrapText="1"/>
    </xf>
    <xf numFmtId="0" fontId="232" fillId="0" borderId="154" xfId="0" applyFont="1" applyBorder="1" applyAlignment="1">
      <alignment vertical="center" wrapText="1"/>
    </xf>
    <xf numFmtId="0" fontId="232" fillId="0" borderId="527" xfId="0" applyFont="1" applyBorder="1" applyAlignment="1">
      <alignment vertical="center" wrapText="1"/>
    </xf>
    <xf numFmtId="0" fontId="232" fillId="0" borderId="529" xfId="0" applyFont="1" applyBorder="1" applyAlignment="1">
      <alignment vertical="center" wrapText="1"/>
    </xf>
    <xf numFmtId="0" fontId="232" fillId="75" borderId="531" xfId="0" applyFont="1" applyFill="1" applyBorder="1" applyAlignment="1">
      <alignment vertical="center" wrapText="1"/>
    </xf>
    <xf numFmtId="0" fontId="232" fillId="27" borderId="533" xfId="0" applyFont="1" applyFill="1" applyBorder="1" applyAlignment="1">
      <alignment vertical="center" wrapText="1"/>
    </xf>
    <xf numFmtId="0" fontId="232" fillId="75" borderId="142" xfId="0" applyFont="1" applyFill="1" applyBorder="1" applyAlignment="1">
      <alignment vertical="center" wrapText="1"/>
    </xf>
    <xf numFmtId="0" fontId="232" fillId="75" borderId="143" xfId="0" applyFont="1" applyFill="1" applyBorder="1" applyAlignment="1">
      <alignment vertical="center" wrapText="1"/>
    </xf>
    <xf numFmtId="0" fontId="232" fillId="0" borderId="144" xfId="0" applyFont="1" applyBorder="1" applyAlignment="1">
      <alignment vertical="center" wrapText="1"/>
    </xf>
    <xf numFmtId="0" fontId="232" fillId="0" borderId="490" xfId="0" applyFont="1" applyBorder="1" applyAlignment="1">
      <alignment vertical="center" wrapText="1"/>
    </xf>
    <xf numFmtId="0" fontId="232" fillId="0" borderId="541" xfId="0" applyFont="1" applyBorder="1" applyAlignment="1">
      <alignment vertical="center" wrapText="1"/>
    </xf>
    <xf numFmtId="0" fontId="232" fillId="75" borderId="542" xfId="0" applyFont="1" applyFill="1" applyBorder="1" applyAlignment="1">
      <alignment vertical="center" wrapText="1"/>
    </xf>
    <xf numFmtId="0" fontId="232" fillId="27" borderId="543" xfId="0" applyFont="1" applyFill="1" applyBorder="1" applyAlignment="1">
      <alignment vertical="center" wrapText="1"/>
    </xf>
    <xf numFmtId="0" fontId="232" fillId="75" borderId="544" xfId="0" applyFont="1" applyFill="1" applyBorder="1" applyAlignment="1">
      <alignment vertical="center" wrapText="1"/>
    </xf>
    <xf numFmtId="0" fontId="232" fillId="75" borderId="545" xfId="0" applyFont="1" applyFill="1" applyBorder="1" applyAlignment="1">
      <alignment vertical="center" wrapText="1"/>
    </xf>
    <xf numFmtId="0" fontId="232" fillId="0" borderId="167" xfId="0" applyFont="1" applyBorder="1" applyAlignment="1">
      <alignment vertical="center" wrapText="1"/>
    </xf>
    <xf numFmtId="0" fontId="239" fillId="0" borderId="71" xfId="0" applyFont="1" applyBorder="1" applyAlignment="1">
      <alignment horizontal="right" vertical="center" wrapText="1"/>
    </xf>
    <xf numFmtId="0" fontId="239" fillId="0" borderId="548" xfId="0" applyFont="1" applyBorder="1" applyAlignment="1">
      <alignment horizontal="right" vertical="center" wrapText="1"/>
    </xf>
    <xf numFmtId="0" fontId="239" fillId="75" borderId="549" xfId="0" applyFont="1" applyFill="1" applyBorder="1" applyAlignment="1">
      <alignment horizontal="right" vertical="center" wrapText="1"/>
    </xf>
    <xf numFmtId="0" fontId="239" fillId="27" borderId="550" xfId="0" applyFont="1" applyFill="1" applyBorder="1" applyAlignment="1">
      <alignment horizontal="right" vertical="center" wrapText="1"/>
    </xf>
    <xf numFmtId="0" fontId="239" fillId="75" borderId="551" xfId="0" applyFont="1" applyFill="1" applyBorder="1" applyAlignment="1">
      <alignment horizontal="right" vertical="center" wrapText="1"/>
    </xf>
    <xf numFmtId="0" fontId="239" fillId="75" borderId="552" xfId="0" applyFont="1" applyFill="1" applyBorder="1" applyAlignment="1">
      <alignment horizontal="right" vertical="center" wrapText="1"/>
    </xf>
    <xf numFmtId="0" fontId="239" fillId="0" borderId="553" xfId="0" applyFont="1" applyBorder="1" applyAlignment="1">
      <alignment horizontal="right" vertical="center" wrapText="1"/>
    </xf>
    <xf numFmtId="0" fontId="235" fillId="0" borderId="168" xfId="0" applyFont="1" applyBorder="1" applyAlignment="1">
      <alignment vertical="center" wrapText="1"/>
    </xf>
    <xf numFmtId="0" fontId="244" fillId="0" borderId="138" xfId="0" applyFont="1" applyBorder="1" applyAlignment="1">
      <alignment horizontal="right" vertical="center" wrapText="1"/>
    </xf>
    <xf numFmtId="0" fontId="244" fillId="0" borderId="171" xfId="0" applyFont="1" applyBorder="1" applyAlignment="1">
      <alignment horizontal="right" vertical="center" wrapText="1"/>
    </xf>
    <xf numFmtId="0" fontId="244" fillId="0" borderId="161" xfId="0" applyFont="1" applyBorder="1" applyAlignment="1">
      <alignment horizontal="right" vertical="center" wrapText="1"/>
    </xf>
    <xf numFmtId="0" fontId="244" fillId="0" borderId="554" xfId="0" applyFont="1" applyBorder="1" applyAlignment="1">
      <alignment horizontal="right" vertical="center" wrapText="1"/>
    </xf>
    <xf numFmtId="0" fontId="244" fillId="0" borderId="555" xfId="0" applyFont="1" applyBorder="1" applyAlignment="1">
      <alignment horizontal="right" vertical="center" wrapText="1"/>
    </xf>
    <xf numFmtId="0" fontId="244" fillId="0" borderId="556" xfId="0" applyFont="1" applyBorder="1" applyAlignment="1">
      <alignment horizontal="right" vertical="center" wrapText="1"/>
    </xf>
    <xf numFmtId="0" fontId="244" fillId="75" borderId="557" xfId="0" applyFont="1" applyFill="1" applyBorder="1" applyAlignment="1">
      <alignment horizontal="right" vertical="center" wrapText="1"/>
    </xf>
    <xf numFmtId="0" fontId="244" fillId="75" borderId="558" xfId="0" applyFont="1" applyFill="1" applyBorder="1" applyAlignment="1">
      <alignment horizontal="right" vertical="center" wrapText="1"/>
    </xf>
    <xf numFmtId="0" fontId="244" fillId="75" borderId="559" xfId="0" applyFont="1" applyFill="1" applyBorder="1" applyAlignment="1">
      <alignment horizontal="right" vertical="center" wrapText="1"/>
    </xf>
    <xf numFmtId="0" fontId="244" fillId="27" borderId="141" xfId="0" applyFont="1" applyFill="1" applyBorder="1" applyAlignment="1">
      <alignment horizontal="right" vertical="center" wrapText="1"/>
    </xf>
    <xf numFmtId="0" fontId="244" fillId="27" borderId="174" xfId="0" applyFont="1" applyFill="1" applyBorder="1" applyAlignment="1">
      <alignment horizontal="right" vertical="center" wrapText="1"/>
    </xf>
    <xf numFmtId="0" fontId="244" fillId="27" borderId="560" xfId="0" applyFont="1" applyFill="1" applyBorder="1" applyAlignment="1">
      <alignment horizontal="right" vertical="center" wrapText="1"/>
    </xf>
    <xf numFmtId="0" fontId="244" fillId="75" borderId="142" xfId="0" applyFont="1" applyFill="1" applyBorder="1" applyAlignment="1">
      <alignment horizontal="right" vertical="center" wrapText="1"/>
    </xf>
    <xf numFmtId="0" fontId="244" fillId="75" borderId="175" xfId="0" applyFont="1" applyFill="1" applyBorder="1" applyAlignment="1">
      <alignment horizontal="right" vertical="center" wrapText="1"/>
    </xf>
    <xf numFmtId="0" fontId="244" fillId="75" borderId="561" xfId="0" applyFont="1" applyFill="1" applyBorder="1" applyAlignment="1">
      <alignment horizontal="right" vertical="center" wrapText="1"/>
    </xf>
    <xf numFmtId="0" fontId="244" fillId="75" borderId="562" xfId="0" applyFont="1" applyFill="1" applyBorder="1" applyAlignment="1">
      <alignment horizontal="right" vertical="center" wrapText="1"/>
    </xf>
    <xf numFmtId="0" fontId="244" fillId="75" borderId="563" xfId="0" applyFont="1" applyFill="1" applyBorder="1" applyAlignment="1">
      <alignment horizontal="right" vertical="center" wrapText="1"/>
    </xf>
    <xf numFmtId="0" fontId="244" fillId="75" borderId="564" xfId="0" applyFont="1" applyFill="1" applyBorder="1" applyAlignment="1">
      <alignment horizontal="right" vertical="center" wrapText="1"/>
    </xf>
    <xf numFmtId="0" fontId="244" fillId="0" borderId="565" xfId="0" applyFont="1" applyBorder="1" applyAlignment="1">
      <alignment horizontal="right" vertical="center" wrapText="1"/>
    </xf>
    <xf numFmtId="0" fontId="244" fillId="0" borderId="566" xfId="0" applyFont="1" applyBorder="1" applyAlignment="1">
      <alignment horizontal="right" vertical="center" wrapText="1"/>
    </xf>
    <xf numFmtId="0" fontId="244" fillId="0" borderId="567" xfId="0" applyFont="1" applyBorder="1" applyAlignment="1">
      <alignment horizontal="right" vertical="center" wrapText="1"/>
    </xf>
    <xf numFmtId="0" fontId="235" fillId="0" borderId="178" xfId="0" applyFont="1" applyBorder="1" applyAlignment="1">
      <alignment vertical="center" wrapText="1"/>
    </xf>
    <xf numFmtId="179" fontId="4" fillId="0" borderId="17" xfId="0" applyNumberFormat="1" applyFont="1" applyBorder="1">
      <alignment vertical="center"/>
    </xf>
    <xf numFmtId="41" fontId="187" fillId="0" borderId="5" xfId="0" applyNumberFormat="1" applyFont="1" applyBorder="1" applyAlignment="1">
      <alignment horizontal="center" vertical="center"/>
    </xf>
    <xf numFmtId="200" fontId="187" fillId="0" borderId="5" xfId="0" applyNumberFormat="1" applyFont="1" applyBorder="1" applyAlignment="1">
      <alignment horizontal="center" vertical="center"/>
    </xf>
    <xf numFmtId="41" fontId="187" fillId="13" borderId="26" xfId="0" applyNumberFormat="1" applyFont="1" applyFill="1" applyBorder="1">
      <alignment vertical="center"/>
    </xf>
    <xf numFmtId="41" fontId="187" fillId="13" borderId="5" xfId="0" applyNumberFormat="1" applyFont="1" applyFill="1" applyBorder="1">
      <alignment vertical="center"/>
    </xf>
    <xf numFmtId="41" fontId="187" fillId="13" borderId="25" xfId="0" applyNumberFormat="1" applyFont="1" applyFill="1" applyBorder="1">
      <alignment vertical="center"/>
    </xf>
    <xf numFmtId="41" fontId="187" fillId="13" borderId="4" xfId="0" applyNumberFormat="1" applyFont="1" applyFill="1" applyBorder="1">
      <alignment vertical="center"/>
    </xf>
    <xf numFmtId="41" fontId="187" fillId="0" borderId="4" xfId="0" applyNumberFormat="1" applyFont="1" applyBorder="1">
      <alignment vertical="center"/>
    </xf>
    <xf numFmtId="41" fontId="187" fillId="0" borderId="5" xfId="0" applyNumberFormat="1" applyFont="1" applyBorder="1">
      <alignment vertical="center"/>
    </xf>
    <xf numFmtId="41" fontId="187" fillId="13" borderId="23" xfId="0" applyNumberFormat="1" applyFont="1" applyFill="1" applyBorder="1">
      <alignment vertical="center"/>
    </xf>
    <xf numFmtId="41" fontId="187" fillId="13" borderId="568" xfId="0" applyNumberFormat="1" applyFont="1" applyFill="1" applyBorder="1">
      <alignment vertical="center"/>
    </xf>
    <xf numFmtId="183" fontId="38" fillId="43" borderId="0" xfId="0" applyNumberFormat="1" applyFont="1" applyFill="1">
      <alignment vertical="center"/>
    </xf>
    <xf numFmtId="183" fontId="7" fillId="0" borderId="0" xfId="0" applyNumberFormat="1" applyFont="1">
      <alignment vertical="center"/>
    </xf>
    <xf numFmtId="183" fontId="7" fillId="43" borderId="0" xfId="0" applyNumberFormat="1" applyFont="1" applyFill="1">
      <alignment vertical="center"/>
    </xf>
    <xf numFmtId="183" fontId="38" fillId="0" borderId="0" xfId="0" applyNumberFormat="1" applyFont="1">
      <alignment vertical="center"/>
    </xf>
    <xf numFmtId="183" fontId="38" fillId="0" borderId="569" xfId="0" applyNumberFormat="1" applyFont="1" applyBorder="1">
      <alignment vertical="center"/>
    </xf>
    <xf numFmtId="41" fontId="7" fillId="43" borderId="0" xfId="0" applyNumberFormat="1" applyFont="1" applyFill="1">
      <alignment vertical="center"/>
    </xf>
    <xf numFmtId="182" fontId="7" fillId="0" borderId="0" xfId="0" applyNumberFormat="1" applyFont="1">
      <alignment vertical="center"/>
    </xf>
    <xf numFmtId="182" fontId="7" fillId="43" borderId="0" xfId="0" applyNumberFormat="1" applyFont="1" applyFill="1">
      <alignment vertical="center"/>
    </xf>
    <xf numFmtId="41" fontId="38" fillId="0" borderId="0" xfId="0" applyNumberFormat="1" applyFont="1">
      <alignment vertical="center"/>
    </xf>
    <xf numFmtId="0" fontId="38" fillId="0" borderId="570" xfId="0" applyFont="1" applyBorder="1">
      <alignment vertical="center"/>
    </xf>
    <xf numFmtId="41" fontId="38" fillId="0" borderId="571" xfId="0" applyNumberFormat="1" applyFont="1" applyBorder="1">
      <alignment vertical="center"/>
    </xf>
    <xf numFmtId="229" fontId="38" fillId="0" borderId="0" xfId="0" applyNumberFormat="1" applyFont="1">
      <alignment vertical="center"/>
    </xf>
    <xf numFmtId="41" fontId="246" fillId="35" borderId="36" xfId="0" applyNumberFormat="1" applyFont="1" applyFill="1" applyBorder="1" applyAlignment="1">
      <alignment horizontal="center" vertical="center"/>
    </xf>
    <xf numFmtId="41" fontId="246" fillId="35" borderId="5" xfId="0" applyNumberFormat="1" applyFont="1" applyFill="1" applyBorder="1" applyAlignment="1">
      <alignment horizontal="center" vertical="center"/>
    </xf>
    <xf numFmtId="184" fontId="246" fillId="35" borderId="5" xfId="0" applyNumberFormat="1" applyFont="1" applyFill="1" applyBorder="1" applyAlignment="1">
      <alignment horizontal="center" vertical="center"/>
    </xf>
    <xf numFmtId="0" fontId="246" fillId="35" borderId="572" xfId="0" applyFont="1" applyFill="1" applyBorder="1" applyAlignment="1">
      <alignment horizontal="center" vertical="center"/>
    </xf>
    <xf numFmtId="41" fontId="246" fillId="35" borderId="572" xfId="0" applyNumberFormat="1" applyFont="1" applyFill="1" applyBorder="1">
      <alignment vertical="center"/>
    </xf>
    <xf numFmtId="41" fontId="246" fillId="35" borderId="573" xfId="0" applyNumberFormat="1" applyFont="1" applyFill="1" applyBorder="1">
      <alignment vertical="center"/>
    </xf>
    <xf numFmtId="0" fontId="246" fillId="13" borderId="429" xfId="0" applyFont="1" applyFill="1" applyBorder="1" applyAlignment="1">
      <alignment horizontal="center" vertical="center"/>
    </xf>
    <xf numFmtId="41" fontId="246" fillId="13" borderId="429" xfId="0" applyNumberFormat="1" applyFont="1" applyFill="1" applyBorder="1">
      <alignment vertical="center"/>
    </xf>
    <xf numFmtId="41" fontId="246" fillId="13" borderId="574" xfId="0" applyNumberFormat="1" applyFont="1" applyFill="1" applyBorder="1">
      <alignment vertical="center"/>
    </xf>
    <xf numFmtId="41" fontId="246" fillId="13" borderId="575" xfId="0" applyNumberFormat="1" applyFont="1" applyFill="1" applyBorder="1">
      <alignment vertical="center"/>
    </xf>
    <xf numFmtId="41" fontId="246" fillId="13" borderId="576" xfId="0" applyNumberFormat="1" applyFont="1" applyFill="1" applyBorder="1">
      <alignment vertical="center"/>
    </xf>
    <xf numFmtId="0" fontId="246" fillId="13" borderId="577" xfId="0" applyFont="1" applyFill="1" applyBorder="1" applyAlignment="1">
      <alignment horizontal="center" vertical="center"/>
    </xf>
    <xf numFmtId="41" fontId="246" fillId="13" borderId="577" xfId="0" applyNumberFormat="1" applyFont="1" applyFill="1" applyBorder="1">
      <alignment vertical="center"/>
    </xf>
    <xf numFmtId="0" fontId="246" fillId="13" borderId="36" xfId="0" applyFont="1" applyFill="1" applyBorder="1" applyAlignment="1">
      <alignment horizontal="center" vertical="center"/>
    </xf>
    <xf numFmtId="41" fontId="246" fillId="13" borderId="42" xfId="0" applyNumberFormat="1" applyFont="1" applyFill="1" applyBorder="1">
      <alignment vertical="center"/>
    </xf>
    <xf numFmtId="3" fontId="246" fillId="13" borderId="429" xfId="0" applyNumberFormat="1" applyFont="1" applyFill="1" applyBorder="1">
      <alignment vertical="center"/>
    </xf>
    <xf numFmtId="3" fontId="246" fillId="13" borderId="575" xfId="0" applyNumberFormat="1" applyFont="1" applyFill="1" applyBorder="1">
      <alignment vertical="center"/>
    </xf>
    <xf numFmtId="3" fontId="246" fillId="13" borderId="577" xfId="0" applyNumberFormat="1" applyFont="1" applyFill="1" applyBorder="1">
      <alignment vertical="center"/>
    </xf>
    <xf numFmtId="3" fontId="246" fillId="13" borderId="42" xfId="0" applyNumberFormat="1" applyFont="1" applyFill="1" applyBorder="1">
      <alignment vertical="center"/>
    </xf>
    <xf numFmtId="41" fontId="187" fillId="0" borderId="36" xfId="0" applyNumberFormat="1" applyFont="1" applyBorder="1" applyAlignment="1">
      <alignment horizontal="center" vertical="center"/>
    </xf>
    <xf numFmtId="41" fontId="187" fillId="13" borderId="190" xfId="0" applyNumberFormat="1" applyFont="1" applyFill="1" applyBorder="1" applyAlignment="1">
      <alignment horizontal="center" vertical="center"/>
    </xf>
    <xf numFmtId="41" fontId="187" fillId="13" borderId="190" xfId="0" applyNumberFormat="1" applyFont="1" applyFill="1" applyBorder="1" applyAlignment="1">
      <alignment horizontal="center" vertical="center" shrinkToFit="1"/>
    </xf>
    <xf numFmtId="41" fontId="187" fillId="13" borderId="26" xfId="0" applyNumberFormat="1" applyFont="1" applyFill="1" applyBorder="1" applyAlignment="1">
      <alignment horizontal="center" vertical="center"/>
    </xf>
    <xf numFmtId="41" fontId="187" fillId="0" borderId="190" xfId="0" applyNumberFormat="1" applyFont="1" applyBorder="1" applyAlignment="1">
      <alignment horizontal="center" vertical="center"/>
    </xf>
    <xf numFmtId="41" fontId="187" fillId="13" borderId="190" xfId="0" applyNumberFormat="1" applyFont="1" applyFill="1" applyBorder="1">
      <alignment vertical="center"/>
    </xf>
    <xf numFmtId="41" fontId="187" fillId="0" borderId="42" xfId="0" applyNumberFormat="1" applyFont="1" applyBorder="1" applyAlignment="1">
      <alignment horizontal="center" vertical="center"/>
    </xf>
    <xf numFmtId="41" fontId="187" fillId="0" borderId="36" xfId="0" applyNumberFormat="1" applyFont="1" applyBorder="1" applyAlignment="1">
      <alignment horizontal="center" vertical="center" shrinkToFit="1"/>
    </xf>
    <xf numFmtId="41" fontId="187" fillId="0" borderId="36" xfId="0" applyNumberFormat="1" applyFont="1" applyBorder="1">
      <alignment vertical="center"/>
    </xf>
    <xf numFmtId="41" fontId="187" fillId="13" borderId="568" xfId="0" applyNumberFormat="1" applyFont="1" applyFill="1" applyBorder="1" applyAlignment="1">
      <alignment horizontal="center" vertical="center"/>
    </xf>
    <xf numFmtId="41" fontId="187" fillId="13" borderId="381" xfId="0" applyNumberFormat="1" applyFont="1" applyFill="1" applyBorder="1" applyAlignment="1">
      <alignment horizontal="center" vertical="center" shrinkToFit="1"/>
    </xf>
    <xf numFmtId="41" fontId="187" fillId="0" borderId="7" xfId="0" applyNumberFormat="1" applyFont="1" applyBorder="1">
      <alignment vertical="center"/>
    </xf>
    <xf numFmtId="41" fontId="187" fillId="0" borderId="7" xfId="0" applyNumberFormat="1" applyFont="1" applyBorder="1" applyAlignment="1">
      <alignment horizontal="center" vertical="center"/>
    </xf>
    <xf numFmtId="0" fontId="2" fillId="0" borderId="578" xfId="0" applyFont="1" applyBorder="1" applyAlignment="1">
      <alignment wrapText="1"/>
    </xf>
    <xf numFmtId="14" fontId="4" fillId="0" borderId="36" xfId="0" applyNumberFormat="1" applyFont="1" applyBorder="1" applyAlignment="1"/>
    <xf numFmtId="183" fontId="4" fillId="0" borderId="36" xfId="0" applyNumberFormat="1" applyFont="1" applyBorder="1" applyAlignment="1"/>
    <xf numFmtId="183" fontId="4" fillId="78" borderId="36" xfId="0" applyNumberFormat="1" applyFont="1" applyFill="1" applyBorder="1" applyAlignment="1"/>
    <xf numFmtId="0" fontId="4" fillId="0" borderId="36" xfId="0" applyFont="1" applyBorder="1" applyAlignment="1"/>
    <xf numFmtId="41" fontId="249" fillId="22" borderId="41" xfId="0" applyNumberFormat="1" applyFont="1" applyFill="1" applyBorder="1" applyAlignment="1">
      <alignment horizontal="center" vertical="center" shrinkToFit="1"/>
    </xf>
    <xf numFmtId="41" fontId="249" fillId="22" borderId="41" xfId="0" applyNumberFormat="1" applyFont="1" applyFill="1" applyBorder="1" applyAlignment="1">
      <alignment horizontal="center" vertical="center" wrapText="1" shrinkToFit="1"/>
    </xf>
    <xf numFmtId="41" fontId="249" fillId="22" borderId="190" xfId="0" applyNumberFormat="1" applyFont="1" applyFill="1" applyBorder="1" applyAlignment="1">
      <alignment horizontal="center" vertical="center" shrinkToFit="1"/>
    </xf>
    <xf numFmtId="41" fontId="249" fillId="22" borderId="582" xfId="0" applyNumberFormat="1" applyFont="1" applyFill="1" applyBorder="1" applyAlignment="1">
      <alignment horizontal="center" vertical="center" shrinkToFit="1"/>
    </xf>
    <xf numFmtId="41" fontId="249" fillId="16" borderId="582" xfId="0" applyNumberFormat="1" applyFont="1" applyFill="1" applyBorder="1" applyAlignment="1">
      <alignment horizontal="center" vertical="center" shrinkToFit="1"/>
    </xf>
    <xf numFmtId="41" fontId="249" fillId="22" borderId="42" xfId="0" applyNumberFormat="1" applyFont="1" applyFill="1" applyBorder="1" applyAlignment="1">
      <alignment horizontal="center" vertical="center" shrinkToFit="1"/>
    </xf>
    <xf numFmtId="41" fontId="249" fillId="12" borderId="290" xfId="0" applyNumberFormat="1" applyFont="1" applyFill="1" applyBorder="1" applyAlignment="1">
      <alignment horizontal="center" vertical="center" shrinkToFit="1"/>
    </xf>
    <xf numFmtId="184" fontId="249" fillId="12" borderId="290" xfId="0" applyNumberFormat="1" applyFont="1" applyFill="1" applyBorder="1" applyAlignment="1">
      <alignment horizontal="center" vertical="center" shrinkToFit="1"/>
    </xf>
    <xf numFmtId="41" fontId="249" fillId="12" borderId="290" xfId="0" applyNumberFormat="1" applyFont="1" applyFill="1" applyBorder="1" applyAlignment="1">
      <alignment horizontal="right" vertical="center" shrinkToFit="1"/>
    </xf>
    <xf numFmtId="230" fontId="249" fillId="12" borderId="290" xfId="0" applyNumberFormat="1" applyFont="1" applyFill="1" applyBorder="1" applyAlignment="1">
      <alignment horizontal="right" vertical="center" shrinkToFit="1"/>
    </xf>
    <xf numFmtId="230" fontId="249" fillId="12" borderId="289" xfId="0" applyNumberFormat="1" applyFont="1" applyFill="1" applyBorder="1" applyAlignment="1">
      <alignment horizontal="right" vertical="center" shrinkToFit="1"/>
    </xf>
    <xf numFmtId="41" fontId="249" fillId="12" borderId="289" xfId="0" applyNumberFormat="1" applyFont="1" applyFill="1" applyBorder="1" applyAlignment="1">
      <alignment horizontal="right" vertical="center" shrinkToFit="1"/>
    </xf>
    <xf numFmtId="3" fontId="64" fillId="0" borderId="190" xfId="0" applyNumberFormat="1" applyFont="1" applyBorder="1" applyAlignment="1">
      <alignment horizontal="center" vertical="center" shrinkToFit="1"/>
    </xf>
    <xf numFmtId="3" fontId="64" fillId="79" borderId="41" xfId="0" applyNumberFormat="1" applyFont="1" applyFill="1" applyBorder="1" applyAlignment="1">
      <alignment horizontal="center" vertical="center" shrinkToFit="1"/>
    </xf>
    <xf numFmtId="3" fontId="64" fillId="16" borderId="41" xfId="0" applyNumberFormat="1" applyFont="1" applyFill="1" applyBorder="1" applyAlignment="1">
      <alignment horizontal="center" vertical="center" shrinkToFit="1"/>
    </xf>
    <xf numFmtId="3" fontId="64" fillId="0" borderId="25" xfId="0" applyNumberFormat="1" applyFont="1" applyBorder="1" applyAlignment="1">
      <alignment horizontal="center" vertical="center" shrinkToFit="1"/>
    </xf>
    <xf numFmtId="3" fontId="64" fillId="79" borderId="4" xfId="0" applyNumberFormat="1" applyFont="1" applyFill="1" applyBorder="1" applyAlignment="1">
      <alignment horizontal="center" vertical="center" shrinkToFit="1"/>
    </xf>
    <xf numFmtId="3" fontId="64" fillId="79" borderId="583" xfId="0" applyNumberFormat="1" applyFont="1" applyFill="1" applyBorder="1" applyAlignment="1">
      <alignment horizontal="center" vertical="center" shrinkToFit="1"/>
    </xf>
    <xf numFmtId="3" fontId="64" fillId="79" borderId="584" xfId="0" applyNumberFormat="1" applyFont="1" applyFill="1" applyBorder="1" applyAlignment="1">
      <alignment horizontal="center" vertical="center" shrinkToFit="1"/>
    </xf>
    <xf numFmtId="3" fontId="64" fillId="79" borderId="1" xfId="0" applyNumberFormat="1" applyFont="1" applyFill="1" applyBorder="1" applyAlignment="1">
      <alignment horizontal="center" vertical="center" shrinkToFit="1"/>
    </xf>
    <xf numFmtId="3" fontId="64" fillId="79" borderId="36" xfId="0" applyNumberFormat="1" applyFont="1" applyFill="1" applyBorder="1" applyAlignment="1">
      <alignment horizontal="center" vertical="center" shrinkToFit="1"/>
    </xf>
    <xf numFmtId="3" fontId="64" fillId="31" borderId="6" xfId="0" applyNumberFormat="1" applyFont="1" applyFill="1" applyBorder="1" applyAlignment="1">
      <alignment vertical="center" shrinkToFit="1"/>
    </xf>
    <xf numFmtId="3" fontId="64" fillId="31" borderId="1" xfId="0" applyNumberFormat="1" applyFont="1" applyFill="1" applyBorder="1" applyAlignment="1">
      <alignment vertical="center" shrinkToFit="1"/>
    </xf>
    <xf numFmtId="3" fontId="64" fillId="12" borderId="5" xfId="0" applyNumberFormat="1" applyFont="1" applyFill="1" applyBorder="1" applyAlignment="1">
      <alignment horizontal="center" vertical="center" shrinkToFit="1"/>
    </xf>
    <xf numFmtId="41" fontId="64" fillId="12" borderId="36" xfId="0" applyNumberFormat="1" applyFont="1" applyFill="1" applyBorder="1" applyAlignment="1">
      <alignment horizontal="right" vertical="center" shrinkToFit="1"/>
    </xf>
    <xf numFmtId="41" fontId="64" fillId="0" borderId="25" xfId="0" applyNumberFormat="1" applyFont="1" applyBorder="1" applyAlignment="1">
      <alignment horizontal="right" vertical="center" shrinkToFit="1"/>
    </xf>
    <xf numFmtId="41" fontId="64" fillId="12" borderId="4" xfId="0" applyNumberFormat="1" applyFont="1" applyFill="1" applyBorder="1" applyAlignment="1">
      <alignment horizontal="right" vertical="center" shrinkToFit="1"/>
    </xf>
    <xf numFmtId="41" fontId="64" fillId="12" borderId="583" xfId="0" applyNumberFormat="1" applyFont="1" applyFill="1" applyBorder="1" applyAlignment="1">
      <alignment horizontal="right" vertical="center" shrinkToFit="1"/>
    </xf>
    <xf numFmtId="41" fontId="64" fillId="12" borderId="585" xfId="0" applyNumberFormat="1" applyFont="1" applyFill="1" applyBorder="1" applyAlignment="1">
      <alignment horizontal="right" vertical="center" shrinkToFit="1"/>
    </xf>
    <xf numFmtId="41" fontId="64" fillId="12" borderId="1" xfId="0" applyNumberFormat="1" applyFont="1" applyFill="1" applyBorder="1" applyAlignment="1">
      <alignment horizontal="right" vertical="center" shrinkToFit="1"/>
    </xf>
    <xf numFmtId="3" fontId="122" fillId="31" borderId="0" xfId="0" applyNumberFormat="1" applyFont="1" applyFill="1">
      <alignment vertical="center"/>
    </xf>
    <xf numFmtId="3" fontId="59" fillId="31" borderId="0" xfId="0" applyNumberFormat="1" applyFont="1" applyFill="1" applyAlignment="1">
      <alignment vertical="center" shrinkToFit="1"/>
    </xf>
    <xf numFmtId="0" fontId="250" fillId="0" borderId="0" xfId="0" applyFont="1">
      <alignment vertical="center"/>
    </xf>
    <xf numFmtId="0" fontId="7" fillId="19" borderId="586" xfId="0" applyFont="1" applyFill="1" applyBorder="1" applyAlignment="1">
      <alignment horizontal="center" vertical="center" wrapText="1"/>
    </xf>
    <xf numFmtId="0" fontId="251" fillId="19" borderId="586" xfId="0" applyFont="1" applyFill="1" applyBorder="1" applyAlignment="1">
      <alignment horizontal="center" vertical="center" wrapText="1"/>
    </xf>
    <xf numFmtId="41" fontId="250" fillId="0" borderId="0" xfId="0" applyNumberFormat="1" applyFont="1">
      <alignment vertical="center"/>
    </xf>
    <xf numFmtId="0" fontId="250" fillId="12" borderId="586" xfId="0" applyFont="1" applyFill="1" applyBorder="1">
      <alignment vertical="center"/>
    </xf>
    <xf numFmtId="41" fontId="250" fillId="12" borderId="586" xfId="0" applyNumberFormat="1" applyFont="1" applyFill="1" applyBorder="1">
      <alignment vertical="center"/>
    </xf>
    <xf numFmtId="0" fontId="4" fillId="4" borderId="36" xfId="0" applyFont="1" applyFill="1" applyBorder="1" applyAlignment="1">
      <alignment horizontal="center" vertical="center"/>
    </xf>
    <xf numFmtId="226" fontId="4" fillId="4" borderId="36" xfId="0" applyNumberFormat="1" applyFont="1" applyFill="1" applyBorder="1" applyAlignment="1">
      <alignment horizontal="center" vertical="center"/>
    </xf>
    <xf numFmtId="184" fontId="4" fillId="4" borderId="36" xfId="0" applyNumberFormat="1" applyFont="1" applyFill="1" applyBorder="1" applyAlignment="1">
      <alignment horizontal="center" vertical="center"/>
    </xf>
    <xf numFmtId="225" fontId="4" fillId="4" borderId="41" xfId="0" applyNumberFormat="1" applyFont="1" applyFill="1" applyBorder="1" applyAlignment="1">
      <alignment horizontal="center" vertical="center"/>
    </xf>
    <xf numFmtId="226" fontId="4" fillId="4" borderId="41" xfId="0" applyNumberFormat="1" applyFont="1" applyFill="1" applyBorder="1" applyAlignment="1">
      <alignment horizontal="center" vertical="center"/>
    </xf>
    <xf numFmtId="226" fontId="4" fillId="0" borderId="5" xfId="0" applyNumberFormat="1" applyFont="1" applyBorder="1" applyAlignment="1">
      <alignment horizontal="center" vertical="center"/>
    </xf>
    <xf numFmtId="226" fontId="4" fillId="0" borderId="36" xfId="0" applyNumberFormat="1" applyFont="1" applyBorder="1">
      <alignment vertical="center"/>
    </xf>
    <xf numFmtId="184" fontId="4" fillId="0" borderId="4" xfId="0" applyNumberFormat="1" applyFont="1" applyBorder="1">
      <alignment vertical="center"/>
    </xf>
    <xf numFmtId="225" fontId="4" fillId="0" borderId="36" xfId="0" applyNumberFormat="1" applyFont="1" applyBorder="1">
      <alignment vertical="center"/>
    </xf>
    <xf numFmtId="226" fontId="4" fillId="0" borderId="36" xfId="0" applyNumberFormat="1" applyFont="1" applyBorder="1" applyAlignment="1">
      <alignment horizontal="center" vertical="center"/>
    </xf>
    <xf numFmtId="0" fontId="16" fillId="0" borderId="41" xfId="0" applyFont="1" applyBorder="1" applyAlignment="1">
      <alignment vertical="center" wrapText="1"/>
    </xf>
    <xf numFmtId="231" fontId="4" fillId="0" borderId="4" xfId="0" applyNumberFormat="1" applyFont="1" applyBorder="1">
      <alignment vertical="center"/>
    </xf>
    <xf numFmtId="226" fontId="16" fillId="0" borderId="36" xfId="0" applyNumberFormat="1" applyFont="1" applyBorder="1">
      <alignment vertical="center"/>
    </xf>
    <xf numFmtId="0" fontId="4" fillId="35" borderId="41" xfId="0" applyFont="1" applyFill="1" applyBorder="1">
      <alignment vertical="center"/>
    </xf>
    <xf numFmtId="0" fontId="4" fillId="35" borderId="41" xfId="0" applyFont="1" applyFill="1" applyBorder="1" applyAlignment="1">
      <alignment vertical="center" wrapText="1"/>
    </xf>
    <xf numFmtId="0" fontId="54" fillId="0" borderId="36" xfId="0" applyFont="1" applyBorder="1" applyAlignment="1">
      <alignment horizontal="right" vertical="center"/>
    </xf>
    <xf numFmtId="3" fontId="54" fillId="0" borderId="36" xfId="0" applyNumberFormat="1" applyFont="1" applyBorder="1" applyAlignment="1">
      <alignment horizontal="right" vertical="center"/>
    </xf>
    <xf numFmtId="0" fontId="194" fillId="73" borderId="604" xfId="0" applyFont="1" applyFill="1" applyBorder="1" applyAlignment="1">
      <alignment horizontal="center" vertical="center" wrapText="1" readingOrder="1"/>
    </xf>
    <xf numFmtId="0" fontId="193" fillId="73" borderId="476" xfId="0" applyFont="1" applyFill="1" applyBorder="1" applyAlignment="1">
      <alignment horizontal="center" vertical="center" wrapText="1" readingOrder="1"/>
    </xf>
    <xf numFmtId="0" fontId="193" fillId="73" borderId="596" xfId="0" applyFont="1" applyFill="1" applyBorder="1" applyAlignment="1">
      <alignment horizontal="center" vertical="center" wrapText="1" readingOrder="1"/>
    </xf>
    <xf numFmtId="0" fontId="193" fillId="73" borderId="480" xfId="0" applyFont="1" applyFill="1" applyBorder="1" applyAlignment="1">
      <alignment horizontal="center" vertical="center" wrapText="1" readingOrder="1"/>
    </xf>
    <xf numFmtId="0" fontId="193" fillId="73" borderId="597" xfId="0" applyFont="1" applyFill="1" applyBorder="1" applyAlignment="1">
      <alignment horizontal="center" vertical="center" wrapText="1" readingOrder="1"/>
    </xf>
    <xf numFmtId="0" fontId="193" fillId="73" borderId="603" xfId="0" applyFont="1" applyFill="1" applyBorder="1" applyAlignment="1">
      <alignment horizontal="center" vertical="center" wrapText="1" readingOrder="1"/>
    </xf>
    <xf numFmtId="0" fontId="194" fillId="73" borderId="603" xfId="0" applyFont="1" applyFill="1" applyBorder="1" applyAlignment="1">
      <alignment horizontal="center" vertical="center" wrapText="1" readingOrder="1"/>
    </xf>
    <xf numFmtId="0" fontId="2" fillId="73" borderId="480" xfId="0" applyFont="1" applyFill="1" applyBorder="1" applyAlignment="1">
      <alignment horizontal="center" vertical="center" wrapText="1"/>
    </xf>
    <xf numFmtId="0" fontId="2" fillId="73" borderId="597" xfId="0" applyFont="1" applyFill="1" applyBorder="1" applyAlignment="1">
      <alignment horizontal="center" vertical="center" wrapText="1"/>
    </xf>
    <xf numFmtId="0" fontId="193" fillId="73" borderId="155" xfId="0" applyFont="1" applyFill="1" applyBorder="1" applyAlignment="1">
      <alignment horizontal="center" vertical="center" wrapText="1" readingOrder="1"/>
    </xf>
    <xf numFmtId="0" fontId="2" fillId="73" borderId="484" xfId="0" applyFont="1" applyFill="1" applyBorder="1" applyAlignment="1">
      <alignment horizontal="center" vertical="center" wrapText="1"/>
    </xf>
    <xf numFmtId="0" fontId="2" fillId="73" borderId="598" xfId="0" applyFont="1" applyFill="1" applyBorder="1" applyAlignment="1">
      <alignment horizontal="center" vertical="center" wrapText="1"/>
    </xf>
    <xf numFmtId="0" fontId="2" fillId="73" borderId="604" xfId="0" applyFont="1" applyFill="1" applyBorder="1" applyAlignment="1">
      <alignment horizontal="center" vertical="center" wrapText="1"/>
    </xf>
    <xf numFmtId="0" fontId="193" fillId="73" borderId="602" xfId="0" applyFont="1" applyFill="1" applyBorder="1" applyAlignment="1">
      <alignment horizontal="center" vertical="center" wrapText="1" readingOrder="1"/>
    </xf>
    <xf numFmtId="0" fontId="195" fillId="0" borderId="473" xfId="0" applyFont="1" applyBorder="1" applyAlignment="1">
      <alignment horizontal="center" vertical="center" wrapText="1" readingOrder="1"/>
    </xf>
    <xf numFmtId="0" fontId="195" fillId="0" borderId="473" xfId="0" applyFont="1" applyBorder="1" applyAlignment="1">
      <alignment horizontal="center" vertical="center" wrapText="1"/>
    </xf>
    <xf numFmtId="0" fontId="190" fillId="0" borderId="474" xfId="0" applyFont="1" applyBorder="1" applyAlignment="1">
      <alignment horizontal="right" vertical="center" wrapText="1"/>
    </xf>
    <xf numFmtId="0" fontId="194" fillId="80" borderId="476" xfId="0" applyFont="1" applyFill="1" applyBorder="1" applyAlignment="1">
      <alignment horizontal="right" vertical="center" wrapText="1"/>
    </xf>
    <xf numFmtId="0" fontId="190" fillId="0" borderId="596" xfId="0" applyFont="1" applyBorder="1" applyAlignment="1">
      <alignment horizontal="right" vertical="center" wrapText="1"/>
    </xf>
    <xf numFmtId="0" fontId="60" fillId="0" borderId="612" xfId="0" applyFont="1" applyBorder="1" applyAlignment="1">
      <alignment horizontal="right" vertical="center" wrapText="1"/>
    </xf>
    <xf numFmtId="0" fontId="190" fillId="0" borderId="612" xfId="0" applyFont="1" applyBorder="1" applyAlignment="1">
      <alignment horizontal="right" vertical="center" wrapText="1" readingOrder="1"/>
    </xf>
    <xf numFmtId="0" fontId="190" fillId="0" borderId="613" xfId="0" applyFont="1" applyBorder="1" applyAlignment="1">
      <alignment horizontal="right" vertical="center" wrapText="1" readingOrder="1"/>
    </xf>
    <xf numFmtId="0" fontId="190" fillId="0" borderId="476" xfId="0" applyFont="1" applyBorder="1" applyAlignment="1">
      <alignment horizontal="right" vertical="center" wrapText="1"/>
    </xf>
    <xf numFmtId="0" fontId="190" fillId="0" borderId="473" xfId="0" applyFont="1" applyBorder="1" applyAlignment="1">
      <alignment horizontal="right" vertical="center" wrapText="1"/>
    </xf>
    <xf numFmtId="0" fontId="195" fillId="0" borderId="477" xfId="0" applyFont="1" applyBorder="1" applyAlignment="1">
      <alignment horizontal="center" vertical="center" wrapText="1" readingOrder="1"/>
    </xf>
    <xf numFmtId="0" fontId="190" fillId="0" borderId="478" xfId="0" applyFont="1" applyBorder="1" applyAlignment="1">
      <alignment horizontal="right" vertical="center" wrapText="1"/>
    </xf>
    <xf numFmtId="0" fontId="194" fillId="80" borderId="480" xfId="0" applyFont="1" applyFill="1" applyBorder="1" applyAlignment="1">
      <alignment horizontal="right" vertical="center" wrapText="1"/>
    </xf>
    <xf numFmtId="0" fontId="190" fillId="0" borderId="597" xfId="0" applyFont="1" applyBorder="1" applyAlignment="1">
      <alignment horizontal="right" vertical="center" wrapText="1"/>
    </xf>
    <xf numFmtId="0" fontId="190" fillId="0" borderId="155" xfId="0" applyFont="1" applyBorder="1" applyAlignment="1">
      <alignment horizontal="right" vertical="center" wrapText="1" readingOrder="1"/>
    </xf>
    <xf numFmtId="0" fontId="60" fillId="0" borderId="155" xfId="0" applyFont="1" applyBorder="1" applyAlignment="1">
      <alignment horizontal="right" vertical="center" wrapText="1"/>
    </xf>
    <xf numFmtId="0" fontId="60" fillId="0" borderId="610" xfId="0" applyFont="1" applyBorder="1" applyAlignment="1">
      <alignment horizontal="right" vertical="center" wrapText="1"/>
    </xf>
    <xf numFmtId="0" fontId="190" fillId="0" borderId="480" xfId="0" applyFont="1" applyBorder="1" applyAlignment="1">
      <alignment horizontal="right" vertical="center" wrapText="1"/>
    </xf>
    <xf numFmtId="0" fontId="190" fillId="0" borderId="477" xfId="0" applyFont="1" applyBorder="1" applyAlignment="1">
      <alignment horizontal="right" vertical="center" wrapText="1"/>
    </xf>
    <xf numFmtId="0" fontId="2" fillId="0" borderId="477" xfId="0" applyFont="1" applyBorder="1" applyAlignment="1">
      <alignment horizontal="center" vertical="center" wrapText="1"/>
    </xf>
    <xf numFmtId="0" fontId="190" fillId="0" borderId="610" xfId="0" applyFont="1" applyBorder="1" applyAlignment="1">
      <alignment horizontal="right" vertical="center" wrapText="1" readingOrder="1"/>
    </xf>
    <xf numFmtId="0" fontId="195" fillId="0" borderId="610" xfId="0" applyFont="1" applyBorder="1" applyAlignment="1">
      <alignment horizontal="right" vertical="center" wrapText="1" readingOrder="1"/>
    </xf>
    <xf numFmtId="0" fontId="195" fillId="0" borderId="597" xfId="0" applyFont="1" applyBorder="1" applyAlignment="1">
      <alignment horizontal="right" vertical="center" wrapText="1"/>
    </xf>
    <xf numFmtId="0" fontId="195" fillId="0" borderId="155" xfId="0" applyFont="1" applyBorder="1" applyAlignment="1">
      <alignment horizontal="right" vertical="center" wrapText="1" readingOrder="1"/>
    </xf>
    <xf numFmtId="0" fontId="195" fillId="0" borderId="481" xfId="0" applyFont="1" applyBorder="1" applyAlignment="1">
      <alignment horizontal="center" vertical="center" wrapText="1" readingOrder="1"/>
    </xf>
    <xf numFmtId="0" fontId="190" fillId="0" borderId="482" xfId="0" applyFont="1" applyBorder="1" applyAlignment="1">
      <alignment horizontal="right" vertical="center" wrapText="1"/>
    </xf>
    <xf numFmtId="0" fontId="194" fillId="80" borderId="484" xfId="0" applyFont="1" applyFill="1" applyBorder="1" applyAlignment="1">
      <alignment horizontal="right" vertical="center" wrapText="1"/>
    </xf>
    <xf numFmtId="0" fontId="190" fillId="0" borderId="598" xfId="0" applyFont="1" applyBorder="1" applyAlignment="1">
      <alignment horizontal="right" vertical="center" wrapText="1"/>
    </xf>
    <xf numFmtId="0" fontId="190" fillId="0" borderId="604" xfId="0" applyFont="1" applyBorder="1" applyAlignment="1">
      <alignment horizontal="right" vertical="center" wrapText="1" readingOrder="1"/>
    </xf>
    <xf numFmtId="0" fontId="60" fillId="0" borderId="604" xfId="0" applyFont="1" applyBorder="1" applyAlignment="1">
      <alignment horizontal="right" vertical="center" wrapText="1"/>
    </xf>
    <xf numFmtId="0" fontId="195" fillId="0" borderId="611" xfId="0" applyFont="1" applyBorder="1" applyAlignment="1">
      <alignment horizontal="right" vertical="center" wrapText="1" readingOrder="1"/>
    </xf>
    <xf numFmtId="0" fontId="190" fillId="0" borderId="484" xfId="0" applyFont="1" applyBorder="1" applyAlignment="1">
      <alignment horizontal="right" vertical="center" wrapText="1"/>
    </xf>
    <xf numFmtId="0" fontId="190" fillId="0" borderId="481" xfId="0" applyFont="1" applyBorder="1" applyAlignment="1">
      <alignment horizontal="right" vertical="center" wrapText="1"/>
    </xf>
    <xf numFmtId="0" fontId="2" fillId="0" borderId="481" xfId="0" applyFont="1" applyBorder="1" applyAlignment="1">
      <alignment horizontal="center" vertical="center" wrapText="1"/>
    </xf>
    <xf numFmtId="0" fontId="193" fillId="0" borderId="469" xfId="0" applyFont="1" applyBorder="1" applyAlignment="1">
      <alignment horizontal="center" vertical="center" wrapText="1" readingOrder="1"/>
    </xf>
    <xf numFmtId="3" fontId="190" fillId="0" borderId="470" xfId="0" applyNumberFormat="1" applyFont="1" applyBorder="1" applyAlignment="1">
      <alignment horizontal="right" vertical="center" wrapText="1"/>
    </xf>
    <xf numFmtId="3" fontId="194" fillId="80" borderId="614" xfId="0" applyNumberFormat="1" applyFont="1" applyFill="1" applyBorder="1" applyAlignment="1">
      <alignment horizontal="right" vertical="center" wrapText="1"/>
    </xf>
    <xf numFmtId="0" fontId="190" fillId="0" borderId="615" xfId="0" applyFont="1" applyBorder="1" applyAlignment="1">
      <alignment horizontal="right" vertical="center" wrapText="1"/>
    </xf>
    <xf numFmtId="0" fontId="190" fillId="0" borderId="616" xfId="0" applyFont="1" applyBorder="1" applyAlignment="1">
      <alignment horizontal="right" vertical="center" wrapText="1" readingOrder="1"/>
    </xf>
    <xf numFmtId="0" fontId="195" fillId="0" borderId="616" xfId="0" applyFont="1" applyBorder="1" applyAlignment="1">
      <alignment horizontal="right" vertical="center" wrapText="1" readingOrder="1"/>
    </xf>
    <xf numFmtId="0" fontId="190" fillId="0" borderId="617" xfId="0" applyFont="1" applyBorder="1" applyAlignment="1">
      <alignment horizontal="right" vertical="center" wrapText="1" readingOrder="1"/>
    </xf>
    <xf numFmtId="3" fontId="190" fillId="0" borderId="472" xfId="0" applyNumberFormat="1" applyFont="1" applyBorder="1" applyAlignment="1">
      <alignment horizontal="right" vertical="center" wrapText="1"/>
    </xf>
    <xf numFmtId="3" fontId="190" fillId="0" borderId="469" xfId="0" applyNumberFormat="1" applyFont="1" applyBorder="1" applyAlignment="1">
      <alignment horizontal="right" vertical="center" wrapText="1"/>
    </xf>
    <xf numFmtId="0" fontId="193" fillId="73" borderId="621" xfId="0" applyFont="1" applyFill="1" applyBorder="1" applyAlignment="1">
      <alignment horizontal="center" vertical="center" wrapText="1" readingOrder="1"/>
    </xf>
    <xf numFmtId="0" fontId="193" fillId="73" borderId="484" xfId="0" applyFont="1" applyFill="1" applyBorder="1" applyAlignment="1">
      <alignment horizontal="center" vertical="center" wrapText="1" readingOrder="1"/>
    </xf>
    <xf numFmtId="0" fontId="195" fillId="75" borderId="473" xfId="0" applyFont="1" applyFill="1" applyBorder="1" applyAlignment="1">
      <alignment horizontal="left" vertical="center" wrapText="1" readingOrder="1"/>
    </xf>
    <xf numFmtId="0" fontId="190" fillId="75" borderId="474" xfId="0" applyFont="1" applyFill="1" applyBorder="1" applyAlignment="1">
      <alignment horizontal="right" vertical="center" wrapText="1"/>
    </xf>
    <xf numFmtId="0" fontId="194" fillId="81" borderId="476" xfId="0" applyFont="1" applyFill="1" applyBorder="1" applyAlignment="1">
      <alignment horizontal="right" vertical="top" wrapText="1"/>
    </xf>
    <xf numFmtId="0" fontId="195" fillId="75" borderId="596" xfId="0" applyFont="1" applyFill="1" applyBorder="1" applyAlignment="1">
      <alignment horizontal="right" vertical="center" wrapText="1"/>
    </xf>
    <xf numFmtId="0" fontId="252" fillId="75" borderId="613" xfId="0" applyFont="1" applyFill="1" applyBorder="1" applyAlignment="1">
      <alignment horizontal="left" vertical="center" wrapText="1" readingOrder="1"/>
    </xf>
    <xf numFmtId="0" fontId="190" fillId="75" borderId="476" xfId="0" applyFont="1" applyFill="1" applyBorder="1" applyAlignment="1">
      <alignment horizontal="right" vertical="top" wrapText="1"/>
    </xf>
    <xf numFmtId="0" fontId="190" fillId="75" borderId="473" xfId="0" applyFont="1" applyFill="1" applyBorder="1" applyAlignment="1">
      <alignment horizontal="right" vertical="top" wrapText="1"/>
    </xf>
    <xf numFmtId="0" fontId="195" fillId="75" borderId="477" xfId="0" applyFont="1" applyFill="1" applyBorder="1" applyAlignment="1">
      <alignment horizontal="left" vertical="center" wrapText="1" readingOrder="1"/>
    </xf>
    <xf numFmtId="0" fontId="190" fillId="75" borderId="478" xfId="0" applyFont="1" applyFill="1" applyBorder="1" applyAlignment="1">
      <alignment horizontal="right" vertical="center" wrapText="1"/>
    </xf>
    <xf numFmtId="0" fontId="194" fillId="81" borderId="480" xfId="0" applyFont="1" applyFill="1" applyBorder="1" applyAlignment="1">
      <alignment horizontal="right" vertical="top" wrapText="1"/>
    </xf>
    <xf numFmtId="0" fontId="190" fillId="75" borderId="597" xfId="0" applyFont="1" applyFill="1" applyBorder="1" applyAlignment="1">
      <alignment horizontal="right" vertical="center" wrapText="1"/>
    </xf>
    <xf numFmtId="0" fontId="252" fillId="75" borderId="610" xfId="0" applyFont="1" applyFill="1" applyBorder="1" applyAlignment="1">
      <alignment horizontal="left" vertical="center" wrapText="1"/>
    </xf>
    <xf numFmtId="0" fontId="190" fillId="75" borderId="480" xfId="0" applyFont="1" applyFill="1" applyBorder="1" applyAlignment="1">
      <alignment horizontal="right" vertical="top" wrapText="1"/>
    </xf>
    <xf numFmtId="0" fontId="190" fillId="75" borderId="477" xfId="0" applyFont="1" applyFill="1" applyBorder="1" applyAlignment="1">
      <alignment horizontal="right" vertical="top" wrapText="1"/>
    </xf>
    <xf numFmtId="0" fontId="252" fillId="75" borderId="610" xfId="0" applyFont="1" applyFill="1" applyBorder="1" applyAlignment="1">
      <alignment horizontal="left" vertical="center" wrapText="1" readingOrder="1"/>
    </xf>
    <xf numFmtId="0" fontId="190" fillId="75" borderId="610" xfId="0" applyFont="1" applyFill="1" applyBorder="1" applyAlignment="1">
      <alignment horizontal="left" vertical="center" wrapText="1" readingOrder="1"/>
    </xf>
    <xf numFmtId="0" fontId="195" fillId="75" borderId="597" xfId="0" applyFont="1" applyFill="1" applyBorder="1" applyAlignment="1">
      <alignment horizontal="right" vertical="center" wrapText="1"/>
    </xf>
    <xf numFmtId="0" fontId="60" fillId="75" borderId="610" xfId="0" applyFont="1" applyFill="1" applyBorder="1" applyAlignment="1">
      <alignment vertical="center" wrapText="1"/>
    </xf>
    <xf numFmtId="0" fontId="190" fillId="75" borderId="477" xfId="0" applyFont="1" applyFill="1" applyBorder="1" applyAlignment="1">
      <alignment horizontal="left" vertical="center" wrapText="1" readingOrder="1"/>
    </xf>
    <xf numFmtId="0" fontId="190" fillId="75" borderId="610" xfId="0" applyFont="1" applyFill="1" applyBorder="1" applyAlignment="1">
      <alignment horizontal="left" vertical="center" wrapText="1"/>
    </xf>
    <xf numFmtId="0" fontId="190" fillId="75" borderId="627" xfId="0" applyFont="1" applyFill="1" applyBorder="1" applyAlignment="1">
      <alignment horizontal="left" vertical="center" wrapText="1" readingOrder="1"/>
    </xf>
    <xf numFmtId="0" fontId="190" fillId="75" borderId="628" xfId="0" applyFont="1" applyFill="1" applyBorder="1" applyAlignment="1">
      <alignment horizontal="center" vertical="center" wrapText="1" readingOrder="1"/>
    </xf>
    <xf numFmtId="3" fontId="190" fillId="75" borderId="629" xfId="0" applyNumberFormat="1" applyFont="1" applyFill="1" applyBorder="1" applyAlignment="1">
      <alignment horizontal="right" vertical="center" wrapText="1"/>
    </xf>
    <xf numFmtId="3" fontId="194" fillId="81" borderId="630" xfId="0" applyNumberFormat="1" applyFont="1" applyFill="1" applyBorder="1" applyAlignment="1">
      <alignment horizontal="right" vertical="center" wrapText="1"/>
    </xf>
    <xf numFmtId="0" fontId="190" fillId="75" borderId="631" xfId="0" applyFont="1" applyFill="1" applyBorder="1" applyAlignment="1">
      <alignment horizontal="right" vertical="center" wrapText="1"/>
    </xf>
    <xf numFmtId="0" fontId="60" fillId="75" borderId="632" xfId="0" applyFont="1" applyFill="1" applyBorder="1" applyAlignment="1">
      <alignment vertical="center" wrapText="1"/>
    </xf>
    <xf numFmtId="3" fontId="190" fillId="75" borderId="630" xfId="0" applyNumberFormat="1" applyFont="1" applyFill="1" applyBorder="1" applyAlignment="1">
      <alignment horizontal="right" vertical="center" wrapText="1"/>
    </xf>
    <xf numFmtId="3" fontId="190" fillId="75" borderId="628" xfId="0" applyNumberFormat="1" applyFont="1" applyFill="1" applyBorder="1" applyAlignment="1">
      <alignment horizontal="right" vertical="center" wrapText="1"/>
    </xf>
    <xf numFmtId="0" fontId="195" fillId="75" borderId="633" xfId="0" applyFont="1" applyFill="1" applyBorder="1" applyAlignment="1">
      <alignment horizontal="left" vertical="center" wrapText="1" readingOrder="1"/>
    </xf>
    <xf numFmtId="0" fontId="190" fillId="75" borderId="634" xfId="0" applyFont="1" applyFill="1" applyBorder="1" applyAlignment="1">
      <alignment horizontal="right" vertical="center" wrapText="1"/>
    </xf>
    <xf numFmtId="0" fontId="194" fillId="81" borderId="635" xfId="0" applyFont="1" applyFill="1" applyBorder="1" applyAlignment="1">
      <alignment horizontal="right" vertical="center" wrapText="1"/>
    </xf>
    <xf numFmtId="0" fontId="195" fillId="75" borderId="636" xfId="0" applyFont="1" applyFill="1" applyBorder="1" applyAlignment="1">
      <alignment horizontal="right" vertical="center" wrapText="1"/>
    </xf>
    <xf numFmtId="0" fontId="253" fillId="75" borderId="637" xfId="0" applyFont="1" applyFill="1" applyBorder="1" applyAlignment="1">
      <alignment horizontal="left" vertical="center" wrapText="1"/>
    </xf>
    <xf numFmtId="0" fontId="190" fillId="75" borderId="635" xfId="0" applyFont="1" applyFill="1" applyBorder="1" applyAlignment="1">
      <alignment horizontal="right" vertical="center" wrapText="1"/>
    </xf>
    <xf numFmtId="0" fontId="190" fillId="75" borderId="633" xfId="0" applyFont="1" applyFill="1" applyBorder="1" applyAlignment="1">
      <alignment horizontal="right" vertical="center" wrapText="1"/>
    </xf>
    <xf numFmtId="0" fontId="193" fillId="75" borderId="469" xfId="0" applyFont="1" applyFill="1" applyBorder="1" applyAlignment="1">
      <alignment horizontal="center" vertical="center" wrapText="1" readingOrder="1"/>
    </xf>
    <xf numFmtId="3" fontId="190" fillId="75" borderId="470" xfId="0" applyNumberFormat="1" applyFont="1" applyFill="1" applyBorder="1" applyAlignment="1">
      <alignment horizontal="right" vertical="center" wrapText="1"/>
    </xf>
    <xf numFmtId="3" fontId="194" fillId="81" borderId="614" xfId="0" applyNumberFormat="1" applyFont="1" applyFill="1" applyBorder="1" applyAlignment="1">
      <alignment horizontal="right" vertical="center" wrapText="1"/>
    </xf>
    <xf numFmtId="0" fontId="190" fillId="75" borderId="615" xfId="0" applyFont="1" applyFill="1" applyBorder="1" applyAlignment="1">
      <alignment horizontal="right" vertical="center" wrapText="1"/>
    </xf>
    <xf numFmtId="0" fontId="195" fillId="75" borderId="617" xfId="0" applyFont="1" applyFill="1" applyBorder="1" applyAlignment="1">
      <alignment horizontal="left" vertical="center" wrapText="1"/>
    </xf>
    <xf numFmtId="3" fontId="190" fillId="75" borderId="472" xfId="0" applyNumberFormat="1" applyFont="1" applyFill="1" applyBorder="1" applyAlignment="1">
      <alignment horizontal="right" vertical="center" wrapText="1"/>
    </xf>
    <xf numFmtId="3" fontId="190" fillId="75" borderId="469" xfId="0" applyNumberFormat="1" applyFont="1" applyFill="1" applyBorder="1" applyAlignment="1">
      <alignment horizontal="right" vertical="center" wrapText="1"/>
    </xf>
    <xf numFmtId="179" fontId="15" fillId="0" borderId="0" xfId="0" applyNumberFormat="1" applyFont="1">
      <alignment vertical="center"/>
    </xf>
    <xf numFmtId="179" fontId="4" fillId="0" borderId="16" xfId="0" applyNumberFormat="1" applyFont="1" applyBorder="1">
      <alignment vertical="center"/>
    </xf>
    <xf numFmtId="0" fontId="2" fillId="51" borderId="36" xfId="0" applyFont="1" applyFill="1" applyBorder="1" applyAlignment="1" applyProtection="1">
      <alignment vertical="top"/>
      <protection locked="0"/>
    </xf>
    <xf numFmtId="0" fontId="4" fillId="0" borderId="0" xfId="0" applyFont="1" applyAlignment="1" applyProtection="1">
      <alignment vertical="top"/>
      <protection locked="0"/>
    </xf>
    <xf numFmtId="3" fontId="4" fillId="0" borderId="0" xfId="0" applyNumberFormat="1" applyFont="1" applyAlignment="1" applyProtection="1">
      <alignment horizontal="right" vertical="top"/>
      <protection locked="0"/>
    </xf>
    <xf numFmtId="219" fontId="4" fillId="0" borderId="0" xfId="0" applyNumberFormat="1" applyFont="1" applyAlignment="1" applyProtection="1">
      <alignment horizontal="right" vertical="top"/>
      <protection locked="0"/>
    </xf>
    <xf numFmtId="0" fontId="4" fillId="33" borderId="36" xfId="0" applyFont="1" applyFill="1" applyBorder="1" applyAlignment="1" applyProtection="1">
      <alignment vertical="top"/>
      <protection locked="0"/>
    </xf>
    <xf numFmtId="3" fontId="4" fillId="33" borderId="36" xfId="0" applyNumberFormat="1" applyFont="1" applyFill="1" applyBorder="1" applyAlignment="1" applyProtection="1">
      <alignment horizontal="right" vertical="top"/>
      <protection locked="0"/>
    </xf>
    <xf numFmtId="219" fontId="4" fillId="33" borderId="36" xfId="0" applyNumberFormat="1" applyFont="1" applyFill="1" applyBorder="1" applyAlignment="1" applyProtection="1">
      <alignment horizontal="right" vertical="top"/>
      <protection locked="0"/>
    </xf>
    <xf numFmtId="0" fontId="4" fillId="51" borderId="36" xfId="0" applyFont="1" applyFill="1" applyBorder="1" applyAlignment="1" applyProtection="1">
      <alignment vertical="top"/>
      <protection locked="0"/>
    </xf>
    <xf numFmtId="49" fontId="4" fillId="0" borderId="0" xfId="0" applyNumberFormat="1" applyFont="1" applyProtection="1">
      <alignment vertical="center"/>
      <protection locked="0"/>
    </xf>
    <xf numFmtId="0" fontId="4" fillId="0" borderId="0" xfId="0" applyFont="1" applyProtection="1">
      <alignment vertical="center"/>
      <protection locked="0"/>
    </xf>
    <xf numFmtId="4" fontId="4" fillId="0" borderId="0" xfId="0" applyNumberFormat="1" applyFont="1" applyProtection="1">
      <alignment vertical="center"/>
      <protection locked="0"/>
    </xf>
    <xf numFmtId="3" fontId="4" fillId="0" borderId="0" xfId="0" applyNumberFormat="1" applyFont="1" applyProtection="1">
      <alignment vertical="center"/>
      <protection locked="0"/>
    </xf>
    <xf numFmtId="0" fontId="4" fillId="4" borderId="36" xfId="0" applyFont="1" applyFill="1" applyBorder="1" applyProtection="1">
      <alignment vertical="center"/>
      <protection locked="0"/>
    </xf>
    <xf numFmtId="4" fontId="4" fillId="4" borderId="36" xfId="0" applyNumberFormat="1" applyFont="1" applyFill="1" applyBorder="1" applyProtection="1">
      <alignment vertical="center"/>
      <protection locked="0"/>
    </xf>
    <xf numFmtId="3" fontId="4" fillId="4" borderId="36" xfId="0" applyNumberFormat="1" applyFont="1" applyFill="1" applyBorder="1" applyProtection="1">
      <alignment vertical="center"/>
      <protection locked="0"/>
    </xf>
    <xf numFmtId="0" fontId="2" fillId="0" borderId="0" xfId="0" applyFont="1" applyAlignment="1" applyProtection="1">
      <alignment vertical="top"/>
      <protection locked="0"/>
    </xf>
    <xf numFmtId="178" fontId="11" fillId="0" borderId="17" xfId="0" applyNumberFormat="1" applyFont="1" applyBorder="1">
      <alignment vertical="center"/>
    </xf>
    <xf numFmtId="0" fontId="2" fillId="0" borderId="0" xfId="0" applyFont="1" applyAlignment="1">
      <alignment horizontal="left" vertical="center"/>
    </xf>
    <xf numFmtId="0" fontId="2" fillId="0" borderId="3" xfId="0" applyFont="1" applyBorder="1" applyAlignment="1">
      <alignment horizontal="left" vertical="center" indent="1"/>
    </xf>
    <xf numFmtId="0" fontId="15" fillId="19" borderId="1" xfId="0" applyFont="1" applyFill="1" applyBorder="1">
      <alignment vertical="center"/>
    </xf>
    <xf numFmtId="0" fontId="15" fillId="19" borderId="3" xfId="0" applyFont="1" applyFill="1" applyBorder="1">
      <alignment vertical="center"/>
    </xf>
    <xf numFmtId="0" fontId="194" fillId="73" borderId="640" xfId="0" applyFont="1" applyFill="1" applyBorder="1" applyAlignment="1">
      <alignment horizontal="center" vertical="center" wrapText="1" readingOrder="1"/>
    </xf>
    <xf numFmtId="0" fontId="194" fillId="73" borderId="471" xfId="0" applyFont="1" applyFill="1" applyBorder="1" applyAlignment="1">
      <alignment horizontal="center" vertical="center" wrapText="1" readingOrder="1"/>
    </xf>
    <xf numFmtId="0" fontId="194" fillId="73" borderId="641" xfId="0" applyFont="1" applyFill="1" applyBorder="1" applyAlignment="1">
      <alignment horizontal="center" vertical="center" wrapText="1" readingOrder="1"/>
    </xf>
    <xf numFmtId="0" fontId="194" fillId="73" borderId="642" xfId="0" applyFont="1" applyFill="1" applyBorder="1" applyAlignment="1">
      <alignment horizontal="center" vertical="center" wrapText="1" readingOrder="1"/>
    </xf>
    <xf numFmtId="4" fontId="190" fillId="0" borderId="644" xfId="0" applyNumberFormat="1" applyFont="1" applyBorder="1" applyAlignment="1">
      <alignment horizontal="right" vertical="center" wrapText="1" readingOrder="1"/>
    </xf>
    <xf numFmtId="4" fontId="194" fillId="74" borderId="645" xfId="0" applyNumberFormat="1" applyFont="1" applyFill="1" applyBorder="1" applyAlignment="1">
      <alignment horizontal="right" vertical="center" wrapText="1" readingOrder="1"/>
    </xf>
    <xf numFmtId="4" fontId="190" fillId="0" borderId="646" xfId="0" applyNumberFormat="1" applyFont="1" applyBorder="1" applyAlignment="1">
      <alignment horizontal="right" vertical="center" wrapText="1" readingOrder="1"/>
    </xf>
    <xf numFmtId="4" fontId="190" fillId="0" borderId="647" xfId="0" applyNumberFormat="1" applyFont="1" applyBorder="1" applyAlignment="1">
      <alignment horizontal="right" vertical="center" wrapText="1" readingOrder="1"/>
    </xf>
    <xf numFmtId="0" fontId="195" fillId="0" borderId="648" xfId="0" applyFont="1" applyBorder="1" applyAlignment="1">
      <alignment horizontal="center" vertical="center" wrapText="1" readingOrder="1"/>
    </xf>
    <xf numFmtId="0" fontId="195" fillId="0" borderId="649" xfId="0" applyFont="1" applyBorder="1" applyAlignment="1">
      <alignment horizontal="left" vertical="center" wrapText="1" readingOrder="1"/>
    </xf>
    <xf numFmtId="4" fontId="190" fillId="0" borderId="650" xfId="0" applyNumberFormat="1" applyFont="1" applyBorder="1" applyAlignment="1">
      <alignment horizontal="right" vertical="center" wrapText="1" readingOrder="1"/>
    </xf>
    <xf numFmtId="4" fontId="190" fillId="74" borderId="651" xfId="0" applyNumberFormat="1" applyFont="1" applyFill="1" applyBorder="1" applyAlignment="1">
      <alignment horizontal="right" vertical="center" wrapText="1" readingOrder="1"/>
    </xf>
    <xf numFmtId="4" fontId="190" fillId="0" borderId="652" xfId="0" applyNumberFormat="1" applyFont="1" applyBorder="1" applyAlignment="1">
      <alignment horizontal="right" vertical="center" wrapText="1" readingOrder="1"/>
    </xf>
    <xf numFmtId="4" fontId="190" fillId="0" borderId="653" xfId="0" applyNumberFormat="1" applyFont="1" applyBorder="1" applyAlignment="1">
      <alignment horizontal="right" vertical="center" wrapText="1" readingOrder="1"/>
    </xf>
    <xf numFmtId="0" fontId="195" fillId="0" borderId="654" xfId="0" applyFont="1" applyBorder="1" applyAlignment="1">
      <alignment horizontal="center" vertical="center" wrapText="1" readingOrder="1"/>
    </xf>
    <xf numFmtId="0" fontId="190" fillId="0" borderId="655" xfId="0" applyFont="1" applyBorder="1" applyAlignment="1">
      <alignment horizontal="left" vertical="center" wrapText="1" readingOrder="1"/>
    </xf>
    <xf numFmtId="0" fontId="190" fillId="0" borderId="656" xfId="0" applyFont="1" applyBorder="1" applyAlignment="1">
      <alignment horizontal="right" vertical="center" wrapText="1" readingOrder="1"/>
    </xf>
    <xf numFmtId="0" fontId="190" fillId="74" borderId="657" xfId="0" applyFont="1" applyFill="1" applyBorder="1" applyAlignment="1">
      <alignment horizontal="right" vertical="center" wrapText="1" readingOrder="1"/>
    </xf>
    <xf numFmtId="0" fontId="190" fillId="0" borderId="658" xfId="0" applyFont="1" applyBorder="1" applyAlignment="1">
      <alignment horizontal="right" vertical="center" wrapText="1" readingOrder="1"/>
    </xf>
    <xf numFmtId="0" fontId="190" fillId="0" borderId="659" xfId="0" applyFont="1" applyBorder="1" applyAlignment="1">
      <alignment horizontal="right" vertical="center" wrapText="1" readingOrder="1"/>
    </xf>
    <xf numFmtId="0" fontId="190" fillId="0" borderId="662" xfId="0" applyFont="1" applyBorder="1" applyAlignment="1">
      <alignment horizontal="right" vertical="center" wrapText="1" readingOrder="1"/>
    </xf>
    <xf numFmtId="0" fontId="194" fillId="74" borderId="663" xfId="0" applyFont="1" applyFill="1" applyBorder="1" applyAlignment="1">
      <alignment horizontal="right" vertical="center" wrapText="1" readingOrder="1"/>
    </xf>
    <xf numFmtId="0" fontId="190" fillId="0" borderId="664" xfId="0" applyFont="1" applyBorder="1" applyAlignment="1">
      <alignment horizontal="right" vertical="center" wrapText="1" readingOrder="1"/>
    </xf>
    <xf numFmtId="0" fontId="190" fillId="0" borderId="665" xfId="0" applyFont="1" applyBorder="1" applyAlignment="1">
      <alignment horizontal="right" vertical="center" wrapText="1" readingOrder="1"/>
    </xf>
    <xf numFmtId="0" fontId="190" fillId="0" borderId="668" xfId="0" applyFont="1" applyBorder="1" applyAlignment="1">
      <alignment horizontal="right" vertical="center" wrapText="1" readingOrder="1"/>
    </xf>
    <xf numFmtId="0" fontId="194" fillId="74" borderId="669" xfId="0" applyFont="1" applyFill="1" applyBorder="1" applyAlignment="1">
      <alignment horizontal="right" vertical="center" wrapText="1" readingOrder="1"/>
    </xf>
    <xf numFmtId="0" fontId="190" fillId="0" borderId="670" xfId="0" applyFont="1" applyBorder="1" applyAlignment="1">
      <alignment horizontal="right" vertical="center" wrapText="1" readingOrder="1"/>
    </xf>
    <xf numFmtId="0" fontId="190" fillId="0" borderId="671" xfId="0" applyFont="1" applyBorder="1" applyAlignment="1">
      <alignment horizontal="right" vertical="center" wrapText="1" readingOrder="1"/>
    </xf>
    <xf numFmtId="0" fontId="194" fillId="74" borderId="657" xfId="0" applyFont="1" applyFill="1" applyBorder="1" applyAlignment="1">
      <alignment horizontal="right" vertical="center" wrapText="1" readingOrder="1"/>
    </xf>
    <xf numFmtId="0" fontId="190" fillId="0" borderId="676" xfId="0" applyFont="1" applyBorder="1" applyAlignment="1">
      <alignment horizontal="right" vertical="center" wrapText="1" readingOrder="1"/>
    </xf>
    <xf numFmtId="0" fontId="194" fillId="74" borderId="677" xfId="0" applyFont="1" applyFill="1" applyBorder="1" applyAlignment="1">
      <alignment horizontal="right" vertical="center" wrapText="1" readingOrder="1"/>
    </xf>
    <xf numFmtId="0" fontId="190" fillId="0" borderId="678" xfId="0" applyFont="1" applyBorder="1" applyAlignment="1">
      <alignment horizontal="right" vertical="center" wrapText="1" readingOrder="1"/>
    </xf>
    <xf numFmtId="0" fontId="190" fillId="0" borderId="679" xfId="0" applyFont="1" applyBorder="1" applyAlignment="1">
      <alignment horizontal="right" vertical="center" wrapText="1" readingOrder="1"/>
    </xf>
    <xf numFmtId="0" fontId="194" fillId="73" borderId="685" xfId="0" applyFont="1" applyFill="1" applyBorder="1" applyAlignment="1">
      <alignment horizontal="center" vertical="center" wrapText="1" readingOrder="1"/>
    </xf>
    <xf numFmtId="0" fontId="194" fillId="73" borderId="602" xfId="0" applyFont="1" applyFill="1" applyBorder="1" applyAlignment="1">
      <alignment horizontal="center" vertical="center" wrapText="1" readingOrder="1"/>
    </xf>
    <xf numFmtId="0" fontId="194" fillId="73" borderId="686" xfId="0" applyFont="1" applyFill="1" applyBorder="1" applyAlignment="1">
      <alignment horizontal="center" vertical="center" wrapText="1" readingOrder="1"/>
    </xf>
    <xf numFmtId="0" fontId="194" fillId="73" borderId="687" xfId="0" applyFont="1" applyFill="1" applyBorder="1" applyAlignment="1">
      <alignment horizontal="center" vertical="center" wrapText="1" readingOrder="1"/>
    </xf>
    <xf numFmtId="0" fontId="194" fillId="73" borderId="688" xfId="0" applyFont="1" applyFill="1" applyBorder="1" applyAlignment="1">
      <alignment horizontal="center" vertical="center" wrapText="1" readingOrder="1"/>
    </xf>
    <xf numFmtId="0" fontId="194" fillId="73" borderId="689" xfId="0" applyFont="1" applyFill="1" applyBorder="1" applyAlignment="1">
      <alignment horizontal="center" vertical="center" wrapText="1" readingOrder="1"/>
    </xf>
    <xf numFmtId="0" fontId="194" fillId="73" borderId="690" xfId="0" applyFont="1" applyFill="1" applyBorder="1" applyAlignment="1">
      <alignment horizontal="center" vertical="center" wrapText="1" readingOrder="1"/>
    </xf>
    <xf numFmtId="0" fontId="194" fillId="73" borderId="691" xfId="0" applyFont="1" applyFill="1" applyBorder="1" applyAlignment="1">
      <alignment horizontal="center" vertical="center" wrapText="1" readingOrder="1"/>
    </xf>
    <xf numFmtId="0" fontId="194" fillId="73" borderId="692" xfId="0" applyFont="1" applyFill="1" applyBorder="1" applyAlignment="1">
      <alignment horizontal="center" vertical="center" wrapText="1" readingOrder="1"/>
    </xf>
    <xf numFmtId="0" fontId="190" fillId="0" borderId="693" xfId="0" applyFont="1" applyBorder="1" applyAlignment="1">
      <alignment horizontal="right" vertical="center" wrapText="1" readingOrder="1"/>
    </xf>
    <xf numFmtId="0" fontId="190" fillId="0" borderId="694" xfId="0" applyFont="1" applyBorder="1" applyAlignment="1">
      <alignment horizontal="right" vertical="center" wrapText="1" readingOrder="1"/>
    </xf>
    <xf numFmtId="0" fontId="190" fillId="0" borderId="695" xfId="0" applyFont="1" applyBorder="1" applyAlignment="1">
      <alignment horizontal="right" vertical="center" wrapText="1" readingOrder="1"/>
    </xf>
    <xf numFmtId="0" fontId="190" fillId="74" borderId="696" xfId="0" applyFont="1" applyFill="1" applyBorder="1" applyAlignment="1">
      <alignment horizontal="right" vertical="center" wrapText="1" readingOrder="1"/>
    </xf>
    <xf numFmtId="0" fontId="190" fillId="74" borderId="697" xfId="0" applyFont="1" applyFill="1" applyBorder="1" applyAlignment="1">
      <alignment horizontal="right" vertical="center" wrapText="1" readingOrder="1"/>
    </xf>
    <xf numFmtId="0" fontId="190" fillId="74" borderId="698" xfId="0" applyFont="1" applyFill="1" applyBorder="1" applyAlignment="1">
      <alignment horizontal="right" vertical="center" wrapText="1" readingOrder="1"/>
    </xf>
    <xf numFmtId="0" fontId="190" fillId="0" borderId="699" xfId="0" applyFont="1" applyBorder="1" applyAlignment="1">
      <alignment horizontal="right" vertical="center" wrapText="1" readingOrder="1"/>
    </xf>
    <xf numFmtId="0" fontId="190" fillId="0" borderId="700" xfId="0" applyFont="1" applyBorder="1" applyAlignment="1">
      <alignment horizontal="right" vertical="center" wrapText="1" readingOrder="1"/>
    </xf>
    <xf numFmtId="0" fontId="190" fillId="0" borderId="701" xfId="0" applyFont="1" applyBorder="1" applyAlignment="1">
      <alignment horizontal="right" vertical="center" wrapText="1" readingOrder="1"/>
    </xf>
    <xf numFmtId="0" fontId="190" fillId="0" borderId="702" xfId="0" applyFont="1" applyBorder="1" applyAlignment="1">
      <alignment horizontal="center" vertical="center" wrapText="1" readingOrder="1"/>
    </xf>
    <xf numFmtId="0" fontId="195" fillId="0" borderId="703" xfId="0" applyFont="1" applyBorder="1" applyAlignment="1">
      <alignment horizontal="left" vertical="center" wrapText="1" readingOrder="1"/>
    </xf>
    <xf numFmtId="0" fontId="190" fillId="0" borderId="704" xfId="0" applyFont="1" applyBorder="1" applyAlignment="1">
      <alignment horizontal="right" vertical="center" wrapText="1" readingOrder="1"/>
    </xf>
    <xf numFmtId="0" fontId="190" fillId="0" borderId="705" xfId="0" applyFont="1" applyBorder="1" applyAlignment="1">
      <alignment horizontal="right" vertical="center" wrapText="1" readingOrder="1"/>
    </xf>
    <xf numFmtId="0" fontId="190" fillId="0" borderId="706" xfId="0" applyFont="1" applyBorder="1" applyAlignment="1">
      <alignment horizontal="right" vertical="center" wrapText="1" readingOrder="1"/>
    </xf>
    <xf numFmtId="0" fontId="190" fillId="74" borderId="707" xfId="0" applyFont="1" applyFill="1" applyBorder="1" applyAlignment="1">
      <alignment horizontal="right" vertical="top" wrapText="1"/>
    </xf>
    <xf numFmtId="0" fontId="190" fillId="74" borderId="708" xfId="0" applyFont="1" applyFill="1" applyBorder="1" applyAlignment="1">
      <alignment horizontal="right" vertical="top" wrapText="1"/>
    </xf>
    <xf numFmtId="0" fontId="190" fillId="74" borderId="709" xfId="0" applyFont="1" applyFill="1" applyBorder="1" applyAlignment="1">
      <alignment horizontal="right" vertical="top" wrapText="1"/>
    </xf>
    <xf numFmtId="0" fontId="190" fillId="0" borderId="710" xfId="0" applyFont="1" applyBorder="1" applyAlignment="1">
      <alignment horizontal="right" vertical="top" wrapText="1"/>
    </xf>
    <xf numFmtId="0" fontId="190" fillId="0" borderId="705" xfId="0" applyFont="1" applyBorder="1" applyAlignment="1">
      <alignment horizontal="right" vertical="top" wrapText="1"/>
    </xf>
    <xf numFmtId="0" fontId="190" fillId="0" borderId="703" xfId="0" applyFont="1" applyBorder="1" applyAlignment="1">
      <alignment horizontal="right" vertical="top" wrapText="1"/>
    </xf>
    <xf numFmtId="0" fontId="190" fillId="0" borderId="704" xfId="0" applyFont="1" applyBorder="1" applyAlignment="1">
      <alignment horizontal="right" vertical="top" wrapText="1"/>
    </xf>
    <xf numFmtId="0" fontId="190" fillId="0" borderId="711" xfId="0" applyFont="1" applyBorder="1" applyAlignment="1">
      <alignment horizontal="right" vertical="top" wrapText="1"/>
    </xf>
    <xf numFmtId="0" fontId="190" fillId="0" borderId="712" xfId="0" applyFont="1" applyBorder="1" applyAlignment="1">
      <alignment horizontal="center" vertical="center" wrapText="1" readingOrder="1"/>
    </xf>
    <xf numFmtId="0" fontId="190" fillId="0" borderId="713" xfId="0" applyFont="1" applyBorder="1" applyAlignment="1">
      <alignment horizontal="left" vertical="center" wrapText="1" readingOrder="1"/>
    </xf>
    <xf numFmtId="0" fontId="190" fillId="0" borderId="714" xfId="0" applyFont="1" applyBorder="1" applyAlignment="1">
      <alignment horizontal="right" vertical="center" wrapText="1" readingOrder="1"/>
    </xf>
    <xf numFmtId="0" fontId="190" fillId="0" borderId="715" xfId="0" applyFont="1" applyBorder="1" applyAlignment="1">
      <alignment horizontal="right" vertical="center" wrapText="1" readingOrder="1"/>
    </xf>
    <xf numFmtId="0" fontId="190" fillId="0" borderId="716" xfId="0" applyFont="1" applyBorder="1" applyAlignment="1">
      <alignment horizontal="right" vertical="center" wrapText="1" readingOrder="1"/>
    </xf>
    <xf numFmtId="0" fontId="190" fillId="74" borderId="717" xfId="0" applyFont="1" applyFill="1" applyBorder="1" applyAlignment="1">
      <alignment horizontal="right" vertical="top" wrapText="1"/>
    </xf>
    <xf numFmtId="0" fontId="190" fillId="74" borderId="718" xfId="0" applyFont="1" applyFill="1" applyBorder="1" applyAlignment="1">
      <alignment horizontal="right" vertical="top" wrapText="1"/>
    </xf>
    <xf numFmtId="0" fontId="190" fillId="74" borderId="719" xfId="0" applyFont="1" applyFill="1" applyBorder="1" applyAlignment="1">
      <alignment horizontal="right" vertical="top" wrapText="1"/>
    </xf>
    <xf numFmtId="0" fontId="190" fillId="0" borderId="720" xfId="0" applyFont="1" applyBorder="1" applyAlignment="1">
      <alignment horizontal="right" vertical="top" wrapText="1"/>
    </xf>
    <xf numFmtId="0" fontId="190" fillId="0" borderId="715" xfId="0" applyFont="1" applyBorder="1" applyAlignment="1">
      <alignment horizontal="right" vertical="top" wrapText="1"/>
    </xf>
    <xf numFmtId="0" fontId="190" fillId="0" borderId="713" xfId="0" applyFont="1" applyBorder="1" applyAlignment="1">
      <alignment horizontal="right" vertical="top" wrapText="1"/>
    </xf>
    <xf numFmtId="0" fontId="190" fillId="0" borderId="714" xfId="0" applyFont="1" applyBorder="1" applyAlignment="1">
      <alignment horizontal="right" vertical="top" wrapText="1"/>
    </xf>
    <xf numFmtId="0" fontId="190" fillId="0" borderId="721" xfId="0" applyFont="1" applyBorder="1" applyAlignment="1">
      <alignment horizontal="right" vertical="top" wrapText="1"/>
    </xf>
    <xf numFmtId="0" fontId="190" fillId="0" borderId="722" xfId="0" applyFont="1" applyBorder="1" applyAlignment="1">
      <alignment horizontal="right" vertical="center" wrapText="1" readingOrder="1"/>
    </xf>
    <xf numFmtId="0" fontId="190" fillId="0" borderId="723" xfId="0" applyFont="1" applyBorder="1" applyAlignment="1">
      <alignment horizontal="right" vertical="center" wrapText="1" readingOrder="1"/>
    </xf>
    <xf numFmtId="0" fontId="190" fillId="0" borderId="724" xfId="0" applyFont="1" applyBorder="1" applyAlignment="1">
      <alignment horizontal="right" vertical="center" wrapText="1" readingOrder="1"/>
    </xf>
    <xf numFmtId="0" fontId="190" fillId="74" borderId="725" xfId="0" applyFont="1" applyFill="1" applyBorder="1" applyAlignment="1">
      <alignment horizontal="right" vertical="top" wrapText="1"/>
    </xf>
    <xf numFmtId="0" fontId="190" fillId="74" borderId="726" xfId="0" applyFont="1" applyFill="1" applyBorder="1" applyAlignment="1">
      <alignment horizontal="right" vertical="top" wrapText="1"/>
    </xf>
    <xf numFmtId="0" fontId="190" fillId="74" borderId="727" xfId="0" applyFont="1" applyFill="1" applyBorder="1" applyAlignment="1">
      <alignment horizontal="right" vertical="top" wrapText="1"/>
    </xf>
    <xf numFmtId="0" fontId="190" fillId="0" borderId="728" xfId="0" applyFont="1" applyBorder="1" applyAlignment="1">
      <alignment horizontal="right" vertical="top" wrapText="1"/>
    </xf>
    <xf numFmtId="0" fontId="190" fillId="0" borderId="723" xfId="0" applyFont="1" applyBorder="1" applyAlignment="1">
      <alignment horizontal="right" vertical="top" wrapText="1"/>
    </xf>
    <xf numFmtId="0" fontId="190" fillId="0" borderId="729" xfId="0" applyFont="1" applyBorder="1" applyAlignment="1">
      <alignment horizontal="right" vertical="top" wrapText="1"/>
    </xf>
    <xf numFmtId="0" fontId="190" fillId="0" borderId="722" xfId="0" applyFont="1" applyBorder="1" applyAlignment="1">
      <alignment horizontal="right" vertical="top" wrapText="1"/>
    </xf>
    <xf numFmtId="0" fontId="190" fillId="0" borderId="730" xfId="0" applyFont="1" applyBorder="1" applyAlignment="1">
      <alignment horizontal="right" vertical="top" wrapText="1"/>
    </xf>
    <xf numFmtId="0" fontId="190" fillId="0" borderId="733" xfId="0" applyFont="1" applyBorder="1" applyAlignment="1">
      <alignment horizontal="right" vertical="center" wrapText="1" readingOrder="1"/>
    </xf>
    <xf numFmtId="0" fontId="190" fillId="0" borderId="734" xfId="0" applyFont="1" applyBorder="1" applyAlignment="1">
      <alignment horizontal="right" vertical="center" wrapText="1" readingOrder="1"/>
    </xf>
    <xf numFmtId="0" fontId="190" fillId="0" borderId="735" xfId="0" applyFont="1" applyBorder="1" applyAlignment="1">
      <alignment horizontal="right" vertical="center" wrapText="1" readingOrder="1"/>
    </xf>
    <xf numFmtId="0" fontId="190" fillId="74" borderId="736" xfId="0" applyFont="1" applyFill="1" applyBorder="1" applyAlignment="1">
      <alignment horizontal="right" vertical="top" wrapText="1"/>
    </xf>
    <xf numFmtId="0" fontId="190" fillId="74" borderId="737" xfId="0" applyFont="1" applyFill="1" applyBorder="1" applyAlignment="1">
      <alignment horizontal="right" vertical="top" wrapText="1"/>
    </xf>
    <xf numFmtId="0" fontId="190" fillId="74" borderId="738" xfId="0" applyFont="1" applyFill="1" applyBorder="1" applyAlignment="1">
      <alignment horizontal="right" vertical="top" wrapText="1"/>
    </xf>
    <xf numFmtId="0" fontId="190" fillId="0" borderId="739" xfId="0" applyFont="1" applyBorder="1" applyAlignment="1">
      <alignment horizontal="right" vertical="top" wrapText="1"/>
    </xf>
    <xf numFmtId="0" fontId="190" fillId="0" borderId="734" xfId="0" applyFont="1" applyBorder="1" applyAlignment="1">
      <alignment horizontal="right" vertical="top" wrapText="1"/>
    </xf>
    <xf numFmtId="0" fontId="190" fillId="0" borderId="740" xfId="0" applyFont="1" applyBorder="1" applyAlignment="1">
      <alignment horizontal="right" vertical="top" wrapText="1"/>
    </xf>
    <xf numFmtId="0" fontId="190" fillId="0" borderId="733" xfId="0" applyFont="1" applyBorder="1" applyAlignment="1">
      <alignment horizontal="right" vertical="top" wrapText="1"/>
    </xf>
    <xf numFmtId="0" fontId="190" fillId="0" borderId="741" xfId="0" applyFont="1" applyBorder="1" applyAlignment="1">
      <alignment horizontal="right" vertical="top" wrapText="1"/>
    </xf>
    <xf numFmtId="0" fontId="190" fillId="0" borderId="685" xfId="0" applyFont="1" applyBorder="1" applyAlignment="1">
      <alignment horizontal="right" vertical="center" wrapText="1" readingOrder="1"/>
    </xf>
    <xf numFmtId="0" fontId="190" fillId="0" borderId="602" xfId="0" applyFont="1" applyBorder="1" applyAlignment="1">
      <alignment horizontal="right" vertical="center" wrapText="1" readingOrder="1"/>
    </xf>
    <xf numFmtId="0" fontId="190" fillId="0" borderId="686" xfId="0" applyFont="1" applyBorder="1" applyAlignment="1">
      <alignment horizontal="right" vertical="center" wrapText="1" readingOrder="1"/>
    </xf>
    <xf numFmtId="0" fontId="190" fillId="74" borderId="687" xfId="0" applyFont="1" applyFill="1" applyBorder="1" applyAlignment="1">
      <alignment horizontal="right" vertical="top" wrapText="1"/>
    </xf>
    <xf numFmtId="0" fontId="190" fillId="74" borderId="688" xfId="0" applyFont="1" applyFill="1" applyBorder="1" applyAlignment="1">
      <alignment horizontal="right" vertical="top" wrapText="1"/>
    </xf>
    <xf numFmtId="0" fontId="190" fillId="74" borderId="689" xfId="0" applyFont="1" applyFill="1" applyBorder="1" applyAlignment="1">
      <alignment horizontal="right" vertical="top" wrapText="1"/>
    </xf>
    <xf numFmtId="0" fontId="190" fillId="0" borderId="690" xfId="0" applyFont="1" applyBorder="1" applyAlignment="1">
      <alignment horizontal="right" vertical="top" wrapText="1"/>
    </xf>
    <xf numFmtId="0" fontId="190" fillId="0" borderId="602" xfId="0" applyFont="1" applyBorder="1" applyAlignment="1">
      <alignment horizontal="right" vertical="top" wrapText="1"/>
    </xf>
    <xf numFmtId="0" fontId="190" fillId="0" borderId="691" xfId="0" applyFont="1" applyBorder="1" applyAlignment="1">
      <alignment horizontal="right" vertical="top" wrapText="1"/>
    </xf>
    <xf numFmtId="0" fontId="190" fillId="0" borderId="685" xfId="0" applyFont="1" applyBorder="1" applyAlignment="1">
      <alignment horizontal="right" vertical="top" wrapText="1"/>
    </xf>
    <xf numFmtId="0" fontId="190" fillId="0" borderId="692" xfId="0" applyFont="1" applyBorder="1" applyAlignment="1">
      <alignment horizontal="right" vertical="top" wrapText="1"/>
    </xf>
    <xf numFmtId="0" fontId="190" fillId="0" borderId="744" xfId="0" applyFont="1" applyBorder="1" applyAlignment="1">
      <alignment horizontal="right" vertical="center" wrapText="1" readingOrder="1"/>
    </xf>
    <xf numFmtId="0" fontId="190" fillId="0" borderId="745" xfId="0" applyFont="1" applyBorder="1" applyAlignment="1">
      <alignment horizontal="right" vertical="center" wrapText="1" readingOrder="1"/>
    </xf>
    <xf numFmtId="0" fontId="190" fillId="0" borderId="746" xfId="0" applyFont="1" applyBorder="1" applyAlignment="1">
      <alignment horizontal="right" vertical="center" wrapText="1" readingOrder="1"/>
    </xf>
    <xf numFmtId="0" fontId="194" fillId="74" borderId="747" xfId="0" applyFont="1" applyFill="1" applyBorder="1" applyAlignment="1">
      <alignment horizontal="right" vertical="top" wrapText="1"/>
    </xf>
    <xf numFmtId="0" fontId="194" fillId="74" borderId="748" xfId="0" applyFont="1" applyFill="1" applyBorder="1" applyAlignment="1">
      <alignment horizontal="right" vertical="top" wrapText="1"/>
    </xf>
    <xf numFmtId="0" fontId="194" fillId="74" borderId="749" xfId="0" applyFont="1" applyFill="1" applyBorder="1" applyAlignment="1">
      <alignment horizontal="right" vertical="top" wrapText="1"/>
    </xf>
    <xf numFmtId="0" fontId="194" fillId="0" borderId="750" xfId="0" applyFont="1" applyBorder="1" applyAlignment="1">
      <alignment horizontal="right" vertical="top" wrapText="1"/>
    </xf>
    <xf numFmtId="0" fontId="194" fillId="0" borderId="745" xfId="0" applyFont="1" applyBorder="1" applyAlignment="1">
      <alignment horizontal="right" vertical="top" wrapText="1"/>
    </xf>
    <xf numFmtId="0" fontId="194" fillId="0" borderId="751" xfId="0" applyFont="1" applyBorder="1" applyAlignment="1">
      <alignment horizontal="right" vertical="top" wrapText="1"/>
    </xf>
    <xf numFmtId="0" fontId="194" fillId="0" borderId="744" xfId="0" applyFont="1" applyBorder="1" applyAlignment="1">
      <alignment horizontal="right" vertical="top" wrapText="1"/>
    </xf>
    <xf numFmtId="0" fontId="194" fillId="0" borderId="752" xfId="0" applyFont="1" applyBorder="1" applyAlignment="1">
      <alignment horizontal="right" vertical="top" wrapText="1"/>
    </xf>
    <xf numFmtId="232" fontId="160" fillId="0" borderId="0" xfId="0" applyNumberFormat="1" applyFont="1">
      <alignment vertical="center"/>
    </xf>
    <xf numFmtId="0" fontId="193" fillId="73" borderId="469" xfId="0" applyFont="1" applyFill="1" applyBorder="1" applyAlignment="1">
      <alignment horizontal="center" vertical="center" wrapText="1" readingOrder="1"/>
    </xf>
    <xf numFmtId="0" fontId="194" fillId="73" borderId="470" xfId="0" applyFont="1" applyFill="1" applyBorder="1" applyAlignment="1">
      <alignment horizontal="center" vertical="center" wrapText="1" readingOrder="1"/>
    </xf>
    <xf numFmtId="0" fontId="194" fillId="73" borderId="472" xfId="0" applyFont="1" applyFill="1" applyBorder="1" applyAlignment="1">
      <alignment horizontal="center" vertical="center" wrapText="1" readingOrder="1"/>
    </xf>
    <xf numFmtId="0" fontId="194" fillId="73" borderId="469" xfId="0" applyFont="1" applyFill="1" applyBorder="1" applyAlignment="1">
      <alignment horizontal="center" vertical="center" wrapText="1" readingOrder="1"/>
    </xf>
    <xf numFmtId="0" fontId="190" fillId="0" borderId="473" xfId="0" applyFont="1" applyBorder="1" applyAlignment="1">
      <alignment horizontal="center" vertical="center" wrapText="1" readingOrder="1"/>
    </xf>
    <xf numFmtId="3" fontId="190" fillId="0" borderId="474" xfId="0" applyNumberFormat="1" applyFont="1" applyBorder="1" applyAlignment="1">
      <alignment horizontal="center" vertical="center" wrapText="1" readingOrder="1"/>
    </xf>
    <xf numFmtId="3" fontId="194" fillId="74" borderId="475" xfId="0" applyNumberFormat="1" applyFont="1" applyFill="1" applyBorder="1" applyAlignment="1">
      <alignment horizontal="center" vertical="center" wrapText="1" readingOrder="1"/>
    </xf>
    <xf numFmtId="3" fontId="190" fillId="0" borderId="476" xfId="0" applyNumberFormat="1" applyFont="1" applyBorder="1" applyAlignment="1">
      <alignment horizontal="center" vertical="center" wrapText="1" readingOrder="1"/>
    </xf>
    <xf numFmtId="3" fontId="190" fillId="0" borderId="473" xfId="0" applyNumberFormat="1" applyFont="1" applyBorder="1" applyAlignment="1">
      <alignment horizontal="center" vertical="center" wrapText="1" readingOrder="1"/>
    </xf>
    <xf numFmtId="0" fontId="190" fillId="0" borderId="754" xfId="0" applyFont="1" applyBorder="1" applyAlignment="1">
      <alignment horizontal="center" vertical="center" wrapText="1" readingOrder="1"/>
    </xf>
    <xf numFmtId="0" fontId="190" fillId="0" borderId="755" xfId="0" applyFont="1" applyBorder="1" applyAlignment="1">
      <alignment horizontal="center" vertical="center" wrapText="1" readingOrder="1"/>
    </xf>
    <xf numFmtId="0" fontId="194" fillId="74" borderId="756" xfId="0" applyFont="1" applyFill="1" applyBorder="1" applyAlignment="1">
      <alignment horizontal="center" vertical="center" wrapText="1" readingOrder="1"/>
    </xf>
    <xf numFmtId="0" fontId="190" fillId="0" borderId="757" xfId="0" applyFont="1" applyBorder="1" applyAlignment="1">
      <alignment horizontal="center" vertical="center" wrapText="1" readingOrder="1"/>
    </xf>
    <xf numFmtId="0" fontId="190" fillId="0" borderId="758" xfId="0" applyFont="1" applyBorder="1" applyAlignment="1">
      <alignment horizontal="left" vertical="center" wrapText="1" readingOrder="1"/>
    </xf>
    <xf numFmtId="0" fontId="190" fillId="0" borderId="759" xfId="0" applyFont="1" applyBorder="1" applyAlignment="1">
      <alignment horizontal="center" vertical="center" wrapText="1" readingOrder="1"/>
    </xf>
    <xf numFmtId="3" fontId="190" fillId="0" borderId="760" xfId="0" applyNumberFormat="1" applyFont="1" applyBorder="1" applyAlignment="1">
      <alignment horizontal="center" vertical="center" wrapText="1" readingOrder="1"/>
    </xf>
    <xf numFmtId="3" fontId="190" fillId="74" borderId="651" xfId="0" applyNumberFormat="1" applyFont="1" applyFill="1" applyBorder="1" applyAlignment="1">
      <alignment horizontal="center" vertical="center" wrapText="1" readingOrder="1"/>
    </xf>
    <xf numFmtId="3" fontId="190" fillId="0" borderId="761" xfId="0" applyNumberFormat="1" applyFont="1" applyBorder="1" applyAlignment="1">
      <alignment horizontal="center" vertical="center" wrapText="1" readingOrder="1"/>
    </xf>
    <xf numFmtId="3" fontId="190" fillId="0" borderId="759" xfId="0" applyNumberFormat="1" applyFont="1" applyBorder="1" applyAlignment="1">
      <alignment horizontal="center" vertical="center" wrapText="1" readingOrder="1"/>
    </xf>
    <xf numFmtId="0" fontId="190" fillId="0" borderId="659" xfId="0" applyFont="1" applyBorder="1" applyAlignment="1">
      <alignment horizontal="left" vertical="center" wrapText="1" readingOrder="1"/>
    </xf>
    <xf numFmtId="0" fontId="190" fillId="0" borderId="762" xfId="0" applyFont="1" applyBorder="1" applyAlignment="1">
      <alignment horizontal="center" vertical="center" wrapText="1" readingOrder="1"/>
    </xf>
    <xf numFmtId="0" fontId="190" fillId="0" borderId="763" xfId="0" applyFont="1" applyBorder="1" applyAlignment="1">
      <alignment horizontal="center" vertical="center" wrapText="1" readingOrder="1"/>
    </xf>
    <xf numFmtId="0" fontId="190" fillId="74" borderId="657" xfId="0" applyFont="1" applyFill="1" applyBorder="1" applyAlignment="1">
      <alignment horizontal="center" vertical="center" wrapText="1" readingOrder="1"/>
    </xf>
    <xf numFmtId="0" fontId="190" fillId="0" borderId="764" xfId="0" applyFont="1" applyBorder="1" applyAlignment="1">
      <alignment horizontal="center" vertical="center" wrapText="1" readingOrder="1"/>
    </xf>
    <xf numFmtId="0" fontId="190" fillId="0" borderId="765" xfId="0" applyFont="1" applyBorder="1" applyAlignment="1">
      <alignment horizontal="center" vertical="center" wrapText="1" readingOrder="1"/>
    </xf>
    <xf numFmtId="0" fontId="190" fillId="0" borderId="767" xfId="0" applyFont="1" applyBorder="1" applyAlignment="1">
      <alignment horizontal="center" vertical="center" wrapText="1" readingOrder="1"/>
    </xf>
    <xf numFmtId="0" fontId="194" fillId="74" borderId="663" xfId="0" applyFont="1" applyFill="1" applyBorder="1" applyAlignment="1">
      <alignment horizontal="center" vertical="center" wrapText="1" readingOrder="1"/>
    </xf>
    <xf numFmtId="0" fontId="190" fillId="0" borderId="768" xfId="0" applyFont="1" applyBorder="1" applyAlignment="1">
      <alignment horizontal="center" vertical="center" wrapText="1" readingOrder="1"/>
    </xf>
    <xf numFmtId="0" fontId="190" fillId="0" borderId="769" xfId="0" applyFont="1" applyBorder="1" applyAlignment="1">
      <alignment horizontal="center" vertical="center" wrapText="1" readingOrder="1"/>
    </xf>
    <xf numFmtId="0" fontId="190" fillId="0" borderId="771" xfId="0" applyFont="1" applyBorder="1" applyAlignment="1">
      <alignment horizontal="center" vertical="center" wrapText="1" readingOrder="1"/>
    </xf>
    <xf numFmtId="0" fontId="194" fillId="74" borderId="669" xfId="0" applyFont="1" applyFill="1" applyBorder="1" applyAlignment="1">
      <alignment horizontal="center" vertical="center" wrapText="1" readingOrder="1"/>
    </xf>
    <xf numFmtId="0" fontId="190" fillId="0" borderId="621" xfId="0" applyFont="1" applyBorder="1" applyAlignment="1">
      <alignment horizontal="center" vertical="center" wrapText="1" readingOrder="1"/>
    </xf>
    <xf numFmtId="0" fontId="194" fillId="74" borderId="657" xfId="0" applyFont="1" applyFill="1" applyBorder="1" applyAlignment="1">
      <alignment horizontal="center" vertical="center" wrapText="1" readingOrder="1"/>
    </xf>
    <xf numFmtId="0" fontId="60" fillId="0" borderId="762" xfId="0" applyFont="1" applyBorder="1" applyAlignment="1">
      <alignment horizontal="center" vertical="center" wrapText="1"/>
    </xf>
    <xf numFmtId="0" fontId="190" fillId="0" borderId="773" xfId="0" applyFont="1" applyBorder="1" applyAlignment="1">
      <alignment horizontal="center" vertical="center" wrapText="1" readingOrder="1"/>
    </xf>
    <xf numFmtId="0" fontId="190" fillId="0" borderId="775" xfId="0" applyFont="1" applyBorder="1" applyAlignment="1">
      <alignment horizontal="center" vertical="center" wrapText="1" readingOrder="1"/>
    </xf>
    <xf numFmtId="0" fontId="194" fillId="74" borderId="677" xfId="0" applyFont="1" applyFill="1" applyBorder="1" applyAlignment="1">
      <alignment horizontal="center" vertical="center" wrapText="1" readingOrder="1"/>
    </xf>
    <xf numFmtId="0" fontId="190" fillId="0" borderId="776" xfId="0" applyFont="1" applyBorder="1" applyAlignment="1">
      <alignment horizontal="center" vertical="center" wrapText="1" readingOrder="1"/>
    </xf>
    <xf numFmtId="189" fontId="13" fillId="0" borderId="16" xfId="0" applyNumberFormat="1" applyFont="1" applyBorder="1">
      <alignment vertical="center"/>
    </xf>
    <xf numFmtId="189" fontId="13" fillId="0" borderId="0" xfId="0" applyNumberFormat="1" applyFont="1">
      <alignment vertical="center"/>
    </xf>
    <xf numFmtId="189" fontId="13" fillId="0" borderId="17" xfId="0" applyNumberFormat="1" applyFont="1" applyBorder="1">
      <alignment vertical="center"/>
    </xf>
    <xf numFmtId="0" fontId="255" fillId="0" borderId="0" xfId="0" applyFont="1">
      <alignment vertical="center"/>
    </xf>
    <xf numFmtId="41" fontId="11" fillId="0" borderId="0" xfId="0" applyNumberFormat="1" applyFont="1">
      <alignment vertical="center"/>
    </xf>
    <xf numFmtId="0" fontId="2" fillId="0" borderId="0" xfId="0" applyFont="1" applyAlignment="1">
      <alignment horizontal="left" vertical="center" indent="2"/>
    </xf>
    <xf numFmtId="0" fontId="2" fillId="0" borderId="2" xfId="0" applyFont="1" applyBorder="1" applyAlignment="1">
      <alignment horizontal="left" vertical="center" indent="1"/>
    </xf>
    <xf numFmtId="0" fontId="15" fillId="0" borderId="1" xfId="0" applyFont="1" applyBorder="1">
      <alignment vertical="center"/>
    </xf>
    <xf numFmtId="176" fontId="2" fillId="0" borderId="1" xfId="0" applyNumberFormat="1" applyFont="1" applyBorder="1">
      <alignment vertical="center"/>
    </xf>
    <xf numFmtId="220" fontId="2" fillId="0" borderId="0" xfId="0" applyNumberFormat="1" applyFont="1" applyAlignment="1">
      <alignment horizontal="center" vertical="center"/>
    </xf>
    <xf numFmtId="179" fontId="4" fillId="0" borderId="2" xfId="0" applyNumberFormat="1" applyFont="1" applyBorder="1">
      <alignment vertical="center"/>
    </xf>
    <xf numFmtId="3" fontId="58" fillId="0" borderId="0" xfId="0" applyNumberFormat="1" applyFont="1">
      <alignment vertical="center"/>
    </xf>
    <xf numFmtId="0" fontId="79" fillId="0" borderId="0" xfId="0" applyFont="1" applyAlignment="1">
      <alignment horizontal="left" vertical="center" indent="1"/>
    </xf>
    <xf numFmtId="194" fontId="58" fillId="0" borderId="0" xfId="0" applyNumberFormat="1" applyFont="1">
      <alignment vertical="center"/>
    </xf>
    <xf numFmtId="194" fontId="79" fillId="0" borderId="0" xfId="0" applyNumberFormat="1" applyFont="1">
      <alignment vertical="center"/>
    </xf>
    <xf numFmtId="0" fontId="79" fillId="0" borderId="0" xfId="0" applyFont="1" applyAlignment="1">
      <alignment horizontal="left" vertical="center" indent="2"/>
    </xf>
    <xf numFmtId="178" fontId="149" fillId="0" borderId="0" xfId="0" applyNumberFormat="1" applyFont="1">
      <alignment vertical="center"/>
    </xf>
    <xf numFmtId="0" fontId="79" fillId="0" borderId="0" xfId="0" applyFont="1" applyAlignment="1">
      <alignment horizontal="left" vertical="center" indent="3"/>
    </xf>
    <xf numFmtId="176" fontId="257" fillId="0" borderId="16" xfId="0" applyNumberFormat="1" applyFont="1" applyBorder="1">
      <alignment vertical="center"/>
    </xf>
    <xf numFmtId="176" fontId="257" fillId="0" borderId="0" xfId="0" applyNumberFormat="1" applyFont="1">
      <alignment vertical="center"/>
    </xf>
    <xf numFmtId="3" fontId="4" fillId="4" borderId="0" xfId="0" applyNumberFormat="1" applyFont="1" applyFill="1" applyAlignment="1">
      <alignment horizontal="right" vertical="center"/>
    </xf>
    <xf numFmtId="0" fontId="15" fillId="82" borderId="777" xfId="0" applyFont="1" applyFill="1" applyBorder="1">
      <alignment vertical="center"/>
    </xf>
    <xf numFmtId="3" fontId="15" fillId="82" borderId="777" xfId="0" applyNumberFormat="1" applyFont="1" applyFill="1" applyBorder="1">
      <alignment vertical="center"/>
    </xf>
    <xf numFmtId="0" fontId="15" fillId="82" borderId="778" xfId="0" applyFont="1" applyFill="1" applyBorder="1" applyAlignment="1">
      <alignment horizontal="left" vertical="center"/>
    </xf>
    <xf numFmtId="3" fontId="15" fillId="82" borderId="778" xfId="0" applyNumberFormat="1" applyFont="1" applyFill="1" applyBorder="1">
      <alignment vertical="center"/>
    </xf>
    <xf numFmtId="0" fontId="258" fillId="75" borderId="779" xfId="0" applyFont="1" applyFill="1" applyBorder="1" applyAlignment="1">
      <alignment horizontal="center" vertical="center" wrapText="1"/>
    </xf>
    <xf numFmtId="0" fontId="258" fillId="75" borderId="780" xfId="0" applyFont="1" applyFill="1" applyBorder="1" applyAlignment="1">
      <alignment horizontal="center" vertical="center" wrapText="1"/>
    </xf>
    <xf numFmtId="0" fontId="259" fillId="75" borderId="780" xfId="0" applyFont="1" applyFill="1" applyBorder="1" applyAlignment="1">
      <alignment horizontal="center" vertical="center" wrapText="1"/>
    </xf>
    <xf numFmtId="0" fontId="259" fillId="75" borderId="781" xfId="0" applyFont="1" applyFill="1" applyBorder="1" applyAlignment="1">
      <alignment horizontal="center" vertical="center" wrapText="1"/>
    </xf>
    <xf numFmtId="0" fontId="76" fillId="75" borderId="782" xfId="0" applyFont="1" applyFill="1" applyBorder="1" applyAlignment="1">
      <alignment horizontal="left" vertical="center" wrapText="1"/>
    </xf>
    <xf numFmtId="14" fontId="260" fillId="75" borderId="783" xfId="0" applyNumberFormat="1" applyFont="1" applyFill="1" applyBorder="1" applyAlignment="1">
      <alignment horizontal="center" vertical="center" wrapText="1"/>
    </xf>
    <xf numFmtId="3" fontId="260" fillId="75" borderId="783" xfId="0" applyNumberFormat="1" applyFont="1" applyFill="1" applyBorder="1" applyAlignment="1">
      <alignment horizontal="center" vertical="center" wrapText="1"/>
    </xf>
    <xf numFmtId="10" fontId="260" fillId="75" borderId="783" xfId="0" applyNumberFormat="1" applyFont="1" applyFill="1" applyBorder="1" applyAlignment="1">
      <alignment horizontal="center" vertical="center" wrapText="1"/>
    </xf>
    <xf numFmtId="10" fontId="260" fillId="75" borderId="784" xfId="0" applyNumberFormat="1" applyFont="1" applyFill="1" applyBorder="1" applyAlignment="1">
      <alignment horizontal="center" vertical="center" wrapText="1"/>
    </xf>
    <xf numFmtId="0" fontId="260" fillId="75" borderId="782" xfId="0" applyFont="1" applyFill="1" applyBorder="1" applyAlignment="1">
      <alignment horizontal="left" vertical="center" wrapText="1"/>
    </xf>
    <xf numFmtId="14" fontId="260" fillId="75" borderId="783" xfId="0" applyNumberFormat="1" applyFont="1" applyFill="1" applyBorder="1" applyAlignment="1">
      <alignment horizontal="right" vertical="center" wrapText="1"/>
    </xf>
    <xf numFmtId="3" fontId="260" fillId="75" borderId="783" xfId="0" applyNumberFormat="1" applyFont="1" applyFill="1" applyBorder="1" applyAlignment="1">
      <alignment horizontal="right" vertical="center" wrapText="1"/>
    </xf>
    <xf numFmtId="10" fontId="260" fillId="75" borderId="783" xfId="0" applyNumberFormat="1" applyFont="1" applyFill="1" applyBorder="1" applyAlignment="1">
      <alignment horizontal="right" vertical="center" wrapText="1"/>
    </xf>
    <xf numFmtId="0" fontId="76" fillId="75" borderId="785" xfId="0" applyFont="1" applyFill="1" applyBorder="1" applyAlignment="1">
      <alignment horizontal="left" vertical="center" wrapText="1"/>
    </xf>
    <xf numFmtId="14" fontId="260" fillId="75" borderId="786" xfId="0" applyNumberFormat="1" applyFont="1" applyFill="1" applyBorder="1" applyAlignment="1">
      <alignment horizontal="center" vertical="center" wrapText="1"/>
    </xf>
    <xf numFmtId="3" fontId="260" fillId="75" borderId="786" xfId="0" applyNumberFormat="1" applyFont="1" applyFill="1" applyBorder="1" applyAlignment="1">
      <alignment horizontal="center" vertical="center" wrapText="1"/>
    </xf>
    <xf numFmtId="10" fontId="260" fillId="75" borderId="786" xfId="0" applyNumberFormat="1" applyFont="1" applyFill="1" applyBorder="1" applyAlignment="1">
      <alignment horizontal="center" vertical="center" wrapText="1"/>
    </xf>
    <xf numFmtId="10" fontId="260" fillId="75" borderId="787" xfId="0" applyNumberFormat="1" applyFont="1" applyFill="1" applyBorder="1" applyAlignment="1">
      <alignment horizontal="center" vertical="center" wrapText="1"/>
    </xf>
    <xf numFmtId="0" fontId="260" fillId="75" borderId="785" xfId="0" applyFont="1" applyFill="1" applyBorder="1" applyAlignment="1">
      <alignment horizontal="left" vertical="center" wrapText="1"/>
    </xf>
    <xf numFmtId="14" fontId="260" fillId="75" borderId="786" xfId="0" applyNumberFormat="1" applyFont="1" applyFill="1" applyBorder="1" applyAlignment="1">
      <alignment horizontal="right" vertical="center" wrapText="1"/>
    </xf>
    <xf numFmtId="3" fontId="260" fillId="75" borderId="786" xfId="0" applyNumberFormat="1" applyFont="1" applyFill="1" applyBorder="1" applyAlignment="1">
      <alignment horizontal="right" vertical="center" wrapText="1"/>
    </xf>
    <xf numFmtId="10" fontId="260" fillId="75" borderId="786" xfId="0" applyNumberFormat="1" applyFont="1" applyFill="1" applyBorder="1" applyAlignment="1">
      <alignment horizontal="right" vertical="center" wrapText="1"/>
    </xf>
    <xf numFmtId="0" fontId="260" fillId="75" borderId="786" xfId="0" applyFont="1" applyFill="1" applyBorder="1" applyAlignment="1">
      <alignment horizontal="center" vertical="center" wrapText="1"/>
    </xf>
    <xf numFmtId="9" fontId="260" fillId="75" borderId="786" xfId="0" applyNumberFormat="1" applyFont="1" applyFill="1" applyBorder="1" applyAlignment="1">
      <alignment horizontal="right" vertical="center" wrapText="1"/>
    </xf>
    <xf numFmtId="0" fontId="76" fillId="75" borderId="788" xfId="0" applyFont="1" applyFill="1" applyBorder="1" applyAlignment="1">
      <alignment horizontal="left" vertical="center" wrapText="1"/>
    </xf>
    <xf numFmtId="14" fontId="260" fillId="75" borderId="789" xfId="0" applyNumberFormat="1" applyFont="1" applyFill="1" applyBorder="1" applyAlignment="1">
      <alignment horizontal="right" vertical="center" wrapText="1"/>
    </xf>
    <xf numFmtId="3" fontId="260" fillId="75" borderId="789" xfId="0" applyNumberFormat="1" applyFont="1" applyFill="1" applyBorder="1" applyAlignment="1">
      <alignment horizontal="right" vertical="center" wrapText="1"/>
    </xf>
    <xf numFmtId="9" fontId="260" fillId="75" borderId="789" xfId="0" applyNumberFormat="1" applyFont="1" applyFill="1" applyBorder="1" applyAlignment="1">
      <alignment horizontal="right" vertical="center" wrapText="1"/>
    </xf>
    <xf numFmtId="10" fontId="260" fillId="75" borderId="789" xfId="0" applyNumberFormat="1" applyFont="1" applyFill="1" applyBorder="1" applyAlignment="1">
      <alignment horizontal="right" vertical="center" wrapText="1"/>
    </xf>
    <xf numFmtId="0" fontId="76" fillId="75" borderId="791" xfId="0" applyFont="1" applyFill="1" applyBorder="1" applyAlignment="1">
      <alignment horizontal="left" vertical="center" wrapText="1"/>
    </xf>
    <xf numFmtId="0" fontId="60" fillId="75" borderId="792" xfId="0" applyFont="1" applyFill="1" applyBorder="1" applyAlignment="1">
      <alignment horizontal="center" vertical="center" wrapText="1"/>
    </xf>
    <xf numFmtId="10" fontId="261" fillId="75" borderId="792" xfId="0" applyNumberFormat="1" applyFont="1" applyFill="1" applyBorder="1" applyAlignment="1">
      <alignment horizontal="center" vertical="center" wrapText="1"/>
    </xf>
    <xf numFmtId="14" fontId="260" fillId="75" borderId="789" xfId="0" applyNumberFormat="1" applyFont="1" applyFill="1" applyBorder="1" applyAlignment="1">
      <alignment horizontal="center" vertical="center" wrapText="1"/>
    </xf>
    <xf numFmtId="3" fontId="260" fillId="75" borderId="789" xfId="0" applyNumberFormat="1" applyFont="1" applyFill="1" applyBorder="1" applyAlignment="1">
      <alignment horizontal="center" vertical="center" wrapText="1"/>
    </xf>
    <xf numFmtId="0" fontId="260" fillId="75" borderId="789" xfId="0" applyFont="1" applyFill="1" applyBorder="1" applyAlignment="1">
      <alignment horizontal="center" vertical="center" wrapText="1"/>
    </xf>
    <xf numFmtId="10" fontId="260" fillId="75" borderId="789" xfId="0" applyNumberFormat="1" applyFont="1" applyFill="1" applyBorder="1" applyAlignment="1">
      <alignment horizontal="center" vertical="center" wrapText="1"/>
    </xf>
    <xf numFmtId="10" fontId="260" fillId="75" borderId="790" xfId="0" applyNumberFormat="1" applyFont="1" applyFill="1" applyBorder="1" applyAlignment="1">
      <alignment horizontal="center" vertical="center" wrapText="1"/>
    </xf>
    <xf numFmtId="0" fontId="262" fillId="75" borderId="791" xfId="0" applyFont="1" applyFill="1" applyBorder="1" applyAlignment="1">
      <alignment horizontal="left" vertical="center" wrapText="1"/>
    </xf>
    <xf numFmtId="10" fontId="261" fillId="75" borderId="793" xfId="0" applyNumberFormat="1" applyFont="1" applyFill="1" applyBorder="1" applyAlignment="1">
      <alignment horizontal="center" vertical="center" wrapText="1"/>
    </xf>
    <xf numFmtId="0" fontId="79" fillId="0" borderId="3" xfId="0" applyFont="1" applyBorder="1">
      <alignment vertical="center"/>
    </xf>
    <xf numFmtId="0" fontId="263" fillId="0" borderId="2" xfId="0" applyFont="1" applyBorder="1">
      <alignment vertical="center"/>
    </xf>
    <xf numFmtId="0" fontId="79" fillId="0" borderId="2" xfId="0" applyFont="1" applyBorder="1">
      <alignment vertical="center"/>
    </xf>
    <xf numFmtId="0" fontId="149" fillId="0" borderId="2" xfId="0" applyFont="1" applyBorder="1">
      <alignment vertical="center"/>
    </xf>
    <xf numFmtId="0" fontId="80" fillId="0" borderId="0" xfId="0" applyFont="1">
      <alignment vertical="center"/>
    </xf>
    <xf numFmtId="194" fontId="79" fillId="0" borderId="0" xfId="0" applyNumberFormat="1" applyFont="1" applyAlignment="1">
      <alignment horizontal="right" vertical="center"/>
    </xf>
    <xf numFmtId="178" fontId="264" fillId="0" borderId="0" xfId="0" applyNumberFormat="1" applyFont="1">
      <alignment vertical="center"/>
    </xf>
    <xf numFmtId="3" fontId="80" fillId="0" borderId="1" xfId="0" applyNumberFormat="1" applyFont="1" applyBorder="1">
      <alignment vertical="center"/>
    </xf>
    <xf numFmtId="194" fontId="79" fillId="0" borderId="2" xfId="0" applyNumberFormat="1" applyFont="1" applyBorder="1">
      <alignment vertical="center"/>
    </xf>
    <xf numFmtId="194" fontId="265" fillId="0" borderId="2" xfId="0" applyNumberFormat="1" applyFont="1" applyBorder="1">
      <alignment vertical="center"/>
    </xf>
    <xf numFmtId="178" fontId="79" fillId="0" borderId="2" xfId="0" applyNumberFormat="1" applyFont="1" applyBorder="1">
      <alignment vertical="center"/>
    </xf>
    <xf numFmtId="194" fontId="79" fillId="0" borderId="2" xfId="0" applyNumberFormat="1" applyFont="1" applyBorder="1" applyAlignment="1">
      <alignment horizontal="right" vertical="center"/>
    </xf>
    <xf numFmtId="178" fontId="266" fillId="0" borderId="2" xfId="0" applyNumberFormat="1" applyFont="1" applyBorder="1">
      <alignment vertical="center"/>
    </xf>
    <xf numFmtId="3" fontId="79" fillId="0" borderId="2" xfId="0" applyNumberFormat="1" applyFont="1" applyBorder="1">
      <alignment vertical="center"/>
    </xf>
    <xf numFmtId="0" fontId="58" fillId="0" borderId="1" xfId="0" applyFont="1" applyBorder="1">
      <alignment vertical="center"/>
    </xf>
    <xf numFmtId="0" fontId="79" fillId="0" borderId="1" xfId="0" applyFont="1" applyBorder="1">
      <alignment vertical="center"/>
    </xf>
    <xf numFmtId="0" fontId="267" fillId="0" borderId="0" xfId="0" applyFont="1">
      <alignment vertical="center"/>
    </xf>
    <xf numFmtId="178" fontId="149" fillId="0" borderId="0" xfId="0" applyNumberFormat="1" applyFont="1" applyAlignment="1">
      <alignment horizontal="right" vertical="center"/>
    </xf>
    <xf numFmtId="3" fontId="267" fillId="0" borderId="0" xfId="0" applyNumberFormat="1" applyFont="1">
      <alignment vertical="center"/>
    </xf>
    <xf numFmtId="178" fontId="149" fillId="0" borderId="2" xfId="0" applyNumberFormat="1" applyFont="1" applyBorder="1">
      <alignment vertical="center"/>
    </xf>
    <xf numFmtId="0" fontId="79" fillId="3" borderId="0" xfId="0" applyFont="1" applyFill="1">
      <alignment vertical="center"/>
    </xf>
    <xf numFmtId="0" fontId="79" fillId="0" borderId="2" xfId="0" applyFont="1" applyBorder="1" applyAlignment="1">
      <alignment horizontal="left" vertical="center" indent="3"/>
    </xf>
    <xf numFmtId="0" fontId="79" fillId="23" borderId="2" xfId="0" applyFont="1" applyFill="1" applyBorder="1" applyAlignment="1">
      <alignment horizontal="left" vertical="center" indent="1"/>
    </xf>
    <xf numFmtId="194" fontId="79" fillId="23" borderId="2" xfId="0" applyNumberFormat="1" applyFont="1" applyFill="1" applyBorder="1">
      <alignment vertical="center"/>
    </xf>
    <xf numFmtId="0" fontId="79" fillId="23" borderId="0" xfId="0" applyFont="1" applyFill="1" applyAlignment="1">
      <alignment horizontal="left" vertical="center" indent="2"/>
    </xf>
    <xf numFmtId="194" fontId="79" fillId="23" borderId="0" xfId="0" applyNumberFormat="1" applyFont="1" applyFill="1">
      <alignment vertical="center"/>
    </xf>
    <xf numFmtId="0" fontId="3" fillId="2" borderId="47" xfId="0" applyFont="1" applyFill="1" applyBorder="1">
      <alignment vertical="center"/>
    </xf>
    <xf numFmtId="0" fontId="268" fillId="2" borderId="48" xfId="0" applyFont="1" applyFill="1" applyBorder="1">
      <alignment vertical="center"/>
    </xf>
    <xf numFmtId="0" fontId="3" fillId="2" borderId="48" xfId="0" applyFont="1" applyFill="1" applyBorder="1" applyAlignment="1">
      <alignment horizontal="center" vertical="center"/>
    </xf>
    <xf numFmtId="0" fontId="3" fillId="2" borderId="49" xfId="0" applyFont="1" applyFill="1" applyBorder="1" applyAlignment="1">
      <alignment horizontal="center" vertical="center"/>
    </xf>
    <xf numFmtId="0" fontId="15" fillId="35" borderId="47" xfId="0" applyFont="1" applyFill="1" applyBorder="1">
      <alignment vertical="center"/>
    </xf>
    <xf numFmtId="0" fontId="15" fillId="35" borderId="48" xfId="0" applyFont="1" applyFill="1" applyBorder="1">
      <alignment vertical="center"/>
    </xf>
    <xf numFmtId="176" fontId="15" fillId="35" borderId="48" xfId="0" applyNumberFormat="1" applyFont="1" applyFill="1" applyBorder="1">
      <alignment vertical="center"/>
    </xf>
    <xf numFmtId="176" fontId="15" fillId="35" borderId="49" xfId="0" applyNumberFormat="1" applyFont="1" applyFill="1" applyBorder="1">
      <alignment vertical="center"/>
    </xf>
    <xf numFmtId="0" fontId="4" fillId="35" borderId="456" xfId="0" applyFont="1" applyFill="1" applyBorder="1">
      <alignment vertical="center"/>
    </xf>
    <xf numFmtId="0" fontId="4" fillId="35" borderId="197" xfId="0" applyFont="1" applyFill="1" applyBorder="1">
      <alignment vertical="center"/>
    </xf>
    <xf numFmtId="176" fontId="4" fillId="52" borderId="198" xfId="0" applyNumberFormat="1" applyFont="1" applyFill="1" applyBorder="1">
      <alignment vertical="center"/>
    </xf>
    <xf numFmtId="176" fontId="4" fillId="52" borderId="794" xfId="0" applyNumberFormat="1" applyFont="1" applyFill="1" applyBorder="1">
      <alignment vertical="center"/>
    </xf>
    <xf numFmtId="0" fontId="4" fillId="35" borderId="202" xfId="0" applyFont="1" applyFill="1" applyBorder="1">
      <alignment vertical="center"/>
    </xf>
    <xf numFmtId="176" fontId="4" fillId="52" borderId="203" xfId="0" applyNumberFormat="1" applyFont="1" applyFill="1" applyBorder="1">
      <alignment vertical="center"/>
    </xf>
    <xf numFmtId="176" fontId="4" fillId="52" borderId="795" xfId="0" applyNumberFormat="1" applyFont="1" applyFill="1" applyBorder="1">
      <alignment vertical="center"/>
    </xf>
    <xf numFmtId="0" fontId="15" fillId="35" borderId="456" xfId="0" applyFont="1" applyFill="1" applyBorder="1">
      <alignment vertical="center"/>
    </xf>
    <xf numFmtId="0" fontId="15" fillId="35" borderId="0" xfId="0" applyFont="1" applyFill="1">
      <alignment vertical="center"/>
    </xf>
    <xf numFmtId="176" fontId="15" fillId="35" borderId="0" xfId="0" applyNumberFormat="1" applyFont="1" applyFill="1">
      <alignment vertical="center"/>
    </xf>
    <xf numFmtId="176" fontId="15" fillId="35" borderId="457" xfId="0" applyNumberFormat="1" applyFont="1" applyFill="1" applyBorder="1">
      <alignment vertical="center"/>
    </xf>
    <xf numFmtId="0" fontId="15" fillId="35" borderId="454" xfId="0" applyFont="1" applyFill="1" applyBorder="1">
      <alignment vertical="center"/>
    </xf>
    <xf numFmtId="0" fontId="4" fillId="35" borderId="51" xfId="0" applyFont="1" applyFill="1" applyBorder="1">
      <alignment vertical="center"/>
    </xf>
    <xf numFmtId="176" fontId="15" fillId="0" borderId="51" xfId="0" applyNumberFormat="1" applyFont="1" applyBorder="1">
      <alignment vertical="center"/>
    </xf>
    <xf numFmtId="176" fontId="15" fillId="0" borderId="52" xfId="0" applyNumberFormat="1" applyFont="1" applyBorder="1">
      <alignment vertical="center"/>
    </xf>
    <xf numFmtId="0" fontId="15" fillId="35" borderId="796" xfId="0" applyFont="1" applyFill="1" applyBorder="1">
      <alignment vertical="center"/>
    </xf>
    <xf numFmtId="0" fontId="4" fillId="35" borderId="797" xfId="0" applyFont="1" applyFill="1" applyBorder="1">
      <alignment vertical="center"/>
    </xf>
    <xf numFmtId="176" fontId="15" fillId="35" borderId="797" xfId="0" applyNumberFormat="1" applyFont="1" applyFill="1" applyBorder="1">
      <alignment vertical="center"/>
    </xf>
    <xf numFmtId="176" fontId="15" fillId="35" borderId="798" xfId="0" applyNumberFormat="1" applyFont="1" applyFill="1" applyBorder="1">
      <alignment vertical="center"/>
    </xf>
    <xf numFmtId="0" fontId="4" fillId="35" borderId="0" xfId="0" applyFont="1" applyFill="1">
      <alignment vertical="center"/>
    </xf>
    <xf numFmtId="176" fontId="4" fillId="35" borderId="198" xfId="0" applyNumberFormat="1" applyFont="1" applyFill="1" applyBorder="1">
      <alignment vertical="center"/>
    </xf>
    <xf numFmtId="176" fontId="4" fillId="35" borderId="794" xfId="0" applyNumberFormat="1" applyFont="1" applyFill="1" applyBorder="1">
      <alignment vertical="center"/>
    </xf>
    <xf numFmtId="176" fontId="4" fillId="35" borderId="203" xfId="0" applyNumberFormat="1" applyFont="1" applyFill="1" applyBorder="1">
      <alignment vertical="center"/>
    </xf>
    <xf numFmtId="176" fontId="4" fillId="35" borderId="795" xfId="0" applyNumberFormat="1" applyFont="1" applyFill="1" applyBorder="1">
      <alignment vertical="center"/>
    </xf>
    <xf numFmtId="217" fontId="13" fillId="0" borderId="16" xfId="0" applyNumberFormat="1" applyFont="1" applyBorder="1">
      <alignment vertical="center"/>
    </xf>
    <xf numFmtId="217" fontId="13" fillId="0" borderId="0" xfId="0" applyNumberFormat="1" applyFont="1">
      <alignment vertical="center"/>
    </xf>
    <xf numFmtId="217" fontId="13" fillId="0" borderId="17" xfId="0" applyNumberFormat="1" applyFont="1" applyBorder="1">
      <alignment vertical="center"/>
    </xf>
    <xf numFmtId="181" fontId="4" fillId="0" borderId="0" xfId="0" applyNumberFormat="1" applyFont="1">
      <alignment vertical="center"/>
    </xf>
    <xf numFmtId="9" fontId="160" fillId="35" borderId="0" xfId="0" applyNumberFormat="1" applyFont="1" applyFill="1">
      <alignment vertical="center"/>
    </xf>
    <xf numFmtId="181" fontId="16" fillId="0" borderId="0" xfId="0" applyNumberFormat="1" applyFont="1">
      <alignment vertical="center"/>
    </xf>
    <xf numFmtId="9" fontId="11" fillId="71" borderId="0" xfId="0" applyNumberFormat="1" applyFont="1" applyFill="1">
      <alignment vertical="center"/>
    </xf>
    <xf numFmtId="9" fontId="25" fillId="71" borderId="0" xfId="0" applyNumberFormat="1" applyFont="1" applyFill="1">
      <alignment vertical="center"/>
    </xf>
    <xf numFmtId="0" fontId="14" fillId="4" borderId="282" xfId="0" applyFont="1" applyFill="1" applyBorder="1" applyAlignment="1">
      <alignment horizontal="center" vertical="center"/>
    </xf>
    <xf numFmtId="176" fontId="2" fillId="6" borderId="16" xfId="0" applyNumberFormat="1" applyFont="1" applyFill="1" applyBorder="1" applyAlignment="1">
      <alignment horizontal="right" vertical="center"/>
    </xf>
    <xf numFmtId="176" fontId="2" fillId="6" borderId="0" xfId="0" applyNumberFormat="1" applyFont="1" applyFill="1" applyAlignment="1">
      <alignment horizontal="right" vertical="center"/>
    </xf>
    <xf numFmtId="176" fontId="2" fillId="6" borderId="17" xfId="0" applyNumberFormat="1" applyFont="1" applyFill="1" applyBorder="1" applyAlignment="1">
      <alignment horizontal="right" vertical="center"/>
    </xf>
    <xf numFmtId="176" fontId="15" fillId="0" borderId="799" xfId="0" applyNumberFormat="1" applyFont="1" applyBorder="1">
      <alignment vertical="center"/>
    </xf>
    <xf numFmtId="176" fontId="15" fillId="0" borderId="800" xfId="0" applyNumberFormat="1" applyFont="1" applyBorder="1" applyAlignment="1">
      <alignment horizontal="right" vertical="center"/>
    </xf>
    <xf numFmtId="176" fontId="79" fillId="0" borderId="0" xfId="0" applyNumberFormat="1" applyFont="1">
      <alignment vertical="center"/>
    </xf>
    <xf numFmtId="178" fontId="11" fillId="0" borderId="16" xfId="0" applyNumberFormat="1" applyFont="1" applyBorder="1">
      <alignment vertical="center"/>
    </xf>
    <xf numFmtId="178" fontId="24" fillId="0" borderId="0" xfId="0" applyNumberFormat="1" applyFont="1">
      <alignment vertical="center"/>
    </xf>
    <xf numFmtId="0" fontId="0" fillId="0" borderId="2" xfId="0" applyBorder="1">
      <alignment vertical="center"/>
    </xf>
    <xf numFmtId="0" fontId="194" fillId="73" borderId="618" xfId="0" applyFont="1" applyFill="1" applyBorder="1" applyAlignment="1">
      <alignment vertical="center" wrapText="1" readingOrder="1"/>
    </xf>
    <xf numFmtId="0" fontId="195" fillId="75" borderId="477" xfId="0" applyFont="1" applyFill="1" applyBorder="1" applyAlignment="1">
      <alignment vertical="center" wrapText="1" readingOrder="1"/>
    </xf>
    <xf numFmtId="0" fontId="190" fillId="75" borderId="478" xfId="0" applyFont="1" applyFill="1" applyBorder="1" applyAlignment="1">
      <alignment vertical="center" wrapText="1"/>
    </xf>
    <xf numFmtId="0" fontId="194" fillId="81" borderId="480" xfId="0" applyFont="1" applyFill="1" applyBorder="1" applyAlignment="1">
      <alignment vertical="top" wrapText="1"/>
    </xf>
    <xf numFmtId="0" fontId="190" fillId="75" borderId="480" xfId="0" applyFont="1" applyFill="1" applyBorder="1" applyAlignment="1">
      <alignment vertical="top" wrapText="1"/>
    </xf>
    <xf numFmtId="0" fontId="190" fillId="75" borderId="477" xfId="0" applyFont="1" applyFill="1" applyBorder="1" applyAlignment="1">
      <alignment vertical="top" wrapText="1"/>
    </xf>
    <xf numFmtId="0" fontId="194" fillId="73" borderId="593" xfId="0" applyFont="1" applyFill="1" applyBorder="1" applyAlignment="1">
      <alignment vertical="center" wrapText="1" readingOrder="1"/>
    </xf>
    <xf numFmtId="0" fontId="74" fillId="7" borderId="28" xfId="0" applyFont="1" applyFill="1" applyBorder="1" applyAlignment="1">
      <alignment horizontal="center" vertical="center" wrapText="1"/>
    </xf>
    <xf numFmtId="0" fontId="74" fillId="7" borderId="29" xfId="0" applyFont="1" applyFill="1" applyBorder="1" applyAlignment="1">
      <alignment horizontal="center" vertical="center" wrapText="1"/>
    </xf>
    <xf numFmtId="0" fontId="74" fillId="7" borderId="30" xfId="0" applyFont="1" applyFill="1" applyBorder="1" applyAlignment="1">
      <alignment horizontal="center" vertical="center" wrapText="1"/>
    </xf>
    <xf numFmtId="0" fontId="74" fillId="0" borderId="31" xfId="0" applyFont="1" applyBorder="1" applyAlignment="1">
      <alignment vertical="top" wrapText="1"/>
    </xf>
    <xf numFmtId="0" fontId="74" fillId="0" borderId="27" xfId="0" applyFont="1" applyBorder="1" applyAlignment="1">
      <alignment horizontal="center" vertical="top" wrapText="1"/>
    </xf>
    <xf numFmtId="3" fontId="74" fillId="0" borderId="27" xfId="0" applyNumberFormat="1" applyFont="1" applyBorder="1" applyAlignment="1">
      <alignment horizontal="right" vertical="top" wrapText="1"/>
    </xf>
    <xf numFmtId="0" fontId="74" fillId="0" borderId="32" xfId="0" applyFont="1" applyBorder="1" applyAlignment="1">
      <alignment horizontal="right" vertical="top" wrapText="1"/>
    </xf>
    <xf numFmtId="0" fontId="74" fillId="0" borderId="27" xfId="0" applyFont="1" applyBorder="1" applyAlignment="1">
      <alignment horizontal="right" vertical="top" wrapText="1"/>
    </xf>
    <xf numFmtId="3" fontId="74" fillId="0" borderId="32" xfId="0" applyNumberFormat="1" applyFont="1" applyBorder="1" applyAlignment="1">
      <alignment horizontal="right" vertical="top" wrapText="1"/>
    </xf>
    <xf numFmtId="0" fontId="74" fillId="0" borderId="27" xfId="0" applyFont="1" applyBorder="1" applyAlignment="1">
      <alignment horizontal="center" vertical="center" wrapText="1"/>
    </xf>
    <xf numFmtId="0" fontId="74" fillId="0" borderId="33" xfId="0" applyFont="1" applyBorder="1" applyAlignment="1">
      <alignment vertical="top" wrapText="1"/>
    </xf>
    <xf numFmtId="0" fontId="74" fillId="0" borderId="34" xfId="0" applyFont="1" applyBorder="1" applyAlignment="1">
      <alignment horizontal="center" vertical="top" wrapText="1"/>
    </xf>
    <xf numFmtId="0" fontId="74" fillId="0" borderId="34" xfId="0" applyFont="1" applyBorder="1" applyAlignment="1">
      <alignment horizontal="right" vertical="top" wrapText="1"/>
    </xf>
    <xf numFmtId="0" fontId="74" fillId="0" borderId="35" xfId="0" applyFont="1" applyBorder="1" applyAlignment="1">
      <alignment horizontal="right" vertical="top" wrapText="1"/>
    </xf>
    <xf numFmtId="0" fontId="74" fillId="0" borderId="0" xfId="0" applyFont="1" applyAlignment="1">
      <alignment horizontal="center" vertical="top" wrapText="1"/>
    </xf>
    <xf numFmtId="0" fontId="74" fillId="0" borderId="33" xfId="0" applyFont="1" applyBorder="1" applyAlignment="1">
      <alignment vertical="center" wrapText="1"/>
    </xf>
    <xf numFmtId="0" fontId="74" fillId="0" borderId="34" xfId="0" applyFont="1" applyBorder="1" applyAlignment="1">
      <alignment horizontal="center" vertical="center" wrapText="1"/>
    </xf>
    <xf numFmtId="0" fontId="74" fillId="0" borderId="0" xfId="0" applyFont="1" applyAlignment="1">
      <alignment vertical="top" wrapText="1"/>
    </xf>
    <xf numFmtId="3" fontId="74" fillId="0" borderId="34" xfId="0" applyNumberFormat="1" applyFont="1" applyBorder="1" applyAlignment="1">
      <alignment horizontal="right" vertical="top" wrapText="1"/>
    </xf>
    <xf numFmtId="0" fontId="269" fillId="0" borderId="27" xfId="0" applyFont="1" applyBorder="1" applyAlignment="1">
      <alignment horizontal="center" vertical="top" wrapText="1"/>
    </xf>
    <xf numFmtId="0" fontId="269" fillId="0" borderId="34" xfId="0" applyFont="1" applyBorder="1" applyAlignment="1">
      <alignment horizontal="center" vertical="top" wrapText="1"/>
    </xf>
    <xf numFmtId="9" fontId="25" fillId="0" borderId="46" xfId="0" applyNumberFormat="1" applyFont="1" applyBorder="1">
      <alignment vertical="center"/>
    </xf>
    <xf numFmtId="0" fontId="73" fillId="0" borderId="0" xfId="0" applyFont="1" applyAlignment="1">
      <alignment horizontal="justify" vertical="center" wrapText="1"/>
    </xf>
    <xf numFmtId="0" fontId="74" fillId="0" borderId="0" xfId="0" applyFont="1" applyAlignment="1">
      <alignment horizontal="right" vertical="top" wrapText="1"/>
    </xf>
    <xf numFmtId="3" fontId="74" fillId="0" borderId="34" xfId="0" applyNumberFormat="1" applyFont="1" applyBorder="1" applyAlignment="1">
      <alignment horizontal="right" vertical="center" wrapText="1"/>
    </xf>
    <xf numFmtId="3" fontId="74" fillId="0" borderId="35" xfId="0" applyNumberFormat="1" applyFont="1" applyBorder="1" applyAlignment="1">
      <alignment horizontal="right" vertical="center" wrapText="1"/>
    </xf>
    <xf numFmtId="3" fontId="74" fillId="4" borderId="34" xfId="0" applyNumberFormat="1" applyFont="1" applyFill="1" applyBorder="1" applyAlignment="1">
      <alignment horizontal="right" vertical="center" wrapText="1"/>
    </xf>
    <xf numFmtId="183" fontId="2" fillId="0" borderId="0" xfId="0" applyNumberFormat="1" applyFont="1">
      <alignment vertical="center"/>
    </xf>
    <xf numFmtId="176" fontId="15" fillId="0" borderId="800" xfId="0" applyNumberFormat="1" applyFont="1" applyBorder="1">
      <alignment vertical="center"/>
    </xf>
    <xf numFmtId="176" fontId="4" fillId="6" borderId="2" xfId="0" applyNumberFormat="1" applyFont="1" applyFill="1" applyBorder="1">
      <alignment vertical="center"/>
    </xf>
    <xf numFmtId="176" fontId="4" fillId="6" borderId="2" xfId="0" applyNumberFormat="1" applyFont="1" applyFill="1" applyBorder="1" applyAlignment="1">
      <alignment horizontal="right" vertical="center"/>
    </xf>
    <xf numFmtId="0" fontId="15" fillId="12" borderId="4" xfId="0" applyFont="1" applyFill="1" applyBorder="1" applyAlignment="1">
      <alignment horizontal="center" vertical="center"/>
    </xf>
    <xf numFmtId="0" fontId="15" fillId="12" borderId="1" xfId="0" applyFont="1" applyFill="1" applyBorder="1" applyAlignment="1">
      <alignment horizontal="center" vertical="center"/>
    </xf>
    <xf numFmtId="0" fontId="15" fillId="12" borderId="5" xfId="0" applyFont="1" applyFill="1" applyBorder="1" applyAlignment="1">
      <alignment horizontal="center" vertical="center"/>
    </xf>
    <xf numFmtId="0" fontId="15" fillId="12" borderId="801" xfId="0" applyFont="1" applyFill="1" applyBorder="1" applyAlignment="1">
      <alignment horizontal="center" vertical="center"/>
    </xf>
    <xf numFmtId="0" fontId="15" fillId="12" borderId="42" xfId="0" applyFont="1" applyFill="1" applyBorder="1" applyAlignment="1">
      <alignment horizontal="center" vertical="center"/>
    </xf>
    <xf numFmtId="0" fontId="15" fillId="12" borderId="219" xfId="0" applyFont="1" applyFill="1" applyBorder="1" applyAlignment="1">
      <alignment horizontal="center" vertical="center"/>
    </xf>
    <xf numFmtId="0" fontId="15" fillId="12" borderId="805" xfId="0" applyFont="1" applyFill="1" applyBorder="1" applyAlignment="1">
      <alignment horizontal="center" vertical="center"/>
    </xf>
    <xf numFmtId="0" fontId="15" fillId="12" borderId="806" xfId="0" applyFont="1" applyFill="1" applyBorder="1" applyAlignment="1">
      <alignment horizontal="center" vertical="center"/>
    </xf>
    <xf numFmtId="41" fontId="15" fillId="0" borderId="801" xfId="0" applyNumberFormat="1" applyFont="1" applyBorder="1" applyAlignment="1">
      <alignment horizontal="center" vertical="center"/>
    </xf>
    <xf numFmtId="41" fontId="15" fillId="0" borderId="335" xfId="0" applyNumberFormat="1" applyFont="1" applyBorder="1" applyAlignment="1">
      <alignment horizontal="center" vertical="center"/>
    </xf>
    <xf numFmtId="41" fontId="4" fillId="0" borderId="335" xfId="0" applyNumberFormat="1" applyFont="1" applyBorder="1">
      <alignment vertical="center"/>
    </xf>
    <xf numFmtId="41" fontId="4" fillId="0" borderId="809" xfId="0" applyNumberFormat="1" applyFont="1" applyBorder="1">
      <alignment vertical="center"/>
    </xf>
    <xf numFmtId="41" fontId="4" fillId="0" borderId="810" xfId="0" applyNumberFormat="1" applyFont="1" applyBorder="1">
      <alignment vertical="center"/>
    </xf>
    <xf numFmtId="41" fontId="15" fillId="0" borderId="811" xfId="0" applyNumberFormat="1" applyFont="1" applyBorder="1">
      <alignment vertical="center"/>
    </xf>
    <xf numFmtId="41" fontId="4" fillId="0" borderId="812" xfId="0" applyNumberFormat="1" applyFont="1" applyBorder="1">
      <alignment vertical="center"/>
    </xf>
    <xf numFmtId="41" fontId="4" fillId="0" borderId="813" xfId="0" applyNumberFormat="1" applyFont="1" applyBorder="1">
      <alignment vertical="center"/>
    </xf>
    <xf numFmtId="41" fontId="4" fillId="0" borderId="334" xfId="0" applyNumberFormat="1" applyFont="1" applyBorder="1">
      <alignment vertical="center"/>
    </xf>
    <xf numFmtId="199" fontId="4" fillId="0" borderId="330" xfId="0" applyNumberFormat="1" applyFont="1" applyBorder="1">
      <alignment vertical="center"/>
    </xf>
    <xf numFmtId="41" fontId="4" fillId="0" borderId="190" xfId="0" quotePrefix="1" applyNumberFormat="1" applyFont="1" applyBorder="1" applyAlignment="1">
      <alignment horizontal="right" vertical="center"/>
    </xf>
    <xf numFmtId="41" fontId="15" fillId="0" borderId="341" xfId="0" applyNumberFormat="1" applyFont="1" applyBorder="1" applyAlignment="1">
      <alignment horizontal="center" vertical="center"/>
    </xf>
    <xf numFmtId="41" fontId="4" fillId="0" borderId="341" xfId="0" applyNumberFormat="1" applyFont="1" applyBorder="1">
      <alignment vertical="center"/>
    </xf>
    <xf numFmtId="41" fontId="4" fillId="0" borderId="814" xfId="0" applyNumberFormat="1" applyFont="1" applyBorder="1">
      <alignment vertical="center"/>
    </xf>
    <xf numFmtId="41" fontId="4" fillId="0" borderId="815" xfId="0" applyNumberFormat="1" applyFont="1" applyBorder="1">
      <alignment vertical="center"/>
    </xf>
    <xf numFmtId="41" fontId="15" fillId="0" borderId="816" xfId="0" applyNumberFormat="1" applyFont="1" applyBorder="1">
      <alignment vertical="center"/>
    </xf>
    <xf numFmtId="41" fontId="4" fillId="0" borderId="18" xfId="0" applyNumberFormat="1" applyFont="1" applyBorder="1">
      <alignment vertical="center"/>
    </xf>
    <xf numFmtId="41" fontId="4" fillId="0" borderId="817" xfId="0" applyNumberFormat="1" applyFont="1" applyBorder="1">
      <alignment vertical="center"/>
    </xf>
    <xf numFmtId="41" fontId="4" fillId="0" borderId="340" xfId="0" applyNumberFormat="1" applyFont="1" applyBorder="1">
      <alignment vertical="center"/>
    </xf>
    <xf numFmtId="199" fontId="4" fillId="0" borderId="336" xfId="0" applyNumberFormat="1" applyFont="1" applyBorder="1">
      <alignment vertical="center"/>
    </xf>
    <xf numFmtId="187" fontId="4" fillId="0" borderId="341" xfId="0" applyNumberFormat="1" applyFont="1" applyBorder="1">
      <alignment vertical="center"/>
    </xf>
    <xf numFmtId="41" fontId="15" fillId="0" borderId="346" xfId="0" applyNumberFormat="1" applyFont="1" applyBorder="1" applyAlignment="1">
      <alignment horizontal="center" vertical="center"/>
    </xf>
    <xf numFmtId="41" fontId="4" fillId="0" borderId="346" xfId="0" applyNumberFormat="1" applyFont="1" applyBorder="1">
      <alignment vertical="center"/>
    </xf>
    <xf numFmtId="41" fontId="4" fillId="0" borderId="818" xfId="0" applyNumberFormat="1" applyFont="1" applyBorder="1">
      <alignment vertical="center"/>
    </xf>
    <xf numFmtId="41" fontId="4" fillId="0" borderId="819" xfId="0" applyNumberFormat="1" applyFont="1" applyBorder="1">
      <alignment vertical="center"/>
    </xf>
    <xf numFmtId="41" fontId="15" fillId="0" borderId="820" xfId="0" applyNumberFormat="1" applyFont="1" applyBorder="1">
      <alignment vertical="center"/>
    </xf>
    <xf numFmtId="41" fontId="4" fillId="0" borderId="355" xfId="0" applyNumberFormat="1" applyFont="1" applyBorder="1">
      <alignment vertical="center"/>
    </xf>
    <xf numFmtId="41" fontId="4" fillId="0" borderId="821" xfId="0" applyNumberFormat="1" applyFont="1" applyBorder="1">
      <alignment vertical="center"/>
    </xf>
    <xf numFmtId="41" fontId="4" fillId="0" borderId="345" xfId="0" applyNumberFormat="1" applyFont="1" applyBorder="1">
      <alignment vertical="center"/>
    </xf>
    <xf numFmtId="199" fontId="4" fillId="0" borderId="342" xfId="0" applyNumberFormat="1" applyFont="1" applyBorder="1">
      <alignment vertical="center"/>
    </xf>
    <xf numFmtId="41" fontId="15" fillId="0" borderId="6" xfId="0" applyNumberFormat="1" applyFont="1" applyBorder="1" applyAlignment="1">
      <alignment horizontal="center" vertical="center"/>
    </xf>
    <xf numFmtId="41" fontId="15" fillId="83" borderId="5" xfId="0" applyNumberFormat="1" applyFont="1" applyFill="1" applyBorder="1" applyAlignment="1">
      <alignment horizontal="right" vertical="center"/>
    </xf>
    <xf numFmtId="41" fontId="4" fillId="83" borderId="36" xfId="0" applyNumberFormat="1" applyFont="1" applyFill="1" applyBorder="1">
      <alignment vertical="center"/>
    </xf>
    <xf numFmtId="41" fontId="4" fillId="83" borderId="219" xfId="0" applyNumberFormat="1" applyFont="1" applyFill="1" applyBorder="1">
      <alignment vertical="center"/>
    </xf>
    <xf numFmtId="41" fontId="4" fillId="83" borderId="805" xfId="0" applyNumberFormat="1" applyFont="1" applyFill="1" applyBorder="1">
      <alignment vertical="center"/>
    </xf>
    <xf numFmtId="41" fontId="15" fillId="83" borderId="822" xfId="0" applyNumberFormat="1" applyFont="1" applyFill="1" applyBorder="1">
      <alignment vertical="center"/>
    </xf>
    <xf numFmtId="41" fontId="4" fillId="83" borderId="1" xfId="0" applyNumberFormat="1" applyFont="1" applyFill="1" applyBorder="1">
      <alignment vertical="center"/>
    </xf>
    <xf numFmtId="41" fontId="4" fillId="83" borderId="823" xfId="0" applyNumberFormat="1" applyFont="1" applyFill="1" applyBorder="1">
      <alignment vertical="center"/>
    </xf>
    <xf numFmtId="41" fontId="4" fillId="83" borderId="5" xfId="0" applyNumberFormat="1" applyFont="1" applyFill="1" applyBorder="1">
      <alignment vertical="center"/>
    </xf>
    <xf numFmtId="199" fontId="4" fillId="83" borderId="4" xfId="0" applyNumberFormat="1" applyFont="1" applyFill="1" applyBorder="1">
      <alignment vertical="center"/>
    </xf>
    <xf numFmtId="41" fontId="15" fillId="0" borderId="190" xfId="0" quotePrefix="1" applyNumberFormat="1" applyFont="1" applyBorder="1" applyAlignment="1">
      <alignment horizontal="center" vertical="center"/>
    </xf>
    <xf numFmtId="9" fontId="4" fillId="0" borderId="817" xfId="0" applyNumberFormat="1" applyFont="1" applyBorder="1">
      <alignment vertical="center"/>
    </xf>
    <xf numFmtId="41" fontId="4" fillId="0" borderId="336" xfId="0" applyNumberFormat="1" applyFont="1" applyBorder="1">
      <alignment vertical="center"/>
    </xf>
    <xf numFmtId="41" fontId="4" fillId="0" borderId="330" xfId="0" applyNumberFormat="1" applyFont="1" applyBorder="1">
      <alignment vertical="center"/>
    </xf>
    <xf numFmtId="41" fontId="4" fillId="0" borderId="342" xfId="0" applyNumberFormat="1" applyFont="1" applyBorder="1">
      <alignment vertical="center"/>
    </xf>
    <xf numFmtId="41" fontId="4" fillId="83" borderId="4" xfId="0" applyNumberFormat="1" applyFont="1" applyFill="1" applyBorder="1">
      <alignment vertical="center"/>
    </xf>
    <xf numFmtId="41" fontId="4" fillId="84" borderId="36" xfId="0" applyNumberFormat="1" applyFont="1" applyFill="1" applyBorder="1">
      <alignment vertical="center"/>
    </xf>
    <xf numFmtId="41" fontId="4" fillId="84" borderId="219" xfId="0" applyNumberFormat="1" applyFont="1" applyFill="1" applyBorder="1">
      <alignment vertical="center"/>
    </xf>
    <xf numFmtId="41" fontId="4" fillId="84" borderId="805" xfId="0" applyNumberFormat="1" applyFont="1" applyFill="1" applyBorder="1">
      <alignment vertical="center"/>
    </xf>
    <xf numFmtId="41" fontId="15" fillId="84" borderId="824" xfId="0" applyNumberFormat="1" applyFont="1" applyFill="1" applyBorder="1">
      <alignment vertical="center"/>
    </xf>
    <xf numFmtId="41" fontId="4" fillId="84" borderId="1" xfId="0" applyNumberFormat="1" applyFont="1" applyFill="1" applyBorder="1">
      <alignment vertical="center"/>
    </xf>
    <xf numFmtId="41" fontId="4" fillId="84" borderId="825" xfId="0" applyNumberFormat="1" applyFont="1" applyFill="1" applyBorder="1">
      <alignment vertical="center"/>
    </xf>
    <xf numFmtId="41" fontId="4" fillId="84" borderId="5" xfId="0" applyNumberFormat="1" applyFont="1" applyFill="1" applyBorder="1">
      <alignment vertical="center"/>
    </xf>
    <xf numFmtId="199" fontId="4" fillId="84" borderId="4" xfId="0" applyNumberFormat="1" applyFont="1" applyFill="1" applyBorder="1">
      <alignment vertical="center"/>
    </xf>
    <xf numFmtId="0" fontId="15" fillId="0" borderId="801" xfId="0" applyFont="1" applyBorder="1" applyAlignment="1">
      <alignment horizontal="center" vertical="center"/>
    </xf>
    <xf numFmtId="0" fontId="15" fillId="0" borderId="335" xfId="0" applyFont="1" applyBorder="1" applyAlignment="1">
      <alignment horizontal="center" vertical="center"/>
    </xf>
    <xf numFmtId="0" fontId="4" fillId="0" borderId="190" xfId="0" quotePrefix="1" applyFont="1" applyBorder="1" applyAlignment="1">
      <alignment horizontal="right" vertical="center"/>
    </xf>
    <xf numFmtId="0" fontId="15" fillId="0" borderId="346" xfId="0" applyFont="1" applyBorder="1" applyAlignment="1">
      <alignment horizontal="center" vertical="center"/>
    </xf>
    <xf numFmtId="0" fontId="15" fillId="0" borderId="6" xfId="0" applyFont="1" applyBorder="1" applyAlignment="1">
      <alignment horizontal="center" vertical="center"/>
    </xf>
    <xf numFmtId="0" fontId="15" fillId="83" borderId="5" xfId="0" applyFont="1" applyFill="1" applyBorder="1" applyAlignment="1">
      <alignment horizontal="right" vertical="center"/>
    </xf>
    <xf numFmtId="217" fontId="16" fillId="0" borderId="0" xfId="0" applyNumberFormat="1" applyFont="1">
      <alignment vertical="center"/>
    </xf>
    <xf numFmtId="217" fontId="4" fillId="0" borderId="17" xfId="0" applyNumberFormat="1" applyFont="1" applyBorder="1">
      <alignment vertical="center"/>
    </xf>
    <xf numFmtId="176" fontId="15" fillId="6" borderId="799" xfId="0" applyNumberFormat="1" applyFont="1" applyFill="1" applyBorder="1">
      <alignment vertical="center"/>
    </xf>
    <xf numFmtId="177" fontId="4" fillId="6" borderId="16" xfId="0" applyNumberFormat="1" applyFont="1" applyFill="1" applyBorder="1">
      <alignment vertical="center"/>
    </xf>
    <xf numFmtId="177" fontId="4" fillId="0" borderId="17" xfId="0" applyNumberFormat="1" applyFont="1" applyBorder="1">
      <alignment vertical="center"/>
    </xf>
    <xf numFmtId="177" fontId="4" fillId="6" borderId="21" xfId="0" applyNumberFormat="1" applyFont="1" applyFill="1" applyBorder="1">
      <alignment vertical="center"/>
    </xf>
    <xf numFmtId="217" fontId="4" fillId="0" borderId="2" xfId="0" applyNumberFormat="1" applyFont="1" applyBorder="1">
      <alignment vertical="center"/>
    </xf>
    <xf numFmtId="0" fontId="33" fillId="0" borderId="0" xfId="0" applyFont="1" applyAlignment="1">
      <alignment horizontal="center" vertical="center"/>
    </xf>
    <xf numFmtId="0" fontId="272" fillId="0" borderId="0" xfId="0" applyFont="1">
      <alignment vertical="center"/>
    </xf>
    <xf numFmtId="0" fontId="273" fillId="0" borderId="0" xfId="0" applyFont="1">
      <alignment vertical="center"/>
    </xf>
    <xf numFmtId="0" fontId="119" fillId="45" borderId="801" xfId="0" applyFont="1" applyFill="1" applyBorder="1" applyAlignment="1">
      <alignment horizontal="center" vertical="center"/>
    </xf>
    <xf numFmtId="0" fontId="274" fillId="12" borderId="801" xfId="0" applyFont="1" applyFill="1" applyBorder="1" applyAlignment="1">
      <alignment horizontal="center" vertical="center"/>
    </xf>
    <xf numFmtId="0" fontId="274" fillId="12" borderId="0" xfId="0" applyFont="1" applyFill="1" applyAlignment="1">
      <alignment horizontal="center" vertical="center"/>
    </xf>
    <xf numFmtId="0" fontId="33" fillId="0" borderId="0" xfId="0" quotePrefix="1" applyFont="1" applyAlignment="1">
      <alignment horizontal="center" vertical="center"/>
    </xf>
    <xf numFmtId="0" fontId="33" fillId="0" borderId="801" xfId="0" applyFont="1" applyBorder="1" applyAlignment="1">
      <alignment horizontal="center" vertical="center"/>
    </xf>
    <xf numFmtId="41" fontId="275" fillId="0" borderId="801" xfId="0" applyNumberFormat="1" applyFont="1" applyBorder="1">
      <alignment vertical="center"/>
    </xf>
    <xf numFmtId="41" fontId="275" fillId="0" borderId="0" xfId="0" applyNumberFormat="1" applyFont="1">
      <alignment vertical="center"/>
    </xf>
    <xf numFmtId="0" fontId="33" fillId="0" borderId="190" xfId="0" applyFont="1" applyBorder="1" applyAlignment="1">
      <alignment horizontal="center" vertical="center"/>
    </xf>
    <xf numFmtId="41" fontId="275" fillId="0" borderId="190" xfId="0" applyNumberFormat="1" applyFont="1" applyBorder="1">
      <alignment vertical="center"/>
    </xf>
    <xf numFmtId="0" fontId="19" fillId="0" borderId="5" xfId="0" applyFont="1" applyBorder="1" applyAlignment="1">
      <alignment horizontal="right" vertical="center"/>
    </xf>
    <xf numFmtId="41" fontId="276" fillId="0" borderId="36" xfId="0" applyNumberFormat="1" applyFont="1" applyBorder="1">
      <alignment vertical="center"/>
    </xf>
    <xf numFmtId="41" fontId="276" fillId="0" borderId="0" xfId="0" applyNumberFormat="1" applyFont="1">
      <alignment vertical="center"/>
    </xf>
    <xf numFmtId="0" fontId="33" fillId="0" borderId="42" xfId="0" applyFont="1" applyBorder="1" applyAlignment="1">
      <alignment horizontal="center" vertical="center"/>
    </xf>
    <xf numFmtId="41" fontId="275" fillId="0" borderId="42" xfId="0" applyNumberFormat="1" applyFont="1" applyBorder="1">
      <alignment vertical="center"/>
    </xf>
    <xf numFmtId="0" fontId="277" fillId="0" borderId="0" xfId="0" applyFont="1">
      <alignment vertical="center"/>
    </xf>
    <xf numFmtId="0" fontId="19" fillId="5" borderId="801" xfId="0" applyFont="1" applyFill="1" applyBorder="1" applyAlignment="1">
      <alignment horizontal="center" vertical="center"/>
    </xf>
    <xf numFmtId="41" fontId="276" fillId="5" borderId="801" xfId="0" applyNumberFormat="1" applyFont="1" applyFill="1" applyBorder="1">
      <alignment vertical="center"/>
    </xf>
    <xf numFmtId="43" fontId="19" fillId="0" borderId="0" xfId="0" applyNumberFormat="1" applyFont="1">
      <alignment vertical="center"/>
    </xf>
    <xf numFmtId="0" fontId="19" fillId="5" borderId="42" xfId="0" applyFont="1" applyFill="1" applyBorder="1" applyAlignment="1">
      <alignment horizontal="center" vertical="center"/>
    </xf>
    <xf numFmtId="41" fontId="276" fillId="5" borderId="42" xfId="0" applyNumberFormat="1" applyFont="1" applyFill="1" applyBorder="1">
      <alignment vertical="center"/>
    </xf>
    <xf numFmtId="0" fontId="142" fillId="5" borderId="5" xfId="0" applyFont="1" applyFill="1" applyBorder="1" applyAlignment="1">
      <alignment horizontal="center" vertical="center"/>
    </xf>
    <xf numFmtId="41" fontId="278" fillId="5" borderId="36" xfId="0" applyNumberFormat="1" applyFont="1" applyFill="1" applyBorder="1">
      <alignment vertical="center"/>
    </xf>
    <xf numFmtId="178" fontId="280" fillId="45" borderId="259" xfId="0" applyNumberFormat="1" applyFont="1" applyFill="1" applyBorder="1" applyAlignment="1">
      <alignment horizontal="center" vertical="center"/>
    </xf>
    <xf numFmtId="178" fontId="280" fillId="45" borderId="260" xfId="0" applyNumberFormat="1" applyFont="1" applyFill="1" applyBorder="1" applyAlignment="1">
      <alignment horizontal="center" vertical="center"/>
    </xf>
    <xf numFmtId="0" fontId="19" fillId="9" borderId="801" xfId="0" applyFont="1" applyFill="1" applyBorder="1" applyAlignment="1">
      <alignment horizontal="center" vertical="center"/>
    </xf>
    <xf numFmtId="41" fontId="276" fillId="9" borderId="801" xfId="0" applyNumberFormat="1" applyFont="1" applyFill="1" applyBorder="1">
      <alignment vertical="center"/>
    </xf>
    <xf numFmtId="0" fontId="19" fillId="9" borderId="42" xfId="0" applyFont="1" applyFill="1" applyBorder="1" applyAlignment="1">
      <alignment horizontal="center" vertical="center"/>
    </xf>
    <xf numFmtId="41" fontId="276" fillId="9" borderId="42" xfId="0" applyNumberFormat="1" applyFont="1" applyFill="1" applyBorder="1">
      <alignment vertical="center"/>
    </xf>
    <xf numFmtId="0" fontId="142" fillId="9" borderId="5" xfId="0" applyFont="1" applyFill="1" applyBorder="1" applyAlignment="1">
      <alignment horizontal="center" vertical="center"/>
    </xf>
    <xf numFmtId="41" fontId="278" fillId="9" borderId="36" xfId="0" applyNumberFormat="1" applyFont="1" applyFill="1" applyBorder="1">
      <alignment vertical="center"/>
    </xf>
    <xf numFmtId="0" fontId="274" fillId="12" borderId="36" xfId="0" applyFont="1" applyFill="1" applyBorder="1" applyAlignment="1">
      <alignment horizontal="center" vertical="center"/>
    </xf>
    <xf numFmtId="0" fontId="19" fillId="0" borderId="801" xfId="0" applyFont="1" applyBorder="1">
      <alignment vertical="center"/>
    </xf>
    <xf numFmtId="41" fontId="281" fillId="0" borderId="801" xfId="0" applyNumberFormat="1" applyFont="1" applyBorder="1">
      <alignment vertical="center"/>
    </xf>
    <xf numFmtId="41" fontId="281" fillId="0" borderId="0" xfId="0" applyNumberFormat="1" applyFont="1">
      <alignment vertical="center"/>
    </xf>
    <xf numFmtId="0" fontId="167" fillId="0" borderId="190" xfId="0" quotePrefix="1" applyFont="1" applyBorder="1" applyAlignment="1">
      <alignment horizontal="left" vertical="center"/>
    </xf>
    <xf numFmtId="41" fontId="282" fillId="0" borderId="190" xfId="0" applyNumberFormat="1" applyFont="1" applyBorder="1">
      <alignment vertical="center"/>
    </xf>
    <xf numFmtId="41" fontId="282" fillId="0" borderId="0" xfId="0" applyNumberFormat="1" applyFont="1">
      <alignment vertical="center"/>
    </xf>
    <xf numFmtId="0" fontId="36" fillId="0" borderId="190" xfId="0" quotePrefix="1" applyFont="1" applyBorder="1" applyAlignment="1">
      <alignment horizontal="left" vertical="center"/>
    </xf>
    <xf numFmtId="41" fontId="283" fillId="0" borderId="190" xfId="0" applyNumberFormat="1" applyFont="1" applyBorder="1">
      <alignment vertical="center"/>
    </xf>
    <xf numFmtId="0" fontId="19" fillId="0" borderId="828" xfId="0" applyFont="1" applyBorder="1">
      <alignment vertical="center"/>
    </xf>
    <xf numFmtId="41" fontId="281" fillId="0" borderId="828" xfId="0" applyNumberFormat="1" applyFont="1" applyBorder="1">
      <alignment vertical="center"/>
    </xf>
    <xf numFmtId="41" fontId="283" fillId="0" borderId="0" xfId="0" applyNumberFormat="1" applyFont="1">
      <alignment vertical="center"/>
    </xf>
    <xf numFmtId="0" fontId="36" fillId="0" borderId="829" xfId="0" quotePrefix="1" applyFont="1" applyBorder="1" applyAlignment="1">
      <alignment horizontal="left" vertical="center"/>
    </xf>
    <xf numFmtId="41" fontId="283" fillId="0" borderId="829" xfId="0" applyNumberFormat="1" applyFont="1" applyBorder="1">
      <alignment vertical="center"/>
    </xf>
    <xf numFmtId="0" fontId="19" fillId="0" borderId="190" xfId="0" applyFont="1" applyBorder="1">
      <alignment vertical="center"/>
    </xf>
    <xf numFmtId="41" fontId="284" fillId="0" borderId="190" xfId="0" applyNumberFormat="1" applyFont="1" applyBorder="1">
      <alignment vertical="center"/>
    </xf>
    <xf numFmtId="41" fontId="284" fillId="0" borderId="0" xfId="0" applyNumberFormat="1" applyFont="1">
      <alignment vertical="center"/>
    </xf>
    <xf numFmtId="41" fontId="281" fillId="0" borderId="190" xfId="0" applyNumberFormat="1" applyFont="1" applyBorder="1">
      <alignment vertical="center"/>
    </xf>
    <xf numFmtId="0" fontId="285" fillId="0" borderId="190" xfId="0" quotePrefix="1" applyFont="1" applyBorder="1" applyAlignment="1">
      <alignment horizontal="right" vertical="center"/>
    </xf>
    <xf numFmtId="41" fontId="286" fillId="0" borderId="190" xfId="0" applyNumberFormat="1" applyFont="1" applyBorder="1">
      <alignment vertical="center"/>
    </xf>
    <xf numFmtId="41" fontId="286" fillId="0" borderId="0" xfId="0" applyNumberFormat="1" applyFont="1">
      <alignment vertical="center"/>
    </xf>
    <xf numFmtId="0" fontId="33" fillId="0" borderId="190" xfId="0" applyFont="1" applyBorder="1">
      <alignment vertical="center"/>
    </xf>
    <xf numFmtId="0" fontId="19" fillId="0" borderId="828" xfId="0" applyFont="1" applyBorder="1" applyAlignment="1">
      <alignment vertical="center" shrinkToFit="1"/>
    </xf>
    <xf numFmtId="41" fontId="284" fillId="0" borderId="828" xfId="0" applyNumberFormat="1" applyFont="1" applyBorder="1">
      <alignment vertical="center"/>
    </xf>
    <xf numFmtId="0" fontId="285" fillId="0" borderId="829" xfId="0" quotePrefix="1" applyFont="1" applyBorder="1" applyAlignment="1">
      <alignment horizontal="right" vertical="center"/>
    </xf>
    <xf numFmtId="41" fontId="286" fillId="0" borderId="829" xfId="0" applyNumberFormat="1" applyFont="1" applyBorder="1">
      <alignment vertical="center"/>
    </xf>
    <xf numFmtId="0" fontId="142" fillId="0" borderId="0" xfId="0" applyFont="1">
      <alignment vertical="center"/>
    </xf>
    <xf numFmtId="0" fontId="142" fillId="0" borderId="5" xfId="0" applyFont="1" applyBorder="1" applyAlignment="1">
      <alignment horizontal="right" vertical="center"/>
    </xf>
    <xf numFmtId="41" fontId="142" fillId="0" borderId="36" xfId="0" applyNumberFormat="1" applyFont="1" applyBorder="1">
      <alignment vertical="center"/>
    </xf>
    <xf numFmtId="41" fontId="142" fillId="0" borderId="0" xfId="0" applyNumberFormat="1" applyFont="1">
      <alignment vertical="center"/>
    </xf>
    <xf numFmtId="0" fontId="287" fillId="0" borderId="190" xfId="0" quotePrefix="1" applyFont="1" applyBorder="1" applyAlignment="1">
      <alignment horizontal="right" vertical="center"/>
    </xf>
    <xf numFmtId="41" fontId="288" fillId="0" borderId="190" xfId="0" applyNumberFormat="1" applyFont="1" applyBorder="1">
      <alignment vertical="center"/>
    </xf>
    <xf numFmtId="41" fontId="288" fillId="0" borderId="0" xfId="0" applyNumberFormat="1" applyFont="1">
      <alignment vertical="center"/>
    </xf>
    <xf numFmtId="187" fontId="283" fillId="0" borderId="190" xfId="0" applyNumberFormat="1" applyFont="1" applyBorder="1">
      <alignment vertical="center"/>
    </xf>
    <xf numFmtId="0" fontId="287" fillId="0" borderId="829" xfId="0" quotePrefix="1" applyFont="1" applyBorder="1" applyAlignment="1">
      <alignment horizontal="right" vertical="center"/>
    </xf>
    <xf numFmtId="41" fontId="288" fillId="0" borderId="829" xfId="0" applyNumberFormat="1" applyFont="1" applyBorder="1">
      <alignment vertical="center"/>
    </xf>
    <xf numFmtId="0" fontId="33" fillId="0" borderId="829" xfId="0" applyFont="1" applyBorder="1">
      <alignment vertical="center"/>
    </xf>
    <xf numFmtId="41" fontId="284" fillId="0" borderId="829" xfId="0" applyNumberFormat="1" applyFont="1" applyBorder="1">
      <alignment vertical="center"/>
    </xf>
    <xf numFmtId="0" fontId="19" fillId="0" borderId="341" xfId="0" applyFont="1" applyBorder="1" applyAlignment="1">
      <alignment vertical="center" shrinkToFit="1"/>
    </xf>
    <xf numFmtId="187" fontId="281" fillId="0" borderId="801" xfId="0" applyNumberFormat="1" applyFont="1" applyBorder="1">
      <alignment vertical="center"/>
    </xf>
    <xf numFmtId="187" fontId="283" fillId="0" borderId="829" xfId="0" applyNumberFormat="1" applyFont="1" applyBorder="1">
      <alignment vertical="center"/>
    </xf>
    <xf numFmtId="187" fontId="281" fillId="0" borderId="828" xfId="0" applyNumberFormat="1" applyFont="1" applyBorder="1">
      <alignment vertical="center"/>
    </xf>
    <xf numFmtId="187" fontId="142" fillId="0" borderId="36" xfId="0" applyNumberFormat="1" applyFont="1" applyBorder="1">
      <alignment vertical="center"/>
    </xf>
    <xf numFmtId="187" fontId="118" fillId="0" borderId="828" xfId="0" applyNumberFormat="1" applyFont="1" applyBorder="1">
      <alignment vertical="center"/>
    </xf>
    <xf numFmtId="41" fontId="118" fillId="0" borderId="828" xfId="0" applyNumberFormat="1" applyFont="1" applyBorder="1">
      <alignment vertical="center"/>
    </xf>
    <xf numFmtId="187" fontId="281" fillId="0" borderId="42" xfId="0" applyNumberFormat="1" applyFont="1" applyBorder="1">
      <alignment vertical="center"/>
    </xf>
    <xf numFmtId="41" fontId="281" fillId="0" borderId="42" xfId="0" applyNumberFormat="1" applyFont="1" applyBorder="1">
      <alignment vertical="center"/>
    </xf>
    <xf numFmtId="0" fontId="19" fillId="0" borderId="42" xfId="0" applyFont="1" applyBorder="1">
      <alignment vertical="center"/>
    </xf>
    <xf numFmtId="0" fontId="19" fillId="0" borderId="830" xfId="0" applyFont="1" applyBorder="1">
      <alignment vertical="center"/>
    </xf>
    <xf numFmtId="41" fontId="284" fillId="0" borderId="801" xfId="0" applyNumberFormat="1" applyFont="1" applyBorder="1">
      <alignment vertical="center"/>
    </xf>
    <xf numFmtId="0" fontId="285" fillId="0" borderId="42" xfId="0" quotePrefix="1" applyFont="1" applyBorder="1" applyAlignment="1">
      <alignment horizontal="right" vertical="center"/>
    </xf>
    <xf numFmtId="41" fontId="286" fillId="0" borderId="42" xfId="0" applyNumberFormat="1" applyFont="1" applyBorder="1">
      <alignment vertical="center"/>
    </xf>
    <xf numFmtId="41" fontId="284" fillId="0" borderId="42" xfId="0" applyNumberFormat="1" applyFont="1" applyBorder="1">
      <alignment vertical="center"/>
    </xf>
    <xf numFmtId="0" fontId="19" fillId="0" borderId="801" xfId="0" applyFont="1" applyBorder="1" applyAlignment="1">
      <alignment horizontal="center" vertical="center"/>
    </xf>
    <xf numFmtId="41" fontId="106" fillId="45" borderId="259" xfId="0" applyNumberFormat="1" applyFont="1" applyFill="1" applyBorder="1">
      <alignment vertical="center"/>
    </xf>
    <xf numFmtId="41" fontId="106" fillId="45" borderId="260" xfId="0" applyNumberFormat="1" applyFont="1" applyFill="1" applyBorder="1">
      <alignment vertical="center"/>
    </xf>
    <xf numFmtId="0" fontId="4" fillId="25" borderId="0" xfId="0" applyFont="1" applyFill="1">
      <alignment vertical="center"/>
    </xf>
    <xf numFmtId="0" fontId="15" fillId="0" borderId="0" xfId="0" quotePrefix="1" applyFont="1">
      <alignment vertical="center"/>
    </xf>
    <xf numFmtId="0" fontId="122" fillId="0" borderId="0" xfId="0" applyFont="1">
      <alignment vertical="center"/>
    </xf>
    <xf numFmtId="0" fontId="108" fillId="39" borderId="36" xfId="0" applyFont="1" applyFill="1" applyBorder="1" applyAlignment="1">
      <alignment horizontal="center"/>
    </xf>
    <xf numFmtId="0" fontId="108" fillId="39" borderId="36" xfId="0" applyFont="1" applyFill="1" applyBorder="1" applyAlignment="1" applyProtection="1">
      <alignment horizontal="center"/>
      <protection locked="0"/>
    </xf>
    <xf numFmtId="0" fontId="62" fillId="42" borderId="190" xfId="0" applyFont="1" applyFill="1" applyBorder="1" applyAlignment="1">
      <alignment horizontal="center" vertical="center"/>
    </xf>
    <xf numFmtId="0" fontId="62" fillId="42" borderId="190" xfId="0" applyFont="1" applyFill="1" applyBorder="1">
      <alignment vertical="center"/>
    </xf>
    <xf numFmtId="201" fontId="62" fillId="42" borderId="190" xfId="0" applyNumberFormat="1" applyFont="1" applyFill="1" applyBorder="1" applyAlignment="1">
      <alignment horizontal="right" vertical="center"/>
    </xf>
    <xf numFmtId="0" fontId="62" fillId="42" borderId="190" xfId="0" applyFont="1" applyFill="1" applyBorder="1" applyAlignment="1" applyProtection="1">
      <alignment horizontal="center" vertical="center"/>
      <protection locked="0"/>
    </xf>
    <xf numFmtId="0" fontId="62" fillId="42" borderId="190" xfId="0" applyFont="1" applyFill="1" applyBorder="1" applyProtection="1">
      <alignment vertical="center"/>
      <protection locked="0"/>
    </xf>
    <xf numFmtId="201" fontId="62" fillId="42" borderId="190" xfId="0" applyNumberFormat="1" applyFont="1" applyFill="1" applyBorder="1" applyAlignment="1" applyProtection="1">
      <alignment horizontal="right" vertical="center"/>
      <protection locked="0"/>
    </xf>
    <xf numFmtId="0" fontId="62" fillId="34" borderId="190" xfId="0" applyFont="1" applyFill="1" applyBorder="1" applyAlignment="1">
      <alignment horizontal="center" vertical="center"/>
    </xf>
    <xf numFmtId="0" fontId="62" fillId="34" borderId="190" xfId="0" applyFont="1" applyFill="1" applyBorder="1">
      <alignment vertical="center"/>
    </xf>
    <xf numFmtId="201" fontId="62" fillId="34" borderId="190" xfId="0" applyNumberFormat="1" applyFont="1" applyFill="1" applyBorder="1" applyAlignment="1">
      <alignment horizontal="right" vertical="center"/>
    </xf>
    <xf numFmtId="0" fontId="62" fillId="34" borderId="190" xfId="0" applyFont="1" applyFill="1" applyBorder="1" applyAlignment="1" applyProtection="1">
      <alignment horizontal="center" vertical="center"/>
      <protection locked="0"/>
    </xf>
    <xf numFmtId="0" fontId="62" fillId="34" borderId="190" xfId="0" applyFont="1" applyFill="1" applyBorder="1" applyProtection="1">
      <alignment vertical="center"/>
      <protection locked="0"/>
    </xf>
    <xf numFmtId="201" fontId="62" fillId="34" borderId="190" xfId="0" applyNumberFormat="1" applyFont="1" applyFill="1" applyBorder="1" applyAlignment="1" applyProtection="1">
      <alignment horizontal="right" vertical="center"/>
      <protection locked="0"/>
    </xf>
    <xf numFmtId="0" fontId="62" fillId="0" borderId="190" xfId="0" applyFont="1" applyBorder="1" applyAlignment="1">
      <alignment horizontal="center" vertical="center"/>
    </xf>
    <xf numFmtId="0" fontId="62" fillId="0" borderId="190" xfId="0" applyFont="1" applyBorder="1">
      <alignment vertical="center"/>
    </xf>
    <xf numFmtId="201" fontId="62" fillId="0" borderId="190" xfId="0" applyNumberFormat="1" applyFont="1" applyBorder="1" applyAlignment="1">
      <alignment horizontal="right" vertical="center"/>
    </xf>
    <xf numFmtId="0" fontId="62" fillId="0" borderId="190" xfId="0" applyFont="1" applyBorder="1" applyAlignment="1" applyProtection="1">
      <alignment horizontal="center" vertical="center"/>
      <protection locked="0"/>
    </xf>
    <xf numFmtId="0" fontId="62" fillId="0" borderId="190" xfId="0" applyFont="1" applyBorder="1" applyProtection="1">
      <alignment vertical="center"/>
      <protection locked="0"/>
    </xf>
    <xf numFmtId="201" fontId="62" fillId="0" borderId="190" xfId="0" applyNumberFormat="1" applyFont="1" applyBorder="1" applyAlignment="1" applyProtection="1">
      <alignment horizontal="right" vertical="center"/>
      <protection locked="0"/>
    </xf>
    <xf numFmtId="41" fontId="62" fillId="42" borderId="190" xfId="0" applyNumberFormat="1" applyFont="1" applyFill="1" applyBorder="1" applyAlignment="1" applyProtection="1">
      <alignment horizontal="right" vertical="center"/>
      <protection locked="0"/>
    </xf>
    <xf numFmtId="0" fontId="62" fillId="0" borderId="190" xfId="0" applyFont="1" applyBorder="1" applyAlignment="1" applyProtection="1">
      <protection locked="0"/>
    </xf>
    <xf numFmtId="0" fontId="62" fillId="0" borderId="190" xfId="0" applyFont="1" applyBorder="1" applyAlignment="1"/>
    <xf numFmtId="0" fontId="62" fillId="4" borderId="42" xfId="0" applyFont="1" applyFill="1" applyBorder="1" applyAlignment="1" applyProtection="1">
      <alignment horizontal="center" vertical="center"/>
      <protection locked="0"/>
    </xf>
    <xf numFmtId="0" fontId="62" fillId="4" borderId="42" xfId="0" applyFont="1" applyFill="1" applyBorder="1" applyProtection="1">
      <alignment vertical="center"/>
      <protection locked="0"/>
    </xf>
    <xf numFmtId="201" fontId="62" fillId="4" borderId="42" xfId="0" applyNumberFormat="1" applyFont="1" applyFill="1" applyBorder="1" applyAlignment="1" applyProtection="1">
      <alignment horizontal="right" vertical="center"/>
      <protection locked="0"/>
    </xf>
    <xf numFmtId="0" fontId="62" fillId="4" borderId="42" xfId="0" applyFont="1" applyFill="1" applyBorder="1" applyAlignment="1">
      <alignment horizontal="center" vertical="center"/>
    </xf>
    <xf numFmtId="0" fontId="62" fillId="4" borderId="42" xfId="0" applyFont="1" applyFill="1" applyBorder="1">
      <alignment vertical="center"/>
    </xf>
    <xf numFmtId="201" fontId="62" fillId="4" borderId="42" xfId="0" applyNumberFormat="1" applyFont="1" applyFill="1" applyBorder="1" applyAlignment="1">
      <alignment horizontal="right" vertical="center"/>
    </xf>
    <xf numFmtId="0" fontId="289" fillId="39" borderId="801" xfId="0" applyFont="1" applyFill="1" applyBorder="1">
      <alignment vertical="center"/>
    </xf>
    <xf numFmtId="41" fontId="289" fillId="39" borderId="36" xfId="0" applyNumberFormat="1" applyFont="1" applyFill="1" applyBorder="1" applyAlignment="1">
      <alignment horizontal="center"/>
    </xf>
    <xf numFmtId="0" fontId="289" fillId="39" borderId="801" xfId="0" applyFont="1" applyFill="1" applyBorder="1" applyProtection="1">
      <alignment vertical="center"/>
      <protection locked="0"/>
    </xf>
    <xf numFmtId="41" fontId="289" fillId="39" borderId="36" xfId="0" applyNumberFormat="1" applyFont="1" applyFill="1" applyBorder="1" applyAlignment="1" applyProtection="1">
      <alignment horizontal="center"/>
      <protection locked="0"/>
    </xf>
    <xf numFmtId="0" fontId="289" fillId="39" borderId="42" xfId="0" applyFont="1" applyFill="1" applyBorder="1">
      <alignment vertical="center"/>
    </xf>
    <xf numFmtId="0" fontId="289" fillId="39" borderId="42" xfId="0" applyFont="1" applyFill="1" applyBorder="1" applyProtection="1">
      <alignment vertical="center"/>
      <protection locked="0"/>
    </xf>
    <xf numFmtId="0" fontId="38" fillId="38" borderId="190" xfId="0" applyFont="1" applyFill="1" applyBorder="1" applyAlignment="1">
      <alignment horizontal="center" vertical="center"/>
    </xf>
    <xf numFmtId="41" fontId="38" fillId="38" borderId="190" xfId="0" applyNumberFormat="1" applyFont="1" applyFill="1" applyBorder="1">
      <alignment vertical="center"/>
    </xf>
    <xf numFmtId="201" fontId="38" fillId="38" borderId="190" xfId="0" applyNumberFormat="1" applyFont="1" applyFill="1" applyBorder="1" applyAlignment="1">
      <alignment horizontal="right" vertical="center"/>
    </xf>
    <xf numFmtId="0" fontId="38" fillId="38" borderId="190" xfId="0" applyFont="1" applyFill="1" applyBorder="1" applyAlignment="1" applyProtection="1">
      <alignment horizontal="center" vertical="center"/>
      <protection locked="0"/>
    </xf>
    <xf numFmtId="41" fontId="38" fillId="38" borderId="190" xfId="0" applyNumberFormat="1" applyFont="1" applyFill="1" applyBorder="1" applyProtection="1">
      <alignment vertical="center"/>
      <protection locked="0"/>
    </xf>
    <xf numFmtId="201" fontId="38" fillId="38" borderId="190" xfId="0" applyNumberFormat="1" applyFont="1" applyFill="1" applyBorder="1" applyAlignment="1" applyProtection="1">
      <alignment horizontal="right" vertical="center"/>
      <protection locked="0"/>
    </xf>
    <xf numFmtId="0" fontId="38" fillId="69" borderId="190" xfId="0" applyFont="1" applyFill="1" applyBorder="1" applyAlignment="1">
      <alignment horizontal="center" vertical="center"/>
    </xf>
    <xf numFmtId="41" fontId="38" fillId="69" borderId="190" xfId="0" applyNumberFormat="1" applyFont="1" applyFill="1" applyBorder="1">
      <alignment vertical="center"/>
    </xf>
    <xf numFmtId="201" fontId="38" fillId="69" borderId="190" xfId="0" applyNumberFormat="1" applyFont="1" applyFill="1" applyBorder="1" applyAlignment="1">
      <alignment horizontal="right" vertical="center"/>
    </xf>
    <xf numFmtId="0" fontId="38" fillId="69" borderId="190" xfId="0" applyFont="1" applyFill="1" applyBorder="1" applyAlignment="1" applyProtection="1">
      <alignment horizontal="center" vertical="center"/>
      <protection locked="0"/>
    </xf>
    <xf numFmtId="41" fontId="38" fillId="69" borderId="190" xfId="0" applyNumberFormat="1" applyFont="1" applyFill="1" applyBorder="1" applyProtection="1">
      <alignment vertical="center"/>
      <protection locked="0"/>
    </xf>
    <xf numFmtId="201" fontId="38" fillId="69" borderId="190" xfId="0" applyNumberFormat="1" applyFont="1" applyFill="1" applyBorder="1" applyAlignment="1" applyProtection="1">
      <alignment horizontal="right" vertical="center"/>
      <protection locked="0"/>
    </xf>
    <xf numFmtId="0" fontId="38" fillId="42" borderId="190" xfId="0" applyFont="1" applyFill="1" applyBorder="1" applyAlignment="1">
      <alignment horizontal="center" vertical="center"/>
    </xf>
    <xf numFmtId="41" fontId="250" fillId="42" borderId="190" xfId="0" applyNumberFormat="1" applyFont="1" applyFill="1" applyBorder="1">
      <alignment vertical="center"/>
    </xf>
    <xf numFmtId="201" fontId="38" fillId="42" borderId="190" xfId="0" applyNumberFormat="1" applyFont="1" applyFill="1" applyBorder="1" applyAlignment="1">
      <alignment horizontal="right" vertical="center"/>
    </xf>
    <xf numFmtId="0" fontId="38" fillId="42" borderId="190" xfId="0" applyFont="1" applyFill="1" applyBorder="1" applyAlignment="1" applyProtection="1">
      <alignment horizontal="center" vertical="center"/>
      <protection locked="0"/>
    </xf>
    <xf numFmtId="41" fontId="250" fillId="42" borderId="190" xfId="0" applyNumberFormat="1" applyFont="1" applyFill="1" applyBorder="1" applyProtection="1">
      <alignment vertical="center"/>
      <protection locked="0"/>
    </xf>
    <xf numFmtId="201" fontId="38" fillId="42" borderId="190" xfId="0" applyNumberFormat="1" applyFont="1" applyFill="1" applyBorder="1" applyAlignment="1" applyProtection="1">
      <alignment horizontal="right" vertical="center"/>
      <protection locked="0"/>
    </xf>
    <xf numFmtId="0" fontId="38" fillId="34" borderId="190" xfId="0" applyFont="1" applyFill="1" applyBorder="1" applyAlignment="1">
      <alignment horizontal="center" vertical="center"/>
    </xf>
    <xf numFmtId="41" fontId="250" fillId="34" borderId="190" xfId="0" applyNumberFormat="1" applyFont="1" applyFill="1" applyBorder="1">
      <alignment vertical="center"/>
    </xf>
    <xf numFmtId="201" fontId="38" fillId="34" borderId="190" xfId="0" applyNumberFormat="1" applyFont="1" applyFill="1" applyBorder="1" applyAlignment="1">
      <alignment horizontal="right" vertical="center"/>
    </xf>
    <xf numFmtId="0" fontId="38" fillId="34" borderId="190" xfId="0" applyFont="1" applyFill="1" applyBorder="1" applyAlignment="1" applyProtection="1">
      <alignment horizontal="center" vertical="center"/>
      <protection locked="0"/>
    </xf>
    <xf numFmtId="41" fontId="250" fillId="34" borderId="190" xfId="0" applyNumberFormat="1" applyFont="1" applyFill="1" applyBorder="1" applyProtection="1">
      <alignment vertical="center"/>
      <protection locked="0"/>
    </xf>
    <xf numFmtId="201" fontId="38" fillId="34" borderId="190" xfId="0" applyNumberFormat="1" applyFont="1" applyFill="1" applyBorder="1" applyAlignment="1" applyProtection="1">
      <alignment horizontal="right" vertical="center"/>
      <protection locked="0"/>
    </xf>
    <xf numFmtId="0" fontId="38" fillId="0" borderId="190" xfId="0" applyFont="1" applyBorder="1" applyAlignment="1">
      <alignment horizontal="center" vertical="center"/>
    </xf>
    <xf numFmtId="41" fontId="38" fillId="0" borderId="190" xfId="0" applyNumberFormat="1" applyFont="1" applyBorder="1">
      <alignment vertical="center"/>
    </xf>
    <xf numFmtId="0" fontId="38" fillId="0" borderId="190" xfId="0" applyFont="1" applyBorder="1" applyAlignment="1" applyProtection="1">
      <alignment horizontal="center" vertical="center"/>
      <protection locked="0"/>
    </xf>
    <xf numFmtId="41" fontId="38" fillId="0" borderId="190" xfId="0" applyNumberFormat="1" applyFont="1" applyBorder="1" applyProtection="1">
      <alignment vertical="center"/>
      <protection locked="0"/>
    </xf>
    <xf numFmtId="41" fontId="38" fillId="42" borderId="190" xfId="0" applyNumberFormat="1" applyFont="1" applyFill="1" applyBorder="1">
      <alignment vertical="center"/>
    </xf>
    <xf numFmtId="41" fontId="38" fillId="42" borderId="190" xfId="0" applyNumberFormat="1" applyFont="1" applyFill="1" applyBorder="1" applyProtection="1">
      <alignment vertical="center"/>
      <protection locked="0"/>
    </xf>
    <xf numFmtId="41" fontId="38" fillId="34" borderId="190" xfId="0" applyNumberFormat="1" applyFont="1" applyFill="1" applyBorder="1">
      <alignment vertical="center"/>
    </xf>
    <xf numFmtId="41" fontId="38" fillId="34" borderId="190" xfId="0" applyNumberFormat="1" applyFont="1" applyFill="1" applyBorder="1" applyProtection="1">
      <alignment vertical="center"/>
      <protection locked="0"/>
    </xf>
    <xf numFmtId="3" fontId="38" fillId="34" borderId="190" xfId="0" applyNumberFormat="1" applyFont="1" applyFill="1" applyBorder="1">
      <alignment vertical="center"/>
    </xf>
    <xf numFmtId="3" fontId="38" fillId="34" borderId="190" xfId="0" applyNumberFormat="1" applyFont="1" applyFill="1" applyBorder="1" applyProtection="1">
      <alignment vertical="center"/>
      <protection locked="0"/>
    </xf>
    <xf numFmtId="3" fontId="38" fillId="0" borderId="190" xfId="0" applyNumberFormat="1" applyFont="1" applyBorder="1">
      <alignment vertical="center"/>
    </xf>
    <xf numFmtId="3" fontId="38" fillId="0" borderId="190" xfId="0" applyNumberFormat="1" applyFont="1" applyBorder="1" applyProtection="1">
      <alignment vertical="center"/>
      <protection locked="0"/>
    </xf>
    <xf numFmtId="41" fontId="38" fillId="34" borderId="190" xfId="0" applyNumberFormat="1" applyFont="1" applyFill="1" applyBorder="1" applyAlignment="1">
      <alignment horizontal="left" vertical="center"/>
    </xf>
    <xf numFmtId="41" fontId="38" fillId="34" borderId="190" xfId="0" applyNumberFormat="1" applyFont="1" applyFill="1" applyBorder="1" applyAlignment="1" applyProtection="1">
      <alignment horizontal="left" vertical="center"/>
      <protection locked="0"/>
    </xf>
    <xf numFmtId="201" fontId="38" fillId="0" borderId="190" xfId="0" applyNumberFormat="1" applyFont="1" applyBorder="1" applyAlignment="1" applyProtection="1">
      <alignment horizontal="right" vertical="center"/>
      <protection locked="0"/>
    </xf>
    <xf numFmtId="201" fontId="38" fillId="0" borderId="190" xfId="0" applyNumberFormat="1" applyFont="1" applyBorder="1" applyAlignment="1">
      <alignment horizontal="right" vertical="center"/>
    </xf>
    <xf numFmtId="0" fontId="38" fillId="0" borderId="42" xfId="0" applyFont="1" applyBorder="1" applyAlignment="1" applyProtection="1">
      <alignment horizontal="center" vertical="center"/>
      <protection locked="0"/>
    </xf>
    <xf numFmtId="41" fontId="38" fillId="0" borderId="42" xfId="0" applyNumberFormat="1" applyFont="1" applyBorder="1" applyProtection="1">
      <alignment vertical="center"/>
      <protection locked="0"/>
    </xf>
    <xf numFmtId="0" fontId="38" fillId="0" borderId="42" xfId="0" applyFont="1" applyBorder="1" applyAlignment="1">
      <alignment horizontal="center" vertical="center"/>
    </xf>
    <xf numFmtId="41" fontId="38" fillId="0" borderId="42" xfId="0" applyNumberFormat="1" applyFont="1" applyBorder="1">
      <alignment vertical="center"/>
    </xf>
    <xf numFmtId="194" fontId="4" fillId="0" borderId="0" xfId="0" applyNumberFormat="1" applyFont="1">
      <alignment vertical="center"/>
    </xf>
    <xf numFmtId="194" fontId="4" fillId="0" borderId="2" xfId="0" applyNumberFormat="1" applyFont="1" applyBorder="1">
      <alignment vertical="center"/>
    </xf>
    <xf numFmtId="176" fontId="15" fillId="0" borderId="831" xfId="0" applyNumberFormat="1" applyFont="1" applyBorder="1">
      <alignment vertical="center"/>
    </xf>
    <xf numFmtId="194" fontId="4" fillId="0" borderId="16" xfId="0" applyNumberFormat="1" applyFont="1" applyBorder="1">
      <alignment vertical="center"/>
    </xf>
    <xf numFmtId="194" fontId="4" fillId="0" borderId="21" xfId="0" applyNumberFormat="1" applyFont="1" applyBorder="1">
      <alignment vertical="center"/>
    </xf>
    <xf numFmtId="194" fontId="4" fillId="0" borderId="22" xfId="0" applyNumberFormat="1" applyFont="1" applyBorder="1">
      <alignment vertical="center"/>
    </xf>
    <xf numFmtId="0" fontId="5" fillId="3" borderId="831" xfId="0" applyFont="1" applyFill="1" applyBorder="1">
      <alignment vertical="center"/>
    </xf>
    <xf numFmtId="0" fontId="15" fillId="0" borderId="831" xfId="0" applyFont="1" applyBorder="1">
      <alignment vertical="center"/>
    </xf>
    <xf numFmtId="178" fontId="11" fillId="0" borderId="0" xfId="0" applyNumberFormat="1" applyFont="1" applyAlignment="1">
      <alignment horizontal="right" vertical="center"/>
    </xf>
    <xf numFmtId="178" fontId="11" fillId="0" borderId="2" xfId="0" applyNumberFormat="1" applyFont="1" applyBorder="1" applyAlignment="1">
      <alignment horizontal="right" vertical="center"/>
    </xf>
    <xf numFmtId="178" fontId="11" fillId="0" borderId="22" xfId="0" applyNumberFormat="1" applyFont="1" applyBorder="1">
      <alignment vertical="center"/>
    </xf>
    <xf numFmtId="0" fontId="15" fillId="0" borderId="831" xfId="0" applyFont="1" applyBorder="1" applyAlignment="1">
      <alignment horizontal="center" vertical="center"/>
    </xf>
    <xf numFmtId="176" fontId="5" fillId="0" borderId="831" xfId="0" applyNumberFormat="1" applyFont="1" applyBorder="1">
      <alignment vertical="center"/>
    </xf>
    <xf numFmtId="217" fontId="4" fillId="0" borderId="16" xfId="0" applyNumberFormat="1" applyFont="1" applyBorder="1" applyAlignment="1">
      <alignment horizontal="right" vertical="center"/>
    </xf>
    <xf numFmtId="217" fontId="4" fillId="0" borderId="0" xfId="0" applyNumberFormat="1" applyFont="1" applyAlignment="1">
      <alignment horizontal="right" vertical="center"/>
    </xf>
    <xf numFmtId="178" fontId="11" fillId="0" borderId="16" xfId="0" applyNumberFormat="1" applyFont="1" applyBorder="1" applyAlignment="1">
      <alignment horizontal="right" vertical="center"/>
    </xf>
    <xf numFmtId="233" fontId="4" fillId="0" borderId="16" xfId="0" applyNumberFormat="1" applyFont="1" applyBorder="1" applyAlignment="1">
      <alignment horizontal="right" vertical="center"/>
    </xf>
    <xf numFmtId="233" fontId="4" fillId="0" borderId="0" xfId="0" applyNumberFormat="1" applyFont="1" applyAlignment="1">
      <alignment horizontal="right" vertical="center"/>
    </xf>
    <xf numFmtId="233" fontId="4" fillId="0" borderId="17" xfId="0" applyNumberFormat="1" applyFont="1" applyBorder="1">
      <alignment vertical="center"/>
    </xf>
    <xf numFmtId="177" fontId="4" fillId="0" borderId="0" xfId="0" applyNumberFormat="1" applyFont="1" applyAlignment="1">
      <alignment horizontal="right" vertical="center"/>
    </xf>
    <xf numFmtId="41" fontId="4" fillId="6" borderId="16" xfId="0" applyNumberFormat="1" applyFont="1" applyFill="1" applyBorder="1" applyAlignment="1">
      <alignment horizontal="right" vertical="center"/>
    </xf>
    <xf numFmtId="41" fontId="4" fillId="6" borderId="21" xfId="0" applyNumberFormat="1" applyFont="1" applyFill="1" applyBorder="1" applyAlignment="1">
      <alignment horizontal="right" vertical="center"/>
    </xf>
    <xf numFmtId="176" fontId="4" fillId="6" borderId="0" xfId="0" applyNumberFormat="1" applyFont="1" applyFill="1" applyAlignment="1">
      <alignment horizontal="right" vertical="center"/>
    </xf>
    <xf numFmtId="217" fontId="4" fillId="6" borderId="2" xfId="0" applyNumberFormat="1" applyFont="1" applyFill="1" applyBorder="1" applyAlignment="1">
      <alignment horizontal="right" vertical="center"/>
    </xf>
    <xf numFmtId="0" fontId="5" fillId="0" borderId="0" xfId="0" applyFont="1" applyAlignment="1">
      <alignment horizontal="center" vertical="center"/>
    </xf>
    <xf numFmtId="41" fontId="16" fillId="0" borderId="0" xfId="0" applyNumberFormat="1" applyFont="1" applyAlignment="1">
      <alignment horizontal="right" vertical="center"/>
    </xf>
    <xf numFmtId="0" fontId="5" fillId="8" borderId="4" xfId="0" applyFont="1" applyFill="1" applyBorder="1" applyAlignment="1">
      <alignment horizontal="center" vertical="center"/>
    </xf>
    <xf numFmtId="0" fontId="5" fillId="8" borderId="5" xfId="0" applyFont="1" applyFill="1" applyBorder="1" applyAlignment="1">
      <alignment horizontal="center" vertical="center"/>
    </xf>
    <xf numFmtId="200" fontId="5" fillId="8" borderId="36" xfId="0" applyNumberFormat="1" applyFont="1" applyFill="1" applyBorder="1" applyAlignment="1">
      <alignment horizontal="center" vertical="center"/>
    </xf>
    <xf numFmtId="200" fontId="5" fillId="8" borderId="42" xfId="0" applyNumberFormat="1" applyFont="1" applyFill="1" applyBorder="1" applyAlignment="1">
      <alignment horizontal="center" vertical="center"/>
    </xf>
    <xf numFmtId="200" fontId="16" fillId="31" borderId="802" xfId="0" applyNumberFormat="1" applyFont="1" applyFill="1" applyBorder="1" applyAlignment="1">
      <alignment horizontal="center" vertical="center"/>
    </xf>
    <xf numFmtId="200" fontId="16" fillId="31" borderId="190" xfId="0" applyNumberFormat="1" applyFont="1" applyFill="1" applyBorder="1" applyAlignment="1">
      <alignment horizontal="center" vertical="center"/>
    </xf>
    <xf numFmtId="199" fontId="16" fillId="31" borderId="427" xfId="0" applyNumberFormat="1" applyFont="1" applyFill="1" applyBorder="1">
      <alignment vertical="center"/>
    </xf>
    <xf numFmtId="199" fontId="16" fillId="0" borderId="427" xfId="0" applyNumberFormat="1" applyFont="1" applyBorder="1">
      <alignment vertical="center"/>
    </xf>
    <xf numFmtId="199" fontId="16" fillId="0" borderId="379" xfId="0" applyNumberFormat="1" applyFont="1" applyBorder="1">
      <alignment vertical="center"/>
    </xf>
    <xf numFmtId="199" fontId="16" fillId="31" borderId="379" xfId="0" applyNumberFormat="1" applyFont="1" applyFill="1" applyBorder="1">
      <alignment vertical="center"/>
    </xf>
    <xf numFmtId="200" fontId="16" fillId="31" borderId="25" xfId="0" applyNumberFormat="1" applyFont="1" applyFill="1" applyBorder="1" applyAlignment="1">
      <alignment horizontal="center" vertical="center"/>
    </xf>
    <xf numFmtId="199" fontId="16" fillId="0" borderId="190" xfId="0" applyNumberFormat="1" applyFont="1" applyBorder="1">
      <alignment vertical="center"/>
    </xf>
    <xf numFmtId="200" fontId="16" fillId="31" borderId="40" xfId="0" applyNumberFormat="1" applyFont="1" applyFill="1" applyBorder="1" applyAlignment="1">
      <alignment horizontal="center" vertical="center"/>
    </xf>
    <xf numFmtId="199" fontId="16" fillId="31" borderId="428" xfId="0" applyNumberFormat="1" applyFont="1" applyFill="1" applyBorder="1">
      <alignment vertical="center"/>
    </xf>
    <xf numFmtId="199" fontId="16" fillId="0" borderId="428" xfId="0" applyNumberFormat="1" applyFont="1" applyBorder="1">
      <alignment vertical="center"/>
    </xf>
    <xf numFmtId="199" fontId="16" fillId="0" borderId="226" xfId="0" applyNumberFormat="1" applyFont="1" applyBorder="1">
      <alignment vertical="center"/>
    </xf>
    <xf numFmtId="199" fontId="16" fillId="0" borderId="40" xfId="0" applyNumberFormat="1" applyFont="1" applyBorder="1">
      <alignment vertical="center"/>
    </xf>
    <xf numFmtId="199" fontId="16" fillId="31" borderId="226" xfId="0" applyNumberFormat="1" applyFont="1" applyFill="1" applyBorder="1">
      <alignment vertical="center"/>
    </xf>
    <xf numFmtId="200" fontId="16" fillId="31" borderId="381" xfId="0" applyNumberFormat="1" applyFont="1" applyFill="1" applyBorder="1" applyAlignment="1">
      <alignment horizontal="center" vertical="center"/>
    </xf>
    <xf numFmtId="199" fontId="16" fillId="31" borderId="367" xfId="0" applyNumberFormat="1" applyFont="1" applyFill="1" applyBorder="1">
      <alignment vertical="center"/>
    </xf>
    <xf numFmtId="199" fontId="16" fillId="0" borderId="367" xfId="0" applyNumberFormat="1" applyFont="1" applyBorder="1">
      <alignment vertical="center"/>
    </xf>
    <xf numFmtId="199" fontId="16" fillId="0" borderId="222" xfId="0" applyNumberFormat="1" applyFont="1" applyBorder="1">
      <alignment vertical="center"/>
    </xf>
    <xf numFmtId="199" fontId="16" fillId="0" borderId="381" xfId="0" applyNumberFormat="1" applyFont="1" applyBorder="1">
      <alignment vertical="center"/>
    </xf>
    <xf numFmtId="199" fontId="16" fillId="31" borderId="222" xfId="0" applyNumberFormat="1" applyFont="1" applyFill="1" applyBorder="1">
      <alignment vertical="center"/>
    </xf>
    <xf numFmtId="200" fontId="16" fillId="31" borderId="38" xfId="0" applyNumberFormat="1" applyFont="1" applyFill="1" applyBorder="1" applyAlignment="1">
      <alignment horizontal="center" vertical="center"/>
    </xf>
    <xf numFmtId="199" fontId="16" fillId="31" borderId="371" xfId="0" applyNumberFormat="1" applyFont="1" applyFill="1" applyBorder="1">
      <alignment vertical="center"/>
    </xf>
    <xf numFmtId="199" fontId="16" fillId="0" borderId="371" xfId="0" applyNumberFormat="1" applyFont="1" applyBorder="1">
      <alignment vertical="center"/>
    </xf>
    <xf numFmtId="199" fontId="16" fillId="0" borderId="230" xfId="0" applyNumberFormat="1" applyFont="1" applyBorder="1">
      <alignment vertical="center"/>
    </xf>
    <xf numFmtId="199" fontId="16" fillId="31" borderId="230" xfId="0" applyNumberFormat="1" applyFont="1" applyFill="1" applyBorder="1">
      <alignment vertical="center"/>
    </xf>
    <xf numFmtId="200" fontId="16" fillId="31" borderId="42" xfId="0" applyNumberFormat="1" applyFont="1" applyFill="1" applyBorder="1" applyAlignment="1">
      <alignment horizontal="center" vertical="center"/>
    </xf>
    <xf numFmtId="199" fontId="16" fillId="0" borderId="832" xfId="0" applyNumberFormat="1" applyFont="1" applyBorder="1">
      <alignment vertical="center"/>
    </xf>
    <xf numFmtId="200" fontId="16" fillId="31" borderId="6" xfId="0" applyNumberFormat="1" applyFont="1" applyFill="1" applyBorder="1" applyAlignment="1">
      <alignment horizontal="center" vertical="center"/>
    </xf>
    <xf numFmtId="200" fontId="5" fillId="31" borderId="5" xfId="0" applyNumberFormat="1" applyFont="1" applyFill="1" applyBorder="1" applyAlignment="1">
      <alignment horizontal="right" vertical="center"/>
    </xf>
    <xf numFmtId="199" fontId="5" fillId="31" borderId="5" xfId="0" applyNumberFormat="1" applyFont="1" applyFill="1" applyBorder="1">
      <alignment vertical="center"/>
    </xf>
    <xf numFmtId="199" fontId="5" fillId="0" borderId="5" xfId="0" applyNumberFormat="1" applyFont="1" applyBorder="1">
      <alignment vertical="center"/>
    </xf>
    <xf numFmtId="199" fontId="5" fillId="0" borderId="220" xfId="0" applyNumberFormat="1" applyFont="1" applyBorder="1">
      <alignment vertical="center"/>
    </xf>
    <xf numFmtId="199" fontId="5" fillId="31" borderId="220" xfId="0" applyNumberFormat="1" applyFont="1" applyFill="1" applyBorder="1">
      <alignment vertical="center"/>
    </xf>
    <xf numFmtId="200" fontId="16" fillId="31" borderId="801" xfId="0" applyNumberFormat="1" applyFont="1" applyFill="1" applyBorder="1" applyAlignment="1">
      <alignment horizontal="center" vertical="center"/>
    </xf>
    <xf numFmtId="200" fontId="16" fillId="31" borderId="830" xfId="0" applyNumberFormat="1" applyFont="1" applyFill="1" applyBorder="1" applyAlignment="1">
      <alignment horizontal="right" vertical="center"/>
    </xf>
    <xf numFmtId="199" fontId="5" fillId="31" borderId="830" xfId="0" applyNumberFormat="1" applyFont="1" applyFill="1" applyBorder="1">
      <alignment vertical="center"/>
    </xf>
    <xf numFmtId="199" fontId="5" fillId="0" borderId="830" xfId="0" applyNumberFormat="1" applyFont="1" applyBorder="1">
      <alignment vertical="center"/>
    </xf>
    <xf numFmtId="199" fontId="16" fillId="0" borderId="830" xfId="0" applyNumberFormat="1" applyFont="1" applyBorder="1">
      <alignment vertical="center"/>
    </xf>
    <xf numFmtId="199" fontId="16" fillId="0" borderId="218" xfId="0" applyNumberFormat="1" applyFont="1" applyBorder="1">
      <alignment vertical="center"/>
    </xf>
    <xf numFmtId="199" fontId="5" fillId="31" borderId="218" xfId="0" applyNumberFormat="1" applyFont="1" applyFill="1" applyBorder="1">
      <alignment vertical="center"/>
    </xf>
    <xf numFmtId="200" fontId="16" fillId="31" borderId="362" xfId="0" applyNumberFormat="1" applyFont="1" applyFill="1" applyBorder="1" applyAlignment="1">
      <alignment horizontal="center" vertical="center"/>
    </xf>
    <xf numFmtId="199" fontId="5" fillId="31" borderId="362" xfId="0" applyNumberFormat="1" applyFont="1" applyFill="1" applyBorder="1">
      <alignment vertical="center"/>
    </xf>
    <xf numFmtId="199" fontId="5" fillId="0" borderId="362" xfId="0" applyNumberFormat="1" applyFont="1" applyBorder="1">
      <alignment vertical="center"/>
    </xf>
    <xf numFmtId="199" fontId="5" fillId="0" borderId="233" xfId="0" applyNumberFormat="1" applyFont="1" applyBorder="1">
      <alignment vertical="center"/>
    </xf>
    <xf numFmtId="199" fontId="16" fillId="31" borderId="233" xfId="0" applyNumberFormat="1" applyFont="1" applyFill="1" applyBorder="1">
      <alignment vertical="center"/>
    </xf>
    <xf numFmtId="0" fontId="16" fillId="31" borderId="802" xfId="0" applyFont="1" applyFill="1" applyBorder="1" applyAlignment="1">
      <alignment horizontal="center" vertical="center"/>
    </xf>
    <xf numFmtId="0" fontId="16" fillId="31" borderId="801" xfId="0" applyFont="1" applyFill="1" applyBorder="1" applyAlignment="1">
      <alignment horizontal="center" vertical="center"/>
    </xf>
    <xf numFmtId="199" fontId="16" fillId="31" borderId="801" xfId="0" applyNumberFormat="1" applyFont="1" applyFill="1" applyBorder="1">
      <alignment vertical="center"/>
    </xf>
    <xf numFmtId="199" fontId="16" fillId="0" borderId="801" xfId="0" applyNumberFormat="1" applyFont="1" applyBorder="1">
      <alignment vertical="center"/>
    </xf>
    <xf numFmtId="199" fontId="16" fillId="31" borderId="218" xfId="0" applyNumberFormat="1" applyFont="1" applyFill="1" applyBorder="1">
      <alignment vertical="center"/>
    </xf>
    <xf numFmtId="0" fontId="16" fillId="31" borderId="25" xfId="0" applyFont="1" applyFill="1" applyBorder="1" applyAlignment="1">
      <alignment horizontal="center" vertical="center"/>
    </xf>
    <xf numFmtId="0" fontId="16" fillId="31" borderId="42" xfId="0" applyFont="1" applyFill="1" applyBorder="1" applyAlignment="1">
      <alignment horizontal="center" vertical="center"/>
    </xf>
    <xf numFmtId="199" fontId="16" fillId="31" borderId="7" xfId="0" applyNumberFormat="1" applyFont="1" applyFill="1" applyBorder="1">
      <alignment vertical="center"/>
    </xf>
    <xf numFmtId="199" fontId="16" fillId="0" borderId="7" xfId="0" applyNumberFormat="1" applyFont="1" applyBorder="1">
      <alignment vertical="center"/>
    </xf>
    <xf numFmtId="199" fontId="16" fillId="31" borderId="833" xfId="0" applyNumberFormat="1" applyFont="1" applyFill="1" applyBorder="1">
      <alignment vertical="center"/>
    </xf>
    <xf numFmtId="0" fontId="16" fillId="31" borderId="6" xfId="0" applyFont="1" applyFill="1" applyBorder="1" applyAlignment="1">
      <alignment horizontal="center" vertical="center"/>
    </xf>
    <xf numFmtId="0" fontId="5" fillId="31" borderId="5" xfId="0" applyFont="1" applyFill="1" applyBorder="1" applyAlignment="1">
      <alignment horizontal="right" vertical="center"/>
    </xf>
    <xf numFmtId="199" fontId="5" fillId="31" borderId="7" xfId="0" applyNumberFormat="1" applyFont="1" applyFill="1" applyBorder="1">
      <alignment vertical="center"/>
    </xf>
    <xf numFmtId="0" fontId="16" fillId="31" borderId="36" xfId="0" applyFont="1" applyFill="1" applyBorder="1" applyAlignment="1">
      <alignment horizontal="center" vertical="center"/>
    </xf>
    <xf numFmtId="199" fontId="5" fillId="0" borderId="801" xfId="0" applyNumberFormat="1" applyFont="1" applyBorder="1">
      <alignment vertical="center"/>
    </xf>
    <xf numFmtId="199" fontId="16" fillId="31" borderId="220" xfId="0" applyNumberFormat="1" applyFont="1" applyFill="1" applyBorder="1">
      <alignment vertical="center"/>
    </xf>
    <xf numFmtId="200" fontId="16" fillId="31" borderId="39" xfId="0" applyNumberFormat="1" applyFont="1" applyFill="1" applyBorder="1" applyAlignment="1">
      <alignment horizontal="center" vertical="center"/>
    </xf>
    <xf numFmtId="199" fontId="5" fillId="31" borderId="375" xfId="0" applyNumberFormat="1" applyFont="1" applyFill="1" applyBorder="1">
      <alignment vertical="center"/>
    </xf>
    <xf numFmtId="199" fontId="5" fillId="0" borderId="375" xfId="0" applyNumberFormat="1" applyFont="1" applyBorder="1">
      <alignment vertical="center"/>
    </xf>
    <xf numFmtId="199" fontId="5" fillId="0" borderId="238" xfId="0" applyNumberFormat="1" applyFont="1" applyBorder="1">
      <alignment vertical="center"/>
    </xf>
    <xf numFmtId="199" fontId="16" fillId="31" borderId="238" xfId="0" applyNumberFormat="1" applyFont="1" applyFill="1" applyBorder="1">
      <alignment vertical="center"/>
    </xf>
    <xf numFmtId="199" fontId="5" fillId="84" borderId="5" xfId="0" applyNumberFormat="1" applyFont="1" applyFill="1" applyBorder="1">
      <alignment vertical="center"/>
    </xf>
    <xf numFmtId="199" fontId="3" fillId="85" borderId="5" xfId="0" applyNumberFormat="1" applyFont="1" applyFill="1" applyBorder="1">
      <alignment vertical="center"/>
    </xf>
    <xf numFmtId="199" fontId="5" fillId="84" borderId="220" xfId="0" applyNumberFormat="1" applyFont="1" applyFill="1" applyBorder="1">
      <alignmen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200" fontId="5" fillId="0" borderId="36" xfId="0" applyNumberFormat="1" applyFont="1" applyBorder="1" applyAlignment="1">
      <alignment horizontal="center" vertical="center"/>
    </xf>
    <xf numFmtId="200" fontId="5" fillId="0" borderId="42" xfId="0" applyNumberFormat="1" applyFont="1" applyBorder="1" applyAlignment="1">
      <alignment horizontal="center" vertical="center"/>
    </xf>
    <xf numFmtId="200" fontId="16" fillId="0" borderId="802" xfId="0" applyNumberFormat="1" applyFont="1" applyBorder="1" applyAlignment="1">
      <alignment horizontal="center" vertical="center"/>
    </xf>
    <xf numFmtId="200" fontId="16" fillId="0" borderId="190" xfId="0" applyNumberFormat="1" applyFont="1" applyBorder="1" applyAlignment="1">
      <alignment horizontal="center" vertical="center"/>
    </xf>
    <xf numFmtId="200" fontId="16" fillId="0" borderId="25" xfId="0" applyNumberFormat="1" applyFont="1" applyBorder="1" applyAlignment="1">
      <alignment horizontal="center" vertical="center"/>
    </xf>
    <xf numFmtId="200" fontId="16" fillId="0" borderId="40" xfId="0" applyNumberFormat="1" applyFont="1" applyBorder="1" applyAlignment="1">
      <alignment horizontal="center" vertical="center"/>
    </xf>
    <xf numFmtId="200" fontId="16" fillId="0" borderId="381" xfId="0" applyNumberFormat="1" applyFont="1" applyBorder="1" applyAlignment="1">
      <alignment horizontal="center" vertical="center"/>
    </xf>
    <xf numFmtId="200" fontId="16" fillId="0" borderId="38" xfId="0" applyNumberFormat="1" applyFont="1" applyBorder="1" applyAlignment="1">
      <alignment horizontal="center" vertical="center"/>
    </xf>
    <xf numFmtId="200" fontId="16" fillId="0" borderId="42" xfId="0" applyNumberFormat="1" applyFont="1" applyBorder="1" applyAlignment="1">
      <alignment horizontal="center" vertical="center"/>
    </xf>
    <xf numFmtId="200" fontId="16" fillId="0" borderId="6" xfId="0" applyNumberFormat="1" applyFont="1" applyBorder="1" applyAlignment="1">
      <alignment horizontal="center" vertical="center"/>
    </xf>
    <xf numFmtId="200" fontId="5" fillId="0" borderId="5" xfId="0" applyNumberFormat="1" applyFont="1" applyBorder="1" applyAlignment="1">
      <alignment horizontal="right" vertical="center"/>
    </xf>
    <xf numFmtId="200" fontId="16" fillId="0" borderId="830" xfId="0" applyNumberFormat="1" applyFont="1" applyBorder="1" applyAlignment="1">
      <alignment horizontal="right" vertical="center"/>
    </xf>
    <xf numFmtId="200" fontId="16" fillId="0" borderId="37" xfId="0" applyNumberFormat="1" applyFont="1" applyBorder="1" applyAlignment="1">
      <alignment horizontal="center" vertical="center"/>
    </xf>
    <xf numFmtId="199" fontId="16" fillId="0" borderId="233" xfId="0" applyNumberFormat="1" applyFont="1" applyBorder="1">
      <alignment vertical="center"/>
    </xf>
    <xf numFmtId="0" fontId="16" fillId="0" borderId="802" xfId="0" applyFont="1" applyBorder="1" applyAlignment="1">
      <alignment horizontal="center" vertical="center"/>
    </xf>
    <xf numFmtId="0" fontId="16" fillId="0" borderId="801" xfId="0" applyFont="1" applyBorder="1" applyAlignment="1">
      <alignment horizontal="center" vertical="center"/>
    </xf>
    <xf numFmtId="0" fontId="16" fillId="0" borderId="42" xfId="0" applyFont="1" applyBorder="1" applyAlignment="1">
      <alignment horizontal="center" vertical="center"/>
    </xf>
    <xf numFmtId="199" fontId="16" fillId="0" borderId="833" xfId="0" applyNumberFormat="1" applyFont="1" applyBorder="1">
      <alignment vertical="center"/>
    </xf>
    <xf numFmtId="0" fontId="16" fillId="0" borderId="6" xfId="0" applyFont="1" applyBorder="1" applyAlignment="1">
      <alignment horizontal="center" vertical="center"/>
    </xf>
    <xf numFmtId="0" fontId="5" fillId="0" borderId="5" xfId="0" applyFont="1" applyBorder="1" applyAlignment="1">
      <alignment horizontal="right" vertical="center"/>
    </xf>
    <xf numFmtId="199" fontId="5" fillId="0" borderId="7" xfId="0" applyNumberFormat="1" applyFont="1" applyBorder="1">
      <alignment vertical="center"/>
    </xf>
    <xf numFmtId="0" fontId="16" fillId="0" borderId="36" xfId="0" applyFont="1" applyBorder="1" applyAlignment="1">
      <alignment horizontal="center" vertical="center"/>
    </xf>
    <xf numFmtId="199" fontId="16" fillId="0" borderId="220" xfId="0" applyNumberFormat="1" applyFont="1" applyBorder="1">
      <alignment vertical="center"/>
    </xf>
    <xf numFmtId="200" fontId="16" fillId="0" borderId="39" xfId="0" applyNumberFormat="1" applyFont="1" applyBorder="1" applyAlignment="1">
      <alignment horizontal="center" vertical="center"/>
    </xf>
    <xf numFmtId="199" fontId="16" fillId="0" borderId="238" xfId="0" applyNumberFormat="1" applyFont="1" applyBorder="1">
      <alignment vertical="center"/>
    </xf>
    <xf numFmtId="199" fontId="16" fillId="31" borderId="830" xfId="0" applyNumberFormat="1" applyFont="1" applyFill="1" applyBorder="1">
      <alignment vertical="center"/>
    </xf>
    <xf numFmtId="200" fontId="16" fillId="31" borderId="37" xfId="0" applyNumberFormat="1" applyFont="1" applyFill="1" applyBorder="1" applyAlignment="1">
      <alignment horizontal="center" vertical="center"/>
    </xf>
    <xf numFmtId="0" fontId="4" fillId="0" borderId="831" xfId="0" applyFont="1" applyBorder="1" applyAlignment="1">
      <alignment horizontal="center" vertical="center"/>
    </xf>
    <xf numFmtId="0" fontId="4" fillId="0" borderId="831" xfId="0" applyFont="1" applyBorder="1">
      <alignment vertical="center"/>
    </xf>
    <xf numFmtId="217" fontId="4" fillId="6" borderId="16" xfId="0" applyNumberFormat="1" applyFont="1" applyFill="1" applyBorder="1" applyAlignment="1">
      <alignment horizontal="right" vertical="center"/>
    </xf>
    <xf numFmtId="217" fontId="13" fillId="0" borderId="2" xfId="0" applyNumberFormat="1" applyFont="1" applyBorder="1" applyAlignment="1">
      <alignment horizontal="right" vertical="center"/>
    </xf>
    <xf numFmtId="41" fontId="16" fillId="0" borderId="831" xfId="0" applyNumberFormat="1" applyFont="1" applyBorder="1" applyAlignment="1">
      <alignment horizontal="center" vertical="center"/>
    </xf>
    <xf numFmtId="41" fontId="16" fillId="0" borderId="802" xfId="0" applyNumberFormat="1" applyFont="1" applyBorder="1" applyAlignment="1">
      <alignment horizontal="center" vertical="center"/>
    </xf>
    <xf numFmtId="41" fontId="16" fillId="0" borderId="0" xfId="0" applyNumberFormat="1" applyFont="1" applyAlignment="1">
      <alignment horizontal="center" vertical="center"/>
    </xf>
    <xf numFmtId="0" fontId="41" fillId="0" borderId="831" xfId="0" applyFont="1" applyBorder="1" applyAlignment="1" applyProtection="1">
      <alignment horizontal="center" vertical="center"/>
      <protection locked="0"/>
    </xf>
    <xf numFmtId="0" fontId="41" fillId="0" borderId="802" xfId="0" applyFont="1" applyBorder="1" applyAlignment="1" applyProtection="1">
      <alignment horizontal="center" vertical="center"/>
      <protection locked="0"/>
    </xf>
    <xf numFmtId="0" fontId="41" fillId="0" borderId="830" xfId="0" applyFont="1" applyBorder="1" applyAlignment="1" applyProtection="1">
      <alignment horizontal="center" vertical="center"/>
      <protection locked="0"/>
    </xf>
    <xf numFmtId="3" fontId="16" fillId="0" borderId="7" xfId="0" applyNumberFormat="1" applyFont="1" applyBorder="1" applyAlignment="1">
      <alignment horizontal="right" vertical="center"/>
    </xf>
    <xf numFmtId="3" fontId="16" fillId="0" borderId="25" xfId="0" applyNumberFormat="1" applyFont="1" applyBorder="1" applyProtection="1">
      <alignment vertical="center"/>
      <protection locked="0"/>
    </xf>
    <xf numFmtId="3" fontId="16" fillId="0" borderId="0" xfId="0" applyNumberFormat="1" applyFont="1" applyProtection="1">
      <alignment vertical="center"/>
      <protection locked="0"/>
    </xf>
    <xf numFmtId="0" fontId="16" fillId="0" borderId="0" xfId="0" applyFont="1" applyProtection="1">
      <alignment vertical="center"/>
      <protection locked="0"/>
    </xf>
    <xf numFmtId="3" fontId="16" fillId="0" borderId="427" xfId="0" applyNumberFormat="1" applyFont="1" applyBorder="1" applyAlignment="1" applyProtection="1">
      <alignment horizontal="right" vertical="center"/>
      <protection locked="0"/>
    </xf>
    <xf numFmtId="0" fontId="16" fillId="0" borderId="831" xfId="0" applyFont="1" applyBorder="1" applyAlignment="1">
      <alignment horizontal="center" vertical="center"/>
    </xf>
    <xf numFmtId="0" fontId="16" fillId="0" borderId="830" xfId="0" applyFont="1" applyBorder="1" applyAlignment="1">
      <alignment horizontal="center" vertical="center"/>
    </xf>
    <xf numFmtId="0" fontId="16" fillId="0" borderId="4" xfId="0" applyFont="1" applyBorder="1" applyAlignment="1">
      <alignment horizontal="center" vertical="center"/>
    </xf>
    <xf numFmtId="3" fontId="16" fillId="0" borderId="5" xfId="0" applyNumberFormat="1" applyFont="1" applyBorder="1" applyAlignment="1">
      <alignment horizontal="center" vertical="center"/>
    </xf>
    <xf numFmtId="0" fontId="16" fillId="0" borderId="802" xfId="0" applyFont="1" applyBorder="1" applyAlignment="1" applyProtection="1">
      <alignment horizontal="center" vertical="center"/>
      <protection locked="0"/>
    </xf>
    <xf numFmtId="0" fontId="16" fillId="0" borderId="831" xfId="0" applyFont="1" applyBorder="1" applyAlignment="1" applyProtection="1">
      <alignment horizontal="center" vertical="center"/>
      <protection locked="0"/>
    </xf>
    <xf numFmtId="0" fontId="16" fillId="0" borderId="830" xfId="0" applyFont="1" applyBorder="1" applyAlignment="1" applyProtection="1">
      <alignment horizontal="center" vertical="center"/>
      <protection locked="0"/>
    </xf>
    <xf numFmtId="3" fontId="16" fillId="0" borderId="5" xfId="0" applyNumberFormat="1" applyFont="1" applyBorder="1" applyAlignment="1" applyProtection="1">
      <alignment horizontal="center" vertical="center"/>
      <protection locked="0"/>
    </xf>
    <xf numFmtId="0" fontId="16" fillId="0" borderId="2" xfId="0" applyFont="1" applyBorder="1" applyAlignment="1">
      <alignment horizontal="center" vertical="center"/>
    </xf>
    <xf numFmtId="0" fontId="16" fillId="0" borderId="7" xfId="0" applyFont="1" applyBorder="1" applyAlignment="1">
      <alignment horizontal="center" vertical="center"/>
    </xf>
    <xf numFmtId="3" fontId="16" fillId="0" borderId="1" xfId="0" applyNumberFormat="1" applyFont="1" applyBorder="1" applyAlignment="1">
      <alignment horizontal="center" vertical="center"/>
    </xf>
    <xf numFmtId="0" fontId="16" fillId="0" borderId="6"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6" fillId="0" borderId="7" xfId="0" applyFont="1" applyBorder="1" applyAlignment="1" applyProtection="1">
      <alignment horizontal="center" vertical="center"/>
      <protection locked="0"/>
    </xf>
    <xf numFmtId="3" fontId="16" fillId="0" borderId="1" xfId="0" applyNumberFormat="1" applyFont="1" applyBorder="1" applyAlignment="1" applyProtection="1">
      <alignment horizontal="center" vertical="center"/>
      <protection locked="0"/>
    </xf>
    <xf numFmtId="37" fontId="5" fillId="0" borderId="0" xfId="0" applyNumberFormat="1" applyFont="1" applyAlignment="1">
      <alignment horizontal="distributed" vertical="center"/>
    </xf>
    <xf numFmtId="37" fontId="5" fillId="0" borderId="427" xfId="0" applyNumberFormat="1" applyFont="1" applyBorder="1" applyAlignment="1">
      <alignment horizontal="distributed" vertical="center"/>
    </xf>
    <xf numFmtId="183" fontId="5" fillId="0" borderId="427" xfId="0" applyNumberFormat="1" applyFont="1" applyBorder="1">
      <alignment vertical="center"/>
    </xf>
    <xf numFmtId="183" fontId="5" fillId="4" borderId="190" xfId="0" applyNumberFormat="1" applyFont="1" applyFill="1" applyBorder="1">
      <alignment vertical="center"/>
    </xf>
    <xf numFmtId="37" fontId="5" fillId="0" borderId="25" xfId="0" applyNumberFormat="1" applyFont="1" applyBorder="1" applyProtection="1">
      <alignment vertical="center"/>
      <protection locked="0"/>
    </xf>
    <xf numFmtId="37" fontId="5" fillId="0" borderId="0" xfId="0" applyNumberFormat="1" applyFont="1" applyAlignment="1" applyProtection="1">
      <alignment horizontal="distributed" vertical="center"/>
      <protection locked="0"/>
    </xf>
    <xf numFmtId="37" fontId="5" fillId="0" borderId="427" xfId="0" applyNumberFormat="1" applyFont="1" applyBorder="1" applyAlignment="1" applyProtection="1">
      <alignment horizontal="distributed" vertical="center"/>
      <protection locked="0"/>
    </xf>
    <xf numFmtId="180" fontId="5" fillId="0" borderId="427" xfId="0" applyNumberFormat="1" applyFont="1" applyBorder="1" applyProtection="1">
      <alignment vertical="center"/>
      <protection locked="0"/>
    </xf>
    <xf numFmtId="180" fontId="5" fillId="4" borderId="36" xfId="0" applyNumberFormat="1" applyFont="1" applyFill="1" applyBorder="1" applyProtection="1">
      <alignment vertical="center"/>
      <protection locked="0"/>
    </xf>
    <xf numFmtId="37" fontId="16" fillId="0" borderId="427" xfId="0" applyNumberFormat="1" applyFont="1" applyBorder="1" applyAlignment="1">
      <alignment horizontal="distributed" vertical="center"/>
    </xf>
    <xf numFmtId="183" fontId="16" fillId="0" borderId="427" xfId="0" applyNumberFormat="1" applyFont="1" applyBorder="1">
      <alignment vertical="center"/>
    </xf>
    <xf numFmtId="37" fontId="16" fillId="0" borderId="25" xfId="0" applyNumberFormat="1" applyFont="1" applyBorder="1" applyProtection="1">
      <alignment vertical="center"/>
      <protection locked="0"/>
    </xf>
    <xf numFmtId="37" fontId="16" fillId="0" borderId="0" xfId="0" applyNumberFormat="1" applyFont="1" applyAlignment="1" applyProtection="1">
      <alignment horizontal="right" vertical="center"/>
      <protection locked="0"/>
    </xf>
    <xf numFmtId="37" fontId="16" fillId="0" borderId="427" xfId="0" applyNumberFormat="1" applyFont="1" applyBorder="1" applyAlignment="1" applyProtection="1">
      <alignment horizontal="distributed" vertical="center"/>
      <protection locked="0"/>
    </xf>
    <xf numFmtId="180" fontId="16" fillId="0" borderId="427" xfId="0" applyNumberFormat="1" applyFont="1" applyBorder="1" applyProtection="1">
      <alignment vertical="center"/>
      <protection locked="0"/>
    </xf>
    <xf numFmtId="10" fontId="16" fillId="0" borderId="190" xfId="0" applyNumberFormat="1" applyFont="1" applyBorder="1" applyProtection="1">
      <alignment vertical="center"/>
      <protection locked="0"/>
    </xf>
    <xf numFmtId="180" fontId="16" fillId="0" borderId="190" xfId="0" applyNumberFormat="1" applyFont="1" applyBorder="1" applyProtection="1">
      <alignment vertical="center"/>
      <protection locked="0"/>
    </xf>
    <xf numFmtId="180" fontId="16" fillId="0" borderId="42" xfId="0" applyNumberFormat="1" applyFont="1" applyBorder="1" applyProtection="1">
      <alignment vertical="center"/>
      <protection locked="0"/>
    </xf>
    <xf numFmtId="183" fontId="16" fillId="0" borderId="831" xfId="0" applyNumberFormat="1" applyFont="1" applyBorder="1">
      <alignment vertical="center"/>
    </xf>
    <xf numFmtId="0" fontId="16" fillId="0" borderId="25" xfId="0" applyFont="1" applyBorder="1" applyProtection="1">
      <alignment vertical="center"/>
      <protection locked="0"/>
    </xf>
    <xf numFmtId="0" fontId="16" fillId="0" borderId="0" xfId="0" applyFont="1" applyAlignment="1" applyProtection="1">
      <alignment horizontal="right" vertical="center"/>
      <protection locked="0"/>
    </xf>
    <xf numFmtId="37" fontId="16" fillId="0" borderId="0" xfId="0" applyNumberFormat="1" applyFont="1" applyProtection="1">
      <alignment vertical="center"/>
      <protection locked="0"/>
    </xf>
    <xf numFmtId="0" fontId="5" fillId="0" borderId="25" xfId="0" applyFont="1" applyBorder="1" applyProtection="1">
      <alignment vertical="center"/>
      <protection locked="0"/>
    </xf>
    <xf numFmtId="180" fontId="5" fillId="0" borderId="42" xfId="0" applyNumberFormat="1" applyFont="1" applyBorder="1" applyProtection="1">
      <alignment vertical="center"/>
      <protection locked="0"/>
    </xf>
    <xf numFmtId="37" fontId="16" fillId="0" borderId="25" xfId="0" quotePrefix="1" applyNumberFormat="1" applyFont="1" applyBorder="1" applyProtection="1">
      <alignment vertical="center"/>
      <protection locked="0"/>
    </xf>
    <xf numFmtId="37" fontId="16" fillId="0" borderId="0" xfId="0" quotePrefix="1" applyNumberFormat="1" applyFont="1" applyAlignment="1" applyProtection="1">
      <alignment horizontal="right" vertical="center"/>
      <protection locked="0"/>
    </xf>
    <xf numFmtId="10" fontId="16" fillId="0" borderId="427" xfId="0" applyNumberFormat="1" applyFont="1" applyBorder="1" applyProtection="1">
      <alignment vertical="center"/>
      <protection locked="0"/>
    </xf>
    <xf numFmtId="37" fontId="16" fillId="0" borderId="0" xfId="0" quotePrefix="1" applyNumberFormat="1" applyFont="1" applyProtection="1">
      <alignment vertical="center"/>
      <protection locked="0"/>
    </xf>
    <xf numFmtId="37" fontId="5" fillId="0" borderId="25" xfId="0" quotePrefix="1" applyNumberFormat="1" applyFont="1" applyBorder="1" applyProtection="1">
      <alignment vertical="center"/>
      <protection locked="0"/>
    </xf>
    <xf numFmtId="0" fontId="16" fillId="0" borderId="427" xfId="0" applyFont="1" applyBorder="1" applyAlignment="1">
      <alignment horizontal="distributed" vertical="center"/>
    </xf>
    <xf numFmtId="0" fontId="16" fillId="0" borderId="25" xfId="0" quotePrefix="1" applyFont="1" applyBorder="1" applyProtection="1">
      <alignment vertical="center"/>
      <protection locked="0"/>
    </xf>
    <xf numFmtId="0" fontId="16" fillId="0" borderId="427" xfId="0" applyFont="1" applyBorder="1" applyAlignment="1" applyProtection="1">
      <alignment horizontal="distributed" vertical="center"/>
      <protection locked="0"/>
    </xf>
    <xf numFmtId="183" fontId="16" fillId="0" borderId="42" xfId="0" applyNumberFormat="1" applyFont="1" applyBorder="1">
      <alignment vertical="center"/>
    </xf>
    <xf numFmtId="180" fontId="16" fillId="0" borderId="7" xfId="0" applyNumberFormat="1" applyFont="1" applyBorder="1" applyProtection="1">
      <alignment vertical="center"/>
      <protection locked="0"/>
    </xf>
    <xf numFmtId="37" fontId="16" fillId="0" borderId="0" xfId="0" applyNumberFormat="1" applyFont="1" applyAlignment="1">
      <alignment horizontal="distributed" vertical="center"/>
    </xf>
    <xf numFmtId="37" fontId="16" fillId="0" borderId="0" xfId="0" applyNumberFormat="1" applyFont="1" applyAlignment="1" applyProtection="1">
      <alignment horizontal="distributed" vertical="center"/>
      <protection locked="0"/>
    </xf>
    <xf numFmtId="180" fontId="5" fillId="0" borderId="190" xfId="0" applyNumberFormat="1" applyFont="1" applyBorder="1" applyProtection="1">
      <alignment vertical="center"/>
      <protection locked="0"/>
    </xf>
    <xf numFmtId="234" fontId="16" fillId="0" borderId="190" xfId="0" applyNumberFormat="1" applyFont="1" applyBorder="1" applyProtection="1">
      <alignment vertical="center"/>
      <protection locked="0"/>
    </xf>
    <xf numFmtId="37" fontId="5" fillId="0" borderId="2" xfId="0" applyNumberFormat="1" applyFont="1" applyBorder="1" applyAlignment="1">
      <alignment horizontal="distributed" vertical="center"/>
    </xf>
    <xf numFmtId="37" fontId="5" fillId="0" borderId="7" xfId="0" applyNumberFormat="1" applyFont="1" applyBorder="1" applyAlignment="1">
      <alignment horizontal="distributed" vertical="center"/>
    </xf>
    <xf numFmtId="37" fontId="5" fillId="0" borderId="6" xfId="0" quotePrefix="1" applyNumberFormat="1" applyFont="1" applyBorder="1" applyProtection="1">
      <alignment vertical="center"/>
      <protection locked="0"/>
    </xf>
    <xf numFmtId="37" fontId="5" fillId="0" borderId="2" xfId="0" applyNumberFormat="1" applyFont="1" applyBorder="1" applyAlignment="1" applyProtection="1">
      <alignment horizontal="distributed" vertical="center"/>
      <protection locked="0"/>
    </xf>
    <xf numFmtId="37" fontId="5" fillId="0" borderId="7" xfId="0" applyNumberFormat="1" applyFont="1" applyBorder="1" applyAlignment="1" applyProtection="1">
      <alignment horizontal="distributed" vertical="center"/>
      <protection locked="0"/>
    </xf>
    <xf numFmtId="180" fontId="5" fillId="0" borderId="7" xfId="0" applyNumberFormat="1" applyFont="1" applyBorder="1" applyProtection="1">
      <alignment vertical="center"/>
      <protection locked="0"/>
    </xf>
    <xf numFmtId="180" fontId="5" fillId="0" borderId="36" xfId="0" applyNumberFormat="1" applyFont="1" applyBorder="1" applyProtection="1">
      <alignment vertical="center"/>
      <protection locked="0"/>
    </xf>
    <xf numFmtId="180" fontId="5" fillId="0" borderId="0" xfId="0" applyNumberFormat="1" applyFont="1" applyAlignment="1" applyProtection="1">
      <alignment horizontal="left" vertical="center"/>
      <protection locked="0"/>
    </xf>
    <xf numFmtId="3" fontId="16" fillId="0" borderId="427" xfId="0" applyNumberFormat="1" applyFont="1" applyBorder="1" applyAlignment="1">
      <alignment horizontal="right" vertical="center"/>
    </xf>
    <xf numFmtId="180" fontId="16" fillId="0" borderId="0" xfId="0" applyNumberFormat="1" applyFont="1" applyProtection="1">
      <alignment vertical="center"/>
      <protection locked="0"/>
    </xf>
    <xf numFmtId="180" fontId="16" fillId="0" borderId="0" xfId="0" applyNumberFormat="1" applyFont="1" applyAlignment="1" applyProtection="1">
      <alignment horizontal="left" vertical="center"/>
      <protection locked="0"/>
    </xf>
    <xf numFmtId="180" fontId="16" fillId="0" borderId="427" xfId="0" applyNumberFormat="1" applyFont="1" applyBorder="1" applyAlignment="1" applyProtection="1">
      <alignment horizontal="right" vertical="center"/>
      <protection locked="0"/>
    </xf>
    <xf numFmtId="180" fontId="16" fillId="0" borderId="831" xfId="0" applyNumberFormat="1" applyFont="1" applyBorder="1" applyAlignment="1" applyProtection="1">
      <alignment horizontal="center" vertical="center"/>
      <protection locked="0"/>
    </xf>
    <xf numFmtId="180" fontId="16" fillId="0" borderId="830" xfId="0" applyNumberFormat="1" applyFont="1" applyBorder="1" applyAlignment="1" applyProtection="1">
      <alignment horizontal="center" vertical="center"/>
      <protection locked="0"/>
    </xf>
    <xf numFmtId="180" fontId="16" fillId="0" borderId="2" xfId="0" applyNumberFormat="1" applyFont="1" applyBorder="1" applyAlignment="1" applyProtection="1">
      <alignment horizontal="center" vertical="center"/>
      <protection locked="0"/>
    </xf>
    <xf numFmtId="180" fontId="16" fillId="0" borderId="7" xfId="0" applyNumberFormat="1" applyFont="1" applyBorder="1" applyAlignment="1" applyProtection="1">
      <alignment horizontal="center" vertical="center"/>
      <protection locked="0"/>
    </xf>
    <xf numFmtId="183" fontId="5" fillId="0" borderId="25" xfId="0" applyNumberFormat="1" applyFont="1" applyBorder="1">
      <alignment vertical="center"/>
    </xf>
    <xf numFmtId="183" fontId="5" fillId="0" borderId="801" xfId="0" applyNumberFormat="1" applyFont="1" applyBorder="1" applyAlignment="1">
      <alignment horizontal="right" vertical="center"/>
    </xf>
    <xf numFmtId="180" fontId="5" fillId="0" borderId="0" xfId="0" applyNumberFormat="1" applyFont="1" applyProtection="1">
      <alignment vertical="center"/>
      <protection locked="0"/>
    </xf>
    <xf numFmtId="180" fontId="5" fillId="0" borderId="831" xfId="0" applyNumberFormat="1" applyFont="1" applyBorder="1" applyAlignment="1" applyProtection="1">
      <alignment horizontal="distributed" vertical="center"/>
      <protection locked="0"/>
    </xf>
    <xf numFmtId="180" fontId="5" fillId="0" borderId="25" xfId="0" applyNumberFormat="1" applyFont="1" applyBorder="1" applyProtection="1">
      <alignment vertical="center"/>
      <protection locked="0"/>
    </xf>
    <xf numFmtId="180" fontId="5" fillId="0" borderId="801" xfId="0" applyNumberFormat="1" applyFont="1" applyBorder="1" applyAlignment="1" applyProtection="1">
      <alignment horizontal="right" vertical="center"/>
      <protection locked="0"/>
    </xf>
    <xf numFmtId="180" fontId="16" fillId="0" borderId="0" xfId="0" applyNumberFormat="1" applyFont="1" applyAlignment="1" applyProtection="1">
      <alignment horizontal="distributed" vertical="center"/>
      <protection locked="0"/>
    </xf>
    <xf numFmtId="180" fontId="16" fillId="0" borderId="427" xfId="0" applyNumberFormat="1" applyFont="1" applyBorder="1" applyAlignment="1" applyProtection="1">
      <alignment horizontal="distributed" vertical="center"/>
      <protection locked="0"/>
    </xf>
    <xf numFmtId="180" fontId="16" fillId="0" borderId="25" xfId="0" applyNumberFormat="1" applyFont="1" applyBorder="1" applyProtection="1">
      <alignment vertical="center"/>
      <protection locked="0"/>
    </xf>
    <xf numFmtId="180" fontId="16" fillId="0" borderId="0" xfId="0" quotePrefix="1" applyNumberFormat="1" applyFont="1" applyProtection="1">
      <alignment vertical="center"/>
      <protection locked="0"/>
    </xf>
    <xf numFmtId="183" fontId="5" fillId="0" borderId="25" xfId="0" applyNumberFormat="1" applyFont="1" applyBorder="1" applyAlignment="1">
      <alignment horizontal="right" vertical="center"/>
    </xf>
    <xf numFmtId="180" fontId="5" fillId="0" borderId="0" xfId="0" applyNumberFormat="1" applyFont="1" applyAlignment="1" applyProtection="1">
      <alignment horizontal="distributed" vertical="center"/>
      <protection locked="0"/>
    </xf>
    <xf numFmtId="180" fontId="5" fillId="0" borderId="25" xfId="0" applyNumberFormat="1" applyFont="1" applyBorder="1" applyAlignment="1" applyProtection="1">
      <alignment horizontal="right" vertical="center"/>
      <protection locked="0"/>
    </xf>
    <xf numFmtId="180" fontId="16" fillId="0" borderId="0" xfId="0" applyNumberFormat="1" applyFont="1" applyAlignment="1" applyProtection="1">
      <alignment horizontal="right" vertical="center"/>
      <protection locked="0"/>
    </xf>
    <xf numFmtId="180" fontId="16" fillId="0" borderId="25" xfId="0" applyNumberFormat="1" applyFont="1" applyBorder="1" applyAlignment="1" applyProtection="1">
      <alignment horizontal="right" vertical="center"/>
      <protection locked="0"/>
    </xf>
    <xf numFmtId="180" fontId="16" fillId="0" borderId="42" xfId="0" applyNumberFormat="1" applyFont="1" applyBorder="1" applyAlignment="1" applyProtection="1">
      <alignment horizontal="right" vertical="center"/>
      <protection locked="0"/>
    </xf>
    <xf numFmtId="180" fontId="16" fillId="0" borderId="190" xfId="0" applyNumberFormat="1" applyFont="1" applyBorder="1" applyAlignment="1" applyProtection="1">
      <alignment horizontal="right" vertical="center"/>
      <protection locked="0"/>
    </xf>
    <xf numFmtId="180" fontId="16" fillId="0" borderId="25" xfId="0" applyNumberFormat="1" applyFont="1" applyBorder="1" applyAlignment="1">
      <alignment horizontal="right" vertical="center"/>
    </xf>
    <xf numFmtId="0" fontId="16" fillId="4" borderId="0" xfId="0" applyFont="1" applyFill="1">
      <alignment vertical="center"/>
    </xf>
    <xf numFmtId="180" fontId="16" fillId="0" borderId="0" xfId="0" applyNumberFormat="1" applyFont="1">
      <alignment vertical="center"/>
    </xf>
    <xf numFmtId="0" fontId="5" fillId="4" borderId="0" xfId="0" applyFont="1" applyFill="1">
      <alignment vertical="center"/>
    </xf>
    <xf numFmtId="180" fontId="5" fillId="0" borderId="0" xfId="0" applyNumberFormat="1" applyFont="1">
      <alignment vertical="center"/>
    </xf>
    <xf numFmtId="234" fontId="16" fillId="0" borderId="0" xfId="0" applyNumberFormat="1" applyFont="1">
      <alignment vertical="center"/>
    </xf>
    <xf numFmtId="41" fontId="15" fillId="0" borderId="0" xfId="0" applyNumberFormat="1" applyFont="1">
      <alignment vertical="center"/>
    </xf>
    <xf numFmtId="41" fontId="4" fillId="0" borderId="0" xfId="0" applyNumberFormat="1" applyFont="1" applyAlignment="1">
      <alignment horizontal="center" vertical="center"/>
    </xf>
    <xf numFmtId="41" fontId="4" fillId="0" borderId="0" xfId="0" applyNumberFormat="1" applyFont="1" applyAlignment="1">
      <alignment horizontal="right" vertical="center"/>
    </xf>
    <xf numFmtId="41" fontId="15" fillId="73" borderId="36" xfId="0" applyNumberFormat="1" applyFont="1" applyFill="1" applyBorder="1" applyAlignment="1">
      <alignment horizontal="center" vertical="center"/>
    </xf>
    <xf numFmtId="41" fontId="4" fillId="0" borderId="36" xfId="0" applyNumberFormat="1" applyFont="1" applyBorder="1" applyAlignment="1">
      <alignment horizontal="center" vertical="center"/>
    </xf>
    <xf numFmtId="41" fontId="4" fillId="0" borderId="36" xfId="0" applyNumberFormat="1" applyFont="1" applyBorder="1">
      <alignment vertical="center"/>
    </xf>
    <xf numFmtId="41" fontId="4" fillId="86" borderId="36" xfId="0" applyNumberFormat="1" applyFont="1" applyFill="1" applyBorder="1" applyAlignment="1">
      <alignment horizontal="center" vertical="center"/>
    </xf>
    <xf numFmtId="41" fontId="4" fillId="86" borderId="36" xfId="0" applyNumberFormat="1" applyFont="1" applyFill="1" applyBorder="1">
      <alignment vertical="center"/>
    </xf>
    <xf numFmtId="41" fontId="5" fillId="0" borderId="0" xfId="0" applyNumberFormat="1" applyFont="1" applyAlignment="1">
      <alignment horizontal="left" vertical="center"/>
    </xf>
    <xf numFmtId="41" fontId="4" fillId="0" borderId="5" xfId="0" applyNumberFormat="1" applyFont="1" applyBorder="1" applyAlignment="1">
      <alignment horizontal="center" vertical="center"/>
    </xf>
    <xf numFmtId="41" fontId="4" fillId="86" borderId="5" xfId="0" applyNumberFormat="1" applyFont="1" applyFill="1" applyBorder="1" applyAlignment="1">
      <alignment horizontal="center" vertical="center"/>
    </xf>
    <xf numFmtId="41" fontId="15" fillId="83" borderId="36" xfId="0" applyNumberFormat="1" applyFont="1" applyFill="1" applyBorder="1">
      <alignment vertical="center"/>
    </xf>
    <xf numFmtId="41" fontId="4" fillId="0" borderId="4" xfId="0" applyNumberFormat="1" applyFont="1" applyBorder="1">
      <alignment vertical="center"/>
    </xf>
    <xf numFmtId="41" fontId="4" fillId="0" borderId="5" xfId="0" applyNumberFormat="1" applyFont="1" applyBorder="1">
      <alignment vertical="center"/>
    </xf>
    <xf numFmtId="235" fontId="5" fillId="0" borderId="0" xfId="0" applyNumberFormat="1" applyFont="1" applyAlignment="1">
      <alignment horizontal="center" vertical="center"/>
    </xf>
    <xf numFmtId="235" fontId="16" fillId="0" borderId="0" xfId="0" applyNumberFormat="1" applyFont="1" applyAlignment="1">
      <alignment horizontal="center" vertical="center"/>
    </xf>
    <xf numFmtId="41" fontId="5" fillId="4" borderId="0" xfId="0" applyNumberFormat="1" applyFont="1" applyFill="1">
      <alignment vertical="center"/>
    </xf>
    <xf numFmtId="0" fontId="13" fillId="0" borderId="45" xfId="0" applyFont="1" applyBorder="1">
      <alignment vertical="center"/>
    </xf>
    <xf numFmtId="0" fontId="13" fillId="0" borderId="1" xfId="0" applyFont="1" applyBorder="1">
      <alignment vertical="center"/>
    </xf>
    <xf numFmtId="0" fontId="13" fillId="0" borderId="46" xfId="0" applyFont="1" applyBorder="1">
      <alignment vertical="center"/>
    </xf>
    <xf numFmtId="0" fontId="14" fillId="0" borderId="0" xfId="0" applyFont="1" applyAlignment="1">
      <alignment horizontal="center" vertical="center"/>
    </xf>
    <xf numFmtId="178" fontId="13" fillId="0" borderId="799" xfId="0" applyNumberFormat="1" applyFont="1" applyBorder="1">
      <alignment vertical="center"/>
    </xf>
    <xf numFmtId="178" fontId="13" fillId="0" borderId="0" xfId="0" applyNumberFormat="1" applyFont="1">
      <alignment vertical="center"/>
    </xf>
    <xf numFmtId="178" fontId="13" fillId="0" borderId="17" xfId="0" applyNumberFormat="1" applyFont="1" applyBorder="1">
      <alignment vertical="center"/>
    </xf>
    <xf numFmtId="178" fontId="13" fillId="0" borderId="16" xfId="0" applyNumberFormat="1" applyFont="1" applyBorder="1">
      <alignment vertical="center"/>
    </xf>
    <xf numFmtId="178" fontId="13" fillId="0" borderId="21" xfId="0" applyNumberFormat="1" applyFont="1" applyBorder="1">
      <alignment vertical="center"/>
    </xf>
    <xf numFmtId="178" fontId="13" fillId="0" borderId="2" xfId="0" applyNumberFormat="1" applyFont="1" applyBorder="1">
      <alignment vertical="center"/>
    </xf>
    <xf numFmtId="178" fontId="13" fillId="0" borderId="22" xfId="0" applyNumberFormat="1" applyFont="1" applyBorder="1">
      <alignment vertical="center"/>
    </xf>
    <xf numFmtId="0" fontId="290" fillId="31" borderId="0" xfId="0" applyFont="1" applyFill="1">
      <alignment vertical="center"/>
    </xf>
    <xf numFmtId="0" fontId="122" fillId="31" borderId="0" xfId="0" applyFont="1" applyFill="1">
      <alignment vertical="center"/>
    </xf>
    <xf numFmtId="0" fontId="62" fillId="31" borderId="0" xfId="0" applyFont="1" applyFill="1">
      <alignment vertical="center"/>
    </xf>
    <xf numFmtId="0" fontId="109" fillId="36" borderId="219" xfId="0" applyFont="1" applyFill="1" applyBorder="1" applyAlignment="1">
      <alignment horizontal="center" vertical="center"/>
    </xf>
    <xf numFmtId="0" fontId="109" fillId="36" borderId="231" xfId="0" applyFont="1" applyFill="1" applyBorder="1" applyAlignment="1">
      <alignment horizontal="center" vertical="center"/>
    </xf>
    <xf numFmtId="0" fontId="109" fillId="36" borderId="220" xfId="0" applyFont="1" applyFill="1" applyBorder="1" applyAlignment="1">
      <alignment horizontal="center" vertical="center"/>
    </xf>
    <xf numFmtId="0" fontId="108" fillId="46" borderId="260" xfId="0" applyFont="1" applyFill="1" applyBorder="1" applyAlignment="1">
      <alignment horizontal="center" vertical="center"/>
    </xf>
    <xf numFmtId="41" fontId="60" fillId="31" borderId="232" xfId="0" applyNumberFormat="1" applyFont="1" applyFill="1" applyBorder="1">
      <alignment vertical="center"/>
    </xf>
    <xf numFmtId="41" fontId="60" fillId="31" borderId="834" xfId="0" applyNumberFormat="1" applyFont="1" applyFill="1" applyBorder="1">
      <alignment vertical="center"/>
    </xf>
    <xf numFmtId="41" fontId="60" fillId="31" borderId="379" xfId="0" applyNumberFormat="1" applyFont="1" applyFill="1" applyBorder="1">
      <alignment vertical="center"/>
    </xf>
    <xf numFmtId="199" fontId="60" fillId="31" borderId="0" xfId="0" applyNumberFormat="1" applyFont="1" applyFill="1">
      <alignment vertical="center"/>
    </xf>
    <xf numFmtId="199" fontId="60" fillId="31" borderId="25" xfId="0" applyNumberFormat="1" applyFont="1" applyFill="1" applyBorder="1">
      <alignment vertical="center"/>
    </xf>
    <xf numFmtId="9" fontId="292" fillId="31" borderId="190" xfId="0" applyNumberFormat="1" applyFont="1" applyFill="1" applyBorder="1" applyAlignment="1">
      <alignment horizontal="center" vertical="center"/>
    </xf>
    <xf numFmtId="41" fontId="60" fillId="47" borderId="219" xfId="0" applyNumberFormat="1" applyFont="1" applyFill="1" applyBorder="1">
      <alignment vertical="center"/>
    </xf>
    <xf numFmtId="41" fontId="60" fillId="47" borderId="231" xfId="0" applyNumberFormat="1" applyFont="1" applyFill="1" applyBorder="1">
      <alignment vertical="center"/>
    </xf>
    <xf numFmtId="41" fontId="60" fillId="47" borderId="220" xfId="0" applyNumberFormat="1" applyFont="1" applyFill="1" applyBorder="1">
      <alignment vertical="center"/>
    </xf>
    <xf numFmtId="199" fontId="65" fillId="47" borderId="36" xfId="0" applyNumberFormat="1" applyFont="1" applyFill="1" applyBorder="1">
      <alignment vertical="center"/>
    </xf>
    <xf numFmtId="9" fontId="292" fillId="47" borderId="36" xfId="0" applyNumberFormat="1" applyFont="1" applyFill="1" applyBorder="1" applyAlignment="1">
      <alignment horizontal="center" vertical="center"/>
    </xf>
    <xf numFmtId="0" fontId="62" fillId="0" borderId="802" xfId="0" applyFont="1" applyBorder="1" applyAlignment="1">
      <alignment horizontal="center" vertical="center"/>
    </xf>
    <xf numFmtId="41" fontId="60" fillId="31" borderId="801" xfId="0" applyNumberFormat="1" applyFont="1" applyFill="1" applyBorder="1">
      <alignment vertical="center"/>
    </xf>
    <xf numFmtId="41" fontId="60" fillId="31" borderId="835" xfId="0" applyNumberFormat="1" applyFont="1" applyFill="1" applyBorder="1">
      <alignment vertical="center"/>
    </xf>
    <xf numFmtId="41" fontId="60" fillId="31" borderId="836" xfId="0" applyNumberFormat="1" applyFont="1" applyFill="1" applyBorder="1">
      <alignment vertical="center"/>
    </xf>
    <xf numFmtId="41" fontId="60" fillId="31" borderId="218" xfId="0" applyNumberFormat="1" applyFont="1" applyFill="1" applyBorder="1">
      <alignment vertical="center"/>
    </xf>
    <xf numFmtId="199" fontId="60" fillId="0" borderId="25" xfId="0" applyNumberFormat="1" applyFont="1" applyBorder="1">
      <alignment vertical="center"/>
    </xf>
    <xf numFmtId="9" fontId="292" fillId="31" borderId="801" xfId="0" applyNumberFormat="1" applyFont="1" applyFill="1" applyBorder="1" applyAlignment="1">
      <alignment horizontal="center" vertical="center"/>
    </xf>
    <xf numFmtId="199" fontId="60" fillId="0" borderId="0" xfId="0" applyNumberFormat="1" applyFont="1">
      <alignment vertical="center"/>
    </xf>
    <xf numFmtId="9" fontId="292" fillId="0" borderId="190" xfId="0" applyNumberFormat="1" applyFont="1" applyBorder="1" applyAlignment="1">
      <alignment horizontal="center" vertical="center"/>
    </xf>
    <xf numFmtId="41" fontId="60" fillId="0" borderId="232" xfId="0" applyNumberFormat="1" applyFont="1" applyBorder="1">
      <alignment vertical="center"/>
    </xf>
    <xf numFmtId="41" fontId="65" fillId="49" borderId="219" xfId="0" applyNumberFormat="1" applyFont="1" applyFill="1" applyBorder="1">
      <alignment vertical="center"/>
    </xf>
    <xf numFmtId="41" fontId="65" fillId="49" borderId="231" xfId="0" applyNumberFormat="1" applyFont="1" applyFill="1" applyBorder="1">
      <alignment vertical="center"/>
    </xf>
    <xf numFmtId="41" fontId="65" fillId="49" borderId="220" xfId="0" applyNumberFormat="1" applyFont="1" applyFill="1" applyBorder="1">
      <alignment vertical="center"/>
    </xf>
    <xf numFmtId="199" fontId="65" fillId="49" borderId="36" xfId="0" applyNumberFormat="1" applyFont="1" applyFill="1" applyBorder="1">
      <alignment vertical="center"/>
    </xf>
    <xf numFmtId="9" fontId="293" fillId="49" borderId="36" xfId="0" applyNumberFormat="1" applyFont="1" applyFill="1" applyBorder="1" applyAlignment="1">
      <alignment horizontal="center" vertical="center"/>
    </xf>
    <xf numFmtId="0" fontId="60" fillId="31" borderId="0" xfId="0" applyFont="1" applyFill="1">
      <alignment vertical="center"/>
    </xf>
    <xf numFmtId="9" fontId="294" fillId="31" borderId="0" xfId="0" applyNumberFormat="1" applyFont="1" applyFill="1">
      <alignment vertical="center"/>
    </xf>
    <xf numFmtId="0" fontId="28" fillId="0" borderId="837" xfId="0" applyFont="1" applyBorder="1">
      <alignment vertical="center"/>
    </xf>
    <xf numFmtId="176" fontId="257" fillId="0" borderId="17" xfId="0" applyNumberFormat="1" applyFont="1" applyBorder="1">
      <alignment vertical="center"/>
    </xf>
    <xf numFmtId="0" fontId="2" fillId="0" borderId="17" xfId="0" applyFont="1" applyBorder="1">
      <alignment vertical="center"/>
    </xf>
    <xf numFmtId="217" fontId="2" fillId="0" borderId="0" xfId="0" applyNumberFormat="1" applyFont="1">
      <alignment vertical="center"/>
    </xf>
    <xf numFmtId="217" fontId="2" fillId="0" borderId="17" xfId="0" applyNumberFormat="1" applyFont="1" applyBorder="1">
      <alignment vertical="center"/>
    </xf>
    <xf numFmtId="10" fontId="11" fillId="0" borderId="2" xfId="0" applyNumberFormat="1" applyFont="1" applyBorder="1" applyAlignment="1">
      <alignment horizontal="right" vertical="center"/>
    </xf>
    <xf numFmtId="10" fontId="11" fillId="0" borderId="22" xfId="0" applyNumberFormat="1" applyFont="1" applyBorder="1">
      <alignment vertical="center"/>
    </xf>
    <xf numFmtId="0" fontId="15" fillId="0" borderId="800" xfId="0" applyFont="1" applyBorder="1">
      <alignment vertical="center"/>
    </xf>
    <xf numFmtId="0" fontId="2" fillId="0" borderId="22" xfId="0" applyFont="1" applyBorder="1">
      <alignment vertical="center"/>
    </xf>
    <xf numFmtId="217" fontId="2" fillId="0" borderId="2" xfId="0" applyNumberFormat="1" applyFont="1" applyBorder="1">
      <alignment vertical="center"/>
    </xf>
    <xf numFmtId="217" fontId="2" fillId="0" borderId="22" xfId="0" applyNumberFormat="1" applyFont="1" applyBorder="1">
      <alignment vertical="center"/>
    </xf>
    <xf numFmtId="10" fontId="16" fillId="0" borderId="2" xfId="0" applyNumberFormat="1" applyFont="1" applyBorder="1">
      <alignment vertical="center"/>
    </xf>
    <xf numFmtId="236" fontId="16" fillId="0" borderId="0" xfId="0" applyNumberFormat="1" applyFont="1">
      <alignment vertical="center"/>
    </xf>
    <xf numFmtId="176" fontId="13" fillId="6" borderId="2" xfId="0" applyNumberFormat="1" applyFont="1" applyFill="1" applyBorder="1">
      <alignment vertical="center"/>
    </xf>
    <xf numFmtId="176" fontId="13" fillId="6" borderId="22" xfId="0" applyNumberFormat="1" applyFont="1" applyFill="1" applyBorder="1">
      <alignment vertical="center"/>
    </xf>
    <xf numFmtId="176" fontId="13" fillId="6" borderId="21" xfId="0" applyNumberFormat="1" applyFont="1" applyFill="1" applyBorder="1">
      <alignment vertical="center"/>
    </xf>
    <xf numFmtId="0" fontId="4" fillId="6" borderId="1" xfId="0" applyFont="1" applyFill="1" applyBorder="1">
      <alignment vertical="center"/>
    </xf>
    <xf numFmtId="217" fontId="4" fillId="6" borderId="0" xfId="0" applyNumberFormat="1" applyFont="1" applyFill="1" applyAlignment="1">
      <alignment horizontal="right" vertical="center"/>
    </xf>
    <xf numFmtId="217" fontId="4" fillId="6" borderId="0" xfId="0" applyNumberFormat="1" applyFont="1" applyFill="1">
      <alignment vertical="center"/>
    </xf>
    <xf numFmtId="217" fontId="4" fillId="6" borderId="17" xfId="0" applyNumberFormat="1" applyFont="1" applyFill="1" applyBorder="1">
      <alignment vertical="center"/>
    </xf>
    <xf numFmtId="217" fontId="4" fillId="6" borderId="2" xfId="0" applyNumberFormat="1" applyFont="1" applyFill="1" applyBorder="1">
      <alignment vertical="center"/>
    </xf>
    <xf numFmtId="219" fontId="4" fillId="0" borderId="0" xfId="0" applyNumberFormat="1" applyFont="1">
      <alignment vertical="center"/>
    </xf>
    <xf numFmtId="3" fontId="52" fillId="0" borderId="0" xfId="0" applyNumberFormat="1" applyFont="1" applyProtection="1">
      <alignment vertical="center"/>
      <protection locked="0"/>
    </xf>
    <xf numFmtId="3" fontId="52" fillId="0" borderId="2" xfId="0" applyNumberFormat="1" applyFont="1" applyBorder="1" applyProtection="1">
      <alignment vertical="center"/>
      <protection locked="0"/>
    </xf>
    <xf numFmtId="177" fontId="4" fillId="0" borderId="16" xfId="0" applyNumberFormat="1" applyFont="1" applyBorder="1">
      <alignment vertical="center"/>
    </xf>
    <xf numFmtId="176" fontId="12" fillId="0" borderId="2" xfId="0" applyNumberFormat="1" applyFont="1" applyBorder="1">
      <alignment vertical="center"/>
    </xf>
    <xf numFmtId="176" fontId="295" fillId="0" borderId="3" xfId="0" applyNumberFormat="1" applyFont="1" applyBorder="1">
      <alignment vertical="center"/>
    </xf>
    <xf numFmtId="176" fontId="295" fillId="0" borderId="800" xfId="0" applyNumberFormat="1" applyFont="1" applyBorder="1">
      <alignment vertical="center"/>
    </xf>
    <xf numFmtId="176" fontId="295" fillId="0" borderId="831" xfId="0" applyNumberFormat="1" applyFont="1" applyBorder="1">
      <alignment vertical="center"/>
    </xf>
    <xf numFmtId="233" fontId="13" fillId="0" borderId="0" xfId="0" applyNumberFormat="1" applyFont="1" applyAlignment="1">
      <alignment horizontal="right" vertical="center"/>
    </xf>
    <xf numFmtId="233" fontId="13" fillId="0" borderId="17" xfId="0" applyNumberFormat="1" applyFont="1" applyBorder="1">
      <alignment vertical="center"/>
    </xf>
    <xf numFmtId="0" fontId="15" fillId="0" borderId="839" xfId="0" applyFont="1" applyBorder="1">
      <alignment vertical="center"/>
    </xf>
    <xf numFmtId="194" fontId="15" fillId="0" borderId="831" xfId="0" applyNumberFormat="1" applyFont="1" applyBorder="1">
      <alignment vertical="center"/>
    </xf>
    <xf numFmtId="194" fontId="15" fillId="0" borderId="839" xfId="0" applyNumberFormat="1" applyFont="1" applyBorder="1">
      <alignment vertical="center"/>
    </xf>
    <xf numFmtId="194" fontId="13" fillId="0" borderId="250" xfId="0" applyNumberFormat="1" applyFont="1" applyBorder="1">
      <alignment vertical="center"/>
    </xf>
    <xf numFmtId="3" fontId="4" fillId="0" borderId="2" xfId="0" applyNumberFormat="1" applyFont="1" applyBorder="1" applyAlignment="1">
      <alignment horizontal="right" vertical="center"/>
    </xf>
    <xf numFmtId="3" fontId="59" fillId="0" borderId="466" xfId="0" applyNumberFormat="1" applyFont="1" applyBorder="1">
      <alignment vertical="center"/>
    </xf>
    <xf numFmtId="0" fontId="185" fillId="39" borderId="801" xfId="0" applyFont="1" applyFill="1" applyBorder="1" applyProtection="1">
      <alignment vertical="center"/>
      <protection locked="0"/>
    </xf>
    <xf numFmtId="41" fontId="185" fillId="39" borderId="801" xfId="0" applyNumberFormat="1" applyFont="1" applyFill="1" applyBorder="1" applyProtection="1">
      <alignment vertical="center"/>
      <protection locked="0"/>
    </xf>
    <xf numFmtId="4" fontId="185" fillId="40" borderId="801" xfId="0" applyNumberFormat="1" applyFont="1" applyFill="1" applyBorder="1" applyAlignment="1" applyProtection="1">
      <alignment vertical="center" wrapText="1"/>
      <protection locked="0"/>
    </xf>
    <xf numFmtId="3" fontId="185" fillId="41" borderId="4" xfId="0" applyNumberFormat="1" applyFont="1" applyFill="1" applyBorder="1" applyAlignment="1" applyProtection="1">
      <protection locked="0"/>
    </xf>
    <xf numFmtId="3" fontId="185" fillId="41" borderId="5" xfId="0" applyNumberFormat="1" applyFont="1" applyFill="1" applyBorder="1" applyAlignment="1" applyProtection="1">
      <protection locked="0"/>
    </xf>
    <xf numFmtId="219" fontId="185" fillId="40" borderId="801" xfId="0" applyNumberFormat="1" applyFont="1" applyFill="1" applyBorder="1" applyAlignment="1" applyProtection="1">
      <alignment vertical="center" wrapText="1"/>
      <protection locked="0"/>
    </xf>
    <xf numFmtId="41" fontId="185" fillId="39" borderId="42" xfId="0" applyNumberFormat="1" applyFont="1" applyFill="1" applyBorder="1" applyProtection="1">
      <alignment vertical="center"/>
      <protection locked="0"/>
    </xf>
    <xf numFmtId="4" fontId="185" fillId="40" borderId="42" xfId="0" applyNumberFormat="1" applyFont="1" applyFill="1" applyBorder="1" applyAlignment="1" applyProtection="1">
      <alignment vertical="center" wrapText="1"/>
      <protection locked="0"/>
    </xf>
    <xf numFmtId="219" fontId="185" fillId="40" borderId="42" xfId="0" applyNumberFormat="1" applyFont="1" applyFill="1" applyBorder="1" applyProtection="1">
      <alignment vertical="center"/>
      <protection locked="0"/>
    </xf>
    <xf numFmtId="201" fontId="96" fillId="0" borderId="0" xfId="0" applyNumberFormat="1" applyFont="1" applyProtection="1">
      <alignment vertical="center"/>
      <protection locked="0"/>
    </xf>
    <xf numFmtId="41" fontId="148" fillId="44" borderId="840" xfId="0" applyNumberFormat="1" applyFont="1" applyFill="1" applyBorder="1" applyAlignment="1" applyProtection="1">
      <alignment horizontal="center" vertical="center"/>
      <protection locked="0"/>
    </xf>
    <xf numFmtId="201" fontId="148" fillId="44" borderId="838" xfId="0" applyNumberFormat="1" applyFont="1" applyFill="1" applyBorder="1" applyProtection="1">
      <alignment vertical="center"/>
      <protection locked="0"/>
    </xf>
    <xf numFmtId="3" fontId="148" fillId="44" borderId="838" xfId="0" applyNumberFormat="1" applyFont="1" applyFill="1" applyBorder="1" applyProtection="1">
      <alignment vertical="center"/>
      <protection locked="0"/>
    </xf>
    <xf numFmtId="201" fontId="148" fillId="44" borderId="841" xfId="0" applyNumberFormat="1" applyFont="1" applyFill="1" applyBorder="1" applyProtection="1">
      <alignment vertical="center"/>
      <protection locked="0"/>
    </xf>
    <xf numFmtId="41" fontId="148" fillId="44" borderId="254" xfId="0" applyNumberFormat="1" applyFont="1" applyFill="1" applyBorder="1" applyAlignment="1" applyProtection="1">
      <alignment horizontal="center" vertical="center"/>
      <protection locked="0"/>
    </xf>
    <xf numFmtId="201" fontId="148" fillId="44" borderId="255" xfId="0" applyNumberFormat="1" applyFont="1" applyFill="1" applyBorder="1" applyProtection="1">
      <alignment vertical="center"/>
      <protection locked="0"/>
    </xf>
    <xf numFmtId="3" fontId="148" fillId="44" borderId="255" xfId="0" applyNumberFormat="1" applyFont="1" applyFill="1" applyBorder="1" applyProtection="1">
      <alignment vertical="center"/>
      <protection locked="0"/>
    </xf>
    <xf numFmtId="201" fontId="148" fillId="44" borderId="256" xfId="0" applyNumberFormat="1" applyFont="1" applyFill="1" applyBorder="1" applyProtection="1">
      <alignment vertical="center"/>
      <protection locked="0"/>
    </xf>
    <xf numFmtId="9" fontId="4" fillId="0" borderId="16" xfId="0" applyNumberFormat="1" applyFont="1" applyBorder="1">
      <alignment vertical="center"/>
    </xf>
    <xf numFmtId="194" fontId="11" fillId="0" borderId="16" xfId="0" applyNumberFormat="1" applyFont="1" applyBorder="1">
      <alignment vertical="center"/>
    </xf>
    <xf numFmtId="194" fontId="11" fillId="0" borderId="0" xfId="0" applyNumberFormat="1" applyFont="1">
      <alignment vertical="center"/>
    </xf>
    <xf numFmtId="194" fontId="11" fillId="0" borderId="17" xfId="0" applyNumberFormat="1" applyFont="1" applyBorder="1">
      <alignment vertical="center"/>
    </xf>
    <xf numFmtId="178" fontId="4" fillId="0" borderId="21" xfId="0" applyNumberFormat="1" applyFont="1" applyBorder="1">
      <alignment vertical="center"/>
    </xf>
    <xf numFmtId="0" fontId="296" fillId="3" borderId="2" xfId="0" applyFont="1" applyFill="1" applyBorder="1" applyAlignment="1">
      <alignment horizontal="right" vertical="center"/>
    </xf>
    <xf numFmtId="194" fontId="296" fillId="0" borderId="0" xfId="0" applyNumberFormat="1" applyFont="1">
      <alignment vertical="center"/>
    </xf>
    <xf numFmtId="179" fontId="15" fillId="0" borderId="799" xfId="0" applyNumberFormat="1" applyFont="1" applyBorder="1">
      <alignment vertical="center"/>
    </xf>
    <xf numFmtId="179" fontId="15" fillId="0" borderId="831" xfId="0" applyNumberFormat="1" applyFont="1" applyBorder="1">
      <alignment vertical="center"/>
    </xf>
    <xf numFmtId="179" fontId="15" fillId="0" borderId="800" xfId="0" applyNumberFormat="1" applyFont="1" applyBorder="1">
      <alignment vertical="center"/>
    </xf>
    <xf numFmtId="194" fontId="297" fillId="0" borderId="0" xfId="0" applyNumberFormat="1" applyFont="1">
      <alignment vertical="center"/>
    </xf>
    <xf numFmtId="194" fontId="297" fillId="0" borderId="2" xfId="0" applyNumberFormat="1" applyFont="1" applyBorder="1">
      <alignment vertical="center"/>
    </xf>
    <xf numFmtId="179" fontId="4" fillId="0" borderId="21" xfId="0" applyNumberFormat="1" applyFont="1" applyBorder="1">
      <alignment vertical="center"/>
    </xf>
    <xf numFmtId="179" fontId="4" fillId="0" borderId="22" xfId="0" applyNumberFormat="1" applyFont="1" applyBorder="1">
      <alignment vertical="center"/>
    </xf>
    <xf numFmtId="9" fontId="4" fillId="0" borderId="16" xfId="0" applyNumberFormat="1" applyFont="1" applyBorder="1" applyAlignment="1">
      <alignment horizontal="right" vertical="center"/>
    </xf>
    <xf numFmtId="9" fontId="4" fillId="0" borderId="0" xfId="0" applyNumberFormat="1" applyFont="1" applyAlignment="1">
      <alignment horizontal="right" vertical="center"/>
    </xf>
    <xf numFmtId="194" fontId="4" fillId="0" borderId="16" xfId="0" applyNumberFormat="1" applyFont="1" applyBorder="1" applyAlignment="1">
      <alignment horizontal="right" vertical="center"/>
    </xf>
    <xf numFmtId="194" fontId="4" fillId="0" borderId="0" xfId="0" applyNumberFormat="1" applyFont="1" applyAlignment="1">
      <alignment horizontal="right" vertical="center"/>
    </xf>
    <xf numFmtId="237" fontId="4" fillId="0" borderId="0" xfId="0" applyNumberFormat="1" applyFont="1">
      <alignment vertical="center"/>
    </xf>
    <xf numFmtId="43" fontId="0" fillId="0" borderId="0" xfId="0" applyNumberFormat="1">
      <alignment vertical="center"/>
    </xf>
    <xf numFmtId="178" fontId="25" fillId="0" borderId="21" xfId="0" applyNumberFormat="1" applyFont="1" applyBorder="1">
      <alignment vertical="center"/>
    </xf>
    <xf numFmtId="178" fontId="25" fillId="0" borderId="22" xfId="0" applyNumberFormat="1" applyFont="1" applyBorder="1">
      <alignment vertical="center"/>
    </xf>
    <xf numFmtId="3" fontId="4" fillId="0" borderId="0" xfId="0" applyNumberFormat="1" applyFont="1" applyAlignment="1">
      <alignment horizontal="right" vertical="center"/>
    </xf>
    <xf numFmtId="176" fontId="295" fillId="0" borderId="16" xfId="0" applyNumberFormat="1" applyFont="1" applyBorder="1">
      <alignment vertical="center"/>
    </xf>
    <xf numFmtId="178" fontId="25" fillId="0" borderId="0" xfId="0" applyNumberFormat="1" applyFont="1">
      <alignment vertical="center"/>
    </xf>
    <xf numFmtId="176" fontId="295" fillId="0" borderId="799" xfId="0" applyNumberFormat="1" applyFont="1" applyBorder="1">
      <alignment vertical="center"/>
    </xf>
    <xf numFmtId="9" fontId="26" fillId="0" borderId="1" xfId="0" applyNumberFormat="1" applyFont="1" applyBorder="1">
      <alignment vertical="center"/>
    </xf>
    <xf numFmtId="9" fontId="11" fillId="0" borderId="1" xfId="0" applyNumberFormat="1" applyFont="1" applyBorder="1">
      <alignment vertical="center"/>
    </xf>
    <xf numFmtId="0" fontId="14" fillId="0" borderId="43" xfId="0" applyFont="1" applyBorder="1" applyAlignment="1">
      <alignment horizontal="center" vertical="center"/>
    </xf>
    <xf numFmtId="176" fontId="19" fillId="0" borderId="0" xfId="0" applyNumberFormat="1" applyFont="1">
      <alignment vertical="center"/>
    </xf>
    <xf numFmtId="0" fontId="14" fillId="0" borderId="466" xfId="0" applyFont="1" applyBorder="1" applyAlignment="1">
      <alignment horizontal="center" vertical="center"/>
    </xf>
    <xf numFmtId="0" fontId="3" fillId="2" borderId="0" xfId="0" applyFont="1" applyFill="1" applyAlignment="1">
      <alignment horizontal="center" vertical="center"/>
    </xf>
    <xf numFmtId="3" fontId="3" fillId="2" borderId="0" xfId="0" applyNumberFormat="1" applyFont="1" applyFill="1" applyAlignment="1">
      <alignment horizontal="center" vertical="center"/>
    </xf>
    <xf numFmtId="0" fontId="3" fillId="2" borderId="0" xfId="0" applyFont="1" applyFill="1" applyAlignment="1">
      <alignment vertical="center" wrapText="1"/>
    </xf>
    <xf numFmtId="0" fontId="4" fillId="0" borderId="0" xfId="0" applyFont="1" applyAlignment="1">
      <alignment vertical="center" wrapText="1"/>
    </xf>
    <xf numFmtId="0" fontId="15" fillId="5" borderId="0" xfId="0" applyFont="1" applyFill="1" applyAlignment="1">
      <alignment vertical="center" wrapText="1"/>
    </xf>
    <xf numFmtId="0" fontId="15" fillId="5" borderId="0" xfId="0" applyFont="1" applyFill="1" applyAlignment="1">
      <alignment horizontal="center" vertical="center"/>
    </xf>
    <xf numFmtId="3" fontId="4" fillId="0" borderId="831" xfId="0" applyNumberFormat="1" applyFont="1" applyBorder="1">
      <alignment vertical="center"/>
    </xf>
    <xf numFmtId="0" fontId="3" fillId="2" borderId="458" xfId="0" applyFont="1" applyFill="1" applyBorder="1">
      <alignment vertical="center"/>
    </xf>
    <xf numFmtId="0" fontId="3" fillId="2" borderId="459" xfId="0" applyFont="1" applyFill="1" applyBorder="1">
      <alignment vertical="center"/>
    </xf>
    <xf numFmtId="0" fontId="3" fillId="2" borderId="460" xfId="0" applyFont="1" applyFill="1" applyBorder="1">
      <alignment vertical="center"/>
    </xf>
    <xf numFmtId="0" fontId="15" fillId="0" borderId="47" xfId="0" applyFont="1" applyBorder="1">
      <alignment vertical="center"/>
    </xf>
    <xf numFmtId="0" fontId="15" fillId="0" borderId="48" xfId="0" applyFont="1" applyBorder="1" applyAlignment="1">
      <alignment horizontal="right" vertical="center"/>
    </xf>
    <xf numFmtId="0" fontId="15" fillId="0" borderId="49" xfId="0" applyFont="1" applyBorder="1" applyAlignment="1">
      <alignment horizontal="right" vertical="center"/>
    </xf>
    <xf numFmtId="0" fontId="15" fillId="0" borderId="454" xfId="0" applyFont="1" applyBorder="1">
      <alignment vertical="center"/>
    </xf>
    <xf numFmtId="0" fontId="15" fillId="0" borderId="51" xfId="0" applyFont="1" applyBorder="1" applyAlignment="1">
      <alignment horizontal="right" vertical="center"/>
    </xf>
    <xf numFmtId="0" fontId="15" fillId="0" borderId="52" xfId="0" applyFont="1" applyBorder="1" applyAlignment="1">
      <alignment horizontal="right" vertical="center"/>
    </xf>
    <xf numFmtId="0" fontId="4" fillId="0" borderId="47" xfId="0" applyFont="1" applyBorder="1">
      <alignment vertical="center"/>
    </xf>
    <xf numFmtId="176" fontId="4" fillId="0" borderId="48" xfId="0" applyNumberFormat="1" applyFont="1" applyBorder="1">
      <alignment vertical="center"/>
    </xf>
    <xf numFmtId="176" fontId="4" fillId="0" borderId="49" xfId="0" applyNumberFormat="1" applyFont="1" applyBorder="1">
      <alignment vertical="center"/>
    </xf>
    <xf numFmtId="0" fontId="4" fillId="0" borderId="454" xfId="0" applyFont="1" applyBorder="1">
      <alignment vertical="center"/>
    </xf>
    <xf numFmtId="176" fontId="4" fillId="0" borderId="51" xfId="0" applyNumberFormat="1" applyFont="1" applyBorder="1">
      <alignment vertical="center"/>
    </xf>
    <xf numFmtId="176" fontId="4" fillId="0" borderId="52" xfId="0" applyNumberFormat="1" applyFont="1" applyBorder="1">
      <alignment vertical="center"/>
    </xf>
    <xf numFmtId="0" fontId="15" fillId="0" borderId="796" xfId="0" applyFont="1" applyBorder="1">
      <alignment vertical="center"/>
    </xf>
    <xf numFmtId="176" fontId="15" fillId="0" borderId="797" xfId="0" applyNumberFormat="1" applyFont="1" applyBorder="1">
      <alignment vertical="center"/>
    </xf>
    <xf numFmtId="176" fontId="15" fillId="0" borderId="798" xfId="0" applyNumberFormat="1" applyFont="1" applyBorder="1">
      <alignment vertical="center"/>
    </xf>
    <xf numFmtId="0" fontId="298" fillId="87" borderId="844" xfId="0" applyFont="1" applyFill="1" applyBorder="1">
      <alignment vertical="center"/>
    </xf>
    <xf numFmtId="0" fontId="298" fillId="87" borderId="412" xfId="0" applyFont="1" applyFill="1" applyBorder="1" applyAlignment="1">
      <alignment horizontal="center" vertical="center"/>
    </xf>
    <xf numFmtId="0" fontId="298" fillId="87" borderId="844" xfId="0" applyFont="1" applyFill="1" applyBorder="1" applyAlignment="1">
      <alignment horizontal="center" vertical="center"/>
    </xf>
    <xf numFmtId="0" fontId="4" fillId="0" borderId="412" xfId="0" applyFont="1" applyBorder="1" applyAlignment="1">
      <alignment horizontal="center" vertical="center"/>
    </xf>
    <xf numFmtId="0" fontId="4" fillId="0" borderId="845" xfId="0" applyFont="1" applyBorder="1" applyAlignment="1">
      <alignment horizontal="center" vertical="center"/>
    </xf>
    <xf numFmtId="0" fontId="298" fillId="87" borderId="846" xfId="0" applyFont="1" applyFill="1" applyBorder="1" applyAlignment="1">
      <alignment horizontal="center" vertical="center"/>
    </xf>
    <xf numFmtId="0" fontId="4" fillId="0" borderId="847" xfId="0" applyFont="1" applyBorder="1" applyAlignment="1">
      <alignment horizontal="center" vertical="center"/>
    </xf>
    <xf numFmtId="0" fontId="4" fillId="0" borderId="848" xfId="0" applyFont="1" applyBorder="1" applyAlignment="1">
      <alignment horizontal="center" vertical="center"/>
    </xf>
    <xf numFmtId="0" fontId="4" fillId="43" borderId="412" xfId="0" applyFont="1" applyFill="1" applyBorder="1" applyAlignment="1">
      <alignment horizontal="center" vertical="center"/>
    </xf>
    <xf numFmtId="3" fontId="4" fillId="43" borderId="0" xfId="0" applyNumberFormat="1" applyFont="1" applyFill="1">
      <alignment vertical="center"/>
    </xf>
    <xf numFmtId="0" fontId="15" fillId="0" borderId="44" xfId="0" applyFont="1" applyBorder="1" applyAlignment="1">
      <alignment horizontal="center" vertical="center" wrapText="1"/>
    </xf>
    <xf numFmtId="9" fontId="13" fillId="0" borderId="16" xfId="0" applyNumberFormat="1" applyFont="1" applyBorder="1">
      <alignment vertical="center"/>
    </xf>
    <xf numFmtId="9" fontId="13" fillId="0" borderId="0" xfId="0" applyNumberFormat="1" applyFont="1">
      <alignment vertical="center"/>
    </xf>
    <xf numFmtId="10" fontId="25" fillId="6" borderId="8" xfId="0" applyNumberFormat="1" applyFont="1" applyFill="1" applyBorder="1">
      <alignment vertical="center"/>
    </xf>
    <xf numFmtId="10" fontId="25" fillId="6" borderId="3" xfId="0" applyNumberFormat="1" applyFont="1" applyFill="1" applyBorder="1">
      <alignment vertical="center"/>
    </xf>
    <xf numFmtId="10" fontId="25" fillId="6" borderId="9" xfId="0" applyNumberFormat="1" applyFont="1" applyFill="1" applyBorder="1">
      <alignment vertical="center"/>
    </xf>
    <xf numFmtId="10" fontId="11" fillId="6" borderId="0" xfId="0" applyNumberFormat="1" applyFont="1" applyFill="1">
      <alignment vertical="center"/>
    </xf>
    <xf numFmtId="178" fontId="26" fillId="6" borderId="21" xfId="0" applyNumberFormat="1" applyFont="1" applyFill="1" applyBorder="1">
      <alignment vertical="center"/>
    </xf>
    <xf numFmtId="178" fontId="26" fillId="6" borderId="2" xfId="0" applyNumberFormat="1" applyFont="1" applyFill="1" applyBorder="1">
      <alignment vertical="center"/>
    </xf>
    <xf numFmtId="178" fontId="26" fillId="6" borderId="22" xfId="0" applyNumberFormat="1" applyFont="1" applyFill="1" applyBorder="1">
      <alignment vertical="center"/>
    </xf>
    <xf numFmtId="178" fontId="29" fillId="6" borderId="2" xfId="0" applyNumberFormat="1" applyFont="1" applyFill="1" applyBorder="1">
      <alignment vertical="center"/>
    </xf>
    <xf numFmtId="179" fontId="16" fillId="0" borderId="2" xfId="0" applyNumberFormat="1" applyFont="1" applyBorder="1">
      <alignment vertical="center"/>
    </xf>
    <xf numFmtId="179" fontId="36" fillId="0" borderId="0" xfId="0" applyNumberFormat="1" applyFont="1">
      <alignment vertical="center"/>
    </xf>
    <xf numFmtId="178" fontId="29" fillId="0" borderId="21" xfId="0" applyNumberFormat="1" applyFont="1" applyBorder="1">
      <alignment vertical="center"/>
    </xf>
    <xf numFmtId="3" fontId="14" fillId="0" borderId="0" xfId="0" applyNumberFormat="1" applyFont="1">
      <alignment vertical="center"/>
    </xf>
    <xf numFmtId="0" fontId="4" fillId="0" borderId="831" xfId="0" applyFont="1" applyBorder="1" applyAlignment="1">
      <alignment vertical="center" wrapText="1"/>
    </xf>
    <xf numFmtId="0" fontId="4" fillId="0" borderId="370" xfId="0" applyFont="1" applyBorder="1" applyAlignment="1">
      <alignment horizontal="center" vertical="center"/>
    </xf>
    <xf numFmtId="0" fontId="4" fillId="0" borderId="370" xfId="0" applyFont="1" applyBorder="1" applyAlignment="1">
      <alignment vertical="center" wrapText="1"/>
    </xf>
    <xf numFmtId="0" fontId="79" fillId="0" borderId="836" xfId="0" applyFont="1" applyBorder="1" applyAlignment="1">
      <alignment vertical="center" wrapText="1"/>
    </xf>
    <xf numFmtId="0" fontId="79" fillId="0" borderId="412" xfId="0" applyFont="1" applyBorder="1" applyAlignment="1">
      <alignment vertical="center" wrapText="1"/>
    </xf>
    <xf numFmtId="0" fontId="79" fillId="0" borderId="852" xfId="0" applyFont="1" applyBorder="1" applyAlignment="1">
      <alignment vertical="center" wrapText="1"/>
    </xf>
    <xf numFmtId="176" fontId="4" fillId="0" borderId="8" xfId="0" applyNumberFormat="1" applyFont="1" applyBorder="1">
      <alignment vertical="center"/>
    </xf>
    <xf numFmtId="176" fontId="4" fillId="0" borderId="9" xfId="0" applyNumberFormat="1" applyFont="1" applyBorder="1">
      <alignment vertical="center"/>
    </xf>
    <xf numFmtId="176" fontId="10" fillId="0" borderId="0" xfId="0" applyNumberFormat="1" applyFont="1" applyAlignment="1" applyProtection="1">
      <alignment horizontal="right" vertical="center"/>
      <protection locked="0"/>
    </xf>
    <xf numFmtId="238" fontId="2" fillId="0" borderId="0" xfId="0" applyNumberFormat="1" applyFont="1" applyProtection="1">
      <alignment vertical="center"/>
      <protection locked="0"/>
    </xf>
    <xf numFmtId="200" fontId="2" fillId="0" borderId="0" xfId="0" applyNumberFormat="1" applyFont="1" applyProtection="1">
      <alignment vertical="center"/>
      <protection locked="0"/>
    </xf>
    <xf numFmtId="239" fontId="2" fillId="0" borderId="0" xfId="0" applyNumberFormat="1" applyFont="1" applyProtection="1">
      <alignment vertical="center"/>
      <protection locked="0"/>
    </xf>
    <xf numFmtId="200" fontId="2" fillId="88" borderId="0" xfId="0" applyNumberFormat="1" applyFont="1" applyFill="1" applyProtection="1">
      <alignment vertical="center"/>
      <protection locked="0"/>
    </xf>
    <xf numFmtId="238" fontId="4" fillId="0" borderId="0" xfId="0" applyNumberFormat="1" applyFont="1">
      <alignment vertical="center"/>
    </xf>
    <xf numFmtId="0" fontId="19" fillId="0" borderId="0" xfId="0" applyFont="1" applyProtection="1">
      <alignment vertical="center"/>
      <protection locked="0"/>
    </xf>
    <xf numFmtId="0" fontId="15" fillId="0" borderId="0" xfId="0" applyFont="1" applyAlignment="1" applyProtection="1">
      <alignment horizontal="right" vertical="center"/>
      <protection locked="0"/>
    </xf>
    <xf numFmtId="0" fontId="299" fillId="0" borderId="0" xfId="0" applyFont="1" applyProtection="1">
      <alignment vertical="center"/>
      <protection locked="0"/>
    </xf>
    <xf numFmtId="176" fontId="300" fillId="0" borderId="0" xfId="0" applyNumberFormat="1" applyFont="1" applyAlignment="1" applyProtection="1">
      <alignment horizontal="right" vertical="center"/>
      <protection locked="0"/>
    </xf>
    <xf numFmtId="238" fontId="299" fillId="0" borderId="0" xfId="0" applyNumberFormat="1" applyFont="1" applyProtection="1">
      <alignment vertical="center"/>
      <protection locked="0"/>
    </xf>
    <xf numFmtId="0" fontId="299" fillId="88" borderId="0" xfId="0" applyFont="1" applyFill="1" applyProtection="1">
      <alignment vertical="center"/>
      <protection locked="0"/>
    </xf>
    <xf numFmtId="238" fontId="299" fillId="88" borderId="0" xfId="0" applyNumberFormat="1" applyFont="1" applyFill="1" applyProtection="1">
      <alignment vertical="center"/>
      <protection locked="0"/>
    </xf>
    <xf numFmtId="240" fontId="0" fillId="0" borderId="0" xfId="0" applyNumberFormat="1" applyProtection="1">
      <alignment vertical="center"/>
      <protection locked="0"/>
    </xf>
    <xf numFmtId="238" fontId="0" fillId="0" borderId="0" xfId="0" applyNumberFormat="1" applyProtection="1">
      <alignment vertical="center"/>
      <protection locked="0"/>
    </xf>
    <xf numFmtId="200" fontId="0" fillId="88" borderId="0" xfId="0" applyNumberFormat="1" applyFill="1" applyProtection="1">
      <alignment vertical="center"/>
      <protection locked="0"/>
    </xf>
    <xf numFmtId="0" fontId="299" fillId="88" borderId="0" xfId="0" applyFont="1" applyFill="1" applyAlignment="1" applyProtection="1">
      <alignment horizontal="center" vertical="center"/>
      <protection locked="0"/>
    </xf>
    <xf numFmtId="239" fontId="0" fillId="88" borderId="0" xfId="0" applyNumberFormat="1" applyFill="1" applyProtection="1">
      <alignment vertical="center"/>
      <protection locked="0"/>
    </xf>
    <xf numFmtId="0" fontId="4" fillId="0" borderId="2" xfId="0" applyFont="1" applyBorder="1" applyAlignment="1">
      <alignment vertical="center" wrapText="1"/>
    </xf>
    <xf numFmtId="238" fontId="300" fillId="0" borderId="0" xfId="0" applyNumberFormat="1" applyFont="1" applyAlignment="1" applyProtection="1">
      <alignment horizontal="right" vertical="center"/>
      <protection locked="0"/>
    </xf>
    <xf numFmtId="0" fontId="0" fillId="43" borderId="0" xfId="0" applyFill="1" applyProtection="1">
      <alignment vertical="center"/>
      <protection locked="0"/>
    </xf>
    <xf numFmtId="238" fontId="0" fillId="43" borderId="0" xfId="0" applyNumberFormat="1" applyFill="1" applyProtection="1">
      <alignment vertical="center"/>
      <protection locked="0"/>
    </xf>
    <xf numFmtId="189" fontId="16" fillId="0" borderId="16" xfId="0" applyNumberFormat="1" applyFont="1" applyBorder="1">
      <alignment vertical="center"/>
    </xf>
    <xf numFmtId="0" fontId="4" fillId="0" borderId="0" xfId="0" applyFont="1" applyAlignment="1">
      <alignment horizontal="left" vertical="center" indent="2"/>
    </xf>
    <xf numFmtId="0" fontId="28" fillId="0" borderId="853" xfId="0" applyFont="1" applyBorder="1">
      <alignment vertical="center"/>
    </xf>
    <xf numFmtId="221" fontId="13" fillId="0" borderId="16" xfId="0" applyNumberFormat="1" applyFont="1" applyBorder="1">
      <alignment vertical="center"/>
    </xf>
    <xf numFmtId="221" fontId="13" fillId="0" borderId="0" xfId="0" applyNumberFormat="1" applyFont="1">
      <alignment vertical="center"/>
    </xf>
    <xf numFmtId="221" fontId="13" fillId="0" borderId="17" xfId="0" applyNumberFormat="1" applyFont="1" applyBorder="1">
      <alignment vertical="center"/>
    </xf>
    <xf numFmtId="221" fontId="16" fillId="0" borderId="0" xfId="0" applyNumberFormat="1" applyFont="1">
      <alignment vertical="center"/>
    </xf>
    <xf numFmtId="210" fontId="4" fillId="0" borderId="0" xfId="0" applyNumberFormat="1" applyFont="1">
      <alignment vertical="center"/>
    </xf>
    <xf numFmtId="176" fontId="4" fillId="0" borderId="0" xfId="0" applyNumberFormat="1" applyFont="1" applyAlignment="1">
      <alignment horizontal="center" vertical="center"/>
    </xf>
    <xf numFmtId="0" fontId="0" fillId="0" borderId="0" xfId="0" applyAlignment="1">
      <alignment horizontal="left" vertical="top"/>
    </xf>
    <xf numFmtId="0" fontId="306" fillId="91" borderId="0" xfId="0" applyFont="1" applyFill="1" applyAlignment="1">
      <alignment horizontal="left" vertical="top" wrapText="1" indent="1"/>
    </xf>
    <xf numFmtId="0" fontId="306" fillId="91" borderId="0" xfId="0" applyFont="1" applyFill="1" applyAlignment="1">
      <alignment horizontal="left" vertical="top" wrapText="1"/>
    </xf>
    <xf numFmtId="210" fontId="307" fillId="91" borderId="0" xfId="0" applyNumberFormat="1" applyFont="1" applyFill="1" applyAlignment="1">
      <alignment horizontal="right" vertical="top" indent="1" shrinkToFit="1"/>
    </xf>
    <xf numFmtId="0" fontId="306" fillId="0" borderId="0" xfId="0" applyFont="1" applyAlignment="1">
      <alignment horizontal="left" vertical="top" wrapText="1" indent="1"/>
    </xf>
    <xf numFmtId="0" fontId="306" fillId="0" borderId="0" xfId="0" applyFont="1" applyAlignment="1">
      <alignment horizontal="left" vertical="top" wrapText="1"/>
    </xf>
    <xf numFmtId="210" fontId="307" fillId="0" borderId="0" xfId="0" applyNumberFormat="1" applyFont="1" applyAlignment="1">
      <alignment horizontal="right" vertical="top" indent="1" shrinkToFit="1"/>
    </xf>
    <xf numFmtId="14" fontId="4" fillId="0" borderId="0" xfId="0" applyNumberFormat="1" applyFont="1">
      <alignment vertical="center"/>
    </xf>
    <xf numFmtId="185" fontId="4" fillId="0" borderId="0" xfId="0" applyNumberFormat="1" applyFont="1">
      <alignment vertical="center"/>
    </xf>
    <xf numFmtId="189" fontId="13" fillId="0" borderId="21" xfId="0" applyNumberFormat="1" applyFont="1" applyBorder="1">
      <alignment vertical="center"/>
    </xf>
    <xf numFmtId="189" fontId="13" fillId="0" borderId="2" xfId="0" applyNumberFormat="1" applyFont="1" applyBorder="1">
      <alignment vertical="center"/>
    </xf>
    <xf numFmtId="189" fontId="13" fillId="0" borderId="22" xfId="0" applyNumberFormat="1" applyFont="1" applyBorder="1">
      <alignment vertical="center"/>
    </xf>
    <xf numFmtId="189" fontId="16" fillId="0" borderId="2" xfId="0" applyNumberFormat="1" applyFont="1" applyBorder="1">
      <alignment vertical="center"/>
    </xf>
    <xf numFmtId="0" fontId="268" fillId="0" borderId="0" xfId="0" applyFont="1">
      <alignment vertical="center"/>
    </xf>
    <xf numFmtId="3" fontId="3" fillId="0" borderId="17" xfId="0" applyNumberFormat="1" applyFont="1" applyBorder="1">
      <alignment vertical="center"/>
    </xf>
    <xf numFmtId="0" fontId="308" fillId="0" borderId="10" xfId="0" applyFont="1" applyBorder="1">
      <alignment vertical="center"/>
    </xf>
    <xf numFmtId="182" fontId="4" fillId="0" borderId="0" xfId="0" applyNumberFormat="1" applyFont="1">
      <alignment vertical="center"/>
    </xf>
    <xf numFmtId="188" fontId="2" fillId="0" borderId="3" xfId="0" applyNumberFormat="1" applyFont="1" applyBorder="1">
      <alignment vertical="center"/>
    </xf>
    <xf numFmtId="188" fontId="2" fillId="0" borderId="3" xfId="0" applyNumberFormat="1" applyFont="1" applyBorder="1" applyAlignment="1">
      <alignment horizontal="right" vertical="center"/>
    </xf>
    <xf numFmtId="3" fontId="76" fillId="0" borderId="831" xfId="0" applyNumberFormat="1" applyFont="1" applyBorder="1" applyAlignment="1">
      <alignment horizontal="center" vertical="center" wrapText="1"/>
    </xf>
    <xf numFmtId="176" fontId="13" fillId="6" borderId="16" xfId="0" applyNumberFormat="1" applyFont="1" applyFill="1" applyBorder="1" applyAlignment="1">
      <alignment horizontal="right" vertical="center"/>
    </xf>
    <xf numFmtId="9" fontId="25" fillId="6" borderId="16" xfId="0" applyNumberFormat="1" applyFont="1" applyFill="1" applyBorder="1" applyAlignment="1">
      <alignment horizontal="right" vertical="center"/>
    </xf>
    <xf numFmtId="0" fontId="4" fillId="0" borderId="858" xfId="0" applyFont="1" applyBorder="1" applyAlignment="1">
      <alignment horizontal="center" vertical="center" wrapText="1"/>
    </xf>
    <xf numFmtId="0" fontId="4" fillId="0" borderId="858" xfId="0" applyFont="1" applyBorder="1" applyAlignment="1">
      <alignment vertical="center" wrapText="1"/>
    </xf>
    <xf numFmtId="0" fontId="4" fillId="0" borderId="858" xfId="0" applyFont="1" applyBorder="1" applyAlignment="1">
      <alignment horizontal="center" vertical="center"/>
    </xf>
    <xf numFmtId="0" fontId="4" fillId="0" borderId="859" xfId="0" applyFont="1" applyBorder="1" applyAlignment="1">
      <alignment vertical="center" wrapText="1"/>
    </xf>
    <xf numFmtId="0" fontId="4" fillId="0" borderId="412" xfId="0" applyFont="1" applyBorder="1" applyAlignment="1">
      <alignment horizontal="center" vertical="center" wrapText="1"/>
    </xf>
    <xf numFmtId="0" fontId="4" fillId="0" borderId="412" xfId="0" applyFont="1" applyBorder="1" applyAlignment="1">
      <alignment vertical="center" wrapText="1"/>
    </xf>
    <xf numFmtId="0" fontId="4" fillId="0" borderId="860" xfId="0" applyFont="1" applyBorder="1">
      <alignment vertical="center"/>
    </xf>
    <xf numFmtId="0" fontId="4" fillId="0" borderId="861" xfId="0" applyFont="1" applyBorder="1" applyAlignment="1">
      <alignment horizontal="center" vertical="center" wrapText="1"/>
    </xf>
    <xf numFmtId="0" fontId="4" fillId="0" borderId="861" xfId="0" applyFont="1" applyBorder="1" applyAlignment="1">
      <alignment vertical="center" wrapText="1"/>
    </xf>
    <xf numFmtId="0" fontId="4" fillId="0" borderId="861" xfId="0" applyFont="1" applyBorder="1" applyAlignment="1">
      <alignment horizontal="center" vertical="center"/>
    </xf>
    <xf numFmtId="0" fontId="4" fillId="0" borderId="862" xfId="0" applyFont="1" applyBorder="1">
      <alignment vertical="center"/>
    </xf>
    <xf numFmtId="0" fontId="5" fillId="13" borderId="1" xfId="0" applyFont="1" applyFill="1" applyBorder="1" applyAlignment="1">
      <alignment horizontal="center" vertical="center"/>
    </xf>
    <xf numFmtId="176" fontId="14" fillId="4" borderId="0" xfId="0" applyNumberFormat="1" applyFont="1" applyFill="1" applyAlignment="1">
      <alignment horizontal="center" vertical="center"/>
    </xf>
    <xf numFmtId="178" fontId="14" fillId="4" borderId="2" xfId="0" applyNumberFormat="1" applyFont="1" applyFill="1" applyBorder="1" applyAlignment="1">
      <alignment horizontal="center" vertical="center"/>
    </xf>
    <xf numFmtId="178" fontId="163" fillId="4" borderId="2" xfId="0" applyNumberFormat="1" applyFont="1" applyFill="1" applyBorder="1" applyAlignment="1">
      <alignment horizontal="center" vertical="center"/>
    </xf>
    <xf numFmtId="178" fontId="163" fillId="4" borderId="0" xfId="0" applyNumberFormat="1" applyFont="1" applyFill="1" applyAlignment="1">
      <alignment horizontal="center" vertical="center"/>
    </xf>
    <xf numFmtId="220" fontId="14" fillId="4" borderId="2" xfId="0" applyNumberFormat="1" applyFont="1" applyFill="1" applyBorder="1" applyAlignment="1">
      <alignment horizontal="center" vertical="center"/>
    </xf>
    <xf numFmtId="9" fontId="163" fillId="4" borderId="0" xfId="0" applyNumberFormat="1" applyFont="1" applyFill="1" applyAlignment="1">
      <alignment horizontal="center" vertical="center"/>
    </xf>
    <xf numFmtId="176" fontId="14" fillId="4" borderId="2" xfId="0" applyNumberFormat="1" applyFont="1" applyFill="1" applyBorder="1" applyAlignment="1">
      <alignment horizontal="center" vertical="center"/>
    </xf>
    <xf numFmtId="0" fontId="2" fillId="0" borderId="2" xfId="0" applyFont="1" applyBorder="1" applyAlignment="1">
      <alignment horizontal="left" vertical="center" indent="2"/>
    </xf>
    <xf numFmtId="241" fontId="2" fillId="0" borderId="0" xfId="0" applyNumberFormat="1" applyFont="1">
      <alignment vertical="center"/>
    </xf>
    <xf numFmtId="178" fontId="2" fillId="0" borderId="2" xfId="0" applyNumberFormat="1" applyFont="1" applyBorder="1" applyAlignment="1">
      <alignment horizontal="center" vertical="center"/>
    </xf>
    <xf numFmtId="242" fontId="5" fillId="13" borderId="1" xfId="0" applyNumberFormat="1" applyFont="1" applyFill="1" applyBorder="1" applyAlignment="1">
      <alignment horizontal="center" vertical="center"/>
    </xf>
    <xf numFmtId="220" fontId="2" fillId="0" borderId="0" xfId="0" applyNumberFormat="1" applyFont="1">
      <alignment vertical="center"/>
    </xf>
    <xf numFmtId="0" fontId="5" fillId="14" borderId="1" xfId="0" applyFont="1" applyFill="1" applyBorder="1" applyAlignment="1">
      <alignment horizontal="center" vertical="center"/>
    </xf>
    <xf numFmtId="0" fontId="5" fillId="15" borderId="1" xfId="0" applyFont="1" applyFill="1" applyBorder="1" applyAlignment="1">
      <alignment horizontal="center" vertical="center"/>
    </xf>
    <xf numFmtId="0" fontId="17" fillId="0" borderId="0" xfId="0" applyFont="1">
      <alignment vertical="center"/>
    </xf>
    <xf numFmtId="176" fontId="2" fillId="0" borderId="0" xfId="0" applyNumberFormat="1" applyFont="1" applyAlignment="1">
      <alignment horizontal="center" vertical="center"/>
    </xf>
    <xf numFmtId="220" fontId="2" fillId="0" borderId="2" xfId="0" applyNumberFormat="1" applyFont="1" applyBorder="1" applyAlignment="1">
      <alignment horizontal="center" vertical="center"/>
    </xf>
    <xf numFmtId="176" fontId="2" fillId="0" borderId="2" xfId="0" applyNumberFormat="1" applyFont="1" applyBorder="1" applyAlignment="1">
      <alignment horizontal="center" vertical="center"/>
    </xf>
    <xf numFmtId="220" fontId="14" fillId="4" borderId="0" xfId="0" applyNumberFormat="1" applyFont="1" applyFill="1" applyAlignment="1">
      <alignment horizontal="center" vertical="center"/>
    </xf>
    <xf numFmtId="241" fontId="163" fillId="4" borderId="0" xfId="0" applyNumberFormat="1" applyFont="1" applyFill="1" applyAlignment="1">
      <alignment horizontal="center" vertical="center"/>
    </xf>
    <xf numFmtId="0" fontId="5" fillId="3" borderId="1" xfId="0" applyFont="1" applyFill="1" applyBorder="1" applyAlignment="1">
      <alignment horizontal="center" vertical="center"/>
    </xf>
    <xf numFmtId="192" fontId="160" fillId="0" borderId="0" xfId="0" applyNumberFormat="1" applyFont="1">
      <alignment vertical="center"/>
    </xf>
    <xf numFmtId="192" fontId="160" fillId="0" borderId="2" xfId="0" applyNumberFormat="1" applyFont="1" applyBorder="1">
      <alignment vertical="center"/>
    </xf>
    <xf numFmtId="192" fontId="160" fillId="0" borderId="1" xfId="0" applyNumberFormat="1" applyFont="1" applyBorder="1">
      <alignment vertical="center"/>
    </xf>
    <xf numFmtId="0" fontId="309" fillId="0" borderId="0" xfId="0" applyFont="1">
      <alignment vertical="center"/>
    </xf>
    <xf numFmtId="0" fontId="78" fillId="3" borderId="0" xfId="0" applyFont="1" applyFill="1">
      <alignment vertical="center"/>
    </xf>
    <xf numFmtId="0" fontId="309" fillId="3" borderId="0" xfId="0" applyFont="1" applyFill="1">
      <alignment vertical="center"/>
    </xf>
    <xf numFmtId="0" fontId="80" fillId="0" borderId="863" xfId="0" applyFont="1" applyBorder="1">
      <alignment vertical="center"/>
    </xf>
    <xf numFmtId="176" fontId="310" fillId="0" borderId="863" xfId="0" applyNumberFormat="1" applyFont="1" applyBorder="1" applyAlignment="1">
      <alignment horizontal="right" vertical="center"/>
    </xf>
    <xf numFmtId="180" fontId="79" fillId="0" borderId="0" xfId="0" applyNumberFormat="1" applyFont="1">
      <alignment vertical="center"/>
    </xf>
    <xf numFmtId="180" fontId="58" fillId="0" borderId="0" xfId="0" applyNumberFormat="1" applyFont="1">
      <alignment vertical="center"/>
    </xf>
    <xf numFmtId="0" fontId="79" fillId="6" borderId="0" xfId="0" applyFont="1" applyFill="1">
      <alignment vertical="center"/>
    </xf>
    <xf numFmtId="180" fontId="149" fillId="0" borderId="0" xfId="0" quotePrefix="1" applyNumberFormat="1" applyFont="1" applyAlignment="1">
      <alignment horizontal="right" vertical="center"/>
    </xf>
    <xf numFmtId="0" fontId="58" fillId="0" borderId="863" xfId="0" applyFont="1" applyBorder="1">
      <alignment vertical="center"/>
    </xf>
    <xf numFmtId="176" fontId="58" fillId="0" borderId="863" xfId="0" applyNumberFormat="1" applyFont="1" applyBorder="1" applyAlignment="1">
      <alignment horizontal="right" vertical="center"/>
    </xf>
    <xf numFmtId="176" fontId="58" fillId="6" borderId="863" xfId="0" applyNumberFormat="1" applyFont="1" applyFill="1" applyBorder="1" applyAlignment="1">
      <alignment horizontal="right" vertical="center"/>
    </xf>
    <xf numFmtId="4" fontId="79" fillId="0" borderId="0" xfId="0" applyNumberFormat="1" applyFont="1">
      <alignment vertical="center"/>
    </xf>
    <xf numFmtId="0" fontId="79" fillId="0" borderId="863" xfId="0" applyFont="1" applyBorder="1">
      <alignment vertical="center"/>
    </xf>
    <xf numFmtId="0" fontId="79" fillId="6" borderId="863" xfId="0" applyFont="1" applyFill="1" applyBorder="1">
      <alignment vertical="center"/>
    </xf>
    <xf numFmtId="0" fontId="309" fillId="0" borderId="863" xfId="0" applyFont="1" applyBorder="1">
      <alignment vertical="center"/>
    </xf>
    <xf numFmtId="3" fontId="58" fillId="0" borderId="863" xfId="0" applyNumberFormat="1" applyFont="1" applyBorder="1">
      <alignment vertical="center"/>
    </xf>
    <xf numFmtId="0" fontId="79" fillId="0" borderId="863" xfId="0" applyFont="1" applyBorder="1" applyAlignment="1">
      <alignment horizontal="center" vertical="center"/>
    </xf>
    <xf numFmtId="0" fontId="311" fillId="0" borderId="863" xfId="0" quotePrefix="1" applyFont="1" applyBorder="1" applyAlignment="1">
      <alignment horizontal="right" vertical="center" wrapText="1"/>
    </xf>
    <xf numFmtId="228" fontId="58" fillId="0" borderId="0" xfId="0" applyNumberFormat="1" applyFont="1">
      <alignment vertical="center"/>
    </xf>
    <xf numFmtId="9" fontId="312" fillId="0" borderId="0" xfId="0" applyNumberFormat="1" applyFont="1">
      <alignment vertical="center"/>
    </xf>
    <xf numFmtId="228" fontId="79" fillId="0" borderId="0" xfId="0" applyNumberFormat="1" applyFont="1">
      <alignment vertical="center"/>
    </xf>
    <xf numFmtId="0" fontId="311" fillId="0" borderId="0" xfId="0" applyFont="1">
      <alignment vertical="center"/>
    </xf>
    <xf numFmtId="0" fontId="313" fillId="0" borderId="0" xfId="0" applyFont="1">
      <alignment vertical="center"/>
    </xf>
    <xf numFmtId="9" fontId="311" fillId="0" borderId="0" xfId="0" applyNumberFormat="1" applyFont="1">
      <alignment vertical="center"/>
    </xf>
    <xf numFmtId="0" fontId="311" fillId="0" borderId="864" xfId="0" applyFont="1" applyBorder="1">
      <alignment vertical="center"/>
    </xf>
    <xf numFmtId="0" fontId="313" fillId="0" borderId="864" xfId="0" applyFont="1" applyBorder="1">
      <alignment vertical="center"/>
    </xf>
    <xf numFmtId="9" fontId="311" fillId="0" borderId="864" xfId="0" applyNumberFormat="1" applyFont="1" applyBorder="1">
      <alignment vertical="center"/>
    </xf>
    <xf numFmtId="9" fontId="312" fillId="0" borderId="864" xfId="0" applyNumberFormat="1" applyFont="1" applyBorder="1">
      <alignment vertical="center"/>
    </xf>
    <xf numFmtId="9" fontId="311" fillId="0" borderId="0" xfId="0" applyNumberFormat="1" applyFont="1" applyAlignment="1">
      <alignment horizontal="right" vertical="center"/>
    </xf>
    <xf numFmtId="9" fontId="312" fillId="0" borderId="0" xfId="0" applyNumberFormat="1" applyFont="1" applyAlignment="1">
      <alignment horizontal="right" vertical="center"/>
    </xf>
    <xf numFmtId="243" fontId="79" fillId="0" borderId="0" xfId="0" applyNumberFormat="1" applyFont="1">
      <alignment vertical="center"/>
    </xf>
    <xf numFmtId="0" fontId="79" fillId="0" borderId="864" xfId="0" applyFont="1" applyBorder="1" applyAlignment="1">
      <alignment horizontal="left" vertical="center" indent="1"/>
    </xf>
    <xf numFmtId="0" fontId="79" fillId="0" borderId="864" xfId="0" applyFont="1" applyBorder="1" applyAlignment="1">
      <alignment horizontal="center" vertical="center"/>
    </xf>
    <xf numFmtId="194" fontId="79" fillId="0" borderId="864" xfId="0" applyNumberFormat="1" applyFont="1" applyBorder="1">
      <alignment vertical="center"/>
    </xf>
    <xf numFmtId="9" fontId="312" fillId="0" borderId="864" xfId="0" applyNumberFormat="1" applyFont="1" applyBorder="1" applyAlignment="1">
      <alignment horizontal="right" vertical="center"/>
    </xf>
    <xf numFmtId="194" fontId="309" fillId="0" borderId="0" xfId="0" applyNumberFormat="1" applyFont="1">
      <alignment vertical="center"/>
    </xf>
    <xf numFmtId="244" fontId="79" fillId="0" borderId="0" xfId="0" applyNumberFormat="1" applyFont="1">
      <alignment vertical="center"/>
    </xf>
    <xf numFmtId="245" fontId="79" fillId="0" borderId="0" xfId="0" applyNumberFormat="1" applyFont="1">
      <alignment vertical="center"/>
    </xf>
    <xf numFmtId="0" fontId="149" fillId="0" borderId="864" xfId="0" applyFont="1" applyBorder="1">
      <alignment vertical="center"/>
    </xf>
    <xf numFmtId="0" fontId="149" fillId="0" borderId="864" xfId="0" applyFont="1" applyBorder="1" applyAlignment="1">
      <alignment horizontal="center" vertical="center"/>
    </xf>
    <xf numFmtId="178" fontId="149" fillId="0" borderId="864" xfId="0" applyNumberFormat="1" applyFont="1" applyBorder="1">
      <alignment vertical="center"/>
    </xf>
    <xf numFmtId="0" fontId="149" fillId="0" borderId="0" xfId="0" applyFont="1" applyAlignment="1">
      <alignment horizontal="left" vertical="center" indent="1"/>
    </xf>
    <xf numFmtId="9" fontId="149" fillId="0" borderId="0" xfId="0" applyNumberFormat="1" applyFont="1">
      <alignment vertical="center"/>
    </xf>
    <xf numFmtId="0" fontId="149" fillId="0" borderId="864" xfId="0" applyFont="1" applyBorder="1" applyAlignment="1">
      <alignment horizontal="left" vertical="center" indent="1"/>
    </xf>
    <xf numFmtId="9" fontId="149" fillId="0" borderId="864" xfId="0" applyNumberFormat="1" applyFont="1" applyBorder="1">
      <alignment vertical="center"/>
    </xf>
    <xf numFmtId="9" fontId="149" fillId="0" borderId="0" xfId="0" applyNumberFormat="1" applyFont="1" applyAlignment="1">
      <alignment horizontal="right" vertical="center"/>
    </xf>
    <xf numFmtId="0" fontId="79" fillId="6" borderId="864" xfId="0" applyFont="1" applyFill="1" applyBorder="1">
      <alignment vertical="center"/>
    </xf>
    <xf numFmtId="9" fontId="312" fillId="0" borderId="831" xfId="0" applyNumberFormat="1" applyFont="1" applyBorder="1" applyAlignment="1">
      <alignment horizontal="right" vertical="center"/>
    </xf>
    <xf numFmtId="9" fontId="79" fillId="0" borderId="0" xfId="0" applyNumberFormat="1" applyFont="1">
      <alignment vertical="center"/>
    </xf>
    <xf numFmtId="0" fontId="79" fillId="0" borderId="864" xfId="0" applyFont="1" applyBorder="1">
      <alignment vertical="center"/>
    </xf>
    <xf numFmtId="0" fontId="58" fillId="0" borderId="0" xfId="0" applyFont="1" applyAlignment="1">
      <alignment horizontal="left" vertical="center" indent="1"/>
    </xf>
    <xf numFmtId="0" fontId="58" fillId="0" borderId="864" xfId="0" applyFont="1" applyBorder="1" applyAlignment="1">
      <alignment horizontal="left" vertical="center" indent="1"/>
    </xf>
    <xf numFmtId="0" fontId="58" fillId="0" borderId="864" xfId="0" applyFont="1" applyBorder="1">
      <alignment vertical="center"/>
    </xf>
    <xf numFmtId="194" fontId="58" fillId="0" borderId="864" xfId="0" applyNumberFormat="1" applyFont="1" applyBorder="1">
      <alignment vertical="center"/>
    </xf>
    <xf numFmtId="9" fontId="311" fillId="0" borderId="864" xfId="0" applyNumberFormat="1" applyFont="1" applyBorder="1" applyAlignment="1">
      <alignment horizontal="right" vertical="center"/>
    </xf>
    <xf numFmtId="176" fontId="310" fillId="0" borderId="0" xfId="0" applyNumberFormat="1" applyFont="1" applyAlignment="1">
      <alignment horizontal="right" vertical="center"/>
    </xf>
    <xf numFmtId="0" fontId="311" fillId="0" borderId="0" xfId="0" quotePrefix="1" applyFont="1" applyAlignment="1">
      <alignment horizontal="right" vertical="center" wrapText="1"/>
    </xf>
    <xf numFmtId="0" fontId="149" fillId="0" borderId="0" xfId="0" applyFont="1" applyAlignment="1">
      <alignment horizontal="left" vertical="center" indent="2"/>
    </xf>
    <xf numFmtId="0" fontId="149" fillId="0" borderId="864" xfId="0" applyFont="1" applyBorder="1" applyAlignment="1">
      <alignment horizontal="left" vertical="center" indent="2"/>
    </xf>
    <xf numFmtId="0" fontId="79" fillId="0" borderId="864" xfId="0" applyFont="1" applyBorder="1" applyAlignment="1">
      <alignment horizontal="left" vertical="center" indent="2"/>
    </xf>
    <xf numFmtId="176" fontId="314" fillId="0" borderId="863" xfId="0" applyNumberFormat="1" applyFont="1" applyBorder="1" applyAlignment="1">
      <alignment horizontal="right" vertical="center"/>
    </xf>
    <xf numFmtId="0" fontId="312" fillId="0" borderId="0" xfId="0" applyFont="1">
      <alignment vertical="center"/>
    </xf>
    <xf numFmtId="0" fontId="4" fillId="0" borderId="852" xfId="0" applyFont="1" applyBorder="1" applyAlignment="1">
      <alignment vertical="center" wrapText="1"/>
    </xf>
    <xf numFmtId="0" fontId="4" fillId="0" borderId="865" xfId="0" applyFont="1" applyBorder="1" applyAlignment="1">
      <alignment vertical="center" wrapText="1"/>
    </xf>
    <xf numFmtId="0" fontId="4" fillId="0" borderId="859" xfId="0" applyFont="1" applyBorder="1" applyAlignment="1">
      <alignment horizontal="left" vertical="center" wrapText="1"/>
    </xf>
    <xf numFmtId="0" fontId="4" fillId="0" borderId="862" xfId="0" applyFont="1" applyBorder="1" applyAlignment="1">
      <alignment horizontal="left" vertical="center" wrapText="1"/>
    </xf>
    <xf numFmtId="0" fontId="4" fillId="0" borderId="858" xfId="0" applyFont="1" applyBorder="1" applyAlignment="1">
      <alignment horizontal="left" vertical="center" wrapText="1"/>
    </xf>
    <xf numFmtId="0" fontId="4" fillId="0" borderId="861" xfId="0" applyFont="1" applyBorder="1" applyAlignment="1">
      <alignment horizontal="left" vertical="center" wrapText="1"/>
    </xf>
    <xf numFmtId="0" fontId="15" fillId="13" borderId="1" xfId="0" applyFont="1" applyFill="1" applyBorder="1" applyAlignment="1">
      <alignment horizontal="centerContinuous" vertical="center"/>
    </xf>
    <xf numFmtId="0" fontId="15" fillId="13" borderId="1" xfId="0" applyFont="1" applyFill="1" applyBorder="1" applyAlignment="1">
      <alignment horizontal="center" vertical="center"/>
    </xf>
    <xf numFmtId="10" fontId="163" fillId="4" borderId="0" xfId="0" applyNumberFormat="1" applyFont="1" applyFill="1" applyAlignment="1">
      <alignment horizontal="center" vertical="center"/>
    </xf>
    <xf numFmtId="0" fontId="73" fillId="7" borderId="240" xfId="0" applyFont="1" applyFill="1" applyBorder="1" applyAlignment="1">
      <alignment horizontal="center" vertical="center" wrapText="1"/>
    </xf>
    <xf numFmtId="0" fontId="73" fillId="7" borderId="244" xfId="0" applyFont="1" applyFill="1" applyBorder="1" applyAlignment="1">
      <alignment horizontal="center" vertical="center" wrapText="1"/>
    </xf>
    <xf numFmtId="0" fontId="73" fillId="0" borderId="31" xfId="0" applyFont="1" applyBorder="1" applyAlignment="1">
      <alignment vertical="center" wrapText="1"/>
    </xf>
    <xf numFmtId="0" fontId="73" fillId="0" borderId="27" xfId="0" applyFont="1" applyBorder="1" applyAlignment="1">
      <alignment vertical="center" wrapText="1"/>
    </xf>
    <xf numFmtId="0" fontId="73" fillId="0" borderId="27" xfId="0" applyFont="1" applyBorder="1" applyAlignment="1">
      <alignment horizontal="center" vertical="center" wrapText="1"/>
    </xf>
    <xf numFmtId="0" fontId="73" fillId="0" borderId="27" xfId="0" applyFont="1" applyBorder="1" applyAlignment="1">
      <alignment horizontal="right" vertical="center" wrapText="1"/>
    </xf>
    <xf numFmtId="0" fontId="73" fillId="0" borderId="32" xfId="0" applyFont="1" applyBorder="1" applyAlignment="1">
      <alignment horizontal="right" vertical="center" wrapText="1"/>
    </xf>
    <xf numFmtId="3" fontId="73" fillId="0" borderId="27" xfId="0" applyNumberFormat="1" applyFont="1" applyBorder="1" applyAlignment="1">
      <alignment horizontal="right" vertical="center" wrapText="1"/>
    </xf>
    <xf numFmtId="14" fontId="73" fillId="0" borderId="27" xfId="0" applyNumberFormat="1" applyFont="1" applyBorder="1" applyAlignment="1">
      <alignment horizontal="center" vertical="center" wrapText="1"/>
    </xf>
    <xf numFmtId="0" fontId="73" fillId="0" borderId="34" xfId="0" applyFont="1" applyBorder="1" applyAlignment="1">
      <alignment horizontal="right" vertical="center" wrapText="1"/>
    </xf>
    <xf numFmtId="0" fontId="73" fillId="0" borderId="35" xfId="0" applyFont="1" applyBorder="1" applyAlignment="1">
      <alignment horizontal="right" vertical="center" wrapText="1"/>
    </xf>
    <xf numFmtId="0" fontId="73" fillId="7" borderId="28" xfId="0" applyFont="1" applyFill="1" applyBorder="1" applyAlignment="1">
      <alignment horizontal="center" vertical="center" wrapText="1"/>
    </xf>
    <xf numFmtId="0" fontId="73" fillId="7" borderId="29" xfId="0" applyFont="1" applyFill="1" applyBorder="1" applyAlignment="1">
      <alignment horizontal="center" vertical="center" wrapText="1"/>
    </xf>
    <xf numFmtId="0" fontId="73" fillId="7" borderId="30" xfId="0" applyFont="1" applyFill="1" applyBorder="1" applyAlignment="1">
      <alignment horizontal="center" vertical="center" wrapText="1"/>
    </xf>
    <xf numFmtId="0" fontId="73" fillId="0" borderId="31" xfId="0" applyFont="1" applyBorder="1" applyAlignment="1">
      <alignment vertical="top" wrapText="1"/>
    </xf>
    <xf numFmtId="0" fontId="73" fillId="0" borderId="27" xfId="0" applyFont="1" applyBorder="1" applyAlignment="1">
      <alignment horizontal="right" wrapText="1"/>
    </xf>
    <xf numFmtId="0" fontId="73" fillId="0" borderId="32" xfId="0" applyFont="1" applyBorder="1" applyAlignment="1">
      <alignment horizontal="right" wrapText="1"/>
    </xf>
    <xf numFmtId="0" fontId="73" fillId="0" borderId="35" xfId="0" applyFont="1" applyBorder="1" applyAlignment="1">
      <alignment horizontal="right" wrapText="1"/>
    </xf>
    <xf numFmtId="3" fontId="73" fillId="0" borderId="27" xfId="0" applyNumberFormat="1" applyFont="1" applyBorder="1" applyAlignment="1">
      <alignment horizontal="right" wrapText="1"/>
    </xf>
    <xf numFmtId="3" fontId="73" fillId="0" borderId="34" xfId="0" applyNumberFormat="1" applyFont="1" applyBorder="1" applyAlignment="1">
      <alignment horizontal="right" wrapText="1"/>
    </xf>
    <xf numFmtId="3" fontId="73" fillId="0" borderId="32" xfId="0" applyNumberFormat="1" applyFont="1" applyBorder="1" applyAlignment="1">
      <alignment horizontal="right" wrapText="1"/>
    </xf>
    <xf numFmtId="0" fontId="73" fillId="0" borderId="31" xfId="0" applyFont="1" applyBorder="1" applyAlignment="1">
      <alignment wrapText="1"/>
    </xf>
    <xf numFmtId="0" fontId="74" fillId="0" borderId="32" xfId="0" applyFont="1" applyBorder="1" applyAlignment="1">
      <alignment horizontal="right" wrapText="1"/>
    </xf>
    <xf numFmtId="0" fontId="73" fillId="0" borderId="33" xfId="0" applyFont="1" applyBorder="1" applyAlignment="1">
      <alignment wrapText="1"/>
    </xf>
    <xf numFmtId="176" fontId="15" fillId="13" borderId="17" xfId="0" applyNumberFormat="1" applyFont="1" applyFill="1" applyBorder="1">
      <alignment vertical="center"/>
    </xf>
    <xf numFmtId="176" fontId="4" fillId="13" borderId="17" xfId="0" applyNumberFormat="1" applyFont="1" applyFill="1" applyBorder="1">
      <alignment vertical="center"/>
    </xf>
    <xf numFmtId="176" fontId="15" fillId="13" borderId="20" xfId="0" applyNumberFormat="1" applyFont="1" applyFill="1" applyBorder="1">
      <alignment vertical="center"/>
    </xf>
    <xf numFmtId="176" fontId="15" fillId="13" borderId="356" xfId="0" applyNumberFormat="1" applyFont="1" applyFill="1" applyBorder="1">
      <alignment vertical="center"/>
    </xf>
    <xf numFmtId="176" fontId="15" fillId="13" borderId="800" xfId="0" applyNumberFormat="1" applyFont="1" applyFill="1" applyBorder="1">
      <alignment vertical="center"/>
    </xf>
    <xf numFmtId="176" fontId="15" fillId="13" borderId="15" xfId="0" applyNumberFormat="1" applyFont="1" applyFill="1" applyBorder="1">
      <alignment vertical="center"/>
    </xf>
    <xf numFmtId="9" fontId="11" fillId="13" borderId="17" xfId="0" applyNumberFormat="1" applyFont="1" applyFill="1" applyBorder="1">
      <alignment vertical="center"/>
    </xf>
    <xf numFmtId="176" fontId="15" fillId="13" borderId="22" xfId="0" applyNumberFormat="1" applyFont="1" applyFill="1" applyBorder="1">
      <alignment vertical="center"/>
    </xf>
    <xf numFmtId="176" fontId="10" fillId="3" borderId="5" xfId="0" applyNumberFormat="1" applyFont="1" applyFill="1" applyBorder="1" applyAlignment="1">
      <alignment horizontal="right" vertical="center"/>
    </xf>
    <xf numFmtId="0" fontId="316" fillId="75" borderId="866" xfId="0" applyFont="1" applyFill="1" applyBorder="1" applyAlignment="1">
      <alignment horizontal="left" vertical="center" wrapText="1"/>
    </xf>
    <xf numFmtId="0" fontId="316" fillId="75" borderId="866" xfId="0" applyFont="1" applyFill="1" applyBorder="1" applyAlignment="1">
      <alignment horizontal="center" vertical="center" wrapText="1"/>
    </xf>
    <xf numFmtId="0" fontId="166" fillId="75" borderId="867" xfId="0" applyFont="1" applyFill="1" applyBorder="1" applyAlignment="1">
      <alignment horizontal="left" vertical="center" wrapText="1"/>
    </xf>
    <xf numFmtId="3" fontId="166" fillId="75" borderId="867" xfId="0" applyNumberFormat="1" applyFont="1" applyFill="1" applyBorder="1" applyAlignment="1">
      <alignment horizontal="right" vertical="center" wrapText="1"/>
    </xf>
    <xf numFmtId="0" fontId="166" fillId="75" borderId="0" xfId="0" applyFont="1" applyFill="1" applyAlignment="1">
      <alignment horizontal="left" vertical="center" wrapText="1"/>
    </xf>
    <xf numFmtId="3" fontId="166" fillId="75" borderId="0" xfId="0" applyNumberFormat="1" applyFont="1" applyFill="1" applyAlignment="1">
      <alignment horizontal="right" vertical="center" wrapText="1"/>
    </xf>
    <xf numFmtId="0" fontId="166" fillId="75" borderId="868" xfId="0" applyFont="1" applyFill="1" applyBorder="1" applyAlignment="1">
      <alignment horizontal="left" vertical="center" wrapText="1"/>
    </xf>
    <xf numFmtId="0" fontId="166" fillId="75" borderId="869" xfId="0" applyFont="1" applyFill="1" applyBorder="1" applyAlignment="1">
      <alignment horizontal="left" vertical="center" wrapText="1"/>
    </xf>
    <xf numFmtId="3" fontId="166" fillId="75" borderId="869" xfId="0" applyNumberFormat="1" applyFont="1" applyFill="1" applyBorder="1" applyAlignment="1">
      <alignment horizontal="right" vertical="center" wrapText="1"/>
    </xf>
    <xf numFmtId="0" fontId="317" fillId="75" borderId="870" xfId="0" applyFont="1" applyFill="1" applyBorder="1" applyAlignment="1">
      <alignment horizontal="left" vertical="center" wrapText="1"/>
    </xf>
    <xf numFmtId="3" fontId="317" fillId="75" borderId="870" xfId="0" applyNumberFormat="1" applyFont="1" applyFill="1" applyBorder="1" applyAlignment="1">
      <alignment horizontal="right" vertical="center" wrapText="1"/>
    </xf>
    <xf numFmtId="0" fontId="166" fillId="75" borderId="870" xfId="0" applyFont="1" applyFill="1" applyBorder="1" applyAlignment="1">
      <alignment horizontal="left" vertical="center" wrapText="1"/>
    </xf>
    <xf numFmtId="0" fontId="317" fillId="75" borderId="871" xfId="0" applyFont="1" applyFill="1" applyBorder="1" applyAlignment="1">
      <alignment horizontal="left" vertical="center" wrapText="1"/>
    </xf>
    <xf numFmtId="3" fontId="317" fillId="75" borderId="871" xfId="0" applyNumberFormat="1" applyFont="1" applyFill="1" applyBorder="1" applyAlignment="1">
      <alignment horizontal="right" vertical="center" wrapText="1"/>
    </xf>
    <xf numFmtId="0" fontId="317" fillId="75" borderId="872" xfId="0" applyFont="1" applyFill="1" applyBorder="1" applyAlignment="1">
      <alignment horizontal="left" vertical="center" wrapText="1"/>
    </xf>
    <xf numFmtId="3" fontId="317" fillId="75" borderId="872" xfId="0" applyNumberFormat="1" applyFont="1" applyFill="1" applyBorder="1" applyAlignment="1">
      <alignment horizontal="right" vertical="center" wrapText="1"/>
    </xf>
    <xf numFmtId="0" fontId="317" fillId="75" borderId="0" xfId="0" applyFont="1" applyFill="1" applyAlignment="1">
      <alignment horizontal="left" vertical="center" wrapText="1"/>
    </xf>
    <xf numFmtId="0" fontId="318" fillId="75" borderId="868" xfId="0" applyFont="1" applyFill="1" applyBorder="1" applyAlignment="1">
      <alignment horizontal="left" vertical="center" wrapText="1"/>
    </xf>
    <xf numFmtId="10" fontId="318" fillId="75" borderId="868" xfId="0" applyNumberFormat="1" applyFont="1" applyFill="1" applyBorder="1" applyAlignment="1">
      <alignment horizontal="right" vertical="center" wrapText="1"/>
    </xf>
    <xf numFmtId="10" fontId="166" fillId="75" borderId="868" xfId="0" applyNumberFormat="1" applyFont="1" applyFill="1" applyBorder="1" applyAlignment="1">
      <alignment horizontal="right" vertical="center" wrapText="1"/>
    </xf>
    <xf numFmtId="0" fontId="318" fillId="75" borderId="873" xfId="0" applyFont="1" applyFill="1" applyBorder="1" applyAlignment="1">
      <alignment horizontal="left" vertical="center" wrapText="1"/>
    </xf>
    <xf numFmtId="10" fontId="318" fillId="75" borderId="873" xfId="0" applyNumberFormat="1" applyFont="1" applyFill="1" applyBorder="1" applyAlignment="1">
      <alignment horizontal="right" vertical="center" wrapText="1"/>
    </xf>
    <xf numFmtId="3" fontId="166" fillId="75" borderId="868" xfId="0" applyNumberFormat="1" applyFont="1" applyFill="1" applyBorder="1" applyAlignment="1">
      <alignment horizontal="right" vertical="center" wrapText="1"/>
    </xf>
    <xf numFmtId="3" fontId="166" fillId="75" borderId="870" xfId="0" applyNumberFormat="1" applyFont="1" applyFill="1" applyBorder="1" applyAlignment="1">
      <alignment horizontal="right" vertical="center" wrapText="1"/>
    </xf>
    <xf numFmtId="3" fontId="317" fillId="75" borderId="0" xfId="0" applyNumberFormat="1" applyFont="1" applyFill="1" applyAlignment="1">
      <alignment horizontal="right" vertical="center" wrapText="1"/>
    </xf>
    <xf numFmtId="237" fontId="166" fillId="75" borderId="869" xfId="0" applyNumberFormat="1" applyFont="1" applyFill="1" applyBorder="1" applyAlignment="1">
      <alignment horizontal="right" vertical="center" wrapText="1"/>
    </xf>
    <xf numFmtId="0" fontId="28" fillId="0" borderId="0" xfId="0" quotePrefix="1" applyFont="1">
      <alignment vertical="center"/>
    </xf>
    <xf numFmtId="10" fontId="14" fillId="4" borderId="0" xfId="0" applyNumberFormat="1" applyFont="1" applyFill="1" applyAlignment="1">
      <alignment horizontal="center" vertical="center"/>
    </xf>
    <xf numFmtId="189" fontId="4" fillId="0" borderId="2" xfId="0" applyNumberFormat="1" applyFont="1" applyBorder="1">
      <alignment vertical="center"/>
    </xf>
    <xf numFmtId="9" fontId="4" fillId="0" borderId="2" xfId="0" applyNumberFormat="1" applyFont="1" applyBorder="1">
      <alignment vertical="center"/>
    </xf>
    <xf numFmtId="176" fontId="15" fillId="0" borderId="1" xfId="0" applyNumberFormat="1" applyFont="1" applyBorder="1">
      <alignment vertical="center"/>
    </xf>
    <xf numFmtId="178" fontId="256" fillId="0" borderId="1" xfId="0" applyNumberFormat="1" applyFont="1" applyBorder="1" applyAlignment="1">
      <alignment horizontal="centerContinuous" vertical="center"/>
    </xf>
    <xf numFmtId="241" fontId="256" fillId="0" borderId="1" xfId="0" applyNumberFormat="1" applyFont="1" applyBorder="1" applyAlignment="1">
      <alignment horizontal="centerContinuous" vertical="center"/>
    </xf>
    <xf numFmtId="192" fontId="256" fillId="0" borderId="1" xfId="0" applyNumberFormat="1" applyFont="1" applyBorder="1" applyAlignment="1">
      <alignment horizontal="centerContinuous" vertical="center"/>
    </xf>
    <xf numFmtId="10" fontId="257" fillId="0" borderId="0" xfId="0" applyNumberFormat="1" applyFont="1" applyAlignment="1">
      <alignment horizontal="center" vertical="center"/>
    </xf>
    <xf numFmtId="246" fontId="257" fillId="0" borderId="0" xfId="0" applyNumberFormat="1" applyFont="1" applyAlignment="1">
      <alignment horizontal="center" vertical="center"/>
    </xf>
    <xf numFmtId="0" fontId="3" fillId="25" borderId="4" xfId="0" applyFont="1" applyFill="1" applyBorder="1">
      <alignment vertical="center"/>
    </xf>
    <xf numFmtId="220" fontId="3" fillId="25" borderId="1" xfId="0" applyNumberFormat="1" applyFont="1" applyFill="1" applyBorder="1">
      <alignment vertical="center"/>
    </xf>
    <xf numFmtId="0" fontId="3" fillId="25" borderId="1" xfId="0" applyFont="1" applyFill="1" applyBorder="1">
      <alignment vertical="center"/>
    </xf>
    <xf numFmtId="220" fontId="3" fillId="25" borderId="5" xfId="0" applyNumberFormat="1" applyFont="1" applyFill="1" applyBorder="1">
      <alignment vertical="center"/>
    </xf>
    <xf numFmtId="0" fontId="11" fillId="14" borderId="874" xfId="0" applyFont="1" applyFill="1" applyBorder="1">
      <alignment vertical="center"/>
    </xf>
    <xf numFmtId="0" fontId="11" fillId="14" borderId="2" xfId="0" applyFont="1" applyFill="1" applyBorder="1">
      <alignment vertical="center"/>
    </xf>
    <xf numFmtId="247" fontId="11" fillId="14" borderId="2" xfId="0" applyNumberFormat="1" applyFont="1" applyFill="1" applyBorder="1">
      <alignment vertical="center"/>
    </xf>
    <xf numFmtId="178" fontId="160" fillId="14" borderId="874" xfId="0" applyNumberFormat="1" applyFont="1" applyFill="1" applyBorder="1">
      <alignment vertical="center"/>
    </xf>
    <xf numFmtId="0" fontId="319" fillId="0" borderId="0" xfId="0" applyFont="1">
      <alignment vertical="center"/>
    </xf>
    <xf numFmtId="176" fontId="2" fillId="0" borderId="831" xfId="0" applyNumberFormat="1" applyFont="1" applyBorder="1">
      <alignment vertical="center"/>
    </xf>
    <xf numFmtId="0" fontId="2" fillId="0" borderId="831" xfId="0" applyFont="1" applyBorder="1">
      <alignment vertical="center"/>
    </xf>
    <xf numFmtId="176" fontId="4" fillId="0" borderId="831" xfId="0" applyNumberFormat="1" applyFont="1" applyBorder="1">
      <alignment vertical="center"/>
    </xf>
    <xf numFmtId="0" fontId="2" fillId="0" borderId="0" xfId="0" quotePrefix="1" applyFont="1" applyAlignment="1">
      <alignment horizontal="left" vertical="center" indent="1"/>
    </xf>
    <xf numFmtId="9" fontId="13" fillId="12" borderId="36" xfId="0" applyNumberFormat="1" applyFont="1" applyFill="1" applyBorder="1">
      <alignment vertical="center"/>
    </xf>
    <xf numFmtId="41" fontId="15" fillId="15" borderId="0" xfId="0" applyNumberFormat="1" applyFont="1" applyFill="1">
      <alignment vertical="center"/>
    </xf>
    <xf numFmtId="9" fontId="295" fillId="12" borderId="36" xfId="0" applyNumberFormat="1" applyFont="1" applyFill="1" applyBorder="1">
      <alignment vertical="center"/>
    </xf>
    <xf numFmtId="0" fontId="15" fillId="22" borderId="0" xfId="0" applyFont="1" applyFill="1">
      <alignment vertical="center"/>
    </xf>
    <xf numFmtId="180" fontId="15" fillId="22" borderId="0" xfId="0" applyNumberFormat="1" applyFont="1" applyFill="1">
      <alignment vertical="center"/>
    </xf>
    <xf numFmtId="41" fontId="15" fillId="22" borderId="0" xfId="0" applyNumberFormat="1" applyFont="1" applyFill="1">
      <alignment vertical="center"/>
    </xf>
    <xf numFmtId="9" fontId="11" fillId="14" borderId="874" xfId="0" applyNumberFormat="1" applyFont="1" applyFill="1" applyBorder="1">
      <alignment vertical="center"/>
    </xf>
    <xf numFmtId="41" fontId="320" fillId="0" borderId="0" xfId="0" applyNumberFormat="1" applyFont="1">
      <alignment vertical="center"/>
    </xf>
    <xf numFmtId="9" fontId="320" fillId="0" borderId="0" xfId="0" applyNumberFormat="1" applyFont="1">
      <alignment vertical="center"/>
    </xf>
    <xf numFmtId="0" fontId="5" fillId="35" borderId="2" xfId="0" applyFont="1" applyFill="1" applyBorder="1">
      <alignment vertical="center"/>
    </xf>
    <xf numFmtId="220" fontId="5" fillId="35" borderId="2" xfId="0" applyNumberFormat="1" applyFont="1" applyFill="1" applyBorder="1">
      <alignment vertical="center"/>
    </xf>
    <xf numFmtId="0" fontId="2" fillId="12" borderId="831" xfId="0" applyFont="1" applyFill="1" applyBorder="1">
      <alignment vertical="center"/>
    </xf>
    <xf numFmtId="41" fontId="15" fillId="12" borderId="831" xfId="0" applyNumberFormat="1" applyFont="1" applyFill="1" applyBorder="1">
      <alignment vertical="center"/>
    </xf>
    <xf numFmtId="0" fontId="11" fillId="12" borderId="0" xfId="0" applyFont="1" applyFill="1">
      <alignment vertical="center"/>
    </xf>
    <xf numFmtId="248" fontId="160" fillId="12" borderId="0" xfId="0" applyNumberFormat="1" applyFont="1" applyFill="1">
      <alignment vertical="center"/>
    </xf>
    <xf numFmtId="0" fontId="11" fillId="12" borderId="2" xfId="0" applyFont="1" applyFill="1" applyBorder="1">
      <alignment vertical="center"/>
    </xf>
    <xf numFmtId="247" fontId="160" fillId="12" borderId="2" xfId="0" applyNumberFormat="1" applyFont="1" applyFill="1" applyBorder="1">
      <alignment vertical="center"/>
    </xf>
    <xf numFmtId="0" fontId="321" fillId="0" borderId="0" xfId="0" applyFont="1">
      <alignment vertical="center"/>
    </xf>
    <xf numFmtId="0" fontId="321" fillId="0" borderId="0" xfId="0" applyFont="1" applyAlignment="1">
      <alignment horizontal="center" vertical="center"/>
    </xf>
    <xf numFmtId="9" fontId="322" fillId="12" borderId="802" xfId="0" applyNumberFormat="1" applyFont="1" applyFill="1" applyBorder="1">
      <alignment vertical="center"/>
    </xf>
    <xf numFmtId="178" fontId="4" fillId="12" borderId="831" xfId="0" applyNumberFormat="1" applyFont="1" applyFill="1" applyBorder="1">
      <alignment vertical="center"/>
    </xf>
    <xf numFmtId="178" fontId="2" fillId="12" borderId="831" xfId="0" applyNumberFormat="1" applyFont="1" applyFill="1" applyBorder="1">
      <alignment vertical="center"/>
    </xf>
    <xf numFmtId="178" fontId="2" fillId="12" borderId="830" xfId="0" applyNumberFormat="1" applyFont="1" applyFill="1" applyBorder="1">
      <alignment vertical="center"/>
    </xf>
    <xf numFmtId="9" fontId="4" fillId="12" borderId="25" xfId="0" applyNumberFormat="1" applyFont="1" applyFill="1" applyBorder="1">
      <alignment vertical="center"/>
    </xf>
    <xf numFmtId="178" fontId="4" fillId="15" borderId="802" xfId="0" applyNumberFormat="1" applyFont="1" applyFill="1" applyBorder="1">
      <alignment vertical="center"/>
    </xf>
    <xf numFmtId="178" fontId="2" fillId="0" borderId="831" xfId="0" applyNumberFormat="1" applyFont="1" applyBorder="1">
      <alignment vertical="center"/>
    </xf>
    <xf numFmtId="178" fontId="2" fillId="0" borderId="830" xfId="0" applyNumberFormat="1" applyFont="1" applyBorder="1">
      <alignment vertical="center"/>
    </xf>
    <xf numFmtId="9" fontId="2" fillId="12" borderId="25" xfId="0" applyNumberFormat="1" applyFont="1" applyFill="1" applyBorder="1">
      <alignment vertical="center"/>
    </xf>
    <xf numFmtId="178" fontId="2" fillId="11" borderId="802" xfId="0" applyNumberFormat="1" applyFont="1" applyFill="1" applyBorder="1">
      <alignment vertical="center"/>
    </xf>
    <xf numFmtId="178" fontId="2" fillId="11" borderId="830" xfId="0" applyNumberFormat="1" applyFont="1" applyFill="1" applyBorder="1">
      <alignment vertical="center"/>
    </xf>
    <xf numFmtId="178" fontId="2" fillId="0" borderId="427" xfId="0" applyNumberFormat="1" applyFont="1" applyBorder="1">
      <alignment vertical="center"/>
    </xf>
    <xf numFmtId="178" fontId="2" fillId="92" borderId="36" xfId="0" applyNumberFormat="1" applyFont="1" applyFill="1" applyBorder="1">
      <alignment vertical="center"/>
    </xf>
    <xf numFmtId="178" fontId="2" fillId="11" borderId="427" xfId="0" applyNumberFormat="1" applyFont="1" applyFill="1" applyBorder="1">
      <alignment vertical="center"/>
    </xf>
    <xf numFmtId="178" fontId="2" fillId="15" borderId="0" xfId="0" applyNumberFormat="1" applyFont="1" applyFill="1">
      <alignment vertical="center"/>
    </xf>
    <xf numFmtId="178" fontId="2" fillId="15" borderId="427" xfId="0" applyNumberFormat="1" applyFont="1" applyFill="1" applyBorder="1">
      <alignment vertical="center"/>
    </xf>
    <xf numFmtId="178" fontId="2" fillId="11" borderId="6" xfId="0" applyNumberFormat="1" applyFont="1" applyFill="1" applyBorder="1">
      <alignment vertical="center"/>
    </xf>
    <xf numFmtId="178" fontId="2" fillId="11" borderId="7" xfId="0" applyNumberFormat="1" applyFont="1" applyFill="1" applyBorder="1">
      <alignment vertical="center"/>
    </xf>
    <xf numFmtId="9" fontId="2" fillId="12" borderId="6" xfId="0" applyNumberFormat="1" applyFont="1" applyFill="1" applyBorder="1">
      <alignment vertical="center"/>
    </xf>
    <xf numFmtId="178" fontId="2" fillId="15" borderId="6" xfId="0" applyNumberFormat="1" applyFont="1" applyFill="1" applyBorder="1">
      <alignment vertical="center"/>
    </xf>
    <xf numFmtId="178" fontId="2" fillId="0" borderId="7" xfId="0" applyNumberFormat="1" applyFont="1" applyBorder="1">
      <alignment vertical="center"/>
    </xf>
    <xf numFmtId="192" fontId="322" fillId="12" borderId="802" xfId="0" applyNumberFormat="1" applyFont="1" applyFill="1" applyBorder="1">
      <alignment vertical="center"/>
    </xf>
    <xf numFmtId="247" fontId="4" fillId="15" borderId="802" xfId="0" applyNumberFormat="1" applyFont="1" applyFill="1" applyBorder="1">
      <alignment vertical="center"/>
    </xf>
    <xf numFmtId="247" fontId="2" fillId="0" borderId="831" xfId="0" applyNumberFormat="1" applyFont="1" applyBorder="1">
      <alignment vertical="center"/>
    </xf>
    <xf numFmtId="247" fontId="2" fillId="0" borderId="830" xfId="0" applyNumberFormat="1" applyFont="1" applyBorder="1">
      <alignment vertical="center"/>
    </xf>
    <xf numFmtId="247" fontId="2" fillId="11" borderId="802" xfId="0" applyNumberFormat="1" applyFont="1" applyFill="1" applyBorder="1">
      <alignment vertical="center"/>
    </xf>
    <xf numFmtId="247" fontId="2" fillId="11" borderId="830" xfId="0" applyNumberFormat="1" applyFont="1" applyFill="1" applyBorder="1">
      <alignment vertical="center"/>
    </xf>
    <xf numFmtId="247" fontId="2" fillId="0" borderId="0" xfId="0" applyNumberFormat="1" applyFont="1">
      <alignment vertical="center"/>
    </xf>
    <xf numFmtId="247" fontId="2" fillId="0" borderId="427" xfId="0" applyNumberFormat="1" applyFont="1" applyBorder="1">
      <alignment vertical="center"/>
    </xf>
    <xf numFmtId="247" fontId="2" fillId="92" borderId="36" xfId="0" applyNumberFormat="1" applyFont="1" applyFill="1" applyBorder="1">
      <alignment vertical="center"/>
    </xf>
    <xf numFmtId="247" fontId="2" fillId="11" borderId="427" xfId="0" applyNumberFormat="1" applyFont="1" applyFill="1" applyBorder="1">
      <alignment vertical="center"/>
    </xf>
    <xf numFmtId="247" fontId="2" fillId="15" borderId="0" xfId="0" applyNumberFormat="1" applyFont="1" applyFill="1">
      <alignment vertical="center"/>
    </xf>
    <xf numFmtId="247" fontId="2" fillId="15" borderId="427" xfId="0" applyNumberFormat="1" applyFont="1" applyFill="1" applyBorder="1">
      <alignment vertical="center"/>
    </xf>
    <xf numFmtId="247" fontId="2" fillId="11" borderId="6" xfId="0" applyNumberFormat="1" applyFont="1" applyFill="1" applyBorder="1">
      <alignment vertical="center"/>
    </xf>
    <xf numFmtId="247" fontId="2" fillId="11" borderId="7" xfId="0" applyNumberFormat="1" applyFont="1" applyFill="1" applyBorder="1">
      <alignment vertical="center"/>
    </xf>
    <xf numFmtId="247" fontId="2" fillId="15" borderId="6" xfId="0" applyNumberFormat="1" applyFont="1" applyFill="1" applyBorder="1">
      <alignment vertical="center"/>
    </xf>
    <xf numFmtId="247" fontId="2" fillId="0" borderId="2" xfId="0" applyNumberFormat="1" applyFont="1" applyBorder="1">
      <alignment vertical="center"/>
    </xf>
    <xf numFmtId="247" fontId="2" fillId="0" borderId="7" xfId="0" applyNumberFormat="1" applyFont="1" applyBorder="1">
      <alignment vertical="center"/>
    </xf>
    <xf numFmtId="0" fontId="2" fillId="0" borderId="0" xfId="0" applyFont="1" applyAlignment="1">
      <alignment horizontal="left" vertical="center" indent="3"/>
    </xf>
    <xf numFmtId="0" fontId="2" fillId="0" borderId="2" xfId="0" applyFont="1" applyBorder="1" applyAlignment="1">
      <alignment horizontal="left" vertical="center" indent="3"/>
    </xf>
    <xf numFmtId="241" fontId="160" fillId="0" borderId="0" xfId="0" applyNumberFormat="1" applyFont="1">
      <alignment vertical="center"/>
    </xf>
    <xf numFmtId="9" fontId="2" fillId="0" borderId="0" xfId="0" applyNumberFormat="1" applyFont="1" applyAlignment="1">
      <alignment horizontal="center" vertical="center"/>
    </xf>
    <xf numFmtId="0" fontId="2" fillId="12" borderId="36" xfId="0" applyFont="1" applyFill="1" applyBorder="1">
      <alignment vertical="center"/>
    </xf>
    <xf numFmtId="178" fontId="2" fillId="12" borderId="36" xfId="0" applyNumberFormat="1" applyFont="1" applyFill="1" applyBorder="1">
      <alignment vertical="center"/>
    </xf>
    <xf numFmtId="192" fontId="2" fillId="12" borderId="36" xfId="0" applyNumberFormat="1" applyFont="1" applyFill="1" applyBorder="1">
      <alignment vertical="center"/>
    </xf>
    <xf numFmtId="176" fontId="24" fillId="12" borderId="0" xfId="0" applyNumberFormat="1" applyFont="1" applyFill="1">
      <alignment vertical="center"/>
    </xf>
    <xf numFmtId="176" fontId="24" fillId="12" borderId="2" xfId="0" applyNumberFormat="1" applyFont="1" applyFill="1" applyBorder="1">
      <alignment vertical="center"/>
    </xf>
    <xf numFmtId="0" fontId="256" fillId="0" borderId="0" xfId="0" applyFont="1">
      <alignment vertical="center"/>
    </xf>
    <xf numFmtId="178" fontId="315" fillId="0" borderId="0" xfId="0" applyNumberFormat="1" applyFont="1">
      <alignment vertical="center"/>
    </xf>
    <xf numFmtId="220" fontId="5" fillId="0" borderId="0" xfId="0" applyNumberFormat="1" applyFont="1" applyAlignment="1">
      <alignment horizontal="center" vertical="center"/>
    </xf>
    <xf numFmtId="192" fontId="5" fillId="0" borderId="0" xfId="0" applyNumberFormat="1" applyFont="1" applyAlignment="1">
      <alignment horizontal="center" vertical="center"/>
    </xf>
    <xf numFmtId="41" fontId="27" fillId="12" borderId="4" xfId="0" applyNumberFormat="1" applyFont="1" applyFill="1" applyBorder="1">
      <alignment vertical="center"/>
    </xf>
    <xf numFmtId="41" fontId="27" fillId="12" borderId="1" xfId="0" applyNumberFormat="1" applyFont="1" applyFill="1" applyBorder="1">
      <alignment vertical="center"/>
    </xf>
    <xf numFmtId="41" fontId="27" fillId="12" borderId="5" xfId="0" applyNumberFormat="1" applyFont="1" applyFill="1" applyBorder="1">
      <alignment vertical="center"/>
    </xf>
    <xf numFmtId="41" fontId="27" fillId="0" borderId="0" xfId="0" applyNumberFormat="1" applyFont="1">
      <alignment vertical="center"/>
    </xf>
    <xf numFmtId="9" fontId="35" fillId="0" borderId="0" xfId="0" applyNumberFormat="1" applyFont="1">
      <alignment vertical="center"/>
    </xf>
    <xf numFmtId="9" fontId="27" fillId="0" borderId="0" xfId="0" applyNumberFormat="1" applyFont="1">
      <alignment vertical="center"/>
    </xf>
    <xf numFmtId="0" fontId="2" fillId="0" borderId="4" xfId="0" applyFont="1" applyBorder="1">
      <alignment vertical="center"/>
    </xf>
    <xf numFmtId="10" fontId="163" fillId="4" borderId="5" xfId="0" applyNumberFormat="1" applyFont="1" applyFill="1" applyBorder="1" applyAlignment="1">
      <alignment horizontal="center" vertical="center"/>
    </xf>
    <xf numFmtId="0" fontId="2" fillId="0" borderId="4" xfId="0" applyFont="1" applyBorder="1" applyAlignment="1">
      <alignment horizontal="left" vertical="center" indent="1"/>
    </xf>
    <xf numFmtId="10" fontId="257" fillId="0" borderId="5" xfId="0" applyNumberFormat="1" applyFont="1" applyBorder="1" applyAlignment="1">
      <alignment horizontal="center" vertical="center"/>
    </xf>
    <xf numFmtId="0" fontId="58" fillId="0" borderId="2" xfId="0" applyFont="1" applyBorder="1">
      <alignment vertical="center"/>
    </xf>
    <xf numFmtId="220" fontId="79" fillId="3" borderId="0" xfId="0" applyNumberFormat="1" applyFont="1" applyFill="1">
      <alignment vertical="center"/>
    </xf>
    <xf numFmtId="178" fontId="79" fillId="3" borderId="0" xfId="0" applyNumberFormat="1" applyFont="1" applyFill="1">
      <alignment vertical="center"/>
    </xf>
    <xf numFmtId="41" fontId="79" fillId="3" borderId="0" xfId="0" applyNumberFormat="1" applyFont="1" applyFill="1">
      <alignment vertical="center"/>
    </xf>
    <xf numFmtId="176" fontId="79" fillId="3" borderId="0" xfId="0" applyNumberFormat="1" applyFont="1" applyFill="1">
      <alignment vertical="center"/>
    </xf>
    <xf numFmtId="10" fontId="79" fillId="3" borderId="0" xfId="0" applyNumberFormat="1" applyFont="1" applyFill="1">
      <alignment vertical="center"/>
    </xf>
    <xf numFmtId="247" fontId="79" fillId="3" borderId="0" xfId="0" applyNumberFormat="1" applyFont="1" applyFill="1">
      <alignment vertical="center"/>
    </xf>
    <xf numFmtId="192" fontId="79" fillId="3" borderId="0" xfId="0" applyNumberFormat="1" applyFont="1" applyFill="1">
      <alignment vertical="center"/>
    </xf>
    <xf numFmtId="178" fontId="58" fillId="3" borderId="0" xfId="0" applyNumberFormat="1" applyFont="1" applyFill="1">
      <alignment vertical="center"/>
    </xf>
    <xf numFmtId="249" fontId="58" fillId="3" borderId="0" xfId="0" applyNumberFormat="1" applyFont="1" applyFill="1">
      <alignment vertical="center"/>
    </xf>
    <xf numFmtId="184" fontId="323" fillId="93" borderId="831" xfId="0" applyNumberFormat="1" applyFont="1" applyFill="1" applyBorder="1" applyAlignment="1">
      <alignment horizontal="center" vertical="center"/>
    </xf>
    <xf numFmtId="9" fontId="3" fillId="93" borderId="831" xfId="0" applyNumberFormat="1" applyFont="1" applyFill="1" applyBorder="1" applyAlignment="1">
      <alignment horizontal="right" vertical="center"/>
    </xf>
    <xf numFmtId="10" fontId="3" fillId="93" borderId="831" xfId="0" applyNumberFormat="1" applyFont="1" applyFill="1" applyBorder="1" applyAlignment="1">
      <alignment horizontal="right" vertical="center"/>
    </xf>
    <xf numFmtId="0" fontId="5" fillId="0" borderId="831" xfId="0" applyFont="1" applyBorder="1" applyAlignment="1">
      <alignment horizontal="centerContinuous" vertical="center"/>
    </xf>
    <xf numFmtId="178" fontId="4" fillId="3" borderId="831" xfId="0" applyNumberFormat="1" applyFont="1" applyFill="1" applyBorder="1">
      <alignment vertical="center"/>
    </xf>
    <xf numFmtId="178" fontId="4" fillId="5" borderId="831" xfId="0" applyNumberFormat="1" applyFont="1" applyFill="1" applyBorder="1">
      <alignment vertical="center"/>
    </xf>
    <xf numFmtId="178" fontId="4" fillId="3" borderId="0" xfId="0" applyNumberFormat="1" applyFont="1" applyFill="1">
      <alignment vertical="center"/>
    </xf>
    <xf numFmtId="178" fontId="4" fillId="5" borderId="0" xfId="0" applyNumberFormat="1" applyFont="1" applyFill="1">
      <alignment vertical="center"/>
    </xf>
    <xf numFmtId="178" fontId="4" fillId="3" borderId="802" xfId="0" applyNumberFormat="1" applyFont="1" applyFill="1" applyBorder="1">
      <alignment vertical="center"/>
    </xf>
    <xf numFmtId="178" fontId="4" fillId="3" borderId="25" xfId="0" applyNumberFormat="1" applyFont="1" applyFill="1" applyBorder="1">
      <alignment vertical="center"/>
    </xf>
    <xf numFmtId="178" fontId="4" fillId="0" borderId="25" xfId="0" applyNumberFormat="1" applyFont="1" applyBorder="1">
      <alignment vertical="center"/>
    </xf>
    <xf numFmtId="178" fontId="4" fillId="0" borderId="6" xfId="0" applyNumberFormat="1" applyFont="1" applyBorder="1">
      <alignment vertical="center"/>
    </xf>
    <xf numFmtId="220" fontId="5" fillId="0" borderId="2" xfId="0" applyNumberFormat="1" applyFont="1" applyBorder="1" applyAlignment="1">
      <alignment horizontal="center" vertical="center"/>
    </xf>
    <xf numFmtId="178" fontId="15" fillId="54" borderId="831" xfId="0" applyNumberFormat="1" applyFont="1" applyFill="1" applyBorder="1">
      <alignment vertical="center"/>
    </xf>
    <xf numFmtId="247" fontId="4" fillId="3" borderId="802" xfId="0" applyNumberFormat="1" applyFont="1" applyFill="1" applyBorder="1">
      <alignment vertical="center"/>
    </xf>
    <xf numFmtId="247" fontId="4" fillId="5" borderId="831" xfId="0" applyNumberFormat="1" applyFont="1" applyFill="1" applyBorder="1">
      <alignment vertical="center"/>
    </xf>
    <xf numFmtId="247" fontId="15" fillId="54" borderId="831" xfId="0" applyNumberFormat="1" applyFont="1" applyFill="1" applyBorder="1">
      <alignment vertical="center"/>
    </xf>
    <xf numFmtId="247" fontId="4" fillId="3" borderId="25" xfId="0" applyNumberFormat="1" applyFont="1" applyFill="1" applyBorder="1">
      <alignment vertical="center"/>
    </xf>
    <xf numFmtId="247" fontId="4" fillId="5" borderId="0" xfId="0" applyNumberFormat="1" applyFont="1" applyFill="1">
      <alignment vertical="center"/>
    </xf>
    <xf numFmtId="247" fontId="4" fillId="3" borderId="0" xfId="0" applyNumberFormat="1" applyFont="1" applyFill="1">
      <alignment vertical="center"/>
    </xf>
    <xf numFmtId="247" fontId="4" fillId="0" borderId="25" xfId="0" applyNumberFormat="1" applyFont="1" applyBorder="1">
      <alignment vertical="center"/>
    </xf>
    <xf numFmtId="247" fontId="4" fillId="0" borderId="0" xfId="0" applyNumberFormat="1" applyFont="1">
      <alignment vertical="center"/>
    </xf>
    <xf numFmtId="247" fontId="4" fillId="0" borderId="6" xfId="0" applyNumberFormat="1" applyFont="1" applyBorder="1">
      <alignment vertical="center"/>
    </xf>
    <xf numFmtId="247" fontId="4" fillId="0" borderId="2" xfId="0" applyNumberFormat="1" applyFont="1" applyBorder="1">
      <alignment vertical="center"/>
    </xf>
    <xf numFmtId="9" fontId="5" fillId="0" borderId="831" xfId="0" applyNumberFormat="1" applyFont="1" applyBorder="1" applyAlignment="1">
      <alignment horizontal="right" vertical="center"/>
    </xf>
    <xf numFmtId="184" fontId="3" fillId="0" borderId="831" xfId="0" applyNumberFormat="1" applyFont="1" applyBorder="1" applyAlignment="1">
      <alignment horizontal="center" vertical="center"/>
    </xf>
    <xf numFmtId="178" fontId="4" fillId="3" borderId="2" xfId="0" applyNumberFormat="1" applyFont="1" applyFill="1" applyBorder="1">
      <alignment vertical="center"/>
    </xf>
    <xf numFmtId="178" fontId="4" fillId="5" borderId="2" xfId="0" applyNumberFormat="1" applyFont="1" applyFill="1" applyBorder="1">
      <alignment vertical="center"/>
    </xf>
    <xf numFmtId="178" fontId="15" fillId="54" borderId="2" xfId="0" applyNumberFormat="1" applyFont="1" applyFill="1" applyBorder="1">
      <alignment vertical="center"/>
    </xf>
    <xf numFmtId="247" fontId="4" fillId="3" borderId="831" xfId="0" applyNumberFormat="1" applyFont="1" applyFill="1" applyBorder="1">
      <alignment vertical="center"/>
    </xf>
    <xf numFmtId="0" fontId="3" fillId="94" borderId="4" xfId="0" applyFont="1" applyFill="1" applyBorder="1" applyAlignment="1">
      <alignment horizontal="center" vertical="center"/>
    </xf>
    <xf numFmtId="0" fontId="256" fillId="44" borderId="0" xfId="0" applyFont="1" applyFill="1">
      <alignment vertical="center"/>
    </xf>
    <xf numFmtId="0" fontId="5" fillId="44" borderId="0" xfId="0" applyFont="1" applyFill="1">
      <alignment vertical="center"/>
    </xf>
    <xf numFmtId="0" fontId="5" fillId="0" borderId="0" xfId="0" applyFont="1">
      <alignment vertical="center"/>
    </xf>
    <xf numFmtId="176" fontId="15" fillId="0" borderId="1" xfId="0" applyNumberFormat="1" applyFont="1" applyBorder="1" applyAlignment="1">
      <alignment horizontal="center" vertical="center"/>
    </xf>
    <xf numFmtId="0" fontId="15" fillId="0" borderId="1" xfId="0" quotePrefix="1" applyFont="1" applyBorder="1" applyAlignment="1">
      <alignment horizontal="center" vertical="center"/>
    </xf>
    <xf numFmtId="0" fontId="324" fillId="0" borderId="1" xfId="0" quotePrefix="1" applyFont="1" applyBorder="1" applyAlignment="1">
      <alignment horizontal="center" vertical="center"/>
    </xf>
    <xf numFmtId="0" fontId="3" fillId="94" borderId="36" xfId="0" applyFont="1" applyFill="1" applyBorder="1" applyAlignment="1">
      <alignment horizontal="center" vertical="center"/>
    </xf>
    <xf numFmtId="250" fontId="4" fillId="0" borderId="36" xfId="0" applyNumberFormat="1" applyFont="1" applyBorder="1">
      <alignment vertical="center"/>
    </xf>
    <xf numFmtId="0" fontId="5" fillId="44" borderId="0" xfId="0" applyFont="1" applyFill="1" applyAlignment="1">
      <alignment horizontal="right" vertical="center"/>
    </xf>
    <xf numFmtId="14" fontId="326" fillId="0" borderId="36" xfId="0" applyNumberFormat="1" applyFont="1" applyBorder="1" applyAlignment="1">
      <alignment horizontal="center" vertical="center" wrapText="1"/>
    </xf>
    <xf numFmtId="177" fontId="4" fillId="0" borderId="36" xfId="0" applyNumberFormat="1" applyFont="1" applyBorder="1">
      <alignment vertical="center"/>
    </xf>
    <xf numFmtId="226" fontId="4" fillId="0" borderId="36" xfId="0" applyNumberFormat="1" applyFont="1" applyBorder="1" applyAlignment="1">
      <alignment horizontal="right" vertical="center"/>
    </xf>
    <xf numFmtId="251" fontId="4" fillId="0" borderId="36" xfId="0" applyNumberFormat="1" applyFont="1" applyBorder="1" applyAlignment="1">
      <alignment horizontal="right" vertical="center"/>
    </xf>
    <xf numFmtId="210" fontId="4" fillId="0" borderId="36" xfId="0" applyNumberFormat="1" applyFont="1" applyBorder="1">
      <alignment vertical="center"/>
    </xf>
    <xf numFmtId="252" fontId="4" fillId="0" borderId="36" xfId="0" applyNumberFormat="1" applyFont="1" applyBorder="1">
      <alignment vertical="center"/>
    </xf>
    <xf numFmtId="178" fontId="3" fillId="93" borderId="831" xfId="0" applyNumberFormat="1" applyFont="1" applyFill="1" applyBorder="1" applyAlignment="1">
      <alignment horizontal="right" vertical="center"/>
    </xf>
    <xf numFmtId="178" fontId="5" fillId="0" borderId="831" xfId="0" applyNumberFormat="1" applyFont="1" applyBorder="1" applyAlignment="1">
      <alignment horizontal="right" vertical="center"/>
    </xf>
    <xf numFmtId="176" fontId="3" fillId="93" borderId="831" xfId="0" applyNumberFormat="1" applyFont="1" applyFill="1" applyBorder="1" applyAlignment="1">
      <alignment horizontal="right" vertical="center"/>
    </xf>
    <xf numFmtId="0" fontId="4" fillId="53" borderId="36" xfId="0" applyFont="1" applyFill="1" applyBorder="1" applyAlignment="1">
      <alignment horizontal="center" vertical="center"/>
    </xf>
    <xf numFmtId="226" fontId="4" fillId="53" borderId="36" xfId="0" applyNumberFormat="1" applyFont="1" applyFill="1" applyBorder="1" applyAlignment="1">
      <alignment horizontal="center" vertical="center"/>
    </xf>
    <xf numFmtId="250" fontId="4" fillId="53" borderId="36" xfId="0" applyNumberFormat="1" applyFont="1" applyFill="1" applyBorder="1">
      <alignment vertical="center"/>
    </xf>
    <xf numFmtId="0" fontId="4" fillId="53" borderId="0" xfId="0" applyFont="1" applyFill="1">
      <alignment vertical="center"/>
    </xf>
    <xf numFmtId="9" fontId="4" fillId="12" borderId="802" xfId="0" applyNumberFormat="1" applyFont="1" applyFill="1" applyBorder="1">
      <alignment vertical="center"/>
    </xf>
    <xf numFmtId="9" fontId="4" fillId="12" borderId="830" xfId="0" applyNumberFormat="1" applyFont="1" applyFill="1" applyBorder="1">
      <alignment vertical="center"/>
    </xf>
    <xf numFmtId="9" fontId="4" fillId="12" borderId="427" xfId="0" applyNumberFormat="1" applyFont="1" applyFill="1" applyBorder="1">
      <alignment vertical="center"/>
    </xf>
    <xf numFmtId="9" fontId="4" fillId="12" borderId="6" xfId="0" applyNumberFormat="1" applyFont="1" applyFill="1" applyBorder="1">
      <alignment vertical="center"/>
    </xf>
    <xf numFmtId="9" fontId="4" fillId="12" borderId="7" xfId="0" applyNumberFormat="1" applyFont="1" applyFill="1" applyBorder="1">
      <alignment vertical="center"/>
    </xf>
    <xf numFmtId="176" fontId="15" fillId="0" borderId="0" xfId="0" applyNumberFormat="1" applyFont="1" applyAlignment="1">
      <alignment horizontal="center" vertical="center"/>
    </xf>
    <xf numFmtId="178" fontId="4" fillId="12" borderId="802" xfId="0" applyNumberFormat="1" applyFont="1" applyFill="1" applyBorder="1">
      <alignment vertical="center"/>
    </xf>
    <xf numFmtId="178" fontId="4" fillId="12" borderId="830" xfId="0" applyNumberFormat="1" applyFont="1" applyFill="1" applyBorder="1">
      <alignment vertical="center"/>
    </xf>
    <xf numFmtId="178" fontId="4" fillId="12" borderId="25" xfId="0" applyNumberFormat="1" applyFont="1" applyFill="1" applyBorder="1">
      <alignment vertical="center"/>
    </xf>
    <xf numFmtId="178" fontId="4" fillId="12" borderId="0" xfId="0" applyNumberFormat="1" applyFont="1" applyFill="1">
      <alignment vertical="center"/>
    </xf>
    <xf numFmtId="178" fontId="4" fillId="12" borderId="427" xfId="0" applyNumberFormat="1" applyFont="1" applyFill="1" applyBorder="1">
      <alignment vertical="center"/>
    </xf>
    <xf numFmtId="178" fontId="4" fillId="12" borderId="6" xfId="0" applyNumberFormat="1" applyFont="1" applyFill="1" applyBorder="1">
      <alignment vertical="center"/>
    </xf>
    <xf numFmtId="178" fontId="4" fillId="12" borderId="2" xfId="0" applyNumberFormat="1" applyFont="1" applyFill="1" applyBorder="1">
      <alignment vertical="center"/>
    </xf>
    <xf numFmtId="178" fontId="4" fillId="12" borderId="7" xfId="0" applyNumberFormat="1" applyFont="1" applyFill="1" applyBorder="1">
      <alignment vertical="center"/>
    </xf>
    <xf numFmtId="178" fontId="4" fillId="14" borderId="831" xfId="0" applyNumberFormat="1" applyFont="1" applyFill="1" applyBorder="1">
      <alignment vertical="center"/>
    </xf>
    <xf numFmtId="178" fontId="4" fillId="14" borderId="0" xfId="0" applyNumberFormat="1" applyFont="1" applyFill="1">
      <alignment vertical="center"/>
    </xf>
    <xf numFmtId="178" fontId="4" fillId="14" borderId="2" xfId="0" applyNumberFormat="1" applyFont="1" applyFill="1" applyBorder="1">
      <alignment vertical="center"/>
    </xf>
    <xf numFmtId="176" fontId="4" fillId="12" borderId="0" xfId="0" applyNumberFormat="1" applyFont="1" applyFill="1">
      <alignment vertical="center"/>
    </xf>
    <xf numFmtId="3" fontId="4" fillId="12" borderId="0" xfId="0" applyNumberFormat="1" applyFont="1" applyFill="1">
      <alignment vertical="center"/>
    </xf>
    <xf numFmtId="176" fontId="4" fillId="12" borderId="2" xfId="0" applyNumberFormat="1" applyFont="1" applyFill="1" applyBorder="1">
      <alignment vertical="center"/>
    </xf>
    <xf numFmtId="3" fontId="4" fillId="12" borderId="2" xfId="0" applyNumberFormat="1" applyFont="1" applyFill="1" applyBorder="1">
      <alignment vertical="center"/>
    </xf>
    <xf numFmtId="179" fontId="4" fillId="12" borderId="0" xfId="0" applyNumberFormat="1" applyFont="1" applyFill="1">
      <alignment vertical="center"/>
    </xf>
    <xf numFmtId="179" fontId="4" fillId="12" borderId="2" xfId="0" applyNumberFormat="1" applyFont="1" applyFill="1" applyBorder="1">
      <alignment vertical="center"/>
    </xf>
    <xf numFmtId="10" fontId="4" fillId="12" borderId="0" xfId="0" applyNumberFormat="1" applyFont="1" applyFill="1">
      <alignment vertical="center"/>
    </xf>
    <xf numFmtId="0" fontId="4" fillId="12" borderId="0" xfId="0" applyFont="1" applyFill="1">
      <alignment vertical="center"/>
    </xf>
    <xf numFmtId="4" fontId="4" fillId="12" borderId="0" xfId="0" applyNumberFormat="1" applyFont="1" applyFill="1">
      <alignment vertical="center"/>
    </xf>
    <xf numFmtId="219" fontId="4" fillId="12" borderId="0" xfId="0" applyNumberFormat="1" applyFont="1" applyFill="1">
      <alignment vertical="center"/>
    </xf>
    <xf numFmtId="4" fontId="4" fillId="12" borderId="2" xfId="0" applyNumberFormat="1" applyFont="1" applyFill="1" applyBorder="1">
      <alignment vertical="center"/>
    </xf>
    <xf numFmtId="9" fontId="4" fillId="12" borderId="2" xfId="0" applyNumberFormat="1" applyFont="1" applyFill="1" applyBorder="1">
      <alignment vertical="center"/>
    </xf>
    <xf numFmtId="176" fontId="15" fillId="14" borderId="3" xfId="0" applyNumberFormat="1" applyFont="1" applyFill="1" applyBorder="1">
      <alignment vertical="center"/>
    </xf>
    <xf numFmtId="176" fontId="4" fillId="14" borderId="0" xfId="0" applyNumberFormat="1" applyFont="1" applyFill="1">
      <alignment vertical="center"/>
    </xf>
    <xf numFmtId="9" fontId="11" fillId="14" borderId="0" xfId="0" applyNumberFormat="1" applyFont="1" applyFill="1" applyAlignment="1">
      <alignment horizontal="right" vertical="center"/>
    </xf>
    <xf numFmtId="176" fontId="4" fillId="14" borderId="2" xfId="0" applyNumberFormat="1" applyFont="1" applyFill="1" applyBorder="1">
      <alignment vertical="center"/>
    </xf>
    <xf numFmtId="176" fontId="13" fillId="14" borderId="0" xfId="0" applyNumberFormat="1" applyFont="1" applyFill="1">
      <alignment vertical="center"/>
    </xf>
    <xf numFmtId="10" fontId="25" fillId="14" borderId="2" xfId="0" applyNumberFormat="1" applyFont="1" applyFill="1" applyBorder="1">
      <alignment vertical="center"/>
    </xf>
    <xf numFmtId="0" fontId="4" fillId="0" borderId="802" xfId="0" applyFont="1" applyBorder="1">
      <alignment vertical="center"/>
    </xf>
    <xf numFmtId="176" fontId="24" fillId="0" borderId="799" xfId="0" applyNumberFormat="1" applyFont="1" applyBorder="1">
      <alignment vertical="center"/>
    </xf>
    <xf numFmtId="176" fontId="24" fillId="0" borderId="831" xfId="0" applyNumberFormat="1" applyFont="1" applyBorder="1">
      <alignment vertical="center"/>
    </xf>
    <xf numFmtId="176" fontId="16" fillId="0" borderId="831" xfId="0" applyNumberFormat="1" applyFont="1" applyBorder="1">
      <alignment vertical="center"/>
    </xf>
    <xf numFmtId="176" fontId="4" fillId="14" borderId="831" xfId="0" applyNumberFormat="1" applyFont="1" applyFill="1" applyBorder="1">
      <alignment vertical="center"/>
    </xf>
    <xf numFmtId="176" fontId="4" fillId="14" borderId="830" xfId="0" applyNumberFormat="1" applyFont="1" applyFill="1" applyBorder="1">
      <alignment vertical="center"/>
    </xf>
    <xf numFmtId="0" fontId="11" fillId="0" borderId="25" xfId="0" applyFont="1" applyBorder="1">
      <alignment vertical="center"/>
    </xf>
    <xf numFmtId="9" fontId="11" fillId="14" borderId="427" xfId="0" applyNumberFormat="1" applyFont="1" applyFill="1" applyBorder="1" applyAlignment="1">
      <alignment horizontal="right" vertical="center"/>
    </xf>
    <xf numFmtId="0" fontId="4" fillId="0" borderId="25" xfId="0" applyFont="1" applyBorder="1">
      <alignment vertical="center"/>
    </xf>
    <xf numFmtId="177" fontId="4" fillId="14" borderId="0" xfId="0" applyNumberFormat="1" applyFont="1" applyFill="1">
      <alignment vertical="center"/>
    </xf>
    <xf numFmtId="177" fontId="4" fillId="14" borderId="427" xfId="0" applyNumberFormat="1" applyFont="1" applyFill="1" applyBorder="1">
      <alignment vertical="center"/>
    </xf>
    <xf numFmtId="176" fontId="13" fillId="14" borderId="427" xfId="0" applyNumberFormat="1" applyFont="1" applyFill="1" applyBorder="1">
      <alignment vertical="center"/>
    </xf>
    <xf numFmtId="3" fontId="13" fillId="14" borderId="0" xfId="0" applyNumberFormat="1" applyFont="1" applyFill="1">
      <alignment vertical="center"/>
    </xf>
    <xf numFmtId="3" fontId="13" fillId="14" borderId="427" xfId="0" applyNumberFormat="1" applyFont="1" applyFill="1" applyBorder="1">
      <alignment vertical="center"/>
    </xf>
    <xf numFmtId="0" fontId="4" fillId="0" borderId="6" xfId="0" applyFont="1" applyBorder="1">
      <alignment vertical="center"/>
    </xf>
    <xf numFmtId="176" fontId="24" fillId="0" borderId="21" xfId="0" applyNumberFormat="1" applyFont="1" applyBorder="1">
      <alignment vertical="center"/>
    </xf>
    <xf numFmtId="176" fontId="24" fillId="0" borderId="2" xfId="0" applyNumberFormat="1" applyFont="1" applyBorder="1">
      <alignment vertical="center"/>
    </xf>
    <xf numFmtId="176" fontId="13" fillId="14" borderId="2" xfId="0" applyNumberFormat="1" applyFont="1" applyFill="1" applyBorder="1">
      <alignment vertical="center"/>
    </xf>
    <xf numFmtId="176" fontId="13" fillId="14" borderId="7" xfId="0" applyNumberFormat="1" applyFont="1" applyFill="1" applyBorder="1">
      <alignment vertical="center"/>
    </xf>
    <xf numFmtId="176" fontId="4" fillId="14" borderId="427" xfId="0" applyNumberFormat="1" applyFont="1" applyFill="1" applyBorder="1">
      <alignment vertical="center"/>
    </xf>
    <xf numFmtId="10" fontId="29" fillId="6" borderId="0" xfId="0" applyNumberFormat="1" applyFont="1" applyFill="1">
      <alignment vertical="center"/>
    </xf>
    <xf numFmtId="10" fontId="25" fillId="14" borderId="0" xfId="0" applyNumberFormat="1" applyFont="1" applyFill="1">
      <alignment vertical="center"/>
    </xf>
    <xf numFmtId="10" fontId="25" fillId="14" borderId="427" xfId="0" applyNumberFormat="1" applyFont="1" applyFill="1" applyBorder="1">
      <alignment vertical="center"/>
    </xf>
    <xf numFmtId="177" fontId="13" fillId="14" borderId="0" xfId="0" applyNumberFormat="1" applyFont="1" applyFill="1">
      <alignment vertical="center"/>
    </xf>
    <xf numFmtId="177" fontId="13" fillId="14" borderId="427" xfId="0" applyNumberFormat="1" applyFont="1" applyFill="1" applyBorder="1">
      <alignment vertical="center"/>
    </xf>
    <xf numFmtId="0" fontId="11" fillId="0" borderId="6" xfId="0" applyFont="1" applyBorder="1">
      <alignment vertical="center"/>
    </xf>
    <xf numFmtId="10" fontId="25" fillId="14" borderId="7" xfId="0" applyNumberFormat="1" applyFont="1" applyFill="1" applyBorder="1">
      <alignment vertical="center"/>
    </xf>
    <xf numFmtId="178" fontId="11" fillId="14" borderId="0" xfId="0" applyNumberFormat="1" applyFont="1" applyFill="1">
      <alignment vertical="center"/>
    </xf>
    <xf numFmtId="9" fontId="11" fillId="14" borderId="0" xfId="0" applyNumberFormat="1" applyFont="1" applyFill="1">
      <alignment vertical="center"/>
    </xf>
    <xf numFmtId="9" fontId="11" fillId="14" borderId="2" xfId="0" applyNumberFormat="1" applyFont="1" applyFill="1" applyBorder="1">
      <alignment vertical="center"/>
    </xf>
    <xf numFmtId="178" fontId="29" fillId="14" borderId="2" xfId="0" applyNumberFormat="1" applyFont="1" applyFill="1" applyBorder="1">
      <alignment vertical="center"/>
    </xf>
    <xf numFmtId="176" fontId="16" fillId="0" borderId="799" xfId="0" applyNumberFormat="1" applyFont="1" applyBorder="1">
      <alignment vertical="center"/>
    </xf>
    <xf numFmtId="176" fontId="16" fillId="14" borderId="831" xfId="0" applyNumberFormat="1" applyFont="1" applyFill="1" applyBorder="1">
      <alignment vertical="center"/>
    </xf>
    <xf numFmtId="176" fontId="16" fillId="14" borderId="830" xfId="0" applyNumberFormat="1" applyFont="1" applyFill="1" applyBorder="1">
      <alignment vertical="center"/>
    </xf>
    <xf numFmtId="0" fontId="29" fillId="0" borderId="25" xfId="0" applyFont="1" applyBorder="1">
      <alignment vertical="center"/>
    </xf>
    <xf numFmtId="9" fontId="29" fillId="14" borderId="0" xfId="0" applyNumberFormat="1" applyFont="1" applyFill="1">
      <alignment vertical="center"/>
    </xf>
    <xf numFmtId="9" fontId="29" fillId="14" borderId="427" xfId="0" applyNumberFormat="1" applyFont="1" applyFill="1" applyBorder="1">
      <alignment vertical="center"/>
    </xf>
    <xf numFmtId="177" fontId="16" fillId="14" borderId="0" xfId="0" applyNumberFormat="1" applyFont="1" applyFill="1">
      <alignment vertical="center"/>
    </xf>
    <xf numFmtId="177" fontId="16" fillId="14" borderId="427" xfId="0" applyNumberFormat="1" applyFont="1" applyFill="1" applyBorder="1">
      <alignment vertical="center"/>
    </xf>
    <xf numFmtId="176" fontId="16" fillId="14" borderId="0" xfId="0" applyNumberFormat="1" applyFont="1" applyFill="1">
      <alignment vertical="center"/>
    </xf>
    <xf numFmtId="176" fontId="16" fillId="14" borderId="427" xfId="0" applyNumberFormat="1" applyFont="1" applyFill="1" applyBorder="1">
      <alignment vertical="center"/>
    </xf>
    <xf numFmtId="9" fontId="29" fillId="14" borderId="0" xfId="0" applyNumberFormat="1" applyFont="1" applyFill="1" applyAlignment="1">
      <alignment horizontal="right" vertical="center"/>
    </xf>
    <xf numFmtId="9" fontId="29" fillId="14" borderId="427" xfId="0" applyNumberFormat="1" applyFont="1" applyFill="1" applyBorder="1" applyAlignment="1">
      <alignment horizontal="right" vertical="center"/>
    </xf>
    <xf numFmtId="177" fontId="16" fillId="6" borderId="0" xfId="0" applyNumberFormat="1" applyFont="1" applyFill="1">
      <alignment vertical="center"/>
    </xf>
    <xf numFmtId="9" fontId="11" fillId="14" borderId="427" xfId="0" applyNumberFormat="1" applyFont="1" applyFill="1" applyBorder="1">
      <alignment vertical="center"/>
    </xf>
    <xf numFmtId="176" fontId="16" fillId="14" borderId="0" xfId="0" applyNumberFormat="1" applyFont="1" applyFill="1" applyAlignment="1">
      <alignment horizontal="right" vertical="center"/>
    </xf>
    <xf numFmtId="176" fontId="16" fillId="14" borderId="427" xfId="0" applyNumberFormat="1" applyFont="1" applyFill="1" applyBorder="1" applyAlignment="1">
      <alignment horizontal="right" vertical="center"/>
    </xf>
    <xf numFmtId="9" fontId="29" fillId="0" borderId="21" xfId="0" applyNumberFormat="1" applyFont="1" applyBorder="1">
      <alignment vertical="center"/>
    </xf>
    <xf numFmtId="9" fontId="29" fillId="14" borderId="2" xfId="0" applyNumberFormat="1" applyFont="1" applyFill="1" applyBorder="1">
      <alignment vertical="center"/>
    </xf>
    <xf numFmtId="9" fontId="29" fillId="14" borderId="7" xfId="0" applyNumberFormat="1" applyFont="1" applyFill="1" applyBorder="1">
      <alignment vertical="center"/>
    </xf>
    <xf numFmtId="0" fontId="256" fillId="0" borderId="25" xfId="0" applyFont="1" applyBorder="1">
      <alignment vertical="center"/>
    </xf>
    <xf numFmtId="9" fontId="256" fillId="0" borderId="16" xfId="0" applyNumberFormat="1" applyFont="1" applyBorder="1">
      <alignment vertical="center"/>
    </xf>
    <xf numFmtId="9" fontId="256" fillId="0" borderId="0" xfId="0" applyNumberFormat="1" applyFont="1">
      <alignment vertical="center"/>
    </xf>
    <xf numFmtId="9" fontId="256" fillId="14" borderId="0" xfId="0" applyNumberFormat="1" applyFont="1" applyFill="1">
      <alignment vertical="center"/>
    </xf>
    <xf numFmtId="9" fontId="256" fillId="14" borderId="427" xfId="0" applyNumberFormat="1" applyFont="1" applyFill="1" applyBorder="1">
      <alignment vertical="center"/>
    </xf>
    <xf numFmtId="0" fontId="327" fillId="0" borderId="0" xfId="0" applyFont="1">
      <alignment vertical="center"/>
    </xf>
    <xf numFmtId="0" fontId="11" fillId="0" borderId="831" xfId="0" applyFont="1" applyBorder="1">
      <alignment vertical="center"/>
    </xf>
    <xf numFmtId="178" fontId="29" fillId="14" borderId="7" xfId="0" applyNumberFormat="1" applyFont="1" applyFill="1" applyBorder="1">
      <alignment vertical="center"/>
    </xf>
    <xf numFmtId="176" fontId="13" fillId="0" borderId="799" xfId="0" applyNumberFormat="1" applyFont="1" applyBorder="1">
      <alignment vertical="center"/>
    </xf>
    <xf numFmtId="176" fontId="13" fillId="0" borderId="831" xfId="0" applyNumberFormat="1" applyFont="1" applyBorder="1">
      <alignment vertical="center"/>
    </xf>
    <xf numFmtId="0" fontId="16" fillId="0" borderId="6" xfId="0" applyFont="1" applyBorder="1">
      <alignment vertical="center"/>
    </xf>
    <xf numFmtId="176" fontId="16" fillId="0" borderId="21" xfId="0" applyNumberFormat="1" applyFont="1" applyBorder="1">
      <alignment vertical="center"/>
    </xf>
    <xf numFmtId="0" fontId="4" fillId="0" borderId="2" xfId="0" applyFont="1" applyBorder="1" applyAlignment="1">
      <alignment horizontal="left" vertical="center" indent="2"/>
    </xf>
    <xf numFmtId="0" fontId="16" fillId="0" borderId="831" xfId="0" applyFont="1" applyBorder="1">
      <alignment vertical="center"/>
    </xf>
    <xf numFmtId="0" fontId="16" fillId="0" borderId="802" xfId="0" applyFont="1" applyBorder="1">
      <alignment vertical="center"/>
    </xf>
    <xf numFmtId="9" fontId="25" fillId="14" borderId="0" xfId="0" applyNumberFormat="1" applyFont="1" applyFill="1">
      <alignment vertical="center"/>
    </xf>
    <xf numFmtId="9" fontId="25" fillId="14" borderId="2" xfId="0" applyNumberFormat="1" applyFont="1" applyFill="1" applyBorder="1">
      <alignment vertical="center"/>
    </xf>
    <xf numFmtId="176" fontId="4" fillId="0" borderId="799" xfId="0" applyNumberFormat="1" applyFont="1" applyBorder="1">
      <alignment vertical="center"/>
    </xf>
    <xf numFmtId="176" fontId="4" fillId="71" borderId="831" xfId="0" applyNumberFormat="1" applyFont="1" applyFill="1" applyBorder="1">
      <alignment vertical="center"/>
    </xf>
    <xf numFmtId="9" fontId="25" fillId="14" borderId="427" xfId="0" applyNumberFormat="1" applyFont="1" applyFill="1" applyBorder="1">
      <alignment vertical="center"/>
    </xf>
    <xf numFmtId="9" fontId="29" fillId="71" borderId="2" xfId="0" applyNumberFormat="1" applyFont="1" applyFill="1" applyBorder="1">
      <alignment vertical="center"/>
    </xf>
    <xf numFmtId="9" fontId="25" fillId="14" borderId="7" xfId="0" applyNumberFormat="1" applyFont="1" applyFill="1" applyBorder="1">
      <alignment vertical="center"/>
    </xf>
    <xf numFmtId="9" fontId="29" fillId="0" borderId="25" xfId="0" applyNumberFormat="1" applyFont="1" applyBorder="1">
      <alignment vertical="center"/>
    </xf>
    <xf numFmtId="3" fontId="15" fillId="14" borderId="0" xfId="0" applyNumberFormat="1" applyFont="1" applyFill="1">
      <alignment vertical="center"/>
    </xf>
    <xf numFmtId="3" fontId="4" fillId="14" borderId="0" xfId="0" applyNumberFormat="1" applyFont="1" applyFill="1">
      <alignment vertical="center"/>
    </xf>
    <xf numFmtId="179" fontId="4" fillId="14" borderId="0" xfId="0" applyNumberFormat="1" applyFont="1" applyFill="1">
      <alignment vertical="center"/>
    </xf>
    <xf numFmtId="179" fontId="15" fillId="14" borderId="0" xfId="0" applyNumberFormat="1" applyFont="1" applyFill="1">
      <alignment vertical="center"/>
    </xf>
    <xf numFmtId="3" fontId="11" fillId="14" borderId="0" xfId="0" applyNumberFormat="1" applyFont="1" applyFill="1">
      <alignment vertical="center"/>
    </xf>
    <xf numFmtId="237" fontId="4" fillId="14" borderId="0" xfId="0" applyNumberFormat="1" applyFont="1" applyFill="1">
      <alignment vertical="center"/>
    </xf>
    <xf numFmtId="176" fontId="15" fillId="14" borderId="10" xfId="0" applyNumberFormat="1" applyFont="1" applyFill="1" applyBorder="1">
      <alignment vertical="center"/>
    </xf>
    <xf numFmtId="176" fontId="4" fillId="95" borderId="0" xfId="0" applyNumberFormat="1" applyFont="1" applyFill="1">
      <alignment vertical="center"/>
    </xf>
    <xf numFmtId="192" fontId="11" fillId="95" borderId="0" xfId="0" applyNumberFormat="1" applyFont="1" applyFill="1">
      <alignment vertical="center"/>
    </xf>
    <xf numFmtId="192" fontId="25" fillId="95" borderId="0" xfId="0" applyNumberFormat="1" applyFont="1" applyFill="1">
      <alignment vertical="center"/>
    </xf>
    <xf numFmtId="192" fontId="11" fillId="14" borderId="0" xfId="0" applyNumberFormat="1" applyFont="1" applyFill="1">
      <alignment vertical="center"/>
    </xf>
    <xf numFmtId="192" fontId="25" fillId="14" borderId="0" xfId="0" applyNumberFormat="1" applyFont="1" applyFill="1">
      <alignment vertical="center"/>
    </xf>
    <xf numFmtId="176" fontId="2" fillId="14" borderId="0" xfId="0" applyNumberFormat="1" applyFont="1" applyFill="1">
      <alignment vertical="center"/>
    </xf>
    <xf numFmtId="192" fontId="25" fillId="14" borderId="2" xfId="0" applyNumberFormat="1" applyFont="1" applyFill="1" applyBorder="1">
      <alignment vertical="center"/>
    </xf>
    <xf numFmtId="10" fontId="4" fillId="14" borderId="2" xfId="0" applyNumberFormat="1" applyFont="1" applyFill="1" applyBorder="1">
      <alignment vertical="center"/>
    </xf>
    <xf numFmtId="3" fontId="15" fillId="14" borderId="3" xfId="0" applyNumberFormat="1" applyFont="1" applyFill="1" applyBorder="1">
      <alignment vertical="center"/>
    </xf>
    <xf numFmtId="3" fontId="2" fillId="14" borderId="10" xfId="0" applyNumberFormat="1" applyFont="1" applyFill="1" applyBorder="1">
      <alignment vertical="center"/>
    </xf>
    <xf numFmtId="3" fontId="2" fillId="14" borderId="13" xfId="0" applyNumberFormat="1" applyFont="1" applyFill="1" applyBorder="1">
      <alignment vertical="center"/>
    </xf>
    <xf numFmtId="178" fontId="11" fillId="14" borderId="10" xfId="0" applyNumberFormat="1" applyFont="1" applyFill="1" applyBorder="1">
      <alignment vertical="center"/>
    </xf>
    <xf numFmtId="3" fontId="2" fillId="14" borderId="0" xfId="0" applyNumberFormat="1" applyFont="1" applyFill="1">
      <alignment vertical="center"/>
    </xf>
    <xf numFmtId="180" fontId="2" fillId="14" borderId="0" xfId="0" applyNumberFormat="1" applyFont="1" applyFill="1">
      <alignment vertical="center"/>
    </xf>
    <xf numFmtId="180" fontId="2" fillId="14" borderId="10" xfId="0" applyNumberFormat="1" applyFont="1" applyFill="1" applyBorder="1">
      <alignment vertical="center"/>
    </xf>
    <xf numFmtId="180" fontId="11" fillId="14" borderId="0" xfId="0" quotePrefix="1" applyNumberFormat="1" applyFont="1" applyFill="1" applyAlignment="1">
      <alignment horizontal="right" vertical="center"/>
    </xf>
    <xf numFmtId="181" fontId="2" fillId="14" borderId="0" xfId="0" applyNumberFormat="1" applyFont="1" applyFill="1">
      <alignment vertical="center"/>
    </xf>
    <xf numFmtId="176" fontId="15" fillId="14" borderId="18" xfId="0" applyNumberFormat="1" applyFont="1" applyFill="1" applyBorder="1" applyAlignment="1">
      <alignment horizontal="right" vertical="center"/>
    </xf>
    <xf numFmtId="4" fontId="2" fillId="14" borderId="0" xfId="0" applyNumberFormat="1" applyFont="1" applyFill="1">
      <alignment vertical="center"/>
    </xf>
    <xf numFmtId="180" fontId="15" fillId="14" borderId="18" xfId="0" applyNumberFormat="1" applyFont="1" applyFill="1" applyBorder="1">
      <alignment vertical="center"/>
    </xf>
    <xf numFmtId="176" fontId="15" fillId="14" borderId="831" xfId="0" applyNumberFormat="1" applyFont="1" applyFill="1" applyBorder="1">
      <alignment vertical="center"/>
    </xf>
    <xf numFmtId="176" fontId="16" fillId="14" borderId="2" xfId="0" applyNumberFormat="1" applyFont="1" applyFill="1" applyBorder="1">
      <alignment vertical="center"/>
    </xf>
    <xf numFmtId="176" fontId="16" fillId="14" borderId="7" xfId="0" applyNumberFormat="1" applyFont="1" applyFill="1" applyBorder="1">
      <alignment vertical="center"/>
    </xf>
    <xf numFmtId="178" fontId="25" fillId="14" borderId="2" xfId="0" applyNumberFormat="1" applyFont="1" applyFill="1" applyBorder="1">
      <alignment vertical="center"/>
    </xf>
    <xf numFmtId="178" fontId="25" fillId="14" borderId="7" xfId="0" applyNumberFormat="1" applyFont="1" applyFill="1" applyBorder="1">
      <alignment vertical="center"/>
    </xf>
    <xf numFmtId="9" fontId="13" fillId="14" borderId="0" xfId="0" applyNumberFormat="1" applyFont="1" applyFill="1">
      <alignment vertical="center"/>
    </xf>
    <xf numFmtId="9" fontId="13" fillId="14" borderId="427" xfId="0" applyNumberFormat="1" applyFont="1" applyFill="1" applyBorder="1">
      <alignment vertical="center"/>
    </xf>
    <xf numFmtId="189" fontId="16" fillId="14" borderId="0" xfId="0" applyNumberFormat="1" applyFont="1" applyFill="1">
      <alignment vertical="center"/>
    </xf>
    <xf numFmtId="189" fontId="16" fillId="14" borderId="427" xfId="0" applyNumberFormat="1" applyFont="1" applyFill="1" applyBorder="1">
      <alignment vertical="center"/>
    </xf>
    <xf numFmtId="189" fontId="13" fillId="14" borderId="2" xfId="0" applyNumberFormat="1" applyFont="1" applyFill="1" applyBorder="1">
      <alignment vertical="center"/>
    </xf>
    <xf numFmtId="189" fontId="13" fillId="14" borderId="7" xfId="0" applyNumberFormat="1" applyFont="1" applyFill="1" applyBorder="1">
      <alignment vertical="center"/>
    </xf>
    <xf numFmtId="176" fontId="12" fillId="14" borderId="0" xfId="0" applyNumberFormat="1" applyFont="1" applyFill="1">
      <alignment vertical="center"/>
    </xf>
    <xf numFmtId="176" fontId="12" fillId="14" borderId="427" xfId="0" applyNumberFormat="1" applyFont="1" applyFill="1" applyBorder="1">
      <alignment vertical="center"/>
    </xf>
    <xf numFmtId="176" fontId="4" fillId="14" borderId="7" xfId="0" applyNumberFormat="1" applyFont="1" applyFill="1" applyBorder="1">
      <alignment vertical="center"/>
    </xf>
    <xf numFmtId="194" fontId="15" fillId="14" borderId="831" xfId="0" applyNumberFormat="1" applyFont="1" applyFill="1" applyBorder="1">
      <alignment vertical="center"/>
    </xf>
    <xf numFmtId="194" fontId="16" fillId="14" borderId="0" xfId="0" applyNumberFormat="1" applyFont="1" applyFill="1">
      <alignment vertical="center"/>
    </xf>
    <xf numFmtId="194" fontId="16" fillId="14" borderId="2" xfId="0" applyNumberFormat="1" applyFont="1" applyFill="1" applyBorder="1">
      <alignment vertical="center"/>
    </xf>
    <xf numFmtId="176" fontId="4" fillId="14" borderId="0" xfId="0" applyNumberFormat="1" applyFont="1" applyFill="1" applyAlignment="1">
      <alignment horizontal="right" vertical="center"/>
    </xf>
    <xf numFmtId="176" fontId="4" fillId="95" borderId="0" xfId="0" applyNumberFormat="1" applyFont="1" applyFill="1" applyAlignment="1">
      <alignment horizontal="right" vertical="center"/>
    </xf>
    <xf numFmtId="179" fontId="4" fillId="14" borderId="2" xfId="0" applyNumberFormat="1" applyFont="1" applyFill="1" applyBorder="1" applyAlignment="1">
      <alignment horizontal="right" vertical="center"/>
    </xf>
    <xf numFmtId="176" fontId="4" fillId="14" borderId="2" xfId="0" applyNumberFormat="1" applyFont="1" applyFill="1" applyBorder="1" applyAlignment="1">
      <alignment horizontal="right" vertical="center"/>
    </xf>
    <xf numFmtId="176" fontId="13" fillId="14" borderId="0" xfId="0" applyNumberFormat="1" applyFont="1" applyFill="1" applyAlignment="1">
      <alignment horizontal="right" vertical="center"/>
    </xf>
    <xf numFmtId="177" fontId="4" fillId="14" borderId="0" xfId="0" applyNumberFormat="1" applyFont="1" applyFill="1" applyAlignment="1">
      <alignment horizontal="right" vertical="center"/>
    </xf>
    <xf numFmtId="176" fontId="12" fillId="14" borderId="2" xfId="0" applyNumberFormat="1" applyFont="1" applyFill="1" applyBorder="1" applyAlignment="1">
      <alignment horizontal="right" vertical="center"/>
    </xf>
    <xf numFmtId="176" fontId="13" fillId="14" borderId="2" xfId="0" applyNumberFormat="1" applyFont="1" applyFill="1" applyBorder="1" applyAlignment="1">
      <alignment horizontal="right" vertical="center"/>
    </xf>
    <xf numFmtId="176" fontId="15" fillId="95" borderId="831" xfId="0" applyNumberFormat="1" applyFont="1" applyFill="1" applyBorder="1">
      <alignment vertical="center"/>
    </xf>
    <xf numFmtId="177" fontId="4" fillId="95" borderId="0" xfId="0" applyNumberFormat="1" applyFont="1" applyFill="1" applyAlignment="1">
      <alignment horizontal="right" vertical="center"/>
    </xf>
    <xf numFmtId="177" fontId="13" fillId="14" borderId="0" xfId="0" applyNumberFormat="1" applyFont="1" applyFill="1" applyAlignment="1">
      <alignment horizontal="right" vertical="center"/>
    </xf>
    <xf numFmtId="177" fontId="12" fillId="14" borderId="0" xfId="0" applyNumberFormat="1" applyFont="1" applyFill="1" applyAlignment="1">
      <alignment horizontal="right" vertical="center"/>
    </xf>
    <xf numFmtId="176" fontId="4" fillId="95" borderId="2" xfId="0" applyNumberFormat="1" applyFont="1" applyFill="1" applyBorder="1" applyAlignment="1">
      <alignment horizontal="right" vertical="center"/>
    </xf>
    <xf numFmtId="178" fontId="11" fillId="14" borderId="0" xfId="0" applyNumberFormat="1" applyFont="1" applyFill="1" applyAlignment="1">
      <alignment horizontal="right" vertical="center"/>
    </xf>
    <xf numFmtId="178" fontId="11" fillId="14" borderId="2" xfId="0" applyNumberFormat="1" applyFont="1" applyFill="1" applyBorder="1" applyAlignment="1">
      <alignment horizontal="right" vertical="center"/>
    </xf>
    <xf numFmtId="178" fontId="25" fillId="14" borderId="0" xfId="0" applyNumberFormat="1" applyFont="1" applyFill="1">
      <alignment vertical="center"/>
    </xf>
    <xf numFmtId="3" fontId="4" fillId="14" borderId="0" xfId="0" applyNumberFormat="1" applyFont="1" applyFill="1" applyAlignment="1">
      <alignment horizontal="right" vertical="center"/>
    </xf>
    <xf numFmtId="3" fontId="4" fillId="14" borderId="2" xfId="0" applyNumberFormat="1" applyFont="1" applyFill="1" applyBorder="1" applyAlignment="1">
      <alignment horizontal="right" vertical="center"/>
    </xf>
    <xf numFmtId="194" fontId="15" fillId="14" borderId="3" xfId="0" applyNumberFormat="1" applyFont="1" applyFill="1" applyBorder="1">
      <alignment vertical="center"/>
    </xf>
    <xf numFmtId="176" fontId="15" fillId="14" borderId="0" xfId="0" applyNumberFormat="1" applyFont="1" applyFill="1">
      <alignment vertical="center"/>
    </xf>
    <xf numFmtId="178" fontId="11" fillId="14" borderId="2" xfId="0" applyNumberFormat="1" applyFont="1" applyFill="1" applyBorder="1">
      <alignment vertical="center"/>
    </xf>
    <xf numFmtId="9" fontId="160" fillId="14" borderId="0" xfId="0" applyNumberFormat="1" applyFont="1" applyFill="1">
      <alignment vertical="center"/>
    </xf>
    <xf numFmtId="176" fontId="2" fillId="14" borderId="0" xfId="0" applyNumberFormat="1" applyFont="1" applyFill="1" applyAlignment="1">
      <alignment horizontal="right" vertical="center"/>
    </xf>
    <xf numFmtId="176" fontId="15" fillId="14" borderId="0" xfId="0" applyNumberFormat="1" applyFont="1" applyFill="1" applyAlignment="1">
      <alignment horizontal="right" vertical="center"/>
    </xf>
    <xf numFmtId="9" fontId="160" fillId="14" borderId="0" xfId="0" applyNumberFormat="1" applyFont="1" applyFill="1" applyAlignment="1">
      <alignment horizontal="right" vertical="center"/>
    </xf>
    <xf numFmtId="176" fontId="15" fillId="14" borderId="18" xfId="0" applyNumberFormat="1" applyFont="1" applyFill="1" applyBorder="1">
      <alignment vertical="center"/>
    </xf>
    <xf numFmtId="176" fontId="15" fillId="14" borderId="355" xfId="0" applyNumberFormat="1" applyFont="1" applyFill="1" applyBorder="1">
      <alignment vertical="center"/>
    </xf>
    <xf numFmtId="176" fontId="15" fillId="14" borderId="13" xfId="0" applyNumberFormat="1" applyFont="1" applyFill="1" applyBorder="1">
      <alignment vertical="center"/>
    </xf>
    <xf numFmtId="176" fontId="15" fillId="14" borderId="2" xfId="0" applyNumberFormat="1" applyFont="1" applyFill="1" applyBorder="1">
      <alignment vertical="center"/>
    </xf>
    <xf numFmtId="176" fontId="321" fillId="0" borderId="0" xfId="0" applyNumberFormat="1" applyFont="1" applyAlignment="1">
      <alignment horizontal="center" vertical="center"/>
    </xf>
    <xf numFmtId="0" fontId="11" fillId="12" borderId="190" xfId="0" applyFont="1" applyFill="1" applyBorder="1">
      <alignment vertical="center"/>
    </xf>
    <xf numFmtId="0" fontId="11" fillId="14" borderId="25" xfId="0" applyFont="1" applyFill="1" applyBorder="1">
      <alignment vertical="center"/>
    </xf>
    <xf numFmtId="0" fontId="11" fillId="14" borderId="0" xfId="0" applyFont="1" applyFill="1">
      <alignment vertical="center"/>
    </xf>
    <xf numFmtId="0" fontId="11" fillId="14" borderId="427" xfId="0" applyFont="1" applyFill="1" applyBorder="1">
      <alignment vertical="center"/>
    </xf>
    <xf numFmtId="178" fontId="11" fillId="12" borderId="801" xfId="0" applyNumberFormat="1" applyFont="1" applyFill="1" applyBorder="1">
      <alignment vertical="center"/>
    </xf>
    <xf numFmtId="178" fontId="11" fillId="14" borderId="802" xfId="0" applyNumberFormat="1" applyFont="1" applyFill="1" applyBorder="1">
      <alignment vertical="center"/>
    </xf>
    <xf numFmtId="178" fontId="11" fillId="14" borderId="831" xfId="0" applyNumberFormat="1" applyFont="1" applyFill="1" applyBorder="1">
      <alignment vertical="center"/>
    </xf>
    <xf numFmtId="178" fontId="11" fillId="14" borderId="830" xfId="0" applyNumberFormat="1" applyFont="1" applyFill="1" applyBorder="1">
      <alignment vertical="center"/>
    </xf>
    <xf numFmtId="178" fontId="11" fillId="12" borderId="190" xfId="0" applyNumberFormat="1" applyFont="1" applyFill="1" applyBorder="1">
      <alignment vertical="center"/>
    </xf>
    <xf numFmtId="178" fontId="11" fillId="14" borderId="25" xfId="0" applyNumberFormat="1" applyFont="1" applyFill="1" applyBorder="1">
      <alignment vertical="center"/>
    </xf>
    <xf numFmtId="178" fontId="11" fillId="14" borderId="427" xfId="0" applyNumberFormat="1" applyFont="1" applyFill="1" applyBorder="1">
      <alignment vertical="center"/>
    </xf>
    <xf numFmtId="0" fontId="160" fillId="14" borderId="0" xfId="0" applyFont="1" applyFill="1">
      <alignment vertical="center"/>
    </xf>
    <xf numFmtId="178" fontId="11" fillId="12" borderId="42" xfId="0" applyNumberFormat="1" applyFont="1" applyFill="1" applyBorder="1">
      <alignment vertical="center"/>
    </xf>
    <xf numFmtId="178" fontId="11" fillId="14" borderId="6" xfId="0" applyNumberFormat="1" applyFont="1" applyFill="1" applyBorder="1">
      <alignment vertical="center"/>
    </xf>
    <xf numFmtId="178" fontId="11" fillId="14" borderId="7" xfId="0" applyNumberFormat="1" applyFont="1" applyFill="1" applyBorder="1">
      <alignment vertical="center"/>
    </xf>
    <xf numFmtId="0" fontId="321" fillId="0" borderId="0" xfId="0" quotePrefix="1" applyFont="1" applyAlignment="1">
      <alignment horizontal="center" vertical="center"/>
    </xf>
    <xf numFmtId="176" fontId="15" fillId="52" borderId="9" xfId="0" applyNumberFormat="1" applyFont="1" applyFill="1" applyBorder="1">
      <alignment vertical="center"/>
    </xf>
    <xf numFmtId="176" fontId="15" fillId="52" borderId="3" xfId="0" applyNumberFormat="1" applyFont="1" applyFill="1" applyBorder="1">
      <alignment vertical="center"/>
    </xf>
    <xf numFmtId="176" fontId="4" fillId="52" borderId="17" xfId="0" applyNumberFormat="1" applyFont="1" applyFill="1" applyBorder="1">
      <alignment vertical="center"/>
    </xf>
    <xf numFmtId="176" fontId="4" fillId="52" borderId="0" xfId="0" applyNumberFormat="1" applyFont="1" applyFill="1">
      <alignment vertical="center"/>
    </xf>
    <xf numFmtId="176" fontId="11" fillId="96" borderId="17" xfId="0" applyNumberFormat="1" applyFont="1" applyFill="1" applyBorder="1">
      <alignment vertical="center"/>
    </xf>
    <xf numFmtId="176" fontId="11" fillId="96" borderId="0" xfId="0" applyNumberFormat="1" applyFont="1" applyFill="1">
      <alignment vertical="center"/>
    </xf>
    <xf numFmtId="176" fontId="4" fillId="52" borderId="22" xfId="0" applyNumberFormat="1" applyFont="1" applyFill="1" applyBorder="1">
      <alignment vertical="center"/>
    </xf>
    <xf numFmtId="176" fontId="4" fillId="52" borderId="2" xfId="0" applyNumberFormat="1" applyFont="1" applyFill="1" applyBorder="1">
      <alignment vertical="center"/>
    </xf>
    <xf numFmtId="176" fontId="24" fillId="52" borderId="800" xfId="0" applyNumberFormat="1" applyFont="1" applyFill="1" applyBorder="1">
      <alignment vertical="center"/>
    </xf>
    <xf numFmtId="176" fontId="4" fillId="52" borderId="831" xfId="0" applyNumberFormat="1" applyFont="1" applyFill="1" applyBorder="1">
      <alignment vertical="center"/>
    </xf>
    <xf numFmtId="177" fontId="4" fillId="52" borderId="17" xfId="0" applyNumberFormat="1" applyFont="1" applyFill="1" applyBorder="1">
      <alignment vertical="center"/>
    </xf>
    <xf numFmtId="177" fontId="4" fillId="52" borderId="0" xfId="0" applyNumberFormat="1" applyFont="1" applyFill="1">
      <alignment vertical="center"/>
    </xf>
    <xf numFmtId="176" fontId="257" fillId="52" borderId="17" xfId="0" applyNumberFormat="1" applyFont="1" applyFill="1" applyBorder="1">
      <alignment vertical="center"/>
    </xf>
    <xf numFmtId="176" fontId="13" fillId="52" borderId="0" xfId="0" applyNumberFormat="1" applyFont="1" applyFill="1">
      <alignment vertical="center"/>
    </xf>
    <xf numFmtId="3" fontId="13" fillId="52" borderId="17" xfId="0" applyNumberFormat="1" applyFont="1" applyFill="1" applyBorder="1">
      <alignment vertical="center"/>
    </xf>
    <xf numFmtId="3" fontId="13" fillId="52" borderId="0" xfId="0" applyNumberFormat="1" applyFont="1" applyFill="1">
      <alignment vertical="center"/>
    </xf>
    <xf numFmtId="176" fontId="13" fillId="52" borderId="17" xfId="0" applyNumberFormat="1" applyFont="1" applyFill="1" applyBorder="1">
      <alignment vertical="center"/>
    </xf>
    <xf numFmtId="176" fontId="24" fillId="52" borderId="22" xfId="0" applyNumberFormat="1" applyFont="1" applyFill="1" applyBorder="1">
      <alignment vertical="center"/>
    </xf>
    <xf numFmtId="176" fontId="13" fillId="52" borderId="2" xfId="0" applyNumberFormat="1" applyFont="1" applyFill="1" applyBorder="1">
      <alignment vertical="center"/>
    </xf>
    <xf numFmtId="176" fontId="24" fillId="52" borderId="17" xfId="0" applyNumberFormat="1" applyFont="1" applyFill="1" applyBorder="1">
      <alignment vertical="center"/>
    </xf>
    <xf numFmtId="10" fontId="25" fillId="52" borderId="17" xfId="0" applyNumberFormat="1" applyFont="1" applyFill="1" applyBorder="1">
      <alignment vertical="center"/>
    </xf>
    <xf numFmtId="10" fontId="25" fillId="52" borderId="0" xfId="0" applyNumberFormat="1" applyFont="1" applyFill="1">
      <alignment vertical="center"/>
    </xf>
    <xf numFmtId="176" fontId="16" fillId="52" borderId="17" xfId="0" applyNumberFormat="1" applyFont="1" applyFill="1" applyBorder="1">
      <alignment vertical="center"/>
    </xf>
    <xf numFmtId="177" fontId="13" fillId="52" borderId="0" xfId="0" applyNumberFormat="1" applyFont="1" applyFill="1">
      <alignment vertical="center"/>
    </xf>
    <xf numFmtId="178" fontId="11" fillId="52" borderId="22" xfId="0" applyNumberFormat="1" applyFont="1" applyFill="1" applyBorder="1">
      <alignment vertical="center"/>
    </xf>
    <xf numFmtId="10" fontId="25" fillId="52" borderId="2" xfId="0" applyNumberFormat="1" applyFont="1" applyFill="1" applyBorder="1">
      <alignment vertical="center"/>
    </xf>
    <xf numFmtId="176" fontId="10" fillId="52" borderId="7" xfId="0" applyNumberFormat="1" applyFont="1" applyFill="1" applyBorder="1" applyAlignment="1">
      <alignment horizontal="right" vertical="center"/>
    </xf>
    <xf numFmtId="176" fontId="10" fillId="52" borderId="2" xfId="0" applyNumberFormat="1" applyFont="1" applyFill="1" applyBorder="1" applyAlignment="1">
      <alignment horizontal="right" vertical="center"/>
    </xf>
    <xf numFmtId="178" fontId="11" fillId="52" borderId="17" xfId="0" applyNumberFormat="1" applyFont="1" applyFill="1" applyBorder="1">
      <alignment vertical="center"/>
    </xf>
    <xf numFmtId="178" fontId="11" fillId="52" borderId="0" xfId="0" applyNumberFormat="1" applyFont="1" applyFill="1">
      <alignment vertical="center"/>
    </xf>
    <xf numFmtId="9" fontId="11" fillId="52" borderId="17" xfId="0" applyNumberFormat="1" applyFont="1" applyFill="1" applyBorder="1">
      <alignment vertical="center"/>
    </xf>
    <xf numFmtId="9" fontId="11" fillId="52" borderId="0" xfId="0" applyNumberFormat="1" applyFont="1" applyFill="1">
      <alignment vertical="center"/>
    </xf>
    <xf numFmtId="9" fontId="11" fillId="52" borderId="22" xfId="0" applyNumberFormat="1" applyFont="1" applyFill="1" applyBorder="1">
      <alignment vertical="center"/>
    </xf>
    <xf numFmtId="9" fontId="11" fillId="52" borderId="2" xfId="0" applyNumberFormat="1" applyFont="1" applyFill="1" applyBorder="1">
      <alignment vertical="center"/>
    </xf>
    <xf numFmtId="176" fontId="16" fillId="52" borderId="800" xfId="0" applyNumberFormat="1" applyFont="1" applyFill="1" applyBorder="1">
      <alignment vertical="center"/>
    </xf>
    <xf numFmtId="176" fontId="16" fillId="52" borderId="831" xfId="0" applyNumberFormat="1" applyFont="1" applyFill="1" applyBorder="1">
      <alignment vertical="center"/>
    </xf>
    <xf numFmtId="9" fontId="256" fillId="52" borderId="17" xfId="0" applyNumberFormat="1" applyFont="1" applyFill="1" applyBorder="1">
      <alignment vertical="center"/>
    </xf>
    <xf numFmtId="9" fontId="256" fillId="52" borderId="0" xfId="0" applyNumberFormat="1" applyFont="1" applyFill="1">
      <alignment vertical="center"/>
    </xf>
    <xf numFmtId="177" fontId="16" fillId="52" borderId="17" xfId="0" applyNumberFormat="1" applyFont="1" applyFill="1" applyBorder="1" applyAlignment="1">
      <alignment horizontal="right" vertical="center"/>
    </xf>
    <xf numFmtId="177" fontId="16" fillId="52" borderId="0" xfId="0" applyNumberFormat="1" applyFont="1" applyFill="1">
      <alignment vertical="center"/>
    </xf>
    <xf numFmtId="176" fontId="16" fillId="52" borderId="17" xfId="0" applyNumberFormat="1" applyFont="1" applyFill="1" applyBorder="1" applyAlignment="1">
      <alignment horizontal="right" vertical="center"/>
    </xf>
    <xf numFmtId="176" fontId="16" fillId="52" borderId="0" xfId="0" applyNumberFormat="1" applyFont="1" applyFill="1">
      <alignment vertical="center"/>
    </xf>
    <xf numFmtId="9" fontId="29" fillId="52" borderId="17" xfId="0" applyNumberFormat="1" applyFont="1" applyFill="1" applyBorder="1">
      <alignment vertical="center"/>
    </xf>
    <xf numFmtId="9" fontId="29" fillId="52" borderId="0" xfId="0" applyNumberFormat="1" applyFont="1" applyFill="1">
      <alignment vertical="center"/>
    </xf>
    <xf numFmtId="9" fontId="29" fillId="52" borderId="17" xfId="0" applyNumberFormat="1" applyFont="1" applyFill="1" applyBorder="1" applyAlignment="1">
      <alignment horizontal="right" vertical="center"/>
    </xf>
    <xf numFmtId="9" fontId="29" fillId="52" borderId="0" xfId="0" applyNumberFormat="1" applyFont="1" applyFill="1" applyAlignment="1">
      <alignment horizontal="right" vertical="center"/>
    </xf>
    <xf numFmtId="177" fontId="16" fillId="96" borderId="17" xfId="0" applyNumberFormat="1" applyFont="1" applyFill="1" applyBorder="1" applyAlignment="1">
      <alignment horizontal="right" vertical="center"/>
    </xf>
    <xf numFmtId="177" fontId="16" fillId="96" borderId="0" xfId="0" applyNumberFormat="1" applyFont="1" applyFill="1">
      <alignment vertical="center"/>
    </xf>
    <xf numFmtId="176" fontId="13" fillId="96" borderId="17" xfId="0" applyNumberFormat="1" applyFont="1" applyFill="1" applyBorder="1">
      <alignment vertical="center"/>
    </xf>
    <xf numFmtId="176" fontId="13" fillId="96" borderId="0" xfId="0" applyNumberFormat="1" applyFont="1" applyFill="1">
      <alignment vertical="center"/>
    </xf>
    <xf numFmtId="176" fontId="4" fillId="96" borderId="17" xfId="0" applyNumberFormat="1" applyFont="1" applyFill="1" applyBorder="1">
      <alignment vertical="center"/>
    </xf>
    <xf numFmtId="176" fontId="16" fillId="96" borderId="17" xfId="0" applyNumberFormat="1" applyFont="1" applyFill="1" applyBorder="1" applyAlignment="1">
      <alignment horizontal="right" vertical="center"/>
    </xf>
    <xf numFmtId="176" fontId="16" fillId="96" borderId="0" xfId="0" applyNumberFormat="1" applyFont="1" applyFill="1">
      <alignment vertical="center"/>
    </xf>
    <xf numFmtId="10" fontId="25" fillId="96" borderId="17" xfId="0" applyNumberFormat="1" applyFont="1" applyFill="1" applyBorder="1">
      <alignment vertical="center"/>
    </xf>
    <xf numFmtId="10" fontId="25" fillId="96" borderId="0" xfId="0" applyNumberFormat="1" applyFont="1" applyFill="1">
      <alignment vertical="center"/>
    </xf>
    <xf numFmtId="3" fontId="16" fillId="52" borderId="17" xfId="0" applyNumberFormat="1" applyFont="1" applyFill="1" applyBorder="1" applyAlignment="1">
      <alignment horizontal="right" vertical="center"/>
    </xf>
    <xf numFmtId="176" fontId="16" fillId="52" borderId="0" xfId="0" applyNumberFormat="1" applyFont="1" applyFill="1" applyAlignment="1">
      <alignment horizontal="right" vertical="center"/>
    </xf>
    <xf numFmtId="9" fontId="29" fillId="52" borderId="22" xfId="0" applyNumberFormat="1" applyFont="1" applyFill="1" applyBorder="1">
      <alignment vertical="center"/>
    </xf>
    <xf numFmtId="9" fontId="29" fillId="52" borderId="2" xfId="0" applyNumberFormat="1" applyFont="1" applyFill="1" applyBorder="1">
      <alignment vertical="center"/>
    </xf>
    <xf numFmtId="178" fontId="29" fillId="52" borderId="22" xfId="0" applyNumberFormat="1" applyFont="1" applyFill="1" applyBorder="1">
      <alignment vertical="center"/>
    </xf>
    <xf numFmtId="178" fontId="29" fillId="52" borderId="2" xfId="0" applyNumberFormat="1" applyFont="1" applyFill="1" applyBorder="1">
      <alignment vertical="center"/>
    </xf>
    <xf numFmtId="176" fontId="15" fillId="52" borderId="800" xfId="0" applyNumberFormat="1" applyFont="1" applyFill="1" applyBorder="1">
      <alignment vertical="center"/>
    </xf>
    <xf numFmtId="176" fontId="15" fillId="52" borderId="831" xfId="0" applyNumberFormat="1" applyFont="1" applyFill="1" applyBorder="1">
      <alignment vertical="center"/>
    </xf>
    <xf numFmtId="176" fontId="13" fillId="52" borderId="800" xfId="0" applyNumberFormat="1" applyFont="1" applyFill="1" applyBorder="1">
      <alignment vertical="center"/>
    </xf>
    <xf numFmtId="176" fontId="16" fillId="52" borderId="22" xfId="0" applyNumberFormat="1" applyFont="1" applyFill="1" applyBorder="1">
      <alignment vertical="center"/>
    </xf>
    <xf numFmtId="176" fontId="16" fillId="52" borderId="2" xfId="0" applyNumberFormat="1" applyFont="1" applyFill="1" applyBorder="1">
      <alignment vertical="center"/>
    </xf>
    <xf numFmtId="178" fontId="4" fillId="52" borderId="22" xfId="0" applyNumberFormat="1" applyFont="1" applyFill="1" applyBorder="1">
      <alignment vertical="center"/>
    </xf>
    <xf numFmtId="178" fontId="25" fillId="52" borderId="2" xfId="0" applyNumberFormat="1" applyFont="1" applyFill="1" applyBorder="1">
      <alignment vertical="center"/>
    </xf>
    <xf numFmtId="176" fontId="4" fillId="52" borderId="800" xfId="0" applyNumberFormat="1" applyFont="1" applyFill="1" applyBorder="1">
      <alignment vertical="center"/>
    </xf>
    <xf numFmtId="9" fontId="13" fillId="52" borderId="17" xfId="0" applyNumberFormat="1" applyFont="1" applyFill="1" applyBorder="1">
      <alignment vertical="center"/>
    </xf>
    <xf numFmtId="176" fontId="4" fillId="96" borderId="0" xfId="0" applyNumberFormat="1" applyFont="1" applyFill="1">
      <alignment vertical="center"/>
    </xf>
    <xf numFmtId="189" fontId="16" fillId="52" borderId="17" xfId="0" applyNumberFormat="1" applyFont="1" applyFill="1" applyBorder="1">
      <alignment vertical="center"/>
    </xf>
    <xf numFmtId="189" fontId="13" fillId="52" borderId="0" xfId="0" applyNumberFormat="1" applyFont="1" applyFill="1">
      <alignment vertical="center"/>
    </xf>
    <xf numFmtId="189" fontId="13" fillId="52" borderId="22" xfId="0" applyNumberFormat="1" applyFont="1" applyFill="1" applyBorder="1">
      <alignment vertical="center"/>
    </xf>
    <xf numFmtId="189" fontId="13" fillId="52" borderId="2" xfId="0" applyNumberFormat="1" applyFont="1" applyFill="1" applyBorder="1">
      <alignment vertical="center"/>
    </xf>
    <xf numFmtId="9" fontId="25" fillId="52" borderId="2" xfId="0" applyNumberFormat="1" applyFont="1" applyFill="1" applyBorder="1">
      <alignment vertical="center"/>
    </xf>
    <xf numFmtId="9" fontId="25" fillId="52" borderId="17" xfId="0" applyNumberFormat="1" applyFont="1" applyFill="1" applyBorder="1">
      <alignment vertical="center"/>
    </xf>
    <xf numFmtId="9" fontId="25" fillId="52" borderId="0" xfId="0" applyNumberFormat="1" applyFont="1" applyFill="1">
      <alignment vertical="center"/>
    </xf>
    <xf numFmtId="176" fontId="12" fillId="52" borderId="0" xfId="0" applyNumberFormat="1" applyFont="1" applyFill="1">
      <alignment vertical="center"/>
    </xf>
    <xf numFmtId="176" fontId="13" fillId="52" borderId="22" xfId="0" applyNumberFormat="1" applyFont="1" applyFill="1" applyBorder="1">
      <alignment vertical="center"/>
    </xf>
    <xf numFmtId="9" fontId="4" fillId="52" borderId="17" xfId="0" applyNumberFormat="1" applyFont="1" applyFill="1" applyBorder="1">
      <alignment vertical="center"/>
    </xf>
    <xf numFmtId="10" fontId="4" fillId="52" borderId="22" xfId="0" applyNumberFormat="1" applyFont="1" applyFill="1" applyBorder="1">
      <alignment vertical="center"/>
    </xf>
    <xf numFmtId="10" fontId="25" fillId="52" borderId="22" xfId="0" applyNumberFormat="1" applyFont="1" applyFill="1" applyBorder="1">
      <alignment vertical="center"/>
    </xf>
    <xf numFmtId="176" fontId="10" fillId="52" borderId="1" xfId="0" applyNumberFormat="1" applyFont="1" applyFill="1" applyBorder="1" applyAlignment="1">
      <alignment horizontal="right" vertical="center"/>
    </xf>
    <xf numFmtId="176" fontId="15" fillId="52" borderId="0" xfId="0" applyNumberFormat="1" applyFont="1" applyFill="1">
      <alignment vertical="center"/>
    </xf>
    <xf numFmtId="176" fontId="15" fillId="52" borderId="18" xfId="0" applyNumberFormat="1" applyFont="1" applyFill="1" applyBorder="1">
      <alignment vertical="center"/>
    </xf>
    <xf numFmtId="176" fontId="15" fillId="52" borderId="355" xfId="0" applyNumberFormat="1" applyFont="1" applyFill="1" applyBorder="1">
      <alignment vertical="center"/>
    </xf>
    <xf numFmtId="176" fontId="15" fillId="52" borderId="13" xfId="0" applyNumberFormat="1" applyFont="1" applyFill="1" applyBorder="1">
      <alignment vertical="center"/>
    </xf>
    <xf numFmtId="176" fontId="15" fillId="52" borderId="2" xfId="0" applyNumberFormat="1" applyFont="1" applyFill="1" applyBorder="1">
      <alignment vertical="center"/>
    </xf>
    <xf numFmtId="176" fontId="15" fillId="52" borderId="0" xfId="0" applyNumberFormat="1" applyFont="1" applyFill="1" applyAlignment="1">
      <alignment horizontal="center" vertical="center"/>
    </xf>
    <xf numFmtId="178" fontId="4" fillId="52" borderId="831" xfId="0" applyNumberFormat="1" applyFont="1" applyFill="1" applyBorder="1">
      <alignment vertical="center"/>
    </xf>
    <xf numFmtId="178" fontId="4" fillId="52" borderId="0" xfId="0" applyNumberFormat="1" applyFont="1" applyFill="1">
      <alignment vertical="center"/>
    </xf>
    <xf numFmtId="178" fontId="4" fillId="52" borderId="2" xfId="0" applyNumberFormat="1" applyFont="1" applyFill="1" applyBorder="1">
      <alignment vertical="center"/>
    </xf>
    <xf numFmtId="0" fontId="4" fillId="12" borderId="36" xfId="0" applyFont="1" applyFill="1" applyBorder="1" applyAlignment="1">
      <alignment horizontal="center" vertical="center"/>
    </xf>
    <xf numFmtId="9" fontId="4" fillId="12" borderId="36" xfId="0" applyNumberFormat="1" applyFont="1" applyFill="1" applyBorder="1">
      <alignment vertical="center"/>
    </xf>
    <xf numFmtId="9" fontId="15" fillId="12" borderId="36" xfId="0" applyNumberFormat="1" applyFont="1" applyFill="1" applyBorder="1">
      <alignment vertical="center"/>
    </xf>
    <xf numFmtId="187" fontId="4" fillId="12" borderId="36" xfId="0" applyNumberFormat="1" applyFont="1" applyFill="1" applyBorder="1">
      <alignment vertical="center"/>
    </xf>
    <xf numFmtId="187" fontId="15" fillId="12" borderId="36" xfId="0" applyNumberFormat="1" applyFont="1" applyFill="1" applyBorder="1">
      <alignment vertical="center"/>
    </xf>
    <xf numFmtId="0" fontId="2" fillId="0" borderId="0" xfId="0" applyFont="1" applyAlignment="1">
      <alignment horizontal="center"/>
    </xf>
    <xf numFmtId="0" fontId="19" fillId="0" borderId="0" xfId="0" applyFont="1" applyAlignment="1">
      <alignment horizontal="center"/>
    </xf>
    <xf numFmtId="10" fontId="24" fillId="0" borderId="0" xfId="0" applyNumberFormat="1" applyFont="1">
      <alignment vertical="center"/>
    </xf>
    <xf numFmtId="0" fontId="2" fillId="12" borderId="36" xfId="0" applyFont="1" applyFill="1" applyBorder="1" applyAlignment="1">
      <alignment horizontal="center" vertical="center"/>
    </xf>
    <xf numFmtId="220" fontId="24" fillId="12" borderId="36" xfId="0" applyNumberFormat="1" applyFont="1" applyFill="1" applyBorder="1" applyAlignment="1">
      <alignment horizontal="center" vertical="center"/>
    </xf>
    <xf numFmtId="0" fontId="5" fillId="13" borderId="4" xfId="0" applyFont="1" applyFill="1" applyBorder="1" applyAlignment="1">
      <alignment horizontal="center" vertical="center"/>
    </xf>
    <xf numFmtId="0" fontId="5" fillId="13" borderId="5" xfId="0" applyFont="1" applyFill="1" applyBorder="1" applyAlignment="1">
      <alignment horizontal="center" vertical="center"/>
    </xf>
    <xf numFmtId="176" fontId="2" fillId="0" borderId="25" xfId="0" applyNumberFormat="1" applyFont="1" applyBorder="1">
      <alignment vertical="center"/>
    </xf>
    <xf numFmtId="176" fontId="2" fillId="0" borderId="427" xfId="0" applyNumberFormat="1" applyFont="1" applyBorder="1">
      <alignment vertical="center"/>
    </xf>
    <xf numFmtId="176" fontId="2" fillId="0" borderId="6" xfId="0" applyNumberFormat="1" applyFont="1" applyBorder="1">
      <alignment vertical="center"/>
    </xf>
    <xf numFmtId="176" fontId="2" fillId="0" borderId="7" xfId="0" applyNumberFormat="1" applyFont="1" applyBorder="1">
      <alignment vertical="center"/>
    </xf>
    <xf numFmtId="0" fontId="2" fillId="15" borderId="0" xfId="0" applyFont="1" applyFill="1" applyAlignment="1">
      <alignment horizontal="centerContinuous" vertical="center"/>
    </xf>
    <xf numFmtId="0" fontId="5" fillId="15" borderId="1" xfId="0" applyFont="1" applyFill="1" applyBorder="1" applyAlignment="1">
      <alignment horizontal="centerContinuous" vertical="center"/>
    </xf>
    <xf numFmtId="0" fontId="5" fillId="13" borderId="1" xfId="0" applyFont="1" applyFill="1" applyBorder="1" applyAlignment="1">
      <alignment horizontal="centerContinuous" vertical="center"/>
    </xf>
    <xf numFmtId="0" fontId="328" fillId="26" borderId="0" xfId="0" applyFont="1" applyFill="1" applyAlignment="1"/>
    <xf numFmtId="0" fontId="0" fillId="4" borderId="0" xfId="0" applyFill="1" applyAlignment="1"/>
    <xf numFmtId="0" fontId="329" fillId="0" borderId="0" xfId="0" applyFont="1" applyAlignment="1"/>
    <xf numFmtId="2" fontId="168" fillId="0" borderId="0" xfId="0" applyNumberFormat="1" applyFont="1" applyAlignment="1"/>
    <xf numFmtId="0" fontId="19" fillId="0" borderId="0" xfId="0" applyFont="1" applyAlignment="1"/>
    <xf numFmtId="178" fontId="152" fillId="0" borderId="0" xfId="0" applyNumberFormat="1" applyFont="1" applyAlignment="1"/>
    <xf numFmtId="242" fontId="2" fillId="0" borderId="0" xfId="0" applyNumberFormat="1" applyFont="1" applyAlignment="1">
      <alignment horizontal="left" vertical="center" indent="3"/>
    </xf>
    <xf numFmtId="10" fontId="163" fillId="4" borderId="36" xfId="0" applyNumberFormat="1" applyFont="1" applyFill="1" applyBorder="1" applyAlignment="1">
      <alignment horizontal="center" vertical="center"/>
    </xf>
    <xf numFmtId="176" fontId="330" fillId="0" borderId="0" xfId="0" applyNumberFormat="1" applyFont="1">
      <alignment vertical="center"/>
    </xf>
    <xf numFmtId="176" fontId="330" fillId="0" borderId="2" xfId="0" applyNumberFormat="1" applyFont="1" applyBorder="1">
      <alignment vertical="center"/>
    </xf>
    <xf numFmtId="0" fontId="332" fillId="0" borderId="0" xfId="0" applyFont="1">
      <alignment vertical="center"/>
    </xf>
    <xf numFmtId="176" fontId="331" fillId="0" borderId="0" xfId="0" applyNumberFormat="1" applyFont="1">
      <alignment vertical="center"/>
    </xf>
    <xf numFmtId="176" fontId="331" fillId="0" borderId="1" xfId="0" applyNumberFormat="1" applyFont="1" applyBorder="1">
      <alignment vertical="center"/>
    </xf>
    <xf numFmtId="253" fontId="2" fillId="0" borderId="0" xfId="0" applyNumberFormat="1" applyFont="1">
      <alignment vertical="center"/>
    </xf>
    <xf numFmtId="0" fontId="164" fillId="75" borderId="878" xfId="0" applyFont="1" applyFill="1" applyBorder="1" applyAlignment="1">
      <alignment horizontal="center" vertical="center" wrapText="1"/>
    </xf>
    <xf numFmtId="0" fontId="164" fillId="75" borderId="879" xfId="0" applyFont="1" applyFill="1" applyBorder="1" applyAlignment="1">
      <alignment horizontal="center" vertical="center" wrapText="1"/>
    </xf>
    <xf numFmtId="0" fontId="164" fillId="75" borderId="880" xfId="0" applyFont="1" applyFill="1" applyBorder="1" applyAlignment="1">
      <alignment horizontal="center" vertical="center" wrapText="1"/>
    </xf>
    <xf numFmtId="0" fontId="333" fillId="75" borderId="881" xfId="0" applyFont="1" applyFill="1" applyBorder="1" applyAlignment="1">
      <alignment horizontal="center" vertical="center" wrapText="1"/>
    </xf>
    <xf numFmtId="0" fontId="333" fillId="75" borderId="882" xfId="0" applyFont="1" applyFill="1" applyBorder="1" applyAlignment="1">
      <alignment horizontal="center" vertical="center" wrapText="1"/>
    </xf>
    <xf numFmtId="0" fontId="235" fillId="75" borderId="882" xfId="0" applyFont="1" applyFill="1" applyBorder="1" applyAlignment="1">
      <alignment horizontal="center" vertical="center" wrapText="1"/>
    </xf>
    <xf numFmtId="0" fontId="235" fillId="75" borderId="883" xfId="0" applyFont="1" applyFill="1" applyBorder="1" applyAlignment="1">
      <alignment horizontal="center" vertical="center" wrapText="1"/>
    </xf>
    <xf numFmtId="0" fontId="333" fillId="75" borderId="884" xfId="0" applyFont="1" applyFill="1" applyBorder="1" applyAlignment="1">
      <alignment horizontal="center" vertical="center" wrapText="1"/>
    </xf>
    <xf numFmtId="0" fontId="333" fillId="75" borderId="888" xfId="0" applyFont="1" applyFill="1" applyBorder="1" applyAlignment="1">
      <alignment horizontal="center" vertical="center" wrapText="1"/>
    </xf>
    <xf numFmtId="0" fontId="333" fillId="75" borderId="892" xfId="0" applyFont="1" applyFill="1" applyBorder="1" applyAlignment="1">
      <alignment horizontal="center" vertical="center" wrapText="1"/>
    </xf>
    <xf numFmtId="178" fontId="335" fillId="75" borderId="885" xfId="0" applyNumberFormat="1" applyFont="1" applyFill="1" applyBorder="1" applyAlignment="1">
      <alignment horizontal="center" vertical="center" wrapText="1"/>
    </xf>
    <xf numFmtId="178" fontId="335" fillId="75" borderId="886" xfId="0" applyNumberFormat="1" applyFont="1" applyFill="1" applyBorder="1" applyAlignment="1">
      <alignment horizontal="center" vertical="center" wrapText="1"/>
    </xf>
    <xf numFmtId="178" fontId="336" fillId="97" borderId="886" xfId="0" applyNumberFormat="1" applyFont="1" applyFill="1" applyBorder="1" applyAlignment="1">
      <alignment horizontal="center" vertical="center" wrapText="1"/>
    </xf>
    <xf numFmtId="178" fontId="335" fillId="75" borderId="887" xfId="0" applyNumberFormat="1" applyFont="1" applyFill="1" applyBorder="1" applyAlignment="1">
      <alignment horizontal="center" vertical="center" wrapText="1"/>
    </xf>
    <xf numFmtId="178" fontId="335" fillId="75" borderId="889" xfId="0" applyNumberFormat="1" applyFont="1" applyFill="1" applyBorder="1" applyAlignment="1">
      <alignment horizontal="center" vertical="center" wrapText="1"/>
    </xf>
    <xf numFmtId="178" fontId="335" fillId="75" borderId="890" xfId="0" applyNumberFormat="1" applyFont="1" applyFill="1" applyBorder="1" applyAlignment="1">
      <alignment horizontal="center" vertical="center" wrapText="1"/>
    </xf>
    <xf numFmtId="178" fontId="335" fillId="0" borderId="890" xfId="0" applyNumberFormat="1" applyFont="1" applyBorder="1" applyAlignment="1">
      <alignment horizontal="center" vertical="center" wrapText="1"/>
    </xf>
    <xf numFmtId="178" fontId="335" fillId="75" borderId="891" xfId="0" applyNumberFormat="1" applyFont="1" applyFill="1" applyBorder="1" applyAlignment="1">
      <alignment horizontal="center" vertical="center" wrapText="1"/>
    </xf>
    <xf numFmtId="178" fontId="335" fillId="75" borderId="878" xfId="0" applyNumberFormat="1" applyFont="1" applyFill="1" applyBorder="1" applyAlignment="1">
      <alignment horizontal="center" vertical="center" wrapText="1"/>
    </xf>
    <xf numFmtId="178" fontId="335" fillId="75" borderId="879" xfId="0" applyNumberFormat="1" applyFont="1" applyFill="1" applyBorder="1" applyAlignment="1">
      <alignment horizontal="center" vertical="center" wrapText="1"/>
    </xf>
    <xf numFmtId="178" fontId="335" fillId="75" borderId="880" xfId="0" applyNumberFormat="1" applyFont="1" applyFill="1" applyBorder="1" applyAlignment="1">
      <alignment horizontal="center" vertical="center" wrapText="1"/>
    </xf>
    <xf numFmtId="241" fontId="335" fillId="75" borderId="885" xfId="0" applyNumberFormat="1" applyFont="1" applyFill="1" applyBorder="1" applyAlignment="1">
      <alignment horizontal="center" vertical="center" wrapText="1"/>
    </xf>
    <xf numFmtId="241" fontId="335" fillId="75" borderId="886" xfId="0" applyNumberFormat="1" applyFont="1" applyFill="1" applyBorder="1" applyAlignment="1">
      <alignment horizontal="center" vertical="center" wrapText="1"/>
    </xf>
    <xf numFmtId="241" fontId="336" fillId="97" borderId="886" xfId="0" applyNumberFormat="1" applyFont="1" applyFill="1" applyBorder="1" applyAlignment="1">
      <alignment horizontal="center" vertical="center" wrapText="1"/>
    </xf>
    <xf numFmtId="241" fontId="335" fillId="75" borderId="887" xfId="0" applyNumberFormat="1" applyFont="1" applyFill="1" applyBorder="1" applyAlignment="1">
      <alignment horizontal="center" vertical="center" wrapText="1"/>
    </xf>
    <xf numFmtId="241" fontId="335" fillId="75" borderId="889" xfId="0" applyNumberFormat="1" applyFont="1" applyFill="1" applyBorder="1" applyAlignment="1">
      <alignment horizontal="center" vertical="center" wrapText="1"/>
    </xf>
    <xf numFmtId="241" fontId="335" fillId="75" borderId="890" xfId="0" applyNumberFormat="1" applyFont="1" applyFill="1" applyBorder="1" applyAlignment="1">
      <alignment horizontal="center" vertical="center" wrapText="1"/>
    </xf>
    <xf numFmtId="241" fontId="335" fillId="0" borderId="890" xfId="0" applyNumberFormat="1" applyFont="1" applyBorder="1" applyAlignment="1">
      <alignment horizontal="center" vertical="center" wrapText="1"/>
    </xf>
    <xf numFmtId="241" fontId="335" fillId="75" borderId="891" xfId="0" applyNumberFormat="1" applyFont="1" applyFill="1" applyBorder="1" applyAlignment="1">
      <alignment horizontal="center" vertical="center" wrapText="1"/>
    </xf>
    <xf numFmtId="241" fontId="335" fillId="75" borderId="878" xfId="0" applyNumberFormat="1" applyFont="1" applyFill="1" applyBorder="1" applyAlignment="1">
      <alignment horizontal="center" vertical="center" wrapText="1"/>
    </xf>
    <xf numFmtId="241" fontId="335" fillId="75" borderId="879" xfId="0" applyNumberFormat="1" applyFont="1" applyFill="1" applyBorder="1" applyAlignment="1">
      <alignment horizontal="center" vertical="center" wrapText="1"/>
    </xf>
    <xf numFmtId="241" fontId="335" fillId="75" borderId="880" xfId="0" applyNumberFormat="1" applyFont="1" applyFill="1" applyBorder="1" applyAlignment="1">
      <alignment horizontal="center" vertical="center" wrapText="1"/>
    </xf>
    <xf numFmtId="254" fontId="13" fillId="14" borderId="0" xfId="0" applyNumberFormat="1" applyFont="1" applyFill="1">
      <alignment vertical="center"/>
    </xf>
    <xf numFmtId="41" fontId="0" fillId="0" borderId="0" xfId="1" applyFont="1">
      <alignment vertical="center"/>
    </xf>
    <xf numFmtId="0" fontId="5" fillId="13" borderId="1" xfId="0" applyFont="1" applyFill="1" applyBorder="1" applyAlignment="1">
      <alignment horizontal="center" vertical="center"/>
    </xf>
    <xf numFmtId="0" fontId="5" fillId="13" borderId="831" xfId="0" applyFont="1" applyFill="1" applyBorder="1" applyAlignment="1">
      <alignment horizontal="center" vertical="center" wrapText="1"/>
    </xf>
    <xf numFmtId="0" fontId="5" fillId="13" borderId="2" xfId="0" applyFont="1" applyFill="1" applyBorder="1" applyAlignment="1">
      <alignment horizontal="center" vertical="center"/>
    </xf>
    <xf numFmtId="0" fontId="5" fillId="13" borderId="831" xfId="0" applyFont="1" applyFill="1" applyBorder="1" applyAlignment="1">
      <alignment horizontal="center" vertical="center"/>
    </xf>
    <xf numFmtId="0" fontId="5" fillId="14" borderId="1" xfId="0" applyFont="1" applyFill="1" applyBorder="1" applyAlignment="1">
      <alignment horizontal="center" vertical="center"/>
    </xf>
    <xf numFmtId="242" fontId="5" fillId="13" borderId="1" xfId="0" applyNumberFormat="1" applyFont="1" applyFill="1" applyBorder="1" applyAlignment="1">
      <alignment horizontal="center" vertical="center"/>
    </xf>
    <xf numFmtId="0" fontId="5" fillId="13" borderId="4" xfId="0" applyFont="1" applyFill="1" applyBorder="1" applyAlignment="1">
      <alignment horizontal="center" vertical="center"/>
    </xf>
    <xf numFmtId="0" fontId="5" fillId="13" borderId="5" xfId="0" applyFont="1" applyFill="1" applyBorder="1" applyAlignment="1">
      <alignment horizontal="center" vertical="center"/>
    </xf>
    <xf numFmtId="220" fontId="5" fillId="0" borderId="0" xfId="0" applyNumberFormat="1" applyFont="1" applyAlignment="1">
      <alignment horizontal="right" vertical="center" textRotation="90"/>
    </xf>
    <xf numFmtId="220" fontId="5" fillId="0" borderId="2" xfId="0" applyNumberFormat="1" applyFont="1" applyBorder="1" applyAlignment="1">
      <alignment horizontal="right" vertical="center" textRotation="90"/>
    </xf>
    <xf numFmtId="0" fontId="321" fillId="0" borderId="427" xfId="0" applyFont="1" applyBorder="1" applyAlignment="1">
      <alignment horizontal="right" vertical="center" textRotation="90"/>
    </xf>
    <xf numFmtId="0" fontId="333" fillId="75" borderId="867" xfId="0" applyFont="1" applyFill="1" applyBorder="1" applyAlignment="1">
      <alignment horizontal="center" vertical="center" wrapText="1"/>
    </xf>
    <xf numFmtId="0" fontId="333" fillId="75" borderId="875" xfId="0" applyFont="1" applyFill="1" applyBorder="1" applyAlignment="1">
      <alignment horizontal="center" vertical="center" wrapText="1"/>
    </xf>
    <xf numFmtId="0" fontId="333" fillId="75" borderId="873" xfId="0" applyFont="1" applyFill="1" applyBorder="1" applyAlignment="1">
      <alignment horizontal="center" vertical="center" wrapText="1"/>
    </xf>
    <xf numFmtId="0" fontId="333" fillId="75" borderId="876" xfId="0" applyFont="1" applyFill="1" applyBorder="1" applyAlignment="1">
      <alignment horizontal="center" vertical="center" wrapText="1"/>
    </xf>
    <xf numFmtId="0" fontId="333" fillId="75" borderId="877" xfId="0" applyFont="1" applyFill="1" applyBorder="1" applyAlignment="1">
      <alignment horizontal="center" vertical="center" wrapText="1"/>
    </xf>
    <xf numFmtId="0" fontId="333" fillId="75" borderId="872" xfId="0" applyFont="1" applyFill="1" applyBorder="1" applyAlignment="1">
      <alignment horizontal="center" vertical="center" wrapText="1"/>
    </xf>
    <xf numFmtId="0" fontId="62" fillId="0" borderId="0" xfId="0" applyFont="1" applyAlignment="1">
      <alignment horizontal="left" vertical="center" wrapText="1"/>
    </xf>
    <xf numFmtId="0" fontId="60" fillId="0" borderId="0" xfId="0" applyFont="1" applyAlignment="1">
      <alignment horizontal="left" vertical="center" wrapText="1"/>
    </xf>
    <xf numFmtId="0" fontId="60" fillId="35" borderId="462" xfId="0" applyFont="1" applyFill="1" applyBorder="1" applyAlignment="1">
      <alignment horizontal="left" vertical="center" wrapText="1"/>
    </xf>
    <xf numFmtId="0" fontId="60" fillId="35" borderId="0" xfId="0" applyFont="1" applyFill="1" applyAlignment="1">
      <alignment horizontal="left" vertical="center"/>
    </xf>
    <xf numFmtId="0" fontId="60" fillId="35" borderId="0" xfId="0" applyFont="1" applyFill="1" applyAlignment="1">
      <alignment horizontal="left" vertical="center" wrapText="1"/>
    </xf>
    <xf numFmtId="0" fontId="109" fillId="2" borderId="458" xfId="0" applyFont="1" applyFill="1" applyBorder="1" applyAlignment="1">
      <alignment horizontal="center" vertical="center" wrapText="1"/>
    </xf>
    <xf numFmtId="0" fontId="65" fillId="2" borderId="459" xfId="0" applyFont="1" applyFill="1" applyBorder="1" applyAlignment="1">
      <alignment horizontal="center" vertical="center" wrapText="1"/>
    </xf>
    <xf numFmtId="0" fontId="109" fillId="2" borderId="459" xfId="0" applyFont="1" applyFill="1" applyBorder="1" applyAlignment="1">
      <alignment horizontal="center" vertical="center" wrapText="1"/>
    </xf>
    <xf numFmtId="178" fontId="208" fillId="0" borderId="458" xfId="0" applyNumberFormat="1" applyFont="1" applyBorder="1" applyAlignment="1">
      <alignment horizontal="center" vertical="center" wrapText="1"/>
    </xf>
    <xf numFmtId="178" fontId="208" fillId="0" borderId="459" xfId="0" applyNumberFormat="1" applyFont="1" applyBorder="1" applyAlignment="1">
      <alignment horizontal="center" vertical="center" wrapText="1"/>
    </xf>
    <xf numFmtId="178" fontId="208" fillId="0" borderId="459" xfId="0" applyNumberFormat="1" applyFont="1" applyBorder="1" applyAlignment="1">
      <alignment horizontal="center" vertical="center"/>
    </xf>
    <xf numFmtId="0" fontId="109" fillId="0" borderId="0" xfId="0" applyFont="1" applyAlignment="1">
      <alignment horizontal="center" vertical="center" wrapText="1"/>
    </xf>
    <xf numFmtId="0" fontId="65" fillId="0" borderId="0" xfId="0" applyFont="1" applyAlignment="1">
      <alignment horizontal="center" vertical="center" wrapText="1"/>
    </xf>
    <xf numFmtId="0" fontId="60" fillId="35" borderId="461" xfId="0" applyFont="1" applyFill="1" applyBorder="1" applyAlignment="1">
      <alignment horizontal="left" vertical="center" wrapText="1"/>
    </xf>
    <xf numFmtId="223" fontId="109" fillId="2" borderId="49" xfId="0" applyNumberFormat="1" applyFont="1" applyFill="1" applyBorder="1" applyAlignment="1">
      <alignment horizontal="center" vertical="center" wrapText="1"/>
    </xf>
    <xf numFmtId="223" fontId="109" fillId="2" borderId="52" xfId="0" applyNumberFormat="1" applyFont="1" applyFill="1" applyBorder="1" applyAlignment="1">
      <alignment horizontal="center" vertical="center" wrapText="1"/>
    </xf>
    <xf numFmtId="0" fontId="109" fillId="2" borderId="47" xfId="0" applyFont="1" applyFill="1" applyBorder="1" applyAlignment="1">
      <alignment horizontal="center" vertical="center" wrapText="1"/>
    </xf>
    <xf numFmtId="0" fontId="109" fillId="2" borderId="48" xfId="0" applyFont="1" applyFill="1" applyBorder="1" applyAlignment="1">
      <alignment horizontal="center" vertical="center" wrapText="1"/>
    </xf>
    <xf numFmtId="0" fontId="109" fillId="2" borderId="454" xfId="0" applyFont="1" applyFill="1" applyBorder="1" applyAlignment="1">
      <alignment horizontal="center" vertical="center" wrapText="1"/>
    </xf>
    <xf numFmtId="0" fontId="109" fillId="2" borderId="51" xfId="0" applyFont="1" applyFill="1" applyBorder="1" applyAlignment="1">
      <alignment horizontal="center" vertical="center" wrapText="1"/>
    </xf>
    <xf numFmtId="223" fontId="109" fillId="2" borderId="48" xfId="0" applyNumberFormat="1" applyFont="1" applyFill="1" applyBorder="1" applyAlignment="1">
      <alignment horizontal="center" vertical="center"/>
    </xf>
    <xf numFmtId="223" fontId="109" fillId="2" borderId="51" xfId="0" applyNumberFormat="1" applyFont="1" applyFill="1" applyBorder="1" applyAlignment="1">
      <alignment horizontal="center" vertical="center"/>
    </xf>
    <xf numFmtId="223" fontId="109" fillId="2" borderId="48" xfId="0" applyNumberFormat="1" applyFont="1" applyFill="1" applyBorder="1" applyAlignment="1">
      <alignment horizontal="center" vertical="center" wrapText="1"/>
    </xf>
    <xf numFmtId="223" fontId="109" fillId="2" borderId="51" xfId="0" applyNumberFormat="1" applyFont="1" applyFill="1" applyBorder="1" applyAlignment="1">
      <alignment horizontal="center" vertical="center" wrapText="1"/>
    </xf>
    <xf numFmtId="0" fontId="15" fillId="3" borderId="831" xfId="0" applyFont="1" applyFill="1" applyBorder="1" applyAlignment="1">
      <alignment horizontal="center" vertical="center" wrapText="1"/>
    </xf>
    <xf numFmtId="0" fontId="15" fillId="3" borderId="2" xfId="0" applyFont="1" applyFill="1" applyBorder="1" applyAlignment="1">
      <alignment horizontal="center" vertical="center" wrapText="1"/>
    </xf>
    <xf numFmtId="14" fontId="4" fillId="0" borderId="831" xfId="0" applyNumberFormat="1" applyFont="1" applyBorder="1" applyAlignment="1">
      <alignment horizontal="center" vertical="center"/>
    </xf>
    <xf numFmtId="14" fontId="4" fillId="0" borderId="0" xfId="0" applyNumberFormat="1" applyFont="1" applyAlignment="1">
      <alignment horizontal="center" vertical="center"/>
    </xf>
    <xf numFmtId="14" fontId="4" fillId="0" borderId="2" xfId="0" applyNumberFormat="1" applyFont="1" applyBorder="1" applyAlignment="1">
      <alignment horizontal="center" vertical="center"/>
    </xf>
    <xf numFmtId="14" fontId="4" fillId="0" borderId="839" xfId="0" applyNumberFormat="1" applyFont="1" applyBorder="1" applyAlignment="1">
      <alignment horizontal="center" vertical="center"/>
    </xf>
    <xf numFmtId="14" fontId="4" fillId="0" borderId="250" xfId="0" applyNumberFormat="1" applyFont="1" applyBorder="1" applyAlignment="1">
      <alignment horizontal="center" vertical="center"/>
    </xf>
    <xf numFmtId="0" fontId="4" fillId="0" borderId="0" xfId="0" applyFont="1" applyAlignment="1">
      <alignment horizontal="center" vertical="center"/>
    </xf>
    <xf numFmtId="0" fontId="4" fillId="0" borderId="2" xfId="0" applyFont="1" applyBorder="1" applyAlignment="1">
      <alignment horizontal="center" vertical="center"/>
    </xf>
    <xf numFmtId="0" fontId="15" fillId="3" borderId="831" xfId="0" applyFont="1" applyFill="1" applyBorder="1" applyAlignment="1">
      <alignment horizontal="center" vertical="center"/>
    </xf>
    <xf numFmtId="0" fontId="15" fillId="3" borderId="2" xfId="0" applyFont="1" applyFill="1" applyBorder="1" applyAlignment="1">
      <alignment horizontal="center" vertical="center"/>
    </xf>
    <xf numFmtId="3" fontId="64" fillId="79" borderId="23" xfId="0" applyNumberFormat="1" applyFont="1" applyFill="1" applyBorder="1" applyAlignment="1">
      <alignment horizontal="center" vertical="center" shrinkToFit="1"/>
    </xf>
    <xf numFmtId="3" fontId="64" fillId="79" borderId="3" xfId="0" applyNumberFormat="1" applyFont="1" applyFill="1" applyBorder="1" applyAlignment="1">
      <alignment horizontal="center" vertical="center" shrinkToFit="1"/>
    </xf>
    <xf numFmtId="3" fontId="64" fillId="79" borderId="568" xfId="0" applyNumberFormat="1" applyFont="1" applyFill="1" applyBorder="1" applyAlignment="1">
      <alignment horizontal="center" vertical="center" shrinkToFit="1"/>
    </xf>
    <xf numFmtId="41" fontId="249" fillId="22" borderId="41" xfId="0" applyNumberFormat="1" applyFont="1" applyFill="1" applyBorder="1" applyAlignment="1">
      <alignment horizontal="center" vertical="center" shrinkToFit="1"/>
    </xf>
    <xf numFmtId="41" fontId="249" fillId="22" borderId="42" xfId="0" applyNumberFormat="1" applyFont="1" applyFill="1" applyBorder="1" applyAlignment="1">
      <alignment horizontal="center" vertical="center" shrinkToFit="1"/>
    </xf>
    <xf numFmtId="41" fontId="249" fillId="16" borderId="579" xfId="0" applyNumberFormat="1" applyFont="1" applyFill="1" applyBorder="1" applyAlignment="1">
      <alignment horizontal="center" vertical="center" shrinkToFit="1"/>
    </xf>
    <xf numFmtId="41" fontId="249" fillId="16" borderId="580" xfId="0" applyNumberFormat="1" applyFont="1" applyFill="1" applyBorder="1" applyAlignment="1">
      <alignment horizontal="center" vertical="center" shrinkToFit="1"/>
    </xf>
    <xf numFmtId="41" fontId="249" fillId="16" borderId="581" xfId="0" applyNumberFormat="1" applyFont="1" applyFill="1" applyBorder="1" applyAlignment="1">
      <alignment horizontal="center" vertical="center" shrinkToFit="1"/>
    </xf>
    <xf numFmtId="3" fontId="64" fillId="79" borderId="41" xfId="0" applyNumberFormat="1" applyFont="1" applyFill="1" applyBorder="1" applyAlignment="1">
      <alignment horizontal="center" vertical="center" shrinkToFit="1"/>
    </xf>
    <xf numFmtId="3" fontId="64" fillId="79" borderId="42" xfId="0" applyNumberFormat="1" applyFont="1" applyFill="1" applyBorder="1" applyAlignment="1">
      <alignment horizontal="center" vertical="center" shrinkToFit="1"/>
    </xf>
    <xf numFmtId="3" fontId="64" fillId="79" borderId="4" xfId="0" applyNumberFormat="1" applyFont="1" applyFill="1" applyBorder="1" applyAlignment="1">
      <alignment horizontal="center" vertical="center" shrinkToFit="1"/>
    </xf>
    <xf numFmtId="3" fontId="64" fillId="79" borderId="1" xfId="0" applyNumberFormat="1" applyFont="1" applyFill="1" applyBorder="1" applyAlignment="1">
      <alignment horizontal="center" vertical="center" shrinkToFit="1"/>
    </xf>
    <xf numFmtId="3" fontId="64" fillId="79" borderId="5" xfId="0" applyNumberFormat="1" applyFont="1" applyFill="1" applyBorder="1" applyAlignment="1">
      <alignment horizontal="center" vertical="center" shrinkToFit="1"/>
    </xf>
    <xf numFmtId="3" fontId="64" fillId="16" borderId="4" xfId="0" applyNumberFormat="1" applyFont="1" applyFill="1" applyBorder="1" applyAlignment="1">
      <alignment horizontal="center" vertical="center" shrinkToFit="1"/>
    </xf>
    <xf numFmtId="3" fontId="64" fillId="16" borderId="1" xfId="0" applyNumberFormat="1" applyFont="1" applyFill="1" applyBorder="1" applyAlignment="1">
      <alignment horizontal="center" vertical="center" shrinkToFit="1"/>
    </xf>
    <xf numFmtId="3" fontId="64" fillId="16" borderId="5" xfId="0" applyNumberFormat="1" applyFont="1" applyFill="1" applyBorder="1" applyAlignment="1">
      <alignment horizontal="center" vertical="center" shrinkToFit="1"/>
    </xf>
    <xf numFmtId="41" fontId="249" fillId="22" borderId="579" xfId="0" applyNumberFormat="1" applyFont="1" applyFill="1" applyBorder="1" applyAlignment="1">
      <alignment horizontal="center" vertical="center" shrinkToFit="1"/>
    </xf>
    <xf numFmtId="41" fontId="249" fillId="22" borderId="580" xfId="0" applyNumberFormat="1" applyFont="1" applyFill="1" applyBorder="1" applyAlignment="1">
      <alignment horizontal="center" vertical="center" shrinkToFit="1"/>
    </xf>
    <xf numFmtId="41" fontId="249" fillId="22" borderId="581" xfId="0" applyNumberFormat="1" applyFont="1" applyFill="1" applyBorder="1" applyAlignment="1">
      <alignment horizontal="center" vertical="center" shrinkToFit="1"/>
    </xf>
    <xf numFmtId="41" fontId="187" fillId="0" borderId="4" xfId="0" applyNumberFormat="1" applyFont="1" applyBorder="1" applyAlignment="1">
      <alignment horizontal="center" vertical="center"/>
    </xf>
    <xf numFmtId="41" fontId="187" fillId="0" borderId="5" xfId="0" applyNumberFormat="1" applyFont="1" applyBorder="1" applyAlignment="1">
      <alignment horizontal="center" vertical="center"/>
    </xf>
    <xf numFmtId="0" fontId="298" fillId="87" borderId="850" xfId="0" applyFont="1" applyFill="1" applyBorder="1" applyAlignment="1">
      <alignment horizontal="center" vertical="center"/>
    </xf>
    <xf numFmtId="0" fontId="298" fillId="87" borderId="851" xfId="0" applyFont="1" applyFill="1" applyBorder="1" applyAlignment="1">
      <alignment horizontal="center" vertical="center"/>
    </xf>
    <xf numFmtId="0" fontId="298" fillId="87" borderId="843" xfId="0" applyFont="1" applyFill="1" applyBorder="1" applyAlignment="1">
      <alignment horizontal="center" vertical="center"/>
    </xf>
    <xf numFmtId="0" fontId="298" fillId="87" borderId="845" xfId="0" applyFont="1" applyFill="1" applyBorder="1" applyAlignment="1">
      <alignment horizontal="center" vertical="center"/>
    </xf>
    <xf numFmtId="0" fontId="4" fillId="0" borderId="412" xfId="0" applyFont="1" applyBorder="1" applyAlignment="1">
      <alignment horizontal="center" vertical="center"/>
    </xf>
    <xf numFmtId="0" fontId="4" fillId="0" borderId="847" xfId="0" applyFont="1" applyBorder="1" applyAlignment="1">
      <alignment horizontal="center" vertical="center"/>
    </xf>
    <xf numFmtId="0" fontId="298" fillId="87" borderId="389" xfId="0" applyFont="1" applyFill="1" applyBorder="1" applyAlignment="1">
      <alignment horizontal="center" vertical="center"/>
    </xf>
    <xf numFmtId="0" fontId="298" fillId="87" borderId="391" xfId="0" applyFont="1" applyFill="1" applyBorder="1" applyAlignment="1">
      <alignment horizontal="center" vertical="center"/>
    </xf>
    <xf numFmtId="0" fontId="298" fillId="87" borderId="842" xfId="0" applyFont="1" applyFill="1" applyBorder="1" applyAlignment="1">
      <alignment horizontal="center" vertical="center"/>
    </xf>
    <xf numFmtId="0" fontId="298" fillId="87" borderId="849" xfId="0" applyFont="1" applyFill="1" applyBorder="1" applyAlignment="1">
      <alignment horizontal="center" vertical="center"/>
    </xf>
    <xf numFmtId="0" fontId="301" fillId="0" borderId="854" xfId="0" applyFont="1" applyBorder="1" applyAlignment="1">
      <alignment horizontal="left" vertical="top" wrapText="1" indent="1"/>
    </xf>
    <xf numFmtId="0" fontId="301" fillId="0" borderId="854" xfId="0" applyFont="1" applyBorder="1" applyAlignment="1">
      <alignment horizontal="left" vertical="top" wrapText="1" indent="6"/>
    </xf>
    <xf numFmtId="0" fontId="0" fillId="0" borderId="0" xfId="0" applyAlignment="1">
      <alignment horizontal="left" wrapText="1"/>
    </xf>
    <xf numFmtId="0" fontId="302" fillId="0" borderId="0" xfId="0" applyFont="1" applyAlignment="1">
      <alignment horizontal="left" vertical="top" wrapText="1"/>
    </xf>
    <xf numFmtId="0" fontId="302" fillId="0" borderId="0" xfId="0" applyFont="1" applyAlignment="1">
      <alignment horizontal="right" vertical="top" wrapText="1"/>
    </xf>
    <xf numFmtId="0" fontId="302" fillId="0" borderId="0" xfId="0" applyFont="1" applyAlignment="1">
      <alignment horizontal="right" vertical="top" wrapText="1" indent="1"/>
    </xf>
    <xf numFmtId="0" fontId="302" fillId="0" borderId="0" xfId="0" applyFont="1" applyAlignment="1">
      <alignment horizontal="left" vertical="top" wrapText="1" indent="1"/>
    </xf>
    <xf numFmtId="0" fontId="0" fillId="0" borderId="854" xfId="0" applyBorder="1" applyAlignment="1">
      <alignment horizontal="left" wrapText="1"/>
    </xf>
    <xf numFmtId="0" fontId="301" fillId="0" borderId="854" xfId="0" applyFont="1" applyBorder="1" applyAlignment="1">
      <alignment horizontal="left" vertical="top" wrapText="1" indent="2"/>
    </xf>
    <xf numFmtId="1" fontId="303" fillId="0" borderId="855" xfId="0" applyNumberFormat="1" applyFont="1" applyBorder="1" applyAlignment="1">
      <alignment horizontal="left" vertical="top" indent="1" shrinkToFit="1"/>
    </xf>
    <xf numFmtId="0" fontId="304" fillId="0" borderId="856" xfId="0" applyFont="1" applyBorder="1" applyAlignment="1">
      <alignment horizontal="left" vertical="top" wrapText="1"/>
    </xf>
    <xf numFmtId="0" fontId="0" fillId="0" borderId="856" xfId="0" applyBorder="1" applyAlignment="1">
      <alignment horizontal="left" wrapText="1"/>
    </xf>
    <xf numFmtId="1" fontId="303" fillId="0" borderId="855" xfId="0" applyNumberFormat="1" applyFont="1" applyBorder="1" applyAlignment="1">
      <alignment horizontal="right" vertical="top" indent="1" shrinkToFit="1"/>
    </xf>
    <xf numFmtId="0" fontId="248" fillId="0" borderId="855" xfId="0" applyFont="1" applyBorder="1" applyAlignment="1">
      <alignment horizontal="left" vertical="top" wrapText="1"/>
    </xf>
    <xf numFmtId="0" fontId="302" fillId="0" borderId="855" xfId="0" applyFont="1" applyBorder="1" applyAlignment="1">
      <alignment horizontal="left" vertical="top" wrapText="1" indent="1"/>
    </xf>
    <xf numFmtId="0" fontId="0" fillId="0" borderId="855" xfId="0" applyBorder="1" applyAlignment="1">
      <alignment horizontal="left" wrapText="1"/>
    </xf>
    <xf numFmtId="210" fontId="303" fillId="89" borderId="0" xfId="0" applyNumberFormat="1" applyFont="1" applyFill="1" applyAlignment="1">
      <alignment horizontal="right" vertical="top" shrinkToFit="1"/>
    </xf>
    <xf numFmtId="0" fontId="302" fillId="89" borderId="0" xfId="0" applyFont="1" applyFill="1" applyAlignment="1">
      <alignment horizontal="left" vertical="top" wrapText="1"/>
    </xf>
    <xf numFmtId="0" fontId="302" fillId="89" borderId="0" xfId="0" applyFont="1" applyFill="1" applyAlignment="1">
      <alignment horizontal="left" vertical="top" wrapText="1" indent="1"/>
    </xf>
    <xf numFmtId="0" fontId="302" fillId="89" borderId="0" xfId="0" applyFont="1" applyFill="1" applyAlignment="1">
      <alignment horizontal="center" vertical="top" wrapText="1"/>
    </xf>
    <xf numFmtId="210" fontId="303" fillId="89" borderId="0" xfId="0" applyNumberFormat="1" applyFont="1" applyFill="1" applyAlignment="1">
      <alignment horizontal="left" vertical="top" indent="1" shrinkToFit="1"/>
    </xf>
    <xf numFmtId="210" fontId="303" fillId="0" borderId="0" xfId="0" applyNumberFormat="1" applyFont="1" applyAlignment="1">
      <alignment horizontal="right" vertical="top" indent="1" shrinkToFit="1"/>
    </xf>
    <xf numFmtId="210" fontId="303" fillId="0" borderId="0" xfId="0" applyNumberFormat="1" applyFont="1" applyAlignment="1">
      <alignment horizontal="right" vertical="top" shrinkToFit="1"/>
    </xf>
    <xf numFmtId="210" fontId="303" fillId="89" borderId="0" xfId="0" applyNumberFormat="1" applyFont="1" applyFill="1" applyAlignment="1">
      <alignment horizontal="right" vertical="top" indent="1" shrinkToFit="1"/>
    </xf>
    <xf numFmtId="210" fontId="303" fillId="0" borderId="0" xfId="0" applyNumberFormat="1" applyFont="1" applyAlignment="1">
      <alignment horizontal="left" vertical="top" indent="2" shrinkToFit="1"/>
    </xf>
    <xf numFmtId="210" fontId="303" fillId="0" borderId="0" xfId="0" applyNumberFormat="1" applyFont="1" applyAlignment="1">
      <alignment horizontal="left" vertical="top" indent="1" shrinkToFit="1"/>
    </xf>
    <xf numFmtId="0" fontId="0" fillId="89" borderId="0" xfId="0" applyFill="1" applyAlignment="1">
      <alignment horizontal="left" wrapText="1"/>
    </xf>
    <xf numFmtId="210" fontId="303" fillId="89" borderId="0" xfId="0" applyNumberFormat="1" applyFont="1" applyFill="1" applyAlignment="1">
      <alignment horizontal="left" vertical="top" indent="2" shrinkToFit="1"/>
    </xf>
    <xf numFmtId="0" fontId="302" fillId="0" borderId="0" xfId="0" applyFont="1" applyAlignment="1">
      <alignment horizontal="center" vertical="top" wrapText="1"/>
    </xf>
    <xf numFmtId="2" fontId="303" fillId="0" borderId="0" xfId="0" applyNumberFormat="1" applyFont="1" applyAlignment="1">
      <alignment horizontal="left" vertical="top" indent="1" shrinkToFit="1"/>
    </xf>
    <xf numFmtId="2" fontId="303" fillId="0" borderId="0" xfId="0" applyNumberFormat="1" applyFont="1" applyAlignment="1">
      <alignment horizontal="right" vertical="top" shrinkToFit="1"/>
    </xf>
    <xf numFmtId="2" fontId="303" fillId="89" borderId="0" xfId="0" applyNumberFormat="1" applyFont="1" applyFill="1" applyAlignment="1">
      <alignment horizontal="right" vertical="top" shrinkToFit="1"/>
    </xf>
    <xf numFmtId="2" fontId="303" fillId="89" borderId="0" xfId="0" applyNumberFormat="1" applyFont="1" applyFill="1" applyAlignment="1">
      <alignment horizontal="right" vertical="top" indent="1" shrinkToFit="1"/>
    </xf>
    <xf numFmtId="2" fontId="303" fillId="0" borderId="0" xfId="0" applyNumberFormat="1" applyFont="1" applyAlignment="1">
      <alignment horizontal="right" vertical="top" indent="1" shrinkToFit="1"/>
    </xf>
    <xf numFmtId="2" fontId="303" fillId="0" borderId="0" xfId="0" applyNumberFormat="1" applyFont="1" applyAlignment="1">
      <alignment horizontal="left" vertical="top" indent="2" shrinkToFit="1"/>
    </xf>
    <xf numFmtId="2" fontId="303" fillId="89" borderId="0" xfId="0" applyNumberFormat="1" applyFont="1" applyFill="1" applyAlignment="1">
      <alignment horizontal="left" vertical="top" indent="2" shrinkToFit="1"/>
    </xf>
    <xf numFmtId="2" fontId="303" fillId="89" borderId="0" xfId="0" applyNumberFormat="1" applyFont="1" applyFill="1" applyAlignment="1">
      <alignment horizontal="left" vertical="top" indent="1" shrinkToFit="1"/>
    </xf>
    <xf numFmtId="0" fontId="0" fillId="90" borderId="0" xfId="0" applyFill="1" applyAlignment="1">
      <alignment horizontal="left" vertical="top" wrapText="1"/>
    </xf>
    <xf numFmtId="0" fontId="0" fillId="90" borderId="855" xfId="0" applyFill="1" applyBorder="1" applyAlignment="1">
      <alignment horizontal="left" vertical="top" wrapText="1"/>
    </xf>
    <xf numFmtId="0" fontId="305" fillId="90" borderId="855" xfId="0" applyFont="1" applyFill="1" applyBorder="1" applyAlignment="1">
      <alignment horizontal="center" vertical="top" wrapText="1"/>
    </xf>
    <xf numFmtId="0" fontId="305" fillId="90" borderId="857" xfId="0" applyFont="1" applyFill="1" applyBorder="1" applyAlignment="1">
      <alignment horizontal="left" vertical="top" wrapText="1" indent="2"/>
    </xf>
    <xf numFmtId="0" fontId="305" fillId="0" borderId="0" xfId="0" applyFont="1" applyAlignment="1">
      <alignment horizontal="left" vertical="top" wrapText="1" indent="1"/>
    </xf>
    <xf numFmtId="210" fontId="307" fillId="91" borderId="0" xfId="0" applyNumberFormat="1" applyFont="1" applyFill="1" applyAlignment="1">
      <alignment horizontal="right" vertical="top" indent="1" shrinkToFit="1"/>
    </xf>
    <xf numFmtId="210" fontId="307" fillId="91" borderId="0" xfId="0" applyNumberFormat="1" applyFont="1" applyFill="1" applyAlignment="1">
      <alignment horizontal="right" vertical="top" shrinkToFit="1"/>
    </xf>
    <xf numFmtId="210" fontId="307" fillId="0" borderId="0" xfId="0" applyNumberFormat="1" applyFont="1" applyAlignment="1">
      <alignment horizontal="right" vertical="top" indent="1" shrinkToFit="1"/>
    </xf>
    <xf numFmtId="210" fontId="307" fillId="0" borderId="0" xfId="0" applyNumberFormat="1" applyFont="1" applyAlignment="1">
      <alignment horizontal="right" vertical="top" shrinkToFit="1"/>
    </xf>
    <xf numFmtId="41" fontId="15" fillId="73" borderId="36" xfId="0" applyNumberFormat="1" applyFont="1" applyFill="1" applyBorder="1" applyAlignment="1">
      <alignment horizontal="center" vertical="center"/>
    </xf>
    <xf numFmtId="0" fontId="4" fillId="0" borderId="36" xfId="0" applyFont="1" applyBorder="1" applyAlignment="1">
      <alignment horizontal="center" vertical="center"/>
    </xf>
    <xf numFmtId="41" fontId="4" fillId="0" borderId="801" xfId="0" applyNumberFormat="1" applyFont="1" applyBorder="1" applyAlignment="1">
      <alignment horizontal="left" vertical="center"/>
    </xf>
    <xf numFmtId="41" fontId="4" fillId="0" borderId="190" xfId="0" applyNumberFormat="1" applyFont="1" applyBorder="1" applyAlignment="1">
      <alignment horizontal="left" vertical="center"/>
    </xf>
    <xf numFmtId="41" fontId="4" fillId="0" borderId="42" xfId="0" applyNumberFormat="1" applyFont="1" applyBorder="1" applyAlignment="1">
      <alignment horizontal="left" vertical="center"/>
    </xf>
    <xf numFmtId="0" fontId="4" fillId="0" borderId="801" xfId="0" applyFont="1" applyBorder="1" applyAlignment="1">
      <alignment horizontal="center" vertical="center"/>
    </xf>
    <xf numFmtId="0" fontId="4" fillId="0" borderId="42" xfId="0" applyFont="1" applyBorder="1" applyAlignment="1">
      <alignment horizontal="center" vertical="center"/>
    </xf>
    <xf numFmtId="0" fontId="4" fillId="0" borderId="42" xfId="0" applyFont="1" applyBorder="1" applyAlignment="1">
      <alignment horizontal="left" vertical="center"/>
    </xf>
    <xf numFmtId="0" fontId="4" fillId="0" borderId="190" xfId="0" applyFont="1" applyBorder="1" applyAlignment="1">
      <alignment horizontal="left" vertical="center"/>
    </xf>
    <xf numFmtId="41" fontId="4" fillId="0" borderId="36" xfId="0" applyNumberFormat="1" applyFont="1" applyBorder="1" applyAlignment="1">
      <alignment horizontal="left" vertical="center"/>
    </xf>
    <xf numFmtId="0" fontId="4" fillId="0" borderId="36" xfId="0" applyFont="1" applyBorder="1" applyAlignment="1">
      <alignment horizontal="left" vertical="center"/>
    </xf>
    <xf numFmtId="41" fontId="15" fillId="83" borderId="4" xfId="0" applyNumberFormat="1" applyFont="1" applyFill="1" applyBorder="1" applyAlignment="1">
      <alignment horizontal="center" vertical="center"/>
    </xf>
    <xf numFmtId="41" fontId="15" fillId="83" borderId="5" xfId="0" applyNumberFormat="1" applyFont="1" applyFill="1" applyBorder="1" applyAlignment="1">
      <alignment horizontal="center" vertical="center"/>
    </xf>
    <xf numFmtId="41" fontId="15" fillId="73" borderId="4" xfId="0" applyNumberFormat="1" applyFont="1" applyFill="1" applyBorder="1" applyAlignment="1">
      <alignment horizontal="center" vertical="center"/>
    </xf>
    <xf numFmtId="41" fontId="15" fillId="73" borderId="5" xfId="0" applyNumberFormat="1" applyFont="1" applyFill="1" applyBorder="1" applyAlignment="1">
      <alignment horizontal="center" vertical="center"/>
    </xf>
    <xf numFmtId="0" fontId="16" fillId="0" borderId="831" xfId="0" applyFont="1" applyBorder="1" applyAlignment="1">
      <alignment horizontal="center" vertical="center"/>
    </xf>
    <xf numFmtId="0" fontId="16" fillId="0" borderId="830" xfId="0" applyFont="1" applyBorder="1" applyAlignment="1">
      <alignment horizontal="center" vertical="center"/>
    </xf>
    <xf numFmtId="0" fontId="16" fillId="0" borderId="2" xfId="0" applyFont="1" applyBorder="1" applyAlignment="1">
      <alignment horizontal="center" vertical="center"/>
    </xf>
    <xf numFmtId="0" fontId="16" fillId="0" borderId="7" xfId="0" applyFont="1" applyBorder="1" applyAlignment="1">
      <alignment horizontal="center" vertical="center"/>
    </xf>
    <xf numFmtId="3" fontId="16" fillId="0" borderId="4" xfId="0" applyNumberFormat="1" applyFont="1" applyBorder="1" applyAlignment="1">
      <alignment horizontal="center" vertical="center"/>
    </xf>
    <xf numFmtId="3" fontId="16" fillId="0" borderId="5" xfId="0" applyNumberFormat="1" applyFont="1" applyBorder="1" applyAlignment="1">
      <alignment horizontal="center" vertical="center"/>
    </xf>
    <xf numFmtId="180" fontId="16" fillId="0" borderId="4" xfId="0" applyNumberFormat="1" applyFont="1" applyBorder="1" applyAlignment="1" applyProtection="1">
      <alignment horizontal="center" vertical="center"/>
      <protection locked="0"/>
    </xf>
    <xf numFmtId="180" fontId="16" fillId="0" borderId="5" xfId="0" applyNumberFormat="1" applyFont="1" applyBorder="1" applyAlignment="1" applyProtection="1">
      <alignment horizontal="center" vertical="center"/>
      <protection locked="0"/>
    </xf>
    <xf numFmtId="3" fontId="16" fillId="0" borderId="1" xfId="0" applyNumberFormat="1" applyFont="1" applyBorder="1" applyAlignment="1">
      <alignment horizontal="center" vertical="center"/>
    </xf>
    <xf numFmtId="180" fontId="16" fillId="0" borderId="1" xfId="0" applyNumberFormat="1" applyFont="1" applyBorder="1" applyAlignment="1" applyProtection="1">
      <alignment horizontal="center" vertical="center"/>
      <protection locked="0"/>
    </xf>
    <xf numFmtId="3" fontId="16" fillId="0" borderId="0" xfId="0" applyNumberFormat="1" applyFont="1" applyAlignment="1">
      <alignment horizontal="distributed" vertical="center"/>
    </xf>
    <xf numFmtId="3" fontId="16" fillId="0" borderId="427" xfId="0" applyNumberFormat="1" applyFont="1" applyBorder="1" applyAlignment="1">
      <alignment horizontal="distributed" vertical="center"/>
    </xf>
    <xf numFmtId="3" fontId="5" fillId="0" borderId="0" xfId="0" applyNumberFormat="1" applyFont="1" applyAlignment="1">
      <alignment horizontal="distributed" vertical="center"/>
    </xf>
    <xf numFmtId="3" fontId="5" fillId="0" borderId="831" xfId="0" applyNumberFormat="1" applyFont="1" applyBorder="1" applyAlignment="1">
      <alignment horizontal="distributed" vertical="center"/>
    </xf>
    <xf numFmtId="0" fontId="15" fillId="12" borderId="801" xfId="0" applyFont="1" applyFill="1" applyBorder="1" applyAlignment="1">
      <alignment horizontal="center" vertical="center"/>
    </xf>
    <xf numFmtId="0" fontId="15" fillId="12" borderId="190" xfId="0" applyFont="1" applyFill="1" applyBorder="1" applyAlignment="1">
      <alignment horizontal="center" vertical="center"/>
    </xf>
    <xf numFmtId="0" fontId="15" fillId="12" borderId="42" xfId="0" applyFont="1" applyFill="1" applyBorder="1" applyAlignment="1">
      <alignment horizontal="center" vertical="center"/>
    </xf>
    <xf numFmtId="0" fontId="15" fillId="12" borderId="4" xfId="0" applyFont="1" applyFill="1" applyBorder="1" applyAlignment="1">
      <alignment horizontal="center" vertical="center"/>
    </xf>
    <xf numFmtId="0" fontId="15" fillId="12" borderId="1" xfId="0" applyFont="1" applyFill="1" applyBorder="1" applyAlignment="1">
      <alignment horizontal="center" vertical="center"/>
    </xf>
    <xf numFmtId="0" fontId="15" fillId="12" borderId="3" xfId="0" applyFont="1" applyFill="1" applyBorder="1" applyAlignment="1">
      <alignment horizontal="center" vertical="center"/>
    </xf>
    <xf numFmtId="0" fontId="15" fillId="12" borderId="568" xfId="0" applyFont="1" applyFill="1" applyBorder="1" applyAlignment="1">
      <alignment horizontal="center" vertical="center"/>
    </xf>
    <xf numFmtId="0" fontId="15" fillId="12" borderId="802" xfId="0" applyFont="1" applyFill="1" applyBorder="1" applyAlignment="1">
      <alignment horizontal="center" vertical="center"/>
    </xf>
    <xf numFmtId="0" fontId="15" fillId="12" borderId="2" xfId="0" applyFont="1" applyFill="1" applyBorder="1" applyAlignment="1">
      <alignment horizontal="center" vertical="center"/>
    </xf>
    <xf numFmtId="0" fontId="15" fillId="12" borderId="803" xfId="0" applyFont="1" applyFill="1" applyBorder="1" applyAlignment="1">
      <alignment horizontal="center" vertical="center"/>
    </xf>
    <xf numFmtId="0" fontId="15" fillId="12" borderId="807" xfId="0" applyFont="1" applyFill="1" applyBorder="1" applyAlignment="1">
      <alignment horizontal="center" vertical="center"/>
    </xf>
    <xf numFmtId="0" fontId="15" fillId="12" borderId="7" xfId="0" applyFont="1" applyFill="1" applyBorder="1" applyAlignment="1">
      <alignment horizontal="center" vertical="center"/>
    </xf>
    <xf numFmtId="0" fontId="15" fillId="12" borderId="6" xfId="0" applyFont="1" applyFill="1" applyBorder="1" applyAlignment="1">
      <alignment horizontal="center" vertical="center"/>
    </xf>
    <xf numFmtId="0" fontId="15" fillId="12" borderId="804" xfId="0" applyFont="1" applyFill="1" applyBorder="1" applyAlignment="1">
      <alignment horizontal="center" vertical="center"/>
    </xf>
    <xf numFmtId="0" fontId="15" fillId="12" borderId="808" xfId="0" applyFont="1" applyFill="1" applyBorder="1" applyAlignment="1">
      <alignment horizontal="center" vertical="center"/>
    </xf>
    <xf numFmtId="41" fontId="15" fillId="84" borderId="4" xfId="0" applyNumberFormat="1" applyFont="1" applyFill="1" applyBorder="1" applyAlignment="1">
      <alignment horizontal="center" vertical="center"/>
    </xf>
    <xf numFmtId="41" fontId="15" fillId="84" borderId="5" xfId="0" applyNumberFormat="1" applyFont="1" applyFill="1" applyBorder="1" applyAlignment="1">
      <alignment horizontal="center" vertical="center"/>
    </xf>
    <xf numFmtId="0" fontId="104" fillId="31" borderId="0" xfId="0" applyFont="1" applyFill="1" applyAlignment="1">
      <alignment horizontal="left" vertical="center"/>
    </xf>
    <xf numFmtId="0" fontId="291" fillId="31" borderId="0" xfId="0" applyFont="1" applyFill="1" applyAlignment="1">
      <alignment horizontal="left" vertical="center"/>
    </xf>
    <xf numFmtId="0" fontId="5" fillId="8" borderId="801" xfId="0" applyFont="1" applyFill="1" applyBorder="1" applyAlignment="1">
      <alignment horizontal="center" vertical="center"/>
    </xf>
    <xf numFmtId="0" fontId="5" fillId="8" borderId="42" xfId="0" applyFont="1" applyFill="1" applyBorder="1" applyAlignment="1">
      <alignment horizontal="center" vertical="center"/>
    </xf>
    <xf numFmtId="0" fontId="5" fillId="84" borderId="4" xfId="0" applyFont="1" applyFill="1" applyBorder="1" applyAlignment="1">
      <alignment horizontal="center" vertical="center"/>
    </xf>
    <xf numFmtId="0" fontId="5" fillId="84" borderId="5" xfId="0" applyFont="1" applyFill="1" applyBorder="1" applyAlignment="1">
      <alignment horizontal="center" vertical="center"/>
    </xf>
    <xf numFmtId="0" fontId="5" fillId="0" borderId="801" xfId="0" applyFont="1" applyBorder="1" applyAlignment="1">
      <alignment horizontal="center" vertical="center"/>
    </xf>
    <xf numFmtId="0" fontId="5" fillId="0" borderId="42" xfId="0"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200" fontId="5" fillId="0" borderId="4" xfId="0" applyNumberFormat="1" applyFont="1" applyBorder="1" applyAlignment="1">
      <alignment horizontal="center" vertical="center"/>
    </xf>
    <xf numFmtId="200" fontId="5" fillId="0" borderId="1" xfId="0" applyNumberFormat="1" applyFont="1" applyBorder="1" applyAlignment="1">
      <alignment horizontal="center" vertical="center"/>
    </xf>
    <xf numFmtId="200" fontId="5" fillId="0" borderId="830" xfId="0" applyNumberFormat="1" applyFont="1" applyBorder="1" applyAlignment="1">
      <alignment horizontal="center" vertical="center"/>
    </xf>
    <xf numFmtId="0" fontId="5" fillId="8" borderId="4" xfId="0" applyFont="1" applyFill="1" applyBorder="1" applyAlignment="1">
      <alignment horizontal="center" vertical="center"/>
    </xf>
    <xf numFmtId="0" fontId="5" fillId="8" borderId="5" xfId="0" applyFont="1" applyFill="1" applyBorder="1" applyAlignment="1">
      <alignment horizontal="center" vertical="center"/>
    </xf>
    <xf numFmtId="200" fontId="5" fillId="8" borderId="4" xfId="0" applyNumberFormat="1" applyFont="1" applyFill="1" applyBorder="1" applyAlignment="1">
      <alignment horizontal="center" vertical="center"/>
    </xf>
    <xf numFmtId="200" fontId="5" fillId="8" borderId="1" xfId="0" applyNumberFormat="1" applyFont="1" applyFill="1" applyBorder="1" applyAlignment="1">
      <alignment horizontal="center" vertical="center"/>
    </xf>
    <xf numFmtId="200" fontId="5" fillId="8" borderId="830" xfId="0" applyNumberFormat="1" applyFont="1" applyFill="1" applyBorder="1" applyAlignment="1">
      <alignment horizontal="center" vertical="center"/>
    </xf>
    <xf numFmtId="0" fontId="108" fillId="39" borderId="801" xfId="0" applyFont="1" applyFill="1" applyBorder="1" applyAlignment="1">
      <alignment horizontal="center" vertical="center"/>
    </xf>
    <xf numFmtId="0" fontId="108" fillId="39" borderId="42" xfId="0" applyFont="1" applyFill="1" applyBorder="1" applyAlignment="1">
      <alignment horizontal="center" vertical="center"/>
    </xf>
    <xf numFmtId="0" fontId="108" fillId="39" borderId="801" xfId="0" applyFont="1" applyFill="1" applyBorder="1" applyAlignment="1" applyProtection="1">
      <alignment horizontal="center" vertical="center"/>
      <protection locked="0"/>
    </xf>
    <xf numFmtId="0" fontId="108" fillId="39" borderId="42" xfId="0" applyFont="1" applyFill="1" applyBorder="1" applyAlignment="1" applyProtection="1">
      <alignment horizontal="center" vertical="center"/>
      <protection locked="0"/>
    </xf>
    <xf numFmtId="41" fontId="289" fillId="39" borderId="801" xfId="0" applyNumberFormat="1" applyFont="1" applyFill="1" applyBorder="1" applyAlignment="1">
      <alignment horizontal="center" vertical="center"/>
    </xf>
    <xf numFmtId="41" fontId="289" fillId="39" borderId="42" xfId="0" applyNumberFormat="1" applyFont="1" applyFill="1" applyBorder="1" applyAlignment="1">
      <alignment horizontal="center" vertical="center"/>
    </xf>
    <xf numFmtId="41" fontId="289" fillId="39" borderId="801" xfId="0" applyNumberFormat="1" applyFont="1" applyFill="1" applyBorder="1" applyAlignment="1" applyProtection="1">
      <alignment horizontal="center" vertical="center"/>
      <protection locked="0"/>
    </xf>
    <xf numFmtId="41" fontId="289" fillId="39" borderId="42" xfId="0" applyNumberFormat="1" applyFont="1" applyFill="1" applyBorder="1" applyAlignment="1" applyProtection="1">
      <alignment horizontal="center" vertical="center"/>
      <protection locked="0"/>
    </xf>
    <xf numFmtId="0" fontId="274" fillId="0" borderId="802" xfId="0" applyFont="1" applyBorder="1" applyAlignment="1">
      <alignment horizontal="center" vertical="center"/>
    </xf>
    <xf numFmtId="0" fontId="274" fillId="0" borderId="25" xfId="0" applyFont="1" applyBorder="1" applyAlignment="1">
      <alignment horizontal="center" vertical="center"/>
    </xf>
    <xf numFmtId="0" fontId="274" fillId="0" borderId="6" xfId="0" applyFont="1" applyBorder="1" applyAlignment="1">
      <alignment horizontal="center" vertical="center"/>
    </xf>
    <xf numFmtId="0" fontId="19" fillId="0" borderId="802" xfId="0" applyFont="1" applyBorder="1" applyAlignment="1">
      <alignment horizontal="center" vertical="center"/>
    </xf>
    <xf numFmtId="0" fontId="19" fillId="0" borderId="25" xfId="0" applyFont="1" applyBorder="1" applyAlignment="1">
      <alignment horizontal="center" vertical="center"/>
    </xf>
    <xf numFmtId="0" fontId="19" fillId="0" borderId="6" xfId="0" applyFont="1" applyBorder="1" applyAlignment="1">
      <alignment horizontal="center" vertical="center"/>
    </xf>
    <xf numFmtId="0" fontId="274" fillId="5" borderId="801" xfId="0" applyFont="1" applyFill="1" applyBorder="1" applyAlignment="1">
      <alignment horizontal="center" vertical="center"/>
    </xf>
    <xf numFmtId="0" fontId="274" fillId="5" borderId="190" xfId="0" applyFont="1" applyFill="1" applyBorder="1" applyAlignment="1">
      <alignment horizontal="center" vertical="center"/>
    </xf>
    <xf numFmtId="0" fontId="274" fillId="5" borderId="6" xfId="0" applyFont="1" applyFill="1" applyBorder="1" applyAlignment="1">
      <alignment horizontal="center" vertical="center"/>
    </xf>
    <xf numFmtId="0" fontId="279" fillId="45" borderId="826" xfId="0" applyFont="1" applyFill="1" applyBorder="1" applyAlignment="1">
      <alignment horizontal="center" vertical="center"/>
    </xf>
    <xf numFmtId="0" fontId="279" fillId="45" borderId="827" xfId="0" applyFont="1" applyFill="1" applyBorder="1" applyAlignment="1">
      <alignment horizontal="center" vertical="center"/>
    </xf>
    <xf numFmtId="0" fontId="274" fillId="9" borderId="801" xfId="0" applyFont="1" applyFill="1" applyBorder="1" applyAlignment="1">
      <alignment horizontal="center" vertical="center" wrapText="1"/>
    </xf>
    <xf numFmtId="0" fontId="274" fillId="9" borderId="190" xfId="0" applyFont="1" applyFill="1" applyBorder="1" applyAlignment="1">
      <alignment horizontal="center" vertical="center"/>
    </xf>
    <xf numFmtId="0" fontId="274" fillId="9" borderId="6" xfId="0" applyFont="1" applyFill="1" applyBorder="1" applyAlignment="1">
      <alignment horizontal="center" vertical="center"/>
    </xf>
    <xf numFmtId="0" fontId="19" fillId="0" borderId="801" xfId="0" applyFont="1" applyBorder="1" applyAlignment="1">
      <alignment horizontal="center" vertical="center"/>
    </xf>
    <xf numFmtId="0" fontId="19" fillId="0" borderId="42" xfId="0" applyFont="1" applyBorder="1" applyAlignment="1">
      <alignment horizontal="center" vertical="center"/>
    </xf>
    <xf numFmtId="0" fontId="106" fillId="45" borderId="257" xfId="0" applyFont="1" applyFill="1" applyBorder="1" applyAlignment="1">
      <alignment horizontal="center" vertical="center"/>
    </xf>
    <xf numFmtId="0" fontId="106" fillId="45" borderId="259" xfId="0" applyFont="1" applyFill="1" applyBorder="1" applyAlignment="1">
      <alignment horizontal="center" vertical="center"/>
    </xf>
    <xf numFmtId="41" fontId="185" fillId="39" borderId="41" xfId="0" applyNumberFormat="1" applyFont="1" applyFill="1" applyBorder="1" applyAlignment="1">
      <alignment horizontal="center" vertical="center"/>
    </xf>
    <xf numFmtId="41" fontId="185" fillId="39" borderId="42" xfId="0" applyNumberFormat="1" applyFont="1" applyFill="1" applyBorder="1" applyAlignment="1">
      <alignment horizontal="center" vertical="center"/>
    </xf>
    <xf numFmtId="4" fontId="185" fillId="40" borderId="41" xfId="0" applyNumberFormat="1" applyFont="1" applyFill="1" applyBorder="1" applyAlignment="1">
      <alignment horizontal="center" vertical="center" wrapText="1"/>
    </xf>
    <xf numFmtId="4" fontId="185" fillId="40" borderId="42" xfId="0" applyNumberFormat="1" applyFont="1" applyFill="1" applyBorder="1" applyAlignment="1">
      <alignment horizontal="center" vertical="center" wrapText="1"/>
    </xf>
    <xf numFmtId="3" fontId="185" fillId="41" borderId="4" xfId="0" applyNumberFormat="1" applyFont="1" applyFill="1" applyBorder="1" applyAlignment="1">
      <alignment horizontal="center"/>
    </xf>
    <xf numFmtId="3" fontId="185" fillId="41" borderId="5" xfId="0" applyNumberFormat="1" applyFont="1" applyFill="1" applyBorder="1" applyAlignment="1">
      <alignment horizontal="center"/>
    </xf>
    <xf numFmtId="219" fontId="185" fillId="40" borderId="41" xfId="0" applyNumberFormat="1" applyFont="1" applyFill="1" applyBorder="1" applyAlignment="1">
      <alignment horizontal="center" vertical="center" wrapText="1"/>
    </xf>
    <xf numFmtId="219" fontId="185" fillId="40" borderId="42" xfId="0" applyNumberFormat="1" applyFont="1" applyFill="1" applyBorder="1" applyAlignment="1">
      <alignment horizontal="center" vertical="center"/>
    </xf>
    <xf numFmtId="0" fontId="94" fillId="39" borderId="41" xfId="0" applyFont="1" applyFill="1" applyBorder="1" applyAlignment="1">
      <alignment horizontal="center" vertical="center"/>
    </xf>
    <xf numFmtId="0" fontId="94" fillId="39" borderId="42" xfId="0" applyFont="1" applyFill="1" applyBorder="1" applyAlignment="1">
      <alignment horizontal="center" vertical="center"/>
    </xf>
    <xf numFmtId="183" fontId="94" fillId="40" borderId="41" xfId="0" applyNumberFormat="1" applyFont="1" applyFill="1" applyBorder="1" applyAlignment="1">
      <alignment horizontal="center" vertical="center" wrapText="1"/>
    </xf>
    <xf numFmtId="183" fontId="94" fillId="40" borderId="42" xfId="0" applyNumberFormat="1" applyFont="1" applyFill="1" applyBorder="1" applyAlignment="1">
      <alignment horizontal="center" vertical="center"/>
    </xf>
    <xf numFmtId="0" fontId="94" fillId="41" borderId="4" xfId="0" applyFont="1" applyFill="1" applyBorder="1" applyAlignment="1">
      <alignment horizontal="center"/>
    </xf>
    <xf numFmtId="0" fontId="94" fillId="41" borderId="5" xfId="0" applyFont="1" applyFill="1" applyBorder="1" applyAlignment="1">
      <alignment horizontal="center"/>
    </xf>
    <xf numFmtId="201" fontId="95" fillId="25" borderId="36" xfId="0" applyNumberFormat="1" applyFont="1" applyFill="1" applyBorder="1" applyAlignment="1">
      <alignment horizontal="center" vertical="center" wrapText="1"/>
    </xf>
    <xf numFmtId="201" fontId="95" fillId="25" borderId="36" xfId="0" applyNumberFormat="1" applyFont="1" applyFill="1" applyBorder="1" applyAlignment="1">
      <alignment horizontal="center" vertical="center"/>
    </xf>
    <xf numFmtId="0" fontId="94" fillId="39" borderId="41" xfId="0" applyFont="1" applyFill="1" applyBorder="1" applyAlignment="1" applyProtection="1">
      <alignment horizontal="center" vertical="center"/>
      <protection locked="0"/>
    </xf>
    <xf numFmtId="0" fontId="94" fillId="39" borderId="42" xfId="0" applyFont="1" applyFill="1" applyBorder="1" applyAlignment="1" applyProtection="1">
      <alignment horizontal="center" vertical="center"/>
      <protection locked="0"/>
    </xf>
    <xf numFmtId="183" fontId="94" fillId="40" borderId="41" xfId="0" applyNumberFormat="1" applyFont="1" applyFill="1" applyBorder="1" applyAlignment="1" applyProtection="1">
      <alignment horizontal="center" vertical="center" wrapText="1"/>
      <protection locked="0"/>
    </xf>
    <xf numFmtId="183" fontId="94" fillId="40" borderId="42" xfId="0" applyNumberFormat="1" applyFont="1" applyFill="1" applyBorder="1" applyAlignment="1" applyProtection="1">
      <alignment horizontal="center" vertical="center"/>
      <protection locked="0"/>
    </xf>
    <xf numFmtId="0" fontId="94" fillId="41" borderId="4" xfId="0" applyFont="1" applyFill="1" applyBorder="1" applyAlignment="1" applyProtection="1">
      <alignment horizontal="center"/>
      <protection locked="0"/>
    </xf>
    <xf numFmtId="0" fontId="94" fillId="41" borderId="5" xfId="0" applyFont="1" applyFill="1" applyBorder="1" applyAlignment="1" applyProtection="1">
      <alignment horizontal="center"/>
      <protection locked="0"/>
    </xf>
    <xf numFmtId="3" fontId="52" fillId="0" borderId="0" xfId="0" applyNumberFormat="1" applyFont="1" applyProtection="1">
      <alignment vertical="center"/>
      <protection locked="0"/>
    </xf>
    <xf numFmtId="3" fontId="52" fillId="0" borderId="2" xfId="0" applyNumberFormat="1" applyFont="1" applyBorder="1" applyProtection="1">
      <alignment vertical="center"/>
      <protection locked="0"/>
    </xf>
    <xf numFmtId="41" fontId="185" fillId="39" borderId="41" xfId="0" applyNumberFormat="1" applyFont="1" applyFill="1" applyBorder="1" applyAlignment="1" applyProtection="1">
      <alignment horizontal="center" vertical="center"/>
      <protection locked="0"/>
    </xf>
    <xf numFmtId="41" fontId="185" fillId="39" borderId="42" xfId="0" applyNumberFormat="1" applyFont="1" applyFill="1" applyBorder="1" applyAlignment="1" applyProtection="1">
      <alignment horizontal="center" vertical="center"/>
      <protection locked="0"/>
    </xf>
    <xf numFmtId="4" fontId="185" fillId="40" borderId="41" xfId="0" applyNumberFormat="1" applyFont="1" applyFill="1" applyBorder="1" applyAlignment="1" applyProtection="1">
      <alignment horizontal="center" vertical="center" wrapText="1"/>
      <protection locked="0"/>
    </xf>
    <xf numFmtId="4" fontId="185" fillId="40" borderId="42" xfId="0" applyNumberFormat="1" applyFont="1" applyFill="1" applyBorder="1" applyAlignment="1" applyProtection="1">
      <alignment horizontal="center" vertical="center" wrapText="1"/>
      <protection locked="0"/>
    </xf>
    <xf numFmtId="3" fontId="185" fillId="41" borderId="4" xfId="0" applyNumberFormat="1" applyFont="1" applyFill="1" applyBorder="1" applyAlignment="1" applyProtection="1">
      <alignment horizontal="center"/>
      <protection locked="0"/>
    </xf>
    <xf numFmtId="3" fontId="185" fillId="41" borderId="5" xfId="0" applyNumberFormat="1" applyFont="1" applyFill="1" applyBorder="1" applyAlignment="1" applyProtection="1">
      <alignment horizontal="center"/>
      <protection locked="0"/>
    </xf>
    <xf numFmtId="219" fontId="185" fillId="40" borderId="41" xfId="0" applyNumberFormat="1" applyFont="1" applyFill="1" applyBorder="1" applyAlignment="1" applyProtection="1">
      <alignment horizontal="center" vertical="center" wrapText="1"/>
      <protection locked="0"/>
    </xf>
    <xf numFmtId="219" fontId="185" fillId="40" borderId="42" xfId="0" applyNumberFormat="1" applyFont="1" applyFill="1" applyBorder="1" applyAlignment="1" applyProtection="1">
      <alignment horizontal="center" vertical="center"/>
      <protection locked="0"/>
    </xf>
    <xf numFmtId="0" fontId="76" fillId="0" borderId="215" xfId="0" applyFont="1" applyBorder="1" applyAlignment="1">
      <alignment horizontal="center" vertical="center" wrapText="1"/>
    </xf>
    <xf numFmtId="0" fontId="76" fillId="0" borderId="409" xfId="0" applyFont="1" applyBorder="1" applyAlignment="1">
      <alignment horizontal="center" vertical="center" wrapText="1"/>
    </xf>
    <xf numFmtId="0" fontId="76" fillId="0" borderId="216" xfId="0" applyFont="1" applyBorder="1" applyAlignment="1">
      <alignment horizontal="center" vertical="center" wrapText="1"/>
    </xf>
    <xf numFmtId="0" fontId="76" fillId="7" borderId="239" xfId="0" applyFont="1" applyFill="1" applyBorder="1" applyAlignment="1">
      <alignment horizontal="center" vertical="center" wrapText="1"/>
    </xf>
    <xf numFmtId="0" fontId="76" fillId="7" borderId="214" xfId="0" applyFont="1" applyFill="1" applyBorder="1" applyAlignment="1">
      <alignment horizontal="center" vertical="center" wrapText="1"/>
    </xf>
    <xf numFmtId="0" fontId="76" fillId="7" borderId="240" xfId="0" applyFont="1" applyFill="1" applyBorder="1" applyAlignment="1">
      <alignment horizontal="center" vertical="center" wrapText="1"/>
    </xf>
    <xf numFmtId="0" fontId="76" fillId="7" borderId="244" xfId="0" applyFont="1" applyFill="1" applyBorder="1" applyAlignment="1">
      <alignment horizontal="center" vertical="center" wrapText="1"/>
    </xf>
    <xf numFmtId="0" fontId="76" fillId="7" borderId="405" xfId="0" applyFont="1" applyFill="1" applyBorder="1" applyAlignment="1">
      <alignment horizontal="center" vertical="center" wrapText="1"/>
    </xf>
    <xf numFmtId="0" fontId="76" fillId="7" borderId="247" xfId="0" applyFont="1" applyFill="1" applyBorder="1" applyAlignment="1">
      <alignment horizontal="center" vertical="center" wrapText="1"/>
    </xf>
    <xf numFmtId="0" fontId="76" fillId="0" borderId="406" xfId="0" applyFont="1" applyBorder="1" applyAlignment="1">
      <alignment horizontal="center" vertical="center" wrapText="1"/>
    </xf>
    <xf numFmtId="0" fontId="76" fillId="0" borderId="407" xfId="0" applyFont="1" applyBorder="1" applyAlignment="1">
      <alignment horizontal="center" vertical="center" wrapText="1"/>
    </xf>
    <xf numFmtId="0" fontId="76" fillId="0" borderId="408" xfId="0" applyFont="1" applyBorder="1" applyAlignment="1">
      <alignment horizontal="center" vertical="center" wrapText="1"/>
    </xf>
    <xf numFmtId="0" fontId="73" fillId="0" borderId="215" xfId="0" applyFont="1" applyBorder="1" applyAlignment="1">
      <alignment horizontal="center" vertical="center" wrapText="1"/>
    </xf>
    <xf numFmtId="0" fontId="73" fillId="0" borderId="409" xfId="0" applyFont="1" applyBorder="1" applyAlignment="1">
      <alignment horizontal="center" vertical="center" wrapText="1"/>
    </xf>
    <xf numFmtId="0" fontId="73" fillId="0" borderId="216" xfId="0" applyFont="1" applyBorder="1" applyAlignment="1">
      <alignment horizontal="center" vertical="center" wrapText="1"/>
    </xf>
    <xf numFmtId="0" fontId="73" fillId="7" borderId="239" xfId="0" applyFont="1" applyFill="1" applyBorder="1" applyAlignment="1">
      <alignment horizontal="center" vertical="center" wrapText="1"/>
    </xf>
    <xf numFmtId="0" fontId="73" fillId="7" borderId="214" xfId="0" applyFont="1" applyFill="1" applyBorder="1" applyAlignment="1">
      <alignment horizontal="center" vertical="center" wrapText="1"/>
    </xf>
    <xf numFmtId="0" fontId="73" fillId="7" borderId="240" xfId="0" applyFont="1" applyFill="1" applyBorder="1" applyAlignment="1">
      <alignment horizontal="center" vertical="center" wrapText="1"/>
    </xf>
    <xf numFmtId="0" fontId="73" fillId="7" borderId="244" xfId="0" applyFont="1" applyFill="1" applyBorder="1" applyAlignment="1">
      <alignment horizontal="center" vertical="center" wrapText="1"/>
    </xf>
    <xf numFmtId="0" fontId="73" fillId="7" borderId="405" xfId="0" applyFont="1" applyFill="1" applyBorder="1" applyAlignment="1">
      <alignment horizontal="center" vertical="center" wrapText="1"/>
    </xf>
    <xf numFmtId="0" fontId="73" fillId="7" borderId="247" xfId="0" applyFont="1" applyFill="1" applyBorder="1" applyAlignment="1">
      <alignment horizontal="center" vertical="center" wrapText="1"/>
    </xf>
    <xf numFmtId="0" fontId="73" fillId="0" borderId="406" xfId="0" applyFont="1" applyBorder="1" applyAlignment="1">
      <alignment horizontal="center" vertical="center" wrapText="1"/>
    </xf>
    <xf numFmtId="0" fontId="73" fillId="0" borderId="407" xfId="0" applyFont="1" applyBorder="1" applyAlignment="1">
      <alignment horizontal="center" vertical="center" wrapText="1"/>
    </xf>
    <xf numFmtId="0" fontId="73" fillId="0" borderId="408" xfId="0" applyFont="1" applyBorder="1" applyAlignment="1">
      <alignment horizontal="center" vertical="center" wrapText="1"/>
    </xf>
    <xf numFmtId="0" fontId="2" fillId="0" borderId="0" xfId="0" applyFont="1" applyAlignment="1"/>
    <xf numFmtId="0" fontId="148" fillId="8" borderId="41" xfId="0" applyFont="1" applyFill="1" applyBorder="1" applyAlignment="1">
      <alignment horizontal="center" vertical="center"/>
    </xf>
    <xf numFmtId="0" fontId="148" fillId="8" borderId="190" xfId="0" applyFont="1" applyFill="1" applyBorder="1" applyAlignment="1">
      <alignment horizontal="center" vertical="center"/>
    </xf>
    <xf numFmtId="0" fontId="148" fillId="8" borderId="42" xfId="0" applyFont="1" applyFill="1" applyBorder="1" applyAlignment="1">
      <alignment horizontal="center" vertical="center"/>
    </xf>
    <xf numFmtId="0" fontId="148" fillId="8" borderId="4" xfId="0" applyFont="1" applyFill="1" applyBorder="1" applyAlignment="1">
      <alignment horizontal="center" vertical="center"/>
    </xf>
    <xf numFmtId="0" fontId="148" fillId="8" borderId="5" xfId="0" applyFont="1" applyFill="1" applyBorder="1" applyAlignment="1">
      <alignment horizontal="center" vertical="center"/>
    </xf>
    <xf numFmtId="0" fontId="194" fillId="73" borderId="476" xfId="0" applyFont="1" applyFill="1" applyBorder="1" applyAlignment="1">
      <alignment horizontal="center" vertical="center" wrapText="1" readingOrder="1"/>
    </xf>
    <xf numFmtId="0" fontId="194" fillId="73" borderId="480" xfId="0" applyFont="1" applyFill="1" applyBorder="1" applyAlignment="1">
      <alignment horizontal="center" vertical="center" wrapText="1" readingOrder="1"/>
    </xf>
    <xf numFmtId="0" fontId="194" fillId="73" borderId="484" xfId="0" applyFont="1" applyFill="1" applyBorder="1" applyAlignment="1">
      <alignment horizontal="center" vertical="center" wrapText="1" readingOrder="1"/>
    </xf>
    <xf numFmtId="0" fontId="194" fillId="73" borderId="473" xfId="0" applyFont="1" applyFill="1" applyBorder="1" applyAlignment="1">
      <alignment horizontal="center" vertical="center" wrapText="1" readingOrder="1"/>
    </xf>
    <xf numFmtId="0" fontId="194" fillId="73" borderId="477" xfId="0" applyFont="1" applyFill="1" applyBorder="1" applyAlignment="1">
      <alignment horizontal="center" vertical="center" wrapText="1" readingOrder="1"/>
    </xf>
    <xf numFmtId="0" fontId="194" fillId="73" borderId="481" xfId="0" applyFont="1" applyFill="1" applyBorder="1" applyAlignment="1">
      <alignment horizontal="center" vertical="center" wrapText="1" readingOrder="1"/>
    </xf>
    <xf numFmtId="0" fontId="193" fillId="73" borderId="473" xfId="0" applyFont="1" applyFill="1" applyBorder="1" applyAlignment="1">
      <alignment horizontal="center" vertical="center" wrapText="1" readingOrder="1"/>
    </xf>
    <xf numFmtId="0" fontId="193" fillId="73" borderId="477" xfId="0" applyFont="1" applyFill="1" applyBorder="1" applyAlignment="1">
      <alignment horizontal="center" vertical="center" wrapText="1" readingOrder="1"/>
    </xf>
    <xf numFmtId="0" fontId="193" fillId="73" borderId="481" xfId="0" applyFont="1" applyFill="1" applyBorder="1" applyAlignment="1">
      <alignment horizontal="center" vertical="center" wrapText="1" readingOrder="1"/>
    </xf>
    <xf numFmtId="0" fontId="194" fillId="73" borderId="474" xfId="0" applyFont="1" applyFill="1" applyBorder="1" applyAlignment="1">
      <alignment horizontal="center" vertical="center" wrapText="1" readingOrder="1"/>
    </xf>
    <xf numFmtId="0" fontId="194" fillId="73" borderId="478" xfId="0" applyFont="1" applyFill="1" applyBorder="1" applyAlignment="1">
      <alignment horizontal="center" vertical="center" wrapText="1" readingOrder="1"/>
    </xf>
    <xf numFmtId="0" fontId="194" fillId="73" borderId="482" xfId="0" applyFont="1" applyFill="1" applyBorder="1" applyAlignment="1">
      <alignment horizontal="center" vertical="center" wrapText="1" readingOrder="1"/>
    </xf>
    <xf numFmtId="0" fontId="193" fillId="73" borderId="587" xfId="0" applyFont="1" applyFill="1" applyBorder="1" applyAlignment="1">
      <alignment horizontal="center" vertical="center" wrapText="1" readingOrder="1"/>
    </xf>
    <xf numFmtId="0" fontId="193" fillId="73" borderId="588" xfId="0" applyFont="1" applyFill="1" applyBorder="1" applyAlignment="1">
      <alignment horizontal="center" vertical="center" wrapText="1" readingOrder="1"/>
    </xf>
    <xf numFmtId="0" fontId="193" fillId="73" borderId="589" xfId="0" applyFont="1" applyFill="1" applyBorder="1" applyAlignment="1">
      <alignment horizontal="center" vertical="center" wrapText="1" readingOrder="1"/>
    </xf>
    <xf numFmtId="0" fontId="193" fillId="73" borderId="590" xfId="0" applyFont="1" applyFill="1" applyBorder="1" applyAlignment="1">
      <alignment horizontal="center" vertical="center" wrapText="1" readingOrder="1"/>
    </xf>
    <xf numFmtId="0" fontId="193" fillId="73" borderId="591" xfId="0" applyFont="1" applyFill="1" applyBorder="1" applyAlignment="1">
      <alignment horizontal="center" vertical="center" wrapText="1" readingOrder="1"/>
    </xf>
    <xf numFmtId="0" fontId="193" fillId="73" borderId="592" xfId="0" applyFont="1" applyFill="1" applyBorder="1" applyAlignment="1">
      <alignment horizontal="center" vertical="center" wrapText="1" readingOrder="1"/>
    </xf>
    <xf numFmtId="0" fontId="190" fillId="0" borderId="666" xfId="0" applyFont="1" applyBorder="1" applyAlignment="1">
      <alignment horizontal="left" vertical="center" wrapText="1" readingOrder="1"/>
    </xf>
    <xf numFmtId="0" fontId="190" fillId="0" borderId="667" xfId="0" applyFont="1" applyBorder="1" applyAlignment="1">
      <alignment horizontal="left" vertical="center" wrapText="1" readingOrder="1"/>
    </xf>
    <xf numFmtId="0" fontId="193" fillId="73" borderId="638" xfId="0" applyFont="1" applyFill="1" applyBorder="1" applyAlignment="1">
      <alignment horizontal="center" vertical="center" wrapText="1" readingOrder="1"/>
    </xf>
    <xf numFmtId="0" fontId="193" fillId="73" borderId="639" xfId="0" applyFont="1" applyFill="1" applyBorder="1" applyAlignment="1">
      <alignment horizontal="center" vertical="center" wrapText="1" readingOrder="1"/>
    </xf>
    <xf numFmtId="0" fontId="195" fillId="0" borderId="587" xfId="0" applyFont="1" applyBorder="1" applyAlignment="1">
      <alignment horizontal="left" vertical="center" wrapText="1" readingOrder="1"/>
    </xf>
    <xf numFmtId="0" fontId="195" fillId="0" borderId="643" xfId="0" applyFont="1" applyBorder="1" applyAlignment="1">
      <alignment horizontal="left" vertical="center" wrapText="1" readingOrder="1"/>
    </xf>
    <xf numFmtId="0" fontId="195" fillId="0" borderId="660" xfId="0" applyFont="1" applyBorder="1" applyAlignment="1">
      <alignment horizontal="left" vertical="center" wrapText="1" readingOrder="1"/>
    </xf>
    <xf numFmtId="0" fontId="195" fillId="0" borderId="661" xfId="0" applyFont="1" applyBorder="1" applyAlignment="1">
      <alignment horizontal="left" vertical="center" wrapText="1" readingOrder="1"/>
    </xf>
    <xf numFmtId="0" fontId="190" fillId="0" borderId="672" xfId="0" applyFont="1" applyBorder="1" applyAlignment="1">
      <alignment horizontal="left" vertical="center" wrapText="1" readingOrder="1"/>
    </xf>
    <xf numFmtId="0" fontId="190" fillId="0" borderId="673" xfId="0" applyFont="1" applyBorder="1" applyAlignment="1">
      <alignment horizontal="left" vertical="center" wrapText="1" readingOrder="1"/>
    </xf>
    <xf numFmtId="0" fontId="195" fillId="0" borderId="672" xfId="0" applyFont="1" applyBorder="1" applyAlignment="1">
      <alignment horizontal="left" vertical="center" wrapText="1" readingOrder="1"/>
    </xf>
    <xf numFmtId="0" fontId="195" fillId="0" borderId="673" xfId="0" applyFont="1" applyBorder="1" applyAlignment="1">
      <alignment horizontal="left" vertical="center" wrapText="1" readingOrder="1"/>
    </xf>
    <xf numFmtId="0" fontId="195" fillId="0" borderId="674" xfId="0" applyFont="1" applyBorder="1" applyAlignment="1">
      <alignment horizontal="left" vertical="center" wrapText="1" readingOrder="1"/>
    </xf>
    <xf numFmtId="0" fontId="195" fillId="0" borderId="675" xfId="0" applyFont="1" applyBorder="1" applyAlignment="1">
      <alignment horizontal="left" vertical="center" wrapText="1" readingOrder="1"/>
    </xf>
    <xf numFmtId="0" fontId="193" fillId="73" borderId="643" xfId="0" applyFont="1" applyFill="1" applyBorder="1" applyAlignment="1">
      <alignment horizontal="center" vertical="center" wrapText="1" readingOrder="1"/>
    </xf>
    <xf numFmtId="0" fontId="193" fillId="73" borderId="684" xfId="0" applyFont="1" applyFill="1" applyBorder="1" applyAlignment="1">
      <alignment horizontal="center" vertical="center" wrapText="1" readingOrder="1"/>
    </xf>
    <xf numFmtId="0" fontId="194" fillId="73" borderId="680" xfId="0" applyFont="1" applyFill="1" applyBorder="1" applyAlignment="1">
      <alignment horizontal="center" vertical="center" wrapText="1" readingOrder="1"/>
    </xf>
    <xf numFmtId="0" fontId="194" fillId="73" borderId="600" xfId="0" applyFont="1" applyFill="1" applyBorder="1" applyAlignment="1">
      <alignment horizontal="center" vertical="center" wrapText="1" readingOrder="1"/>
    </xf>
    <xf numFmtId="0" fontId="194" fillId="73" borderId="601" xfId="0" applyFont="1" applyFill="1" applyBorder="1" applyAlignment="1">
      <alignment horizontal="center" vertical="center" wrapText="1" readingOrder="1"/>
    </xf>
    <xf numFmtId="0" fontId="194" fillId="73" borderId="618" xfId="0" applyFont="1" applyFill="1" applyBorder="1" applyAlignment="1">
      <alignment horizontal="center" vertical="center" wrapText="1" readingOrder="1"/>
    </xf>
    <xf numFmtId="0" fontId="194" fillId="73" borderId="619" xfId="0" applyFont="1" applyFill="1" applyBorder="1" applyAlignment="1">
      <alignment horizontal="center" vertical="center" wrapText="1" readingOrder="1"/>
    </xf>
    <xf numFmtId="0" fontId="194" fillId="73" borderId="620" xfId="0" applyFont="1" applyFill="1" applyBorder="1" applyAlignment="1">
      <alignment horizontal="center" vertical="center" wrapText="1" readingOrder="1"/>
    </xf>
    <xf numFmtId="0" fontId="190" fillId="0" borderId="660" xfId="0" applyFont="1" applyBorder="1" applyAlignment="1">
      <alignment horizontal="left" vertical="center" wrapText="1" readingOrder="1"/>
    </xf>
    <xf numFmtId="0" fontId="190" fillId="0" borderId="766" xfId="0" applyFont="1" applyBorder="1" applyAlignment="1">
      <alignment horizontal="left" vertical="center" wrapText="1" readingOrder="1"/>
    </xf>
    <xf numFmtId="0" fontId="194" fillId="73" borderId="683" xfId="0" applyFont="1" applyFill="1" applyBorder="1" applyAlignment="1">
      <alignment horizontal="center" vertical="center" wrapText="1" readingOrder="1"/>
    </xf>
    <xf numFmtId="0" fontId="254" fillId="0" borderId="660" xfId="0" applyFont="1" applyBorder="1" applyAlignment="1">
      <alignment horizontal="left" vertical="center" wrapText="1" readingOrder="1"/>
    </xf>
    <xf numFmtId="0" fontId="254" fillId="0" borderId="661" xfId="0" applyFont="1" applyBorder="1" applyAlignment="1">
      <alignment horizontal="left" vertical="center" wrapText="1" readingOrder="1"/>
    </xf>
    <xf numFmtId="0" fontId="190" fillId="0" borderId="731" xfId="0" applyFont="1" applyBorder="1" applyAlignment="1">
      <alignment horizontal="left" vertical="center" wrapText="1" readingOrder="1"/>
    </xf>
    <xf numFmtId="0" fontId="190" fillId="0" borderId="732" xfId="0" applyFont="1" applyBorder="1" applyAlignment="1">
      <alignment horizontal="left" vertical="center" wrapText="1" readingOrder="1"/>
    </xf>
    <xf numFmtId="0" fontId="190" fillId="0" borderId="742" xfId="0" applyFont="1" applyBorder="1" applyAlignment="1">
      <alignment horizontal="left" vertical="center" wrapText="1" readingOrder="1"/>
    </xf>
    <xf numFmtId="0" fontId="190" fillId="0" borderId="743" xfId="0" applyFont="1" applyBorder="1" applyAlignment="1">
      <alignment horizontal="left" vertical="center" wrapText="1" readingOrder="1"/>
    </xf>
    <xf numFmtId="0" fontId="194" fillId="73" borderId="681" xfId="0" applyFont="1" applyFill="1" applyBorder="1" applyAlignment="1">
      <alignment horizontal="center" vertical="center" wrapText="1" readingOrder="1"/>
    </xf>
    <xf numFmtId="0" fontId="194" fillId="73" borderId="682" xfId="0" applyFont="1" applyFill="1" applyBorder="1" applyAlignment="1">
      <alignment horizontal="center" vertical="center" wrapText="1" readingOrder="1"/>
    </xf>
    <xf numFmtId="0" fontId="254" fillId="0" borderId="674" xfId="0" applyFont="1" applyBorder="1" applyAlignment="1">
      <alignment horizontal="left" vertical="center" wrapText="1" readingOrder="1"/>
    </xf>
    <xf numFmtId="0" fontId="254" fillId="0" borderId="675" xfId="0" applyFont="1" applyBorder="1" applyAlignment="1">
      <alignment horizontal="left" vertical="center" wrapText="1" readingOrder="1"/>
    </xf>
    <xf numFmtId="0" fontId="193" fillId="0" borderId="638" xfId="0" applyFont="1" applyBorder="1" applyAlignment="1">
      <alignment horizontal="center" vertical="center" wrapText="1" readingOrder="1"/>
    </xf>
    <xf numFmtId="0" fontId="193" fillId="0" borderId="639" xfId="0" applyFont="1" applyBorder="1" applyAlignment="1">
      <alignment horizontal="center" vertical="center" wrapText="1" readingOrder="1"/>
    </xf>
    <xf numFmtId="0" fontId="193" fillId="73" borderId="753" xfId="0" applyFont="1" applyFill="1" applyBorder="1" applyAlignment="1">
      <alignment horizontal="center" vertical="center" wrapText="1" readingOrder="1"/>
    </xf>
    <xf numFmtId="0" fontId="190" fillId="0" borderId="587" xfId="0" applyFont="1" applyBorder="1" applyAlignment="1">
      <alignment horizontal="left" vertical="center" wrapText="1" readingOrder="1"/>
    </xf>
    <xf numFmtId="0" fontId="190" fillId="0" borderId="588" xfId="0" applyFont="1" applyBorder="1" applyAlignment="1">
      <alignment horizontal="left" vertical="center" wrapText="1" readingOrder="1"/>
    </xf>
    <xf numFmtId="0" fontId="190" fillId="0" borderId="589" xfId="0" applyFont="1" applyBorder="1" applyAlignment="1">
      <alignment horizontal="left" vertical="center" wrapText="1" readingOrder="1"/>
    </xf>
    <xf numFmtId="0" fontId="190" fillId="0" borderId="590" xfId="0" applyFont="1" applyBorder="1" applyAlignment="1">
      <alignment horizontal="left" vertical="center" wrapText="1" readingOrder="1"/>
    </xf>
    <xf numFmtId="0" fontId="190" fillId="0" borderId="770" xfId="0" applyFont="1" applyBorder="1" applyAlignment="1">
      <alignment horizontal="left" vertical="center" wrapText="1" readingOrder="1"/>
    </xf>
    <xf numFmtId="0" fontId="190" fillId="0" borderId="772" xfId="0" applyFont="1" applyBorder="1" applyAlignment="1">
      <alignment horizontal="left" vertical="center" wrapText="1" readingOrder="1"/>
    </xf>
    <xf numFmtId="0" fontId="190" fillId="0" borderId="674" xfId="0" applyFont="1" applyBorder="1" applyAlignment="1">
      <alignment horizontal="left" vertical="center" wrapText="1" readingOrder="1"/>
    </xf>
    <xf numFmtId="0" fontId="190" fillId="0" borderId="774" xfId="0" applyFont="1" applyBorder="1" applyAlignment="1">
      <alignment horizontal="left" vertical="center" wrapText="1" readingOrder="1"/>
    </xf>
    <xf numFmtId="41" fontId="187" fillId="0" borderId="4" xfId="0" applyNumberFormat="1" applyFont="1" applyBorder="1" applyAlignment="1" applyProtection="1">
      <alignment horizontal="center" vertical="center"/>
      <protection locked="0"/>
    </xf>
    <xf numFmtId="41" fontId="187" fillId="0" borderId="5" xfId="0" applyNumberFormat="1" applyFont="1" applyBorder="1" applyAlignment="1" applyProtection="1">
      <alignment horizontal="center" vertical="center"/>
      <protection locked="0"/>
    </xf>
    <xf numFmtId="0" fontId="78" fillId="70" borderId="0" xfId="0" applyFont="1" applyFill="1" applyAlignment="1" applyProtection="1">
      <alignment horizontal="center" vertical="center"/>
      <protection locked="0"/>
    </xf>
    <xf numFmtId="0" fontId="78" fillId="70" borderId="2" xfId="0" applyFont="1" applyFill="1" applyBorder="1" applyAlignment="1" applyProtection="1">
      <alignment horizontal="center" vertical="center"/>
      <protection locked="0"/>
    </xf>
    <xf numFmtId="0" fontId="78" fillId="70" borderId="36" xfId="0" applyFont="1" applyFill="1" applyBorder="1" applyAlignment="1" applyProtection="1">
      <alignment horizontal="center" vertical="top"/>
      <protection locked="0"/>
    </xf>
    <xf numFmtId="0" fontId="78" fillId="70" borderId="6" xfId="0" applyFont="1" applyFill="1" applyBorder="1" applyAlignment="1" applyProtection="1">
      <alignment horizontal="center" vertical="top"/>
      <protection locked="0"/>
    </xf>
    <xf numFmtId="0" fontId="78" fillId="70" borderId="2" xfId="0" applyFont="1" applyFill="1" applyBorder="1" applyAlignment="1" applyProtection="1">
      <alignment horizontal="center" vertical="top"/>
      <protection locked="0"/>
    </xf>
    <xf numFmtId="0" fontId="78" fillId="70" borderId="41" xfId="0" applyFont="1" applyFill="1" applyBorder="1" applyAlignment="1" applyProtection="1">
      <alignment horizontal="center" vertical="top" wrapText="1"/>
      <protection locked="0"/>
    </xf>
    <xf numFmtId="0" fontId="78" fillId="70" borderId="42" xfId="0" applyFont="1" applyFill="1" applyBorder="1" applyAlignment="1" applyProtection="1">
      <alignment horizontal="center" vertical="top"/>
      <protection locked="0"/>
    </xf>
    <xf numFmtId="0" fontId="21" fillId="0" borderId="215" xfId="0" applyFont="1" applyBorder="1" applyAlignment="1">
      <alignment horizontal="center" vertical="center"/>
    </xf>
    <xf numFmtId="0" fontId="21" fillId="0" borderId="216" xfId="0" applyFont="1" applyBorder="1" applyAlignment="1">
      <alignment horizontal="center" vertical="center"/>
    </xf>
    <xf numFmtId="0" fontId="21" fillId="7" borderId="245" xfId="0" applyFont="1" applyFill="1" applyBorder="1" applyAlignment="1">
      <alignment horizontal="center" vertical="center"/>
    </xf>
    <xf numFmtId="0" fontId="21" fillId="7" borderId="244" xfId="0" applyFont="1" applyFill="1" applyBorder="1" applyAlignment="1">
      <alignment horizontal="center" vertical="center"/>
    </xf>
    <xf numFmtId="0" fontId="21" fillId="7" borderId="246" xfId="0" applyFont="1" applyFill="1" applyBorder="1" applyAlignment="1">
      <alignment horizontal="center" vertical="center"/>
    </xf>
    <xf numFmtId="0" fontId="21" fillId="7" borderId="247" xfId="0" applyFont="1" applyFill="1" applyBorder="1" applyAlignment="1">
      <alignment horizontal="center" vertical="center"/>
    </xf>
    <xf numFmtId="0" fontId="21" fillId="0" borderId="212" xfId="0" applyFont="1" applyBorder="1">
      <alignment vertical="center"/>
    </xf>
    <xf numFmtId="0" fontId="21" fillId="0" borderId="214" xfId="0" applyFont="1" applyBorder="1">
      <alignment vertical="center"/>
    </xf>
    <xf numFmtId="0" fontId="21" fillId="0" borderId="213" xfId="0" applyFont="1" applyBorder="1">
      <alignment vertical="center"/>
    </xf>
    <xf numFmtId="0" fontId="21" fillId="7" borderId="53" xfId="0" applyFont="1" applyFill="1" applyBorder="1" applyAlignment="1">
      <alignment horizontal="center" vertical="center"/>
    </xf>
    <xf numFmtId="0" fontId="21" fillId="7" borderId="241" xfId="0" applyFont="1" applyFill="1" applyBorder="1" applyAlignment="1">
      <alignment horizontal="center" vertical="center"/>
    </xf>
    <xf numFmtId="0" fontId="21" fillId="7" borderId="243" xfId="0" applyFont="1" applyFill="1" applyBorder="1" applyAlignment="1">
      <alignment horizontal="center" vertical="center"/>
    </xf>
    <xf numFmtId="0" fontId="21" fillId="7" borderId="242" xfId="0" applyFont="1" applyFill="1" applyBorder="1" applyAlignment="1">
      <alignment horizontal="center" vertical="center"/>
    </xf>
    <xf numFmtId="0" fontId="21" fillId="7" borderId="239" xfId="0" applyFont="1" applyFill="1" applyBorder="1" applyAlignment="1">
      <alignment horizontal="center" vertical="center"/>
    </xf>
    <xf numFmtId="0" fontId="21" fillId="7" borderId="214" xfId="0" applyFont="1" applyFill="1" applyBorder="1" applyAlignment="1">
      <alignment horizontal="center" vertical="center"/>
    </xf>
    <xf numFmtId="0" fontId="21" fillId="7" borderId="240" xfId="0" applyFont="1" applyFill="1" applyBorder="1" applyAlignment="1">
      <alignment horizontal="center" vertical="center"/>
    </xf>
    <xf numFmtId="0" fontId="21" fillId="7" borderId="213" xfId="0" applyFont="1" applyFill="1" applyBorder="1" applyAlignment="1">
      <alignment horizontal="center" vertical="center"/>
    </xf>
    <xf numFmtId="0" fontId="21" fillId="7" borderId="403" xfId="0" applyFont="1" applyFill="1" applyBorder="1" applyAlignment="1">
      <alignment horizontal="center" vertical="center"/>
    </xf>
    <xf numFmtId="0" fontId="179" fillId="0" borderId="412" xfId="0" applyFont="1" applyBorder="1" applyAlignment="1" applyProtection="1">
      <alignment horizontal="center"/>
      <protection locked="0"/>
    </xf>
    <xf numFmtId="183" fontId="4" fillId="0" borderId="36" xfId="0" applyNumberFormat="1" applyFont="1" applyBorder="1" applyAlignment="1">
      <alignment horizontal="center" vertical="center"/>
    </xf>
    <xf numFmtId="0" fontId="4" fillId="8" borderId="4" xfId="0" applyFont="1" applyFill="1" applyBorder="1" applyAlignment="1">
      <alignment horizontal="center" vertical="center"/>
    </xf>
    <xf numFmtId="0" fontId="4" fillId="8" borderId="5" xfId="0" applyFont="1" applyFill="1" applyBorder="1" applyAlignment="1">
      <alignment horizontal="center" vertical="center"/>
    </xf>
    <xf numFmtId="0" fontId="190" fillId="75" borderId="477" xfId="0" applyFont="1" applyFill="1" applyBorder="1" applyAlignment="1">
      <alignment horizontal="right" vertical="top" wrapText="1"/>
    </xf>
    <xf numFmtId="0" fontId="190" fillId="75" borderId="623" xfId="0" applyFont="1" applyFill="1" applyBorder="1" applyAlignment="1">
      <alignment horizontal="right" vertical="top" wrapText="1"/>
    </xf>
    <xf numFmtId="0" fontId="195" fillId="75" borderId="477" xfId="0" applyFont="1" applyFill="1" applyBorder="1" applyAlignment="1">
      <alignment horizontal="left" vertical="center" wrapText="1" readingOrder="1"/>
    </xf>
    <xf numFmtId="0" fontId="195" fillId="75" borderId="623" xfId="0" applyFont="1" applyFill="1" applyBorder="1" applyAlignment="1">
      <alignment horizontal="left" vertical="center" wrapText="1" readingOrder="1"/>
    </xf>
    <xf numFmtId="0" fontId="190" fillId="75" borderId="478" xfId="0" applyFont="1" applyFill="1" applyBorder="1" applyAlignment="1">
      <alignment horizontal="right" vertical="center" wrapText="1"/>
    </xf>
    <xf numFmtId="0" fontId="190" fillId="75" borderId="624" xfId="0" applyFont="1" applyFill="1" applyBorder="1" applyAlignment="1">
      <alignment horizontal="right" vertical="center" wrapText="1"/>
    </xf>
    <xf numFmtId="0" fontId="194" fillId="81" borderId="480" xfId="0" applyFont="1" applyFill="1" applyBorder="1" applyAlignment="1">
      <alignment horizontal="right" vertical="top" wrapText="1"/>
    </xf>
    <xf numFmtId="0" fontId="194" fillId="81" borderId="625" xfId="0" applyFont="1" applyFill="1" applyBorder="1" applyAlignment="1">
      <alignment horizontal="right" vertical="top" wrapText="1"/>
    </xf>
    <xf numFmtId="0" fontId="190" fillId="75" borderId="597" xfId="0" applyFont="1" applyFill="1" applyBorder="1" applyAlignment="1">
      <alignment horizontal="right" vertical="center" wrapText="1"/>
    </xf>
    <xf numFmtId="0" fontId="190" fillId="75" borderId="626" xfId="0" applyFont="1" applyFill="1" applyBorder="1" applyAlignment="1">
      <alignment horizontal="right" vertical="center" wrapText="1"/>
    </xf>
    <xf numFmtId="0" fontId="190" fillId="75" borderId="480" xfId="0" applyFont="1" applyFill="1" applyBorder="1" applyAlignment="1">
      <alignment horizontal="right" vertical="top" wrapText="1"/>
    </xf>
    <xf numFmtId="0" fontId="190" fillId="75" borderId="625" xfId="0" applyFont="1" applyFill="1" applyBorder="1" applyAlignment="1">
      <alignment horizontal="right" vertical="top" wrapText="1"/>
    </xf>
    <xf numFmtId="0" fontId="193" fillId="73" borderId="622" xfId="0" applyFont="1" applyFill="1" applyBorder="1" applyAlignment="1">
      <alignment horizontal="center" vertical="center" wrapText="1" readingOrder="1"/>
    </xf>
    <xf numFmtId="0" fontId="193" fillId="73" borderId="598" xfId="0" applyFont="1" applyFill="1" applyBorder="1" applyAlignment="1">
      <alignment horizontal="center" vertical="center" wrapText="1" readingOrder="1"/>
    </xf>
    <xf numFmtId="0" fontId="193" fillId="73" borderId="609" xfId="0" applyFont="1" applyFill="1" applyBorder="1" applyAlignment="1">
      <alignment horizontal="center" vertical="center" wrapText="1" readingOrder="1"/>
    </xf>
    <xf numFmtId="0" fontId="193" fillId="73" borderId="611" xfId="0" applyFont="1" applyFill="1" applyBorder="1" applyAlignment="1">
      <alignment horizontal="center" vertical="center" wrapText="1" readingOrder="1"/>
    </xf>
    <xf numFmtId="0" fontId="194" fillId="73" borderId="593" xfId="0" applyFont="1" applyFill="1" applyBorder="1" applyAlignment="1">
      <alignment horizontal="center" vertical="center" wrapText="1" readingOrder="1"/>
    </xf>
    <xf numFmtId="0" fontId="194" fillId="73" borderId="594" xfId="0" applyFont="1" applyFill="1" applyBorder="1" applyAlignment="1">
      <alignment horizontal="center" vertical="center" wrapText="1" readingOrder="1"/>
    </xf>
    <xf numFmtId="0" fontId="194" fillId="73" borderId="595" xfId="0" applyFont="1" applyFill="1" applyBorder="1" applyAlignment="1">
      <alignment horizontal="center" vertical="center" wrapText="1" readingOrder="1"/>
    </xf>
    <xf numFmtId="0" fontId="193" fillId="73" borderId="599" xfId="0" applyFont="1" applyFill="1" applyBorder="1" applyAlignment="1">
      <alignment horizontal="center" vertical="center" wrapText="1" readingOrder="1"/>
    </xf>
    <xf numFmtId="0" fontId="193" fillId="73" borderId="600" xfId="0" applyFont="1" applyFill="1" applyBorder="1" applyAlignment="1">
      <alignment horizontal="center" vertical="center" wrapText="1" readingOrder="1"/>
    </xf>
    <xf numFmtId="0" fontId="193" fillId="73" borderId="601" xfId="0" applyFont="1" applyFill="1" applyBorder="1" applyAlignment="1">
      <alignment horizontal="center" vertical="center" wrapText="1" readingOrder="1"/>
    </xf>
    <xf numFmtId="0" fontId="193" fillId="73" borderId="605" xfId="0" applyFont="1" applyFill="1" applyBorder="1" applyAlignment="1">
      <alignment horizontal="center" vertical="center" wrapText="1" readingOrder="1"/>
    </xf>
    <xf numFmtId="0" fontId="193" fillId="73" borderId="606" xfId="0" applyFont="1" applyFill="1" applyBorder="1" applyAlignment="1">
      <alignment horizontal="center" vertical="center" wrapText="1" readingOrder="1"/>
    </xf>
    <xf numFmtId="0" fontId="193" fillId="73" borderId="607" xfId="0" applyFont="1" applyFill="1" applyBorder="1" applyAlignment="1">
      <alignment horizontal="center" vertical="center" wrapText="1" readingOrder="1"/>
    </xf>
    <xf numFmtId="0" fontId="193" fillId="73" borderId="608" xfId="0" applyFont="1" applyFill="1" applyBorder="1" applyAlignment="1">
      <alignment horizontal="center" vertical="center" wrapText="1" readingOrder="1"/>
    </xf>
    <xf numFmtId="0" fontId="193" fillId="73" borderId="610" xfId="0" applyFont="1" applyFill="1" applyBorder="1" applyAlignment="1">
      <alignment horizontal="center" vertical="center" wrapText="1" readingOrder="1"/>
    </xf>
    <xf numFmtId="0" fontId="241" fillId="0" borderId="79" xfId="0" applyFont="1" applyBorder="1" applyAlignment="1">
      <alignment horizontal="left" vertical="center" wrapText="1"/>
    </xf>
    <xf numFmtId="0" fontId="241" fillId="0" borderId="80" xfId="0" applyFont="1" applyBorder="1" applyAlignment="1">
      <alignment horizontal="left" vertical="center" wrapText="1"/>
    </xf>
    <xf numFmtId="0" fontId="241" fillId="0" borderId="81" xfId="0" applyFont="1" applyBorder="1" applyAlignment="1">
      <alignment horizontal="left" vertical="center" wrapText="1"/>
    </xf>
    <xf numFmtId="0" fontId="241" fillId="0" borderId="169" xfId="0" applyFont="1" applyBorder="1" applyAlignment="1">
      <alignment horizontal="left" vertical="center" wrapText="1"/>
    </xf>
    <xf numFmtId="0" fontId="241" fillId="0" borderId="0" xfId="0" applyFont="1" applyAlignment="1">
      <alignment horizontal="left" vertical="center" wrapText="1"/>
    </xf>
    <xf numFmtId="0" fontId="241" fillId="0" borderId="170" xfId="0" applyFont="1" applyBorder="1" applyAlignment="1">
      <alignment horizontal="left" vertical="center" wrapText="1"/>
    </xf>
    <xf numFmtId="0" fontId="241" fillId="0" borderId="179" xfId="0" applyFont="1" applyBorder="1" applyAlignment="1">
      <alignment horizontal="left" vertical="center" wrapText="1"/>
    </xf>
    <xf numFmtId="0" fontId="241" fillId="0" borderId="62" xfId="0" applyFont="1" applyBorder="1" applyAlignment="1">
      <alignment horizontal="left" vertical="center" wrapText="1"/>
    </xf>
    <xf numFmtId="0" fontId="241" fillId="0" borderId="180" xfId="0" applyFont="1" applyBorder="1" applyAlignment="1">
      <alignment horizontal="left" vertical="center" wrapText="1"/>
    </xf>
    <xf numFmtId="0" fontId="232" fillId="75" borderId="143" xfId="0" applyFont="1" applyFill="1" applyBorder="1" applyAlignment="1">
      <alignment vertical="center" wrapText="1"/>
    </xf>
    <xf numFmtId="0" fontId="232" fillId="75" borderId="176" xfId="0" applyFont="1" applyFill="1" applyBorder="1" applyAlignment="1">
      <alignment vertical="center" wrapText="1"/>
    </xf>
    <xf numFmtId="0" fontId="232" fillId="0" borderId="144" xfId="0" applyFont="1" applyBorder="1" applyAlignment="1">
      <alignment vertical="center" wrapText="1"/>
    </xf>
    <xf numFmtId="0" fontId="232" fillId="0" borderId="177" xfId="0" applyFont="1" applyBorder="1" applyAlignment="1">
      <alignment vertical="center" wrapText="1"/>
    </xf>
    <xf numFmtId="0" fontId="235" fillId="0" borderId="145" xfId="0" applyFont="1" applyBorder="1" applyAlignment="1">
      <alignment vertical="center" wrapText="1"/>
    </xf>
    <xf numFmtId="0" fontId="235" fillId="0" borderId="155" xfId="0" applyFont="1" applyBorder="1" applyAlignment="1">
      <alignment vertical="center" wrapText="1"/>
    </xf>
    <xf numFmtId="0" fontId="235" fillId="0" borderId="159" xfId="0" applyFont="1" applyBorder="1" applyAlignment="1">
      <alignment vertical="center" wrapText="1"/>
    </xf>
    <xf numFmtId="0" fontId="232" fillId="0" borderId="156" xfId="0" applyFont="1" applyBorder="1" applyAlignment="1">
      <alignment horizontal="left" vertical="center" wrapText="1"/>
    </xf>
    <xf numFmtId="0" fontId="232" fillId="0" borderId="159" xfId="0" applyFont="1" applyBorder="1" applyAlignment="1">
      <alignment horizontal="left" vertical="center" wrapText="1"/>
    </xf>
    <xf numFmtId="0" fontId="239" fillId="0" borderId="56" xfId="0" applyFont="1" applyBorder="1" applyAlignment="1">
      <alignment horizontal="left" vertical="center" wrapText="1"/>
    </xf>
    <xf numFmtId="0" fontId="239" fillId="0" borderId="70" xfId="0" applyFont="1" applyBorder="1" applyAlignment="1">
      <alignment horizontal="left" vertical="center" wrapText="1"/>
    </xf>
    <xf numFmtId="0" fontId="232" fillId="0" borderId="527" xfId="0" applyFont="1" applyBorder="1" applyAlignment="1">
      <alignment vertical="center" wrapText="1"/>
    </xf>
    <xf numFmtId="0" fontId="232" fillId="0" borderId="528" xfId="0" applyFont="1" applyBorder="1" applyAlignment="1">
      <alignment vertical="center" wrapText="1"/>
    </xf>
    <xf numFmtId="0" fontId="232" fillId="0" borderId="529" xfId="0" applyFont="1" applyBorder="1" applyAlignment="1">
      <alignment vertical="center" wrapText="1"/>
    </xf>
    <xf numFmtId="0" fontId="232" fillId="0" borderId="530" xfId="0" applyFont="1" applyBorder="1" applyAlignment="1">
      <alignment vertical="center" wrapText="1"/>
    </xf>
    <xf numFmtId="0" fontId="232" fillId="75" borderId="531" xfId="0" applyFont="1" applyFill="1" applyBorder="1" applyAlignment="1">
      <alignment vertical="center" wrapText="1"/>
    </xf>
    <xf numFmtId="0" fontId="232" fillId="75" borderId="532" xfId="0" applyFont="1" applyFill="1" applyBorder="1" applyAlignment="1">
      <alignment vertical="center" wrapText="1"/>
    </xf>
    <xf numFmtId="0" fontId="232" fillId="27" borderId="533" xfId="0" applyFont="1" applyFill="1" applyBorder="1" applyAlignment="1">
      <alignment vertical="center" wrapText="1"/>
    </xf>
    <xf numFmtId="0" fontId="232" fillId="27" borderId="534" xfId="0" applyFont="1" applyFill="1" applyBorder="1" applyAlignment="1">
      <alignment vertical="center" wrapText="1"/>
    </xf>
    <xf numFmtId="0" fontId="232" fillId="75" borderId="142" xfId="0" applyFont="1" applyFill="1" applyBorder="1" applyAlignment="1">
      <alignment vertical="center" wrapText="1"/>
    </xf>
    <xf numFmtId="0" fontId="232" fillId="75" borderId="175" xfId="0" applyFont="1" applyFill="1" applyBorder="1" applyAlignment="1">
      <alignment vertical="center" wrapText="1"/>
    </xf>
    <xf numFmtId="0" fontId="237" fillId="0" borderId="122" xfId="0" applyFont="1" applyBorder="1" applyAlignment="1">
      <alignment horizontal="left" vertical="center" wrapText="1"/>
    </xf>
    <xf numFmtId="0" fontId="237" fillId="0" borderId="158" xfId="0" applyFont="1" applyBorder="1" applyAlignment="1">
      <alignment horizontal="left" vertical="center" wrapText="1"/>
    </xf>
    <xf numFmtId="0" fontId="233" fillId="73" borderId="133" xfId="0" applyFont="1" applyFill="1" applyBorder="1" applyAlignment="1">
      <alignment horizontal="left" vertical="center" wrapText="1"/>
    </xf>
    <xf numFmtId="0" fontId="233" fillId="73" borderId="134" xfId="0" applyFont="1" applyFill="1" applyBorder="1" applyAlignment="1">
      <alignment horizontal="left" vertical="center" wrapText="1"/>
    </xf>
    <xf numFmtId="0" fontId="233" fillId="73" borderId="499" xfId="0" applyFont="1" applyFill="1" applyBorder="1" applyAlignment="1">
      <alignment horizontal="left" vertical="center" wrapText="1"/>
    </xf>
    <xf numFmtId="0" fontId="233" fillId="0" borderId="136" xfId="0" applyFont="1" applyBorder="1" applyAlignment="1">
      <alignment horizontal="left" vertical="center" wrapText="1"/>
    </xf>
    <xf numFmtId="0" fontId="233" fillId="0" borderId="524" xfId="0" applyFont="1" applyBorder="1" applyAlignment="1">
      <alignment horizontal="left" vertical="center" wrapText="1"/>
    </xf>
    <xf numFmtId="0" fontId="233" fillId="0" borderId="169" xfId="0" applyFont="1" applyBorder="1" applyAlignment="1">
      <alignment horizontal="left" vertical="center" wrapText="1"/>
    </xf>
    <xf numFmtId="0" fontId="233" fillId="0" borderId="525" xfId="0" applyFont="1" applyBorder="1" applyAlignment="1">
      <alignment horizontal="left" vertical="center" wrapText="1"/>
    </xf>
    <xf numFmtId="0" fontId="0" fillId="0" borderId="146" xfId="0" applyBorder="1" applyAlignment="1">
      <alignment vertical="center" wrapText="1"/>
    </xf>
    <xf numFmtId="0" fontId="0" fillId="0" borderId="526" xfId="0" applyBorder="1" applyAlignment="1">
      <alignment vertical="center" wrapText="1"/>
    </xf>
    <xf numFmtId="0" fontId="233" fillId="0" borderId="79" xfId="0" applyFont="1" applyBorder="1" applyAlignment="1">
      <alignment horizontal="left" vertical="center" wrapText="1"/>
    </xf>
    <xf numFmtId="0" fontId="233" fillId="0" borderId="80" xfId="0" applyFont="1" applyBorder="1" applyAlignment="1">
      <alignment horizontal="left" vertical="center" wrapText="1"/>
    </xf>
    <xf numFmtId="0" fontId="233" fillId="0" borderId="547" xfId="0" applyFont="1" applyBorder="1" applyAlignment="1">
      <alignment horizontal="left" vertical="center" wrapText="1"/>
    </xf>
    <xf numFmtId="0" fontId="238" fillId="0" borderId="91" xfId="0" applyFont="1" applyBorder="1" applyAlignment="1">
      <alignment horizontal="left" vertical="center" wrapText="1"/>
    </xf>
    <xf numFmtId="0" fontId="238" fillId="0" borderId="504" xfId="0" applyFont="1" applyBorder="1" applyAlignment="1">
      <alignment horizontal="left" vertical="center" wrapText="1"/>
    </xf>
    <xf numFmtId="0" fontId="233" fillId="0" borderId="102" xfId="0" applyFont="1" applyBorder="1" applyAlignment="1">
      <alignment horizontal="left" vertical="center" wrapText="1"/>
    </xf>
    <xf numFmtId="0" fontId="233" fillId="0" borderId="509" xfId="0" applyFont="1" applyBorder="1" applyAlignment="1">
      <alignment horizontal="left" vertical="center" wrapText="1"/>
    </xf>
    <xf numFmtId="0" fontId="233" fillId="0" borderId="113" xfId="0" applyFont="1" applyBorder="1" applyAlignment="1">
      <alignment horizontal="left" vertical="center" wrapText="1"/>
    </xf>
    <xf numFmtId="0" fontId="233" fillId="0" borderId="514" xfId="0" applyFont="1" applyBorder="1" applyAlignment="1">
      <alignment horizontal="left" vertical="center" wrapText="1"/>
    </xf>
    <xf numFmtId="0" fontId="232" fillId="0" borderId="123" xfId="0" applyFont="1" applyBorder="1" applyAlignment="1">
      <alignment horizontal="left" vertical="center" wrapText="1"/>
    </xf>
    <xf numFmtId="0" fontId="232" fillId="0" borderId="124" xfId="0" applyFont="1" applyBorder="1" applyAlignment="1">
      <alignment horizontal="left" vertical="center" wrapText="1"/>
    </xf>
    <xf numFmtId="0" fontId="232" fillId="0" borderId="519" xfId="0" applyFont="1" applyBorder="1" applyAlignment="1">
      <alignment horizontal="left" vertical="center" wrapText="1"/>
    </xf>
    <xf numFmtId="0" fontId="236" fillId="73" borderId="56" xfId="0" applyFont="1" applyFill="1" applyBorder="1" applyAlignment="1">
      <alignment horizontal="center" vertical="center" wrapText="1"/>
    </xf>
    <xf numFmtId="0" fontId="236" fillId="73" borderId="487" xfId="0" applyFont="1" applyFill="1" applyBorder="1" applyAlignment="1">
      <alignment horizontal="center" vertical="center" wrapText="1"/>
    </xf>
    <xf numFmtId="0" fontId="236" fillId="73" borderId="62" xfId="0" applyFont="1" applyFill="1" applyBorder="1" applyAlignment="1">
      <alignment horizontal="center" vertical="center" wrapText="1"/>
    </xf>
    <xf numFmtId="0" fontId="236" fillId="73" borderId="488" xfId="0" applyFont="1" applyFill="1" applyBorder="1" applyAlignment="1">
      <alignment horizontal="center" vertical="center" wrapText="1"/>
    </xf>
    <xf numFmtId="0" fontId="237" fillId="73" borderId="489" xfId="0" applyFont="1" applyFill="1" applyBorder="1" applyAlignment="1">
      <alignment horizontal="center" vertical="center" wrapText="1"/>
    </xf>
    <xf numFmtId="0" fontId="237" fillId="73" borderId="490" xfId="0" applyFont="1" applyFill="1" applyBorder="1" applyAlignment="1">
      <alignment horizontal="center" vertical="center" wrapText="1"/>
    </xf>
    <xf numFmtId="0" fontId="237" fillId="73" borderId="546" xfId="0" applyFont="1" applyFill="1" applyBorder="1" applyAlignment="1">
      <alignment horizontal="center" vertical="center" wrapText="1"/>
    </xf>
    <xf numFmtId="0" fontId="237" fillId="73" borderId="487" xfId="0" applyFont="1" applyFill="1" applyBorder="1" applyAlignment="1">
      <alignment horizontal="center" vertical="center" wrapText="1"/>
    </xf>
    <xf numFmtId="0" fontId="236" fillId="73" borderId="491" xfId="0" applyFont="1" applyFill="1" applyBorder="1" applyAlignment="1">
      <alignment horizontal="center" vertical="center" wrapText="1"/>
    </xf>
    <xf numFmtId="0" fontId="236" fillId="73" borderId="61" xfId="0" applyFont="1" applyFill="1" applyBorder="1" applyAlignment="1">
      <alignment horizontal="center" vertical="center" wrapText="1"/>
    </xf>
    <xf numFmtId="0" fontId="236" fillId="0" borderId="56" xfId="0" applyFont="1" applyBorder="1" applyAlignment="1">
      <alignment horizontal="left" vertical="center" wrapText="1"/>
    </xf>
    <xf numFmtId="0" fontId="236" fillId="0" borderId="487" xfId="0" applyFont="1" applyBorder="1" applyAlignment="1">
      <alignment horizontal="left" vertical="center" wrapText="1"/>
    </xf>
    <xf numFmtId="0" fontId="21" fillId="0" borderId="79" xfId="0" applyFont="1" applyBorder="1" applyAlignment="1">
      <alignment horizontal="left" vertical="center" wrapText="1"/>
    </xf>
    <xf numFmtId="0" fontId="21" fillId="0" borderId="80" xfId="0" applyFont="1" applyBorder="1" applyAlignment="1">
      <alignment horizontal="left" vertical="center" wrapText="1"/>
    </xf>
    <xf numFmtId="0" fontId="21" fillId="0" borderId="81" xfId="0" applyFont="1" applyBorder="1" applyAlignment="1">
      <alignment horizontal="left" vertical="center" wrapText="1"/>
    </xf>
    <xf numFmtId="0" fontId="37" fillId="26" borderId="56" xfId="0" applyFont="1" applyFill="1" applyBorder="1" applyAlignment="1">
      <alignment horizontal="center" vertical="center" wrapText="1"/>
    </xf>
    <xf numFmtId="0" fontId="37" fillId="26" borderId="57" xfId="0" applyFont="1" applyFill="1" applyBorder="1" applyAlignment="1">
      <alignment horizontal="center" vertical="center" wrapText="1"/>
    </xf>
    <xf numFmtId="0" fontId="37" fillId="26" borderId="62" xfId="0" applyFont="1" applyFill="1" applyBorder="1" applyAlignment="1">
      <alignment horizontal="center" vertical="center" wrapText="1"/>
    </xf>
    <xf numFmtId="0" fontId="37" fillId="26" borderId="63" xfId="0" applyFont="1" applyFill="1" applyBorder="1" applyAlignment="1">
      <alignment horizontal="center" vertical="center" wrapText="1"/>
    </xf>
    <xf numFmtId="0" fontId="37" fillId="26" borderId="58" xfId="0" applyFont="1" applyFill="1" applyBorder="1" applyAlignment="1">
      <alignment horizontal="center" vertical="center" wrapText="1"/>
    </xf>
    <xf numFmtId="0" fontId="37" fillId="26" borderId="64" xfId="0" applyFont="1" applyFill="1" applyBorder="1" applyAlignment="1">
      <alignment horizontal="center" vertical="center" wrapText="1"/>
    </xf>
    <xf numFmtId="0" fontId="38" fillId="26" borderId="59" xfId="0" applyFont="1" applyFill="1" applyBorder="1" applyAlignment="1">
      <alignment vertical="center" wrapText="1"/>
    </xf>
    <xf numFmtId="0" fontId="38" fillId="26" borderId="57" xfId="0" applyFont="1" applyFill="1" applyBorder="1" applyAlignment="1">
      <alignment vertical="center" wrapText="1"/>
    </xf>
    <xf numFmtId="0" fontId="38" fillId="26" borderId="60" xfId="0" applyFont="1" applyFill="1" applyBorder="1" applyAlignment="1">
      <alignment vertical="center" wrapText="1"/>
    </xf>
    <xf numFmtId="0" fontId="38" fillId="26" borderId="61" xfId="0" applyFont="1" applyFill="1" applyBorder="1" applyAlignment="1">
      <alignment vertical="center" wrapText="1"/>
    </xf>
    <xf numFmtId="0" fontId="39" fillId="0" borderId="56" xfId="0" applyFont="1" applyBorder="1" applyAlignment="1">
      <alignment horizontal="left" vertical="center" wrapText="1"/>
    </xf>
    <xf numFmtId="0" fontId="39" fillId="0" borderId="70" xfId="0" applyFont="1" applyBorder="1" applyAlignment="1">
      <alignment horizontal="left" vertical="center" wrapText="1"/>
    </xf>
    <xf numFmtId="0" fontId="21" fillId="0" borderId="91" xfId="0" applyFont="1" applyBorder="1" applyAlignment="1">
      <alignment horizontal="left" vertical="center" wrapText="1"/>
    </xf>
    <xf numFmtId="0" fontId="21" fillId="0" borderId="92" xfId="0" applyFont="1" applyBorder="1" applyAlignment="1">
      <alignment horizontal="left" vertical="center" wrapText="1"/>
    </xf>
    <xf numFmtId="0" fontId="21" fillId="0" borderId="102" xfId="0" applyFont="1" applyBorder="1" applyAlignment="1">
      <alignment horizontal="left" vertical="center" wrapText="1"/>
    </xf>
    <xf numFmtId="0" fontId="21" fillId="0" borderId="103" xfId="0" applyFont="1" applyBorder="1" applyAlignment="1">
      <alignment horizontal="left" vertical="center" wrapText="1"/>
    </xf>
    <xf numFmtId="0" fontId="21" fillId="0" borderId="113" xfId="0" applyFont="1" applyBorder="1" applyAlignment="1">
      <alignment horizontal="left" vertical="center" wrapText="1"/>
    </xf>
    <xf numFmtId="0" fontId="21" fillId="0" borderId="114" xfId="0" applyFont="1" applyBorder="1" applyAlignment="1">
      <alignment horizontal="left" vertical="center" wrapText="1"/>
    </xf>
    <xf numFmtId="0" fontId="21" fillId="0" borderId="123" xfId="0" applyFont="1" applyBorder="1" applyAlignment="1">
      <alignment horizontal="left" vertical="center" wrapText="1"/>
    </xf>
    <xf numFmtId="0" fontId="21" fillId="0" borderId="124" xfId="0" applyFont="1" applyBorder="1" applyAlignment="1">
      <alignment horizontal="left" vertical="center" wrapText="1"/>
    </xf>
    <xf numFmtId="0" fontId="21" fillId="0" borderId="125" xfId="0" applyFont="1" applyBorder="1" applyAlignment="1">
      <alignment horizontal="left" vertical="center" wrapText="1"/>
    </xf>
    <xf numFmtId="0" fontId="38" fillId="0" borderId="122" xfId="0" applyFont="1" applyBorder="1" applyAlignment="1">
      <alignment vertical="center" wrapText="1"/>
    </xf>
    <xf numFmtId="0" fontId="38" fillId="0" borderId="158" xfId="0" applyFont="1" applyBorder="1" applyAlignment="1">
      <alignment vertical="center" wrapText="1"/>
    </xf>
    <xf numFmtId="0" fontId="21" fillId="28" borderId="133" xfId="0" applyFont="1" applyFill="1" applyBorder="1" applyAlignment="1">
      <alignment horizontal="left" vertical="center" wrapText="1"/>
    </xf>
    <xf numFmtId="0" fontId="21" fillId="28" borderId="134" xfId="0" applyFont="1" applyFill="1" applyBorder="1" applyAlignment="1">
      <alignment horizontal="left" vertical="center" wrapText="1"/>
    </xf>
    <xf numFmtId="0" fontId="21" fillId="28" borderId="135" xfId="0" applyFont="1" applyFill="1" applyBorder="1" applyAlignment="1">
      <alignment horizontal="left" vertical="center" wrapText="1"/>
    </xf>
    <xf numFmtId="0" fontId="21" fillId="0" borderId="136" xfId="0" applyFont="1" applyBorder="1" applyAlignment="1">
      <alignment horizontal="left" vertical="center" wrapText="1"/>
    </xf>
    <xf numFmtId="0" fontId="21" fillId="0" borderId="137" xfId="0" applyFont="1" applyBorder="1" applyAlignment="1">
      <alignment horizontal="left" vertical="center" wrapText="1"/>
    </xf>
    <xf numFmtId="0" fontId="38" fillId="0" borderId="145" xfId="0" applyFont="1" applyBorder="1" applyAlignment="1">
      <alignment vertical="center" wrapText="1"/>
    </xf>
    <xf numFmtId="0" fontId="38" fillId="0" borderId="155" xfId="0" applyFont="1" applyBorder="1" applyAlignment="1">
      <alignment vertical="center" wrapText="1"/>
    </xf>
    <xf numFmtId="0" fontId="38" fillId="0" borderId="159" xfId="0" applyFont="1" applyBorder="1" applyAlignment="1">
      <alignment vertical="center" wrapText="1"/>
    </xf>
    <xf numFmtId="0" fontId="21" fillId="0" borderId="146" xfId="0" applyFont="1" applyBorder="1" applyAlignment="1">
      <alignment horizontal="left" vertical="center" wrapText="1"/>
    </xf>
    <xf numFmtId="0" fontId="21" fillId="0" borderId="147" xfId="0" applyFont="1" applyBorder="1" applyAlignment="1">
      <alignment horizontal="left" vertical="center" wrapText="1"/>
    </xf>
    <xf numFmtId="0" fontId="21" fillId="0" borderId="156" xfId="0" applyFont="1" applyBorder="1" applyAlignment="1">
      <alignment horizontal="left" vertical="center" wrapText="1"/>
    </xf>
    <xf numFmtId="0" fontId="21" fillId="0" borderId="159" xfId="0" applyFont="1" applyBorder="1" applyAlignment="1">
      <alignment horizontal="left" vertical="center" wrapText="1"/>
    </xf>
    <xf numFmtId="0" fontId="39" fillId="29" borderId="181" xfId="0" applyFont="1" applyFill="1" applyBorder="1" applyAlignment="1">
      <alignment horizontal="center" vertical="center" wrapText="1"/>
    </xf>
    <xf numFmtId="0" fontId="39" fillId="29" borderId="182" xfId="0" applyFont="1" applyFill="1" applyBorder="1" applyAlignment="1">
      <alignment horizontal="center" vertical="center" wrapText="1"/>
    </xf>
    <xf numFmtId="0" fontId="2" fillId="0" borderId="3" xfId="0" applyFont="1" applyBorder="1" applyAlignment="1">
      <alignment horizontal="center" vertical="center"/>
    </xf>
    <xf numFmtId="0" fontId="2" fillId="0" borderId="0" xfId="0" applyFont="1" applyAlignment="1">
      <alignment horizontal="center" vertical="center"/>
    </xf>
    <xf numFmtId="0" fontId="2" fillId="0" borderId="2" xfId="0" applyFont="1" applyBorder="1" applyAlignment="1">
      <alignment horizontal="center" vertical="center"/>
    </xf>
    <xf numFmtId="0" fontId="21" fillId="0" borderId="169" xfId="0" applyFont="1" applyBorder="1" applyAlignment="1">
      <alignment horizontal="left" vertical="center" wrapText="1"/>
    </xf>
    <xf numFmtId="0" fontId="21" fillId="0" borderId="0" xfId="0" applyFont="1" applyAlignment="1">
      <alignment horizontal="left" vertical="center" wrapText="1"/>
    </xf>
    <xf numFmtId="0" fontId="21" fillId="0" borderId="170" xfId="0" applyFont="1" applyBorder="1" applyAlignment="1">
      <alignment horizontal="left" vertical="center" wrapText="1"/>
    </xf>
    <xf numFmtId="0" fontId="21" fillId="0" borderId="179" xfId="0" applyFont="1" applyBorder="1" applyAlignment="1">
      <alignment horizontal="left" vertical="center" wrapText="1"/>
    </xf>
    <xf numFmtId="0" fontId="21" fillId="0" borderId="62" xfId="0" applyFont="1" applyBorder="1" applyAlignment="1">
      <alignment horizontal="left" vertical="center" wrapText="1"/>
    </xf>
    <xf numFmtId="0" fontId="21" fillId="0" borderId="180" xfId="0" applyFont="1" applyBorder="1" applyAlignment="1">
      <alignment horizontal="left" vertical="center" wrapText="1"/>
    </xf>
    <xf numFmtId="0" fontId="58" fillId="0" borderId="3" xfId="0" applyFont="1" applyBorder="1" applyAlignment="1">
      <alignment horizontal="center" vertical="center"/>
    </xf>
    <xf numFmtId="0" fontId="58" fillId="0" borderId="0" xfId="0" applyFont="1" applyAlignment="1">
      <alignment horizontal="center" vertical="center"/>
    </xf>
    <xf numFmtId="0" fontId="58" fillId="0" borderId="2" xfId="0" applyFont="1" applyBorder="1" applyAlignment="1">
      <alignment horizontal="center" vertical="center"/>
    </xf>
    <xf numFmtId="0" fontId="120" fillId="0" borderId="41" xfId="0" applyFont="1" applyBorder="1" applyAlignment="1">
      <alignment horizontal="center" vertical="center"/>
    </xf>
    <xf numFmtId="0" fontId="120" fillId="0" borderId="190" xfId="0" applyFont="1" applyBorder="1" applyAlignment="1">
      <alignment horizontal="center" vertical="center"/>
    </xf>
    <xf numFmtId="0" fontId="120" fillId="0" borderId="6" xfId="0" applyFont="1" applyBorder="1" applyAlignment="1">
      <alignment horizontal="center" vertical="center"/>
    </xf>
    <xf numFmtId="0" fontId="110" fillId="45" borderId="252" xfId="0" applyFont="1" applyFill="1" applyBorder="1" applyAlignment="1">
      <alignment horizontal="center" vertical="center"/>
    </xf>
    <xf numFmtId="0" fontId="110" fillId="45" borderId="211" xfId="0" applyFont="1" applyFill="1" applyBorder="1" applyAlignment="1">
      <alignment horizontal="center" vertical="center"/>
    </xf>
    <xf numFmtId="0" fontId="110" fillId="45" borderId="254" xfId="0" applyFont="1" applyFill="1" applyBorder="1" applyAlignment="1">
      <alignment horizontal="center" vertical="center"/>
    </xf>
    <xf numFmtId="0" fontId="110" fillId="45" borderId="255" xfId="0" applyFont="1" applyFill="1" applyBorder="1" applyAlignment="1">
      <alignment horizontal="center" vertical="center"/>
    </xf>
    <xf numFmtId="0" fontId="107" fillId="45" borderId="261" xfId="0" applyFont="1" applyFill="1" applyBorder="1" applyAlignment="1">
      <alignment horizontal="center" vertical="center"/>
    </xf>
    <xf numFmtId="0" fontId="107" fillId="45" borderId="211" xfId="0" applyFont="1" applyFill="1" applyBorder="1" applyAlignment="1">
      <alignment horizontal="center" vertical="center"/>
    </xf>
    <xf numFmtId="0" fontId="107" fillId="45" borderId="262" xfId="0" applyFont="1" applyFill="1" applyBorder="1" applyAlignment="1">
      <alignment horizontal="center" vertical="center"/>
    </xf>
    <xf numFmtId="0" fontId="107" fillId="45" borderId="263" xfId="0" applyFont="1" applyFill="1" applyBorder="1" applyAlignment="1">
      <alignment horizontal="center" vertical="center"/>
    </xf>
    <xf numFmtId="0" fontId="107" fillId="45" borderId="270" xfId="0" applyFont="1" applyFill="1" applyBorder="1" applyAlignment="1">
      <alignment horizontal="center" vertical="center"/>
    </xf>
    <xf numFmtId="0" fontId="114" fillId="38" borderId="208" xfId="0" applyFont="1" applyFill="1" applyBorder="1" applyAlignment="1">
      <alignment horizontal="center" vertical="center"/>
    </xf>
    <xf numFmtId="0" fontId="114" fillId="38" borderId="275" xfId="0" applyFont="1" applyFill="1" applyBorder="1" applyAlignment="1">
      <alignment horizontal="center" vertical="center"/>
    </xf>
    <xf numFmtId="0" fontId="114" fillId="38" borderId="279" xfId="0" applyFont="1" applyFill="1" applyBorder="1" applyAlignment="1">
      <alignment horizontal="center" vertical="center"/>
    </xf>
    <xf numFmtId="0" fontId="114" fillId="38" borderId="283" xfId="0" applyFont="1" applyFill="1" applyBorder="1" applyAlignment="1">
      <alignment horizontal="center" vertical="center"/>
    </xf>
    <xf numFmtId="0" fontId="114" fillId="38" borderId="5" xfId="0" applyFont="1" applyFill="1" applyBorder="1" applyAlignment="1">
      <alignment horizontal="center" vertical="center"/>
    </xf>
    <xf numFmtId="0" fontId="114" fillId="38" borderId="288" xfId="0" applyFont="1" applyFill="1" applyBorder="1" applyAlignment="1">
      <alignment horizontal="center" vertical="center"/>
    </xf>
    <xf numFmtId="0" fontId="114" fillId="38" borderId="289" xfId="0" applyFont="1" applyFill="1" applyBorder="1" applyAlignment="1">
      <alignment horizontal="center" vertical="center"/>
    </xf>
    <xf numFmtId="0" fontId="119" fillId="46" borderId="4" xfId="0" applyFont="1" applyFill="1" applyBorder="1" applyAlignment="1">
      <alignment horizontal="center" vertical="center"/>
    </xf>
    <xf numFmtId="0" fontId="119" fillId="46" borderId="296" xfId="0" applyFont="1" applyFill="1" applyBorder="1" applyAlignment="1">
      <alignment horizontal="center" vertical="center"/>
    </xf>
    <xf numFmtId="0" fontId="120" fillId="0" borderId="23" xfId="0" applyFont="1" applyBorder="1" applyAlignment="1">
      <alignment horizontal="center" vertical="center"/>
    </xf>
    <xf numFmtId="0" fontId="120" fillId="0" borderId="25" xfId="0" applyFont="1" applyBorder="1" applyAlignment="1">
      <alignment horizontal="center" vertical="center"/>
    </xf>
    <xf numFmtId="0" fontId="117" fillId="0" borderId="190" xfId="0" applyFont="1" applyBorder="1" applyAlignment="1">
      <alignment horizontal="center" vertical="center"/>
    </xf>
    <xf numFmtId="0" fontId="126" fillId="0" borderId="41" xfId="0" applyFont="1" applyBorder="1" applyAlignment="1">
      <alignment horizontal="center" vertical="center"/>
    </xf>
    <xf numFmtId="0" fontId="126" fillId="0" borderId="42" xfId="0" applyFont="1" applyBorder="1" applyAlignment="1">
      <alignment horizontal="center" vertical="center"/>
    </xf>
    <xf numFmtId="0" fontId="126" fillId="0" borderId="190" xfId="0" applyFont="1" applyBorder="1" applyAlignment="1">
      <alignment horizontal="center" vertical="center"/>
    </xf>
    <xf numFmtId="0" fontId="117" fillId="47" borderId="41" xfId="0" applyFont="1" applyFill="1" applyBorder="1" applyAlignment="1">
      <alignment horizontal="center" vertical="center"/>
    </xf>
    <xf numFmtId="0" fontId="117" fillId="34" borderId="190" xfId="0" applyFont="1" applyFill="1" applyBorder="1" applyAlignment="1">
      <alignment horizontal="center" vertical="center"/>
    </xf>
    <xf numFmtId="0" fontId="117" fillId="33" borderId="190" xfId="0" applyFont="1" applyFill="1" applyBorder="1" applyAlignment="1">
      <alignment horizontal="center" vertical="center"/>
    </xf>
    <xf numFmtId="0" fontId="133" fillId="0" borderId="25" xfId="0" applyFont="1" applyBorder="1" applyAlignment="1">
      <alignment horizontal="center" vertical="center"/>
    </xf>
    <xf numFmtId="0" fontId="133" fillId="0" borderId="26" xfId="0" applyFont="1" applyBorder="1" applyAlignment="1">
      <alignment horizontal="center" vertical="center"/>
    </xf>
    <xf numFmtId="0" fontId="117" fillId="48" borderId="190" xfId="0" applyFont="1" applyFill="1" applyBorder="1" applyAlignment="1">
      <alignment horizontal="center" vertical="center"/>
    </xf>
    <xf numFmtId="0" fontId="133" fillId="48" borderId="6" xfId="0" applyFont="1" applyFill="1" applyBorder="1" applyAlignment="1">
      <alignment horizontal="center" vertical="center"/>
    </xf>
    <xf numFmtId="0" fontId="133" fillId="48" borderId="7" xfId="0" applyFont="1" applyFill="1" applyBorder="1" applyAlignment="1">
      <alignment horizontal="center" vertical="center"/>
    </xf>
    <xf numFmtId="0" fontId="119" fillId="46" borderId="23" xfId="0" applyFont="1" applyFill="1" applyBorder="1" applyAlignment="1">
      <alignment horizontal="center" vertical="center"/>
    </xf>
    <xf numFmtId="0" fontId="119" fillId="46" borderId="312" xfId="0" applyFont="1" applyFill="1" applyBorder="1" applyAlignment="1">
      <alignment horizontal="center" vertical="center"/>
    </xf>
    <xf numFmtId="0" fontId="119" fillId="46" borderId="6" xfId="0" applyFont="1" applyFill="1" applyBorder="1" applyAlignment="1">
      <alignment horizontal="center" vertical="center"/>
    </xf>
    <xf numFmtId="0" fontId="119" fillId="46" borderId="317" xfId="0" applyFont="1" applyFill="1" applyBorder="1" applyAlignment="1">
      <alignment horizontal="center" vertical="center"/>
    </xf>
    <xf numFmtId="0" fontId="119" fillId="46" borderId="313" xfId="0" applyFont="1" applyFill="1" applyBorder="1" applyAlignment="1">
      <alignment horizontal="center" vertical="center"/>
    </xf>
    <xf numFmtId="0" fontId="119" fillId="46" borderId="309" xfId="0" applyFont="1" applyFill="1" applyBorder="1" applyAlignment="1">
      <alignment horizontal="center" vertical="center"/>
    </xf>
    <xf numFmtId="0" fontId="59" fillId="0" borderId="190" xfId="0" applyFont="1" applyBorder="1" applyAlignment="1">
      <alignment horizontal="center" vertical="center"/>
    </xf>
    <xf numFmtId="0" fontId="59" fillId="0" borderId="25" xfId="0" applyFont="1" applyBorder="1" applyAlignment="1">
      <alignment horizontal="center" vertical="center"/>
    </xf>
    <xf numFmtId="0" fontId="119" fillId="46" borderId="316" xfId="0" applyFont="1" applyFill="1" applyBorder="1" applyAlignment="1">
      <alignment horizontal="center" vertical="center"/>
    </xf>
    <xf numFmtId="0" fontId="119" fillId="46" borderId="302" xfId="0" applyFont="1" applyFill="1" applyBorder="1" applyAlignment="1">
      <alignment horizontal="center" vertical="center"/>
    </xf>
    <xf numFmtId="0" fontId="59" fillId="0" borderId="41" xfId="0" applyFont="1" applyBorder="1" applyAlignment="1">
      <alignment horizontal="center" vertical="center"/>
    </xf>
    <xf numFmtId="0" fontId="59" fillId="0" borderId="23" xfId="0" applyFont="1" applyBorder="1" applyAlignment="1">
      <alignment horizontal="center" vertical="center"/>
    </xf>
    <xf numFmtId="0" fontId="119" fillId="46" borderId="314" xfId="0" applyFont="1" applyFill="1" applyBorder="1" applyAlignment="1">
      <alignment horizontal="center" vertical="center"/>
    </xf>
    <xf numFmtId="0" fontId="119" fillId="46" borderId="3" xfId="0" applyFont="1" applyFill="1" applyBorder="1" applyAlignment="1">
      <alignment horizontal="center" vertical="center"/>
    </xf>
    <xf numFmtId="0" fontId="119" fillId="46" borderId="315" xfId="0" applyFont="1" applyFill="1" applyBorder="1" applyAlignment="1">
      <alignment horizontal="center" vertical="center"/>
    </xf>
    <xf numFmtId="0" fontId="144" fillId="51" borderId="4" xfId="0" applyFont="1" applyFill="1" applyBorder="1" applyAlignment="1">
      <alignment horizontal="center" vertical="center"/>
    </xf>
    <xf numFmtId="0" fontId="144" fillId="51" borderId="1" xfId="0" applyFont="1" applyFill="1" applyBorder="1" applyAlignment="1">
      <alignment horizontal="center" vertical="center"/>
    </xf>
    <xf numFmtId="183" fontId="146" fillId="0" borderId="4" xfId="0" applyNumberFormat="1" applyFont="1" applyBorder="1" applyAlignment="1">
      <alignment horizontal="center" vertical="center"/>
    </xf>
    <xf numFmtId="183" fontId="146" fillId="0" borderId="5" xfId="0" applyNumberFormat="1" applyFont="1" applyBorder="1" applyAlignment="1">
      <alignment horizontal="center" vertical="center"/>
    </xf>
    <xf numFmtId="0" fontId="59" fillId="0" borderId="42" xfId="0" applyFont="1" applyBorder="1" applyAlignment="1">
      <alignment horizontal="center" vertical="center"/>
    </xf>
    <xf numFmtId="0" fontId="59" fillId="0" borderId="6" xfId="0" applyFont="1" applyBorder="1" applyAlignment="1">
      <alignment horizontal="center" vertical="center"/>
    </xf>
    <xf numFmtId="0" fontId="139" fillId="50" borderId="36" xfId="0" applyFont="1" applyFill="1" applyBorder="1" applyAlignment="1">
      <alignment horizontal="center" vertical="center"/>
    </xf>
    <xf numFmtId="0" fontId="139" fillId="50" borderId="4" xfId="0" applyFont="1" applyFill="1" applyBorder="1" applyAlignment="1">
      <alignment horizontal="center" vertical="center"/>
    </xf>
    <xf numFmtId="0" fontId="119" fillId="46" borderId="257" xfId="0" applyFont="1" applyFill="1" applyBorder="1" applyAlignment="1">
      <alignment horizontal="center" vertical="center"/>
    </xf>
    <xf numFmtId="0" fontId="119" fillId="46" borderId="259" xfId="0" applyFont="1" applyFill="1" applyBorder="1" applyAlignment="1">
      <alignment horizontal="center" vertical="center"/>
    </xf>
    <xf numFmtId="183" fontId="142" fillId="0" borderId="4" xfId="0" applyNumberFormat="1" applyFont="1" applyBorder="1" applyAlignment="1">
      <alignment horizontal="center" vertical="center"/>
    </xf>
    <xf numFmtId="183" fontId="142" fillId="0" borderId="5" xfId="0" applyNumberFormat="1" applyFont="1" applyBorder="1" applyAlignment="1">
      <alignment horizontal="center" vertical="center"/>
    </xf>
    <xf numFmtId="0" fontId="193" fillId="73" borderId="431" xfId="0" applyFont="1" applyFill="1" applyBorder="1" applyAlignment="1">
      <alignment horizontal="center" vertical="center" wrapText="1" readingOrder="1"/>
    </xf>
    <xf numFmtId="0" fontId="193" fillId="73" borderId="432" xfId="0" applyFont="1" applyFill="1" applyBorder="1" applyAlignment="1">
      <alignment horizontal="center" vertical="center" wrapText="1" readingOrder="1"/>
    </xf>
    <xf numFmtId="0" fontId="80" fillId="5" borderId="354" xfId="0" quotePrefix="1" applyFont="1" applyFill="1" applyBorder="1" applyAlignment="1">
      <alignment horizontal="center" vertical="center" wrapText="1" shrinkToFit="1"/>
    </xf>
    <xf numFmtId="0" fontId="80" fillId="5" borderId="359" xfId="0" quotePrefix="1" applyFont="1" applyFill="1" applyBorder="1" applyAlignment="1">
      <alignment horizontal="center" vertical="center" shrinkToFit="1"/>
    </xf>
    <xf numFmtId="204" fontId="56" fillId="35" borderId="349" xfId="0" applyNumberFormat="1" applyFont="1" applyFill="1" applyBorder="1" applyAlignment="1">
      <alignment horizontal="center" vertical="center"/>
    </xf>
    <xf numFmtId="204" fontId="56" fillId="35" borderId="350" xfId="0" applyNumberFormat="1" applyFont="1" applyFill="1" applyBorder="1" applyAlignment="1">
      <alignment horizontal="center" vertical="center"/>
    </xf>
    <xf numFmtId="204" fontId="56" fillId="35" borderId="351" xfId="0" applyNumberFormat="1" applyFont="1" applyFill="1" applyBorder="1" applyAlignment="1">
      <alignment horizontal="center" vertical="center"/>
    </xf>
    <xf numFmtId="0" fontId="80" fillId="5" borderId="208" xfId="0" applyFont="1" applyFill="1" applyBorder="1" applyAlignment="1">
      <alignment horizontal="center" vertical="center" shrinkToFit="1"/>
    </xf>
    <xf numFmtId="0" fontId="80" fillId="5" borderId="357" xfId="0" applyFont="1" applyFill="1" applyBorder="1" applyAlignment="1">
      <alignment horizontal="center" vertical="center" shrinkToFit="1"/>
    </xf>
    <xf numFmtId="41" fontId="80" fillId="5" borderId="352" xfId="0" quotePrefix="1" applyNumberFormat="1" applyFont="1" applyFill="1" applyBorder="1" applyAlignment="1">
      <alignment horizontal="center" vertical="center" shrinkToFit="1"/>
    </xf>
    <xf numFmtId="41" fontId="80" fillId="5" borderId="353" xfId="0" quotePrefix="1" applyNumberFormat="1" applyFont="1" applyFill="1" applyBorder="1" applyAlignment="1">
      <alignment horizontal="center" vertical="center" shrinkToFit="1"/>
    </xf>
    <xf numFmtId="0" fontId="154" fillId="52" borderId="41" xfId="0" applyFont="1" applyFill="1" applyBorder="1" applyAlignment="1">
      <alignment horizontal="center" vertical="center" shrinkToFit="1"/>
    </xf>
    <xf numFmtId="0" fontId="154" fillId="52" borderId="42" xfId="0" applyFont="1" applyFill="1" applyBorder="1" applyAlignment="1">
      <alignment horizontal="center" vertical="center" shrinkToFit="1"/>
    </xf>
    <xf numFmtId="0" fontId="154" fillId="52" borderId="23" xfId="0" applyFont="1" applyFill="1" applyBorder="1" applyAlignment="1">
      <alignment horizontal="center" vertical="center"/>
    </xf>
    <xf numFmtId="0" fontId="116" fillId="52" borderId="3" xfId="0" applyFont="1" applyFill="1" applyBorder="1" applyAlignment="1">
      <alignment horizontal="center" vertical="center"/>
    </xf>
    <xf numFmtId="0" fontId="154" fillId="52" borderId="24" xfId="0" applyFont="1" applyFill="1" applyBorder="1" applyAlignment="1">
      <alignment horizontal="center" vertical="center"/>
    </xf>
    <xf numFmtId="0" fontId="154" fillId="52" borderId="6" xfId="0" applyFont="1" applyFill="1" applyBorder="1" applyAlignment="1">
      <alignment horizontal="center" vertical="center"/>
    </xf>
    <xf numFmtId="0" fontId="154" fillId="52" borderId="2" xfId="0" applyFont="1" applyFill="1" applyBorder="1" applyAlignment="1">
      <alignment horizontal="center" vertical="center"/>
    </xf>
    <xf numFmtId="0" fontId="154" fillId="52" borderId="7" xfId="0" applyFont="1" applyFill="1" applyBorder="1" applyAlignment="1">
      <alignment horizontal="center" vertical="center"/>
    </xf>
    <xf numFmtId="0" fontId="154" fillId="52" borderId="41" xfId="0" applyFont="1" applyFill="1" applyBorder="1" applyAlignment="1">
      <alignment horizontal="center" vertical="center" wrapText="1"/>
    </xf>
    <xf numFmtId="0" fontId="154" fillId="52" borderId="42" xfId="0" applyFont="1" applyFill="1" applyBorder="1" applyAlignment="1">
      <alignment horizontal="center" vertical="center"/>
    </xf>
    <xf numFmtId="0" fontId="154" fillId="52" borderId="41" xfId="0" applyFont="1" applyFill="1" applyBorder="1" applyAlignment="1">
      <alignment horizontal="center" vertical="center"/>
    </xf>
    <xf numFmtId="0" fontId="35" fillId="8" borderId="369" xfId="0" applyFont="1" applyFill="1" applyBorder="1" applyAlignment="1">
      <alignment horizontal="left" vertical="center"/>
    </xf>
    <xf numFmtId="0" fontId="35" fillId="8" borderId="370" xfId="0" applyFont="1" applyFill="1" applyBorder="1" applyAlignment="1">
      <alignment horizontal="left" vertical="center"/>
    </xf>
    <xf numFmtId="0" fontId="35" fillId="8" borderId="371" xfId="0" applyFont="1" applyFill="1" applyBorder="1" applyAlignment="1">
      <alignment horizontal="left" vertical="center"/>
    </xf>
    <xf numFmtId="0" fontId="154" fillId="52" borderId="23" xfId="0" quotePrefix="1" applyFont="1" applyFill="1" applyBorder="1" applyAlignment="1">
      <alignment horizontal="center" vertical="center"/>
    </xf>
    <xf numFmtId="0" fontId="154" fillId="52" borderId="3" xfId="0" quotePrefix="1" applyFont="1" applyFill="1" applyBorder="1" applyAlignment="1">
      <alignment horizontal="center" vertical="center"/>
    </xf>
    <xf numFmtId="0" fontId="154" fillId="52" borderId="24" xfId="0" quotePrefix="1" applyFont="1" applyFill="1" applyBorder="1" applyAlignment="1">
      <alignment horizontal="center" vertical="center"/>
    </xf>
    <xf numFmtId="0" fontId="154" fillId="52" borderId="42" xfId="0" applyFont="1" applyFill="1" applyBorder="1" applyAlignment="1">
      <alignment horizontal="center" vertical="center" wrapText="1"/>
    </xf>
    <xf numFmtId="0" fontId="35" fillId="13" borderId="36" xfId="0" applyFont="1" applyFill="1" applyBorder="1" applyAlignment="1">
      <alignment horizontal="center" vertical="center"/>
    </xf>
  </cellXfs>
  <cellStyles count="2">
    <cellStyle name="쉼표 [0]" xfId="1" builtinId="6"/>
    <cellStyle name="표준" xfId="0" builtinId="0"/>
  </cellStyles>
  <dxfs count="1978">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1" tint="0.34998626667073579"/>
        </patternFill>
      </fill>
    </dxf>
    <dxf>
      <fill>
        <patternFill>
          <bgColor theme="1" tint="0.34998626667073579"/>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3" tint="0.7999816888943144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BD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tyles" Target="styles.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aredStrings" Target="sharedStrings.xml"/><Relationship Id="rId75"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4.xml"/><Relationship Id="rId7" Type="http://schemas.openxmlformats.org/officeDocument/2006/relationships/worksheet" Target="worksheets/sheet7.xml"/><Relationship Id="rId71" Type="http://schemas.openxmlformats.org/officeDocument/2006/relationships/sheetMetadata" Target="metadata.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표준편차!$B$4:$B$2468</c:f>
              <c:numCache>
                <c:formatCode>#,##0.00_ </c:formatCode>
                <c:ptCount val="2465"/>
                <c:pt idx="0">
                  <c:v>7661</c:v>
                </c:pt>
                <c:pt idx="1">
                  <c:v>7652</c:v>
                </c:pt>
                <c:pt idx="2">
                  <c:v>7471</c:v>
                </c:pt>
                <c:pt idx="3">
                  <c:v>7515</c:v>
                </c:pt>
                <c:pt idx="4">
                  <c:v>7503</c:v>
                </c:pt>
                <c:pt idx="5">
                  <c:v>7641</c:v>
                </c:pt>
                <c:pt idx="6">
                  <c:v>7689.5</c:v>
                </c:pt>
                <c:pt idx="7">
                  <c:v>7946</c:v>
                </c:pt>
                <c:pt idx="8">
                  <c:v>7965.5</c:v>
                </c:pt>
                <c:pt idx="9">
                  <c:v>8021</c:v>
                </c:pt>
                <c:pt idx="10">
                  <c:v>8185</c:v>
                </c:pt>
                <c:pt idx="11">
                  <c:v>8156</c:v>
                </c:pt>
                <c:pt idx="12">
                  <c:v>8350.5</c:v>
                </c:pt>
                <c:pt idx="13">
                  <c:v>8230.5</c:v>
                </c:pt>
                <c:pt idx="14">
                  <c:v>8333</c:v>
                </c:pt>
                <c:pt idx="15">
                  <c:v>8267</c:v>
                </c:pt>
                <c:pt idx="16">
                  <c:v>8271</c:v>
                </c:pt>
                <c:pt idx="17">
                  <c:v>8560</c:v>
                </c:pt>
                <c:pt idx="18">
                  <c:v>8610</c:v>
                </c:pt>
                <c:pt idx="19">
                  <c:v>8399</c:v>
                </c:pt>
                <c:pt idx="20">
                  <c:v>8485.5</c:v>
                </c:pt>
                <c:pt idx="21">
                  <c:v>8351.5</c:v>
                </c:pt>
                <c:pt idx="22">
                  <c:v>8339</c:v>
                </c:pt>
                <c:pt idx="23">
                  <c:v>8320</c:v>
                </c:pt>
                <c:pt idx="24">
                  <c:v>8463</c:v>
                </c:pt>
                <c:pt idx="25">
                  <c:v>8335.5</c:v>
                </c:pt>
                <c:pt idx="26">
                  <c:v>8586</c:v>
                </c:pt>
                <c:pt idx="27">
                  <c:v>8520.5</c:v>
                </c:pt>
                <c:pt idx="28">
                  <c:v>8591</c:v>
                </c:pt>
                <c:pt idx="29">
                  <c:v>8512</c:v>
                </c:pt>
                <c:pt idx="30">
                  <c:v>8405</c:v>
                </c:pt>
                <c:pt idx="31">
                  <c:v>8395.5</c:v>
                </c:pt>
                <c:pt idx="32">
                  <c:v>8209.5</c:v>
                </c:pt>
                <c:pt idx="33">
                  <c:v>8370</c:v>
                </c:pt>
                <c:pt idx="34">
                  <c:v>8234</c:v>
                </c:pt>
                <c:pt idx="35">
                  <c:v>8325</c:v>
                </c:pt>
                <c:pt idx="36">
                  <c:v>8391</c:v>
                </c:pt>
                <c:pt idx="37">
                  <c:v>8408</c:v>
                </c:pt>
                <c:pt idx="38">
                  <c:v>8441</c:v>
                </c:pt>
                <c:pt idx="39">
                  <c:v>8436</c:v>
                </c:pt>
                <c:pt idx="40">
                  <c:v>8658</c:v>
                </c:pt>
                <c:pt idx="41">
                  <c:v>8585</c:v>
                </c:pt>
                <c:pt idx="42">
                  <c:v>8570</c:v>
                </c:pt>
                <c:pt idx="43">
                  <c:v>8575</c:v>
                </c:pt>
                <c:pt idx="44">
                  <c:v>8502</c:v>
                </c:pt>
                <c:pt idx="45">
                  <c:v>8335.5</c:v>
                </c:pt>
                <c:pt idx="46">
                  <c:v>8261</c:v>
                </c:pt>
                <c:pt idx="47">
                  <c:v>8390</c:v>
                </c:pt>
                <c:pt idx="48">
                  <c:v>8390.5</c:v>
                </c:pt>
                <c:pt idx="49">
                  <c:v>8401.5</c:v>
                </c:pt>
                <c:pt idx="50">
                  <c:v>8530</c:v>
                </c:pt>
                <c:pt idx="51">
                  <c:v>8468</c:v>
                </c:pt>
                <c:pt idx="52">
                  <c:v>8490.5</c:v>
                </c:pt>
                <c:pt idx="53">
                  <c:v>8620.5</c:v>
                </c:pt>
                <c:pt idx="54">
                  <c:v>8575</c:v>
                </c:pt>
                <c:pt idx="55">
                  <c:v>8437</c:v>
                </c:pt>
                <c:pt idx="56">
                  <c:v>8470.5</c:v>
                </c:pt>
                <c:pt idx="57">
                  <c:v>8320</c:v>
                </c:pt>
                <c:pt idx="58">
                  <c:v>8400.5</c:v>
                </c:pt>
                <c:pt idx="59">
                  <c:v>8485</c:v>
                </c:pt>
                <c:pt idx="60">
                  <c:v>8512</c:v>
                </c:pt>
                <c:pt idx="61">
                  <c:v>8480.5</c:v>
                </c:pt>
                <c:pt idx="62">
                  <c:v>8360</c:v>
                </c:pt>
                <c:pt idx="63">
                  <c:v>8480</c:v>
                </c:pt>
                <c:pt idx="64">
                  <c:v>8480</c:v>
                </c:pt>
                <c:pt idx="65">
                  <c:v>8575.5</c:v>
                </c:pt>
                <c:pt idx="66">
                  <c:v>8451.5</c:v>
                </c:pt>
                <c:pt idx="67">
                  <c:v>8365.5</c:v>
                </c:pt>
                <c:pt idx="68">
                  <c:v>8256</c:v>
                </c:pt>
                <c:pt idx="69">
                  <c:v>8115</c:v>
                </c:pt>
                <c:pt idx="70">
                  <c:v>8185</c:v>
                </c:pt>
                <c:pt idx="71">
                  <c:v>8165.5</c:v>
                </c:pt>
                <c:pt idx="72">
                  <c:v>8054</c:v>
                </c:pt>
                <c:pt idx="73">
                  <c:v>8100.5</c:v>
                </c:pt>
                <c:pt idx="74">
                  <c:v>8085</c:v>
                </c:pt>
                <c:pt idx="75">
                  <c:v>8045.5</c:v>
                </c:pt>
                <c:pt idx="76">
                  <c:v>8120.5</c:v>
                </c:pt>
                <c:pt idx="77">
                  <c:v>8125</c:v>
                </c:pt>
                <c:pt idx="78">
                  <c:v>8194</c:v>
                </c:pt>
                <c:pt idx="79">
                  <c:v>8285.5</c:v>
                </c:pt>
                <c:pt idx="80">
                  <c:v>8356</c:v>
                </c:pt>
                <c:pt idx="81">
                  <c:v>8443.5</c:v>
                </c:pt>
                <c:pt idx="82">
                  <c:v>8529.5</c:v>
                </c:pt>
                <c:pt idx="83">
                  <c:v>8528</c:v>
                </c:pt>
                <c:pt idx="84">
                  <c:v>8401</c:v>
                </c:pt>
                <c:pt idx="85">
                  <c:v>8318</c:v>
                </c:pt>
                <c:pt idx="86">
                  <c:v>8296</c:v>
                </c:pt>
                <c:pt idx="87">
                  <c:v>8234</c:v>
                </c:pt>
                <c:pt idx="88">
                  <c:v>8089</c:v>
                </c:pt>
                <c:pt idx="89">
                  <c:v>8195.5</c:v>
                </c:pt>
                <c:pt idx="90">
                  <c:v>8080</c:v>
                </c:pt>
                <c:pt idx="91">
                  <c:v>7980</c:v>
                </c:pt>
                <c:pt idx="92">
                  <c:v>7854</c:v>
                </c:pt>
                <c:pt idx="93">
                  <c:v>7710</c:v>
                </c:pt>
                <c:pt idx="94">
                  <c:v>7708</c:v>
                </c:pt>
                <c:pt idx="95">
                  <c:v>7795.5</c:v>
                </c:pt>
                <c:pt idx="96">
                  <c:v>7800.5</c:v>
                </c:pt>
                <c:pt idx="97">
                  <c:v>7775</c:v>
                </c:pt>
                <c:pt idx="98">
                  <c:v>7630.5</c:v>
                </c:pt>
                <c:pt idx="99">
                  <c:v>7660.5</c:v>
                </c:pt>
                <c:pt idx="100">
                  <c:v>7695.5</c:v>
                </c:pt>
                <c:pt idx="101">
                  <c:v>7740</c:v>
                </c:pt>
                <c:pt idx="102">
                  <c:v>7685.5</c:v>
                </c:pt>
                <c:pt idx="103">
                  <c:v>7545</c:v>
                </c:pt>
                <c:pt idx="104">
                  <c:v>7517</c:v>
                </c:pt>
                <c:pt idx="105">
                  <c:v>7364</c:v>
                </c:pt>
                <c:pt idx="106">
                  <c:v>7459.5</c:v>
                </c:pt>
                <c:pt idx="107">
                  <c:v>7480.5</c:v>
                </c:pt>
                <c:pt idx="108">
                  <c:v>7251.5</c:v>
                </c:pt>
                <c:pt idx="109">
                  <c:v>7396</c:v>
                </c:pt>
                <c:pt idx="110">
                  <c:v>7384</c:v>
                </c:pt>
                <c:pt idx="111">
                  <c:v>7397.5</c:v>
                </c:pt>
                <c:pt idx="112">
                  <c:v>7376.5</c:v>
                </c:pt>
                <c:pt idx="113">
                  <c:v>7521</c:v>
                </c:pt>
                <c:pt idx="114">
                  <c:v>7475.5</c:v>
                </c:pt>
                <c:pt idx="115">
                  <c:v>7505.5</c:v>
                </c:pt>
                <c:pt idx="116">
                  <c:v>7555.5</c:v>
                </c:pt>
                <c:pt idx="117">
                  <c:v>7426</c:v>
                </c:pt>
                <c:pt idx="118">
                  <c:v>7320</c:v>
                </c:pt>
                <c:pt idx="119">
                  <c:v>7342.5</c:v>
                </c:pt>
                <c:pt idx="120">
                  <c:v>7347</c:v>
                </c:pt>
                <c:pt idx="121">
                  <c:v>7354</c:v>
                </c:pt>
                <c:pt idx="122">
                  <c:v>7421</c:v>
                </c:pt>
                <c:pt idx="123">
                  <c:v>7604.5</c:v>
                </c:pt>
                <c:pt idx="124">
                  <c:v>7647.5</c:v>
                </c:pt>
                <c:pt idx="125">
                  <c:v>7777</c:v>
                </c:pt>
                <c:pt idx="126">
                  <c:v>7695.5</c:v>
                </c:pt>
                <c:pt idx="127">
                  <c:v>7761.5</c:v>
                </c:pt>
                <c:pt idx="128">
                  <c:v>7600</c:v>
                </c:pt>
                <c:pt idx="129">
                  <c:v>7520.5</c:v>
                </c:pt>
                <c:pt idx="130">
                  <c:v>7556</c:v>
                </c:pt>
                <c:pt idx="131">
                  <c:v>7525.5</c:v>
                </c:pt>
                <c:pt idx="132">
                  <c:v>7510</c:v>
                </c:pt>
                <c:pt idx="133">
                  <c:v>7689.5</c:v>
                </c:pt>
                <c:pt idx="134">
                  <c:v>7636</c:v>
                </c:pt>
                <c:pt idx="135">
                  <c:v>7671</c:v>
                </c:pt>
                <c:pt idx="136">
                  <c:v>7596</c:v>
                </c:pt>
                <c:pt idx="137">
                  <c:v>7765</c:v>
                </c:pt>
                <c:pt idx="138">
                  <c:v>7625</c:v>
                </c:pt>
                <c:pt idx="139">
                  <c:v>7387</c:v>
                </c:pt>
                <c:pt idx="140">
                  <c:v>7396</c:v>
                </c:pt>
                <c:pt idx="141">
                  <c:v>7441</c:v>
                </c:pt>
                <c:pt idx="142">
                  <c:v>7510.5</c:v>
                </c:pt>
                <c:pt idx="143">
                  <c:v>7555</c:v>
                </c:pt>
                <c:pt idx="144">
                  <c:v>7520</c:v>
                </c:pt>
                <c:pt idx="145">
                  <c:v>7581</c:v>
                </c:pt>
                <c:pt idx="146">
                  <c:v>7500</c:v>
                </c:pt>
                <c:pt idx="147">
                  <c:v>7386.5</c:v>
                </c:pt>
                <c:pt idx="148">
                  <c:v>7327</c:v>
                </c:pt>
                <c:pt idx="149">
                  <c:v>7400</c:v>
                </c:pt>
                <c:pt idx="150">
                  <c:v>7567</c:v>
                </c:pt>
                <c:pt idx="151">
                  <c:v>7525.5</c:v>
                </c:pt>
                <c:pt idx="152">
                  <c:v>7495.5</c:v>
                </c:pt>
                <c:pt idx="153">
                  <c:v>7430.5</c:v>
                </c:pt>
                <c:pt idx="154">
                  <c:v>7426.5</c:v>
                </c:pt>
                <c:pt idx="155">
                  <c:v>7407</c:v>
                </c:pt>
                <c:pt idx="156">
                  <c:v>7386</c:v>
                </c:pt>
                <c:pt idx="157">
                  <c:v>7386</c:v>
                </c:pt>
                <c:pt idx="158">
                  <c:v>7496</c:v>
                </c:pt>
                <c:pt idx="159">
                  <c:v>7433</c:v>
                </c:pt>
                <c:pt idx="160">
                  <c:v>7510</c:v>
                </c:pt>
                <c:pt idx="161">
                  <c:v>7571.5</c:v>
                </c:pt>
                <c:pt idx="162">
                  <c:v>7667.5</c:v>
                </c:pt>
                <c:pt idx="163">
                  <c:v>7600.5</c:v>
                </c:pt>
                <c:pt idx="164">
                  <c:v>7606</c:v>
                </c:pt>
                <c:pt idx="165">
                  <c:v>7524.5</c:v>
                </c:pt>
                <c:pt idx="166">
                  <c:v>7611</c:v>
                </c:pt>
                <c:pt idx="167">
                  <c:v>7576.5</c:v>
                </c:pt>
                <c:pt idx="168">
                  <c:v>7649.5</c:v>
                </c:pt>
                <c:pt idx="169">
                  <c:v>7640.5</c:v>
                </c:pt>
                <c:pt idx="170">
                  <c:v>7606.5</c:v>
                </c:pt>
                <c:pt idx="171">
                  <c:v>7670.5</c:v>
                </c:pt>
                <c:pt idx="172">
                  <c:v>7844</c:v>
                </c:pt>
                <c:pt idx="173">
                  <c:v>8032</c:v>
                </c:pt>
                <c:pt idx="174">
                  <c:v>8080</c:v>
                </c:pt>
                <c:pt idx="175">
                  <c:v>8100.5</c:v>
                </c:pt>
                <c:pt idx="176">
                  <c:v>8055.5</c:v>
                </c:pt>
                <c:pt idx="177">
                  <c:v>8400.5</c:v>
                </c:pt>
                <c:pt idx="178">
                  <c:v>8293</c:v>
                </c:pt>
                <c:pt idx="179">
                  <c:v>8224</c:v>
                </c:pt>
                <c:pt idx="180">
                  <c:v>8323</c:v>
                </c:pt>
                <c:pt idx="181">
                  <c:v>8202</c:v>
                </c:pt>
                <c:pt idx="182">
                  <c:v>8282</c:v>
                </c:pt>
                <c:pt idx="183">
                  <c:v>8155.5</c:v>
                </c:pt>
                <c:pt idx="184">
                  <c:v>8235.5</c:v>
                </c:pt>
                <c:pt idx="185">
                  <c:v>8130.5</c:v>
                </c:pt>
                <c:pt idx="186">
                  <c:v>8175</c:v>
                </c:pt>
                <c:pt idx="187">
                  <c:v>8267.5</c:v>
                </c:pt>
                <c:pt idx="188">
                  <c:v>8191.5</c:v>
                </c:pt>
                <c:pt idx="189">
                  <c:v>8340</c:v>
                </c:pt>
                <c:pt idx="190">
                  <c:v>8276</c:v>
                </c:pt>
                <c:pt idx="191">
                  <c:v>8325</c:v>
                </c:pt>
                <c:pt idx="192">
                  <c:v>8299</c:v>
                </c:pt>
                <c:pt idx="193">
                  <c:v>8133</c:v>
                </c:pt>
                <c:pt idx="194">
                  <c:v>8183</c:v>
                </c:pt>
                <c:pt idx="195">
                  <c:v>8124.5</c:v>
                </c:pt>
                <c:pt idx="196">
                  <c:v>8212</c:v>
                </c:pt>
                <c:pt idx="197">
                  <c:v>8179</c:v>
                </c:pt>
                <c:pt idx="198">
                  <c:v>8130</c:v>
                </c:pt>
                <c:pt idx="199">
                  <c:v>8141.5</c:v>
                </c:pt>
                <c:pt idx="200">
                  <c:v>8112.5</c:v>
                </c:pt>
                <c:pt idx="201">
                  <c:v>8210</c:v>
                </c:pt>
                <c:pt idx="202">
                  <c:v>8121</c:v>
                </c:pt>
                <c:pt idx="203">
                  <c:v>7983.5</c:v>
                </c:pt>
                <c:pt idx="204">
                  <c:v>7861</c:v>
                </c:pt>
                <c:pt idx="205">
                  <c:v>7860.5</c:v>
                </c:pt>
                <c:pt idx="206">
                  <c:v>7852</c:v>
                </c:pt>
                <c:pt idx="207">
                  <c:v>7765</c:v>
                </c:pt>
                <c:pt idx="208">
                  <c:v>7720</c:v>
                </c:pt>
                <c:pt idx="209">
                  <c:v>7760</c:v>
                </c:pt>
                <c:pt idx="210">
                  <c:v>7819</c:v>
                </c:pt>
                <c:pt idx="211">
                  <c:v>7811</c:v>
                </c:pt>
                <c:pt idx="212">
                  <c:v>7765.5</c:v>
                </c:pt>
                <c:pt idx="213">
                  <c:v>7604</c:v>
                </c:pt>
                <c:pt idx="214">
                  <c:v>7661</c:v>
                </c:pt>
                <c:pt idx="215">
                  <c:v>7654.5</c:v>
                </c:pt>
                <c:pt idx="216">
                  <c:v>7605.5</c:v>
                </c:pt>
                <c:pt idx="217">
                  <c:v>7540.5</c:v>
                </c:pt>
                <c:pt idx="218">
                  <c:v>7626.5</c:v>
                </c:pt>
                <c:pt idx="219">
                  <c:v>7606.5</c:v>
                </c:pt>
                <c:pt idx="220">
                  <c:v>7635</c:v>
                </c:pt>
                <c:pt idx="221">
                  <c:v>7605.5</c:v>
                </c:pt>
                <c:pt idx="222">
                  <c:v>7573</c:v>
                </c:pt>
                <c:pt idx="223">
                  <c:v>7670.5</c:v>
                </c:pt>
                <c:pt idx="224">
                  <c:v>7731</c:v>
                </c:pt>
                <c:pt idx="225">
                  <c:v>7705</c:v>
                </c:pt>
                <c:pt idx="226">
                  <c:v>7716</c:v>
                </c:pt>
                <c:pt idx="227">
                  <c:v>7676</c:v>
                </c:pt>
                <c:pt idx="228">
                  <c:v>7770.5</c:v>
                </c:pt>
                <c:pt idx="229">
                  <c:v>7796</c:v>
                </c:pt>
                <c:pt idx="230">
                  <c:v>7720</c:v>
                </c:pt>
                <c:pt idx="231">
                  <c:v>7850</c:v>
                </c:pt>
                <c:pt idx="232">
                  <c:v>7949</c:v>
                </c:pt>
                <c:pt idx="233">
                  <c:v>7975.5</c:v>
                </c:pt>
                <c:pt idx="234">
                  <c:v>7991</c:v>
                </c:pt>
                <c:pt idx="235">
                  <c:v>8022</c:v>
                </c:pt>
                <c:pt idx="236">
                  <c:v>8020.5</c:v>
                </c:pt>
                <c:pt idx="237">
                  <c:v>7965.5</c:v>
                </c:pt>
                <c:pt idx="238">
                  <c:v>8111.5</c:v>
                </c:pt>
                <c:pt idx="239">
                  <c:v>8070</c:v>
                </c:pt>
                <c:pt idx="240">
                  <c:v>8102</c:v>
                </c:pt>
                <c:pt idx="241">
                  <c:v>8000.5</c:v>
                </c:pt>
                <c:pt idx="242">
                  <c:v>8047.5</c:v>
                </c:pt>
                <c:pt idx="243">
                  <c:v>8001</c:v>
                </c:pt>
                <c:pt idx="244">
                  <c:v>8005.5</c:v>
                </c:pt>
                <c:pt idx="245">
                  <c:v>7946</c:v>
                </c:pt>
                <c:pt idx="246">
                  <c:v>7825.5</c:v>
                </c:pt>
                <c:pt idx="247">
                  <c:v>7768.5</c:v>
                </c:pt>
                <c:pt idx="248">
                  <c:v>7780</c:v>
                </c:pt>
                <c:pt idx="249">
                  <c:v>7871.5</c:v>
                </c:pt>
                <c:pt idx="250">
                  <c:v>7870</c:v>
                </c:pt>
                <c:pt idx="251">
                  <c:v>7915</c:v>
                </c:pt>
                <c:pt idx="252">
                  <c:v>8085</c:v>
                </c:pt>
                <c:pt idx="253">
                  <c:v>8140.5</c:v>
                </c:pt>
                <c:pt idx="254">
                  <c:v>8026</c:v>
                </c:pt>
                <c:pt idx="255">
                  <c:v>7995.5</c:v>
                </c:pt>
                <c:pt idx="256">
                  <c:v>8050.5</c:v>
                </c:pt>
                <c:pt idx="257">
                  <c:v>8059</c:v>
                </c:pt>
                <c:pt idx="258">
                  <c:v>8117</c:v>
                </c:pt>
                <c:pt idx="259">
                  <c:v>8071</c:v>
                </c:pt>
                <c:pt idx="260">
                  <c:v>8030</c:v>
                </c:pt>
                <c:pt idx="261">
                  <c:v>7945</c:v>
                </c:pt>
                <c:pt idx="262">
                  <c:v>7910.5</c:v>
                </c:pt>
                <c:pt idx="263">
                  <c:v>7930</c:v>
                </c:pt>
                <c:pt idx="264">
                  <c:v>8053</c:v>
                </c:pt>
                <c:pt idx="265">
                  <c:v>8020.5</c:v>
                </c:pt>
                <c:pt idx="266">
                  <c:v>8068</c:v>
                </c:pt>
                <c:pt idx="267">
                  <c:v>8115.5</c:v>
                </c:pt>
                <c:pt idx="268">
                  <c:v>8036</c:v>
                </c:pt>
                <c:pt idx="269">
                  <c:v>8060</c:v>
                </c:pt>
                <c:pt idx="270">
                  <c:v>8015</c:v>
                </c:pt>
                <c:pt idx="271">
                  <c:v>8010.5</c:v>
                </c:pt>
                <c:pt idx="272">
                  <c:v>8175.5</c:v>
                </c:pt>
                <c:pt idx="273">
                  <c:v>8170</c:v>
                </c:pt>
                <c:pt idx="274">
                  <c:v>8160</c:v>
                </c:pt>
                <c:pt idx="275">
                  <c:v>8226</c:v>
                </c:pt>
                <c:pt idx="276">
                  <c:v>8242.5</c:v>
                </c:pt>
                <c:pt idx="277">
                  <c:v>8200</c:v>
                </c:pt>
                <c:pt idx="278">
                  <c:v>8212</c:v>
                </c:pt>
                <c:pt idx="279">
                  <c:v>8215</c:v>
                </c:pt>
                <c:pt idx="280">
                  <c:v>8216</c:v>
                </c:pt>
                <c:pt idx="281">
                  <c:v>8184.5</c:v>
                </c:pt>
                <c:pt idx="282">
                  <c:v>8221</c:v>
                </c:pt>
                <c:pt idx="283">
                  <c:v>8197</c:v>
                </c:pt>
                <c:pt idx="284">
                  <c:v>8198.5</c:v>
                </c:pt>
                <c:pt idx="285">
                  <c:v>8075.5</c:v>
                </c:pt>
                <c:pt idx="286">
                  <c:v>8070</c:v>
                </c:pt>
                <c:pt idx="287">
                  <c:v>8009.5</c:v>
                </c:pt>
                <c:pt idx="288">
                  <c:v>7847.5</c:v>
                </c:pt>
                <c:pt idx="289">
                  <c:v>7825</c:v>
                </c:pt>
                <c:pt idx="290">
                  <c:v>7865.5</c:v>
                </c:pt>
                <c:pt idx="291">
                  <c:v>7785</c:v>
                </c:pt>
                <c:pt idx="292">
                  <c:v>7831</c:v>
                </c:pt>
                <c:pt idx="293">
                  <c:v>7828</c:v>
                </c:pt>
                <c:pt idx="294">
                  <c:v>7620.5</c:v>
                </c:pt>
                <c:pt idx="295">
                  <c:v>7751</c:v>
                </c:pt>
                <c:pt idx="296">
                  <c:v>7720</c:v>
                </c:pt>
                <c:pt idx="297">
                  <c:v>7699.5</c:v>
                </c:pt>
                <c:pt idx="298">
                  <c:v>7671</c:v>
                </c:pt>
                <c:pt idx="299">
                  <c:v>7730</c:v>
                </c:pt>
                <c:pt idx="300">
                  <c:v>7677</c:v>
                </c:pt>
                <c:pt idx="301">
                  <c:v>7815</c:v>
                </c:pt>
                <c:pt idx="302">
                  <c:v>7777.5</c:v>
                </c:pt>
                <c:pt idx="303">
                  <c:v>7762</c:v>
                </c:pt>
                <c:pt idx="304">
                  <c:v>7782</c:v>
                </c:pt>
                <c:pt idx="305">
                  <c:v>7555.5</c:v>
                </c:pt>
                <c:pt idx="306">
                  <c:v>7539</c:v>
                </c:pt>
                <c:pt idx="307">
                  <c:v>7574.5</c:v>
                </c:pt>
                <c:pt idx="308">
                  <c:v>7580</c:v>
                </c:pt>
                <c:pt idx="309">
                  <c:v>7618</c:v>
                </c:pt>
                <c:pt idx="310">
                  <c:v>7602</c:v>
                </c:pt>
                <c:pt idx="311">
                  <c:v>7631</c:v>
                </c:pt>
                <c:pt idx="312">
                  <c:v>7570</c:v>
                </c:pt>
                <c:pt idx="313">
                  <c:v>7582.5</c:v>
                </c:pt>
                <c:pt idx="314">
                  <c:v>7434.5</c:v>
                </c:pt>
                <c:pt idx="315">
                  <c:v>7405.5</c:v>
                </c:pt>
                <c:pt idx="316">
                  <c:v>7336.5</c:v>
                </c:pt>
                <c:pt idx="317">
                  <c:v>7376</c:v>
                </c:pt>
                <c:pt idx="318">
                  <c:v>7457.5</c:v>
                </c:pt>
                <c:pt idx="319">
                  <c:v>7485.5</c:v>
                </c:pt>
                <c:pt idx="320">
                  <c:v>7547</c:v>
                </c:pt>
                <c:pt idx="321">
                  <c:v>7510</c:v>
                </c:pt>
                <c:pt idx="322">
                  <c:v>7510</c:v>
                </c:pt>
                <c:pt idx="323">
                  <c:v>7120.5</c:v>
                </c:pt>
                <c:pt idx="324">
                  <c:v>7219</c:v>
                </c:pt>
                <c:pt idx="325">
                  <c:v>7067</c:v>
                </c:pt>
                <c:pt idx="326">
                  <c:v>6962.5</c:v>
                </c:pt>
                <c:pt idx="327">
                  <c:v>6975</c:v>
                </c:pt>
                <c:pt idx="328">
                  <c:v>6875.5</c:v>
                </c:pt>
                <c:pt idx="329">
                  <c:v>6811</c:v>
                </c:pt>
                <c:pt idx="330">
                  <c:v>6935.5</c:v>
                </c:pt>
                <c:pt idx="331">
                  <c:v>7035</c:v>
                </c:pt>
                <c:pt idx="332">
                  <c:v>7054.5</c:v>
                </c:pt>
                <c:pt idx="333">
                  <c:v>7079</c:v>
                </c:pt>
                <c:pt idx="334">
                  <c:v>7073.5</c:v>
                </c:pt>
                <c:pt idx="335">
                  <c:v>6875</c:v>
                </c:pt>
                <c:pt idx="336">
                  <c:v>6870.5</c:v>
                </c:pt>
                <c:pt idx="337">
                  <c:v>7122</c:v>
                </c:pt>
                <c:pt idx="338">
                  <c:v>7240.5</c:v>
                </c:pt>
                <c:pt idx="339">
                  <c:v>7326</c:v>
                </c:pt>
                <c:pt idx="340">
                  <c:v>7311</c:v>
                </c:pt>
                <c:pt idx="341">
                  <c:v>7390.5</c:v>
                </c:pt>
                <c:pt idx="342">
                  <c:v>7350.5</c:v>
                </c:pt>
                <c:pt idx="343">
                  <c:v>7195.5</c:v>
                </c:pt>
                <c:pt idx="344">
                  <c:v>7095.5</c:v>
                </c:pt>
                <c:pt idx="345">
                  <c:v>7095.5</c:v>
                </c:pt>
                <c:pt idx="346">
                  <c:v>7329.5</c:v>
                </c:pt>
                <c:pt idx="347">
                  <c:v>7276</c:v>
                </c:pt>
                <c:pt idx="348">
                  <c:v>7384</c:v>
                </c:pt>
                <c:pt idx="349">
                  <c:v>7480</c:v>
                </c:pt>
                <c:pt idx="350">
                  <c:v>7285.5</c:v>
                </c:pt>
                <c:pt idx="351">
                  <c:v>7240</c:v>
                </c:pt>
                <c:pt idx="352">
                  <c:v>7257</c:v>
                </c:pt>
                <c:pt idx="353">
                  <c:v>7201.5</c:v>
                </c:pt>
                <c:pt idx="354">
                  <c:v>7245.5</c:v>
                </c:pt>
                <c:pt idx="355">
                  <c:v>7241</c:v>
                </c:pt>
                <c:pt idx="356">
                  <c:v>7330.5</c:v>
                </c:pt>
                <c:pt idx="357">
                  <c:v>7337.5</c:v>
                </c:pt>
                <c:pt idx="358">
                  <c:v>7421.5</c:v>
                </c:pt>
                <c:pt idx="359">
                  <c:v>7311</c:v>
                </c:pt>
                <c:pt idx="360">
                  <c:v>7282</c:v>
                </c:pt>
                <c:pt idx="361">
                  <c:v>7120</c:v>
                </c:pt>
                <c:pt idx="362">
                  <c:v>7036</c:v>
                </c:pt>
                <c:pt idx="363">
                  <c:v>7086</c:v>
                </c:pt>
                <c:pt idx="364">
                  <c:v>7057.5</c:v>
                </c:pt>
                <c:pt idx="365">
                  <c:v>7045</c:v>
                </c:pt>
                <c:pt idx="366">
                  <c:v>7020.5</c:v>
                </c:pt>
                <c:pt idx="367">
                  <c:v>6970.5</c:v>
                </c:pt>
                <c:pt idx="368">
                  <c:v>6972.5</c:v>
                </c:pt>
                <c:pt idx="369">
                  <c:v>6808</c:v>
                </c:pt>
                <c:pt idx="370">
                  <c:v>6777</c:v>
                </c:pt>
                <c:pt idx="371">
                  <c:v>6637.5</c:v>
                </c:pt>
                <c:pt idx="372">
                  <c:v>6726.5</c:v>
                </c:pt>
                <c:pt idx="373">
                  <c:v>6685.5</c:v>
                </c:pt>
                <c:pt idx="374">
                  <c:v>6705.5</c:v>
                </c:pt>
                <c:pt idx="375">
                  <c:v>6750.5</c:v>
                </c:pt>
                <c:pt idx="376">
                  <c:v>6917</c:v>
                </c:pt>
                <c:pt idx="377">
                  <c:v>6980</c:v>
                </c:pt>
                <c:pt idx="378">
                  <c:v>6922</c:v>
                </c:pt>
                <c:pt idx="379">
                  <c:v>6920.5</c:v>
                </c:pt>
                <c:pt idx="380">
                  <c:v>6821</c:v>
                </c:pt>
                <c:pt idx="381">
                  <c:v>6765</c:v>
                </c:pt>
                <c:pt idx="382">
                  <c:v>6719</c:v>
                </c:pt>
                <c:pt idx="383">
                  <c:v>6780</c:v>
                </c:pt>
                <c:pt idx="384">
                  <c:v>6995.5</c:v>
                </c:pt>
                <c:pt idx="385">
                  <c:v>6923</c:v>
                </c:pt>
                <c:pt idx="386">
                  <c:v>6891.5</c:v>
                </c:pt>
                <c:pt idx="387">
                  <c:v>6936.5</c:v>
                </c:pt>
                <c:pt idx="388">
                  <c:v>6924</c:v>
                </c:pt>
                <c:pt idx="389">
                  <c:v>6855.5</c:v>
                </c:pt>
                <c:pt idx="390">
                  <c:v>6920</c:v>
                </c:pt>
                <c:pt idx="391">
                  <c:v>6980</c:v>
                </c:pt>
                <c:pt idx="392">
                  <c:v>6961</c:v>
                </c:pt>
                <c:pt idx="393">
                  <c:v>7076.5</c:v>
                </c:pt>
                <c:pt idx="394">
                  <c:v>6927.5</c:v>
                </c:pt>
                <c:pt idx="395">
                  <c:v>6905.5</c:v>
                </c:pt>
                <c:pt idx="396">
                  <c:v>6860.5</c:v>
                </c:pt>
                <c:pt idx="397">
                  <c:v>6752</c:v>
                </c:pt>
                <c:pt idx="398">
                  <c:v>6805</c:v>
                </c:pt>
                <c:pt idx="399">
                  <c:v>6999</c:v>
                </c:pt>
                <c:pt idx="400">
                  <c:v>7019</c:v>
                </c:pt>
                <c:pt idx="401">
                  <c:v>6950.5</c:v>
                </c:pt>
                <c:pt idx="402">
                  <c:v>7026.5</c:v>
                </c:pt>
                <c:pt idx="403">
                  <c:v>6892</c:v>
                </c:pt>
                <c:pt idx="404">
                  <c:v>7121.5</c:v>
                </c:pt>
                <c:pt idx="405">
                  <c:v>7186</c:v>
                </c:pt>
                <c:pt idx="406">
                  <c:v>7246</c:v>
                </c:pt>
                <c:pt idx="407">
                  <c:v>7281</c:v>
                </c:pt>
                <c:pt idx="408">
                  <c:v>7272.5</c:v>
                </c:pt>
                <c:pt idx="409">
                  <c:v>7228</c:v>
                </c:pt>
                <c:pt idx="410">
                  <c:v>7335.5</c:v>
                </c:pt>
                <c:pt idx="411">
                  <c:v>7285.5</c:v>
                </c:pt>
                <c:pt idx="412">
                  <c:v>7265.5</c:v>
                </c:pt>
                <c:pt idx="413">
                  <c:v>7236</c:v>
                </c:pt>
                <c:pt idx="414">
                  <c:v>7340.5</c:v>
                </c:pt>
                <c:pt idx="415">
                  <c:v>7300.5</c:v>
                </c:pt>
                <c:pt idx="416">
                  <c:v>7300.5</c:v>
                </c:pt>
                <c:pt idx="417">
                  <c:v>7236</c:v>
                </c:pt>
                <c:pt idx="418">
                  <c:v>7210.5</c:v>
                </c:pt>
                <c:pt idx="419">
                  <c:v>7095</c:v>
                </c:pt>
                <c:pt idx="420">
                  <c:v>7175.5</c:v>
                </c:pt>
                <c:pt idx="421">
                  <c:v>7183.5</c:v>
                </c:pt>
                <c:pt idx="422">
                  <c:v>7125.5</c:v>
                </c:pt>
                <c:pt idx="423">
                  <c:v>7103</c:v>
                </c:pt>
                <c:pt idx="424">
                  <c:v>7170.5</c:v>
                </c:pt>
                <c:pt idx="425">
                  <c:v>7191.5</c:v>
                </c:pt>
                <c:pt idx="426">
                  <c:v>7172</c:v>
                </c:pt>
                <c:pt idx="427">
                  <c:v>7163</c:v>
                </c:pt>
                <c:pt idx="428">
                  <c:v>7043.5</c:v>
                </c:pt>
                <c:pt idx="429">
                  <c:v>7028.5</c:v>
                </c:pt>
                <c:pt idx="430">
                  <c:v>7050</c:v>
                </c:pt>
                <c:pt idx="431">
                  <c:v>7056.5</c:v>
                </c:pt>
                <c:pt idx="432">
                  <c:v>7090.5</c:v>
                </c:pt>
                <c:pt idx="433">
                  <c:v>7301.5</c:v>
                </c:pt>
                <c:pt idx="434">
                  <c:v>7295</c:v>
                </c:pt>
                <c:pt idx="435">
                  <c:v>7181</c:v>
                </c:pt>
                <c:pt idx="436">
                  <c:v>7140.5</c:v>
                </c:pt>
                <c:pt idx="437">
                  <c:v>7155</c:v>
                </c:pt>
                <c:pt idx="438">
                  <c:v>7220.5</c:v>
                </c:pt>
                <c:pt idx="439">
                  <c:v>7252.5</c:v>
                </c:pt>
                <c:pt idx="440">
                  <c:v>7290.5</c:v>
                </c:pt>
                <c:pt idx="441">
                  <c:v>7219</c:v>
                </c:pt>
                <c:pt idx="442">
                  <c:v>7156</c:v>
                </c:pt>
                <c:pt idx="443">
                  <c:v>7215.5</c:v>
                </c:pt>
                <c:pt idx="444">
                  <c:v>7148</c:v>
                </c:pt>
                <c:pt idx="445">
                  <c:v>7171</c:v>
                </c:pt>
                <c:pt idx="446">
                  <c:v>7231.5</c:v>
                </c:pt>
                <c:pt idx="447">
                  <c:v>7141</c:v>
                </c:pt>
                <c:pt idx="448">
                  <c:v>7112.5</c:v>
                </c:pt>
                <c:pt idx="449">
                  <c:v>7125</c:v>
                </c:pt>
                <c:pt idx="450">
                  <c:v>7205.5</c:v>
                </c:pt>
                <c:pt idx="451">
                  <c:v>7186</c:v>
                </c:pt>
                <c:pt idx="452">
                  <c:v>7158.5</c:v>
                </c:pt>
                <c:pt idx="453">
                  <c:v>7172</c:v>
                </c:pt>
                <c:pt idx="454">
                  <c:v>7241.5</c:v>
                </c:pt>
                <c:pt idx="455">
                  <c:v>7225.5</c:v>
                </c:pt>
                <c:pt idx="456">
                  <c:v>7260</c:v>
                </c:pt>
                <c:pt idx="457">
                  <c:v>7200.5</c:v>
                </c:pt>
                <c:pt idx="458">
                  <c:v>7160</c:v>
                </c:pt>
                <c:pt idx="459">
                  <c:v>7126</c:v>
                </c:pt>
                <c:pt idx="460">
                  <c:v>7161</c:v>
                </c:pt>
                <c:pt idx="461">
                  <c:v>7215.5</c:v>
                </c:pt>
                <c:pt idx="462">
                  <c:v>7275.5</c:v>
                </c:pt>
                <c:pt idx="463">
                  <c:v>7234</c:v>
                </c:pt>
                <c:pt idx="464">
                  <c:v>7255.5</c:v>
                </c:pt>
                <c:pt idx="465">
                  <c:v>7180</c:v>
                </c:pt>
                <c:pt idx="466">
                  <c:v>7138.5</c:v>
                </c:pt>
                <c:pt idx="467">
                  <c:v>7200</c:v>
                </c:pt>
                <c:pt idx="468">
                  <c:v>7119</c:v>
                </c:pt>
                <c:pt idx="469">
                  <c:v>7125.5</c:v>
                </c:pt>
                <c:pt idx="470">
                  <c:v>7135</c:v>
                </c:pt>
                <c:pt idx="471">
                  <c:v>7124</c:v>
                </c:pt>
                <c:pt idx="472">
                  <c:v>7021.5</c:v>
                </c:pt>
                <c:pt idx="473">
                  <c:v>6939</c:v>
                </c:pt>
                <c:pt idx="474">
                  <c:v>6967.5</c:v>
                </c:pt>
                <c:pt idx="475">
                  <c:v>6999.5</c:v>
                </c:pt>
                <c:pt idx="476">
                  <c:v>6947</c:v>
                </c:pt>
                <c:pt idx="477">
                  <c:v>6980</c:v>
                </c:pt>
                <c:pt idx="478">
                  <c:v>6992</c:v>
                </c:pt>
                <c:pt idx="479">
                  <c:v>7065.5</c:v>
                </c:pt>
                <c:pt idx="480">
                  <c:v>7067.5</c:v>
                </c:pt>
                <c:pt idx="481">
                  <c:v>7071</c:v>
                </c:pt>
                <c:pt idx="482">
                  <c:v>7051.5</c:v>
                </c:pt>
                <c:pt idx="483">
                  <c:v>6988</c:v>
                </c:pt>
                <c:pt idx="484">
                  <c:v>7027</c:v>
                </c:pt>
                <c:pt idx="485">
                  <c:v>7008.5</c:v>
                </c:pt>
                <c:pt idx="486">
                  <c:v>6945</c:v>
                </c:pt>
                <c:pt idx="487">
                  <c:v>6975</c:v>
                </c:pt>
                <c:pt idx="488">
                  <c:v>7081</c:v>
                </c:pt>
                <c:pt idx="489">
                  <c:v>7113</c:v>
                </c:pt>
                <c:pt idx="490">
                  <c:v>7141</c:v>
                </c:pt>
                <c:pt idx="491">
                  <c:v>7165.5</c:v>
                </c:pt>
                <c:pt idx="492">
                  <c:v>7169.5</c:v>
                </c:pt>
                <c:pt idx="493">
                  <c:v>7230</c:v>
                </c:pt>
                <c:pt idx="494">
                  <c:v>7218.5</c:v>
                </c:pt>
                <c:pt idx="495">
                  <c:v>7325.5</c:v>
                </c:pt>
                <c:pt idx="496">
                  <c:v>7286</c:v>
                </c:pt>
                <c:pt idx="497">
                  <c:v>7230</c:v>
                </c:pt>
                <c:pt idx="498">
                  <c:v>7218.5</c:v>
                </c:pt>
                <c:pt idx="499">
                  <c:v>7264.5</c:v>
                </c:pt>
                <c:pt idx="500">
                  <c:v>7251</c:v>
                </c:pt>
                <c:pt idx="501">
                  <c:v>7280</c:v>
                </c:pt>
                <c:pt idx="502">
                  <c:v>7375</c:v>
                </c:pt>
                <c:pt idx="503">
                  <c:v>7387</c:v>
                </c:pt>
                <c:pt idx="504">
                  <c:v>7394</c:v>
                </c:pt>
                <c:pt idx="505">
                  <c:v>7439.5</c:v>
                </c:pt>
                <c:pt idx="506">
                  <c:v>7335.5</c:v>
                </c:pt>
                <c:pt idx="507">
                  <c:v>7313.5</c:v>
                </c:pt>
                <c:pt idx="508">
                  <c:v>7354</c:v>
                </c:pt>
                <c:pt idx="509">
                  <c:v>7368</c:v>
                </c:pt>
                <c:pt idx="510">
                  <c:v>7282</c:v>
                </c:pt>
                <c:pt idx="511">
                  <c:v>7283.5</c:v>
                </c:pt>
                <c:pt idx="512">
                  <c:v>7305.5</c:v>
                </c:pt>
                <c:pt idx="513">
                  <c:v>7343</c:v>
                </c:pt>
                <c:pt idx="514">
                  <c:v>7309</c:v>
                </c:pt>
                <c:pt idx="515">
                  <c:v>7345.5</c:v>
                </c:pt>
                <c:pt idx="516">
                  <c:v>7379.5</c:v>
                </c:pt>
                <c:pt idx="517">
                  <c:v>7340</c:v>
                </c:pt>
                <c:pt idx="518">
                  <c:v>7332</c:v>
                </c:pt>
                <c:pt idx="519">
                  <c:v>7327</c:v>
                </c:pt>
                <c:pt idx="520">
                  <c:v>7285</c:v>
                </c:pt>
                <c:pt idx="521">
                  <c:v>7240</c:v>
                </c:pt>
                <c:pt idx="522">
                  <c:v>7235</c:v>
                </c:pt>
                <c:pt idx="523">
                  <c:v>7215</c:v>
                </c:pt>
                <c:pt idx="524">
                  <c:v>7209</c:v>
                </c:pt>
                <c:pt idx="525">
                  <c:v>7155</c:v>
                </c:pt>
                <c:pt idx="526">
                  <c:v>7091</c:v>
                </c:pt>
                <c:pt idx="527">
                  <c:v>7095.5</c:v>
                </c:pt>
                <c:pt idx="528">
                  <c:v>7107</c:v>
                </c:pt>
                <c:pt idx="529">
                  <c:v>7096</c:v>
                </c:pt>
                <c:pt idx="530">
                  <c:v>7109</c:v>
                </c:pt>
                <c:pt idx="531">
                  <c:v>7200</c:v>
                </c:pt>
                <c:pt idx="532">
                  <c:v>7190.5</c:v>
                </c:pt>
                <c:pt idx="533">
                  <c:v>7120</c:v>
                </c:pt>
                <c:pt idx="534">
                  <c:v>7174.5</c:v>
                </c:pt>
                <c:pt idx="535">
                  <c:v>7157</c:v>
                </c:pt>
                <c:pt idx="536">
                  <c:v>7175.5</c:v>
                </c:pt>
                <c:pt idx="537">
                  <c:v>7210</c:v>
                </c:pt>
                <c:pt idx="538">
                  <c:v>7205</c:v>
                </c:pt>
                <c:pt idx="539">
                  <c:v>7220</c:v>
                </c:pt>
                <c:pt idx="540">
                  <c:v>7185</c:v>
                </c:pt>
                <c:pt idx="541">
                  <c:v>7211.5</c:v>
                </c:pt>
                <c:pt idx="542">
                  <c:v>7130</c:v>
                </c:pt>
                <c:pt idx="543">
                  <c:v>7115</c:v>
                </c:pt>
                <c:pt idx="544">
                  <c:v>7149</c:v>
                </c:pt>
                <c:pt idx="545">
                  <c:v>7095</c:v>
                </c:pt>
                <c:pt idx="546">
                  <c:v>7097.5</c:v>
                </c:pt>
                <c:pt idx="547">
                  <c:v>7032.5</c:v>
                </c:pt>
                <c:pt idx="548">
                  <c:v>7035</c:v>
                </c:pt>
                <c:pt idx="549">
                  <c:v>7102.5</c:v>
                </c:pt>
                <c:pt idx="550">
                  <c:v>7054.5</c:v>
                </c:pt>
                <c:pt idx="551">
                  <c:v>6930.5</c:v>
                </c:pt>
                <c:pt idx="552">
                  <c:v>6716</c:v>
                </c:pt>
                <c:pt idx="553">
                  <c:v>6720.5</c:v>
                </c:pt>
                <c:pt idx="554">
                  <c:v>6498</c:v>
                </c:pt>
                <c:pt idx="555">
                  <c:v>6495</c:v>
                </c:pt>
                <c:pt idx="556">
                  <c:v>6490</c:v>
                </c:pt>
                <c:pt idx="557">
                  <c:v>6550</c:v>
                </c:pt>
                <c:pt idx="558">
                  <c:v>6471.5</c:v>
                </c:pt>
                <c:pt idx="559">
                  <c:v>6446</c:v>
                </c:pt>
                <c:pt idx="560">
                  <c:v>6434.5</c:v>
                </c:pt>
                <c:pt idx="561">
                  <c:v>6539.5</c:v>
                </c:pt>
                <c:pt idx="562">
                  <c:v>6510</c:v>
                </c:pt>
                <c:pt idx="563">
                  <c:v>6559.5</c:v>
                </c:pt>
                <c:pt idx="564">
                  <c:v>6555</c:v>
                </c:pt>
                <c:pt idx="565">
                  <c:v>6581</c:v>
                </c:pt>
                <c:pt idx="566">
                  <c:v>6667</c:v>
                </c:pt>
                <c:pt idx="567">
                  <c:v>6636</c:v>
                </c:pt>
                <c:pt idx="568">
                  <c:v>6632</c:v>
                </c:pt>
                <c:pt idx="569">
                  <c:v>6713</c:v>
                </c:pt>
                <c:pt idx="570">
                  <c:v>6606</c:v>
                </c:pt>
                <c:pt idx="571">
                  <c:v>6677</c:v>
                </c:pt>
                <c:pt idx="572">
                  <c:v>6610.5</c:v>
                </c:pt>
                <c:pt idx="573">
                  <c:v>6652</c:v>
                </c:pt>
                <c:pt idx="574">
                  <c:v>6630.5</c:v>
                </c:pt>
                <c:pt idx="575">
                  <c:v>6637.5</c:v>
                </c:pt>
                <c:pt idx="576">
                  <c:v>6686</c:v>
                </c:pt>
                <c:pt idx="577">
                  <c:v>6645</c:v>
                </c:pt>
                <c:pt idx="578">
                  <c:v>6630</c:v>
                </c:pt>
                <c:pt idx="579">
                  <c:v>6600</c:v>
                </c:pt>
                <c:pt idx="580">
                  <c:v>6631</c:v>
                </c:pt>
                <c:pt idx="581">
                  <c:v>6628.5</c:v>
                </c:pt>
                <c:pt idx="582">
                  <c:v>6645</c:v>
                </c:pt>
                <c:pt idx="583">
                  <c:v>6731</c:v>
                </c:pt>
                <c:pt idx="584">
                  <c:v>6785.5</c:v>
                </c:pt>
                <c:pt idx="585">
                  <c:v>6782</c:v>
                </c:pt>
                <c:pt idx="586">
                  <c:v>6770</c:v>
                </c:pt>
                <c:pt idx="587">
                  <c:v>6724</c:v>
                </c:pt>
                <c:pt idx="588">
                  <c:v>6670.5</c:v>
                </c:pt>
                <c:pt idx="589">
                  <c:v>6699</c:v>
                </c:pt>
                <c:pt idx="590">
                  <c:v>6740</c:v>
                </c:pt>
                <c:pt idx="591">
                  <c:v>6688</c:v>
                </c:pt>
                <c:pt idx="592">
                  <c:v>6690.5</c:v>
                </c:pt>
                <c:pt idx="593">
                  <c:v>6770</c:v>
                </c:pt>
                <c:pt idx="594">
                  <c:v>6930</c:v>
                </c:pt>
                <c:pt idx="595">
                  <c:v>6884.5</c:v>
                </c:pt>
                <c:pt idx="596">
                  <c:v>6976.5</c:v>
                </c:pt>
                <c:pt idx="597">
                  <c:v>6949</c:v>
                </c:pt>
                <c:pt idx="598">
                  <c:v>6950</c:v>
                </c:pt>
                <c:pt idx="599">
                  <c:v>7009</c:v>
                </c:pt>
                <c:pt idx="600">
                  <c:v>6922.5</c:v>
                </c:pt>
                <c:pt idx="601">
                  <c:v>6841</c:v>
                </c:pt>
                <c:pt idx="602">
                  <c:v>6945.5</c:v>
                </c:pt>
                <c:pt idx="603">
                  <c:v>6991</c:v>
                </c:pt>
                <c:pt idx="604">
                  <c:v>7020</c:v>
                </c:pt>
                <c:pt idx="605">
                  <c:v>7035</c:v>
                </c:pt>
                <c:pt idx="606">
                  <c:v>6970</c:v>
                </c:pt>
                <c:pt idx="607">
                  <c:v>6995.5</c:v>
                </c:pt>
                <c:pt idx="608">
                  <c:v>7003</c:v>
                </c:pt>
                <c:pt idx="609">
                  <c:v>6930</c:v>
                </c:pt>
                <c:pt idx="610">
                  <c:v>6835</c:v>
                </c:pt>
                <c:pt idx="611">
                  <c:v>6800</c:v>
                </c:pt>
                <c:pt idx="612">
                  <c:v>6660.5</c:v>
                </c:pt>
                <c:pt idx="613">
                  <c:v>6667.5</c:v>
                </c:pt>
                <c:pt idx="614">
                  <c:v>6695.5</c:v>
                </c:pt>
                <c:pt idx="615">
                  <c:v>6689.5</c:v>
                </c:pt>
                <c:pt idx="616">
                  <c:v>6725</c:v>
                </c:pt>
                <c:pt idx="617">
                  <c:v>6671.5</c:v>
                </c:pt>
                <c:pt idx="618">
                  <c:v>6735</c:v>
                </c:pt>
                <c:pt idx="619">
                  <c:v>6711</c:v>
                </c:pt>
                <c:pt idx="620">
                  <c:v>6739</c:v>
                </c:pt>
                <c:pt idx="621">
                  <c:v>6730.5</c:v>
                </c:pt>
                <c:pt idx="622">
                  <c:v>6777.5</c:v>
                </c:pt>
                <c:pt idx="623">
                  <c:v>6901</c:v>
                </c:pt>
                <c:pt idx="624">
                  <c:v>6898.5</c:v>
                </c:pt>
                <c:pt idx="625">
                  <c:v>6890.5</c:v>
                </c:pt>
                <c:pt idx="626">
                  <c:v>6936.5</c:v>
                </c:pt>
                <c:pt idx="627">
                  <c:v>6976</c:v>
                </c:pt>
                <c:pt idx="628">
                  <c:v>6955</c:v>
                </c:pt>
                <c:pt idx="629">
                  <c:v>7015</c:v>
                </c:pt>
                <c:pt idx="630">
                  <c:v>7050</c:v>
                </c:pt>
                <c:pt idx="631">
                  <c:v>7121</c:v>
                </c:pt>
                <c:pt idx="632">
                  <c:v>7159</c:v>
                </c:pt>
                <c:pt idx="633">
                  <c:v>7120.5</c:v>
                </c:pt>
                <c:pt idx="634">
                  <c:v>7155</c:v>
                </c:pt>
                <c:pt idx="635">
                  <c:v>7173</c:v>
                </c:pt>
                <c:pt idx="636">
                  <c:v>7110</c:v>
                </c:pt>
                <c:pt idx="637">
                  <c:v>7151</c:v>
                </c:pt>
                <c:pt idx="638">
                  <c:v>7154.5</c:v>
                </c:pt>
                <c:pt idx="639">
                  <c:v>7102.5</c:v>
                </c:pt>
                <c:pt idx="640">
                  <c:v>7112</c:v>
                </c:pt>
                <c:pt idx="641">
                  <c:v>7030.5</c:v>
                </c:pt>
                <c:pt idx="642">
                  <c:v>7026.5</c:v>
                </c:pt>
                <c:pt idx="643">
                  <c:v>6989.5</c:v>
                </c:pt>
                <c:pt idx="644">
                  <c:v>7060.5</c:v>
                </c:pt>
                <c:pt idx="645">
                  <c:v>7065</c:v>
                </c:pt>
                <c:pt idx="646">
                  <c:v>7151</c:v>
                </c:pt>
                <c:pt idx="647">
                  <c:v>7183.5</c:v>
                </c:pt>
                <c:pt idx="648">
                  <c:v>7132</c:v>
                </c:pt>
                <c:pt idx="649">
                  <c:v>7116</c:v>
                </c:pt>
                <c:pt idx="650">
                  <c:v>7090</c:v>
                </c:pt>
                <c:pt idx="651">
                  <c:v>7135.5</c:v>
                </c:pt>
                <c:pt idx="652">
                  <c:v>7078</c:v>
                </c:pt>
                <c:pt idx="653">
                  <c:v>7104</c:v>
                </c:pt>
                <c:pt idx="654">
                  <c:v>7100.5</c:v>
                </c:pt>
                <c:pt idx="655">
                  <c:v>6995</c:v>
                </c:pt>
                <c:pt idx="656">
                  <c:v>6980.5</c:v>
                </c:pt>
                <c:pt idx="657">
                  <c:v>7020</c:v>
                </c:pt>
                <c:pt idx="658">
                  <c:v>7010.5</c:v>
                </c:pt>
                <c:pt idx="659">
                  <c:v>7025.5</c:v>
                </c:pt>
                <c:pt idx="660">
                  <c:v>6925.5</c:v>
                </c:pt>
                <c:pt idx="661">
                  <c:v>6886.5</c:v>
                </c:pt>
                <c:pt idx="662">
                  <c:v>6852.5</c:v>
                </c:pt>
                <c:pt idx="663">
                  <c:v>6910</c:v>
                </c:pt>
                <c:pt idx="664">
                  <c:v>6934.5</c:v>
                </c:pt>
                <c:pt idx="665">
                  <c:v>6922</c:v>
                </c:pt>
                <c:pt idx="666">
                  <c:v>7003</c:v>
                </c:pt>
                <c:pt idx="667">
                  <c:v>7088</c:v>
                </c:pt>
                <c:pt idx="668">
                  <c:v>7096</c:v>
                </c:pt>
                <c:pt idx="669">
                  <c:v>7051</c:v>
                </c:pt>
                <c:pt idx="670">
                  <c:v>7033</c:v>
                </c:pt>
                <c:pt idx="671">
                  <c:v>6995</c:v>
                </c:pt>
                <c:pt idx="672">
                  <c:v>6966.5</c:v>
                </c:pt>
                <c:pt idx="673">
                  <c:v>6965.5</c:v>
                </c:pt>
                <c:pt idx="674">
                  <c:v>6927</c:v>
                </c:pt>
                <c:pt idx="675">
                  <c:v>6967</c:v>
                </c:pt>
                <c:pt idx="676">
                  <c:v>6973</c:v>
                </c:pt>
                <c:pt idx="677">
                  <c:v>7040.5</c:v>
                </c:pt>
                <c:pt idx="678">
                  <c:v>6937</c:v>
                </c:pt>
                <c:pt idx="679">
                  <c:v>6897.5</c:v>
                </c:pt>
                <c:pt idx="680">
                  <c:v>6829</c:v>
                </c:pt>
                <c:pt idx="681">
                  <c:v>6856</c:v>
                </c:pt>
                <c:pt idx="682">
                  <c:v>6850</c:v>
                </c:pt>
                <c:pt idx="683">
                  <c:v>6895.5</c:v>
                </c:pt>
                <c:pt idx="684">
                  <c:v>6958.5</c:v>
                </c:pt>
                <c:pt idx="685">
                  <c:v>6920</c:v>
                </c:pt>
                <c:pt idx="686">
                  <c:v>6868.5</c:v>
                </c:pt>
                <c:pt idx="687">
                  <c:v>6782</c:v>
                </c:pt>
                <c:pt idx="688">
                  <c:v>6797</c:v>
                </c:pt>
                <c:pt idx="689">
                  <c:v>6750</c:v>
                </c:pt>
                <c:pt idx="690">
                  <c:v>6766</c:v>
                </c:pt>
                <c:pt idx="691">
                  <c:v>6771</c:v>
                </c:pt>
                <c:pt idx="692">
                  <c:v>6735.5</c:v>
                </c:pt>
                <c:pt idx="693">
                  <c:v>6736</c:v>
                </c:pt>
                <c:pt idx="694">
                  <c:v>6755</c:v>
                </c:pt>
                <c:pt idx="695">
                  <c:v>6693.5</c:v>
                </c:pt>
                <c:pt idx="696">
                  <c:v>6665</c:v>
                </c:pt>
                <c:pt idx="697">
                  <c:v>6712.5</c:v>
                </c:pt>
                <c:pt idx="698">
                  <c:v>6715</c:v>
                </c:pt>
                <c:pt idx="699">
                  <c:v>6755</c:v>
                </c:pt>
                <c:pt idx="700">
                  <c:v>6767</c:v>
                </c:pt>
                <c:pt idx="701">
                  <c:v>6697</c:v>
                </c:pt>
                <c:pt idx="702">
                  <c:v>6802</c:v>
                </c:pt>
                <c:pt idx="703">
                  <c:v>6780.5</c:v>
                </c:pt>
                <c:pt idx="704">
                  <c:v>6781</c:v>
                </c:pt>
                <c:pt idx="705">
                  <c:v>6630</c:v>
                </c:pt>
                <c:pt idx="706">
                  <c:v>6629</c:v>
                </c:pt>
                <c:pt idx="707">
                  <c:v>6615</c:v>
                </c:pt>
                <c:pt idx="708">
                  <c:v>6660</c:v>
                </c:pt>
                <c:pt idx="709">
                  <c:v>6730.5</c:v>
                </c:pt>
                <c:pt idx="710">
                  <c:v>6718.5</c:v>
                </c:pt>
                <c:pt idx="711">
                  <c:v>6759.5</c:v>
                </c:pt>
                <c:pt idx="712">
                  <c:v>6800.5</c:v>
                </c:pt>
                <c:pt idx="713">
                  <c:v>6859.5</c:v>
                </c:pt>
                <c:pt idx="714">
                  <c:v>6855</c:v>
                </c:pt>
                <c:pt idx="715">
                  <c:v>6785</c:v>
                </c:pt>
                <c:pt idx="716">
                  <c:v>6835.5</c:v>
                </c:pt>
                <c:pt idx="717">
                  <c:v>6801</c:v>
                </c:pt>
                <c:pt idx="718">
                  <c:v>6705.5</c:v>
                </c:pt>
                <c:pt idx="719">
                  <c:v>6646</c:v>
                </c:pt>
                <c:pt idx="720">
                  <c:v>6681</c:v>
                </c:pt>
                <c:pt idx="721">
                  <c:v>6720.5</c:v>
                </c:pt>
                <c:pt idx="722">
                  <c:v>6735.5</c:v>
                </c:pt>
                <c:pt idx="723">
                  <c:v>6688</c:v>
                </c:pt>
                <c:pt idx="724">
                  <c:v>6752.5</c:v>
                </c:pt>
                <c:pt idx="725">
                  <c:v>6755.5</c:v>
                </c:pt>
                <c:pt idx="726">
                  <c:v>6695</c:v>
                </c:pt>
                <c:pt idx="727">
                  <c:v>6752</c:v>
                </c:pt>
                <c:pt idx="728">
                  <c:v>6684</c:v>
                </c:pt>
                <c:pt idx="729">
                  <c:v>6715</c:v>
                </c:pt>
                <c:pt idx="730">
                  <c:v>6688</c:v>
                </c:pt>
                <c:pt idx="731">
                  <c:v>6790</c:v>
                </c:pt>
                <c:pt idx="732">
                  <c:v>6731</c:v>
                </c:pt>
                <c:pt idx="733">
                  <c:v>6696</c:v>
                </c:pt>
                <c:pt idx="734">
                  <c:v>6649</c:v>
                </c:pt>
                <c:pt idx="735">
                  <c:v>6621.5</c:v>
                </c:pt>
                <c:pt idx="736">
                  <c:v>6515.5</c:v>
                </c:pt>
                <c:pt idx="737">
                  <c:v>6385</c:v>
                </c:pt>
                <c:pt idx="738">
                  <c:v>6455</c:v>
                </c:pt>
                <c:pt idx="739">
                  <c:v>6451</c:v>
                </c:pt>
                <c:pt idx="740">
                  <c:v>6491</c:v>
                </c:pt>
                <c:pt idx="741">
                  <c:v>6536</c:v>
                </c:pt>
                <c:pt idx="742">
                  <c:v>6465.5</c:v>
                </c:pt>
                <c:pt idx="743">
                  <c:v>6401</c:v>
                </c:pt>
                <c:pt idx="744">
                  <c:v>6476</c:v>
                </c:pt>
                <c:pt idx="745">
                  <c:v>6471.5</c:v>
                </c:pt>
                <c:pt idx="746">
                  <c:v>6526.5</c:v>
                </c:pt>
                <c:pt idx="747">
                  <c:v>6560</c:v>
                </c:pt>
                <c:pt idx="748">
                  <c:v>6390</c:v>
                </c:pt>
                <c:pt idx="749">
                  <c:v>6306</c:v>
                </c:pt>
                <c:pt idx="750">
                  <c:v>6350.5</c:v>
                </c:pt>
                <c:pt idx="751">
                  <c:v>6445.5</c:v>
                </c:pt>
                <c:pt idx="752">
                  <c:v>6426.5</c:v>
                </c:pt>
                <c:pt idx="753">
                  <c:v>6363</c:v>
                </c:pt>
                <c:pt idx="754">
                  <c:v>6361</c:v>
                </c:pt>
                <c:pt idx="755">
                  <c:v>6332</c:v>
                </c:pt>
                <c:pt idx="756">
                  <c:v>6330</c:v>
                </c:pt>
                <c:pt idx="757">
                  <c:v>6359</c:v>
                </c:pt>
                <c:pt idx="758">
                  <c:v>6309</c:v>
                </c:pt>
                <c:pt idx="759">
                  <c:v>6216</c:v>
                </c:pt>
                <c:pt idx="760">
                  <c:v>6191</c:v>
                </c:pt>
                <c:pt idx="761">
                  <c:v>6170</c:v>
                </c:pt>
                <c:pt idx="762">
                  <c:v>6230.5</c:v>
                </c:pt>
                <c:pt idx="763">
                  <c:v>6151</c:v>
                </c:pt>
                <c:pt idx="764">
                  <c:v>6131</c:v>
                </c:pt>
                <c:pt idx="765">
                  <c:v>5915</c:v>
                </c:pt>
                <c:pt idx="766">
                  <c:v>5627</c:v>
                </c:pt>
                <c:pt idx="767">
                  <c:v>5719</c:v>
                </c:pt>
                <c:pt idx="768">
                  <c:v>5660</c:v>
                </c:pt>
                <c:pt idx="769">
                  <c:v>5671</c:v>
                </c:pt>
                <c:pt idx="770">
                  <c:v>5760.5</c:v>
                </c:pt>
                <c:pt idx="771">
                  <c:v>5630.5</c:v>
                </c:pt>
                <c:pt idx="772">
                  <c:v>5742</c:v>
                </c:pt>
                <c:pt idx="773">
                  <c:v>5581</c:v>
                </c:pt>
                <c:pt idx="774">
                  <c:v>5490</c:v>
                </c:pt>
                <c:pt idx="775">
                  <c:v>5557</c:v>
                </c:pt>
                <c:pt idx="776">
                  <c:v>5485.5</c:v>
                </c:pt>
                <c:pt idx="777">
                  <c:v>5390.5</c:v>
                </c:pt>
                <c:pt idx="778">
                  <c:v>5505</c:v>
                </c:pt>
                <c:pt idx="779">
                  <c:v>5535.5</c:v>
                </c:pt>
                <c:pt idx="780">
                  <c:v>5695</c:v>
                </c:pt>
                <c:pt idx="781">
                  <c:v>5708</c:v>
                </c:pt>
                <c:pt idx="782">
                  <c:v>5595</c:v>
                </c:pt>
                <c:pt idx="783">
                  <c:v>5692</c:v>
                </c:pt>
                <c:pt idx="784">
                  <c:v>5666</c:v>
                </c:pt>
                <c:pt idx="785">
                  <c:v>5591</c:v>
                </c:pt>
                <c:pt idx="786">
                  <c:v>5645.5</c:v>
                </c:pt>
                <c:pt idx="787">
                  <c:v>5695</c:v>
                </c:pt>
                <c:pt idx="788">
                  <c:v>5731</c:v>
                </c:pt>
                <c:pt idx="789">
                  <c:v>5712</c:v>
                </c:pt>
                <c:pt idx="790">
                  <c:v>5665.5</c:v>
                </c:pt>
                <c:pt idx="791">
                  <c:v>5690</c:v>
                </c:pt>
                <c:pt idx="792">
                  <c:v>5720</c:v>
                </c:pt>
                <c:pt idx="793">
                  <c:v>5707</c:v>
                </c:pt>
                <c:pt idx="794">
                  <c:v>5657</c:v>
                </c:pt>
                <c:pt idx="795">
                  <c:v>5715</c:v>
                </c:pt>
                <c:pt idx="796">
                  <c:v>5805</c:v>
                </c:pt>
                <c:pt idx="797">
                  <c:v>5935.5</c:v>
                </c:pt>
                <c:pt idx="798">
                  <c:v>5880.5</c:v>
                </c:pt>
                <c:pt idx="799">
                  <c:v>5896</c:v>
                </c:pt>
                <c:pt idx="800">
                  <c:v>5855</c:v>
                </c:pt>
                <c:pt idx="801">
                  <c:v>5882</c:v>
                </c:pt>
                <c:pt idx="802">
                  <c:v>5856</c:v>
                </c:pt>
                <c:pt idx="803">
                  <c:v>5826.5</c:v>
                </c:pt>
                <c:pt idx="804">
                  <c:v>5800</c:v>
                </c:pt>
                <c:pt idx="805">
                  <c:v>5783.5</c:v>
                </c:pt>
                <c:pt idx="806">
                  <c:v>5786</c:v>
                </c:pt>
                <c:pt idx="807">
                  <c:v>5865.5</c:v>
                </c:pt>
                <c:pt idx="808">
                  <c:v>5860</c:v>
                </c:pt>
                <c:pt idx="809">
                  <c:v>5853</c:v>
                </c:pt>
                <c:pt idx="810">
                  <c:v>5765</c:v>
                </c:pt>
                <c:pt idx="811">
                  <c:v>5692.5</c:v>
                </c:pt>
                <c:pt idx="812">
                  <c:v>5835</c:v>
                </c:pt>
                <c:pt idx="813">
                  <c:v>5920</c:v>
                </c:pt>
                <c:pt idx="814">
                  <c:v>6093.5</c:v>
                </c:pt>
                <c:pt idx="815">
                  <c:v>6128</c:v>
                </c:pt>
                <c:pt idx="816">
                  <c:v>6134.5</c:v>
                </c:pt>
                <c:pt idx="817">
                  <c:v>6230</c:v>
                </c:pt>
                <c:pt idx="818">
                  <c:v>6146</c:v>
                </c:pt>
                <c:pt idx="819">
                  <c:v>6110</c:v>
                </c:pt>
                <c:pt idx="820">
                  <c:v>6050.5</c:v>
                </c:pt>
                <c:pt idx="821">
                  <c:v>6019.5</c:v>
                </c:pt>
                <c:pt idx="822">
                  <c:v>6001.5</c:v>
                </c:pt>
                <c:pt idx="823">
                  <c:v>6041</c:v>
                </c:pt>
                <c:pt idx="824">
                  <c:v>6055</c:v>
                </c:pt>
                <c:pt idx="825">
                  <c:v>6050</c:v>
                </c:pt>
                <c:pt idx="826">
                  <c:v>6055</c:v>
                </c:pt>
                <c:pt idx="827">
                  <c:v>6011.5</c:v>
                </c:pt>
                <c:pt idx="828">
                  <c:v>5916.5</c:v>
                </c:pt>
                <c:pt idx="829">
                  <c:v>5920.5</c:v>
                </c:pt>
                <c:pt idx="830">
                  <c:v>6054</c:v>
                </c:pt>
                <c:pt idx="831">
                  <c:v>6081</c:v>
                </c:pt>
                <c:pt idx="832">
                  <c:v>6002</c:v>
                </c:pt>
                <c:pt idx="833">
                  <c:v>5975</c:v>
                </c:pt>
                <c:pt idx="834">
                  <c:v>5927</c:v>
                </c:pt>
                <c:pt idx="835">
                  <c:v>5935</c:v>
                </c:pt>
                <c:pt idx="836">
                  <c:v>6025.5</c:v>
                </c:pt>
                <c:pt idx="837">
                  <c:v>6061</c:v>
                </c:pt>
                <c:pt idx="838">
                  <c:v>6090.5</c:v>
                </c:pt>
                <c:pt idx="839">
                  <c:v>6103</c:v>
                </c:pt>
                <c:pt idx="840">
                  <c:v>6245</c:v>
                </c:pt>
                <c:pt idx="841">
                  <c:v>6362</c:v>
                </c:pt>
                <c:pt idx="842">
                  <c:v>6410</c:v>
                </c:pt>
                <c:pt idx="843">
                  <c:v>6400.5</c:v>
                </c:pt>
                <c:pt idx="844">
                  <c:v>6437</c:v>
                </c:pt>
                <c:pt idx="845">
                  <c:v>6396.5</c:v>
                </c:pt>
                <c:pt idx="846">
                  <c:v>6363</c:v>
                </c:pt>
                <c:pt idx="847">
                  <c:v>6448</c:v>
                </c:pt>
                <c:pt idx="848">
                  <c:v>6416</c:v>
                </c:pt>
                <c:pt idx="849">
                  <c:v>6399</c:v>
                </c:pt>
                <c:pt idx="850">
                  <c:v>6356</c:v>
                </c:pt>
                <c:pt idx="851">
                  <c:v>6383</c:v>
                </c:pt>
                <c:pt idx="852">
                  <c:v>6270</c:v>
                </c:pt>
                <c:pt idx="853">
                  <c:v>6208</c:v>
                </c:pt>
                <c:pt idx="854">
                  <c:v>6240</c:v>
                </c:pt>
                <c:pt idx="855">
                  <c:v>6197.5</c:v>
                </c:pt>
                <c:pt idx="856">
                  <c:v>6134.5</c:v>
                </c:pt>
                <c:pt idx="857">
                  <c:v>6085</c:v>
                </c:pt>
                <c:pt idx="858">
                  <c:v>6117</c:v>
                </c:pt>
                <c:pt idx="859">
                  <c:v>6088.5</c:v>
                </c:pt>
                <c:pt idx="860">
                  <c:v>5970.5</c:v>
                </c:pt>
                <c:pt idx="861">
                  <c:v>5998.5</c:v>
                </c:pt>
                <c:pt idx="862">
                  <c:v>5992</c:v>
                </c:pt>
                <c:pt idx="863">
                  <c:v>5954</c:v>
                </c:pt>
                <c:pt idx="864">
                  <c:v>5924.5</c:v>
                </c:pt>
                <c:pt idx="865">
                  <c:v>5915</c:v>
                </c:pt>
                <c:pt idx="866">
                  <c:v>5989</c:v>
                </c:pt>
                <c:pt idx="867">
                  <c:v>6045.5</c:v>
                </c:pt>
                <c:pt idx="868">
                  <c:v>5906</c:v>
                </c:pt>
                <c:pt idx="869">
                  <c:v>5888.5</c:v>
                </c:pt>
                <c:pt idx="870">
                  <c:v>5760.5</c:v>
                </c:pt>
                <c:pt idx="871">
                  <c:v>5752</c:v>
                </c:pt>
                <c:pt idx="872">
                  <c:v>5749</c:v>
                </c:pt>
                <c:pt idx="873">
                  <c:v>5761</c:v>
                </c:pt>
                <c:pt idx="874">
                  <c:v>5663</c:v>
                </c:pt>
                <c:pt idx="875">
                  <c:v>5646</c:v>
                </c:pt>
                <c:pt idx="876">
                  <c:v>5725</c:v>
                </c:pt>
                <c:pt idx="877">
                  <c:v>5765</c:v>
                </c:pt>
                <c:pt idx="878">
                  <c:v>5715.5</c:v>
                </c:pt>
                <c:pt idx="879">
                  <c:v>5731</c:v>
                </c:pt>
                <c:pt idx="880">
                  <c:v>5767</c:v>
                </c:pt>
                <c:pt idx="881">
                  <c:v>5721</c:v>
                </c:pt>
                <c:pt idx="882">
                  <c:v>5755.5</c:v>
                </c:pt>
                <c:pt idx="883">
                  <c:v>5761</c:v>
                </c:pt>
                <c:pt idx="884">
                  <c:v>5761.5</c:v>
                </c:pt>
                <c:pt idx="885">
                  <c:v>5570</c:v>
                </c:pt>
                <c:pt idx="886">
                  <c:v>5440.5</c:v>
                </c:pt>
                <c:pt idx="887">
                  <c:v>5375</c:v>
                </c:pt>
                <c:pt idx="888">
                  <c:v>5576</c:v>
                </c:pt>
                <c:pt idx="889">
                  <c:v>5561.5</c:v>
                </c:pt>
                <c:pt idx="890">
                  <c:v>5605.5</c:v>
                </c:pt>
                <c:pt idx="891">
                  <c:v>5502.5</c:v>
                </c:pt>
                <c:pt idx="892">
                  <c:v>5597</c:v>
                </c:pt>
                <c:pt idx="893">
                  <c:v>5530</c:v>
                </c:pt>
                <c:pt idx="894">
                  <c:v>5465</c:v>
                </c:pt>
                <c:pt idx="895">
                  <c:v>5426</c:v>
                </c:pt>
                <c:pt idx="896">
                  <c:v>5475.5</c:v>
                </c:pt>
                <c:pt idx="897">
                  <c:v>5350.5</c:v>
                </c:pt>
                <c:pt idx="898">
                  <c:v>5340</c:v>
                </c:pt>
                <c:pt idx="899">
                  <c:v>5224.5</c:v>
                </c:pt>
                <c:pt idx="900">
                  <c:v>5190</c:v>
                </c:pt>
                <c:pt idx="901">
                  <c:v>5239.5</c:v>
                </c:pt>
                <c:pt idx="902">
                  <c:v>5302</c:v>
                </c:pt>
                <c:pt idx="903">
                  <c:v>5241</c:v>
                </c:pt>
                <c:pt idx="904">
                  <c:v>5220</c:v>
                </c:pt>
                <c:pt idx="905">
                  <c:v>5176.5</c:v>
                </c:pt>
                <c:pt idx="906">
                  <c:v>5215.5</c:v>
                </c:pt>
                <c:pt idx="907">
                  <c:v>5171.5</c:v>
                </c:pt>
                <c:pt idx="908">
                  <c:v>5165</c:v>
                </c:pt>
                <c:pt idx="909">
                  <c:v>5135.5</c:v>
                </c:pt>
                <c:pt idx="910">
                  <c:v>5150</c:v>
                </c:pt>
                <c:pt idx="911">
                  <c:v>5140</c:v>
                </c:pt>
                <c:pt idx="912">
                  <c:v>5103</c:v>
                </c:pt>
                <c:pt idx="913">
                  <c:v>5148</c:v>
                </c:pt>
                <c:pt idx="914">
                  <c:v>5156</c:v>
                </c:pt>
                <c:pt idx="915">
                  <c:v>5101</c:v>
                </c:pt>
                <c:pt idx="916">
                  <c:v>5000.5</c:v>
                </c:pt>
                <c:pt idx="917">
                  <c:v>5006.5</c:v>
                </c:pt>
                <c:pt idx="918">
                  <c:v>5060.5</c:v>
                </c:pt>
                <c:pt idx="919">
                  <c:v>5046</c:v>
                </c:pt>
                <c:pt idx="920">
                  <c:v>4888</c:v>
                </c:pt>
                <c:pt idx="921">
                  <c:v>5032</c:v>
                </c:pt>
                <c:pt idx="922">
                  <c:v>4959</c:v>
                </c:pt>
                <c:pt idx="923">
                  <c:v>5029</c:v>
                </c:pt>
                <c:pt idx="924">
                  <c:v>5095</c:v>
                </c:pt>
                <c:pt idx="925">
                  <c:v>5095</c:v>
                </c:pt>
                <c:pt idx="926">
                  <c:v>5090.5</c:v>
                </c:pt>
                <c:pt idx="927">
                  <c:v>5250</c:v>
                </c:pt>
                <c:pt idx="928">
                  <c:v>5155.5</c:v>
                </c:pt>
                <c:pt idx="929">
                  <c:v>5176</c:v>
                </c:pt>
                <c:pt idx="930">
                  <c:v>5280</c:v>
                </c:pt>
                <c:pt idx="931">
                  <c:v>5366</c:v>
                </c:pt>
                <c:pt idx="932">
                  <c:v>5400</c:v>
                </c:pt>
                <c:pt idx="933">
                  <c:v>5352</c:v>
                </c:pt>
                <c:pt idx="934">
                  <c:v>5324</c:v>
                </c:pt>
                <c:pt idx="935">
                  <c:v>5290</c:v>
                </c:pt>
                <c:pt idx="936">
                  <c:v>5350</c:v>
                </c:pt>
                <c:pt idx="937">
                  <c:v>5369</c:v>
                </c:pt>
                <c:pt idx="938">
                  <c:v>5358</c:v>
                </c:pt>
                <c:pt idx="939">
                  <c:v>5267</c:v>
                </c:pt>
                <c:pt idx="940">
                  <c:v>5131</c:v>
                </c:pt>
                <c:pt idx="941">
                  <c:v>5112</c:v>
                </c:pt>
                <c:pt idx="942">
                  <c:v>5046</c:v>
                </c:pt>
                <c:pt idx="943">
                  <c:v>5098</c:v>
                </c:pt>
                <c:pt idx="944">
                  <c:v>4965</c:v>
                </c:pt>
                <c:pt idx="945">
                  <c:v>5010</c:v>
                </c:pt>
                <c:pt idx="946">
                  <c:v>5093</c:v>
                </c:pt>
                <c:pt idx="947">
                  <c:v>5178</c:v>
                </c:pt>
                <c:pt idx="948">
                  <c:v>5081</c:v>
                </c:pt>
                <c:pt idx="949">
                  <c:v>5144.5</c:v>
                </c:pt>
                <c:pt idx="950">
                  <c:v>5175</c:v>
                </c:pt>
                <c:pt idx="951">
                  <c:v>5241</c:v>
                </c:pt>
                <c:pt idx="952">
                  <c:v>5160</c:v>
                </c:pt>
                <c:pt idx="953">
                  <c:v>5319</c:v>
                </c:pt>
                <c:pt idx="954">
                  <c:v>5335</c:v>
                </c:pt>
                <c:pt idx="955">
                  <c:v>5260.5</c:v>
                </c:pt>
                <c:pt idx="956">
                  <c:v>5278</c:v>
                </c:pt>
                <c:pt idx="957">
                  <c:v>5344</c:v>
                </c:pt>
                <c:pt idx="958">
                  <c:v>5270</c:v>
                </c:pt>
                <c:pt idx="959">
                  <c:v>5240</c:v>
                </c:pt>
                <c:pt idx="960">
                  <c:v>5189</c:v>
                </c:pt>
                <c:pt idx="961">
                  <c:v>5185.5</c:v>
                </c:pt>
                <c:pt idx="962">
                  <c:v>5274</c:v>
                </c:pt>
                <c:pt idx="963">
                  <c:v>5295</c:v>
                </c:pt>
                <c:pt idx="964">
                  <c:v>5233</c:v>
                </c:pt>
                <c:pt idx="965">
                  <c:v>5219.5</c:v>
                </c:pt>
                <c:pt idx="966">
                  <c:v>5179</c:v>
                </c:pt>
                <c:pt idx="967">
                  <c:v>5161</c:v>
                </c:pt>
                <c:pt idx="968">
                  <c:v>5135.5</c:v>
                </c:pt>
                <c:pt idx="969">
                  <c:v>5137.5</c:v>
                </c:pt>
                <c:pt idx="970">
                  <c:v>5149</c:v>
                </c:pt>
                <c:pt idx="971">
                  <c:v>5165.5</c:v>
                </c:pt>
                <c:pt idx="972">
                  <c:v>5053</c:v>
                </c:pt>
                <c:pt idx="973">
                  <c:v>5000</c:v>
                </c:pt>
                <c:pt idx="974">
                  <c:v>4990</c:v>
                </c:pt>
                <c:pt idx="975">
                  <c:v>4933.5</c:v>
                </c:pt>
                <c:pt idx="976">
                  <c:v>4931</c:v>
                </c:pt>
                <c:pt idx="977">
                  <c:v>4872.5</c:v>
                </c:pt>
                <c:pt idx="978">
                  <c:v>4825</c:v>
                </c:pt>
                <c:pt idx="979">
                  <c:v>4765</c:v>
                </c:pt>
                <c:pt idx="980">
                  <c:v>4700</c:v>
                </c:pt>
                <c:pt idx="981">
                  <c:v>4669</c:v>
                </c:pt>
                <c:pt idx="982">
                  <c:v>4610</c:v>
                </c:pt>
                <c:pt idx="983">
                  <c:v>4690</c:v>
                </c:pt>
                <c:pt idx="984">
                  <c:v>4515.5</c:v>
                </c:pt>
                <c:pt idx="985">
                  <c:v>4527</c:v>
                </c:pt>
                <c:pt idx="986">
                  <c:v>4541</c:v>
                </c:pt>
                <c:pt idx="987">
                  <c:v>4667</c:v>
                </c:pt>
                <c:pt idx="988">
                  <c:v>4636</c:v>
                </c:pt>
                <c:pt idx="989">
                  <c:v>4595.5</c:v>
                </c:pt>
                <c:pt idx="990">
                  <c:v>4619</c:v>
                </c:pt>
                <c:pt idx="991">
                  <c:v>4589</c:v>
                </c:pt>
                <c:pt idx="992">
                  <c:v>4525</c:v>
                </c:pt>
                <c:pt idx="993">
                  <c:v>4637</c:v>
                </c:pt>
                <c:pt idx="994">
                  <c:v>4592.5</c:v>
                </c:pt>
                <c:pt idx="995">
                  <c:v>4567.5</c:v>
                </c:pt>
                <c:pt idx="996">
                  <c:v>4620</c:v>
                </c:pt>
                <c:pt idx="997">
                  <c:v>4572</c:v>
                </c:pt>
                <c:pt idx="998">
                  <c:v>4667</c:v>
                </c:pt>
                <c:pt idx="999">
                  <c:v>4640</c:v>
                </c:pt>
                <c:pt idx="1000">
                  <c:v>4586</c:v>
                </c:pt>
                <c:pt idx="1001">
                  <c:v>4583</c:v>
                </c:pt>
                <c:pt idx="1002">
                  <c:v>4550</c:v>
                </c:pt>
                <c:pt idx="1003">
                  <c:v>4650</c:v>
                </c:pt>
                <c:pt idx="1004">
                  <c:v>4691</c:v>
                </c:pt>
                <c:pt idx="1005">
                  <c:v>4672.5</c:v>
                </c:pt>
                <c:pt idx="1006">
                  <c:v>4680</c:v>
                </c:pt>
                <c:pt idx="1007">
                  <c:v>4665.5</c:v>
                </c:pt>
                <c:pt idx="1008">
                  <c:v>4685</c:v>
                </c:pt>
                <c:pt idx="1009">
                  <c:v>4715</c:v>
                </c:pt>
                <c:pt idx="1010">
                  <c:v>4702</c:v>
                </c:pt>
                <c:pt idx="1011">
                  <c:v>4645</c:v>
                </c:pt>
                <c:pt idx="1012">
                  <c:v>4647</c:v>
                </c:pt>
                <c:pt idx="1013">
                  <c:v>4600</c:v>
                </c:pt>
                <c:pt idx="1014">
                  <c:v>4514</c:v>
                </c:pt>
                <c:pt idx="1015">
                  <c:v>4486.5</c:v>
                </c:pt>
                <c:pt idx="1016">
                  <c:v>4402.5</c:v>
                </c:pt>
                <c:pt idx="1017">
                  <c:v>4355</c:v>
                </c:pt>
                <c:pt idx="1018">
                  <c:v>4380</c:v>
                </c:pt>
                <c:pt idx="1019">
                  <c:v>4365.5</c:v>
                </c:pt>
                <c:pt idx="1020">
                  <c:v>4310.5</c:v>
                </c:pt>
                <c:pt idx="1021">
                  <c:v>4360</c:v>
                </c:pt>
                <c:pt idx="1022">
                  <c:v>4440.5</c:v>
                </c:pt>
                <c:pt idx="1023">
                  <c:v>4347</c:v>
                </c:pt>
                <c:pt idx="1024">
                  <c:v>4376</c:v>
                </c:pt>
                <c:pt idx="1025">
                  <c:v>4468</c:v>
                </c:pt>
                <c:pt idx="1026">
                  <c:v>4454</c:v>
                </c:pt>
                <c:pt idx="1027">
                  <c:v>4501</c:v>
                </c:pt>
                <c:pt idx="1028">
                  <c:v>4507.5</c:v>
                </c:pt>
                <c:pt idx="1029">
                  <c:v>4553.5</c:v>
                </c:pt>
                <c:pt idx="1030">
                  <c:v>4541.5</c:v>
                </c:pt>
                <c:pt idx="1031">
                  <c:v>4534</c:v>
                </c:pt>
                <c:pt idx="1032">
                  <c:v>4605.5</c:v>
                </c:pt>
                <c:pt idx="1033">
                  <c:v>4578.5</c:v>
                </c:pt>
                <c:pt idx="1034">
                  <c:v>4685</c:v>
                </c:pt>
                <c:pt idx="1035">
                  <c:v>4669</c:v>
                </c:pt>
                <c:pt idx="1036">
                  <c:v>4572.5</c:v>
                </c:pt>
                <c:pt idx="1037">
                  <c:v>4530.5</c:v>
                </c:pt>
                <c:pt idx="1038">
                  <c:v>4507</c:v>
                </c:pt>
                <c:pt idx="1039">
                  <c:v>4474</c:v>
                </c:pt>
                <c:pt idx="1040">
                  <c:v>4488.5</c:v>
                </c:pt>
                <c:pt idx="1041">
                  <c:v>4562</c:v>
                </c:pt>
                <c:pt idx="1042">
                  <c:v>4583.5</c:v>
                </c:pt>
                <c:pt idx="1043">
                  <c:v>4562</c:v>
                </c:pt>
                <c:pt idx="1044">
                  <c:v>4577</c:v>
                </c:pt>
                <c:pt idx="1045">
                  <c:v>4590</c:v>
                </c:pt>
                <c:pt idx="1046">
                  <c:v>4696</c:v>
                </c:pt>
                <c:pt idx="1047">
                  <c:v>4663.5</c:v>
                </c:pt>
                <c:pt idx="1048">
                  <c:v>4585.5</c:v>
                </c:pt>
                <c:pt idx="1049">
                  <c:v>4655</c:v>
                </c:pt>
                <c:pt idx="1050">
                  <c:v>4681</c:v>
                </c:pt>
                <c:pt idx="1051">
                  <c:v>4705</c:v>
                </c:pt>
                <c:pt idx="1052">
                  <c:v>4726</c:v>
                </c:pt>
                <c:pt idx="1053">
                  <c:v>4780</c:v>
                </c:pt>
                <c:pt idx="1054">
                  <c:v>4830</c:v>
                </c:pt>
                <c:pt idx="1055">
                  <c:v>4918</c:v>
                </c:pt>
                <c:pt idx="1056">
                  <c:v>5000</c:v>
                </c:pt>
                <c:pt idx="1057">
                  <c:v>4980.5</c:v>
                </c:pt>
                <c:pt idx="1058">
                  <c:v>4935.5</c:v>
                </c:pt>
                <c:pt idx="1059">
                  <c:v>4920.5</c:v>
                </c:pt>
                <c:pt idx="1060">
                  <c:v>4941</c:v>
                </c:pt>
                <c:pt idx="1061">
                  <c:v>4994</c:v>
                </c:pt>
                <c:pt idx="1062">
                  <c:v>4920</c:v>
                </c:pt>
                <c:pt idx="1063">
                  <c:v>4945</c:v>
                </c:pt>
                <c:pt idx="1064">
                  <c:v>5029</c:v>
                </c:pt>
                <c:pt idx="1065">
                  <c:v>5103</c:v>
                </c:pt>
                <c:pt idx="1066">
                  <c:v>5079.5</c:v>
                </c:pt>
                <c:pt idx="1067">
                  <c:v>5070</c:v>
                </c:pt>
                <c:pt idx="1068">
                  <c:v>5060.5</c:v>
                </c:pt>
                <c:pt idx="1069">
                  <c:v>4931</c:v>
                </c:pt>
                <c:pt idx="1070">
                  <c:v>4939.5</c:v>
                </c:pt>
                <c:pt idx="1071">
                  <c:v>4940</c:v>
                </c:pt>
                <c:pt idx="1072">
                  <c:v>4855.5</c:v>
                </c:pt>
                <c:pt idx="1073">
                  <c:v>4880</c:v>
                </c:pt>
                <c:pt idx="1074">
                  <c:v>4816</c:v>
                </c:pt>
                <c:pt idx="1075">
                  <c:v>4776</c:v>
                </c:pt>
                <c:pt idx="1076">
                  <c:v>4775</c:v>
                </c:pt>
                <c:pt idx="1077">
                  <c:v>4715</c:v>
                </c:pt>
                <c:pt idx="1078">
                  <c:v>4654</c:v>
                </c:pt>
                <c:pt idx="1079">
                  <c:v>4645</c:v>
                </c:pt>
                <c:pt idx="1080">
                  <c:v>4715.5</c:v>
                </c:pt>
                <c:pt idx="1081">
                  <c:v>4838</c:v>
                </c:pt>
                <c:pt idx="1082">
                  <c:v>4830.5</c:v>
                </c:pt>
                <c:pt idx="1083">
                  <c:v>4813.5</c:v>
                </c:pt>
                <c:pt idx="1084">
                  <c:v>4798</c:v>
                </c:pt>
                <c:pt idx="1085">
                  <c:v>4812</c:v>
                </c:pt>
                <c:pt idx="1086">
                  <c:v>4938.5</c:v>
                </c:pt>
                <c:pt idx="1087">
                  <c:v>5025.5</c:v>
                </c:pt>
                <c:pt idx="1088">
                  <c:v>5015.5</c:v>
                </c:pt>
                <c:pt idx="1089">
                  <c:v>5000.5</c:v>
                </c:pt>
                <c:pt idx="1090">
                  <c:v>4935.5</c:v>
                </c:pt>
                <c:pt idx="1091">
                  <c:v>4932</c:v>
                </c:pt>
                <c:pt idx="1092">
                  <c:v>4912.5</c:v>
                </c:pt>
                <c:pt idx="1093">
                  <c:v>5045</c:v>
                </c:pt>
                <c:pt idx="1094">
                  <c:v>4960</c:v>
                </c:pt>
                <c:pt idx="1095">
                  <c:v>4892</c:v>
                </c:pt>
                <c:pt idx="1096">
                  <c:v>4826</c:v>
                </c:pt>
                <c:pt idx="1097">
                  <c:v>4810</c:v>
                </c:pt>
                <c:pt idx="1098">
                  <c:v>4739.5</c:v>
                </c:pt>
                <c:pt idx="1099">
                  <c:v>4710</c:v>
                </c:pt>
                <c:pt idx="1100">
                  <c:v>4748</c:v>
                </c:pt>
                <c:pt idx="1101">
                  <c:v>4744</c:v>
                </c:pt>
                <c:pt idx="1102">
                  <c:v>4660</c:v>
                </c:pt>
                <c:pt idx="1103">
                  <c:v>4640.5</c:v>
                </c:pt>
                <c:pt idx="1104">
                  <c:v>4634</c:v>
                </c:pt>
                <c:pt idx="1105">
                  <c:v>4600.5</c:v>
                </c:pt>
                <c:pt idx="1106">
                  <c:v>4596</c:v>
                </c:pt>
                <c:pt idx="1107">
                  <c:v>4630.5</c:v>
                </c:pt>
                <c:pt idx="1108">
                  <c:v>4572</c:v>
                </c:pt>
                <c:pt idx="1109">
                  <c:v>4637</c:v>
                </c:pt>
                <c:pt idx="1110">
                  <c:v>4636</c:v>
                </c:pt>
                <c:pt idx="1111">
                  <c:v>4705.5</c:v>
                </c:pt>
                <c:pt idx="1112">
                  <c:v>4725.5</c:v>
                </c:pt>
                <c:pt idx="1113">
                  <c:v>4700</c:v>
                </c:pt>
                <c:pt idx="1114">
                  <c:v>4601</c:v>
                </c:pt>
                <c:pt idx="1115">
                  <c:v>4600</c:v>
                </c:pt>
                <c:pt idx="1116">
                  <c:v>4688</c:v>
                </c:pt>
                <c:pt idx="1117">
                  <c:v>4706</c:v>
                </c:pt>
                <c:pt idx="1118">
                  <c:v>4589</c:v>
                </c:pt>
                <c:pt idx="1119">
                  <c:v>4590.5</c:v>
                </c:pt>
                <c:pt idx="1120">
                  <c:v>4546</c:v>
                </c:pt>
                <c:pt idx="1121">
                  <c:v>4504</c:v>
                </c:pt>
                <c:pt idx="1122">
                  <c:v>4515</c:v>
                </c:pt>
                <c:pt idx="1123">
                  <c:v>4510.5</c:v>
                </c:pt>
                <c:pt idx="1124">
                  <c:v>4632</c:v>
                </c:pt>
                <c:pt idx="1125">
                  <c:v>4524.5</c:v>
                </c:pt>
                <c:pt idx="1126">
                  <c:v>4521.5</c:v>
                </c:pt>
                <c:pt idx="1127">
                  <c:v>4585</c:v>
                </c:pt>
                <c:pt idx="1128">
                  <c:v>4587</c:v>
                </c:pt>
                <c:pt idx="1129">
                  <c:v>4687.5</c:v>
                </c:pt>
                <c:pt idx="1130">
                  <c:v>4747</c:v>
                </c:pt>
                <c:pt idx="1131">
                  <c:v>4663</c:v>
                </c:pt>
                <c:pt idx="1132">
                  <c:v>4692</c:v>
                </c:pt>
                <c:pt idx="1133">
                  <c:v>4777.5</c:v>
                </c:pt>
                <c:pt idx="1134">
                  <c:v>4780</c:v>
                </c:pt>
                <c:pt idx="1135">
                  <c:v>4827</c:v>
                </c:pt>
                <c:pt idx="1136">
                  <c:v>4783.5</c:v>
                </c:pt>
                <c:pt idx="1137">
                  <c:v>4920</c:v>
                </c:pt>
                <c:pt idx="1138">
                  <c:v>4840.5</c:v>
                </c:pt>
                <c:pt idx="1139">
                  <c:v>4706</c:v>
                </c:pt>
                <c:pt idx="1140">
                  <c:v>4725</c:v>
                </c:pt>
                <c:pt idx="1141">
                  <c:v>4710</c:v>
                </c:pt>
                <c:pt idx="1142">
                  <c:v>4746</c:v>
                </c:pt>
                <c:pt idx="1143">
                  <c:v>4811.5</c:v>
                </c:pt>
                <c:pt idx="1144">
                  <c:v>4918.5</c:v>
                </c:pt>
                <c:pt idx="1145">
                  <c:v>4911.5</c:v>
                </c:pt>
                <c:pt idx="1146">
                  <c:v>4945.5</c:v>
                </c:pt>
                <c:pt idx="1147">
                  <c:v>4839</c:v>
                </c:pt>
                <c:pt idx="1148">
                  <c:v>4938</c:v>
                </c:pt>
                <c:pt idx="1149">
                  <c:v>4900.5</c:v>
                </c:pt>
                <c:pt idx="1150">
                  <c:v>4953.5</c:v>
                </c:pt>
                <c:pt idx="1151">
                  <c:v>4956</c:v>
                </c:pt>
                <c:pt idx="1152">
                  <c:v>4920</c:v>
                </c:pt>
                <c:pt idx="1153">
                  <c:v>4862</c:v>
                </c:pt>
                <c:pt idx="1154">
                  <c:v>4869.5</c:v>
                </c:pt>
                <c:pt idx="1155">
                  <c:v>4862</c:v>
                </c:pt>
                <c:pt idx="1156">
                  <c:v>4853</c:v>
                </c:pt>
                <c:pt idx="1157">
                  <c:v>4907</c:v>
                </c:pt>
                <c:pt idx="1158">
                  <c:v>4885.5</c:v>
                </c:pt>
                <c:pt idx="1159">
                  <c:v>4844.5</c:v>
                </c:pt>
                <c:pt idx="1160">
                  <c:v>4787</c:v>
                </c:pt>
                <c:pt idx="1161">
                  <c:v>4792.5</c:v>
                </c:pt>
                <c:pt idx="1162">
                  <c:v>4796</c:v>
                </c:pt>
                <c:pt idx="1163">
                  <c:v>4779</c:v>
                </c:pt>
                <c:pt idx="1164">
                  <c:v>4874.5</c:v>
                </c:pt>
                <c:pt idx="1165">
                  <c:v>4810</c:v>
                </c:pt>
                <c:pt idx="1166">
                  <c:v>4746</c:v>
                </c:pt>
                <c:pt idx="1167">
                  <c:v>4746</c:v>
                </c:pt>
                <c:pt idx="1168">
                  <c:v>4798</c:v>
                </c:pt>
                <c:pt idx="1169">
                  <c:v>4755.5</c:v>
                </c:pt>
                <c:pt idx="1170">
                  <c:v>4802.5</c:v>
                </c:pt>
                <c:pt idx="1171">
                  <c:v>4774</c:v>
                </c:pt>
                <c:pt idx="1172">
                  <c:v>4732</c:v>
                </c:pt>
                <c:pt idx="1173">
                  <c:v>4719</c:v>
                </c:pt>
                <c:pt idx="1174">
                  <c:v>4658.5</c:v>
                </c:pt>
                <c:pt idx="1175">
                  <c:v>4639.5</c:v>
                </c:pt>
                <c:pt idx="1176">
                  <c:v>4622</c:v>
                </c:pt>
                <c:pt idx="1177">
                  <c:v>4609</c:v>
                </c:pt>
                <c:pt idx="1178">
                  <c:v>4602.5</c:v>
                </c:pt>
                <c:pt idx="1179">
                  <c:v>4620</c:v>
                </c:pt>
                <c:pt idx="1180">
                  <c:v>4607</c:v>
                </c:pt>
                <c:pt idx="1181">
                  <c:v>4603</c:v>
                </c:pt>
                <c:pt idx="1182">
                  <c:v>4623</c:v>
                </c:pt>
                <c:pt idx="1183">
                  <c:v>4643</c:v>
                </c:pt>
                <c:pt idx="1184">
                  <c:v>4617.5</c:v>
                </c:pt>
                <c:pt idx="1185">
                  <c:v>4622.5</c:v>
                </c:pt>
                <c:pt idx="1186">
                  <c:v>4573</c:v>
                </c:pt>
                <c:pt idx="1187">
                  <c:v>4641.5</c:v>
                </c:pt>
                <c:pt idx="1188">
                  <c:v>4694.5</c:v>
                </c:pt>
                <c:pt idx="1189">
                  <c:v>4727</c:v>
                </c:pt>
                <c:pt idx="1190">
                  <c:v>4733.5</c:v>
                </c:pt>
                <c:pt idx="1191">
                  <c:v>4731.5</c:v>
                </c:pt>
                <c:pt idx="1192">
                  <c:v>4732.5</c:v>
                </c:pt>
                <c:pt idx="1193">
                  <c:v>4733</c:v>
                </c:pt>
                <c:pt idx="1194">
                  <c:v>4815.5</c:v>
                </c:pt>
                <c:pt idx="1195">
                  <c:v>4815</c:v>
                </c:pt>
                <c:pt idx="1196">
                  <c:v>4794</c:v>
                </c:pt>
                <c:pt idx="1197">
                  <c:v>4775</c:v>
                </c:pt>
                <c:pt idx="1198">
                  <c:v>4807.5</c:v>
                </c:pt>
                <c:pt idx="1199">
                  <c:v>4816.5</c:v>
                </c:pt>
                <c:pt idx="1200">
                  <c:v>4832</c:v>
                </c:pt>
                <c:pt idx="1201">
                  <c:v>4807</c:v>
                </c:pt>
                <c:pt idx="1202">
                  <c:v>4790.5</c:v>
                </c:pt>
                <c:pt idx="1203">
                  <c:v>4777.5</c:v>
                </c:pt>
                <c:pt idx="1204">
                  <c:v>4742</c:v>
                </c:pt>
                <c:pt idx="1205">
                  <c:v>4742</c:v>
                </c:pt>
                <c:pt idx="1206">
                  <c:v>4786</c:v>
                </c:pt>
                <c:pt idx="1207">
                  <c:v>4801.5</c:v>
                </c:pt>
                <c:pt idx="1208">
                  <c:v>4805</c:v>
                </c:pt>
                <c:pt idx="1209">
                  <c:v>4754.5</c:v>
                </c:pt>
                <c:pt idx="1210">
                  <c:v>4672.5</c:v>
                </c:pt>
                <c:pt idx="1211">
                  <c:v>4671.5</c:v>
                </c:pt>
                <c:pt idx="1212">
                  <c:v>4665.5</c:v>
                </c:pt>
                <c:pt idx="1213">
                  <c:v>4642.5</c:v>
                </c:pt>
                <c:pt idx="1214">
                  <c:v>4633.5</c:v>
                </c:pt>
                <c:pt idx="1215">
                  <c:v>4637</c:v>
                </c:pt>
                <c:pt idx="1216">
                  <c:v>4620.5</c:v>
                </c:pt>
                <c:pt idx="1217">
                  <c:v>4720</c:v>
                </c:pt>
                <c:pt idx="1218">
                  <c:v>4717.5</c:v>
                </c:pt>
                <c:pt idx="1219">
                  <c:v>4774</c:v>
                </c:pt>
                <c:pt idx="1220">
                  <c:v>4787</c:v>
                </c:pt>
                <c:pt idx="1221">
                  <c:v>4827.5</c:v>
                </c:pt>
                <c:pt idx="1222">
                  <c:v>4862.5</c:v>
                </c:pt>
                <c:pt idx="1223">
                  <c:v>4871</c:v>
                </c:pt>
                <c:pt idx="1224">
                  <c:v>4918</c:v>
                </c:pt>
                <c:pt idx="1225">
                  <c:v>4943</c:v>
                </c:pt>
                <c:pt idx="1226">
                  <c:v>5032</c:v>
                </c:pt>
                <c:pt idx="1227">
                  <c:v>5044</c:v>
                </c:pt>
                <c:pt idx="1228">
                  <c:v>5335</c:v>
                </c:pt>
                <c:pt idx="1229">
                  <c:v>5619</c:v>
                </c:pt>
                <c:pt idx="1230">
                  <c:v>5900</c:v>
                </c:pt>
                <c:pt idx="1231">
                  <c:v>5620</c:v>
                </c:pt>
                <c:pt idx="1232">
                  <c:v>5448</c:v>
                </c:pt>
                <c:pt idx="1233">
                  <c:v>5459</c:v>
                </c:pt>
                <c:pt idx="1234">
                  <c:v>5426</c:v>
                </c:pt>
                <c:pt idx="1235">
                  <c:v>5446</c:v>
                </c:pt>
                <c:pt idx="1236">
                  <c:v>5535.5</c:v>
                </c:pt>
                <c:pt idx="1237">
                  <c:v>5618</c:v>
                </c:pt>
                <c:pt idx="1238">
                  <c:v>5564</c:v>
                </c:pt>
                <c:pt idx="1239">
                  <c:v>5834.5</c:v>
                </c:pt>
                <c:pt idx="1240">
                  <c:v>5822.5</c:v>
                </c:pt>
                <c:pt idx="1241">
                  <c:v>5935.5</c:v>
                </c:pt>
                <c:pt idx="1242">
                  <c:v>5778</c:v>
                </c:pt>
                <c:pt idx="1243">
                  <c:v>5740</c:v>
                </c:pt>
                <c:pt idx="1244">
                  <c:v>5773</c:v>
                </c:pt>
                <c:pt idx="1245">
                  <c:v>5736</c:v>
                </c:pt>
                <c:pt idx="1246">
                  <c:v>5851.5</c:v>
                </c:pt>
                <c:pt idx="1247">
                  <c:v>5856</c:v>
                </c:pt>
                <c:pt idx="1248">
                  <c:v>5903.5</c:v>
                </c:pt>
                <c:pt idx="1249">
                  <c:v>5838</c:v>
                </c:pt>
                <c:pt idx="1250">
                  <c:v>5824</c:v>
                </c:pt>
                <c:pt idx="1251">
                  <c:v>5757</c:v>
                </c:pt>
                <c:pt idx="1252">
                  <c:v>5765.5</c:v>
                </c:pt>
                <c:pt idx="1253">
                  <c:v>5735</c:v>
                </c:pt>
                <c:pt idx="1254">
                  <c:v>5682.5</c:v>
                </c:pt>
                <c:pt idx="1255">
                  <c:v>5649</c:v>
                </c:pt>
                <c:pt idx="1256">
                  <c:v>5561</c:v>
                </c:pt>
                <c:pt idx="1257">
                  <c:v>5485.5</c:v>
                </c:pt>
                <c:pt idx="1258">
                  <c:v>5498.5</c:v>
                </c:pt>
                <c:pt idx="1259">
                  <c:v>5426</c:v>
                </c:pt>
                <c:pt idx="1260">
                  <c:v>5482</c:v>
                </c:pt>
                <c:pt idx="1261">
                  <c:v>5486</c:v>
                </c:pt>
                <c:pt idx="1262">
                  <c:v>5514</c:v>
                </c:pt>
                <c:pt idx="1263">
                  <c:v>5501</c:v>
                </c:pt>
                <c:pt idx="1264">
                  <c:v>5574</c:v>
                </c:pt>
                <c:pt idx="1265">
                  <c:v>5500.5</c:v>
                </c:pt>
                <c:pt idx="1266">
                  <c:v>5611</c:v>
                </c:pt>
                <c:pt idx="1267">
                  <c:v>5546.5</c:v>
                </c:pt>
                <c:pt idx="1268">
                  <c:v>5551.5</c:v>
                </c:pt>
                <c:pt idx="1269">
                  <c:v>5642</c:v>
                </c:pt>
                <c:pt idx="1270">
                  <c:v>5709.5</c:v>
                </c:pt>
                <c:pt idx="1271">
                  <c:v>5752.5</c:v>
                </c:pt>
                <c:pt idx="1272">
                  <c:v>5797</c:v>
                </c:pt>
                <c:pt idx="1273">
                  <c:v>5857</c:v>
                </c:pt>
                <c:pt idx="1274">
                  <c:v>5771.5</c:v>
                </c:pt>
                <c:pt idx="1275">
                  <c:v>5721</c:v>
                </c:pt>
                <c:pt idx="1276">
                  <c:v>5710</c:v>
                </c:pt>
                <c:pt idx="1277">
                  <c:v>5706</c:v>
                </c:pt>
                <c:pt idx="1278">
                  <c:v>5775</c:v>
                </c:pt>
                <c:pt idx="1279">
                  <c:v>5879</c:v>
                </c:pt>
                <c:pt idx="1280">
                  <c:v>5867</c:v>
                </c:pt>
                <c:pt idx="1281">
                  <c:v>5890</c:v>
                </c:pt>
                <c:pt idx="1282">
                  <c:v>5847</c:v>
                </c:pt>
                <c:pt idx="1283">
                  <c:v>5857</c:v>
                </c:pt>
                <c:pt idx="1284">
                  <c:v>5921</c:v>
                </c:pt>
                <c:pt idx="1285">
                  <c:v>5931</c:v>
                </c:pt>
                <c:pt idx="1286">
                  <c:v>5903</c:v>
                </c:pt>
                <c:pt idx="1287">
                  <c:v>5836</c:v>
                </c:pt>
                <c:pt idx="1288">
                  <c:v>5786</c:v>
                </c:pt>
                <c:pt idx="1289">
                  <c:v>5802</c:v>
                </c:pt>
                <c:pt idx="1290">
                  <c:v>5865</c:v>
                </c:pt>
                <c:pt idx="1291">
                  <c:v>5863</c:v>
                </c:pt>
                <c:pt idx="1292">
                  <c:v>5872</c:v>
                </c:pt>
                <c:pt idx="1293">
                  <c:v>6111</c:v>
                </c:pt>
                <c:pt idx="1294">
                  <c:v>6145</c:v>
                </c:pt>
                <c:pt idx="1295">
                  <c:v>6016</c:v>
                </c:pt>
                <c:pt idx="1296">
                  <c:v>6015</c:v>
                </c:pt>
                <c:pt idx="1297">
                  <c:v>5939</c:v>
                </c:pt>
                <c:pt idx="1298">
                  <c:v>6002</c:v>
                </c:pt>
                <c:pt idx="1299">
                  <c:v>6034</c:v>
                </c:pt>
                <c:pt idx="1300">
                  <c:v>5976</c:v>
                </c:pt>
                <c:pt idx="1301">
                  <c:v>5991</c:v>
                </c:pt>
                <c:pt idx="1302">
                  <c:v>5881</c:v>
                </c:pt>
                <c:pt idx="1303">
                  <c:v>5927</c:v>
                </c:pt>
                <c:pt idx="1304">
                  <c:v>5936</c:v>
                </c:pt>
                <c:pt idx="1305">
                  <c:v>6040</c:v>
                </c:pt>
                <c:pt idx="1306">
                  <c:v>5994</c:v>
                </c:pt>
                <c:pt idx="1307">
                  <c:v>5910</c:v>
                </c:pt>
                <c:pt idx="1308">
                  <c:v>5856</c:v>
                </c:pt>
                <c:pt idx="1309">
                  <c:v>5807</c:v>
                </c:pt>
                <c:pt idx="1310">
                  <c:v>5782</c:v>
                </c:pt>
                <c:pt idx="1311">
                  <c:v>5655</c:v>
                </c:pt>
                <c:pt idx="1312">
                  <c:v>5714.5</c:v>
                </c:pt>
                <c:pt idx="1313">
                  <c:v>5794</c:v>
                </c:pt>
                <c:pt idx="1314">
                  <c:v>5747</c:v>
                </c:pt>
                <c:pt idx="1315">
                  <c:v>5850</c:v>
                </c:pt>
                <c:pt idx="1316">
                  <c:v>5911</c:v>
                </c:pt>
                <c:pt idx="1317">
                  <c:v>5889</c:v>
                </c:pt>
                <c:pt idx="1318">
                  <c:v>5891</c:v>
                </c:pt>
                <c:pt idx="1319">
                  <c:v>5765.5</c:v>
                </c:pt>
                <c:pt idx="1320">
                  <c:v>5712</c:v>
                </c:pt>
                <c:pt idx="1321">
                  <c:v>5790.5</c:v>
                </c:pt>
                <c:pt idx="1322">
                  <c:v>5782.5</c:v>
                </c:pt>
                <c:pt idx="1323">
                  <c:v>5673.5</c:v>
                </c:pt>
                <c:pt idx="1324">
                  <c:v>5774.5</c:v>
                </c:pt>
                <c:pt idx="1325">
                  <c:v>5847</c:v>
                </c:pt>
                <c:pt idx="1326">
                  <c:v>5860</c:v>
                </c:pt>
                <c:pt idx="1327">
                  <c:v>5849</c:v>
                </c:pt>
                <c:pt idx="1328">
                  <c:v>5817</c:v>
                </c:pt>
                <c:pt idx="1329">
                  <c:v>5724.5</c:v>
                </c:pt>
                <c:pt idx="1330">
                  <c:v>5808.5</c:v>
                </c:pt>
                <c:pt idx="1331">
                  <c:v>5870.5</c:v>
                </c:pt>
                <c:pt idx="1332">
                  <c:v>5770</c:v>
                </c:pt>
                <c:pt idx="1333">
                  <c:v>5731</c:v>
                </c:pt>
                <c:pt idx="1334">
                  <c:v>5746</c:v>
                </c:pt>
                <c:pt idx="1335">
                  <c:v>5685</c:v>
                </c:pt>
                <c:pt idx="1336">
                  <c:v>5655</c:v>
                </c:pt>
                <c:pt idx="1337">
                  <c:v>5620.5</c:v>
                </c:pt>
                <c:pt idx="1338">
                  <c:v>5600.5</c:v>
                </c:pt>
                <c:pt idx="1339">
                  <c:v>5611.5</c:v>
                </c:pt>
                <c:pt idx="1340">
                  <c:v>5601</c:v>
                </c:pt>
                <c:pt idx="1341">
                  <c:v>5612</c:v>
                </c:pt>
                <c:pt idx="1342">
                  <c:v>5652.5</c:v>
                </c:pt>
                <c:pt idx="1343">
                  <c:v>5677.5</c:v>
                </c:pt>
                <c:pt idx="1344">
                  <c:v>5686.5</c:v>
                </c:pt>
                <c:pt idx="1345">
                  <c:v>5688.5</c:v>
                </c:pt>
                <c:pt idx="1346">
                  <c:v>5746.5</c:v>
                </c:pt>
                <c:pt idx="1347">
                  <c:v>5636.5</c:v>
                </c:pt>
                <c:pt idx="1348">
                  <c:v>5543</c:v>
                </c:pt>
                <c:pt idx="1349">
                  <c:v>5530.5</c:v>
                </c:pt>
                <c:pt idx="1350">
                  <c:v>5466</c:v>
                </c:pt>
                <c:pt idx="1351">
                  <c:v>5496</c:v>
                </c:pt>
                <c:pt idx="1352">
                  <c:v>5512</c:v>
                </c:pt>
                <c:pt idx="1353">
                  <c:v>5580.5</c:v>
                </c:pt>
                <c:pt idx="1354">
                  <c:v>5520</c:v>
                </c:pt>
                <c:pt idx="1355">
                  <c:v>5586</c:v>
                </c:pt>
                <c:pt idx="1356">
                  <c:v>5584</c:v>
                </c:pt>
                <c:pt idx="1357">
                  <c:v>5575</c:v>
                </c:pt>
                <c:pt idx="1358">
                  <c:v>5490</c:v>
                </c:pt>
                <c:pt idx="1359">
                  <c:v>5596</c:v>
                </c:pt>
                <c:pt idx="1360">
                  <c:v>5677</c:v>
                </c:pt>
                <c:pt idx="1361">
                  <c:v>5660.5</c:v>
                </c:pt>
                <c:pt idx="1362">
                  <c:v>5662.5</c:v>
                </c:pt>
                <c:pt idx="1363">
                  <c:v>5665</c:v>
                </c:pt>
                <c:pt idx="1364">
                  <c:v>5671</c:v>
                </c:pt>
                <c:pt idx="1365">
                  <c:v>5608</c:v>
                </c:pt>
                <c:pt idx="1366">
                  <c:v>5615.5</c:v>
                </c:pt>
                <c:pt idx="1367">
                  <c:v>5636.5</c:v>
                </c:pt>
                <c:pt idx="1368">
                  <c:v>5559.5</c:v>
                </c:pt>
                <c:pt idx="1369">
                  <c:v>5586.5</c:v>
                </c:pt>
                <c:pt idx="1370">
                  <c:v>5540.5</c:v>
                </c:pt>
                <c:pt idx="1371">
                  <c:v>5575.5</c:v>
                </c:pt>
                <c:pt idx="1372">
                  <c:v>5647.5</c:v>
                </c:pt>
                <c:pt idx="1373">
                  <c:v>5739</c:v>
                </c:pt>
                <c:pt idx="1374">
                  <c:v>5752</c:v>
                </c:pt>
                <c:pt idx="1375">
                  <c:v>5659</c:v>
                </c:pt>
                <c:pt idx="1376">
                  <c:v>5684.5</c:v>
                </c:pt>
                <c:pt idx="1377">
                  <c:v>5637</c:v>
                </c:pt>
                <c:pt idx="1378">
                  <c:v>5655.5</c:v>
                </c:pt>
                <c:pt idx="1379">
                  <c:v>5687</c:v>
                </c:pt>
                <c:pt idx="1380">
                  <c:v>5673.5</c:v>
                </c:pt>
                <c:pt idx="1381">
                  <c:v>5650</c:v>
                </c:pt>
                <c:pt idx="1382">
                  <c:v>5736</c:v>
                </c:pt>
                <c:pt idx="1383">
                  <c:v>5774</c:v>
                </c:pt>
                <c:pt idx="1384">
                  <c:v>5771</c:v>
                </c:pt>
                <c:pt idx="1385">
                  <c:v>5789</c:v>
                </c:pt>
                <c:pt idx="1386">
                  <c:v>5822</c:v>
                </c:pt>
                <c:pt idx="1387">
                  <c:v>5905.5</c:v>
                </c:pt>
                <c:pt idx="1388">
                  <c:v>5907.5</c:v>
                </c:pt>
                <c:pt idx="1389">
                  <c:v>5894</c:v>
                </c:pt>
                <c:pt idx="1390">
                  <c:v>5847</c:v>
                </c:pt>
                <c:pt idx="1391">
                  <c:v>5818</c:v>
                </c:pt>
                <c:pt idx="1392">
                  <c:v>5828.5</c:v>
                </c:pt>
                <c:pt idx="1393">
                  <c:v>5809</c:v>
                </c:pt>
                <c:pt idx="1394">
                  <c:v>5780</c:v>
                </c:pt>
                <c:pt idx="1395">
                  <c:v>5795</c:v>
                </c:pt>
                <c:pt idx="1396">
                  <c:v>5882.5</c:v>
                </c:pt>
                <c:pt idx="1397">
                  <c:v>5902</c:v>
                </c:pt>
                <c:pt idx="1398">
                  <c:v>5858</c:v>
                </c:pt>
                <c:pt idx="1399">
                  <c:v>5965.5</c:v>
                </c:pt>
                <c:pt idx="1400">
                  <c:v>5940.5</c:v>
                </c:pt>
                <c:pt idx="1401">
                  <c:v>5956</c:v>
                </c:pt>
                <c:pt idx="1402">
                  <c:v>5930</c:v>
                </c:pt>
                <c:pt idx="1403">
                  <c:v>6001.5</c:v>
                </c:pt>
                <c:pt idx="1404">
                  <c:v>6000</c:v>
                </c:pt>
                <c:pt idx="1405">
                  <c:v>6150</c:v>
                </c:pt>
                <c:pt idx="1406">
                  <c:v>6238</c:v>
                </c:pt>
                <c:pt idx="1407">
                  <c:v>6325</c:v>
                </c:pt>
                <c:pt idx="1408">
                  <c:v>6283</c:v>
                </c:pt>
                <c:pt idx="1409">
                  <c:v>6347</c:v>
                </c:pt>
                <c:pt idx="1410">
                  <c:v>6300.5</c:v>
                </c:pt>
                <c:pt idx="1411">
                  <c:v>6300</c:v>
                </c:pt>
                <c:pt idx="1412">
                  <c:v>6290</c:v>
                </c:pt>
                <c:pt idx="1413">
                  <c:v>6330</c:v>
                </c:pt>
                <c:pt idx="1414">
                  <c:v>6333</c:v>
                </c:pt>
                <c:pt idx="1415">
                  <c:v>6364</c:v>
                </c:pt>
                <c:pt idx="1416">
                  <c:v>6465</c:v>
                </c:pt>
                <c:pt idx="1417">
                  <c:v>6416.5</c:v>
                </c:pt>
                <c:pt idx="1418">
                  <c:v>6353.5</c:v>
                </c:pt>
                <c:pt idx="1419">
                  <c:v>6351</c:v>
                </c:pt>
                <c:pt idx="1420">
                  <c:v>6382</c:v>
                </c:pt>
                <c:pt idx="1421">
                  <c:v>6433</c:v>
                </c:pt>
                <c:pt idx="1422">
                  <c:v>6460</c:v>
                </c:pt>
                <c:pt idx="1423">
                  <c:v>6453</c:v>
                </c:pt>
                <c:pt idx="1424">
                  <c:v>6514.5</c:v>
                </c:pt>
                <c:pt idx="1425">
                  <c:v>6584</c:v>
                </c:pt>
                <c:pt idx="1426">
                  <c:v>6555</c:v>
                </c:pt>
                <c:pt idx="1427">
                  <c:v>6577</c:v>
                </c:pt>
                <c:pt idx="1428">
                  <c:v>6714</c:v>
                </c:pt>
                <c:pt idx="1429">
                  <c:v>6797</c:v>
                </c:pt>
                <c:pt idx="1430">
                  <c:v>6755</c:v>
                </c:pt>
                <c:pt idx="1431">
                  <c:v>6792</c:v>
                </c:pt>
                <c:pt idx="1432">
                  <c:v>6776</c:v>
                </c:pt>
                <c:pt idx="1433">
                  <c:v>6873</c:v>
                </c:pt>
                <c:pt idx="1434">
                  <c:v>6904</c:v>
                </c:pt>
                <c:pt idx="1435">
                  <c:v>6864</c:v>
                </c:pt>
                <c:pt idx="1436">
                  <c:v>6842.5</c:v>
                </c:pt>
                <c:pt idx="1437">
                  <c:v>6780</c:v>
                </c:pt>
                <c:pt idx="1438">
                  <c:v>6737</c:v>
                </c:pt>
                <c:pt idx="1439">
                  <c:v>6601.5</c:v>
                </c:pt>
                <c:pt idx="1440">
                  <c:v>6527</c:v>
                </c:pt>
                <c:pt idx="1441">
                  <c:v>6418.5</c:v>
                </c:pt>
                <c:pt idx="1442">
                  <c:v>6457</c:v>
                </c:pt>
                <c:pt idx="1443">
                  <c:v>6487</c:v>
                </c:pt>
                <c:pt idx="1444">
                  <c:v>6492</c:v>
                </c:pt>
                <c:pt idx="1445">
                  <c:v>6520</c:v>
                </c:pt>
                <c:pt idx="1446">
                  <c:v>6407.5</c:v>
                </c:pt>
                <c:pt idx="1447">
                  <c:v>6405</c:v>
                </c:pt>
                <c:pt idx="1448">
                  <c:v>6416</c:v>
                </c:pt>
                <c:pt idx="1449">
                  <c:v>6423</c:v>
                </c:pt>
                <c:pt idx="1450">
                  <c:v>6426</c:v>
                </c:pt>
                <c:pt idx="1451">
                  <c:v>6405</c:v>
                </c:pt>
                <c:pt idx="1452">
                  <c:v>6485</c:v>
                </c:pt>
                <c:pt idx="1453">
                  <c:v>6455</c:v>
                </c:pt>
                <c:pt idx="1454">
                  <c:v>6447</c:v>
                </c:pt>
                <c:pt idx="1455">
                  <c:v>6453</c:v>
                </c:pt>
                <c:pt idx="1456">
                  <c:v>6511</c:v>
                </c:pt>
                <c:pt idx="1457">
                  <c:v>6639</c:v>
                </c:pt>
                <c:pt idx="1458">
                  <c:v>6607</c:v>
                </c:pt>
                <c:pt idx="1459">
                  <c:v>6641</c:v>
                </c:pt>
                <c:pt idx="1460">
                  <c:v>6685</c:v>
                </c:pt>
                <c:pt idx="1461">
                  <c:v>6813</c:v>
                </c:pt>
                <c:pt idx="1462">
                  <c:v>6858</c:v>
                </c:pt>
                <c:pt idx="1463">
                  <c:v>7063</c:v>
                </c:pt>
                <c:pt idx="1464">
                  <c:v>7046</c:v>
                </c:pt>
                <c:pt idx="1465">
                  <c:v>6971.5</c:v>
                </c:pt>
                <c:pt idx="1466">
                  <c:v>6920</c:v>
                </c:pt>
                <c:pt idx="1467">
                  <c:v>7008.5</c:v>
                </c:pt>
                <c:pt idx="1468">
                  <c:v>6959</c:v>
                </c:pt>
                <c:pt idx="1469">
                  <c:v>7073.5</c:v>
                </c:pt>
                <c:pt idx="1470">
                  <c:v>6970.5</c:v>
                </c:pt>
                <c:pt idx="1471">
                  <c:v>6965</c:v>
                </c:pt>
                <c:pt idx="1472">
                  <c:v>6831.5</c:v>
                </c:pt>
                <c:pt idx="1473">
                  <c:v>6823</c:v>
                </c:pt>
                <c:pt idx="1474">
                  <c:v>6802</c:v>
                </c:pt>
                <c:pt idx="1475">
                  <c:v>6918</c:v>
                </c:pt>
                <c:pt idx="1476">
                  <c:v>6855</c:v>
                </c:pt>
                <c:pt idx="1477">
                  <c:v>6914.5</c:v>
                </c:pt>
                <c:pt idx="1478">
                  <c:v>6902.5</c:v>
                </c:pt>
                <c:pt idx="1479">
                  <c:v>6863</c:v>
                </c:pt>
                <c:pt idx="1480">
                  <c:v>6812</c:v>
                </c:pt>
                <c:pt idx="1481">
                  <c:v>6777</c:v>
                </c:pt>
                <c:pt idx="1482">
                  <c:v>6797</c:v>
                </c:pt>
                <c:pt idx="1483">
                  <c:v>6768</c:v>
                </c:pt>
                <c:pt idx="1484">
                  <c:v>6822.5</c:v>
                </c:pt>
                <c:pt idx="1485">
                  <c:v>6715.5</c:v>
                </c:pt>
                <c:pt idx="1486">
                  <c:v>6764</c:v>
                </c:pt>
                <c:pt idx="1487">
                  <c:v>6728.5</c:v>
                </c:pt>
                <c:pt idx="1488">
                  <c:v>6752</c:v>
                </c:pt>
                <c:pt idx="1489">
                  <c:v>6828</c:v>
                </c:pt>
                <c:pt idx="1490">
                  <c:v>6872.5</c:v>
                </c:pt>
                <c:pt idx="1491">
                  <c:v>6895.5</c:v>
                </c:pt>
                <c:pt idx="1492">
                  <c:v>6967.5</c:v>
                </c:pt>
                <c:pt idx="1493">
                  <c:v>6892</c:v>
                </c:pt>
                <c:pt idx="1494">
                  <c:v>6800</c:v>
                </c:pt>
                <c:pt idx="1495">
                  <c:v>6756.5</c:v>
                </c:pt>
                <c:pt idx="1496">
                  <c:v>6761</c:v>
                </c:pt>
                <c:pt idx="1497">
                  <c:v>6734</c:v>
                </c:pt>
                <c:pt idx="1498">
                  <c:v>6807</c:v>
                </c:pt>
                <c:pt idx="1499">
                  <c:v>6645</c:v>
                </c:pt>
                <c:pt idx="1500">
                  <c:v>6539</c:v>
                </c:pt>
                <c:pt idx="1501">
                  <c:v>6530.5</c:v>
                </c:pt>
                <c:pt idx="1502">
                  <c:v>6538.5</c:v>
                </c:pt>
                <c:pt idx="1503">
                  <c:v>6547.5</c:v>
                </c:pt>
                <c:pt idx="1504">
                  <c:v>6614</c:v>
                </c:pt>
                <c:pt idx="1505">
                  <c:v>6685</c:v>
                </c:pt>
                <c:pt idx="1506">
                  <c:v>6723</c:v>
                </c:pt>
                <c:pt idx="1507">
                  <c:v>6735.5</c:v>
                </c:pt>
                <c:pt idx="1508">
                  <c:v>6844</c:v>
                </c:pt>
                <c:pt idx="1509">
                  <c:v>6845</c:v>
                </c:pt>
                <c:pt idx="1510">
                  <c:v>6925</c:v>
                </c:pt>
                <c:pt idx="1511">
                  <c:v>6977</c:v>
                </c:pt>
                <c:pt idx="1512">
                  <c:v>7019</c:v>
                </c:pt>
                <c:pt idx="1513">
                  <c:v>7140</c:v>
                </c:pt>
                <c:pt idx="1514">
                  <c:v>7216</c:v>
                </c:pt>
                <c:pt idx="1515">
                  <c:v>7157</c:v>
                </c:pt>
                <c:pt idx="1516">
                  <c:v>7181</c:v>
                </c:pt>
                <c:pt idx="1517">
                  <c:v>7115.5</c:v>
                </c:pt>
                <c:pt idx="1518">
                  <c:v>7202.5</c:v>
                </c:pt>
                <c:pt idx="1519">
                  <c:v>7097</c:v>
                </c:pt>
                <c:pt idx="1520">
                  <c:v>7084.5</c:v>
                </c:pt>
                <c:pt idx="1521">
                  <c:v>7092</c:v>
                </c:pt>
                <c:pt idx="1522">
                  <c:v>7140.5</c:v>
                </c:pt>
                <c:pt idx="1523">
                  <c:v>7123</c:v>
                </c:pt>
                <c:pt idx="1524">
                  <c:v>7070.5</c:v>
                </c:pt>
                <c:pt idx="1525">
                  <c:v>7180</c:v>
                </c:pt>
                <c:pt idx="1526">
                  <c:v>7023</c:v>
                </c:pt>
                <c:pt idx="1527">
                  <c:v>7047</c:v>
                </c:pt>
                <c:pt idx="1528">
                  <c:v>7047</c:v>
                </c:pt>
                <c:pt idx="1529">
                  <c:v>7079</c:v>
                </c:pt>
                <c:pt idx="1530">
                  <c:v>7049</c:v>
                </c:pt>
                <c:pt idx="1531">
                  <c:v>6905</c:v>
                </c:pt>
                <c:pt idx="1532">
                  <c:v>6943</c:v>
                </c:pt>
                <c:pt idx="1533">
                  <c:v>7112</c:v>
                </c:pt>
                <c:pt idx="1534">
                  <c:v>7063.5</c:v>
                </c:pt>
                <c:pt idx="1535">
                  <c:v>7062</c:v>
                </c:pt>
                <c:pt idx="1536">
                  <c:v>7049</c:v>
                </c:pt>
                <c:pt idx="1537">
                  <c:v>7100.5</c:v>
                </c:pt>
                <c:pt idx="1538">
                  <c:v>7027</c:v>
                </c:pt>
                <c:pt idx="1539">
                  <c:v>7066</c:v>
                </c:pt>
                <c:pt idx="1540">
                  <c:v>7050</c:v>
                </c:pt>
                <c:pt idx="1541">
                  <c:v>7060</c:v>
                </c:pt>
                <c:pt idx="1542">
                  <c:v>7006</c:v>
                </c:pt>
                <c:pt idx="1543">
                  <c:v>6838</c:v>
                </c:pt>
                <c:pt idx="1544">
                  <c:v>6755</c:v>
                </c:pt>
                <c:pt idx="1545">
                  <c:v>6786.5</c:v>
                </c:pt>
                <c:pt idx="1546">
                  <c:v>6908</c:v>
                </c:pt>
                <c:pt idx="1547">
                  <c:v>6962</c:v>
                </c:pt>
                <c:pt idx="1548">
                  <c:v>7098</c:v>
                </c:pt>
                <c:pt idx="1549">
                  <c:v>7159</c:v>
                </c:pt>
                <c:pt idx="1550">
                  <c:v>7093</c:v>
                </c:pt>
                <c:pt idx="1551">
                  <c:v>7027</c:v>
                </c:pt>
                <c:pt idx="1552">
                  <c:v>7003</c:v>
                </c:pt>
                <c:pt idx="1553">
                  <c:v>7032</c:v>
                </c:pt>
                <c:pt idx="1554">
                  <c:v>7073.5</c:v>
                </c:pt>
                <c:pt idx="1555">
                  <c:v>7111</c:v>
                </c:pt>
                <c:pt idx="1556">
                  <c:v>7028</c:v>
                </c:pt>
                <c:pt idx="1557">
                  <c:v>6953</c:v>
                </c:pt>
                <c:pt idx="1558">
                  <c:v>6852</c:v>
                </c:pt>
                <c:pt idx="1559">
                  <c:v>6883</c:v>
                </c:pt>
                <c:pt idx="1560">
                  <c:v>6850</c:v>
                </c:pt>
                <c:pt idx="1561">
                  <c:v>6968.5</c:v>
                </c:pt>
                <c:pt idx="1562">
                  <c:v>6873</c:v>
                </c:pt>
                <c:pt idx="1563">
                  <c:v>6830</c:v>
                </c:pt>
                <c:pt idx="1564">
                  <c:v>6808</c:v>
                </c:pt>
                <c:pt idx="1565">
                  <c:v>6857</c:v>
                </c:pt>
                <c:pt idx="1566">
                  <c:v>6883</c:v>
                </c:pt>
                <c:pt idx="1567">
                  <c:v>7015</c:v>
                </c:pt>
                <c:pt idx="1568">
                  <c:v>6885.5</c:v>
                </c:pt>
                <c:pt idx="1569">
                  <c:v>6923</c:v>
                </c:pt>
                <c:pt idx="1570">
                  <c:v>6791.5</c:v>
                </c:pt>
                <c:pt idx="1571">
                  <c:v>6784</c:v>
                </c:pt>
                <c:pt idx="1572">
                  <c:v>6675</c:v>
                </c:pt>
                <c:pt idx="1573">
                  <c:v>6746.5</c:v>
                </c:pt>
                <c:pt idx="1574">
                  <c:v>6658</c:v>
                </c:pt>
                <c:pt idx="1575">
                  <c:v>6500</c:v>
                </c:pt>
                <c:pt idx="1576">
                  <c:v>6641.5</c:v>
                </c:pt>
                <c:pt idx="1577">
                  <c:v>6601.5</c:v>
                </c:pt>
                <c:pt idx="1578">
                  <c:v>6685</c:v>
                </c:pt>
                <c:pt idx="1579">
                  <c:v>6756</c:v>
                </c:pt>
                <c:pt idx="1580">
                  <c:v>6625</c:v>
                </c:pt>
                <c:pt idx="1581">
                  <c:v>6767</c:v>
                </c:pt>
                <c:pt idx="1582">
                  <c:v>6703</c:v>
                </c:pt>
                <c:pt idx="1583">
                  <c:v>6767</c:v>
                </c:pt>
                <c:pt idx="1584">
                  <c:v>6888</c:v>
                </c:pt>
                <c:pt idx="1585">
                  <c:v>6930.5</c:v>
                </c:pt>
                <c:pt idx="1586">
                  <c:v>6756</c:v>
                </c:pt>
                <c:pt idx="1587">
                  <c:v>6830</c:v>
                </c:pt>
                <c:pt idx="1588">
                  <c:v>6811.5</c:v>
                </c:pt>
                <c:pt idx="1589">
                  <c:v>6784</c:v>
                </c:pt>
                <c:pt idx="1590">
                  <c:v>6936</c:v>
                </c:pt>
                <c:pt idx="1591">
                  <c:v>6942</c:v>
                </c:pt>
                <c:pt idx="1592">
                  <c:v>6939</c:v>
                </c:pt>
                <c:pt idx="1593">
                  <c:v>6923</c:v>
                </c:pt>
                <c:pt idx="1594">
                  <c:v>6987</c:v>
                </c:pt>
                <c:pt idx="1595">
                  <c:v>6960.5</c:v>
                </c:pt>
                <c:pt idx="1596">
                  <c:v>6885.5</c:v>
                </c:pt>
                <c:pt idx="1597">
                  <c:v>6797</c:v>
                </c:pt>
                <c:pt idx="1598">
                  <c:v>6783</c:v>
                </c:pt>
                <c:pt idx="1599">
                  <c:v>6777.5</c:v>
                </c:pt>
                <c:pt idx="1600">
                  <c:v>6785</c:v>
                </c:pt>
                <c:pt idx="1601">
                  <c:v>6837</c:v>
                </c:pt>
                <c:pt idx="1602">
                  <c:v>6783</c:v>
                </c:pt>
                <c:pt idx="1603">
                  <c:v>6722</c:v>
                </c:pt>
                <c:pt idx="1604">
                  <c:v>6786</c:v>
                </c:pt>
                <c:pt idx="1605">
                  <c:v>6862</c:v>
                </c:pt>
                <c:pt idx="1606">
                  <c:v>6869</c:v>
                </c:pt>
                <c:pt idx="1607">
                  <c:v>6828</c:v>
                </c:pt>
                <c:pt idx="1608">
                  <c:v>6822.5</c:v>
                </c:pt>
                <c:pt idx="1609">
                  <c:v>6773.5</c:v>
                </c:pt>
                <c:pt idx="1610">
                  <c:v>6838</c:v>
                </c:pt>
                <c:pt idx="1611">
                  <c:v>6783.5</c:v>
                </c:pt>
                <c:pt idx="1612">
                  <c:v>6861</c:v>
                </c:pt>
                <c:pt idx="1613">
                  <c:v>6931.5</c:v>
                </c:pt>
                <c:pt idx="1614">
                  <c:v>6800</c:v>
                </c:pt>
                <c:pt idx="1615">
                  <c:v>6835</c:v>
                </c:pt>
                <c:pt idx="1616">
                  <c:v>6886</c:v>
                </c:pt>
                <c:pt idx="1617">
                  <c:v>6841.5</c:v>
                </c:pt>
                <c:pt idx="1618">
                  <c:v>6810</c:v>
                </c:pt>
                <c:pt idx="1619">
                  <c:v>6825</c:v>
                </c:pt>
                <c:pt idx="1620">
                  <c:v>6814</c:v>
                </c:pt>
                <c:pt idx="1621">
                  <c:v>6935</c:v>
                </c:pt>
                <c:pt idx="1622">
                  <c:v>6971</c:v>
                </c:pt>
                <c:pt idx="1623">
                  <c:v>7147</c:v>
                </c:pt>
                <c:pt idx="1624">
                  <c:v>7245.5</c:v>
                </c:pt>
                <c:pt idx="1625">
                  <c:v>7262.5</c:v>
                </c:pt>
                <c:pt idx="1626">
                  <c:v>7223.5</c:v>
                </c:pt>
                <c:pt idx="1627">
                  <c:v>7200.5</c:v>
                </c:pt>
                <c:pt idx="1628">
                  <c:v>7201.5</c:v>
                </c:pt>
                <c:pt idx="1629">
                  <c:v>7197</c:v>
                </c:pt>
                <c:pt idx="1630">
                  <c:v>7136</c:v>
                </c:pt>
                <c:pt idx="1631">
                  <c:v>6987</c:v>
                </c:pt>
                <c:pt idx="1632">
                  <c:v>6820</c:v>
                </c:pt>
                <c:pt idx="1633">
                  <c:v>6819</c:v>
                </c:pt>
                <c:pt idx="1634">
                  <c:v>6801</c:v>
                </c:pt>
                <c:pt idx="1635">
                  <c:v>6811</c:v>
                </c:pt>
                <c:pt idx="1636">
                  <c:v>6783</c:v>
                </c:pt>
                <c:pt idx="1637">
                  <c:v>6712</c:v>
                </c:pt>
                <c:pt idx="1638">
                  <c:v>6688</c:v>
                </c:pt>
                <c:pt idx="1639">
                  <c:v>6650</c:v>
                </c:pt>
                <c:pt idx="1640">
                  <c:v>6646</c:v>
                </c:pt>
                <c:pt idx="1641">
                  <c:v>6595</c:v>
                </c:pt>
                <c:pt idx="1642">
                  <c:v>6584.5</c:v>
                </c:pt>
                <c:pt idx="1643">
                  <c:v>6459</c:v>
                </c:pt>
                <c:pt idx="1644">
                  <c:v>6399.5</c:v>
                </c:pt>
                <c:pt idx="1645">
                  <c:v>6326</c:v>
                </c:pt>
                <c:pt idx="1646">
                  <c:v>6383</c:v>
                </c:pt>
                <c:pt idx="1647">
                  <c:v>6308</c:v>
                </c:pt>
                <c:pt idx="1648">
                  <c:v>6182</c:v>
                </c:pt>
                <c:pt idx="1649">
                  <c:v>6173</c:v>
                </c:pt>
                <c:pt idx="1650">
                  <c:v>6166</c:v>
                </c:pt>
                <c:pt idx="1651">
                  <c:v>6143</c:v>
                </c:pt>
                <c:pt idx="1652">
                  <c:v>6141.5</c:v>
                </c:pt>
                <c:pt idx="1653">
                  <c:v>6068</c:v>
                </c:pt>
                <c:pt idx="1654">
                  <c:v>5982</c:v>
                </c:pt>
                <c:pt idx="1655">
                  <c:v>6073</c:v>
                </c:pt>
                <c:pt idx="1656">
                  <c:v>6153</c:v>
                </c:pt>
                <c:pt idx="1657">
                  <c:v>6167</c:v>
                </c:pt>
                <c:pt idx="1658">
                  <c:v>6252</c:v>
                </c:pt>
                <c:pt idx="1659">
                  <c:v>6255</c:v>
                </c:pt>
                <c:pt idx="1660">
                  <c:v>6251.5</c:v>
                </c:pt>
                <c:pt idx="1661">
                  <c:v>6185</c:v>
                </c:pt>
                <c:pt idx="1662">
                  <c:v>6213</c:v>
                </c:pt>
                <c:pt idx="1663">
                  <c:v>6137</c:v>
                </c:pt>
                <c:pt idx="1664">
                  <c:v>6063</c:v>
                </c:pt>
                <c:pt idx="1665">
                  <c:v>6167</c:v>
                </c:pt>
                <c:pt idx="1666">
                  <c:v>6040</c:v>
                </c:pt>
                <c:pt idx="1667">
                  <c:v>6132</c:v>
                </c:pt>
                <c:pt idx="1668">
                  <c:v>6113</c:v>
                </c:pt>
                <c:pt idx="1669">
                  <c:v>6247</c:v>
                </c:pt>
                <c:pt idx="1670">
                  <c:v>6120</c:v>
                </c:pt>
                <c:pt idx="1671">
                  <c:v>6081</c:v>
                </c:pt>
                <c:pt idx="1672">
                  <c:v>6059</c:v>
                </c:pt>
                <c:pt idx="1673">
                  <c:v>5843</c:v>
                </c:pt>
                <c:pt idx="1674">
                  <c:v>5860</c:v>
                </c:pt>
                <c:pt idx="1675">
                  <c:v>5844</c:v>
                </c:pt>
                <c:pt idx="1676">
                  <c:v>5963</c:v>
                </c:pt>
                <c:pt idx="1677">
                  <c:v>6025.5</c:v>
                </c:pt>
                <c:pt idx="1678">
                  <c:v>6000</c:v>
                </c:pt>
                <c:pt idx="1679">
                  <c:v>5910.5</c:v>
                </c:pt>
                <c:pt idx="1680">
                  <c:v>6001</c:v>
                </c:pt>
                <c:pt idx="1681">
                  <c:v>6118</c:v>
                </c:pt>
                <c:pt idx="1682">
                  <c:v>6065</c:v>
                </c:pt>
                <c:pt idx="1683">
                  <c:v>6066.5</c:v>
                </c:pt>
                <c:pt idx="1684">
                  <c:v>6019</c:v>
                </c:pt>
                <c:pt idx="1685">
                  <c:v>5951</c:v>
                </c:pt>
                <c:pt idx="1686">
                  <c:v>5823</c:v>
                </c:pt>
                <c:pt idx="1687">
                  <c:v>5850</c:v>
                </c:pt>
                <c:pt idx="1688">
                  <c:v>5940</c:v>
                </c:pt>
                <c:pt idx="1689">
                  <c:v>5883</c:v>
                </c:pt>
                <c:pt idx="1690">
                  <c:v>5840.5</c:v>
                </c:pt>
                <c:pt idx="1691">
                  <c:v>5849</c:v>
                </c:pt>
                <c:pt idx="1692">
                  <c:v>5891</c:v>
                </c:pt>
                <c:pt idx="1693">
                  <c:v>5991</c:v>
                </c:pt>
                <c:pt idx="1694">
                  <c:v>5946.5</c:v>
                </c:pt>
                <c:pt idx="1695">
                  <c:v>5860</c:v>
                </c:pt>
                <c:pt idx="1696">
                  <c:v>6003</c:v>
                </c:pt>
                <c:pt idx="1697">
                  <c:v>6057</c:v>
                </c:pt>
                <c:pt idx="1698">
                  <c:v>6057</c:v>
                </c:pt>
                <c:pt idx="1699">
                  <c:v>6203</c:v>
                </c:pt>
                <c:pt idx="1700">
                  <c:v>6320</c:v>
                </c:pt>
                <c:pt idx="1701">
                  <c:v>6276</c:v>
                </c:pt>
                <c:pt idx="1702">
                  <c:v>6257.5</c:v>
                </c:pt>
                <c:pt idx="1703">
                  <c:v>6222</c:v>
                </c:pt>
                <c:pt idx="1704">
                  <c:v>6180</c:v>
                </c:pt>
                <c:pt idx="1705">
                  <c:v>6172</c:v>
                </c:pt>
                <c:pt idx="1706">
                  <c:v>6274</c:v>
                </c:pt>
                <c:pt idx="1707">
                  <c:v>6275</c:v>
                </c:pt>
                <c:pt idx="1708">
                  <c:v>6310</c:v>
                </c:pt>
                <c:pt idx="1709">
                  <c:v>6182.5</c:v>
                </c:pt>
                <c:pt idx="1710">
                  <c:v>6169</c:v>
                </c:pt>
                <c:pt idx="1711">
                  <c:v>6219</c:v>
                </c:pt>
                <c:pt idx="1712">
                  <c:v>6294</c:v>
                </c:pt>
                <c:pt idx="1713">
                  <c:v>6155</c:v>
                </c:pt>
                <c:pt idx="1714">
                  <c:v>6325</c:v>
                </c:pt>
                <c:pt idx="1715">
                  <c:v>6296</c:v>
                </c:pt>
                <c:pt idx="1716">
                  <c:v>6202</c:v>
                </c:pt>
                <c:pt idx="1717">
                  <c:v>6249</c:v>
                </c:pt>
                <c:pt idx="1718">
                  <c:v>6147</c:v>
                </c:pt>
                <c:pt idx="1719">
                  <c:v>6191.5</c:v>
                </c:pt>
                <c:pt idx="1720">
                  <c:v>6284</c:v>
                </c:pt>
                <c:pt idx="1721">
                  <c:v>6167.5</c:v>
                </c:pt>
                <c:pt idx="1722">
                  <c:v>6215</c:v>
                </c:pt>
                <c:pt idx="1723">
                  <c:v>6210</c:v>
                </c:pt>
                <c:pt idx="1724">
                  <c:v>6159</c:v>
                </c:pt>
                <c:pt idx="1725">
                  <c:v>6260</c:v>
                </c:pt>
                <c:pt idx="1726">
                  <c:v>6136</c:v>
                </c:pt>
                <c:pt idx="1727">
                  <c:v>6073</c:v>
                </c:pt>
                <c:pt idx="1728">
                  <c:v>6070</c:v>
                </c:pt>
                <c:pt idx="1729">
                  <c:v>6255</c:v>
                </c:pt>
                <c:pt idx="1730">
                  <c:v>6239</c:v>
                </c:pt>
                <c:pt idx="1731">
                  <c:v>6205</c:v>
                </c:pt>
                <c:pt idx="1732">
                  <c:v>6210</c:v>
                </c:pt>
                <c:pt idx="1733">
                  <c:v>6137</c:v>
                </c:pt>
                <c:pt idx="1734">
                  <c:v>6088</c:v>
                </c:pt>
                <c:pt idx="1735">
                  <c:v>6083.5</c:v>
                </c:pt>
                <c:pt idx="1736">
                  <c:v>6130</c:v>
                </c:pt>
                <c:pt idx="1737">
                  <c:v>6106</c:v>
                </c:pt>
                <c:pt idx="1738">
                  <c:v>6188</c:v>
                </c:pt>
                <c:pt idx="1739">
                  <c:v>6181</c:v>
                </c:pt>
                <c:pt idx="1740">
                  <c:v>6260</c:v>
                </c:pt>
                <c:pt idx="1741">
                  <c:v>6262</c:v>
                </c:pt>
                <c:pt idx="1742">
                  <c:v>6242</c:v>
                </c:pt>
                <c:pt idx="1743">
                  <c:v>6246</c:v>
                </c:pt>
                <c:pt idx="1744">
                  <c:v>6210</c:v>
                </c:pt>
                <c:pt idx="1745">
                  <c:v>6246</c:v>
                </c:pt>
                <c:pt idx="1746">
                  <c:v>6169.5</c:v>
                </c:pt>
                <c:pt idx="1747">
                  <c:v>6198</c:v>
                </c:pt>
                <c:pt idx="1748">
                  <c:v>6282</c:v>
                </c:pt>
                <c:pt idx="1749">
                  <c:v>6238</c:v>
                </c:pt>
                <c:pt idx="1750">
                  <c:v>6307</c:v>
                </c:pt>
                <c:pt idx="1751">
                  <c:v>6278</c:v>
                </c:pt>
                <c:pt idx="1752">
                  <c:v>6162</c:v>
                </c:pt>
                <c:pt idx="1753">
                  <c:v>6112</c:v>
                </c:pt>
                <c:pt idx="1754">
                  <c:v>6173</c:v>
                </c:pt>
                <c:pt idx="1755">
                  <c:v>6112</c:v>
                </c:pt>
                <c:pt idx="1756">
                  <c:v>6163</c:v>
                </c:pt>
                <c:pt idx="1757">
                  <c:v>6151</c:v>
                </c:pt>
                <c:pt idx="1758">
                  <c:v>6196</c:v>
                </c:pt>
                <c:pt idx="1759">
                  <c:v>6104</c:v>
                </c:pt>
                <c:pt idx="1760">
                  <c:v>6095.5</c:v>
                </c:pt>
                <c:pt idx="1761">
                  <c:v>6043</c:v>
                </c:pt>
                <c:pt idx="1762">
                  <c:v>5987</c:v>
                </c:pt>
                <c:pt idx="1763">
                  <c:v>6015</c:v>
                </c:pt>
                <c:pt idx="1764">
                  <c:v>5987</c:v>
                </c:pt>
                <c:pt idx="1765">
                  <c:v>5931.5</c:v>
                </c:pt>
                <c:pt idx="1766">
                  <c:v>5990</c:v>
                </c:pt>
                <c:pt idx="1767">
                  <c:v>6018</c:v>
                </c:pt>
                <c:pt idx="1768">
                  <c:v>5965</c:v>
                </c:pt>
                <c:pt idx="1769">
                  <c:v>5839</c:v>
                </c:pt>
                <c:pt idx="1770">
                  <c:v>5811</c:v>
                </c:pt>
                <c:pt idx="1771">
                  <c:v>5840</c:v>
                </c:pt>
                <c:pt idx="1772">
                  <c:v>5889.5</c:v>
                </c:pt>
                <c:pt idx="1773">
                  <c:v>5904.5</c:v>
                </c:pt>
                <c:pt idx="1774">
                  <c:v>5964</c:v>
                </c:pt>
                <c:pt idx="1775">
                  <c:v>5908.5</c:v>
                </c:pt>
                <c:pt idx="1776">
                  <c:v>5926.5</c:v>
                </c:pt>
                <c:pt idx="1777">
                  <c:v>5861</c:v>
                </c:pt>
                <c:pt idx="1778">
                  <c:v>5882</c:v>
                </c:pt>
                <c:pt idx="1779">
                  <c:v>5911</c:v>
                </c:pt>
                <c:pt idx="1780">
                  <c:v>5933</c:v>
                </c:pt>
                <c:pt idx="1781">
                  <c:v>6022</c:v>
                </c:pt>
                <c:pt idx="1782">
                  <c:v>5951.5</c:v>
                </c:pt>
                <c:pt idx="1783">
                  <c:v>5926.5</c:v>
                </c:pt>
                <c:pt idx="1784">
                  <c:v>5920.5</c:v>
                </c:pt>
                <c:pt idx="1785">
                  <c:v>5885</c:v>
                </c:pt>
                <c:pt idx="1786">
                  <c:v>5901</c:v>
                </c:pt>
                <c:pt idx="1787">
                  <c:v>5996</c:v>
                </c:pt>
                <c:pt idx="1788">
                  <c:v>6007</c:v>
                </c:pt>
                <c:pt idx="1789">
                  <c:v>6077</c:v>
                </c:pt>
                <c:pt idx="1790">
                  <c:v>6148</c:v>
                </c:pt>
                <c:pt idx="1791">
                  <c:v>6097.5</c:v>
                </c:pt>
                <c:pt idx="1792">
                  <c:v>6076.5</c:v>
                </c:pt>
                <c:pt idx="1793">
                  <c:v>6174</c:v>
                </c:pt>
                <c:pt idx="1794">
                  <c:v>6210</c:v>
                </c:pt>
                <c:pt idx="1795">
                  <c:v>6227</c:v>
                </c:pt>
                <c:pt idx="1796">
                  <c:v>6207</c:v>
                </c:pt>
                <c:pt idx="1797">
                  <c:v>6148</c:v>
                </c:pt>
                <c:pt idx="1798">
                  <c:v>6102</c:v>
                </c:pt>
                <c:pt idx="1799">
                  <c:v>6120</c:v>
                </c:pt>
                <c:pt idx="1800">
                  <c:v>6178.5</c:v>
                </c:pt>
                <c:pt idx="1801">
                  <c:v>6190</c:v>
                </c:pt>
                <c:pt idx="1802">
                  <c:v>6269.5</c:v>
                </c:pt>
                <c:pt idx="1803">
                  <c:v>6246.5</c:v>
                </c:pt>
                <c:pt idx="1804">
                  <c:v>6351.5</c:v>
                </c:pt>
                <c:pt idx="1805">
                  <c:v>6391</c:v>
                </c:pt>
                <c:pt idx="1806">
                  <c:v>6489</c:v>
                </c:pt>
                <c:pt idx="1807">
                  <c:v>6546</c:v>
                </c:pt>
                <c:pt idx="1808">
                  <c:v>6471</c:v>
                </c:pt>
                <c:pt idx="1809">
                  <c:v>6533</c:v>
                </c:pt>
                <c:pt idx="1810">
                  <c:v>6536</c:v>
                </c:pt>
                <c:pt idx="1811">
                  <c:v>6572</c:v>
                </c:pt>
                <c:pt idx="1812">
                  <c:v>6420</c:v>
                </c:pt>
                <c:pt idx="1813">
                  <c:v>6553.5</c:v>
                </c:pt>
                <c:pt idx="1814">
                  <c:v>6505</c:v>
                </c:pt>
                <c:pt idx="1815">
                  <c:v>6458</c:v>
                </c:pt>
                <c:pt idx="1816">
                  <c:v>6398.5</c:v>
                </c:pt>
                <c:pt idx="1817">
                  <c:v>6435</c:v>
                </c:pt>
                <c:pt idx="1818">
                  <c:v>6510</c:v>
                </c:pt>
                <c:pt idx="1819">
                  <c:v>6529</c:v>
                </c:pt>
                <c:pt idx="1820">
                  <c:v>6409</c:v>
                </c:pt>
                <c:pt idx="1821">
                  <c:v>6410</c:v>
                </c:pt>
                <c:pt idx="1822">
                  <c:v>6492</c:v>
                </c:pt>
                <c:pt idx="1823">
                  <c:v>6500</c:v>
                </c:pt>
                <c:pt idx="1824">
                  <c:v>6487</c:v>
                </c:pt>
                <c:pt idx="1825">
                  <c:v>6520</c:v>
                </c:pt>
                <c:pt idx="1826">
                  <c:v>6375</c:v>
                </c:pt>
                <c:pt idx="1827">
                  <c:v>6328</c:v>
                </c:pt>
                <c:pt idx="1828">
                  <c:v>6361</c:v>
                </c:pt>
                <c:pt idx="1829">
                  <c:v>6338.5</c:v>
                </c:pt>
                <c:pt idx="1830">
                  <c:v>6385</c:v>
                </c:pt>
                <c:pt idx="1831">
                  <c:v>6485</c:v>
                </c:pt>
                <c:pt idx="1832">
                  <c:v>6498</c:v>
                </c:pt>
                <c:pt idx="1833">
                  <c:v>6431</c:v>
                </c:pt>
                <c:pt idx="1834">
                  <c:v>6483</c:v>
                </c:pt>
                <c:pt idx="1835">
                  <c:v>6444</c:v>
                </c:pt>
                <c:pt idx="1836">
                  <c:v>6419</c:v>
                </c:pt>
                <c:pt idx="1837">
                  <c:v>6432.5</c:v>
                </c:pt>
                <c:pt idx="1838">
                  <c:v>6498</c:v>
                </c:pt>
                <c:pt idx="1839">
                  <c:v>6447</c:v>
                </c:pt>
                <c:pt idx="1840">
                  <c:v>6432.5</c:v>
                </c:pt>
                <c:pt idx="1841">
                  <c:v>6490</c:v>
                </c:pt>
                <c:pt idx="1842">
                  <c:v>6456</c:v>
                </c:pt>
                <c:pt idx="1843">
                  <c:v>6460</c:v>
                </c:pt>
                <c:pt idx="1844">
                  <c:v>6509</c:v>
                </c:pt>
                <c:pt idx="1845">
                  <c:v>6448</c:v>
                </c:pt>
                <c:pt idx="1846">
                  <c:v>6430</c:v>
                </c:pt>
                <c:pt idx="1847">
                  <c:v>6437.5</c:v>
                </c:pt>
                <c:pt idx="1848">
                  <c:v>6375.5</c:v>
                </c:pt>
                <c:pt idx="1849">
                  <c:v>6393</c:v>
                </c:pt>
                <c:pt idx="1850">
                  <c:v>6376</c:v>
                </c:pt>
                <c:pt idx="1851">
                  <c:v>6442</c:v>
                </c:pt>
                <c:pt idx="1852">
                  <c:v>6398</c:v>
                </c:pt>
                <c:pt idx="1853">
                  <c:v>6214</c:v>
                </c:pt>
                <c:pt idx="1854">
                  <c:v>6180</c:v>
                </c:pt>
                <c:pt idx="1855">
                  <c:v>6174</c:v>
                </c:pt>
                <c:pt idx="1856">
                  <c:v>6103</c:v>
                </c:pt>
                <c:pt idx="1857">
                  <c:v>6112</c:v>
                </c:pt>
                <c:pt idx="1858">
                  <c:v>6135.5</c:v>
                </c:pt>
                <c:pt idx="1859">
                  <c:v>6042.5</c:v>
                </c:pt>
                <c:pt idx="1860">
                  <c:v>6007</c:v>
                </c:pt>
                <c:pt idx="1861">
                  <c:v>6002</c:v>
                </c:pt>
                <c:pt idx="1862">
                  <c:v>6089</c:v>
                </c:pt>
                <c:pt idx="1863">
                  <c:v>6025</c:v>
                </c:pt>
                <c:pt idx="1864">
                  <c:v>5985</c:v>
                </c:pt>
                <c:pt idx="1865">
                  <c:v>6004</c:v>
                </c:pt>
                <c:pt idx="1866">
                  <c:v>5920</c:v>
                </c:pt>
                <c:pt idx="1867">
                  <c:v>5860</c:v>
                </c:pt>
                <c:pt idx="1868">
                  <c:v>5919</c:v>
                </c:pt>
                <c:pt idx="1869">
                  <c:v>5956.5</c:v>
                </c:pt>
                <c:pt idx="1870">
                  <c:v>5864.5</c:v>
                </c:pt>
                <c:pt idx="1871">
                  <c:v>5823</c:v>
                </c:pt>
                <c:pt idx="1872">
                  <c:v>5780.5</c:v>
                </c:pt>
                <c:pt idx="1873">
                  <c:v>5796</c:v>
                </c:pt>
                <c:pt idx="1874">
                  <c:v>5804</c:v>
                </c:pt>
                <c:pt idx="1875">
                  <c:v>5832.5</c:v>
                </c:pt>
                <c:pt idx="1876">
                  <c:v>5805</c:v>
                </c:pt>
                <c:pt idx="1877">
                  <c:v>5770</c:v>
                </c:pt>
                <c:pt idx="1878">
                  <c:v>5788</c:v>
                </c:pt>
                <c:pt idx="1879">
                  <c:v>5905</c:v>
                </c:pt>
                <c:pt idx="1880">
                  <c:v>5828.5</c:v>
                </c:pt>
                <c:pt idx="1881">
                  <c:v>5797.5</c:v>
                </c:pt>
                <c:pt idx="1882">
                  <c:v>5805.5</c:v>
                </c:pt>
                <c:pt idx="1883">
                  <c:v>5756</c:v>
                </c:pt>
                <c:pt idx="1884">
                  <c:v>5848.5</c:v>
                </c:pt>
                <c:pt idx="1885">
                  <c:v>5895</c:v>
                </c:pt>
                <c:pt idx="1886">
                  <c:v>5962</c:v>
                </c:pt>
                <c:pt idx="1887">
                  <c:v>5941</c:v>
                </c:pt>
                <c:pt idx="1888">
                  <c:v>5917</c:v>
                </c:pt>
                <c:pt idx="1889">
                  <c:v>5985.5</c:v>
                </c:pt>
                <c:pt idx="1890">
                  <c:v>6006</c:v>
                </c:pt>
                <c:pt idx="1891">
                  <c:v>5953.5</c:v>
                </c:pt>
                <c:pt idx="1892">
                  <c:v>5972</c:v>
                </c:pt>
                <c:pt idx="1893">
                  <c:v>5999</c:v>
                </c:pt>
                <c:pt idx="1894">
                  <c:v>5910</c:v>
                </c:pt>
                <c:pt idx="1895">
                  <c:v>5874</c:v>
                </c:pt>
                <c:pt idx="1896">
                  <c:v>5900</c:v>
                </c:pt>
                <c:pt idx="1897">
                  <c:v>5857</c:v>
                </c:pt>
                <c:pt idx="1898">
                  <c:v>5912</c:v>
                </c:pt>
                <c:pt idx="1899">
                  <c:v>5805</c:v>
                </c:pt>
                <c:pt idx="1900">
                  <c:v>5862.5</c:v>
                </c:pt>
                <c:pt idx="1901">
                  <c:v>5925</c:v>
                </c:pt>
                <c:pt idx="1902">
                  <c:v>5950</c:v>
                </c:pt>
                <c:pt idx="1903">
                  <c:v>5997.5</c:v>
                </c:pt>
                <c:pt idx="1904">
                  <c:v>5959</c:v>
                </c:pt>
                <c:pt idx="1905">
                  <c:v>5922</c:v>
                </c:pt>
                <c:pt idx="1906">
                  <c:v>5948</c:v>
                </c:pt>
                <c:pt idx="1907">
                  <c:v>6066</c:v>
                </c:pt>
                <c:pt idx="1908">
                  <c:v>6007.5</c:v>
                </c:pt>
                <c:pt idx="1909">
                  <c:v>5968.5</c:v>
                </c:pt>
                <c:pt idx="1910">
                  <c:v>5980</c:v>
                </c:pt>
                <c:pt idx="1911">
                  <c:v>6010</c:v>
                </c:pt>
                <c:pt idx="1912">
                  <c:v>5945</c:v>
                </c:pt>
                <c:pt idx="1913">
                  <c:v>5949.5</c:v>
                </c:pt>
                <c:pt idx="1914">
                  <c:v>5943</c:v>
                </c:pt>
                <c:pt idx="1915">
                  <c:v>5926</c:v>
                </c:pt>
                <c:pt idx="1916">
                  <c:v>5876</c:v>
                </c:pt>
                <c:pt idx="1917">
                  <c:v>5769</c:v>
                </c:pt>
                <c:pt idx="1918">
                  <c:v>5647</c:v>
                </c:pt>
                <c:pt idx="1919">
                  <c:v>5667</c:v>
                </c:pt>
                <c:pt idx="1920">
                  <c:v>5673.5</c:v>
                </c:pt>
                <c:pt idx="1921">
                  <c:v>5723</c:v>
                </c:pt>
                <c:pt idx="1922">
                  <c:v>5744</c:v>
                </c:pt>
                <c:pt idx="1923">
                  <c:v>5724.5</c:v>
                </c:pt>
                <c:pt idx="1924">
                  <c:v>5697</c:v>
                </c:pt>
                <c:pt idx="1925">
                  <c:v>5732</c:v>
                </c:pt>
                <c:pt idx="1926">
                  <c:v>5696.5</c:v>
                </c:pt>
                <c:pt idx="1927">
                  <c:v>5710</c:v>
                </c:pt>
                <c:pt idx="1928">
                  <c:v>5755.5</c:v>
                </c:pt>
                <c:pt idx="1929">
                  <c:v>5698</c:v>
                </c:pt>
                <c:pt idx="1930">
                  <c:v>5696.5</c:v>
                </c:pt>
                <c:pt idx="1931">
                  <c:v>5668</c:v>
                </c:pt>
                <c:pt idx="1932">
                  <c:v>5675</c:v>
                </c:pt>
                <c:pt idx="1933">
                  <c:v>5662</c:v>
                </c:pt>
                <c:pt idx="1934">
                  <c:v>5653</c:v>
                </c:pt>
                <c:pt idx="1935">
                  <c:v>5722</c:v>
                </c:pt>
                <c:pt idx="1936">
                  <c:v>5678</c:v>
                </c:pt>
                <c:pt idx="1937">
                  <c:v>5610.5</c:v>
                </c:pt>
                <c:pt idx="1938">
                  <c:v>5537</c:v>
                </c:pt>
                <c:pt idx="1939">
                  <c:v>5663</c:v>
                </c:pt>
                <c:pt idx="1940">
                  <c:v>5777</c:v>
                </c:pt>
                <c:pt idx="1941">
                  <c:v>5787.5</c:v>
                </c:pt>
                <c:pt idx="1942">
                  <c:v>5771</c:v>
                </c:pt>
                <c:pt idx="1943">
                  <c:v>5738</c:v>
                </c:pt>
                <c:pt idx="1944">
                  <c:v>5765</c:v>
                </c:pt>
                <c:pt idx="1945">
                  <c:v>5842.5</c:v>
                </c:pt>
                <c:pt idx="1946">
                  <c:v>5870</c:v>
                </c:pt>
                <c:pt idx="1947">
                  <c:v>5877</c:v>
                </c:pt>
                <c:pt idx="1948">
                  <c:v>5762</c:v>
                </c:pt>
                <c:pt idx="1949">
                  <c:v>5745</c:v>
                </c:pt>
                <c:pt idx="1950">
                  <c:v>5758.5</c:v>
                </c:pt>
                <c:pt idx="1951">
                  <c:v>5777.5</c:v>
                </c:pt>
                <c:pt idx="1952">
                  <c:v>5695</c:v>
                </c:pt>
                <c:pt idx="1953">
                  <c:v>5761</c:v>
                </c:pt>
                <c:pt idx="1954">
                  <c:v>5718.5</c:v>
                </c:pt>
                <c:pt idx="1955">
                  <c:v>5757</c:v>
                </c:pt>
                <c:pt idx="1956">
                  <c:v>5714</c:v>
                </c:pt>
                <c:pt idx="1957">
                  <c:v>5728</c:v>
                </c:pt>
                <c:pt idx="1958">
                  <c:v>5610</c:v>
                </c:pt>
                <c:pt idx="1959">
                  <c:v>5629</c:v>
                </c:pt>
                <c:pt idx="1960">
                  <c:v>5626</c:v>
                </c:pt>
                <c:pt idx="1961">
                  <c:v>5599</c:v>
                </c:pt>
                <c:pt idx="1962">
                  <c:v>5626</c:v>
                </c:pt>
                <c:pt idx="1963">
                  <c:v>5650.5</c:v>
                </c:pt>
                <c:pt idx="1964">
                  <c:v>5660</c:v>
                </c:pt>
                <c:pt idx="1965">
                  <c:v>5698.5</c:v>
                </c:pt>
                <c:pt idx="1966">
                  <c:v>5763</c:v>
                </c:pt>
                <c:pt idx="1967">
                  <c:v>5718.5</c:v>
                </c:pt>
                <c:pt idx="1968">
                  <c:v>5745</c:v>
                </c:pt>
                <c:pt idx="1969">
                  <c:v>5684</c:v>
                </c:pt>
                <c:pt idx="1970">
                  <c:v>5726.5</c:v>
                </c:pt>
                <c:pt idx="1971">
                  <c:v>5751</c:v>
                </c:pt>
                <c:pt idx="1972">
                  <c:v>5820</c:v>
                </c:pt>
                <c:pt idx="1973">
                  <c:v>5794</c:v>
                </c:pt>
                <c:pt idx="1974">
                  <c:v>5773</c:v>
                </c:pt>
                <c:pt idx="1975">
                  <c:v>5869</c:v>
                </c:pt>
                <c:pt idx="1976">
                  <c:v>5867.5</c:v>
                </c:pt>
                <c:pt idx="1977">
                  <c:v>5888.5</c:v>
                </c:pt>
                <c:pt idx="1978">
                  <c:v>5879.5</c:v>
                </c:pt>
                <c:pt idx="1979">
                  <c:v>5883</c:v>
                </c:pt>
                <c:pt idx="1980">
                  <c:v>5825</c:v>
                </c:pt>
                <c:pt idx="1981">
                  <c:v>5797</c:v>
                </c:pt>
                <c:pt idx="1982">
                  <c:v>5846.5</c:v>
                </c:pt>
                <c:pt idx="1983">
                  <c:v>5880</c:v>
                </c:pt>
                <c:pt idx="1984">
                  <c:v>5913.5</c:v>
                </c:pt>
                <c:pt idx="1985">
                  <c:v>5941</c:v>
                </c:pt>
                <c:pt idx="1986">
                  <c:v>5951.5</c:v>
                </c:pt>
                <c:pt idx="1987">
                  <c:v>5857</c:v>
                </c:pt>
                <c:pt idx="1988">
                  <c:v>5838</c:v>
                </c:pt>
                <c:pt idx="1989">
                  <c:v>5823</c:v>
                </c:pt>
                <c:pt idx="1990">
                  <c:v>5835</c:v>
                </c:pt>
                <c:pt idx="1991">
                  <c:v>5812</c:v>
                </c:pt>
                <c:pt idx="1992">
                  <c:v>5828</c:v>
                </c:pt>
                <c:pt idx="1993">
                  <c:v>5821.5</c:v>
                </c:pt>
                <c:pt idx="1994">
                  <c:v>5873</c:v>
                </c:pt>
                <c:pt idx="1995">
                  <c:v>5813</c:v>
                </c:pt>
                <c:pt idx="1996">
                  <c:v>5834</c:v>
                </c:pt>
                <c:pt idx="1997">
                  <c:v>5872.5</c:v>
                </c:pt>
                <c:pt idx="1998">
                  <c:v>5856</c:v>
                </c:pt>
                <c:pt idx="1999">
                  <c:v>5925.5</c:v>
                </c:pt>
                <c:pt idx="2000">
                  <c:v>5881.5</c:v>
                </c:pt>
                <c:pt idx="2001">
                  <c:v>5854</c:v>
                </c:pt>
                <c:pt idx="2002">
                  <c:v>5855.5</c:v>
                </c:pt>
                <c:pt idx="2003">
                  <c:v>5812</c:v>
                </c:pt>
                <c:pt idx="2004">
                  <c:v>5823</c:v>
                </c:pt>
                <c:pt idx="2005">
                  <c:v>5855</c:v>
                </c:pt>
                <c:pt idx="2006">
                  <c:v>5867.5</c:v>
                </c:pt>
                <c:pt idx="2007">
                  <c:v>5985</c:v>
                </c:pt>
                <c:pt idx="2008">
                  <c:v>6055</c:v>
                </c:pt>
                <c:pt idx="2009">
                  <c:v>6083</c:v>
                </c:pt>
                <c:pt idx="2010">
                  <c:v>6097</c:v>
                </c:pt>
                <c:pt idx="2011">
                  <c:v>6154</c:v>
                </c:pt>
                <c:pt idx="2012">
                  <c:v>6155.5</c:v>
                </c:pt>
                <c:pt idx="2013">
                  <c:v>6175</c:v>
                </c:pt>
                <c:pt idx="2014">
                  <c:v>6126.5</c:v>
                </c:pt>
                <c:pt idx="2015">
                  <c:v>6161</c:v>
                </c:pt>
                <c:pt idx="2016">
                  <c:v>6155.5</c:v>
                </c:pt>
                <c:pt idx="2017">
                  <c:v>6153</c:v>
                </c:pt>
                <c:pt idx="2018">
                  <c:v>6184.5</c:v>
                </c:pt>
                <c:pt idx="2019">
                  <c:v>6211</c:v>
                </c:pt>
                <c:pt idx="2020">
                  <c:v>6183.5</c:v>
                </c:pt>
                <c:pt idx="2021">
                  <c:v>6156</c:v>
                </c:pt>
                <c:pt idx="2022">
                  <c:v>6165.5</c:v>
                </c:pt>
                <c:pt idx="2023">
                  <c:v>6077</c:v>
                </c:pt>
                <c:pt idx="2024">
                  <c:v>6097.5</c:v>
                </c:pt>
                <c:pt idx="2025">
                  <c:v>6134.5</c:v>
                </c:pt>
                <c:pt idx="2026">
                  <c:v>6154</c:v>
                </c:pt>
                <c:pt idx="2027">
                  <c:v>6156</c:v>
                </c:pt>
                <c:pt idx="2028">
                  <c:v>6157</c:v>
                </c:pt>
                <c:pt idx="2029">
                  <c:v>6177</c:v>
                </c:pt>
                <c:pt idx="2030">
                  <c:v>6247</c:v>
                </c:pt>
                <c:pt idx="2031">
                  <c:v>6232</c:v>
                </c:pt>
                <c:pt idx="2032">
                  <c:v>6300.5</c:v>
                </c:pt>
                <c:pt idx="2033">
                  <c:v>6276.5</c:v>
                </c:pt>
                <c:pt idx="2034">
                  <c:v>6245</c:v>
                </c:pt>
                <c:pt idx="2035">
                  <c:v>6158.5</c:v>
                </c:pt>
                <c:pt idx="2036">
                  <c:v>6103.5</c:v>
                </c:pt>
                <c:pt idx="2037">
                  <c:v>6050</c:v>
                </c:pt>
                <c:pt idx="2038">
                  <c:v>5968</c:v>
                </c:pt>
                <c:pt idx="2039">
                  <c:v>5779</c:v>
                </c:pt>
                <c:pt idx="2040">
                  <c:v>5715</c:v>
                </c:pt>
                <c:pt idx="2041">
                  <c:v>5698</c:v>
                </c:pt>
                <c:pt idx="2042">
                  <c:v>5621</c:v>
                </c:pt>
                <c:pt idx="2043">
                  <c:v>5570</c:v>
                </c:pt>
                <c:pt idx="2044">
                  <c:v>5595</c:v>
                </c:pt>
                <c:pt idx="2045">
                  <c:v>5652</c:v>
                </c:pt>
                <c:pt idx="2046">
                  <c:v>5714</c:v>
                </c:pt>
                <c:pt idx="2047">
                  <c:v>5726</c:v>
                </c:pt>
                <c:pt idx="2048">
                  <c:v>5653</c:v>
                </c:pt>
                <c:pt idx="2049">
                  <c:v>5659.5</c:v>
                </c:pt>
                <c:pt idx="2050">
                  <c:v>5696</c:v>
                </c:pt>
                <c:pt idx="2051">
                  <c:v>5747</c:v>
                </c:pt>
                <c:pt idx="2052">
                  <c:v>5716</c:v>
                </c:pt>
                <c:pt idx="2053">
                  <c:v>5737</c:v>
                </c:pt>
                <c:pt idx="2054">
                  <c:v>5802</c:v>
                </c:pt>
                <c:pt idx="2055">
                  <c:v>5728</c:v>
                </c:pt>
                <c:pt idx="2056">
                  <c:v>5745.5</c:v>
                </c:pt>
                <c:pt idx="2057">
                  <c:v>5730</c:v>
                </c:pt>
                <c:pt idx="2058">
                  <c:v>5702</c:v>
                </c:pt>
                <c:pt idx="2059">
                  <c:v>5657.5</c:v>
                </c:pt>
                <c:pt idx="2060">
                  <c:v>5663.5</c:v>
                </c:pt>
                <c:pt idx="2061">
                  <c:v>5614</c:v>
                </c:pt>
                <c:pt idx="2062">
                  <c:v>5618</c:v>
                </c:pt>
                <c:pt idx="2063">
                  <c:v>5573</c:v>
                </c:pt>
                <c:pt idx="2064">
                  <c:v>5640</c:v>
                </c:pt>
                <c:pt idx="2065">
                  <c:v>5668</c:v>
                </c:pt>
                <c:pt idx="2066">
                  <c:v>5694.5</c:v>
                </c:pt>
                <c:pt idx="2067">
                  <c:v>5667.5</c:v>
                </c:pt>
                <c:pt idx="2068">
                  <c:v>5624</c:v>
                </c:pt>
                <c:pt idx="2069">
                  <c:v>5483</c:v>
                </c:pt>
                <c:pt idx="2070">
                  <c:v>5598</c:v>
                </c:pt>
                <c:pt idx="2071">
                  <c:v>5552</c:v>
                </c:pt>
                <c:pt idx="2072">
                  <c:v>5386.5</c:v>
                </c:pt>
                <c:pt idx="2073">
                  <c:v>5530.5</c:v>
                </c:pt>
                <c:pt idx="2074">
                  <c:v>5211</c:v>
                </c:pt>
                <c:pt idx="2075">
                  <c:v>5205</c:v>
                </c:pt>
                <c:pt idx="2076">
                  <c:v>4860.5</c:v>
                </c:pt>
                <c:pt idx="2077">
                  <c:v>4685</c:v>
                </c:pt>
                <c:pt idx="2078">
                  <c:v>4855</c:v>
                </c:pt>
                <c:pt idx="2079">
                  <c:v>4617.5</c:v>
                </c:pt>
                <c:pt idx="2080">
                  <c:v>4789.5</c:v>
                </c:pt>
                <c:pt idx="2081">
                  <c:v>4754</c:v>
                </c:pt>
                <c:pt idx="2082">
                  <c:v>4775.5</c:v>
                </c:pt>
                <c:pt idx="2083">
                  <c:v>4774</c:v>
                </c:pt>
                <c:pt idx="2084">
                  <c:v>4763</c:v>
                </c:pt>
                <c:pt idx="2085">
                  <c:v>4797</c:v>
                </c:pt>
                <c:pt idx="2086">
                  <c:v>4772</c:v>
                </c:pt>
                <c:pt idx="2087">
                  <c:v>4821.5</c:v>
                </c:pt>
                <c:pt idx="2088">
                  <c:v>4863.5</c:v>
                </c:pt>
                <c:pt idx="2089">
                  <c:v>4867</c:v>
                </c:pt>
                <c:pt idx="2090">
                  <c:v>5067.5</c:v>
                </c:pt>
                <c:pt idx="2091">
                  <c:v>4976</c:v>
                </c:pt>
                <c:pt idx="2092">
                  <c:v>4963.5</c:v>
                </c:pt>
                <c:pt idx="2093">
                  <c:v>5119</c:v>
                </c:pt>
                <c:pt idx="2094">
                  <c:v>5054.5</c:v>
                </c:pt>
                <c:pt idx="2095">
                  <c:v>5098.5</c:v>
                </c:pt>
                <c:pt idx="2096">
                  <c:v>5175.5</c:v>
                </c:pt>
                <c:pt idx="2097">
                  <c:v>5169.5</c:v>
                </c:pt>
                <c:pt idx="2098">
                  <c:v>4994.5</c:v>
                </c:pt>
                <c:pt idx="2099">
                  <c:v>5034</c:v>
                </c:pt>
                <c:pt idx="2100">
                  <c:v>5120.5</c:v>
                </c:pt>
                <c:pt idx="2101">
                  <c:v>5118</c:v>
                </c:pt>
                <c:pt idx="2102">
                  <c:v>5165.5</c:v>
                </c:pt>
                <c:pt idx="2103">
                  <c:v>5169.5</c:v>
                </c:pt>
                <c:pt idx="2104">
                  <c:v>5184</c:v>
                </c:pt>
                <c:pt idx="2105">
                  <c:v>5231</c:v>
                </c:pt>
                <c:pt idx="2106">
                  <c:v>5061</c:v>
                </c:pt>
                <c:pt idx="2107">
                  <c:v>5058</c:v>
                </c:pt>
                <c:pt idx="2108">
                  <c:v>5111.5</c:v>
                </c:pt>
                <c:pt idx="2109">
                  <c:v>5199.5</c:v>
                </c:pt>
                <c:pt idx="2110">
                  <c:v>5227.5</c:v>
                </c:pt>
                <c:pt idx="2111">
                  <c:v>5231</c:v>
                </c:pt>
                <c:pt idx="2112">
                  <c:v>5234</c:v>
                </c:pt>
                <c:pt idx="2113">
                  <c:v>5212.5</c:v>
                </c:pt>
                <c:pt idx="2114">
                  <c:v>5155.5</c:v>
                </c:pt>
                <c:pt idx="2115">
                  <c:v>5165</c:v>
                </c:pt>
                <c:pt idx="2116">
                  <c:v>5249.5</c:v>
                </c:pt>
                <c:pt idx="2117">
                  <c:v>5314</c:v>
                </c:pt>
                <c:pt idx="2118">
                  <c:v>5333</c:v>
                </c:pt>
                <c:pt idx="2119">
                  <c:v>5387</c:v>
                </c:pt>
                <c:pt idx="2120">
                  <c:v>5242.5</c:v>
                </c:pt>
                <c:pt idx="2121">
                  <c:v>5341.5</c:v>
                </c:pt>
                <c:pt idx="2122">
                  <c:v>5308.5</c:v>
                </c:pt>
                <c:pt idx="2123">
                  <c:v>5278.5</c:v>
                </c:pt>
                <c:pt idx="2124">
                  <c:v>5332.5</c:v>
                </c:pt>
                <c:pt idx="2125">
                  <c:v>5376.5</c:v>
                </c:pt>
                <c:pt idx="2126">
                  <c:v>5463</c:v>
                </c:pt>
                <c:pt idx="2127">
                  <c:v>5499</c:v>
                </c:pt>
                <c:pt idx="2128">
                  <c:v>5452.5</c:v>
                </c:pt>
                <c:pt idx="2129">
                  <c:v>5588</c:v>
                </c:pt>
                <c:pt idx="2130">
                  <c:v>5659</c:v>
                </c:pt>
                <c:pt idx="2131">
                  <c:v>5680.5</c:v>
                </c:pt>
                <c:pt idx="2132">
                  <c:v>5801</c:v>
                </c:pt>
                <c:pt idx="2133">
                  <c:v>5801.5</c:v>
                </c:pt>
                <c:pt idx="2134">
                  <c:v>5785.5</c:v>
                </c:pt>
                <c:pt idx="2135">
                  <c:v>5646</c:v>
                </c:pt>
                <c:pt idx="2136">
                  <c:v>5759.5</c:v>
                </c:pt>
                <c:pt idx="2137">
                  <c:v>5734</c:v>
                </c:pt>
                <c:pt idx="2138">
                  <c:v>5799</c:v>
                </c:pt>
                <c:pt idx="2139">
                  <c:v>5835.5</c:v>
                </c:pt>
                <c:pt idx="2140">
                  <c:v>5825</c:v>
                </c:pt>
                <c:pt idx="2141">
                  <c:v>5895</c:v>
                </c:pt>
                <c:pt idx="2142">
                  <c:v>5871</c:v>
                </c:pt>
                <c:pt idx="2143">
                  <c:v>5880.5</c:v>
                </c:pt>
                <c:pt idx="2144">
                  <c:v>5985.5</c:v>
                </c:pt>
                <c:pt idx="2145">
                  <c:v>5957</c:v>
                </c:pt>
                <c:pt idx="2146">
                  <c:v>6038</c:v>
                </c:pt>
                <c:pt idx="2147">
                  <c:v>6016.5</c:v>
                </c:pt>
                <c:pt idx="2148">
                  <c:v>6080</c:v>
                </c:pt>
                <c:pt idx="2149">
                  <c:v>6022.5</c:v>
                </c:pt>
                <c:pt idx="2150">
                  <c:v>6112</c:v>
                </c:pt>
                <c:pt idx="2151">
                  <c:v>6086</c:v>
                </c:pt>
                <c:pt idx="2152">
                  <c:v>6194</c:v>
                </c:pt>
                <c:pt idx="2153">
                  <c:v>6339.5</c:v>
                </c:pt>
                <c:pt idx="2154">
                  <c:v>6322.5</c:v>
                </c:pt>
                <c:pt idx="2155">
                  <c:v>6545</c:v>
                </c:pt>
                <c:pt idx="2156">
                  <c:v>6489.5</c:v>
                </c:pt>
                <c:pt idx="2157">
                  <c:v>6507</c:v>
                </c:pt>
                <c:pt idx="2158">
                  <c:v>6385</c:v>
                </c:pt>
                <c:pt idx="2159">
                  <c:v>6454.5</c:v>
                </c:pt>
                <c:pt idx="2160">
                  <c:v>6416.5</c:v>
                </c:pt>
                <c:pt idx="2161">
                  <c:v>6513</c:v>
                </c:pt>
                <c:pt idx="2162">
                  <c:v>6527</c:v>
                </c:pt>
                <c:pt idx="2163">
                  <c:v>6533.5</c:v>
                </c:pt>
                <c:pt idx="2164">
                  <c:v>6412.5</c:v>
                </c:pt>
                <c:pt idx="2165">
                  <c:v>6425.5</c:v>
                </c:pt>
                <c:pt idx="2166">
                  <c:v>6399.5</c:v>
                </c:pt>
                <c:pt idx="2167">
                  <c:v>6475</c:v>
                </c:pt>
                <c:pt idx="2168">
                  <c:v>6433.5</c:v>
                </c:pt>
                <c:pt idx="2169">
                  <c:v>6446.5</c:v>
                </c:pt>
                <c:pt idx="2170">
                  <c:v>6441</c:v>
                </c:pt>
                <c:pt idx="2171">
                  <c:v>6440</c:v>
                </c:pt>
                <c:pt idx="2172">
                  <c:v>6525.5</c:v>
                </c:pt>
                <c:pt idx="2173">
                  <c:v>6453.5</c:v>
                </c:pt>
                <c:pt idx="2174">
                  <c:v>6437</c:v>
                </c:pt>
                <c:pt idx="2175">
                  <c:v>6363</c:v>
                </c:pt>
                <c:pt idx="2176">
                  <c:v>6356.5</c:v>
                </c:pt>
                <c:pt idx="2177">
                  <c:v>6379</c:v>
                </c:pt>
                <c:pt idx="2178">
                  <c:v>6380</c:v>
                </c:pt>
                <c:pt idx="2179">
                  <c:v>6342.5</c:v>
                </c:pt>
                <c:pt idx="2180">
                  <c:v>6439.5</c:v>
                </c:pt>
                <c:pt idx="2181">
                  <c:v>6492.5</c:v>
                </c:pt>
                <c:pt idx="2182">
                  <c:v>6667</c:v>
                </c:pt>
                <c:pt idx="2183">
                  <c:v>6594.5</c:v>
                </c:pt>
                <c:pt idx="2184">
                  <c:v>6564.5</c:v>
                </c:pt>
                <c:pt idx="2185">
                  <c:v>6579.5</c:v>
                </c:pt>
                <c:pt idx="2186">
                  <c:v>6544.5</c:v>
                </c:pt>
                <c:pt idx="2187">
                  <c:v>6603.5</c:v>
                </c:pt>
                <c:pt idx="2188">
                  <c:v>6602.5</c:v>
                </c:pt>
                <c:pt idx="2189">
                  <c:v>6728</c:v>
                </c:pt>
                <c:pt idx="2190">
                  <c:v>6788.5</c:v>
                </c:pt>
                <c:pt idx="2191">
                  <c:v>6719</c:v>
                </c:pt>
                <c:pt idx="2192">
                  <c:v>6613</c:v>
                </c:pt>
                <c:pt idx="2193">
                  <c:v>6678</c:v>
                </c:pt>
                <c:pt idx="2194">
                  <c:v>6790.5</c:v>
                </c:pt>
                <c:pt idx="2195">
                  <c:v>6767.5</c:v>
                </c:pt>
                <c:pt idx="2196">
                  <c:v>6709</c:v>
                </c:pt>
                <c:pt idx="2197">
                  <c:v>6710.5</c:v>
                </c:pt>
                <c:pt idx="2198">
                  <c:v>6757.5</c:v>
                </c:pt>
                <c:pt idx="2199">
                  <c:v>6788</c:v>
                </c:pt>
                <c:pt idx="2200">
                  <c:v>6813.5</c:v>
                </c:pt>
                <c:pt idx="2201">
                  <c:v>6776</c:v>
                </c:pt>
                <c:pt idx="2202">
                  <c:v>6761</c:v>
                </c:pt>
                <c:pt idx="2203">
                  <c:v>6833.5</c:v>
                </c:pt>
                <c:pt idx="2204">
                  <c:v>6837</c:v>
                </c:pt>
                <c:pt idx="2205">
                  <c:v>6810</c:v>
                </c:pt>
                <c:pt idx="2206">
                  <c:v>6725.5</c:v>
                </c:pt>
                <c:pt idx="2207">
                  <c:v>6538.5</c:v>
                </c:pt>
                <c:pt idx="2208">
                  <c:v>6529</c:v>
                </c:pt>
                <c:pt idx="2209">
                  <c:v>6571.5</c:v>
                </c:pt>
                <c:pt idx="2210">
                  <c:v>6546</c:v>
                </c:pt>
                <c:pt idx="2211">
                  <c:v>6610</c:v>
                </c:pt>
                <c:pt idx="2212">
                  <c:v>6614</c:v>
                </c:pt>
                <c:pt idx="2213">
                  <c:v>6409.5</c:v>
                </c:pt>
                <c:pt idx="2214">
                  <c:v>6507.5</c:v>
                </c:pt>
                <c:pt idx="2215">
                  <c:v>6509</c:v>
                </c:pt>
                <c:pt idx="2216">
                  <c:v>6525</c:v>
                </c:pt>
                <c:pt idx="2217">
                  <c:v>6611.5</c:v>
                </c:pt>
                <c:pt idx="2218">
                  <c:v>6740.5</c:v>
                </c:pt>
                <c:pt idx="2219">
                  <c:v>6769</c:v>
                </c:pt>
                <c:pt idx="2220">
                  <c:v>6699.5</c:v>
                </c:pt>
                <c:pt idx="2221">
                  <c:v>6702</c:v>
                </c:pt>
                <c:pt idx="2222">
                  <c:v>6683.5</c:v>
                </c:pt>
                <c:pt idx="2223">
                  <c:v>6728</c:v>
                </c:pt>
                <c:pt idx="2224">
                  <c:v>6755</c:v>
                </c:pt>
                <c:pt idx="2225">
                  <c:v>6814</c:v>
                </c:pt>
                <c:pt idx="2226">
                  <c:v>6953</c:v>
                </c:pt>
                <c:pt idx="2227">
                  <c:v>6886</c:v>
                </c:pt>
                <c:pt idx="2228">
                  <c:v>6879.5</c:v>
                </c:pt>
                <c:pt idx="2229">
                  <c:v>6806</c:v>
                </c:pt>
                <c:pt idx="2230">
                  <c:v>6787.5</c:v>
                </c:pt>
                <c:pt idx="2231">
                  <c:v>6694.5</c:v>
                </c:pt>
                <c:pt idx="2232">
                  <c:v>6692</c:v>
                </c:pt>
                <c:pt idx="2233">
                  <c:v>6694.5</c:v>
                </c:pt>
                <c:pt idx="2234">
                  <c:v>6712.5</c:v>
                </c:pt>
                <c:pt idx="2235">
                  <c:v>6791.5</c:v>
                </c:pt>
                <c:pt idx="2236">
                  <c:v>6748</c:v>
                </c:pt>
                <c:pt idx="2237">
                  <c:v>6798</c:v>
                </c:pt>
                <c:pt idx="2238">
                  <c:v>6938.5</c:v>
                </c:pt>
                <c:pt idx="2239">
                  <c:v>7034</c:v>
                </c:pt>
                <c:pt idx="2240">
                  <c:v>6865.5</c:v>
                </c:pt>
                <c:pt idx="2241">
                  <c:v>6912.5</c:v>
                </c:pt>
                <c:pt idx="2242">
                  <c:v>6904</c:v>
                </c:pt>
                <c:pt idx="2243">
                  <c:v>6926</c:v>
                </c:pt>
                <c:pt idx="2244">
                  <c:v>7113</c:v>
                </c:pt>
                <c:pt idx="2245">
                  <c:v>7050</c:v>
                </c:pt>
                <c:pt idx="2246">
                  <c:v>7083</c:v>
                </c:pt>
                <c:pt idx="2247">
                  <c:v>7028</c:v>
                </c:pt>
                <c:pt idx="2248">
                  <c:v>7178.5</c:v>
                </c:pt>
                <c:pt idx="2249">
                  <c:v>7215.5</c:v>
                </c:pt>
                <c:pt idx="2250">
                  <c:v>7302</c:v>
                </c:pt>
                <c:pt idx="2251">
                  <c:v>7238.5</c:v>
                </c:pt>
                <c:pt idx="2252">
                  <c:v>7356.5</c:v>
                </c:pt>
                <c:pt idx="2253">
                  <c:v>7462</c:v>
                </c:pt>
                <c:pt idx="2254">
                  <c:v>7674.5</c:v>
                </c:pt>
                <c:pt idx="2255">
                  <c:v>7644</c:v>
                </c:pt>
                <c:pt idx="2256">
                  <c:v>7616.5</c:v>
                </c:pt>
                <c:pt idx="2257">
                  <c:v>7679</c:v>
                </c:pt>
                <c:pt idx="2258">
                  <c:v>7741.5</c:v>
                </c:pt>
                <c:pt idx="2259">
                  <c:v>7656.5</c:v>
                </c:pt>
                <c:pt idx="2260">
                  <c:v>7635</c:v>
                </c:pt>
                <c:pt idx="2261">
                  <c:v>7704.5</c:v>
                </c:pt>
                <c:pt idx="2262">
                  <c:v>7712</c:v>
                </c:pt>
                <c:pt idx="2263">
                  <c:v>7741</c:v>
                </c:pt>
                <c:pt idx="2264">
                  <c:v>7763</c:v>
                </c:pt>
                <c:pt idx="2265">
                  <c:v>7753</c:v>
                </c:pt>
                <c:pt idx="2266">
                  <c:v>7823</c:v>
                </c:pt>
                <c:pt idx="2267">
                  <c:v>7893</c:v>
                </c:pt>
                <c:pt idx="2268">
                  <c:v>7964</c:v>
                </c:pt>
                <c:pt idx="2269">
                  <c:v>7838.5</c:v>
                </c:pt>
                <c:pt idx="2270">
                  <c:v>7753</c:v>
                </c:pt>
                <c:pt idx="2271">
                  <c:v>7764.5</c:v>
                </c:pt>
                <c:pt idx="2272">
                  <c:v>7793</c:v>
                </c:pt>
                <c:pt idx="2273">
                  <c:v>7840</c:v>
                </c:pt>
                <c:pt idx="2274">
                  <c:v>7803.5</c:v>
                </c:pt>
                <c:pt idx="2275">
                  <c:v>7741.5</c:v>
                </c:pt>
                <c:pt idx="2276">
                  <c:v>7918.5</c:v>
                </c:pt>
                <c:pt idx="2277">
                  <c:v>7914</c:v>
                </c:pt>
                <c:pt idx="2278">
                  <c:v>8129.5</c:v>
                </c:pt>
                <c:pt idx="2279">
                  <c:v>8036.5</c:v>
                </c:pt>
                <c:pt idx="2280">
                  <c:v>8146</c:v>
                </c:pt>
                <c:pt idx="2281">
                  <c:v>7951.5</c:v>
                </c:pt>
                <c:pt idx="2282">
                  <c:v>7983</c:v>
                </c:pt>
                <c:pt idx="2283">
                  <c:v>7960.5</c:v>
                </c:pt>
                <c:pt idx="2284">
                  <c:v>8002.5</c:v>
                </c:pt>
                <c:pt idx="2285">
                  <c:v>7979.5</c:v>
                </c:pt>
                <c:pt idx="2286">
                  <c:v>7972.5</c:v>
                </c:pt>
                <c:pt idx="2287">
                  <c:v>7986.5</c:v>
                </c:pt>
                <c:pt idx="2288">
                  <c:v>8014.5</c:v>
                </c:pt>
                <c:pt idx="2289">
                  <c:v>8051</c:v>
                </c:pt>
                <c:pt idx="2290">
                  <c:v>7872</c:v>
                </c:pt>
                <c:pt idx="2291">
                  <c:v>7984.5</c:v>
                </c:pt>
                <c:pt idx="2292">
                  <c:v>7957</c:v>
                </c:pt>
                <c:pt idx="2293">
                  <c:v>7895</c:v>
                </c:pt>
                <c:pt idx="2294">
                  <c:v>7778.5</c:v>
                </c:pt>
                <c:pt idx="2295">
                  <c:v>7877</c:v>
                </c:pt>
                <c:pt idx="2296">
                  <c:v>7827</c:v>
                </c:pt>
                <c:pt idx="2297">
                  <c:v>7755.5</c:v>
                </c:pt>
                <c:pt idx="2298">
                  <c:v>7832.5</c:v>
                </c:pt>
                <c:pt idx="2299">
                  <c:v>7833.5</c:v>
                </c:pt>
                <c:pt idx="2300">
                  <c:v>7936.5</c:v>
                </c:pt>
                <c:pt idx="2301">
                  <c:v>8007</c:v>
                </c:pt>
                <c:pt idx="2302">
                  <c:v>8146.5</c:v>
                </c:pt>
                <c:pt idx="2303">
                  <c:v>8279.5</c:v>
                </c:pt>
                <c:pt idx="2304">
                  <c:v>8292</c:v>
                </c:pt>
                <c:pt idx="2305">
                  <c:v>8270.5</c:v>
                </c:pt>
                <c:pt idx="2306">
                  <c:v>8416.5</c:v>
                </c:pt>
                <c:pt idx="2307">
                  <c:v>8439.5</c:v>
                </c:pt>
                <c:pt idx="2308">
                  <c:v>8413.5</c:v>
                </c:pt>
                <c:pt idx="2309">
                  <c:v>8650</c:v>
                </c:pt>
                <c:pt idx="2310">
                  <c:v>8806.5</c:v>
                </c:pt>
                <c:pt idx="2311">
                  <c:v>9067.5</c:v>
                </c:pt>
                <c:pt idx="2312">
                  <c:v>9158</c:v>
                </c:pt>
                <c:pt idx="2313">
                  <c:v>9286</c:v>
                </c:pt>
                <c:pt idx="2314">
                  <c:v>9614.5</c:v>
                </c:pt>
                <c:pt idx="2315">
                  <c:v>9172.5</c:v>
                </c:pt>
                <c:pt idx="2316">
                  <c:v>9198</c:v>
                </c:pt>
                <c:pt idx="2317">
                  <c:v>9213.5</c:v>
                </c:pt>
                <c:pt idx="2318">
                  <c:v>9266</c:v>
                </c:pt>
                <c:pt idx="2319">
                  <c:v>8786.5</c:v>
                </c:pt>
                <c:pt idx="2320">
                  <c:v>9021.5</c:v>
                </c:pt>
                <c:pt idx="2321">
                  <c:v>8992.5</c:v>
                </c:pt>
                <c:pt idx="2322">
                  <c:v>8895</c:v>
                </c:pt>
                <c:pt idx="2323">
                  <c:v>8939</c:v>
                </c:pt>
                <c:pt idx="2324">
                  <c:v>9062.5</c:v>
                </c:pt>
                <c:pt idx="2325">
                  <c:v>9052.5</c:v>
                </c:pt>
                <c:pt idx="2326">
                  <c:v>9147.5</c:v>
                </c:pt>
                <c:pt idx="2327">
                  <c:v>8965.5</c:v>
                </c:pt>
                <c:pt idx="2328">
                  <c:v>9027</c:v>
                </c:pt>
                <c:pt idx="2329">
                  <c:v>9090</c:v>
                </c:pt>
                <c:pt idx="2330">
                  <c:v>9036</c:v>
                </c:pt>
                <c:pt idx="2331">
                  <c:v>9097.5</c:v>
                </c:pt>
                <c:pt idx="2332">
                  <c:v>9016.5</c:v>
                </c:pt>
                <c:pt idx="2333">
                  <c:v>9016</c:v>
                </c:pt>
                <c:pt idx="2334">
                  <c:v>8781</c:v>
                </c:pt>
                <c:pt idx="2335">
                  <c:v>8929</c:v>
                </c:pt>
                <c:pt idx="2336">
                  <c:v>8942.5</c:v>
                </c:pt>
                <c:pt idx="2337">
                  <c:v>8788.5</c:v>
                </c:pt>
                <c:pt idx="2338">
                  <c:v>8850.5</c:v>
                </c:pt>
                <c:pt idx="2339">
                  <c:v>8768</c:v>
                </c:pt>
                <c:pt idx="2340">
                  <c:v>8984.5</c:v>
                </c:pt>
                <c:pt idx="2341">
                  <c:v>8981.5</c:v>
                </c:pt>
                <c:pt idx="2342">
                  <c:v>9001.5</c:v>
                </c:pt>
                <c:pt idx="2343">
                  <c:v>8993</c:v>
                </c:pt>
                <c:pt idx="2344">
                  <c:v>8901</c:v>
                </c:pt>
                <c:pt idx="2345">
                  <c:v>8904</c:v>
                </c:pt>
                <c:pt idx="2346">
                  <c:v>9011</c:v>
                </c:pt>
                <c:pt idx="2347">
                  <c:v>9187.5</c:v>
                </c:pt>
                <c:pt idx="2348">
                  <c:v>9336</c:v>
                </c:pt>
                <c:pt idx="2349">
                  <c:v>9415</c:v>
                </c:pt>
                <c:pt idx="2350">
                  <c:v>9396.5</c:v>
                </c:pt>
                <c:pt idx="2351">
                  <c:v>9382.5</c:v>
                </c:pt>
                <c:pt idx="2352">
                  <c:v>9475.5</c:v>
                </c:pt>
                <c:pt idx="2353">
                  <c:v>9545.5</c:v>
                </c:pt>
                <c:pt idx="2354">
                  <c:v>9758</c:v>
                </c:pt>
                <c:pt idx="2355">
                  <c:v>9898.5</c:v>
                </c:pt>
                <c:pt idx="2356">
                  <c:v>9832.5</c:v>
                </c:pt>
                <c:pt idx="2357">
                  <c:v>9990</c:v>
                </c:pt>
                <c:pt idx="2358">
                  <c:v>9949</c:v>
                </c:pt>
                <c:pt idx="2359">
                  <c:v>9961</c:v>
                </c:pt>
                <c:pt idx="2360">
                  <c:v>9991.5</c:v>
                </c:pt>
                <c:pt idx="2361">
                  <c:v>10025.5</c:v>
                </c:pt>
                <c:pt idx="2362">
                  <c:v>10361</c:v>
                </c:pt>
                <c:pt idx="2363">
                  <c:v>10724.5</c:v>
                </c:pt>
                <c:pt idx="2364">
                  <c:v>10528</c:v>
                </c:pt>
                <c:pt idx="2365">
                  <c:v>10537</c:v>
                </c:pt>
                <c:pt idx="2366">
                  <c:v>10253.5</c:v>
                </c:pt>
                <c:pt idx="2367">
                  <c:v>10212</c:v>
                </c:pt>
                <c:pt idx="2368">
                  <c:v>10257</c:v>
                </c:pt>
                <c:pt idx="2369">
                  <c:v>10465</c:v>
                </c:pt>
                <c:pt idx="2370">
                  <c:v>10114.5</c:v>
                </c:pt>
                <c:pt idx="2371">
                  <c:v>10086</c:v>
                </c:pt>
                <c:pt idx="2372">
                  <c:v>10011</c:v>
                </c:pt>
                <c:pt idx="2373">
                  <c:v>9868</c:v>
                </c:pt>
                <c:pt idx="2374">
                  <c:v>9943</c:v>
                </c:pt>
                <c:pt idx="2375">
                  <c:v>9965</c:v>
                </c:pt>
                <c:pt idx="2376">
                  <c:v>10032.5</c:v>
                </c:pt>
                <c:pt idx="2377">
                  <c:v>10159.5</c:v>
                </c:pt>
                <c:pt idx="2378">
                  <c:v>10212.5</c:v>
                </c:pt>
                <c:pt idx="2379">
                  <c:v>10117.5</c:v>
                </c:pt>
                <c:pt idx="2380">
                  <c:v>9967</c:v>
                </c:pt>
                <c:pt idx="2381">
                  <c:v>9852</c:v>
                </c:pt>
                <c:pt idx="2382">
                  <c:v>9848</c:v>
                </c:pt>
                <c:pt idx="2383">
                  <c:v>9878.5</c:v>
                </c:pt>
                <c:pt idx="2384">
                  <c:v>9877</c:v>
                </c:pt>
                <c:pt idx="2385">
                  <c:v>9808.5</c:v>
                </c:pt>
                <c:pt idx="2386">
                  <c:v>10029</c:v>
                </c:pt>
                <c:pt idx="2387">
                  <c:v>9900</c:v>
                </c:pt>
                <c:pt idx="2388">
                  <c:v>9552.5</c:v>
                </c:pt>
                <c:pt idx="2389">
                  <c:v>9508</c:v>
                </c:pt>
                <c:pt idx="2390">
                  <c:v>9427.5</c:v>
                </c:pt>
                <c:pt idx="2391">
                  <c:v>9206</c:v>
                </c:pt>
                <c:pt idx="2392">
                  <c:v>9042.5</c:v>
                </c:pt>
                <c:pt idx="2393">
                  <c:v>9190.5</c:v>
                </c:pt>
                <c:pt idx="2394">
                  <c:v>9289.5</c:v>
                </c:pt>
                <c:pt idx="2395">
                  <c:v>9390.5</c:v>
                </c:pt>
                <c:pt idx="2396">
                  <c:v>9432.5</c:v>
                </c:pt>
                <c:pt idx="2397">
                  <c:v>9333.5</c:v>
                </c:pt>
                <c:pt idx="2398">
                  <c:v>9225.5</c:v>
                </c:pt>
                <c:pt idx="2399">
                  <c:v>9385</c:v>
                </c:pt>
                <c:pt idx="2400">
                  <c:v>9342</c:v>
                </c:pt>
                <c:pt idx="2401">
                  <c:v>9296.5</c:v>
                </c:pt>
                <c:pt idx="2402">
                  <c:v>9432</c:v>
                </c:pt>
                <c:pt idx="2403">
                  <c:v>9528</c:v>
                </c:pt>
                <c:pt idx="2404">
                  <c:v>9451.5</c:v>
                </c:pt>
                <c:pt idx="2405">
                  <c:v>9264.5</c:v>
                </c:pt>
                <c:pt idx="2406">
                  <c:v>9437.5</c:v>
                </c:pt>
                <c:pt idx="2407">
                  <c:v>9347</c:v>
                </c:pt>
                <c:pt idx="2408">
                  <c:v>9310</c:v>
                </c:pt>
                <c:pt idx="2409">
                  <c:v>9309</c:v>
                </c:pt>
                <c:pt idx="2410">
                  <c:v>9347</c:v>
                </c:pt>
                <c:pt idx="2411">
                  <c:v>9396.5</c:v>
                </c:pt>
                <c:pt idx="2412">
                  <c:v>9264.5</c:v>
                </c:pt>
                <c:pt idx="2413">
                  <c:v>9211</c:v>
                </c:pt>
                <c:pt idx="2414">
                  <c:v>9271.5</c:v>
                </c:pt>
                <c:pt idx="2415">
                  <c:v>9382.5</c:v>
                </c:pt>
                <c:pt idx="2416">
                  <c:v>9433.5</c:v>
                </c:pt>
                <c:pt idx="2417">
                  <c:v>9580</c:v>
                </c:pt>
                <c:pt idx="2418">
                  <c:v>9709</c:v>
                </c:pt>
                <c:pt idx="2419">
                  <c:v>9697</c:v>
                </c:pt>
                <c:pt idx="2420">
                  <c:v>9781</c:v>
                </c:pt>
                <c:pt idx="2421">
                  <c:v>9747.5</c:v>
                </c:pt>
                <c:pt idx="2422">
                  <c:v>9737</c:v>
                </c:pt>
                <c:pt idx="2423">
                  <c:v>9583.5</c:v>
                </c:pt>
                <c:pt idx="2424">
                  <c:v>9503</c:v>
                </c:pt>
                <c:pt idx="2425">
                  <c:v>9429</c:v>
                </c:pt>
                <c:pt idx="2426">
                  <c:v>9529.5</c:v>
                </c:pt>
                <c:pt idx="2427">
                  <c:v>9311.5</c:v>
                </c:pt>
                <c:pt idx="2428">
                  <c:v>9409.5</c:v>
                </c:pt>
                <c:pt idx="2429">
                  <c:v>9421</c:v>
                </c:pt>
                <c:pt idx="2430">
                  <c:v>9508.5</c:v>
                </c:pt>
                <c:pt idx="2431">
                  <c:v>9429.5</c:v>
                </c:pt>
                <c:pt idx="2432">
                  <c:v>9377</c:v>
                </c:pt>
                <c:pt idx="2433">
                  <c:v>9346.5</c:v>
                </c:pt>
                <c:pt idx="2434">
                  <c:v>9148.5</c:v>
                </c:pt>
                <c:pt idx="2435">
                  <c:v>8775.5</c:v>
                </c:pt>
                <c:pt idx="2436">
                  <c:v>8922</c:v>
                </c:pt>
                <c:pt idx="2437">
                  <c:v>9237</c:v>
                </c:pt>
                <c:pt idx="2438">
                  <c:v>9316.5</c:v>
                </c:pt>
                <c:pt idx="2439">
                  <c:v>9378.5</c:v>
                </c:pt>
                <c:pt idx="2440">
                  <c:v>9323</c:v>
                </c:pt>
                <c:pt idx="2441">
                  <c:v>9352</c:v>
                </c:pt>
                <c:pt idx="2442">
                  <c:v>9462.5</c:v>
                </c:pt>
                <c:pt idx="2443">
                  <c:v>9312</c:v>
                </c:pt>
                <c:pt idx="2444">
                  <c:v>9347</c:v>
                </c:pt>
                <c:pt idx="2445">
                  <c:v>9361</c:v>
                </c:pt>
                <c:pt idx="2446">
                  <c:v>9401.5</c:v>
                </c:pt>
                <c:pt idx="2447">
                  <c:v>9325</c:v>
                </c:pt>
                <c:pt idx="2448">
                  <c:v>9256</c:v>
                </c:pt>
                <c:pt idx="2449">
                  <c:v>9356.5</c:v>
                </c:pt>
                <c:pt idx="2450">
                  <c:v>9515</c:v>
                </c:pt>
                <c:pt idx="2451">
                  <c:v>9627</c:v>
                </c:pt>
                <c:pt idx="2452">
                  <c:v>9407</c:v>
                </c:pt>
                <c:pt idx="2453">
                  <c:v>9488.5</c:v>
                </c:pt>
                <c:pt idx="2454">
                  <c:v>9392</c:v>
                </c:pt>
                <c:pt idx="2455">
                  <c:v>9435.5</c:v>
                </c:pt>
                <c:pt idx="2456">
                  <c:v>9145.5</c:v>
                </c:pt>
                <c:pt idx="2457">
                  <c:v>9106</c:v>
                </c:pt>
                <c:pt idx="2458">
                  <c:v>9255</c:v>
                </c:pt>
                <c:pt idx="2459">
                  <c:v>9252</c:v>
                </c:pt>
                <c:pt idx="2460">
                  <c:v>9275</c:v>
                </c:pt>
                <c:pt idx="2461">
                  <c:v>9341</c:v>
                </c:pt>
                <c:pt idx="2462">
                  <c:v>9263</c:v>
                </c:pt>
                <c:pt idx="2463">
                  <c:v>9227</c:v>
                </c:pt>
                <c:pt idx="2464">
                  <c:v>9041</c:v>
                </c:pt>
              </c:numCache>
            </c:numRef>
          </c:xVal>
          <c:yVal>
            <c:numRef>
              <c:f>표준편차!$C$4:$C$2468</c:f>
              <c:numCache>
                <c:formatCode>#,##0.00000;\(#,##0.00000\);\-</c:formatCode>
                <c:ptCount val="2465"/>
                <c:pt idx="0">
                  <c:v>2.2204128966404551E-4</c:v>
                </c:pt>
                <c:pt idx="1">
                  <c:v>2.2347067331887833E-4</c:v>
                </c:pt>
                <c:pt idx="2">
                  <c:v>2.5135097206629991E-4</c:v>
                </c:pt>
                <c:pt idx="3">
                  <c:v>2.447609153850861E-4</c:v>
                </c:pt>
                <c:pt idx="4">
                  <c:v>2.46572478831378E-4</c:v>
                </c:pt>
                <c:pt idx="5">
                  <c:v>2.2521365999699758E-4</c:v>
                </c:pt>
                <c:pt idx="6">
                  <c:v>2.1749733933567095E-4</c:v>
                </c:pt>
                <c:pt idx="7">
                  <c:v>1.7621306266461201E-4</c:v>
                </c:pt>
                <c:pt idx="8">
                  <c:v>1.731044070290662E-4</c:v>
                </c:pt>
                <c:pt idx="9">
                  <c:v>1.643251308085272E-4</c:v>
                </c:pt>
                <c:pt idx="10">
                  <c:v>1.392166324522655E-4</c:v>
                </c:pt>
                <c:pt idx="11">
                  <c:v>1.43546519249916E-4</c:v>
                </c:pt>
                <c:pt idx="12">
                  <c:v>1.1564158426921137E-4</c:v>
                </c:pt>
                <c:pt idx="13">
                  <c:v>1.3253483742058271E-4</c:v>
                </c:pt>
                <c:pt idx="14">
                  <c:v>1.1803471153659251E-4</c:v>
                </c:pt>
                <c:pt idx="15">
                  <c:v>1.272800524077084E-4</c:v>
                </c:pt>
                <c:pt idx="16">
                  <c:v>1.2671015237575989E-4</c:v>
                </c:pt>
                <c:pt idx="17">
                  <c:v>8.9068754120844975E-5</c:v>
                </c:pt>
                <c:pt idx="18">
                  <c:v>8.3326406296409421E-5</c:v>
                </c:pt>
                <c:pt idx="19">
                  <c:v>1.0914306769421904E-4</c:v>
                </c:pt>
                <c:pt idx="20">
                  <c:v>9.8063050672108246E-5</c:v>
                </c:pt>
                <c:pt idx="21">
                  <c:v>1.155055957772888E-4</c:v>
                </c:pt>
                <c:pt idx="22">
                  <c:v>1.1721138243058606E-4</c:v>
                </c:pt>
                <c:pt idx="23">
                  <c:v>1.198286051539399E-4</c:v>
                </c:pt>
                <c:pt idx="24">
                  <c:v>1.0088047740404885E-4</c:v>
                </c:pt>
                <c:pt idx="25">
                  <c:v>1.1769130098379599E-4</c:v>
                </c:pt>
                <c:pt idx="26">
                  <c:v>8.6052922030653659E-5</c:v>
                </c:pt>
                <c:pt idx="27">
                  <c:v>9.3772959628152748E-5</c:v>
                </c:pt>
                <c:pt idx="28">
                  <c:v>8.5480346784031844E-5</c:v>
                </c:pt>
                <c:pt idx="29">
                  <c:v>9.4804390872223798E-5</c:v>
                </c:pt>
                <c:pt idx="30">
                  <c:v>1.0835311091540868E-4</c:v>
                </c:pt>
                <c:pt idx="31">
                  <c:v>1.0960531625260988E-4</c:v>
                </c:pt>
                <c:pt idx="32">
                  <c:v>1.3560121928125679E-4</c:v>
                </c:pt>
                <c:pt idx="33">
                  <c:v>1.1300484753564005E-4</c:v>
                </c:pt>
                <c:pt idx="34">
                  <c:v>1.3202677885055934E-4</c:v>
                </c:pt>
                <c:pt idx="35">
                  <c:v>1.1913703277607857E-4</c:v>
                </c:pt>
                <c:pt idx="36">
                  <c:v>1.1020118936379629E-4</c:v>
                </c:pt>
                <c:pt idx="37">
                  <c:v>1.0795930618386263E-4</c:v>
                </c:pt>
                <c:pt idx="38">
                  <c:v>1.0367965894249484E-4</c:v>
                </c:pt>
                <c:pt idx="39">
                  <c:v>1.0432189093817303E-4</c:v>
                </c:pt>
                <c:pt idx="40">
                  <c:v>7.8039718392855175E-5</c:v>
                </c:pt>
                <c:pt idx="41">
                  <c:v>8.6167723915233887E-5</c:v>
                </c:pt>
                <c:pt idx="42">
                  <c:v>8.790120337867089E-5</c:v>
                </c:pt>
                <c:pt idx="43">
                  <c:v>8.7320993732778097E-5</c:v>
                </c:pt>
                <c:pt idx="44">
                  <c:v>9.6026443227176917E-5</c:v>
                </c:pt>
                <c:pt idx="45">
                  <c:v>1.1769130098379599E-4</c:v>
                </c:pt>
                <c:pt idx="46">
                  <c:v>1.2813714568252411E-4</c:v>
                </c:pt>
                <c:pt idx="47">
                  <c:v>1.1033384235572683E-4</c:v>
                </c:pt>
                <c:pt idx="48">
                  <c:v>1.1026750511391209E-4</c:v>
                </c:pt>
                <c:pt idx="49">
                  <c:v>1.088135393512029E-4</c:v>
                </c:pt>
                <c:pt idx="50">
                  <c:v>9.2628169848630354E-5</c:v>
                </c:pt>
                <c:pt idx="51">
                  <c:v>1.0025039585229734E-4</c:v>
                </c:pt>
                <c:pt idx="52">
                  <c:v>9.7443247359245319E-5</c:v>
                </c:pt>
                <c:pt idx="53">
                  <c:v>8.2150949430208407E-5</c:v>
                </c:pt>
                <c:pt idx="54">
                  <c:v>8.7320993732778097E-5</c:v>
                </c:pt>
                <c:pt idx="55">
                  <c:v>1.0419326618798082E-4</c:v>
                </c:pt>
                <c:pt idx="56">
                  <c:v>9.9936206891601195E-5</c:v>
                </c:pt>
                <c:pt idx="57">
                  <c:v>1.198286051539399E-4</c:v>
                </c:pt>
                <c:pt idx="58">
                  <c:v>1.0894528567921788E-4</c:v>
                </c:pt>
                <c:pt idx="59">
                  <c:v>9.8125157344586944E-5</c:v>
                </c:pt>
                <c:pt idx="60">
                  <c:v>9.4804390872223798E-5</c:v>
                </c:pt>
                <c:pt idx="61">
                  <c:v>9.8685149238253477E-5</c:v>
                </c:pt>
                <c:pt idx="62">
                  <c:v>1.1435304881450221E-4</c:v>
                </c:pt>
                <c:pt idx="63">
                  <c:v>9.8747485093702493E-5</c:v>
                </c:pt>
                <c:pt idx="64">
                  <c:v>9.8747485093702493E-5</c:v>
                </c:pt>
                <c:pt idx="65">
                  <c:v>8.7263103720176566E-5</c:v>
                </c:pt>
                <c:pt idx="66">
                  <c:v>1.0233825224504051E-4</c:v>
                </c:pt>
                <c:pt idx="67">
                  <c:v>1.136104984242887E-4</c:v>
                </c:pt>
                <c:pt idx="68">
                  <c:v>1.2885343159610074E-4</c:v>
                </c:pt>
                <c:pt idx="69">
                  <c:v>1.4975530928993289E-4</c:v>
                </c:pt>
                <c:pt idx="70">
                  <c:v>1.392166324522655E-4</c:v>
                </c:pt>
                <c:pt idx="71">
                  <c:v>1.4212226501826718E-4</c:v>
                </c:pt>
                <c:pt idx="72">
                  <c:v>1.5916233493292974E-4</c:v>
                </c:pt>
                <c:pt idx="73">
                  <c:v>1.5197396312729712E-4</c:v>
                </c:pt>
                <c:pt idx="74">
                  <c:v>1.5435802681948872E-4</c:v>
                </c:pt>
                <c:pt idx="75">
                  <c:v>1.6048758466503471E-4</c:v>
                </c:pt>
                <c:pt idx="76">
                  <c:v>1.4891678152563812E-4</c:v>
                </c:pt>
                <c:pt idx="77">
                  <c:v>1.4823198017047609E-4</c:v>
                </c:pt>
                <c:pt idx="78">
                  <c:v>1.378838748714208E-4</c:v>
                </c:pt>
                <c:pt idx="79">
                  <c:v>1.2465440936631114E-4</c:v>
                </c:pt>
                <c:pt idx="80">
                  <c:v>1.1489467457111788E-4</c:v>
                </c:pt>
                <c:pt idx="81">
                  <c:v>1.0335938020649214E-4</c:v>
                </c:pt>
                <c:pt idx="82">
                  <c:v>9.2688211245355848E-5</c:v>
                </c:pt>
                <c:pt idx="83">
                  <c:v>9.2868476048194821E-5</c:v>
                </c:pt>
                <c:pt idx="84">
                  <c:v>1.088794016744201E-4</c:v>
                </c:pt>
                <c:pt idx="85">
                  <c:v>1.2010579556358401E-4</c:v>
                </c:pt>
                <c:pt idx="86">
                  <c:v>1.2317582584212697E-4</c:v>
                </c:pt>
                <c:pt idx="87">
                  <c:v>1.3202677885055934E-4</c:v>
                </c:pt>
                <c:pt idx="88">
                  <c:v>1.5374158823283645E-4</c:v>
                </c:pt>
                <c:pt idx="89">
                  <c:v>1.3766226860764441E-4</c:v>
                </c:pt>
                <c:pt idx="90">
                  <c:v>1.5512972171001819E-4</c:v>
                </c:pt>
                <c:pt idx="91">
                  <c:v>1.7080033732745802E-4</c:v>
                </c:pt>
                <c:pt idx="92">
                  <c:v>1.9099439204757512E-4</c:v>
                </c:pt>
                <c:pt idx="93">
                  <c:v>2.1421465388616072E-4</c:v>
                </c:pt>
                <c:pt idx="94">
                  <c:v>2.1453537235814033E-4</c:v>
                </c:pt>
                <c:pt idx="95">
                  <c:v>2.0044192982854832E-4</c:v>
                </c:pt>
                <c:pt idx="96">
                  <c:v>1.9963432778934227E-4</c:v>
                </c:pt>
                <c:pt idx="97">
                  <c:v>2.0375184125142812E-4</c:v>
                </c:pt>
                <c:pt idx="98">
                  <c:v>2.2687300317712346E-4</c:v>
                </c:pt>
                <c:pt idx="99">
                  <c:v>2.2212077458750492E-4</c:v>
                </c:pt>
                <c:pt idx="100">
                  <c:v>2.1653766882305346E-4</c:v>
                </c:pt>
                <c:pt idx="101">
                  <c:v>2.0939390006022643E-4</c:v>
                </c:pt>
                <c:pt idx="102">
                  <c:v>2.1813656873555438E-4</c:v>
                </c:pt>
                <c:pt idx="103">
                  <c:v>2.4018897818998248E-4</c:v>
                </c:pt>
                <c:pt idx="104">
                  <c:v>2.4445799991281868E-4</c:v>
                </c:pt>
                <c:pt idx="105">
                  <c:v>2.6668452388599675E-4</c:v>
                </c:pt>
                <c:pt idx="106">
                  <c:v>2.5304851094166785E-4</c:v>
                </c:pt>
                <c:pt idx="107">
                  <c:v>2.4994060465955244E-4</c:v>
                </c:pt>
                <c:pt idx="108">
                  <c:v>2.8148619725529484E-4</c:v>
                </c:pt>
                <c:pt idx="109">
                  <c:v>2.6221323261836421E-4</c:v>
                </c:pt>
                <c:pt idx="110">
                  <c:v>2.6390225484788828E-4</c:v>
                </c:pt>
                <c:pt idx="111">
                  <c:v>2.6200109531671241E-4</c:v>
                </c:pt>
                <c:pt idx="112">
                  <c:v>2.6495047912594201E-4</c:v>
                </c:pt>
                <c:pt idx="113">
                  <c:v>2.4385133957458276E-4</c:v>
                </c:pt>
                <c:pt idx="114">
                  <c:v>2.5068379678054391E-4</c:v>
                </c:pt>
                <c:pt idx="115">
                  <c:v>2.4619591917998706E-4</c:v>
                </c:pt>
                <c:pt idx="116">
                  <c:v>2.3857518972344638E-4</c:v>
                </c:pt>
                <c:pt idx="117">
                  <c:v>2.5792931264345442E-4</c:v>
                </c:pt>
                <c:pt idx="118">
                  <c:v>2.7265278883884929E-4</c:v>
                </c:pt>
                <c:pt idx="119">
                  <c:v>2.6962786927620314E-4</c:v>
                </c:pt>
                <c:pt idx="120">
                  <c:v>2.6901601363956703E-4</c:v>
                </c:pt>
                <c:pt idx="121">
                  <c:v>2.6805979356133585E-4</c:v>
                </c:pt>
                <c:pt idx="122">
                  <c:v>2.5864919996770733E-4</c:v>
                </c:pt>
                <c:pt idx="123">
                  <c:v>2.3096148573282957E-4</c:v>
                </c:pt>
                <c:pt idx="124">
                  <c:v>2.2418426582577572E-4</c:v>
                </c:pt>
                <c:pt idx="125">
                  <c:v>2.0342904391523848E-4</c:v>
                </c:pt>
                <c:pt idx="126">
                  <c:v>2.1653766882305346E-4</c:v>
                </c:pt>
                <c:pt idx="127">
                  <c:v>2.0592977702716628E-4</c:v>
                </c:pt>
                <c:pt idx="128">
                  <c:v>2.3166593641399199E-4</c:v>
                </c:pt>
                <c:pt idx="129">
                  <c:v>2.43927232200069E-4</c:v>
                </c:pt>
                <c:pt idx="130">
                  <c:v>2.3849817581821827E-4</c:v>
                </c:pt>
                <c:pt idx="131">
                  <c:v>2.4316754126282625E-4</c:v>
                </c:pt>
                <c:pt idx="132">
                  <c:v>2.4551697879437816E-4</c:v>
                </c:pt>
                <c:pt idx="133">
                  <c:v>2.1749733933567095E-4</c:v>
                </c:pt>
                <c:pt idx="134">
                  <c:v>2.2600437897745941E-4</c:v>
                </c:pt>
                <c:pt idx="135">
                  <c:v>2.2044982392895539E-4</c:v>
                </c:pt>
                <c:pt idx="136">
                  <c:v>2.3229128198953047E-4</c:v>
                </c:pt>
                <c:pt idx="137">
                  <c:v>2.053653008818287E-4</c:v>
                </c:pt>
                <c:pt idx="138">
                  <c:v>2.2774036650319925E-4</c:v>
                </c:pt>
                <c:pt idx="139">
                  <c:v>2.6348135674088865E-4</c:v>
                </c:pt>
                <c:pt idx="140">
                  <c:v>2.6221323261836421E-4</c:v>
                </c:pt>
                <c:pt idx="141">
                  <c:v>2.5575603692434726E-4</c:v>
                </c:pt>
                <c:pt idx="142">
                  <c:v>2.4544145181884362E-4</c:v>
                </c:pt>
                <c:pt idx="143">
                  <c:v>2.3865218866546764E-4</c:v>
                </c:pt>
                <c:pt idx="144">
                  <c:v>2.4400310772023205E-4</c:v>
                </c:pt>
                <c:pt idx="145">
                  <c:v>2.3462907657077308E-4</c:v>
                </c:pt>
                <c:pt idx="146">
                  <c:v>2.4702375018203837E-4</c:v>
                </c:pt>
                <c:pt idx="147">
                  <c:v>2.6355156974826571E-4</c:v>
                </c:pt>
                <c:pt idx="148">
                  <c:v>2.7171792477562938E-4</c:v>
                </c:pt>
                <c:pt idx="149">
                  <c:v>2.6164704106848964E-4</c:v>
                </c:pt>
                <c:pt idx="150">
                  <c:v>2.3680014598626633E-4</c:v>
                </c:pt>
                <c:pt idx="151">
                  <c:v>2.4316754126282625E-4</c:v>
                </c:pt>
                <c:pt idx="152">
                  <c:v>2.4769941565932737E-4</c:v>
                </c:pt>
                <c:pt idx="153">
                  <c:v>2.5727945584526341E-4</c:v>
                </c:pt>
                <c:pt idx="154">
                  <c:v>2.5785719749766949E-4</c:v>
                </c:pt>
                <c:pt idx="155">
                  <c:v>2.6065244638974868E-4</c:v>
                </c:pt>
                <c:pt idx="156">
                  <c:v>2.6362175746671009E-4</c:v>
                </c:pt>
                <c:pt idx="157">
                  <c:v>2.6362175746671009E-4</c:v>
                </c:pt>
                <c:pt idx="158">
                  <c:v>2.4762441586326288E-4</c:v>
                </c:pt>
                <c:pt idx="159">
                  <c:v>2.5691763121951991E-4</c:v>
                </c:pt>
                <c:pt idx="160">
                  <c:v>2.4551697879437816E-4</c:v>
                </c:pt>
                <c:pt idx="161">
                  <c:v>2.3610348949620313E-4</c:v>
                </c:pt>
                <c:pt idx="162">
                  <c:v>2.2100721356667916E-4</c:v>
                </c:pt>
                <c:pt idx="163">
                  <c:v>2.315877127418236E-4</c:v>
                </c:pt>
                <c:pt idx="164">
                  <c:v>2.3072645201815205E-4</c:v>
                </c:pt>
                <c:pt idx="165">
                  <c:v>2.433196148217295E-4</c:v>
                </c:pt>
                <c:pt idx="166">
                  <c:v>2.2994223773475326E-4</c:v>
                </c:pt>
                <c:pt idx="167">
                  <c:v>2.3532809888839737E-4</c:v>
                </c:pt>
                <c:pt idx="168">
                  <c:v>2.2386720635793282E-4</c:v>
                </c:pt>
                <c:pt idx="169">
                  <c:v>2.2529277645320019E-4</c:v>
                </c:pt>
                <c:pt idx="170">
                  <c:v>2.3064808361721826E-4</c:v>
                </c:pt>
                <c:pt idx="171">
                  <c:v>2.2052947529175662E-4</c:v>
                </c:pt>
                <c:pt idx="172">
                  <c:v>1.9260838649086179E-4</c:v>
                </c:pt>
                <c:pt idx="173">
                  <c:v>1.6259898911205202E-4</c:v>
                </c:pt>
                <c:pt idx="174">
                  <c:v>1.5512972171001819E-4</c:v>
                </c:pt>
                <c:pt idx="175">
                  <c:v>1.5197396312729712E-4</c:v>
                </c:pt>
                <c:pt idx="176">
                  <c:v>1.5892881013982878E-4</c:v>
                </c:pt>
                <c:pt idx="177">
                  <c:v>1.0894528567921788E-4</c:v>
                </c:pt>
                <c:pt idx="178">
                  <c:v>1.2359740780456773E-4</c:v>
                </c:pt>
                <c:pt idx="179">
                  <c:v>1.334806712017465E-4</c:v>
                </c:pt>
                <c:pt idx="180">
                  <c:v>1.1941342064245868E-4</c:v>
                </c:pt>
                <c:pt idx="181">
                  <c:v>1.3670371021314823E-4</c:v>
                </c:pt>
                <c:pt idx="182">
                  <c:v>1.2514915719931619E-4</c:v>
                </c:pt>
                <c:pt idx="183">
                  <c:v>1.4362163441574151E-4</c:v>
                </c:pt>
                <c:pt idx="184">
                  <c:v>1.318093061082309E-4</c:v>
                </c:pt>
                <c:pt idx="185">
                  <c:v>1.4739656968831537E-4</c:v>
                </c:pt>
                <c:pt idx="186">
                  <c:v>1.4070366413368102E-4</c:v>
                </c:pt>
                <c:pt idx="187">
                  <c:v>1.2720874927403777E-4</c:v>
                </c:pt>
                <c:pt idx="188">
                  <c:v>1.3825355017751576E-4</c:v>
                </c:pt>
                <c:pt idx="189">
                  <c:v>1.1707444678097953E-4</c:v>
                </c:pt>
                <c:pt idx="190">
                  <c:v>1.2599947169184101E-4</c:v>
                </c:pt>
                <c:pt idx="191">
                  <c:v>1.1913703277607857E-4</c:v>
                </c:pt>
                <c:pt idx="192">
                  <c:v>1.2275494428677815E-4</c:v>
                </c:pt>
                <c:pt idx="193">
                  <c:v>1.4701741417716432E-4</c:v>
                </c:pt>
                <c:pt idx="194">
                  <c:v>1.3951352131065246E-4</c:v>
                </c:pt>
                <c:pt idx="195">
                  <c:v>1.4830801244617207E-4</c:v>
                </c:pt>
                <c:pt idx="196">
                  <c:v>1.3523457316023767E-4</c:v>
                </c:pt>
                <c:pt idx="197">
                  <c:v>1.4010807732156458E-4</c:v>
                </c:pt>
                <c:pt idx="198">
                  <c:v>1.4747244420917674E-4</c:v>
                </c:pt>
                <c:pt idx="199">
                  <c:v>1.457310173591797E-4</c:v>
                </c:pt>
                <c:pt idx="200">
                  <c:v>1.5013701520633321E-4</c:v>
                </c:pt>
                <c:pt idx="201">
                  <c:v>1.3552785585966049E-4</c:v>
                </c:pt>
                <c:pt idx="202">
                  <c:v>1.4884063589173748E-4</c:v>
                </c:pt>
                <c:pt idx="203">
                  <c:v>1.7024521256342814E-4</c:v>
                </c:pt>
                <c:pt idx="204">
                  <c:v>1.8986510774567526E-4</c:v>
                </c:pt>
                <c:pt idx="205">
                  <c:v>1.8994575507460293E-4</c:v>
                </c:pt>
                <c:pt idx="206">
                  <c:v>1.9131712711958706E-4</c:v>
                </c:pt>
                <c:pt idx="207">
                  <c:v>2.053653008818287E-4</c:v>
                </c:pt>
                <c:pt idx="208">
                  <c:v>2.1260972240191335E-4</c:v>
                </c:pt>
                <c:pt idx="209">
                  <c:v>2.0617165392669624E-4</c:v>
                </c:pt>
                <c:pt idx="210">
                  <c:v>1.9664585077216391E-4</c:v>
                </c:pt>
                <c:pt idx="211">
                  <c:v>1.9793818565078401E-4</c:v>
                </c:pt>
                <c:pt idx="212">
                  <c:v>2.0528465078997992E-4</c:v>
                </c:pt>
                <c:pt idx="213">
                  <c:v>2.3103980637433354E-4</c:v>
                </c:pt>
                <c:pt idx="214">
                  <c:v>2.2204128966404551E-4</c:v>
                </c:pt>
                <c:pt idx="215">
                  <c:v>2.2307391185560492E-4</c:v>
                </c:pt>
                <c:pt idx="216">
                  <c:v>2.3080480852453252E-4</c:v>
                </c:pt>
                <c:pt idx="217">
                  <c:v>2.4087851165821195E-4</c:v>
                </c:pt>
                <c:pt idx="218">
                  <c:v>2.2750394019223049E-4</c:v>
                </c:pt>
                <c:pt idx="219">
                  <c:v>2.3064808361721826E-4</c:v>
                </c:pt>
                <c:pt idx="220">
                  <c:v>2.2616240263693876E-4</c:v>
                </c:pt>
                <c:pt idx="221">
                  <c:v>2.3080480852453252E-4</c:v>
                </c:pt>
                <c:pt idx="222">
                  <c:v>2.3587101779649626E-4</c:v>
                </c:pt>
                <c:pt idx="223">
                  <c:v>2.2052947529175662E-4</c:v>
                </c:pt>
                <c:pt idx="224">
                  <c:v>2.1084192395433266E-4</c:v>
                </c:pt>
                <c:pt idx="225">
                  <c:v>2.1501627400477642E-4</c:v>
                </c:pt>
                <c:pt idx="226">
                  <c:v>2.132519554326891E-4</c:v>
                </c:pt>
                <c:pt idx="227">
                  <c:v>2.1965287450809295E-4</c:v>
                </c:pt>
                <c:pt idx="228">
                  <c:v>2.0447801275443446E-4</c:v>
                </c:pt>
                <c:pt idx="229">
                  <c:v>2.0036117330815906E-4</c:v>
                </c:pt>
                <c:pt idx="230">
                  <c:v>2.1260972240191335E-4</c:v>
                </c:pt>
                <c:pt idx="231">
                  <c:v>1.9163989577013682E-4</c:v>
                </c:pt>
                <c:pt idx="232">
                  <c:v>1.7573410287023523E-4</c:v>
                </c:pt>
                <c:pt idx="233">
                  <c:v>1.7151466863957619E-4</c:v>
                </c:pt>
                <c:pt idx="234">
                  <c:v>1.6905707170965196E-4</c:v>
                </c:pt>
                <c:pt idx="235">
                  <c:v>1.6416800253103033E-4</c:v>
                </c:pt>
                <c:pt idx="236">
                  <c:v>1.6440371017532721E-4</c:v>
                </c:pt>
                <c:pt idx="237">
                  <c:v>1.731044070290662E-4</c:v>
                </c:pt>
                <c:pt idx="238">
                  <c:v>1.5028979426330721E-4</c:v>
                </c:pt>
                <c:pt idx="239">
                  <c:v>1.5667685959707436E-4</c:v>
                </c:pt>
                <c:pt idx="240">
                  <c:v>1.5174391890713571E-4</c:v>
                </c:pt>
                <c:pt idx="241">
                  <c:v>1.675549564641789E-4</c:v>
                </c:pt>
                <c:pt idx="242">
                  <c:v>1.6017546693657193E-4</c:v>
                </c:pt>
                <c:pt idx="243">
                  <c:v>1.674759889992803E-4</c:v>
                </c:pt>
                <c:pt idx="244">
                  <c:v>1.6676570194284411E-4</c:v>
                </c:pt>
                <c:pt idx="245">
                  <c:v>1.7621306266461201E-4</c:v>
                </c:pt>
                <c:pt idx="246">
                  <c:v>1.9559589028492173E-4</c:v>
                </c:pt>
                <c:pt idx="247">
                  <c:v>2.0480069710396011E-4</c:v>
                </c:pt>
                <c:pt idx="248">
                  <c:v>2.029447903583672E-4</c:v>
                </c:pt>
                <c:pt idx="249">
                  <c:v>1.881721461703467E-4</c:v>
                </c:pt>
                <c:pt idx="250">
                  <c:v>1.8841391951802256E-4</c:v>
                </c:pt>
                <c:pt idx="251">
                  <c:v>1.8117564910624534E-4</c:v>
                </c:pt>
                <c:pt idx="252">
                  <c:v>1.5435802681948872E-4</c:v>
                </c:pt>
                <c:pt idx="253">
                  <c:v>1.4588213725388923E-4</c:v>
                </c:pt>
                <c:pt idx="254">
                  <c:v>1.6353989863164298E-4</c:v>
                </c:pt>
                <c:pt idx="255">
                  <c:v>1.6834513653757557E-4</c:v>
                </c:pt>
                <c:pt idx="256">
                  <c:v>1.5970762844214864E-4</c:v>
                </c:pt>
                <c:pt idx="257">
                  <c:v>1.583843253133261E-4</c:v>
                </c:pt>
                <c:pt idx="258">
                  <c:v>1.4945019440558576E-4</c:v>
                </c:pt>
                <c:pt idx="259">
                  <c:v>1.5652192422152563E-4</c:v>
                </c:pt>
                <c:pt idx="260">
                  <c:v>1.6291245763411092E-4</c:v>
                </c:pt>
                <c:pt idx="261">
                  <c:v>1.7637277034359346E-4</c:v>
                </c:pt>
                <c:pt idx="262">
                  <c:v>1.8189784868782437E-4</c:v>
                </c:pt>
                <c:pt idx="263">
                  <c:v>1.7877150638217462E-4</c:v>
                </c:pt>
                <c:pt idx="264">
                  <c:v>1.5931807577318418E-4</c:v>
                </c:pt>
                <c:pt idx="265">
                  <c:v>1.6440371017532721E-4</c:v>
                </c:pt>
                <c:pt idx="266">
                  <c:v>1.5698687617427483E-4</c:v>
                </c:pt>
                <c:pt idx="267">
                  <c:v>1.4967900969292748E-4</c:v>
                </c:pt>
                <c:pt idx="268">
                  <c:v>1.6197256276384491E-4</c:v>
                </c:pt>
                <c:pt idx="269">
                  <c:v>1.5822886344112364E-4</c:v>
                </c:pt>
                <c:pt idx="270">
                  <c:v>1.652687466471069E-4</c:v>
                </c:pt>
                <c:pt idx="271">
                  <c:v>1.6597739489744709E-4</c:v>
                </c:pt>
                <c:pt idx="272">
                  <c:v>1.406291596956196E-4</c:v>
                </c:pt>
                <c:pt idx="273">
                  <c:v>1.4144958445678766E-4</c:v>
                </c:pt>
                <c:pt idx="274">
                  <c:v>1.4294615158804975E-4</c:v>
                </c:pt>
                <c:pt idx="275">
                  <c:v>1.3318932885763451E-4</c:v>
                </c:pt>
                <c:pt idx="276">
                  <c:v>1.3079656238052331E-4</c:v>
                </c:pt>
                <c:pt idx="277">
                  <c:v>1.3699834977070076E-4</c:v>
                </c:pt>
                <c:pt idx="278">
                  <c:v>1.3523457316023767E-4</c:v>
                </c:pt>
                <c:pt idx="279">
                  <c:v>1.3479516374237209E-4</c:v>
                </c:pt>
                <c:pt idx="280">
                  <c:v>1.3464883165560315E-4</c:v>
                </c:pt>
                <c:pt idx="281">
                  <c:v>1.392908302563484E-4</c:v>
                </c:pt>
                <c:pt idx="282">
                  <c:v>1.3391820952940602E-4</c:v>
                </c:pt>
                <c:pt idx="283">
                  <c:v>1.3744081205386484E-4</c:v>
                </c:pt>
                <c:pt idx="284">
                  <c:v>1.3721950563402274E-4</c:v>
                </c:pt>
                <c:pt idx="285">
                  <c:v>1.5582532146757113E-4</c:v>
                </c:pt>
                <c:pt idx="286">
                  <c:v>1.5667685959707436E-4</c:v>
                </c:pt>
                <c:pt idx="287">
                  <c:v>1.661349794611657E-4</c:v>
                </c:pt>
                <c:pt idx="288">
                  <c:v>1.920434012607178E-4</c:v>
                </c:pt>
                <c:pt idx="289">
                  <c:v>1.9567665301517762E-4</c:v>
                </c:pt>
                <c:pt idx="290">
                  <c:v>1.8913940033349498E-4</c:v>
                </c:pt>
                <c:pt idx="291">
                  <c:v>2.02137562376627E-4</c:v>
                </c:pt>
                <c:pt idx="292">
                  <c:v>1.9470755240978544E-4</c:v>
                </c:pt>
                <c:pt idx="293">
                  <c:v>1.9519208768885933E-4</c:v>
                </c:pt>
                <c:pt idx="294">
                  <c:v>2.2844906167549539E-4</c:v>
                </c:pt>
                <c:pt idx="295">
                  <c:v>2.0762234358989411E-4</c:v>
                </c:pt>
                <c:pt idx="296">
                  <c:v>2.1260972240191335E-4</c:v>
                </c:pt>
                <c:pt idx="297">
                  <c:v>2.1589735932932204E-4</c:v>
                </c:pt>
                <c:pt idx="298">
                  <c:v>2.2044982392895539E-4</c:v>
                </c:pt>
                <c:pt idx="299">
                  <c:v>2.110027280116658E-4</c:v>
                </c:pt>
                <c:pt idx="300">
                  <c:v>2.1949339107320897E-4</c:v>
                </c:pt>
                <c:pt idx="301">
                  <c:v>1.9729201376754134E-4</c:v>
                </c:pt>
                <c:pt idx="302">
                  <c:v>2.0334833966972473E-4</c:v>
                </c:pt>
                <c:pt idx="303">
                  <c:v>2.058491457555292E-4</c:v>
                </c:pt>
                <c:pt idx="304">
                  <c:v>2.0262191886863309E-4</c:v>
                </c:pt>
                <c:pt idx="305">
                  <c:v>2.3857518972344638E-4</c:v>
                </c:pt>
                <c:pt idx="306">
                  <c:v>2.4110807140473539E-4</c:v>
                </c:pt>
                <c:pt idx="307">
                  <c:v>2.3563842103216815E-4</c:v>
                </c:pt>
                <c:pt idx="308">
                  <c:v>2.3478450950973237E-4</c:v>
                </c:pt>
                <c:pt idx="309">
                  <c:v>2.288423968932529E-4</c:v>
                </c:pt>
                <c:pt idx="310">
                  <c:v>2.3135296848437453E-4</c:v>
                </c:pt>
                <c:pt idx="311">
                  <c:v>2.2679408884373754E-4</c:v>
                </c:pt>
                <c:pt idx="312">
                  <c:v>2.3633583530927624E-4</c:v>
                </c:pt>
                <c:pt idx="313">
                  <c:v>2.3439582666761528E-4</c:v>
                </c:pt>
                <c:pt idx="314">
                  <c:v>2.5670026660772652E-4</c:v>
                </c:pt>
                <c:pt idx="315">
                  <c:v>2.6086597345417918E-4</c:v>
                </c:pt>
                <c:pt idx="316">
                  <c:v>2.7044015469944677E-4</c:v>
                </c:pt>
                <c:pt idx="317">
                  <c:v>2.6502015473694974E-4</c:v>
                </c:pt>
                <c:pt idx="318">
                  <c:v>2.5334261988817881E-4</c:v>
                </c:pt>
                <c:pt idx="319">
                  <c:v>2.4919545665334124E-4</c:v>
                </c:pt>
                <c:pt idx="320">
                  <c:v>2.3988211181708E-4</c:v>
                </c:pt>
                <c:pt idx="321">
                  <c:v>2.4551697879437816E-4</c:v>
                </c:pt>
                <c:pt idx="322">
                  <c:v>2.4551697879437816E-4</c:v>
                </c:pt>
                <c:pt idx="323">
                  <c:v>2.9658542066843057E-4</c:v>
                </c:pt>
                <c:pt idx="324">
                  <c:v>2.8546381018533501E-4</c:v>
                </c:pt>
                <c:pt idx="325">
                  <c:v>3.0198575461567426E-4</c:v>
                </c:pt>
                <c:pt idx="326">
                  <c:v>3.1109996634163557E-4</c:v>
                </c:pt>
                <c:pt idx="327">
                  <c:v>3.1011444962194304E-4</c:v>
                </c:pt>
                <c:pt idx="328">
                  <c:v>3.1712876711396059E-4</c:v>
                </c:pt>
                <c:pt idx="329">
                  <c:v>3.2062613466175231E-4</c:v>
                </c:pt>
                <c:pt idx="330">
                  <c:v>3.1312788902812045E-4</c:v>
                </c:pt>
                <c:pt idx="331">
                  <c:v>3.0498407583624305E-4</c:v>
                </c:pt>
                <c:pt idx="332">
                  <c:v>3.0317811672234612E-4</c:v>
                </c:pt>
                <c:pt idx="333">
                  <c:v>3.0081597569961958E-4</c:v>
                </c:pt>
                <c:pt idx="334">
                  <c:v>3.0135515706382484E-4</c:v>
                </c:pt>
                <c:pt idx="335">
                  <c:v>3.1715911905352015E-4</c:v>
                </c:pt>
                <c:pt idx="336">
                  <c:v>3.1743003314645498E-4</c:v>
                </c:pt>
                <c:pt idx="337">
                  <c:v>2.9642724590291217E-4</c:v>
                </c:pt>
                <c:pt idx="338">
                  <c:v>2.8284855126078316E-4</c:v>
                </c:pt>
                <c:pt idx="339">
                  <c:v>2.7185182475278726E-4</c:v>
                </c:pt>
                <c:pt idx="340">
                  <c:v>2.7384632107303275E-4</c:v>
                </c:pt>
                <c:pt idx="341">
                  <c:v>2.6298916013413651E-4</c:v>
                </c:pt>
                <c:pt idx="342">
                  <c:v>2.6853857607114464E-4</c:v>
                </c:pt>
                <c:pt idx="343">
                  <c:v>2.8824824679365139E-4</c:v>
                </c:pt>
                <c:pt idx="344">
                  <c:v>2.9916795990765329E-4</c:v>
                </c:pt>
                <c:pt idx="345">
                  <c:v>2.9916795990765329E-4</c:v>
                </c:pt>
                <c:pt idx="346">
                  <c:v>2.7138267064295726E-4</c:v>
                </c:pt>
                <c:pt idx="347">
                  <c:v>2.7839456250203009E-4</c:v>
                </c:pt>
                <c:pt idx="348">
                  <c:v>2.6390225484788828E-4</c:v>
                </c:pt>
                <c:pt idx="349">
                  <c:v>2.5001501239244755E-4</c:v>
                </c:pt>
                <c:pt idx="350">
                  <c:v>2.7717503544707112E-4</c:v>
                </c:pt>
                <c:pt idx="351">
                  <c:v>2.8291008985261438E-4</c:v>
                </c:pt>
                <c:pt idx="352">
                  <c:v>2.8079897654970196E-4</c:v>
                </c:pt>
                <c:pt idx="353">
                  <c:v>2.8754483354324304E-4</c:v>
                </c:pt>
                <c:pt idx="354">
                  <c:v>2.8223131027496032E-4</c:v>
                </c:pt>
                <c:pt idx="355">
                  <c:v>2.8278697885665219E-4</c:v>
                </c:pt>
                <c:pt idx="356">
                  <c:v>2.7124836793316351E-4</c:v>
                </c:pt>
                <c:pt idx="357">
                  <c:v>2.7030505520504261E-4</c:v>
                </c:pt>
                <c:pt idx="358">
                  <c:v>2.5857731512121765E-4</c:v>
                </c:pt>
                <c:pt idx="359">
                  <c:v>2.7384632107303275E-4</c:v>
                </c:pt>
                <c:pt idx="360">
                  <c:v>2.776256582458067E-4</c:v>
                </c:pt>
                <c:pt idx="361">
                  <c:v>2.9663806532425442E-4</c:v>
                </c:pt>
                <c:pt idx="362">
                  <c:v>3.0489308424210806E-4</c:v>
                </c:pt>
                <c:pt idx="363">
                  <c:v>3.0012237372707755E-4</c:v>
                </c:pt>
                <c:pt idx="364">
                  <c:v>3.0289440272678639E-4</c:v>
                </c:pt>
                <c:pt idx="365">
                  <c:v>3.0406624545543519E-4</c:v>
                </c:pt>
                <c:pt idx="366">
                  <c:v>3.0628353040832552E-4</c:v>
                </c:pt>
                <c:pt idx="367">
                  <c:v>3.1047260641872676E-4</c:v>
                </c:pt>
                <c:pt idx="368">
                  <c:v>3.1031389250630714E-4</c:v>
                </c:pt>
                <c:pt idx="369">
                  <c:v>3.2076805497964934E-4</c:v>
                </c:pt>
                <c:pt idx="370">
                  <c:v>3.221248943491141E-4</c:v>
                </c:pt>
                <c:pt idx="371">
                  <c:v>3.2570580688435255E-4</c:v>
                </c:pt>
                <c:pt idx="372">
                  <c:v>3.2390222618743731E-4</c:v>
                </c:pt>
                <c:pt idx="373">
                  <c:v>3.2494524219147265E-4</c:v>
                </c:pt>
                <c:pt idx="374">
                  <c:v>3.2448152378802283E-4</c:v>
                </c:pt>
                <c:pt idx="375">
                  <c:v>3.2312492672304617E-4</c:v>
                </c:pt>
                <c:pt idx="376">
                  <c:v>3.144366546997435E-4</c:v>
                </c:pt>
                <c:pt idx="377">
                  <c:v>3.0971207139565097E-4</c:v>
                </c:pt>
                <c:pt idx="378">
                  <c:v>3.14089472754089E-4</c:v>
                </c:pt>
                <c:pt idx="379">
                  <c:v>3.1419413768904366E-4</c:v>
                </c:pt>
                <c:pt idx="380">
                  <c:v>3.2013962752962293E-4</c:v>
                </c:pt>
                <c:pt idx="381">
                  <c:v>3.2259609182210913E-4</c:v>
                </c:pt>
                <c:pt idx="382">
                  <c:v>3.2411995378226637E-4</c:v>
                </c:pt>
                <c:pt idx="383">
                  <c:v>3.2200236562085672E-4</c:v>
                </c:pt>
                <c:pt idx="384">
                  <c:v>3.0843529715841102E-4</c:v>
                </c:pt>
                <c:pt idx="385">
                  <c:v>3.1401945344658889E-4</c:v>
                </c:pt>
                <c:pt idx="386">
                  <c:v>3.1613117687313044E-4</c:v>
                </c:pt>
                <c:pt idx="387">
                  <c:v>3.1305526256884564E-4</c:v>
                </c:pt>
                <c:pt idx="388">
                  <c:v>3.1394924015122871E-4</c:v>
                </c:pt>
                <c:pt idx="389">
                  <c:v>3.1830367229673893E-4</c:v>
                </c:pt>
                <c:pt idx="390">
                  <c:v>3.1422892885883929E-4</c:v>
                </c:pt>
                <c:pt idx="391">
                  <c:v>3.0971207139565097E-4</c:v>
                </c:pt>
                <c:pt idx="392">
                  <c:v>3.1121625699629714E-4</c:v>
                </c:pt>
                <c:pt idx="393">
                  <c:v>3.010616921667577E-4</c:v>
                </c:pt>
                <c:pt idx="394">
                  <c:v>3.1370196794589466E-4</c:v>
                </c:pt>
                <c:pt idx="395">
                  <c:v>3.1521666381483307E-4</c:v>
                </c:pt>
                <c:pt idx="396">
                  <c:v>3.1801750019417138E-4</c:v>
                </c:pt>
                <c:pt idx="397">
                  <c:v>3.2307228243480388E-4</c:v>
                </c:pt>
                <c:pt idx="398">
                  <c:v>3.2090810992463532E-4</c:v>
                </c:pt>
                <c:pt idx="399">
                  <c:v>3.0814088227964684E-4</c:v>
                </c:pt>
                <c:pt idx="400">
                  <c:v>3.0641581752279272E-4</c:v>
                </c:pt>
                <c:pt idx="401">
                  <c:v>3.1201838597058184E-4</c:v>
                </c:pt>
                <c:pt idx="402">
                  <c:v>3.0575036000937385E-4</c:v>
                </c:pt>
                <c:pt idx="403">
                  <c:v>3.1609918228509958E-4</c:v>
                </c:pt>
                <c:pt idx="404">
                  <c:v>2.9648001093303454E-4</c:v>
                </c:pt>
                <c:pt idx="405">
                  <c:v>2.8935128240214125E-4</c:v>
                </c:pt>
                <c:pt idx="406">
                  <c:v>2.8216940128474922E-4</c:v>
                </c:pt>
                <c:pt idx="407">
                  <c:v>2.777541249018365E-4</c:v>
                </c:pt>
                <c:pt idx="408">
                  <c:v>2.7884097814000924E-4</c:v>
                </c:pt>
                <c:pt idx="409">
                  <c:v>2.8437679998880592E-4</c:v>
                </c:pt>
                <c:pt idx="410">
                  <c:v>2.7057514107715934E-4</c:v>
                </c:pt>
                <c:pt idx="411">
                  <c:v>2.7717503544707112E-4</c:v>
                </c:pt>
                <c:pt idx="412">
                  <c:v>2.7972909490396283E-4</c:v>
                </c:pt>
                <c:pt idx="413">
                  <c:v>2.8340117799867848E-4</c:v>
                </c:pt>
                <c:pt idx="414">
                  <c:v>2.6989908039073296E-4</c:v>
                </c:pt>
                <c:pt idx="415">
                  <c:v>2.7522656878434221E-4</c:v>
                </c:pt>
                <c:pt idx="416">
                  <c:v>2.7522656878434221E-4</c:v>
                </c:pt>
                <c:pt idx="417">
                  <c:v>2.8340117799867848E-4</c:v>
                </c:pt>
                <c:pt idx="418">
                  <c:v>2.8648002065494632E-4</c:v>
                </c:pt>
                <c:pt idx="419">
                  <c:v>2.9921856592729192E-4</c:v>
                </c:pt>
                <c:pt idx="420">
                  <c:v>2.9055497002925147E-4</c:v>
                </c:pt>
                <c:pt idx="421">
                  <c:v>2.8963935529309227E-4</c:v>
                </c:pt>
                <c:pt idx="422">
                  <c:v>2.9605676997181303E-4</c:v>
                </c:pt>
                <c:pt idx="423">
                  <c:v>2.9840391924301247E-4</c:v>
                </c:pt>
                <c:pt idx="424">
                  <c:v>2.9112238181606119E-4</c:v>
                </c:pt>
                <c:pt idx="425">
                  <c:v>2.8871428964588066E-4</c:v>
                </c:pt>
                <c:pt idx="426">
                  <c:v>2.9095255192107831E-4</c:v>
                </c:pt>
                <c:pt idx="427">
                  <c:v>2.9196644074387261E-4</c:v>
                </c:pt>
                <c:pt idx="428">
                  <c:v>3.0420503842854056E-4</c:v>
                </c:pt>
                <c:pt idx="429">
                  <c:v>3.0557121083943329E-4</c:v>
                </c:pt>
                <c:pt idx="430">
                  <c:v>3.0360076568767749E-4</c:v>
                </c:pt>
                <c:pt idx="431">
                  <c:v>3.02989146826285E-4</c:v>
                </c:pt>
                <c:pt idx="432">
                  <c:v>2.9967215474674934E-4</c:v>
                </c:pt>
                <c:pt idx="433">
                  <c:v>2.7509568982040939E-4</c:v>
                </c:pt>
                <c:pt idx="434">
                  <c:v>2.7594422386811504E-4</c:v>
                </c:pt>
                <c:pt idx="435">
                  <c:v>2.899265052371507E-4</c:v>
                </c:pt>
                <c:pt idx="436">
                  <c:v>2.9444697691398939E-4</c:v>
                </c:pt>
                <c:pt idx="437">
                  <c:v>2.9285734557161819E-4</c:v>
                </c:pt>
                <c:pt idx="438">
                  <c:v>2.8528342503600373E-4</c:v>
                </c:pt>
                <c:pt idx="439">
                  <c:v>2.8136154569947719E-4</c:v>
                </c:pt>
                <c:pt idx="440">
                  <c:v>2.76528634000764E-4</c:v>
                </c:pt>
                <c:pt idx="441">
                  <c:v>2.8546381018533501E-4</c:v>
                </c:pt>
                <c:pt idx="442">
                  <c:v>2.9274651801541673E-4</c:v>
                </c:pt>
                <c:pt idx="443">
                  <c:v>2.8588348252053418E-4</c:v>
                </c:pt>
                <c:pt idx="444">
                  <c:v>2.9362882523422957E-4</c:v>
                </c:pt>
                <c:pt idx="445">
                  <c:v>2.9106580941938391E-4</c:v>
                </c:pt>
                <c:pt idx="446">
                  <c:v>2.8395104563850611E-4</c:v>
                </c:pt>
                <c:pt idx="447">
                  <c:v>2.9439270656250001E-4</c:v>
                </c:pt>
                <c:pt idx="448">
                  <c:v>2.9742290046363534E-4</c:v>
                </c:pt>
                <c:pt idx="449">
                  <c:v>2.9610981500837396E-4</c:v>
                </c:pt>
                <c:pt idx="450">
                  <c:v>2.8707301216211305E-4</c:v>
                </c:pt>
                <c:pt idx="451">
                  <c:v>2.8935128240214125E-4</c:v>
                </c:pt>
                <c:pt idx="452">
                  <c:v>2.9246877833441433E-4</c:v>
                </c:pt>
                <c:pt idx="453">
                  <c:v>2.9095255192107831E-4</c:v>
                </c:pt>
                <c:pt idx="454">
                  <c:v>2.8272537266813312E-4</c:v>
                </c:pt>
                <c:pt idx="455">
                  <c:v>2.8467987559748756E-4</c:v>
                </c:pt>
                <c:pt idx="456">
                  <c:v>2.804224493283258E-4</c:v>
                </c:pt>
                <c:pt idx="457">
                  <c:v>2.8766242988598412E-4</c:v>
                </c:pt>
                <c:pt idx="458">
                  <c:v>2.9230167558779108E-4</c:v>
                </c:pt>
                <c:pt idx="459">
                  <c:v>2.960036850336383E-4</c:v>
                </c:pt>
                <c:pt idx="460">
                  <c:v>2.9219008296349757E-4</c:v>
                </c:pt>
                <c:pt idx="461">
                  <c:v>2.8588348252053418E-4</c:v>
                </c:pt>
                <c:pt idx="462">
                  <c:v>2.784584318080234E-4</c:v>
                </c:pt>
                <c:pt idx="463">
                  <c:v>2.8364590545028285E-4</c:v>
                </c:pt>
                <c:pt idx="464">
                  <c:v>2.8098679658634853E-4</c:v>
                </c:pt>
                <c:pt idx="465">
                  <c:v>2.9004110604736181E-4</c:v>
                </c:pt>
                <c:pt idx="466">
                  <c:v>2.9466366657933439E-4</c:v>
                </c:pt>
                <c:pt idx="467">
                  <c:v>2.8772117405844523E-4</c:v>
                </c:pt>
                <c:pt idx="468">
                  <c:v>2.9674323408864682E-4</c:v>
                </c:pt>
                <c:pt idx="469">
                  <c:v>2.9605676997181303E-4</c:v>
                </c:pt>
                <c:pt idx="470">
                  <c:v>2.9504136140076853E-4</c:v>
                </c:pt>
                <c:pt idx="471">
                  <c:v>2.9621578527723967E-4</c:v>
                </c:pt>
                <c:pt idx="472">
                  <c:v>3.0619511520338019E-4</c:v>
                </c:pt>
                <c:pt idx="473">
                  <c:v>3.1287285626397407E-4</c:v>
                </c:pt>
                <c:pt idx="474">
                  <c:v>3.1070927374683775E-4</c:v>
                </c:pt>
                <c:pt idx="475">
                  <c:v>3.080986402677103E-4</c:v>
                </c:pt>
                <c:pt idx="476">
                  <c:v>3.1228111357179235E-4</c:v>
                </c:pt>
                <c:pt idx="477">
                  <c:v>3.0971207139565097E-4</c:v>
                </c:pt>
                <c:pt idx="478">
                  <c:v>3.087274684684091E-4</c:v>
                </c:pt>
                <c:pt idx="479">
                  <c:v>3.0213025417738515E-4</c:v>
                </c:pt>
                <c:pt idx="480">
                  <c:v>3.0193750266550607E-4</c:v>
                </c:pt>
                <c:pt idx="481">
                  <c:v>3.0159854535573267E-4</c:v>
                </c:pt>
                <c:pt idx="482">
                  <c:v>3.034602731104381E-4</c:v>
                </c:pt>
                <c:pt idx="483">
                  <c:v>3.09058622452596E-4</c:v>
                </c:pt>
                <c:pt idx="484">
                  <c:v>3.0570563940769772E-4</c:v>
                </c:pt>
                <c:pt idx="485">
                  <c:v>3.0733050201707215E-4</c:v>
                </c:pt>
                <c:pt idx="486">
                  <c:v>3.124301957343906E-4</c:v>
                </c:pt>
                <c:pt idx="487">
                  <c:v>3.1011444962194304E-4</c:v>
                </c:pt>
                <c:pt idx="488">
                  <c:v>3.0061864378713677E-4</c:v>
                </c:pt>
                <c:pt idx="489">
                  <c:v>2.9737086100545561E-4</c:v>
                </c:pt>
                <c:pt idx="490">
                  <c:v>2.9439270656250001E-4</c:v>
                </c:pt>
                <c:pt idx="491">
                  <c:v>2.9168603329008378E-4</c:v>
                </c:pt>
                <c:pt idx="492">
                  <c:v>2.9123541377351587E-4</c:v>
                </c:pt>
                <c:pt idx="493">
                  <c:v>2.8413371821932803E-4</c:v>
                </c:pt>
                <c:pt idx="494">
                  <c:v>2.8552386860111918E-4</c:v>
                </c:pt>
                <c:pt idx="495">
                  <c:v>2.719187314072308E-4</c:v>
                </c:pt>
                <c:pt idx="496">
                  <c:v>2.7711053549392986E-4</c:v>
                </c:pt>
                <c:pt idx="497">
                  <c:v>2.8413371821932803E-4</c:v>
                </c:pt>
                <c:pt idx="498">
                  <c:v>2.8552386860111918E-4</c:v>
                </c:pt>
                <c:pt idx="499">
                  <c:v>2.7985545208689984E-4</c:v>
                </c:pt>
                <c:pt idx="500">
                  <c:v>2.8154847325361442E-4</c:v>
                </c:pt>
                <c:pt idx="501">
                  <c:v>2.7788246548526526E-4</c:v>
                </c:pt>
                <c:pt idx="502">
                  <c:v>2.6515942816458793E-4</c:v>
                </c:pt>
                <c:pt idx="503">
                  <c:v>2.6348135674088865E-4</c:v>
                </c:pt>
                <c:pt idx="504">
                  <c:v>2.624957362041338E-4</c:v>
                </c:pt>
                <c:pt idx="505">
                  <c:v>2.5597426818892448E-4</c:v>
                </c:pt>
                <c:pt idx="506">
                  <c:v>2.7057514107715934E-4</c:v>
                </c:pt>
                <c:pt idx="507">
                  <c:v>2.7351574488293203E-4</c:v>
                </c:pt>
                <c:pt idx="508">
                  <c:v>2.6805979356133585E-4</c:v>
                </c:pt>
                <c:pt idx="509">
                  <c:v>2.6613141876563904E-4</c:v>
                </c:pt>
                <c:pt idx="510">
                  <c:v>2.776256582458067E-4</c:v>
                </c:pt>
                <c:pt idx="511">
                  <c:v>2.7743272237837021E-4</c:v>
                </c:pt>
                <c:pt idx="512">
                  <c:v>2.7457096295825455E-4</c:v>
                </c:pt>
                <c:pt idx="513">
                  <c:v>2.695599966146459E-4</c:v>
                </c:pt>
                <c:pt idx="514">
                  <c:v>2.7411024617004771E-4</c:v>
                </c:pt>
                <c:pt idx="515">
                  <c:v>2.6922021549352252E-4</c:v>
                </c:pt>
                <c:pt idx="516">
                  <c:v>2.6453188279398671E-4</c:v>
                </c:pt>
                <c:pt idx="517">
                  <c:v>2.6996681313810899E-4</c:v>
                </c:pt>
                <c:pt idx="518">
                  <c:v>2.7104669918821144E-4</c:v>
                </c:pt>
                <c:pt idx="519">
                  <c:v>2.7171792477562938E-4</c:v>
                </c:pt>
                <c:pt idx="520">
                  <c:v>2.7723950414087459E-4</c:v>
                </c:pt>
                <c:pt idx="521">
                  <c:v>2.8291008985261438E-4</c:v>
                </c:pt>
                <c:pt idx="522">
                  <c:v>2.8352360996168667E-4</c:v>
                </c:pt>
                <c:pt idx="523">
                  <c:v>2.8594329515574287E-4</c:v>
                </c:pt>
                <c:pt idx="524">
                  <c:v>2.8665829174091714E-4</c:v>
                </c:pt>
                <c:pt idx="525">
                  <c:v>2.9285734557161819E-4</c:v>
                </c:pt>
                <c:pt idx="526">
                  <c:v>2.996219220843599E-4</c:v>
                </c:pt>
                <c:pt idx="527">
                  <c:v>2.9916795990765329E-4</c:v>
                </c:pt>
                <c:pt idx="528">
                  <c:v>2.9799265330761928E-4</c:v>
                </c:pt>
                <c:pt idx="529">
                  <c:v>2.9911731252310901E-4</c:v>
                </c:pt>
                <c:pt idx="530">
                  <c:v>2.9778604010425322E-4</c:v>
                </c:pt>
                <c:pt idx="531">
                  <c:v>2.8772117405844523E-4</c:v>
                </c:pt>
                <c:pt idx="532">
                  <c:v>2.8883043597740859E-4</c:v>
                </c:pt>
                <c:pt idx="533">
                  <c:v>2.9663806532425442E-4</c:v>
                </c:pt>
                <c:pt idx="534">
                  <c:v>2.906687519535494E-4</c:v>
                </c:pt>
                <c:pt idx="535">
                  <c:v>2.9263553703249776E-4</c:v>
                </c:pt>
                <c:pt idx="536">
                  <c:v>2.9055497002925147E-4</c:v>
                </c:pt>
                <c:pt idx="537">
                  <c:v>2.8653947985291965E-4</c:v>
                </c:pt>
                <c:pt idx="538">
                  <c:v>2.8713211520176339E-4</c:v>
                </c:pt>
                <c:pt idx="539">
                  <c:v>2.8534358837534559E-4</c:v>
                </c:pt>
                <c:pt idx="540">
                  <c:v>2.8946662209980342E-4</c:v>
                </c:pt>
                <c:pt idx="541">
                  <c:v>2.8636099588710584E-4</c:v>
                </c:pt>
                <c:pt idx="542">
                  <c:v>2.9557757205817735E-4</c:v>
                </c:pt>
                <c:pt idx="543">
                  <c:v>2.9716229823412995E-4</c:v>
                </c:pt>
                <c:pt idx="544">
                  <c:v>2.9351907742271831E-4</c:v>
                </c:pt>
                <c:pt idx="545">
                  <c:v>2.9921856592729192E-4</c:v>
                </c:pt>
                <c:pt idx="546">
                  <c:v>2.9896512241920373E-4</c:v>
                </c:pt>
                <c:pt idx="547">
                  <c:v>3.0521078217886675E-4</c:v>
                </c:pt>
                <c:pt idx="548">
                  <c:v>3.0498407583624305E-4</c:v>
                </c:pt>
                <c:pt idx="549">
                  <c:v>2.9845514321836131E-4</c:v>
                </c:pt>
                <c:pt idx="550">
                  <c:v>3.0317811672234612E-4</c:v>
                </c:pt>
                <c:pt idx="551">
                  <c:v>3.1348813478072261E-4</c:v>
                </c:pt>
                <c:pt idx="552">
                  <c:v>3.2420367679852772E-4</c:v>
                </c:pt>
                <c:pt idx="553">
                  <c:v>3.240773701707379E-4</c:v>
                </c:pt>
                <c:pt idx="554">
                  <c:v>3.2507560860780378E-4</c:v>
                </c:pt>
                <c:pt idx="555">
                  <c:v>3.2501568546969175E-4</c:v>
                </c:pt>
                <c:pt idx="556">
                  <c:v>3.2491149977731241E-4</c:v>
                </c:pt>
                <c:pt idx="557">
                  <c:v>3.2580484279871522E-4</c:v>
                </c:pt>
                <c:pt idx="558">
                  <c:v>3.2447921030879205E-4</c:v>
                </c:pt>
                <c:pt idx="559">
                  <c:v>3.2376301223637356E-4</c:v>
                </c:pt>
                <c:pt idx="560">
                  <c:v>3.233946017642121E-4</c:v>
                </c:pt>
                <c:pt idx="561">
                  <c:v>3.2570483433365025E-4</c:v>
                </c:pt>
                <c:pt idx="562">
                  <c:v>3.2529586557403727E-4</c:v>
                </c:pt>
                <c:pt idx="563">
                  <c:v>3.2587468438125092E-4</c:v>
                </c:pt>
                <c:pt idx="564">
                  <c:v>3.2584404695575807E-4</c:v>
                </c:pt>
                <c:pt idx="565">
                  <c:v>3.2596027366954772E-4</c:v>
                </c:pt>
                <c:pt idx="566">
                  <c:v>3.2529742168498348E-4</c:v>
                </c:pt>
                <c:pt idx="567">
                  <c:v>3.2572153002494457E-4</c:v>
                </c:pt>
                <c:pt idx="568">
                  <c:v>3.2576106979118502E-4</c:v>
                </c:pt>
                <c:pt idx="569">
                  <c:v>3.2428547295633046E-4</c:v>
                </c:pt>
                <c:pt idx="570">
                  <c:v>3.2593332110443421E-4</c:v>
                </c:pt>
                <c:pt idx="571">
                  <c:v>3.2511623161073414E-4</c:v>
                </c:pt>
                <c:pt idx="572">
                  <c:v>3.2591402736086093E-4</c:v>
                </c:pt>
                <c:pt idx="573">
                  <c:v>3.2552864466892675E-4</c:v>
                </c:pt>
                <c:pt idx="574">
                  <c:v>3.2577500128480553E-4</c:v>
                </c:pt>
                <c:pt idx="575">
                  <c:v>3.2570580688435255E-4</c:v>
                </c:pt>
                <c:pt idx="576">
                  <c:v>3.2493469869602175E-4</c:v>
                </c:pt>
                <c:pt idx="577">
                  <c:v>3.2561986562001222E-4</c:v>
                </c:pt>
                <c:pt idx="578">
                  <c:v>3.257795365008296E-4</c:v>
                </c:pt>
                <c:pt idx="579">
                  <c:v>3.2595219307315258E-4</c:v>
                </c:pt>
                <c:pt idx="580">
                  <c:v>3.2577041175965417E-4</c:v>
                </c:pt>
                <c:pt idx="581">
                  <c:v>3.2579281627157408E-4</c:v>
                </c:pt>
                <c:pt idx="582">
                  <c:v>3.2561986562001222E-4</c:v>
                </c:pt>
                <c:pt idx="583">
                  <c:v>3.2376582371833015E-4</c:v>
                </c:pt>
                <c:pt idx="584">
                  <c:v>3.2177282919402644E-4</c:v>
                </c:pt>
                <c:pt idx="585">
                  <c:v>3.2191963110314418E-4</c:v>
                </c:pt>
                <c:pt idx="586">
                  <c:v>3.2240344253445859E-4</c:v>
                </c:pt>
                <c:pt idx="587">
                  <c:v>3.2397613761344046E-4</c:v>
                </c:pt>
                <c:pt idx="588">
                  <c:v>3.2523646354903939E-4</c:v>
                </c:pt>
                <c:pt idx="589">
                  <c:v>3.2464166876624857E-4</c:v>
                </c:pt>
                <c:pt idx="590">
                  <c:v>3.2348007124821101E-4</c:v>
                </c:pt>
                <c:pt idx="591">
                  <c:v>3.2489198587824542E-4</c:v>
                </c:pt>
                <c:pt idx="592">
                  <c:v>3.2483738287723292E-4</c:v>
                </c:pt>
                <c:pt idx="593">
                  <c:v>3.2240344253445859E-4</c:v>
                </c:pt>
                <c:pt idx="594">
                  <c:v>3.1352389433745372E-4</c:v>
                </c:pt>
                <c:pt idx="595">
                  <c:v>3.1657389331826914E-4</c:v>
                </c:pt>
                <c:pt idx="596">
                  <c:v>3.0999422455472211E-4</c:v>
                </c:pt>
                <c:pt idx="597">
                  <c:v>3.1213126901216882E-4</c:v>
                </c:pt>
                <c:pt idx="598">
                  <c:v>3.120560611976129E-4</c:v>
                </c:pt>
                <c:pt idx="599">
                  <c:v>3.072873966357878E-4</c:v>
                </c:pt>
                <c:pt idx="600">
                  <c:v>3.1405448735737719E-4</c:v>
                </c:pt>
                <c:pt idx="601">
                  <c:v>3.1910490865855119E-4</c:v>
                </c:pt>
                <c:pt idx="602">
                  <c:v>3.1239299673201603E-4</c:v>
                </c:pt>
                <c:pt idx="603">
                  <c:v>3.0881053293378046E-4</c:v>
                </c:pt>
                <c:pt idx="604">
                  <c:v>3.0632767089339293E-4</c:v>
                </c:pt>
                <c:pt idx="605">
                  <c:v>3.0498407583624305E-4</c:v>
                </c:pt>
                <c:pt idx="606">
                  <c:v>3.1051216801496087E-4</c:v>
                </c:pt>
                <c:pt idx="607">
                  <c:v>3.0843529715841102E-4</c:v>
                </c:pt>
                <c:pt idx="608">
                  <c:v>3.0780166982934695E-4</c:v>
                </c:pt>
                <c:pt idx="609">
                  <c:v>3.1352389433745372E-4</c:v>
                </c:pt>
                <c:pt idx="610">
                  <c:v>3.194239291352253E-4</c:v>
                </c:pt>
                <c:pt idx="611">
                  <c:v>3.2113738279020392E-4</c:v>
                </c:pt>
                <c:pt idx="612">
                  <c:v>3.2540359945388859E-4</c:v>
                </c:pt>
                <c:pt idx="613">
                  <c:v>3.2528887555601909E-4</c:v>
                </c:pt>
                <c:pt idx="614">
                  <c:v>3.2472413955643903E-4</c:v>
                </c:pt>
                <c:pt idx="615">
                  <c:v>3.2485938563690141E-4</c:v>
                </c:pt>
                <c:pt idx="616">
                  <c:v>3.239467332229461E-4</c:v>
                </c:pt>
                <c:pt idx="617">
                  <c:v>3.252185605152417E-4</c:v>
                </c:pt>
                <c:pt idx="618">
                  <c:v>3.2364095213669082E-4</c:v>
                </c:pt>
                <c:pt idx="619">
                  <c:v>3.243389325243246E-4</c:v>
                </c:pt>
                <c:pt idx="620">
                  <c:v>3.2351267298994245E-4</c:v>
                </c:pt>
                <c:pt idx="621">
                  <c:v>3.2378119287206894E-4</c:v>
                </c:pt>
                <c:pt idx="622">
                  <c:v>3.2210460405807752E-4</c:v>
                </c:pt>
                <c:pt idx="623">
                  <c:v>3.1551482800746216E-4</c:v>
                </c:pt>
                <c:pt idx="624">
                  <c:v>3.1567875254799507E-4</c:v>
                </c:pt>
                <c:pt idx="625">
                  <c:v>3.1619501744239135E-4</c:v>
                </c:pt>
                <c:pt idx="626">
                  <c:v>3.1305526256884564E-4</c:v>
                </c:pt>
                <c:pt idx="627">
                  <c:v>3.1003434614332699E-4</c:v>
                </c:pt>
                <c:pt idx="628">
                  <c:v>3.1167717263822772E-4</c:v>
                </c:pt>
                <c:pt idx="629">
                  <c:v>3.067666097327062E-4</c:v>
                </c:pt>
                <c:pt idx="630">
                  <c:v>3.0360076568767749E-4</c:v>
                </c:pt>
                <c:pt idx="631">
                  <c:v>2.9653273586311828E-4</c:v>
                </c:pt>
                <c:pt idx="632">
                  <c:v>2.9241311561202109E-4</c:v>
                </c:pt>
                <c:pt idx="633">
                  <c:v>2.9658542066843057E-4</c:v>
                </c:pt>
                <c:pt idx="634">
                  <c:v>2.9285734557161819E-4</c:v>
                </c:pt>
                <c:pt idx="635">
                  <c:v>2.9083914432426227E-4</c:v>
                </c:pt>
                <c:pt idx="636">
                  <c:v>2.9768248912365967E-4</c:v>
                </c:pt>
                <c:pt idx="637">
                  <c:v>2.9329911741085579E-4</c:v>
                </c:pt>
                <c:pt idx="638">
                  <c:v>2.9291270175028705E-4</c:v>
                </c:pt>
                <c:pt idx="639">
                  <c:v>2.9845514321836131E-4</c:v>
                </c:pt>
                <c:pt idx="640">
                  <c:v>2.9747489937900377E-4</c:v>
                </c:pt>
                <c:pt idx="641">
                  <c:v>3.053913511030735E-4</c:v>
                </c:pt>
                <c:pt idx="642">
                  <c:v>3.0575036000937385E-4</c:v>
                </c:pt>
                <c:pt idx="643">
                  <c:v>3.0893478482009375E-4</c:v>
                </c:pt>
                <c:pt idx="644">
                  <c:v>3.0260913598917008E-4</c:v>
                </c:pt>
                <c:pt idx="645">
                  <c:v>3.0217833519204839E-4</c:v>
                </c:pt>
                <c:pt idx="646">
                  <c:v>2.9329911741085579E-4</c:v>
                </c:pt>
                <c:pt idx="647">
                  <c:v>2.8963935529309227E-4</c:v>
                </c:pt>
                <c:pt idx="648">
                  <c:v>2.9536356251898385E-4</c:v>
                </c:pt>
                <c:pt idx="649">
                  <c:v>2.9705777422840495E-4</c:v>
                </c:pt>
                <c:pt idx="650">
                  <c:v>2.9972234580607425E-4</c:v>
                </c:pt>
                <c:pt idx="651">
                  <c:v>2.9498752307541423E-4</c:v>
                </c:pt>
                <c:pt idx="652">
                  <c:v>3.0091438888289512E-4</c:v>
                </c:pt>
                <c:pt idx="653">
                  <c:v>2.9830134830282593E-4</c:v>
                </c:pt>
                <c:pt idx="654">
                  <c:v>2.986596285917365E-4</c:v>
                </c:pt>
                <c:pt idx="655">
                  <c:v>3.0847717343994397E-4</c:v>
                </c:pt>
                <c:pt idx="656">
                  <c:v>3.09671578029954E-4</c:v>
                </c:pt>
                <c:pt idx="657">
                  <c:v>3.0632767089339293E-4</c:v>
                </c:pt>
                <c:pt idx="658">
                  <c:v>3.0715780916899967E-4</c:v>
                </c:pt>
                <c:pt idx="659">
                  <c:v>3.058396677024681E-4</c:v>
                </c:pt>
                <c:pt idx="660">
                  <c:v>3.1384355678098802E-4</c:v>
                </c:pt>
                <c:pt idx="661">
                  <c:v>3.1644839600496535E-4</c:v>
                </c:pt>
                <c:pt idx="662">
                  <c:v>3.1847294773504966E-4</c:v>
                </c:pt>
                <c:pt idx="663">
                  <c:v>3.1491452397105276E-4</c:v>
                </c:pt>
                <c:pt idx="664">
                  <c:v>3.1320032323905637E-4</c:v>
                </c:pt>
                <c:pt idx="665">
                  <c:v>3.14089472754089E-4</c:v>
                </c:pt>
                <c:pt idx="666">
                  <c:v>3.0780166982934695E-4</c:v>
                </c:pt>
                <c:pt idx="667">
                  <c:v>2.9992269353851144E-4</c:v>
                </c:pt>
                <c:pt idx="668">
                  <c:v>2.9911731252310901E-4</c:v>
                </c:pt>
                <c:pt idx="669">
                  <c:v>3.0350714740073838E-4</c:v>
                </c:pt>
                <c:pt idx="670">
                  <c:v>3.0516552929922899E-4</c:v>
                </c:pt>
                <c:pt idx="671">
                  <c:v>3.0847717343994397E-4</c:v>
                </c:pt>
                <c:pt idx="672">
                  <c:v>3.1078778796674874E-4</c:v>
                </c:pt>
                <c:pt idx="673">
                  <c:v>3.1086611448791684E-4</c:v>
                </c:pt>
                <c:pt idx="674">
                  <c:v>3.1373743771092639E-4</c:v>
                </c:pt>
                <c:pt idx="675">
                  <c:v>3.1074855430962908E-4</c:v>
                </c:pt>
                <c:pt idx="676">
                  <c:v>3.1027409724242671E-4</c:v>
                </c:pt>
                <c:pt idx="677">
                  <c:v>3.0448144234497592E-4</c:v>
                </c:pt>
                <c:pt idx="678">
                  <c:v>3.1301887729030234E-4</c:v>
                </c:pt>
                <c:pt idx="679">
                  <c:v>3.1574397731643134E-4</c:v>
                </c:pt>
                <c:pt idx="680">
                  <c:v>3.1973558389223374E-4</c:v>
                </c:pt>
                <c:pt idx="681">
                  <c:v>3.1827528254783417E-4</c:v>
                </c:pt>
                <c:pt idx="682">
                  <c:v>3.1861261697744702E-4</c:v>
                </c:pt>
                <c:pt idx="683">
                  <c:v>3.1587383463939578E-4</c:v>
                </c:pt>
                <c:pt idx="684">
                  <c:v>3.1140913185418942E-4</c:v>
                </c:pt>
                <c:pt idx="685">
                  <c:v>3.1422892885883929E-4</c:v>
                </c:pt>
                <c:pt idx="686">
                  <c:v>3.1754913567312793E-4</c:v>
                </c:pt>
                <c:pt idx="687">
                  <c:v>3.2191963110314418E-4</c:v>
                </c:pt>
                <c:pt idx="688">
                  <c:v>3.212724512841421E-4</c:v>
                </c:pt>
                <c:pt idx="689">
                  <c:v>3.2314236885807928E-4</c:v>
                </c:pt>
                <c:pt idx="690">
                  <c:v>3.2255798344596101E-4</c:v>
                </c:pt>
                <c:pt idx="691">
                  <c:v>3.2236428083898391E-4</c:v>
                </c:pt>
                <c:pt idx="692">
                  <c:v>3.2362510351170883E-4</c:v>
                </c:pt>
                <c:pt idx="693">
                  <c:v>3.2360920165128165E-4</c:v>
                </c:pt>
                <c:pt idx="694">
                  <c:v>3.2296556417323377E-4</c:v>
                </c:pt>
                <c:pt idx="695">
                  <c:v>3.2477008260952452E-4</c:v>
                </c:pt>
                <c:pt idx="696">
                  <c:v>3.2533106545642684E-4</c:v>
                </c:pt>
                <c:pt idx="697">
                  <c:v>3.24298918212171E-4</c:v>
                </c:pt>
                <c:pt idx="698">
                  <c:v>3.2423115635310729E-4</c:v>
                </c:pt>
                <c:pt idx="699">
                  <c:v>3.2296556417323377E-4</c:v>
                </c:pt>
                <c:pt idx="700">
                  <c:v>3.22519664252709E-4</c:v>
                </c:pt>
                <c:pt idx="701">
                  <c:v>3.2468911751755897E-4</c:v>
                </c:pt>
                <c:pt idx="702">
                  <c:v>3.2104629699883304E-4</c:v>
                </c:pt>
                <c:pt idx="703">
                  <c:v>3.2198176060809663E-4</c:v>
                </c:pt>
                <c:pt idx="704">
                  <c:v>3.2196110317738136E-4</c:v>
                </c:pt>
                <c:pt idx="705">
                  <c:v>3.257795365008296E-4</c:v>
                </c:pt>
                <c:pt idx="706">
                  <c:v>3.2578844399644305E-4</c:v>
                </c:pt>
                <c:pt idx="707">
                  <c:v>3.258903289555186E-4</c:v>
                </c:pt>
                <c:pt idx="708">
                  <c:v>3.2541138822333955E-4</c:v>
                </c:pt>
                <c:pt idx="709">
                  <c:v>3.2378119287206894E-4</c:v>
                </c:pt>
                <c:pt idx="710">
                  <c:v>3.241340413645412E-4</c:v>
                </c:pt>
                <c:pt idx="711">
                  <c:v>3.2280191616897689E-4</c:v>
                </c:pt>
                <c:pt idx="712">
                  <c:v>3.2111468931271E-4</c:v>
                </c:pt>
                <c:pt idx="713">
                  <c:v>3.1807513872738187E-4</c:v>
                </c:pt>
                <c:pt idx="714">
                  <c:v>3.1833201144720636E-4</c:v>
                </c:pt>
                <c:pt idx="715">
                  <c:v>3.2179395792164442E-4</c:v>
                </c:pt>
                <c:pt idx="716">
                  <c:v>3.1939762511557087E-4</c:v>
                </c:pt>
                <c:pt idx="717">
                  <c:v>3.2109194384746283E-4</c:v>
                </c:pt>
                <c:pt idx="718">
                  <c:v>3.2448152378802283E-4</c:v>
                </c:pt>
                <c:pt idx="719">
                  <c:v>3.2560748463082587E-4</c:v>
                </c:pt>
                <c:pt idx="720">
                  <c:v>3.2503770778938518E-4</c:v>
                </c:pt>
                <c:pt idx="721">
                  <c:v>3.240773701707379E-4</c:v>
                </c:pt>
                <c:pt idx="722">
                  <c:v>3.2362510351170883E-4</c:v>
                </c:pt>
                <c:pt idx="723">
                  <c:v>3.2489198587824542E-4</c:v>
                </c:pt>
                <c:pt idx="724">
                  <c:v>3.2305462840679131E-4</c:v>
                </c:pt>
                <c:pt idx="725">
                  <c:v>3.2294759256987768E-4</c:v>
                </c:pt>
                <c:pt idx="726">
                  <c:v>3.2473570600970191E-4</c:v>
                </c:pt>
                <c:pt idx="727">
                  <c:v>3.2307228243480388E-4</c:v>
                </c:pt>
                <c:pt idx="728">
                  <c:v>3.249765492918442E-4</c:v>
                </c:pt>
                <c:pt idx="729">
                  <c:v>3.2423115635310729E-4</c:v>
                </c:pt>
                <c:pt idx="730">
                  <c:v>3.2489198587824542E-4</c:v>
                </c:pt>
                <c:pt idx="731">
                  <c:v>3.2158031777250549E-4</c:v>
                </c:pt>
                <c:pt idx="732">
                  <c:v>3.2376582371833015E-4</c:v>
                </c:pt>
                <c:pt idx="733">
                  <c:v>3.2471251931945409E-4</c:v>
                </c:pt>
                <c:pt idx="734">
                  <c:v>3.2556904035758164E-4</c:v>
                </c:pt>
                <c:pt idx="735">
                  <c:v>3.2584832378247831E-4</c:v>
                </c:pt>
                <c:pt idx="736">
                  <c:v>3.2538641206237147E-4</c:v>
                </c:pt>
                <c:pt idx="737">
                  <c:v>3.2148941218739522E-4</c:v>
                </c:pt>
                <c:pt idx="738">
                  <c:v>3.2403166931155135E-4</c:v>
                </c:pt>
                <c:pt idx="739">
                  <c:v>3.2391440114785399E-4</c:v>
                </c:pt>
                <c:pt idx="740">
                  <c:v>3.2493276810298763E-4</c:v>
                </c:pt>
                <c:pt idx="741">
                  <c:v>3.2566617818101097E-4</c:v>
                </c:pt>
                <c:pt idx="742">
                  <c:v>3.2432321705244189E-4</c:v>
                </c:pt>
                <c:pt idx="743">
                  <c:v>3.2216163642791342E-4</c:v>
                </c:pt>
                <c:pt idx="744">
                  <c:v>3.2459113486862115E-4</c:v>
                </c:pt>
                <c:pt idx="745">
                  <c:v>3.2447921030879205E-4</c:v>
                </c:pt>
                <c:pt idx="746">
                  <c:v>3.2554785641377901E-4</c:v>
                </c:pt>
                <c:pt idx="747">
                  <c:v>3.2587781676641841E-4</c:v>
                </c:pt>
                <c:pt idx="748">
                  <c:v>3.2170523770776806E-4</c:v>
                </c:pt>
                <c:pt idx="749">
                  <c:v>3.1739466802651093E-4</c:v>
                </c:pt>
                <c:pt idx="750">
                  <c:v>3.1985862178635381E-4</c:v>
                </c:pt>
                <c:pt idx="751">
                  <c:v>3.2374758004664563E-4</c:v>
                </c:pt>
                <c:pt idx="752">
                  <c:v>3.2312173684079996E-4</c:v>
                </c:pt>
                <c:pt idx="753">
                  <c:v>3.2047794758561658E-4</c:v>
                </c:pt>
                <c:pt idx="754">
                  <c:v>3.2038102078146466E-4</c:v>
                </c:pt>
                <c:pt idx="755">
                  <c:v>3.1888316304606786E-4</c:v>
                </c:pt>
                <c:pt idx="756">
                  <c:v>3.1877352359856382E-4</c:v>
                </c:pt>
                <c:pt idx="757">
                  <c:v>3.2028326798820951E-4</c:v>
                </c:pt>
                <c:pt idx="758">
                  <c:v>3.1757337672503954E-4</c:v>
                </c:pt>
                <c:pt idx="759">
                  <c:v>3.1120919260182968E-4</c:v>
                </c:pt>
                <c:pt idx="760">
                  <c:v>3.0921560374188396E-4</c:v>
                </c:pt>
                <c:pt idx="761">
                  <c:v>3.0745170558792926E-4</c:v>
                </c:pt>
                <c:pt idx="762">
                  <c:v>3.1231164217971041E-4</c:v>
                </c:pt>
                <c:pt idx="763">
                  <c:v>3.0578688355449964E-4</c:v>
                </c:pt>
                <c:pt idx="764">
                  <c:v>3.0396502385603228E-4</c:v>
                </c:pt>
                <c:pt idx="765">
                  <c:v>2.8015927794174545E-4</c:v>
                </c:pt>
                <c:pt idx="766">
                  <c:v>2.3940732055170404E-4</c:v>
                </c:pt>
                <c:pt idx="767">
                  <c:v>2.5325570467242981E-4</c:v>
                </c:pt>
                <c:pt idx="768">
                  <c:v>2.4444416854296915E-4</c:v>
                </c:pt>
                <c:pt idx="769">
                  <c:v>2.4610679258560327E-4</c:v>
                </c:pt>
                <c:pt idx="770">
                  <c:v>2.5928203312100057E-4</c:v>
                </c:pt>
                <c:pt idx="771">
                  <c:v>2.3994484355609086E-4</c:v>
                </c:pt>
                <c:pt idx="772">
                  <c:v>2.5661452930262637E-4</c:v>
                </c:pt>
                <c:pt idx="773">
                  <c:v>2.3227702079340557E-4</c:v>
                </c:pt>
                <c:pt idx="774">
                  <c:v>2.1788232488212381E-4</c:v>
                </c:pt>
                <c:pt idx="775">
                  <c:v>2.2851338653508786E-4</c:v>
                </c:pt>
                <c:pt idx="776">
                  <c:v>2.1716296036352101E-4</c:v>
                </c:pt>
                <c:pt idx="777">
                  <c:v>2.018806248967861E-4</c:v>
                </c:pt>
                <c:pt idx="778">
                  <c:v>2.202759526011892E-4</c:v>
                </c:pt>
                <c:pt idx="779">
                  <c:v>2.2512008773975097E-4</c:v>
                </c:pt>
                <c:pt idx="780">
                  <c:v>2.4970366787146391E-4</c:v>
                </c:pt>
                <c:pt idx="781">
                  <c:v>2.5163346998701282E-4</c:v>
                </c:pt>
                <c:pt idx="782">
                  <c:v>2.3445939484442841E-4</c:v>
                </c:pt>
                <c:pt idx="783">
                  <c:v>2.4925644101701403E-4</c:v>
                </c:pt>
                <c:pt idx="784">
                  <c:v>2.4535211409400725E-4</c:v>
                </c:pt>
                <c:pt idx="785">
                  <c:v>2.3383689770821304E-4</c:v>
                </c:pt>
                <c:pt idx="786">
                  <c:v>2.4223977668815847E-4</c:v>
                </c:pt>
                <c:pt idx="787">
                  <c:v>2.4970366787146391E-4</c:v>
                </c:pt>
                <c:pt idx="788">
                  <c:v>2.5501384944378203E-4</c:v>
                </c:pt>
                <c:pt idx="789">
                  <c:v>2.5222452513204565E-4</c:v>
                </c:pt>
                <c:pt idx="790">
                  <c:v>2.4527654848636744E-4</c:v>
                </c:pt>
                <c:pt idx="791">
                  <c:v>2.4895790382674105E-4</c:v>
                </c:pt>
                <c:pt idx="792">
                  <c:v>2.5340268307997524E-4</c:v>
                </c:pt>
                <c:pt idx="793">
                  <c:v>2.5148550300461113E-4</c:v>
                </c:pt>
                <c:pt idx="794">
                  <c:v>2.4398925748308719E-4</c:v>
                </c:pt>
                <c:pt idx="795">
                  <c:v>2.5266695620410057E-4</c:v>
                </c:pt>
                <c:pt idx="796">
                  <c:v>2.6556394420453131E-4</c:v>
                </c:pt>
                <c:pt idx="797">
                  <c:v>2.8271412245774299E-4</c:v>
                </c:pt>
                <c:pt idx="798">
                  <c:v>2.7573696989139398E-4</c:v>
                </c:pt>
                <c:pt idx="799">
                  <c:v>2.7774240396163702E-4</c:v>
                </c:pt>
                <c:pt idx="800">
                  <c:v>2.7237409139370795E-4</c:v>
                </c:pt>
                <c:pt idx="801">
                  <c:v>2.7593234389538423E-4</c:v>
                </c:pt>
                <c:pt idx="802">
                  <c:v>2.7250742167871675E-4</c:v>
                </c:pt>
                <c:pt idx="803">
                  <c:v>2.6852610674775256E-4</c:v>
                </c:pt>
                <c:pt idx="804">
                  <c:v>2.648680504189852E-4</c:v>
                </c:pt>
                <c:pt idx="805">
                  <c:v>2.6255342009631093E-4</c:v>
                </c:pt>
                <c:pt idx="806">
                  <c:v>2.6290588867542558E-4</c:v>
                </c:pt>
                <c:pt idx="807">
                  <c:v>2.7376820319746745E-4</c:v>
                </c:pt>
                <c:pt idx="808">
                  <c:v>2.7303957294785619E-4</c:v>
                </c:pt>
                <c:pt idx="809">
                  <c:v>2.7210708150774842E-4</c:v>
                </c:pt>
                <c:pt idx="810">
                  <c:v>2.5992608682221761E-4</c:v>
                </c:pt>
                <c:pt idx="811">
                  <c:v>2.4933102719812476E-4</c:v>
                </c:pt>
                <c:pt idx="812">
                  <c:v>2.6968333064996634E-4</c:v>
                </c:pt>
                <c:pt idx="813">
                  <c:v>2.8078753777767022E-4</c:v>
                </c:pt>
                <c:pt idx="814">
                  <c:v>3.0036197251388281E-4</c:v>
                </c:pt>
                <c:pt idx="815">
                  <c:v>3.0368568790780634E-4</c:v>
                </c:pt>
                <c:pt idx="816">
                  <c:v>3.042889297403606E-4</c:v>
                </c:pt>
                <c:pt idx="817">
                  <c:v>3.1227429141880713E-4</c:v>
                </c:pt>
                <c:pt idx="818">
                  <c:v>3.0533804167408231E-4</c:v>
                </c:pt>
                <c:pt idx="819">
                  <c:v>3.0197694912856326E-4</c:v>
                </c:pt>
                <c:pt idx="820">
                  <c:v>2.9594085767426051E-4</c:v>
                </c:pt>
                <c:pt idx="821">
                  <c:v>2.9256984433622952E-4</c:v>
                </c:pt>
                <c:pt idx="822">
                  <c:v>2.905445768130665E-4</c:v>
                </c:pt>
                <c:pt idx="823">
                  <c:v>2.9492380540734357E-4</c:v>
                </c:pt>
                <c:pt idx="824">
                  <c:v>2.9641760901512933E-4</c:v>
                </c:pt>
                <c:pt idx="825">
                  <c:v>2.9588768573499515E-4</c:v>
                </c:pt>
                <c:pt idx="826">
                  <c:v>2.9641760901512933E-4</c:v>
                </c:pt>
                <c:pt idx="827">
                  <c:v>2.9167577735812218E-4</c:v>
                </c:pt>
                <c:pt idx="828">
                  <c:v>2.8034809945419361E-4</c:v>
                </c:pt>
                <c:pt idx="829">
                  <c:v>2.8085018338539066E-4</c:v>
                </c:pt>
                <c:pt idx="830">
                  <c:v>2.9631194413169394E-4</c:v>
                </c:pt>
                <c:pt idx="831">
                  <c:v>2.9910806208717115E-4</c:v>
                </c:pt>
                <c:pt idx="832">
                  <c:v>2.90601493277466E-4</c:v>
                </c:pt>
                <c:pt idx="833">
                  <c:v>2.8747523375404681E-4</c:v>
                </c:pt>
                <c:pt idx="834">
                  <c:v>2.8166157132482046E-4</c:v>
                </c:pt>
                <c:pt idx="835">
                  <c:v>2.8265247635333497E-4</c:v>
                </c:pt>
                <c:pt idx="836">
                  <c:v>2.9323397026602215E-4</c:v>
                </c:pt>
                <c:pt idx="837">
                  <c:v>2.9704822545197491E-4</c:v>
                </c:pt>
                <c:pt idx="838">
                  <c:v>3.0006341007974234E-4</c:v>
                </c:pt>
                <c:pt idx="839">
                  <c:v>3.0129743791181159E-4</c:v>
                </c:pt>
                <c:pt idx="840">
                  <c:v>3.1337400703001969E-4</c:v>
                </c:pt>
                <c:pt idx="841">
                  <c:v>3.2042958748030616E-4</c:v>
                </c:pt>
                <c:pt idx="842">
                  <c:v>3.2251615606052937E-4</c:v>
                </c:pt>
                <c:pt idx="843">
                  <c:v>3.2214144154026059E-4</c:v>
                </c:pt>
                <c:pt idx="844">
                  <c:v>3.2347708483789682E-4</c:v>
                </c:pt>
                <c:pt idx="845">
                  <c:v>3.2197799338554292E-4</c:v>
                </c:pt>
                <c:pt idx="846">
                  <c:v>3.2047794758561658E-4</c:v>
                </c:pt>
                <c:pt idx="847">
                  <c:v>3.2382420787700484E-4</c:v>
                </c:pt>
                <c:pt idx="848">
                  <c:v>3.2274302299205705E-4</c:v>
                </c:pt>
                <c:pt idx="849">
                  <c:v>3.2208054193395917E-4</c:v>
                </c:pt>
                <c:pt idx="850">
                  <c:v>3.201350917636919E-4</c:v>
                </c:pt>
                <c:pt idx="851">
                  <c:v>3.2140162051665869E-4</c:v>
                </c:pt>
                <c:pt idx="852">
                  <c:v>3.1511027568342461E-4</c:v>
                </c:pt>
                <c:pt idx="853">
                  <c:v>3.1058394919791316E-4</c:v>
                </c:pt>
                <c:pt idx="854">
                  <c:v>3.1301222976469543E-4</c:v>
                </c:pt>
                <c:pt idx="855">
                  <c:v>3.0974513799410789E-4</c:v>
                </c:pt>
                <c:pt idx="856">
                  <c:v>3.042889297403606E-4</c:v>
                </c:pt>
                <c:pt idx="857">
                  <c:v>2.9951214212200865E-4</c:v>
                </c:pt>
                <c:pt idx="858">
                  <c:v>3.0264809211433253E-4</c:v>
                </c:pt>
                <c:pt idx="859">
                  <c:v>2.99863532381665E-4</c:v>
                </c:pt>
                <c:pt idx="860">
                  <c:v>2.8694389239862441E-4</c:v>
                </c:pt>
                <c:pt idx="861">
                  <c:v>2.9020229489422876E-4</c:v>
                </c:pt>
                <c:pt idx="862">
                  <c:v>2.8945610024349341E-4</c:v>
                </c:pt>
                <c:pt idx="863">
                  <c:v>2.8497106634974901E-4</c:v>
                </c:pt>
                <c:pt idx="864">
                  <c:v>2.813501611630048E-4</c:v>
                </c:pt>
                <c:pt idx="865">
                  <c:v>2.8015927794174545E-4</c:v>
                </c:pt>
                <c:pt idx="866">
                  <c:v>2.8910959968245193E-4</c:v>
                </c:pt>
                <c:pt idx="867">
                  <c:v>2.954073492675523E-4</c:v>
                </c:pt>
                <c:pt idx="868">
                  <c:v>2.7902021479732196E-4</c:v>
                </c:pt>
                <c:pt idx="869">
                  <c:v>2.7677576119691897E-4</c:v>
                </c:pt>
                <c:pt idx="870">
                  <c:v>2.5928203312100057E-4</c:v>
                </c:pt>
                <c:pt idx="871">
                  <c:v>2.5806031926501168E-4</c:v>
                </c:pt>
                <c:pt idx="872">
                  <c:v>2.5762753500796628E-4</c:v>
                </c:pt>
                <c:pt idx="873">
                  <c:v>2.5935368891134001E-4</c:v>
                </c:pt>
                <c:pt idx="874">
                  <c:v>2.4489845628749619E-4</c:v>
                </c:pt>
                <c:pt idx="875">
                  <c:v>2.4231602444851078E-4</c:v>
                </c:pt>
                <c:pt idx="876">
                  <c:v>2.5413631061588525E-4</c:v>
                </c:pt>
                <c:pt idx="877">
                  <c:v>2.5992608682221761E-4</c:v>
                </c:pt>
                <c:pt idx="878">
                  <c:v>2.5274062248947966E-4</c:v>
                </c:pt>
                <c:pt idx="879">
                  <c:v>2.5501384944378203E-4</c:v>
                </c:pt>
                <c:pt idx="880">
                  <c:v>2.6021171700924749E-4</c:v>
                </c:pt>
                <c:pt idx="881">
                  <c:v>2.5354957751386962E-4</c:v>
                </c:pt>
                <c:pt idx="882">
                  <c:v>2.5856418962536502E-4</c:v>
                </c:pt>
                <c:pt idx="883">
                  <c:v>2.5935368891134001E-4</c:v>
                </c:pt>
                <c:pt idx="884">
                  <c:v>2.594253212056152E-4</c:v>
                </c:pt>
                <c:pt idx="885">
                  <c:v>2.3055539330310486E-4</c:v>
                </c:pt>
                <c:pt idx="886">
                  <c:v>2.0994249658925205E-4</c:v>
                </c:pt>
                <c:pt idx="887">
                  <c:v>1.9937728908680678E-4</c:v>
                </c:pt>
                <c:pt idx="888">
                  <c:v>2.3149519310958349E-4</c:v>
                </c:pt>
                <c:pt idx="889">
                  <c:v>2.2922110686225336E-4</c:v>
                </c:pt>
                <c:pt idx="890">
                  <c:v>2.3608934673414683E-4</c:v>
                </c:pt>
                <c:pt idx="891">
                  <c:v>2.19877489920828E-4</c:v>
                </c:pt>
                <c:pt idx="892">
                  <c:v>2.3477032414989321E-4</c:v>
                </c:pt>
                <c:pt idx="893">
                  <c:v>2.2424904197738881E-4</c:v>
                </c:pt>
                <c:pt idx="894">
                  <c:v>2.1387920007672997E-4</c:v>
                </c:pt>
                <c:pt idx="895">
                  <c:v>2.0760763595005432E-4</c:v>
                </c:pt>
                <c:pt idx="896">
                  <c:v>2.1556243052262843E-4</c:v>
                </c:pt>
                <c:pt idx="897">
                  <c:v>1.9541962359387747E-4</c:v>
                </c:pt>
                <c:pt idx="898">
                  <c:v>1.9372385555256703E-4</c:v>
                </c:pt>
                <c:pt idx="899">
                  <c:v>1.7516107127774443E-4</c:v>
                </c:pt>
                <c:pt idx="900">
                  <c:v>1.6967604343340225E-4</c:v>
                </c:pt>
                <c:pt idx="901">
                  <c:v>1.7755682523448019E-4</c:v>
                </c:pt>
                <c:pt idx="902">
                  <c:v>1.8759341084359016E-4</c:v>
                </c:pt>
                <c:pt idx="903">
                  <c:v>1.7779672659561002E-4</c:v>
                </c:pt>
                <c:pt idx="904">
                  <c:v>1.7444355874668887E-4</c:v>
                </c:pt>
                <c:pt idx="905">
                  <c:v>1.6754053980570311E-4</c:v>
                </c:pt>
                <c:pt idx="906">
                  <c:v>1.7372663670345769E-4</c:v>
                </c:pt>
                <c:pt idx="907">
                  <c:v>1.6675130238508353E-4</c:v>
                </c:pt>
                <c:pt idx="908">
                  <c:v>1.6572671406968475E-4</c:v>
                </c:pt>
                <c:pt idx="909">
                  <c:v>1.610980903189922E-4</c:v>
                </c:pt>
                <c:pt idx="910">
                  <c:v>1.6336865429621996E-4</c:v>
                </c:pt>
                <c:pt idx="911">
                  <c:v>1.6180178078634277E-4</c:v>
                </c:pt>
                <c:pt idx="912">
                  <c:v>1.5604328534062721E-4</c:v>
                </c:pt>
                <c:pt idx="913">
                  <c:v>1.6305494125505379E-4</c:v>
                </c:pt>
                <c:pt idx="914">
                  <c:v>1.64310786785281E-4</c:v>
                </c:pt>
                <c:pt idx="915">
                  <c:v>1.5573386553231357E-4</c:v>
                </c:pt>
                <c:pt idx="916">
                  <c:v>1.4046660516709743E-4</c:v>
                </c:pt>
                <c:pt idx="917">
                  <c:v>1.4136129246671727E-4</c:v>
                </c:pt>
                <c:pt idx="918">
                  <c:v>1.495125298844679E-4</c:v>
                </c:pt>
                <c:pt idx="919">
                  <c:v>1.4730686248291014E-4</c:v>
                </c:pt>
                <c:pt idx="920">
                  <c:v>1.2414773640202694E-4</c:v>
                </c:pt>
                <c:pt idx="921">
                  <c:v>1.4518879415329673E-4</c:v>
                </c:pt>
                <c:pt idx="922">
                  <c:v>1.3434303396776779E-4</c:v>
                </c:pt>
                <c:pt idx="923">
                  <c:v>1.4473643559023407E-4</c:v>
                </c:pt>
                <c:pt idx="924">
                  <c:v>1.5480680210327086E-4</c:v>
                </c:pt>
                <c:pt idx="925">
                  <c:v>1.5480680210327086E-4</c:v>
                </c:pt>
                <c:pt idx="926">
                  <c:v>1.5411269722545394E-4</c:v>
                </c:pt>
                <c:pt idx="927">
                  <c:v>1.7923730288871262E-4</c:v>
                </c:pt>
                <c:pt idx="928">
                  <c:v>1.6423221941771134E-4</c:v>
                </c:pt>
                <c:pt idx="929">
                  <c:v>1.6746157403285013E-4</c:v>
                </c:pt>
                <c:pt idx="930">
                  <c:v>1.8405215856376309E-4</c:v>
                </c:pt>
                <c:pt idx="931">
                  <c:v>1.9792344035139922E-4</c:v>
                </c:pt>
                <c:pt idx="932">
                  <c:v>2.0341431103237793E-4</c:v>
                </c:pt>
                <c:pt idx="933">
                  <c:v>1.9566190926075102E-4</c:v>
                </c:pt>
                <c:pt idx="934">
                  <c:v>1.9114102602651279E-4</c:v>
                </c:pt>
                <c:pt idx="935">
                  <c:v>1.8566089170702038E-4</c:v>
                </c:pt>
                <c:pt idx="936">
                  <c:v>1.9533886318869129E-4</c:v>
                </c:pt>
                <c:pt idx="937">
                  <c:v>1.9840806696785706E-4</c:v>
                </c:pt>
                <c:pt idx="938">
                  <c:v>1.9663110588541226E-4</c:v>
                </c:pt>
                <c:pt idx="939">
                  <c:v>1.8196346458278741E-4</c:v>
                </c:pt>
                <c:pt idx="940">
                  <c:v>1.603952918351621E-4</c:v>
                </c:pt>
                <c:pt idx="941">
                  <c:v>1.5743809699279379E-4</c:v>
                </c:pt>
                <c:pt idx="942">
                  <c:v>1.4730686248291014E-4</c:v>
                </c:pt>
                <c:pt idx="943">
                  <c:v>1.5527010839273107E-4</c:v>
                </c:pt>
                <c:pt idx="944">
                  <c:v>1.352211945850646E-4</c:v>
                </c:pt>
                <c:pt idx="945">
                  <c:v>1.4188424792679877E-4</c:v>
                </c:pt>
                <c:pt idx="946">
                  <c:v>1.5449818379775166E-4</c:v>
                </c:pt>
                <c:pt idx="947">
                  <c:v>1.6777749259419273E-4</c:v>
                </c:pt>
                <c:pt idx="948">
                  <c:v>1.5265079058421571E-4</c:v>
                </c:pt>
                <c:pt idx="949">
                  <c:v>1.6250634806539552E-4</c:v>
                </c:pt>
                <c:pt idx="950">
                  <c:v>1.6730367035406522E-4</c:v>
                </c:pt>
                <c:pt idx="951">
                  <c:v>1.7779672659561002E-4</c:v>
                </c:pt>
                <c:pt idx="952">
                  <c:v>1.6493968928505621E-4</c:v>
                </c:pt>
                <c:pt idx="953">
                  <c:v>1.9033430421072067E-4</c:v>
                </c:pt>
                <c:pt idx="954">
                  <c:v>1.9291653598868733E-4</c:v>
                </c:pt>
                <c:pt idx="955">
                  <c:v>1.8092036829732446E-4</c:v>
                </c:pt>
                <c:pt idx="956">
                  <c:v>1.8373061661640564E-4</c:v>
                </c:pt>
                <c:pt idx="957">
                  <c:v>1.943698072646334E-4</c:v>
                </c:pt>
                <c:pt idx="958">
                  <c:v>1.8244518422241704E-4</c:v>
                </c:pt>
                <c:pt idx="959">
                  <c:v>1.7763678601490874E-4</c:v>
                </c:pt>
                <c:pt idx="960">
                  <c:v>1.6951763608290902E-4</c:v>
                </c:pt>
                <c:pt idx="961">
                  <c:v>1.6896348573919003E-4</c:v>
                </c:pt>
                <c:pt idx="962">
                  <c:v>1.8308775016628986E-4</c:v>
                </c:pt>
                <c:pt idx="963">
                  <c:v>1.8646585529730219E-4</c:v>
                </c:pt>
                <c:pt idx="964">
                  <c:v>1.7651792357012907E-4</c:v>
                </c:pt>
                <c:pt idx="965">
                  <c:v>1.74363871271759E-4</c:v>
                </c:pt>
                <c:pt idx="966">
                  <c:v>1.6793550712456903E-4</c:v>
                </c:pt>
                <c:pt idx="967">
                  <c:v>1.6509701511254181E-4</c:v>
                </c:pt>
                <c:pt idx="968">
                  <c:v>1.610980903189922E-4</c:v>
                </c:pt>
                <c:pt idx="969">
                  <c:v>1.614107324158801E-4</c:v>
                </c:pt>
                <c:pt idx="970">
                  <c:v>1.6321177688252497E-4</c:v>
                </c:pt>
                <c:pt idx="971">
                  <c:v>1.6580547059349046E-4</c:v>
                </c:pt>
                <c:pt idx="972">
                  <c:v>1.4837017516407489E-4</c:v>
                </c:pt>
                <c:pt idx="973">
                  <c:v>1.4039215168134195E-4</c:v>
                </c:pt>
                <c:pt idx="974">
                  <c:v>1.3890647285003818E-4</c:v>
                </c:pt>
                <c:pt idx="975">
                  <c:v>1.3063899639832968E-4</c:v>
                </c:pt>
                <c:pt idx="976">
                  <c:v>1.3027835441787808E-4</c:v>
                </c:pt>
                <c:pt idx="977">
                  <c:v>1.2197240064905036E-4</c:v>
                </c:pt>
                <c:pt idx="978">
                  <c:v>1.1542522777972276E-4</c:v>
                </c:pt>
                <c:pt idx="979">
                  <c:v>1.0742351686422434E-4</c:v>
                </c:pt>
                <c:pt idx="980">
                  <c:v>9.9110574035101155E-5</c:v>
                </c:pt>
                <c:pt idx="981">
                  <c:v>9.5280952020268685E-5</c:v>
                </c:pt>
                <c:pt idx="982">
                  <c:v>8.8239831607955628E-5</c:v>
                </c:pt>
                <c:pt idx="983">
                  <c:v>9.786554551642809E-5</c:v>
                </c:pt>
                <c:pt idx="984">
                  <c:v>7.7653133353813611E-5</c:v>
                </c:pt>
                <c:pt idx="985">
                  <c:v>7.8895461181415657E-5</c:v>
                </c:pt>
                <c:pt idx="986">
                  <c:v>8.042513251440951E-5</c:v>
                </c:pt>
                <c:pt idx="987">
                  <c:v>9.5036929609562806E-5</c:v>
                </c:pt>
                <c:pt idx="988">
                  <c:v>9.1302334765455212E-5</c:v>
                </c:pt>
                <c:pt idx="989">
                  <c:v>8.6559769461534564E-5</c:v>
                </c:pt>
                <c:pt idx="990">
                  <c:v>8.9292685839628862E-5</c:v>
                </c:pt>
                <c:pt idx="991">
                  <c:v>8.5813148359624255E-5</c:v>
                </c:pt>
                <c:pt idx="992">
                  <c:v>7.8678484318250036E-5</c:v>
                </c:pt>
                <c:pt idx="993">
                  <c:v>9.1421398800024001E-5</c:v>
                </c:pt>
                <c:pt idx="994">
                  <c:v>8.6214673493391033E-5</c:v>
                </c:pt>
                <c:pt idx="995">
                  <c:v>8.3372376487629945E-5</c:v>
                </c:pt>
                <c:pt idx="996">
                  <c:v>8.9410143914355638E-5</c:v>
                </c:pt>
                <c:pt idx="997">
                  <c:v>8.3879566204609851E-5</c:v>
                </c:pt>
                <c:pt idx="998">
                  <c:v>9.5036929609562806E-5</c:v>
                </c:pt>
                <c:pt idx="999">
                  <c:v>9.1779155676940282E-5</c:v>
                </c:pt>
                <c:pt idx="1000">
                  <c:v>8.5469916320217462E-5</c:v>
                </c:pt>
                <c:pt idx="1001">
                  <c:v>8.5127545633809009E-5</c:v>
                </c:pt>
                <c:pt idx="1002">
                  <c:v>8.1418492012173677E-5</c:v>
                </c:pt>
                <c:pt idx="1003">
                  <c:v>9.2977785675094199E-5</c:v>
                </c:pt>
                <c:pt idx="1004">
                  <c:v>9.7989635688358533E-5</c:v>
                </c:pt>
                <c:pt idx="1005">
                  <c:v>9.5708884874718515E-5</c:v>
                </c:pt>
                <c:pt idx="1006">
                  <c:v>9.6629705710620949E-5</c:v>
                </c:pt>
                <c:pt idx="1007">
                  <c:v>9.4854156789280815E-5</c:v>
                </c:pt>
                <c:pt idx="1008">
                  <c:v>9.7246473971201829E-5</c:v>
                </c:pt>
                <c:pt idx="1009">
                  <c:v>1.0099523473391788E-4</c:v>
                </c:pt>
                <c:pt idx="1010">
                  <c:v>9.9360677993226595E-5</c:v>
                </c:pt>
                <c:pt idx="1011">
                  <c:v>9.237729749817292E-5</c:v>
                </c:pt>
                <c:pt idx="1012">
                  <c:v>9.2617211474944623E-5</c:v>
                </c:pt>
                <c:pt idx="1013">
                  <c:v>8.7079024104016347E-5</c:v>
                </c:pt>
                <c:pt idx="1014">
                  <c:v>7.749203502196361E-5</c:v>
                </c:pt>
                <c:pt idx="1015">
                  <c:v>7.457723561605988E-5</c:v>
                </c:pt>
                <c:pt idx="1016">
                  <c:v>6.6128383540525458E-5</c:v>
                </c:pt>
                <c:pt idx="1017">
                  <c:v>6.1652989018013359E-5</c:v>
                </c:pt>
                <c:pt idx="1018">
                  <c:v>6.3981358393772785E-5</c:v>
                </c:pt>
                <c:pt idx="1019">
                  <c:v>6.2623584529002268E-5</c:v>
                </c:pt>
                <c:pt idx="1020">
                  <c:v>5.7656594814045713E-5</c:v>
                </c:pt>
                <c:pt idx="1021">
                  <c:v>6.2113856964334787E-5</c:v>
                </c:pt>
                <c:pt idx="1022">
                  <c:v>6.9865683704053086E-5</c:v>
                </c:pt>
                <c:pt idx="1023">
                  <c:v>6.0920587379654599E-5</c:v>
                </c:pt>
                <c:pt idx="1024">
                  <c:v>6.3604778237408879E-5</c:v>
                </c:pt>
                <c:pt idx="1025">
                  <c:v>7.2657671223511186E-5</c:v>
                </c:pt>
                <c:pt idx="1026">
                  <c:v>7.1227120598479365E-5</c:v>
                </c:pt>
                <c:pt idx="1027">
                  <c:v>7.6104986436804963E-5</c:v>
                </c:pt>
                <c:pt idx="1028">
                  <c:v>7.6796462331156596E-5</c:v>
                </c:pt>
                <c:pt idx="1029">
                  <c:v>8.1806908944231414E-5</c:v>
                </c:pt>
                <c:pt idx="1030">
                  <c:v>8.0480114001527187E-5</c:v>
                </c:pt>
                <c:pt idx="1031">
                  <c:v>7.9657928005848923E-5</c:v>
                </c:pt>
                <c:pt idx="1032">
                  <c:v>8.7716290228265247E-5</c:v>
                </c:pt>
                <c:pt idx="1033">
                  <c:v>8.4615606070398826E-5</c:v>
                </c:pt>
                <c:pt idx="1034">
                  <c:v>9.7246473971201829E-5</c:v>
                </c:pt>
                <c:pt idx="1035">
                  <c:v>9.5280952020268685E-5</c:v>
                </c:pt>
                <c:pt idx="1036">
                  <c:v>8.3936040689074293E-5</c:v>
                </c:pt>
                <c:pt idx="1037">
                  <c:v>7.9276102102634579E-5</c:v>
                </c:pt>
                <c:pt idx="1038">
                  <c:v>7.6743126402330626E-5</c:v>
                </c:pt>
                <c:pt idx="1039">
                  <c:v>7.3276591087562625E-5</c:v>
                </c:pt>
                <c:pt idx="1040">
                  <c:v>7.4786746606286925E-5</c:v>
                </c:pt>
                <c:pt idx="1041">
                  <c:v>8.2755121511883566E-5</c:v>
                </c:pt>
                <c:pt idx="1042">
                  <c:v>8.5184547570646082E-5</c:v>
                </c:pt>
                <c:pt idx="1043">
                  <c:v>8.2755121511883566E-5</c:v>
                </c:pt>
                <c:pt idx="1044">
                  <c:v>8.4445390924555404E-5</c:v>
                </c:pt>
                <c:pt idx="1045">
                  <c:v>8.5927750335258003E-5</c:v>
                </c:pt>
                <c:pt idx="1046">
                  <c:v>9.8611463151942723E-5</c:v>
                </c:pt>
                <c:pt idx="1047">
                  <c:v>9.4610785290794147E-5</c:v>
                </c:pt>
                <c:pt idx="1048">
                  <c:v>8.5412794705036764E-5</c:v>
                </c:pt>
                <c:pt idx="1049">
                  <c:v>9.3580615350213542E-5</c:v>
                </c:pt>
                <c:pt idx="1050">
                  <c:v>9.675287481386318E-5</c:v>
                </c:pt>
                <c:pt idx="1051">
                  <c:v>9.9736518410215223E-5</c:v>
                </c:pt>
                <c:pt idx="1052">
                  <c:v>1.0239028260144614E-4</c:v>
                </c:pt>
                <c:pt idx="1053">
                  <c:v>1.0939502326936805E-4</c:v>
                </c:pt>
                <c:pt idx="1054">
                  <c:v>1.1610575296868E-4</c:v>
                </c:pt>
                <c:pt idx="1055">
                  <c:v>1.284103656627046E-4</c:v>
                </c:pt>
                <c:pt idx="1056">
                  <c:v>1.4039215168134195E-4</c:v>
                </c:pt>
                <c:pt idx="1057">
                  <c:v>1.3750113998396176E-4</c:v>
                </c:pt>
                <c:pt idx="1058">
                  <c:v>1.3092783531545762E-4</c:v>
                </c:pt>
                <c:pt idx="1059">
                  <c:v>1.2876863052180008E-4</c:v>
                </c:pt>
                <c:pt idx="1060">
                  <c:v>1.3172362565350287E-4</c:v>
                </c:pt>
                <c:pt idx="1061">
                  <c:v>1.3949996595104394E-4</c:v>
                </c:pt>
                <c:pt idx="1062">
                  <c:v>1.2869694063434302E-4</c:v>
                </c:pt>
                <c:pt idx="1063">
                  <c:v>1.3230374038752582E-4</c:v>
                </c:pt>
                <c:pt idx="1064">
                  <c:v>1.4473643559023407E-4</c:v>
                </c:pt>
                <c:pt idx="1065">
                  <c:v>1.5604328534062721E-4</c:v>
                </c:pt>
                <c:pt idx="1066">
                  <c:v>1.5242039477785397E-4</c:v>
                </c:pt>
                <c:pt idx="1067">
                  <c:v>1.5096400876874104E-4</c:v>
                </c:pt>
                <c:pt idx="1068">
                  <c:v>1.495125298844679E-4</c:v>
                </c:pt>
                <c:pt idx="1069">
                  <c:v>1.3027835441787808E-4</c:v>
                </c:pt>
                <c:pt idx="1070">
                  <c:v>1.3150637685341331E-4</c:v>
                </c:pt>
                <c:pt idx="1071">
                  <c:v>1.3157877524036605E-4</c:v>
                </c:pt>
                <c:pt idx="1072">
                  <c:v>1.196082905541796E-4</c:v>
                </c:pt>
                <c:pt idx="1073">
                  <c:v>1.2302264507275655E-4</c:v>
                </c:pt>
                <c:pt idx="1074">
                  <c:v>1.1420551477279523E-4</c:v>
                </c:pt>
                <c:pt idx="1075">
                  <c:v>1.0886737650854819E-4</c:v>
                </c:pt>
                <c:pt idx="1076">
                  <c:v>1.0873568147228403E-4</c:v>
                </c:pt>
                <c:pt idx="1077">
                  <c:v>1.0099523473391788E-4</c:v>
                </c:pt>
                <c:pt idx="1078">
                  <c:v>9.3459862333499869E-5</c:v>
                </c:pt>
                <c:pt idx="1079">
                  <c:v>9.237729749817292E-5</c:v>
                </c:pt>
                <c:pt idx="1080">
                  <c:v>1.0105840878496488E-4</c:v>
                </c:pt>
                <c:pt idx="1081">
                  <c:v>1.1719887983860082E-4</c:v>
                </c:pt>
                <c:pt idx="1082">
                  <c:v>1.161739191277342E-4</c:v>
                </c:pt>
                <c:pt idx="1083">
                  <c:v>1.1386790603423985E-4</c:v>
                </c:pt>
                <c:pt idx="1084">
                  <c:v>1.1178648251955239E-4</c:v>
                </c:pt>
                <c:pt idx="1085">
                  <c:v>1.136655923762653E-4</c:v>
                </c:pt>
                <c:pt idx="1086">
                  <c:v>1.3136163379033863E-4</c:v>
                </c:pt>
                <c:pt idx="1087">
                  <c:v>1.4420936979608824E-4</c:v>
                </c:pt>
                <c:pt idx="1088">
                  <c:v>1.4270758854037028E-4</c:v>
                </c:pt>
                <c:pt idx="1089">
                  <c:v>1.4046660516709743E-4</c:v>
                </c:pt>
                <c:pt idx="1090">
                  <c:v>1.3092783531545762E-4</c:v>
                </c:pt>
                <c:pt idx="1091">
                  <c:v>1.304225568892833E-4</c:v>
                </c:pt>
                <c:pt idx="1092">
                  <c:v>1.2762381323545515E-4</c:v>
                </c:pt>
                <c:pt idx="1093">
                  <c:v>1.4715519104712056E-4</c:v>
                </c:pt>
                <c:pt idx="1094">
                  <c:v>1.3448922149261793E-4</c:v>
                </c:pt>
                <c:pt idx="1095">
                  <c:v>1.2471213648741281E-4</c:v>
                </c:pt>
                <c:pt idx="1096">
                  <c:v>1.1556116726905001E-4</c:v>
                </c:pt>
                <c:pt idx="1097">
                  <c:v>1.1339613491249868E-4</c:v>
                </c:pt>
                <c:pt idx="1098">
                  <c:v>1.0411725513622709E-4</c:v>
                </c:pt>
                <c:pt idx="1099">
                  <c:v>1.0036474087219663E-4</c:v>
                </c:pt>
                <c:pt idx="1100">
                  <c:v>1.0521295310533221E-4</c:v>
                </c:pt>
                <c:pt idx="1101">
                  <c:v>1.0469653060270729E-4</c:v>
                </c:pt>
                <c:pt idx="1102">
                  <c:v>9.4185781516885298E-5</c:v>
                </c:pt>
                <c:pt idx="1103">
                  <c:v>9.1838864137690695E-5</c:v>
                </c:pt>
                <c:pt idx="1104">
                  <c:v>9.1064489300790675E-5</c:v>
                </c:pt>
                <c:pt idx="1105">
                  <c:v>8.7136838284235512E-5</c:v>
                </c:pt>
                <c:pt idx="1106">
                  <c:v>8.661736900485643E-5</c:v>
                </c:pt>
                <c:pt idx="1107">
                  <c:v>9.0649167172549762E-5</c:v>
                </c:pt>
                <c:pt idx="1108">
                  <c:v>8.3879566204609851E-5</c:v>
                </c:pt>
                <c:pt idx="1109">
                  <c:v>9.1421398800024001E-5</c:v>
                </c:pt>
                <c:pt idx="1110">
                  <c:v>9.1302334765455212E-5</c:v>
                </c:pt>
                <c:pt idx="1111">
                  <c:v>9.979923825162047E-5</c:v>
                </c:pt>
                <c:pt idx="1112">
                  <c:v>1.0232663461567545E-4</c:v>
                </c:pt>
                <c:pt idx="1113">
                  <c:v>9.9110574035101155E-5</c:v>
                </c:pt>
                <c:pt idx="1114">
                  <c:v>8.7194676295785479E-5</c:v>
                </c:pt>
                <c:pt idx="1115">
                  <c:v>8.7079024104016347E-5</c:v>
                </c:pt>
                <c:pt idx="1116">
                  <c:v>9.7617640889085397E-5</c:v>
                </c:pt>
                <c:pt idx="1117">
                  <c:v>9.9861980867405823E-5</c:v>
                </c:pt>
                <c:pt idx="1118">
                  <c:v>8.5813148359624255E-5</c:v>
                </c:pt>
                <c:pt idx="1119">
                  <c:v>8.5985087176830354E-5</c:v>
                </c:pt>
                <c:pt idx="1120">
                  <c:v>8.0976033715549021E-5</c:v>
                </c:pt>
                <c:pt idx="1121">
                  <c:v>7.6423619955483065E-5</c:v>
                </c:pt>
                <c:pt idx="1122">
                  <c:v>7.759940968386775E-5</c:v>
                </c:pt>
                <c:pt idx="1123">
                  <c:v>7.7116986942703816E-5</c:v>
                </c:pt>
                <c:pt idx="1124">
                  <c:v>9.0827020881022825E-5</c:v>
                </c:pt>
                <c:pt idx="1125">
                  <c:v>7.8624300598345624E-5</c:v>
                </c:pt>
                <c:pt idx="1126">
                  <c:v>7.8299706552818033E-5</c:v>
                </c:pt>
                <c:pt idx="1127">
                  <c:v>8.5355697019439737E-5</c:v>
                </c:pt>
                <c:pt idx="1128">
                  <c:v>8.5584231327033591E-5</c:v>
                </c:pt>
                <c:pt idx="1129">
                  <c:v>9.7555722208878445E-5</c:v>
                </c:pt>
                <c:pt idx="1130">
                  <c:v>1.0508371439394473E-4</c:v>
                </c:pt>
                <c:pt idx="1131">
                  <c:v>9.4550000594007558E-5</c:v>
                </c:pt>
                <c:pt idx="1132">
                  <c:v>9.8113817700168482E-5</c:v>
                </c:pt>
                <c:pt idx="1133">
                  <c:v>1.0906508166471142E-4</c:v>
                </c:pt>
                <c:pt idx="1134">
                  <c:v>1.0939502326936805E-4</c:v>
                </c:pt>
                <c:pt idx="1135">
                  <c:v>1.1569718961694023E-4</c:v>
                </c:pt>
                <c:pt idx="1136">
                  <c:v>1.0985784895456812E-4</c:v>
                </c:pt>
                <c:pt idx="1137">
                  <c:v>1.2869694063434302E-4</c:v>
                </c:pt>
                <c:pt idx="1138">
                  <c:v>1.1754155809823277E-4</c:v>
                </c:pt>
                <c:pt idx="1139">
                  <c:v>9.9861980867405823E-5</c:v>
                </c:pt>
                <c:pt idx="1140">
                  <c:v>1.0226300912678473E-4</c:v>
                </c:pt>
                <c:pt idx="1141">
                  <c:v>1.0036474087219663E-4</c:v>
                </c:pt>
                <c:pt idx="1142">
                  <c:v>1.0495456436418907E-4</c:v>
                </c:pt>
                <c:pt idx="1143">
                  <c:v>1.1359819648165566E-4</c:v>
                </c:pt>
                <c:pt idx="1144">
                  <c:v>1.28481981691627E-4</c:v>
                </c:pt>
                <c:pt idx="1145">
                  <c:v>1.2748104559106733E-4</c:v>
                </c:pt>
                <c:pt idx="1146">
                  <c:v>1.3237633471293014E-4</c:v>
                </c:pt>
                <c:pt idx="1147">
                  <c:v>1.1733588984593553E-4</c:v>
                </c:pt>
                <c:pt idx="1148">
                  <c:v>1.312892891428059E-4</c:v>
                </c:pt>
                <c:pt idx="1149">
                  <c:v>1.2591555477052657E-4</c:v>
                </c:pt>
                <c:pt idx="1150">
                  <c:v>1.3354024472582142E-4</c:v>
                </c:pt>
                <c:pt idx="1151">
                  <c:v>1.3390488774071111E-4</c:v>
                </c:pt>
                <c:pt idx="1152">
                  <c:v>1.2869694063434302E-4</c:v>
                </c:pt>
                <c:pt idx="1153">
                  <c:v>1.2050950093160319E-4</c:v>
                </c:pt>
                <c:pt idx="1154">
                  <c:v>1.2155353950976643E-4</c:v>
                </c:pt>
                <c:pt idx="1155">
                  <c:v>1.2050950093160319E-4</c:v>
                </c:pt>
                <c:pt idx="1156">
                  <c:v>1.1926257275065651E-4</c:v>
                </c:pt>
                <c:pt idx="1157">
                  <c:v>1.2683951708767735E-4</c:v>
                </c:pt>
                <c:pt idx="1158">
                  <c:v>1.2379561265498022E-4</c:v>
                </c:pt>
                <c:pt idx="1159">
                  <c:v>1.1809090369130728E-4</c:v>
                </c:pt>
                <c:pt idx="1160">
                  <c:v>1.1032173050556494E-4</c:v>
                </c:pt>
                <c:pt idx="1161">
                  <c:v>1.1105281293040009E-4</c:v>
                </c:pt>
                <c:pt idx="1162">
                  <c:v>1.1151939502920889E-4</c:v>
                </c:pt>
                <c:pt idx="1163">
                  <c:v>1.0926298172947199E-4</c:v>
                </c:pt>
                <c:pt idx="1164">
                  <c:v>1.222520348778306E-4</c:v>
                </c:pt>
                <c:pt idx="1165">
                  <c:v>1.1339613491249868E-4</c:v>
                </c:pt>
                <c:pt idx="1166">
                  <c:v>1.0495456436418907E-4</c:v>
                </c:pt>
                <c:pt idx="1167">
                  <c:v>1.0495456436418907E-4</c:v>
                </c:pt>
                <c:pt idx="1168">
                  <c:v>1.1178648251955239E-4</c:v>
                </c:pt>
                <c:pt idx="1169">
                  <c:v>1.0618506370585159E-4</c:v>
                </c:pt>
                <c:pt idx="1170">
                  <c:v>1.123886731515626E-4</c:v>
                </c:pt>
                <c:pt idx="1171">
                  <c:v>1.0860407323962046E-4</c:v>
                </c:pt>
                <c:pt idx="1172">
                  <c:v>1.0315581052906006E-4</c:v>
                </c:pt>
                <c:pt idx="1173">
                  <c:v>1.0150126063768345E-4</c:v>
                </c:pt>
                <c:pt idx="1174">
                  <c:v>9.4003986639175444E-5</c:v>
                </c:pt>
                <c:pt idx="1175">
                  <c:v>9.1719470726958518E-5</c:v>
                </c:pt>
                <c:pt idx="1176">
                  <c:v>8.9645344244117654E-5</c:v>
                </c:pt>
                <c:pt idx="1177">
                  <c:v>8.8123322646101252E-5</c:v>
                </c:pt>
                <c:pt idx="1178">
                  <c:v>8.7368333283400682E-5</c:v>
                </c:pt>
                <c:pt idx="1179">
                  <c:v>8.9410143914355638E-5</c:v>
                </c:pt>
                <c:pt idx="1180">
                  <c:v>8.7890589991781776E-5</c:v>
                </c:pt>
                <c:pt idx="1181">
                  <c:v>8.7426266585182937E-5</c:v>
                </c:pt>
                <c:pt idx="1182">
                  <c:v>8.9763086433908521E-5</c:v>
                </c:pt>
                <c:pt idx="1183">
                  <c:v>9.2137758939974805E-5</c:v>
                </c:pt>
                <c:pt idx="1184">
                  <c:v>8.9116676431082647E-5</c:v>
                </c:pt>
                <c:pt idx="1185">
                  <c:v>8.9704203507023252E-5</c:v>
                </c:pt>
                <c:pt idx="1186">
                  <c:v>8.399253917805407E-5</c:v>
                </c:pt>
                <c:pt idx="1187">
                  <c:v>9.1958351572913566E-5</c:v>
                </c:pt>
                <c:pt idx="1188">
                  <c:v>9.842467420353197E-5</c:v>
                </c:pt>
                <c:pt idx="1189">
                  <c:v>1.0251764603457349E-4</c:v>
                </c:pt>
                <c:pt idx="1190">
                  <c:v>1.0334769703954102E-4</c:v>
                </c:pt>
                <c:pt idx="1191">
                  <c:v>1.0309189315148905E-4</c:v>
                </c:pt>
                <c:pt idx="1192">
                  <c:v>1.0321975030790511E-4</c:v>
                </c:pt>
                <c:pt idx="1193">
                  <c:v>1.0328371248055905E-4</c:v>
                </c:pt>
                <c:pt idx="1194">
                  <c:v>1.14137951141451E-4</c:v>
                </c:pt>
                <c:pt idx="1195">
                  <c:v>1.1407040844177859E-4</c:v>
                </c:pt>
                <c:pt idx="1196">
                  <c:v>1.1125264858566568E-4</c:v>
                </c:pt>
                <c:pt idx="1197">
                  <c:v>1.0873568147228403E-4</c:v>
                </c:pt>
                <c:pt idx="1198">
                  <c:v>1.1305978661210126E-4</c:v>
                </c:pt>
                <c:pt idx="1199">
                  <c:v>1.1427309932564193E-4</c:v>
                </c:pt>
                <c:pt idx="1200">
                  <c:v>1.163785412786174E-4</c:v>
                </c:pt>
                <c:pt idx="1201">
                  <c:v>1.1299258018877474E-4</c:v>
                </c:pt>
                <c:pt idx="1202">
                  <c:v>1.1078666477732515E-4</c:v>
                </c:pt>
                <c:pt idx="1203">
                  <c:v>1.0906508166471142E-4</c:v>
                </c:pt>
                <c:pt idx="1204">
                  <c:v>1.0443885232459994E-4</c:v>
                </c:pt>
                <c:pt idx="1205">
                  <c:v>1.0443885232459994E-4</c:v>
                </c:pt>
                <c:pt idx="1206">
                  <c:v>1.1018908536080866E-4</c:v>
                </c:pt>
                <c:pt idx="1207">
                  <c:v>1.1225470443018874E-4</c:v>
                </c:pt>
                <c:pt idx="1208">
                  <c:v>1.1272396561443124E-4</c:v>
                </c:pt>
                <c:pt idx="1209">
                  <c:v>1.0605516192724811E-4</c:v>
                </c:pt>
                <c:pt idx="1210">
                  <c:v>9.5708884874718515E-5</c:v>
                </c:pt>
                <c:pt idx="1211">
                  <c:v>9.5586502371292572E-5</c:v>
                </c:pt>
                <c:pt idx="1212">
                  <c:v>9.4854156789280815E-5</c:v>
                </c:pt>
                <c:pt idx="1213">
                  <c:v>9.2077932995311292E-5</c:v>
                </c:pt>
                <c:pt idx="1214">
                  <c:v>9.1005086836754056E-5</c:v>
                </c:pt>
                <c:pt idx="1215">
                  <c:v>9.1421398800024001E-5</c:v>
                </c:pt>
                <c:pt idx="1216">
                  <c:v>8.9468908480347013E-5</c:v>
                </c:pt>
                <c:pt idx="1217">
                  <c:v>1.016279931520989E-4</c:v>
                </c:pt>
                <c:pt idx="1218">
                  <c:v>1.0131133130726997E-4</c:v>
                </c:pt>
                <c:pt idx="1219">
                  <c:v>1.0860407323962046E-4</c:v>
                </c:pt>
                <c:pt idx="1220">
                  <c:v>1.1032173050556494E-4</c:v>
                </c:pt>
                <c:pt idx="1221">
                  <c:v>1.1576523183654479E-4</c:v>
                </c:pt>
                <c:pt idx="1222">
                  <c:v>1.2057896453795631E-4</c:v>
                </c:pt>
                <c:pt idx="1223">
                  <c:v>1.2176288142243708E-4</c:v>
                </c:pt>
                <c:pt idx="1224">
                  <c:v>1.284103656627046E-4</c:v>
                </c:pt>
                <c:pt idx="1225">
                  <c:v>1.3201354063468443E-4</c:v>
                </c:pt>
                <c:pt idx="1226">
                  <c:v>1.4518879415329673E-4</c:v>
                </c:pt>
                <c:pt idx="1227">
                  <c:v>1.4700357763491415E-4</c:v>
                </c:pt>
                <c:pt idx="1228">
                  <c:v>1.9291653598868733E-4</c:v>
                </c:pt>
                <c:pt idx="1229">
                  <c:v>2.3817589937195625E-4</c:v>
                </c:pt>
                <c:pt idx="1230">
                  <c:v>2.7825505375826405E-4</c:v>
                </c:pt>
                <c:pt idx="1231">
                  <c:v>2.3833003685398729E-4</c:v>
                </c:pt>
                <c:pt idx="1232">
                  <c:v>2.1114883831934507E-4</c:v>
                </c:pt>
                <c:pt idx="1233">
                  <c:v>2.1291622557301592E-4</c:v>
                </c:pt>
                <c:pt idx="1234">
                  <c:v>2.0760763595005432E-4</c:v>
                </c:pt>
                <c:pt idx="1235">
                  <c:v>2.1082724519399428E-4</c:v>
                </c:pt>
                <c:pt idx="1236">
                  <c:v>2.2512008773975097E-4</c:v>
                </c:pt>
                <c:pt idx="1237">
                  <c:v>2.3802170266996496E-4</c:v>
                </c:pt>
                <c:pt idx="1238">
                  <c:v>2.2961389016280779E-4</c:v>
                </c:pt>
                <c:pt idx="1239">
                  <c:v>2.6961548081209583E-4</c:v>
                </c:pt>
                <c:pt idx="1240">
                  <c:v>2.6797877763326278E-4</c:v>
                </c:pt>
                <c:pt idx="1241">
                  <c:v>2.8271412245774299E-4</c:v>
                </c:pt>
                <c:pt idx="1242">
                  <c:v>2.6177580681344457E-4</c:v>
                </c:pt>
                <c:pt idx="1243">
                  <c:v>2.5632429125750883E-4</c:v>
                </c:pt>
                <c:pt idx="1244">
                  <c:v>2.6106630917453375E-4</c:v>
                </c:pt>
                <c:pt idx="1245">
                  <c:v>2.5574275073861634E-4</c:v>
                </c:pt>
                <c:pt idx="1246">
                  <c:v>2.7190651936831553E-4</c:v>
                </c:pt>
                <c:pt idx="1247">
                  <c:v>2.7250742167871675E-4</c:v>
                </c:pt>
                <c:pt idx="1248">
                  <c:v>2.787019563599743E-4</c:v>
                </c:pt>
                <c:pt idx="1249">
                  <c:v>2.7008984173606263E-4</c:v>
                </c:pt>
                <c:pt idx="1250">
                  <c:v>2.6818423090057755E-4</c:v>
                </c:pt>
                <c:pt idx="1251">
                  <c:v>2.5877978725347475E-4</c:v>
                </c:pt>
                <c:pt idx="1252">
                  <c:v>2.5999753005371455E-4</c:v>
                </c:pt>
                <c:pt idx="1253">
                  <c:v>2.5559714527798315E-4</c:v>
                </c:pt>
                <c:pt idx="1254">
                  <c:v>2.4783567586350206E-4</c:v>
                </c:pt>
                <c:pt idx="1255">
                  <c:v>2.4277316435662166E-4</c:v>
                </c:pt>
                <c:pt idx="1256">
                  <c:v>2.2914251613338223E-4</c:v>
                </c:pt>
                <c:pt idx="1257">
                  <c:v>2.1716296036352101E-4</c:v>
                </c:pt>
                <c:pt idx="1258">
                  <c:v>2.1923954554550382E-4</c:v>
                </c:pt>
                <c:pt idx="1259">
                  <c:v>2.0760763595005432E-4</c:v>
                </c:pt>
                <c:pt idx="1260">
                  <c:v>2.1660307253883247E-4</c:v>
                </c:pt>
                <c:pt idx="1261">
                  <c:v>2.1724291735796352E-4</c:v>
                </c:pt>
                <c:pt idx="1262">
                  <c:v>2.2170874663865253E-4</c:v>
                </c:pt>
                <c:pt idx="1263">
                  <c:v>2.1963831847330101E-4</c:v>
                </c:pt>
                <c:pt idx="1264">
                  <c:v>2.3118211898772933E-4</c:v>
                </c:pt>
                <c:pt idx="1265">
                  <c:v>2.1955857919417129E-4</c:v>
                </c:pt>
                <c:pt idx="1266">
                  <c:v>2.3694068810150101E-4</c:v>
                </c:pt>
                <c:pt idx="1267">
                  <c:v>2.2685859768599729E-4</c:v>
                </c:pt>
                <c:pt idx="1268">
                  <c:v>2.2764718224373826E-4</c:v>
                </c:pt>
                <c:pt idx="1269">
                  <c:v>2.4170558416212865E-4</c:v>
                </c:pt>
                <c:pt idx="1270">
                  <c:v>2.5185526844652542E-4</c:v>
                </c:pt>
                <c:pt idx="1271">
                  <c:v>2.5813236983342647E-4</c:v>
                </c:pt>
                <c:pt idx="1272">
                  <c:v>2.6444927114568516E-4</c:v>
                </c:pt>
                <c:pt idx="1273">
                  <c:v>2.7264063521156373E-4</c:v>
                </c:pt>
                <c:pt idx="1274">
                  <c:v>2.6085298612049689E-4</c:v>
                </c:pt>
                <c:pt idx="1275">
                  <c:v>2.5354957751386962E-4</c:v>
                </c:pt>
                <c:pt idx="1276">
                  <c:v>2.5192916060670184E-4</c:v>
                </c:pt>
                <c:pt idx="1277">
                  <c:v>2.5133745523404699E-4</c:v>
                </c:pt>
                <c:pt idx="1278">
                  <c:v>2.6135040062479737E-4</c:v>
                </c:pt>
                <c:pt idx="1279">
                  <c:v>2.7554132032216075E-4</c:v>
                </c:pt>
                <c:pt idx="1280">
                  <c:v>2.7396629753360122E-4</c:v>
                </c:pt>
                <c:pt idx="1281">
                  <c:v>2.7696965232247762E-4</c:v>
                </c:pt>
                <c:pt idx="1282">
                  <c:v>2.7130327427322715E-4</c:v>
                </c:pt>
                <c:pt idx="1283">
                  <c:v>2.7264063521156373E-4</c:v>
                </c:pt>
                <c:pt idx="1284">
                  <c:v>2.8091279608440795E-4</c:v>
                </c:pt>
                <c:pt idx="1285">
                  <c:v>2.8215809582333502E-4</c:v>
                </c:pt>
                <c:pt idx="1286">
                  <c:v>2.7863820873031824E-4</c:v>
                </c:pt>
                <c:pt idx="1287">
                  <c:v>2.6981894645276806E-4</c:v>
                </c:pt>
                <c:pt idx="1288">
                  <c:v>2.6290588867542558E-4</c:v>
                </c:pt>
                <c:pt idx="1289">
                  <c:v>2.6514671988643303E-4</c:v>
                </c:pt>
                <c:pt idx="1290">
                  <c:v>2.73702112223289E-4</c:v>
                </c:pt>
                <c:pt idx="1291">
                  <c:v>2.7343745146235162E-4</c:v>
                </c:pt>
                <c:pt idx="1292">
                  <c:v>2.7462466844213683E-4</c:v>
                </c:pt>
                <c:pt idx="1293">
                  <c:v>3.0207334050509692E-4</c:v>
                </c:pt>
                <c:pt idx="1294">
                  <c:v>3.052477410235532E-4</c:v>
                </c:pt>
                <c:pt idx="1295">
                  <c:v>2.9217988943114218E-4</c:v>
                </c:pt>
                <c:pt idx="1296">
                  <c:v>2.9206813051424956E-4</c:v>
                </c:pt>
                <c:pt idx="1297">
                  <c:v>2.831446985873119E-4</c:v>
                </c:pt>
                <c:pt idx="1298">
                  <c:v>2.90601493277466E-4</c:v>
                </c:pt>
                <c:pt idx="1299">
                  <c:v>2.9416529405554433E-4</c:v>
                </c:pt>
                <c:pt idx="1300">
                  <c:v>2.8759291515880489E-4</c:v>
                </c:pt>
                <c:pt idx="1301">
                  <c:v>2.893407471063538E-4</c:v>
                </c:pt>
                <c:pt idx="1302">
                  <c:v>2.7580212521640301E-4</c:v>
                </c:pt>
                <c:pt idx="1303">
                  <c:v>2.8166157132482046E-4</c:v>
                </c:pt>
                <c:pt idx="1304">
                  <c:v>2.8277573481078386E-4</c:v>
                </c:pt>
                <c:pt idx="1305">
                  <c:v>2.9481591748462248E-4</c:v>
                </c:pt>
                <c:pt idx="1306">
                  <c:v>2.8968636430461587E-4</c:v>
                </c:pt>
                <c:pt idx="1307">
                  <c:v>2.7952775837394378E-4</c:v>
                </c:pt>
                <c:pt idx="1308">
                  <c:v>2.7250742167871675E-4</c:v>
                </c:pt>
                <c:pt idx="1309">
                  <c:v>2.6584157102388736E-4</c:v>
                </c:pt>
                <c:pt idx="1310">
                  <c:v>2.6234164037988044E-4</c:v>
                </c:pt>
                <c:pt idx="1311">
                  <c:v>2.4368564042682352E-4</c:v>
                </c:pt>
                <c:pt idx="1312">
                  <c:v>2.5259326923149442E-4</c:v>
                </c:pt>
                <c:pt idx="1313">
                  <c:v>2.6402956756425773E-4</c:v>
                </c:pt>
                <c:pt idx="1314">
                  <c:v>2.5733855645559522E-4</c:v>
                </c:pt>
                <c:pt idx="1315">
                  <c:v>2.7170569691908219E-4</c:v>
                </c:pt>
                <c:pt idx="1316">
                  <c:v>2.7965432170405104E-4</c:v>
                </c:pt>
                <c:pt idx="1317">
                  <c:v>2.7684042269169039E-4</c:v>
                </c:pt>
                <c:pt idx="1318">
                  <c:v>2.7709875728270544E-4</c:v>
                </c:pt>
                <c:pt idx="1319">
                  <c:v>2.5999753005371455E-4</c:v>
                </c:pt>
                <c:pt idx="1320">
                  <c:v>2.5222452513204565E-4</c:v>
                </c:pt>
                <c:pt idx="1321">
                  <c:v>2.6353875384390826E-4</c:v>
                </c:pt>
                <c:pt idx="1322">
                  <c:v>2.6241225842889407E-4</c:v>
                </c:pt>
                <c:pt idx="1323">
                  <c:v>2.46483459162354E-4</c:v>
                </c:pt>
                <c:pt idx="1324">
                  <c:v>2.6127941420551082E-4</c:v>
                </c:pt>
                <c:pt idx="1325">
                  <c:v>2.7130327427322715E-4</c:v>
                </c:pt>
                <c:pt idx="1326">
                  <c:v>2.7303957294785619E-4</c:v>
                </c:pt>
                <c:pt idx="1327">
                  <c:v>2.715716710624495E-4</c:v>
                </c:pt>
                <c:pt idx="1328">
                  <c:v>2.6722336041346153E-4</c:v>
                </c:pt>
                <c:pt idx="1329">
                  <c:v>2.5406304320488949E-4</c:v>
                </c:pt>
                <c:pt idx="1330">
                  <c:v>2.6604951534129462E-4</c:v>
                </c:pt>
                <c:pt idx="1331">
                  <c:v>2.7442747214833859E-4</c:v>
                </c:pt>
                <c:pt idx="1332">
                  <c:v>2.6063944586216832E-4</c:v>
                </c:pt>
                <c:pt idx="1333">
                  <c:v>2.5501384944378203E-4</c:v>
                </c:pt>
                <c:pt idx="1334">
                  <c:v>2.5719393119670749E-4</c:v>
                </c:pt>
                <c:pt idx="1335">
                  <c:v>2.4821022432529278E-4</c:v>
                </c:pt>
                <c:pt idx="1336">
                  <c:v>2.4368564042682352E-4</c:v>
                </c:pt>
                <c:pt idx="1337">
                  <c:v>2.3840708331120675E-4</c:v>
                </c:pt>
                <c:pt idx="1338">
                  <c:v>2.3531393087444593E-4</c:v>
                </c:pt>
                <c:pt idx="1339">
                  <c:v>2.3701799747897288E-4</c:v>
                </c:pt>
                <c:pt idx="1340">
                  <c:v>2.3539153451122456E-4</c:v>
                </c:pt>
                <c:pt idx="1341">
                  <c:v>2.3709529250900532E-4</c:v>
                </c:pt>
                <c:pt idx="1342">
                  <c:v>2.4330573666134917E-4</c:v>
                </c:pt>
                <c:pt idx="1343">
                  <c:v>2.4708518068943783E-4</c:v>
                </c:pt>
                <c:pt idx="1344">
                  <c:v>2.484347274736961E-4</c:v>
                </c:pt>
                <c:pt idx="1345">
                  <c:v>2.4873379970370008E-4</c:v>
                </c:pt>
                <c:pt idx="1346">
                  <c:v>2.5726625513263396E-4</c:v>
                </c:pt>
                <c:pt idx="1347">
                  <c:v>2.4086453788377171E-4</c:v>
                </c:pt>
                <c:pt idx="1348">
                  <c:v>2.2630596702294484E-4</c:v>
                </c:pt>
                <c:pt idx="1349">
                  <c:v>2.2432827569703824E-4</c:v>
                </c:pt>
                <c:pt idx="1350">
                  <c:v>2.1403961859471702E-4</c:v>
                </c:pt>
                <c:pt idx="1351">
                  <c:v>2.1884058349147561E-4</c:v>
                </c:pt>
                <c:pt idx="1352">
                  <c:v>2.2139057930930966E-4</c:v>
                </c:pt>
                <c:pt idx="1353">
                  <c:v>2.3219889374774877E-4</c:v>
                </c:pt>
                <c:pt idx="1354">
                  <c:v>2.2266242705323906E-4</c:v>
                </c:pt>
                <c:pt idx="1355">
                  <c:v>2.3305759909243208E-4</c:v>
                </c:pt>
                <c:pt idx="1356">
                  <c:v>2.3274551963723994E-4</c:v>
                </c:pt>
                <c:pt idx="1357">
                  <c:v>2.3133868031016331E-4</c:v>
                </c:pt>
                <c:pt idx="1358">
                  <c:v>2.1788232488212381E-4</c:v>
                </c:pt>
                <c:pt idx="1359">
                  <c:v>2.3461488630491492E-4</c:v>
                </c:pt>
                <c:pt idx="1360">
                  <c:v>2.4701002953346718E-4</c:v>
                </c:pt>
                <c:pt idx="1361">
                  <c:v>2.4451992663168578E-4</c:v>
                </c:pt>
                <c:pt idx="1362">
                  <c:v>2.4482278523023897E-4</c:v>
                </c:pt>
                <c:pt idx="1363">
                  <c:v>2.4520096522712902E-4</c:v>
                </c:pt>
                <c:pt idx="1364">
                  <c:v>2.4610679258560327E-4</c:v>
                </c:pt>
                <c:pt idx="1365">
                  <c:v>2.3647653224723769E-4</c:v>
                </c:pt>
                <c:pt idx="1366">
                  <c:v>2.3763595342986591E-4</c:v>
                </c:pt>
                <c:pt idx="1367">
                  <c:v>2.4086453788377171E-4</c:v>
                </c:pt>
                <c:pt idx="1368">
                  <c:v>2.2890667635126074E-4</c:v>
                </c:pt>
                <c:pt idx="1369">
                  <c:v>2.3313558704001074E-4</c:v>
                </c:pt>
                <c:pt idx="1370">
                  <c:v>2.2591092407692938E-4</c:v>
                </c:pt>
                <c:pt idx="1371">
                  <c:v>2.3141694279036601E-4</c:v>
                </c:pt>
                <c:pt idx="1372">
                  <c:v>2.4254466886934489E-4</c:v>
                </c:pt>
                <c:pt idx="1373">
                  <c:v>2.5617903881498165E-4</c:v>
                </c:pt>
                <c:pt idx="1374">
                  <c:v>2.5806031926501168E-4</c:v>
                </c:pt>
                <c:pt idx="1375">
                  <c:v>2.4429260045325473E-4</c:v>
                </c:pt>
                <c:pt idx="1376">
                  <c:v>2.4813535220591447E-4</c:v>
                </c:pt>
                <c:pt idx="1377">
                  <c:v>2.4094107662162313E-4</c:v>
                </c:pt>
                <c:pt idx="1378">
                  <c:v>2.4376157027917878E-4</c:v>
                </c:pt>
                <c:pt idx="1379">
                  <c:v>2.4850952401767295E-4</c:v>
                </c:pt>
                <c:pt idx="1380">
                  <c:v>2.46483459162354E-4</c:v>
                </c:pt>
                <c:pt idx="1381">
                  <c:v>2.4292541153217217E-4</c:v>
                </c:pt>
                <c:pt idx="1382">
                  <c:v>2.5574275073861634E-4</c:v>
                </c:pt>
                <c:pt idx="1383">
                  <c:v>2.6120840347049792E-4</c:v>
                </c:pt>
                <c:pt idx="1384">
                  <c:v>2.6078183012775562E-4</c:v>
                </c:pt>
                <c:pt idx="1385">
                  <c:v>2.6332802525204417E-4</c:v>
                </c:pt>
                <c:pt idx="1386">
                  <c:v>2.6791023876321591E-4</c:v>
                </c:pt>
                <c:pt idx="1387">
                  <c:v>2.7895662716650852E-4</c:v>
                </c:pt>
                <c:pt idx="1388">
                  <c:v>2.7921078506318412E-4</c:v>
                </c:pt>
                <c:pt idx="1389">
                  <c:v>2.7748532183536723E-4</c:v>
                </c:pt>
                <c:pt idx="1390">
                  <c:v>2.7130327427322715E-4</c:v>
                </c:pt>
                <c:pt idx="1391">
                  <c:v>2.6736095204299122E-4</c:v>
                </c:pt>
                <c:pt idx="1392">
                  <c:v>2.6879911364168543E-4</c:v>
                </c:pt>
                <c:pt idx="1393">
                  <c:v>2.6611877742096997E-4</c:v>
                </c:pt>
                <c:pt idx="1394">
                  <c:v>2.6205892078752583E-4</c:v>
                </c:pt>
                <c:pt idx="1395">
                  <c:v>2.641695710574604E-4</c:v>
                </c:pt>
                <c:pt idx="1396">
                  <c:v>2.7599740719140819E-4</c:v>
                </c:pt>
                <c:pt idx="1397">
                  <c:v>2.7851061775742875E-4</c:v>
                </c:pt>
                <c:pt idx="1398">
                  <c:v>2.727737317572612E-4</c:v>
                </c:pt>
                <c:pt idx="1399">
                  <c:v>2.8635012449936784E-4</c:v>
                </c:pt>
                <c:pt idx="1400">
                  <c:v>2.833287225726893E-4</c:v>
                </c:pt>
                <c:pt idx="1401">
                  <c:v>2.8521223346973602E-4</c:v>
                </c:pt>
                <c:pt idx="1402">
                  <c:v>2.8203416513512505E-4</c:v>
                </c:pt>
                <c:pt idx="1403">
                  <c:v>2.905445768130665E-4</c:v>
                </c:pt>
                <c:pt idx="1404">
                  <c:v>2.9037360350964977E-4</c:v>
                </c:pt>
                <c:pt idx="1405">
                  <c:v>3.0569747060203614E-4</c:v>
                </c:pt>
                <c:pt idx="1406">
                  <c:v>3.1286617370823516E-4</c:v>
                </c:pt>
                <c:pt idx="1407">
                  <c:v>3.18495868784564E-4</c:v>
                </c:pt>
                <c:pt idx="1408">
                  <c:v>3.1596482666851848E-4</c:v>
                </c:pt>
                <c:pt idx="1409">
                  <c:v>3.1967944924871729E-4</c:v>
                </c:pt>
                <c:pt idx="1410">
                  <c:v>3.1706234861046396E-4</c:v>
                </c:pt>
                <c:pt idx="1411">
                  <c:v>3.1703183753074572E-4</c:v>
                </c:pt>
                <c:pt idx="1412">
                  <c:v>3.1641114181284576E-4</c:v>
                </c:pt>
                <c:pt idx="1413">
                  <c:v>3.1877352359856382E-4</c:v>
                </c:pt>
                <c:pt idx="1414">
                  <c:v>3.1893767751883307E-4</c:v>
                </c:pt>
                <c:pt idx="1415">
                  <c:v>3.2052610100163952E-4</c:v>
                </c:pt>
                <c:pt idx="1416">
                  <c:v>3.2430986916467789E-4</c:v>
                </c:pt>
                <c:pt idx="1417">
                  <c:v>3.2276158561593532E-4</c:v>
                </c:pt>
                <c:pt idx="1418">
                  <c:v>3.2001019514243121E-4</c:v>
                </c:pt>
                <c:pt idx="1419">
                  <c:v>3.1988401250028937E-4</c:v>
                </c:pt>
                <c:pt idx="1420">
                  <c:v>3.213574118575024E-4</c:v>
                </c:pt>
                <c:pt idx="1421">
                  <c:v>3.2334447440686122E-4</c:v>
                </c:pt>
                <c:pt idx="1422">
                  <c:v>3.2417344466923674E-4</c:v>
                </c:pt>
                <c:pt idx="1423">
                  <c:v>3.239734625022113E-4</c:v>
                </c:pt>
                <c:pt idx="1424">
                  <c:v>3.2537043593918E-4</c:v>
                </c:pt>
                <c:pt idx="1425">
                  <c:v>3.2596422057287169E-4</c:v>
                </c:pt>
                <c:pt idx="1426">
                  <c:v>3.2584404695575807E-4</c:v>
                </c:pt>
                <c:pt idx="1427">
                  <c:v>3.2595196464853097E-4</c:v>
                </c:pt>
                <c:pt idx="1428">
                  <c:v>3.2425842175718008E-4</c:v>
                </c:pt>
                <c:pt idx="1429">
                  <c:v>3.212724512841421E-4</c:v>
                </c:pt>
                <c:pt idx="1430">
                  <c:v>3.2296556417323377E-4</c:v>
                </c:pt>
                <c:pt idx="1431">
                  <c:v>3.2149339899336288E-4</c:v>
                </c:pt>
                <c:pt idx="1432">
                  <c:v>3.2216531745399366E-4</c:v>
                </c:pt>
                <c:pt idx="1433">
                  <c:v>3.1728002631168219E-4</c:v>
                </c:pt>
                <c:pt idx="1434">
                  <c:v>3.1531649420516225E-4</c:v>
                </c:pt>
                <c:pt idx="1435">
                  <c:v>3.1781417666665047E-4</c:v>
                </c:pt>
                <c:pt idx="1436">
                  <c:v>3.1902400529274275E-4</c:v>
                </c:pt>
                <c:pt idx="1437">
                  <c:v>3.2200236562085672E-4</c:v>
                </c:pt>
                <c:pt idx="1438">
                  <c:v>3.2357723825581343E-4</c:v>
                </c:pt>
                <c:pt idx="1439">
                  <c:v>3.2594820940380382E-4</c:v>
                </c:pt>
                <c:pt idx="1440">
                  <c:v>3.2555457182906471E-4</c:v>
                </c:pt>
                <c:pt idx="1441">
                  <c:v>3.2283530796415336E-4</c:v>
                </c:pt>
                <c:pt idx="1442">
                  <c:v>3.2408902111143672E-4</c:v>
                </c:pt>
                <c:pt idx="1443">
                  <c:v>3.2484640191706734E-4</c:v>
                </c:pt>
                <c:pt idx="1444">
                  <c:v>3.2495382087692563E-4</c:v>
                </c:pt>
                <c:pt idx="1445">
                  <c:v>3.2545562548764236E-4</c:v>
                </c:pt>
                <c:pt idx="1446">
                  <c:v>3.2241938818641726E-4</c:v>
                </c:pt>
                <c:pt idx="1447">
                  <c:v>3.2232130442902998E-4</c:v>
                </c:pt>
                <c:pt idx="1448">
                  <c:v>3.2274302299205705E-4</c:v>
                </c:pt>
                <c:pt idx="1449">
                  <c:v>3.2299809109718352E-4</c:v>
                </c:pt>
                <c:pt idx="1450">
                  <c:v>3.2310423204741059E-4</c:v>
                </c:pt>
                <c:pt idx="1451">
                  <c:v>3.2232130442902998E-4</c:v>
                </c:pt>
                <c:pt idx="1452">
                  <c:v>3.2480192637559342E-4</c:v>
                </c:pt>
                <c:pt idx="1453">
                  <c:v>3.2403166931155135E-4</c:v>
                </c:pt>
                <c:pt idx="1454">
                  <c:v>3.2379371669563714E-4</c:v>
                </c:pt>
                <c:pt idx="1455">
                  <c:v>3.239734625022113E-4</c:v>
                </c:pt>
                <c:pt idx="1456">
                  <c:v>3.2531281536016065E-4</c:v>
                </c:pt>
                <c:pt idx="1457">
                  <c:v>3.2568959527345053E-4</c:v>
                </c:pt>
                <c:pt idx="1458">
                  <c:v>3.259294142985097E-4</c:v>
                </c:pt>
                <c:pt idx="1459">
                  <c:v>3.256672200760601E-4</c:v>
                </c:pt>
                <c:pt idx="1460">
                  <c:v>3.2495573179274975E-4</c:v>
                </c:pt>
                <c:pt idx="1461">
                  <c:v>3.2053048604644617E-4</c:v>
                </c:pt>
                <c:pt idx="1462">
                  <c:v>3.1816121784798739E-4</c:v>
                </c:pt>
                <c:pt idx="1463">
                  <c:v>3.023702311117602E-4</c:v>
                </c:pt>
                <c:pt idx="1464">
                  <c:v>3.0397349831702092E-4</c:v>
                </c:pt>
                <c:pt idx="1465">
                  <c:v>3.1039334292960692E-4</c:v>
                </c:pt>
                <c:pt idx="1466">
                  <c:v>3.1422892885883929E-4</c:v>
                </c:pt>
                <c:pt idx="1467">
                  <c:v>3.0733050201707215E-4</c:v>
                </c:pt>
                <c:pt idx="1468">
                  <c:v>3.1137065126007034E-4</c:v>
                </c:pt>
                <c:pt idx="1469">
                  <c:v>3.0135515706382484E-4</c:v>
                </c:pt>
                <c:pt idx="1470">
                  <c:v>3.1047260641872676E-4</c:v>
                </c:pt>
                <c:pt idx="1471">
                  <c:v>3.1090520731398981E-4</c:v>
                </c:pt>
                <c:pt idx="1472">
                  <c:v>3.1960662431687305E-4</c:v>
                </c:pt>
                <c:pt idx="1473">
                  <c:v>3.2003985075518537E-4</c:v>
                </c:pt>
                <c:pt idx="1474">
                  <c:v>3.2104629699883304E-4</c:v>
                </c:pt>
                <c:pt idx="1475">
                  <c:v>3.1436760737572574E-4</c:v>
                </c:pt>
                <c:pt idx="1476">
                  <c:v>3.1833201144720636E-4</c:v>
                </c:pt>
                <c:pt idx="1477">
                  <c:v>3.1460842045224476E-4</c:v>
                </c:pt>
                <c:pt idx="1478">
                  <c:v>3.1541588241537567E-4</c:v>
                </c:pt>
                <c:pt idx="1479">
                  <c:v>3.178725211049737E-4</c:v>
                </c:pt>
                <c:pt idx="1480">
                  <c:v>3.2057841379822357E-4</c:v>
                </c:pt>
                <c:pt idx="1481">
                  <c:v>3.221248943491141E-4</c:v>
                </c:pt>
                <c:pt idx="1482">
                  <c:v>3.212724512841421E-4</c:v>
                </c:pt>
                <c:pt idx="1483">
                  <c:v>3.2248113431855953E-4</c:v>
                </c:pt>
                <c:pt idx="1484">
                  <c:v>3.2006487216303006E-4</c:v>
                </c:pt>
                <c:pt idx="1485">
                  <c:v>3.2421744334121331E-4</c:v>
                </c:pt>
                <c:pt idx="1486">
                  <c:v>3.2263398930535998E-4</c:v>
                </c:pt>
                <c:pt idx="1487">
                  <c:v>3.2384213627843262E-4</c:v>
                </c:pt>
                <c:pt idx="1488">
                  <c:v>3.2307228243480388E-4</c:v>
                </c:pt>
                <c:pt idx="1489">
                  <c:v>3.1978680867563347E-4</c:v>
                </c:pt>
                <c:pt idx="1490">
                  <c:v>3.1731012792690145E-4</c:v>
                </c:pt>
                <c:pt idx="1491">
                  <c:v>3.1587383463939578E-4</c:v>
                </c:pt>
                <c:pt idx="1492">
                  <c:v>3.1070927374683775E-4</c:v>
                </c:pt>
                <c:pt idx="1493">
                  <c:v>3.1609918228509958E-4</c:v>
                </c:pt>
                <c:pt idx="1494">
                  <c:v>3.2113738279020392E-4</c:v>
                </c:pt>
                <c:pt idx="1495">
                  <c:v>3.229114906779083E-4</c:v>
                </c:pt>
                <c:pt idx="1496">
                  <c:v>3.2274641564600129E-4</c:v>
                </c:pt>
                <c:pt idx="1497">
                  <c:v>3.2367248964875508E-4</c:v>
                </c:pt>
                <c:pt idx="1498">
                  <c:v>3.2081494734898994E-4</c:v>
                </c:pt>
                <c:pt idx="1499">
                  <c:v>3.2561986562001222E-4</c:v>
                </c:pt>
                <c:pt idx="1500">
                  <c:v>3.2569947482643299E-4</c:v>
                </c:pt>
                <c:pt idx="1501">
                  <c:v>3.2560006198426299E-4</c:v>
                </c:pt>
                <c:pt idx="1502">
                  <c:v>3.2569406104788752E-4</c:v>
                </c:pt>
                <c:pt idx="1503">
                  <c:v>3.2578320344293698E-4</c:v>
                </c:pt>
                <c:pt idx="1504">
                  <c:v>3.2589597587117801E-4</c:v>
                </c:pt>
                <c:pt idx="1505">
                  <c:v>3.2495573179274975E-4</c:v>
                </c:pt>
                <c:pt idx="1506">
                  <c:v>3.2400532836223897E-4</c:v>
                </c:pt>
                <c:pt idx="1507">
                  <c:v>3.2362510351170883E-4</c:v>
                </c:pt>
                <c:pt idx="1508">
                  <c:v>3.1894264334407193E-4</c:v>
                </c:pt>
                <c:pt idx="1509">
                  <c:v>3.1888814745506734E-4</c:v>
                </c:pt>
                <c:pt idx="1510">
                  <c:v>3.1387883300512361E-4</c:v>
                </c:pt>
                <c:pt idx="1511">
                  <c:v>3.0995405642580205E-4</c:v>
                </c:pt>
                <c:pt idx="1512">
                  <c:v>3.0641581752279272E-4</c:v>
                </c:pt>
                <c:pt idx="1513">
                  <c:v>2.9450120811672494E-4</c:v>
                </c:pt>
                <c:pt idx="1514">
                  <c:v>2.8582363469172614E-4</c:v>
                </c:pt>
                <c:pt idx="1515">
                  <c:v>2.9263553703249776E-4</c:v>
                </c:pt>
                <c:pt idx="1516">
                  <c:v>2.899265052371507E-4</c:v>
                </c:pt>
                <c:pt idx="1517">
                  <c:v>2.9711005642916332E-4</c:v>
                </c:pt>
                <c:pt idx="1518">
                  <c:v>2.8742709338331972E-4</c:v>
                </c:pt>
                <c:pt idx="1519">
                  <c:v>2.9901589375495136E-4</c:v>
                </c:pt>
                <c:pt idx="1520">
                  <c:v>3.0027169488355522E-4</c:v>
                </c:pt>
                <c:pt idx="1521">
                  <c:v>2.995213320453654E-4</c:v>
                </c:pt>
                <c:pt idx="1522">
                  <c:v>2.9444697691398939E-4</c:v>
                </c:pt>
                <c:pt idx="1523">
                  <c:v>2.9632159564156081E-4</c:v>
                </c:pt>
                <c:pt idx="1524">
                  <c:v>3.0164709555961956E-4</c:v>
                </c:pt>
                <c:pt idx="1525">
                  <c:v>2.9004110604736181E-4</c:v>
                </c:pt>
                <c:pt idx="1526">
                  <c:v>3.0606215712729122E-4</c:v>
                </c:pt>
                <c:pt idx="1527">
                  <c:v>3.0388057659346885E-4</c:v>
                </c:pt>
                <c:pt idx="1528">
                  <c:v>3.0388057659346885E-4</c:v>
                </c:pt>
                <c:pt idx="1529">
                  <c:v>3.0081597569961958E-4</c:v>
                </c:pt>
                <c:pt idx="1530">
                  <c:v>3.0369421010093326E-4</c:v>
                </c:pt>
                <c:pt idx="1531">
                  <c:v>3.1524998971561933E-4</c:v>
                </c:pt>
                <c:pt idx="1532">
                  <c:v>3.1257851433957298E-4</c:v>
                </c:pt>
                <c:pt idx="1533">
                  <c:v>2.9747489937900377E-4</c:v>
                </c:pt>
                <c:pt idx="1534">
                  <c:v>3.0232232139831659E-4</c:v>
                </c:pt>
                <c:pt idx="1535">
                  <c:v>3.0246592186893619E-4</c:v>
                </c:pt>
                <c:pt idx="1536">
                  <c:v>3.0369421010093326E-4</c:v>
                </c:pt>
                <c:pt idx="1537">
                  <c:v>2.986596285917365E-4</c:v>
                </c:pt>
                <c:pt idx="1538">
                  <c:v>3.0570563940769772E-4</c:v>
                </c:pt>
                <c:pt idx="1539">
                  <c:v>3.020821303945154E-4</c:v>
                </c:pt>
                <c:pt idx="1540">
                  <c:v>3.0360076568767749E-4</c:v>
                </c:pt>
                <c:pt idx="1541">
                  <c:v>3.0265678806756465E-4</c:v>
                </c:pt>
                <c:pt idx="1542">
                  <c:v>3.0754534968351576E-4</c:v>
                </c:pt>
                <c:pt idx="1543">
                  <c:v>3.192653382060355E-4</c:v>
                </c:pt>
                <c:pt idx="1544">
                  <c:v>3.2296556417323377E-4</c:v>
                </c:pt>
                <c:pt idx="1545">
                  <c:v>3.2173041480663988E-4</c:v>
                </c:pt>
                <c:pt idx="1546">
                  <c:v>3.1504929840400487E-4</c:v>
                </c:pt>
                <c:pt idx="1547">
                  <c:v>3.11138776994373E-4</c:v>
                </c:pt>
                <c:pt idx="1548">
                  <c:v>2.989143098142816E-4</c:v>
                </c:pt>
                <c:pt idx="1549">
                  <c:v>2.9241311561202109E-4</c:v>
                </c:pt>
                <c:pt idx="1550">
                  <c:v>2.9942057587921552E-4</c:v>
                </c:pt>
                <c:pt idx="1551">
                  <c:v>3.0570563940769772E-4</c:v>
                </c:pt>
                <c:pt idx="1552">
                  <c:v>3.0780166982934695E-4</c:v>
                </c:pt>
                <c:pt idx="1553">
                  <c:v>3.0525599082070526E-4</c:v>
                </c:pt>
                <c:pt idx="1554">
                  <c:v>3.0135515706382484E-4</c:v>
                </c:pt>
                <c:pt idx="1555">
                  <c:v>2.9757877548353373E-4</c:v>
                </c:pt>
                <c:pt idx="1556">
                  <c:v>3.0561606480126351E-4</c:v>
                </c:pt>
                <c:pt idx="1557">
                  <c:v>3.1182929737114844E-4</c:v>
                </c:pt>
                <c:pt idx="1558">
                  <c:v>3.1850098300247021E-4</c:v>
                </c:pt>
                <c:pt idx="1559">
                  <c:v>3.1666749400716088E-4</c:v>
                </c:pt>
                <c:pt idx="1560">
                  <c:v>3.1861261697744702E-4</c:v>
                </c:pt>
                <c:pt idx="1561">
                  <c:v>3.1063057198042331E-4</c:v>
                </c:pt>
                <c:pt idx="1562">
                  <c:v>3.1728002631168219E-4</c:v>
                </c:pt>
                <c:pt idx="1563">
                  <c:v>3.1968415388840347E-4</c:v>
                </c:pt>
                <c:pt idx="1564">
                  <c:v>3.2076805497964934E-4</c:v>
                </c:pt>
                <c:pt idx="1565">
                  <c:v>3.1821835131069369E-4</c:v>
                </c:pt>
                <c:pt idx="1566">
                  <c:v>3.1666749400716088E-4</c:v>
                </c:pt>
                <c:pt idx="1567">
                  <c:v>3.067666097327062E-4</c:v>
                </c:pt>
                <c:pt idx="1568">
                  <c:v>3.1651124409534616E-4</c:v>
                </c:pt>
                <c:pt idx="1569">
                  <c:v>3.1401945344658889E-4</c:v>
                </c:pt>
                <c:pt idx="1570">
                  <c:v>3.2151520697849877E-4</c:v>
                </c:pt>
                <c:pt idx="1571">
                  <c:v>3.2183605839228844E-4</c:v>
                </c:pt>
                <c:pt idx="1572">
                  <c:v>3.2515419816645739E-4</c:v>
                </c:pt>
                <c:pt idx="1573">
                  <c:v>3.2326297945990364E-4</c:v>
                </c:pt>
                <c:pt idx="1574">
                  <c:v>3.2544200199057996E-4</c:v>
                </c:pt>
                <c:pt idx="1575">
                  <c:v>3.2511447824679345E-4</c:v>
                </c:pt>
                <c:pt idx="1576">
                  <c:v>3.2566149063167855E-4</c:v>
                </c:pt>
                <c:pt idx="1577">
                  <c:v>3.2594820940380382E-4</c:v>
                </c:pt>
                <c:pt idx="1578">
                  <c:v>3.2495573179274975E-4</c:v>
                </c:pt>
                <c:pt idx="1579">
                  <c:v>3.2292956806844624E-4</c:v>
                </c:pt>
                <c:pt idx="1580">
                  <c:v>3.2582190117312469E-4</c:v>
                </c:pt>
                <c:pt idx="1581">
                  <c:v>3.22519664252709E-4</c:v>
                </c:pt>
                <c:pt idx="1582">
                  <c:v>3.2454419200942037E-4</c:v>
                </c:pt>
                <c:pt idx="1583">
                  <c:v>3.22519664252709E-4</c:v>
                </c:pt>
                <c:pt idx="1584">
                  <c:v>3.1635375126294255E-4</c:v>
                </c:pt>
                <c:pt idx="1585">
                  <c:v>3.1348813478072261E-4</c:v>
                </c:pt>
                <c:pt idx="1586">
                  <c:v>3.2292956806844624E-4</c:v>
                </c:pt>
                <c:pt idx="1587">
                  <c:v>3.1968415388840347E-4</c:v>
                </c:pt>
                <c:pt idx="1588">
                  <c:v>3.2060230009693593E-4</c:v>
                </c:pt>
                <c:pt idx="1589">
                  <c:v>3.2183605839228844E-4</c:v>
                </c:pt>
                <c:pt idx="1590">
                  <c:v>3.1309159982068671E-4</c:v>
                </c:pt>
                <c:pt idx="1591">
                  <c:v>3.1265238694703281E-4</c:v>
                </c:pt>
                <c:pt idx="1592">
                  <c:v>3.1287285626397407E-4</c:v>
                </c:pt>
                <c:pt idx="1593">
                  <c:v>3.1401945344658889E-4</c:v>
                </c:pt>
                <c:pt idx="1594">
                  <c:v>3.0914095046742673E-4</c:v>
                </c:pt>
                <c:pt idx="1595">
                  <c:v>3.1125492630788967E-4</c:v>
                </c:pt>
                <c:pt idx="1596">
                  <c:v>3.1651124409534616E-4</c:v>
                </c:pt>
                <c:pt idx="1597">
                  <c:v>3.212724512841421E-4</c:v>
                </c:pt>
                <c:pt idx="1598">
                  <c:v>3.2187794948051893E-4</c:v>
                </c:pt>
                <c:pt idx="1599">
                  <c:v>3.2210460405807752E-4</c:v>
                </c:pt>
                <c:pt idx="1600">
                  <c:v>3.2179395792164442E-4</c:v>
                </c:pt>
                <c:pt idx="1601">
                  <c:v>3.1931840627991224E-4</c:v>
                </c:pt>
                <c:pt idx="1602">
                  <c:v>3.2187794948051893E-4</c:v>
                </c:pt>
                <c:pt idx="1603">
                  <c:v>3.24034305411114E-4</c:v>
                </c:pt>
                <c:pt idx="1604">
                  <c:v>3.2175164815218698E-4</c:v>
                </c:pt>
                <c:pt idx="1605">
                  <c:v>3.1793066399901507E-4</c:v>
                </c:pt>
                <c:pt idx="1606">
                  <c:v>3.1751943534528596E-4</c:v>
                </c:pt>
                <c:pt idx="1607">
                  <c:v>3.1978680867563347E-4</c:v>
                </c:pt>
                <c:pt idx="1608">
                  <c:v>3.2006487216303006E-4</c:v>
                </c:pt>
                <c:pt idx="1609">
                  <c:v>3.2226545613186591E-4</c:v>
                </c:pt>
                <c:pt idx="1610">
                  <c:v>3.192653382060355E-4</c:v>
                </c:pt>
                <c:pt idx="1611">
                  <c:v>3.2185703011441443E-4</c:v>
                </c:pt>
                <c:pt idx="1612">
                  <c:v>3.1798860523426858E-4</c:v>
                </c:pt>
                <c:pt idx="1613">
                  <c:v>3.1341647097160385E-4</c:v>
                </c:pt>
                <c:pt idx="1614">
                  <c:v>3.2113738279020392E-4</c:v>
                </c:pt>
                <c:pt idx="1615">
                  <c:v>3.194239291352253E-4</c:v>
                </c:pt>
                <c:pt idx="1616">
                  <c:v>3.1647984490088449E-4</c:v>
                </c:pt>
                <c:pt idx="1617">
                  <c:v>3.1907799184582441E-4</c:v>
                </c:pt>
                <c:pt idx="1618">
                  <c:v>3.2067364854251244E-4</c:v>
                </c:pt>
                <c:pt idx="1619">
                  <c:v>3.199392506924182E-4</c:v>
                </c:pt>
                <c:pt idx="1620">
                  <c:v>3.2048235150134065E-4</c:v>
                </c:pt>
                <c:pt idx="1621">
                  <c:v>3.1316413017346397E-4</c:v>
                </c:pt>
                <c:pt idx="1622">
                  <c:v>3.1043299805054626E-4</c:v>
                </c:pt>
                <c:pt idx="1623">
                  <c:v>2.9373841797675611E-4</c:v>
                </c:pt>
                <c:pt idx="1624">
                  <c:v>2.8223131027496032E-4</c:v>
                </c:pt>
                <c:pt idx="1625">
                  <c:v>2.8010777669743215E-4</c:v>
                </c:pt>
                <c:pt idx="1626">
                  <c:v>2.8492171264913138E-4</c:v>
                </c:pt>
                <c:pt idx="1627">
                  <c:v>2.8766242988598412E-4</c:v>
                </c:pt>
                <c:pt idx="1628">
                  <c:v>2.8754483354324304E-4</c:v>
                </c:pt>
                <c:pt idx="1629">
                  <c:v>2.8807288141050372E-4</c:v>
                </c:pt>
                <c:pt idx="1630">
                  <c:v>2.9493364534883296E-4</c:v>
                </c:pt>
                <c:pt idx="1631">
                  <c:v>3.0914095046742673E-4</c:v>
                </c:pt>
                <c:pt idx="1632">
                  <c:v>3.2018920693670325E-4</c:v>
                </c:pt>
                <c:pt idx="1633">
                  <c:v>3.2023858022607778E-4</c:v>
                </c:pt>
                <c:pt idx="1634">
                  <c:v>3.2109194384746283E-4</c:v>
                </c:pt>
                <c:pt idx="1635">
                  <c:v>3.2062613466175231E-4</c:v>
                </c:pt>
                <c:pt idx="1636">
                  <c:v>3.2187794948051893E-4</c:v>
                </c:pt>
                <c:pt idx="1637">
                  <c:v>3.2431230989656739E-4</c:v>
                </c:pt>
                <c:pt idx="1638">
                  <c:v>3.2489198587824542E-4</c:v>
                </c:pt>
                <c:pt idx="1639">
                  <c:v>3.2555579191675889E-4</c:v>
                </c:pt>
                <c:pt idx="1640">
                  <c:v>3.2560748463082587E-4</c:v>
                </c:pt>
                <c:pt idx="1641">
                  <c:v>3.2596193602886438E-4</c:v>
                </c:pt>
                <c:pt idx="1642">
                  <c:v>3.2596468797829086E-4</c:v>
                </c:pt>
                <c:pt idx="1643">
                  <c:v>3.241455174441977E-4</c:v>
                </c:pt>
                <c:pt idx="1644">
                  <c:v>3.2210089428321256E-4</c:v>
                </c:pt>
                <c:pt idx="1645">
                  <c:v>3.185518057327078E-4</c:v>
                </c:pt>
                <c:pt idx="1646">
                  <c:v>3.2140162051665869E-4</c:v>
                </c:pt>
                <c:pt idx="1647">
                  <c:v>3.1751400795833567E-4</c:v>
                </c:pt>
                <c:pt idx="1648">
                  <c:v>3.0846953209997212E-4</c:v>
                </c:pt>
                <c:pt idx="1649">
                  <c:v>3.077086202324339E-4</c:v>
                </c:pt>
                <c:pt idx="1650">
                  <c:v>3.0710661595577366E-4</c:v>
                </c:pt>
                <c:pt idx="1651">
                  <c:v>3.0506660882988559E-4</c:v>
                </c:pt>
                <c:pt idx="1652">
                  <c:v>3.0493029583656203E-4</c:v>
                </c:pt>
                <c:pt idx="1653">
                  <c:v>2.9777659494033097E-4</c:v>
                </c:pt>
                <c:pt idx="1654">
                  <c:v>2.8829597402776853E-4</c:v>
                </c:pt>
                <c:pt idx="1655">
                  <c:v>2.9829197768160414E-4</c:v>
                </c:pt>
                <c:pt idx="1656">
                  <c:v>3.0596517512289541E-4</c:v>
                </c:pt>
                <c:pt idx="1657">
                  <c:v>3.0719315966388019E-4</c:v>
                </c:pt>
                <c:pt idx="1658">
                  <c:v>3.1387239673943133E-4</c:v>
                </c:pt>
                <c:pt idx="1659">
                  <c:v>3.1408308958830124E-4</c:v>
                </c:pt>
                <c:pt idx="1660">
                  <c:v>3.138371116762831E-4</c:v>
                </c:pt>
                <c:pt idx="1661">
                  <c:v>3.087198773670533E-4</c:v>
                </c:pt>
                <c:pt idx="1662">
                  <c:v>3.1097613604571308E-4</c:v>
                </c:pt>
                <c:pt idx="1663">
                  <c:v>3.0451897762087958E-4</c:v>
                </c:pt>
                <c:pt idx="1664">
                  <c:v>2.972571412963224E-4</c:v>
                </c:pt>
                <c:pt idx="1665">
                  <c:v>3.0719315966388019E-4</c:v>
                </c:pt>
                <c:pt idx="1666">
                  <c:v>2.9481591748462248E-4</c:v>
                </c:pt>
                <c:pt idx="1667">
                  <c:v>3.0405778693756003E-4</c:v>
                </c:pt>
                <c:pt idx="1668">
                  <c:v>3.0226561018141979E-4</c:v>
                </c:pt>
                <c:pt idx="1669">
                  <c:v>3.1351736982367388E-4</c:v>
                </c:pt>
                <c:pt idx="1670">
                  <c:v>3.0293314759241509E-4</c:v>
                </c:pt>
                <c:pt idx="1671">
                  <c:v>2.9910806208717115E-4</c:v>
                </c:pt>
                <c:pt idx="1672">
                  <c:v>2.9683866373998431E-4</c:v>
                </c:pt>
                <c:pt idx="1673">
                  <c:v>2.7076510700065146E-4</c:v>
                </c:pt>
                <c:pt idx="1674">
                  <c:v>2.7303957294785619E-4</c:v>
                </c:pt>
                <c:pt idx="1675">
                  <c:v>2.7089981993998853E-4</c:v>
                </c:pt>
                <c:pt idx="1676">
                  <c:v>2.8605191108954344E-4</c:v>
                </c:pt>
                <c:pt idx="1677">
                  <c:v>2.9323397026602215E-4</c:v>
                </c:pt>
                <c:pt idx="1678">
                  <c:v>2.9037360350964977E-4</c:v>
                </c:pt>
                <c:pt idx="1679">
                  <c:v>2.7959105620989859E-4</c:v>
                </c:pt>
                <c:pt idx="1680">
                  <c:v>2.9048762301274282E-4</c:v>
                </c:pt>
                <c:pt idx="1681">
                  <c:v>3.02743282906625E-4</c:v>
                </c:pt>
                <c:pt idx="1682">
                  <c:v>2.9746540970259142E-4</c:v>
                </c:pt>
                <c:pt idx="1683">
                  <c:v>2.9762118518364297E-4</c:v>
                </c:pt>
                <c:pt idx="1684">
                  <c:v>2.9251425110960778E-4</c:v>
                </c:pt>
                <c:pt idx="1685">
                  <c:v>2.8460827290509479E-4</c:v>
                </c:pt>
                <c:pt idx="1686">
                  <c:v>2.6804728929938939E-4</c:v>
                </c:pt>
                <c:pt idx="1687">
                  <c:v>2.7170569691908219E-4</c:v>
                </c:pt>
                <c:pt idx="1688">
                  <c:v>2.8326741523724598E-4</c:v>
                </c:pt>
                <c:pt idx="1689">
                  <c:v>2.7606243975316985E-4</c:v>
                </c:pt>
                <c:pt idx="1690">
                  <c:v>2.7042782779032414E-4</c:v>
                </c:pt>
                <c:pt idx="1691">
                  <c:v>2.715716710624495E-4</c:v>
                </c:pt>
                <c:pt idx="1692">
                  <c:v>2.7709875728270544E-4</c:v>
                </c:pt>
                <c:pt idx="1693">
                  <c:v>2.893407471063538E-4</c:v>
                </c:pt>
                <c:pt idx="1694">
                  <c:v>2.8406174830136955E-4</c:v>
                </c:pt>
                <c:pt idx="1695">
                  <c:v>2.7303957294785619E-4</c:v>
                </c:pt>
                <c:pt idx="1696">
                  <c:v>2.9071521409324594E-4</c:v>
                </c:pt>
                <c:pt idx="1697">
                  <c:v>2.9662845773485279E-4</c:v>
                </c:pt>
                <c:pt idx="1698">
                  <c:v>2.9662845773485279E-4</c:v>
                </c:pt>
                <c:pt idx="1699">
                  <c:v>3.1018707977809154E-4</c:v>
                </c:pt>
                <c:pt idx="1700">
                  <c:v>3.1821314467397199E-4</c:v>
                </c:pt>
                <c:pt idx="1701">
                  <c:v>3.1550881963316775E-4</c:v>
                </c:pt>
                <c:pt idx="1702">
                  <c:v>3.1425733259925323E-4</c:v>
                </c:pt>
                <c:pt idx="1703">
                  <c:v>3.1167021173744751E-4</c:v>
                </c:pt>
                <c:pt idx="1704">
                  <c:v>3.0830171891278339E-4</c:v>
                </c:pt>
                <c:pt idx="1705">
                  <c:v>3.076231635462123E-4</c:v>
                </c:pt>
                <c:pt idx="1706">
                  <c:v>3.1537675787291885E-4</c:v>
                </c:pt>
                <c:pt idx="1707">
                  <c:v>3.1544288713909686E-4</c:v>
                </c:pt>
                <c:pt idx="1708">
                  <c:v>3.1763254453636954E-4</c:v>
                </c:pt>
                <c:pt idx="1709">
                  <c:v>3.0851137093802127E-4</c:v>
                </c:pt>
                <c:pt idx="1710">
                  <c:v>3.0736570464594753E-4</c:v>
                </c:pt>
                <c:pt idx="1711">
                  <c:v>3.1144055251327944E-4</c:v>
                </c:pt>
                <c:pt idx="1712">
                  <c:v>3.1666181102613539E-4</c:v>
                </c:pt>
                <c:pt idx="1713">
                  <c:v>3.0614275310327568E-4</c:v>
                </c:pt>
                <c:pt idx="1714">
                  <c:v>3.18495868784564E-4</c:v>
                </c:pt>
                <c:pt idx="1715">
                  <c:v>3.1678595114517335E-4</c:v>
                </c:pt>
                <c:pt idx="1716">
                  <c:v>3.1010714567339902E-4</c:v>
                </c:pt>
                <c:pt idx="1717">
                  <c:v>3.13659960586347E-4</c:v>
                </c:pt>
                <c:pt idx="1718">
                  <c:v>3.0542816512969687E-4</c:v>
                </c:pt>
                <c:pt idx="1719">
                  <c:v>3.0925661468210914E-4</c:v>
                </c:pt>
                <c:pt idx="1720">
                  <c:v>3.1602918036643767E-4</c:v>
                </c:pt>
                <c:pt idx="1721">
                  <c:v>3.0723636374482523E-4</c:v>
                </c:pt>
                <c:pt idx="1722">
                  <c:v>3.11131695398768E-4</c:v>
                </c:pt>
                <c:pt idx="1723">
                  <c:v>3.1074138691510072E-4</c:v>
                </c:pt>
                <c:pt idx="1724">
                  <c:v>3.0649576285349158E-4</c:v>
                </c:pt>
                <c:pt idx="1725">
                  <c:v>3.1443036028272004E-4</c:v>
                </c:pt>
                <c:pt idx="1726">
                  <c:v>3.0442709003549752E-4</c:v>
                </c:pt>
                <c:pt idx="1727">
                  <c:v>2.9829197768160414E-4</c:v>
                </c:pt>
                <c:pt idx="1728">
                  <c:v>2.9798323790761297E-4</c:v>
                </c:pt>
                <c:pt idx="1729">
                  <c:v>3.1408308958830124E-4</c:v>
                </c:pt>
                <c:pt idx="1730">
                  <c:v>3.129392976768725E-4</c:v>
                </c:pt>
                <c:pt idx="1731">
                  <c:v>3.1034638822910102E-4</c:v>
                </c:pt>
                <c:pt idx="1732">
                  <c:v>3.1074138691510072E-4</c:v>
                </c:pt>
                <c:pt idx="1733">
                  <c:v>3.0451897762087958E-4</c:v>
                </c:pt>
                <c:pt idx="1734">
                  <c:v>2.9981345866417718E-4</c:v>
                </c:pt>
                <c:pt idx="1735">
                  <c:v>2.9936092290972182E-4</c:v>
                </c:pt>
                <c:pt idx="1736">
                  <c:v>3.0387208620554911E-4</c:v>
                </c:pt>
                <c:pt idx="1737">
                  <c:v>3.0158967764548378E-4</c:v>
                </c:pt>
                <c:pt idx="1738">
                  <c:v>3.0896856935487549E-4</c:v>
                </c:pt>
                <c:pt idx="1739">
                  <c:v>3.0838571703294647E-4</c:v>
                </c:pt>
                <c:pt idx="1740">
                  <c:v>3.1443036028272004E-4</c:v>
                </c:pt>
                <c:pt idx="1741">
                  <c:v>3.1456790597296481E-4</c:v>
                </c:pt>
                <c:pt idx="1742">
                  <c:v>3.1315751772980537E-4</c:v>
                </c:pt>
                <c:pt idx="1743">
                  <c:v>3.1344578486094347E-4</c:v>
                </c:pt>
                <c:pt idx="1744">
                  <c:v>3.1074138691510072E-4</c:v>
                </c:pt>
                <c:pt idx="1745">
                  <c:v>3.1344578486094347E-4</c:v>
                </c:pt>
                <c:pt idx="1746">
                  <c:v>3.0740872776328785E-4</c:v>
                </c:pt>
                <c:pt idx="1747">
                  <c:v>3.0978554700893107E-4</c:v>
                </c:pt>
                <c:pt idx="1748">
                  <c:v>3.1590027517542344E-4</c:v>
                </c:pt>
                <c:pt idx="1749">
                  <c:v>3.1286617370823516E-4</c:v>
                </c:pt>
                <c:pt idx="1750">
                  <c:v>3.1745443835308902E-4</c:v>
                </c:pt>
                <c:pt idx="1751">
                  <c:v>3.1564009378866521E-4</c:v>
                </c:pt>
                <c:pt idx="1752">
                  <c:v>3.0675863689732391E-4</c:v>
                </c:pt>
                <c:pt idx="1753">
                  <c:v>3.0216956091703393E-4</c:v>
                </c:pt>
                <c:pt idx="1754">
                  <c:v>3.077086202324339E-4</c:v>
                </c:pt>
                <c:pt idx="1755">
                  <c:v>3.0216956091703393E-4</c:v>
                </c:pt>
                <c:pt idx="1756">
                  <c:v>3.0684590196165725E-4</c:v>
                </c:pt>
                <c:pt idx="1757">
                  <c:v>3.0578688355449964E-4</c:v>
                </c:pt>
                <c:pt idx="1758">
                  <c:v>3.0962363250909059E-4</c:v>
                </c:pt>
                <c:pt idx="1759">
                  <c:v>3.0139502089400629E-4</c:v>
                </c:pt>
                <c:pt idx="1760">
                  <c:v>3.0056017586346995E-4</c:v>
                </c:pt>
                <c:pt idx="1761">
                  <c:v>2.9513910859404384E-4</c:v>
                </c:pt>
                <c:pt idx="1762">
                  <c:v>2.8887786547954349E-4</c:v>
                </c:pt>
                <c:pt idx="1763">
                  <c:v>2.9206813051424956E-4</c:v>
                </c:pt>
                <c:pt idx="1764">
                  <c:v>2.8887786547954349E-4</c:v>
                </c:pt>
                <c:pt idx="1765">
                  <c:v>2.8222001093211011E-4</c:v>
                </c:pt>
                <c:pt idx="1766">
                  <c:v>2.892252468483677E-4</c:v>
                </c:pt>
                <c:pt idx="1767">
                  <c:v>2.9240294993596033E-4</c:v>
                </c:pt>
                <c:pt idx="1768">
                  <c:v>2.862905525222502E-4</c:v>
                </c:pt>
                <c:pt idx="1769">
                  <c:v>2.702251207421916E-4</c:v>
                </c:pt>
                <c:pt idx="1770">
                  <c:v>2.6639556147607771E-4</c:v>
                </c:pt>
                <c:pt idx="1771">
                  <c:v>2.7036028700857623E-4</c:v>
                </c:pt>
                <c:pt idx="1772">
                  <c:v>2.7690505307648974E-4</c:v>
                </c:pt>
                <c:pt idx="1773">
                  <c:v>2.7882935576279273E-4</c:v>
                </c:pt>
                <c:pt idx="1774">
                  <c:v>2.8617130245620293E-4</c:v>
                </c:pt>
                <c:pt idx="1775">
                  <c:v>2.7933767109980214E-4</c:v>
                </c:pt>
                <c:pt idx="1776">
                  <c:v>2.8159935572999461E-4</c:v>
                </c:pt>
                <c:pt idx="1777">
                  <c:v>2.7317231712337928E-4</c:v>
                </c:pt>
                <c:pt idx="1778">
                  <c:v>2.7593234389538423E-4</c:v>
                </c:pt>
                <c:pt idx="1779">
                  <c:v>2.7965432170405104E-4</c:v>
                </c:pt>
                <c:pt idx="1780">
                  <c:v>2.8240555498089637E-4</c:v>
                </c:pt>
                <c:pt idx="1781">
                  <c:v>2.9284723583460689E-4</c:v>
                </c:pt>
                <c:pt idx="1782">
                  <c:v>2.8466882516974261E-4</c:v>
                </c:pt>
                <c:pt idx="1783">
                  <c:v>2.8159935572999461E-4</c:v>
                </c:pt>
                <c:pt idx="1784">
                  <c:v>2.8085018338539066E-4</c:v>
                </c:pt>
                <c:pt idx="1785">
                  <c:v>2.7632226207866732E-4</c:v>
                </c:pt>
                <c:pt idx="1786">
                  <c:v>2.7838289935710087E-4</c:v>
                </c:pt>
                <c:pt idx="1787">
                  <c:v>2.899160373326078E-4</c:v>
                </c:pt>
                <c:pt idx="1788">
                  <c:v>2.9116859866306521E-4</c:v>
                </c:pt>
                <c:pt idx="1789">
                  <c:v>2.9870133651350848E-4</c:v>
                </c:pt>
                <c:pt idx="1790">
                  <c:v>3.0551811121774287E-4</c:v>
                </c:pt>
                <c:pt idx="1791">
                  <c:v>3.007577068419782E-4</c:v>
                </c:pt>
                <c:pt idx="1792">
                  <c:v>2.9865031041324401E-4</c:v>
                </c:pt>
                <c:pt idx="1793">
                  <c:v>3.0779389517051833E-4</c:v>
                </c:pt>
                <c:pt idx="1794">
                  <c:v>3.1074138691510072E-4</c:v>
                </c:pt>
                <c:pt idx="1795">
                  <c:v>3.1204918691378957E-4</c:v>
                </c:pt>
                <c:pt idx="1796">
                  <c:v>3.1050494930760146E-4</c:v>
                </c:pt>
                <c:pt idx="1797">
                  <c:v>3.0551811121774287E-4</c:v>
                </c:pt>
                <c:pt idx="1798">
                  <c:v>3.0119968543883377E-4</c:v>
                </c:pt>
                <c:pt idx="1799">
                  <c:v>3.0293314759241509E-4</c:v>
                </c:pt>
                <c:pt idx="1800">
                  <c:v>3.0817537886237273E-4</c:v>
                </c:pt>
                <c:pt idx="1801">
                  <c:v>3.0913344338975938E-4</c:v>
                </c:pt>
                <c:pt idx="1802">
                  <c:v>3.1507674460216916E-4</c:v>
                </c:pt>
                <c:pt idx="1803">
                  <c:v>3.1348160145956873E-4</c:v>
                </c:pt>
                <c:pt idx="1804">
                  <c:v>3.1990935183573606E-4</c:v>
                </c:pt>
                <c:pt idx="1805">
                  <c:v>3.217477757845186E-4</c:v>
                </c:pt>
                <c:pt idx="1806">
                  <c:v>3.2489001594240597E-4</c:v>
                </c:pt>
                <c:pt idx="1807">
                  <c:v>3.2576956805329375E-4</c:v>
                </c:pt>
                <c:pt idx="1808">
                  <c:v>3.2446650585587654E-4</c:v>
                </c:pt>
                <c:pt idx="1809">
                  <c:v>3.2563092837046599E-4</c:v>
                </c:pt>
                <c:pt idx="1810">
                  <c:v>3.2566617818101097E-4</c:v>
                </c:pt>
                <c:pt idx="1811">
                  <c:v>3.2593668263250107E-4</c:v>
                </c:pt>
                <c:pt idx="1812">
                  <c:v>3.2289004491430735E-4</c:v>
                </c:pt>
                <c:pt idx="1813">
                  <c:v>3.2583285623098213E-4</c:v>
                </c:pt>
                <c:pt idx="1814">
                  <c:v>3.2520787317112231E-4</c:v>
                </c:pt>
                <c:pt idx="1815">
                  <c:v>3.2411737623954756E-4</c:v>
                </c:pt>
                <c:pt idx="1816">
                  <c:v>3.2206013711769024E-4</c:v>
                </c:pt>
                <c:pt idx="1817">
                  <c:v>3.2341120465317354E-4</c:v>
                </c:pt>
                <c:pt idx="1818">
                  <c:v>3.2529586557403727E-4</c:v>
                </c:pt>
                <c:pt idx="1819">
                  <c:v>3.2558089146877663E-4</c:v>
                </c:pt>
                <c:pt idx="1820">
                  <c:v>3.2247760689420513E-4</c:v>
                </c:pt>
                <c:pt idx="1821">
                  <c:v>3.2251615606052937E-4</c:v>
                </c:pt>
                <c:pt idx="1822">
                  <c:v>3.2495382087692563E-4</c:v>
                </c:pt>
                <c:pt idx="1823">
                  <c:v>3.2511447824679345E-4</c:v>
                </c:pt>
                <c:pt idx="1824">
                  <c:v>3.2484640191706734E-4</c:v>
                </c:pt>
                <c:pt idx="1825">
                  <c:v>3.2545562548764236E-4</c:v>
                </c:pt>
                <c:pt idx="1826">
                  <c:v>3.2104212009921725E-4</c:v>
                </c:pt>
                <c:pt idx="1827">
                  <c:v>3.1866307087023991E-4</c:v>
                </c:pt>
                <c:pt idx="1828">
                  <c:v>3.2038102078146466E-4</c:v>
                </c:pt>
                <c:pt idx="1829">
                  <c:v>3.1923386411302461E-4</c:v>
                </c:pt>
                <c:pt idx="1830">
                  <c:v>3.2148941218739522E-4</c:v>
                </c:pt>
                <c:pt idx="1831">
                  <c:v>3.2480192637559342E-4</c:v>
                </c:pt>
                <c:pt idx="1832">
                  <c:v>3.2507560860780378E-4</c:v>
                </c:pt>
                <c:pt idx="1833">
                  <c:v>3.2327689463071852E-4</c:v>
                </c:pt>
                <c:pt idx="1834">
                  <c:v>3.2475658967346012E-4</c:v>
                </c:pt>
                <c:pt idx="1835">
                  <c:v>3.2370096372946017E-4</c:v>
                </c:pt>
                <c:pt idx="1836">
                  <c:v>3.2285360646854249E-4</c:v>
                </c:pt>
                <c:pt idx="1837">
                  <c:v>3.2332765908532819E-4</c:v>
                </c:pt>
                <c:pt idx="1838">
                  <c:v>3.2507560860780378E-4</c:v>
                </c:pt>
                <c:pt idx="1839">
                  <c:v>3.2379371669563714E-4</c:v>
                </c:pt>
                <c:pt idx="1840">
                  <c:v>3.2332765908532819E-4</c:v>
                </c:pt>
                <c:pt idx="1841">
                  <c:v>3.2491149977731241E-4</c:v>
                </c:pt>
                <c:pt idx="1842">
                  <c:v>3.2406045211643889E-4</c:v>
                </c:pt>
                <c:pt idx="1843">
                  <c:v>3.2417344466923674E-4</c:v>
                </c:pt>
                <c:pt idx="1844">
                  <c:v>3.252786995102186E-4</c:v>
                </c:pt>
                <c:pt idx="1845">
                  <c:v>3.2382420787700484E-4</c:v>
                </c:pt>
                <c:pt idx="1846">
                  <c:v>3.2324278633696609E-4</c:v>
                </c:pt>
                <c:pt idx="1847">
                  <c:v>3.234934220002769E-4</c:v>
                </c:pt>
                <c:pt idx="1848">
                  <c:v>3.2106497899144339E-4</c:v>
                </c:pt>
                <c:pt idx="1849">
                  <c:v>3.2183222423262387E-4</c:v>
                </c:pt>
                <c:pt idx="1850">
                  <c:v>3.2108778592055667E-4</c:v>
                </c:pt>
                <c:pt idx="1851">
                  <c:v>3.2363806285107846E-4</c:v>
                </c:pt>
                <c:pt idx="1852">
                  <c:v>3.2203967984454067E-4</c:v>
                </c:pt>
                <c:pt idx="1853">
                  <c:v>3.1105400982981329E-4</c:v>
                </c:pt>
                <c:pt idx="1854">
                  <c:v>3.0830171891278339E-4</c:v>
                </c:pt>
                <c:pt idx="1855">
                  <c:v>3.0779389517051833E-4</c:v>
                </c:pt>
                <c:pt idx="1856">
                  <c:v>3.0129743791181159E-4</c:v>
                </c:pt>
                <c:pt idx="1857">
                  <c:v>3.0216956091703393E-4</c:v>
                </c:pt>
                <c:pt idx="1858">
                  <c:v>3.0438108043740728E-4</c:v>
                </c:pt>
                <c:pt idx="1859">
                  <c:v>2.9508534194263886E-4</c:v>
                </c:pt>
                <c:pt idx="1860">
                  <c:v>2.9116859866306521E-4</c:v>
                </c:pt>
                <c:pt idx="1861">
                  <c:v>2.90601493277466E-4</c:v>
                </c:pt>
                <c:pt idx="1862">
                  <c:v>2.9991356440561595E-4</c:v>
                </c:pt>
                <c:pt idx="1863">
                  <c:v>2.9317883803491615E-4</c:v>
                </c:pt>
                <c:pt idx="1864">
                  <c:v>2.8864554620513296E-4</c:v>
                </c:pt>
                <c:pt idx="1865">
                  <c:v>2.9082878524972579E-4</c:v>
                </c:pt>
                <c:pt idx="1866">
                  <c:v>2.8078753777767022E-4</c:v>
                </c:pt>
                <c:pt idx="1867">
                  <c:v>2.7303957294785619E-4</c:v>
                </c:pt>
                <c:pt idx="1868">
                  <c:v>2.8066214794912896E-4</c:v>
                </c:pt>
                <c:pt idx="1869">
                  <c:v>2.8527243810053186E-4</c:v>
                </c:pt>
                <c:pt idx="1870">
                  <c:v>2.7363599153343678E-4</c:v>
                </c:pt>
                <c:pt idx="1871">
                  <c:v>2.6804728929938939E-4</c:v>
                </c:pt>
                <c:pt idx="1872">
                  <c:v>2.6212963773455532E-4</c:v>
                </c:pt>
                <c:pt idx="1873">
                  <c:v>2.6430947233159745E-4</c:v>
                </c:pt>
                <c:pt idx="1874">
                  <c:v>2.6542497373678104E-4</c:v>
                </c:pt>
                <c:pt idx="1875">
                  <c:v>2.6934380257669647E-4</c:v>
                </c:pt>
                <c:pt idx="1876">
                  <c:v>2.6556394420453131E-4</c:v>
                </c:pt>
                <c:pt idx="1877">
                  <c:v>2.6063944586216832E-4</c:v>
                </c:pt>
                <c:pt idx="1878">
                  <c:v>2.6318741350937194E-4</c:v>
                </c:pt>
                <c:pt idx="1879">
                  <c:v>2.7889300747881705E-4</c:v>
                </c:pt>
                <c:pt idx="1880">
                  <c:v>2.6879911364168543E-4</c:v>
                </c:pt>
                <c:pt idx="1881">
                  <c:v>2.6451913205492429E-4</c:v>
                </c:pt>
                <c:pt idx="1882">
                  <c:v>2.6563339021892329E-4</c:v>
                </c:pt>
                <c:pt idx="1883">
                  <c:v>2.5863607870338818E-4</c:v>
                </c:pt>
                <c:pt idx="1884">
                  <c:v>2.7150461495540631E-4</c:v>
                </c:pt>
                <c:pt idx="1885">
                  <c:v>2.7761392580940918E-4</c:v>
                </c:pt>
                <c:pt idx="1886">
                  <c:v>2.8593237864060409E-4</c:v>
                </c:pt>
                <c:pt idx="1887">
                  <c:v>2.8338999587801161E-4</c:v>
                </c:pt>
                <c:pt idx="1888">
                  <c:v>2.8041097463127616E-4</c:v>
                </c:pt>
                <c:pt idx="1889">
                  <c:v>2.8870368078068499E-4</c:v>
                </c:pt>
                <c:pt idx="1890">
                  <c:v>2.9105547774444689E-4</c:v>
                </c:pt>
                <c:pt idx="1891">
                  <c:v>2.8491068755801235E-4</c:v>
                </c:pt>
                <c:pt idx="1892">
                  <c:v>2.8712132826800034E-4</c:v>
                </c:pt>
                <c:pt idx="1893">
                  <c:v>2.9025943497897684E-4</c:v>
                </c:pt>
                <c:pt idx="1894">
                  <c:v>2.7952775837394378E-4</c:v>
                </c:pt>
                <c:pt idx="1895">
                  <c:v>2.7488717495769772E-4</c:v>
                </c:pt>
                <c:pt idx="1896">
                  <c:v>2.7825505375826405E-4</c:v>
                </c:pt>
                <c:pt idx="1897">
                  <c:v>2.7264063521156373E-4</c:v>
                </c:pt>
                <c:pt idx="1898">
                  <c:v>2.7978075555320174E-4</c:v>
                </c:pt>
                <c:pt idx="1899">
                  <c:v>2.6556394420453131E-4</c:v>
                </c:pt>
                <c:pt idx="1900">
                  <c:v>2.7337121220235758E-4</c:v>
                </c:pt>
                <c:pt idx="1901">
                  <c:v>2.8141250957663201E-4</c:v>
                </c:pt>
                <c:pt idx="1902">
                  <c:v>2.8448706456771423E-4</c:v>
                </c:pt>
                <c:pt idx="1903">
                  <c:v>2.9008790321788852E-4</c:v>
                </c:pt>
                <c:pt idx="1904">
                  <c:v>2.8557293698629822E-4</c:v>
                </c:pt>
                <c:pt idx="1905">
                  <c:v>2.8103792264338496E-4</c:v>
                </c:pt>
                <c:pt idx="1906">
                  <c:v>2.8424423343354198E-4</c:v>
                </c:pt>
                <c:pt idx="1907">
                  <c:v>2.9756930062680218E-4</c:v>
                </c:pt>
                <c:pt idx="1908">
                  <c:v>2.912251026985041E-4</c:v>
                </c:pt>
                <c:pt idx="1909">
                  <c:v>2.8670681186343175E-4</c:v>
                </c:pt>
                <c:pt idx="1910">
                  <c:v>2.8806219956663487E-4</c:v>
                </c:pt>
                <c:pt idx="1911">
                  <c:v>2.9150705759082191E-4</c:v>
                </c:pt>
                <c:pt idx="1912">
                  <c:v>2.8387895390074393E-4</c:v>
                </c:pt>
                <c:pt idx="1913">
                  <c:v>2.8442640855017357E-4</c:v>
                </c:pt>
                <c:pt idx="1914">
                  <c:v>2.8363474824195408E-4</c:v>
                </c:pt>
                <c:pt idx="1915">
                  <c:v>2.8153710688826874E-4</c:v>
                </c:pt>
                <c:pt idx="1916">
                  <c:v>2.7514919762105437E-4</c:v>
                </c:pt>
                <c:pt idx="1917">
                  <c:v>2.6049696542536826E-4</c:v>
                </c:pt>
                <c:pt idx="1918">
                  <c:v>2.4246847056973229E-4</c:v>
                </c:pt>
                <c:pt idx="1919">
                  <c:v>2.4550319223182507E-4</c:v>
                </c:pt>
                <c:pt idx="1920">
                  <c:v>2.46483459162354E-4</c:v>
                </c:pt>
                <c:pt idx="1921">
                  <c:v>2.538431134812407E-4</c:v>
                </c:pt>
                <c:pt idx="1922">
                  <c:v>2.5690440993330862E-4</c:v>
                </c:pt>
                <c:pt idx="1923">
                  <c:v>2.5406304320488949E-4</c:v>
                </c:pt>
                <c:pt idx="1924">
                  <c:v>2.5000143029142366E-4</c:v>
                </c:pt>
                <c:pt idx="1925">
                  <c:v>2.5515980401213993E-4</c:v>
                </c:pt>
                <c:pt idx="1926">
                  <c:v>2.4992701898565804E-4</c:v>
                </c:pt>
                <c:pt idx="1927">
                  <c:v>2.5192916060670184E-4</c:v>
                </c:pt>
                <c:pt idx="1928">
                  <c:v>2.5856418962536502E-4</c:v>
                </c:pt>
                <c:pt idx="1929">
                  <c:v>2.5015019412051912E-4</c:v>
                </c:pt>
                <c:pt idx="1930">
                  <c:v>2.4992701898565804E-4</c:v>
                </c:pt>
                <c:pt idx="1931">
                  <c:v>2.456541993952445E-4</c:v>
                </c:pt>
                <c:pt idx="1932">
                  <c:v>2.4670924164594198E-4</c:v>
                </c:pt>
                <c:pt idx="1933">
                  <c:v>2.4474709670536791E-4</c:v>
                </c:pt>
                <c:pt idx="1934">
                  <c:v>2.4338175124611483E-4</c:v>
                </c:pt>
                <c:pt idx="1935">
                  <c:v>2.5369638772924019E-4</c:v>
                </c:pt>
                <c:pt idx="1936">
                  <c:v>2.4716031345769471E-4</c:v>
                </c:pt>
                <c:pt idx="1937">
                  <c:v>2.3686336440707166E-4</c:v>
                </c:pt>
                <c:pt idx="1938">
                  <c:v>2.2535744244811382E-4</c:v>
                </c:pt>
                <c:pt idx="1939">
                  <c:v>2.4489845628749619E-4</c:v>
                </c:pt>
                <c:pt idx="1940">
                  <c:v>2.6163410253863325E-4</c:v>
                </c:pt>
                <c:pt idx="1941">
                  <c:v>2.6311706992416584E-4</c:v>
                </c:pt>
                <c:pt idx="1942">
                  <c:v>2.6078183012775562E-4</c:v>
                </c:pt>
                <c:pt idx="1943">
                  <c:v>2.560336977514595E-4</c:v>
                </c:pt>
                <c:pt idx="1944">
                  <c:v>2.5992608682221761E-4</c:v>
                </c:pt>
                <c:pt idx="1945">
                  <c:v>2.7069770788366545E-4</c:v>
                </c:pt>
                <c:pt idx="1946">
                  <c:v>2.7436167993778548E-4</c:v>
                </c:pt>
                <c:pt idx="1947">
                  <c:v>2.7528002692641274E-4</c:v>
                </c:pt>
                <c:pt idx="1948">
                  <c:v>2.5949692997342185E-4</c:v>
                </c:pt>
                <c:pt idx="1949">
                  <c:v>2.5704921560794526E-4</c:v>
                </c:pt>
                <c:pt idx="1950">
                  <c:v>2.5899517560719993E-4</c:v>
                </c:pt>
                <c:pt idx="1951">
                  <c:v>2.6170496692478804E-4</c:v>
                </c:pt>
                <c:pt idx="1952">
                  <c:v>2.4970366787146391E-4</c:v>
                </c:pt>
                <c:pt idx="1953">
                  <c:v>2.5935368891134001E-4</c:v>
                </c:pt>
                <c:pt idx="1954">
                  <c:v>2.5318218405506802E-4</c:v>
                </c:pt>
                <c:pt idx="1955">
                  <c:v>2.5877978725347475E-4</c:v>
                </c:pt>
                <c:pt idx="1956">
                  <c:v>2.525195616022881E-4</c:v>
                </c:pt>
                <c:pt idx="1957">
                  <c:v>2.5457546672304248E-4</c:v>
                </c:pt>
                <c:pt idx="1958">
                  <c:v>2.3678602642616416E-4</c:v>
                </c:pt>
                <c:pt idx="1959">
                  <c:v>2.3971456898853221E-4</c:v>
                </c:pt>
                <c:pt idx="1960">
                  <c:v>2.3925360444912523E-4</c:v>
                </c:pt>
                <c:pt idx="1961">
                  <c:v>2.350810380207306E-4</c:v>
                </c:pt>
                <c:pt idx="1962">
                  <c:v>2.3925360444912523E-4</c:v>
                </c:pt>
                <c:pt idx="1963">
                  <c:v>2.4300151008325058E-4</c:v>
                </c:pt>
                <c:pt idx="1964">
                  <c:v>2.4444416854296915E-4</c:v>
                </c:pt>
                <c:pt idx="1965">
                  <c:v>2.5022454658252236E-4</c:v>
                </c:pt>
                <c:pt idx="1966">
                  <c:v>2.5964007680802972E-4</c:v>
                </c:pt>
                <c:pt idx="1967">
                  <c:v>2.5318218405506802E-4</c:v>
                </c:pt>
                <c:pt idx="1968">
                  <c:v>2.5704921560794526E-4</c:v>
                </c:pt>
                <c:pt idx="1969">
                  <c:v>2.4806046126937147E-4</c:v>
                </c:pt>
                <c:pt idx="1970">
                  <c:v>2.5435598492989096E-4</c:v>
                </c:pt>
                <c:pt idx="1971">
                  <c:v>2.5791614931394409E-4</c:v>
                </c:pt>
                <c:pt idx="1972">
                  <c:v>2.6763581184058733E-4</c:v>
                </c:pt>
                <c:pt idx="1973">
                  <c:v>2.6402956756425773E-4</c:v>
                </c:pt>
                <c:pt idx="1974">
                  <c:v>2.6106630917453375E-4</c:v>
                </c:pt>
                <c:pt idx="1975">
                  <c:v>2.7423000552269876E-4</c:v>
                </c:pt>
                <c:pt idx="1976">
                  <c:v>2.7403226935276509E-4</c:v>
                </c:pt>
                <c:pt idx="1977">
                  <c:v>2.7677576119691897E-4</c:v>
                </c:pt>
                <c:pt idx="1978">
                  <c:v>2.7560656741527326E-4</c:v>
                </c:pt>
                <c:pt idx="1979">
                  <c:v>2.7606243975316985E-4</c:v>
                </c:pt>
                <c:pt idx="1980">
                  <c:v>2.6832106332823217E-4</c:v>
                </c:pt>
                <c:pt idx="1981">
                  <c:v>2.6444927114568516E-4</c:v>
                </c:pt>
                <c:pt idx="1982">
                  <c:v>2.712361033571527E-4</c:v>
                </c:pt>
                <c:pt idx="1983">
                  <c:v>2.7567178394801898E-4</c:v>
                </c:pt>
                <c:pt idx="1984">
                  <c:v>2.7997016305274946E-4</c:v>
                </c:pt>
                <c:pt idx="1985">
                  <c:v>2.8338999587801161E-4</c:v>
                </c:pt>
                <c:pt idx="1986">
                  <c:v>2.8466882516974261E-4</c:v>
                </c:pt>
                <c:pt idx="1987">
                  <c:v>2.7264063521156373E-4</c:v>
                </c:pt>
                <c:pt idx="1988">
                  <c:v>2.7008984173606263E-4</c:v>
                </c:pt>
                <c:pt idx="1989">
                  <c:v>2.6804728929938939E-4</c:v>
                </c:pt>
                <c:pt idx="1990">
                  <c:v>2.6968333064996634E-4</c:v>
                </c:pt>
                <c:pt idx="1991">
                  <c:v>2.665337945258628E-4</c:v>
                </c:pt>
                <c:pt idx="1992">
                  <c:v>2.6873090318596819E-4</c:v>
                </c:pt>
                <c:pt idx="1993">
                  <c:v>2.6784167271908242E-4</c:v>
                </c:pt>
                <c:pt idx="1994">
                  <c:v>2.7475598206502843E-4</c:v>
                </c:pt>
                <c:pt idx="1995">
                  <c:v>2.6667192127089541E-4</c:v>
                </c:pt>
                <c:pt idx="1996">
                  <c:v>2.695476030561466E-4</c:v>
                </c:pt>
                <c:pt idx="1997">
                  <c:v>2.7469034033030144E-4</c:v>
                </c:pt>
                <c:pt idx="1998">
                  <c:v>2.7250742167871675E-4</c:v>
                </c:pt>
                <c:pt idx="1999">
                  <c:v>2.81474824827769E-4</c:v>
                </c:pt>
                <c:pt idx="2000">
                  <c:v>2.7586724989405923E-4</c:v>
                </c:pt>
                <c:pt idx="2001">
                  <c:v>2.7224064459164361E-4</c:v>
                </c:pt>
                <c:pt idx="2002">
                  <c:v>2.7244077111554125E-4</c:v>
                </c:pt>
                <c:pt idx="2003">
                  <c:v>2.665337945258628E-4</c:v>
                </c:pt>
                <c:pt idx="2004">
                  <c:v>2.6804728929938939E-4</c:v>
                </c:pt>
                <c:pt idx="2005">
                  <c:v>2.7237409139370795E-4</c:v>
                </c:pt>
                <c:pt idx="2006">
                  <c:v>2.7403226935276509E-4</c:v>
                </c:pt>
                <c:pt idx="2007">
                  <c:v>2.8864554620513296E-4</c:v>
                </c:pt>
                <c:pt idx="2008">
                  <c:v>2.9641760901512933E-4</c:v>
                </c:pt>
                <c:pt idx="2009">
                  <c:v>2.9931043356182355E-4</c:v>
                </c:pt>
                <c:pt idx="2010">
                  <c:v>3.0070838721409489E-4</c:v>
                </c:pt>
                <c:pt idx="2011">
                  <c:v>3.0605405339688175E-4</c:v>
                </c:pt>
                <c:pt idx="2012">
                  <c:v>3.0618703594042476E-4</c:v>
                </c:pt>
                <c:pt idx="2013">
                  <c:v>3.078789881962208E-4</c:v>
                </c:pt>
                <c:pt idx="2014">
                  <c:v>3.0354543226290956E-4</c:v>
                </c:pt>
                <c:pt idx="2015">
                  <c:v>3.0667119191244601E-4</c:v>
                </c:pt>
                <c:pt idx="2016">
                  <c:v>3.0618703594042476E-4</c:v>
                </c:pt>
                <c:pt idx="2017">
                  <c:v>3.0596517512289541E-4</c:v>
                </c:pt>
                <c:pt idx="2018">
                  <c:v>3.0867826784983872E-4</c:v>
                </c:pt>
                <c:pt idx="2019">
                  <c:v>3.1081982443676212E-4</c:v>
                </c:pt>
                <c:pt idx="2020">
                  <c:v>3.0859491112229424E-4</c:v>
                </c:pt>
                <c:pt idx="2021">
                  <c:v>3.0623127407187356E-4</c:v>
                </c:pt>
                <c:pt idx="2022">
                  <c:v>3.0706327637022792E-4</c:v>
                </c:pt>
                <c:pt idx="2023">
                  <c:v>2.9870133651350848E-4</c:v>
                </c:pt>
                <c:pt idx="2024">
                  <c:v>3.007577068419782E-4</c:v>
                </c:pt>
                <c:pt idx="2025">
                  <c:v>3.042889297403606E-4</c:v>
                </c:pt>
                <c:pt idx="2026">
                  <c:v>3.0605405339688175E-4</c:v>
                </c:pt>
                <c:pt idx="2027">
                  <c:v>3.0623127407187356E-4</c:v>
                </c:pt>
                <c:pt idx="2028">
                  <c:v>3.0631961613278086E-4</c:v>
                </c:pt>
                <c:pt idx="2029">
                  <c:v>3.080486278550949E-4</c:v>
                </c:pt>
                <c:pt idx="2030">
                  <c:v>3.1351736982367388E-4</c:v>
                </c:pt>
                <c:pt idx="2031">
                  <c:v>3.1242340840171467E-4</c:v>
                </c:pt>
                <c:pt idx="2032">
                  <c:v>3.1706234861046396E-4</c:v>
                </c:pt>
                <c:pt idx="2033">
                  <c:v>3.155417120502822E-4</c:v>
                </c:pt>
                <c:pt idx="2034">
                  <c:v>3.1337400703001969E-4</c:v>
                </c:pt>
                <c:pt idx="2035">
                  <c:v>3.064517934013384E-4</c:v>
                </c:pt>
                <c:pt idx="2036">
                  <c:v>3.0134625060083904E-4</c:v>
                </c:pt>
                <c:pt idx="2037">
                  <c:v>2.9588768573499515E-4</c:v>
                </c:pt>
                <c:pt idx="2038">
                  <c:v>2.86647452736278E-4</c:v>
                </c:pt>
                <c:pt idx="2039">
                  <c:v>2.6191741297714225E-4</c:v>
                </c:pt>
                <c:pt idx="2040">
                  <c:v>2.5266695620410057E-4</c:v>
                </c:pt>
                <c:pt idx="2041">
                  <c:v>2.5015019412051912E-4</c:v>
                </c:pt>
                <c:pt idx="2042">
                  <c:v>2.3848411487185805E-4</c:v>
                </c:pt>
                <c:pt idx="2043">
                  <c:v>2.3055539330310486E-4</c:v>
                </c:pt>
                <c:pt idx="2044">
                  <c:v>2.3445939484442841E-4</c:v>
                </c:pt>
                <c:pt idx="2045">
                  <c:v>2.4322970522203775E-4</c:v>
                </c:pt>
                <c:pt idx="2046">
                  <c:v>2.525195616022881E-4</c:v>
                </c:pt>
                <c:pt idx="2047">
                  <c:v>2.5428278150897748E-4</c:v>
                </c:pt>
                <c:pt idx="2048">
                  <c:v>2.4338175124611483E-4</c:v>
                </c:pt>
                <c:pt idx="2049">
                  <c:v>2.4436839313993956E-4</c:v>
                </c:pt>
                <c:pt idx="2050">
                  <c:v>2.498525881266328E-4</c:v>
                </c:pt>
                <c:pt idx="2051">
                  <c:v>2.5733855645559522E-4</c:v>
                </c:pt>
                <c:pt idx="2052">
                  <c:v>2.5281426805700636E-4</c:v>
                </c:pt>
                <c:pt idx="2053">
                  <c:v>2.5588826831122937E-4</c:v>
                </c:pt>
                <c:pt idx="2054">
                  <c:v>2.6514671988643303E-4</c:v>
                </c:pt>
                <c:pt idx="2055">
                  <c:v>2.5457546672304248E-4</c:v>
                </c:pt>
                <c:pt idx="2056">
                  <c:v>2.571215846783117E-4</c:v>
                </c:pt>
                <c:pt idx="2057">
                  <c:v>2.5486780820975811E-4</c:v>
                </c:pt>
                <c:pt idx="2058">
                  <c:v>2.5074446117399196E-4</c:v>
                </c:pt>
                <c:pt idx="2059">
                  <c:v>2.4406511899783311E-4</c:v>
                </c:pt>
                <c:pt idx="2060">
                  <c:v>2.4497410984647736E-4</c:v>
                </c:pt>
                <c:pt idx="2061">
                  <c:v>2.3740432854500449E-4</c:v>
                </c:pt>
                <c:pt idx="2062">
                  <c:v>2.3802170266996496E-4</c:v>
                </c:pt>
                <c:pt idx="2063">
                  <c:v>2.3102550938409455E-4</c:v>
                </c:pt>
                <c:pt idx="2064">
                  <c:v>2.4139997396752181E-4</c:v>
                </c:pt>
                <c:pt idx="2065">
                  <c:v>2.456541993952445E-4</c:v>
                </c:pt>
                <c:pt idx="2066">
                  <c:v>2.4962917853665233E-4</c:v>
                </c:pt>
                <c:pt idx="2067">
                  <c:v>2.4557870470066857E-4</c:v>
                </c:pt>
                <c:pt idx="2068">
                  <c:v>2.3894598969793023E-4</c:v>
                </c:pt>
                <c:pt idx="2069">
                  <c:v>2.167630739226232E-4</c:v>
                </c:pt>
                <c:pt idx="2070">
                  <c:v>2.3492570813622786E-4</c:v>
                </c:pt>
                <c:pt idx="2071">
                  <c:v>2.2772598226306157E-4</c:v>
                </c:pt>
                <c:pt idx="2072">
                  <c:v>2.012346994129316E-4</c:v>
                </c:pt>
                <c:pt idx="2073">
                  <c:v>2.2432827569703824E-4</c:v>
                </c:pt>
                <c:pt idx="2074">
                  <c:v>1.7301032206573546E-4</c:v>
                </c:pt>
                <c:pt idx="2075">
                  <c:v>1.7205620979906706E-4</c:v>
                </c:pt>
                <c:pt idx="2076">
                  <c:v>1.2030122964923961E-4</c:v>
                </c:pt>
                <c:pt idx="2077">
                  <c:v>9.7246473971201829E-5</c:v>
                </c:pt>
                <c:pt idx="2078">
                  <c:v>1.195391068160841E-4</c:v>
                </c:pt>
                <c:pt idx="2079">
                  <c:v>8.9116676431082647E-5</c:v>
                </c:pt>
                <c:pt idx="2080">
                  <c:v>1.1065371917841129E-4</c:v>
                </c:pt>
                <c:pt idx="2081">
                  <c:v>1.0599024410824921E-4</c:v>
                </c:pt>
                <c:pt idx="2082">
                  <c:v>1.0880151814438607E-4</c:v>
                </c:pt>
                <c:pt idx="2083">
                  <c:v>1.0860407323962046E-4</c:v>
                </c:pt>
                <c:pt idx="2084">
                  <c:v>1.0716213171229321E-4</c:v>
                </c:pt>
                <c:pt idx="2085">
                  <c:v>1.1165289618164457E-4</c:v>
                </c:pt>
                <c:pt idx="2086">
                  <c:v>1.0834111746706754E-4</c:v>
                </c:pt>
                <c:pt idx="2087">
                  <c:v>1.149500932876609E-4</c:v>
                </c:pt>
                <c:pt idx="2088">
                  <c:v>1.2071795144874668E-4</c:v>
                </c:pt>
                <c:pt idx="2089">
                  <c:v>1.2120503123107226E-4</c:v>
                </c:pt>
                <c:pt idx="2090">
                  <c:v>1.5058155966398334E-4</c:v>
                </c:pt>
                <c:pt idx="2091">
                  <c:v>1.3683754961860942E-4</c:v>
                </c:pt>
                <c:pt idx="2092">
                  <c:v>1.3500142192492977E-4</c:v>
                </c:pt>
                <c:pt idx="2093">
                  <c:v>1.5852563763181138E-4</c:v>
                </c:pt>
                <c:pt idx="2094">
                  <c:v>1.4859839213791456E-4</c:v>
                </c:pt>
                <c:pt idx="2095">
                  <c:v>1.5534737005439881E-4</c:v>
                </c:pt>
                <c:pt idx="2096">
                  <c:v>1.6738261754164626E-4</c:v>
                </c:pt>
                <c:pt idx="2097">
                  <c:v>1.6643587159924714E-4</c:v>
                </c:pt>
                <c:pt idx="2098">
                  <c:v>1.3957422583331578E-4</c:v>
                </c:pt>
                <c:pt idx="2099">
                  <c:v>1.454906660410852E-4</c:v>
                </c:pt>
                <c:pt idx="2100">
                  <c:v>1.5875898198938447E-4</c:v>
                </c:pt>
                <c:pt idx="2101">
                  <c:v>1.5837013313406737E-4</c:v>
                </c:pt>
                <c:pt idx="2102">
                  <c:v>1.6580547059349046E-4</c:v>
                </c:pt>
                <c:pt idx="2103">
                  <c:v>1.6643587159924714E-4</c:v>
                </c:pt>
                <c:pt idx="2104">
                  <c:v>1.6872612520830958E-4</c:v>
                </c:pt>
                <c:pt idx="2105">
                  <c:v>1.7619848623052069E-4</c:v>
                </c:pt>
                <c:pt idx="2106">
                  <c:v>1.4958879910925357E-4</c:v>
                </c:pt>
                <c:pt idx="2107">
                  <c:v>1.4913139330365347E-4</c:v>
                </c:pt>
                <c:pt idx="2108">
                  <c:v>1.5736050464021815E-4</c:v>
                </c:pt>
                <c:pt idx="2109">
                  <c:v>1.7118261559431633E-4</c:v>
                </c:pt>
                <c:pt idx="2110">
                  <c:v>1.7563973261706343E-4</c:v>
                </c:pt>
                <c:pt idx="2111">
                  <c:v>1.7619848623052069E-4</c:v>
                </c:pt>
                <c:pt idx="2112">
                  <c:v>1.766776824157227E-4</c:v>
                </c:pt>
                <c:pt idx="2113">
                  <c:v>1.732490250817122E-4</c:v>
                </c:pt>
                <c:pt idx="2114">
                  <c:v>1.6423221941771134E-4</c:v>
                </c:pt>
                <c:pt idx="2115">
                  <c:v>1.6572671406968475E-4</c:v>
                </c:pt>
                <c:pt idx="2116">
                  <c:v>1.7915721969614668E-4</c:v>
                </c:pt>
                <c:pt idx="2117">
                  <c:v>1.8952782389704793E-4</c:v>
                </c:pt>
                <c:pt idx="2118">
                  <c:v>1.9259365093187133E-4</c:v>
                </c:pt>
                <c:pt idx="2119">
                  <c:v>2.0131544454273214E-4</c:v>
                </c:pt>
                <c:pt idx="2120">
                  <c:v>1.7803668465843445E-4</c:v>
                </c:pt>
                <c:pt idx="2121">
                  <c:v>1.9396607829641607E-4</c:v>
                </c:pt>
                <c:pt idx="2122">
                  <c:v>1.8864100532374722E-4</c:v>
                </c:pt>
                <c:pt idx="2123">
                  <c:v>1.8381099541994029E-4</c:v>
                </c:pt>
                <c:pt idx="2124">
                  <c:v>1.9251293381490617E-4</c:v>
                </c:pt>
                <c:pt idx="2125">
                  <c:v>1.9961958386402364E-4</c:v>
                </c:pt>
                <c:pt idx="2126">
                  <c:v>2.1355829591805601E-4</c:v>
                </c:pt>
                <c:pt idx="2127">
                  <c:v>2.1931931537869524E-4</c:v>
                </c:pt>
                <c:pt idx="2128">
                  <c:v>2.1187214887898189E-4</c:v>
                </c:pt>
                <c:pt idx="2129">
                  <c:v>2.3336947379872365E-4</c:v>
                </c:pt>
                <c:pt idx="2130">
                  <c:v>2.4429260045325473E-4</c:v>
                </c:pt>
                <c:pt idx="2131">
                  <c:v>2.4753570040964804E-4</c:v>
                </c:pt>
                <c:pt idx="2132">
                  <c:v>2.6500743698460323E-4</c:v>
                </c:pt>
                <c:pt idx="2133">
                  <c:v>2.6507709140852529E-4</c:v>
                </c:pt>
                <c:pt idx="2134">
                  <c:v>2.628354448621526E-4</c:v>
                </c:pt>
                <c:pt idx="2135">
                  <c:v>2.4231602444851078E-4</c:v>
                </c:pt>
                <c:pt idx="2136">
                  <c:v>2.5913865117376195E-4</c:v>
                </c:pt>
                <c:pt idx="2137">
                  <c:v>2.5545145217372947E-4</c:v>
                </c:pt>
                <c:pt idx="2138">
                  <c:v>2.6472856043016705E-4</c:v>
                </c:pt>
                <c:pt idx="2139">
                  <c:v>2.6975115254008065E-4</c:v>
                </c:pt>
                <c:pt idx="2140">
                  <c:v>2.6832106332823217E-4</c:v>
                </c:pt>
                <c:pt idx="2141">
                  <c:v>2.7761392580940918E-4</c:v>
                </c:pt>
                <c:pt idx="2142">
                  <c:v>2.7449323432201519E-4</c:v>
                </c:pt>
                <c:pt idx="2143">
                  <c:v>2.7573696989139398E-4</c:v>
                </c:pt>
                <c:pt idx="2144">
                  <c:v>2.8870368078068499E-4</c:v>
                </c:pt>
                <c:pt idx="2145">
                  <c:v>2.8533260781670366E-4</c:v>
                </c:pt>
                <c:pt idx="2146">
                  <c:v>2.9459966998863536E-4</c:v>
                </c:pt>
                <c:pt idx="2147">
                  <c:v>2.9223571176233268E-4</c:v>
                </c:pt>
                <c:pt idx="2148">
                  <c:v>2.9900662823447046E-4</c:v>
                </c:pt>
                <c:pt idx="2149">
                  <c:v>2.9290259902683681E-4</c:v>
                </c:pt>
                <c:pt idx="2150">
                  <c:v>3.0216956091703393E-4</c:v>
                </c:pt>
                <c:pt idx="2151">
                  <c:v>2.9961274733262855E-4</c:v>
                </c:pt>
                <c:pt idx="2152">
                  <c:v>3.094609762329467E-4</c:v>
                </c:pt>
                <c:pt idx="2153">
                  <c:v>3.1928705299245192E-4</c:v>
                </c:pt>
                <c:pt idx="2154">
                  <c:v>3.183551395261674E-4</c:v>
                </c:pt>
                <c:pt idx="2155">
                  <c:v>3.2576020625770045E-4</c:v>
                </c:pt>
                <c:pt idx="2156">
                  <c:v>3.2490078479583973E-4</c:v>
                </c:pt>
                <c:pt idx="2157">
                  <c:v>3.2524371868725935E-4</c:v>
                </c:pt>
                <c:pt idx="2158">
                  <c:v>3.2148941218739522E-4</c:v>
                </c:pt>
                <c:pt idx="2159">
                  <c:v>3.240171977483263E-4</c:v>
                </c:pt>
                <c:pt idx="2160">
                  <c:v>3.2276158561593532E-4</c:v>
                </c:pt>
                <c:pt idx="2161">
                  <c:v>3.2534606596414621E-4</c:v>
                </c:pt>
                <c:pt idx="2162">
                  <c:v>3.2555457182906471E-4</c:v>
                </c:pt>
                <c:pt idx="2163">
                  <c:v>3.2563693894884426E-4</c:v>
                </c:pt>
                <c:pt idx="2164">
                  <c:v>3.2261160684876475E-4</c:v>
                </c:pt>
                <c:pt idx="2165">
                  <c:v>3.2308667427798852E-4</c:v>
                </c:pt>
                <c:pt idx="2166">
                  <c:v>3.2210089428321256E-4</c:v>
                </c:pt>
                <c:pt idx="2167">
                  <c:v>3.24566638607479E-4</c:v>
                </c:pt>
                <c:pt idx="2168">
                  <c:v>3.2336123663274718E-4</c:v>
                </c:pt>
                <c:pt idx="2169">
                  <c:v>3.2377839112192601E-4</c:v>
                </c:pt>
                <c:pt idx="2170">
                  <c:v>3.236062929290573E-4</c:v>
                </c:pt>
                <c:pt idx="2171">
                  <c:v>3.2357431010277449E-4</c:v>
                </c:pt>
                <c:pt idx="2172">
                  <c:v>3.2553426300020109E-4</c:v>
                </c:pt>
                <c:pt idx="2173">
                  <c:v>3.2398809433639941E-4</c:v>
                </c:pt>
                <c:pt idx="2174">
                  <c:v>3.2347708483789682E-4</c:v>
                </c:pt>
                <c:pt idx="2175">
                  <c:v>3.2047794758561658E-4</c:v>
                </c:pt>
                <c:pt idx="2176">
                  <c:v>3.201599166292575E-4</c:v>
                </c:pt>
                <c:pt idx="2177">
                  <c:v>3.2122353563857406E-4</c:v>
                </c:pt>
                <c:pt idx="2178">
                  <c:v>3.2126836933014577E-4</c:v>
                </c:pt>
                <c:pt idx="2179">
                  <c:v>3.1944539320804627E-4</c:v>
                </c:pt>
                <c:pt idx="2180">
                  <c:v>3.2355823887043856E-4</c:v>
                </c:pt>
                <c:pt idx="2181">
                  <c:v>3.2496426641882728E-4</c:v>
                </c:pt>
                <c:pt idx="2182">
                  <c:v>3.2529742168498348E-4</c:v>
                </c:pt>
                <c:pt idx="2183">
                  <c:v>3.2596261111646273E-4</c:v>
                </c:pt>
                <c:pt idx="2184">
                  <c:v>3.2590356182702528E-4</c:v>
                </c:pt>
                <c:pt idx="2185">
                  <c:v>3.259575657878006E-4</c:v>
                </c:pt>
                <c:pt idx="2186">
                  <c:v>3.2575544390614215E-4</c:v>
                </c:pt>
                <c:pt idx="2187">
                  <c:v>3.259421363066441E-4</c:v>
                </c:pt>
                <c:pt idx="2188">
                  <c:v>3.2594528164395031E-4</c:v>
                </c:pt>
                <c:pt idx="2189">
                  <c:v>3.2385723878990049E-4</c:v>
                </c:pt>
                <c:pt idx="2190">
                  <c:v>3.2164495859854261E-4</c:v>
                </c:pt>
                <c:pt idx="2191">
                  <c:v>3.2411995378226637E-4</c:v>
                </c:pt>
                <c:pt idx="2192">
                  <c:v>3.2590140530812709E-4</c:v>
                </c:pt>
                <c:pt idx="2193">
                  <c:v>3.2509692443607172E-4</c:v>
                </c:pt>
                <c:pt idx="2194">
                  <c:v>3.2155866637885108E-4</c:v>
                </c:pt>
                <c:pt idx="2195">
                  <c:v>3.2250042562346738E-4</c:v>
                </c:pt>
                <c:pt idx="2196">
                  <c:v>3.243915346302584E-4</c:v>
                </c:pt>
                <c:pt idx="2197">
                  <c:v>3.2435216345439995E-4</c:v>
                </c:pt>
                <c:pt idx="2198">
                  <c:v>3.2287517726551864E-4</c:v>
                </c:pt>
                <c:pt idx="2199">
                  <c:v>3.2166640105327275E-4</c:v>
                </c:pt>
                <c:pt idx="2200">
                  <c:v>3.2050644461711127E-4</c:v>
                </c:pt>
                <c:pt idx="2201">
                  <c:v>3.2216531745399366E-4</c:v>
                </c:pt>
                <c:pt idx="2202">
                  <c:v>3.2274641564600129E-4</c:v>
                </c:pt>
                <c:pt idx="2203">
                  <c:v>3.1950253423560133E-4</c:v>
                </c:pt>
                <c:pt idx="2204">
                  <c:v>3.1931840627991224E-4</c:v>
                </c:pt>
                <c:pt idx="2205">
                  <c:v>3.2067364854251244E-4</c:v>
                </c:pt>
                <c:pt idx="2206">
                  <c:v>3.239319509303746E-4</c:v>
                </c:pt>
                <c:pt idx="2207">
                  <c:v>3.2569406104788752E-4</c:v>
                </c:pt>
                <c:pt idx="2208">
                  <c:v>3.2558089146877663E-4</c:v>
                </c:pt>
                <c:pt idx="2209">
                  <c:v>3.2593485527179447E-4</c:v>
                </c:pt>
                <c:pt idx="2210">
                  <c:v>3.2576956805329375E-4</c:v>
                </c:pt>
                <c:pt idx="2211">
                  <c:v>3.2591638864016154E-4</c:v>
                </c:pt>
                <c:pt idx="2212">
                  <c:v>3.2589597587117801E-4</c:v>
                </c:pt>
                <c:pt idx="2213">
                  <c:v>3.2249690781432596E-4</c:v>
                </c:pt>
                <c:pt idx="2214">
                  <c:v>3.2525254496903371E-4</c:v>
                </c:pt>
                <c:pt idx="2215">
                  <c:v>3.252786995102186E-4</c:v>
                </c:pt>
                <c:pt idx="2216">
                  <c:v>3.2552738500870926E-4</c:v>
                </c:pt>
                <c:pt idx="2217">
                  <c:v>3.2590914166730363E-4</c:v>
                </c:pt>
                <c:pt idx="2218">
                  <c:v>3.2346369062849972E-4</c:v>
                </c:pt>
                <c:pt idx="2219">
                  <c:v>3.22442393720132E-4</c:v>
                </c:pt>
                <c:pt idx="2220">
                  <c:v>3.2462967220720353E-4</c:v>
                </c:pt>
                <c:pt idx="2221">
                  <c:v>3.2456888348452779E-4</c:v>
                </c:pt>
                <c:pt idx="2222">
                  <c:v>3.2498687717925939E-4</c:v>
                </c:pt>
                <c:pt idx="2223">
                  <c:v>3.2385723878990049E-4</c:v>
                </c:pt>
                <c:pt idx="2224">
                  <c:v>3.2296556417323377E-4</c:v>
                </c:pt>
                <c:pt idx="2225">
                  <c:v>3.2048235150134065E-4</c:v>
                </c:pt>
                <c:pt idx="2226">
                  <c:v>3.1182929737114844E-4</c:v>
                </c:pt>
                <c:pt idx="2227">
                  <c:v>3.1647984490088449E-4</c:v>
                </c:pt>
                <c:pt idx="2228">
                  <c:v>3.1688415212833816E-4</c:v>
                </c:pt>
                <c:pt idx="2229">
                  <c:v>3.2086163236149002E-4</c:v>
                </c:pt>
                <c:pt idx="2230">
                  <c:v>3.2168779124660526E-4</c:v>
                </c:pt>
                <c:pt idx="2231">
                  <c:v>3.2474721867346601E-4</c:v>
                </c:pt>
                <c:pt idx="2232">
                  <c:v>3.2480397494948922E-4</c:v>
                </c:pt>
                <c:pt idx="2233">
                  <c:v>3.2474721867346601E-4</c:v>
                </c:pt>
                <c:pt idx="2234">
                  <c:v>3.24298918212171E-4</c:v>
                </c:pt>
                <c:pt idx="2235">
                  <c:v>3.2151520697849877E-4</c:v>
                </c:pt>
                <c:pt idx="2236">
                  <c:v>3.2321160736161045E-4</c:v>
                </c:pt>
                <c:pt idx="2237">
                  <c:v>3.212276365980347E-4</c:v>
                </c:pt>
                <c:pt idx="2238">
                  <c:v>3.1290943347183763E-4</c:v>
                </c:pt>
                <c:pt idx="2239">
                  <c:v>3.0507489091322954E-4</c:v>
                </c:pt>
                <c:pt idx="2240">
                  <c:v>3.1772628236506097E-4</c:v>
                </c:pt>
                <c:pt idx="2241">
                  <c:v>3.1474495503044464E-4</c:v>
                </c:pt>
                <c:pt idx="2242">
                  <c:v>3.1531649420516225E-4</c:v>
                </c:pt>
                <c:pt idx="2243">
                  <c:v>3.1380823214574626E-4</c:v>
                </c:pt>
                <c:pt idx="2244">
                  <c:v>2.9737086100545561E-4</c:v>
                </c:pt>
                <c:pt idx="2245">
                  <c:v>3.0360076568767749E-4</c:v>
                </c:pt>
                <c:pt idx="2246">
                  <c:v>3.0042063906047655E-4</c:v>
                </c:pt>
                <c:pt idx="2247">
                  <c:v>3.0561606480126351E-4</c:v>
                </c:pt>
                <c:pt idx="2248">
                  <c:v>2.9021272892180142E-4</c:v>
                </c:pt>
                <c:pt idx="2249">
                  <c:v>2.8588348252053418E-4</c:v>
                </c:pt>
                <c:pt idx="2250">
                  <c:v>2.750302048238951E-4</c:v>
                </c:pt>
                <c:pt idx="2251">
                  <c:v>2.8309450247535707E-4</c:v>
                </c:pt>
                <c:pt idx="2252">
                  <c:v>2.6771698828266234E-4</c:v>
                </c:pt>
                <c:pt idx="2253">
                  <c:v>2.5268040595482588E-4</c:v>
                </c:pt>
                <c:pt idx="2254">
                  <c:v>2.1989204170635152E-4</c:v>
                </c:pt>
                <c:pt idx="2255">
                  <c:v>2.2473875666585914E-4</c:v>
                </c:pt>
                <c:pt idx="2256">
                  <c:v>2.2907826421146758E-4</c:v>
                </c:pt>
                <c:pt idx="2257">
                  <c:v>2.1917433253564489E-4</c:v>
                </c:pt>
                <c:pt idx="2258">
                  <c:v>2.0915243183270836E-4</c:v>
                </c:pt>
                <c:pt idx="2259">
                  <c:v>2.227563407152524E-4</c:v>
                </c:pt>
                <c:pt idx="2260">
                  <c:v>2.2616240263693876E-4</c:v>
                </c:pt>
                <c:pt idx="2261">
                  <c:v>2.1509640336702038E-4</c:v>
                </c:pt>
                <c:pt idx="2262">
                  <c:v>2.1389384367525164E-4</c:v>
                </c:pt>
                <c:pt idx="2263">
                  <c:v>2.0923292520822951E-4</c:v>
                </c:pt>
                <c:pt idx="2264">
                  <c:v>2.0568787492261821E-4</c:v>
                </c:pt>
                <c:pt idx="2265">
                  <c:v>2.0730005727039616E-4</c:v>
                </c:pt>
                <c:pt idx="2266">
                  <c:v>1.9599971041727113E-4</c:v>
                </c:pt>
                <c:pt idx="2267">
                  <c:v>1.8471013473794697E-4</c:v>
                </c:pt>
                <c:pt idx="2268">
                  <c:v>1.7334313721472668E-4</c:v>
                </c:pt>
                <c:pt idx="2269">
                  <c:v>1.934963833064477E-4</c:v>
                </c:pt>
                <c:pt idx="2270">
                  <c:v>2.0730005727039616E-4</c:v>
                </c:pt>
                <c:pt idx="2271">
                  <c:v>2.054459483689706E-4</c:v>
                </c:pt>
                <c:pt idx="2272">
                  <c:v>2.008456981037172E-4</c:v>
                </c:pt>
                <c:pt idx="2273">
                  <c:v>1.9325418418994082E-4</c:v>
                </c:pt>
                <c:pt idx="2274">
                  <c:v>1.9914973381613511E-4</c:v>
                </c:pt>
                <c:pt idx="2275">
                  <c:v>2.0915243183270836E-4</c:v>
                </c:pt>
                <c:pt idx="2276">
                  <c:v>1.8061423316073055E-4</c:v>
                </c:pt>
                <c:pt idx="2277">
                  <c:v>1.8133610156065096E-4</c:v>
                </c:pt>
                <c:pt idx="2278">
                  <c:v>1.4754833316119593E-4</c:v>
                </c:pt>
                <c:pt idx="2279">
                  <c:v>1.6189430775734963E-4</c:v>
                </c:pt>
                <c:pt idx="2280">
                  <c:v>1.4505171436350392E-4</c:v>
                </c:pt>
                <c:pt idx="2281">
                  <c:v>1.7533515956135701E-4</c:v>
                </c:pt>
                <c:pt idx="2282">
                  <c:v>1.7032449078422605E-4</c:v>
                </c:pt>
                <c:pt idx="2283">
                  <c:v>1.7390043959506244E-4</c:v>
                </c:pt>
                <c:pt idx="2284">
                  <c:v>1.672391423582917E-4</c:v>
                </c:pt>
                <c:pt idx="2285">
                  <c:v>1.7087967441047777E-4</c:v>
                </c:pt>
                <c:pt idx="2286">
                  <c:v>1.7199125670367411E-4</c:v>
                </c:pt>
                <c:pt idx="2287">
                  <c:v>1.6976972250567988E-4</c:v>
                </c:pt>
                <c:pt idx="2288">
                  <c:v>1.6534744608040955E-4</c:v>
                </c:pt>
                <c:pt idx="2289">
                  <c:v>1.5962969506791059E-4</c:v>
                </c:pt>
                <c:pt idx="2290">
                  <c:v>1.8809156123097897E-4</c:v>
                </c:pt>
                <c:pt idx="2291">
                  <c:v>1.7008668164149397E-4</c:v>
                </c:pt>
                <c:pt idx="2292">
                  <c:v>1.7445810694348836E-4</c:v>
                </c:pt>
                <c:pt idx="2293">
                  <c:v>1.8438845056918947E-4</c:v>
                </c:pt>
                <c:pt idx="2294">
                  <c:v>2.0318692547889163E-4</c:v>
                </c:pt>
                <c:pt idx="2295">
                  <c:v>1.8728588824756749E-4</c:v>
                </c:pt>
                <c:pt idx="2296">
                  <c:v>1.9535360640964277E-4</c:v>
                </c:pt>
                <c:pt idx="2297">
                  <c:v>2.0689712582439224E-4</c:v>
                </c:pt>
                <c:pt idx="2298">
                  <c:v>1.9446529783256436E-4</c:v>
                </c:pt>
                <c:pt idx="2299">
                  <c:v>1.9430380010550586E-4</c:v>
                </c:pt>
                <c:pt idx="2300">
                  <c:v>1.7773135228812007E-4</c:v>
                </c:pt>
                <c:pt idx="2301">
                  <c:v>1.6652910935065335E-4</c:v>
                </c:pt>
                <c:pt idx="2302">
                  <c:v>1.4497631099899796E-4</c:v>
                </c:pt>
                <c:pt idx="2303">
                  <c:v>1.2550312186927466E-4</c:v>
                </c:pt>
                <c:pt idx="2304">
                  <c:v>1.237380903092308E-4</c:v>
                </c:pt>
                <c:pt idx="2305">
                  <c:v>1.2678132415730104E-4</c:v>
                </c:pt>
                <c:pt idx="2306">
                  <c:v>1.0684779496890666E-4</c:v>
                </c:pt>
                <c:pt idx="2307">
                  <c:v>1.0387209432120629E-4</c:v>
                </c:pt>
                <c:pt idx="2308">
                  <c:v>1.0723937087038611E-4</c:v>
                </c:pt>
                <c:pt idx="2309">
                  <c:v>7.8905373013961168E-5</c:v>
                </c:pt>
                <c:pt idx="2310">
                  <c:v>6.3098024397513928E-5</c:v>
                </c:pt>
                <c:pt idx="2311">
                  <c:v>4.1908030374933328E-5</c:v>
                </c:pt>
                <c:pt idx="2312">
                  <c:v>3.5980146148659822E-5</c:v>
                </c:pt>
                <c:pt idx="2313">
                  <c:v>2.8729554683642139E-5</c:v>
                </c:pt>
                <c:pt idx="2314">
                  <c:v>1.5337827164772894E-5</c:v>
                </c:pt>
                <c:pt idx="2315">
                  <c:v>3.5093774049830381E-5</c:v>
                </c:pt>
                <c:pt idx="2316">
                  <c:v>3.3576183966291946E-5</c:v>
                </c:pt>
                <c:pt idx="2317">
                  <c:v>3.2679047126986778E-5</c:v>
                </c:pt>
                <c:pt idx="2318">
                  <c:v>2.9779196324507304E-5</c:v>
                </c:pt>
                <c:pt idx="2319">
                  <c:v>6.4985924769938146E-5</c:v>
                </c:pt>
                <c:pt idx="2320">
                  <c:v>4.5191113888775541E-5</c:v>
                </c:pt>
                <c:pt idx="2321">
                  <c:v>4.7357430240189884E-5</c:v>
                </c:pt>
                <c:pt idx="2322">
                  <c:v>5.5203681938545861E-5</c:v>
                </c:pt>
                <c:pt idx="2323">
                  <c:v>5.1554073269885799E-5</c:v>
                </c:pt>
                <c:pt idx="2324">
                  <c:v>4.2255902483512036E-5</c:v>
                </c:pt>
                <c:pt idx="2325">
                  <c:v>4.2958182552336275E-5</c:v>
                </c:pt>
                <c:pt idx="2326">
                  <c:v>3.6632734981670181E-5</c:v>
                </c:pt>
                <c:pt idx="2327">
                  <c:v>4.9442633542122815E-5</c:v>
                </c:pt>
                <c:pt idx="2328">
                  <c:v>4.478874406751781E-5</c:v>
                </c:pt>
                <c:pt idx="2329">
                  <c:v>4.0369368635424384E-5</c:v>
                </c:pt>
                <c:pt idx="2330">
                  <c:v>4.4136111171349686E-5</c:v>
                </c:pt>
                <c:pt idx="2331">
                  <c:v>3.986614492785606E-5</c:v>
                </c:pt>
                <c:pt idx="2332">
                  <c:v>4.5559242149193724E-5</c:v>
                </c:pt>
                <c:pt idx="2333">
                  <c:v>4.5596177650939222E-5</c:v>
                </c:pt>
                <c:pt idx="2334">
                  <c:v>6.5511862309793344E-5</c:v>
                </c:pt>
                <c:pt idx="2335">
                  <c:v>5.2367690902906259E-5</c:v>
                </c:pt>
                <c:pt idx="2336">
                  <c:v>5.1271494943596725E-5</c:v>
                </c:pt>
                <c:pt idx="2337">
                  <c:v>6.4795398955221742E-5</c:v>
                </c:pt>
                <c:pt idx="2338">
                  <c:v>5.90798973998845E-5</c:v>
                </c:pt>
                <c:pt idx="2339">
                  <c:v>6.6766609739805728E-5</c:v>
                </c:pt>
                <c:pt idx="2340">
                  <c:v>4.7968362669332546E-5</c:v>
                </c:pt>
                <c:pt idx="2341">
                  <c:v>4.8198957851941733E-5</c:v>
                </c:pt>
                <c:pt idx="2342">
                  <c:v>4.6677042975515711E-5</c:v>
                </c:pt>
                <c:pt idx="2343">
                  <c:v>4.7319439217951531E-5</c:v>
                </c:pt>
                <c:pt idx="2344">
                  <c:v>5.4695350308221779E-5</c:v>
                </c:pt>
                <c:pt idx="2345">
                  <c:v>5.4442451840268507E-5</c:v>
                </c:pt>
                <c:pt idx="2346">
                  <c:v>4.5966761643948621E-5</c:v>
                </c:pt>
                <c:pt idx="2347">
                  <c:v>3.4194757806409975E-5</c:v>
                </c:pt>
                <c:pt idx="2348">
                  <c:v>2.6233805887617436E-5</c:v>
                </c:pt>
                <c:pt idx="2349">
                  <c:v>2.2647752331492106E-5</c:v>
                </c:pt>
                <c:pt idx="2350">
                  <c:v>2.3449649056420296E-5</c:v>
                </c:pt>
                <c:pt idx="2351">
                  <c:v>2.4071653271301421E-5</c:v>
                </c:pt>
                <c:pt idx="2352">
                  <c:v>2.0179684853476953E-5</c:v>
                </c:pt>
                <c:pt idx="2353">
                  <c:v>1.7603974008652633E-5</c:v>
                </c:pt>
                <c:pt idx="2354">
                  <c:v>1.1399320903851786E-5</c:v>
                </c:pt>
                <c:pt idx="2355">
                  <c:v>8.412090931204825E-6</c:v>
                </c:pt>
                <c:pt idx="2356">
                  <c:v>9.7187892085073709E-6</c:v>
                </c:pt>
                <c:pt idx="2357">
                  <c:v>6.852962834382686E-6</c:v>
                </c:pt>
                <c:pt idx="2358">
                  <c:v>7.5174367483733282E-6</c:v>
                </c:pt>
                <c:pt idx="2359">
                  <c:v>7.3174016510187954E-6</c:v>
                </c:pt>
                <c:pt idx="2360">
                  <c:v>6.8296542371654763E-6</c:v>
                </c:pt>
                <c:pt idx="2361">
                  <c:v>6.3195302418492659E-6</c:v>
                </c:pt>
                <c:pt idx="2362">
                  <c:v>2.8186173026394526E-6</c:v>
                </c:pt>
                <c:pt idx="2363">
                  <c:v>1.0796626510067588E-6</c:v>
                </c:pt>
                <c:pt idx="2364">
                  <c:v>1.8337075087403657E-6</c:v>
                </c:pt>
                <c:pt idx="2365">
                  <c:v>1.790764297099317E-6</c:v>
                </c:pt>
                <c:pt idx="2366">
                  <c:v>3.6808086743598385E-6</c:v>
                </c:pt>
                <c:pt idx="2367">
                  <c:v>4.071855532853517E-6</c:v>
                </c:pt>
                <c:pt idx="2368">
                  <c:v>3.6494069309849707E-6</c:v>
                </c:pt>
                <c:pt idx="2369">
                  <c:v>2.1612944085491996E-6</c:v>
                </c:pt>
                <c:pt idx="2370">
                  <c:v>5.1386218256957089E-6</c:v>
                </c:pt>
                <c:pt idx="2371">
                  <c:v>5.4937009606314755E-6</c:v>
                </c:pt>
                <c:pt idx="2372">
                  <c:v>6.5328664876294944E-6</c:v>
                </c:pt>
                <c:pt idx="2373">
                  <c:v>8.9957984567591141E-6</c:v>
                </c:pt>
                <c:pt idx="2374">
                  <c:v>7.6192209892154526E-6</c:v>
                </c:pt>
                <c:pt idx="2375">
                  <c:v>7.2517582837700115E-6</c:v>
                </c:pt>
                <c:pt idx="2376">
                  <c:v>6.2187355443652843E-6</c:v>
                </c:pt>
                <c:pt idx="2377">
                  <c:v>4.619007909737935E-6</c:v>
                </c:pt>
                <c:pt idx="2378">
                  <c:v>4.0669331180366444E-6</c:v>
                </c:pt>
                <c:pt idx="2379">
                  <c:v>5.1024457202526982E-6</c:v>
                </c:pt>
                <c:pt idx="2380">
                  <c:v>7.2191288427904336E-6</c:v>
                </c:pt>
                <c:pt idx="2381">
                  <c:v>9.3157149452093915E-6</c:v>
                </c:pt>
                <c:pt idx="2382">
                  <c:v>9.3972052317999553E-6</c:v>
                </c:pt>
                <c:pt idx="2383">
                  <c:v>8.7910311248738619E-6</c:v>
                </c:pt>
                <c:pt idx="2384">
                  <c:v>8.8200354731721938E-6</c:v>
                </c:pt>
                <c:pt idx="2385">
                  <c:v>1.0235333773943462E-5</c:v>
                </c:pt>
                <c:pt idx="2386">
                  <c:v>6.268955953114093E-6</c:v>
                </c:pt>
                <c:pt idx="2387">
                  <c:v>8.384247573345574E-6</c:v>
                </c:pt>
                <c:pt idx="2388">
                  <c:v>1.736209840613868E-5</c:v>
                </c:pt>
                <c:pt idx="2389">
                  <c:v>1.8947731415818624E-5</c:v>
                </c:pt>
                <c:pt idx="2390">
                  <c:v>2.2118650858312663E-5</c:v>
                </c:pt>
                <c:pt idx="2391">
                  <c:v>3.3110775263736278E-5</c:v>
                </c:pt>
                <c:pt idx="2392">
                  <c:v>4.3669218781899652E-5</c:v>
                </c:pt>
                <c:pt idx="2393">
                  <c:v>3.4017124144271838E-5</c:v>
                </c:pt>
                <c:pt idx="2394">
                  <c:v>2.8548924808870677E-5</c:v>
                </c:pt>
                <c:pt idx="2395">
                  <c:v>2.3714609609646929E-5</c:v>
                </c:pt>
                <c:pt idx="2396">
                  <c:v>2.1909847712468933E-5</c:v>
                </c:pt>
                <c:pt idx="2397">
                  <c:v>2.6354324899885033E-5</c:v>
                </c:pt>
                <c:pt idx="2398">
                  <c:v>3.1997460948459881E-5</c:v>
                </c:pt>
                <c:pt idx="2399">
                  <c:v>2.3959613412012664E-5</c:v>
                </c:pt>
                <c:pt idx="2400">
                  <c:v>2.5946362379820726E-5</c:v>
                </c:pt>
                <c:pt idx="2401">
                  <c:v>2.8190373259797514E-5</c:v>
                </c:pt>
                <c:pt idx="2402">
                  <c:v>2.19306554889783E-5</c:v>
                </c:pt>
                <c:pt idx="2403">
                  <c:v>1.8220900043534339E-5</c:v>
                </c:pt>
                <c:pt idx="2404">
                  <c:v>2.1130998030946924E-5</c:v>
                </c:pt>
                <c:pt idx="2405">
                  <c:v>2.9859126829710579E-5</c:v>
                </c:pt>
                <c:pt idx="2406">
                  <c:v>2.1702653469267938E-5</c:v>
                </c:pt>
                <c:pt idx="2407">
                  <c:v>2.5708761470500707E-5</c:v>
                </c:pt>
                <c:pt idx="2408">
                  <c:v>2.7509006826750869E-5</c:v>
                </c:pt>
                <c:pt idx="2409">
                  <c:v>2.7559023685260169E-5</c:v>
                </c:pt>
                <c:pt idx="2410">
                  <c:v>2.5708761470500707E-5</c:v>
                </c:pt>
                <c:pt idx="2411">
                  <c:v>2.3449649056420296E-5</c:v>
                </c:pt>
                <c:pt idx="2412">
                  <c:v>2.9859126829710579E-5</c:v>
                </c:pt>
                <c:pt idx="2413">
                  <c:v>3.2822464334436547E-5</c:v>
                </c:pt>
                <c:pt idx="2414">
                  <c:v>2.9487565101869606E-5</c:v>
                </c:pt>
                <c:pt idx="2415">
                  <c:v>2.4071653271301421E-5</c:v>
                </c:pt>
                <c:pt idx="2416">
                  <c:v>2.1868280418202274E-5</c:v>
                </c:pt>
                <c:pt idx="2417">
                  <c:v>1.6438410839966144E-5</c:v>
                </c:pt>
                <c:pt idx="2418">
                  <c:v>1.263454860810786E-5</c:v>
                </c:pt>
                <c:pt idx="2419">
                  <c:v>1.295375971231785E-5</c:v>
                </c:pt>
                <c:pt idx="2420">
                  <c:v>1.085591192001858E-5</c:v>
                </c:pt>
                <c:pt idx="2421">
                  <c:v>1.165499336737215E-5</c:v>
                </c:pt>
                <c:pt idx="2422">
                  <c:v>1.1915523175107332E-5</c:v>
                </c:pt>
                <c:pt idx="2423">
                  <c:v>1.6323840524249061E-5</c:v>
                </c:pt>
                <c:pt idx="2424">
                  <c:v>1.9133126690990386E-5</c:v>
                </c:pt>
                <c:pt idx="2425">
                  <c:v>2.2055840484121101E-5</c:v>
                </c:pt>
                <c:pt idx="2426">
                  <c:v>1.816732961527892E-5</c:v>
                </c:pt>
                <c:pt idx="2427">
                  <c:v>2.7434117350267679E-5</c:v>
                </c:pt>
                <c:pt idx="2428">
                  <c:v>2.2883792621080401E-5</c:v>
                </c:pt>
                <c:pt idx="2429">
                  <c:v>2.2392513955567956E-5</c:v>
                </c:pt>
                <c:pt idx="2430">
                  <c:v>1.8929273604230995E-5</c:v>
                </c:pt>
                <c:pt idx="2431">
                  <c:v>2.2034935998507528E-5</c:v>
                </c:pt>
                <c:pt idx="2432">
                  <c:v>2.4319631414219692E-5</c:v>
                </c:pt>
                <c:pt idx="2433">
                  <c:v>2.57324426466799E-5</c:v>
                </c:pt>
                <c:pt idx="2434">
                  <c:v>3.6570193024877688E-5</c:v>
                </c:pt>
                <c:pt idx="2435">
                  <c:v>6.6040722586253458E-5</c:v>
                </c:pt>
                <c:pt idx="2436">
                  <c:v>5.2942748183708153E-5</c:v>
                </c:pt>
                <c:pt idx="2437">
                  <c:v>3.1354789071426992E-5</c:v>
                </c:pt>
                <c:pt idx="2438">
                  <c:v>2.7185660155194847E-5</c:v>
                </c:pt>
                <c:pt idx="2439">
                  <c:v>2.4251797337319649E-5</c:v>
                </c:pt>
                <c:pt idx="2440">
                  <c:v>2.6865356374642562E-5</c:v>
                </c:pt>
                <c:pt idx="2441">
                  <c:v>2.5472911209278851E-5</c:v>
                </c:pt>
                <c:pt idx="2442">
                  <c:v>2.0690524176358704E-5</c:v>
                </c:pt>
                <c:pt idx="2443">
                  <c:v>2.7409190375330166E-5</c:v>
                </c:pt>
                <c:pt idx="2444">
                  <c:v>2.5708761470500707E-5</c:v>
                </c:pt>
                <c:pt idx="2445">
                  <c:v>2.5052766115173569E-5</c:v>
                </c:pt>
                <c:pt idx="2446">
                  <c:v>2.3230684894587573E-5</c:v>
                </c:pt>
                <c:pt idx="2447">
                  <c:v>2.6767410777264644E-5</c:v>
                </c:pt>
                <c:pt idx="2448">
                  <c:v>3.0315275613190379E-5</c:v>
                </c:pt>
                <c:pt idx="2449">
                  <c:v>2.5262135981700912E-5</c:v>
                </c:pt>
                <c:pt idx="2450">
                  <c:v>1.8690668045545629E-5</c:v>
                </c:pt>
                <c:pt idx="2451">
                  <c:v>1.4954583597393096E-5</c:v>
                </c:pt>
                <c:pt idx="2452">
                  <c:v>2.2991741875940699E-5</c:v>
                </c:pt>
                <c:pt idx="2453">
                  <c:v>1.9679237442062254E-5</c:v>
                </c:pt>
                <c:pt idx="2454">
                  <c:v>2.3648143397409484E-5</c:v>
                </c:pt>
                <c:pt idx="2455">
                  <c:v>2.1785338631410011E-5</c:v>
                </c:pt>
                <c:pt idx="2456">
                  <c:v>3.6758066333229121E-5</c:v>
                </c:pt>
                <c:pt idx="2457">
                  <c:v>3.9301619538058396E-5</c:v>
                </c:pt>
                <c:pt idx="2458">
                  <c:v>3.0369299958967174E-5</c:v>
                </c:pt>
                <c:pt idx="2459">
                  <c:v>3.0531829037004231E-5</c:v>
                </c:pt>
                <c:pt idx="2460">
                  <c:v>2.9303162242878824E-5</c:v>
                </c:pt>
                <c:pt idx="2461">
                  <c:v>2.5994093362300318E-5</c:v>
                </c:pt>
                <c:pt idx="2462">
                  <c:v>2.9939226904104513E-5</c:v>
                </c:pt>
                <c:pt idx="2463">
                  <c:v>3.1913052647203272E-5</c:v>
                </c:pt>
                <c:pt idx="2464">
                  <c:v>4.3776632489423909E-5</c:v>
                </c:pt>
              </c:numCache>
            </c:numRef>
          </c:yVal>
          <c:smooth val="1"/>
          <c:extLst>
            <c:ext xmlns:c16="http://schemas.microsoft.com/office/drawing/2014/chart" uri="{C3380CC4-5D6E-409C-BE32-E72D297353CC}">
              <c16:uniqueId val="{00000000-B03A-407F-9C40-374D081817A6}"/>
            </c:ext>
          </c:extLst>
        </c:ser>
        <c:dLbls>
          <c:showLegendKey val="0"/>
          <c:showVal val="0"/>
          <c:showCatName val="0"/>
          <c:showSerName val="0"/>
          <c:showPercent val="0"/>
          <c:showBubbleSize val="0"/>
        </c:dLbls>
        <c:axId val="1610975567"/>
        <c:axId val="1625985439"/>
      </c:scatterChart>
      <c:valAx>
        <c:axId val="1610975567"/>
        <c:scaling>
          <c:orientation val="minMax"/>
        </c:scaling>
        <c:delete val="0"/>
        <c:axPos val="b"/>
        <c:numFmt formatCode="#,##0_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625985439"/>
        <c:crosses val="autoZero"/>
        <c:crossBetween val="midCat"/>
      </c:valAx>
      <c:valAx>
        <c:axId val="1625985439"/>
        <c:scaling>
          <c:orientation val="minMax"/>
        </c:scaling>
        <c:delete val="0"/>
        <c:axPos val="l"/>
        <c:numFmt formatCode="#,##0.0000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ko-KR"/>
          </a:p>
        </c:txPr>
        <c:crossAx val="161097556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표준편차!$K$4:$K$2457</c:f>
              <c:numCache>
                <c:formatCode>#,##0.00;\(#,##0.00\);\-</c:formatCode>
                <c:ptCount val="2454"/>
                <c:pt idx="0">
                  <c:v>51376.893016667513</c:v>
                </c:pt>
                <c:pt idx="1">
                  <c:v>51859.154215196933</c:v>
                </c:pt>
                <c:pt idx="2">
                  <c:v>51409.043763236143</c:v>
                </c:pt>
                <c:pt idx="3">
                  <c:v>51971.681828187131</c:v>
                </c:pt>
                <c:pt idx="4">
                  <c:v>51923.455708334186</c:v>
                </c:pt>
                <c:pt idx="5">
                  <c:v>52630.772132844009</c:v>
                </c:pt>
                <c:pt idx="6">
                  <c:v>52550.395266422434</c:v>
                </c:pt>
                <c:pt idx="7">
                  <c:v>53402.390050491078</c:v>
                </c:pt>
                <c:pt idx="8">
                  <c:v>52582.546012991064</c:v>
                </c:pt>
                <c:pt idx="9">
                  <c:v>52759.375119118515</c:v>
                </c:pt>
                <c:pt idx="10">
                  <c:v>53241.636317647935</c:v>
                </c:pt>
                <c:pt idx="11">
                  <c:v>52952.27959853028</c:v>
                </c:pt>
                <c:pt idx="12">
                  <c:v>53209.485571079305</c:v>
                </c:pt>
                <c:pt idx="13">
                  <c:v>53145.184077942053</c:v>
                </c:pt>
                <c:pt idx="14">
                  <c:v>53868.575875736184</c:v>
                </c:pt>
                <c:pt idx="15">
                  <c:v>53547.068410049906</c:v>
                </c:pt>
                <c:pt idx="16">
                  <c:v>53048.73183823617</c:v>
                </c:pt>
                <c:pt idx="17">
                  <c:v>55524.339324020526</c:v>
                </c:pt>
                <c:pt idx="18">
                  <c:v>55492.188577451896</c:v>
                </c:pt>
                <c:pt idx="19">
                  <c:v>55588.640817157779</c:v>
                </c:pt>
                <c:pt idx="20">
                  <c:v>56070.902015687199</c:v>
                </c:pt>
                <c:pt idx="21">
                  <c:v>55942.299029412687</c:v>
                </c:pt>
                <c:pt idx="22">
                  <c:v>56295.957241667595</c:v>
                </c:pt>
                <c:pt idx="23">
                  <c:v>55749.394550000921</c:v>
                </c:pt>
                <c:pt idx="24">
                  <c:v>55267.133351471501</c:v>
                </c:pt>
                <c:pt idx="25">
                  <c:v>55427.887084314643</c:v>
                </c:pt>
                <c:pt idx="26">
                  <c:v>56135.203508824452</c:v>
                </c:pt>
                <c:pt idx="27">
                  <c:v>56199.505001961712</c:v>
                </c:pt>
                <c:pt idx="28">
                  <c:v>55026.00275220679</c:v>
                </c:pt>
                <c:pt idx="29">
                  <c:v>55299.284098040123</c:v>
                </c:pt>
                <c:pt idx="30">
                  <c:v>55363.585591177383</c:v>
                </c:pt>
                <c:pt idx="31">
                  <c:v>55717.243803432291</c:v>
                </c:pt>
                <c:pt idx="32">
                  <c:v>55074.228872059735</c:v>
                </c:pt>
                <c:pt idx="33">
                  <c:v>55395.736337746006</c:v>
                </c:pt>
                <c:pt idx="34">
                  <c:v>55717.243803432291</c:v>
                </c:pt>
                <c:pt idx="35">
                  <c:v>56199.505001961712</c:v>
                </c:pt>
                <c:pt idx="36">
                  <c:v>56328.107988236225</c:v>
                </c:pt>
                <c:pt idx="37">
                  <c:v>57131.876652451923</c:v>
                </c:pt>
                <c:pt idx="38">
                  <c:v>57147.952025736238</c:v>
                </c:pt>
                <c:pt idx="39">
                  <c:v>56971.122919608781</c:v>
                </c:pt>
                <c:pt idx="40">
                  <c:v>57260.479638726436</c:v>
                </c:pt>
                <c:pt idx="41">
                  <c:v>56906.821426471521</c:v>
                </c:pt>
                <c:pt idx="42">
                  <c:v>55106.379618628358</c:v>
                </c:pt>
                <c:pt idx="43">
                  <c:v>54881.324392647963</c:v>
                </c:pt>
                <c:pt idx="44">
                  <c:v>54817.02289951071</c:v>
                </c:pt>
                <c:pt idx="45">
                  <c:v>53659.596023040103</c:v>
                </c:pt>
                <c:pt idx="46">
                  <c:v>53932.877368873444</c:v>
                </c:pt>
                <c:pt idx="47">
                  <c:v>54334.761700981289</c:v>
                </c:pt>
                <c:pt idx="48">
                  <c:v>54254.384834559714</c:v>
                </c:pt>
                <c:pt idx="49">
                  <c:v>54575.892300246</c:v>
                </c:pt>
                <c:pt idx="50">
                  <c:v>54334.761700981289</c:v>
                </c:pt>
                <c:pt idx="51">
                  <c:v>52863.865045466562</c:v>
                </c:pt>
                <c:pt idx="52">
                  <c:v>52984.430345098917</c:v>
                </c:pt>
                <c:pt idx="53">
                  <c:v>53305.937810785195</c:v>
                </c:pt>
                <c:pt idx="54">
                  <c:v>53418.465423775386</c:v>
                </c:pt>
                <c:pt idx="55">
                  <c:v>53265.749377574408</c:v>
                </c:pt>
                <c:pt idx="56">
                  <c:v>53024.618778309705</c:v>
                </c:pt>
                <c:pt idx="57">
                  <c:v>52582.546012991064</c:v>
                </c:pt>
                <c:pt idx="58">
                  <c:v>53498.842290196961</c:v>
                </c:pt>
                <c:pt idx="59">
                  <c:v>54021.291921937162</c:v>
                </c:pt>
                <c:pt idx="60">
                  <c:v>54399.063194118549</c:v>
                </c:pt>
                <c:pt idx="61">
                  <c:v>53884.651249020499</c:v>
                </c:pt>
                <c:pt idx="62">
                  <c:v>53289.86243750088</c:v>
                </c:pt>
                <c:pt idx="63">
                  <c:v>53450.616170344023</c:v>
                </c:pt>
                <c:pt idx="64">
                  <c:v>53932.877368873444</c:v>
                </c:pt>
                <c:pt idx="65">
                  <c:v>53892.688935662656</c:v>
                </c:pt>
                <c:pt idx="66">
                  <c:v>52116.360187745951</c:v>
                </c:pt>
                <c:pt idx="67">
                  <c:v>52437.867653432237</c:v>
                </c:pt>
                <c:pt idx="68">
                  <c:v>52855.827358824397</c:v>
                </c:pt>
                <c:pt idx="69">
                  <c:v>53305.937810785195</c:v>
                </c:pt>
                <c:pt idx="70">
                  <c:v>53643.520649755788</c:v>
                </c:pt>
                <c:pt idx="71">
                  <c:v>53579.219156618528</c:v>
                </c:pt>
                <c:pt idx="72">
                  <c:v>53145.184077942053</c:v>
                </c:pt>
                <c:pt idx="73">
                  <c:v>52582.546012991064</c:v>
                </c:pt>
                <c:pt idx="74">
                  <c:v>52855.827358824397</c:v>
                </c:pt>
                <c:pt idx="75">
                  <c:v>53048.73183823617</c:v>
                </c:pt>
                <c:pt idx="76">
                  <c:v>52775.45049240283</c:v>
                </c:pt>
                <c:pt idx="77">
                  <c:v>52373.566160294984</c:v>
                </c:pt>
                <c:pt idx="78">
                  <c:v>53032.656464951855</c:v>
                </c:pt>
                <c:pt idx="79">
                  <c:v>52654.885192770482</c:v>
                </c:pt>
                <c:pt idx="80">
                  <c:v>53161.259451226368</c:v>
                </c:pt>
                <c:pt idx="81">
                  <c:v>53482.766916912646</c:v>
                </c:pt>
                <c:pt idx="82">
                  <c:v>53088.92027144695</c:v>
                </c:pt>
                <c:pt idx="83">
                  <c:v>53498.842290196961</c:v>
                </c:pt>
                <c:pt idx="84">
                  <c:v>52984.430345098917</c:v>
                </c:pt>
                <c:pt idx="85">
                  <c:v>52654.885192770482</c:v>
                </c:pt>
                <c:pt idx="86">
                  <c:v>52847.789672182247</c:v>
                </c:pt>
                <c:pt idx="87">
                  <c:v>51521.57137622634</c:v>
                </c:pt>
                <c:pt idx="88">
                  <c:v>50878.556444853777</c:v>
                </c:pt>
                <c:pt idx="89">
                  <c:v>51392.968389951828</c:v>
                </c:pt>
                <c:pt idx="90">
                  <c:v>50894.631818138092</c:v>
                </c:pt>
                <c:pt idx="91">
                  <c:v>50106.938527206708</c:v>
                </c:pt>
                <c:pt idx="92">
                  <c:v>50042.637034069448</c:v>
                </c:pt>
                <c:pt idx="93">
                  <c:v>49785.43106152043</c:v>
                </c:pt>
                <c:pt idx="94">
                  <c:v>49962.260167647881</c:v>
                </c:pt>
                <c:pt idx="95">
                  <c:v>51103.61167083418</c:v>
                </c:pt>
                <c:pt idx="96">
                  <c:v>51200.063910540062</c:v>
                </c:pt>
                <c:pt idx="97">
                  <c:v>50878.556444853777</c:v>
                </c:pt>
                <c:pt idx="98">
                  <c:v>49801.506434804745</c:v>
                </c:pt>
                <c:pt idx="99">
                  <c:v>50428.445992892986</c:v>
                </c:pt>
                <c:pt idx="100">
                  <c:v>50460.596739461616</c:v>
                </c:pt>
                <c:pt idx="101">
                  <c:v>50624.565546961618</c:v>
                </c:pt>
                <c:pt idx="102">
                  <c:v>50782.104205147894</c:v>
                </c:pt>
                <c:pt idx="103">
                  <c:v>49512.149715687097</c:v>
                </c:pt>
                <c:pt idx="104">
                  <c:v>50090.863153922393</c:v>
                </c:pt>
                <c:pt idx="105">
                  <c:v>51634.098989216538</c:v>
                </c:pt>
                <c:pt idx="106">
                  <c:v>52566.470639706749</c:v>
                </c:pt>
                <c:pt idx="107">
                  <c:v>51634.098989216538</c:v>
                </c:pt>
                <c:pt idx="108">
                  <c:v>50685.651965442012</c:v>
                </c:pt>
                <c:pt idx="109">
                  <c:v>50926.782564706722</c:v>
                </c:pt>
                <c:pt idx="110">
                  <c:v>51553.722122794963</c:v>
                </c:pt>
                <c:pt idx="111">
                  <c:v>52068.134067893014</c:v>
                </c:pt>
                <c:pt idx="112">
                  <c:v>51875.229588481248</c:v>
                </c:pt>
                <c:pt idx="113">
                  <c:v>52317.302353799882</c:v>
                </c:pt>
                <c:pt idx="114">
                  <c:v>51939.531081618501</c:v>
                </c:pt>
                <c:pt idx="115">
                  <c:v>52261.038547304786</c:v>
                </c:pt>
                <c:pt idx="116">
                  <c:v>51473.345256373403</c:v>
                </c:pt>
                <c:pt idx="117">
                  <c:v>50862.481071569469</c:v>
                </c:pt>
                <c:pt idx="118">
                  <c:v>50331.993753187104</c:v>
                </c:pt>
                <c:pt idx="119">
                  <c:v>50476.672112745931</c:v>
                </c:pt>
                <c:pt idx="120">
                  <c:v>50669.576592157697</c:v>
                </c:pt>
                <c:pt idx="121">
                  <c:v>50589.199725736129</c:v>
                </c:pt>
                <c:pt idx="122">
                  <c:v>50106.938527206708</c:v>
                </c:pt>
                <c:pt idx="123">
                  <c:v>51392.968389951828</c:v>
                </c:pt>
                <c:pt idx="124">
                  <c:v>51183.98853725574</c:v>
                </c:pt>
                <c:pt idx="125">
                  <c:v>52003.832574755761</c:v>
                </c:pt>
                <c:pt idx="126">
                  <c:v>51875.229588481248</c:v>
                </c:pt>
                <c:pt idx="127">
                  <c:v>51569.797496079285</c:v>
                </c:pt>
                <c:pt idx="128">
                  <c:v>51023.234804412612</c:v>
                </c:pt>
                <c:pt idx="129">
                  <c:v>50958.933311275352</c:v>
                </c:pt>
                <c:pt idx="130">
                  <c:v>51288.478463603788</c:v>
                </c:pt>
                <c:pt idx="131">
                  <c:v>50701.727338726327</c:v>
                </c:pt>
                <c:pt idx="132">
                  <c:v>50034.599347427298</c:v>
                </c:pt>
                <c:pt idx="133">
                  <c:v>51296.516150245945</c:v>
                </c:pt>
                <c:pt idx="134">
                  <c:v>51111.64935747633</c:v>
                </c:pt>
                <c:pt idx="135">
                  <c:v>50966.97099791751</c:v>
                </c:pt>
                <c:pt idx="136">
                  <c:v>50645.463532231224</c:v>
                </c:pt>
                <c:pt idx="137">
                  <c:v>50926.782564706722</c:v>
                </c:pt>
                <c:pt idx="138">
                  <c:v>50677.614278799861</c:v>
                </c:pt>
                <c:pt idx="139">
                  <c:v>50549.011292525342</c:v>
                </c:pt>
                <c:pt idx="140">
                  <c:v>50902.66950478025</c:v>
                </c:pt>
                <c:pt idx="141">
                  <c:v>51473.345256373403</c:v>
                </c:pt>
                <c:pt idx="142">
                  <c:v>52019.907948040069</c:v>
                </c:pt>
                <c:pt idx="143">
                  <c:v>52027.945634682234</c:v>
                </c:pt>
                <c:pt idx="144">
                  <c:v>52011.870261397919</c:v>
                </c:pt>
                <c:pt idx="145">
                  <c:v>52148.510934314589</c:v>
                </c:pt>
                <c:pt idx="146">
                  <c:v>51409.043763236143</c:v>
                </c:pt>
                <c:pt idx="147">
                  <c:v>51344.742270098883</c:v>
                </c:pt>
                <c:pt idx="148">
                  <c:v>51505.496002942025</c:v>
                </c:pt>
                <c:pt idx="149">
                  <c:v>51762.701975491051</c:v>
                </c:pt>
                <c:pt idx="150">
                  <c:v>51794.852722059681</c:v>
                </c:pt>
                <c:pt idx="151">
                  <c:v>51867.191901839091</c:v>
                </c:pt>
                <c:pt idx="152">
                  <c:v>51923.455708334186</c:v>
                </c:pt>
                <c:pt idx="153">
                  <c:v>52035.983321324391</c:v>
                </c:pt>
                <c:pt idx="154">
                  <c:v>52164.586307598904</c:v>
                </c:pt>
                <c:pt idx="155">
                  <c:v>51368.855330025355</c:v>
                </c:pt>
                <c:pt idx="156">
                  <c:v>51497.458316299868</c:v>
                </c:pt>
                <c:pt idx="157">
                  <c:v>51585.8728693636</c:v>
                </c:pt>
                <c:pt idx="158">
                  <c:v>51915.418021692036</c:v>
                </c:pt>
                <c:pt idx="159">
                  <c:v>51923.455708334186</c:v>
                </c:pt>
                <c:pt idx="160">
                  <c:v>52711.148999265577</c:v>
                </c:pt>
                <c:pt idx="161">
                  <c:v>52791.525865687152</c:v>
                </c:pt>
                <c:pt idx="162">
                  <c:v>53539.030723407748</c:v>
                </c:pt>
                <c:pt idx="163">
                  <c:v>53595.294529902843</c:v>
                </c:pt>
                <c:pt idx="164">
                  <c:v>53627.445276471466</c:v>
                </c:pt>
                <c:pt idx="165">
                  <c:v>53370.239303922448</c:v>
                </c:pt>
                <c:pt idx="166">
                  <c:v>53386.314677206763</c:v>
                </c:pt>
                <c:pt idx="167">
                  <c:v>53000.505718383232</c:v>
                </c:pt>
                <c:pt idx="168">
                  <c:v>54382.987820834234</c:v>
                </c:pt>
                <c:pt idx="169">
                  <c:v>54559.816926961685</c:v>
                </c:pt>
                <c:pt idx="170">
                  <c:v>54334.761700981289</c:v>
                </c:pt>
                <c:pt idx="171">
                  <c:v>54688.419913236197</c:v>
                </c:pt>
                <c:pt idx="172">
                  <c:v>55556.490070589149</c:v>
                </c:pt>
                <c:pt idx="173">
                  <c:v>55685.093056863661</c:v>
                </c:pt>
                <c:pt idx="174">
                  <c:v>55837.809103064646</c:v>
                </c:pt>
                <c:pt idx="175">
                  <c:v>55845.846789706804</c:v>
                </c:pt>
                <c:pt idx="176">
                  <c:v>55725.281490074449</c:v>
                </c:pt>
                <c:pt idx="177">
                  <c:v>57083.650532598978</c:v>
                </c:pt>
                <c:pt idx="178">
                  <c:v>56906.821426471521</c:v>
                </c:pt>
                <c:pt idx="179">
                  <c:v>56890.746053187213</c:v>
                </c:pt>
                <c:pt idx="180">
                  <c:v>56802.331500123488</c:v>
                </c:pt>
                <c:pt idx="181">
                  <c:v>56537.087840932305</c:v>
                </c:pt>
                <c:pt idx="182">
                  <c:v>57373.007251716626</c:v>
                </c:pt>
                <c:pt idx="183">
                  <c:v>56665.690827206818</c:v>
                </c:pt>
                <c:pt idx="184">
                  <c:v>56955.047546324473</c:v>
                </c:pt>
                <c:pt idx="185">
                  <c:v>56095.015075613672</c:v>
                </c:pt>
                <c:pt idx="186">
                  <c:v>56681.766200491133</c:v>
                </c:pt>
                <c:pt idx="187">
                  <c:v>57099.725905883293</c:v>
                </c:pt>
                <c:pt idx="188">
                  <c:v>57453.384118138201</c:v>
                </c:pt>
                <c:pt idx="189">
                  <c:v>57083.650532598978</c:v>
                </c:pt>
                <c:pt idx="190">
                  <c:v>57075.612845956828</c:v>
                </c:pt>
                <c:pt idx="191">
                  <c:v>57606.100164339186</c:v>
                </c:pt>
                <c:pt idx="192">
                  <c:v>57356.931878432319</c:v>
                </c:pt>
                <c:pt idx="193">
                  <c:v>57019.349039461726</c:v>
                </c:pt>
                <c:pt idx="194">
                  <c:v>57035.424412746041</c:v>
                </c:pt>
                <c:pt idx="195">
                  <c:v>56625.50239399603</c:v>
                </c:pt>
                <c:pt idx="196">
                  <c:v>56874.670679902898</c:v>
                </c:pt>
                <c:pt idx="197">
                  <c:v>56802.331500123488</c:v>
                </c:pt>
                <c:pt idx="198">
                  <c:v>55813.696043138174</c:v>
                </c:pt>
                <c:pt idx="199">
                  <c:v>56151.278882108767</c:v>
                </c:pt>
                <c:pt idx="200">
                  <c:v>56231.655748530335</c:v>
                </c:pt>
                <c:pt idx="201">
                  <c:v>56038.751269118569</c:v>
                </c:pt>
                <c:pt idx="202">
                  <c:v>55845.846789706804</c:v>
                </c:pt>
                <c:pt idx="203">
                  <c:v>55516.301637378368</c:v>
                </c:pt>
                <c:pt idx="204">
                  <c:v>55009.927378922475</c:v>
                </c:pt>
                <c:pt idx="205">
                  <c:v>54865.249019363655</c:v>
                </c:pt>
                <c:pt idx="206">
                  <c:v>55154.605738481303</c:v>
                </c:pt>
                <c:pt idx="207">
                  <c:v>55170.681111765618</c:v>
                </c:pt>
                <c:pt idx="208">
                  <c:v>54881.324392647963</c:v>
                </c:pt>
                <c:pt idx="209">
                  <c:v>54977.776632353853</c:v>
                </c:pt>
                <c:pt idx="210">
                  <c:v>55267.133351471501</c:v>
                </c:pt>
                <c:pt idx="211">
                  <c:v>55178.718798407775</c:v>
                </c:pt>
                <c:pt idx="212">
                  <c:v>54174.007968138147</c:v>
                </c:pt>
                <c:pt idx="213">
                  <c:v>54125.781848285209</c:v>
                </c:pt>
                <c:pt idx="214">
                  <c:v>54366.912447549912</c:v>
                </c:pt>
                <c:pt idx="215">
                  <c:v>55146.568051839145</c:v>
                </c:pt>
                <c:pt idx="216">
                  <c:v>55202.831858334241</c:v>
                </c:pt>
                <c:pt idx="217">
                  <c:v>55886.035222917591</c:v>
                </c:pt>
                <c:pt idx="218">
                  <c:v>55789.582983211702</c:v>
                </c:pt>
                <c:pt idx="219">
                  <c:v>55500.226264094053</c:v>
                </c:pt>
                <c:pt idx="220">
                  <c:v>55484.150890809738</c:v>
                </c:pt>
                <c:pt idx="221">
                  <c:v>54977.776632353853</c:v>
                </c:pt>
                <c:pt idx="222">
                  <c:v>55090.304245344043</c:v>
                </c:pt>
                <c:pt idx="223">
                  <c:v>55636.866937010724</c:v>
                </c:pt>
                <c:pt idx="224">
                  <c:v>55693.130743505819</c:v>
                </c:pt>
                <c:pt idx="225">
                  <c:v>55427.887084314643</c:v>
                </c:pt>
                <c:pt idx="226">
                  <c:v>55652.942310295039</c:v>
                </c:pt>
                <c:pt idx="227">
                  <c:v>55765.469923285229</c:v>
                </c:pt>
                <c:pt idx="228">
                  <c:v>56279.88186838328</c:v>
                </c:pt>
                <c:pt idx="229">
                  <c:v>56143.241195466617</c:v>
                </c:pt>
                <c:pt idx="230">
                  <c:v>54913.475139216593</c:v>
                </c:pt>
                <c:pt idx="231">
                  <c:v>55460.037830883266</c:v>
                </c:pt>
                <c:pt idx="232">
                  <c:v>55492.188577451896</c:v>
                </c:pt>
                <c:pt idx="233">
                  <c:v>55299.284098040123</c:v>
                </c:pt>
                <c:pt idx="234">
                  <c:v>54583.929986888157</c:v>
                </c:pt>
                <c:pt idx="235">
                  <c:v>54463.364687255795</c:v>
                </c:pt>
                <c:pt idx="236">
                  <c:v>54471.402373897959</c:v>
                </c:pt>
                <c:pt idx="237">
                  <c:v>54704.495286520512</c:v>
                </c:pt>
                <c:pt idx="238">
                  <c:v>55058.15349877542</c:v>
                </c:pt>
                <c:pt idx="239">
                  <c:v>54977.776632353853</c:v>
                </c:pt>
                <c:pt idx="240">
                  <c:v>55178.718798407775</c:v>
                </c:pt>
                <c:pt idx="241">
                  <c:v>54423.176254045015</c:v>
                </c:pt>
                <c:pt idx="242">
                  <c:v>54535.703867035219</c:v>
                </c:pt>
                <c:pt idx="243">
                  <c:v>54519.628493750897</c:v>
                </c:pt>
                <c:pt idx="244">
                  <c:v>54463.364687255795</c:v>
                </c:pt>
                <c:pt idx="245">
                  <c:v>53530.993036765583</c:v>
                </c:pt>
                <c:pt idx="246">
                  <c:v>53064.807211520478</c:v>
                </c:pt>
                <c:pt idx="247">
                  <c:v>53096.957958089115</c:v>
                </c:pt>
                <c:pt idx="248">
                  <c:v>53225.56094436362</c:v>
                </c:pt>
                <c:pt idx="249">
                  <c:v>53289.86243750088</c:v>
                </c:pt>
                <c:pt idx="250">
                  <c:v>54455.327000613644</c:v>
                </c:pt>
                <c:pt idx="251">
                  <c:v>53997.178862010689</c:v>
                </c:pt>
                <c:pt idx="252">
                  <c:v>52984.430345098917</c:v>
                </c:pt>
                <c:pt idx="253">
                  <c:v>52896.015792035185</c:v>
                </c:pt>
                <c:pt idx="254">
                  <c:v>53241.636317647935</c:v>
                </c:pt>
                <c:pt idx="255">
                  <c:v>53297.900124143031</c:v>
                </c:pt>
                <c:pt idx="256">
                  <c:v>53852.500502451869</c:v>
                </c:pt>
                <c:pt idx="257">
                  <c:v>53289.86243750088</c:v>
                </c:pt>
                <c:pt idx="258">
                  <c:v>53579.219156618528</c:v>
                </c:pt>
                <c:pt idx="259">
                  <c:v>54029.329608579326</c:v>
                </c:pt>
                <c:pt idx="260">
                  <c:v>53892.688935662656</c:v>
                </c:pt>
                <c:pt idx="261">
                  <c:v>53852.500502451869</c:v>
                </c:pt>
                <c:pt idx="262">
                  <c:v>54286.535581128344</c:v>
                </c:pt>
                <c:pt idx="263">
                  <c:v>54254.384834559714</c:v>
                </c:pt>
                <c:pt idx="264">
                  <c:v>54350.837074265604</c:v>
                </c:pt>
                <c:pt idx="265">
                  <c:v>54342.799387623447</c:v>
                </c:pt>
                <c:pt idx="266">
                  <c:v>53723.897516177356</c:v>
                </c:pt>
                <c:pt idx="267">
                  <c:v>53370.239303922448</c:v>
                </c:pt>
                <c:pt idx="268">
                  <c:v>53257.711690932258</c:v>
                </c:pt>
                <c:pt idx="269">
                  <c:v>53482.766916912646</c:v>
                </c:pt>
                <c:pt idx="270">
                  <c:v>53932.877368873444</c:v>
                </c:pt>
                <c:pt idx="271">
                  <c:v>53522.955350123433</c:v>
                </c:pt>
                <c:pt idx="272">
                  <c:v>53659.596023040103</c:v>
                </c:pt>
                <c:pt idx="273">
                  <c:v>53563.143783334221</c:v>
                </c:pt>
                <c:pt idx="274">
                  <c:v>53804.274382598924</c:v>
                </c:pt>
                <c:pt idx="275">
                  <c:v>53828.387442525396</c:v>
                </c:pt>
                <c:pt idx="276">
                  <c:v>53627.445276471466</c:v>
                </c:pt>
                <c:pt idx="277">
                  <c:v>53635.482963113631</c:v>
                </c:pt>
                <c:pt idx="278">
                  <c:v>53113.033331373423</c:v>
                </c:pt>
                <c:pt idx="279">
                  <c:v>52968.354971814595</c:v>
                </c:pt>
                <c:pt idx="280">
                  <c:v>52887.978105393035</c:v>
                </c:pt>
                <c:pt idx="281">
                  <c:v>52920.128851961657</c:v>
                </c:pt>
                <c:pt idx="282">
                  <c:v>51835.041155270461</c:v>
                </c:pt>
                <c:pt idx="283">
                  <c:v>51786.815035417516</c:v>
                </c:pt>
                <c:pt idx="284">
                  <c:v>51690.362795711633</c:v>
                </c:pt>
                <c:pt idx="285">
                  <c:v>51071.46092426555</c:v>
                </c:pt>
                <c:pt idx="286">
                  <c:v>50701.727338726327</c:v>
                </c:pt>
                <c:pt idx="287">
                  <c:v>50685.651965442012</c:v>
                </c:pt>
                <c:pt idx="288">
                  <c:v>50999.121744486132</c:v>
                </c:pt>
                <c:pt idx="289">
                  <c:v>51135.762417402802</c:v>
                </c:pt>
                <c:pt idx="290">
                  <c:v>51577.835182721436</c:v>
                </c:pt>
                <c:pt idx="291">
                  <c:v>51071.46092426555</c:v>
                </c:pt>
                <c:pt idx="292">
                  <c:v>50870.518758211627</c:v>
                </c:pt>
                <c:pt idx="293">
                  <c:v>50613.312785662602</c:v>
                </c:pt>
                <c:pt idx="294">
                  <c:v>50790.141891790052</c:v>
                </c:pt>
                <c:pt idx="295">
                  <c:v>50605.275099020444</c:v>
                </c:pt>
                <c:pt idx="296">
                  <c:v>50782.104205147894</c:v>
                </c:pt>
                <c:pt idx="297">
                  <c:v>50854.443384927305</c:v>
                </c:pt>
                <c:pt idx="298">
                  <c:v>50766.028831863579</c:v>
                </c:pt>
                <c:pt idx="299">
                  <c:v>51248.290030393</c:v>
                </c:pt>
                <c:pt idx="300">
                  <c:v>51095.573984192022</c:v>
                </c:pt>
                <c:pt idx="301">
                  <c:v>50991.084057843975</c:v>
                </c:pt>
                <c:pt idx="302">
                  <c:v>51296.516150245945</c:v>
                </c:pt>
                <c:pt idx="303">
                  <c:v>51561.759809437128</c:v>
                </c:pt>
                <c:pt idx="304">
                  <c:v>51786.815035417516</c:v>
                </c:pt>
                <c:pt idx="305">
                  <c:v>51682.325109069483</c:v>
                </c:pt>
                <c:pt idx="306">
                  <c:v>51883.267275123399</c:v>
                </c:pt>
                <c:pt idx="307">
                  <c:v>51690.362795711633</c:v>
                </c:pt>
                <c:pt idx="308">
                  <c:v>51417.081449878293</c:v>
                </c:pt>
                <c:pt idx="309">
                  <c:v>51376.893016667513</c:v>
                </c:pt>
                <c:pt idx="310">
                  <c:v>51537.646749510655</c:v>
                </c:pt>
                <c:pt idx="311">
                  <c:v>51384.93070330967</c:v>
                </c:pt>
                <c:pt idx="312">
                  <c:v>50910.707191422414</c:v>
                </c:pt>
                <c:pt idx="313">
                  <c:v>50629.388158946917</c:v>
                </c:pt>
                <c:pt idx="314">
                  <c:v>49721.129568383178</c:v>
                </c:pt>
                <c:pt idx="315">
                  <c:v>50412.370619608671</c:v>
                </c:pt>
                <c:pt idx="316">
                  <c:v>50637.425845589074</c:v>
                </c:pt>
                <c:pt idx="317">
                  <c:v>50709.765025368484</c:v>
                </c:pt>
                <c:pt idx="318">
                  <c:v>50637.425845589074</c:v>
                </c:pt>
                <c:pt idx="319">
                  <c:v>50315.918379902789</c:v>
                </c:pt>
                <c:pt idx="320">
                  <c:v>49367.471356128262</c:v>
                </c:pt>
                <c:pt idx="321">
                  <c:v>44850.291463236033</c:v>
                </c:pt>
                <c:pt idx="322">
                  <c:v>44368.030264706613</c:v>
                </c:pt>
                <c:pt idx="323">
                  <c:v>44753.839223530151</c:v>
                </c:pt>
                <c:pt idx="324">
                  <c:v>44810.103030025246</c:v>
                </c:pt>
                <c:pt idx="325">
                  <c:v>45187.874302206634</c:v>
                </c:pt>
                <c:pt idx="326">
                  <c:v>45798.73848701056</c:v>
                </c:pt>
                <c:pt idx="327">
                  <c:v>45268.251168628194</c:v>
                </c:pt>
                <c:pt idx="328">
                  <c:v>45927.341473285065</c:v>
                </c:pt>
                <c:pt idx="329">
                  <c:v>46650.733271079203</c:v>
                </c:pt>
                <c:pt idx="330">
                  <c:v>47309.823575736074</c:v>
                </c:pt>
                <c:pt idx="331">
                  <c:v>47181.220589461562</c:v>
                </c:pt>
                <c:pt idx="332">
                  <c:v>47229.446709314499</c:v>
                </c:pt>
                <c:pt idx="333">
                  <c:v>46771.298570711559</c:v>
                </c:pt>
                <c:pt idx="334">
                  <c:v>47237.484395956664</c:v>
                </c:pt>
                <c:pt idx="335">
                  <c:v>47237.484395956664</c:v>
                </c:pt>
                <c:pt idx="336">
                  <c:v>46433.715731740958</c:v>
                </c:pt>
                <c:pt idx="337">
                  <c:v>47197.295962745877</c:v>
                </c:pt>
                <c:pt idx="338">
                  <c:v>47116.919096324309</c:v>
                </c:pt>
                <c:pt idx="339">
                  <c:v>45863.03998014782</c:v>
                </c:pt>
                <c:pt idx="340">
                  <c:v>45999.68065306449</c:v>
                </c:pt>
                <c:pt idx="341">
                  <c:v>46096.132892770373</c:v>
                </c:pt>
                <c:pt idx="342">
                  <c:v>45332.552661765454</c:v>
                </c:pt>
                <c:pt idx="343">
                  <c:v>44400.181011275243</c:v>
                </c:pt>
                <c:pt idx="344">
                  <c:v>44006.334365809547</c:v>
                </c:pt>
                <c:pt idx="345">
                  <c:v>43556.223913848757</c:v>
                </c:pt>
                <c:pt idx="346">
                  <c:v>43749.128393260529</c:v>
                </c:pt>
                <c:pt idx="347">
                  <c:v>45284.326541912516</c:v>
                </c:pt>
                <c:pt idx="348">
                  <c:v>44384.105637990928</c:v>
                </c:pt>
                <c:pt idx="349">
                  <c:v>44697.575417035056</c:v>
                </c:pt>
                <c:pt idx="350">
                  <c:v>44255.502651716422</c:v>
                </c:pt>
                <c:pt idx="351">
                  <c:v>44448.407131128188</c:v>
                </c:pt>
                <c:pt idx="352">
                  <c:v>45445.080274755652</c:v>
                </c:pt>
                <c:pt idx="353">
                  <c:v>44834.216089951718</c:v>
                </c:pt>
                <c:pt idx="354">
                  <c:v>45091.422062500744</c:v>
                </c:pt>
                <c:pt idx="355">
                  <c:v>44994.969822794854</c:v>
                </c:pt>
                <c:pt idx="356">
                  <c:v>45139.648182353689</c:v>
                </c:pt>
                <c:pt idx="357">
                  <c:v>45011.045196079176</c:v>
                </c:pt>
                <c:pt idx="358">
                  <c:v>44560.934744118385</c:v>
                </c:pt>
                <c:pt idx="359">
                  <c:v>44472.520191054653</c:v>
                </c:pt>
                <c:pt idx="360">
                  <c:v>44183.163471936998</c:v>
                </c:pt>
                <c:pt idx="361">
                  <c:v>44456.444817770338</c:v>
                </c:pt>
                <c:pt idx="362">
                  <c:v>44528.783997549755</c:v>
                </c:pt>
                <c:pt idx="363">
                  <c:v>44729.726163603678</c:v>
                </c:pt>
                <c:pt idx="364">
                  <c:v>44520.746310907598</c:v>
                </c:pt>
                <c:pt idx="365">
                  <c:v>43942.032872672295</c:v>
                </c:pt>
                <c:pt idx="366">
                  <c:v>44134.93735208406</c:v>
                </c:pt>
                <c:pt idx="367">
                  <c:v>41554.839939951664</c:v>
                </c:pt>
                <c:pt idx="368">
                  <c:v>41643.254493015389</c:v>
                </c:pt>
                <c:pt idx="369">
                  <c:v>41369.973147182056</c:v>
                </c:pt>
                <c:pt idx="370">
                  <c:v>41120.804861275188</c:v>
                </c:pt>
                <c:pt idx="371">
                  <c:v>39746.360445466344</c:v>
                </c:pt>
                <c:pt idx="372">
                  <c:v>39633.832832476146</c:v>
                </c:pt>
                <c:pt idx="373">
                  <c:v>38323.689909804554</c:v>
                </c:pt>
                <c:pt idx="374">
                  <c:v>39955.340298162424</c:v>
                </c:pt>
                <c:pt idx="375">
                  <c:v>40268.810077206545</c:v>
                </c:pt>
                <c:pt idx="376">
                  <c:v>40188.433210784977</c:v>
                </c:pt>
                <c:pt idx="377">
                  <c:v>40244.697017280072</c:v>
                </c:pt>
                <c:pt idx="378">
                  <c:v>38990.817901103583</c:v>
                </c:pt>
                <c:pt idx="379">
                  <c:v>39714.209698897714</c:v>
                </c:pt>
                <c:pt idx="380">
                  <c:v>40365.262316912427</c:v>
                </c:pt>
                <c:pt idx="381">
                  <c:v>40381.337690196742</c:v>
                </c:pt>
                <c:pt idx="382">
                  <c:v>41313.709340686954</c:v>
                </c:pt>
                <c:pt idx="383">
                  <c:v>41144.917921201661</c:v>
                </c:pt>
                <c:pt idx="384">
                  <c:v>41305.671654044803</c:v>
                </c:pt>
                <c:pt idx="385">
                  <c:v>41522.689193383034</c:v>
                </c:pt>
                <c:pt idx="386">
                  <c:v>41707.555986152649</c:v>
                </c:pt>
                <c:pt idx="387">
                  <c:v>41257.445534191858</c:v>
                </c:pt>
                <c:pt idx="388">
                  <c:v>41659.329866299704</c:v>
                </c:pt>
                <c:pt idx="389">
                  <c:v>42664.040696569333</c:v>
                </c:pt>
                <c:pt idx="390">
                  <c:v>42873.020549265413</c:v>
                </c:pt>
                <c:pt idx="391">
                  <c:v>42921.246669118351</c:v>
                </c:pt>
                <c:pt idx="392">
                  <c:v>42631.889950000703</c:v>
                </c:pt>
                <c:pt idx="393">
                  <c:v>42792.643682843845</c:v>
                </c:pt>
                <c:pt idx="394">
                  <c:v>42752.455249633058</c:v>
                </c:pt>
                <c:pt idx="395">
                  <c:v>42572.411068848742</c:v>
                </c:pt>
                <c:pt idx="396">
                  <c:v>42262.15636446148</c:v>
                </c:pt>
                <c:pt idx="397">
                  <c:v>42278.231737745802</c:v>
                </c:pt>
                <c:pt idx="398">
                  <c:v>42093.364944976187</c:v>
                </c:pt>
                <c:pt idx="399">
                  <c:v>41948.686585417359</c:v>
                </c:pt>
                <c:pt idx="400">
                  <c:v>41169.030981128133</c:v>
                </c:pt>
                <c:pt idx="401">
                  <c:v>41233.332474265386</c:v>
                </c:pt>
                <c:pt idx="402">
                  <c:v>41739.706732721272</c:v>
                </c:pt>
                <c:pt idx="403">
                  <c:v>42085.327258334022</c:v>
                </c:pt>
                <c:pt idx="404">
                  <c:v>43114.151148530116</c:v>
                </c:pt>
                <c:pt idx="405">
                  <c:v>42712.26681642227</c:v>
                </c:pt>
                <c:pt idx="406">
                  <c:v>42647.965323285011</c:v>
                </c:pt>
                <c:pt idx="407">
                  <c:v>42752.455249633058</c:v>
                </c:pt>
                <c:pt idx="408">
                  <c:v>44022.40973909387</c:v>
                </c:pt>
                <c:pt idx="409">
                  <c:v>43885.769066177199</c:v>
                </c:pt>
                <c:pt idx="410">
                  <c:v>44126.899665441902</c:v>
                </c:pt>
                <c:pt idx="411">
                  <c:v>43821.467573039939</c:v>
                </c:pt>
                <c:pt idx="412">
                  <c:v>44223.351905147785</c:v>
                </c:pt>
                <c:pt idx="413">
                  <c:v>44287.653398285045</c:v>
                </c:pt>
                <c:pt idx="414">
                  <c:v>45629.947067525267</c:v>
                </c:pt>
                <c:pt idx="415">
                  <c:v>45637.984754167417</c:v>
                </c:pt>
                <c:pt idx="416">
                  <c:v>45260.213481986044</c:v>
                </c:pt>
                <c:pt idx="417">
                  <c:v>44842.253776593876</c:v>
                </c:pt>
                <c:pt idx="418">
                  <c:v>44761.876910172301</c:v>
                </c:pt>
                <c:pt idx="419">
                  <c:v>44994.969822794854</c:v>
                </c:pt>
                <c:pt idx="420">
                  <c:v>44689.537730392891</c:v>
                </c:pt>
                <c:pt idx="421">
                  <c:v>44528.783997549755</c:v>
                </c:pt>
                <c:pt idx="422">
                  <c:v>44593.085490687008</c:v>
                </c:pt>
                <c:pt idx="423">
                  <c:v>44689.537730392891</c:v>
                </c:pt>
                <c:pt idx="424">
                  <c:v>43668.751526838954</c:v>
                </c:pt>
                <c:pt idx="425">
                  <c:v>43845.580632966412</c:v>
                </c:pt>
                <c:pt idx="426">
                  <c:v>42696.191443137963</c:v>
                </c:pt>
                <c:pt idx="427">
                  <c:v>42390.759350735992</c:v>
                </c:pt>
                <c:pt idx="428">
                  <c:v>42567.58845686345</c:v>
                </c:pt>
                <c:pt idx="429">
                  <c:v>42189.81718468207</c:v>
                </c:pt>
                <c:pt idx="430">
                  <c:v>41828.121285785004</c:v>
                </c:pt>
                <c:pt idx="431">
                  <c:v>43901.844439461507</c:v>
                </c:pt>
                <c:pt idx="432">
                  <c:v>43379.394807721306</c:v>
                </c:pt>
                <c:pt idx="433">
                  <c:v>42535.43771029482</c:v>
                </c:pt>
                <c:pt idx="434">
                  <c:v>42254.11867781933</c:v>
                </c:pt>
                <c:pt idx="435">
                  <c:v>42527.400023652663</c:v>
                </c:pt>
                <c:pt idx="436">
                  <c:v>42856.945175981098</c:v>
                </c:pt>
                <c:pt idx="437">
                  <c:v>43114.151148530116</c:v>
                </c:pt>
                <c:pt idx="438">
                  <c:v>42647.965323285011</c:v>
                </c:pt>
                <c:pt idx="439">
                  <c:v>41498.576133456569</c:v>
                </c:pt>
                <c:pt idx="440">
                  <c:v>41996.912705270297</c:v>
                </c:pt>
                <c:pt idx="441">
                  <c:v>42310.382484314425</c:v>
                </c:pt>
                <c:pt idx="442">
                  <c:v>42109.440318260495</c:v>
                </c:pt>
                <c:pt idx="443">
                  <c:v>42551.513083579128</c:v>
                </c:pt>
                <c:pt idx="444">
                  <c:v>42744.4175629909</c:v>
                </c:pt>
                <c:pt idx="445">
                  <c:v>41924.573525490887</c:v>
                </c:pt>
                <c:pt idx="446">
                  <c:v>41747.744419363436</c:v>
                </c:pt>
                <c:pt idx="447">
                  <c:v>40686.769782598712</c:v>
                </c:pt>
                <c:pt idx="448">
                  <c:v>41329.784713971269</c:v>
                </c:pt>
                <c:pt idx="449">
                  <c:v>40847.523515441848</c:v>
                </c:pt>
                <c:pt idx="450">
                  <c:v>40943.975755147731</c:v>
                </c:pt>
                <c:pt idx="451">
                  <c:v>42414.872410662458</c:v>
                </c:pt>
                <c:pt idx="452">
                  <c:v>42326.45785759874</c:v>
                </c:pt>
                <c:pt idx="453">
                  <c:v>42358.608604167363</c:v>
                </c:pt>
                <c:pt idx="454">
                  <c:v>42856.945175981098</c:v>
                </c:pt>
                <c:pt idx="455">
                  <c:v>42800.681369486003</c:v>
                </c:pt>
                <c:pt idx="456">
                  <c:v>43234.716448162479</c:v>
                </c:pt>
                <c:pt idx="457">
                  <c:v>43331.168687868361</c:v>
                </c:pt>
                <c:pt idx="458">
                  <c:v>43757.166079902679</c:v>
                </c:pt>
                <c:pt idx="459">
                  <c:v>43379.394807721306</c:v>
                </c:pt>
                <c:pt idx="460">
                  <c:v>43556.223913848757</c:v>
                </c:pt>
                <c:pt idx="461">
                  <c:v>42567.58845686345</c:v>
                </c:pt>
                <c:pt idx="462">
                  <c:v>42012.988078554612</c:v>
                </c:pt>
                <c:pt idx="463">
                  <c:v>42455.060843873245</c:v>
                </c:pt>
                <c:pt idx="464">
                  <c:v>42029.063451838927</c:v>
                </c:pt>
                <c:pt idx="465">
                  <c:v>42406.834724020307</c:v>
                </c:pt>
                <c:pt idx="466">
                  <c:v>42029.063451838927</c:v>
                </c:pt>
                <c:pt idx="467">
                  <c:v>41329.784713971269</c:v>
                </c:pt>
                <c:pt idx="468">
                  <c:v>41233.332474265386</c:v>
                </c:pt>
                <c:pt idx="469">
                  <c:v>41193.144041054598</c:v>
                </c:pt>
                <c:pt idx="470">
                  <c:v>40911.825008579108</c:v>
                </c:pt>
                <c:pt idx="471">
                  <c:v>41345.860087255583</c:v>
                </c:pt>
                <c:pt idx="472">
                  <c:v>41386.048520466371</c:v>
                </c:pt>
                <c:pt idx="473">
                  <c:v>41265.483220834016</c:v>
                </c:pt>
                <c:pt idx="474">
                  <c:v>41016.314934927148</c:v>
                </c:pt>
                <c:pt idx="475">
                  <c:v>40413.488436765372</c:v>
                </c:pt>
                <c:pt idx="476">
                  <c:v>39866.925745098699</c:v>
                </c:pt>
                <c:pt idx="477">
                  <c:v>40067.867911152622</c:v>
                </c:pt>
                <c:pt idx="478">
                  <c:v>39963.377984804582</c:v>
                </c:pt>
                <c:pt idx="479">
                  <c:v>40108.056344363402</c:v>
                </c:pt>
                <c:pt idx="480">
                  <c:v>40027.679477941841</c:v>
                </c:pt>
                <c:pt idx="481">
                  <c:v>40043.754851226149</c:v>
                </c:pt>
                <c:pt idx="482">
                  <c:v>40284.88545049086</c:v>
                </c:pt>
                <c:pt idx="483">
                  <c:v>39529.342906128099</c:v>
                </c:pt>
                <c:pt idx="484">
                  <c:v>39135.49626066241</c:v>
                </c:pt>
                <c:pt idx="485">
                  <c:v>39465.041412990853</c:v>
                </c:pt>
                <c:pt idx="486">
                  <c:v>39304.28768014771</c:v>
                </c:pt>
                <c:pt idx="487">
                  <c:v>39641.870519118296</c:v>
                </c:pt>
                <c:pt idx="488">
                  <c:v>39770.473505392816</c:v>
                </c:pt>
                <c:pt idx="489">
                  <c:v>40710.882842525178</c:v>
                </c:pt>
                <c:pt idx="490">
                  <c:v>40534.053736397727</c:v>
                </c:pt>
                <c:pt idx="491">
                  <c:v>39392.702233211436</c:v>
                </c:pt>
                <c:pt idx="492">
                  <c:v>39609.719772549674</c:v>
                </c:pt>
                <c:pt idx="493">
                  <c:v>39698.134325613406</c:v>
                </c:pt>
                <c:pt idx="494">
                  <c:v>39601.682085907516</c:v>
                </c:pt>
                <c:pt idx="495">
                  <c:v>39561.493652696736</c:v>
                </c:pt>
                <c:pt idx="496">
                  <c:v>38452.292896079067</c:v>
                </c:pt>
                <c:pt idx="497">
                  <c:v>38428.179836152594</c:v>
                </c:pt>
                <c:pt idx="498">
                  <c:v>38548.74513578495</c:v>
                </c:pt>
                <c:pt idx="499">
                  <c:v>39047.081707598685</c:v>
                </c:pt>
                <c:pt idx="500">
                  <c:v>38725.574241912407</c:v>
                </c:pt>
                <c:pt idx="501">
                  <c:v>39384.664546569278</c:v>
                </c:pt>
                <c:pt idx="502">
                  <c:v>39690.096638971241</c:v>
                </c:pt>
                <c:pt idx="503">
                  <c:v>40067.867911152622</c:v>
                </c:pt>
                <c:pt idx="504">
                  <c:v>39465.041412990853</c:v>
                </c:pt>
                <c:pt idx="505">
                  <c:v>39256.061560294766</c:v>
                </c:pt>
                <c:pt idx="506">
                  <c:v>39416.815293137908</c:v>
                </c:pt>
                <c:pt idx="507">
                  <c:v>40003.566418015369</c:v>
                </c:pt>
                <c:pt idx="508">
                  <c:v>40124.131717647724</c:v>
                </c:pt>
                <c:pt idx="509">
                  <c:v>40236.659330637922</c:v>
                </c:pt>
                <c:pt idx="510">
                  <c:v>39738.322758824179</c:v>
                </c:pt>
                <c:pt idx="511">
                  <c:v>39915.151864951637</c:v>
                </c:pt>
                <c:pt idx="512">
                  <c:v>40188.433210784977</c:v>
                </c:pt>
                <c:pt idx="513">
                  <c:v>40373.300003554592</c:v>
                </c:pt>
                <c:pt idx="514">
                  <c:v>39802.624251961439</c:v>
                </c:pt>
                <c:pt idx="515">
                  <c:v>39899.076491667322</c:v>
                </c:pt>
                <c:pt idx="516">
                  <c:v>40606.392916177145</c:v>
                </c:pt>
                <c:pt idx="517">
                  <c:v>40734.99590245165</c:v>
                </c:pt>
                <c:pt idx="518">
                  <c:v>40526.01604975557</c:v>
                </c:pt>
                <c:pt idx="519">
                  <c:v>40228.621643995757</c:v>
                </c:pt>
                <c:pt idx="520">
                  <c:v>40638.543662745768</c:v>
                </c:pt>
                <c:pt idx="521">
                  <c:v>39947.302611520267</c:v>
                </c:pt>
                <c:pt idx="522">
                  <c:v>40220.583957353607</c:v>
                </c:pt>
                <c:pt idx="523">
                  <c:v>40574.242169608508</c:v>
                </c:pt>
                <c:pt idx="524">
                  <c:v>40196.470897427134</c:v>
                </c:pt>
                <c:pt idx="525">
                  <c:v>40333.111570343804</c:v>
                </c:pt>
                <c:pt idx="526">
                  <c:v>40397.413063481057</c:v>
                </c:pt>
                <c:pt idx="527">
                  <c:v>40485.827616544782</c:v>
                </c:pt>
                <c:pt idx="528">
                  <c:v>41056.503368137935</c:v>
                </c:pt>
                <c:pt idx="529">
                  <c:v>41217.257100981071</c:v>
                </c:pt>
                <c:pt idx="530">
                  <c:v>41458.387700245781</c:v>
                </c:pt>
                <c:pt idx="531">
                  <c:v>41667.367552941862</c:v>
                </c:pt>
                <c:pt idx="532">
                  <c:v>42438.98547058893</c:v>
                </c:pt>
                <c:pt idx="533">
                  <c:v>42680.116069853648</c:v>
                </c:pt>
                <c:pt idx="534">
                  <c:v>42463.09853051541</c:v>
                </c:pt>
                <c:pt idx="535">
                  <c:v>42455.060843873245</c:v>
                </c:pt>
                <c:pt idx="536">
                  <c:v>42318.420170956575</c:v>
                </c:pt>
                <c:pt idx="537">
                  <c:v>42543.475396936978</c:v>
                </c:pt>
                <c:pt idx="538">
                  <c:v>42913.208982476201</c:v>
                </c:pt>
                <c:pt idx="539">
                  <c:v>43049.849655392871</c:v>
                </c:pt>
                <c:pt idx="540">
                  <c:v>42816.756742770318</c:v>
                </c:pt>
                <c:pt idx="541">
                  <c:v>42832.832116054626</c:v>
                </c:pt>
                <c:pt idx="542">
                  <c:v>42647.965323285011</c:v>
                </c:pt>
                <c:pt idx="543">
                  <c:v>43387.432494363456</c:v>
                </c:pt>
                <c:pt idx="544">
                  <c:v>42913.208982476201</c:v>
                </c:pt>
                <c:pt idx="545">
                  <c:v>42985.548162255611</c:v>
                </c:pt>
                <c:pt idx="546">
                  <c:v>43250.791821446786</c:v>
                </c:pt>
                <c:pt idx="547">
                  <c:v>42929.284355760516</c:v>
                </c:pt>
                <c:pt idx="548">
                  <c:v>43210.603388236006</c:v>
                </c:pt>
                <c:pt idx="549">
                  <c:v>43282.942568015424</c:v>
                </c:pt>
                <c:pt idx="550">
                  <c:v>43917.919812745822</c:v>
                </c:pt>
                <c:pt idx="551">
                  <c:v>44006.334365809547</c:v>
                </c:pt>
                <c:pt idx="552">
                  <c:v>44528.783997549755</c:v>
                </c:pt>
                <c:pt idx="553">
                  <c:v>44319.804144853668</c:v>
                </c:pt>
                <c:pt idx="554">
                  <c:v>43588.374660417387</c:v>
                </c:pt>
                <c:pt idx="555">
                  <c:v>43017.698908824234</c:v>
                </c:pt>
                <c:pt idx="556">
                  <c:v>42664.040696569333</c:v>
                </c:pt>
                <c:pt idx="557">
                  <c:v>42953.397415686988</c:v>
                </c:pt>
                <c:pt idx="558">
                  <c:v>42141.591064829132</c:v>
                </c:pt>
                <c:pt idx="559">
                  <c:v>42230.00561789285</c:v>
                </c:pt>
                <c:pt idx="560">
                  <c:v>41924.573525490887</c:v>
                </c:pt>
                <c:pt idx="561">
                  <c:v>41667.367552941862</c:v>
                </c:pt>
                <c:pt idx="562">
                  <c:v>41627.179119731081</c:v>
                </c:pt>
                <c:pt idx="563">
                  <c:v>41530.726880025191</c:v>
                </c:pt>
                <c:pt idx="564">
                  <c:v>41273.520907476166</c:v>
                </c:pt>
                <c:pt idx="565">
                  <c:v>41538.764566667356</c:v>
                </c:pt>
                <c:pt idx="566">
                  <c:v>41281.558594118331</c:v>
                </c:pt>
                <c:pt idx="567">
                  <c:v>41707.555986152649</c:v>
                </c:pt>
                <c:pt idx="568">
                  <c:v>41763.819792647744</c:v>
                </c:pt>
                <c:pt idx="569">
                  <c:v>42101.402631618344</c:v>
                </c:pt>
                <c:pt idx="570">
                  <c:v>41852.234345711469</c:v>
                </c:pt>
                <c:pt idx="571">
                  <c:v>42455.060843873245</c:v>
                </c:pt>
                <c:pt idx="572">
                  <c:v>42374.683977451685</c:v>
                </c:pt>
                <c:pt idx="573">
                  <c:v>42623.852263358545</c:v>
                </c:pt>
                <c:pt idx="574">
                  <c:v>41731.669046079121</c:v>
                </c:pt>
                <c:pt idx="575">
                  <c:v>41844.196659069319</c:v>
                </c:pt>
                <c:pt idx="576">
                  <c:v>41763.819792647744</c:v>
                </c:pt>
                <c:pt idx="577">
                  <c:v>41369.973147182056</c:v>
                </c:pt>
                <c:pt idx="578">
                  <c:v>41321.747027329111</c:v>
                </c:pt>
                <c:pt idx="579">
                  <c:v>41522.689193383034</c:v>
                </c:pt>
                <c:pt idx="580">
                  <c:v>41836.158972427162</c:v>
                </c:pt>
                <c:pt idx="581">
                  <c:v>41763.819792647744</c:v>
                </c:pt>
                <c:pt idx="582">
                  <c:v>41723.631359436964</c:v>
                </c:pt>
                <c:pt idx="583">
                  <c:v>41426.236953677151</c:v>
                </c:pt>
                <c:pt idx="584">
                  <c:v>41104.729487990873</c:v>
                </c:pt>
                <c:pt idx="585">
                  <c:v>41193.144041054598</c:v>
                </c:pt>
                <c:pt idx="586">
                  <c:v>41996.912705270297</c:v>
                </c:pt>
                <c:pt idx="587">
                  <c:v>41667.367552941862</c:v>
                </c:pt>
                <c:pt idx="588">
                  <c:v>41378.010833824213</c:v>
                </c:pt>
                <c:pt idx="589">
                  <c:v>41514.651506740884</c:v>
                </c:pt>
                <c:pt idx="590">
                  <c:v>41755.782106005587</c:v>
                </c:pt>
                <c:pt idx="591">
                  <c:v>41683.442926226176</c:v>
                </c:pt>
                <c:pt idx="592">
                  <c:v>41964.761958701674</c:v>
                </c:pt>
                <c:pt idx="593">
                  <c:v>41763.819792647744</c:v>
                </c:pt>
                <c:pt idx="594">
                  <c:v>41522.689193383034</c:v>
                </c:pt>
                <c:pt idx="595">
                  <c:v>41860.272032353634</c:v>
                </c:pt>
                <c:pt idx="596">
                  <c:v>41651.292179657554</c:v>
                </c:pt>
                <c:pt idx="597">
                  <c:v>41386.048520466371</c:v>
                </c:pt>
                <c:pt idx="598">
                  <c:v>41747.744419363436</c:v>
                </c:pt>
                <c:pt idx="599">
                  <c:v>41522.689193383034</c:v>
                </c:pt>
                <c:pt idx="600">
                  <c:v>41008.27724828499</c:v>
                </c:pt>
                <c:pt idx="601">
                  <c:v>40622.468289461453</c:v>
                </c:pt>
                <c:pt idx="602">
                  <c:v>40349.186943628119</c:v>
                </c:pt>
                <c:pt idx="603">
                  <c:v>40204.508584069285</c:v>
                </c:pt>
                <c:pt idx="604">
                  <c:v>40100.018657721252</c:v>
                </c:pt>
                <c:pt idx="605">
                  <c:v>39955.340298162424</c:v>
                </c:pt>
                <c:pt idx="606">
                  <c:v>40035.717164583992</c:v>
                </c:pt>
                <c:pt idx="607">
                  <c:v>40268.810077206545</c:v>
                </c:pt>
                <c:pt idx="608">
                  <c:v>40108.056344363402</c:v>
                </c:pt>
                <c:pt idx="609">
                  <c:v>40300.960823775175</c:v>
                </c:pt>
                <c:pt idx="610">
                  <c:v>40493.865303186947</c:v>
                </c:pt>
                <c:pt idx="611">
                  <c:v>40574.242169608508</c:v>
                </c:pt>
                <c:pt idx="612">
                  <c:v>40694.807469240863</c:v>
                </c:pt>
                <c:pt idx="613">
                  <c:v>40927.900381863423</c:v>
                </c:pt>
                <c:pt idx="614">
                  <c:v>41032.390308211463</c:v>
                </c:pt>
                <c:pt idx="615">
                  <c:v>40751.071275735965</c:v>
                </c:pt>
                <c:pt idx="616">
                  <c:v>40823.410455515383</c:v>
                </c:pt>
                <c:pt idx="617">
                  <c:v>41570.915313235979</c:v>
                </c:pt>
                <c:pt idx="618">
                  <c:v>42197.854871324227</c:v>
                </c:pt>
                <c:pt idx="619">
                  <c:v>42230.00561789285</c:v>
                </c:pt>
                <c:pt idx="620">
                  <c:v>42390.759350735992</c:v>
                </c:pt>
                <c:pt idx="621">
                  <c:v>42334.495544240897</c:v>
                </c:pt>
                <c:pt idx="622">
                  <c:v>42173.741811397755</c:v>
                </c:pt>
                <c:pt idx="623">
                  <c:v>42358.608604167363</c:v>
                </c:pt>
                <c:pt idx="624">
                  <c:v>42278.231737745802</c:v>
                </c:pt>
                <c:pt idx="625">
                  <c:v>42680.116069853648</c:v>
                </c:pt>
                <c:pt idx="626">
                  <c:v>42647.965323285011</c:v>
                </c:pt>
                <c:pt idx="627">
                  <c:v>42358.608604167363</c:v>
                </c:pt>
                <c:pt idx="628">
                  <c:v>42414.872410662458</c:v>
                </c:pt>
                <c:pt idx="629">
                  <c:v>42213.930244608542</c:v>
                </c:pt>
                <c:pt idx="630">
                  <c:v>42535.43771029482</c:v>
                </c:pt>
                <c:pt idx="631">
                  <c:v>42527.400023652663</c:v>
                </c:pt>
                <c:pt idx="632">
                  <c:v>43090.038088603651</c:v>
                </c:pt>
                <c:pt idx="633">
                  <c:v>42921.246669118351</c:v>
                </c:pt>
                <c:pt idx="634">
                  <c:v>41988.87501862814</c:v>
                </c:pt>
                <c:pt idx="635">
                  <c:v>42117.478004902659</c:v>
                </c:pt>
                <c:pt idx="636">
                  <c:v>41828.121285785004</c:v>
                </c:pt>
                <c:pt idx="637">
                  <c:v>41876.347405637942</c:v>
                </c:pt>
                <c:pt idx="638">
                  <c:v>42029.063451838927</c:v>
                </c:pt>
                <c:pt idx="639">
                  <c:v>42165.704124755597</c:v>
                </c:pt>
                <c:pt idx="640">
                  <c:v>42125.51569154481</c:v>
                </c:pt>
                <c:pt idx="641">
                  <c:v>42053.176511765399</c:v>
                </c:pt>
                <c:pt idx="642">
                  <c:v>41562.877626593821</c:v>
                </c:pt>
                <c:pt idx="643">
                  <c:v>41627.179119731081</c:v>
                </c:pt>
                <c:pt idx="644">
                  <c:v>41940.648898775202</c:v>
                </c:pt>
                <c:pt idx="645">
                  <c:v>41771.857479289909</c:v>
                </c:pt>
                <c:pt idx="646">
                  <c:v>41619.141433088924</c:v>
                </c:pt>
                <c:pt idx="647">
                  <c:v>41321.747027329111</c:v>
                </c:pt>
                <c:pt idx="648">
                  <c:v>41514.651506740884</c:v>
                </c:pt>
                <c:pt idx="649">
                  <c:v>41490.538446814411</c:v>
                </c:pt>
                <c:pt idx="650">
                  <c:v>41305.671654044803</c:v>
                </c:pt>
                <c:pt idx="651">
                  <c:v>42004.950391912462</c:v>
                </c:pt>
                <c:pt idx="652">
                  <c:v>41964.761958701674</c:v>
                </c:pt>
                <c:pt idx="653">
                  <c:v>42109.440318260495</c:v>
                </c:pt>
                <c:pt idx="654">
                  <c:v>42029.063451838927</c:v>
                </c:pt>
                <c:pt idx="655">
                  <c:v>42302.344797672267</c:v>
                </c:pt>
                <c:pt idx="656">
                  <c:v>42181.779498039912</c:v>
                </c:pt>
                <c:pt idx="657">
                  <c:v>42230.00561789285</c:v>
                </c:pt>
                <c:pt idx="658">
                  <c:v>41667.367552941862</c:v>
                </c:pt>
                <c:pt idx="659">
                  <c:v>41691.480612868334</c:v>
                </c:pt>
                <c:pt idx="660">
                  <c:v>41689.873075539908</c:v>
                </c:pt>
                <c:pt idx="661">
                  <c:v>41635.216806373239</c:v>
                </c:pt>
                <c:pt idx="662">
                  <c:v>41000.239561642833</c:v>
                </c:pt>
                <c:pt idx="663">
                  <c:v>41064.541054780086</c:v>
                </c:pt>
                <c:pt idx="664">
                  <c:v>41345.860087255583</c:v>
                </c:pt>
                <c:pt idx="665">
                  <c:v>41241.370160907543</c:v>
                </c:pt>
                <c:pt idx="666">
                  <c:v>41538.764566667356</c:v>
                </c:pt>
                <c:pt idx="667">
                  <c:v>41337.822400613426</c:v>
                </c:pt>
                <c:pt idx="668">
                  <c:v>41361.935460539898</c:v>
                </c:pt>
                <c:pt idx="669">
                  <c:v>40734.99590245165</c:v>
                </c:pt>
                <c:pt idx="670">
                  <c:v>40686.769782598712</c:v>
                </c:pt>
                <c:pt idx="671">
                  <c:v>40686.769782598712</c:v>
                </c:pt>
                <c:pt idx="672">
                  <c:v>40702.845155883027</c:v>
                </c:pt>
                <c:pt idx="673">
                  <c:v>40477.789929902625</c:v>
                </c:pt>
                <c:pt idx="674">
                  <c:v>40373.300003554592</c:v>
                </c:pt>
                <c:pt idx="675">
                  <c:v>40220.583957353607</c:v>
                </c:pt>
                <c:pt idx="676">
                  <c:v>39907.114178309486</c:v>
                </c:pt>
                <c:pt idx="677">
                  <c:v>39593.644399265359</c:v>
                </c:pt>
                <c:pt idx="678">
                  <c:v>39682.058952329084</c:v>
                </c:pt>
                <c:pt idx="679">
                  <c:v>39617.757459191831</c:v>
                </c:pt>
                <c:pt idx="680">
                  <c:v>39738.322758824179</c:v>
                </c:pt>
                <c:pt idx="681">
                  <c:v>39239.986187010451</c:v>
                </c:pt>
                <c:pt idx="682">
                  <c:v>39215.873127083978</c:v>
                </c:pt>
                <c:pt idx="683">
                  <c:v>39014.930961030055</c:v>
                </c:pt>
                <c:pt idx="684">
                  <c:v>39288.212306863395</c:v>
                </c:pt>
                <c:pt idx="685">
                  <c:v>39135.49626066241</c:v>
                </c:pt>
                <c:pt idx="686">
                  <c:v>39022.968647672213</c:v>
                </c:pt>
                <c:pt idx="687">
                  <c:v>39022.968647672213</c:v>
                </c:pt>
                <c:pt idx="688">
                  <c:v>39207.835440441828</c:v>
                </c:pt>
                <c:pt idx="689">
                  <c:v>39111.383200735938</c:v>
                </c:pt>
                <c:pt idx="690">
                  <c:v>39111.383200735938</c:v>
                </c:pt>
                <c:pt idx="691">
                  <c:v>38958.66715453496</c:v>
                </c:pt>
                <c:pt idx="692">
                  <c:v>38420.142149510437</c:v>
                </c:pt>
                <c:pt idx="693">
                  <c:v>38444.255209436909</c:v>
                </c:pt>
                <c:pt idx="694">
                  <c:v>38918.478721324173</c:v>
                </c:pt>
                <c:pt idx="695">
                  <c:v>39127.458574020253</c:v>
                </c:pt>
                <c:pt idx="696">
                  <c:v>39440.928353064381</c:v>
                </c:pt>
                <c:pt idx="697">
                  <c:v>39191.760067157513</c:v>
                </c:pt>
                <c:pt idx="698">
                  <c:v>39513.267532843791</c:v>
                </c:pt>
                <c:pt idx="699">
                  <c:v>39698.134325613406</c:v>
                </c:pt>
                <c:pt idx="700">
                  <c:v>39786.548878677124</c:v>
                </c:pt>
                <c:pt idx="701">
                  <c:v>39794.586565319289</c:v>
                </c:pt>
                <c:pt idx="702">
                  <c:v>39682.058952329084</c:v>
                </c:pt>
                <c:pt idx="703">
                  <c:v>40011.604104657519</c:v>
                </c:pt>
                <c:pt idx="704">
                  <c:v>40196.470897427134</c:v>
                </c:pt>
                <c:pt idx="705">
                  <c:v>39987.491044731054</c:v>
                </c:pt>
                <c:pt idx="706">
                  <c:v>39633.832832476146</c:v>
                </c:pt>
                <c:pt idx="707">
                  <c:v>39633.832832476146</c:v>
                </c:pt>
                <c:pt idx="708">
                  <c:v>39505.229846201626</c:v>
                </c:pt>
                <c:pt idx="709">
                  <c:v>39521.305219485948</c:v>
                </c:pt>
                <c:pt idx="710">
                  <c:v>39336.438426716333</c:v>
                </c:pt>
                <c:pt idx="711">
                  <c:v>38645.197375490832</c:v>
                </c:pt>
                <c:pt idx="712">
                  <c:v>37431.506692525123</c:v>
                </c:pt>
                <c:pt idx="713">
                  <c:v>37544.034305515328</c:v>
                </c:pt>
                <c:pt idx="714">
                  <c:v>37503.845872304541</c:v>
                </c:pt>
                <c:pt idx="715">
                  <c:v>36716.15258137315</c:v>
                </c:pt>
                <c:pt idx="716">
                  <c:v>36812.60482107904</c:v>
                </c:pt>
                <c:pt idx="717">
                  <c:v>37118.03691348101</c:v>
                </c:pt>
                <c:pt idx="718">
                  <c:v>37359.167512745713</c:v>
                </c:pt>
                <c:pt idx="719">
                  <c:v>37182.338406618255</c:v>
                </c:pt>
                <c:pt idx="720">
                  <c:v>37439.544379167288</c:v>
                </c:pt>
                <c:pt idx="721">
                  <c:v>37351.129826103563</c:v>
                </c:pt>
                <c:pt idx="722">
                  <c:v>37584.222738726108</c:v>
                </c:pt>
                <c:pt idx="723">
                  <c:v>38018.257817402584</c:v>
                </c:pt>
                <c:pt idx="724">
                  <c:v>38347.802969731027</c:v>
                </c:pt>
                <c:pt idx="725">
                  <c:v>38452.292896079067</c:v>
                </c:pt>
                <c:pt idx="726">
                  <c:v>38259.388416667301</c:v>
                </c:pt>
                <c:pt idx="727">
                  <c:v>38701.461181985935</c:v>
                </c:pt>
                <c:pt idx="728">
                  <c:v>38500.519015932005</c:v>
                </c:pt>
                <c:pt idx="729">
                  <c:v>38548.74513578495</c:v>
                </c:pt>
                <c:pt idx="730">
                  <c:v>38500.519015932005</c:v>
                </c:pt>
                <c:pt idx="731">
                  <c:v>38412.104462868279</c:v>
                </c:pt>
                <c:pt idx="732">
                  <c:v>38026.295504044749</c:v>
                </c:pt>
                <c:pt idx="733">
                  <c:v>38387.991402941807</c:v>
                </c:pt>
                <c:pt idx="734">
                  <c:v>38420.142149510437</c:v>
                </c:pt>
                <c:pt idx="735">
                  <c:v>38733.611928554557</c:v>
                </c:pt>
                <c:pt idx="736">
                  <c:v>38870.252601471228</c:v>
                </c:pt>
                <c:pt idx="737">
                  <c:v>38387.991402941807</c:v>
                </c:pt>
                <c:pt idx="738">
                  <c:v>38355.840656373184</c:v>
                </c:pt>
                <c:pt idx="739">
                  <c:v>39448.966039706531</c:v>
                </c:pt>
                <c:pt idx="740">
                  <c:v>39513.267532843791</c:v>
                </c:pt>
                <c:pt idx="741">
                  <c:v>39103.34551409378</c:v>
                </c:pt>
                <c:pt idx="742">
                  <c:v>39127.458574020253</c:v>
                </c:pt>
                <c:pt idx="743">
                  <c:v>38878.290288113385</c:v>
                </c:pt>
                <c:pt idx="744">
                  <c:v>38661.272748775147</c:v>
                </c:pt>
                <c:pt idx="745">
                  <c:v>38444.255209436909</c:v>
                </c:pt>
                <c:pt idx="746">
                  <c:v>38548.74513578495</c:v>
                </c:pt>
                <c:pt idx="747">
                  <c:v>38436.217522794752</c:v>
                </c:pt>
                <c:pt idx="748">
                  <c:v>38428.179836152594</c:v>
                </c:pt>
                <c:pt idx="749">
                  <c:v>37801.240278064346</c:v>
                </c:pt>
                <c:pt idx="750">
                  <c:v>37841.428711275134</c:v>
                </c:pt>
                <c:pt idx="751">
                  <c:v>38114.710057108474</c:v>
                </c:pt>
                <c:pt idx="752">
                  <c:v>38773.800361765345</c:v>
                </c:pt>
                <c:pt idx="753">
                  <c:v>38556.782822427107</c:v>
                </c:pt>
                <c:pt idx="754">
                  <c:v>37680.674978431998</c:v>
                </c:pt>
                <c:pt idx="755">
                  <c:v>38580.89588235358</c:v>
                </c:pt>
                <c:pt idx="756">
                  <c:v>38910.441034682015</c:v>
                </c:pt>
                <c:pt idx="757">
                  <c:v>38918.478721324173</c:v>
                </c:pt>
                <c:pt idx="758">
                  <c:v>39079.232454167308</c:v>
                </c:pt>
                <c:pt idx="759">
                  <c:v>39151.571633946725</c:v>
                </c:pt>
                <c:pt idx="760">
                  <c:v>39432.890666422216</c:v>
                </c:pt>
                <c:pt idx="761">
                  <c:v>39593.644399265359</c:v>
                </c:pt>
                <c:pt idx="762">
                  <c:v>39706.172012255556</c:v>
                </c:pt>
                <c:pt idx="763">
                  <c:v>40477.789929902625</c:v>
                </c:pt>
                <c:pt idx="764">
                  <c:v>41072.57874142225</c:v>
                </c:pt>
                <c:pt idx="765">
                  <c:v>40952.013441789895</c:v>
                </c:pt>
                <c:pt idx="766">
                  <c:v>41434.274640319309</c:v>
                </c:pt>
                <c:pt idx="767">
                  <c:v>41586.990686520294</c:v>
                </c:pt>
                <c:pt idx="768">
                  <c:v>41659.329866299704</c:v>
                </c:pt>
                <c:pt idx="769">
                  <c:v>41627.179119731081</c:v>
                </c:pt>
                <c:pt idx="770">
                  <c:v>41193.144041054598</c:v>
                </c:pt>
                <c:pt idx="771">
                  <c:v>41426.236953677151</c:v>
                </c:pt>
                <c:pt idx="772">
                  <c:v>41410.161580392836</c:v>
                </c:pt>
                <c:pt idx="773">
                  <c:v>40791.259708946753</c:v>
                </c:pt>
                <c:pt idx="774">
                  <c:v>40517.978363113412</c:v>
                </c:pt>
                <c:pt idx="775">
                  <c:v>40911.825008579108</c:v>
                </c:pt>
                <c:pt idx="776">
                  <c:v>40646.581349387925</c:v>
                </c:pt>
                <c:pt idx="777">
                  <c:v>40783.222022304595</c:v>
                </c:pt>
                <c:pt idx="778">
                  <c:v>40485.827616544782</c:v>
                </c:pt>
                <c:pt idx="779">
                  <c:v>39899.076491667322</c:v>
                </c:pt>
                <c:pt idx="780">
                  <c:v>39818.699625245754</c:v>
                </c:pt>
                <c:pt idx="781">
                  <c:v>39690.096638971241</c:v>
                </c:pt>
                <c:pt idx="782">
                  <c:v>39344.476113358491</c:v>
                </c:pt>
                <c:pt idx="783">
                  <c:v>39304.28768014771</c:v>
                </c:pt>
                <c:pt idx="784">
                  <c:v>39625.795145833988</c:v>
                </c:pt>
                <c:pt idx="785">
                  <c:v>39521.305219485948</c:v>
                </c:pt>
                <c:pt idx="786">
                  <c:v>38886.327974755543</c:v>
                </c:pt>
                <c:pt idx="787">
                  <c:v>38773.800361765345</c:v>
                </c:pt>
                <c:pt idx="788">
                  <c:v>38886.327974755543</c:v>
                </c:pt>
                <c:pt idx="789">
                  <c:v>38846.139541544755</c:v>
                </c:pt>
                <c:pt idx="790">
                  <c:v>38725.574241912407</c:v>
                </c:pt>
                <c:pt idx="791">
                  <c:v>38339.765283088869</c:v>
                </c:pt>
                <c:pt idx="792">
                  <c:v>38733.611928554557</c:v>
                </c:pt>
                <c:pt idx="793">
                  <c:v>38846.139541544755</c:v>
                </c:pt>
                <c:pt idx="794">
                  <c:v>39031.00633431437</c:v>
                </c:pt>
                <c:pt idx="795">
                  <c:v>38982.780214461425</c:v>
                </c:pt>
                <c:pt idx="796">
                  <c:v>38990.817901103583</c:v>
                </c:pt>
                <c:pt idx="797">
                  <c:v>38564.820509069265</c:v>
                </c:pt>
                <c:pt idx="798">
                  <c:v>38645.197375490832</c:v>
                </c:pt>
                <c:pt idx="799">
                  <c:v>37801.240278064346</c:v>
                </c:pt>
                <c:pt idx="800">
                  <c:v>37568.147365441793</c:v>
                </c:pt>
                <c:pt idx="801">
                  <c:v>37359.167512745713</c:v>
                </c:pt>
                <c:pt idx="802">
                  <c:v>36973.358553922175</c:v>
                </c:pt>
                <c:pt idx="803">
                  <c:v>37045.697733701592</c:v>
                </c:pt>
                <c:pt idx="804">
                  <c:v>37037.660047059435</c:v>
                </c:pt>
                <c:pt idx="805">
                  <c:v>36997.471613848655</c:v>
                </c:pt>
                <c:pt idx="806">
                  <c:v>36997.471613848655</c:v>
                </c:pt>
                <c:pt idx="807">
                  <c:v>36884.944000858457</c:v>
                </c:pt>
                <c:pt idx="808">
                  <c:v>37487.770499020226</c:v>
                </c:pt>
                <c:pt idx="809">
                  <c:v>38037.548265343758</c:v>
                </c:pt>
                <c:pt idx="810">
                  <c:v>38138.823117034946</c:v>
                </c:pt>
                <c:pt idx="811">
                  <c:v>38307.614536520239</c:v>
                </c:pt>
                <c:pt idx="812">
                  <c:v>38439.43259745161</c:v>
                </c:pt>
                <c:pt idx="813">
                  <c:v>38682.170734044761</c:v>
                </c:pt>
                <c:pt idx="814">
                  <c:v>38444.255209436909</c:v>
                </c:pt>
                <c:pt idx="815">
                  <c:v>38114.710057108474</c:v>
                </c:pt>
                <c:pt idx="816">
                  <c:v>38162.936176961419</c:v>
                </c:pt>
                <c:pt idx="817">
                  <c:v>38484.44364264769</c:v>
                </c:pt>
                <c:pt idx="818">
                  <c:v>38532.669762500642</c:v>
                </c:pt>
                <c:pt idx="819">
                  <c:v>38934.554094608488</c:v>
                </c:pt>
                <c:pt idx="820">
                  <c:v>38813.988794976132</c:v>
                </c:pt>
                <c:pt idx="821">
                  <c:v>38413.712000196712</c:v>
                </c:pt>
                <c:pt idx="822">
                  <c:v>38817.203869632991</c:v>
                </c:pt>
                <c:pt idx="823">
                  <c:v>38545.530061128091</c:v>
                </c:pt>
                <c:pt idx="824">
                  <c:v>38412.104462868279</c:v>
                </c:pt>
                <c:pt idx="825">
                  <c:v>38352.625581716326</c:v>
                </c:pt>
                <c:pt idx="826">
                  <c:v>38720.751629927108</c:v>
                </c:pt>
                <c:pt idx="827">
                  <c:v>38688.600883358478</c:v>
                </c:pt>
                <c:pt idx="828">
                  <c:v>38468.368269363382</c:v>
                </c:pt>
                <c:pt idx="829">
                  <c:v>38429.787373481027</c:v>
                </c:pt>
                <c:pt idx="830">
                  <c:v>38235.275356740829</c:v>
                </c:pt>
                <c:pt idx="831">
                  <c:v>38122.747743750631</c:v>
                </c:pt>
                <c:pt idx="832">
                  <c:v>38034.333190686899</c:v>
                </c:pt>
                <c:pt idx="833">
                  <c:v>38580.89588235358</c:v>
                </c:pt>
                <c:pt idx="834">
                  <c:v>38870.252601471228</c:v>
                </c:pt>
                <c:pt idx="835">
                  <c:v>38870.252601471228</c:v>
                </c:pt>
                <c:pt idx="836">
                  <c:v>37945.918637623174</c:v>
                </c:pt>
                <c:pt idx="837">
                  <c:v>37807.670427378078</c:v>
                </c:pt>
                <c:pt idx="838">
                  <c:v>38484.44364264769</c:v>
                </c:pt>
                <c:pt idx="839">
                  <c:v>38396.029089583972</c:v>
                </c:pt>
                <c:pt idx="840">
                  <c:v>38162.936176961419</c:v>
                </c:pt>
                <c:pt idx="841">
                  <c:v>38130.785430392782</c:v>
                </c:pt>
                <c:pt idx="842">
                  <c:v>38235.275356740829</c:v>
                </c:pt>
                <c:pt idx="843">
                  <c:v>38307.614536520239</c:v>
                </c:pt>
                <c:pt idx="844">
                  <c:v>38918.478721324173</c:v>
                </c:pt>
                <c:pt idx="845">
                  <c:v>39384.664546569278</c:v>
                </c:pt>
                <c:pt idx="846">
                  <c:v>39239.986187010451</c:v>
                </c:pt>
                <c:pt idx="847">
                  <c:v>39336.438426716333</c:v>
                </c:pt>
                <c:pt idx="848">
                  <c:v>39040.651558284953</c:v>
                </c:pt>
                <c:pt idx="849">
                  <c:v>38918.478721324173</c:v>
                </c:pt>
                <c:pt idx="850">
                  <c:v>38741.649615196722</c:v>
                </c:pt>
                <c:pt idx="851">
                  <c:v>38712.713943284944</c:v>
                </c:pt>
                <c:pt idx="852">
                  <c:v>38111.494982451608</c:v>
                </c:pt>
                <c:pt idx="853">
                  <c:v>38125.96281840749</c:v>
                </c:pt>
                <c:pt idx="854">
                  <c:v>38098.634683824159</c:v>
                </c:pt>
                <c:pt idx="855">
                  <c:v>38304.399461863381</c:v>
                </c:pt>
                <c:pt idx="856">
                  <c:v>38577.680807696714</c:v>
                </c:pt>
                <c:pt idx="857">
                  <c:v>38349.410507059452</c:v>
                </c:pt>
                <c:pt idx="858">
                  <c:v>38259.388416667301</c:v>
                </c:pt>
                <c:pt idx="859">
                  <c:v>37809.277964706504</c:v>
                </c:pt>
                <c:pt idx="860">
                  <c:v>37442.759453824146</c:v>
                </c:pt>
                <c:pt idx="861">
                  <c:v>37706.395575686896</c:v>
                </c:pt>
                <c:pt idx="862">
                  <c:v>37854.28900990259</c:v>
                </c:pt>
                <c:pt idx="863">
                  <c:v>38211.162296814357</c:v>
                </c:pt>
                <c:pt idx="864">
                  <c:v>37889.654831128079</c:v>
                </c:pt>
                <c:pt idx="865">
                  <c:v>38027.903041373174</c:v>
                </c:pt>
                <c:pt idx="866">
                  <c:v>37982.891996177103</c:v>
                </c:pt>
                <c:pt idx="867">
                  <c:v>37865.541771201606</c:v>
                </c:pt>
                <c:pt idx="868">
                  <c:v>37873.579457843764</c:v>
                </c:pt>
                <c:pt idx="869">
                  <c:v>38640.374763505533</c:v>
                </c:pt>
                <c:pt idx="870">
                  <c:v>38690.208420686911</c:v>
                </c:pt>
                <c:pt idx="871">
                  <c:v>38114.710057108474</c:v>
                </c:pt>
                <c:pt idx="872">
                  <c:v>37873.579457843764</c:v>
                </c:pt>
                <c:pt idx="873">
                  <c:v>37736.938784927093</c:v>
                </c:pt>
                <c:pt idx="874">
                  <c:v>37701.572963701605</c:v>
                </c:pt>
                <c:pt idx="875">
                  <c:v>37632.448858579053</c:v>
                </c:pt>
                <c:pt idx="876">
                  <c:v>37809.277964706504</c:v>
                </c:pt>
                <c:pt idx="877">
                  <c:v>37648.524231863368</c:v>
                </c:pt>
                <c:pt idx="878">
                  <c:v>37552.071992157478</c:v>
                </c:pt>
                <c:pt idx="879">
                  <c:v>37463.65743909376</c:v>
                </c:pt>
                <c:pt idx="880">
                  <c:v>37550.464454829053</c:v>
                </c:pt>
                <c:pt idx="881">
                  <c:v>37487.770499020226</c:v>
                </c:pt>
                <c:pt idx="882">
                  <c:v>37174.300719976105</c:v>
                </c:pt>
                <c:pt idx="883">
                  <c:v>37246.639899755515</c:v>
                </c:pt>
                <c:pt idx="884">
                  <c:v>37431.506692525123</c:v>
                </c:pt>
                <c:pt idx="885">
                  <c:v>37272.360497010421</c:v>
                </c:pt>
                <c:pt idx="886">
                  <c:v>37101.961540196688</c:v>
                </c:pt>
                <c:pt idx="887">
                  <c:v>37211.274078530034</c:v>
                </c:pt>
                <c:pt idx="888">
                  <c:v>36889.766612843749</c:v>
                </c:pt>
                <c:pt idx="889">
                  <c:v>36793.314373137866</c:v>
                </c:pt>
                <c:pt idx="890">
                  <c:v>36420.365712941777</c:v>
                </c:pt>
                <c:pt idx="891">
                  <c:v>35513.714659706464</c:v>
                </c:pt>
                <c:pt idx="892">
                  <c:v>35545.865406275094</c:v>
                </c:pt>
                <c:pt idx="893">
                  <c:v>34999.302714608421</c:v>
                </c:pt>
                <c:pt idx="894">
                  <c:v>35282.229284412351</c:v>
                </c:pt>
                <c:pt idx="895">
                  <c:v>34748.52689137312</c:v>
                </c:pt>
                <c:pt idx="896">
                  <c:v>35365.821225490778</c:v>
                </c:pt>
                <c:pt idx="897">
                  <c:v>35243.648388529997</c:v>
                </c:pt>
                <c:pt idx="898">
                  <c:v>35052.351446446657</c:v>
                </c:pt>
                <c:pt idx="899">
                  <c:v>34963.936893382932</c:v>
                </c:pt>
                <c:pt idx="900">
                  <c:v>35314.380030980981</c:v>
                </c:pt>
                <c:pt idx="901">
                  <c:v>35105.400178284894</c:v>
                </c:pt>
                <c:pt idx="902">
                  <c:v>35065.211745074106</c:v>
                </c:pt>
                <c:pt idx="903">
                  <c:v>34886.775101618223</c:v>
                </c:pt>
                <c:pt idx="904">
                  <c:v>35036.276073162342</c:v>
                </c:pt>
                <c:pt idx="905">
                  <c:v>35156.841372794697</c:v>
                </c:pt>
                <c:pt idx="906">
                  <c:v>35269.368985784895</c:v>
                </c:pt>
                <c:pt idx="907">
                  <c:v>35631.06488468196</c:v>
                </c:pt>
                <c:pt idx="908">
                  <c:v>35976.685410294711</c:v>
                </c:pt>
                <c:pt idx="909">
                  <c:v>35904.346230515301</c:v>
                </c:pt>
                <c:pt idx="910">
                  <c:v>35952.572350368246</c:v>
                </c:pt>
                <c:pt idx="911">
                  <c:v>35970.255260980986</c:v>
                </c:pt>
                <c:pt idx="912">
                  <c:v>35733.947273701575</c:v>
                </c:pt>
                <c:pt idx="913">
                  <c:v>36206.563248260405</c:v>
                </c:pt>
                <c:pt idx="914">
                  <c:v>36899.411836814339</c:v>
                </c:pt>
                <c:pt idx="915">
                  <c:v>37182.338406618255</c:v>
                </c:pt>
                <c:pt idx="916">
                  <c:v>37503.845872304541</c:v>
                </c:pt>
                <c:pt idx="917">
                  <c:v>36571.474221814329</c:v>
                </c:pt>
                <c:pt idx="918">
                  <c:v>36032.949216789806</c:v>
                </c:pt>
                <c:pt idx="919">
                  <c:v>35976.685410294711</c:v>
                </c:pt>
                <c:pt idx="920">
                  <c:v>36491.097355392762</c:v>
                </c:pt>
                <c:pt idx="921">
                  <c:v>36491.097355392762</c:v>
                </c:pt>
                <c:pt idx="922">
                  <c:v>36725.79780534374</c:v>
                </c:pt>
                <c:pt idx="923">
                  <c:v>36579.511908456487</c:v>
                </c:pt>
                <c:pt idx="924">
                  <c:v>36266.042129412359</c:v>
                </c:pt>
                <c:pt idx="925">
                  <c:v>35952.572350368246</c:v>
                </c:pt>
                <c:pt idx="926">
                  <c:v>35992.760783579026</c:v>
                </c:pt>
                <c:pt idx="927">
                  <c:v>36045.809515417262</c:v>
                </c:pt>
                <c:pt idx="928">
                  <c:v>35682.506079191764</c:v>
                </c:pt>
                <c:pt idx="929">
                  <c:v>35671.253317892748</c:v>
                </c:pt>
                <c:pt idx="930">
                  <c:v>35406.009658701565</c:v>
                </c:pt>
                <c:pt idx="931">
                  <c:v>35520.144809020196</c:v>
                </c:pt>
                <c:pt idx="932">
                  <c:v>35557.118167574117</c:v>
                </c:pt>
                <c:pt idx="933">
                  <c:v>35931.674365098632</c:v>
                </c:pt>
                <c:pt idx="934">
                  <c:v>35928.459290441773</c:v>
                </c:pt>
                <c:pt idx="935">
                  <c:v>36700.077208088842</c:v>
                </c:pt>
                <c:pt idx="936">
                  <c:v>36434.833548897659</c:v>
                </c:pt>
                <c:pt idx="937">
                  <c:v>36102.073321912365</c:v>
                </c:pt>
                <c:pt idx="938">
                  <c:v>36373.747130417265</c:v>
                </c:pt>
                <c:pt idx="939">
                  <c:v>37118.03691348101</c:v>
                </c:pt>
                <c:pt idx="940">
                  <c:v>36865.653552917283</c:v>
                </c:pt>
                <c:pt idx="941">
                  <c:v>36364.101906446675</c:v>
                </c:pt>
                <c:pt idx="942">
                  <c:v>36397.860190343737</c:v>
                </c:pt>
                <c:pt idx="943">
                  <c:v>35815.931677451576</c:v>
                </c:pt>
                <c:pt idx="944">
                  <c:v>35976.685410294711</c:v>
                </c:pt>
                <c:pt idx="945">
                  <c:v>36675.964148162369</c:v>
                </c:pt>
                <c:pt idx="946">
                  <c:v>36643.813401593739</c:v>
                </c:pt>
                <c:pt idx="947">
                  <c:v>36892.981687500607</c:v>
                </c:pt>
                <c:pt idx="948">
                  <c:v>36799.744522451583</c:v>
                </c:pt>
                <c:pt idx="949">
                  <c:v>36651.851088235904</c:v>
                </c:pt>
                <c:pt idx="950">
                  <c:v>37023.192211103546</c:v>
                </c:pt>
                <c:pt idx="951">
                  <c:v>37452.404677794737</c:v>
                </c:pt>
                <c:pt idx="952">
                  <c:v>37462.049901765327</c:v>
                </c:pt>
                <c:pt idx="953">
                  <c:v>37741.761396912385</c:v>
                </c:pt>
                <c:pt idx="954">
                  <c:v>38074.521623897686</c:v>
                </c:pt>
                <c:pt idx="955">
                  <c:v>37965.209085564347</c:v>
                </c:pt>
                <c:pt idx="956">
                  <c:v>37789.98751676533</c:v>
                </c:pt>
                <c:pt idx="957">
                  <c:v>37865.541771201606</c:v>
                </c:pt>
                <c:pt idx="958">
                  <c:v>37523.136320245714</c:v>
                </c:pt>
                <c:pt idx="959">
                  <c:v>37519.921245588856</c:v>
                </c:pt>
                <c:pt idx="960">
                  <c:v>37335.05445281924</c:v>
                </c:pt>
                <c:pt idx="961">
                  <c:v>37500.630797647682</c:v>
                </c:pt>
                <c:pt idx="962">
                  <c:v>37478.125275049642</c:v>
                </c:pt>
                <c:pt idx="963">
                  <c:v>37925.020652353567</c:v>
                </c:pt>
                <c:pt idx="964">
                  <c:v>36928.347508726096</c:v>
                </c:pt>
                <c:pt idx="965">
                  <c:v>36727.405342672173</c:v>
                </c:pt>
                <c:pt idx="966">
                  <c:v>36458.946608824132</c:v>
                </c:pt>
                <c:pt idx="967">
                  <c:v>36108.503471226089</c:v>
                </c:pt>
                <c:pt idx="968">
                  <c:v>35838.437200049608</c:v>
                </c:pt>
                <c:pt idx="969">
                  <c:v>35568.370928873133</c:v>
                </c:pt>
                <c:pt idx="970">
                  <c:v>35008.947938579011</c:v>
                </c:pt>
                <c:pt idx="971">
                  <c:v>35031.453461177043</c:v>
                </c:pt>
                <c:pt idx="972">
                  <c:v>34951.076594755476</c:v>
                </c:pt>
                <c:pt idx="973">
                  <c:v>34912.495698873128</c:v>
                </c:pt>
                <c:pt idx="974">
                  <c:v>34960.721818726073</c:v>
                </c:pt>
                <c:pt idx="975">
                  <c:v>34771.032413971167</c:v>
                </c:pt>
                <c:pt idx="976">
                  <c:v>34875.522340319199</c:v>
                </c:pt>
                <c:pt idx="977">
                  <c:v>34697.085696863316</c:v>
                </c:pt>
                <c:pt idx="978">
                  <c:v>34328.959648652526</c:v>
                </c:pt>
                <c:pt idx="979">
                  <c:v>34806.398235196655</c:v>
                </c:pt>
                <c:pt idx="980">
                  <c:v>34779.070100613317</c:v>
                </c:pt>
                <c:pt idx="981">
                  <c:v>34417.374201716259</c:v>
                </c:pt>
                <c:pt idx="982">
                  <c:v>34607.063606471165</c:v>
                </c:pt>
                <c:pt idx="983">
                  <c:v>34336.997335294684</c:v>
                </c:pt>
                <c:pt idx="984">
                  <c:v>34433.449575000566</c:v>
                </c:pt>
                <c:pt idx="985">
                  <c:v>33996.199421667225</c:v>
                </c:pt>
                <c:pt idx="986">
                  <c:v>34140.87778122606</c:v>
                </c:pt>
                <c:pt idx="987">
                  <c:v>34253.40539421625</c:v>
                </c:pt>
                <c:pt idx="988">
                  <c:v>33931.897928529979</c:v>
                </c:pt>
                <c:pt idx="989">
                  <c:v>33933.505465858405</c:v>
                </c:pt>
                <c:pt idx="990">
                  <c:v>34698.693234191749</c:v>
                </c:pt>
                <c:pt idx="991">
                  <c:v>34587.773158529984</c:v>
                </c:pt>
                <c:pt idx="992">
                  <c:v>34587.773158529984</c:v>
                </c:pt>
                <c:pt idx="993">
                  <c:v>34468.815396226055</c:v>
                </c:pt>
                <c:pt idx="994">
                  <c:v>34754.957040686844</c:v>
                </c:pt>
                <c:pt idx="995">
                  <c:v>34433.449575000566</c:v>
                </c:pt>
                <c:pt idx="996">
                  <c:v>34481.675694853504</c:v>
                </c:pt>
                <c:pt idx="997">
                  <c:v>34345.035021936841</c:v>
                </c:pt>
                <c:pt idx="998">
                  <c:v>34128.017482598603</c:v>
                </c:pt>
                <c:pt idx="999">
                  <c:v>34570.090247917236</c:v>
                </c:pt>
                <c:pt idx="1000">
                  <c:v>33738.993449118207</c:v>
                </c:pt>
                <c:pt idx="1001">
                  <c:v>34160.168229167233</c:v>
                </c:pt>
                <c:pt idx="1002">
                  <c:v>34682.617860907434</c:v>
                </c:pt>
                <c:pt idx="1003">
                  <c:v>34558.83748661822</c:v>
                </c:pt>
                <c:pt idx="1004">
                  <c:v>34345.035021936841</c:v>
                </c:pt>
                <c:pt idx="1005">
                  <c:v>34345.035021936841</c:v>
                </c:pt>
                <c:pt idx="1006">
                  <c:v>34404.513903088795</c:v>
                </c:pt>
                <c:pt idx="1007">
                  <c:v>34079.791362745658</c:v>
                </c:pt>
                <c:pt idx="1008">
                  <c:v>34079.791362745658</c:v>
                </c:pt>
                <c:pt idx="1009">
                  <c:v>34795.145473897632</c:v>
                </c:pt>
                <c:pt idx="1010">
                  <c:v>34626.354054412339</c:v>
                </c:pt>
                <c:pt idx="1011">
                  <c:v>35089.324805000579</c:v>
                </c:pt>
                <c:pt idx="1012">
                  <c:v>35569.978466201559</c:v>
                </c:pt>
                <c:pt idx="1013">
                  <c:v>35425.300106642739</c:v>
                </c:pt>
                <c:pt idx="1014">
                  <c:v>35389.93428541725</c:v>
                </c:pt>
                <c:pt idx="1015">
                  <c:v>35389.93428541725</c:v>
                </c:pt>
                <c:pt idx="1016">
                  <c:v>34896.420325588813</c:v>
                </c:pt>
                <c:pt idx="1017">
                  <c:v>34984.834878652538</c:v>
                </c:pt>
                <c:pt idx="1018">
                  <c:v>34992.872565294696</c:v>
                </c:pt>
                <c:pt idx="1019">
                  <c:v>35164.879059436855</c:v>
                </c:pt>
                <c:pt idx="1020">
                  <c:v>35018.593162549601</c:v>
                </c:pt>
                <c:pt idx="1021">
                  <c:v>34923.748460172144</c:v>
                </c:pt>
                <c:pt idx="1022">
                  <c:v>35422.08503198588</c:v>
                </c:pt>
                <c:pt idx="1023">
                  <c:v>35253.293612500587</c:v>
                </c:pt>
                <c:pt idx="1024">
                  <c:v>35245.255925858422</c:v>
                </c:pt>
                <c:pt idx="1025">
                  <c:v>35578.016152843724</c:v>
                </c:pt>
                <c:pt idx="1026">
                  <c:v>35803.071378824112</c:v>
                </c:pt>
                <c:pt idx="1027">
                  <c:v>35888.270857230986</c:v>
                </c:pt>
                <c:pt idx="1028">
                  <c:v>35815.931677451576</c:v>
                </c:pt>
                <c:pt idx="1029">
                  <c:v>35745.200035000584</c:v>
                </c:pt>
                <c:pt idx="1030">
                  <c:v>36217.816009559421</c:v>
                </c:pt>
                <c:pt idx="1031">
                  <c:v>36282.117502696681</c:v>
                </c:pt>
                <c:pt idx="1032">
                  <c:v>36394.645115686879</c:v>
                </c:pt>
                <c:pt idx="1033">
                  <c:v>37177.515794632956</c:v>
                </c:pt>
                <c:pt idx="1034">
                  <c:v>36984.611315221191</c:v>
                </c:pt>
                <c:pt idx="1035">
                  <c:v>38363.878343015334</c:v>
                </c:pt>
                <c:pt idx="1036">
                  <c:v>38291.539163235924</c:v>
                </c:pt>
                <c:pt idx="1037">
                  <c:v>38259.388416667301</c:v>
                </c:pt>
                <c:pt idx="1038">
                  <c:v>39899.076491667322</c:v>
                </c:pt>
                <c:pt idx="1039">
                  <c:v>39858.888058456541</c:v>
                </c:pt>
                <c:pt idx="1040">
                  <c:v>38844.532004216329</c:v>
                </c:pt>
                <c:pt idx="1041">
                  <c:v>38886.327974755543</c:v>
                </c:pt>
                <c:pt idx="1042">
                  <c:v>38902.403348039858</c:v>
                </c:pt>
                <c:pt idx="1043">
                  <c:v>38905.618422696716</c:v>
                </c:pt>
                <c:pt idx="1044">
                  <c:v>39582.391637966342</c:v>
                </c:pt>
                <c:pt idx="1045">
                  <c:v>38934.554094608488</c:v>
                </c:pt>
                <c:pt idx="1046">
                  <c:v>39267.314321593782</c:v>
                </c:pt>
                <c:pt idx="1047">
                  <c:v>40212.546270711449</c:v>
                </c:pt>
                <c:pt idx="1048">
                  <c:v>39738.322758824179</c:v>
                </c:pt>
                <c:pt idx="1049">
                  <c:v>39432.890666422216</c:v>
                </c:pt>
                <c:pt idx="1050">
                  <c:v>39702.956937598698</c:v>
                </c:pt>
                <c:pt idx="1051">
                  <c:v>39754.398132108501</c:v>
                </c:pt>
                <c:pt idx="1052">
                  <c:v>39841.205147843793</c:v>
                </c:pt>
                <c:pt idx="1053">
                  <c:v>40196.470897427134</c:v>
                </c:pt>
                <c:pt idx="1054">
                  <c:v>41072.57874142225</c:v>
                </c:pt>
                <c:pt idx="1055">
                  <c:v>40763.931574363422</c:v>
                </c:pt>
                <c:pt idx="1056">
                  <c:v>40734.99590245165</c:v>
                </c:pt>
                <c:pt idx="1057">
                  <c:v>40072.690523137921</c:v>
                </c:pt>
                <c:pt idx="1058">
                  <c:v>40718.920529167342</c:v>
                </c:pt>
                <c:pt idx="1059">
                  <c:v>40662.65672267224</c:v>
                </c:pt>
                <c:pt idx="1060">
                  <c:v>39955.340298162424</c:v>
                </c:pt>
                <c:pt idx="1061">
                  <c:v>39609.719772549674</c:v>
                </c:pt>
                <c:pt idx="1062">
                  <c:v>39497.192159559476</c:v>
                </c:pt>
                <c:pt idx="1063">
                  <c:v>40718.920529167342</c:v>
                </c:pt>
                <c:pt idx="1064">
                  <c:v>40255.949778579095</c:v>
                </c:pt>
                <c:pt idx="1065">
                  <c:v>40024.464403284976</c:v>
                </c:pt>
                <c:pt idx="1066">
                  <c:v>40268.810077206545</c:v>
                </c:pt>
                <c:pt idx="1067">
                  <c:v>39146.749021961426</c:v>
                </c:pt>
                <c:pt idx="1068">
                  <c:v>39256.061560294766</c:v>
                </c:pt>
                <c:pt idx="1069">
                  <c:v>39416.815293137908</c:v>
                </c:pt>
                <c:pt idx="1070">
                  <c:v>39746.360445466344</c:v>
                </c:pt>
                <c:pt idx="1071">
                  <c:v>39770.473505392816</c:v>
                </c:pt>
                <c:pt idx="1072">
                  <c:v>39018.146035686921</c:v>
                </c:pt>
                <c:pt idx="1073">
                  <c:v>39215.873127083978</c:v>
                </c:pt>
                <c:pt idx="1074">
                  <c:v>39585.606712623201</c:v>
                </c:pt>
                <c:pt idx="1075">
                  <c:v>39268.921858922222</c:v>
                </c:pt>
                <c:pt idx="1076">
                  <c:v>39934.44231289281</c:v>
                </c:pt>
                <c:pt idx="1077">
                  <c:v>39850.850371814384</c:v>
                </c:pt>
                <c:pt idx="1078">
                  <c:v>40341.149256985955</c:v>
                </c:pt>
                <c:pt idx="1079">
                  <c:v>40336.326645000663</c:v>
                </c:pt>
                <c:pt idx="1080">
                  <c:v>40051.792537868307</c:v>
                </c:pt>
                <c:pt idx="1081">
                  <c:v>39669.198653701635</c:v>
                </c:pt>
                <c:pt idx="1082">
                  <c:v>39452.181114363389</c:v>
                </c:pt>
                <c:pt idx="1083">
                  <c:v>39683.666489657517</c:v>
                </c:pt>
                <c:pt idx="1084">
                  <c:v>40362.047242255569</c:v>
                </c:pt>
                <c:pt idx="1085">
                  <c:v>40252.73470392223</c:v>
                </c:pt>
                <c:pt idx="1086">
                  <c:v>40164.320150858504</c:v>
                </c:pt>
                <c:pt idx="1087">
                  <c:v>39971.415671446732</c:v>
                </c:pt>
                <c:pt idx="1088">
                  <c:v>39831.55992387321</c:v>
                </c:pt>
                <c:pt idx="1089">
                  <c:v>39921.582014265368</c:v>
                </c:pt>
                <c:pt idx="1090">
                  <c:v>40104.841269706551</c:v>
                </c:pt>
                <c:pt idx="1091">
                  <c:v>40381.337690196742</c:v>
                </c:pt>
                <c:pt idx="1092">
                  <c:v>41334.607325956567</c:v>
                </c:pt>
                <c:pt idx="1093">
                  <c:v>41603.066059804609</c:v>
                </c:pt>
                <c:pt idx="1094">
                  <c:v>41249.407847549701</c:v>
                </c:pt>
                <c:pt idx="1095">
                  <c:v>41160.993294485976</c:v>
                </c:pt>
                <c:pt idx="1096">
                  <c:v>41442.312326961473</c:v>
                </c:pt>
                <c:pt idx="1097">
                  <c:v>40678.732095956555</c:v>
                </c:pt>
                <c:pt idx="1098">
                  <c:v>40599.962766863413</c:v>
                </c:pt>
                <c:pt idx="1099">
                  <c:v>41051.680756152637</c:v>
                </c:pt>
                <c:pt idx="1100">
                  <c:v>41128.842547917346</c:v>
                </c:pt>
                <c:pt idx="1101">
                  <c:v>40699.630081226169</c:v>
                </c:pt>
                <c:pt idx="1102">
                  <c:v>41337.822400613426</c:v>
                </c:pt>
                <c:pt idx="1103">
                  <c:v>41056.503368137935</c:v>
                </c:pt>
                <c:pt idx="1104">
                  <c:v>40924.685307206557</c:v>
                </c:pt>
                <c:pt idx="1105">
                  <c:v>40067.867911152622</c:v>
                </c:pt>
                <c:pt idx="1106">
                  <c:v>40323.466346373214</c:v>
                </c:pt>
                <c:pt idx="1107">
                  <c:v>40056.615149853606</c:v>
                </c:pt>
                <c:pt idx="1108">
                  <c:v>39765.650893407517</c:v>
                </c:pt>
                <c:pt idx="1109">
                  <c:v>39243.201261667309</c:v>
                </c:pt>
                <c:pt idx="1110">
                  <c:v>39347.691188015357</c:v>
                </c:pt>
                <c:pt idx="1111">
                  <c:v>39103.34551409378</c:v>
                </c:pt>
                <c:pt idx="1112">
                  <c:v>38969.919915833976</c:v>
                </c:pt>
                <c:pt idx="1113">
                  <c:v>39047.081707598685</c:v>
                </c:pt>
                <c:pt idx="1114">
                  <c:v>38979.565139804574</c:v>
                </c:pt>
                <c:pt idx="1115">
                  <c:v>39883.001118383014</c:v>
                </c:pt>
                <c:pt idx="1116">
                  <c:v>39995.528731373204</c:v>
                </c:pt>
                <c:pt idx="1117">
                  <c:v>39899.076491667322</c:v>
                </c:pt>
                <c:pt idx="1118">
                  <c:v>40606.392916177145</c:v>
                </c:pt>
                <c:pt idx="1119">
                  <c:v>40635.328588088909</c:v>
                </c:pt>
                <c:pt idx="1120">
                  <c:v>41008.27724828499</c:v>
                </c:pt>
                <c:pt idx="1121">
                  <c:v>41178.676205098716</c:v>
                </c:pt>
                <c:pt idx="1122">
                  <c:v>41382.833445809512</c:v>
                </c:pt>
                <c:pt idx="1123">
                  <c:v>41259.053071520284</c:v>
                </c:pt>
                <c:pt idx="1124">
                  <c:v>42141.591064829132</c:v>
                </c:pt>
                <c:pt idx="1125">
                  <c:v>41496.968596128136</c:v>
                </c:pt>
                <c:pt idx="1126">
                  <c:v>41210.826951667346</c:v>
                </c:pt>
                <c:pt idx="1127">
                  <c:v>40915.040083235966</c:v>
                </c:pt>
                <c:pt idx="1128">
                  <c:v>40665.871797329099</c:v>
                </c:pt>
                <c:pt idx="1129">
                  <c:v>40579.064781593806</c:v>
                </c:pt>
                <c:pt idx="1130">
                  <c:v>42294.30711103011</c:v>
                </c:pt>
                <c:pt idx="1131">
                  <c:v>42585.271367476191</c:v>
                </c:pt>
                <c:pt idx="1132">
                  <c:v>42107.832780932069</c:v>
                </c:pt>
                <c:pt idx="1133">
                  <c:v>42487.211590441882</c:v>
                </c:pt>
                <c:pt idx="1134">
                  <c:v>42471.136217157567</c:v>
                </c:pt>
                <c:pt idx="1135">
                  <c:v>43082.000401961493</c:v>
                </c:pt>
                <c:pt idx="1136">
                  <c:v>43427.620927574244</c:v>
                </c:pt>
                <c:pt idx="1137">
                  <c:v>43427.620927574244</c:v>
                </c:pt>
                <c:pt idx="1138">
                  <c:v>43925.95749938798</c:v>
                </c:pt>
                <c:pt idx="1139">
                  <c:v>43618.917869657584</c:v>
                </c:pt>
                <c:pt idx="1140">
                  <c:v>43540.148540564442</c:v>
                </c:pt>
                <c:pt idx="1141">
                  <c:v>43631.778168285033</c:v>
                </c:pt>
                <c:pt idx="1142">
                  <c:v>43159.162193726203</c:v>
                </c:pt>
                <c:pt idx="1143">
                  <c:v>43170.414955025226</c:v>
                </c:pt>
                <c:pt idx="1144">
                  <c:v>42554.728158235994</c:v>
                </c:pt>
                <c:pt idx="1145">
                  <c:v>42664.040696569333</c:v>
                </c:pt>
                <c:pt idx="1146">
                  <c:v>42911.601445147768</c:v>
                </c:pt>
                <c:pt idx="1147">
                  <c:v>42789.42860818698</c:v>
                </c:pt>
                <c:pt idx="1148">
                  <c:v>42307.167409657566</c:v>
                </c:pt>
                <c:pt idx="1149">
                  <c:v>42475.958829142859</c:v>
                </c:pt>
                <c:pt idx="1150">
                  <c:v>42463.09853051541</c:v>
                </c:pt>
                <c:pt idx="1151">
                  <c:v>42218.752856593841</c:v>
                </c:pt>
                <c:pt idx="1152">
                  <c:v>42535.43771029482</c:v>
                </c:pt>
                <c:pt idx="1153">
                  <c:v>42728.342189706585</c:v>
                </c:pt>
                <c:pt idx="1154">
                  <c:v>43138.264208456596</c:v>
                </c:pt>
                <c:pt idx="1155">
                  <c:v>43146.301895098753</c:v>
                </c:pt>
                <c:pt idx="1156">
                  <c:v>43392.255106348755</c:v>
                </c:pt>
                <c:pt idx="1157">
                  <c:v>43845.580632966412</c:v>
                </c:pt>
                <c:pt idx="1158">
                  <c:v>43689.649512108568</c:v>
                </c:pt>
                <c:pt idx="1159">
                  <c:v>43813.429886397782</c:v>
                </c:pt>
                <c:pt idx="1160">
                  <c:v>43094.860700588943</c:v>
                </c:pt>
                <c:pt idx="1161">
                  <c:v>42979.118012941879</c:v>
                </c:pt>
                <c:pt idx="1162">
                  <c:v>43114.151148530116</c:v>
                </c:pt>
                <c:pt idx="1163">
                  <c:v>43329.561150539928</c:v>
                </c:pt>
                <c:pt idx="1164">
                  <c:v>43564.261600490914</c:v>
                </c:pt>
                <c:pt idx="1165">
                  <c:v>43474.239510098756</c:v>
                </c:pt>
                <c:pt idx="1166">
                  <c:v>43062.70995402032</c:v>
                </c:pt>
                <c:pt idx="1167">
                  <c:v>43210.603388236006</c:v>
                </c:pt>
                <c:pt idx="1168">
                  <c:v>43189.7054029664</c:v>
                </c:pt>
                <c:pt idx="1169">
                  <c:v>43405.115404976204</c:v>
                </c:pt>
                <c:pt idx="1170">
                  <c:v>43287.765180000715</c:v>
                </c:pt>
                <c:pt idx="1171">
                  <c:v>42950.182341030122</c:v>
                </c:pt>
                <c:pt idx="1172">
                  <c:v>43146.301895098753</c:v>
                </c:pt>
                <c:pt idx="1173">
                  <c:v>42672.078383211483</c:v>
                </c:pt>
                <c:pt idx="1174">
                  <c:v>42480.781441128151</c:v>
                </c:pt>
                <c:pt idx="1175">
                  <c:v>42398.79703737815</c:v>
                </c:pt>
                <c:pt idx="1176">
                  <c:v>42379.506589436976</c:v>
                </c:pt>
                <c:pt idx="1177">
                  <c:v>42093.364944976187</c:v>
                </c:pt>
                <c:pt idx="1178">
                  <c:v>42101.402631618344</c:v>
                </c:pt>
                <c:pt idx="1179">
                  <c:v>42590.093979461482</c:v>
                </c:pt>
                <c:pt idx="1180">
                  <c:v>42643.142711299719</c:v>
                </c:pt>
                <c:pt idx="1181">
                  <c:v>42993.585848897768</c:v>
                </c:pt>
                <c:pt idx="1182">
                  <c:v>43350.459135809535</c:v>
                </c:pt>
                <c:pt idx="1183">
                  <c:v>43191.312940294833</c:v>
                </c:pt>
                <c:pt idx="1184">
                  <c:v>42787.821070858547</c:v>
                </c:pt>
                <c:pt idx="1185">
                  <c:v>42586.878904804624</c:v>
                </c:pt>
                <c:pt idx="1186">
                  <c:v>42556.335695564427</c:v>
                </c:pt>
                <c:pt idx="1187">
                  <c:v>42495.249277084033</c:v>
                </c:pt>
                <c:pt idx="1188">
                  <c:v>42143.198602157558</c:v>
                </c:pt>
                <c:pt idx="1189">
                  <c:v>42064.429273064423</c:v>
                </c:pt>
                <c:pt idx="1190">
                  <c:v>42273.409125760503</c:v>
                </c:pt>
                <c:pt idx="1191">
                  <c:v>42239.65084186344</c:v>
                </c:pt>
                <c:pt idx="1192">
                  <c:v>42635.105024657561</c:v>
                </c:pt>
                <c:pt idx="1193">
                  <c:v>43053.064730049729</c:v>
                </c:pt>
                <c:pt idx="1194">
                  <c:v>43038.596894093847</c:v>
                </c:pt>
                <c:pt idx="1195">
                  <c:v>43098.075775245808</c:v>
                </c:pt>
                <c:pt idx="1196">
                  <c:v>42664.040696569333</c:v>
                </c:pt>
                <c:pt idx="1197">
                  <c:v>42519.362337010505</c:v>
                </c:pt>
                <c:pt idx="1198">
                  <c:v>42377.899052108536</c:v>
                </c:pt>
                <c:pt idx="1199">
                  <c:v>42519.362337010505</c:v>
                </c:pt>
                <c:pt idx="1200">
                  <c:v>42223.575468579125</c:v>
                </c:pt>
                <c:pt idx="1201">
                  <c:v>41259.053071520284</c:v>
                </c:pt>
                <c:pt idx="1202">
                  <c:v>40812.157694216359</c:v>
                </c:pt>
                <c:pt idx="1203">
                  <c:v>40333.111570343804</c:v>
                </c:pt>
                <c:pt idx="1204">
                  <c:v>40469.752243260475</c:v>
                </c:pt>
                <c:pt idx="1205">
                  <c:v>40493.865303186947</c:v>
                </c:pt>
                <c:pt idx="1206">
                  <c:v>40299.353286446749</c:v>
                </c:pt>
                <c:pt idx="1207">
                  <c:v>40397.413063481057</c:v>
                </c:pt>
                <c:pt idx="1208">
                  <c:v>40543.698960368318</c:v>
                </c:pt>
                <c:pt idx="1209">
                  <c:v>40244.697017280072</c:v>
                </c:pt>
                <c:pt idx="1210">
                  <c:v>40342.756794314388</c:v>
                </c:pt>
                <c:pt idx="1211">
                  <c:v>40452.069332647727</c:v>
                </c:pt>
                <c:pt idx="1212">
                  <c:v>40800.904932917343</c:v>
                </c:pt>
                <c:pt idx="1213">
                  <c:v>40884.496873995769</c:v>
                </c:pt>
                <c:pt idx="1214">
                  <c:v>40704.452693211453</c:v>
                </c:pt>
                <c:pt idx="1215">
                  <c:v>40688.377319927138</c:v>
                </c:pt>
                <c:pt idx="1216">
                  <c:v>40812.157694216359</c:v>
                </c:pt>
                <c:pt idx="1217">
                  <c:v>40847.523515441848</c:v>
                </c:pt>
                <c:pt idx="1218">
                  <c:v>40710.882842525178</c:v>
                </c:pt>
                <c:pt idx="1219">
                  <c:v>40927.900381863423</c:v>
                </c:pt>
                <c:pt idx="1220">
                  <c:v>40895.749635294793</c:v>
                </c:pt>
                <c:pt idx="1221">
                  <c:v>41424.629416348725</c:v>
                </c:pt>
                <c:pt idx="1222">
                  <c:v>41916.535838848729</c:v>
                </c:pt>
                <c:pt idx="1223">
                  <c:v>41828.121285785004</c:v>
                </c:pt>
                <c:pt idx="1224">
                  <c:v>41885.992629608532</c:v>
                </c:pt>
                <c:pt idx="1225">
                  <c:v>41251.015384878126</c:v>
                </c:pt>
                <c:pt idx="1226">
                  <c:v>41228.509862280094</c:v>
                </c:pt>
                <c:pt idx="1227">
                  <c:v>41197.966653039897</c:v>
                </c:pt>
                <c:pt idx="1228">
                  <c:v>40751.071275735965</c:v>
                </c:pt>
                <c:pt idx="1229">
                  <c:v>39752.790594780068</c:v>
                </c:pt>
                <c:pt idx="1230">
                  <c:v>39018.146035686921</c:v>
                </c:pt>
                <c:pt idx="1231">
                  <c:v>39447.358502378098</c:v>
                </c:pt>
                <c:pt idx="1232">
                  <c:v>39519.697682157515</c:v>
                </c:pt>
                <c:pt idx="1233">
                  <c:v>39440.928353064381</c:v>
                </c:pt>
                <c:pt idx="1234">
                  <c:v>38934.554094608488</c:v>
                </c:pt>
                <c:pt idx="1235">
                  <c:v>39039.044020956528</c:v>
                </c:pt>
                <c:pt idx="1236">
                  <c:v>38974.742527819275</c:v>
                </c:pt>
                <c:pt idx="1237">
                  <c:v>38109.887445123175</c:v>
                </c:pt>
                <c:pt idx="1238">
                  <c:v>38134.000505049647</c:v>
                </c:pt>
                <c:pt idx="1239">
                  <c:v>38185.441699559458</c:v>
                </c:pt>
                <c:pt idx="1240">
                  <c:v>38162.936176961419</c:v>
                </c:pt>
                <c:pt idx="1241">
                  <c:v>38148.46834100553</c:v>
                </c:pt>
                <c:pt idx="1242">
                  <c:v>37876.794532500622</c:v>
                </c:pt>
                <c:pt idx="1243">
                  <c:v>37354.344900760414</c:v>
                </c:pt>
                <c:pt idx="1244">
                  <c:v>37728.901098284936</c:v>
                </c:pt>
                <c:pt idx="1245">
                  <c:v>37365.597662059445</c:v>
                </c:pt>
                <c:pt idx="1246">
                  <c:v>37696.750351716313</c:v>
                </c:pt>
                <c:pt idx="1247">
                  <c:v>37862.326696544747</c:v>
                </c:pt>
                <c:pt idx="1248">
                  <c:v>37650.131769191794</c:v>
                </c:pt>
                <c:pt idx="1249">
                  <c:v>37410.608707255509</c:v>
                </c:pt>
                <c:pt idx="1250">
                  <c:v>37169.478107990806</c:v>
                </c:pt>
                <c:pt idx="1251">
                  <c:v>37248.247437083948</c:v>
                </c:pt>
                <c:pt idx="1252">
                  <c:v>37367.20519938787</c:v>
                </c:pt>
                <c:pt idx="1253">
                  <c:v>36232.283845515303</c:v>
                </c:pt>
                <c:pt idx="1254">
                  <c:v>36381.784817059422</c:v>
                </c:pt>
                <c:pt idx="1255">
                  <c:v>36531.285788603542</c:v>
                </c:pt>
                <c:pt idx="1256">
                  <c:v>36192.095412304516</c:v>
                </c:pt>
                <c:pt idx="1257">
                  <c:v>36447.693847525115</c:v>
                </c:pt>
                <c:pt idx="1258">
                  <c:v>36373.747130417265</c:v>
                </c:pt>
                <c:pt idx="1259">
                  <c:v>36478.237056765305</c:v>
                </c:pt>
                <c:pt idx="1260">
                  <c:v>36841.540492990811</c:v>
                </c:pt>
                <c:pt idx="1261">
                  <c:v>37005.509300490805</c:v>
                </c:pt>
                <c:pt idx="1262">
                  <c:v>37431.506692525123</c:v>
                </c:pt>
                <c:pt idx="1263">
                  <c:v>37831.78348730455</c:v>
                </c:pt>
                <c:pt idx="1264">
                  <c:v>37804.455352721205</c:v>
                </c:pt>
                <c:pt idx="1265">
                  <c:v>37889.654831128079</c:v>
                </c:pt>
                <c:pt idx="1266">
                  <c:v>38243.313043382987</c:v>
                </c:pt>
                <c:pt idx="1267">
                  <c:v>37891.262368456511</c:v>
                </c:pt>
                <c:pt idx="1268">
                  <c:v>38743.257152525148</c:v>
                </c:pt>
                <c:pt idx="1269">
                  <c:v>38270.64117796631</c:v>
                </c:pt>
                <c:pt idx="1270">
                  <c:v>38677.348122059462</c:v>
                </c:pt>
                <c:pt idx="1271">
                  <c:v>39096.915364780056</c:v>
                </c:pt>
                <c:pt idx="1272">
                  <c:v>39055.119394240843</c:v>
                </c:pt>
                <c:pt idx="1273">
                  <c:v>38453.9004334075</c:v>
                </c:pt>
                <c:pt idx="1274">
                  <c:v>38598.57879296632</c:v>
                </c:pt>
                <c:pt idx="1275">
                  <c:v>38994.032975760449</c:v>
                </c:pt>
                <c:pt idx="1276">
                  <c:v>39121.028424706521</c:v>
                </c:pt>
                <c:pt idx="1277">
                  <c:v>38420.142149510437</c:v>
                </c:pt>
                <c:pt idx="1278">
                  <c:v>38249.743192696711</c:v>
                </c:pt>
                <c:pt idx="1279">
                  <c:v>38093.81207183886</c:v>
                </c:pt>
                <c:pt idx="1280">
                  <c:v>38349.410507059452</c:v>
                </c:pt>
                <c:pt idx="1281">
                  <c:v>38992.425438432016</c:v>
                </c:pt>
                <c:pt idx="1282">
                  <c:v>38698.246107329069</c:v>
                </c:pt>
                <c:pt idx="1283">
                  <c:v>39286.604769534963</c:v>
                </c:pt>
                <c:pt idx="1284">
                  <c:v>39069.587230196725</c:v>
                </c:pt>
                <c:pt idx="1285">
                  <c:v>39440.928353064381</c:v>
                </c:pt>
                <c:pt idx="1286">
                  <c:v>39577.569025981044</c:v>
                </c:pt>
                <c:pt idx="1287">
                  <c:v>39934.44231289281</c:v>
                </c:pt>
                <c:pt idx="1288">
                  <c:v>39764.043356079084</c:v>
                </c:pt>
                <c:pt idx="1289">
                  <c:v>39490.762010245744</c:v>
                </c:pt>
                <c:pt idx="1290">
                  <c:v>39296.249993505546</c:v>
                </c:pt>
                <c:pt idx="1291">
                  <c:v>39569.531339338886</c:v>
                </c:pt>
                <c:pt idx="1292">
                  <c:v>39365.374098628105</c:v>
                </c:pt>
                <c:pt idx="1293">
                  <c:v>39884.608655711439</c:v>
                </c:pt>
                <c:pt idx="1294">
                  <c:v>39929.619700907526</c:v>
                </c:pt>
                <c:pt idx="1295">
                  <c:v>39780.118729363399</c:v>
                </c:pt>
                <c:pt idx="1296">
                  <c:v>39648.300668432028</c:v>
                </c:pt>
                <c:pt idx="1297">
                  <c:v>39759.220744093793</c:v>
                </c:pt>
                <c:pt idx="1298">
                  <c:v>40120.916642990866</c:v>
                </c:pt>
                <c:pt idx="1299">
                  <c:v>40305.783435760473</c:v>
                </c:pt>
                <c:pt idx="1300">
                  <c:v>40419.918586079097</c:v>
                </c:pt>
                <c:pt idx="1301">
                  <c:v>40368.477391569293</c:v>
                </c:pt>
                <c:pt idx="1302">
                  <c:v>39879.786043726148</c:v>
                </c:pt>
                <c:pt idx="1303">
                  <c:v>39805.839326618297</c:v>
                </c:pt>
                <c:pt idx="1304">
                  <c:v>39432.890666422216</c:v>
                </c:pt>
                <c:pt idx="1305">
                  <c:v>39575.961488652618</c:v>
                </c:pt>
                <c:pt idx="1306">
                  <c:v>39116.205812721237</c:v>
                </c:pt>
                <c:pt idx="1307">
                  <c:v>38876.682750784959</c:v>
                </c:pt>
                <c:pt idx="1308">
                  <c:v>38791.483272378086</c:v>
                </c:pt>
                <c:pt idx="1309">
                  <c:v>38666.095360760446</c:v>
                </c:pt>
                <c:pt idx="1310">
                  <c:v>38715.929017941817</c:v>
                </c:pt>
                <c:pt idx="1311">
                  <c:v>38728.789316569266</c:v>
                </c:pt>
                <c:pt idx="1312">
                  <c:v>38542.314986471225</c:v>
                </c:pt>
                <c:pt idx="1313">
                  <c:v>39524.5202941428</c:v>
                </c:pt>
                <c:pt idx="1314">
                  <c:v>39532.557980784964</c:v>
                </c:pt>
                <c:pt idx="1315">
                  <c:v>39622.580071177123</c:v>
                </c:pt>
                <c:pt idx="1316">
                  <c:v>39918.366939608495</c:v>
                </c:pt>
                <c:pt idx="1317">
                  <c:v>40157.89000154478</c:v>
                </c:pt>
                <c:pt idx="1318">
                  <c:v>40108.056344363402</c:v>
                </c:pt>
                <c:pt idx="1319">
                  <c:v>40108.056344363402</c:v>
                </c:pt>
                <c:pt idx="1320">
                  <c:v>40431.17134737812</c:v>
                </c:pt>
                <c:pt idx="1321">
                  <c:v>40421.52612340753</c:v>
                </c:pt>
                <c:pt idx="1322">
                  <c:v>40223.799032010458</c:v>
                </c:pt>
                <c:pt idx="1323">
                  <c:v>40149.852314902622</c:v>
                </c:pt>
                <c:pt idx="1324">
                  <c:v>40022.856865956543</c:v>
                </c:pt>
                <c:pt idx="1325">
                  <c:v>40100.018657721252</c:v>
                </c:pt>
                <c:pt idx="1326">
                  <c:v>40434.386422034986</c:v>
                </c:pt>
                <c:pt idx="1327">
                  <c:v>40053.40007519674</c:v>
                </c:pt>
                <c:pt idx="1328">
                  <c:v>40268.810077206545</c:v>
                </c:pt>
                <c:pt idx="1329">
                  <c:v>40717.31299183891</c:v>
                </c:pt>
                <c:pt idx="1330">
                  <c:v>40190.040748113403</c:v>
                </c:pt>
                <c:pt idx="1331">
                  <c:v>40281.670375834001</c:v>
                </c:pt>
                <c:pt idx="1332">
                  <c:v>40969.696352402636</c:v>
                </c:pt>
                <c:pt idx="1333">
                  <c:v>41286.38120610363</c:v>
                </c:pt>
                <c:pt idx="1334">
                  <c:v>41119.197323946755</c:v>
                </c:pt>
                <c:pt idx="1335">
                  <c:v>41122.412398603614</c:v>
                </c:pt>
                <c:pt idx="1336">
                  <c:v>41220.472175637929</c:v>
                </c:pt>
                <c:pt idx="1337">
                  <c:v>41212.434488995772</c:v>
                </c:pt>
                <c:pt idx="1338">
                  <c:v>40812.157694216359</c:v>
                </c:pt>
                <c:pt idx="1339">
                  <c:v>40760.716499706556</c:v>
                </c:pt>
                <c:pt idx="1340">
                  <c:v>40569.419557623216</c:v>
                </c:pt>
                <c:pt idx="1341">
                  <c:v>40599.962766863413</c:v>
                </c:pt>
                <c:pt idx="1342">
                  <c:v>40717.31299183891</c:v>
                </c:pt>
                <c:pt idx="1343">
                  <c:v>40363.654779584002</c:v>
                </c:pt>
                <c:pt idx="1344">
                  <c:v>40198.078434755567</c:v>
                </c:pt>
                <c:pt idx="1345">
                  <c:v>39495.584622231043</c:v>
                </c:pt>
                <c:pt idx="1346">
                  <c:v>39482.724323603594</c:v>
                </c:pt>
                <c:pt idx="1347">
                  <c:v>39538.988130098689</c:v>
                </c:pt>
                <c:pt idx="1348">
                  <c:v>39236.771112353592</c:v>
                </c:pt>
                <c:pt idx="1349">
                  <c:v>39318.755516103593</c:v>
                </c:pt>
                <c:pt idx="1350">
                  <c:v>39646.693131103595</c:v>
                </c:pt>
                <c:pt idx="1351">
                  <c:v>39585.606712623201</c:v>
                </c:pt>
                <c:pt idx="1352">
                  <c:v>39651.515743088887</c:v>
                </c:pt>
                <c:pt idx="1353">
                  <c:v>39680.451415000651</c:v>
                </c:pt>
                <c:pt idx="1354">
                  <c:v>40426.348735392829</c:v>
                </c:pt>
                <c:pt idx="1355">
                  <c:v>40378.122615539884</c:v>
                </c:pt>
                <c:pt idx="1356">
                  <c:v>40252.73470392223</c:v>
                </c:pt>
                <c:pt idx="1357">
                  <c:v>40472.967317917333</c:v>
                </c:pt>
                <c:pt idx="1358">
                  <c:v>40516.370825784979</c:v>
                </c:pt>
                <c:pt idx="1359">
                  <c:v>40270.417614534977</c:v>
                </c:pt>
                <c:pt idx="1360">
                  <c:v>40411.880899436946</c:v>
                </c:pt>
                <c:pt idx="1361">
                  <c:v>40672.301946642823</c:v>
                </c:pt>
                <c:pt idx="1362">
                  <c:v>40596.747692206554</c:v>
                </c:pt>
                <c:pt idx="1363">
                  <c:v>40709.275305196752</c:v>
                </c:pt>
                <c:pt idx="1364">
                  <c:v>40665.871797329099</c:v>
                </c:pt>
                <c:pt idx="1365">
                  <c:v>40990.59433767225</c:v>
                </c:pt>
                <c:pt idx="1366">
                  <c:v>41151.348070515392</c:v>
                </c:pt>
                <c:pt idx="1367">
                  <c:v>41586.990686520294</c:v>
                </c:pt>
                <c:pt idx="1368">
                  <c:v>41506.613820098719</c:v>
                </c:pt>
                <c:pt idx="1369">
                  <c:v>40931.115456520281</c:v>
                </c:pt>
                <c:pt idx="1370">
                  <c:v>40720.528066495768</c:v>
                </c:pt>
                <c:pt idx="1371">
                  <c:v>40715.705454510477</c:v>
                </c:pt>
                <c:pt idx="1372">
                  <c:v>40574.242169608508</c:v>
                </c:pt>
                <c:pt idx="1373">
                  <c:v>41008.27724828499</c:v>
                </c:pt>
                <c:pt idx="1374">
                  <c:v>40334.719107672237</c:v>
                </c:pt>
                <c:pt idx="1375">
                  <c:v>40362.047242255569</c:v>
                </c:pt>
                <c:pt idx="1376">
                  <c:v>40128.954329633016</c:v>
                </c:pt>
                <c:pt idx="1377">
                  <c:v>39937.657387549676</c:v>
                </c:pt>
                <c:pt idx="1378">
                  <c:v>39947.302611520267</c:v>
                </c:pt>
                <c:pt idx="1379">
                  <c:v>40214.153808039875</c:v>
                </c:pt>
                <c:pt idx="1380">
                  <c:v>40371.692466226159</c:v>
                </c:pt>
                <c:pt idx="1381">
                  <c:v>40035.717164583992</c:v>
                </c:pt>
                <c:pt idx="1382">
                  <c:v>40173.965374829095</c:v>
                </c:pt>
                <c:pt idx="1383">
                  <c:v>40124.131717647724</c:v>
                </c:pt>
                <c:pt idx="1384">
                  <c:v>39979.453358088896</c:v>
                </c:pt>
                <c:pt idx="1385">
                  <c:v>39939.264924878109</c:v>
                </c:pt>
                <c:pt idx="1386">
                  <c:v>39521.305219485948</c:v>
                </c:pt>
                <c:pt idx="1387">
                  <c:v>39344.476113358491</c:v>
                </c:pt>
                <c:pt idx="1388">
                  <c:v>39233.556037696719</c:v>
                </c:pt>
                <c:pt idx="1389">
                  <c:v>39381.44947191242</c:v>
                </c:pt>
                <c:pt idx="1390">
                  <c:v>39084.055066152607</c:v>
                </c:pt>
                <c:pt idx="1391">
                  <c:v>38963.489766520252</c:v>
                </c:pt>
                <c:pt idx="1392">
                  <c:v>38936.161631936913</c:v>
                </c:pt>
                <c:pt idx="1393">
                  <c:v>39185.329917843781</c:v>
                </c:pt>
                <c:pt idx="1394">
                  <c:v>39188.544992500654</c:v>
                </c:pt>
                <c:pt idx="1395">
                  <c:v>39555.063503383004</c:v>
                </c:pt>
                <c:pt idx="1396">
                  <c:v>39677.236340343792</c:v>
                </c:pt>
                <c:pt idx="1397">
                  <c:v>39891.038805025171</c:v>
                </c:pt>
                <c:pt idx="1398">
                  <c:v>39936.04985022125</c:v>
                </c:pt>
                <c:pt idx="1399">
                  <c:v>39825.129774559478</c:v>
                </c:pt>
                <c:pt idx="1400">
                  <c:v>40141.814628260465</c:v>
                </c:pt>
                <c:pt idx="1401">
                  <c:v>40366.86985424086</c:v>
                </c:pt>
                <c:pt idx="1402">
                  <c:v>40329.896495686946</c:v>
                </c:pt>
                <c:pt idx="1403">
                  <c:v>40127.346792304576</c:v>
                </c:pt>
                <c:pt idx="1404">
                  <c:v>40545.306497696743</c:v>
                </c:pt>
                <c:pt idx="1405">
                  <c:v>40667.479334657539</c:v>
                </c:pt>
                <c:pt idx="1406">
                  <c:v>40752.678813064398</c:v>
                </c:pt>
                <c:pt idx="1407">
                  <c:v>40861.991351397737</c:v>
                </c:pt>
                <c:pt idx="1408">
                  <c:v>40818.587843530084</c:v>
                </c:pt>
                <c:pt idx="1409">
                  <c:v>40770.361723677139</c:v>
                </c:pt>
                <c:pt idx="1410">
                  <c:v>40435.993959363412</c:v>
                </c:pt>
                <c:pt idx="1411">
                  <c:v>40445.639183334002</c:v>
                </c:pt>
                <c:pt idx="1412">
                  <c:v>40567.81202029479</c:v>
                </c:pt>
                <c:pt idx="1413">
                  <c:v>40865.206426054589</c:v>
                </c:pt>
                <c:pt idx="1414">
                  <c:v>41294.41889274578</c:v>
                </c:pt>
                <c:pt idx="1415">
                  <c:v>41349.075161912442</c:v>
                </c:pt>
                <c:pt idx="1416">
                  <c:v>41226.902324951661</c:v>
                </c:pt>
                <c:pt idx="1417">
                  <c:v>40841.093366128123</c:v>
                </c:pt>
                <c:pt idx="1418">
                  <c:v>40919.862695221265</c:v>
                </c:pt>
                <c:pt idx="1419">
                  <c:v>41318.531952672252</c:v>
                </c:pt>
                <c:pt idx="1420">
                  <c:v>41660.937403628137</c:v>
                </c:pt>
                <c:pt idx="1421">
                  <c:v>41567.70023857912</c:v>
                </c:pt>
                <c:pt idx="1422">
                  <c:v>41287.988743432055</c:v>
                </c:pt>
                <c:pt idx="1423">
                  <c:v>41366.758072525197</c:v>
                </c:pt>
                <c:pt idx="1424">
                  <c:v>41442.312326961473</c:v>
                </c:pt>
                <c:pt idx="1425">
                  <c:v>41323.354564657544</c:v>
                </c:pt>
                <c:pt idx="1426">
                  <c:v>42395.581962721284</c:v>
                </c:pt>
                <c:pt idx="1427">
                  <c:v>42069.251885049714</c:v>
                </c:pt>
                <c:pt idx="1428">
                  <c:v>42173.741811397755</c:v>
                </c:pt>
                <c:pt idx="1429">
                  <c:v>42451.845769216394</c:v>
                </c:pt>
                <c:pt idx="1430">
                  <c:v>42860.160250637964</c:v>
                </c:pt>
                <c:pt idx="1431">
                  <c:v>42938.929579731099</c:v>
                </c:pt>
                <c:pt idx="1432">
                  <c:v>43012.876296838942</c:v>
                </c:pt>
                <c:pt idx="1433">
                  <c:v>43194.528014951691</c:v>
                </c:pt>
                <c:pt idx="1434">
                  <c:v>43282.942568015424</c:v>
                </c:pt>
                <c:pt idx="1435">
                  <c:v>42895.526071863453</c:v>
                </c:pt>
                <c:pt idx="1436">
                  <c:v>42647.965323285011</c:v>
                </c:pt>
                <c:pt idx="1437">
                  <c:v>42681.723607182073</c:v>
                </c:pt>
                <c:pt idx="1438">
                  <c:v>42585.271367476191</c:v>
                </c:pt>
                <c:pt idx="1439">
                  <c:v>42530.615098309529</c:v>
                </c:pt>
                <c:pt idx="1440">
                  <c:v>42184.994572696771</c:v>
                </c:pt>
                <c:pt idx="1441">
                  <c:v>42104.617706275196</c:v>
                </c:pt>
                <c:pt idx="1442">
                  <c:v>42159.273975441873</c:v>
                </c:pt>
                <c:pt idx="1443">
                  <c:v>41541.979641324207</c:v>
                </c:pt>
                <c:pt idx="1444">
                  <c:v>41628.786657059507</c:v>
                </c:pt>
                <c:pt idx="1445">
                  <c:v>41580.560537206562</c:v>
                </c:pt>
                <c:pt idx="1446">
                  <c:v>41797.5780765448</c:v>
                </c:pt>
                <c:pt idx="1447">
                  <c:v>41234.940011593812</c:v>
                </c:pt>
                <c:pt idx="1448">
                  <c:v>41260.660608848717</c:v>
                </c:pt>
                <c:pt idx="1449">
                  <c:v>41252.622922206559</c:v>
                </c:pt>
                <c:pt idx="1450">
                  <c:v>40950.405904461462</c:v>
                </c:pt>
                <c:pt idx="1451">
                  <c:v>40871.63657536832</c:v>
                </c:pt>
                <c:pt idx="1452">
                  <c:v>40968.088815074203</c:v>
                </c:pt>
                <c:pt idx="1453">
                  <c:v>40976.126501716368</c:v>
                </c:pt>
                <c:pt idx="1454">
                  <c:v>40567.81202029479</c:v>
                </c:pt>
                <c:pt idx="1455">
                  <c:v>41112.767174633031</c:v>
                </c:pt>
                <c:pt idx="1456">
                  <c:v>41519.474118726182</c:v>
                </c:pt>
                <c:pt idx="1457">
                  <c:v>41450.350013603624</c:v>
                </c:pt>
                <c:pt idx="1458">
                  <c:v>41482.500760172254</c:v>
                </c:pt>
                <c:pt idx="1459">
                  <c:v>41783.110240588918</c:v>
                </c:pt>
                <c:pt idx="1460">
                  <c:v>41902.068002892847</c:v>
                </c:pt>
                <c:pt idx="1461">
                  <c:v>41305.671654044803</c:v>
                </c:pt>
                <c:pt idx="1462">
                  <c:v>41159.385757157543</c:v>
                </c:pt>
                <c:pt idx="1463">
                  <c:v>41358.72038588304</c:v>
                </c:pt>
                <c:pt idx="1464">
                  <c:v>41191.536503726173</c:v>
                </c:pt>
                <c:pt idx="1465">
                  <c:v>40988.986800343817</c:v>
                </c:pt>
                <c:pt idx="1466">
                  <c:v>41038.820457525188</c:v>
                </c:pt>
                <c:pt idx="1467">
                  <c:v>40992.201875000675</c:v>
                </c:pt>
                <c:pt idx="1468">
                  <c:v>40952.013441789895</c:v>
                </c:pt>
                <c:pt idx="1469">
                  <c:v>40717.31299183891</c:v>
                </c:pt>
                <c:pt idx="1470">
                  <c:v>40895.749635294793</c:v>
                </c:pt>
                <c:pt idx="1471">
                  <c:v>40836.270754142832</c:v>
                </c:pt>
                <c:pt idx="1472">
                  <c:v>41058.110905466361</c:v>
                </c:pt>
                <c:pt idx="1473">
                  <c:v>41127.235010588913</c:v>
                </c:pt>
                <c:pt idx="1474">
                  <c:v>40741.426051765382</c:v>
                </c:pt>
                <c:pt idx="1475">
                  <c:v>40860.383814069304</c:v>
                </c:pt>
                <c:pt idx="1476">
                  <c:v>41011.492322941849</c:v>
                </c:pt>
                <c:pt idx="1477">
                  <c:v>41281.558594118331</c:v>
                </c:pt>
                <c:pt idx="1478">
                  <c:v>41307.279191373229</c:v>
                </c:pt>
                <c:pt idx="1479">
                  <c:v>41291.203818088914</c:v>
                </c:pt>
                <c:pt idx="1480">
                  <c:v>41087.046577378132</c:v>
                </c:pt>
                <c:pt idx="1481">
                  <c:v>40979.341576373219</c:v>
                </c:pt>
                <c:pt idx="1482">
                  <c:v>41223.687250294803</c:v>
                </c:pt>
                <c:pt idx="1483">
                  <c:v>41152.955607843818</c:v>
                </c:pt>
                <c:pt idx="1484">
                  <c:v>41292.81135541734</c:v>
                </c:pt>
                <c:pt idx="1485">
                  <c:v>41352.290236569308</c:v>
                </c:pt>
                <c:pt idx="1486">
                  <c:v>41259.053071520284</c:v>
                </c:pt>
                <c:pt idx="1487">
                  <c:v>41376.403296495781</c:v>
                </c:pt>
                <c:pt idx="1488">
                  <c:v>41485.715834829112</c:v>
                </c:pt>
                <c:pt idx="1489">
                  <c:v>41490.538446814411</c:v>
                </c:pt>
                <c:pt idx="1490">
                  <c:v>41632.00173171638</c:v>
                </c:pt>
                <c:pt idx="1491">
                  <c:v>41533.941954682057</c:v>
                </c:pt>
                <c:pt idx="1492">
                  <c:v>41276.735982133032</c:v>
                </c:pt>
                <c:pt idx="1493">
                  <c:v>41159.385757157543</c:v>
                </c:pt>
                <c:pt idx="1494">
                  <c:v>41008.27724828499</c:v>
                </c:pt>
                <c:pt idx="1495">
                  <c:v>40942.368217819305</c:v>
                </c:pt>
                <c:pt idx="1496">
                  <c:v>40712.490379853611</c:v>
                </c:pt>
                <c:pt idx="1497">
                  <c:v>40628.898438775184</c:v>
                </c:pt>
                <c:pt idx="1498">
                  <c:v>40349.186943628119</c:v>
                </c:pt>
                <c:pt idx="1499">
                  <c:v>40209.331196054583</c:v>
                </c:pt>
                <c:pt idx="1500">
                  <c:v>40096.803583064393</c:v>
                </c:pt>
                <c:pt idx="1501">
                  <c:v>39895.861417010463</c:v>
                </c:pt>
                <c:pt idx="1502">
                  <c:v>39952.125223505558</c:v>
                </c:pt>
                <c:pt idx="1503">
                  <c:v>40220.583957353607</c:v>
                </c:pt>
                <c:pt idx="1504">
                  <c:v>40336.326645000663</c:v>
                </c:pt>
                <c:pt idx="1505">
                  <c:v>40529.231124412436</c:v>
                </c:pt>
                <c:pt idx="1506">
                  <c:v>40521.193437770271</c:v>
                </c:pt>
                <c:pt idx="1507">
                  <c:v>40656.226573358508</c:v>
                </c:pt>
                <c:pt idx="1508">
                  <c:v>40656.226573358508</c:v>
                </c:pt>
                <c:pt idx="1509">
                  <c:v>41133.665159902645</c:v>
                </c:pt>
                <c:pt idx="1510">
                  <c:v>41506.613820098719</c:v>
                </c:pt>
                <c:pt idx="1511">
                  <c:v>42183.387035368338</c:v>
                </c:pt>
                <c:pt idx="1512">
                  <c:v>42275.016663088936</c:v>
                </c:pt>
                <c:pt idx="1513">
                  <c:v>42262.15636446148</c:v>
                </c:pt>
                <c:pt idx="1514">
                  <c:v>42347.355842868346</c:v>
                </c:pt>
                <c:pt idx="1515">
                  <c:v>42437.377933260505</c:v>
                </c:pt>
                <c:pt idx="1516">
                  <c:v>42149.628751471282</c:v>
                </c:pt>
                <c:pt idx="1517">
                  <c:v>42430.94778394678</c:v>
                </c:pt>
                <c:pt idx="1518">
                  <c:v>42537.045247623246</c:v>
                </c:pt>
                <c:pt idx="1519">
                  <c:v>42657.610547255601</c:v>
                </c:pt>
                <c:pt idx="1520">
                  <c:v>43057.887342035021</c:v>
                </c:pt>
                <c:pt idx="1521">
                  <c:v>42884.273310564429</c:v>
                </c:pt>
                <c:pt idx="1522">
                  <c:v>42942.144654387965</c:v>
                </c:pt>
                <c:pt idx="1523">
                  <c:v>42831.2245787262</c:v>
                </c:pt>
                <c:pt idx="1524">
                  <c:v>42919.639131789925</c:v>
                </c:pt>
                <c:pt idx="1525">
                  <c:v>42844.084877353642</c:v>
                </c:pt>
                <c:pt idx="1526">
                  <c:v>42869.805474608555</c:v>
                </c:pt>
                <c:pt idx="1527">
                  <c:v>43522.465629951694</c:v>
                </c:pt>
                <c:pt idx="1528">
                  <c:v>43562.654063162481</c:v>
                </c:pt>
                <c:pt idx="1529">
                  <c:v>43504.782719338953</c:v>
                </c:pt>
                <c:pt idx="1530">
                  <c:v>43205.780776250715</c:v>
                </c:pt>
                <c:pt idx="1531">
                  <c:v>43239.539060147777</c:v>
                </c:pt>
                <c:pt idx="1532">
                  <c:v>43244.361672133069</c:v>
                </c:pt>
                <c:pt idx="1533">
                  <c:v>43125.40390982914</c:v>
                </c:pt>
                <c:pt idx="1534">
                  <c:v>42797.466294829144</c:v>
                </c:pt>
                <c:pt idx="1535">
                  <c:v>42876.235623922272</c:v>
                </c:pt>
                <c:pt idx="1536">
                  <c:v>42805.503981471295</c:v>
                </c:pt>
                <c:pt idx="1537">
                  <c:v>42588.486442133064</c:v>
                </c:pt>
                <c:pt idx="1538">
                  <c:v>42292.699573701684</c:v>
                </c:pt>
                <c:pt idx="1539">
                  <c:v>42249.296065834023</c:v>
                </c:pt>
                <c:pt idx="1540">
                  <c:v>42512.932187696773</c:v>
                </c:pt>
                <c:pt idx="1541">
                  <c:v>42610.991964731089</c:v>
                </c:pt>
                <c:pt idx="1542">
                  <c:v>42961.435102329138</c:v>
                </c:pt>
                <c:pt idx="1543">
                  <c:v>43482.277196740913</c:v>
                </c:pt>
                <c:pt idx="1544">
                  <c:v>43471.02443544189</c:v>
                </c:pt>
                <c:pt idx="1545">
                  <c:v>43294.195329314432</c:v>
                </c:pt>
                <c:pt idx="1546">
                  <c:v>43077.177789976195</c:v>
                </c:pt>
                <c:pt idx="1547">
                  <c:v>42776.56830955953</c:v>
                </c:pt>
                <c:pt idx="1548">
                  <c:v>42707.444204436972</c:v>
                </c:pt>
                <c:pt idx="1549">
                  <c:v>42694.58390580953</c:v>
                </c:pt>
                <c:pt idx="1550">
                  <c:v>42873.020549265413</c:v>
                </c:pt>
                <c:pt idx="1551">
                  <c:v>42623.852263358545</c:v>
                </c:pt>
                <c:pt idx="1552">
                  <c:v>42369.861365466386</c:v>
                </c:pt>
                <c:pt idx="1553">
                  <c:v>42045.138825123249</c:v>
                </c:pt>
                <c:pt idx="1554">
                  <c:v>42512.932187696773</c:v>
                </c:pt>
                <c:pt idx="1555">
                  <c:v>42451.845769216394</c:v>
                </c:pt>
                <c:pt idx="1556">
                  <c:v>42805.503981471295</c:v>
                </c:pt>
                <c:pt idx="1557">
                  <c:v>42741.202488334042</c:v>
                </c:pt>
                <c:pt idx="1558">
                  <c:v>42471.136217157567</c:v>
                </c:pt>
                <c:pt idx="1559">
                  <c:v>42458.275918530104</c:v>
                </c:pt>
                <c:pt idx="1560">
                  <c:v>42411.657336005606</c:v>
                </c:pt>
                <c:pt idx="1561">
                  <c:v>42527.400023652663</c:v>
                </c:pt>
                <c:pt idx="1562">
                  <c:v>42553.120620907561</c:v>
                </c:pt>
                <c:pt idx="1563">
                  <c:v>42398.79703737815</c:v>
                </c:pt>
                <c:pt idx="1564">
                  <c:v>42120.693079559518</c:v>
                </c:pt>
                <c:pt idx="1565">
                  <c:v>42194.639796667369</c:v>
                </c:pt>
                <c:pt idx="1566">
                  <c:v>42149.628751471282</c:v>
                </c:pt>
                <c:pt idx="1567">
                  <c:v>42482.388978456584</c:v>
                </c:pt>
                <c:pt idx="1568">
                  <c:v>42733.164801691884</c:v>
                </c:pt>
                <c:pt idx="1569">
                  <c:v>43294.195329314432</c:v>
                </c:pt>
                <c:pt idx="1570">
                  <c:v>43480.669659412488</c:v>
                </c:pt>
                <c:pt idx="1571">
                  <c:v>43128.618984486013</c:v>
                </c:pt>
                <c:pt idx="1572">
                  <c:v>42839.262265368357</c:v>
                </c:pt>
                <c:pt idx="1573">
                  <c:v>42562.765844878151</c:v>
                </c:pt>
                <c:pt idx="1574">
                  <c:v>42871.41301193698</c:v>
                </c:pt>
                <c:pt idx="1575">
                  <c:v>42995.193386226201</c:v>
                </c:pt>
                <c:pt idx="1576">
                  <c:v>42686.546219167372</c:v>
                </c:pt>
                <c:pt idx="1577">
                  <c:v>42799.07383215757</c:v>
                </c:pt>
                <c:pt idx="1578">
                  <c:v>42823.186892084035</c:v>
                </c:pt>
                <c:pt idx="1579">
                  <c:v>43048.242118064438</c:v>
                </c:pt>
                <c:pt idx="1580">
                  <c:v>43427.620927574244</c:v>
                </c:pt>
                <c:pt idx="1581">
                  <c:v>43125.40390982914</c:v>
                </c:pt>
                <c:pt idx="1582">
                  <c:v>43200.958164265423</c:v>
                </c:pt>
                <c:pt idx="1583">
                  <c:v>43382.609882378165</c:v>
                </c:pt>
                <c:pt idx="1584">
                  <c:v>43149.516969755612</c:v>
                </c:pt>
                <c:pt idx="1585">
                  <c:v>43450.126450172284</c:v>
                </c:pt>
                <c:pt idx="1586">
                  <c:v>43358.496822451692</c:v>
                </c:pt>
                <c:pt idx="1587">
                  <c:v>42977.510475613453</c:v>
                </c:pt>
                <c:pt idx="1588">
                  <c:v>42577.233680834033</c:v>
                </c:pt>
                <c:pt idx="1589">
                  <c:v>42723.519577721294</c:v>
                </c:pt>
                <c:pt idx="1590">
                  <c:v>42492.034202427174</c:v>
                </c:pt>
                <c:pt idx="1591">
                  <c:v>42461.490993186977</c:v>
                </c:pt>
                <c:pt idx="1592">
                  <c:v>42487.211590441882</c:v>
                </c:pt>
                <c:pt idx="1593">
                  <c:v>42220.360393922267</c:v>
                </c:pt>
                <c:pt idx="1594">
                  <c:v>42024.240839853635</c:v>
                </c:pt>
                <c:pt idx="1595">
                  <c:v>41931.003674804611</c:v>
                </c:pt>
                <c:pt idx="1596">
                  <c:v>42279.83927507422</c:v>
                </c:pt>
                <c:pt idx="1597">
                  <c:v>42098.187556961486</c:v>
                </c:pt>
                <c:pt idx="1598">
                  <c:v>42008.165466569313</c:v>
                </c:pt>
                <c:pt idx="1599">
                  <c:v>42241.258379191866</c:v>
                </c:pt>
                <c:pt idx="1600">
                  <c:v>42400.404574706576</c:v>
                </c:pt>
                <c:pt idx="1601">
                  <c:v>42578.841218162466</c:v>
                </c:pt>
                <c:pt idx="1602">
                  <c:v>42434.162858603639</c:v>
                </c:pt>
                <c:pt idx="1603">
                  <c:v>41635.216806373239</c:v>
                </c:pt>
                <c:pt idx="1604">
                  <c:v>41514.651506740884</c:v>
                </c:pt>
                <c:pt idx="1605">
                  <c:v>41458.387700245781</c:v>
                </c:pt>
                <c:pt idx="1606">
                  <c:v>41419.806804363427</c:v>
                </c:pt>
                <c:pt idx="1607">
                  <c:v>41421.41434169186</c:v>
                </c:pt>
                <c:pt idx="1608">
                  <c:v>41571.879835633044</c:v>
                </c:pt>
                <c:pt idx="1609">
                  <c:v>41442.312326961473</c:v>
                </c:pt>
                <c:pt idx="1610">
                  <c:v>41951.901660074218</c:v>
                </c:pt>
                <c:pt idx="1611">
                  <c:v>41908.498152206579</c:v>
                </c:pt>
                <c:pt idx="1612">
                  <c:v>41651.292179657554</c:v>
                </c:pt>
                <c:pt idx="1613">
                  <c:v>41818.476061814414</c:v>
                </c:pt>
                <c:pt idx="1614">
                  <c:v>41967.977033358533</c:v>
                </c:pt>
                <c:pt idx="1615">
                  <c:v>41622.356507745782</c:v>
                </c:pt>
                <c:pt idx="1616">
                  <c:v>41649.684642329121</c:v>
                </c:pt>
                <c:pt idx="1617">
                  <c:v>41540.372103995782</c:v>
                </c:pt>
                <c:pt idx="1618">
                  <c:v>41799.185613873233</c:v>
                </c:pt>
                <c:pt idx="1619">
                  <c:v>41707.555986152649</c:v>
                </c:pt>
                <c:pt idx="1620">
                  <c:v>41739.706732721272</c:v>
                </c:pt>
                <c:pt idx="1621">
                  <c:v>41783.110240588918</c:v>
                </c:pt>
                <c:pt idx="1622">
                  <c:v>41752.567031348735</c:v>
                </c:pt>
                <c:pt idx="1623">
                  <c:v>41672.19016492716</c:v>
                </c:pt>
                <c:pt idx="1624">
                  <c:v>41884.385092280107</c:v>
                </c:pt>
                <c:pt idx="1625">
                  <c:v>41321.747027329111</c:v>
                </c:pt>
                <c:pt idx="1626">
                  <c:v>41202.789265025189</c:v>
                </c:pt>
                <c:pt idx="1627">
                  <c:v>41029.175233554604</c:v>
                </c:pt>
                <c:pt idx="1628">
                  <c:v>40966.481277745777</c:v>
                </c:pt>
                <c:pt idx="1629">
                  <c:v>40707.667767868319</c:v>
                </c:pt>
                <c:pt idx="1630">
                  <c:v>40804.120007574209</c:v>
                </c:pt>
                <c:pt idx="1631">
                  <c:v>40789.65217161832</c:v>
                </c:pt>
                <c:pt idx="1632">
                  <c:v>40519.585900441845</c:v>
                </c:pt>
                <c:pt idx="1633">
                  <c:v>40336.326645000663</c:v>
                </c:pt>
                <c:pt idx="1634">
                  <c:v>40238.266867966347</c:v>
                </c:pt>
                <c:pt idx="1635">
                  <c:v>40202.901046740866</c:v>
                </c:pt>
                <c:pt idx="1636">
                  <c:v>40117.701568333992</c:v>
                </c:pt>
                <c:pt idx="1637">
                  <c:v>40244.697017280072</c:v>
                </c:pt>
                <c:pt idx="1638">
                  <c:v>40370.084928897726</c:v>
                </c:pt>
                <c:pt idx="1639">
                  <c:v>40365.262316912427</c:v>
                </c:pt>
                <c:pt idx="1640">
                  <c:v>40360.439704927128</c:v>
                </c:pt>
                <c:pt idx="1641">
                  <c:v>40575.84970693694</c:v>
                </c:pt>
                <c:pt idx="1642">
                  <c:v>40317.036197059489</c:v>
                </c:pt>
                <c:pt idx="1643">
                  <c:v>40233.444255981056</c:v>
                </c:pt>
                <c:pt idx="1644">
                  <c:v>40056.615149853606</c:v>
                </c:pt>
                <c:pt idx="1645">
                  <c:v>39921.582014265368</c:v>
                </c:pt>
                <c:pt idx="1646">
                  <c:v>39902.291566324187</c:v>
                </c:pt>
                <c:pt idx="1647">
                  <c:v>39635.440369804579</c:v>
                </c:pt>
                <c:pt idx="1648">
                  <c:v>39368.589173284963</c:v>
                </c:pt>
                <c:pt idx="1649">
                  <c:v>39145.141484632994</c:v>
                </c:pt>
                <c:pt idx="1650">
                  <c:v>39505.229846201626</c:v>
                </c:pt>
                <c:pt idx="1651">
                  <c:v>39383.057009240845</c:v>
                </c:pt>
                <c:pt idx="1652">
                  <c:v>39492.369547574177</c:v>
                </c:pt>
                <c:pt idx="1653">
                  <c:v>39593.644399265359</c:v>
                </c:pt>
                <c:pt idx="1654">
                  <c:v>39489.154472917318</c:v>
                </c:pt>
                <c:pt idx="1655">
                  <c:v>39350.906262672215</c:v>
                </c:pt>
                <c:pt idx="1656">
                  <c:v>39346.083650686924</c:v>
                </c:pt>
                <c:pt idx="1657">
                  <c:v>39254.454022966333</c:v>
                </c:pt>
                <c:pt idx="1658">
                  <c:v>39191.760067157513</c:v>
                </c:pt>
                <c:pt idx="1659">
                  <c:v>39077.624916838882</c:v>
                </c:pt>
                <c:pt idx="1660">
                  <c:v>39104.953051422213</c:v>
                </c:pt>
                <c:pt idx="1661">
                  <c:v>38891.150586740841</c:v>
                </c:pt>
                <c:pt idx="1662">
                  <c:v>38977.957602476134</c:v>
                </c:pt>
                <c:pt idx="1663">
                  <c:v>38887.935512083968</c:v>
                </c:pt>
                <c:pt idx="1664">
                  <c:v>39042.259095613386</c:v>
                </c:pt>
                <c:pt idx="1665">
                  <c:v>39043.866632941819</c:v>
                </c:pt>
                <c:pt idx="1666">
                  <c:v>38592.148643652596</c:v>
                </c:pt>
                <c:pt idx="1667">
                  <c:v>38484.44364264769</c:v>
                </c:pt>
                <c:pt idx="1668">
                  <c:v>38002.182444118276</c:v>
                </c:pt>
                <c:pt idx="1669">
                  <c:v>37950.741249608473</c:v>
                </c:pt>
                <c:pt idx="1670">
                  <c:v>37886.43975647122</c:v>
                </c:pt>
                <c:pt idx="1671">
                  <c:v>38077.736698554545</c:v>
                </c:pt>
                <c:pt idx="1672">
                  <c:v>38289.931625907499</c:v>
                </c:pt>
                <c:pt idx="1673">
                  <c:v>38473.190881348681</c:v>
                </c:pt>
                <c:pt idx="1674">
                  <c:v>38334.94267110357</c:v>
                </c:pt>
                <c:pt idx="1675">
                  <c:v>38506.949165245736</c:v>
                </c:pt>
                <c:pt idx="1676">
                  <c:v>38974.742527819275</c:v>
                </c:pt>
                <c:pt idx="1677">
                  <c:v>38715.929017941817</c:v>
                </c:pt>
                <c:pt idx="1678">
                  <c:v>38494.08886661828</c:v>
                </c:pt>
                <c:pt idx="1679">
                  <c:v>38659.665211446714</c:v>
                </c:pt>
                <c:pt idx="1680">
                  <c:v>38582.503419682005</c:v>
                </c:pt>
                <c:pt idx="1681">
                  <c:v>38286.716551250625</c:v>
                </c:pt>
                <c:pt idx="1682">
                  <c:v>38474.798418677106</c:v>
                </c:pt>
                <c:pt idx="1683">
                  <c:v>38746.472227182021</c:v>
                </c:pt>
                <c:pt idx="1684">
                  <c:v>38545.530061128091</c:v>
                </c:pt>
                <c:pt idx="1685">
                  <c:v>38471.58334402024</c:v>
                </c:pt>
                <c:pt idx="1686">
                  <c:v>38254.565804682003</c:v>
                </c:pt>
                <c:pt idx="1687">
                  <c:v>38439.43259745161</c:v>
                </c:pt>
                <c:pt idx="1688">
                  <c:v>38895.973198726133</c:v>
                </c:pt>
                <c:pt idx="1689">
                  <c:v>38643.589838162407</c:v>
                </c:pt>
                <c:pt idx="1690">
                  <c:v>38641.982300833974</c:v>
                </c:pt>
                <c:pt idx="1691">
                  <c:v>38587.326031667304</c:v>
                </c:pt>
                <c:pt idx="1692">
                  <c:v>38686.993346030053</c:v>
                </c:pt>
                <c:pt idx="1693">
                  <c:v>38849.354616201614</c:v>
                </c:pt>
                <c:pt idx="1694">
                  <c:v>38539.099911814359</c:v>
                </c:pt>
                <c:pt idx="1695">
                  <c:v>38669.310435417305</c:v>
                </c:pt>
                <c:pt idx="1696">
                  <c:v>38641.982300833974</c:v>
                </c:pt>
                <c:pt idx="1697">
                  <c:v>38396.029089583972</c:v>
                </c:pt>
                <c:pt idx="1698">
                  <c:v>38111.494982451608</c:v>
                </c:pt>
                <c:pt idx="1699">
                  <c:v>38170.973863603569</c:v>
                </c:pt>
                <c:pt idx="1700">
                  <c:v>38238.490431397688</c:v>
                </c:pt>
                <c:pt idx="1701">
                  <c:v>38732.004391226132</c:v>
                </c:pt>
                <c:pt idx="1702">
                  <c:v>38619.476778235934</c:v>
                </c:pt>
                <c:pt idx="1703">
                  <c:v>38691.815958015344</c:v>
                </c:pt>
                <c:pt idx="1704">
                  <c:v>38703.06871931436</c:v>
                </c:pt>
                <c:pt idx="1705">
                  <c:v>38161.328639632986</c:v>
                </c:pt>
                <c:pt idx="1706">
                  <c:v>38116.3175944369</c:v>
                </c:pt>
                <c:pt idx="1707">
                  <c:v>38214.377371471215</c:v>
                </c:pt>
                <c:pt idx="1708">
                  <c:v>38759.332525809463</c:v>
                </c:pt>
                <c:pt idx="1709">
                  <c:v>39215.873127083978</c:v>
                </c:pt>
                <c:pt idx="1710">
                  <c:v>39543.810742083981</c:v>
                </c:pt>
                <c:pt idx="1711">
                  <c:v>39567.923802010453</c:v>
                </c:pt>
                <c:pt idx="1712">
                  <c:v>39514.875070172217</c:v>
                </c:pt>
                <c:pt idx="1713">
                  <c:v>39320.363053432018</c:v>
                </c:pt>
                <c:pt idx="1714">
                  <c:v>39476.294174289862</c:v>
                </c:pt>
                <c:pt idx="1715">
                  <c:v>39297.857530833979</c:v>
                </c:pt>
                <c:pt idx="1716">
                  <c:v>39736.71522149576</c:v>
                </c:pt>
                <c:pt idx="1717">
                  <c:v>39563.101190025161</c:v>
                </c:pt>
                <c:pt idx="1718">
                  <c:v>39571.138876667319</c:v>
                </c:pt>
                <c:pt idx="1719">
                  <c:v>39669.198653701635</c:v>
                </c:pt>
                <c:pt idx="1720">
                  <c:v>39571.138876667319</c:v>
                </c:pt>
                <c:pt idx="1721">
                  <c:v>39397.524845196735</c:v>
                </c:pt>
                <c:pt idx="1722">
                  <c:v>39061.549543554567</c:v>
                </c:pt>
                <c:pt idx="1723">
                  <c:v>39582.391637966342</c:v>
                </c:pt>
                <c:pt idx="1724">
                  <c:v>39612.934847206532</c:v>
                </c:pt>
                <c:pt idx="1725">
                  <c:v>39617.757459191831</c:v>
                </c:pt>
                <c:pt idx="1726">
                  <c:v>39596.859473922217</c:v>
                </c:pt>
                <c:pt idx="1727">
                  <c:v>39543.810742083981</c:v>
                </c:pt>
                <c:pt idx="1728">
                  <c:v>39357.336411985947</c:v>
                </c:pt>
                <c:pt idx="1729">
                  <c:v>38947.414393235937</c:v>
                </c:pt>
                <c:pt idx="1730">
                  <c:v>38759.332525809463</c:v>
                </c:pt>
                <c:pt idx="1731">
                  <c:v>38648.412450147698</c:v>
                </c:pt>
                <c:pt idx="1732">
                  <c:v>38685.38580870162</c:v>
                </c:pt>
                <c:pt idx="1733">
                  <c:v>38961.882229191819</c:v>
                </c:pt>
                <c:pt idx="1734">
                  <c:v>39301.072605490845</c:v>
                </c:pt>
                <c:pt idx="1735">
                  <c:v>39275.352008235939</c:v>
                </c:pt>
                <c:pt idx="1736">
                  <c:v>39320.363053432018</c:v>
                </c:pt>
                <c:pt idx="1737">
                  <c:v>39420.030367794767</c:v>
                </c:pt>
                <c:pt idx="1738">
                  <c:v>39450.573577034964</c:v>
                </c:pt>
                <c:pt idx="1739">
                  <c:v>39341.261038701632</c:v>
                </c:pt>
                <c:pt idx="1740">
                  <c:v>39333.223352059475</c:v>
                </c:pt>
                <c:pt idx="1741">
                  <c:v>39262.49170960849</c:v>
                </c:pt>
                <c:pt idx="1742">
                  <c:v>39006.893274387898</c:v>
                </c:pt>
                <c:pt idx="1743">
                  <c:v>39424.852979780066</c:v>
                </c:pt>
                <c:pt idx="1744">
                  <c:v>39145.141484632994</c:v>
                </c:pt>
                <c:pt idx="1745">
                  <c:v>39555.063503383004</c:v>
                </c:pt>
                <c:pt idx="1746">
                  <c:v>39876.570969069282</c:v>
                </c:pt>
                <c:pt idx="1747">
                  <c:v>39735.107684167328</c:v>
                </c:pt>
                <c:pt idx="1748">
                  <c:v>39948.910148848699</c:v>
                </c:pt>
                <c:pt idx="1749">
                  <c:v>39973.023208775165</c:v>
                </c:pt>
                <c:pt idx="1750">
                  <c:v>40038.93223924085</c:v>
                </c:pt>
                <c:pt idx="1751">
                  <c:v>40037.324701912425</c:v>
                </c:pt>
                <c:pt idx="1752">
                  <c:v>40051.792537868307</c:v>
                </c:pt>
                <c:pt idx="1753">
                  <c:v>39955.340298162424</c:v>
                </c:pt>
                <c:pt idx="1754">
                  <c:v>39717.42477355458</c:v>
                </c:pt>
                <c:pt idx="1755">
                  <c:v>39919.974476936935</c:v>
                </c:pt>
                <c:pt idx="1756">
                  <c:v>40069.475448481047</c:v>
                </c:pt>
                <c:pt idx="1757">
                  <c:v>40349.186943628119</c:v>
                </c:pt>
                <c:pt idx="1758">
                  <c:v>40501.902989829097</c:v>
                </c:pt>
                <c:pt idx="1759">
                  <c:v>40450.461795319301</c:v>
                </c:pt>
                <c:pt idx="1760">
                  <c:v>40767.14664902028</c:v>
                </c:pt>
                <c:pt idx="1761">
                  <c:v>41120.804861275188</c:v>
                </c:pt>
                <c:pt idx="1762">
                  <c:v>41246.192772892842</c:v>
                </c:pt>
                <c:pt idx="1763">
                  <c:v>41488.930909485978</c:v>
                </c:pt>
                <c:pt idx="1764">
                  <c:v>41149.74053318696</c:v>
                </c:pt>
                <c:pt idx="1765">
                  <c:v>41545.194715981073</c:v>
                </c:pt>
                <c:pt idx="1766">
                  <c:v>41360.327923211466</c:v>
                </c:pt>
                <c:pt idx="1767">
                  <c:v>41429.45202833401</c:v>
                </c:pt>
                <c:pt idx="1768">
                  <c:v>41535.54949201049</c:v>
                </c:pt>
                <c:pt idx="1769">
                  <c:v>41440.70478963304</c:v>
                </c:pt>
                <c:pt idx="1770">
                  <c:v>41562.877626593821</c:v>
                </c:pt>
                <c:pt idx="1771">
                  <c:v>41615.926358432065</c:v>
                </c:pt>
                <c:pt idx="1772">
                  <c:v>41548.409790637939</c:v>
                </c:pt>
                <c:pt idx="1773">
                  <c:v>41496.968596128136</c:v>
                </c:pt>
                <c:pt idx="1774">
                  <c:v>41287.988743432055</c:v>
                </c:pt>
                <c:pt idx="1775">
                  <c:v>41138.487771887929</c:v>
                </c:pt>
                <c:pt idx="1776">
                  <c:v>41220.472175637929</c:v>
                </c:pt>
                <c:pt idx="1777">
                  <c:v>41146.525458530086</c:v>
                </c:pt>
                <c:pt idx="1778">
                  <c:v>41271.91337014774</c:v>
                </c:pt>
                <c:pt idx="1779">
                  <c:v>41599.850985147743</c:v>
                </c:pt>
                <c:pt idx="1780">
                  <c:v>41865.094644338933</c:v>
                </c:pt>
                <c:pt idx="1781">
                  <c:v>42038.708675809517</c:v>
                </c:pt>
                <c:pt idx="1782">
                  <c:v>42139.983527500699</c:v>
                </c:pt>
                <c:pt idx="1783">
                  <c:v>42543.475396936978</c:v>
                </c:pt>
                <c:pt idx="1784">
                  <c:v>42397.189500049717</c:v>
                </c:pt>
                <c:pt idx="1785">
                  <c:v>42186.602110025204</c:v>
                </c:pt>
                <c:pt idx="1786">
                  <c:v>42252.511140490897</c:v>
                </c:pt>
                <c:pt idx="1787">
                  <c:v>42194.639796667369</c:v>
                </c:pt>
                <c:pt idx="1788">
                  <c:v>42117.478004902659</c:v>
                </c:pt>
                <c:pt idx="1789">
                  <c:v>42273.409125760503</c:v>
                </c:pt>
                <c:pt idx="1790">
                  <c:v>42001.735317255596</c:v>
                </c:pt>
                <c:pt idx="1791">
                  <c:v>42117.478004902659</c:v>
                </c:pt>
                <c:pt idx="1792">
                  <c:v>42207.50009529481</c:v>
                </c:pt>
                <c:pt idx="1793">
                  <c:v>42164.096587427164</c:v>
                </c:pt>
                <c:pt idx="1794">
                  <c:v>42328.065394927165</c:v>
                </c:pt>
                <c:pt idx="1795">
                  <c:v>42615.814576716388</c:v>
                </c:pt>
                <c:pt idx="1796">
                  <c:v>42893.918534535027</c:v>
                </c:pt>
                <c:pt idx="1797">
                  <c:v>43202.565701593849</c:v>
                </c:pt>
                <c:pt idx="1798">
                  <c:v>42800.681369486003</c:v>
                </c:pt>
                <c:pt idx="1799">
                  <c:v>42729.949727035018</c:v>
                </c:pt>
                <c:pt idx="1800">
                  <c:v>42794.251220172271</c:v>
                </c:pt>
                <c:pt idx="1801">
                  <c:v>42601.346740760506</c:v>
                </c:pt>
                <c:pt idx="1802">
                  <c:v>42530.615098309529</c:v>
                </c:pt>
                <c:pt idx="1803">
                  <c:v>42411.657336005606</c:v>
                </c:pt>
                <c:pt idx="1804">
                  <c:v>42180.171960711486</c:v>
                </c:pt>
                <c:pt idx="1805">
                  <c:v>41326.56963931441</c:v>
                </c:pt>
                <c:pt idx="1806">
                  <c:v>41275.128444804599</c:v>
                </c:pt>
                <c:pt idx="1807">
                  <c:v>41341.037475270285</c:v>
                </c:pt>
                <c:pt idx="1808">
                  <c:v>41323.354564657544</c:v>
                </c:pt>
                <c:pt idx="1809">
                  <c:v>41691.480612868334</c:v>
                </c:pt>
                <c:pt idx="1810">
                  <c:v>41562.877626593821</c:v>
                </c:pt>
                <c:pt idx="1811">
                  <c:v>41701.125836838917</c:v>
                </c:pt>
                <c:pt idx="1812">
                  <c:v>42019.418227868344</c:v>
                </c:pt>
                <c:pt idx="1813">
                  <c:v>41652.899716985979</c:v>
                </c:pt>
                <c:pt idx="1814">
                  <c:v>41908.498152206579</c:v>
                </c:pt>
                <c:pt idx="1815">
                  <c:v>41976.01472000069</c:v>
                </c:pt>
                <c:pt idx="1816">
                  <c:v>42043.531287794816</c:v>
                </c:pt>
                <c:pt idx="1817">
                  <c:v>41914.928301520296</c:v>
                </c:pt>
                <c:pt idx="1818">
                  <c:v>42104.617706275196</c:v>
                </c:pt>
                <c:pt idx="1819">
                  <c:v>42159.273975441873</c:v>
                </c:pt>
                <c:pt idx="1820">
                  <c:v>42424.517634633048</c:v>
                </c:pt>
                <c:pt idx="1821">
                  <c:v>42320.027708285008</c:v>
                </c:pt>
                <c:pt idx="1822">
                  <c:v>42107.832780932069</c:v>
                </c:pt>
                <c:pt idx="1823">
                  <c:v>41640.03941835853</c:v>
                </c:pt>
                <c:pt idx="1824">
                  <c:v>41648.077105000688</c:v>
                </c:pt>
                <c:pt idx="1825">
                  <c:v>41586.990686520294</c:v>
                </c:pt>
                <c:pt idx="1826">
                  <c:v>41484.108297500679</c:v>
                </c:pt>
                <c:pt idx="1827">
                  <c:v>41488.930909485978</c:v>
                </c:pt>
                <c:pt idx="1828">
                  <c:v>41254.230459534992</c:v>
                </c:pt>
                <c:pt idx="1829">
                  <c:v>41424.629416348725</c:v>
                </c:pt>
                <c:pt idx="1830">
                  <c:v>41795.970539216374</c:v>
                </c:pt>
                <c:pt idx="1831">
                  <c:v>41892.422778922257</c:v>
                </c:pt>
                <c:pt idx="1832">
                  <c:v>41971.192108015399</c:v>
                </c:pt>
                <c:pt idx="1833">
                  <c:v>41757.38964333402</c:v>
                </c:pt>
                <c:pt idx="1834">
                  <c:v>41612.711283775199</c:v>
                </c:pt>
                <c:pt idx="1835">
                  <c:v>41334.607325956567</c:v>
                </c:pt>
                <c:pt idx="1836">
                  <c:v>41035.605382868322</c:v>
                </c:pt>
                <c:pt idx="1837">
                  <c:v>41019.530009584007</c:v>
                </c:pt>
                <c:pt idx="1838">
                  <c:v>41014.707397598722</c:v>
                </c:pt>
                <c:pt idx="1839">
                  <c:v>40815.372768873225</c:v>
                </c:pt>
                <c:pt idx="1840">
                  <c:v>40884.496873995769</c:v>
                </c:pt>
                <c:pt idx="1841">
                  <c:v>41178.676205098716</c:v>
                </c:pt>
                <c:pt idx="1842">
                  <c:v>41287.988743432055</c:v>
                </c:pt>
                <c:pt idx="1843">
                  <c:v>41136.880234559496</c:v>
                </c:pt>
                <c:pt idx="1844">
                  <c:v>41226.902324951661</c:v>
                </c:pt>
                <c:pt idx="1845">
                  <c:v>41275.128444804599</c:v>
                </c:pt>
                <c:pt idx="1846">
                  <c:v>40861.991351397737</c:v>
                </c:pt>
                <c:pt idx="1847">
                  <c:v>41106.337025319306</c:v>
                </c:pt>
                <c:pt idx="1848">
                  <c:v>41191.536503726173</c:v>
                </c:pt>
                <c:pt idx="1849">
                  <c:v>41320.139490000685</c:v>
                </c:pt>
                <c:pt idx="1850">
                  <c:v>41349.075161912442</c:v>
                </c:pt>
                <c:pt idx="1851">
                  <c:v>41381.225908481072</c:v>
                </c:pt>
                <c:pt idx="1852">
                  <c:v>41654.507254314412</c:v>
                </c:pt>
                <c:pt idx="1853">
                  <c:v>41744.529344706571</c:v>
                </c:pt>
                <c:pt idx="1854">
                  <c:v>41767.03486730461</c:v>
                </c:pt>
                <c:pt idx="1855">
                  <c:v>41529.119342696766</c:v>
                </c:pt>
                <c:pt idx="1856">
                  <c:v>41178.676205098716</c:v>
                </c:pt>
                <c:pt idx="1857">
                  <c:v>41051.680756152637</c:v>
                </c:pt>
                <c:pt idx="1858">
                  <c:v>40868.421500711462</c:v>
                </c:pt>
                <c:pt idx="1859">
                  <c:v>40953.620979118321</c:v>
                </c:pt>
                <c:pt idx="1860">
                  <c:v>41270.305832819307</c:v>
                </c:pt>
                <c:pt idx="1861">
                  <c:v>41233.332474265386</c:v>
                </c:pt>
                <c:pt idx="1862">
                  <c:v>41098.299338677141</c:v>
                </c:pt>
                <c:pt idx="1863">
                  <c:v>41206.004339682055</c:v>
                </c:pt>
                <c:pt idx="1864">
                  <c:v>41183.498817084015</c:v>
                </c:pt>
                <c:pt idx="1865">
                  <c:v>41652.899716985979</c:v>
                </c:pt>
                <c:pt idx="1866">
                  <c:v>42345.748305539913</c:v>
                </c:pt>
                <c:pt idx="1867">
                  <c:v>42575.6261435056</c:v>
                </c:pt>
                <c:pt idx="1868">
                  <c:v>42922.854206446784</c:v>
                </c:pt>
                <c:pt idx="1869">
                  <c:v>42937.322042402673</c:v>
                </c:pt>
                <c:pt idx="1870">
                  <c:v>43102.898387231107</c:v>
                </c:pt>
                <c:pt idx="1871">
                  <c:v>42715.481891079136</c:v>
                </c:pt>
                <c:pt idx="1872">
                  <c:v>42577.233680834033</c:v>
                </c:pt>
                <c:pt idx="1873">
                  <c:v>42836.047190711492</c:v>
                </c:pt>
                <c:pt idx="1874">
                  <c:v>42950.182341030122</c:v>
                </c:pt>
                <c:pt idx="1875">
                  <c:v>43443.696300858559</c:v>
                </c:pt>
                <c:pt idx="1876">
                  <c:v>43123.796372500707</c:v>
                </c:pt>
                <c:pt idx="1877">
                  <c:v>43125.40390982914</c:v>
                </c:pt>
                <c:pt idx="1878">
                  <c:v>43212.210925564432</c:v>
                </c:pt>
                <c:pt idx="1879">
                  <c:v>44351.954891422305</c:v>
                </c:pt>
                <c:pt idx="1880">
                  <c:v>44919.415568358585</c:v>
                </c:pt>
                <c:pt idx="1881">
                  <c:v>45194.304451520351</c:v>
                </c:pt>
                <c:pt idx="1882">
                  <c:v>46020.578638334096</c:v>
                </c:pt>
                <c:pt idx="1883">
                  <c:v>45138.040645025256</c:v>
                </c:pt>
                <c:pt idx="1884">
                  <c:v>45091.422062500744</c:v>
                </c:pt>
                <c:pt idx="1885">
                  <c:v>45300.401915196824</c:v>
                </c:pt>
                <c:pt idx="1886">
                  <c:v>44692.752805049757</c:v>
                </c:pt>
                <c:pt idx="1887">
                  <c:v>44723.296014289946</c:v>
                </c:pt>
                <c:pt idx="1888">
                  <c:v>45445.080274755652</c:v>
                </c:pt>
                <c:pt idx="1889">
                  <c:v>45490.091319951731</c:v>
                </c:pt>
                <c:pt idx="1890">
                  <c:v>44646.134222525245</c:v>
                </c:pt>
                <c:pt idx="1891">
                  <c:v>45014.260270736035</c:v>
                </c:pt>
                <c:pt idx="1892">
                  <c:v>44739.371387574269</c:v>
                </c:pt>
                <c:pt idx="1893">
                  <c:v>45277.896392598785</c:v>
                </c:pt>
                <c:pt idx="1894">
                  <c:v>45453.117961397809</c:v>
                </c:pt>
                <c:pt idx="1895">
                  <c:v>45255.390870000745</c:v>
                </c:pt>
                <c:pt idx="1896">
                  <c:v>45409.714453530163</c:v>
                </c:pt>
                <c:pt idx="1897">
                  <c:v>45327.730049780155</c:v>
                </c:pt>
                <c:pt idx="1898">
                  <c:v>45343.80542306447</c:v>
                </c:pt>
                <c:pt idx="1899">
                  <c:v>45572.075723701739</c:v>
                </c:pt>
                <c:pt idx="1900">
                  <c:v>46287.429834853705</c:v>
                </c:pt>
                <c:pt idx="1901">
                  <c:v>45903.2284133586</c:v>
                </c:pt>
                <c:pt idx="1902">
                  <c:v>45832.496770907615</c:v>
                </c:pt>
                <c:pt idx="1903">
                  <c:v>45877.507816103702</c:v>
                </c:pt>
                <c:pt idx="1904">
                  <c:v>45528.672215834078</c:v>
                </c:pt>
                <c:pt idx="1905">
                  <c:v>45666.920426079188</c:v>
                </c:pt>
                <c:pt idx="1906">
                  <c:v>45623.516918211535</c:v>
                </c:pt>
                <c:pt idx="1907">
                  <c:v>45843.749532206646</c:v>
                </c:pt>
                <c:pt idx="1908">
                  <c:v>45896.798264044875</c:v>
                </c:pt>
                <c:pt idx="1909">
                  <c:v>45229.67027274584</c:v>
                </c:pt>
                <c:pt idx="1910">
                  <c:v>46353.338865319391</c:v>
                </c:pt>
                <c:pt idx="1911">
                  <c:v>47108.881409682152</c:v>
                </c:pt>
                <c:pt idx="1912">
                  <c:v>47108.881409682152</c:v>
                </c:pt>
                <c:pt idx="1913">
                  <c:v>48420.631869682169</c:v>
                </c:pt>
                <c:pt idx="1914">
                  <c:v>48089.479180025301</c:v>
                </c:pt>
                <c:pt idx="1915">
                  <c:v>48152.173135834128</c:v>
                </c:pt>
                <c:pt idx="1916">
                  <c:v>48377.228361814523</c:v>
                </c:pt>
                <c:pt idx="1917">
                  <c:v>48174.678658432174</c:v>
                </c:pt>
                <c:pt idx="1918">
                  <c:v>48652.117244976296</c:v>
                </c:pt>
                <c:pt idx="1919">
                  <c:v>48729.279036741005</c:v>
                </c:pt>
                <c:pt idx="1920">
                  <c:v>48716.418738113549</c:v>
                </c:pt>
                <c:pt idx="1921">
                  <c:v>48116.807314608639</c:v>
                </c:pt>
                <c:pt idx="1922">
                  <c:v>48372.405749829224</c:v>
                </c:pt>
                <c:pt idx="1923">
                  <c:v>48330.609779290018</c:v>
                </c:pt>
                <c:pt idx="1924">
                  <c:v>48292.028883407664</c:v>
                </c:pt>
                <c:pt idx="1925">
                  <c:v>48348.292689902759</c:v>
                </c:pt>
                <c:pt idx="1926">
                  <c:v>49285.486952378262</c:v>
                </c:pt>
                <c:pt idx="1927">
                  <c:v>49420.520087966499</c:v>
                </c:pt>
                <c:pt idx="1928">
                  <c:v>49518.579865000815</c:v>
                </c:pt>
                <c:pt idx="1929">
                  <c:v>49139.201055491008</c:v>
                </c:pt>
                <c:pt idx="1930">
                  <c:v>49060.431726397874</c:v>
                </c:pt>
                <c:pt idx="1931">
                  <c:v>49443.025610564539</c:v>
                </c:pt>
                <c:pt idx="1932">
                  <c:v>49708.269269755721</c:v>
                </c:pt>
                <c:pt idx="1933">
                  <c:v>49161.706578089048</c:v>
                </c:pt>
                <c:pt idx="1934">
                  <c:v>48988.092546618456</c:v>
                </c:pt>
                <c:pt idx="1935">
                  <c:v>48521.906721373351</c:v>
                </c:pt>
                <c:pt idx="1936">
                  <c:v>48169.856046446876</c:v>
                </c:pt>
                <c:pt idx="1937">
                  <c:v>47925.510372525299</c:v>
                </c:pt>
                <c:pt idx="1938">
                  <c:v>48714.811200785123</c:v>
                </c:pt>
                <c:pt idx="1939">
                  <c:v>48325.787167304719</c:v>
                </c:pt>
                <c:pt idx="1940">
                  <c:v>48136.09776254982</c:v>
                </c:pt>
                <c:pt idx="1941">
                  <c:v>48293.636420736082</c:v>
                </c:pt>
                <c:pt idx="1942">
                  <c:v>48338.647465932168</c:v>
                </c:pt>
                <c:pt idx="1943">
                  <c:v>48248.625375540018</c:v>
                </c:pt>
                <c:pt idx="1944">
                  <c:v>48287.206271422372</c:v>
                </c:pt>
                <c:pt idx="1945">
                  <c:v>48936.651352108645</c:v>
                </c:pt>
                <c:pt idx="1946">
                  <c:v>48890.032769584148</c:v>
                </c:pt>
                <c:pt idx="1947">
                  <c:v>49150.453816790025</c:v>
                </c:pt>
                <c:pt idx="1948">
                  <c:v>48431.884630981192</c:v>
                </c:pt>
                <c:pt idx="1949">
                  <c:v>47901.397312598834</c:v>
                </c:pt>
                <c:pt idx="1950">
                  <c:v>47753.503878383141</c:v>
                </c:pt>
                <c:pt idx="1951">
                  <c:v>47372.517531544901</c:v>
                </c:pt>
                <c:pt idx="1952">
                  <c:v>47988.204328334119</c:v>
                </c:pt>
                <c:pt idx="1953">
                  <c:v>48775.89761926551</c:v>
                </c:pt>
                <c:pt idx="1954">
                  <c:v>48198.79171835864</c:v>
                </c:pt>
                <c:pt idx="1955">
                  <c:v>48266.308286152758</c:v>
                </c:pt>
                <c:pt idx="1956">
                  <c:v>48414.201720368445</c:v>
                </c:pt>
                <c:pt idx="1957">
                  <c:v>48459.212765564524</c:v>
                </c:pt>
                <c:pt idx="1958">
                  <c:v>48058.935970785111</c:v>
                </c:pt>
                <c:pt idx="1959">
                  <c:v>47555.776786986076</c:v>
                </c:pt>
                <c:pt idx="1960">
                  <c:v>47923.902835196866</c:v>
                </c:pt>
                <c:pt idx="1961">
                  <c:v>47833.880744804708</c:v>
                </c:pt>
                <c:pt idx="1962">
                  <c:v>47747.073729069416</c:v>
                </c:pt>
                <c:pt idx="1963">
                  <c:v>47989.811865662559</c:v>
                </c:pt>
                <c:pt idx="1964">
                  <c:v>47904.612387255685</c:v>
                </c:pt>
                <c:pt idx="1965">
                  <c:v>47957.661119093937</c:v>
                </c:pt>
                <c:pt idx="1966">
                  <c:v>47755.111415711566</c:v>
                </c:pt>
                <c:pt idx="1967">
                  <c:v>48047.683209486087</c:v>
                </c:pt>
                <c:pt idx="1968">
                  <c:v>48115.199777280206</c:v>
                </c:pt>
                <c:pt idx="1969">
                  <c:v>48658.547394290021</c:v>
                </c:pt>
                <c:pt idx="1970">
                  <c:v>47981.774179020402</c:v>
                </c:pt>
                <c:pt idx="1971">
                  <c:v>47800.122460907653</c:v>
                </c:pt>
                <c:pt idx="1972">
                  <c:v>47972.128955049811</c:v>
                </c:pt>
                <c:pt idx="1973">
                  <c:v>48578.170527868453</c:v>
                </c:pt>
                <c:pt idx="1974">
                  <c:v>48509.046422745894</c:v>
                </c:pt>
                <c:pt idx="1975">
                  <c:v>48529.944408015508</c:v>
                </c:pt>
                <c:pt idx="1976">
                  <c:v>47870.85410335863</c:v>
                </c:pt>
                <c:pt idx="1977">
                  <c:v>47777.616938309613</c:v>
                </c:pt>
                <c:pt idx="1978">
                  <c:v>47719.745594486078</c:v>
                </c:pt>
                <c:pt idx="1979">
                  <c:v>47073.515588456663</c:v>
                </c:pt>
                <c:pt idx="1980">
                  <c:v>46898.294019657638</c:v>
                </c:pt>
                <c:pt idx="1981">
                  <c:v>46684.491554976259</c:v>
                </c:pt>
                <c:pt idx="1982">
                  <c:v>47033.327155245875</c:v>
                </c:pt>
                <c:pt idx="1983">
                  <c:v>47153.892454878231</c:v>
                </c:pt>
                <c:pt idx="1984">
                  <c:v>47161.930141520388</c:v>
                </c:pt>
                <c:pt idx="1985">
                  <c:v>47186.043201446861</c:v>
                </c:pt>
                <c:pt idx="1986">
                  <c:v>47211.763798701759</c:v>
                </c:pt>
                <c:pt idx="1987">
                  <c:v>47316.253725049806</c:v>
                </c:pt>
                <c:pt idx="1988">
                  <c:v>47166.75275350568</c:v>
                </c:pt>
                <c:pt idx="1989">
                  <c:v>47083.160812427253</c:v>
                </c:pt>
                <c:pt idx="1990">
                  <c:v>46888.648795687055</c:v>
                </c:pt>
                <c:pt idx="1991">
                  <c:v>46768.083496054693</c:v>
                </c:pt>
                <c:pt idx="1992">
                  <c:v>46758.438272084102</c:v>
                </c:pt>
                <c:pt idx="1993">
                  <c:v>46768.083496054693</c:v>
                </c:pt>
                <c:pt idx="1994">
                  <c:v>46944.91260218215</c:v>
                </c:pt>
                <c:pt idx="1995">
                  <c:v>46977.063348750773</c:v>
                </c:pt>
                <c:pt idx="1996">
                  <c:v>47496.297905834115</c:v>
                </c:pt>
                <c:pt idx="1997">
                  <c:v>47425.566263383131</c:v>
                </c:pt>
                <c:pt idx="1998">
                  <c:v>47452.894397966469</c:v>
                </c:pt>
                <c:pt idx="1999">
                  <c:v>46928.837228897835</c:v>
                </c:pt>
                <c:pt idx="2000">
                  <c:v>46994.746259363521</c:v>
                </c:pt>
                <c:pt idx="2001">
                  <c:v>47099.236185711561</c:v>
                </c:pt>
                <c:pt idx="2002">
                  <c:v>47158.715066863522</c:v>
                </c:pt>
                <c:pt idx="2003">
                  <c:v>47190.865813432145</c:v>
                </c:pt>
                <c:pt idx="2004">
                  <c:v>47152.28491754979</c:v>
                </c:pt>
                <c:pt idx="2005">
                  <c:v>47515.588353775303</c:v>
                </c:pt>
                <c:pt idx="2006">
                  <c:v>47448.07178598117</c:v>
                </c:pt>
                <c:pt idx="2007">
                  <c:v>47391.807979486075</c:v>
                </c:pt>
                <c:pt idx="2008">
                  <c:v>47477.007457892942</c:v>
                </c:pt>
                <c:pt idx="2009">
                  <c:v>47550.954175000785</c:v>
                </c:pt>
                <c:pt idx="2010">
                  <c:v>47650.621489363533</c:v>
                </c:pt>
                <c:pt idx="2011">
                  <c:v>48595.853438481194</c:v>
                </c:pt>
                <c:pt idx="2012">
                  <c:v>48700.343364829234</c:v>
                </c:pt>
                <c:pt idx="2013">
                  <c:v>49097.405084951788</c:v>
                </c:pt>
                <c:pt idx="2014">
                  <c:v>49793.468748162588</c:v>
                </c:pt>
                <c:pt idx="2015">
                  <c:v>50576.339427108673</c:v>
                </c:pt>
                <c:pt idx="2016">
                  <c:v>50407.548007623373</c:v>
                </c:pt>
                <c:pt idx="2017">
                  <c:v>50539.366068554758</c:v>
                </c:pt>
                <c:pt idx="2018">
                  <c:v>49857.770241299841</c:v>
                </c:pt>
                <c:pt idx="2019">
                  <c:v>49949.399869020432</c:v>
                </c:pt>
                <c:pt idx="2020">
                  <c:v>49830.442106716509</c:v>
                </c:pt>
                <c:pt idx="2021">
                  <c:v>49676.118523187091</c:v>
                </c:pt>
                <c:pt idx="2022">
                  <c:v>49801.506434804745</c:v>
                </c:pt>
                <c:pt idx="2023">
                  <c:v>49979.943078260629</c:v>
                </c:pt>
                <c:pt idx="2024">
                  <c:v>50078.002855294937</c:v>
                </c:pt>
                <c:pt idx="2025">
                  <c:v>50159.987259044945</c:v>
                </c:pt>
                <c:pt idx="2026">
                  <c:v>49875.453151912589</c:v>
                </c:pt>
                <c:pt idx="2027">
                  <c:v>50055.497332696912</c:v>
                </c:pt>
                <c:pt idx="2028">
                  <c:v>50248.401812108677</c:v>
                </c:pt>
                <c:pt idx="2029">
                  <c:v>50293.412857304749</c:v>
                </c:pt>
                <c:pt idx="2030">
                  <c:v>50801.394653089068</c:v>
                </c:pt>
                <c:pt idx="2031">
                  <c:v>50605.275099020444</c:v>
                </c:pt>
                <c:pt idx="2032">
                  <c:v>50587.592188407696</c:v>
                </c:pt>
                <c:pt idx="2033">
                  <c:v>50741.915771937107</c:v>
                </c:pt>
                <c:pt idx="2034">
                  <c:v>50933.212714020447</c:v>
                </c:pt>
                <c:pt idx="2035">
                  <c:v>50629.388158946917</c:v>
                </c:pt>
                <c:pt idx="2036">
                  <c:v>50102.11591522141</c:v>
                </c:pt>
                <c:pt idx="2037">
                  <c:v>49939.754645049848</c:v>
                </c:pt>
                <c:pt idx="2038">
                  <c:v>50261.262110736119</c:v>
                </c:pt>
                <c:pt idx="2039">
                  <c:v>50561.871591152798</c:v>
                </c:pt>
                <c:pt idx="2040">
                  <c:v>50579.554501765546</c:v>
                </c:pt>
                <c:pt idx="2041">
                  <c:v>50492.747486030246</c:v>
                </c:pt>
                <c:pt idx="2042">
                  <c:v>50274.122409363576</c:v>
                </c:pt>
                <c:pt idx="2043">
                  <c:v>50639.033382917507</c:v>
                </c:pt>
                <c:pt idx="2044">
                  <c:v>50843.190623628296</c:v>
                </c:pt>
                <c:pt idx="2045">
                  <c:v>50823.900175687115</c:v>
                </c:pt>
                <c:pt idx="2046">
                  <c:v>51114.864432133196</c:v>
                </c:pt>
                <c:pt idx="2047">
                  <c:v>51576.22764539301</c:v>
                </c:pt>
                <c:pt idx="2048">
                  <c:v>52052.058694608706</c:v>
                </c:pt>
                <c:pt idx="2049">
                  <c:v>52833.321836226358</c:v>
                </c:pt>
                <c:pt idx="2050">
                  <c:v>53744.795501446963</c:v>
                </c:pt>
                <c:pt idx="2051">
                  <c:v>53058.37706220676</c:v>
                </c:pt>
                <c:pt idx="2052">
                  <c:v>52563.255565049891</c:v>
                </c:pt>
                <c:pt idx="2053">
                  <c:v>53113.033331373423</c:v>
                </c:pt>
                <c:pt idx="2054">
                  <c:v>51757.879363505752</c:v>
                </c:pt>
                <c:pt idx="2055">
                  <c:v>51429.941748505757</c:v>
                </c:pt>
                <c:pt idx="2056">
                  <c:v>51939.531081618501</c:v>
                </c:pt>
                <c:pt idx="2057">
                  <c:v>52786.703253701853</c:v>
                </c:pt>
                <c:pt idx="2058">
                  <c:v>53357.379005294992</c:v>
                </c:pt>
                <c:pt idx="2059">
                  <c:v>54130.604460270508</c:v>
                </c:pt>
                <c:pt idx="2060">
                  <c:v>53772.123636030301</c:v>
                </c:pt>
                <c:pt idx="2061">
                  <c:v>53231.991093677352</c:v>
                </c:pt>
                <c:pt idx="2062">
                  <c:v>53169.297137868525</c:v>
                </c:pt>
                <c:pt idx="2063">
                  <c:v>50499.177635343971</c:v>
                </c:pt>
                <c:pt idx="2064">
                  <c:v>50245.186737451811</c:v>
                </c:pt>
                <c:pt idx="2065">
                  <c:v>47830.66567014785</c:v>
                </c:pt>
                <c:pt idx="2066">
                  <c:v>49389.976878726309</c:v>
                </c:pt>
                <c:pt idx="2067">
                  <c:v>48168.248509118443</c:v>
                </c:pt>
                <c:pt idx="2068">
                  <c:v>47398.238128799807</c:v>
                </c:pt>
                <c:pt idx="2069">
                  <c:v>48046.075672157654</c:v>
                </c:pt>
                <c:pt idx="2070">
                  <c:v>49042.748815785126</c:v>
                </c:pt>
                <c:pt idx="2071">
                  <c:v>51626.061302574381</c:v>
                </c:pt>
                <c:pt idx="2072">
                  <c:v>51616.41607860379</c:v>
                </c:pt>
                <c:pt idx="2073">
                  <c:v>52560.040490393018</c:v>
                </c:pt>
                <c:pt idx="2074">
                  <c:v>51997.402425442036</c:v>
                </c:pt>
                <c:pt idx="2075">
                  <c:v>52029.553172010659</c:v>
                </c:pt>
                <c:pt idx="2076">
                  <c:v>51728.943691593988</c:v>
                </c:pt>
                <c:pt idx="2077">
                  <c:v>50687.259502770445</c:v>
                </c:pt>
                <c:pt idx="2078">
                  <c:v>51981.327052157714</c:v>
                </c:pt>
                <c:pt idx="2079">
                  <c:v>51862.369289853792</c:v>
                </c:pt>
                <c:pt idx="2080">
                  <c:v>52994.0755690695</c:v>
                </c:pt>
                <c:pt idx="2081">
                  <c:v>53024.618778309705</c:v>
                </c:pt>
                <c:pt idx="2082">
                  <c:v>52978.000195785185</c:v>
                </c:pt>
                <c:pt idx="2083">
                  <c:v>54034.152220564618</c:v>
                </c:pt>
                <c:pt idx="2084">
                  <c:v>56003.385447893081</c:v>
                </c:pt>
                <c:pt idx="2085">
                  <c:v>55255.880590172485</c:v>
                </c:pt>
                <c:pt idx="2086">
                  <c:v>55604.716190442094</c:v>
                </c:pt>
                <c:pt idx="2087">
                  <c:v>54416.74610473129</c:v>
                </c:pt>
                <c:pt idx="2088">
                  <c:v>54212.588864020501</c:v>
                </c:pt>
                <c:pt idx="2089">
                  <c:v>54079.16326576069</c:v>
                </c:pt>
                <c:pt idx="2090">
                  <c:v>54995.459542966593</c:v>
                </c:pt>
                <c:pt idx="2091">
                  <c:v>55821.733729780331</c:v>
                </c:pt>
                <c:pt idx="2092">
                  <c:v>55167.466037108752</c:v>
                </c:pt>
                <c:pt idx="2093">
                  <c:v>55136.922827868562</c:v>
                </c:pt>
                <c:pt idx="2094">
                  <c:v>54384.59535816266</c:v>
                </c:pt>
                <c:pt idx="2095">
                  <c:v>54763.974167672473</c:v>
                </c:pt>
                <c:pt idx="2096">
                  <c:v>54744.683719731293</c:v>
                </c:pt>
                <c:pt idx="2097">
                  <c:v>54214.196401348934</c:v>
                </c:pt>
                <c:pt idx="2098">
                  <c:v>54948.840960442074</c:v>
                </c:pt>
                <c:pt idx="2099">
                  <c:v>54641.801330711685</c:v>
                </c:pt>
                <c:pt idx="2100">
                  <c:v>54382.987820834234</c:v>
                </c:pt>
                <c:pt idx="2101">
                  <c:v>54786.479690270513</c:v>
                </c:pt>
                <c:pt idx="2102">
                  <c:v>54744.683719731293</c:v>
                </c:pt>
                <c:pt idx="2103">
                  <c:v>54733.430958432276</c:v>
                </c:pt>
                <c:pt idx="2104">
                  <c:v>54926.335437844042</c:v>
                </c:pt>
                <c:pt idx="2105">
                  <c:v>55672.232758236212</c:v>
                </c:pt>
                <c:pt idx="2106">
                  <c:v>55792.798057868567</c:v>
                </c:pt>
                <c:pt idx="2107">
                  <c:v>55771.900072598961</c:v>
                </c:pt>
                <c:pt idx="2108">
                  <c:v>55876.389998947008</c:v>
                </c:pt>
                <c:pt idx="2109">
                  <c:v>56209.150225932295</c:v>
                </c:pt>
                <c:pt idx="2110">
                  <c:v>55456.822756226407</c:v>
                </c:pt>
                <c:pt idx="2111">
                  <c:v>55734.926714045039</c:v>
                </c:pt>
                <c:pt idx="2112">
                  <c:v>55307.321784682288</c:v>
                </c:pt>
                <c:pt idx="2113">
                  <c:v>54482.655135196968</c:v>
                </c:pt>
                <c:pt idx="2114">
                  <c:v>55214.084619633264</c:v>
                </c:pt>
                <c:pt idx="2115">
                  <c:v>55578.995593187195</c:v>
                </c:pt>
                <c:pt idx="2116">
                  <c:v>55640.082011667582</c:v>
                </c:pt>
                <c:pt idx="2117">
                  <c:v>56011.423134535245</c:v>
                </c:pt>
                <c:pt idx="2118">
                  <c:v>54828.275660809726</c:v>
                </c:pt>
                <c:pt idx="2119">
                  <c:v>54657.876703995993</c:v>
                </c:pt>
                <c:pt idx="2120">
                  <c:v>54124.174310956776</c:v>
                </c:pt>
                <c:pt idx="2121">
                  <c:v>54346.014462280305</c:v>
                </c:pt>
                <c:pt idx="2122">
                  <c:v>55090.304245344043</c:v>
                </c:pt>
                <c:pt idx="2123">
                  <c:v>55365.193128505816</c:v>
                </c:pt>
                <c:pt idx="2124">
                  <c:v>55886.035222917591</c:v>
                </c:pt>
                <c:pt idx="2125">
                  <c:v>55733.319176716606</c:v>
                </c:pt>
                <c:pt idx="2126">
                  <c:v>54992.244468309735</c:v>
                </c:pt>
                <c:pt idx="2127">
                  <c:v>55294.461486054832</c:v>
                </c:pt>
                <c:pt idx="2128">
                  <c:v>55439.139845613659</c:v>
                </c:pt>
                <c:pt idx="2129">
                  <c:v>55283.208724755816</c:v>
                </c:pt>
                <c:pt idx="2130">
                  <c:v>55773.507609927394</c:v>
                </c:pt>
                <c:pt idx="2131">
                  <c:v>56644.792841937204</c:v>
                </c:pt>
                <c:pt idx="2132">
                  <c:v>56871.455605246039</c:v>
                </c:pt>
                <c:pt idx="2133">
                  <c:v>56779.825977525448</c:v>
                </c:pt>
                <c:pt idx="2134">
                  <c:v>56474.393885123478</c:v>
                </c:pt>
                <c:pt idx="2135">
                  <c:v>56186.644703334263</c:v>
                </c:pt>
                <c:pt idx="2136">
                  <c:v>56958.262620981332</c:v>
                </c:pt>
                <c:pt idx="2137">
                  <c:v>56845.735007991134</c:v>
                </c:pt>
                <c:pt idx="2138">
                  <c:v>56940.579710368584</c:v>
                </c:pt>
                <c:pt idx="2139">
                  <c:v>57146.344488407805</c:v>
                </c:pt>
                <c:pt idx="2140">
                  <c:v>57000.058591520552</c:v>
                </c:pt>
                <c:pt idx="2141">
                  <c:v>57482.319790049973</c:v>
                </c:pt>
                <c:pt idx="2142">
                  <c:v>57535.368521888202</c:v>
                </c:pt>
                <c:pt idx="2143">
                  <c:v>58228.217110442129</c:v>
                </c:pt>
                <c:pt idx="2144">
                  <c:v>58260.367857010766</c:v>
                </c:pt>
                <c:pt idx="2145">
                  <c:v>57971.011137893111</c:v>
                </c:pt>
                <c:pt idx="2146">
                  <c:v>58112.474422795072</c:v>
                </c:pt>
                <c:pt idx="2147">
                  <c:v>57932.430242010763</c:v>
                </c:pt>
                <c:pt idx="2148">
                  <c:v>58019.237257746048</c:v>
                </c:pt>
                <c:pt idx="2149">
                  <c:v>58118.904572108804</c:v>
                </c:pt>
                <c:pt idx="2150">
                  <c:v>58107.651810809781</c:v>
                </c:pt>
                <c:pt idx="2151">
                  <c:v>58374.503007329396</c:v>
                </c:pt>
                <c:pt idx="2152">
                  <c:v>59239.358090025482</c:v>
                </c:pt>
                <c:pt idx="2153">
                  <c:v>59556.042943726476</c:v>
                </c:pt>
                <c:pt idx="2154">
                  <c:v>60388.747279853938</c:v>
                </c:pt>
                <c:pt idx="2155">
                  <c:v>61153.935048187275</c:v>
                </c:pt>
                <c:pt idx="2156">
                  <c:v>62264.743342133384</c:v>
                </c:pt>
                <c:pt idx="2157">
                  <c:v>62401.384015050047</c:v>
                </c:pt>
                <c:pt idx="2158">
                  <c:v>62722.891480736333</c:v>
                </c:pt>
                <c:pt idx="2159">
                  <c:v>62939.90902007457</c:v>
                </c:pt>
                <c:pt idx="2160">
                  <c:v>63173.001932697123</c:v>
                </c:pt>
                <c:pt idx="2161">
                  <c:v>62968.844691986335</c:v>
                </c:pt>
                <c:pt idx="2162">
                  <c:v>63590.961638089291</c:v>
                </c:pt>
                <c:pt idx="2163">
                  <c:v>65849.551584535409</c:v>
                </c:pt>
                <c:pt idx="2164">
                  <c:v>66460.415769339335</c:v>
                </c:pt>
                <c:pt idx="2165">
                  <c:v>65302.988892868729</c:v>
                </c:pt>
                <c:pt idx="2166">
                  <c:v>65732.201359559913</c:v>
                </c:pt>
                <c:pt idx="2167">
                  <c:v>62361.195581839267</c:v>
                </c:pt>
                <c:pt idx="2168">
                  <c:v>62112.027295932399</c:v>
                </c:pt>
                <c:pt idx="2169">
                  <c:v>62509.089016054953</c:v>
                </c:pt>
                <c:pt idx="2170">
                  <c:v>62525.164389339268</c:v>
                </c:pt>
                <c:pt idx="2171">
                  <c:v>63428.600367917708</c:v>
                </c:pt>
                <c:pt idx="2172">
                  <c:v>64582.812169731456</c:v>
                </c:pt>
                <c:pt idx="2173">
                  <c:v>63690.628952452033</c:v>
                </c:pt>
                <c:pt idx="2174">
                  <c:v>61959.311249731414</c:v>
                </c:pt>
                <c:pt idx="2175">
                  <c:v>61869.289159339256</c:v>
                </c:pt>
                <c:pt idx="2176">
                  <c:v>62499.443792084363</c:v>
                </c:pt>
                <c:pt idx="2177">
                  <c:v>61444.899304633363</c:v>
                </c:pt>
                <c:pt idx="2178">
                  <c:v>62145.785579829455</c:v>
                </c:pt>
                <c:pt idx="2179">
                  <c:v>61853.213786054934</c:v>
                </c:pt>
                <c:pt idx="2180">
                  <c:v>62930.26379610398</c:v>
                </c:pt>
                <c:pt idx="2181">
                  <c:v>63412.524994633393</c:v>
                </c:pt>
                <c:pt idx="2182">
                  <c:v>62599.111106447112</c:v>
                </c:pt>
                <c:pt idx="2183">
                  <c:v>62386.916179094165</c:v>
                </c:pt>
                <c:pt idx="2184">
                  <c:v>61931.983115148076</c:v>
                </c:pt>
                <c:pt idx="2185">
                  <c:v>62001.107220270635</c:v>
                </c:pt>
                <c:pt idx="2186">
                  <c:v>61438.469155319646</c:v>
                </c:pt>
                <c:pt idx="2187">
                  <c:v>62603.93371843241</c:v>
                </c:pt>
                <c:pt idx="2188">
                  <c:v>63216.405440564769</c:v>
                </c:pt>
                <c:pt idx="2189">
                  <c:v>62610.363867746128</c:v>
                </c:pt>
                <c:pt idx="2190">
                  <c:v>62973.667303971633</c:v>
                </c:pt>
                <c:pt idx="2191">
                  <c:v>62673.057823554955</c:v>
                </c:pt>
                <c:pt idx="2192">
                  <c:v>63073.334618334375</c:v>
                </c:pt>
                <c:pt idx="2193">
                  <c:v>62251.883043505928</c:v>
                </c:pt>
                <c:pt idx="2194">
                  <c:v>62721.2839434079</c:v>
                </c:pt>
                <c:pt idx="2195">
                  <c:v>61387.027960809828</c:v>
                </c:pt>
                <c:pt idx="2196">
                  <c:v>61279.322959804929</c:v>
                </c:pt>
                <c:pt idx="2197">
                  <c:v>60231.208621667662</c:v>
                </c:pt>
                <c:pt idx="2198">
                  <c:v>59856.65242414314</c:v>
                </c:pt>
                <c:pt idx="2199">
                  <c:v>59790.743393677461</c:v>
                </c:pt>
                <c:pt idx="2200">
                  <c:v>59938.63682789314</c:v>
                </c:pt>
                <c:pt idx="2201">
                  <c:v>60570.398997966688</c:v>
                </c:pt>
                <c:pt idx="2202">
                  <c:v>60665.243700344145</c:v>
                </c:pt>
                <c:pt idx="2203">
                  <c:v>61150.719973530424</c:v>
                </c:pt>
                <c:pt idx="2204">
                  <c:v>61184.47825742748</c:v>
                </c:pt>
                <c:pt idx="2205">
                  <c:v>61395.065647451993</c:v>
                </c:pt>
                <c:pt idx="2206">
                  <c:v>61517.238484412781</c:v>
                </c:pt>
                <c:pt idx="2207">
                  <c:v>60588.081908579436</c:v>
                </c:pt>
                <c:pt idx="2208">
                  <c:v>60682.926610956885</c:v>
                </c:pt>
                <c:pt idx="2209">
                  <c:v>61833.92333811376</c:v>
                </c:pt>
                <c:pt idx="2210">
                  <c:v>61906.262517893178</c:v>
                </c:pt>
                <c:pt idx="2211">
                  <c:v>60806.706985246099</c:v>
                </c:pt>
                <c:pt idx="2212">
                  <c:v>61409.533483407875</c:v>
                </c:pt>
                <c:pt idx="2213">
                  <c:v>60825.99743318728</c:v>
                </c:pt>
                <c:pt idx="2214">
                  <c:v>61248.77975056474</c:v>
                </c:pt>
                <c:pt idx="2215">
                  <c:v>61266.46266117748</c:v>
                </c:pt>
                <c:pt idx="2216">
                  <c:v>61034.977285883368</c:v>
                </c:pt>
                <c:pt idx="2217">
                  <c:v>61862.859010025531</c:v>
                </c:pt>
                <c:pt idx="2218">
                  <c:v>61116.961689633361</c:v>
                </c:pt>
                <c:pt idx="2219">
                  <c:v>61203.76870536866</c:v>
                </c:pt>
                <c:pt idx="2220">
                  <c:v>61036.584823211793</c:v>
                </c:pt>
                <c:pt idx="2221">
                  <c:v>61269.677735834346</c:v>
                </c:pt>
                <c:pt idx="2222">
                  <c:v>60120.288546005897</c:v>
                </c:pt>
                <c:pt idx="2223">
                  <c:v>60131.541307304913</c:v>
                </c:pt>
                <c:pt idx="2224">
                  <c:v>60502.882430172562</c:v>
                </c:pt>
                <c:pt idx="2225">
                  <c:v>60761.695940050027</c:v>
                </c:pt>
                <c:pt idx="2226">
                  <c:v>61353.269676912772</c:v>
                </c:pt>
                <c:pt idx="2227">
                  <c:v>61091.241092378463</c:v>
                </c:pt>
                <c:pt idx="2228">
                  <c:v>62322.614685956913</c:v>
                </c:pt>
                <c:pt idx="2229">
                  <c:v>62398.168940393181</c:v>
                </c:pt>
                <c:pt idx="2230">
                  <c:v>60035.08906759903</c:v>
                </c:pt>
                <c:pt idx="2231">
                  <c:v>60401.607578481387</c:v>
                </c:pt>
                <c:pt idx="2232">
                  <c:v>59830.931826888249</c:v>
                </c:pt>
                <c:pt idx="2233">
                  <c:v>60277.827204192174</c:v>
                </c:pt>
                <c:pt idx="2234">
                  <c:v>60793.84668661865</c:v>
                </c:pt>
                <c:pt idx="2235">
                  <c:v>60623.447729804917</c:v>
                </c:pt>
                <c:pt idx="2236">
                  <c:v>60734.367805466689</c:v>
                </c:pt>
                <c:pt idx="2237">
                  <c:v>60318.015637402954</c:v>
                </c:pt>
                <c:pt idx="2238">
                  <c:v>59715.189139241178</c:v>
                </c:pt>
                <c:pt idx="2239">
                  <c:v>60305.155338775505</c:v>
                </c:pt>
                <c:pt idx="2240">
                  <c:v>59163.803835589213</c:v>
                </c:pt>
                <c:pt idx="2241">
                  <c:v>57858.483524902913</c:v>
                </c:pt>
                <c:pt idx="2242">
                  <c:v>58199.281438530372</c:v>
                </c:pt>
                <c:pt idx="2243">
                  <c:v>58109.259348138214</c:v>
                </c:pt>
                <c:pt idx="2244">
                  <c:v>57205.823369559766</c:v>
                </c:pt>
                <c:pt idx="2245">
                  <c:v>56667.298364535251</c:v>
                </c:pt>
                <c:pt idx="2246">
                  <c:v>58216.96434914312</c:v>
                </c:pt>
                <c:pt idx="2247">
                  <c:v>58597.950695981352</c:v>
                </c:pt>
                <c:pt idx="2248">
                  <c:v>58911.420475025479</c:v>
                </c:pt>
                <c:pt idx="2249">
                  <c:v>59253.825925981364</c:v>
                </c:pt>
                <c:pt idx="2250">
                  <c:v>59798.781080319612</c:v>
                </c:pt>
                <c:pt idx="2251">
                  <c:v>60062.417202182369</c:v>
                </c:pt>
                <c:pt idx="2252">
                  <c:v>59213.637492770584</c:v>
                </c:pt>
                <c:pt idx="2253">
                  <c:v>59297.22943384901</c:v>
                </c:pt>
                <c:pt idx="2254">
                  <c:v>59221.675179412741</c:v>
                </c:pt>
                <c:pt idx="2255">
                  <c:v>58872.839579143132</c:v>
                </c:pt>
                <c:pt idx="2256">
                  <c:v>59499.77913723138</c:v>
                </c:pt>
                <c:pt idx="2257">
                  <c:v>59541.575107770594</c:v>
                </c:pt>
                <c:pt idx="2258">
                  <c:v>60789.024074633351</c:v>
                </c:pt>
                <c:pt idx="2259">
                  <c:v>60435.36586237845</c:v>
                </c:pt>
                <c:pt idx="2260">
                  <c:v>60443.403549020601</c:v>
                </c:pt>
                <c:pt idx="2261">
                  <c:v>60350.166383971584</c:v>
                </c:pt>
                <c:pt idx="2262">
                  <c:v>60282.649816177465</c:v>
                </c:pt>
                <c:pt idx="2263">
                  <c:v>60260.144293579426</c:v>
                </c:pt>
                <c:pt idx="2264">
                  <c:v>60687.749222942177</c:v>
                </c:pt>
                <c:pt idx="2265">
                  <c:v>62475.33073215789</c:v>
                </c:pt>
                <c:pt idx="2266">
                  <c:v>62383.701104437299</c:v>
                </c:pt>
                <c:pt idx="2267">
                  <c:v>62094.344385319651</c:v>
                </c:pt>
                <c:pt idx="2268">
                  <c:v>61732.648486422586</c:v>
                </c:pt>
                <c:pt idx="2269">
                  <c:v>59893.625782697069</c:v>
                </c:pt>
                <c:pt idx="2270">
                  <c:v>59390.466598898034</c:v>
                </c:pt>
                <c:pt idx="2271">
                  <c:v>59197.562119486269</c:v>
                </c:pt>
                <c:pt idx="2272">
                  <c:v>59763.415259094116</c:v>
                </c:pt>
                <c:pt idx="2273">
                  <c:v>59213.637492770584</c:v>
                </c:pt>
                <c:pt idx="2274">
                  <c:v>59125.222939706859</c:v>
                </c:pt>
                <c:pt idx="2275">
                  <c:v>58933.925997623519</c:v>
                </c:pt>
                <c:pt idx="2276">
                  <c:v>58986.974729461755</c:v>
                </c:pt>
                <c:pt idx="2277">
                  <c:v>59691.076079314706</c:v>
                </c:pt>
                <c:pt idx="2278">
                  <c:v>59867.905185442163</c:v>
                </c:pt>
                <c:pt idx="2279">
                  <c:v>59565.688167697059</c:v>
                </c:pt>
                <c:pt idx="2280">
                  <c:v>59699.113765956863</c:v>
                </c:pt>
                <c:pt idx="2281">
                  <c:v>59691.076079314706</c:v>
                </c:pt>
                <c:pt idx="2282">
                  <c:v>59253.825925981364</c:v>
                </c:pt>
                <c:pt idx="2283">
                  <c:v>59597.838914265696</c:v>
                </c:pt>
                <c:pt idx="2284">
                  <c:v>59922.561454608833</c:v>
                </c:pt>
                <c:pt idx="2285">
                  <c:v>59895.233320025494</c:v>
                </c:pt>
                <c:pt idx="2286">
                  <c:v>58935.533534951952</c:v>
                </c:pt>
                <c:pt idx="2287">
                  <c:v>59011.087789388228</c:v>
                </c:pt>
                <c:pt idx="2288">
                  <c:v>57418.018296912713</c:v>
                </c:pt>
                <c:pt idx="2289">
                  <c:v>57966.188525907819</c:v>
                </c:pt>
                <c:pt idx="2290">
                  <c:v>59004.657640074503</c:v>
                </c:pt>
                <c:pt idx="2291">
                  <c:v>59144.513387648032</c:v>
                </c:pt>
                <c:pt idx="2292">
                  <c:v>59242.573164682355</c:v>
                </c:pt>
                <c:pt idx="2293">
                  <c:v>59160.588760932347</c:v>
                </c:pt>
                <c:pt idx="2294">
                  <c:v>58397.008529927436</c:v>
                </c:pt>
                <c:pt idx="2295">
                  <c:v>58427.551739167626</c:v>
                </c:pt>
                <c:pt idx="2296">
                  <c:v>57686.477030760754</c:v>
                </c:pt>
                <c:pt idx="2297">
                  <c:v>57250.834414755853</c:v>
                </c:pt>
                <c:pt idx="2298">
                  <c:v>57008.096278162709</c:v>
                </c:pt>
                <c:pt idx="2299">
                  <c:v>57427.663520883303</c:v>
                </c:pt>
                <c:pt idx="2300">
                  <c:v>58110.866885466647</c:v>
                </c:pt>
                <c:pt idx="2301">
                  <c:v>57860.091062231346</c:v>
                </c:pt>
                <c:pt idx="2302">
                  <c:v>57485.534864706831</c:v>
                </c:pt>
                <c:pt idx="2303">
                  <c:v>57217.07613085879</c:v>
                </c:pt>
                <c:pt idx="2304">
                  <c:v>56033.92865713327</c:v>
                </c:pt>
                <c:pt idx="2305">
                  <c:v>55754.21716198622</c:v>
                </c:pt>
                <c:pt idx="2306">
                  <c:v>55423.064472329344</c:v>
                </c:pt>
                <c:pt idx="2307">
                  <c:v>55022.787677549932</c:v>
                </c:pt>
                <c:pt idx="2308">
                  <c:v>55045.293200147964</c:v>
                </c:pt>
                <c:pt idx="2309">
                  <c:v>54535.703867035219</c:v>
                </c:pt>
                <c:pt idx="2310">
                  <c:v>54239.916998603832</c:v>
                </c:pt>
                <c:pt idx="2311">
                  <c:v>55199.616783677382</c:v>
                </c:pt>
                <c:pt idx="2312">
                  <c:v>55177.111261079343</c:v>
                </c:pt>
                <c:pt idx="2313">
                  <c:v>55435.924770956794</c:v>
                </c:pt>
                <c:pt idx="2314">
                  <c:v>54810.592750196978</c:v>
                </c:pt>
                <c:pt idx="2315">
                  <c:v>55416.63432301562</c:v>
                </c:pt>
                <c:pt idx="2316">
                  <c:v>55781.545296569544</c:v>
                </c:pt>
                <c:pt idx="2317">
                  <c:v>55609.538802427385</c:v>
                </c:pt>
                <c:pt idx="2318">
                  <c:v>55488.973502795037</c:v>
                </c:pt>
                <c:pt idx="2319">
                  <c:v>55787.975445883276</c:v>
                </c:pt>
                <c:pt idx="2320">
                  <c:v>55818.518655123473</c:v>
                </c:pt>
                <c:pt idx="2321">
                  <c:v>55498.618726765621</c:v>
                </c:pt>
                <c:pt idx="2322">
                  <c:v>55636.866937010724</c:v>
                </c:pt>
                <c:pt idx="2323">
                  <c:v>55855.492013677394</c:v>
                </c:pt>
                <c:pt idx="2324">
                  <c:v>55678.662907549937</c:v>
                </c:pt>
                <c:pt idx="2325">
                  <c:v>54847.566108750907</c:v>
                </c:pt>
                <c:pt idx="2326">
                  <c:v>54140.249684241091</c:v>
                </c:pt>
                <c:pt idx="2327">
                  <c:v>54368.519984878345</c:v>
                </c:pt>
                <c:pt idx="2328">
                  <c:v>55493.796114780322</c:v>
                </c:pt>
                <c:pt idx="2329">
                  <c:v>56091.800000956806</c:v>
                </c:pt>
                <c:pt idx="2330">
                  <c:v>55879.60507360386</c:v>
                </c:pt>
                <c:pt idx="2331">
                  <c:v>56440.635601226415</c:v>
                </c:pt>
                <c:pt idx="2332">
                  <c:v>55980.879925295041</c:v>
                </c:pt>
                <c:pt idx="2333">
                  <c:v>55712.421191446992</c:v>
                </c:pt>
                <c:pt idx="2334">
                  <c:v>56197.897464633279</c:v>
                </c:pt>
                <c:pt idx="2335">
                  <c:v>55799.228207182292</c:v>
                </c:pt>
                <c:pt idx="2336">
                  <c:v>56495.291870393092</c:v>
                </c:pt>
                <c:pt idx="2337">
                  <c:v>57049.892248701923</c:v>
                </c:pt>
                <c:pt idx="2338">
                  <c:v>57051.499786030356</c:v>
                </c:pt>
                <c:pt idx="2339">
                  <c:v>57159.204787035247</c:v>
                </c:pt>
                <c:pt idx="2340">
                  <c:v>57813.472479706841</c:v>
                </c:pt>
                <c:pt idx="2341">
                  <c:v>57477.497178064674</c:v>
                </c:pt>
                <c:pt idx="2342">
                  <c:v>57286.200235981334</c:v>
                </c:pt>
                <c:pt idx="2343">
                  <c:v>57014.526427476427</c:v>
                </c:pt>
                <c:pt idx="2344">
                  <c:v>57361.754490417617</c:v>
                </c:pt>
                <c:pt idx="2345">
                  <c:v>56977.553068922512</c:v>
                </c:pt>
                <c:pt idx="2346">
                  <c:v>56670.513439192116</c:v>
                </c:pt>
                <c:pt idx="2347">
                  <c:v>56831.267172035252</c:v>
                </c:pt>
                <c:pt idx="2348">
                  <c:v>57799.004643750952</c:v>
                </c:pt>
                <c:pt idx="2349">
                  <c:v>57300.668071937216</c:v>
                </c:pt>
                <c:pt idx="2350">
                  <c:v>58294.126140907829</c:v>
                </c:pt>
                <c:pt idx="2351">
                  <c:v>59046.453610613717</c:v>
                </c:pt>
                <c:pt idx="2352">
                  <c:v>59171.841522231371</c:v>
                </c:pt>
                <c:pt idx="2353">
                  <c:v>58806.930548677432</c:v>
                </c:pt>
                <c:pt idx="2354">
                  <c:v>58858.37174318725</c:v>
                </c:pt>
                <c:pt idx="2355">
                  <c:v>58572.230098726461</c:v>
                </c:pt>
                <c:pt idx="2356">
                  <c:v>59096.287267795095</c:v>
                </c:pt>
                <c:pt idx="2357">
                  <c:v>59597.838914265696</c:v>
                </c:pt>
                <c:pt idx="2358">
                  <c:v>60017.406156986282</c:v>
                </c:pt>
                <c:pt idx="2359">
                  <c:v>60715.077357525515</c:v>
                </c:pt>
                <c:pt idx="2360">
                  <c:v>60388.747279853938</c:v>
                </c:pt>
                <c:pt idx="2361">
                  <c:v>60311.585488089237</c:v>
                </c:pt>
                <c:pt idx="2362">
                  <c:v>60448.226161005899</c:v>
                </c:pt>
                <c:pt idx="2363">
                  <c:v>60668.458775000996</c:v>
                </c:pt>
                <c:pt idx="2364">
                  <c:v>61078.380793751006</c:v>
                </c:pt>
                <c:pt idx="2365">
                  <c:v>60811.529597231398</c:v>
                </c:pt>
                <c:pt idx="2366">
                  <c:v>61084.810943064731</c:v>
                </c:pt>
                <c:pt idx="2367">
                  <c:v>61065.52049512355</c:v>
                </c:pt>
                <c:pt idx="2368">
                  <c:v>61174.833033456889</c:v>
                </c:pt>
                <c:pt idx="2369">
                  <c:v>60010.976007672551</c:v>
                </c:pt>
                <c:pt idx="2370">
                  <c:v>60784.20146264806</c:v>
                </c:pt>
                <c:pt idx="2371">
                  <c:v>60713.469820197082</c:v>
                </c:pt>
                <c:pt idx="2372">
                  <c:v>60866.18586639806</c:v>
                </c:pt>
                <c:pt idx="2373">
                  <c:v>60912.804448922572</c:v>
                </c:pt>
                <c:pt idx="2374">
                  <c:v>60721.50750683924</c:v>
                </c:pt>
                <c:pt idx="2375">
                  <c:v>60477.161832917664</c:v>
                </c:pt>
                <c:pt idx="2376">
                  <c:v>59980.432798432361</c:v>
                </c:pt>
                <c:pt idx="2377">
                  <c:v>59964.357425148046</c:v>
                </c:pt>
                <c:pt idx="2378">
                  <c:v>59824.501677574517</c:v>
                </c:pt>
                <c:pt idx="2379">
                  <c:v>57186.532921618593</c:v>
                </c:pt>
                <c:pt idx="2380">
                  <c:v>57006.488740834269</c:v>
                </c:pt>
                <c:pt idx="2381">
                  <c:v>57069.182696643096</c:v>
                </c:pt>
                <c:pt idx="2382">
                  <c:v>57069.182696643096</c:v>
                </c:pt>
                <c:pt idx="2383">
                  <c:v>57601.277552353888</c:v>
                </c:pt>
                <c:pt idx="2384">
                  <c:v>57384.26001301565</c:v>
                </c:pt>
                <c:pt idx="2385">
                  <c:v>57442.131356839185</c:v>
                </c:pt>
                <c:pt idx="2386">
                  <c:v>57237.974116128389</c:v>
                </c:pt>
                <c:pt idx="2387">
                  <c:v>56439.028063897997</c:v>
                </c:pt>
                <c:pt idx="2388">
                  <c:v>56686.588812476431</c:v>
                </c:pt>
                <c:pt idx="2389">
                  <c:v>57276.555012010744</c:v>
                </c:pt>
                <c:pt idx="2390">
                  <c:v>57426.055983554877</c:v>
                </c:pt>
                <c:pt idx="2391">
                  <c:v>57593.23986571173</c:v>
                </c:pt>
                <c:pt idx="2392">
                  <c:v>58188.028677231348</c:v>
                </c:pt>
                <c:pt idx="2393">
                  <c:v>58020.844795074489</c:v>
                </c:pt>
                <c:pt idx="2394">
                  <c:v>58118.904572108804</c:v>
                </c:pt>
                <c:pt idx="2395">
                  <c:v>58064.248302942135</c:v>
                </c:pt>
                <c:pt idx="2396">
                  <c:v>57626.998149608793</c:v>
                </c:pt>
                <c:pt idx="2397">
                  <c:v>58316.631663505861</c:v>
                </c:pt>
                <c:pt idx="2398">
                  <c:v>58617.241143922533</c:v>
                </c:pt>
                <c:pt idx="2399">
                  <c:v>58634.92405453528</c:v>
                </c:pt>
                <c:pt idx="2400">
                  <c:v>58652.606965148021</c:v>
                </c:pt>
                <c:pt idx="2401">
                  <c:v>58350.389947402924</c:v>
                </c:pt>
                <c:pt idx="2402">
                  <c:v>58612.418531937234</c:v>
                </c:pt>
                <c:pt idx="2403">
                  <c:v>57940.467928652921</c:v>
                </c:pt>
                <c:pt idx="2404">
                  <c:v>57853.660912917629</c:v>
                </c:pt>
                <c:pt idx="2405">
                  <c:v>57858.483524902913</c:v>
                </c:pt>
                <c:pt idx="2406">
                  <c:v>57877.773972844094</c:v>
                </c:pt>
                <c:pt idx="2407">
                  <c:v>57882.596584829385</c:v>
                </c:pt>
                <c:pt idx="2408">
                  <c:v>57762.031285197023</c:v>
                </c:pt>
                <c:pt idx="2409">
                  <c:v>58813.360697991164</c:v>
                </c:pt>
                <c:pt idx="2410">
                  <c:v>58699.225547672533</c:v>
                </c:pt>
                <c:pt idx="2411">
                  <c:v>58239.469871741159</c:v>
                </c:pt>
                <c:pt idx="2412">
                  <c:v>58278.050767623514</c:v>
                </c:pt>
                <c:pt idx="2413">
                  <c:v>58806.930548677432</c:v>
                </c:pt>
                <c:pt idx="2414">
                  <c:v>57895.456883456834</c:v>
                </c:pt>
                <c:pt idx="2415">
                  <c:v>56678.551125834267</c:v>
                </c:pt>
                <c:pt idx="2416">
                  <c:v>55905.325670858765</c:v>
                </c:pt>
                <c:pt idx="2417">
                  <c:v>55406.989099045029</c:v>
                </c:pt>
                <c:pt idx="2418">
                  <c:v>56058.041717059743</c:v>
                </c:pt>
                <c:pt idx="2419">
                  <c:v>56180.214554020538</c:v>
                </c:pt>
                <c:pt idx="2420">
                  <c:v>57030.601800760742</c:v>
                </c:pt>
                <c:pt idx="2421">
                  <c:v>57432.486132868587</c:v>
                </c:pt>
                <c:pt idx="2422">
                  <c:v>57532.153447231343</c:v>
                </c:pt>
                <c:pt idx="2423">
                  <c:v>57339.248967819571</c:v>
                </c:pt>
                <c:pt idx="2424">
                  <c:v>57294.237922623492</c:v>
                </c:pt>
                <c:pt idx="2425">
                  <c:v>57197.785682917609</c:v>
                </c:pt>
                <c:pt idx="2426">
                  <c:v>57935.645316667622</c:v>
                </c:pt>
                <c:pt idx="2427">
                  <c:v>58143.017632035277</c:v>
                </c:pt>
                <c:pt idx="2428">
                  <c:v>57508.040387304871</c:v>
                </c:pt>
                <c:pt idx="2429">
                  <c:v>57440.523819510752</c:v>
                </c:pt>
                <c:pt idx="2430">
                  <c:v>57823.117703677424</c:v>
                </c:pt>
                <c:pt idx="2431">
                  <c:v>58348.782410074491</c:v>
                </c:pt>
                <c:pt idx="2432">
                  <c:v>58250.722633040175</c:v>
                </c:pt>
                <c:pt idx="2433">
                  <c:v>58274.835692966648</c:v>
                </c:pt>
                <c:pt idx="2434">
                  <c:v>58633.316517206847</c:v>
                </c:pt>
                <c:pt idx="2435">
                  <c:v>58565.799949412729</c:v>
                </c:pt>
                <c:pt idx="2436">
                  <c:v>57940.467928652921</c:v>
                </c:pt>
                <c:pt idx="2437">
                  <c:v>57421.233371569579</c:v>
                </c:pt>
                <c:pt idx="2438">
                  <c:v>57493.572551348989</c:v>
                </c:pt>
                <c:pt idx="2439">
                  <c:v>57697.729792059778</c:v>
                </c:pt>
                <c:pt idx="2440">
                  <c:v>57675.224269461738</c:v>
                </c:pt>
                <c:pt idx="2441">
                  <c:v>57638.250910907816</c:v>
                </c:pt>
                <c:pt idx="2442">
                  <c:v>57773.284046496054</c:v>
                </c:pt>
                <c:pt idx="2443">
                  <c:v>56197.897464633279</c:v>
                </c:pt>
                <c:pt idx="2444">
                  <c:v>56455.103437182304</c:v>
                </c:pt>
                <c:pt idx="2445">
                  <c:v>56512.97478100584</c:v>
                </c:pt>
                <c:pt idx="2446">
                  <c:v>57049.892248701923</c:v>
                </c:pt>
                <c:pt idx="2447">
                  <c:v>57016.133964804867</c:v>
                </c:pt>
                <c:pt idx="2448">
                  <c:v>56263.806495098972</c:v>
                </c:pt>
                <c:pt idx="2449">
                  <c:v>56160.924106079357</c:v>
                </c:pt>
                <c:pt idx="2450">
                  <c:v>56434.205451912698</c:v>
                </c:pt>
                <c:pt idx="2451">
                  <c:v>55741.356863358757</c:v>
                </c:pt>
                <c:pt idx="2452">
                  <c:v>55850.669401692103</c:v>
                </c:pt>
                <c:pt idx="2453">
                  <c:v>56032.321119804845</c:v>
                </c:pt>
              </c:numCache>
            </c:numRef>
          </c:xVal>
          <c:yVal>
            <c:numRef>
              <c:f>표준편차!$L$4:$L$2457</c:f>
              <c:numCache>
                <c:formatCode>#,##0.00000;\(#,##0.00000\);\-</c:formatCode>
                <c:ptCount val="2454"/>
                <c:pt idx="0">
                  <c:v>3.8939688858396196E-5</c:v>
                </c:pt>
                <c:pt idx="1">
                  <c:v>3.6957158187331627E-5</c:v>
                </c:pt>
                <c:pt idx="2">
                  <c:v>3.8809221045254529E-5</c:v>
                </c:pt>
                <c:pt idx="3">
                  <c:v>3.6487760540366482E-5</c:v>
                </c:pt>
                <c:pt idx="4">
                  <c:v>3.6689198936902481E-5</c:v>
                </c:pt>
                <c:pt idx="5">
                  <c:v>3.3704355505797111E-5</c:v>
                </c:pt>
                <c:pt idx="6">
                  <c:v>3.4046039981377203E-5</c:v>
                </c:pt>
                <c:pt idx="7">
                  <c:v>3.0417031112499692E-5</c:v>
                </c:pt>
                <c:pt idx="8">
                  <c:v>3.3909415732118527E-5</c:v>
                </c:pt>
                <c:pt idx="9">
                  <c:v>3.3156926081409277E-5</c:v>
                </c:pt>
                <c:pt idx="10">
                  <c:v>3.1101249662284376E-5</c:v>
                </c:pt>
                <c:pt idx="11">
                  <c:v>3.2334733512363749E-5</c:v>
                </c:pt>
                <c:pt idx="12">
                  <c:v>3.1238222247283688E-5</c:v>
                </c:pt>
                <c:pt idx="13">
                  <c:v>3.1512257713425239E-5</c:v>
                </c:pt>
                <c:pt idx="14">
                  <c:v>2.8443397550912934E-5</c:v>
                </c:pt>
                <c:pt idx="15">
                  <c:v>2.9802507867973052E-5</c:v>
                </c:pt>
                <c:pt idx="16">
                  <c:v>3.1923463368584705E-5</c:v>
                </c:pt>
                <c:pt idx="17">
                  <c:v>2.1729824267496229E-5</c:v>
                </c:pt>
                <c:pt idx="18">
                  <c:v>2.1853769446232558E-5</c:v>
                </c:pt>
                <c:pt idx="19">
                  <c:v>2.1482864821486073E-5</c:v>
                </c:pt>
                <c:pt idx="20">
                  <c:v>1.9672222200613063E-5</c:v>
                </c:pt>
                <c:pt idx="21">
                  <c:v>2.0147653207512642E-5</c:v>
                </c:pt>
                <c:pt idx="22">
                  <c:v>1.8853827205564132E-5</c:v>
                </c:pt>
                <c:pt idx="23">
                  <c:v>2.0871021687705526E-5</c:v>
                </c:pt>
                <c:pt idx="24">
                  <c:v>2.2729812482432535E-5</c:v>
                </c:pt>
                <c:pt idx="25">
                  <c:v>2.2102576897596174E-5</c:v>
                </c:pt>
                <c:pt idx="26">
                  <c:v>1.9436606085048609E-5</c:v>
                </c:pt>
                <c:pt idx="27">
                  <c:v>1.9202412792532629E-5</c:v>
                </c:pt>
                <c:pt idx="28">
                  <c:v>2.3683966857896574E-5</c:v>
                </c:pt>
                <c:pt idx="29">
                  <c:v>2.2603780748466526E-5</c:v>
                </c:pt>
                <c:pt idx="30">
                  <c:v>2.2352588337835534E-5</c:v>
                </c:pt>
                <c:pt idx="31">
                  <c:v>2.099274490203637E-5</c:v>
                </c:pt>
                <c:pt idx="32">
                  <c:v>2.349190983257569E-5</c:v>
                </c:pt>
                <c:pt idx="33">
                  <c:v>2.2227433545584079E-5</c:v>
                </c:pt>
                <c:pt idx="34">
                  <c:v>2.099274490203637E-5</c:v>
                </c:pt>
                <c:pt idx="35">
                  <c:v>1.9202412792532629E-5</c:v>
                </c:pt>
                <c:pt idx="36">
                  <c:v>1.8738361268961133E-5</c:v>
                </c:pt>
                <c:pt idx="37">
                  <c:v>1.5975803327104743E-5</c:v>
                </c:pt>
                <c:pt idx="38">
                  <c:v>1.5923073345516489E-5</c:v>
                </c:pt>
                <c:pt idx="39">
                  <c:v>1.6508667843978092E-5</c:v>
                </c:pt>
                <c:pt idx="40">
                  <c:v>1.5556820847812846E-5</c:v>
                </c:pt>
                <c:pt idx="41">
                  <c:v>1.6724624781406713E-5</c:v>
                </c:pt>
                <c:pt idx="42">
                  <c:v>2.3364205837908494E-5</c:v>
                </c:pt>
                <c:pt idx="43">
                  <c:v>2.4263642931196662E-5</c:v>
                </c:pt>
                <c:pt idx="44">
                  <c:v>2.4522906719838545E-5</c:v>
                </c:pt>
                <c:pt idx="45">
                  <c:v>2.932566225906367E-5</c:v>
                </c:pt>
                <c:pt idx="46">
                  <c:v>2.8172946657671659E-5</c:v>
                </c:pt>
                <c:pt idx="47">
                  <c:v>2.6496155246004588E-5</c:v>
                </c:pt>
                <c:pt idx="48">
                  <c:v>2.682944125905906E-5</c:v>
                </c:pt>
                <c:pt idx="49">
                  <c:v>2.5503506511002692E-5</c:v>
                </c:pt>
                <c:pt idx="50">
                  <c:v>2.6496155246004588E-5</c:v>
                </c:pt>
                <c:pt idx="51">
                  <c:v>3.2711672634775378E-5</c:v>
                </c:pt>
                <c:pt idx="52">
                  <c:v>3.2197644589092209E-5</c:v>
                </c:pt>
                <c:pt idx="53">
                  <c:v>3.0827418988017033E-5</c:v>
                </c:pt>
                <c:pt idx="54">
                  <c:v>3.0348682542602262E-5</c:v>
                </c:pt>
                <c:pt idx="55">
                  <c:v>3.0998543952007545E-5</c:v>
                </c:pt>
                <c:pt idx="56">
                  <c:v>3.2026280097668076E-5</c:v>
                </c:pt>
                <c:pt idx="57">
                  <c:v>3.3909415732118527E-5</c:v>
                </c:pt>
                <c:pt idx="58">
                  <c:v>3.000718674163215E-5</c:v>
                </c:pt>
                <c:pt idx="59">
                  <c:v>2.7801962755844038E-5</c:v>
                </c:pt>
                <c:pt idx="60">
                  <c:v>2.6230359686593289E-5</c:v>
                </c:pt>
                <c:pt idx="61">
                  <c:v>2.837573622682335E-5</c:v>
                </c:pt>
                <c:pt idx="62">
                  <c:v>3.089586084031143E-5</c:v>
                </c:pt>
                <c:pt idx="63">
                  <c:v>3.0212033058164436E-5</c:v>
                </c:pt>
                <c:pt idx="64">
                  <c:v>2.8172946657671659E-5</c:v>
                </c:pt>
                <c:pt idx="65">
                  <c:v>2.8341917546651154E-5</c:v>
                </c:pt>
                <c:pt idx="66">
                  <c:v>3.5881232367708568E-5</c:v>
                </c:pt>
                <c:pt idx="67">
                  <c:v>3.4523621741874478E-5</c:v>
                </c:pt>
                <c:pt idx="68">
                  <c:v>3.2745933271536955E-5</c:v>
                </c:pt>
                <c:pt idx="69">
                  <c:v>3.0827418988017033E-5</c:v>
                </c:pt>
                <c:pt idx="70">
                  <c:v>2.9393714631275442E-5</c:v>
                </c:pt>
                <c:pt idx="71">
                  <c:v>2.9666156007358358E-5</c:v>
                </c:pt>
                <c:pt idx="72">
                  <c:v>3.1512257713425239E-5</c:v>
                </c:pt>
                <c:pt idx="73">
                  <c:v>3.3909415732118527E-5</c:v>
                </c:pt>
                <c:pt idx="74">
                  <c:v>3.2745933271536955E-5</c:v>
                </c:pt>
                <c:pt idx="75">
                  <c:v>3.1923463368584705E-5</c:v>
                </c:pt>
                <c:pt idx="76">
                  <c:v>3.3088447496087995E-5</c:v>
                </c:pt>
                <c:pt idx="77">
                  <c:v>3.479604123561293E-5</c:v>
                </c:pt>
                <c:pt idx="78">
                  <c:v>3.1992007535173258E-5</c:v>
                </c:pt>
                <c:pt idx="79">
                  <c:v>3.3601774445227659E-5</c:v>
                </c:pt>
                <c:pt idx="80">
                  <c:v>3.1443739080443897E-5</c:v>
                </c:pt>
                <c:pt idx="81">
                  <c:v>3.0075451015334792E-5</c:v>
                </c:pt>
                <c:pt idx="82">
                  <c:v>3.1752112161888796E-5</c:v>
                </c:pt>
                <c:pt idx="83">
                  <c:v>3.000718674163215E-5</c:v>
                </c:pt>
                <c:pt idx="84">
                  <c:v>3.2197644589092209E-5</c:v>
                </c:pt>
                <c:pt idx="85">
                  <c:v>3.3601774445227659E-5</c:v>
                </c:pt>
                <c:pt idx="86">
                  <c:v>3.2780192472083344E-5</c:v>
                </c:pt>
                <c:pt idx="87">
                  <c:v>3.8350514876645066E-5</c:v>
                </c:pt>
                <c:pt idx="88">
                  <c:v>4.0923513781870917E-5</c:v>
                </c:pt>
                <c:pt idx="89">
                  <c:v>3.8874488732864557E-5</c:v>
                </c:pt>
                <c:pt idx="90">
                  <c:v>4.086075986337708E-5</c:v>
                </c:pt>
                <c:pt idx="91">
                  <c:v>4.3816535485004308E-5</c:v>
                </c:pt>
                <c:pt idx="92">
                  <c:v>4.4045794282283265E-5</c:v>
                </c:pt>
                <c:pt idx="93">
                  <c:v>4.4942130183615154E-5</c:v>
                </c:pt>
                <c:pt idx="94">
                  <c:v>4.432951304244074E-5</c:v>
                </c:pt>
                <c:pt idx="95">
                  <c:v>4.0037067464573854E-5</c:v>
                </c:pt>
                <c:pt idx="96">
                  <c:v>3.9652228594101099E-5</c:v>
                </c:pt>
                <c:pt idx="97">
                  <c:v>4.0923513781870917E-5</c:v>
                </c:pt>
                <c:pt idx="98">
                  <c:v>4.4887111658859878E-5</c:v>
                </c:pt>
                <c:pt idx="99">
                  <c:v>4.2641387750729E-5</c:v>
                </c:pt>
                <c:pt idx="100">
                  <c:v>4.2521360331032944E-5</c:v>
                </c:pt>
                <c:pt idx="101">
                  <c:v>4.1902581222328567E-5</c:v>
                </c:pt>
                <c:pt idx="102">
                  <c:v>4.1298116831299961E-5</c:v>
                </c:pt>
                <c:pt idx="103">
                  <c:v>4.5855869865124518E-5</c:v>
                </c:pt>
                <c:pt idx="104">
                  <c:v>4.3874037763279686E-5</c:v>
                </c:pt>
                <c:pt idx="105">
                  <c:v>3.7888774971503407E-5</c:v>
                </c:pt>
                <c:pt idx="106">
                  <c:v>3.3977736550934491E-5</c:v>
                </c:pt>
                <c:pt idx="107">
                  <c:v>3.7888774971503407E-5</c:v>
                </c:pt>
                <c:pt idx="108">
                  <c:v>4.1669317106491304E-5</c:v>
                </c:pt>
                <c:pt idx="109">
                  <c:v>4.0734984059059994E-5</c:v>
                </c:pt>
                <c:pt idx="110">
                  <c:v>3.8218888182654532E-5</c:v>
                </c:pt>
                <c:pt idx="111">
                  <c:v>3.6083758679592728E-5</c:v>
                </c:pt>
                <c:pt idx="112">
                  <c:v>3.6890237447320216E-5</c:v>
                </c:pt>
                <c:pt idx="113">
                  <c:v>3.5034077036487131E-5</c:v>
                </c:pt>
                <c:pt idx="114">
                  <c:v>3.6622096313825821E-5</c:v>
                </c:pt>
                <c:pt idx="115">
                  <c:v>3.527177352820754E-5</c:v>
                </c:pt>
                <c:pt idx="116">
                  <c:v>3.8547488817252797E-5</c:v>
                </c:pt>
                <c:pt idx="117">
                  <c:v>4.0986177431840017E-5</c:v>
                </c:pt>
                <c:pt idx="118">
                  <c:v>4.2998806971704815E-5</c:v>
                </c:pt>
                <c:pt idx="119">
                  <c:v>4.2461183331369466E-5</c:v>
                </c:pt>
                <c:pt idx="120">
                  <c:v>4.1730842257358566E-5</c:v>
                </c:pt>
                <c:pt idx="121">
                  <c:v>4.2036961776796078E-5</c:v>
                </c:pt>
                <c:pt idx="122">
                  <c:v>4.3816535485004308E-5</c:v>
                </c:pt>
                <c:pt idx="123">
                  <c:v>3.8874488732864557E-5</c:v>
                </c:pt>
                <c:pt idx="124">
                  <c:v>3.9716562715990406E-5</c:v>
                </c:pt>
                <c:pt idx="125">
                  <c:v>3.635325533498108E-5</c:v>
                </c:pt>
                <c:pt idx="126">
                  <c:v>3.6890237447320216E-5</c:v>
                </c:pt>
                <c:pt idx="127">
                  <c:v>3.8152983730008758E-5</c:v>
                </c:pt>
                <c:pt idx="128">
                  <c:v>4.0355564016504646E-5</c:v>
                </c:pt>
                <c:pt idx="129">
                  <c:v>4.0608855696628871E-5</c:v>
                </c:pt>
                <c:pt idx="130">
                  <c:v>3.9297050241941582E-5</c:v>
                </c:pt>
                <c:pt idx="131">
                  <c:v>4.1607693187932141E-5</c:v>
                </c:pt>
                <c:pt idx="132">
                  <c:v>4.4074310048470803E-5</c:v>
                </c:pt>
                <c:pt idx="133">
                  <c:v>3.9264651279048577E-5</c:v>
                </c:pt>
                <c:pt idx="134">
                  <c:v>4.0005105893772626E-5</c:v>
                </c:pt>
                <c:pt idx="135">
                  <c:v>4.0577269184344514E-5</c:v>
                </c:pt>
                <c:pt idx="136">
                  <c:v>4.1822943248640023E-5</c:v>
                </c:pt>
                <c:pt idx="137">
                  <c:v>4.0734984059059994E-5</c:v>
                </c:pt>
                <c:pt idx="138">
                  <c:v>4.1700092072056099E-5</c:v>
                </c:pt>
                <c:pt idx="139">
                  <c:v>4.2189061401033162E-5</c:v>
                </c:pt>
                <c:pt idx="140">
                  <c:v>4.0829349275155535E-5</c:v>
                </c:pt>
                <c:pt idx="141">
                  <c:v>3.8547488817252797E-5</c:v>
                </c:pt>
                <c:pt idx="142">
                  <c:v>3.6285940919399655E-5</c:v>
                </c:pt>
                <c:pt idx="143">
                  <c:v>3.6252268559675886E-5</c:v>
                </c:pt>
                <c:pt idx="144">
                  <c:v>3.6319603206510216E-5</c:v>
                </c:pt>
                <c:pt idx="145">
                  <c:v>3.5746032806420496E-5</c:v>
                </c:pt>
                <c:pt idx="146">
                  <c:v>3.8809221045254529E-5</c:v>
                </c:pt>
                <c:pt idx="147">
                  <c:v>3.9069883592426231E-5</c:v>
                </c:pt>
                <c:pt idx="148">
                  <c:v>3.8416235708738456E-5</c:v>
                </c:pt>
                <c:pt idx="149">
                  <c:v>3.7357666970355723E-5</c:v>
                </c:pt>
                <c:pt idx="150">
                  <c:v>3.7224362141627526E-5</c:v>
                </c:pt>
                <c:pt idx="151">
                  <c:v>3.6923703674565467E-5</c:v>
                </c:pt>
                <c:pt idx="152">
                  <c:v>3.6689198936902481E-5</c:v>
                </c:pt>
                <c:pt idx="153">
                  <c:v>3.6218586213320153E-5</c:v>
                </c:pt>
                <c:pt idx="154">
                  <c:v>3.5678380468977754E-5</c:v>
                </c:pt>
                <c:pt idx="155">
                  <c:v>3.897226336425617E-5</c:v>
                </c:pt>
                <c:pt idx="156">
                  <c:v>3.8449072687604298E-5</c:v>
                </c:pt>
                <c:pt idx="157">
                  <c:v>3.8087019479126309E-5</c:v>
                </c:pt>
                <c:pt idx="158">
                  <c:v>3.6722733629950604E-5</c:v>
                </c:pt>
                <c:pt idx="159">
                  <c:v>3.6689198936902481E-5</c:v>
                </c:pt>
                <c:pt idx="160">
                  <c:v>3.3362301758216054E-5</c:v>
                </c:pt>
                <c:pt idx="161">
                  <c:v>3.3019959969957093E-5</c:v>
                </c:pt>
                <c:pt idx="162">
                  <c:v>2.9836608722925023E-5</c:v>
                </c:pt>
                <c:pt idx="163">
                  <c:v>2.9598012014936751E-5</c:v>
                </c:pt>
                <c:pt idx="164">
                  <c:v>2.9461790758741359E-5</c:v>
                </c:pt>
                <c:pt idx="165">
                  <c:v>3.0553772968334146E-5</c:v>
                </c:pt>
                <c:pt idx="166">
                  <c:v>3.0485394784208369E-5</c:v>
                </c:pt>
                <c:pt idx="167">
                  <c:v>3.2129098768540849E-5</c:v>
                </c:pt>
                <c:pt idx="168">
                  <c:v>2.62967371850881E-5</c:v>
                </c:pt>
                <c:pt idx="169">
                  <c:v>2.5569325463630105E-5</c:v>
                </c:pt>
                <c:pt idx="170">
                  <c:v>2.6496155246004588E-5</c:v>
                </c:pt>
                <c:pt idx="171">
                  <c:v>2.5044299896728832E-5</c:v>
                </c:pt>
                <c:pt idx="172">
                  <c:v>2.1606188482260706E-5</c:v>
                </c:pt>
                <c:pt idx="173">
                  <c:v>2.1114793406912111E-5</c:v>
                </c:pt>
                <c:pt idx="174">
                  <c:v>2.0537980710807594E-5</c:v>
                </c:pt>
                <c:pt idx="175">
                  <c:v>2.0507828979502639E-5</c:v>
                </c:pt>
                <c:pt idx="176">
                  <c:v>2.0962283502867324E-5</c:v>
                </c:pt>
                <c:pt idx="177">
                  <c:v>1.6134602438382544E-5</c:v>
                </c:pt>
                <c:pt idx="178">
                  <c:v>1.6724624781406713E-5</c:v>
                </c:pt>
                <c:pt idx="179">
                  <c:v>1.677886296777692E-5</c:v>
                </c:pt>
                <c:pt idx="180">
                  <c:v>1.7078942169089655E-5</c:v>
                </c:pt>
                <c:pt idx="181">
                  <c:v>1.7996884704963272E-5</c:v>
                </c:pt>
                <c:pt idx="182">
                  <c:v>1.5195601543849733E-5</c:v>
                </c:pt>
                <c:pt idx="183">
                  <c:v>1.7548535719148972E-5</c:v>
                </c:pt>
                <c:pt idx="184">
                  <c:v>1.6562507369984661E-5</c:v>
                </c:pt>
                <c:pt idx="185">
                  <c:v>1.9583700506660405E-5</c:v>
                </c:pt>
                <c:pt idx="186">
                  <c:v>1.749292475238748E-5</c:v>
                </c:pt>
                <c:pt idx="187">
                  <c:v>1.608156802037111E-5</c:v>
                </c:pt>
                <c:pt idx="188">
                  <c:v>1.4940692988499298E-5</c:v>
                </c:pt>
                <c:pt idx="189">
                  <c:v>1.6134602438382544E-5</c:v>
                </c:pt>
                <c:pt idx="190">
                  <c:v>1.616115760007157E-5</c:v>
                </c:pt>
                <c:pt idx="191">
                  <c:v>1.4463550992895959E-5</c:v>
                </c:pt>
                <c:pt idx="192">
                  <c:v>1.5246894490645773E-5</c:v>
                </c:pt>
                <c:pt idx="193">
                  <c:v>1.634775040600715E-5</c:v>
                </c:pt>
                <c:pt idx="194">
                  <c:v>1.6294312176570025E-5</c:v>
                </c:pt>
                <c:pt idx="195">
                  <c:v>1.768798541953859E-5</c:v>
                </c:pt>
                <c:pt idx="196">
                  <c:v>1.6833200393031931E-5</c:v>
                </c:pt>
                <c:pt idx="197">
                  <c:v>1.7078942169089655E-5</c:v>
                </c:pt>
                <c:pt idx="198">
                  <c:v>2.0628561239870092E-5</c:v>
                </c:pt>
                <c:pt idx="199">
                  <c:v>1.9377923708085672E-5</c:v>
                </c:pt>
                <c:pt idx="200">
                  <c:v>1.9085854967870299E-5</c:v>
                </c:pt>
                <c:pt idx="201">
                  <c:v>1.9790558432941763E-5</c:v>
                </c:pt>
                <c:pt idx="202">
                  <c:v>2.0507828979502639E-5</c:v>
                </c:pt>
                <c:pt idx="203">
                  <c:v>2.1760781663933228E-5</c:v>
                </c:pt>
                <c:pt idx="204">
                  <c:v>2.3748117865119998E-5</c:v>
                </c:pt>
                <c:pt idx="205">
                  <c:v>2.4328366950791128E-5</c:v>
                </c:pt>
                <c:pt idx="206">
                  <c:v>2.3173158839609404E-5</c:v>
                </c:pt>
                <c:pt idx="207">
                  <c:v>2.3109613812515154E-5</c:v>
                </c:pt>
                <c:pt idx="208">
                  <c:v>2.4263642931196662E-5</c:v>
                </c:pt>
                <c:pt idx="209">
                  <c:v>2.3876615438603515E-5</c:v>
                </c:pt>
                <c:pt idx="210">
                  <c:v>2.2729812482432535E-5</c:v>
                </c:pt>
                <c:pt idx="211">
                  <c:v>2.3077867263290906E-5</c:v>
                </c:pt>
                <c:pt idx="212">
                  <c:v>2.7163826876171562E-5</c:v>
                </c:pt>
                <c:pt idx="213">
                  <c:v>2.7364959936335717E-5</c:v>
                </c:pt>
                <c:pt idx="214">
                  <c:v>2.6363162601272038E-5</c:v>
                </c:pt>
                <c:pt idx="215">
                  <c:v>2.3204957220233931E-5</c:v>
                </c:pt>
                <c:pt idx="216">
                  <c:v>2.2982732053740446E-5</c:v>
                </c:pt>
                <c:pt idx="217">
                  <c:v>2.03573853634155E-5</c:v>
                </c:pt>
                <c:pt idx="218">
                  <c:v>2.0719328969109192E-5</c:v>
                </c:pt>
                <c:pt idx="219">
                  <c:v>2.1822754296481384E-5</c:v>
                </c:pt>
                <c:pt idx="220">
                  <c:v>2.1884803760516588E-5</c:v>
                </c:pt>
                <c:pt idx="221">
                  <c:v>2.3876615438603515E-5</c:v>
                </c:pt>
                <c:pt idx="222">
                  <c:v>2.3428024166338242E-5</c:v>
                </c:pt>
                <c:pt idx="223">
                  <c:v>2.1298470457506843E-5</c:v>
                </c:pt>
                <c:pt idx="224">
                  <c:v>2.1084250924587047E-5</c:v>
                </c:pt>
                <c:pt idx="225">
                  <c:v>2.2102576897596174E-5</c:v>
                </c:pt>
                <c:pt idx="226">
                  <c:v>2.1237164634296908E-5</c:v>
                </c:pt>
                <c:pt idx="227">
                  <c:v>2.081028285809387E-5</c:v>
                </c:pt>
                <c:pt idx="228">
                  <c:v>1.8911697531336777E-5</c:v>
                </c:pt>
                <c:pt idx="229">
                  <c:v>1.9407253763826527E-5</c:v>
                </c:pt>
                <c:pt idx="230">
                  <c:v>2.4134381299501389E-5</c:v>
                </c:pt>
                <c:pt idx="231">
                  <c:v>2.1978021254952136E-5</c:v>
                </c:pt>
                <c:pt idx="232">
                  <c:v>2.1853769446232558E-5</c:v>
                </c:pt>
                <c:pt idx="233">
                  <c:v>2.2603780748466526E-5</c:v>
                </c:pt>
                <c:pt idx="234">
                  <c:v>2.5470617100912144E-5</c:v>
                </c:pt>
                <c:pt idx="235">
                  <c:v>2.5965338497906465E-5</c:v>
                </c:pt>
                <c:pt idx="236">
                  <c:v>2.5932266826528468E-5</c:v>
                </c:pt>
                <c:pt idx="237">
                  <c:v>2.4978922410294732E-5</c:v>
                </c:pt>
                <c:pt idx="238">
                  <c:v>2.3555862437598368E-5</c:v>
                </c:pt>
                <c:pt idx="239">
                  <c:v>2.3876615438603515E-5</c:v>
                </c:pt>
                <c:pt idx="240">
                  <c:v>2.3077867263290906E-5</c:v>
                </c:pt>
                <c:pt idx="241">
                  <c:v>2.6130884340197936E-5</c:v>
                </c:pt>
                <c:pt idx="242">
                  <c:v>2.5668153356654004E-5</c:v>
                </c:pt>
                <c:pt idx="243">
                  <c:v>2.573410425090425E-5</c:v>
                </c:pt>
                <c:pt idx="244">
                  <c:v>2.5965338497906465E-5</c:v>
                </c:pt>
                <c:pt idx="245">
                  <c:v>2.9870714590201285E-5</c:v>
                </c:pt>
                <c:pt idx="246">
                  <c:v>3.1854920997303409E-5</c:v>
                </c:pt>
                <c:pt idx="247">
                  <c:v>3.1717844118253907E-5</c:v>
                </c:pt>
                <c:pt idx="248">
                  <c:v>3.116973168678052E-5</c:v>
                </c:pt>
                <c:pt idx="249">
                  <c:v>3.089586084031143E-5</c:v>
                </c:pt>
                <c:pt idx="250">
                  <c:v>2.5998422747565084E-5</c:v>
                </c:pt>
                <c:pt idx="251">
                  <c:v>2.7903034176373374E-5</c:v>
                </c:pt>
                <c:pt idx="252">
                  <c:v>3.2197644589092209E-5</c:v>
                </c:pt>
                <c:pt idx="253">
                  <c:v>3.2574617313816997E-5</c:v>
                </c:pt>
                <c:pt idx="254">
                  <c:v>3.1101249662284376E-5</c:v>
                </c:pt>
                <c:pt idx="255">
                  <c:v>3.0861638508684518E-5</c:v>
                </c:pt>
                <c:pt idx="256">
                  <c:v>2.8511090376006756E-5</c:v>
                </c:pt>
                <c:pt idx="257">
                  <c:v>3.089586084031143E-5</c:v>
                </c:pt>
                <c:pt idx="258">
                  <c:v>2.9666156007358358E-5</c:v>
                </c:pt>
                <c:pt idx="259">
                  <c:v>2.7768290477928707E-5</c:v>
                </c:pt>
                <c:pt idx="260">
                  <c:v>2.8341917546651154E-5</c:v>
                </c:pt>
                <c:pt idx="261">
                  <c:v>2.8511090376006756E-5</c:v>
                </c:pt>
                <c:pt idx="262">
                  <c:v>2.6695991417325979E-5</c:v>
                </c:pt>
                <c:pt idx="263">
                  <c:v>2.682944125905906E-5</c:v>
                </c:pt>
                <c:pt idx="264">
                  <c:v>2.6429635450437411E-5</c:v>
                </c:pt>
                <c:pt idx="265">
                  <c:v>2.6462889510405022E-5</c:v>
                </c:pt>
                <c:pt idx="266">
                  <c:v>2.9053701579842806E-5</c:v>
                </c:pt>
                <c:pt idx="267">
                  <c:v>3.0553772968334146E-5</c:v>
                </c:pt>
                <c:pt idx="268">
                  <c:v>3.1032776778070201E-5</c:v>
                </c:pt>
                <c:pt idx="269">
                  <c:v>3.0075451015334792E-5</c:v>
                </c:pt>
                <c:pt idx="270">
                  <c:v>2.8172946657671659E-5</c:v>
                </c:pt>
                <c:pt idx="271">
                  <c:v>2.990482539783019E-5</c:v>
                </c:pt>
                <c:pt idx="272">
                  <c:v>2.932566225906367E-5</c:v>
                </c:pt>
                <c:pt idx="273">
                  <c:v>2.9734321482431347E-5</c:v>
                </c:pt>
                <c:pt idx="274">
                  <c:v>2.8714352425850266E-5</c:v>
                </c:pt>
                <c:pt idx="275">
                  <c:v>2.8612687491301433E-5</c:v>
                </c:pt>
                <c:pt idx="276">
                  <c:v>2.9461790758741359E-5</c:v>
                </c:pt>
                <c:pt idx="277">
                  <c:v>2.9427749760920817E-5</c:v>
                </c:pt>
                <c:pt idx="278">
                  <c:v>3.1649310845860724E-5</c:v>
                </c:pt>
                <c:pt idx="279">
                  <c:v>3.2266189712512415E-5</c:v>
                </c:pt>
                <c:pt idx="280">
                  <c:v>3.2608882901516481E-5</c:v>
                </c:pt>
                <c:pt idx="281">
                  <c:v>3.2471814629047427E-5</c:v>
                </c:pt>
                <c:pt idx="282">
                  <c:v>3.7057450570344789E-5</c:v>
                </c:pt>
                <c:pt idx="283">
                  <c:v>3.7257707312574436E-5</c:v>
                </c:pt>
                <c:pt idx="284">
                  <c:v>3.7656842822186818E-5</c:v>
                </c:pt>
                <c:pt idx="285">
                  <c:v>4.016471204050203E-5</c:v>
                </c:pt>
                <c:pt idx="286">
                  <c:v>4.1607693187932141E-5</c:v>
                </c:pt>
                <c:pt idx="287">
                  <c:v>4.1669317106491304E-5</c:v>
                </c:pt>
                <c:pt idx="288">
                  <c:v>4.0450708111154518E-5</c:v>
                </c:pt>
                <c:pt idx="289">
                  <c:v>3.9909101577434391E-5</c:v>
                </c:pt>
                <c:pt idx="290">
                  <c:v>3.8120009035359437E-5</c:v>
                </c:pt>
                <c:pt idx="291">
                  <c:v>4.016471204050203E-5</c:v>
                </c:pt>
                <c:pt idx="292">
                  <c:v>4.0954856934760979E-5</c:v>
                </c:pt>
                <c:pt idx="293">
                  <c:v>4.1945392291215394E-5</c:v>
                </c:pt>
                <c:pt idx="294">
                  <c:v>4.1267027767297125E-5</c:v>
                </c:pt>
                <c:pt idx="295">
                  <c:v>4.1975941056796884E-5</c:v>
                </c:pt>
                <c:pt idx="296">
                  <c:v>4.1298116831299961E-5</c:v>
                </c:pt>
                <c:pt idx="297">
                  <c:v>4.1017475184439937E-5</c:v>
                </c:pt>
                <c:pt idx="298">
                  <c:v>4.1360223979136437E-5</c:v>
                </c:pt>
                <c:pt idx="299">
                  <c:v>3.9458772661716632E-5</c:v>
                </c:pt>
                <c:pt idx="300">
                  <c:v>4.0069008953427225E-5</c:v>
                </c:pt>
                <c:pt idx="301">
                  <c:v>4.0482380455531482E-5</c:v>
                </c:pt>
                <c:pt idx="302">
                  <c:v>3.9264651279048577E-5</c:v>
                </c:pt>
                <c:pt idx="303">
                  <c:v>3.8185943475105179E-5</c:v>
                </c:pt>
                <c:pt idx="304">
                  <c:v>3.7257707312574436E-5</c:v>
                </c:pt>
                <c:pt idx="305">
                  <c:v>3.7690017585857826E-5</c:v>
                </c:pt>
                <c:pt idx="306">
                  <c:v>3.6856759592379204E-5</c:v>
                </c:pt>
                <c:pt idx="307">
                  <c:v>3.7656842822186818E-5</c:v>
                </c:pt>
                <c:pt idx="308">
                  <c:v>3.8776562086734663E-5</c:v>
                </c:pt>
                <c:pt idx="309">
                  <c:v>3.8939688858396196E-5</c:v>
                </c:pt>
                <c:pt idx="310">
                  <c:v>3.8284732133012657E-5</c:v>
                </c:pt>
                <c:pt idx="311">
                  <c:v>3.8907097285111416E-5</c:v>
                </c:pt>
                <c:pt idx="312">
                  <c:v>4.0797916385886454E-5</c:v>
                </c:pt>
                <c:pt idx="313">
                  <c:v>4.1884218389609823E-5</c:v>
                </c:pt>
                <c:pt idx="314">
                  <c:v>4.5160822866928785E-5</c:v>
                </c:pt>
                <c:pt idx="315">
                  <c:v>4.2701236769419646E-5</c:v>
                </c:pt>
                <c:pt idx="316">
                  <c:v>4.1853593429942434E-5</c:v>
                </c:pt>
                <c:pt idx="317">
                  <c:v>4.1576844411663805E-5</c:v>
                </c:pt>
                <c:pt idx="318">
                  <c:v>4.1853593429942434E-5</c:v>
                </c:pt>
                <c:pt idx="319">
                  <c:v>4.3057981146192122E-5</c:v>
                </c:pt>
                <c:pt idx="320">
                  <c:v>4.6322424393224198E-5</c:v>
                </c:pt>
                <c:pt idx="321">
                  <c:v>5.2780415418885556E-5</c:v>
                </c:pt>
                <c:pt idx="322">
                  <c:v>5.2396002727407362E-5</c:v>
                </c:pt>
                <c:pt idx="323">
                  <c:v>5.2720591017546335E-5</c:v>
                </c:pt>
                <c:pt idx="324">
                  <c:v>5.2756531405721179E-5</c:v>
                </c:pt>
                <c:pt idx="325">
                  <c:v>5.2921968448937869E-5</c:v>
                </c:pt>
                <c:pt idx="326">
                  <c:v>5.2908296536607514E-5</c:v>
                </c:pt>
                <c:pt idx="327">
                  <c:v>5.2940054828522789E-5</c:v>
                </c:pt>
                <c:pt idx="328">
                  <c:v>5.2861107217464942E-5</c:v>
                </c:pt>
                <c:pt idx="329">
                  <c:v>5.2311600411837166E-5</c:v>
                </c:pt>
                <c:pt idx="330">
                  <c:v>5.1401576696185277E-5</c:v>
                </c:pt>
                <c:pt idx="331">
                  <c:v>5.1608903793442983E-5</c:v>
                </c:pt>
                <c:pt idx="332">
                  <c:v>5.1532818335866295E-5</c:v>
                </c:pt>
                <c:pt idx="333">
                  <c:v>5.2173775953453493E-5</c:v>
                </c:pt>
                <c:pt idx="334">
                  <c:v>5.1519943047796706E-5</c:v>
                </c:pt>
                <c:pt idx="335">
                  <c:v>5.1519943047796706E-5</c:v>
                </c:pt>
                <c:pt idx="336">
                  <c:v>5.2526685107984116E-5</c:v>
                </c:pt>
                <c:pt idx="337">
                  <c:v>5.1583764405598515E-5</c:v>
                </c:pt>
                <c:pt idx="338">
                  <c:v>5.1707229190610112E-5</c:v>
                </c:pt>
                <c:pt idx="339">
                  <c:v>5.2886623286796092E-5</c:v>
                </c:pt>
                <c:pt idx="340">
                  <c:v>5.2827815238708295E-5</c:v>
                </c:pt>
                <c:pt idx="341">
                  <c:v>5.2775887475128416E-5</c:v>
                </c:pt>
                <c:pt idx="342">
                  <c:v>5.2950187900639526E-5</c:v>
                </c:pt>
                <c:pt idx="343">
                  <c:v>5.2428227513274794E-5</c:v>
                </c:pt>
                <c:pt idx="344">
                  <c:v>5.1969564817680789E-5</c:v>
                </c:pt>
                <c:pt idx="345">
                  <c:v>5.1278369262312486E-5</c:v>
                </c:pt>
                <c:pt idx="346">
                  <c:v>5.159601443237346E-5</c:v>
                </c:pt>
                <c:pt idx="347">
                  <c:v>5.2942949556059124E-5</c:v>
                </c:pt>
                <c:pt idx="348">
                  <c:v>5.241223198270047E-5</c:v>
                </c:pt>
                <c:pt idx="349">
                  <c:v>5.2681736189348672E-5</c:v>
                </c:pt>
                <c:pt idx="350">
                  <c:v>5.2275872534294494E-5</c:v>
                </c:pt>
                <c:pt idx="351">
                  <c:v>5.2474809601997543E-5</c:v>
                </c:pt>
                <c:pt idx="352">
                  <c:v>5.2958639720362942E-5</c:v>
                </c:pt>
                <c:pt idx="353">
                  <c:v>5.2771040750189146E-5</c:v>
                </c:pt>
                <c:pt idx="354">
                  <c:v>5.2892323824003908E-5</c:v>
                </c:pt>
                <c:pt idx="355">
                  <c:v>5.2854030250499126E-5</c:v>
                </c:pt>
                <c:pt idx="356">
                  <c:v>5.2908228265212073E-5</c:v>
                </c:pt>
                <c:pt idx="357">
                  <c:v>5.2861012388252012E-5</c:v>
                </c:pt>
                <c:pt idx="358">
                  <c:v>5.2575281765359916E-5</c:v>
                </c:pt>
                <c:pt idx="359">
                  <c:v>5.2497309311730724E-5</c:v>
                </c:pt>
                <c:pt idx="360">
                  <c:v>5.2192641176907227E-5</c:v>
                </c:pt>
                <c:pt idx="361">
                  <c:v>5.2482368182950528E-5</c:v>
                </c:pt>
                <c:pt idx="362">
                  <c:v>5.2547752282502348E-5</c:v>
                </c:pt>
                <c:pt idx="363">
                  <c:v>5.2704295451662941E-5</c:v>
                </c:pt>
                <c:pt idx="364">
                  <c:v>5.2540722624620164E-5</c:v>
                </c:pt>
                <c:pt idx="365">
                  <c:v>5.1881594411586752E-5</c:v>
                </c:pt>
                <c:pt idx="366">
                  <c:v>5.2134556266294196E-5</c:v>
                </c:pt>
                <c:pt idx="367">
                  <c:v>4.6270485110083311E-5</c:v>
                </c:pt>
                <c:pt idx="368">
                  <c:v>4.6550341810132322E-5</c:v>
                </c:pt>
                <c:pt idx="369">
                  <c:v>4.5670420795288623E-5</c:v>
                </c:pt>
                <c:pt idx="370">
                  <c:v>4.4831192998482652E-5</c:v>
                </c:pt>
                <c:pt idx="371">
                  <c:v>3.9683515952625682E-5</c:v>
                </c:pt>
                <c:pt idx="372">
                  <c:v>3.9231337954471588E-5</c:v>
                </c:pt>
                <c:pt idx="373">
                  <c:v>3.3771779638599948E-5</c:v>
                </c:pt>
                <c:pt idx="374">
                  <c:v>4.051315678070035E-5</c:v>
                </c:pt>
                <c:pt idx="375">
                  <c:v>4.1729992512719248E-5</c:v>
                </c:pt>
                <c:pt idx="376">
                  <c:v>4.1421379399589974E-5</c:v>
                </c:pt>
                <c:pt idx="377">
                  <c:v>4.1637665652998008E-5</c:v>
                </c:pt>
                <c:pt idx="378">
                  <c:v>3.6587600432977115E-5</c:v>
                </c:pt>
                <c:pt idx="379">
                  <c:v>3.9554693658208761E-5</c:v>
                </c:pt>
                <c:pt idx="380">
                  <c:v>4.2097038174908703E-5</c:v>
                </c:pt>
                <c:pt idx="381">
                  <c:v>4.2157853624207456E-5</c:v>
                </c:pt>
                <c:pt idx="382">
                  <c:v>4.5483904405618563E-5</c:v>
                </c:pt>
                <c:pt idx="383">
                  <c:v>4.4913877565965847E-5</c:v>
                </c:pt>
                <c:pt idx="384">
                  <c:v>4.5457114455506984E-5</c:v>
                </c:pt>
                <c:pt idx="385">
                  <c:v>4.6167559879972611E-5</c:v>
                </c:pt>
                <c:pt idx="386">
                  <c:v>4.6750891302181635E-5</c:v>
                </c:pt>
                <c:pt idx="387">
                  <c:v>4.5295622862573604E-5</c:v>
                </c:pt>
                <c:pt idx="388">
                  <c:v>4.6600716703854882E-5</c:v>
                </c:pt>
                <c:pt idx="389">
                  <c:v>4.94112308467596E-5</c:v>
                </c:pt>
                <c:pt idx="390">
                  <c:v>4.9905129514189288E-5</c:v>
                </c:pt>
                <c:pt idx="391">
                  <c:v>5.0014338928401531E-5</c:v>
                </c:pt>
                <c:pt idx="392">
                  <c:v>4.9332311593189166E-5</c:v>
                </c:pt>
                <c:pt idx="393">
                  <c:v>4.9719115001268595E-5</c:v>
                </c:pt>
                <c:pt idx="394">
                  <c:v>4.9624249282752485E-5</c:v>
                </c:pt>
                <c:pt idx="395">
                  <c:v>4.9184281210322378E-5</c:v>
                </c:pt>
                <c:pt idx="396">
                  <c:v>4.83703797896633E-5</c:v>
                </c:pt>
                <c:pt idx="397">
                  <c:v>4.8414235343100477E-5</c:v>
                </c:pt>
                <c:pt idx="398">
                  <c:v>4.7899116902061209E-5</c:v>
                </c:pt>
                <c:pt idx="399">
                  <c:v>4.7479856559667762E-5</c:v>
                </c:pt>
                <c:pt idx="400">
                  <c:v>4.499625359023107E-5</c:v>
                </c:pt>
                <c:pt idx="401">
                  <c:v>4.5214397418967741E-5</c:v>
                </c:pt>
                <c:pt idx="402">
                  <c:v>4.6850209706174416E-5</c:v>
                </c:pt>
                <c:pt idx="403">
                  <c:v>4.7876191129859058E-5</c:v>
                </c:pt>
                <c:pt idx="404">
                  <c:v>5.0432897644444074E-5</c:v>
                </c:pt>
                <c:pt idx="405">
                  <c:v>4.9528154897844277E-5</c:v>
                </c:pt>
                <c:pt idx="406">
                  <c:v>4.9371867867500953E-5</c:v>
                </c:pt>
                <c:pt idx="407">
                  <c:v>4.9624249282752485E-5</c:v>
                </c:pt>
                <c:pt idx="408">
                  <c:v>5.1990988812777537E-5</c:v>
                </c:pt>
                <c:pt idx="409">
                  <c:v>5.1801646217908029E-5</c:v>
                </c:pt>
                <c:pt idx="410">
                  <c:v>5.2124674036435476E-5</c:v>
                </c:pt>
                <c:pt idx="411">
                  <c:v>5.1706895583613457E-5</c:v>
                </c:pt>
                <c:pt idx="412">
                  <c:v>5.2239459171419853E-5</c:v>
                </c:pt>
                <c:pt idx="413">
                  <c:v>5.2311358394899473E-5</c:v>
                </c:pt>
                <c:pt idx="414">
                  <c:v>5.294687318321824E-5</c:v>
                </c:pt>
                <c:pt idx="415">
                  <c:v>5.2945638327174412E-5</c:v>
                </c:pt>
                <c:pt idx="416">
                  <c:v>5.2938517120961287E-5</c:v>
                </c:pt>
                <c:pt idx="417">
                  <c:v>5.277575791808186E-5</c:v>
                </c:pt>
                <c:pt idx="418">
                  <c:v>5.2725903938952622E-5</c:v>
                </c:pt>
                <c:pt idx="419">
                  <c:v>5.2854030250499126E-5</c:v>
                </c:pt>
                <c:pt idx="420">
                  <c:v>5.267594795802432E-5</c:v>
                </c:pt>
                <c:pt idx="421">
                  <c:v>5.2547752282502348E-5</c:v>
                </c:pt>
                <c:pt idx="422">
                  <c:v>5.2601867494861379E-5</c:v>
                </c:pt>
                <c:pt idx="423">
                  <c:v>5.267594795802432E-5</c:v>
                </c:pt>
                <c:pt idx="424">
                  <c:v>5.1467525268825357E-5</c:v>
                </c:pt>
                <c:pt idx="425">
                  <c:v>5.1742848549047942E-5</c:v>
                </c:pt>
                <c:pt idx="426">
                  <c:v>4.9489374871322908E-5</c:v>
                </c:pt>
                <c:pt idx="427">
                  <c:v>4.8716127475573641E-5</c:v>
                </c:pt>
                <c:pt idx="428">
                  <c:v>4.9172163878403052E-5</c:v>
                </c:pt>
                <c:pt idx="429">
                  <c:v>4.8170806192822157E-5</c:v>
                </c:pt>
                <c:pt idx="430">
                  <c:v>4.7119998721124885E-5</c:v>
                </c:pt>
                <c:pt idx="431">
                  <c:v>5.1824770982327545E-5</c:v>
                </c:pt>
                <c:pt idx="432">
                  <c:v>5.0959548298241124E-5</c:v>
                </c:pt>
                <c:pt idx="433">
                  <c:v>4.909094374526908E-5</c:v>
                </c:pt>
                <c:pt idx="434">
                  <c:v>4.8348384347915343E-5</c:v>
                </c:pt>
                <c:pt idx="435">
                  <c:v>4.907052001940427E-5</c:v>
                </c:pt>
                <c:pt idx="436">
                  <c:v>4.9868325204904839E-5</c:v>
                </c:pt>
                <c:pt idx="437">
                  <c:v>5.0432897644444074E-5</c:v>
                </c:pt>
                <c:pt idx="438">
                  <c:v>4.9371867867500953E-5</c:v>
                </c:pt>
                <c:pt idx="439">
                  <c:v>4.6089965275443241E-5</c:v>
                </c:pt>
                <c:pt idx="440">
                  <c:v>4.7621152361992364E-5</c:v>
                </c:pt>
                <c:pt idx="441">
                  <c:v>4.8501403161402837E-5</c:v>
                </c:pt>
                <c:pt idx="442">
                  <c:v>4.7944837635099344E-5</c:v>
                </c:pt>
                <c:pt idx="443">
                  <c:v>4.913164889786704E-5</c:v>
                </c:pt>
                <c:pt idx="444">
                  <c:v>4.9605128449366063E-5</c:v>
                </c:pt>
                <c:pt idx="445">
                  <c:v>4.7408637306980657E-5</c:v>
                </c:pt>
                <c:pt idx="446">
                  <c:v>4.6874938843427011E-5</c:v>
                </c:pt>
                <c:pt idx="447">
                  <c:v>4.3292711023264339E-5</c:v>
                </c:pt>
                <c:pt idx="448">
                  <c:v>4.5537376152206667E-5</c:v>
                </c:pt>
                <c:pt idx="449">
                  <c:v>4.3873243795380143E-5</c:v>
                </c:pt>
                <c:pt idx="450">
                  <c:v>4.4215627485674663E-5</c:v>
                </c:pt>
                <c:pt idx="451">
                  <c:v>4.8779647025481385E-5</c:v>
                </c:pt>
                <c:pt idx="452">
                  <c:v>4.8544714305935169E-5</c:v>
                </c:pt>
                <c:pt idx="453">
                  <c:v>4.8630788279816767E-5</c:v>
                </c:pt>
                <c:pt idx="454">
                  <c:v>4.9868325204904839E-5</c:v>
                </c:pt>
                <c:pt idx="455">
                  <c:v>4.9737940021060918E-5</c:v>
                </c:pt>
                <c:pt idx="456">
                  <c:v>5.0679394646220434E-5</c:v>
                </c:pt>
                <c:pt idx="457">
                  <c:v>5.0868076868022528E-5</c:v>
                </c:pt>
                <c:pt idx="458">
                  <c:v>5.1608557826816698E-5</c:v>
                </c:pt>
                <c:pt idx="459">
                  <c:v>5.0959548298241124E-5</c:v>
                </c:pt>
                <c:pt idx="460">
                  <c:v>5.1278369262312486E-5</c:v>
                </c:pt>
                <c:pt idx="461">
                  <c:v>4.9172163878403052E-5</c:v>
                </c:pt>
                <c:pt idx="462">
                  <c:v>4.7667910193446901E-5</c:v>
                </c:pt>
                <c:pt idx="463">
                  <c:v>4.8884583961050307E-5</c:v>
                </c:pt>
                <c:pt idx="464">
                  <c:v>4.7714496649200435E-5</c:v>
                </c:pt>
                <c:pt idx="465">
                  <c:v>4.8758520155036227E-5</c:v>
                </c:pt>
                <c:pt idx="466">
                  <c:v>4.7714496649200435E-5</c:v>
                </c:pt>
                <c:pt idx="467">
                  <c:v>4.5537376152206667E-5</c:v>
                </c:pt>
                <c:pt idx="468">
                  <c:v>4.5214397418967741E-5</c:v>
                </c:pt>
                <c:pt idx="469">
                  <c:v>4.507831881576161E-5</c:v>
                </c:pt>
                <c:pt idx="470">
                  <c:v>4.4102007062943619E-5</c:v>
                </c:pt>
                <c:pt idx="471">
                  <c:v>4.5590703146829074E-5</c:v>
                </c:pt>
                <c:pt idx="472">
                  <c:v>4.5723383044928508E-5</c:v>
                </c:pt>
                <c:pt idx="473">
                  <c:v>4.5322627226945916E-5</c:v>
                </c:pt>
                <c:pt idx="474">
                  <c:v>4.4469383076762556E-5</c:v>
                </c:pt>
                <c:pt idx="475">
                  <c:v>4.2279170615854947E-5</c:v>
                </c:pt>
                <c:pt idx="476">
                  <c:v>4.0163830983318169E-5</c:v>
                </c:pt>
                <c:pt idx="477">
                  <c:v>4.095399076799154E-5</c:v>
                </c:pt>
                <c:pt idx="478">
                  <c:v>4.0544786979725429E-5</c:v>
                </c:pt>
                <c:pt idx="479">
                  <c:v>4.1110368084094255E-5</c:v>
                </c:pt>
                <c:pt idx="480">
                  <c:v>4.079704711837208E-5</c:v>
                </c:pt>
                <c:pt idx="481">
                  <c:v>4.0859891828804656E-5</c:v>
                </c:pt>
                <c:pt idx="482">
                  <c:v>4.1791419569077357E-5</c:v>
                </c:pt>
                <c:pt idx="483">
                  <c:v>3.8808318423621067E-5</c:v>
                </c:pt>
                <c:pt idx="484">
                  <c:v>3.7190082135322315E-5</c:v>
                </c:pt>
                <c:pt idx="485">
                  <c:v>3.8546582577701927E-5</c:v>
                </c:pt>
                <c:pt idx="486">
                  <c:v>3.7887860369580266E-5</c:v>
                </c:pt>
                <c:pt idx="487">
                  <c:v>3.9263755365259654E-5</c:v>
                </c:pt>
                <c:pt idx="488">
                  <c:v>3.9779932400689243E-5</c:v>
                </c:pt>
                <c:pt idx="489">
                  <c:v>4.3380558090891258E-5</c:v>
                </c:pt>
                <c:pt idx="490">
                  <c:v>4.2730294066243469E-5</c:v>
                </c:pt>
                <c:pt idx="491">
                  <c:v>3.8250907641550861E-5</c:v>
                </c:pt>
                <c:pt idx="492">
                  <c:v>3.9133978905645819E-5</c:v>
                </c:pt>
                <c:pt idx="493">
                  <c:v>3.9490169666313283E-5</c:v>
                </c:pt>
                <c:pt idx="494">
                  <c:v>3.9101490579140777E-5</c:v>
                </c:pt>
                <c:pt idx="495">
                  <c:v>3.8938788104359007E-5</c:v>
                </c:pt>
                <c:pt idx="496">
                  <c:v>3.4318123729310881E-5</c:v>
                </c:pt>
                <c:pt idx="497">
                  <c:v>3.4215774825533754E-5</c:v>
                </c:pt>
                <c:pt idx="498">
                  <c:v>3.4727031674587718E-5</c:v>
                </c:pt>
                <c:pt idx="499">
                  <c:v>3.6822344230364273E-5</c:v>
                </c:pt>
                <c:pt idx="500">
                  <c:v>3.5474284678010229E-5</c:v>
                </c:pt>
                <c:pt idx="501">
                  <c:v>3.8217977640243029E-5</c:v>
                </c:pt>
                <c:pt idx="502">
                  <c:v>3.9457879769630748E-5</c:v>
                </c:pt>
                <c:pt idx="503">
                  <c:v>4.095399076799154E-5</c:v>
                </c:pt>
                <c:pt idx="504">
                  <c:v>3.8546582577701927E-5</c:v>
                </c:pt>
                <c:pt idx="505">
                  <c:v>3.7689100664739325E-5</c:v>
                </c:pt>
                <c:pt idx="506">
                  <c:v>3.8349606026139063E-5</c:v>
                </c:pt>
                <c:pt idx="507">
                  <c:v>4.0702613700414845E-5</c:v>
                </c:pt>
                <c:pt idx="508">
                  <c:v>4.1172757954810621E-5</c:v>
                </c:pt>
                <c:pt idx="509">
                  <c:v>4.1606840713029135E-5</c:v>
                </c:pt>
                <c:pt idx="510">
                  <c:v>3.9651338811964328E-5</c:v>
                </c:pt>
                <c:pt idx="511">
                  <c:v>4.0354686393152223E-5</c:v>
                </c:pt>
                <c:pt idx="512">
                  <c:v>4.1421379399589974E-5</c:v>
                </c:pt>
                <c:pt idx="513">
                  <c:v>4.2127458905697749E-5</c:v>
                </c:pt>
                <c:pt idx="514">
                  <c:v>3.9908216079251346E-5</c:v>
                </c:pt>
                <c:pt idx="515">
                  <c:v>4.029115084546734E-5</c:v>
                </c:pt>
                <c:pt idx="516">
                  <c:v>4.2997988244784998E-5</c:v>
                </c:pt>
                <c:pt idx="517">
                  <c:v>4.3468138027374365E-5</c:v>
                </c:pt>
                <c:pt idx="518">
                  <c:v>4.2700410269547178E-5</c:v>
                </c:pt>
                <c:pt idx="519">
                  <c:v>4.1575991260301775E-5</c:v>
                </c:pt>
                <c:pt idx="520">
                  <c:v>4.3116224855216767E-5</c:v>
                </c:pt>
                <c:pt idx="521">
                  <c:v>4.0481505170486186E-5</c:v>
                </c:pt>
                <c:pt idx="522">
                  <c:v>4.15451173832071E-5</c:v>
                </c:pt>
                <c:pt idx="523">
                  <c:v>4.28792947986692E-5</c:v>
                </c:pt>
                <c:pt idx="524">
                  <c:v>4.1452350089893817E-5</c:v>
                </c:pt>
                <c:pt idx="525">
                  <c:v>4.197509688982415E-5</c:v>
                </c:pt>
                <c:pt idx="526">
                  <c:v>4.2218564672417374E-5</c:v>
                </c:pt>
                <c:pt idx="527">
                  <c:v>4.255057784409897E-5</c:v>
                </c:pt>
                <c:pt idx="528">
                  <c:v>4.4609209595188657E-5</c:v>
                </c:pt>
                <c:pt idx="529">
                  <c:v>4.5160070992477767E-5</c:v>
                </c:pt>
                <c:pt idx="530">
                  <c:v>4.5959884149055488E-5</c:v>
                </c:pt>
                <c:pt idx="531">
                  <c:v>4.6625844966665208E-5</c:v>
                </c:pt>
                <c:pt idx="532">
                  <c:v>4.8842748941757879E-5</c:v>
                </c:pt>
                <c:pt idx="533">
                  <c:v>4.9450400018206157E-5</c:v>
                </c:pt>
                <c:pt idx="534">
                  <c:v>4.8905431390208474E-5</c:v>
                </c:pt>
                <c:pt idx="535">
                  <c:v>4.8884583961050307E-5</c:v>
                </c:pt>
                <c:pt idx="536">
                  <c:v>4.8523081522224189E-5</c:v>
                </c:pt>
                <c:pt idx="537">
                  <c:v>4.9111320060118048E-5</c:v>
                </c:pt>
                <c:pt idx="538">
                  <c:v>4.9996263074564812E-5</c:v>
                </c:pt>
                <c:pt idx="539">
                  <c:v>5.0296654883593115E-5</c:v>
                </c:pt>
                <c:pt idx="540">
                  <c:v>4.9775441443085588E-5</c:v>
                </c:pt>
                <c:pt idx="541">
                  <c:v>4.9812744299419383E-5</c:v>
                </c:pt>
                <c:pt idx="542">
                  <c:v>4.9371867867500953E-5</c:v>
                </c:pt>
                <c:pt idx="543">
                  <c:v>5.0974606404763531E-5</c:v>
                </c:pt>
                <c:pt idx="544">
                  <c:v>4.9996263074564812E-5</c:v>
                </c:pt>
                <c:pt idx="545">
                  <c:v>5.0157125504481469E-5</c:v>
                </c:pt>
                <c:pt idx="546">
                  <c:v>5.0711370339464955E-5</c:v>
                </c:pt>
                <c:pt idx="547">
                  <c:v>5.003236435726811E-5</c:v>
                </c:pt>
                <c:pt idx="548">
                  <c:v>5.0631036591439192E-5</c:v>
                </c:pt>
                <c:pt idx="549">
                  <c:v>5.0774688595039582E-5</c:v>
                </c:pt>
                <c:pt idx="550">
                  <c:v>5.1847669962051318E-5</c:v>
                </c:pt>
                <c:pt idx="551">
                  <c:v>5.1969564817680789E-5</c:v>
                </c:pt>
                <c:pt idx="552">
                  <c:v>5.2547752282502348E-5</c:v>
                </c:pt>
                <c:pt idx="553">
                  <c:v>5.2345914830419034E-5</c:v>
                </c:pt>
                <c:pt idx="554">
                  <c:v>5.1333511601366568E-5</c:v>
                </c:pt>
                <c:pt idx="555">
                  <c:v>5.0227299197336E-5</c:v>
                </c:pt>
                <c:pt idx="556">
                  <c:v>4.94112308467596E-5</c:v>
                </c:pt>
                <c:pt idx="557">
                  <c:v>5.0086137502567934E-5</c:v>
                </c:pt>
                <c:pt idx="558">
                  <c:v>4.8035753817617732E-5</c:v>
                </c:pt>
                <c:pt idx="559">
                  <c:v>4.8282128209792239E-5</c:v>
                </c:pt>
                <c:pt idx="560">
                  <c:v>4.7408637306980657E-5</c:v>
                </c:pt>
                <c:pt idx="561">
                  <c:v>4.6625844966665208E-5</c:v>
                </c:pt>
                <c:pt idx="562">
                  <c:v>4.6499809616820413E-5</c:v>
                </c:pt>
                <c:pt idx="563">
                  <c:v>4.619334858785097E-5</c:v>
                </c:pt>
                <c:pt idx="564">
                  <c:v>4.5349596061780075E-5</c:v>
                </c:pt>
                <c:pt idx="565">
                  <c:v>4.6219099082114935E-5</c:v>
                </c:pt>
                <c:pt idx="566">
                  <c:v>4.5376529284510162E-5</c:v>
                </c:pt>
                <c:pt idx="567">
                  <c:v>4.6750891302181635E-5</c:v>
                </c:pt>
                <c:pt idx="568">
                  <c:v>4.6924276018084833E-5</c:v>
                </c:pt>
                <c:pt idx="569">
                  <c:v>4.7921999094785389E-5</c:v>
                </c:pt>
                <c:pt idx="570">
                  <c:v>4.7192718512477182E-5</c:v>
                </c:pt>
                <c:pt idx="571">
                  <c:v>4.8884583961050307E-5</c:v>
                </c:pt>
                <c:pt idx="572">
                  <c:v>4.8673550000792746E-5</c:v>
                </c:pt>
                <c:pt idx="573">
                  <c:v>4.931246113123553E-5</c:v>
                </c:pt>
                <c:pt idx="574">
                  <c:v>4.6825440305705395E-5</c:v>
                </c:pt>
                <c:pt idx="575">
                  <c:v>4.7168519820565024E-5</c:v>
                </c:pt>
                <c:pt idx="576">
                  <c:v>4.6924276018084833E-5</c:v>
                </c:pt>
                <c:pt idx="577">
                  <c:v>4.5670420795288623E-5</c:v>
                </c:pt>
                <c:pt idx="578">
                  <c:v>4.5510658331893207E-5</c:v>
                </c:pt>
                <c:pt idx="579">
                  <c:v>4.6167559879972611E-5</c:v>
                </c:pt>
                <c:pt idx="580">
                  <c:v>4.714427986465287E-5</c:v>
                </c:pt>
                <c:pt idx="581">
                  <c:v>4.6924276018084833E-5</c:v>
                </c:pt>
                <c:pt idx="582">
                  <c:v>4.6800630719690084E-5</c:v>
                </c:pt>
                <c:pt idx="583">
                  <c:v>4.5855143941537353E-5</c:v>
                </c:pt>
                <c:pt idx="584">
                  <c:v>4.4775899656848338E-5</c:v>
                </c:pt>
                <c:pt idx="585">
                  <c:v>4.507831881576161E-5</c:v>
                </c:pt>
                <c:pt idx="586">
                  <c:v>4.7621152361992364E-5</c:v>
                </c:pt>
                <c:pt idx="587">
                  <c:v>4.6625844966665208E-5</c:v>
                </c:pt>
                <c:pt idx="588">
                  <c:v>4.5696920259460911E-5</c:v>
                </c:pt>
                <c:pt idx="589">
                  <c:v>4.614173303851638E-5</c:v>
                </c:pt>
                <c:pt idx="590">
                  <c:v>4.6899627639889388E-5</c:v>
                </c:pt>
                <c:pt idx="591">
                  <c:v>4.6675982731581634E-5</c:v>
                </c:pt>
                <c:pt idx="592">
                  <c:v>4.7527124948735102E-5</c:v>
                </c:pt>
                <c:pt idx="593">
                  <c:v>4.6924276018084833E-5</c:v>
                </c:pt>
                <c:pt idx="594">
                  <c:v>4.6167559879972611E-5</c:v>
                </c:pt>
                <c:pt idx="595">
                  <c:v>4.7216875864107E-5</c:v>
                </c:pt>
                <c:pt idx="596">
                  <c:v>4.6575548958806269E-5</c:v>
                </c:pt>
                <c:pt idx="597">
                  <c:v>4.5723383044928508E-5</c:v>
                </c:pt>
                <c:pt idx="598">
                  <c:v>4.6874938843427011E-5</c:v>
                </c:pt>
                <c:pt idx="599">
                  <c:v>4.6167559879972611E-5</c:v>
                </c:pt>
                <c:pt idx="600">
                  <c:v>4.4441318625975278E-5</c:v>
                </c:pt>
                <c:pt idx="601">
                  <c:v>4.3057164002789456E-5</c:v>
                </c:pt>
                <c:pt idx="602">
                  <c:v>4.2036119028616426E-5</c:v>
                </c:pt>
                <c:pt idx="603">
                  <c:v>4.1483296709568348E-5</c:v>
                </c:pt>
                <c:pt idx="604">
                  <c:v>4.1079138459532038E-5</c:v>
                </c:pt>
                <c:pt idx="605">
                  <c:v>4.051315678070035E-5</c:v>
                </c:pt>
                <c:pt idx="606">
                  <c:v>4.0828480622885962E-5</c:v>
                </c:pt>
                <c:pt idx="607">
                  <c:v>4.1729992512719248E-5</c:v>
                </c:pt>
                <c:pt idx="608">
                  <c:v>4.1110368084094255E-5</c:v>
                </c:pt>
                <c:pt idx="609">
                  <c:v>4.1852746454625445E-5</c:v>
                </c:pt>
                <c:pt idx="610">
                  <c:v>4.2580599163048144E-5</c:v>
                </c:pt>
                <c:pt idx="611">
                  <c:v>4.28792947986692E-5</c:v>
                </c:pt>
                <c:pt idx="612">
                  <c:v>4.332202291604664E-5</c:v>
                </c:pt>
                <c:pt idx="613">
                  <c:v>4.4158881277868037E-5</c:v>
                </c:pt>
                <c:pt idx="614">
                  <c:v>4.4525413084878483E-5</c:v>
                </c:pt>
                <c:pt idx="615">
                  <c:v>4.3526375091862948E-5</c:v>
                </c:pt>
                <c:pt idx="616">
                  <c:v>4.3786941296670015E-5</c:v>
                </c:pt>
                <c:pt idx="617">
                  <c:v>4.6321717325310817E-5</c:v>
                </c:pt>
                <c:pt idx="618">
                  <c:v>4.8193159776068153E-5</c:v>
                </c:pt>
                <c:pt idx="619">
                  <c:v>4.8282128209792239E-5</c:v>
                </c:pt>
                <c:pt idx="620">
                  <c:v>4.8716127475573641E-5</c:v>
                </c:pt>
                <c:pt idx="621">
                  <c:v>4.8566301442949001E-5</c:v>
                </c:pt>
                <c:pt idx="622">
                  <c:v>4.8125965756879555E-5</c:v>
                </c:pt>
                <c:pt idx="623">
                  <c:v>4.8630788279816767E-5</c:v>
                </c:pt>
                <c:pt idx="624">
                  <c:v>4.8414235343100477E-5</c:v>
                </c:pt>
                <c:pt idx="625">
                  <c:v>4.9450400018206157E-5</c:v>
                </c:pt>
                <c:pt idx="626">
                  <c:v>4.9371867867500953E-5</c:v>
                </c:pt>
                <c:pt idx="627">
                  <c:v>4.8630788279816767E-5</c:v>
                </c:pt>
                <c:pt idx="628">
                  <c:v>4.8779647025481385E-5</c:v>
                </c:pt>
                <c:pt idx="629">
                  <c:v>4.8237733315435148E-5</c:v>
                </c:pt>
                <c:pt idx="630">
                  <c:v>4.909094374526908E-5</c:v>
                </c:pt>
                <c:pt idx="631">
                  <c:v>4.907052001940427E-5</c:v>
                </c:pt>
                <c:pt idx="632">
                  <c:v>5.0382193600780325E-5</c:v>
                </c:pt>
                <c:pt idx="633">
                  <c:v>5.0014338928401531E-5</c:v>
                </c:pt>
                <c:pt idx="634">
                  <c:v>4.7597709365856167E-5</c:v>
                </c:pt>
                <c:pt idx="635">
                  <c:v>4.796763245018521E-5</c:v>
                </c:pt>
                <c:pt idx="636">
                  <c:v>4.7119998721124885E-5</c:v>
                </c:pt>
                <c:pt idx="637">
                  <c:v>4.7265066241900876E-5</c:v>
                </c:pt>
                <c:pt idx="638">
                  <c:v>4.7714496649200435E-5</c:v>
                </c:pt>
                <c:pt idx="639">
                  <c:v>4.8103479047608117E-5</c:v>
                </c:pt>
                <c:pt idx="640">
                  <c:v>4.7990383467339696E-5</c:v>
                </c:pt>
                <c:pt idx="641">
                  <c:v>4.7784053708895853E-5</c:v>
                </c:pt>
                <c:pt idx="642">
                  <c:v>4.6296120484145811E-5</c:v>
                </c:pt>
                <c:pt idx="643">
                  <c:v>4.6499809616820413E-5</c:v>
                </c:pt>
                <c:pt idx="644">
                  <c:v>4.7456158956286475E-5</c:v>
                </c:pt>
                <c:pt idx="645">
                  <c:v>4.694888390063387E-5</c:v>
                </c:pt>
                <c:pt idx="646">
                  <c:v>4.6474484729866979E-5</c:v>
                </c:pt>
                <c:pt idx="647">
                  <c:v>4.5510658331893207E-5</c:v>
                </c:pt>
                <c:pt idx="648">
                  <c:v>4.614173303851638E-5</c:v>
                </c:pt>
                <c:pt idx="649">
                  <c:v>4.6064024514325138E-5</c:v>
                </c:pt>
                <c:pt idx="650">
                  <c:v>4.5457114455506984E-5</c:v>
                </c:pt>
                <c:pt idx="651">
                  <c:v>4.7644552662613929E-5</c:v>
                </c:pt>
                <c:pt idx="652">
                  <c:v>4.7527124948735102E-5</c:v>
                </c:pt>
                <c:pt idx="653">
                  <c:v>4.7944837635099344E-5</c:v>
                </c:pt>
                <c:pt idx="654">
                  <c:v>4.7714496649200435E-5</c:v>
                </c:pt>
                <c:pt idx="655">
                  <c:v>4.8479679293182374E-5</c:v>
                </c:pt>
                <c:pt idx="656">
                  <c:v>4.8148408162541458E-5</c:v>
                </c:pt>
                <c:pt idx="657">
                  <c:v>4.8282128209792239E-5</c:v>
                </c:pt>
                <c:pt idx="658">
                  <c:v>4.6625844966665208E-5</c:v>
                </c:pt>
                <c:pt idx="659">
                  <c:v>4.6700992076925605E-5</c:v>
                </c:pt>
                <c:pt idx="660">
                  <c:v>4.6695993389015408E-5</c:v>
                </c:pt>
                <c:pt idx="661">
                  <c:v>4.6525095336538163E-5</c:v>
                </c:pt>
                <c:pt idx="662">
                  <c:v>4.441322132357091E-5</c:v>
                </c:pt>
                <c:pt idx="663">
                  <c:v>4.4637075160357992E-5</c:v>
                </c:pt>
                <c:pt idx="664">
                  <c:v>4.5590703146829074E-5</c:v>
                </c:pt>
                <c:pt idx="665">
                  <c:v>4.5241507875838962E-5</c:v>
                </c:pt>
                <c:pt idx="666">
                  <c:v>4.6219099082114935E-5</c:v>
                </c:pt>
                <c:pt idx="667">
                  <c:v>4.5564057784509829E-5</c:v>
                </c:pt>
                <c:pt idx="668">
                  <c:v>4.564388473400143E-5</c:v>
                </c:pt>
                <c:pt idx="669">
                  <c:v>4.3468138027374365E-5</c:v>
                </c:pt>
                <c:pt idx="670">
                  <c:v>4.3292711023264339E-5</c:v>
                </c:pt>
                <c:pt idx="671">
                  <c:v>4.3292711023264339E-5</c:v>
                </c:pt>
                <c:pt idx="672">
                  <c:v>4.335130530080288E-5</c:v>
                </c:pt>
                <c:pt idx="673">
                  <c:v>4.2520529283374107E-5</c:v>
                </c:pt>
                <c:pt idx="674">
                  <c:v>4.2127458905697749E-5</c:v>
                </c:pt>
                <c:pt idx="675">
                  <c:v>4.15451173832071E-5</c:v>
                </c:pt>
                <c:pt idx="676">
                  <c:v>4.0322929058578216E-5</c:v>
                </c:pt>
                <c:pt idx="677">
                  <c:v>3.9068984745116809E-5</c:v>
                </c:pt>
                <c:pt idx="678">
                  <c:v>3.9425571390697021E-5</c:v>
                </c:pt>
                <c:pt idx="679">
                  <c:v>3.916644963608101E-5</c:v>
                </c:pt>
                <c:pt idx="680">
                  <c:v>3.9651338811964328E-5</c:v>
                </c:pt>
                <c:pt idx="681">
                  <c:v>3.7622736750865577E-5</c:v>
                </c:pt>
                <c:pt idx="682">
                  <c:v>3.7523089527185165E-5</c:v>
                </c:pt>
                <c:pt idx="683">
                  <c:v>3.6688271723476942E-5</c:v>
                </c:pt>
                <c:pt idx="684">
                  <c:v>3.7821663175327495E-5</c:v>
                </c:pt>
                <c:pt idx="685">
                  <c:v>3.7190082135322315E-5</c:v>
                </c:pt>
                <c:pt idx="686">
                  <c:v>3.6721806724760219E-5</c:v>
                </c:pt>
                <c:pt idx="687">
                  <c:v>3.6721806724760219E-5</c:v>
                </c:pt>
                <c:pt idx="688">
                  <c:v>3.7489847108502701E-5</c:v>
                </c:pt>
                <c:pt idx="689">
                  <c:v>3.7089934000171614E-5</c:v>
                </c:pt>
                <c:pt idx="690">
                  <c:v>3.7089934000171614E-5</c:v>
                </c:pt>
                <c:pt idx="691">
                  <c:v>3.6453220603452923E-5</c:v>
                </c:pt>
                <c:pt idx="692">
                  <c:v>3.418164857122486E-5</c:v>
                </c:pt>
                <c:pt idx="693">
                  <c:v>3.4284012487247902E-5</c:v>
                </c:pt>
                <c:pt idx="694">
                  <c:v>3.6285010193386468E-5</c:v>
                </c:pt>
                <c:pt idx="695">
                  <c:v>3.7156711715207779E-5</c:v>
                </c:pt>
                <c:pt idx="696">
                  <c:v>3.8448165131604878E-5</c:v>
                </c:pt>
                <c:pt idx="697">
                  <c:v>3.742332277953703E-5</c:v>
                </c:pt>
                <c:pt idx="698">
                  <c:v>3.8742982962172198E-5</c:v>
                </c:pt>
                <c:pt idx="699">
                  <c:v>3.9490169666313283E-5</c:v>
                </c:pt>
                <c:pt idx="700">
                  <c:v>3.984411333373717E-5</c:v>
                </c:pt>
                <c:pt idx="701">
                  <c:v>3.9876174524315019E-5</c:v>
                </c:pt>
                <c:pt idx="702">
                  <c:v>3.9425571390697021E-5</c:v>
                </c:pt>
                <c:pt idx="703">
                  <c:v>4.0734113568413605E-5</c:v>
                </c:pt>
                <c:pt idx="704">
                  <c:v>4.1452350089893817E-5</c:v>
                </c:pt>
                <c:pt idx="705">
                  <c:v>4.0639548222043176E-5</c:v>
                </c:pt>
                <c:pt idx="706">
                  <c:v>3.9231337954471588E-5</c:v>
                </c:pt>
                <c:pt idx="707">
                  <c:v>3.9231337954471588E-5</c:v>
                </c:pt>
                <c:pt idx="708">
                  <c:v>3.8710290385576134E-5</c:v>
                </c:pt>
                <c:pt idx="709">
                  <c:v>3.8775659004313082E-5</c:v>
                </c:pt>
                <c:pt idx="710">
                  <c:v>3.8020083126382092E-5</c:v>
                </c:pt>
                <c:pt idx="711">
                  <c:v>3.5135051365355384E-5</c:v>
                </c:pt>
                <c:pt idx="712">
                  <c:v>2.997211823303382E-5</c:v>
                </c:pt>
                <c:pt idx="713">
                  <c:v>3.0450266153213728E-5</c:v>
                </c:pt>
                <c:pt idx="714">
                  <c:v>3.0279405255392747E-5</c:v>
                </c:pt>
                <c:pt idx="715">
                  <c:v>2.6962142945689035E-5</c:v>
                </c:pt>
                <c:pt idx="716">
                  <c:v>2.7364032392200271E-5</c:v>
                </c:pt>
                <c:pt idx="717">
                  <c:v>2.8645631632546591E-5</c:v>
                </c:pt>
                <c:pt idx="718">
                  <c:v>2.9665213950813498E-5</c:v>
                </c:pt>
                <c:pt idx="719">
                  <c:v>2.8916940043069491E-5</c:v>
                </c:pt>
                <c:pt idx="720">
                  <c:v>3.0006243299284545E-5</c:v>
                </c:pt>
                <c:pt idx="721">
                  <c:v>2.9631139383057659E-5</c:v>
                </c:pt>
                <c:pt idx="722">
                  <c:v>3.0621219643435049E-5</c:v>
                </c:pt>
                <c:pt idx="723">
                  <c:v>3.2470867277034442E-5</c:v>
                </c:pt>
                <c:pt idx="724">
                  <c:v>3.3874304421115413E-5</c:v>
                </c:pt>
                <c:pt idx="725">
                  <c:v>3.4318123729310881E-5</c:v>
                </c:pt>
                <c:pt idx="726">
                  <c:v>3.3498216658734854E-5</c:v>
                </c:pt>
                <c:pt idx="727">
                  <c:v>3.5372595042221483E-5</c:v>
                </c:pt>
                <c:pt idx="728">
                  <c:v>3.4522679720089735E-5</c:v>
                </c:pt>
                <c:pt idx="729">
                  <c:v>3.4727031674587718E-5</c:v>
                </c:pt>
                <c:pt idx="730">
                  <c:v>3.4522679720089735E-5</c:v>
                </c:pt>
                <c:pt idx="731">
                  <c:v>3.4147517478067175E-5</c:v>
                </c:pt>
                <c:pt idx="732">
                  <c:v>3.2505135769783723E-5</c:v>
                </c:pt>
                <c:pt idx="733">
                  <c:v>3.4045095990240493E-5</c:v>
                </c:pt>
                <c:pt idx="734">
                  <c:v>3.418164857122486E-5</c:v>
                </c:pt>
                <c:pt idx="735">
                  <c:v>3.550816529621406E-5</c:v>
                </c:pt>
                <c:pt idx="736">
                  <c:v>3.6082826325803333E-5</c:v>
                </c:pt>
                <c:pt idx="737">
                  <c:v>3.4045095990240493E-5</c:v>
                </c:pt>
                <c:pt idx="738">
                  <c:v>3.390847126040921E-5</c:v>
                </c:pt>
                <c:pt idx="739">
                  <c:v>3.8480986804494588E-5</c:v>
                </c:pt>
                <c:pt idx="740">
                  <c:v>3.8742982962172198E-5</c:v>
                </c:pt>
                <c:pt idx="741">
                  <c:v>3.705652687930406E-5</c:v>
                </c:pt>
                <c:pt idx="742">
                  <c:v>3.7156711715207779E-5</c:v>
                </c:pt>
                <c:pt idx="743">
                  <c:v>3.6116548025159186E-5</c:v>
                </c:pt>
                <c:pt idx="744">
                  <c:v>3.520295812600763E-5</c:v>
                </c:pt>
                <c:pt idx="745">
                  <c:v>3.4284012487247902E-5</c:v>
                </c:pt>
                <c:pt idx="746">
                  <c:v>3.4727031674587718E-5</c:v>
                </c:pt>
                <c:pt idx="747">
                  <c:v>3.4249896158420933E-5</c:v>
                </c:pt>
                <c:pt idx="748">
                  <c:v>3.4215774825533754E-5</c:v>
                </c:pt>
                <c:pt idx="749">
                  <c:v>3.1545571965096776E-5</c:v>
                </c:pt>
                <c:pt idx="750">
                  <c:v>3.171689680238703E-5</c:v>
                </c:pt>
                <c:pt idx="751">
                  <c:v>3.2882013732071328E-5</c:v>
                </c:pt>
                <c:pt idx="752">
                  <c:v>3.567744511528473E-5</c:v>
                </c:pt>
                <c:pt idx="753">
                  <c:v>3.4761069233551693E-5</c:v>
                </c:pt>
                <c:pt idx="754">
                  <c:v>3.1031830390088378E-5</c:v>
                </c:pt>
                <c:pt idx="755">
                  <c:v>3.4863144068042281E-5</c:v>
                </c:pt>
                <c:pt idx="756">
                  <c:v>3.6251337556430259E-5</c:v>
                </c:pt>
                <c:pt idx="757">
                  <c:v>3.6285010193386468E-5</c:v>
                </c:pt>
                <c:pt idx="758">
                  <c:v>3.6956233506853986E-5</c:v>
                </c:pt>
                <c:pt idx="759">
                  <c:v>3.7256785665337608E-5</c:v>
                </c:pt>
                <c:pt idx="760">
                  <c:v>3.8415327718799611E-5</c:v>
                </c:pt>
                <c:pt idx="761">
                  <c:v>3.9068984745116809E-5</c:v>
                </c:pt>
                <c:pt idx="762">
                  <c:v>3.952244099206784E-5</c:v>
                </c:pt>
                <c:pt idx="763">
                  <c:v>4.2520529283374107E-5</c:v>
                </c:pt>
                <c:pt idx="764">
                  <c:v>4.4664907282500036E-5</c:v>
                </c:pt>
                <c:pt idx="765">
                  <c:v>4.424395237385723E-5</c:v>
                </c:pt>
                <c:pt idx="766">
                  <c:v>4.5881384945788953E-5</c:v>
                </c:pt>
                <c:pt idx="767">
                  <c:v>4.6372795090624452E-5</c:v>
                </c:pt>
                <c:pt idx="768">
                  <c:v>4.6600716703854882E-5</c:v>
                </c:pt>
                <c:pt idx="769">
                  <c:v>4.6499809616820413E-5</c:v>
                </c:pt>
                <c:pt idx="770">
                  <c:v>4.507831881576161E-5</c:v>
                </c:pt>
                <c:pt idx="771">
                  <c:v>4.5855143941537353E-5</c:v>
                </c:pt>
                <c:pt idx="772">
                  <c:v>4.5802550514377797E-5</c:v>
                </c:pt>
                <c:pt idx="773">
                  <c:v>4.3671439254878377E-5</c:v>
                </c:pt>
                <c:pt idx="774">
                  <c:v>4.2670498793391223E-5</c:v>
                </c:pt>
                <c:pt idx="775">
                  <c:v>4.4102007062943619E-5</c:v>
                </c:pt>
                <c:pt idx="776">
                  <c:v>4.3145711974348321E-5</c:v>
                </c:pt>
                <c:pt idx="777">
                  <c:v>4.3642487167179447E-5</c:v>
                </c:pt>
                <c:pt idx="778">
                  <c:v>4.255057784409897E-5</c:v>
                </c:pt>
                <c:pt idx="779">
                  <c:v>4.029115084546734E-5</c:v>
                </c:pt>
                <c:pt idx="780">
                  <c:v>3.9972239927141837E-5</c:v>
                </c:pt>
                <c:pt idx="781">
                  <c:v>3.9457879769630748E-5</c:v>
                </c:pt>
                <c:pt idx="782">
                  <c:v>3.8053102546710059E-5</c:v>
                </c:pt>
                <c:pt idx="783">
                  <c:v>3.7887860369580266E-5</c:v>
                </c:pt>
                <c:pt idx="784">
                  <c:v>3.9198902681882048E-5</c:v>
                </c:pt>
                <c:pt idx="785">
                  <c:v>3.8775659004313082E-5</c:v>
                </c:pt>
                <c:pt idx="786">
                  <c:v>3.6150260083717974E-5</c:v>
                </c:pt>
                <c:pt idx="787">
                  <c:v>3.567744511528473E-5</c:v>
                </c:pt>
                <c:pt idx="788">
                  <c:v>3.6150260083717974E-5</c:v>
                </c:pt>
                <c:pt idx="789">
                  <c:v>3.5981604240192346E-5</c:v>
                </c:pt>
                <c:pt idx="790">
                  <c:v>3.5474284678010229E-5</c:v>
                </c:pt>
                <c:pt idx="791">
                  <c:v>3.3840133483127283E-5</c:v>
                </c:pt>
                <c:pt idx="792">
                  <c:v>3.550816529621406E-5</c:v>
                </c:pt>
                <c:pt idx="793">
                  <c:v>3.5981604240192346E-5</c:v>
                </c:pt>
                <c:pt idx="794">
                  <c:v>3.6755330534064979E-5</c:v>
                </c:pt>
                <c:pt idx="795">
                  <c:v>3.6554021528793623E-5</c:v>
                </c:pt>
                <c:pt idx="796">
                  <c:v>3.6587600432977115E-5</c:v>
                </c:pt>
                <c:pt idx="797">
                  <c:v>3.4795100541222091E-5</c:v>
                </c:pt>
                <c:pt idx="798">
                  <c:v>3.5135051365355384E-5</c:v>
                </c:pt>
                <c:pt idx="799">
                  <c:v>3.1545571965096776E-5</c:v>
                </c:pt>
                <c:pt idx="800">
                  <c:v>3.0552827726201384E-5</c:v>
                </c:pt>
                <c:pt idx="801">
                  <c:v>2.9665213950813498E-5</c:v>
                </c:pt>
                <c:pt idx="802">
                  <c:v>2.8036988274501355E-5</c:v>
                </c:pt>
                <c:pt idx="803">
                  <c:v>2.8340982755107537E-5</c:v>
                </c:pt>
                <c:pt idx="804">
                  <c:v>2.8307172377031687E-5</c:v>
                </c:pt>
                <c:pt idx="805">
                  <c:v>2.8138244033724056E-5</c:v>
                </c:pt>
                <c:pt idx="806">
                  <c:v>2.8138244033724056E-5</c:v>
                </c:pt>
                <c:pt idx="807">
                  <c:v>2.7666399192223703E-5</c:v>
                </c:pt>
                <c:pt idx="808">
                  <c:v>3.0211088880249531E-5</c:v>
                </c:pt>
                <c:pt idx="809">
                  <c:v>3.2553110164556708E-5</c:v>
                </c:pt>
                <c:pt idx="810">
                  <c:v>3.2984766281551024E-5</c:v>
                </c:pt>
                <c:pt idx="811">
                  <c:v>3.3703410381199684E-5</c:v>
                </c:pt>
                <c:pt idx="812">
                  <c:v>3.4263543295068873E-5</c:v>
                </c:pt>
                <c:pt idx="813">
                  <c:v>3.5291192901001499E-5</c:v>
                </c:pt>
                <c:pt idx="814">
                  <c:v>3.4284012487247902E-5</c:v>
                </c:pt>
                <c:pt idx="815">
                  <c:v>3.2882013732071328E-5</c:v>
                </c:pt>
                <c:pt idx="816">
                  <c:v>3.3087500898298652E-5</c:v>
                </c:pt>
                <c:pt idx="817">
                  <c:v>3.4454516173580901E-5</c:v>
                </c:pt>
                <c:pt idx="818">
                  <c:v>3.465893813705596E-5</c:v>
                </c:pt>
                <c:pt idx="819">
                  <c:v>3.6352325170566682E-5</c:v>
                </c:pt>
                <c:pt idx="820">
                  <c:v>3.5846511684771575E-5</c:v>
                </c:pt>
                <c:pt idx="821">
                  <c:v>3.4154344079845323E-5</c:v>
                </c:pt>
                <c:pt idx="822">
                  <c:v>3.5860027478966753E-5</c:v>
                </c:pt>
                <c:pt idx="823">
                  <c:v>3.4713414919364916E-5</c:v>
                </c:pt>
                <c:pt idx="824">
                  <c:v>3.4147517478067175E-5</c:v>
                </c:pt>
                <c:pt idx="825">
                  <c:v>3.38948050217795E-5</c:v>
                </c:pt>
                <c:pt idx="826">
                  <c:v>3.5453952452038701E-5</c:v>
                </c:pt>
                <c:pt idx="827">
                  <c:v>3.5318331846013623E-5</c:v>
                </c:pt>
                <c:pt idx="828">
                  <c:v>3.4386330622005386E-5</c:v>
                </c:pt>
                <c:pt idx="829">
                  <c:v>3.4222599488468428E-5</c:v>
                </c:pt>
                <c:pt idx="830">
                  <c:v>3.3395575477670293E-5</c:v>
                </c:pt>
                <c:pt idx="831">
                  <c:v>3.2916266441072392E-5</c:v>
                </c:pt>
                <c:pt idx="832">
                  <c:v>3.2539403383137631E-5</c:v>
                </c:pt>
                <c:pt idx="833">
                  <c:v>3.4863144068042281E-5</c:v>
                </c:pt>
                <c:pt idx="834">
                  <c:v>3.6082826325803333E-5</c:v>
                </c:pt>
                <c:pt idx="835">
                  <c:v>3.6082826325803333E-5</c:v>
                </c:pt>
                <c:pt idx="836">
                  <c:v>3.2162424263448485E-5</c:v>
                </c:pt>
                <c:pt idx="837">
                  <c:v>3.1572982006139622E-5</c:v>
                </c:pt>
                <c:pt idx="838">
                  <c:v>3.4454516173580901E-5</c:v>
                </c:pt>
                <c:pt idx="839">
                  <c:v>3.4079241105167431E-5</c:v>
                </c:pt>
                <c:pt idx="840">
                  <c:v>3.3087500898298652E-5</c:v>
                </c:pt>
                <c:pt idx="841">
                  <c:v>3.2950517317543689E-5</c:v>
                </c:pt>
                <c:pt idx="842">
                  <c:v>3.3395575477670293E-5</c:v>
                </c:pt>
                <c:pt idx="843">
                  <c:v>3.3703410381199684E-5</c:v>
                </c:pt>
                <c:pt idx="844">
                  <c:v>3.6285010193386468E-5</c:v>
                </c:pt>
                <c:pt idx="845">
                  <c:v>3.8217977640243029E-5</c:v>
                </c:pt>
                <c:pt idx="846">
                  <c:v>3.7622736750865577E-5</c:v>
                </c:pt>
                <c:pt idx="847">
                  <c:v>3.8020083126382092E-5</c:v>
                </c:pt>
                <c:pt idx="848">
                  <c:v>3.6795544209906518E-5</c:v>
                </c:pt>
                <c:pt idx="849">
                  <c:v>3.6285010193386468E-5</c:v>
                </c:pt>
                <c:pt idx="850">
                  <c:v>3.5542037809532475E-5</c:v>
                </c:pt>
                <c:pt idx="851">
                  <c:v>3.5420059042463813E-5</c:v>
                </c:pt>
                <c:pt idx="852">
                  <c:v>3.2868312153253215E-5</c:v>
                </c:pt>
                <c:pt idx="853">
                  <c:v>3.2929967016039078E-5</c:v>
                </c:pt>
                <c:pt idx="854">
                  <c:v>3.2813503135832489E-5</c:v>
                </c:pt>
                <c:pt idx="855">
                  <c:v>3.3689734737681438E-5</c:v>
                </c:pt>
                <c:pt idx="856">
                  <c:v>3.4849537422003809E-5</c:v>
                </c:pt>
                <c:pt idx="857">
                  <c:v>3.3881138119491711E-5</c:v>
                </c:pt>
                <c:pt idx="858">
                  <c:v>3.3498216658734854E-5</c:v>
                </c:pt>
                <c:pt idx="859">
                  <c:v>3.1579834641688632E-5</c:v>
                </c:pt>
                <c:pt idx="860">
                  <c:v>3.0019894632814711E-5</c:v>
                </c:pt>
                <c:pt idx="861">
                  <c:v>3.1141391225903079E-5</c:v>
                </c:pt>
                <c:pt idx="862">
                  <c:v>3.1771726040514545E-5</c:v>
                </c:pt>
                <c:pt idx="863">
                  <c:v>3.3292907669889512E-5</c:v>
                </c:pt>
                <c:pt idx="864">
                  <c:v>3.1922515939584306E-5</c:v>
                </c:pt>
                <c:pt idx="865">
                  <c:v>3.2511989365332743E-5</c:v>
                </c:pt>
                <c:pt idx="866">
                  <c:v>3.2320077459954543E-5</c:v>
                </c:pt>
                <c:pt idx="867">
                  <c:v>3.181970329657535E-5</c:v>
                </c:pt>
                <c:pt idx="868">
                  <c:v>3.1853973597463773E-5</c:v>
                </c:pt>
                <c:pt idx="869">
                  <c:v>3.5114673710257649E-5</c:v>
                </c:pt>
                <c:pt idx="870">
                  <c:v>3.5325115820910674E-5</c:v>
                </c:pt>
                <c:pt idx="871">
                  <c:v>3.2882013732071328E-5</c:v>
                </c:pt>
                <c:pt idx="872">
                  <c:v>3.1853973597463773E-5</c:v>
                </c:pt>
                <c:pt idx="873">
                  <c:v>3.1271523730880976E-5</c:v>
                </c:pt>
                <c:pt idx="874">
                  <c:v>3.1120846781276771E-5</c:v>
                </c:pt>
                <c:pt idx="875">
                  <c:v>3.0826473041588525E-5</c:v>
                </c:pt>
                <c:pt idx="876">
                  <c:v>3.1579834641688632E-5</c:v>
                </c:pt>
                <c:pt idx="877">
                  <c:v>3.0894914738410133E-5</c:v>
                </c:pt>
                <c:pt idx="878">
                  <c:v>3.0484449738647068E-5</c:v>
                </c:pt>
                <c:pt idx="879">
                  <c:v>3.0108646128965653E-5</c:v>
                </c:pt>
                <c:pt idx="880">
                  <c:v>3.0477612728786644E-5</c:v>
                </c:pt>
                <c:pt idx="881">
                  <c:v>3.0211088880249531E-5</c:v>
                </c:pt>
                <c:pt idx="882">
                  <c:v>2.8883001550420678E-5</c:v>
                </c:pt>
                <c:pt idx="883">
                  <c:v>2.9188691249752299E-5</c:v>
                </c:pt>
                <c:pt idx="884">
                  <c:v>2.997211823303382E-5</c:v>
                </c:pt>
                <c:pt idx="885">
                  <c:v>2.9297507749859987E-5</c:v>
                </c:pt>
                <c:pt idx="886">
                  <c:v>2.8577877850715372E-5</c:v>
                </c:pt>
                <c:pt idx="887">
                  <c:v>2.9039175410932799E-5</c:v>
                </c:pt>
                <c:pt idx="888">
                  <c:v>2.7686584588529584E-5</c:v>
                </c:pt>
                <c:pt idx="889">
                  <c:v>2.7283535926539173E-5</c:v>
                </c:pt>
                <c:pt idx="890">
                  <c:v>2.5739790183826326E-5</c:v>
                </c:pt>
                <c:pt idx="891">
                  <c:v>2.2114186995277815E-5</c:v>
                </c:pt>
                <c:pt idx="892">
                  <c:v>2.2239071518438312E-5</c:v>
                </c:pt>
                <c:pt idx="893">
                  <c:v>2.0158783328249168E-5</c:v>
                </c:pt>
                <c:pt idx="894">
                  <c:v>2.1224066454873839E-5</c:v>
                </c:pt>
                <c:pt idx="895">
                  <c:v>1.9236642882586128E-5</c:v>
                </c:pt>
                <c:pt idx="896">
                  <c:v>2.1543635163390213E-5</c:v>
                </c:pt>
                <c:pt idx="897">
                  <c:v>2.1077300914180863E-5</c:v>
                </c:pt>
                <c:pt idx="898">
                  <c:v>2.0356555035638485E-5</c:v>
                </c:pt>
                <c:pt idx="899">
                  <c:v>2.0027452357619434E-5</c:v>
                </c:pt>
                <c:pt idx="900">
                  <c:v>2.134672370467295E-5</c:v>
                </c:pt>
                <c:pt idx="901">
                  <c:v>2.0555247628601542E-5</c:v>
                </c:pt>
                <c:pt idx="902">
                  <c:v>2.0404638781696609E-5</c:v>
                </c:pt>
                <c:pt idx="903">
                  <c:v>1.9742363838322502E-5</c:v>
                </c:pt>
                <c:pt idx="904">
                  <c:v>2.0296526478698162E-5</c:v>
                </c:pt>
                <c:pt idx="905">
                  <c:v>2.0748788462255157E-5</c:v>
                </c:pt>
                <c:pt idx="906">
                  <c:v>2.1175093121196287E-5</c:v>
                </c:pt>
                <c:pt idx="907">
                  <c:v>2.2571448390220408E-5</c:v>
                </c:pt>
                <c:pt idx="908">
                  <c:v>2.3940071338874086E-5</c:v>
                </c:pt>
                <c:pt idx="909">
                  <c:v>2.3651030175719217E-5</c:v>
                </c:pt>
                <c:pt idx="910">
                  <c:v>2.3843578217575876E-5</c:v>
                </c:pt>
                <c:pt idx="911">
                  <c:v>2.3914325681272066E-5</c:v>
                </c:pt>
                <c:pt idx="912">
                  <c:v>2.2975519465876499E-5</c:v>
                </c:pt>
                <c:pt idx="913">
                  <c:v>2.4867010308729996E-5</c:v>
                </c:pt>
                <c:pt idx="914">
                  <c:v>2.7726965482131918E-5</c:v>
                </c:pt>
                <c:pt idx="915">
                  <c:v>2.8916940043069491E-5</c:v>
                </c:pt>
                <c:pt idx="916">
                  <c:v>3.0279405255392747E-5</c:v>
                </c:pt>
                <c:pt idx="917">
                  <c:v>2.6362244122786042E-5</c:v>
                </c:pt>
                <c:pt idx="918">
                  <c:v>2.4165780363000605E-5</c:v>
                </c:pt>
                <c:pt idx="919">
                  <c:v>2.3940071338874086E-5</c:v>
                </c:pt>
                <c:pt idx="920">
                  <c:v>2.6030604399447801E-5</c:v>
                </c:pt>
                <c:pt idx="921">
                  <c:v>2.6030604399447801E-5</c:v>
                </c:pt>
                <c:pt idx="922">
                  <c:v>2.7002264040137021E-5</c:v>
                </c:pt>
                <c:pt idx="923">
                  <c:v>2.6395474321611617E-5</c:v>
                </c:pt>
                <c:pt idx="924">
                  <c:v>2.510882931069309E-5</c:v>
                </c:pt>
                <c:pt idx="925">
                  <c:v>2.3843578217575876E-5</c:v>
                </c:pt>
                <c:pt idx="926">
                  <c:v>2.4004480291714538E-5</c:v>
                </c:pt>
                <c:pt idx="927">
                  <c:v>2.4217479377109191E-5</c:v>
                </c:pt>
                <c:pt idx="928">
                  <c:v>2.2773118695741645E-5</c:v>
                </c:pt>
                <c:pt idx="929">
                  <c:v>2.2728940470049948E-5</c:v>
                </c:pt>
                <c:pt idx="930">
                  <c:v>2.1698031211216982E-5</c:v>
                </c:pt>
                <c:pt idx="931">
                  <c:v>2.2139139931863019E-5</c:v>
                </c:pt>
                <c:pt idx="932">
                  <c:v>2.2282851622397901E-5</c:v>
                </c:pt>
                <c:pt idx="933">
                  <c:v>2.3760068575265234E-5</c:v>
                </c:pt>
                <c:pt idx="934">
                  <c:v>2.3747230702516303E-5</c:v>
                </c:pt>
                <c:pt idx="935">
                  <c:v>2.6895308903607157E-5</c:v>
                </c:pt>
                <c:pt idx="936">
                  <c:v>2.5799194441356714E-5</c:v>
                </c:pt>
                <c:pt idx="937">
                  <c:v>2.4444128475735684E-5</c:v>
                </c:pt>
                <c:pt idx="938">
                  <c:v>2.5548664264792003E-5</c:v>
                </c:pt>
                <c:pt idx="939">
                  <c:v>2.8645631632546591E-5</c:v>
                </c:pt>
                <c:pt idx="940">
                  <c:v>2.7585691605371945E-5</c:v>
                </c:pt>
                <c:pt idx="941">
                  <c:v>2.5509176531490427E-5</c:v>
                </c:pt>
                <c:pt idx="942">
                  <c:v>2.5647467279609026E-5</c:v>
                </c:pt>
                <c:pt idx="943">
                  <c:v>2.3299574538962994E-5</c:v>
                </c:pt>
                <c:pt idx="944">
                  <c:v>2.3940071338874086E-5</c:v>
                </c:pt>
                <c:pt idx="945">
                  <c:v>2.6795139550159873E-5</c:v>
                </c:pt>
                <c:pt idx="946">
                  <c:v>2.6661735554704789E-5</c:v>
                </c:pt>
                <c:pt idx="947">
                  <c:v>2.7700043393434187E-5</c:v>
                </c:pt>
                <c:pt idx="948">
                  <c:v>2.7310361635509205E-5</c:v>
                </c:pt>
                <c:pt idx="949">
                  <c:v>2.6695069744870081E-5</c:v>
                </c:pt>
                <c:pt idx="950">
                  <c:v>2.8246334272070795E-5</c:v>
                </c:pt>
                <c:pt idx="951">
                  <c:v>3.0060853054382467E-5</c:v>
                </c:pt>
                <c:pt idx="952">
                  <c:v>3.0101818009934503E-5</c:v>
                </c:pt>
                <c:pt idx="953">
                  <c:v>3.1292073594923224E-5</c:v>
                </c:pt>
                <c:pt idx="954">
                  <c:v>3.2710725491422841E-5</c:v>
                </c:pt>
                <c:pt idx="955">
                  <c:v>3.2244678835052974E-5</c:v>
                </c:pt>
                <c:pt idx="956">
                  <c:v>3.1497606417096158E-5</c:v>
                </c:pt>
                <c:pt idx="957">
                  <c:v>3.181970329657535E-5</c:v>
                </c:pt>
                <c:pt idx="958">
                  <c:v>3.0361406349006516E-5</c:v>
                </c:pt>
                <c:pt idx="959">
                  <c:v>3.0347737914634364E-5</c:v>
                </c:pt>
                <c:pt idx="960">
                  <c:v>2.9563006650910984E-5</c:v>
                </c:pt>
                <c:pt idx="961">
                  <c:v>3.0265740658901546E-5</c:v>
                </c:pt>
                <c:pt idx="962">
                  <c:v>3.0170107114856929E-5</c:v>
                </c:pt>
                <c:pt idx="963">
                  <c:v>3.2073314567345211E-5</c:v>
                </c:pt>
                <c:pt idx="964">
                  <c:v>2.7848187954132413E-5</c:v>
                </c:pt>
                <c:pt idx="965">
                  <c:v>2.7008952386375862E-5</c:v>
                </c:pt>
                <c:pt idx="966">
                  <c:v>2.5898294066931679E-5</c:v>
                </c:pt>
                <c:pt idx="967">
                  <c:v>2.4470079003442176E-5</c:v>
                </c:pt>
                <c:pt idx="968">
                  <c:v>2.3388843044843452E-5</c:v>
                </c:pt>
                <c:pt idx="969">
                  <c:v>2.2326668092753716E-5</c:v>
                </c:pt>
                <c:pt idx="970">
                  <c:v>2.0194672845047155E-5</c:v>
                </c:pt>
                <c:pt idx="971">
                  <c:v>2.0278534446016669E-5</c:v>
                </c:pt>
                <c:pt idx="972">
                  <c:v>1.9979798884148467E-5</c:v>
                </c:pt>
                <c:pt idx="973">
                  <c:v>1.9837170814955869E-5</c:v>
                </c:pt>
                <c:pt idx="974">
                  <c:v>2.0015533813319591E-5</c:v>
                </c:pt>
                <c:pt idx="975">
                  <c:v>1.9318521257086326E-5</c:v>
                </c:pt>
                <c:pt idx="976">
                  <c:v>1.9700956173801823E-5</c:v>
                </c:pt>
                <c:pt idx="977">
                  <c:v>1.9050154567453131E-5</c:v>
                </c:pt>
                <c:pt idx="978">
                  <c:v>1.7743159690902621E-5</c:v>
                </c:pt>
                <c:pt idx="979">
                  <c:v>1.9447541260712752E-5</c:v>
                </c:pt>
                <c:pt idx="980">
                  <c:v>1.9347806064929556E-5</c:v>
                </c:pt>
                <c:pt idx="981">
                  <c:v>1.8052576623073528E-5</c:v>
                </c:pt>
                <c:pt idx="982">
                  <c:v>1.8726038406479203E-5</c:v>
                </c:pt>
                <c:pt idx="983">
                  <c:v>1.7771169137760045E-5</c:v>
                </c:pt>
                <c:pt idx="984">
                  <c:v>1.8109143209064814E-5</c:v>
                </c:pt>
                <c:pt idx="985">
                  <c:v>1.6604904965727276E-5</c:v>
                </c:pt>
                <c:pt idx="986">
                  <c:v>1.7094637592263762E-5</c:v>
                </c:pt>
                <c:pt idx="987">
                  <c:v>1.7481046443843519E-5</c:v>
                </c:pt>
                <c:pt idx="988">
                  <c:v>1.6389832965695081E-5</c:v>
                </c:pt>
                <c:pt idx="989">
                  <c:v>1.6395190222956498E-5</c:v>
                </c:pt>
                <c:pt idx="990">
                  <c:v>1.9055968320640535E-5</c:v>
                </c:pt>
                <c:pt idx="991">
                  <c:v>1.8656958961953715E-5</c:v>
                </c:pt>
                <c:pt idx="992">
                  <c:v>1.8656958961953715E-5</c:v>
                </c:pt>
                <c:pt idx="993">
                  <c:v>1.8233922107559024E-5</c:v>
                </c:pt>
                <c:pt idx="994">
                  <c:v>1.9260018769867851E-5</c:v>
                </c:pt>
                <c:pt idx="995">
                  <c:v>1.8109143209064814E-5</c:v>
                </c:pt>
                <c:pt idx="996">
                  <c:v>1.8279409218302228E-5</c:v>
                </c:pt>
                <c:pt idx="997">
                  <c:v>1.7799202536678089E-5</c:v>
                </c:pt>
                <c:pt idx="998">
                  <c:v>1.7050781764775613E-5</c:v>
                </c:pt>
                <c:pt idx="999">
                  <c:v>1.859375291026066E-5</c:v>
                </c:pt>
                <c:pt idx="1000">
                  <c:v>1.5754298365309068E-5</c:v>
                </c:pt>
                <c:pt idx="1001">
                  <c:v>1.7160539148341842E-5</c:v>
                </c:pt>
                <c:pt idx="1002">
                  <c:v>1.8997871609508355E-5</c:v>
                </c:pt>
                <c:pt idx="1003">
                  <c:v>1.8553589182989584E-5</c:v>
                </c:pt>
                <c:pt idx="1004">
                  <c:v>1.7799202536678089E-5</c:v>
                </c:pt>
                <c:pt idx="1005">
                  <c:v>1.7799202536678089E-5</c:v>
                </c:pt>
                <c:pt idx="1006">
                  <c:v>1.8007391558125322E-5</c:v>
                </c:pt>
                <c:pt idx="1007">
                  <c:v>1.6886883769290982E-5</c:v>
                </c:pt>
                <c:pt idx="1008">
                  <c:v>1.6886883769290982E-5</c:v>
                </c:pt>
                <c:pt idx="1009">
                  <c:v>1.9406442644950587E-5</c:v>
                </c:pt>
                <c:pt idx="1010">
                  <c:v>1.8795250373766413E-5</c:v>
                </c:pt>
                <c:pt idx="1011">
                  <c:v>2.0494941146361193E-5</c:v>
                </c:pt>
                <c:pt idx="1012">
                  <c:v>2.2332930549966837E-5</c:v>
                </c:pt>
                <c:pt idx="1013">
                  <c:v>2.177231374777781E-5</c:v>
                </c:pt>
                <c:pt idx="1014">
                  <c:v>2.1636214349836184E-5</c:v>
                </c:pt>
                <c:pt idx="1015">
                  <c:v>2.1636214349836184E-5</c:v>
                </c:pt>
                <c:pt idx="1016">
                  <c:v>1.9777890259162597E-5</c:v>
                </c:pt>
                <c:pt idx="1017">
                  <c:v>2.0105006808899213E-5</c:v>
                </c:pt>
                <c:pt idx="1018">
                  <c:v>2.0134874086877305E-5</c:v>
                </c:pt>
                <c:pt idx="1019">
                  <c:v>2.0779105868000858E-5</c:v>
                </c:pt>
                <c:pt idx="1020">
                  <c:v>2.0230593091551959E-5</c:v>
                </c:pt>
                <c:pt idx="1021">
                  <c:v>1.9878719030973175E-5</c:v>
                </c:pt>
                <c:pt idx="1022">
                  <c:v>2.1759925597662372E-5</c:v>
                </c:pt>
                <c:pt idx="1023">
                  <c:v>2.1113948799039511E-5</c:v>
                </c:pt>
                <c:pt idx="1024">
                  <c:v>2.1083406874889237E-5</c:v>
                </c:pt>
                <c:pt idx="1025">
                  <c:v>2.2364253917875171E-5</c:v>
                </c:pt>
                <c:pt idx="1026">
                  <c:v>2.3248623853811802E-5</c:v>
                </c:pt>
                <c:pt idx="1027">
                  <c:v>2.3586978829242727E-5</c:v>
                </c:pt>
                <c:pt idx="1028">
                  <c:v>2.3299574538962994E-5</c:v>
                </c:pt>
                <c:pt idx="1029">
                  <c:v>2.301989078075541E-5</c:v>
                </c:pt>
                <c:pt idx="1030">
                  <c:v>2.4912699661165048E-5</c:v>
                </c:pt>
                <c:pt idx="1031">
                  <c:v>2.5174319105928283E-5</c:v>
                </c:pt>
                <c:pt idx="1032">
                  <c:v>2.5634286675399625E-5</c:v>
                </c:pt>
                <c:pt idx="1033">
                  <c:v>2.8896576112745982E-5</c:v>
                </c:pt>
                <c:pt idx="1034">
                  <c:v>2.8084231348060264E-5</c:v>
                </c:pt>
                <c:pt idx="1035">
                  <c:v>3.3942633919039787E-5</c:v>
                </c:pt>
                <c:pt idx="1036">
                  <c:v>3.3635026364186075E-5</c:v>
                </c:pt>
                <c:pt idx="1037">
                  <c:v>3.3498216658734854E-5</c:v>
                </c:pt>
                <c:pt idx="1038">
                  <c:v>4.029115084546734E-5</c:v>
                </c:pt>
                <c:pt idx="1039">
                  <c:v>4.0131949709274113E-5</c:v>
                </c:pt>
                <c:pt idx="1040">
                  <c:v>3.5974853100192503E-5</c:v>
                </c:pt>
                <c:pt idx="1041">
                  <c:v>3.6150260083717974E-5</c:v>
                </c:pt>
                <c:pt idx="1042">
                  <c:v>3.6217654935218352E-5</c:v>
                </c:pt>
                <c:pt idx="1043">
                  <c:v>3.6231129176312963E-5</c:v>
                </c:pt>
                <c:pt idx="1044">
                  <c:v>3.9023447333423459E-5</c:v>
                </c:pt>
                <c:pt idx="1045">
                  <c:v>3.6352325170566682E-5</c:v>
                </c:pt>
                <c:pt idx="1046">
                  <c:v>3.7735522797278291E-5</c:v>
                </c:pt>
                <c:pt idx="1047">
                  <c:v>4.1514219170153878E-5</c:v>
                </c:pt>
                <c:pt idx="1048">
                  <c:v>3.9651338811964328E-5</c:v>
                </c:pt>
                <c:pt idx="1049">
                  <c:v>3.8415327718799611E-5</c:v>
                </c:pt>
                <c:pt idx="1050">
                  <c:v>3.9509534695953066E-5</c:v>
                </c:pt>
                <c:pt idx="1051">
                  <c:v>3.9715673990122524E-5</c:v>
                </c:pt>
                <c:pt idx="1052">
                  <c:v>4.0061739414041695E-5</c:v>
                </c:pt>
                <c:pt idx="1053">
                  <c:v>4.1452350089893817E-5</c:v>
                </c:pt>
                <c:pt idx="1054">
                  <c:v>4.4664907282500036E-5</c:v>
                </c:pt>
                <c:pt idx="1055">
                  <c:v>4.3572878049447992E-5</c:v>
                </c:pt>
                <c:pt idx="1056">
                  <c:v>4.3468138027374365E-5</c:v>
                </c:pt>
                <c:pt idx="1057">
                  <c:v>4.0972786166819524E-5</c:v>
                </c:pt>
                <c:pt idx="1058">
                  <c:v>4.3409781199712805E-5</c:v>
                </c:pt>
                <c:pt idx="1059">
                  <c:v>4.3204599163807546E-5</c:v>
                </c:pt>
                <c:pt idx="1060">
                  <c:v>4.051315678070035E-5</c:v>
                </c:pt>
                <c:pt idx="1061">
                  <c:v>3.9133978905645819E-5</c:v>
                </c:pt>
                <c:pt idx="1062">
                  <c:v>3.8677581362884627E-5</c:v>
                </c:pt>
                <c:pt idx="1063">
                  <c:v>4.3409781199712805E-5</c:v>
                </c:pt>
                <c:pt idx="1064">
                  <c:v>4.1680779219261958E-5</c:v>
                </c:pt>
                <c:pt idx="1065">
                  <c:v>4.0784467492831055E-5</c:v>
                </c:pt>
                <c:pt idx="1066">
                  <c:v>4.1729992512719248E-5</c:v>
                </c:pt>
                <c:pt idx="1067">
                  <c:v>3.7236779859035484E-5</c:v>
                </c:pt>
                <c:pt idx="1068">
                  <c:v>3.7689100664739325E-5</c:v>
                </c:pt>
                <c:pt idx="1069">
                  <c:v>3.8349606026139063E-5</c:v>
                </c:pt>
                <c:pt idx="1070">
                  <c:v>3.9683515952625682E-5</c:v>
                </c:pt>
                <c:pt idx="1071">
                  <c:v>3.9779932400689243E-5</c:v>
                </c:pt>
                <c:pt idx="1072">
                  <c:v>3.6701687061488038E-5</c:v>
                </c:pt>
                <c:pt idx="1073">
                  <c:v>3.7523089527185165E-5</c:v>
                </c:pt>
                <c:pt idx="1074">
                  <c:v>3.9036461492111029E-5</c:v>
                </c:pt>
                <c:pt idx="1075">
                  <c:v>3.7742152321599763E-5</c:v>
                </c:pt>
                <c:pt idx="1076">
                  <c:v>4.0430818280437073E-5</c:v>
                </c:pt>
                <c:pt idx="1077">
                  <c:v>4.0100048089394621E-5</c:v>
                </c:pt>
                <c:pt idx="1078">
                  <c:v>4.2005620789236709E-5</c:v>
                </c:pt>
                <c:pt idx="1079">
                  <c:v>4.1987309523153849E-5</c:v>
                </c:pt>
                <c:pt idx="1080">
                  <c:v>4.0891280647424169E-5</c:v>
                </c:pt>
                <c:pt idx="1081">
                  <c:v>3.9373839762630226E-5</c:v>
                </c:pt>
                <c:pt idx="1082">
                  <c:v>3.8494111046717789E-5</c:v>
                </c:pt>
                <c:pt idx="1083">
                  <c:v>3.9432034540807698E-5</c:v>
                </c:pt>
                <c:pt idx="1084">
                  <c:v>4.2084862618871596E-5</c:v>
                </c:pt>
                <c:pt idx="1085">
                  <c:v>4.1668465991835629E-5</c:v>
                </c:pt>
                <c:pt idx="1086">
                  <c:v>4.1328323789739894E-5</c:v>
                </c:pt>
                <c:pt idx="1087">
                  <c:v>4.057639567879695E-5</c:v>
                </c:pt>
                <c:pt idx="1088">
                  <c:v>4.0023401721944819E-5</c:v>
                </c:pt>
                <c:pt idx="1089">
                  <c:v>4.0380077168603982E-5</c:v>
                </c:pt>
                <c:pt idx="1090">
                  <c:v>4.1097879000898344E-5</c:v>
                </c:pt>
                <c:pt idx="1091">
                  <c:v>4.2157853624207456E-5</c:v>
                </c:pt>
                <c:pt idx="1092">
                  <c:v>4.5553389479397826E-5</c:v>
                </c:pt>
                <c:pt idx="1093">
                  <c:v>4.6423717770258363E-5</c:v>
                </c:pt>
                <c:pt idx="1094">
                  <c:v>4.5268583051301312E-5</c:v>
                </c:pt>
                <c:pt idx="1095">
                  <c:v>4.4968829337396088E-5</c:v>
                </c:pt>
                <c:pt idx="1096">
                  <c:v>4.5907588702414988E-5</c:v>
                </c:pt>
                <c:pt idx="1097">
                  <c:v>4.3263369709139749E-5</c:v>
                </c:pt>
                <c:pt idx="1098">
                  <c:v>4.2974285924018625E-5</c:v>
                </c:pt>
                <c:pt idx="1099">
                  <c:v>4.4592474238502495E-5</c:v>
                </c:pt>
                <c:pt idx="1100">
                  <c:v>4.4858788664106742E-5</c:v>
                </c:pt>
                <c:pt idx="1101">
                  <c:v>4.333959589340956E-5</c:v>
                </c:pt>
                <c:pt idx="1102">
                  <c:v>4.5564057784509829E-5</c:v>
                </c:pt>
                <c:pt idx="1103">
                  <c:v>4.4609209595188657E-5</c:v>
                </c:pt>
                <c:pt idx="1104">
                  <c:v>4.4147516653624169E-5</c:v>
                </c:pt>
                <c:pt idx="1105">
                  <c:v>4.095399076799154E-5</c:v>
                </c:pt>
                <c:pt idx="1106">
                  <c:v>4.1938434463362663E-5</c:v>
                </c:pt>
                <c:pt idx="1107">
                  <c:v>4.09101031557945E-5</c:v>
                </c:pt>
                <c:pt idx="1108">
                  <c:v>3.9760662980355177E-5</c:v>
                </c:pt>
                <c:pt idx="1109">
                  <c:v>3.7636013889773104E-5</c:v>
                </c:pt>
                <c:pt idx="1110">
                  <c:v>3.8066306208442382E-5</c:v>
                </c:pt>
                <c:pt idx="1111">
                  <c:v>3.705652687930406E-5</c:v>
                </c:pt>
                <c:pt idx="1112">
                  <c:v>3.6500272937881863E-5</c:v>
                </c:pt>
                <c:pt idx="1113">
                  <c:v>3.6822344230364273E-5</c:v>
                </c:pt>
                <c:pt idx="1114">
                  <c:v>3.6540586949574216E-5</c:v>
                </c:pt>
                <c:pt idx="1115">
                  <c:v>4.0227532138766279E-5</c:v>
                </c:pt>
                <c:pt idx="1116">
                  <c:v>4.0671091888711562E-5</c:v>
                </c:pt>
                <c:pt idx="1117">
                  <c:v>4.029115084546734E-5</c:v>
                </c:pt>
                <c:pt idx="1118">
                  <c:v>4.2997988244784998E-5</c:v>
                </c:pt>
                <c:pt idx="1119">
                  <c:v>4.3104421910589262E-5</c:v>
                </c:pt>
                <c:pt idx="1120">
                  <c:v>4.4441318625975278E-5</c:v>
                </c:pt>
                <c:pt idx="1121">
                  <c:v>4.5029117102418798E-5</c:v>
                </c:pt>
                <c:pt idx="1122">
                  <c:v>4.5712802337404556E-5</c:v>
                </c:pt>
                <c:pt idx="1123">
                  <c:v>4.5301026573845499E-5</c:v>
                </c:pt>
                <c:pt idx="1124">
                  <c:v>4.8035753817617732E-5</c:v>
                </c:pt>
                <c:pt idx="1125">
                  <c:v>4.608478015208537E-5</c:v>
                </c:pt>
                <c:pt idx="1126">
                  <c:v>4.513830114814032E-5</c:v>
                </c:pt>
                <c:pt idx="1127">
                  <c:v>4.4113392113749079E-5</c:v>
                </c:pt>
                <c:pt idx="1128">
                  <c:v>4.3216362626631083E-5</c:v>
                </c:pt>
                <c:pt idx="1129">
                  <c:v>4.2897127719636021E-5</c:v>
                </c:pt>
                <c:pt idx="1130">
                  <c:v>4.8457909987398342E-5</c:v>
                </c:pt>
                <c:pt idx="1131">
                  <c:v>4.9216510080579904E-5</c:v>
                </c:pt>
                <c:pt idx="1132">
                  <c:v>4.7940273422726292E-5</c:v>
                </c:pt>
                <c:pt idx="1133">
                  <c:v>4.8967692547177267E-5</c:v>
                </c:pt>
                <c:pt idx="1134">
                  <c:v>4.8926232009114522E-5</c:v>
                </c:pt>
                <c:pt idx="1135">
                  <c:v>5.0365188905306629E-5</c:v>
                </c:pt>
                <c:pt idx="1136">
                  <c:v>5.1049091934350492E-5</c:v>
                </c:pt>
                <c:pt idx="1137">
                  <c:v>5.1049091934350492E-5</c:v>
                </c:pt>
                <c:pt idx="1138">
                  <c:v>5.1859034686172242E-5</c:v>
                </c:pt>
                <c:pt idx="1139">
                  <c:v>5.138508476674676E-5</c:v>
                </c:pt>
                <c:pt idx="1140">
                  <c:v>5.1250470226662538E-5</c:v>
                </c:pt>
                <c:pt idx="1141">
                  <c:v>5.1406562454826294E-5</c:v>
                </c:pt>
                <c:pt idx="1142">
                  <c:v>5.0526296600089267E-5</c:v>
                </c:pt>
                <c:pt idx="1143">
                  <c:v>5.0549391363240636E-5</c:v>
                </c:pt>
                <c:pt idx="1144">
                  <c:v>4.9139767124601477E-5</c:v>
                </c:pt>
                <c:pt idx="1145">
                  <c:v>4.94112308467596E-5</c:v>
                </c:pt>
                <c:pt idx="1146">
                  <c:v>4.9992641858023327E-5</c:v>
                </c:pt>
                <c:pt idx="1147">
                  <c:v>4.9711571141907733E-5</c:v>
                </c:pt>
                <c:pt idx="1148">
                  <c:v>4.8492719071094541E-5</c:v>
                </c:pt>
                <c:pt idx="1149">
                  <c:v>4.8938689883542693E-5</c:v>
                </c:pt>
                <c:pt idx="1150">
                  <c:v>4.8905431390208474E-5</c:v>
                </c:pt>
                <c:pt idx="1151">
                  <c:v>4.825107056739202E-5</c:v>
                </c:pt>
                <c:pt idx="1152">
                  <c:v>4.909094374526908E-5</c:v>
                </c:pt>
                <c:pt idx="1153">
                  <c:v>4.956673959176803E-5</c:v>
                </c:pt>
                <c:pt idx="1154">
                  <c:v>5.0483135453314415E-5</c:v>
                </c:pt>
                <c:pt idx="1155">
                  <c:v>5.0499777523204836E-5</c:v>
                </c:pt>
                <c:pt idx="1156">
                  <c:v>5.0983615543665446E-5</c:v>
                </c:pt>
                <c:pt idx="1157">
                  <c:v>5.1742848549047942E-5</c:v>
                </c:pt>
                <c:pt idx="1158">
                  <c:v>5.1501465680731478E-5</c:v>
                </c:pt>
                <c:pt idx="1159">
                  <c:v>5.1694799108413742E-5</c:v>
                </c:pt>
                <c:pt idx="1160">
                  <c:v>5.0392371636132155E-5</c:v>
                </c:pt>
                <c:pt idx="1161">
                  <c:v>5.0142992929809055E-5</c:v>
                </c:pt>
                <c:pt idx="1162">
                  <c:v>5.0432897644444074E-5</c:v>
                </c:pt>
                <c:pt idx="1163">
                  <c:v>5.0864994746672715E-5</c:v>
                </c:pt>
                <c:pt idx="1164">
                  <c:v>5.1292236883065521E-5</c:v>
                </c:pt>
                <c:pt idx="1165">
                  <c:v>5.1133808215973686E-5</c:v>
                </c:pt>
                <c:pt idx="1166">
                  <c:v>5.0324167295531067E-5</c:v>
                </c:pt>
                <c:pt idx="1167">
                  <c:v>5.0631036591439192E-5</c:v>
                </c:pt>
                <c:pt idx="1168">
                  <c:v>5.0588744320503714E-5</c:v>
                </c:pt>
                <c:pt idx="1169">
                  <c:v>5.1007545495245825E-5</c:v>
                </c:pt>
                <c:pt idx="1170">
                  <c:v>5.0784113363684407E-5</c:v>
                </c:pt>
                <c:pt idx="1171">
                  <c:v>5.0078994058906957E-5</c:v>
                </c:pt>
                <c:pt idx="1172">
                  <c:v>5.0499777523204836E-5</c:v>
                </c:pt>
                <c:pt idx="1173">
                  <c:v>4.9430839690419382E-5</c:v>
                </c:pt>
                <c:pt idx="1174">
                  <c:v>4.8951130867546379E-5</c:v>
                </c:pt>
                <c:pt idx="1175">
                  <c:v>4.8737346948960119E-5</c:v>
                </c:pt>
                <c:pt idx="1176">
                  <c:v>4.8686342614102061E-5</c:v>
                </c:pt>
                <c:pt idx="1177">
                  <c:v>4.7899116902061209E-5</c:v>
                </c:pt>
                <c:pt idx="1178">
                  <c:v>4.7921999094785389E-5</c:v>
                </c:pt>
                <c:pt idx="1179">
                  <c:v>4.9228564361054848E-5</c:v>
                </c:pt>
                <c:pt idx="1180">
                  <c:v>4.9360021257799037E-5</c:v>
                </c:pt>
                <c:pt idx="1181">
                  <c:v>5.0174745414278071E-5</c:v>
                </c:pt>
                <c:pt idx="1182">
                  <c:v>5.0904896079369728E-5</c:v>
                </c:pt>
                <c:pt idx="1183">
                  <c:v>5.0592010140878039E-5</c:v>
                </c:pt>
                <c:pt idx="1184">
                  <c:v>4.9707796246034185E-5</c:v>
                </c:pt>
                <c:pt idx="1185">
                  <c:v>4.922053008751069E-5</c:v>
                </c:pt>
                <c:pt idx="1186">
                  <c:v>4.9143823384067932E-5</c:v>
                </c:pt>
                <c:pt idx="1187">
                  <c:v>4.8988352332166724E-5</c:v>
                </c:pt>
                <c:pt idx="1188">
                  <c:v>4.8040281178817826E-5</c:v>
                </c:pt>
                <c:pt idx="1189">
                  <c:v>4.7816380694682027E-5</c:v>
                </c:pt>
                <c:pt idx="1190">
                  <c:v>4.8401097646944959E-5</c:v>
                </c:pt>
                <c:pt idx="1191">
                  <c:v>4.830867916004471E-5</c:v>
                </c:pt>
                <c:pt idx="1192">
                  <c:v>4.9340238286968328E-5</c:v>
                </c:pt>
                <c:pt idx="1193">
                  <c:v>5.0303545320680338E-5</c:v>
                </c:pt>
                <c:pt idx="1194">
                  <c:v>5.0272473671343436E-5</c:v>
                </c:pt>
                <c:pt idx="1195">
                  <c:v>5.0399146659756547E-5</c:v>
                </c:pt>
                <c:pt idx="1196">
                  <c:v>4.94112308467596E-5</c:v>
                </c:pt>
                <c:pt idx="1197">
                  <c:v>4.9050048948742161E-5</c:v>
                </c:pt>
                <c:pt idx="1198">
                  <c:v>4.8682080253045826E-5</c:v>
                </c:pt>
                <c:pt idx="1199">
                  <c:v>4.9050048948742161E-5</c:v>
                </c:pt>
                <c:pt idx="1200">
                  <c:v>4.8264391725905474E-5</c:v>
                </c:pt>
                <c:pt idx="1201">
                  <c:v>4.5301026573845499E-5</c:v>
                </c:pt>
                <c:pt idx="1202">
                  <c:v>4.374657151823575E-5</c:v>
                </c:pt>
                <c:pt idx="1203">
                  <c:v>4.197509688982415E-5</c:v>
                </c:pt>
                <c:pt idx="1204">
                  <c:v>4.2490453568505652E-5</c:v>
                </c:pt>
                <c:pt idx="1205">
                  <c:v>4.2580599163048144E-5</c:v>
                </c:pt>
                <c:pt idx="1206">
                  <c:v>4.1846618293879439E-5</c:v>
                </c:pt>
                <c:pt idx="1207">
                  <c:v>4.2218564672417374E-5</c:v>
                </c:pt>
                <c:pt idx="1208">
                  <c:v>4.2766117962281135E-5</c:v>
                </c:pt>
                <c:pt idx="1209">
                  <c:v>4.1637665652998008E-5</c:v>
                </c:pt>
                <c:pt idx="1210">
                  <c:v>4.2011722492734762E-5</c:v>
                </c:pt>
                <c:pt idx="1211">
                  <c:v>4.2424191845256741E-5</c:v>
                </c:pt>
                <c:pt idx="1212">
                  <c:v>4.3706141433374559E-5</c:v>
                </c:pt>
                <c:pt idx="1213">
                  <c:v>4.4005029053552983E-5</c:v>
                </c:pt>
                <c:pt idx="1214">
                  <c:v>4.335715822916575E-5</c:v>
                </c:pt>
                <c:pt idx="1215">
                  <c:v>4.3298575758302652E-5</c:v>
                </c:pt>
                <c:pt idx="1216">
                  <c:v>4.374657151823575E-5</c:v>
                </c:pt>
                <c:pt idx="1217">
                  <c:v>4.3873243795380143E-5</c:v>
                </c:pt>
                <c:pt idx="1218">
                  <c:v>4.3380558090891258E-5</c:v>
                </c:pt>
                <c:pt idx="1219">
                  <c:v>4.4158881277868037E-5</c:v>
                </c:pt>
                <c:pt idx="1220">
                  <c:v>4.4045005523427807E-5</c:v>
                </c:pt>
                <c:pt idx="1221">
                  <c:v>4.5849891278101643E-5</c:v>
                </c:pt>
                <c:pt idx="1222">
                  <c:v>4.7384813411436215E-5</c:v>
                </c:pt>
                <c:pt idx="1223">
                  <c:v>4.7119998721124885E-5</c:v>
                </c:pt>
                <c:pt idx="1224">
                  <c:v>4.7293900695934438E-5</c:v>
                </c:pt>
                <c:pt idx="1225">
                  <c:v>4.5273993845338707E-5</c:v>
                </c:pt>
                <c:pt idx="1226">
                  <c:v>4.519811424423233E-5</c:v>
                </c:pt>
                <c:pt idx="1227">
                  <c:v>4.5094694366915717E-5</c:v>
                </c:pt>
                <c:pt idx="1228">
                  <c:v>4.3526375091862948E-5</c:v>
                </c:pt>
                <c:pt idx="1229">
                  <c:v>3.9709243915135338E-5</c:v>
                </c:pt>
                <c:pt idx="1230">
                  <c:v>3.6701687061488038E-5</c:v>
                </c:pt>
                <c:pt idx="1231">
                  <c:v>3.8474423733343218E-5</c:v>
                </c:pt>
                <c:pt idx="1232">
                  <c:v>3.8769125122883186E-5</c:v>
                </c:pt>
                <c:pt idx="1233">
                  <c:v>3.8448165131604878E-5</c:v>
                </c:pt>
                <c:pt idx="1234">
                  <c:v>3.6352325170566682E-5</c:v>
                </c:pt>
                <c:pt idx="1235">
                  <c:v>3.6788843064807663E-5</c:v>
                </c:pt>
                <c:pt idx="1236">
                  <c:v>3.6520431864930044E-5</c:v>
                </c:pt>
                <c:pt idx="1237">
                  <c:v>3.2861461260280293E-5</c:v>
                </c:pt>
                <c:pt idx="1238">
                  <c:v>3.2964217137121202E-5</c:v>
                </c:pt>
                <c:pt idx="1239">
                  <c:v>3.3183368452002961E-5</c:v>
                </c:pt>
                <c:pt idx="1240">
                  <c:v>3.3087500898298652E-5</c:v>
                </c:pt>
                <c:pt idx="1241">
                  <c:v>3.3025862401246549E-5</c:v>
                </c:pt>
                <c:pt idx="1242">
                  <c:v>3.1867681891811061E-5</c:v>
                </c:pt>
                <c:pt idx="1243">
                  <c:v>2.9644768560870564E-5</c:v>
                </c:pt>
                <c:pt idx="1244">
                  <c:v>3.1237275492647391E-5</c:v>
                </c:pt>
                <c:pt idx="1245">
                  <c:v>2.9692477476764246E-5</c:v>
                </c:pt>
                <c:pt idx="1246">
                  <c:v>3.1100303143735385E-5</c:v>
                </c:pt>
                <c:pt idx="1247">
                  <c:v>3.180599536320461E-5</c:v>
                </c:pt>
                <c:pt idx="1248">
                  <c:v>3.0901759520373509E-5</c:v>
                </c:pt>
                <c:pt idx="1249">
                  <c:v>2.9883415358066682E-5</c:v>
                </c:pt>
                <c:pt idx="1250">
                  <c:v>2.8862641804820572E-5</c:v>
                </c:pt>
                <c:pt idx="1251">
                  <c:v>2.9195490396050378E-5</c:v>
                </c:pt>
                <c:pt idx="1252">
                  <c:v>2.9699293891231739E-5</c:v>
                </c:pt>
                <c:pt idx="1253">
                  <c:v>2.4971484610717212E-5</c:v>
                </c:pt>
                <c:pt idx="1254">
                  <c:v>2.5581585362715169E-5</c:v>
                </c:pt>
                <c:pt idx="1255">
                  <c:v>2.6196272239068119E-5</c:v>
                </c:pt>
                <c:pt idx="1256">
                  <c:v>2.4808308617726715E-5</c:v>
                </c:pt>
                <c:pt idx="1257">
                  <c:v>2.5852033256098761E-5</c:v>
                </c:pt>
                <c:pt idx="1258">
                  <c:v>2.5548664264792003E-5</c:v>
                </c:pt>
                <c:pt idx="1259">
                  <c:v>2.5977656128233328E-5</c:v>
                </c:pt>
                <c:pt idx="1260">
                  <c:v>2.7484884670474243E-5</c:v>
                </c:pt>
                <c:pt idx="1261">
                  <c:v>2.8172013006015116E-5</c:v>
                </c:pt>
                <c:pt idx="1262">
                  <c:v>2.997211823303382E-5</c:v>
                </c:pt>
                <c:pt idx="1263">
                  <c:v>3.1675776393313258E-5</c:v>
                </c:pt>
                <c:pt idx="1264">
                  <c:v>3.1559276884161107E-5</c:v>
                </c:pt>
                <c:pt idx="1265">
                  <c:v>3.1922515939584306E-5</c:v>
                </c:pt>
                <c:pt idx="1266">
                  <c:v>3.3429792271165354E-5</c:v>
                </c:pt>
                <c:pt idx="1267">
                  <c:v>3.192937028324709E-5</c:v>
                </c:pt>
                <c:pt idx="1268">
                  <c:v>3.5548811332140156E-5</c:v>
                </c:pt>
                <c:pt idx="1269">
                  <c:v>3.3546106148746287E-5</c:v>
                </c:pt>
                <c:pt idx="1270">
                  <c:v>3.5270835513483187E-5</c:v>
                </c:pt>
                <c:pt idx="1271">
                  <c:v>3.7029792495530768E-5</c:v>
                </c:pt>
                <c:pt idx="1272">
                  <c:v>3.6855833944070713E-5</c:v>
                </c:pt>
                <c:pt idx="1273">
                  <c:v>3.4324945360029291E-5</c:v>
                </c:pt>
                <c:pt idx="1274">
                  <c:v>3.4937961880529038E-5</c:v>
                </c:pt>
                <c:pt idx="1275">
                  <c:v>3.6601028962593314E-5</c:v>
                </c:pt>
                <c:pt idx="1276">
                  <c:v>3.7130006504092863E-5</c:v>
                </c:pt>
                <c:pt idx="1277">
                  <c:v>3.418164857122486E-5</c:v>
                </c:pt>
                <c:pt idx="1278">
                  <c:v>3.3457163521442658E-5</c:v>
                </c:pt>
                <c:pt idx="1279">
                  <c:v>3.2792948685264603E-5</c:v>
                </c:pt>
                <c:pt idx="1280">
                  <c:v>3.3881138119491711E-5</c:v>
                </c:pt>
                <c:pt idx="1281">
                  <c:v>3.6594314915051869E-5</c:v>
                </c:pt>
                <c:pt idx="1282">
                  <c:v>3.5359031093431132E-5</c:v>
                </c:pt>
                <c:pt idx="1283">
                  <c:v>3.7815040349225957E-5</c:v>
                </c:pt>
                <c:pt idx="1284">
                  <c:v>3.6916086293296033E-5</c:v>
                </c:pt>
                <c:pt idx="1285">
                  <c:v>3.8448165131604878E-5</c:v>
                </c:pt>
                <c:pt idx="1286">
                  <c:v>3.9003920908646391E-5</c:v>
                </c:pt>
                <c:pt idx="1287">
                  <c:v>4.0430818280437073E-5</c:v>
                </c:pt>
                <c:pt idx="1288">
                  <c:v>3.9754238294006759E-5</c:v>
                </c:pt>
                <c:pt idx="1289">
                  <c:v>3.8651402362908508E-5</c:v>
                </c:pt>
                <c:pt idx="1290">
                  <c:v>3.7854768850628183E-5</c:v>
                </c:pt>
                <c:pt idx="1291">
                  <c:v>3.8971363083231236E-5</c:v>
                </c:pt>
                <c:pt idx="1292">
                  <c:v>3.8138884102306331E-5</c:v>
                </c:pt>
                <c:pt idx="1293">
                  <c:v>4.0233897731349483E-5</c:v>
                </c:pt>
                <c:pt idx="1294">
                  <c:v>4.0411796698084427E-5</c:v>
                </c:pt>
                <c:pt idx="1295">
                  <c:v>3.9818450303259386E-5</c:v>
                </c:pt>
                <c:pt idx="1296">
                  <c:v>3.9289676373852871E-5</c:v>
                </c:pt>
                <c:pt idx="1297">
                  <c:v>3.9734959606189489E-5</c:v>
                </c:pt>
                <c:pt idx="1298">
                  <c:v>4.1160287405606169E-5</c:v>
                </c:pt>
                <c:pt idx="1299">
                  <c:v>4.1871124881433054E-5</c:v>
                </c:pt>
                <c:pt idx="1300">
                  <c:v>4.2303383406349243E-5</c:v>
                </c:pt>
                <c:pt idx="1301">
                  <c:v>4.2109209583064817E-5</c:v>
                </c:pt>
                <c:pt idx="1302">
                  <c:v>4.0214798480847663E-5</c:v>
                </c:pt>
                <c:pt idx="1303">
                  <c:v>3.9921027183363375E-5</c:v>
                </c:pt>
                <c:pt idx="1304">
                  <c:v>3.8415327718799611E-5</c:v>
                </c:pt>
                <c:pt idx="1305">
                  <c:v>3.8997410720087416E-5</c:v>
                </c:pt>
                <c:pt idx="1306">
                  <c:v>3.7109972447909483E-5</c:v>
                </c:pt>
                <c:pt idx="1307">
                  <c:v>3.6109804453807194E-5</c:v>
                </c:pt>
                <c:pt idx="1308">
                  <c:v>3.5751861307689996E-5</c:v>
                </c:pt>
                <c:pt idx="1309">
                  <c:v>3.5223324457149066E-5</c:v>
                </c:pt>
                <c:pt idx="1310">
                  <c:v>3.543361735716828E-5</c:v>
                </c:pt>
                <c:pt idx="1311">
                  <c:v>3.5487837892447036E-5</c:v>
                </c:pt>
                <c:pt idx="1312">
                  <c:v>3.4699797182655968E-5</c:v>
                </c:pt>
                <c:pt idx="1313">
                  <c:v>3.8788724771725941E-5</c:v>
                </c:pt>
                <c:pt idx="1314">
                  <c:v>3.8821377517151098E-5</c:v>
                </c:pt>
                <c:pt idx="1315">
                  <c:v>3.9185923591386386E-5</c:v>
                </c:pt>
                <c:pt idx="1316">
                  <c:v>4.0367383461104478E-5</c:v>
                </c:pt>
                <c:pt idx="1317">
                  <c:v>4.1303472812495543E-5</c:v>
                </c:pt>
                <c:pt idx="1318">
                  <c:v>4.1110368084094255E-5</c:v>
                </c:pt>
                <c:pt idx="1319">
                  <c:v>4.1110368084094255E-5</c:v>
                </c:pt>
                <c:pt idx="1320">
                  <c:v>4.2345714918298371E-5</c:v>
                </c:pt>
                <c:pt idx="1321">
                  <c:v>4.2309433953498879E-5</c:v>
                </c:pt>
                <c:pt idx="1322">
                  <c:v>4.1557469859311251E-5</c:v>
                </c:pt>
                <c:pt idx="1323">
                  <c:v>4.1272387815027779E-5</c:v>
                </c:pt>
                <c:pt idx="1324">
                  <c:v>4.0778176349241845E-5</c:v>
                </c:pt>
                <c:pt idx="1325">
                  <c:v>4.1079138459532038E-5</c:v>
                </c:pt>
                <c:pt idx="1326">
                  <c:v>4.2357800054234628E-5</c:v>
                </c:pt>
                <c:pt idx="1327">
                  <c:v>4.0897555716866795E-5</c:v>
                </c:pt>
                <c:pt idx="1328">
                  <c:v>4.1729992512719248E-5</c:v>
                </c:pt>
                <c:pt idx="1329">
                  <c:v>4.3403938956605167E-5</c:v>
                </c:pt>
                <c:pt idx="1330">
                  <c:v>4.1427575459054454E-5</c:v>
                </c:pt>
                <c:pt idx="1331">
                  <c:v>4.1779142148874141E-5</c:v>
                </c:pt>
                <c:pt idx="1332">
                  <c:v>4.4306153462280121E-5</c:v>
                </c:pt>
                <c:pt idx="1333">
                  <c:v>4.5392672090017952E-5</c:v>
                </c:pt>
                <c:pt idx="1334">
                  <c:v>4.4825669778905012E-5</c:v>
                </c:pt>
                <c:pt idx="1335">
                  <c:v>4.4836714856803373E-5</c:v>
                </c:pt>
                <c:pt idx="1336">
                  <c:v>4.5170947509468695E-5</c:v>
                </c:pt>
                <c:pt idx="1337">
                  <c:v>4.5143745708858207E-5</c:v>
                </c:pt>
                <c:pt idx="1338">
                  <c:v>4.374657151823575E-5</c:v>
                </c:pt>
                <c:pt idx="1339">
                  <c:v>4.3561259556657334E-5</c:v>
                </c:pt>
                <c:pt idx="1340">
                  <c:v>4.2861451724414075E-5</c:v>
                </c:pt>
                <c:pt idx="1341">
                  <c:v>4.2974285924018625E-5</c:v>
                </c:pt>
                <c:pt idx="1342">
                  <c:v>4.3403938956605167E-5</c:v>
                </c:pt>
                <c:pt idx="1343">
                  <c:v>4.2090950915023141E-5</c:v>
                </c:pt>
                <c:pt idx="1344">
                  <c:v>4.1458541342310031E-5</c:v>
                </c:pt>
                <c:pt idx="1345">
                  <c:v>3.8671037592589201E-5</c:v>
                </c:pt>
                <c:pt idx="1346">
                  <c:v>3.8618663959852202E-5</c:v>
                </c:pt>
                <c:pt idx="1347">
                  <c:v>3.8847487660189346E-5</c:v>
                </c:pt>
                <c:pt idx="1348">
                  <c:v>3.7609457445097906E-5</c:v>
                </c:pt>
                <c:pt idx="1349">
                  <c:v>3.7947389149563147E-5</c:v>
                </c:pt>
                <c:pt idx="1350">
                  <c:v>3.9283197201209846E-5</c:v>
                </c:pt>
                <c:pt idx="1351">
                  <c:v>3.9036461492111029E-5</c:v>
                </c:pt>
                <c:pt idx="1352">
                  <c:v>3.9302632555874811E-5</c:v>
                </c:pt>
                <c:pt idx="1353">
                  <c:v>3.9419107504843003E-5</c:v>
                </c:pt>
                <c:pt idx="1354">
                  <c:v>4.2327579222564677E-5</c:v>
                </c:pt>
                <c:pt idx="1355">
                  <c:v>4.2145698863909625E-5</c:v>
                </c:pt>
                <c:pt idx="1356">
                  <c:v>4.1668465991835629E-5</c:v>
                </c:pt>
                <c:pt idx="1357">
                  <c:v>4.2502487107340528E-5</c:v>
                </c:pt>
                <c:pt idx="1358">
                  <c:v>4.2664513184321817E-5</c:v>
                </c:pt>
                <c:pt idx="1359">
                  <c:v>4.1736139705914943E-5</c:v>
                </c:pt>
                <c:pt idx="1360">
                  <c:v>4.2273114771272218E-5</c:v>
                </c:pt>
                <c:pt idx="1361">
                  <c:v>4.3239875532751846E-5</c:v>
                </c:pt>
                <c:pt idx="1362">
                  <c:v>4.2962427925026658E-5</c:v>
                </c:pt>
                <c:pt idx="1363">
                  <c:v>4.3374709904604396E-5</c:v>
                </c:pt>
                <c:pt idx="1364">
                  <c:v>4.3216362626631083E-5</c:v>
                </c:pt>
                <c:pt idx="1365">
                  <c:v>4.4379461315848453E-5</c:v>
                </c:pt>
                <c:pt idx="1366">
                  <c:v>4.4935874767653031E-5</c:v>
                </c:pt>
                <c:pt idx="1367">
                  <c:v>4.6372795090624452E-5</c:v>
                </c:pt>
                <c:pt idx="1368">
                  <c:v>4.6115868143604207E-5</c:v>
                </c:pt>
                <c:pt idx="1369">
                  <c:v>4.4170240781824362E-5</c:v>
                </c:pt>
                <c:pt idx="1370">
                  <c:v>4.3415622252107368E-5</c:v>
                </c:pt>
                <c:pt idx="1371">
                  <c:v>4.3398095523476777E-5</c:v>
                </c:pt>
                <c:pt idx="1372">
                  <c:v>4.28792947986692E-5</c:v>
                </c:pt>
                <c:pt idx="1373">
                  <c:v>4.4441318625975278E-5</c:v>
                </c:pt>
                <c:pt idx="1374">
                  <c:v>4.1981203718279798E-5</c:v>
                </c:pt>
                <c:pt idx="1375">
                  <c:v>4.2084862618871596E-5</c:v>
                </c:pt>
                <c:pt idx="1376">
                  <c:v>4.119145679470069E-5</c:v>
                </c:pt>
                <c:pt idx="1377">
                  <c:v>4.0443495100445544E-5</c:v>
                </c:pt>
                <c:pt idx="1378">
                  <c:v>4.0481505170486186E-5</c:v>
                </c:pt>
                <c:pt idx="1379">
                  <c:v>4.1520400755396962E-5</c:v>
                </c:pt>
                <c:pt idx="1380">
                  <c:v>4.2121376837705855E-5</c:v>
                </c:pt>
                <c:pt idx="1381">
                  <c:v>4.0828480622885962E-5</c:v>
                </c:pt>
                <c:pt idx="1382">
                  <c:v>4.1365571781482351E-5</c:v>
                </c:pt>
                <c:pt idx="1383">
                  <c:v>4.1172757954810621E-5</c:v>
                </c:pt>
                <c:pt idx="1384">
                  <c:v>4.0607982789154772E-5</c:v>
                </c:pt>
                <c:pt idx="1385">
                  <c:v>4.0449832237851196E-5</c:v>
                </c:pt>
                <c:pt idx="1386">
                  <c:v>3.8775659004313082E-5</c:v>
                </c:pt>
                <c:pt idx="1387">
                  <c:v>3.8053102546710059E-5</c:v>
                </c:pt>
                <c:pt idx="1388">
                  <c:v>3.7596175978071739E-5</c:v>
                </c:pt>
                <c:pt idx="1389">
                  <c:v>3.8204801400313321E-5</c:v>
                </c:pt>
                <c:pt idx="1390">
                  <c:v>3.6976300751605382E-5</c:v>
                </c:pt>
                <c:pt idx="1391">
                  <c:v>3.6473388423628908E-5</c:v>
                </c:pt>
                <c:pt idx="1392">
                  <c:v>3.6359054426333864E-5</c:v>
                </c:pt>
                <c:pt idx="1393">
                  <c:v>3.7396698428376269E-5</c:v>
                </c:pt>
                <c:pt idx="1394">
                  <c:v>3.7410011642621772E-5</c:v>
                </c:pt>
                <c:pt idx="1395">
                  <c:v>3.8912715830229825E-5</c:v>
                </c:pt>
                <c:pt idx="1396">
                  <c:v>3.9406177528742163E-5</c:v>
                </c:pt>
                <c:pt idx="1397">
                  <c:v>4.0259351842602235E-5</c:v>
                </c:pt>
                <c:pt idx="1398">
                  <c:v>4.0437157114404128E-5</c:v>
                </c:pt>
                <c:pt idx="1399">
                  <c:v>3.999782721589114E-5</c:v>
                </c:pt>
                <c:pt idx="1400">
                  <c:v>4.1241279260302539E-5</c:v>
                </c:pt>
                <c:pt idx="1401">
                  <c:v>4.2103124397824032E-5</c:v>
                </c:pt>
                <c:pt idx="1402">
                  <c:v>4.1962880164988408E-5</c:v>
                </c:pt>
                <c:pt idx="1403">
                  <c:v>4.118522478020452E-5</c:v>
                </c:pt>
                <c:pt idx="1404">
                  <c:v>4.2772084713649408E-5</c:v>
                </c:pt>
                <c:pt idx="1405">
                  <c:v>4.3222242606643773E-5</c:v>
                </c:pt>
                <c:pt idx="1406">
                  <c:v>4.3532192184719279E-5</c:v>
                </c:pt>
                <c:pt idx="1407">
                  <c:v>4.3924890889966096E-5</c:v>
                </c:pt>
                <c:pt idx="1408">
                  <c:v>4.3769647362650404E-5</c:v>
                </c:pt>
                <c:pt idx="1409">
                  <c:v>4.3596100508679485E-5</c:v>
                </c:pt>
                <c:pt idx="1410">
                  <c:v>4.236384102172927E-5</c:v>
                </c:pt>
                <c:pt idx="1411">
                  <c:v>4.2400064375818187E-5</c:v>
                </c:pt>
                <c:pt idx="1412">
                  <c:v>4.2855501779966951E-5</c:v>
                </c:pt>
                <c:pt idx="1413">
                  <c:v>4.393635426731902E-5</c:v>
                </c:pt>
                <c:pt idx="1414">
                  <c:v>4.5419548161825461E-5</c:v>
                </c:pt>
                <c:pt idx="1415">
                  <c:v>4.5601351117813622E-5</c:v>
                </c:pt>
                <c:pt idx="1416">
                  <c:v>4.5192683706530658E-5</c:v>
                </c:pt>
                <c:pt idx="1417">
                  <c:v>4.3850257109002615E-5</c:v>
                </c:pt>
                <c:pt idx="1418">
                  <c:v>4.4130460128657912E-5</c:v>
                </c:pt>
                <c:pt idx="1419">
                  <c:v>4.5499961089501426E-5</c:v>
                </c:pt>
                <c:pt idx="1420">
                  <c:v>4.6605745517510002E-5</c:v>
                </c:pt>
                <c:pt idx="1421">
                  <c:v>4.631148321788908E-5</c:v>
                </c:pt>
                <c:pt idx="1422">
                  <c:v>4.5398050166541224E-5</c:v>
                </c:pt>
                <c:pt idx="1423">
                  <c:v>4.5659810757855909E-5</c:v>
                </c:pt>
                <c:pt idx="1424">
                  <c:v>4.5907588702414988E-5</c:v>
                </c:pt>
                <c:pt idx="1425">
                  <c:v>4.551600478705945E-5</c:v>
                </c:pt>
                <c:pt idx="1426">
                  <c:v>4.8728864707852507E-5</c:v>
                </c:pt>
                <c:pt idx="1427">
                  <c:v>4.7830209139319294E-5</c:v>
                </c:pt>
                <c:pt idx="1428">
                  <c:v>4.8125965756879555E-5</c:v>
                </c:pt>
                <c:pt idx="1429">
                  <c:v>4.8876231897612459E-5</c:v>
                </c:pt>
                <c:pt idx="1430">
                  <c:v>4.9875702064882479E-5</c:v>
                </c:pt>
                <c:pt idx="1431">
                  <c:v>5.00539282275713E-5</c:v>
                </c:pt>
                <c:pt idx="1432">
                  <c:v>5.0216825201415726E-5</c:v>
                </c:pt>
                <c:pt idx="1433">
                  <c:v>5.0598535501560574E-5</c:v>
                </c:pt>
                <c:pt idx="1434">
                  <c:v>5.0774688595039582E-5</c:v>
                </c:pt>
                <c:pt idx="1435">
                  <c:v>4.9956318993047953E-5</c:v>
                </c:pt>
                <c:pt idx="1436">
                  <c:v>4.9371867867500953E-5</c:v>
                </c:pt>
                <c:pt idx="1437">
                  <c:v>4.9454306256246726E-5</c:v>
                </c:pt>
                <c:pt idx="1438">
                  <c:v>4.9216510080579904E-5</c:v>
                </c:pt>
                <c:pt idx="1439">
                  <c:v>4.9078695194837122E-5</c:v>
                </c:pt>
                <c:pt idx="1440">
                  <c:v>4.8157372703714713E-5</c:v>
                </c:pt>
                <c:pt idx="1441">
                  <c:v>4.7931139753280535E-5</c:v>
                </c:pt>
                <c:pt idx="1442">
                  <c:v>4.8085457829897865E-5</c:v>
                </c:pt>
                <c:pt idx="1443">
                  <c:v>4.6229388562096602E-5</c:v>
                </c:pt>
                <c:pt idx="1444">
                  <c:v>4.6504869896668527E-5</c:v>
                </c:pt>
                <c:pt idx="1445">
                  <c:v>4.6352382559209327E-5</c:v>
                </c:pt>
                <c:pt idx="1446">
                  <c:v>4.702735609449817E-5</c:v>
                </c:pt>
                <c:pt idx="1447">
                  <c:v>4.5219822328878787E-5</c:v>
                </c:pt>
                <c:pt idx="1448">
                  <c:v>4.5306428866579859E-5</c:v>
                </c:pt>
                <c:pt idx="1449">
                  <c:v>4.5279403224146379E-5</c:v>
                </c:pt>
                <c:pt idx="1450">
                  <c:v>4.4238289974084043E-5</c:v>
                </c:pt>
                <c:pt idx="1451">
                  <c:v>4.39592659756791E-5</c:v>
                </c:pt>
                <c:pt idx="1452">
                  <c:v>4.43005052931599E-5</c:v>
                </c:pt>
                <c:pt idx="1453">
                  <c:v>4.4328733154199161E-5</c:v>
                </c:pt>
                <c:pt idx="1454">
                  <c:v>4.2855501779966951E-5</c:v>
                </c:pt>
                <c:pt idx="1455">
                  <c:v>4.4803563301441426E-5</c:v>
                </c:pt>
                <c:pt idx="1456">
                  <c:v>4.6157233714934571E-5</c:v>
                </c:pt>
                <c:pt idx="1457">
                  <c:v>4.5933755130461384E-5</c:v>
                </c:pt>
                <c:pt idx="1458">
                  <c:v>4.6038045940625872E-5</c:v>
                </c:pt>
                <c:pt idx="1459">
                  <c:v>4.6983266756390686E-5</c:v>
                </c:pt>
                <c:pt idx="1460">
                  <c:v>4.7341824744143347E-5</c:v>
                </c:pt>
                <c:pt idx="1461">
                  <c:v>4.5457114455506984E-5</c:v>
                </c:pt>
                <c:pt idx="1462">
                  <c:v>4.4963340350184894E-5</c:v>
                </c:pt>
                <c:pt idx="1463">
                  <c:v>4.5633260080585284E-5</c:v>
                </c:pt>
                <c:pt idx="1464">
                  <c:v>4.5072857515162324E-5</c:v>
                </c:pt>
                <c:pt idx="1465">
                  <c:v>4.437383007081617E-5</c:v>
                </c:pt>
                <c:pt idx="1466">
                  <c:v>4.4547788047908422E-5</c:v>
                </c:pt>
                <c:pt idx="1467">
                  <c:v>4.4385091254274742E-5</c:v>
                </c:pt>
                <c:pt idx="1468">
                  <c:v>4.424395237385723E-5</c:v>
                </c:pt>
                <c:pt idx="1469">
                  <c:v>4.3403938956605167E-5</c:v>
                </c:pt>
                <c:pt idx="1470">
                  <c:v>4.4045005523427807E-5</c:v>
                </c:pt>
                <c:pt idx="1471">
                  <c:v>4.3833004039106159E-5</c:v>
                </c:pt>
                <c:pt idx="1472">
                  <c:v>4.4614785379618914E-5</c:v>
                </c:pt>
                <c:pt idx="1473">
                  <c:v>4.4853272257518653E-5</c:v>
                </c:pt>
                <c:pt idx="1474">
                  <c:v>4.3491447263474684E-5</c:v>
                </c:pt>
                <c:pt idx="1475">
                  <c:v>4.3919157322895309E-5</c:v>
                </c:pt>
                <c:pt idx="1476">
                  <c:v>4.4452548353226881E-5</c:v>
                </c:pt>
                <c:pt idx="1477">
                  <c:v>4.5376529284510162E-5</c:v>
                </c:pt>
                <c:pt idx="1478">
                  <c:v>4.5462475323491761E-5</c:v>
                </c:pt>
                <c:pt idx="1479">
                  <c:v>4.5408802027663198E-5</c:v>
                </c:pt>
                <c:pt idx="1480">
                  <c:v>4.4714920557059542E-5</c:v>
                </c:pt>
                <c:pt idx="1481">
                  <c:v>4.4340015199907385E-5</c:v>
                </c:pt>
                <c:pt idx="1482">
                  <c:v>4.518181841592339E-5</c:v>
                </c:pt>
                <c:pt idx="1483">
                  <c:v>4.4941370634794986E-5</c:v>
                </c:pt>
                <c:pt idx="1484">
                  <c:v>4.5414175810943734E-5</c:v>
                </c:pt>
                <c:pt idx="1485">
                  <c:v>4.5611993267258238E-5</c:v>
                </c:pt>
                <c:pt idx="1486">
                  <c:v>4.5301026573845499E-5</c:v>
                </c:pt>
                <c:pt idx="1487">
                  <c:v>4.5691623298313075E-5</c:v>
                </c:pt>
                <c:pt idx="1488">
                  <c:v>4.6048441902467747E-5</c:v>
                </c:pt>
                <c:pt idx="1489">
                  <c:v>4.6064024514325138E-5</c:v>
                </c:pt>
                <c:pt idx="1490">
                  <c:v>4.6514985753770232E-5</c:v>
                </c:pt>
                <c:pt idx="1491">
                  <c:v>4.620365337566945E-5</c:v>
                </c:pt>
                <c:pt idx="1492">
                  <c:v>4.5360373628945863E-5</c:v>
                </c:pt>
                <c:pt idx="1493">
                  <c:v>4.4963340350184894E-5</c:v>
                </c:pt>
                <c:pt idx="1494">
                  <c:v>4.4441318625975278E-5</c:v>
                </c:pt>
                <c:pt idx="1495">
                  <c:v>4.4209958644648374E-5</c:v>
                </c:pt>
                <c:pt idx="1496">
                  <c:v>4.3386405089927335E-5</c:v>
                </c:pt>
                <c:pt idx="1497">
                  <c:v>4.3080802171413524E-5</c:v>
                </c:pt>
                <c:pt idx="1498">
                  <c:v>4.2036119028616426E-5</c:v>
                </c:pt>
                <c:pt idx="1499">
                  <c:v>4.1501853090671097E-5</c:v>
                </c:pt>
                <c:pt idx="1500">
                  <c:v>4.1066640162511633E-5</c:v>
                </c:pt>
                <c:pt idx="1501">
                  <c:v>4.027843373411996E-5</c:v>
                </c:pt>
                <c:pt idx="1502">
                  <c:v>4.0500498700986419E-5</c:v>
                </c:pt>
                <c:pt idx="1503">
                  <c:v>4.15451173832071E-5</c:v>
                </c:pt>
                <c:pt idx="1504">
                  <c:v>4.1987309523153849E-5</c:v>
                </c:pt>
                <c:pt idx="1505">
                  <c:v>4.2712367114658172E-5</c:v>
                </c:pt>
                <c:pt idx="1506">
                  <c:v>4.2682466699791296E-5</c:v>
                </c:pt>
                <c:pt idx="1507">
                  <c:v>4.3181058246416464E-5</c:v>
                </c:pt>
                <c:pt idx="1508">
                  <c:v>4.3181058246416464E-5</c:v>
                </c:pt>
                <c:pt idx="1509">
                  <c:v>4.4875329693537207E-5</c:v>
                </c:pt>
                <c:pt idx="1510">
                  <c:v>4.6115868143604207E-5</c:v>
                </c:pt>
                <c:pt idx="1511">
                  <c:v>4.8152891320922698E-5</c:v>
                </c:pt>
                <c:pt idx="1512">
                  <c:v>4.8405478687152621E-5</c:v>
                </c:pt>
                <c:pt idx="1513">
                  <c:v>4.83703797896633E-5</c:v>
                </c:pt>
                <c:pt idx="1514">
                  <c:v>4.8600745743711354E-5</c:v>
                </c:pt>
                <c:pt idx="1515">
                  <c:v>4.8838555177216383E-5</c:v>
                </c:pt>
                <c:pt idx="1516">
                  <c:v>4.8058373005911836E-5</c:v>
                </c:pt>
                <c:pt idx="1517">
                  <c:v>4.882176148684042E-5</c:v>
                </c:pt>
                <c:pt idx="1518">
                  <c:v>4.909502280323676E-5</c:v>
                </c:pt>
                <c:pt idx="1519">
                  <c:v>4.939550888332917E-5</c:v>
                </c:pt>
                <c:pt idx="1520">
                  <c:v>5.0313865562086419E-5</c:v>
                </c:pt>
                <c:pt idx="1521">
                  <c:v>4.9930773401199472E-5</c:v>
                </c:pt>
                <c:pt idx="1522">
                  <c:v>5.0061100011751384E-5</c:v>
                </c:pt>
                <c:pt idx="1523">
                  <c:v>4.9809022963187928E-5</c:v>
                </c:pt>
                <c:pt idx="1524">
                  <c:v>5.0010727789734007E-5</c:v>
                </c:pt>
                <c:pt idx="1525">
                  <c:v>4.9838737890484086E-5</c:v>
                </c:pt>
                <c:pt idx="1526">
                  <c:v>4.9897784658177538E-5</c:v>
                </c:pt>
                <c:pt idx="1527">
                  <c:v>5.1219529418137793E-5</c:v>
                </c:pt>
                <c:pt idx="1528">
                  <c:v>5.128946773022665E-5</c:v>
                </c:pt>
                <c:pt idx="1529">
                  <c:v>5.1188325231641638E-5</c:v>
                </c:pt>
                <c:pt idx="1530">
                  <c:v>5.0621308277918657E-5</c:v>
                </c:pt>
                <c:pt idx="1531">
                  <c:v>5.0689009473838782E-5</c:v>
                </c:pt>
                <c:pt idx="1532">
                  <c:v>5.0698605346851613E-5</c:v>
                </c:pt>
                <c:pt idx="1533">
                  <c:v>5.0456400066800617E-5</c:v>
                </c:pt>
                <c:pt idx="1534">
                  <c:v>4.9730415951942161E-5</c:v>
                </c:pt>
                <c:pt idx="1535">
                  <c:v>4.9912466359563623E-5</c:v>
                </c:pt>
                <c:pt idx="1536">
                  <c:v>4.9749211267895086E-5</c:v>
                </c:pt>
                <c:pt idx="1537">
                  <c:v>4.9224548181176411E-5</c:v>
                </c:pt>
                <c:pt idx="1538">
                  <c:v>4.8453550679888176E-5</c:v>
                </c:pt>
                <c:pt idx="1539">
                  <c:v>4.8335165470682536E-5</c:v>
                </c:pt>
                <c:pt idx="1540">
                  <c:v>4.9033638048542897E-5</c:v>
                </c:pt>
                <c:pt idx="1541">
                  <c:v>4.9280600307652352E-5</c:v>
                </c:pt>
                <c:pt idx="1542">
                  <c:v>5.010396064083201E-5</c:v>
                </c:pt>
                <c:pt idx="1543">
                  <c:v>5.114823068990255E-5</c:v>
                </c:pt>
                <c:pt idx="1544">
                  <c:v>5.1128024067049808E-5</c:v>
                </c:pt>
                <c:pt idx="1545">
                  <c:v>5.0796650058292622E-5</c:v>
                </c:pt>
                <c:pt idx="1546">
                  <c:v>5.0354961325851313E-5</c:v>
                </c:pt>
                <c:pt idx="1547">
                  <c:v>4.9681316652109638E-5</c:v>
                </c:pt>
                <c:pt idx="1548">
                  <c:v>4.9516541376831377E-5</c:v>
                </c:pt>
                <c:pt idx="1549">
                  <c:v>4.9485486144839342E-5</c:v>
                </c:pt>
                <c:pt idx="1550">
                  <c:v>4.9905129514189288E-5</c:v>
                </c:pt>
                <c:pt idx="1551">
                  <c:v>4.931246113123553E-5</c:v>
                </c:pt>
                <c:pt idx="1552">
                  <c:v>4.8660740805311976E-5</c:v>
                </c:pt>
                <c:pt idx="1553">
                  <c:v>4.7760911137262111E-5</c:v>
                </c:pt>
                <c:pt idx="1554">
                  <c:v>4.9033638048542897E-5</c:v>
                </c:pt>
                <c:pt idx="1555">
                  <c:v>4.8876231897612459E-5</c:v>
                </c:pt>
                <c:pt idx="1556">
                  <c:v>4.9749211267895086E-5</c:v>
                </c:pt>
                <c:pt idx="1557">
                  <c:v>4.9597466368854776E-5</c:v>
                </c:pt>
                <c:pt idx="1558">
                  <c:v>4.8926232009114522E-5</c:v>
                </c:pt>
                <c:pt idx="1559">
                  <c:v>4.8892928545632364E-5</c:v>
                </c:pt>
                <c:pt idx="1560">
                  <c:v>4.8771201841946217E-5</c:v>
                </c:pt>
                <c:pt idx="1561">
                  <c:v>4.907052001940427E-5</c:v>
                </c:pt>
                <c:pt idx="1562">
                  <c:v>4.9135708962358936E-5</c:v>
                </c:pt>
                <c:pt idx="1563">
                  <c:v>4.8737346948960119E-5</c:v>
                </c:pt>
                <c:pt idx="1564">
                  <c:v>4.7976738116866282E-5</c:v>
                </c:pt>
                <c:pt idx="1565">
                  <c:v>4.8184223680994833E-5</c:v>
                </c:pt>
                <c:pt idx="1566">
                  <c:v>4.8058373005911836E-5</c:v>
                </c:pt>
                <c:pt idx="1567">
                  <c:v>4.8955274106281172E-5</c:v>
                </c:pt>
                <c:pt idx="1568">
                  <c:v>4.9578276834721581E-5</c:v>
                </c:pt>
                <c:pt idx="1569">
                  <c:v>5.0796650058292622E-5</c:v>
                </c:pt>
                <c:pt idx="1570">
                  <c:v>5.1145350527900704E-5</c:v>
                </c:pt>
                <c:pt idx="1571">
                  <c:v>5.0463096373873367E-5</c:v>
                </c:pt>
                <c:pt idx="1572">
                  <c:v>4.9827609734016026E-5</c:v>
                </c:pt>
                <c:pt idx="1573">
                  <c:v>4.9160029383645938E-5</c:v>
                </c:pt>
                <c:pt idx="1574">
                  <c:v>4.9901458087272259E-5</c:v>
                </c:pt>
                <c:pt idx="1575">
                  <c:v>5.0178263283789274E-5</c:v>
                </c:pt>
                <c:pt idx="1576">
                  <c:v>4.9466013306165879E-5</c:v>
                </c:pt>
                <c:pt idx="1577">
                  <c:v>4.9734178976629668E-5</c:v>
                </c:pt>
                <c:pt idx="1578">
                  <c:v>4.9790386440920736E-5</c:v>
                </c:pt>
                <c:pt idx="1579">
                  <c:v>5.0293206583567711E-5</c:v>
                </c:pt>
                <c:pt idx="1580">
                  <c:v>5.1049091934350492E-5</c:v>
                </c:pt>
                <c:pt idx="1581">
                  <c:v>5.0456400066800617E-5</c:v>
                </c:pt>
                <c:pt idx="1582">
                  <c:v>5.0611561090566045E-5</c:v>
                </c:pt>
                <c:pt idx="1583">
                  <c:v>5.0965577969699462E-5</c:v>
                </c:pt>
                <c:pt idx="1584">
                  <c:v>5.0506419787222989E-5</c:v>
                </c:pt>
                <c:pt idx="1585">
                  <c:v>5.1090216202081568E-5</c:v>
                </c:pt>
                <c:pt idx="1586">
                  <c:v>5.0920146731324221E-5</c:v>
                </c:pt>
                <c:pt idx="1587">
                  <c:v>5.013945470017694E-5</c:v>
                </c:pt>
                <c:pt idx="1588">
                  <c:v>4.9196381365240807E-5</c:v>
                </c:pt>
                <c:pt idx="1589">
                  <c:v>4.9555184723529579E-5</c:v>
                </c:pt>
                <c:pt idx="1590">
                  <c:v>4.898009406385864E-5</c:v>
                </c:pt>
                <c:pt idx="1591">
                  <c:v>4.8901265647041702E-5</c:v>
                </c:pt>
                <c:pt idx="1592">
                  <c:v>4.8967692547177267E-5</c:v>
                </c:pt>
                <c:pt idx="1593">
                  <c:v>4.8255512742482571E-5</c:v>
                </c:pt>
                <c:pt idx="1594">
                  <c:v>4.7700538742180622E-5</c:v>
                </c:pt>
                <c:pt idx="1595">
                  <c:v>4.7427666171059802E-5</c:v>
                </c:pt>
                <c:pt idx="1596">
                  <c:v>4.8418610957715974E-5</c:v>
                </c:pt>
                <c:pt idx="1597">
                  <c:v>4.7912851451903305E-5</c:v>
                </c:pt>
                <c:pt idx="1598">
                  <c:v>4.7653900811477372E-5</c:v>
                </c:pt>
                <c:pt idx="1599">
                  <c:v>4.8313098037319273E-5</c:v>
                </c:pt>
                <c:pt idx="1600">
                  <c:v>4.8741585293748268E-5</c:v>
                </c:pt>
                <c:pt idx="1601">
                  <c:v>4.9200410930656903E-5</c:v>
                </c:pt>
                <c:pt idx="1602">
                  <c:v>4.8830162057385623E-5</c:v>
                </c:pt>
                <c:pt idx="1603">
                  <c:v>4.6525095336538163E-5</c:v>
                </c:pt>
                <c:pt idx="1604">
                  <c:v>4.614173303851638E-5</c:v>
                </c:pt>
                <c:pt idx="1605">
                  <c:v>4.5959884149055488E-5</c:v>
                </c:pt>
                <c:pt idx="1606">
                  <c:v>4.583412437429846E-5</c:v>
                </c:pt>
                <c:pt idx="1607">
                  <c:v>4.5839381493833322E-5</c:v>
                </c:pt>
                <c:pt idx="1608">
                  <c:v>4.6324786353058825E-5</c:v>
                </c:pt>
                <c:pt idx="1609">
                  <c:v>4.5907588702414988E-5</c:v>
                </c:pt>
                <c:pt idx="1610">
                  <c:v>4.7489323775893031E-5</c:v>
                </c:pt>
                <c:pt idx="1611">
                  <c:v>4.7360947569060632E-5</c:v>
                </c:pt>
                <c:pt idx="1612">
                  <c:v>4.6575548958806269E-5</c:v>
                </c:pt>
                <c:pt idx="1613">
                  <c:v>4.7090807088937056E-5</c:v>
                </c:pt>
                <c:pt idx="1614">
                  <c:v>4.7536558294979305E-5</c:v>
                </c:pt>
                <c:pt idx="1615">
                  <c:v>4.6484619379664017E-5</c:v>
                </c:pt>
                <c:pt idx="1616">
                  <c:v>4.6570510678844261E-5</c:v>
                </c:pt>
                <c:pt idx="1617">
                  <c:v>4.6224244588296804E-5</c:v>
                </c:pt>
                <c:pt idx="1618">
                  <c:v>4.7032246754137407E-5</c:v>
                </c:pt>
                <c:pt idx="1619">
                  <c:v>4.6750891302181635E-5</c:v>
                </c:pt>
                <c:pt idx="1620">
                  <c:v>4.6850209706174416E-5</c:v>
                </c:pt>
                <c:pt idx="1621">
                  <c:v>4.6983266756390686E-5</c:v>
                </c:pt>
                <c:pt idx="1622">
                  <c:v>4.6889756967159979E-5</c:v>
                </c:pt>
                <c:pt idx="1623">
                  <c:v>4.6640902940208633E-5</c:v>
                </c:pt>
                <c:pt idx="1624">
                  <c:v>4.7289099116012477E-5</c:v>
                </c:pt>
                <c:pt idx="1625">
                  <c:v>4.5510658331893207E-5</c:v>
                </c:pt>
                <c:pt idx="1626">
                  <c:v>4.511105737812525E-5</c:v>
                </c:pt>
                <c:pt idx="1627">
                  <c:v>4.4514217655352909E-5</c:v>
                </c:pt>
                <c:pt idx="1628">
                  <c:v>4.4294855826943025E-5</c:v>
                </c:pt>
                <c:pt idx="1629">
                  <c:v>4.3368860531759351E-5</c:v>
                </c:pt>
                <c:pt idx="1630">
                  <c:v>4.3717699026146844E-5</c:v>
                </c:pt>
                <c:pt idx="1631">
                  <c:v>4.3665651278168205E-5</c:v>
                </c:pt>
                <c:pt idx="1632">
                  <c:v>4.2676483298781023E-5</c:v>
                </c:pt>
                <c:pt idx="1633">
                  <c:v>4.1987309523153849E-5</c:v>
                </c:pt>
                <c:pt idx="1634">
                  <c:v>4.1613007664871765E-5</c:v>
                </c:pt>
                <c:pt idx="1635">
                  <c:v>4.1477109315530142E-5</c:v>
                </c:pt>
                <c:pt idx="1636">
                  <c:v>4.1147813138261461E-5</c:v>
                </c:pt>
                <c:pt idx="1637">
                  <c:v>4.1637665652998008E-5</c:v>
                </c:pt>
                <c:pt idx="1638">
                  <c:v>4.2115293729926828E-5</c:v>
                </c:pt>
                <c:pt idx="1639">
                  <c:v>4.2097038174908703E-5</c:v>
                </c:pt>
                <c:pt idx="1640">
                  <c:v>4.207877328715844E-5</c:v>
                </c:pt>
                <c:pt idx="1641">
                  <c:v>4.2885240234731915E-5</c:v>
                </c:pt>
                <c:pt idx="1642">
                  <c:v>4.1913972463410467E-5</c:v>
                </c:pt>
                <c:pt idx="1643">
                  <c:v>4.1594503868519711E-5</c:v>
                </c:pt>
                <c:pt idx="1644">
                  <c:v>4.09101031557945E-5</c:v>
                </c:pt>
                <c:pt idx="1645">
                  <c:v>4.0380077168603982E-5</c:v>
                </c:pt>
                <c:pt idx="1646">
                  <c:v>4.030386463045405E-5</c:v>
                </c:pt>
                <c:pt idx="1647">
                  <c:v>3.9237822868408419E-5</c:v>
                </c:pt>
                <c:pt idx="1648">
                  <c:v>3.8152072356248627E-5</c:v>
                </c:pt>
                <c:pt idx="1649">
                  <c:v>3.7230110253631536E-5</c:v>
                </c:pt>
                <c:pt idx="1650">
                  <c:v>3.8710290385576134E-5</c:v>
                </c:pt>
                <c:pt idx="1651">
                  <c:v>3.8211389822388661E-5</c:v>
                </c:pt>
                <c:pt idx="1652">
                  <c:v>3.865794809189455E-5</c:v>
                </c:pt>
                <c:pt idx="1653">
                  <c:v>3.9068984745116809E-5</c:v>
                </c:pt>
                <c:pt idx="1654">
                  <c:v>3.8644855982438757E-5</c:v>
                </c:pt>
                <c:pt idx="1655">
                  <c:v>3.8079507515222094E-5</c:v>
                </c:pt>
                <c:pt idx="1656">
                  <c:v>3.8059704671593642E-5</c:v>
                </c:pt>
                <c:pt idx="1657">
                  <c:v>3.7682466731032142E-5</c:v>
                </c:pt>
                <c:pt idx="1658">
                  <c:v>3.742332277953703E-5</c:v>
                </c:pt>
                <c:pt idx="1659">
                  <c:v>3.694954348043208E-5</c:v>
                </c:pt>
                <c:pt idx="1660">
                  <c:v>3.7063209271027462E-5</c:v>
                </c:pt>
                <c:pt idx="1661">
                  <c:v>3.6170482655581993E-5</c:v>
                </c:pt>
                <c:pt idx="1662">
                  <c:v>3.6533869016110785E-5</c:v>
                </c:pt>
                <c:pt idx="1663">
                  <c:v>3.6157001330984937E-5</c:v>
                </c:pt>
                <c:pt idx="1664">
                  <c:v>3.6802244899704917E-5</c:v>
                </c:pt>
                <c:pt idx="1665">
                  <c:v>3.6808945133509559E-5</c:v>
                </c:pt>
                <c:pt idx="1666">
                  <c:v>3.4910759100944697E-5</c:v>
                </c:pt>
                <c:pt idx="1667">
                  <c:v>3.4454516173580901E-5</c:v>
                </c:pt>
                <c:pt idx="1668">
                  <c:v>3.2402327968921388E-5</c:v>
                </c:pt>
                <c:pt idx="1669">
                  <c:v>3.2182987999285566E-5</c:v>
                </c:pt>
                <c:pt idx="1670">
                  <c:v>3.1908807306998954E-5</c:v>
                </c:pt>
                <c:pt idx="1671">
                  <c:v>3.2724429928551521E-5</c:v>
                </c:pt>
                <c:pt idx="1672">
                  <c:v>3.3628187175823049E-5</c:v>
                </c:pt>
                <c:pt idx="1673">
                  <c:v>3.4406788558485466E-5</c:v>
                </c:pt>
                <c:pt idx="1674">
                  <c:v>3.3819628987034456E-5</c:v>
                </c:pt>
                <c:pt idx="1675">
                  <c:v>3.4549938828357019E-5</c:v>
                </c:pt>
                <c:pt idx="1676">
                  <c:v>3.6520431864930044E-5</c:v>
                </c:pt>
                <c:pt idx="1677">
                  <c:v>3.543361735716828E-5</c:v>
                </c:pt>
                <c:pt idx="1678">
                  <c:v>3.4495416984629173E-5</c:v>
                </c:pt>
                <c:pt idx="1679">
                  <c:v>3.519616876059835E-5</c:v>
                </c:pt>
                <c:pt idx="1680">
                  <c:v>3.4869947001252408E-5</c:v>
                </c:pt>
                <c:pt idx="1681">
                  <c:v>3.3614508378481389E-5</c:v>
                </c:pt>
                <c:pt idx="1682">
                  <c:v>3.4413607440728106E-5</c:v>
                </c:pt>
                <c:pt idx="1683">
                  <c:v>3.5562357391864912E-5</c:v>
                </c:pt>
                <c:pt idx="1684">
                  <c:v>3.4713414919364916E-5</c:v>
                </c:pt>
                <c:pt idx="1685">
                  <c:v>3.4399969460841636E-5</c:v>
                </c:pt>
                <c:pt idx="1686">
                  <c:v>3.3477690657619093E-5</c:v>
                </c:pt>
                <c:pt idx="1687">
                  <c:v>3.4263543295068873E-5</c:v>
                </c:pt>
                <c:pt idx="1688">
                  <c:v>3.6190701707334028E-5</c:v>
                </c:pt>
                <c:pt idx="1689">
                  <c:v>3.5128259099743091E-5</c:v>
                </c:pt>
                <c:pt idx="1690">
                  <c:v>3.5121466547819202E-5</c:v>
                </c:pt>
                <c:pt idx="1691">
                  <c:v>3.4890354233601422E-5</c:v>
                </c:pt>
                <c:pt idx="1692">
                  <c:v>3.531154756589779E-5</c:v>
                </c:pt>
                <c:pt idx="1693">
                  <c:v>3.5995105403736727E-5</c:v>
                </c:pt>
                <c:pt idx="1694">
                  <c:v>3.4686178469806045E-5</c:v>
                </c:pt>
                <c:pt idx="1695">
                  <c:v>3.5236900533586509E-5</c:v>
                </c:pt>
                <c:pt idx="1696">
                  <c:v>3.5121466547819202E-5</c:v>
                </c:pt>
                <c:pt idx="1697">
                  <c:v>3.4079241105167431E-5</c:v>
                </c:pt>
                <c:pt idx="1698">
                  <c:v>3.2868312153253215E-5</c:v>
                </c:pt>
                <c:pt idx="1699">
                  <c:v>3.3121741411579296E-5</c:v>
                </c:pt>
                <c:pt idx="1700">
                  <c:v>3.3409262554618636E-5</c:v>
                </c:pt>
                <c:pt idx="1701">
                  <c:v>3.5501389818248493E-5</c:v>
                </c:pt>
                <c:pt idx="1702">
                  <c:v>3.5026341135414269E-5</c:v>
                </c:pt>
                <c:pt idx="1703">
                  <c:v>3.5331899489912341E-5</c:v>
                </c:pt>
                <c:pt idx="1704">
                  <c:v>3.5379376551004659E-5</c:v>
                </c:pt>
                <c:pt idx="1705">
                  <c:v>3.3080652525118067E-5</c:v>
                </c:pt>
                <c:pt idx="1706">
                  <c:v>3.2888864416639634E-5</c:v>
                </c:pt>
                <c:pt idx="1707">
                  <c:v>3.3306598170835885E-5</c:v>
                </c:pt>
                <c:pt idx="1708">
                  <c:v>3.5616528391201527E-5</c:v>
                </c:pt>
                <c:pt idx="1709">
                  <c:v>3.7523089527185165E-5</c:v>
                </c:pt>
                <c:pt idx="1710">
                  <c:v>3.8867063206667452E-5</c:v>
                </c:pt>
                <c:pt idx="1711">
                  <c:v>3.8964849456901827E-5</c:v>
                </c:pt>
                <c:pt idx="1712">
                  <c:v>3.8749519496184593E-5</c:v>
                </c:pt>
                <c:pt idx="1713">
                  <c:v>3.7954000587389942E-5</c:v>
                </c:pt>
                <c:pt idx="1714">
                  <c:v>3.8592461570041688E-5</c:v>
                </c:pt>
                <c:pt idx="1715">
                  <c:v>3.786138828973425E-5</c:v>
                </c:pt>
                <c:pt idx="1716">
                  <c:v>3.9644901099260308E-5</c:v>
                </c:pt>
                <c:pt idx="1717">
                  <c:v>3.8945304468162841E-5</c:v>
                </c:pt>
                <c:pt idx="1718">
                  <c:v>3.8977876023422412E-5</c:v>
                </c:pt>
                <c:pt idx="1719">
                  <c:v>3.9373839762630226E-5</c:v>
                </c:pt>
                <c:pt idx="1720">
                  <c:v>3.8977876023422412E-5</c:v>
                </c:pt>
                <c:pt idx="1721">
                  <c:v>3.8270658346607499E-5</c:v>
                </c:pt>
                <c:pt idx="1722">
                  <c:v>3.6882617411440065E-5</c:v>
                </c:pt>
                <c:pt idx="1723">
                  <c:v>3.9023447333423459E-5</c:v>
                </c:pt>
                <c:pt idx="1724">
                  <c:v>3.9146969314307565E-5</c:v>
                </c:pt>
                <c:pt idx="1725">
                  <c:v>3.916644963608101E-5</c:v>
                </c:pt>
                <c:pt idx="1726">
                  <c:v>3.9081989173961959E-5</c:v>
                </c:pt>
                <c:pt idx="1727">
                  <c:v>3.8867063206667452E-5</c:v>
                </c:pt>
                <c:pt idx="1728">
                  <c:v>3.8105903041415607E-5</c:v>
                </c:pt>
                <c:pt idx="1729">
                  <c:v>3.6406147687430892E-5</c:v>
                </c:pt>
                <c:pt idx="1730">
                  <c:v>3.5616528391201527E-5</c:v>
                </c:pt>
                <c:pt idx="1731">
                  <c:v>3.5148635034949027E-5</c:v>
                </c:pt>
                <c:pt idx="1732">
                  <c:v>3.5304762981239569E-5</c:v>
                </c:pt>
                <c:pt idx="1733">
                  <c:v>3.6466666238085587E-5</c:v>
                </c:pt>
                <c:pt idx="1734">
                  <c:v>3.7874625466376964E-5</c:v>
                </c:pt>
                <c:pt idx="1735">
                  <c:v>3.776866486859629E-5</c:v>
                </c:pt>
                <c:pt idx="1736">
                  <c:v>3.7954000587389942E-5</c:v>
                </c:pt>
                <c:pt idx="1737">
                  <c:v>3.8362755339375041E-5</c:v>
                </c:pt>
                <c:pt idx="1738">
                  <c:v>3.8487549242521356E-5</c:v>
                </c:pt>
                <c:pt idx="1739">
                  <c:v>3.8039896535651388E-5</c:v>
                </c:pt>
                <c:pt idx="1740">
                  <c:v>3.80068712666178E-5</c:v>
                </c:pt>
                <c:pt idx="1741">
                  <c:v>3.7715630905358474E-5</c:v>
                </c:pt>
                <c:pt idx="1742">
                  <c:v>3.6654725616757881E-5</c:v>
                </c:pt>
                <c:pt idx="1743">
                  <c:v>3.8382474654258483E-5</c:v>
                </c:pt>
                <c:pt idx="1744">
                  <c:v>3.7230110253631536E-5</c:v>
                </c:pt>
                <c:pt idx="1745">
                  <c:v>3.8912715830229825E-5</c:v>
                </c:pt>
                <c:pt idx="1746">
                  <c:v>4.0202061530661357E-5</c:v>
                </c:pt>
                <c:pt idx="1747">
                  <c:v>3.9638462626688439E-5</c:v>
                </c:pt>
                <c:pt idx="1748">
                  <c:v>4.0487837201163329E-5</c:v>
                </c:pt>
                <c:pt idx="1749">
                  <c:v>4.0582714830805861E-5</c:v>
                </c:pt>
                <c:pt idx="1750">
                  <c:v>4.0841047786052449E-5</c:v>
                </c:pt>
                <c:pt idx="1751">
                  <c:v>4.0834764650795965E-5</c:v>
                </c:pt>
                <c:pt idx="1752">
                  <c:v>4.0891280647424169E-5</c:v>
                </c:pt>
                <c:pt idx="1753">
                  <c:v>4.051315678070035E-5</c:v>
                </c:pt>
                <c:pt idx="1754">
                  <c:v>3.9567589480106054E-5</c:v>
                </c:pt>
                <c:pt idx="1755">
                  <c:v>4.0373730735265965E-5</c:v>
                </c:pt>
                <c:pt idx="1756">
                  <c:v>4.0960256808014423E-5</c:v>
                </c:pt>
                <c:pt idx="1757">
                  <c:v>4.2036119028616426E-5</c:v>
                </c:pt>
                <c:pt idx="1758">
                  <c:v>4.2610593152620716E-5</c:v>
                </c:pt>
                <c:pt idx="1759">
                  <c:v>4.2418161588553247E-5</c:v>
                </c:pt>
                <c:pt idx="1760">
                  <c:v>4.3584491701962568E-5</c:v>
                </c:pt>
                <c:pt idx="1761">
                  <c:v>4.4831192998482652E-5</c:v>
                </c:pt>
                <c:pt idx="1762">
                  <c:v>4.5257757220185044E-5</c:v>
                </c:pt>
                <c:pt idx="1763">
                  <c:v>4.6058831822018267E-5</c:v>
                </c:pt>
                <c:pt idx="1764">
                  <c:v>4.4930377526530347E-5</c:v>
                </c:pt>
                <c:pt idx="1765">
                  <c:v>4.6239671909993961E-5</c:v>
                </c:pt>
                <c:pt idx="1766">
                  <c:v>4.563857313727556E-5</c:v>
                </c:pt>
                <c:pt idx="1767">
                  <c:v>4.5865644807768617E-5</c:v>
                </c:pt>
                <c:pt idx="1768">
                  <c:v>4.6208803475161846E-5</c:v>
                </c:pt>
                <c:pt idx="1769">
                  <c:v>4.5902350934786793E-5</c:v>
                </c:pt>
                <c:pt idx="1770">
                  <c:v>4.6296120484145811E-5</c:v>
                </c:pt>
                <c:pt idx="1771">
                  <c:v>4.646434382594783E-5</c:v>
                </c:pt>
                <c:pt idx="1772">
                  <c:v>4.6249949120696198E-5</c:v>
                </c:pt>
                <c:pt idx="1773">
                  <c:v>4.608478015208537E-5</c:v>
                </c:pt>
                <c:pt idx="1774">
                  <c:v>4.5398050166541224E-5</c:v>
                </c:pt>
                <c:pt idx="1775">
                  <c:v>4.4891858423398236E-5</c:v>
                </c:pt>
                <c:pt idx="1776">
                  <c:v>4.5170947509468695E-5</c:v>
                </c:pt>
                <c:pt idx="1777">
                  <c:v>4.4919378925017843E-5</c:v>
                </c:pt>
                <c:pt idx="1778">
                  <c:v>4.5344205141140523E-5</c:v>
                </c:pt>
                <c:pt idx="1779">
                  <c:v>4.6413545671655089E-5</c:v>
                </c:pt>
                <c:pt idx="1780">
                  <c:v>4.7231350400054088E-5</c:v>
                </c:pt>
                <c:pt idx="1781">
                  <c:v>4.7742366015974248E-5</c:v>
                </c:pt>
                <c:pt idx="1782">
                  <c:v>4.8031224695803306E-5</c:v>
                </c:pt>
                <c:pt idx="1783">
                  <c:v>4.9111320060118048E-5</c:v>
                </c:pt>
                <c:pt idx="1784">
                  <c:v>4.873310675347914E-5</c:v>
                </c:pt>
                <c:pt idx="1785">
                  <c:v>4.8161852310344089E-5</c:v>
                </c:pt>
                <c:pt idx="1786">
                  <c:v>4.8343979855389699E-5</c:v>
                </c:pt>
                <c:pt idx="1787">
                  <c:v>4.8184223680994833E-5</c:v>
                </c:pt>
                <c:pt idx="1788">
                  <c:v>4.796763245018521E-5</c:v>
                </c:pt>
                <c:pt idx="1789">
                  <c:v>4.8401097646944959E-5</c:v>
                </c:pt>
                <c:pt idx="1790">
                  <c:v>4.7635197670583034E-5</c:v>
                </c:pt>
                <c:pt idx="1791">
                  <c:v>4.796763245018521E-5</c:v>
                </c:pt>
                <c:pt idx="1792">
                  <c:v>4.821992530516467E-5</c:v>
                </c:pt>
                <c:pt idx="1793">
                  <c:v>4.8098976395644884E-5</c:v>
                </c:pt>
                <c:pt idx="1794">
                  <c:v>4.8549035387298274E-5</c:v>
                </c:pt>
                <c:pt idx="1795">
                  <c:v>4.9292562538813039E-5</c:v>
                </c:pt>
                <c:pt idx="1796">
                  <c:v>4.9952675647089247E-5</c:v>
                </c:pt>
                <c:pt idx="1797">
                  <c:v>5.0614812249392298E-5</c:v>
                </c:pt>
                <c:pt idx="1798">
                  <c:v>4.9737940021060918E-5</c:v>
                </c:pt>
                <c:pt idx="1799">
                  <c:v>4.9570587298454248E-5</c:v>
                </c:pt>
                <c:pt idx="1800">
                  <c:v>4.9722883963768715E-5</c:v>
                </c:pt>
                <c:pt idx="1801">
                  <c:v>4.9256623990346079E-5</c:v>
                </c:pt>
                <c:pt idx="1802">
                  <c:v>4.9078695194837122E-5</c:v>
                </c:pt>
                <c:pt idx="1803">
                  <c:v>4.8771201841946217E-5</c:v>
                </c:pt>
                <c:pt idx="1804">
                  <c:v>4.8143923229144599E-5</c:v>
                </c:pt>
                <c:pt idx="1805">
                  <c:v>4.5526693362049474E-5</c:v>
                </c:pt>
                <c:pt idx="1806">
                  <c:v>4.5354985557935257E-5</c:v>
                </c:pt>
                <c:pt idx="1807">
                  <c:v>4.5574720286423558E-5</c:v>
                </c:pt>
                <c:pt idx="1808">
                  <c:v>4.551600478705945E-5</c:v>
                </c:pt>
                <c:pt idx="1809">
                  <c:v>4.6700992076925605E-5</c:v>
                </c:pt>
                <c:pt idx="1810">
                  <c:v>4.6296120484145811E-5</c:v>
                </c:pt>
                <c:pt idx="1811">
                  <c:v>4.6730950754054276E-5</c:v>
                </c:pt>
                <c:pt idx="1812">
                  <c:v>4.7686565374023515E-5</c:v>
                </c:pt>
                <c:pt idx="1813">
                  <c:v>4.6580585662622943E-5</c:v>
                </c:pt>
                <c:pt idx="1814">
                  <c:v>4.7360947569060632E-5</c:v>
                </c:pt>
                <c:pt idx="1815">
                  <c:v>4.7560111951068884E-5</c:v>
                </c:pt>
                <c:pt idx="1816">
                  <c:v>4.7756277443837227E-5</c:v>
                </c:pt>
                <c:pt idx="1817">
                  <c:v>4.738004359629456E-5</c:v>
                </c:pt>
                <c:pt idx="1818">
                  <c:v>4.7931139753280535E-5</c:v>
                </c:pt>
                <c:pt idx="1819">
                  <c:v>4.8085457829897865E-5</c:v>
                </c:pt>
                <c:pt idx="1820">
                  <c:v>4.8804938010977671E-5</c:v>
                </c:pt>
                <c:pt idx="1821">
                  <c:v>4.8527411727363789E-5</c:v>
                </c:pt>
                <c:pt idx="1822">
                  <c:v>4.7940273422726292E-5</c:v>
                </c:pt>
                <c:pt idx="1823">
                  <c:v>4.654024793527453E-5</c:v>
                </c:pt>
                <c:pt idx="1824">
                  <c:v>4.6565470823366302E-5</c:v>
                </c:pt>
                <c:pt idx="1825">
                  <c:v>4.6372795090624452E-5</c:v>
                </c:pt>
                <c:pt idx="1826">
                  <c:v>4.6043244676511331E-5</c:v>
                </c:pt>
                <c:pt idx="1827">
                  <c:v>4.6058831822018267E-5</c:v>
                </c:pt>
                <c:pt idx="1828">
                  <c:v>4.5284811187062524E-5</c:v>
                </c:pt>
                <c:pt idx="1829">
                  <c:v>4.5849891278101643E-5</c:v>
                </c:pt>
                <c:pt idx="1830">
                  <c:v>4.7022463802075913E-5</c:v>
                </c:pt>
                <c:pt idx="1831">
                  <c:v>4.7313090345737401E-5</c:v>
                </c:pt>
                <c:pt idx="1832">
                  <c:v>4.7545984852866048E-5</c:v>
                </c:pt>
                <c:pt idx="1833">
                  <c:v>4.6904560551467382E-5</c:v>
                </c:pt>
                <c:pt idx="1834">
                  <c:v>4.6454196672965212E-5</c:v>
                </c:pt>
                <c:pt idx="1835">
                  <c:v>4.5553389479397826E-5</c:v>
                </c:pt>
                <c:pt idx="1836">
                  <c:v>4.4536603217533109E-5</c:v>
                </c:pt>
                <c:pt idx="1837">
                  <c:v>4.4480599639657367E-5</c:v>
                </c:pt>
                <c:pt idx="1838">
                  <c:v>4.4463772818799336E-5</c:v>
                </c:pt>
                <c:pt idx="1839">
                  <c:v>4.3758111904682234E-5</c:v>
                </c:pt>
                <c:pt idx="1840">
                  <c:v>4.4005029053552983E-5</c:v>
                </c:pt>
                <c:pt idx="1841">
                  <c:v>4.5029117102418798E-5</c:v>
                </c:pt>
                <c:pt idx="1842">
                  <c:v>4.5398050166541224E-5</c:v>
                </c:pt>
                <c:pt idx="1843">
                  <c:v>4.4886350214512999E-5</c:v>
                </c:pt>
                <c:pt idx="1844">
                  <c:v>4.5192683706530658E-5</c:v>
                </c:pt>
                <c:pt idx="1845">
                  <c:v>4.5354985557935257E-5</c:v>
                </c:pt>
                <c:pt idx="1846">
                  <c:v>4.3924890889966096E-5</c:v>
                </c:pt>
                <c:pt idx="1847">
                  <c:v>4.478143509754342E-5</c:v>
                </c:pt>
                <c:pt idx="1848">
                  <c:v>4.5072857515162324E-5</c:v>
                </c:pt>
                <c:pt idx="1849">
                  <c:v>4.5505310432488294E-5</c:v>
                </c:pt>
                <c:pt idx="1850">
                  <c:v>4.5601351117813622E-5</c:v>
                </c:pt>
                <c:pt idx="1851">
                  <c:v>4.570750977965891E-5</c:v>
                </c:pt>
                <c:pt idx="1852">
                  <c:v>4.6585620789665138E-5</c:v>
                </c:pt>
                <c:pt idx="1853">
                  <c:v>4.6865052025078838E-5</c:v>
                </c:pt>
                <c:pt idx="1854">
                  <c:v>4.6934124034911988E-5</c:v>
                </c:pt>
                <c:pt idx="1855">
                  <c:v>4.618819390080453E-5</c:v>
                </c:pt>
                <c:pt idx="1856">
                  <c:v>4.5029117102418798E-5</c:v>
                </c:pt>
                <c:pt idx="1857">
                  <c:v>4.4592474238502495E-5</c:v>
                </c:pt>
                <c:pt idx="1858">
                  <c:v>4.3947812631050895E-5</c:v>
                </c:pt>
                <c:pt idx="1859">
                  <c:v>4.4249613483336962E-5</c:v>
                </c:pt>
                <c:pt idx="1860">
                  <c:v>4.5338812796676838E-5</c:v>
                </c:pt>
                <c:pt idx="1861">
                  <c:v>4.5214397418967741E-5</c:v>
                </c:pt>
                <c:pt idx="1862">
                  <c:v>4.4753744355334948E-5</c:v>
                </c:pt>
                <c:pt idx="1863">
                  <c:v>4.5121959076756954E-5</c:v>
                </c:pt>
                <c:pt idx="1864">
                  <c:v>4.504553016552565E-5</c:v>
                </c:pt>
                <c:pt idx="1865">
                  <c:v>4.6580585662622943E-5</c:v>
                </c:pt>
                <c:pt idx="1866">
                  <c:v>4.8596446616085762E-5</c:v>
                </c:pt>
                <c:pt idx="1867">
                  <c:v>4.9192349889697184E-5</c:v>
                </c:pt>
                <c:pt idx="1868">
                  <c:v>5.001794805006979E-5</c:v>
                </c:pt>
                <c:pt idx="1869">
                  <c:v>5.0050339301940999E-5</c:v>
                </c:pt>
                <c:pt idx="1870">
                  <c:v>5.0409293686328198E-5</c:v>
                </c:pt>
                <c:pt idx="1871">
                  <c:v>4.9535887479388968E-5</c:v>
                </c:pt>
                <c:pt idx="1872">
                  <c:v>4.9196381365240807E-5</c:v>
                </c:pt>
                <c:pt idx="1873">
                  <c:v>4.9820180999757988E-5</c:v>
                </c:pt>
                <c:pt idx="1874">
                  <c:v>5.0078994058906957E-5</c:v>
                </c:pt>
                <c:pt idx="1875">
                  <c:v>5.1078509552861983E-5</c:v>
                </c:pt>
                <c:pt idx="1876">
                  <c:v>5.0453048800143755E-5</c:v>
                </c:pt>
                <c:pt idx="1877">
                  <c:v>5.0456400066800617E-5</c:v>
                </c:pt>
                <c:pt idx="1878">
                  <c:v>5.0634275166421878E-5</c:v>
                </c:pt>
                <c:pt idx="1879">
                  <c:v>5.2379539967555899E-5</c:v>
                </c:pt>
                <c:pt idx="1880">
                  <c:v>5.2818004609628646E-5</c:v>
                </c:pt>
                <c:pt idx="1881">
                  <c:v>5.2923636857945857E-5</c:v>
                </c:pt>
                <c:pt idx="1882">
                  <c:v>5.2817294681268569E-5</c:v>
                </c:pt>
                <c:pt idx="1883">
                  <c:v>5.290773297564507E-5</c:v>
                </c:pt>
                <c:pt idx="1884">
                  <c:v>5.2892323824003908E-5</c:v>
                </c:pt>
                <c:pt idx="1885">
                  <c:v>5.2945603334207649E-5</c:v>
                </c:pt>
                <c:pt idx="1886">
                  <c:v>5.2678270370925802E-5</c:v>
                </c:pt>
                <c:pt idx="1887">
                  <c:v>5.2699859622625908E-5</c:v>
                </c:pt>
                <c:pt idx="1888">
                  <c:v>5.2958639720362942E-5</c:v>
                </c:pt>
                <c:pt idx="1889">
                  <c:v>5.2958711913904547E-5</c:v>
                </c:pt>
                <c:pt idx="1890">
                  <c:v>5.2643666843495147E-5</c:v>
                </c:pt>
                <c:pt idx="1891">
                  <c:v>5.28623800390976E-5</c:v>
                </c:pt>
                <c:pt idx="1892">
                  <c:v>5.2710877883785213E-5</c:v>
                </c:pt>
                <c:pt idx="1893">
                  <c:v>5.2941820576830687E-5</c:v>
                </c:pt>
                <c:pt idx="1894">
                  <c:v>5.2958791283004672E-5</c:v>
                </c:pt>
                <c:pt idx="1895">
                  <c:v>5.2937565589393426E-5</c:v>
                </c:pt>
                <c:pt idx="1896">
                  <c:v>5.2957256599290327E-5</c:v>
                </c:pt>
                <c:pt idx="1897">
                  <c:v>5.2949561677244853E-5</c:v>
                </c:pt>
                <c:pt idx="1898">
                  <c:v>5.2951564720301468E-5</c:v>
                </c:pt>
                <c:pt idx="1899">
                  <c:v>5.2953985314817407E-5</c:v>
                </c:pt>
                <c:pt idx="1900">
                  <c:v>5.2647507643552336E-5</c:v>
                </c:pt>
                <c:pt idx="1901">
                  <c:v>5.2871125738485483E-5</c:v>
                </c:pt>
                <c:pt idx="1902">
                  <c:v>5.2897397541809508E-5</c:v>
                </c:pt>
                <c:pt idx="1903">
                  <c:v>5.2881217031896636E-5</c:v>
                </c:pt>
                <c:pt idx="1904">
                  <c:v>5.2957268932856651E-5</c:v>
                </c:pt>
                <c:pt idx="1905">
                  <c:v>5.2940694036061367E-5</c:v>
                </c:pt>
                <c:pt idx="1906">
                  <c:v>5.2947817687675158E-5</c:v>
                </c:pt>
                <c:pt idx="1907">
                  <c:v>5.2893528989384668E-5</c:v>
                </c:pt>
                <c:pt idx="1908">
                  <c:v>5.2873706168387024E-5</c:v>
                </c:pt>
                <c:pt idx="1909">
                  <c:v>5.2932124652415872E-5</c:v>
                </c:pt>
                <c:pt idx="1910">
                  <c:v>5.2595491703349824E-5</c:v>
                </c:pt>
                <c:pt idx="1911">
                  <c:v>5.171926806601351E-5</c:v>
                </c:pt>
                <c:pt idx="1912">
                  <c:v>5.171926806601351E-5</c:v>
                </c:pt>
                <c:pt idx="1913">
                  <c:v>4.9046515872001222E-5</c:v>
                </c:pt>
                <c:pt idx="1914">
                  <c:v>4.9850359565406358E-5</c:v>
                </c:pt>
                <c:pt idx="1915">
                  <c:v>4.97045415429133E-5</c:v>
                </c:pt>
                <c:pt idx="1916">
                  <c:v>4.915654047085648E-5</c:v>
                </c:pt>
                <c:pt idx="1917">
                  <c:v>4.9651461855984341E-5</c:v>
                </c:pt>
                <c:pt idx="1918">
                  <c:v>4.8436698982408847E-5</c:v>
                </c:pt>
                <c:pt idx="1919">
                  <c:v>4.8224995585675252E-5</c:v>
                </c:pt>
                <c:pt idx="1920">
                  <c:v>4.826056675299719E-5</c:v>
                </c:pt>
                <c:pt idx="1921">
                  <c:v>4.9787169314855074E-5</c:v>
                </c:pt>
                <c:pt idx="1922">
                  <c:v>4.9168679893170369E-5</c:v>
                </c:pt>
                <c:pt idx="1923">
                  <c:v>4.9273167944701664E-5</c:v>
                </c:pt>
                <c:pt idx="1924">
                  <c:v>4.9368466603752068E-5</c:v>
                </c:pt>
                <c:pt idx="1925">
                  <c:v>4.9229119340150086E-5</c:v>
                </c:pt>
                <c:pt idx="1926">
                  <c:v>4.6581281728468069E-5</c:v>
                </c:pt>
                <c:pt idx="1927">
                  <c:v>4.6152782411135021E-5</c:v>
                </c:pt>
                <c:pt idx="1928">
                  <c:v>4.5834851119159439E-5</c:v>
                </c:pt>
                <c:pt idx="1929">
                  <c:v>4.7032922628818485E-5</c:v>
                </c:pt>
                <c:pt idx="1930">
                  <c:v>4.7270540854471865E-5</c:v>
                </c:pt>
                <c:pt idx="1931">
                  <c:v>4.6080310518189984E-5</c:v>
                </c:pt>
                <c:pt idx="1932">
                  <c:v>4.5204293697899872E-5</c:v>
                </c:pt>
                <c:pt idx="1933">
                  <c:v>4.696430818735215E-5</c:v>
                </c:pt>
                <c:pt idx="1934">
                  <c:v>4.7485245291872646E-5</c:v>
                </c:pt>
                <c:pt idx="1935">
                  <c:v>4.8784449963045725E-5</c:v>
                </c:pt>
                <c:pt idx="1936">
                  <c:v>4.9662868616733621E-5</c:v>
                </c:pt>
                <c:pt idx="1937">
                  <c:v>5.0217308189164846E-5</c:v>
                </c:pt>
                <c:pt idx="1938">
                  <c:v>4.8265005102691699E-5</c:v>
                </c:pt>
                <c:pt idx="1939">
                  <c:v>4.9285140907346182E-5</c:v>
                </c:pt>
                <c:pt idx="1940">
                  <c:v>4.9742218519121654E-5</c:v>
                </c:pt>
                <c:pt idx="1941">
                  <c:v>4.9364518000757458E-5</c:v>
                </c:pt>
                <c:pt idx="1942">
                  <c:v>4.9253174611735563E-5</c:v>
                </c:pt>
                <c:pt idx="1943">
                  <c:v>4.9474346716891309E-5</c:v>
                </c:pt>
                <c:pt idx="1944">
                  <c:v>4.9380300815623718E-5</c:v>
                </c:pt>
                <c:pt idx="1945">
                  <c:v>4.7635844429589309E-5</c:v>
                </c:pt>
                <c:pt idx="1946">
                  <c:v>4.7770813218284432E-5</c:v>
                </c:pt>
                <c:pt idx="1947">
                  <c:v>4.6998655322817515E-5</c:v>
                </c:pt>
                <c:pt idx="1948">
                  <c:v>4.9017765564616389E-5</c:v>
                </c:pt>
                <c:pt idx="1949">
                  <c:v>5.0269489748233947E-5</c:v>
                </c:pt>
                <c:pt idx="1950">
                  <c:v>5.0579386709146826E-5</c:v>
                </c:pt>
                <c:pt idx="1951">
                  <c:v>5.1295386136752072E-5</c:v>
                </c:pt>
                <c:pt idx="1952">
                  <c:v>5.0079488014781566E-5</c:v>
                </c:pt>
                <c:pt idx="1953">
                  <c:v>4.8095094696235634E-5</c:v>
                </c:pt>
                <c:pt idx="1954">
                  <c:v>4.959416244760404E-5</c:v>
                </c:pt>
                <c:pt idx="1955">
                  <c:v>4.9431381081422699E-5</c:v>
                </c:pt>
                <c:pt idx="1956">
                  <c:v>4.9062903035821351E-5</c:v>
                </c:pt>
                <c:pt idx="1957">
                  <c:v>4.8947558814133568E-5</c:v>
                </c:pt>
                <c:pt idx="1958">
                  <c:v>4.9920301401891587E-5</c:v>
                </c:pt>
                <c:pt idx="1959">
                  <c:v>5.0965994373649147E-5</c:v>
                </c:pt>
                <c:pt idx="1960">
                  <c:v>5.0220801282880898E-5</c:v>
                </c:pt>
                <c:pt idx="1961">
                  <c:v>5.0413138674880979E-5</c:v>
                </c:pt>
                <c:pt idx="1962">
                  <c:v>5.0592461388724521E-5</c:v>
                </c:pt>
                <c:pt idx="1963">
                  <c:v>5.0075913534410584E-5</c:v>
                </c:pt>
                <c:pt idx="1964">
                  <c:v>5.0262558830938177E-5</c:v>
                </c:pt>
                <c:pt idx="1965">
                  <c:v>5.0147017750169471E-5</c:v>
                </c:pt>
                <c:pt idx="1966">
                  <c:v>5.0576112809320972E-5</c:v>
                </c:pt>
                <c:pt idx="1967">
                  <c:v>4.994588719917333E-5</c:v>
                </c:pt>
                <c:pt idx="1968">
                  <c:v>4.9790902309406374E-5</c:v>
                </c:pt>
                <c:pt idx="1969">
                  <c:v>4.8419215627303337E-5</c:v>
                </c:pt>
                <c:pt idx="1970">
                  <c:v>5.0093765675926704E-5</c:v>
                </c:pt>
                <c:pt idx="1971">
                  <c:v>5.0483596216449635E-5</c:v>
                </c:pt>
                <c:pt idx="1972">
                  <c:v>5.0115121335015606E-5</c:v>
                </c:pt>
                <c:pt idx="1973">
                  <c:v>4.8635664793274884E-5</c:v>
                </c:pt>
                <c:pt idx="1974">
                  <c:v>4.8818139483100064E-5</c:v>
                </c:pt>
                <c:pt idx="1975">
                  <c:v>4.876333365019291E-5</c:v>
                </c:pt>
                <c:pt idx="1976">
                  <c:v>5.0334923855520672E-5</c:v>
                </c:pt>
                <c:pt idx="1977">
                  <c:v>5.0530058843376087E-5</c:v>
                </c:pt>
                <c:pt idx="1978">
                  <c:v>5.0647654794504084E-5</c:v>
                </c:pt>
                <c:pt idx="1979">
                  <c:v>5.1771572211885164E-5</c:v>
                </c:pt>
                <c:pt idx="1980">
                  <c:v>5.2014582890359535E-5</c:v>
                </c:pt>
                <c:pt idx="1981">
                  <c:v>5.2274322632435377E-5</c:v>
                </c:pt>
                <c:pt idx="1982">
                  <c:v>5.1829686283546594E-5</c:v>
                </c:pt>
                <c:pt idx="1983">
                  <c:v>5.1651129058671069E-5</c:v>
                </c:pt>
                <c:pt idx="1984">
                  <c:v>5.1638776824760831E-5</c:v>
                </c:pt>
                <c:pt idx="1985">
                  <c:v>5.160138536442884E-5</c:v>
                </c:pt>
                <c:pt idx="1986">
                  <c:v>5.1560948671058987E-5</c:v>
                </c:pt>
                <c:pt idx="1987">
                  <c:v>5.1390839065791613E-5</c:v>
                </c:pt>
                <c:pt idx="1988">
                  <c:v>5.1631338687718056E-5</c:v>
                </c:pt>
                <c:pt idx="1989">
                  <c:v>5.1757415335317692E-5</c:v>
                </c:pt>
                <c:pt idx="1990">
                  <c:v>5.2027175302056103E-5</c:v>
                </c:pt>
                <c:pt idx="1991">
                  <c:v>5.2177620010436864E-5</c:v>
                </c:pt>
                <c:pt idx="1992">
                  <c:v>5.21890968418706E-5</c:v>
                </c:pt>
                <c:pt idx="1993">
                  <c:v>5.2177620010436864E-5</c:v>
                </c:pt>
                <c:pt idx="1994">
                  <c:v>5.1952561837033582E-5</c:v>
                </c:pt>
                <c:pt idx="1995">
                  <c:v>5.1908673489992276E-5</c:v>
                </c:pt>
                <c:pt idx="1996">
                  <c:v>5.10759829021822E-5</c:v>
                </c:pt>
                <c:pt idx="1997">
                  <c:v>5.1202933804779801E-5</c:v>
                </c:pt>
                <c:pt idx="1998">
                  <c:v>5.1154381847873069E-5</c:v>
                </c:pt>
                <c:pt idx="1999">
                  <c:v>5.1974164897610182E-5</c:v>
                </c:pt>
                <c:pt idx="2000">
                  <c:v>5.1884147857013193E-5</c:v>
                </c:pt>
                <c:pt idx="2001">
                  <c:v>5.1733640672392953E-5</c:v>
                </c:pt>
                <c:pt idx="2002">
                  <c:v>5.1643724419160509E-5</c:v>
                </c:pt>
                <c:pt idx="2003">
                  <c:v>5.1593846885075128E-5</c:v>
                </c:pt>
                <c:pt idx="2004">
                  <c:v>5.1653592803291035E-5</c:v>
                </c:pt>
                <c:pt idx="2005">
                  <c:v>5.104063361104737E-5</c:v>
                </c:pt>
                <c:pt idx="2006">
                  <c:v>5.1162995421428427E-5</c:v>
                </c:pt>
                <c:pt idx="2007">
                  <c:v>5.1262041942347353E-5</c:v>
                </c:pt>
                <c:pt idx="2008">
                  <c:v>5.1111021510268202E-5</c:v>
                </c:pt>
                <c:pt idx="2009">
                  <c:v>5.097502191989097E-5</c:v>
                </c:pt>
                <c:pt idx="2010">
                  <c:v>5.0784547145155186E-5</c:v>
                </c:pt>
                <c:pt idx="2011">
                  <c:v>4.8588437719058715E-5</c:v>
                </c:pt>
                <c:pt idx="2012">
                  <c:v>4.8304869634168696E-5</c:v>
                </c:pt>
                <c:pt idx="2013">
                  <c:v>4.7159498761341147E-5</c:v>
                </c:pt>
                <c:pt idx="2014">
                  <c:v>4.4914638063705411E-5</c:v>
                </c:pt>
                <c:pt idx="2015">
                  <c:v>4.2085704225003467E-5</c:v>
                </c:pt>
                <c:pt idx="2016">
                  <c:v>4.2719169915000597E-5</c:v>
                </c:pt>
                <c:pt idx="2017">
                  <c:v>4.2225468296128197E-5</c:v>
                </c:pt>
                <c:pt idx="2018">
                  <c:v>4.4693473883078788E-5</c:v>
                </c:pt>
                <c:pt idx="2019">
                  <c:v>4.4374608517932088E-5</c:v>
                </c:pt>
                <c:pt idx="2020">
                  <c:v>4.4787734015982737E-5</c:v>
                </c:pt>
                <c:pt idx="2021">
                  <c:v>4.5312576155048403E-5</c:v>
                </c:pt>
                <c:pt idx="2022">
                  <c:v>4.4887111658859878E-5</c:v>
                </c:pt>
                <c:pt idx="2023">
                  <c:v>4.4267370923183222E-5</c:v>
                </c:pt>
                <c:pt idx="2024">
                  <c:v>4.3919949910051501E-5</c:v>
                </c:pt>
                <c:pt idx="2025">
                  <c:v>4.3625902574124506E-5</c:v>
                </c:pt>
                <c:pt idx="2026">
                  <c:v>4.4632274764405844E-5</c:v>
                </c:pt>
                <c:pt idx="2027">
                  <c:v>4.4000103233579222E-5</c:v>
                </c:pt>
                <c:pt idx="2028">
                  <c:v>4.3305249703441314E-5</c:v>
                </c:pt>
                <c:pt idx="2029">
                  <c:v>4.3140631777039067E-5</c:v>
                </c:pt>
                <c:pt idx="2030">
                  <c:v>4.1223463546980329E-5</c:v>
                </c:pt>
                <c:pt idx="2031">
                  <c:v>4.1975941056796884E-5</c:v>
                </c:pt>
                <c:pt idx="2032">
                  <c:v>4.2043058195299894E-5</c:v>
                </c:pt>
                <c:pt idx="2033">
                  <c:v>4.1453205922649237E-5</c:v>
                </c:pt>
                <c:pt idx="2034">
                  <c:v>4.0709786409502513E-5</c:v>
                </c:pt>
                <c:pt idx="2035">
                  <c:v>4.1884218389609823E-5</c:v>
                </c:pt>
                <c:pt idx="2036">
                  <c:v>4.3833799210176221E-5</c:v>
                </c:pt>
                <c:pt idx="2037">
                  <c:v>4.4408375290682109E-5</c:v>
                </c:pt>
                <c:pt idx="2038">
                  <c:v>4.3258309610900338E-5</c:v>
                </c:pt>
                <c:pt idx="2039">
                  <c:v>4.2140460233383752E-5</c:v>
                </c:pt>
                <c:pt idx="2040">
                  <c:v>4.2073524812816213E-5</c:v>
                </c:pt>
                <c:pt idx="2041">
                  <c:v>4.2400898406886944E-5</c:v>
                </c:pt>
                <c:pt idx="2042">
                  <c:v>4.3211294460031042E-5</c:v>
                </c:pt>
                <c:pt idx="2043">
                  <c:v>4.1847465408589598E-5</c:v>
                </c:pt>
                <c:pt idx="2044">
                  <c:v>4.1061253658551729E-5</c:v>
                </c:pt>
                <c:pt idx="2045">
                  <c:v>4.1136197651579769E-5</c:v>
                </c:pt>
                <c:pt idx="2046">
                  <c:v>3.9992315662392756E-5</c:v>
                </c:pt>
                <c:pt idx="2047">
                  <c:v>3.812660516603063E-5</c:v>
                </c:pt>
                <c:pt idx="2048">
                  <c:v>3.6151191904408427E-5</c:v>
                </c:pt>
                <c:pt idx="2049">
                  <c:v>3.2841855159833896E-5</c:v>
                </c:pt>
                <c:pt idx="2050">
                  <c:v>2.8965404124233804E-5</c:v>
                </c:pt>
                <c:pt idx="2051">
                  <c:v>3.1882337690685247E-5</c:v>
                </c:pt>
                <c:pt idx="2052">
                  <c:v>3.3991398649122705E-5</c:v>
                </c:pt>
                <c:pt idx="2053">
                  <c:v>3.1649310845860724E-5</c:v>
                </c:pt>
                <c:pt idx="2054">
                  <c:v>3.7377645103565549E-5</c:v>
                </c:pt>
                <c:pt idx="2055">
                  <c:v>3.8724273209294175E-5</c:v>
                </c:pt>
                <c:pt idx="2056">
                  <c:v>3.6622096313825821E-5</c:v>
                </c:pt>
                <c:pt idx="2057">
                  <c:v>3.3040507128381263E-5</c:v>
                </c:pt>
                <c:pt idx="2058">
                  <c:v>3.0608485567530549E-5</c:v>
                </c:pt>
                <c:pt idx="2059">
                  <c:v>2.7344830226466325E-5</c:v>
                </c:pt>
                <c:pt idx="2060">
                  <c:v>2.8850007976546083E-5</c:v>
                </c:pt>
                <c:pt idx="2061">
                  <c:v>3.1142337818789321E-5</c:v>
                </c:pt>
                <c:pt idx="2062">
                  <c:v>3.1409482014991855E-5</c:v>
                </c:pt>
                <c:pt idx="2063">
                  <c:v>4.2376754375353467E-5</c:v>
                </c:pt>
                <c:pt idx="2064">
                  <c:v>4.3316972957081076E-5</c:v>
                </c:pt>
                <c:pt idx="2065">
                  <c:v>5.0419888303151806E-5</c:v>
                </c:pt>
                <c:pt idx="2066">
                  <c:v>4.625065916886756E-5</c:v>
                </c:pt>
                <c:pt idx="2067">
                  <c:v>4.9666666929125704E-5</c:v>
                </c:pt>
                <c:pt idx="2068">
                  <c:v>5.1250857343588679E-5</c:v>
                </c:pt>
                <c:pt idx="2069">
                  <c:v>4.9949534284871031E-5</c:v>
                </c:pt>
                <c:pt idx="2070">
                  <c:v>4.7323337335876742E-5</c:v>
                </c:pt>
                <c:pt idx="2071">
                  <c:v>3.7921851851331476E-5</c:v>
                </c:pt>
                <c:pt idx="2072">
                  <c:v>3.7961525178103775E-5</c:v>
                </c:pt>
                <c:pt idx="2073">
                  <c:v>3.4005060046521626E-5</c:v>
                </c:pt>
                <c:pt idx="2074">
                  <c:v>3.6380169665698531E-5</c:v>
                </c:pt>
                <c:pt idx="2075">
                  <c:v>3.6245532886584722E-5</c:v>
                </c:pt>
                <c:pt idx="2076">
                  <c:v>3.7497415730617646E-5</c:v>
                </c:pt>
                <c:pt idx="2077">
                  <c:v>4.1663159147519962E-5</c:v>
                </c:pt>
                <c:pt idx="2078">
                  <c:v>3.6447426517923524E-5</c:v>
                </c:pt>
                <c:pt idx="2079">
                  <c:v>3.6943777793518423E-5</c:v>
                </c:pt>
                <c:pt idx="2080">
                  <c:v>3.2156517140380067E-5</c:v>
                </c:pt>
                <c:pt idx="2081">
                  <c:v>3.2026280097668076E-5</c:v>
                </c:pt>
                <c:pt idx="2082">
                  <c:v>3.2225062757167021E-5</c:v>
                </c:pt>
                <c:pt idx="2083">
                  <c:v>2.7748091526416782E-5</c:v>
                </c:pt>
                <c:pt idx="2084">
                  <c:v>1.9921131505489469E-5</c:v>
                </c:pt>
                <c:pt idx="2085">
                  <c:v>2.2773991399597427E-5</c:v>
                </c:pt>
                <c:pt idx="2086">
                  <c:v>2.1421320882290913E-5</c:v>
                </c:pt>
                <c:pt idx="2087">
                  <c:v>2.6157400359383189E-5</c:v>
                </c:pt>
                <c:pt idx="2088">
                  <c:v>2.7003188500069038E-5</c:v>
                </c:pt>
                <c:pt idx="2089">
                  <c:v>2.7559730385494152E-5</c:v>
                </c:pt>
                <c:pt idx="2090">
                  <c:v>2.3805909634158036E-5</c:v>
                </c:pt>
                <c:pt idx="2091">
                  <c:v>2.0598346879080532E-5</c:v>
                </c:pt>
                <c:pt idx="2092">
                  <c:v>2.3122317286127256E-5</c:v>
                </c:pt>
                <c:pt idx="2093">
                  <c:v>2.3243137949854584E-5</c:v>
                </c:pt>
                <c:pt idx="2094">
                  <c:v>2.6290097270961194E-5</c:v>
                </c:pt>
                <c:pt idx="2095">
                  <c:v>2.4737526647730699E-5</c:v>
                </c:pt>
                <c:pt idx="2096">
                  <c:v>2.4815729971970578E-5</c:v>
                </c:pt>
                <c:pt idx="2097">
                  <c:v>2.6996500521712205E-5</c:v>
                </c:pt>
                <c:pt idx="2098">
                  <c:v>2.3992483946261334E-5</c:v>
                </c:pt>
                <c:pt idx="2099">
                  <c:v>2.5234214013235728E-5</c:v>
                </c:pt>
                <c:pt idx="2100">
                  <c:v>2.62967371850881E-5</c:v>
                </c:pt>
                <c:pt idx="2101">
                  <c:v>2.464639659203869E-5</c:v>
                </c:pt>
                <c:pt idx="2102">
                  <c:v>2.4815729971970578E-5</c:v>
                </c:pt>
                <c:pt idx="2103">
                  <c:v>2.4861387409693936E-5</c:v>
                </c:pt>
                <c:pt idx="2104">
                  <c:v>2.4082746837677826E-5</c:v>
                </c:pt>
                <c:pt idx="2105">
                  <c:v>2.1163703316070073E-5</c:v>
                </c:pt>
                <c:pt idx="2106">
                  <c:v>2.0707215826499593E-5</c:v>
                </c:pt>
                <c:pt idx="2107">
                  <c:v>2.0786010344587516E-5</c:v>
                </c:pt>
                <c:pt idx="2108">
                  <c:v>2.0393443808012848E-5</c:v>
                </c:pt>
                <c:pt idx="2109">
                  <c:v>1.9167407560947012E-5</c:v>
                </c:pt>
                <c:pt idx="2110">
                  <c:v>2.1990463193106684E-5</c:v>
                </c:pt>
                <c:pt idx="2111">
                  <c:v>2.0925756716584149E-5</c:v>
                </c:pt>
                <c:pt idx="2112">
                  <c:v>2.2572317912342041E-5</c:v>
                </c:pt>
                <c:pt idx="2113">
                  <c:v>2.5885987730868325E-5</c:v>
                </c:pt>
                <c:pt idx="2114">
                  <c:v>2.2938389501238892E-5</c:v>
                </c:pt>
                <c:pt idx="2115">
                  <c:v>2.1519828985465917E-5</c:v>
                </c:pt>
                <c:pt idx="2116">
                  <c:v>2.1286202906107639E-5</c:v>
                </c:pt>
                <c:pt idx="2117">
                  <c:v>1.9891418861096296E-5</c:v>
                </c:pt>
                <c:pt idx="2118">
                  <c:v>2.4477465151602616E-5</c:v>
                </c:pt>
                <c:pt idx="2119">
                  <c:v>2.5168673141531201E-5</c:v>
                </c:pt>
                <c:pt idx="2120">
                  <c:v>2.7371670639115414E-5</c:v>
                </c:pt>
                <c:pt idx="2121">
                  <c:v>2.6449586481923685E-5</c:v>
                </c:pt>
                <c:pt idx="2122">
                  <c:v>2.3428024166338242E-5</c:v>
                </c:pt>
                <c:pt idx="2123">
                  <c:v>2.2346323561834405E-5</c:v>
                </c:pt>
                <c:pt idx="2124">
                  <c:v>2.03573853634155E-5</c:v>
                </c:pt>
                <c:pt idx="2125">
                  <c:v>2.0931842474323736E-5</c:v>
                </c:pt>
                <c:pt idx="2126">
                  <c:v>2.3818759405036865E-5</c:v>
                </c:pt>
                <c:pt idx="2127">
                  <c:v>2.2622667134181775E-5</c:v>
                </c:pt>
                <c:pt idx="2128">
                  <c:v>2.2058948037838474E-5</c:v>
                </c:pt>
                <c:pt idx="2129">
                  <c:v>2.266676063082863E-5</c:v>
                </c:pt>
                <c:pt idx="2130">
                  <c:v>2.0779944275331062E-5</c:v>
                </c:pt>
                <c:pt idx="2131">
                  <c:v>1.7620974396937622E-5</c:v>
                </c:pt>
                <c:pt idx="2132">
                  <c:v>1.6844079771443476E-5</c:v>
                </c:pt>
                <c:pt idx="2133">
                  <c:v>1.7155801739997763E-5</c:v>
                </c:pt>
                <c:pt idx="2134">
                  <c:v>1.8217664972174566E-5</c:v>
                </c:pt>
                <c:pt idx="2135">
                  <c:v>1.9249136812465672E-5</c:v>
                </c:pt>
                <c:pt idx="2136">
                  <c:v>1.655173146612418E-5</c:v>
                </c:pt>
                <c:pt idx="2137">
                  <c:v>1.6931257282854056E-5</c:v>
                </c:pt>
                <c:pt idx="2138">
                  <c:v>1.6611048377155137E-5</c:v>
                </c:pt>
                <c:pt idx="2139">
                  <c:v>1.5928341766416011E-5</c:v>
                </c:pt>
                <c:pt idx="2140">
                  <c:v>1.6412009012686849E-5</c:v>
                </c:pt>
                <c:pt idx="2141">
                  <c:v>1.4849562619507431E-5</c:v>
                </c:pt>
                <c:pt idx="2142">
                  <c:v>1.4683368799938583E-5</c:v>
                </c:pt>
                <c:pt idx="2143">
                  <c:v>1.2618522066087265E-5</c:v>
                </c:pt>
                <c:pt idx="2144">
                  <c:v>1.2527520822526541E-5</c:v>
                </c:pt>
                <c:pt idx="2145">
                  <c:v>1.3361972263426371E-5</c:v>
                </c:pt>
                <c:pt idx="2146">
                  <c:v>1.2949681265027189E-5</c:v>
                </c:pt>
                <c:pt idx="2147">
                  <c:v>1.3475851267949869E-5</c:v>
                </c:pt>
                <c:pt idx="2148">
                  <c:v>1.3220488187943886E-5</c:v>
                </c:pt>
                <c:pt idx="2149">
                  <c:v>1.2931137692553286E-5</c:v>
                </c:pt>
                <c:pt idx="2150">
                  <c:v>1.2963600194638687E-5</c:v>
                </c:pt>
                <c:pt idx="2151">
                  <c:v>1.220793817929455E-5</c:v>
                </c:pt>
                <c:pt idx="2152">
                  <c:v>9.9623533451025589E-6</c:v>
                </c:pt>
                <c:pt idx="2153">
                  <c:v>9.2173145228271876E-6</c:v>
                </c:pt>
                <c:pt idx="2154">
                  <c:v>7.4503813751090044E-6</c:v>
                </c:pt>
                <c:pt idx="2155">
                  <c:v>6.0613291127829367E-6</c:v>
                </c:pt>
                <c:pt idx="2156">
                  <c:v>4.41070185839979E-6</c:v>
                </c:pt>
                <c:pt idx="2157">
                  <c:v>4.2351876005706305E-6</c:v>
                </c:pt>
                <c:pt idx="2158">
                  <c:v>3.8442778304027396E-6</c:v>
                </c:pt>
                <c:pt idx="2159">
                  <c:v>3.5973151183567252E-6</c:v>
                </c:pt>
                <c:pt idx="2160">
                  <c:v>3.3466068898929792E-6</c:v>
                </c:pt>
                <c:pt idx="2161">
                  <c:v>3.5653848260041666E-6</c:v>
                </c:pt>
                <c:pt idx="2162">
                  <c:v>2.9329657756812336E-6</c:v>
                </c:pt>
                <c:pt idx="2163">
                  <c:v>1.3631585740213539E-6</c:v>
                </c:pt>
                <c:pt idx="2164">
                  <c:v>1.0910373927427923E-6</c:v>
                </c:pt>
                <c:pt idx="2165">
                  <c:v>1.6544465432494323E-6</c:v>
                </c:pt>
                <c:pt idx="2166">
                  <c:v>1.4216649234475464E-6</c:v>
                </c:pt>
                <c:pt idx="2167">
                  <c:v>4.2862180890859285E-6</c:v>
                </c:pt>
                <c:pt idx="2168">
                  <c:v>4.6136895674620788E-6</c:v>
                </c:pt>
                <c:pt idx="2169">
                  <c:v>4.100826337597718E-6</c:v>
                </c:pt>
                <c:pt idx="2170">
                  <c:v>4.0810697879857189E-6</c:v>
                </c:pt>
                <c:pt idx="2171">
                  <c:v>3.0883303615813429E-6</c:v>
                </c:pt>
                <c:pt idx="2172">
                  <c:v>2.1182846859402387E-6</c:v>
                </c:pt>
                <c:pt idx="2173">
                  <c:v>2.8408367691643649E-6</c:v>
                </c:pt>
                <c:pt idx="2174">
                  <c:v>4.8240360824785255E-6</c:v>
                </c:pt>
                <c:pt idx="2175">
                  <c:v>4.9515415074149655E-6</c:v>
                </c:pt>
                <c:pt idx="2176">
                  <c:v>4.1127171560791794E-6</c:v>
                </c:pt>
                <c:pt idx="2177">
                  <c:v>5.5887838113688994E-6</c:v>
                </c:pt>
                <c:pt idx="2178">
                  <c:v>4.5681906506323104E-6</c:v>
                </c:pt>
                <c:pt idx="2179">
                  <c:v>4.9745876772391139E-6</c:v>
                </c:pt>
                <c:pt idx="2180">
                  <c:v>3.608010139046777E-6</c:v>
                </c:pt>
                <c:pt idx="2181">
                  <c:v>3.1040753532258947E-6</c:v>
                </c:pt>
                <c:pt idx="2182">
                  <c:v>3.9911744230446175E-6</c:v>
                </c:pt>
                <c:pt idx="2183">
                  <c:v>4.2535021520225042E-6</c:v>
                </c:pt>
                <c:pt idx="2184">
                  <c:v>4.8624654720496079E-6</c:v>
                </c:pt>
                <c:pt idx="2185">
                  <c:v>4.7657270517250906E-6</c:v>
                </c:pt>
                <c:pt idx="2186">
                  <c:v>5.5989079729384087E-6</c:v>
                </c:pt>
                <c:pt idx="2187">
                  <c:v>3.9853676012266572E-6</c:v>
                </c:pt>
                <c:pt idx="2188">
                  <c:v>3.3015415223767926E-6</c:v>
                </c:pt>
                <c:pt idx="2189">
                  <c:v>3.9776357761148001E-6</c:v>
                </c:pt>
                <c:pt idx="2190">
                  <c:v>3.5600856265176995E-6</c:v>
                </c:pt>
                <c:pt idx="2191">
                  <c:v>3.9028831203701721E-6</c:v>
                </c:pt>
                <c:pt idx="2192">
                  <c:v>3.4519983860850425E-6</c:v>
                </c:pt>
                <c:pt idx="2193">
                  <c:v>4.4275157515020411E-6</c:v>
                </c:pt>
                <c:pt idx="2194">
                  <c:v>3.8461571434788123E-6</c:v>
                </c:pt>
                <c:pt idx="2195">
                  <c:v>5.68041530538505E-6</c:v>
                </c:pt>
                <c:pt idx="2196">
                  <c:v>5.8540504858869911E-6</c:v>
                </c:pt>
                <c:pt idx="2197">
                  <c:v>7.7637492508409322E-6</c:v>
                </c:pt>
                <c:pt idx="2198">
                  <c:v>8.5477216951606516E-6</c:v>
                </c:pt>
                <c:pt idx="2199">
                  <c:v>8.6914239076362479E-6</c:v>
                </c:pt>
                <c:pt idx="2200">
                  <c:v>8.3713871582174573E-6</c:v>
                </c:pt>
                <c:pt idx="2201">
                  <c:v>7.1008609875714339E-6</c:v>
                </c:pt>
                <c:pt idx="2202">
                  <c:v>6.9233333704911182E-6</c:v>
                </c:pt>
                <c:pt idx="2203">
                  <c:v>6.0667172626956284E-6</c:v>
                </c:pt>
                <c:pt idx="2204">
                  <c:v>6.0103251610472085E-6</c:v>
                </c:pt>
                <c:pt idx="2205">
                  <c:v>5.6676194258802699E-6</c:v>
                </c:pt>
                <c:pt idx="2206">
                  <c:v>5.4758657623470832E-6</c:v>
                </c:pt>
                <c:pt idx="2207">
                  <c:v>7.0675058011386939E-6</c:v>
                </c:pt>
                <c:pt idx="2208">
                  <c:v>6.8906084402707887E-6</c:v>
                </c:pt>
                <c:pt idx="2209">
                  <c:v>5.0023546446605137E-6</c:v>
                </c:pt>
                <c:pt idx="2210">
                  <c:v>4.8988550252667167E-6</c:v>
                </c:pt>
                <c:pt idx="2211">
                  <c:v>6.6647959887164988E-6</c:v>
                </c:pt>
                <c:pt idx="2212">
                  <c:v>5.644643242470853E-6</c:v>
                </c:pt>
                <c:pt idx="2213">
                  <c:v>6.6301159443938937E-6</c:v>
                </c:pt>
                <c:pt idx="2214">
                  <c:v>5.9040296681687122E-6</c:v>
                </c:pt>
                <c:pt idx="2215">
                  <c:v>5.8750543487045974E-6</c:v>
                </c:pt>
                <c:pt idx="2216">
                  <c:v>6.2631540970153604E-6</c:v>
                </c:pt>
                <c:pt idx="2217">
                  <c:v>4.9607498462974716E-6</c:v>
                </c:pt>
                <c:pt idx="2218">
                  <c:v>6.1235154883532739E-6</c:v>
                </c:pt>
                <c:pt idx="2219">
                  <c:v>5.9782828595827957E-6</c:v>
                </c:pt>
                <c:pt idx="2220">
                  <c:v>6.2603928406031286E-6</c:v>
                </c:pt>
                <c:pt idx="2221">
                  <c:v>5.8697979323404901E-6</c:v>
                </c:pt>
                <c:pt idx="2222">
                  <c:v>7.9901638268519492E-6</c:v>
                </c:pt>
                <c:pt idx="2223">
                  <c:v>7.9669751813161048E-6</c:v>
                </c:pt>
                <c:pt idx="2224">
                  <c:v>7.2293051703387771E-6</c:v>
                </c:pt>
                <c:pt idx="2225">
                  <c:v>6.7462511360294724E-6</c:v>
                </c:pt>
                <c:pt idx="2226">
                  <c:v>5.7344029421816348E-6</c:v>
                </c:pt>
                <c:pt idx="2227">
                  <c:v>6.1670638517571001E-6</c:v>
                </c:pt>
                <c:pt idx="2228">
                  <c:v>4.3356696431780446E-6</c:v>
                </c:pt>
                <c:pt idx="2229">
                  <c:v>4.2392520253669882E-6</c:v>
                </c:pt>
                <c:pt idx="2230">
                  <c:v>8.1673477016392971E-6</c:v>
                </c:pt>
                <c:pt idx="2231">
                  <c:v>7.4252223974416103E-6</c:v>
                </c:pt>
                <c:pt idx="2232">
                  <c:v>8.603594096578243E-6</c:v>
                </c:pt>
                <c:pt idx="2233">
                  <c:v>7.6700186725523021E-6</c:v>
                </c:pt>
                <c:pt idx="2234">
                  <c:v>6.687992372763336E-6</c:v>
                </c:pt>
                <c:pt idx="2235">
                  <c:v>7.0011490009843985E-6</c:v>
                </c:pt>
                <c:pt idx="2236">
                  <c:v>6.7960725913842068E-6</c:v>
                </c:pt>
                <c:pt idx="2237">
                  <c:v>7.5898918859554947E-6</c:v>
                </c:pt>
                <c:pt idx="2238">
                  <c:v>8.858295953276765E-6</c:v>
                </c:pt>
                <c:pt idx="2239">
                  <c:v>7.6154645460751607E-6</c:v>
                </c:pt>
                <c:pt idx="2240">
                  <c:v>1.0146175422540173E-5</c:v>
                </c:pt>
                <c:pt idx="2241">
                  <c:v>1.3695835060649828E-5</c:v>
                </c:pt>
                <c:pt idx="2242">
                  <c:v>1.2700790433813319E-5</c:v>
                </c:pt>
                <c:pt idx="2243">
                  <c:v>1.2958959480059311E-5</c:v>
                </c:pt>
                <c:pt idx="2244">
                  <c:v>1.5734089076950215E-5</c:v>
                </c:pt>
                <c:pt idx="2245">
                  <c:v>1.7542970271140582E-5</c:v>
                </c:pt>
                <c:pt idx="2246">
                  <c:v>1.2650473987415766E-5</c:v>
                </c:pt>
                <c:pt idx="2247">
                  <c:v>1.1597977258855241E-5</c:v>
                </c:pt>
                <c:pt idx="2248">
                  <c:v>1.0777302060714825E-5</c:v>
                </c:pt>
                <c:pt idx="2249">
                  <c:v>9.9274212430202899E-6</c:v>
                </c:pt>
                <c:pt idx="2250">
                  <c:v>8.6738062574696281E-6</c:v>
                </c:pt>
                <c:pt idx="2251">
                  <c:v>8.1102042588022434E-6</c:v>
                </c:pt>
                <c:pt idx="2252">
                  <c:v>1.0024667333850091E-5</c:v>
                </c:pt>
                <c:pt idx="2253">
                  <c:v>9.8231407320782523E-6</c:v>
                </c:pt>
                <c:pt idx="2254">
                  <c:v>1.0005164986224283E-5</c:v>
                </c:pt>
                <c:pt idx="2255">
                  <c:v>1.0876104456868767E-5</c:v>
                </c:pt>
                <c:pt idx="2256">
                  <c:v>9.346693619432781E-6</c:v>
                </c:pt>
                <c:pt idx="2257">
                  <c:v>9.2504606711244935E-6</c:v>
                </c:pt>
                <c:pt idx="2258">
                  <c:v>6.6967067839877331E-6</c:v>
                </c:pt>
                <c:pt idx="2259">
                  <c:v>7.3594815082003629E-6</c:v>
                </c:pt>
                <c:pt idx="2260">
                  <c:v>7.34389316109608E-6</c:v>
                </c:pt>
                <c:pt idx="2261">
                  <c:v>7.5262393321048008E-6</c:v>
                </c:pt>
                <c:pt idx="2262">
                  <c:v>7.6603704814160748E-6</c:v>
                </c:pt>
                <c:pt idx="2263">
                  <c:v>7.7054724364777458E-6</c:v>
                </c:pt>
                <c:pt idx="2264">
                  <c:v>6.8817037548571791E-6</c:v>
                </c:pt>
                <c:pt idx="2265">
                  <c:v>4.1425655538173333E-6</c:v>
                </c:pt>
                <c:pt idx="2266">
                  <c:v>4.2575806630055688E-6</c:v>
                </c:pt>
                <c:pt idx="2267">
                  <c:v>4.637665734027095E-6</c:v>
                </c:pt>
                <c:pt idx="2268">
                  <c:v>5.1501400962122417E-6</c:v>
                </c:pt>
                <c:pt idx="2269">
                  <c:v>8.4678672434485181E-6</c:v>
                </c:pt>
                <c:pt idx="2270">
                  <c:v>9.6017418784821951E-6</c:v>
                </c:pt>
                <c:pt idx="2271">
                  <c:v>1.0063751774983611E-5</c:v>
                </c:pt>
                <c:pt idx="2272">
                  <c:v>8.7515174902795604E-6</c:v>
                </c:pt>
                <c:pt idx="2273">
                  <c:v>1.0024667333850091E-5</c:v>
                </c:pt>
                <c:pt idx="2274">
                  <c:v>1.0240948968453148E-5</c:v>
                </c:pt>
                <c:pt idx="2275">
                  <c:v>1.0719952496090305E-5</c:v>
                </c:pt>
                <c:pt idx="2276">
                  <c:v>1.0585602103493568E-5</c:v>
                </c:pt>
                <c:pt idx="2277">
                  <c:v>8.91203578004497E-6</c:v>
                </c:pt>
                <c:pt idx="2278">
                  <c:v>8.5233605093762031E-6</c:v>
                </c:pt>
                <c:pt idx="2279">
                  <c:v>9.1952642563439943E-6</c:v>
                </c:pt>
                <c:pt idx="2280">
                  <c:v>8.8940965031187742E-6</c:v>
                </c:pt>
                <c:pt idx="2281">
                  <c:v>8.91203578004497E-6</c:v>
                </c:pt>
                <c:pt idx="2282">
                  <c:v>9.9274212430202899E-6</c:v>
                </c:pt>
                <c:pt idx="2283">
                  <c:v>9.1220356267259838E-6</c:v>
                </c:pt>
                <c:pt idx="2284">
                  <c:v>8.4057519365923219E-6</c:v>
                </c:pt>
                <c:pt idx="2285">
                  <c:v>8.4644076587595618E-6</c:v>
                </c:pt>
                <c:pt idx="2286">
                  <c:v>1.0715864135653431E-5</c:v>
                </c:pt>
                <c:pt idx="2287">
                  <c:v>1.0524919092806239E-5</c:v>
                </c:pt>
                <c:pt idx="2288">
                  <c:v>1.5052532771596835E-5</c:v>
                </c:pt>
                <c:pt idx="2289">
                  <c:v>1.3376173530851716E-5</c:v>
                </c:pt>
                <c:pt idx="2290">
                  <c:v>1.0541077692880081E-5</c:v>
                </c:pt>
                <c:pt idx="2291">
                  <c:v>1.0193485473716741E-5</c:v>
                </c:pt>
                <c:pt idx="2292">
                  <c:v>9.95458322169437E-6</c:v>
                </c:pt>
                <c:pt idx="2293">
                  <c:v>1.0154049779187025E-5</c:v>
                </c:pt>
                <c:pt idx="2294">
                  <c:v>1.214556171493441E-5</c:v>
                </c:pt>
                <c:pt idx="2295">
                  <c:v>1.2061245217049474E-5</c:v>
                </c:pt>
                <c:pt idx="2296">
                  <c:v>1.4216228361639554E-5</c:v>
                </c:pt>
                <c:pt idx="2297">
                  <c:v>1.5588017334414469E-5</c:v>
                </c:pt>
                <c:pt idx="2298">
                  <c:v>1.638521701199937E-5</c:v>
                </c:pt>
                <c:pt idx="2299">
                  <c:v>1.5021981084262566E-5</c:v>
                </c:pt>
                <c:pt idx="2300">
                  <c:v>1.2954319836842503E-5</c:v>
                </c:pt>
                <c:pt idx="2301">
                  <c:v>1.3691028858007499E-5</c:v>
                </c:pt>
                <c:pt idx="2302">
                  <c:v>1.4839457881321402E-5</c:v>
                </c:pt>
                <c:pt idx="2303">
                  <c:v>1.5697495855133906E-5</c:v>
                </c:pt>
                <c:pt idx="2304">
                  <c:v>1.9808339039016304E-5</c:v>
                </c:pt>
                <c:pt idx="2305">
                  <c:v>2.0852791419015605E-5</c:v>
                </c:pt>
                <c:pt idx="2306">
                  <c:v>2.2121286275254147E-5</c:v>
                </c:pt>
                <c:pt idx="2307">
                  <c:v>2.3696791813960609E-5</c:v>
                </c:pt>
                <c:pt idx="2308">
                  <c:v>2.3607072448120046E-5</c:v>
                </c:pt>
                <c:pt idx="2309">
                  <c:v>2.5668153356654004E-5</c:v>
                </c:pt>
                <c:pt idx="2310">
                  <c:v>2.6889551330176607E-5</c:v>
                </c:pt>
                <c:pt idx="2311">
                  <c:v>2.2995407666950008E-5</c:v>
                </c:pt>
                <c:pt idx="2312">
                  <c:v>2.3084215184750303E-5</c:v>
                </c:pt>
                <c:pt idx="2313">
                  <c:v>2.2071409656637174E-5</c:v>
                </c:pt>
                <c:pt idx="2314">
                  <c:v>2.4548886602133042E-5</c:v>
                </c:pt>
                <c:pt idx="2315">
                  <c:v>2.2146242630799642E-5</c:v>
                </c:pt>
                <c:pt idx="2316">
                  <c:v>2.0749626299364124E-5</c:v>
                </c:pt>
                <c:pt idx="2317">
                  <c:v>2.1402873098268433E-5</c:v>
                </c:pt>
                <c:pt idx="2318">
                  <c:v>2.1866180874635243E-5</c:v>
                </c:pt>
                <c:pt idx="2319">
                  <c:v>2.0725386781639491E-5</c:v>
                </c:pt>
                <c:pt idx="2320">
                  <c:v>2.0610430124931038E-5</c:v>
                </c:pt>
                <c:pt idx="2321">
                  <c:v>2.1828955791185369E-5</c:v>
                </c:pt>
                <c:pt idx="2322">
                  <c:v>2.1298470457506843E-5</c:v>
                </c:pt>
                <c:pt idx="2323">
                  <c:v>2.0471674562511719E-5</c:v>
                </c:pt>
                <c:pt idx="2324">
                  <c:v>2.1139241917339126E-5</c:v>
                </c:pt>
                <c:pt idx="2325">
                  <c:v>2.43996344692269E-5</c:v>
                </c:pt>
                <c:pt idx="2326">
                  <c:v>2.7304581645987422E-5</c:v>
                </c:pt>
                <c:pt idx="2327">
                  <c:v>2.6356517917157115E-5</c:v>
                </c:pt>
                <c:pt idx="2328">
                  <c:v>2.1847564881730024E-5</c:v>
                </c:pt>
                <c:pt idx="2329">
                  <c:v>1.9595491945764061E-5</c:v>
                </c:pt>
                <c:pt idx="2330">
                  <c:v>2.0381420948044407E-5</c:v>
                </c:pt>
                <c:pt idx="2331">
                  <c:v>1.8337140307762883E-5</c:v>
                </c:pt>
                <c:pt idx="2332">
                  <c:v>2.0004442079062715E-5</c:v>
                </c:pt>
                <c:pt idx="2333">
                  <c:v>2.1011031502883509E-5</c:v>
                </c:pt>
                <c:pt idx="2334">
                  <c:v>1.9208250148519692E-5</c:v>
                </c:pt>
                <c:pt idx="2335">
                  <c:v>2.0682999479749079E-5</c:v>
                </c:pt>
                <c:pt idx="2336">
                  <c:v>1.8143911874006577E-5</c:v>
                </c:pt>
                <c:pt idx="2337">
                  <c:v>1.6246303882784089E-5</c:v>
                </c:pt>
                <c:pt idx="2338">
                  <c:v>1.624097466894333E-5</c:v>
                </c:pt>
                <c:pt idx="2339">
                  <c:v>1.5886222902678954E-5</c:v>
                </c:pt>
                <c:pt idx="2340">
                  <c:v>1.3830840192881649E-5</c:v>
                </c:pt>
                <c:pt idx="2341">
                  <c:v>1.4864727552649517E-5</c:v>
                </c:pt>
                <c:pt idx="2342">
                  <c:v>1.5473811090007362E-5</c:v>
                </c:pt>
                <c:pt idx="2343">
                  <c:v>1.6363801492143219E-5</c:v>
                </c:pt>
                <c:pt idx="2344">
                  <c:v>1.5231495736474095E-5</c:v>
                </c:pt>
                <c:pt idx="2345">
                  <c:v>1.6487160047303559E-5</c:v>
                </c:pt>
                <c:pt idx="2346">
                  <c:v>1.7531842274613474E-5</c:v>
                </c:pt>
                <c:pt idx="2347">
                  <c:v>1.6980405768992374E-5</c:v>
                </c:pt>
                <c:pt idx="2348">
                  <c:v>1.3874411498123007E-5</c:v>
                </c:pt>
                <c:pt idx="2349">
                  <c:v>1.5427233865591074E-5</c:v>
                </c:pt>
                <c:pt idx="2350">
                  <c:v>1.2432432015595153E-5</c:v>
                </c:pt>
                <c:pt idx="2351">
                  <c:v>1.0436352611318114E-5</c:v>
                </c:pt>
                <c:pt idx="2352">
                  <c:v>1.012650816632679E-5</c:v>
                </c:pt>
                <c:pt idx="2353">
                  <c:v>1.1046321515421087E-5</c:v>
                </c:pt>
                <c:pt idx="2354">
                  <c:v>1.0913314632220844E-5</c:v>
                </c:pt>
                <c:pt idx="2355">
                  <c:v>1.1667129641731456E-5</c:v>
                </c:pt>
                <c:pt idx="2356">
                  <c:v>1.0312432114566958E-5</c:v>
                </c:pt>
                <c:pt idx="2357">
                  <c:v>9.1220356267259838E-6</c:v>
                </c:pt>
                <c:pt idx="2358">
                  <c:v>8.2044797030032803E-6</c:v>
                </c:pt>
                <c:pt idx="2359">
                  <c:v>6.8314079115762932E-6</c:v>
                </c:pt>
                <c:pt idx="2360">
                  <c:v>7.4503813751090044E-6</c:v>
                </c:pt>
                <c:pt idx="2361">
                  <c:v>7.6026702335822293E-6</c:v>
                </c:pt>
                <c:pt idx="2362">
                  <c:v>7.3345519979632656E-6</c:v>
                </c:pt>
                <c:pt idx="2363">
                  <c:v>6.9173746798420238E-6</c:v>
                </c:pt>
                <c:pt idx="2364">
                  <c:v>6.1889269778561403E-6</c:v>
                </c:pt>
                <c:pt idx="2365">
                  <c:v>6.6561131002960543E-6</c:v>
                </c:pt>
                <c:pt idx="2366">
                  <c:v>6.1779879941497565E-6</c:v>
                </c:pt>
                <c:pt idx="2367">
                  <c:v>6.2108495104911336E-6</c:v>
                </c:pt>
                <c:pt idx="2368">
                  <c:v>6.0263958373380996E-6</c:v>
                </c:pt>
                <c:pt idx="2369">
                  <c:v>8.2180128369459904E-6</c:v>
                </c:pt>
                <c:pt idx="2370">
                  <c:v>6.7054298018276827E-6</c:v>
                </c:pt>
                <c:pt idx="2371">
                  <c:v>6.8343587784569136E-6</c:v>
                </c:pt>
                <c:pt idx="2372">
                  <c:v>6.5583062241176403E-6</c:v>
                </c:pt>
                <c:pt idx="2373">
                  <c:v>6.4757498532343257E-6</c:v>
                </c:pt>
                <c:pt idx="2374">
                  <c:v>6.8196140739328615E-6</c:v>
                </c:pt>
                <c:pt idx="2375">
                  <c:v>7.2786913583062326E-6</c:v>
                </c:pt>
                <c:pt idx="2376">
                  <c:v>8.2825182830151088E-6</c:v>
                </c:pt>
                <c:pt idx="2377">
                  <c:v>8.3166167207349779E-6</c:v>
                </c:pt>
                <c:pt idx="2378">
                  <c:v>8.6176034708512278E-6</c:v>
                </c:pt>
                <c:pt idx="2379">
                  <c:v>1.5796936879024588E-5</c:v>
                </c:pt>
                <c:pt idx="2380">
                  <c:v>1.6390573403702718E-5</c:v>
                </c:pt>
                <c:pt idx="2381">
                  <c:v>1.6182419929523173E-5</c:v>
                </c:pt>
                <c:pt idx="2382">
                  <c:v>1.6182419929523173E-5</c:v>
                </c:pt>
                <c:pt idx="2383">
                  <c:v>1.4478474020873408E-5</c:v>
                </c:pt>
                <c:pt idx="2384">
                  <c:v>1.5159758111226866E-5</c:v>
                </c:pt>
                <c:pt idx="2385">
                  <c:v>1.4976223747558884E-5</c:v>
                </c:pt>
                <c:pt idx="2386">
                  <c:v>1.5629670127443519E-5</c:v>
                </c:pt>
                <c:pt idx="2387">
                  <c:v>1.8342839924705194E-5</c:v>
                </c:pt>
                <c:pt idx="2388">
                  <c:v>1.7476260333677027E-5</c:v>
                </c:pt>
                <c:pt idx="2389">
                  <c:v>1.5504908897861334E-5</c:v>
                </c:pt>
                <c:pt idx="2390">
                  <c:v>1.5027070433288984E-5</c:v>
                </c:pt>
                <c:pt idx="2391">
                  <c:v>1.4503366748514484E-5</c:v>
                </c:pt>
                <c:pt idx="2392">
                  <c:v>1.2732877610735275E-5</c:v>
                </c:pt>
                <c:pt idx="2393">
                  <c:v>1.3215788613063667E-5</c:v>
                </c:pt>
                <c:pt idx="2394">
                  <c:v>1.2931137692553286E-5</c:v>
                </c:pt>
                <c:pt idx="2395">
                  <c:v>1.3089304316733406E-5</c:v>
                </c:pt>
                <c:pt idx="2396">
                  <c:v>1.4398993879499949E-5</c:v>
                </c:pt>
                <c:pt idx="2397">
                  <c:v>1.2369302790546315E-5</c:v>
                </c:pt>
                <c:pt idx="2398">
                  <c:v>1.1546293749378718E-5</c:v>
                </c:pt>
                <c:pt idx="2399">
                  <c:v>1.1499053307118622E-5</c:v>
                </c:pt>
                <c:pt idx="2400">
                  <c:v>1.145194304174165E-5</c:v>
                </c:pt>
                <c:pt idx="2401">
                  <c:v>1.2275004058276036E-5</c:v>
                </c:pt>
                <c:pt idx="2402">
                  <c:v>1.155920010081599E-5</c:v>
                </c:pt>
                <c:pt idx="2403">
                  <c:v>1.3452075810298219E-5</c:v>
                </c:pt>
                <c:pt idx="2404">
                  <c:v>1.3710260048100406E-5</c:v>
                </c:pt>
                <c:pt idx="2405">
                  <c:v>1.3695835060649828E-5</c:v>
                </c:pt>
                <c:pt idx="2406">
                  <c:v>1.3638230824883496E-5</c:v>
                </c:pt>
                <c:pt idx="2407">
                  <c:v>1.3623853703036909E-5</c:v>
                </c:pt>
                <c:pt idx="2408">
                  <c:v>1.3986150636728507E-5</c:v>
                </c:pt>
                <c:pt idx="2409">
                  <c:v>1.1029635534745013E-5</c:v>
                </c:pt>
                <c:pt idx="2410">
                  <c:v>1.1328367120559137E-5</c:v>
                </c:pt>
                <c:pt idx="2411">
                  <c:v>1.2586622761547422E-5</c:v>
                </c:pt>
                <c:pt idx="2412">
                  <c:v>1.2477653298270769E-5</c:v>
                </c:pt>
                <c:pt idx="2413">
                  <c:v>1.1046321515421087E-5</c:v>
                </c:pt>
                <c:pt idx="2414">
                  <c:v>1.3585561542852116E-5</c:v>
                </c:pt>
                <c:pt idx="2415">
                  <c:v>1.7504039206313313E-5</c:v>
                </c:pt>
                <c:pt idx="2416">
                  <c:v>2.0285359863348857E-5</c:v>
                </c:pt>
                <c:pt idx="2417">
                  <c:v>2.2183699657740833E-5</c:v>
                </c:pt>
                <c:pt idx="2418">
                  <c:v>1.9719514649746019E-5</c:v>
                </c:pt>
                <c:pt idx="2419">
                  <c:v>1.927252037565709E-5</c:v>
                </c:pt>
                <c:pt idx="2420">
                  <c:v>1.6310333076725981E-5</c:v>
                </c:pt>
                <c:pt idx="2421">
                  <c:v>1.5006719276458979E-5</c:v>
                </c:pt>
                <c:pt idx="2422">
                  <c:v>1.4693408736525787E-5</c:v>
                </c:pt>
                <c:pt idx="2423">
                  <c:v>1.5303436239393037E-5</c:v>
                </c:pt>
                <c:pt idx="2424">
                  <c:v>1.5447924555145398E-5</c:v>
                </c:pt>
                <c:pt idx="2425">
                  <c:v>1.5760257777028996E-5</c:v>
                </c:pt>
                <c:pt idx="2426">
                  <c:v>1.3466337886216064E-5</c:v>
                </c:pt>
                <c:pt idx="2427">
                  <c:v>1.2861752017402027E-5</c:v>
                </c:pt>
                <c:pt idx="2428">
                  <c:v>1.4768841654349654E-5</c:v>
                </c:pt>
                <c:pt idx="2429">
                  <c:v>1.4981303734352295E-5</c:v>
                </c:pt>
                <c:pt idx="2430">
                  <c:v>1.3801840416890282E-5</c:v>
                </c:pt>
                <c:pt idx="2431">
                  <c:v>1.2279483720927424E-5</c:v>
                </c:pt>
                <c:pt idx="2432">
                  <c:v>1.2554776082962147E-5</c:v>
                </c:pt>
                <c:pt idx="2433">
                  <c:v>1.2486710450507606E-5</c:v>
                </c:pt>
                <c:pt idx="2434">
                  <c:v>1.1503342513356417E-5</c:v>
                </c:pt>
                <c:pt idx="2435">
                  <c:v>1.1684460782517358E-5</c:v>
                </c:pt>
                <c:pt idx="2436">
                  <c:v>1.3452075810298219E-5</c:v>
                </c:pt>
                <c:pt idx="2437">
                  <c:v>1.504234471808548E-5</c:v>
                </c:pt>
                <c:pt idx="2438">
                  <c:v>1.481421430232123E-5</c:v>
                </c:pt>
                <c:pt idx="2439">
                  <c:v>1.4181813505012452E-5</c:v>
                </c:pt>
                <c:pt idx="2440">
                  <c:v>1.4250694933487422E-5</c:v>
                </c:pt>
                <c:pt idx="2441">
                  <c:v>1.4364306000344604E-5</c:v>
                </c:pt>
                <c:pt idx="2442">
                  <c:v>1.3952083720985161E-5</c:v>
                </c:pt>
                <c:pt idx="2443">
                  <c:v>1.9208250148519692E-5</c:v>
                </c:pt>
                <c:pt idx="2444">
                  <c:v>1.8285885913226549E-5</c:v>
                </c:pt>
                <c:pt idx="2445">
                  <c:v>1.8081629978193267E-5</c:v>
                </c:pt>
                <c:pt idx="2446">
                  <c:v>1.6246303882784089E-5</c:v>
                </c:pt>
                <c:pt idx="2447">
                  <c:v>1.6358450124713732E-5</c:v>
                </c:pt>
                <c:pt idx="2448">
                  <c:v>1.8969659100019938E-5</c:v>
                </c:pt>
                <c:pt idx="2449">
                  <c:v>1.9342757078202903E-5</c:v>
                </c:pt>
                <c:pt idx="2450">
                  <c:v>1.8359944390666636E-5</c:v>
                </c:pt>
                <c:pt idx="2451">
                  <c:v>2.0901421856085616E-5</c:v>
                </c:pt>
                <c:pt idx="2452">
                  <c:v>2.0489747995480868E-5</c:v>
                </c:pt>
                <c:pt idx="2453">
                  <c:v>1.981426765232192E-5</c:v>
                </c:pt>
              </c:numCache>
            </c:numRef>
          </c:yVal>
          <c:smooth val="1"/>
          <c:extLst>
            <c:ext xmlns:c16="http://schemas.microsoft.com/office/drawing/2014/chart" uri="{C3380CC4-5D6E-409C-BE32-E72D297353CC}">
              <c16:uniqueId val="{00000000-A679-401E-B272-6BDC802FB2BC}"/>
            </c:ext>
          </c:extLst>
        </c:ser>
        <c:dLbls>
          <c:showLegendKey val="0"/>
          <c:showVal val="0"/>
          <c:showCatName val="0"/>
          <c:showSerName val="0"/>
          <c:showPercent val="0"/>
          <c:showBubbleSize val="0"/>
        </c:dLbls>
        <c:axId val="735838719"/>
        <c:axId val="735828735"/>
      </c:scatterChart>
      <c:valAx>
        <c:axId val="735838719"/>
        <c:scaling>
          <c:orientation val="minMax"/>
        </c:scaling>
        <c:delete val="0"/>
        <c:axPos val="b"/>
        <c:numFmt formatCode="#,##0_);[Red]\(#,##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35828735"/>
        <c:crosses val="autoZero"/>
        <c:crossBetween val="midCat"/>
      </c:valAx>
      <c:valAx>
        <c:axId val="735828735"/>
        <c:scaling>
          <c:orientation val="minMax"/>
        </c:scaling>
        <c:delete val="0"/>
        <c:axPos val="l"/>
        <c:numFmt formatCode="#,##0.0000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ko-KR"/>
          </a:p>
        </c:txPr>
        <c:crossAx val="73583871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표준편차!$T$4:$T$2469</c:f>
              <c:numCache>
                <c:formatCode>#,##0.00_ </c:formatCode>
                <c:ptCount val="2466"/>
                <c:pt idx="0">
                  <c:v>925.29848624511339</c:v>
                </c:pt>
                <c:pt idx="1">
                  <c:v>938.15878487256441</c:v>
                </c:pt>
                <c:pt idx="2">
                  <c:v>929.7995907647213</c:v>
                </c:pt>
                <c:pt idx="3">
                  <c:v>945.23194911766257</c:v>
                </c:pt>
                <c:pt idx="4">
                  <c:v>927.54903850491735</c:v>
                </c:pt>
                <c:pt idx="5">
                  <c:v>954.55566562256479</c:v>
                </c:pt>
                <c:pt idx="6">
                  <c:v>958.4137552108001</c:v>
                </c:pt>
                <c:pt idx="7">
                  <c:v>983.16983006864359</c:v>
                </c:pt>
                <c:pt idx="8">
                  <c:v>952.94812829413331</c:v>
                </c:pt>
                <c:pt idx="9">
                  <c:v>961.30732240197653</c:v>
                </c:pt>
                <c:pt idx="10">
                  <c:v>977.70420315197691</c:v>
                </c:pt>
                <c:pt idx="11">
                  <c:v>969.34500904413358</c:v>
                </c:pt>
                <c:pt idx="12">
                  <c:v>989.92148684805545</c:v>
                </c:pt>
                <c:pt idx="13">
                  <c:v>976.09666582354544</c:v>
                </c:pt>
                <c:pt idx="14">
                  <c:v>1043.2917261519781</c:v>
                </c:pt>
                <c:pt idx="15">
                  <c:v>1027.2163528676638</c:v>
                </c:pt>
                <c:pt idx="16">
                  <c:v>1018.2141438284482</c:v>
                </c:pt>
                <c:pt idx="17">
                  <c:v>1072.2273980637431</c:v>
                </c:pt>
                <c:pt idx="18">
                  <c:v>1076.4069951176648</c:v>
                </c:pt>
                <c:pt idx="19">
                  <c:v>1066.7617711470764</c:v>
                </c:pt>
                <c:pt idx="20">
                  <c:v>1080.2650847059003</c:v>
                </c:pt>
                <c:pt idx="21">
                  <c:v>1086.6952340196256</c:v>
                </c:pt>
                <c:pt idx="22">
                  <c:v>1082.5156369657041</c:v>
                </c:pt>
                <c:pt idx="23">
                  <c:v>1090.8748310735475</c:v>
                </c:pt>
                <c:pt idx="24">
                  <c:v>1077.69302498041</c:v>
                </c:pt>
                <c:pt idx="25">
                  <c:v>1069.9768458039391</c:v>
                </c:pt>
                <c:pt idx="26">
                  <c:v>1105.0211595637436</c:v>
                </c:pt>
                <c:pt idx="27">
                  <c:v>1086.6952340196256</c:v>
                </c:pt>
                <c:pt idx="28">
                  <c:v>1078.6575473774687</c:v>
                </c:pt>
                <c:pt idx="29">
                  <c:v>1087.981263882371</c:v>
                </c:pt>
                <c:pt idx="30">
                  <c:v>1077.3715175147236</c:v>
                </c:pt>
                <c:pt idx="31">
                  <c:v>1083.1586518970767</c:v>
                </c:pt>
                <c:pt idx="32">
                  <c:v>1066.7617711470764</c:v>
                </c:pt>
                <c:pt idx="33">
                  <c:v>1076.4069951176648</c:v>
                </c:pt>
                <c:pt idx="34">
                  <c:v>1078.9790548431549</c:v>
                </c:pt>
                <c:pt idx="35">
                  <c:v>1081.8726220343315</c:v>
                </c:pt>
                <c:pt idx="36">
                  <c:v>1095.6974430588416</c:v>
                </c:pt>
                <c:pt idx="37">
                  <c:v>1110.8082939460967</c:v>
                </c:pt>
                <c:pt idx="38">
                  <c:v>1143.6020554460972</c:v>
                </c:pt>
                <c:pt idx="39">
                  <c:v>1128.1696970931562</c:v>
                </c:pt>
                <c:pt idx="40">
                  <c:v>1144.5665778431562</c:v>
                </c:pt>
                <c:pt idx="41">
                  <c:v>1196.9722947500197</c:v>
                </c:pt>
                <c:pt idx="42">
                  <c:v>1111.1298014117831</c:v>
                </c:pt>
                <c:pt idx="43">
                  <c:v>1132.0277866813913</c:v>
                </c:pt>
                <c:pt idx="44">
                  <c:v>1098.9125177157043</c:v>
                </c:pt>
                <c:pt idx="45">
                  <c:v>1068.0478010098216</c:v>
                </c:pt>
                <c:pt idx="46">
                  <c:v>1066.4402636813902</c:v>
                </c:pt>
                <c:pt idx="47">
                  <c:v>1096.018950524528</c:v>
                </c:pt>
                <c:pt idx="48">
                  <c:v>1088.9457862794295</c:v>
                </c:pt>
                <c:pt idx="49">
                  <c:v>1085.730711622567</c:v>
                </c:pt>
                <c:pt idx="50">
                  <c:v>1079.6220697745275</c:v>
                </c:pt>
                <c:pt idx="51">
                  <c:v>1055.830517313743</c:v>
                </c:pt>
                <c:pt idx="52">
                  <c:v>1040.3981589608015</c:v>
                </c:pt>
                <c:pt idx="53">
                  <c:v>1037.504591769625</c:v>
                </c:pt>
                <c:pt idx="54">
                  <c:v>1042.9702186862917</c:v>
                </c:pt>
                <c:pt idx="55">
                  <c:v>1035.8970544411936</c:v>
                </c:pt>
                <c:pt idx="56">
                  <c:v>1027.8593677990364</c:v>
                </c:pt>
                <c:pt idx="57">
                  <c:v>1022.0722334166834</c:v>
                </c:pt>
                <c:pt idx="58">
                  <c:v>1014.0345467745265</c:v>
                </c:pt>
                <c:pt idx="59">
                  <c:v>1036.2185619068798</c:v>
                </c:pt>
                <c:pt idx="60">
                  <c:v>1061.2961442304097</c:v>
                </c:pt>
                <c:pt idx="61">
                  <c:v>1042.6487112206053</c:v>
                </c:pt>
                <c:pt idx="62">
                  <c:v>1022.0722334166834</c:v>
                </c:pt>
                <c:pt idx="63">
                  <c:v>1042.6487112206053</c:v>
                </c:pt>
                <c:pt idx="64">
                  <c:v>1042.3272037549191</c:v>
                </c:pt>
                <c:pt idx="65">
                  <c:v>1060.0101143676645</c:v>
                </c:pt>
                <c:pt idx="66">
                  <c:v>1028.1808752647228</c:v>
                </c:pt>
                <c:pt idx="67">
                  <c:v>1005.3538452009969</c:v>
                </c:pt>
                <c:pt idx="68">
                  <c:v>1014.3560542402128</c:v>
                </c:pt>
                <c:pt idx="69">
                  <c:v>1019.178666225507</c:v>
                </c:pt>
                <c:pt idx="70">
                  <c:v>1011.7839945147225</c:v>
                </c:pt>
                <c:pt idx="71">
                  <c:v>1040.7196664264877</c:v>
                </c:pt>
                <c:pt idx="72">
                  <c:v>1006.9613825294283</c:v>
                </c:pt>
                <c:pt idx="73">
                  <c:v>1017.2496214313893</c:v>
                </c:pt>
                <c:pt idx="74">
                  <c:v>1016.2850990343304</c:v>
                </c:pt>
                <c:pt idx="75">
                  <c:v>1011.7839945147225</c:v>
                </c:pt>
                <c:pt idx="76">
                  <c:v>1022.0722334166834</c:v>
                </c:pt>
                <c:pt idx="77">
                  <c:v>1001.8172630784479</c:v>
                </c:pt>
                <c:pt idx="78">
                  <c:v>992.1720391078594</c:v>
                </c:pt>
                <c:pt idx="79">
                  <c:v>992.815054039232</c:v>
                </c:pt>
                <c:pt idx="80">
                  <c:v>987.02791965687902</c:v>
                </c:pt>
                <c:pt idx="81">
                  <c:v>1001.1742481470753</c:v>
                </c:pt>
                <c:pt idx="82">
                  <c:v>1003.103292941193</c:v>
                </c:pt>
                <c:pt idx="83">
                  <c:v>989.59997938236927</c:v>
                </c:pt>
                <c:pt idx="84">
                  <c:v>981.24078527452593</c:v>
                </c:pt>
                <c:pt idx="85">
                  <c:v>976.09666582354544</c:v>
                </c:pt>
                <c:pt idx="86">
                  <c:v>961.30732240197653</c:v>
                </c:pt>
                <c:pt idx="87">
                  <c:v>951.01908350001565</c:v>
                </c:pt>
                <c:pt idx="88">
                  <c:v>924.97697877942699</c:v>
                </c:pt>
                <c:pt idx="89">
                  <c:v>940.40933713236836</c:v>
                </c:pt>
                <c:pt idx="90">
                  <c:v>918.86833693138772</c:v>
                </c:pt>
                <c:pt idx="91">
                  <c:v>910.83065028923056</c:v>
                </c:pt>
                <c:pt idx="92">
                  <c:v>909.22311296079943</c:v>
                </c:pt>
                <c:pt idx="93">
                  <c:v>876.10784399511249</c:v>
                </c:pt>
                <c:pt idx="94">
                  <c:v>883.50251570589694</c:v>
                </c:pt>
                <c:pt idx="95">
                  <c:v>915.65326227452488</c:v>
                </c:pt>
                <c:pt idx="96">
                  <c:v>912.75969508334845</c:v>
                </c:pt>
                <c:pt idx="97">
                  <c:v>902.47145618138745</c:v>
                </c:pt>
                <c:pt idx="98">
                  <c:v>892.50472474511275</c:v>
                </c:pt>
                <c:pt idx="99">
                  <c:v>902.79296364707363</c:v>
                </c:pt>
                <c:pt idx="100">
                  <c:v>907.93708309805413</c:v>
                </c:pt>
                <c:pt idx="101">
                  <c:v>916.93929213726994</c:v>
                </c:pt>
                <c:pt idx="102">
                  <c:v>908.25859056374043</c:v>
                </c:pt>
                <c:pt idx="103">
                  <c:v>889.9326650196225</c:v>
                </c:pt>
                <c:pt idx="104">
                  <c:v>903.43597857844634</c:v>
                </c:pt>
                <c:pt idx="105">
                  <c:v>880.2874410490341</c:v>
                </c:pt>
                <c:pt idx="106">
                  <c:v>943.9459192549175</c:v>
                </c:pt>
                <c:pt idx="107">
                  <c:v>941.37385952942736</c:v>
                </c:pt>
                <c:pt idx="108">
                  <c:v>905.68653083825029</c:v>
                </c:pt>
                <c:pt idx="109">
                  <c:v>920.47587425981908</c:v>
                </c:pt>
                <c:pt idx="110">
                  <c:v>917.58230706864254</c:v>
                </c:pt>
                <c:pt idx="111">
                  <c:v>928.19205343628983</c:v>
                </c:pt>
                <c:pt idx="112">
                  <c:v>928.51356090197612</c:v>
                </c:pt>
                <c:pt idx="113">
                  <c:v>921.44039665687797</c:v>
                </c:pt>
                <c:pt idx="114">
                  <c:v>914.04572494609351</c:v>
                </c:pt>
                <c:pt idx="115">
                  <c:v>926.26300864217217</c:v>
                </c:pt>
                <c:pt idx="116">
                  <c:v>910.18763535785808</c:v>
                </c:pt>
                <c:pt idx="117">
                  <c:v>896.36281433334807</c:v>
                </c:pt>
                <c:pt idx="118">
                  <c:v>861.96151550491618</c:v>
                </c:pt>
                <c:pt idx="119">
                  <c:v>859.06794831373963</c:v>
                </c:pt>
                <c:pt idx="120">
                  <c:v>882.21648584315187</c:v>
                </c:pt>
                <c:pt idx="121">
                  <c:v>862.92603790197495</c:v>
                </c:pt>
                <c:pt idx="122">
                  <c:v>861.96151550491618</c:v>
                </c:pt>
                <c:pt idx="123">
                  <c:v>870.6422170784457</c:v>
                </c:pt>
                <c:pt idx="124">
                  <c:v>879.64442611766162</c:v>
                </c:pt>
                <c:pt idx="125">
                  <c:v>897.64884419609325</c:v>
                </c:pt>
                <c:pt idx="126">
                  <c:v>903.75748604413252</c:v>
                </c:pt>
                <c:pt idx="127">
                  <c:v>910.83065028923056</c:v>
                </c:pt>
                <c:pt idx="128">
                  <c:v>878.35839625491644</c:v>
                </c:pt>
                <c:pt idx="129">
                  <c:v>875.78633652942619</c:v>
                </c:pt>
                <c:pt idx="130">
                  <c:v>886.39608289707348</c:v>
                </c:pt>
                <c:pt idx="131">
                  <c:v>871.60673947550458</c:v>
                </c:pt>
                <c:pt idx="132">
                  <c:v>857.46041098530839</c:v>
                </c:pt>
                <c:pt idx="133">
                  <c:v>883.50251570589694</c:v>
                </c:pt>
                <c:pt idx="134">
                  <c:v>869.67769468138692</c:v>
                </c:pt>
                <c:pt idx="135">
                  <c:v>881.57347091177928</c:v>
                </c:pt>
                <c:pt idx="136">
                  <c:v>869.03467975001433</c:v>
                </c:pt>
                <c:pt idx="137">
                  <c:v>882.53799330883805</c:v>
                </c:pt>
                <c:pt idx="138">
                  <c:v>870.3207096127594</c:v>
                </c:pt>
                <c:pt idx="139">
                  <c:v>866.46262002452409</c:v>
                </c:pt>
                <c:pt idx="140">
                  <c:v>865.81960509315149</c:v>
                </c:pt>
                <c:pt idx="141">
                  <c:v>871.60673947550458</c:v>
                </c:pt>
                <c:pt idx="142">
                  <c:v>894.11226207354412</c:v>
                </c:pt>
                <c:pt idx="143">
                  <c:v>891.54020234805398</c:v>
                </c:pt>
                <c:pt idx="144">
                  <c:v>888.64663515687744</c:v>
                </c:pt>
                <c:pt idx="145">
                  <c:v>906.65105323530906</c:v>
                </c:pt>
                <c:pt idx="146">
                  <c:v>896.04130686766189</c:v>
                </c:pt>
                <c:pt idx="147">
                  <c:v>881.57347091177928</c:v>
                </c:pt>
                <c:pt idx="148">
                  <c:v>876.10784399511249</c:v>
                </c:pt>
                <c:pt idx="149">
                  <c:v>891.21869488236757</c:v>
                </c:pt>
                <c:pt idx="150">
                  <c:v>900.2209039215835</c:v>
                </c:pt>
                <c:pt idx="151">
                  <c:v>895.076784470603</c:v>
                </c:pt>
                <c:pt idx="152">
                  <c:v>900.86391885295598</c:v>
                </c:pt>
                <c:pt idx="153">
                  <c:v>896.36281433334807</c:v>
                </c:pt>
                <c:pt idx="154">
                  <c:v>901.82844125001498</c:v>
                </c:pt>
                <c:pt idx="155">
                  <c:v>895.076784470603</c:v>
                </c:pt>
                <c:pt idx="156">
                  <c:v>888.64663515687744</c:v>
                </c:pt>
                <c:pt idx="157">
                  <c:v>895.076784470603</c:v>
                </c:pt>
                <c:pt idx="158">
                  <c:v>906.65105323530906</c:v>
                </c:pt>
                <c:pt idx="159">
                  <c:v>903.43597857844634</c:v>
                </c:pt>
                <c:pt idx="160">
                  <c:v>929.7995907647213</c:v>
                </c:pt>
                <c:pt idx="161">
                  <c:v>942.98139685785861</c:v>
                </c:pt>
                <c:pt idx="162">
                  <c:v>974.81063596080037</c:v>
                </c:pt>
                <c:pt idx="163">
                  <c:v>976.41817328923185</c:v>
                </c:pt>
                <c:pt idx="164">
                  <c:v>990.56450177942804</c:v>
                </c:pt>
                <c:pt idx="165">
                  <c:v>987.99244205393791</c:v>
                </c:pt>
                <c:pt idx="166">
                  <c:v>985.74188979413395</c:v>
                </c:pt>
                <c:pt idx="167">
                  <c:v>981.24078527452593</c:v>
                </c:pt>
                <c:pt idx="168">
                  <c:v>1020.4646960882519</c:v>
                </c:pt>
                <c:pt idx="169">
                  <c:v>1031.3959499215857</c:v>
                </c:pt>
                <c:pt idx="170">
                  <c:v>1032.0389648529583</c:v>
                </c:pt>
                <c:pt idx="171">
                  <c:v>1056.7950397108016</c:v>
                </c:pt>
                <c:pt idx="172">
                  <c:v>1035.8970544411936</c:v>
                </c:pt>
                <c:pt idx="173">
                  <c:v>1080.2650847059003</c:v>
                </c:pt>
                <c:pt idx="174">
                  <c:v>1077.69302498041</c:v>
                </c:pt>
                <c:pt idx="175">
                  <c:v>1090.8748310735475</c:v>
                </c:pt>
                <c:pt idx="176">
                  <c:v>1060.9746367647235</c:v>
                </c:pt>
                <c:pt idx="177">
                  <c:v>1115.9524133970772</c:v>
                </c:pt>
                <c:pt idx="178">
                  <c:v>1110.1652790147243</c:v>
                </c:pt>
                <c:pt idx="179">
                  <c:v>1095.0544281274692</c:v>
                </c:pt>
                <c:pt idx="180">
                  <c:v>1114.0233686029594</c:v>
                </c:pt>
                <c:pt idx="181">
                  <c:v>1101.1630699755083</c:v>
                </c:pt>
                <c:pt idx="182">
                  <c:v>1115.3093984657046</c:v>
                </c:pt>
                <c:pt idx="183">
                  <c:v>1084.4446817598216</c:v>
                </c:pt>
                <c:pt idx="184">
                  <c:v>1093.4468907990376</c:v>
                </c:pt>
                <c:pt idx="185">
                  <c:v>1089.2672937451159</c:v>
                </c:pt>
                <c:pt idx="186">
                  <c:v>1091.5178460049199</c:v>
                </c:pt>
                <c:pt idx="187">
                  <c:v>1114.0233686029594</c:v>
                </c:pt>
                <c:pt idx="188">
                  <c:v>1104.3781446323712</c:v>
                </c:pt>
                <c:pt idx="189">
                  <c:v>1120.4535179166853</c:v>
                </c:pt>
                <c:pt idx="190">
                  <c:v>1116.2739208627634</c:v>
                </c:pt>
                <c:pt idx="191">
                  <c:v>1123.9901000392342</c:v>
                </c:pt>
                <c:pt idx="192">
                  <c:v>1120.4535179166853</c:v>
                </c:pt>
                <c:pt idx="193">
                  <c:v>1088.3027713480574</c:v>
                </c:pt>
                <c:pt idx="194">
                  <c:v>1088.9457862794295</c:v>
                </c:pt>
                <c:pt idx="195">
                  <c:v>1086.3737265539394</c:v>
                </c:pt>
                <c:pt idx="196">
                  <c:v>1101.1630699755083</c:v>
                </c:pt>
                <c:pt idx="197">
                  <c:v>1086.3737265539394</c:v>
                </c:pt>
                <c:pt idx="198">
                  <c:v>1068.0478010098216</c:v>
                </c:pt>
                <c:pt idx="199">
                  <c:v>1054.5444874509976</c:v>
                </c:pt>
                <c:pt idx="200">
                  <c:v>1061.9391591617821</c:v>
                </c:pt>
                <c:pt idx="201">
                  <c:v>1060.6531292990371</c:v>
                </c:pt>
                <c:pt idx="202">
                  <c:v>1039.4336365637428</c:v>
                </c:pt>
                <c:pt idx="203">
                  <c:v>1034.2895171127623</c:v>
                </c:pt>
                <c:pt idx="204">
                  <c:v>1019.5001736911933</c:v>
                </c:pt>
                <c:pt idx="205">
                  <c:v>1027.2163528676638</c:v>
                </c:pt>
                <c:pt idx="206">
                  <c:v>1031.3959499215857</c:v>
                </c:pt>
                <c:pt idx="207">
                  <c:v>1018.2141438284482</c:v>
                </c:pt>
                <c:pt idx="208">
                  <c:v>1023.0367558137423</c:v>
                </c:pt>
                <c:pt idx="209">
                  <c:v>1028.1808752647228</c:v>
                </c:pt>
                <c:pt idx="210">
                  <c:v>1037.8260992353112</c:v>
                </c:pt>
                <c:pt idx="211">
                  <c:v>1050.0433829313897</c:v>
                </c:pt>
                <c:pt idx="212">
                  <c:v>1026.2518304706052</c:v>
                </c:pt>
                <c:pt idx="213">
                  <c:v>993.77957643629088</c:v>
                </c:pt>
                <c:pt idx="214">
                  <c:v>1009.5334422549184</c:v>
                </c:pt>
                <c:pt idx="215">
                  <c:v>1033.3249947157033</c:v>
                </c:pt>
                <c:pt idx="216">
                  <c:v>1019.178666225507</c:v>
                </c:pt>
                <c:pt idx="217">
                  <c:v>1033.9680096470759</c:v>
                </c:pt>
                <c:pt idx="218">
                  <c:v>1049.0788605343312</c:v>
                </c:pt>
                <c:pt idx="219">
                  <c:v>1047.4713232058996</c:v>
                </c:pt>
                <c:pt idx="220">
                  <c:v>1044.2562485490369</c:v>
                </c:pt>
                <c:pt idx="221">
                  <c:v>1047.1498157402132</c:v>
                </c:pt>
                <c:pt idx="222">
                  <c:v>1037.504591769625</c:v>
                </c:pt>
                <c:pt idx="223">
                  <c:v>1050.3648903970761</c:v>
                </c:pt>
                <c:pt idx="224">
                  <c:v>1067.0832786127626</c:v>
                </c:pt>
                <c:pt idx="225">
                  <c:v>1061.2961442304097</c:v>
                </c:pt>
                <c:pt idx="226">
                  <c:v>1070.2983532696255</c:v>
                </c:pt>
                <c:pt idx="227">
                  <c:v>1074.1564428578606</c:v>
                </c:pt>
                <c:pt idx="228">
                  <c:v>1095.6974430588416</c:v>
                </c:pt>
                <c:pt idx="229">
                  <c:v>1094.7329206617826</c:v>
                </c:pt>
                <c:pt idx="230">
                  <c:v>1088.3027713480574</c:v>
                </c:pt>
                <c:pt idx="231">
                  <c:v>1085.4092041568806</c:v>
                </c:pt>
                <c:pt idx="232">
                  <c:v>1102.1275923725673</c:v>
                </c:pt>
                <c:pt idx="233">
                  <c:v>1074.477950323547</c:v>
                </c:pt>
                <c:pt idx="234">
                  <c:v>1070.6198607353117</c:v>
                </c:pt>
                <c:pt idx="235">
                  <c:v>1063.2251890245275</c:v>
                </c:pt>
                <c:pt idx="236">
                  <c:v>1055.5090098480566</c:v>
                </c:pt>
                <c:pt idx="237">
                  <c:v>1056.1520247794292</c:v>
                </c:pt>
                <c:pt idx="238">
                  <c:v>1071.9058905980569</c:v>
                </c:pt>
                <c:pt idx="239">
                  <c:v>1066.4402636813902</c:v>
                </c:pt>
                <c:pt idx="240">
                  <c:v>1064.189711421586</c:v>
                </c:pt>
                <c:pt idx="241">
                  <c:v>1051.0079053284487</c:v>
                </c:pt>
                <c:pt idx="242">
                  <c:v>1045.542278411782</c:v>
                </c:pt>
                <c:pt idx="243">
                  <c:v>1035.5755469755072</c:v>
                </c:pt>
                <c:pt idx="244">
                  <c:v>1041.0411738921741</c:v>
                </c:pt>
                <c:pt idx="245">
                  <c:v>1008.5689198578598</c:v>
                </c:pt>
                <c:pt idx="246">
                  <c:v>1000.5312332157029</c:v>
                </c:pt>
                <c:pt idx="247">
                  <c:v>960.98581493629047</c:v>
                </c:pt>
                <c:pt idx="248">
                  <c:v>970.63103890687887</c:v>
                </c:pt>
                <c:pt idx="249">
                  <c:v>956.48471041668245</c:v>
                </c:pt>
                <c:pt idx="250">
                  <c:v>969.34500904413358</c:v>
                </c:pt>
                <c:pt idx="251">
                  <c:v>962.91485973040801</c:v>
                </c:pt>
                <c:pt idx="252">
                  <c:v>992.49354657354581</c:v>
                </c:pt>
                <c:pt idx="253">
                  <c:v>993.77957643629088</c:v>
                </c:pt>
                <c:pt idx="254">
                  <c:v>942.65988939217243</c:v>
                </c:pt>
                <c:pt idx="255">
                  <c:v>969.02350157844739</c:v>
                </c:pt>
                <c:pt idx="256">
                  <c:v>977.06118822060444</c:v>
                </c:pt>
                <c:pt idx="257">
                  <c:v>977.06118822060444</c:v>
                </c:pt>
                <c:pt idx="258">
                  <c:v>980.27626287746705</c:v>
                </c:pt>
                <c:pt idx="259">
                  <c:v>986.06339725982025</c:v>
                </c:pt>
                <c:pt idx="260">
                  <c:v>988.95696445099679</c:v>
                </c:pt>
                <c:pt idx="261">
                  <c:v>1002.7817854755068</c:v>
                </c:pt>
                <c:pt idx="262">
                  <c:v>1004.0678153382519</c:v>
                </c:pt>
                <c:pt idx="263">
                  <c:v>1012.7485169117814</c:v>
                </c:pt>
                <c:pt idx="264">
                  <c:v>1023.0367558137423</c:v>
                </c:pt>
                <c:pt idx="265">
                  <c:v>1025.6088155392326</c:v>
                </c:pt>
                <c:pt idx="266">
                  <c:v>1026.8948454019778</c:v>
                </c:pt>
                <c:pt idx="267">
                  <c:v>1036.2185619068798</c:v>
                </c:pt>
                <c:pt idx="268">
                  <c:v>1024.0012782108013</c:v>
                </c:pt>
                <c:pt idx="269">
                  <c:v>1014.6775617058989</c:v>
                </c:pt>
                <c:pt idx="270">
                  <c:v>992.49354657354581</c:v>
                </c:pt>
                <c:pt idx="271">
                  <c:v>998.60218842158508</c:v>
                </c:pt>
                <c:pt idx="272">
                  <c:v>1007.9259049264873</c:v>
                </c:pt>
                <c:pt idx="273">
                  <c:v>1029.7884125931541</c:v>
                </c:pt>
                <c:pt idx="274">
                  <c:v>1010.4979646519774</c:v>
                </c:pt>
                <c:pt idx="275">
                  <c:v>1013.0700243774677</c:v>
                </c:pt>
                <c:pt idx="276">
                  <c:v>1029.1453976617818</c:v>
                </c:pt>
                <c:pt idx="277">
                  <c:v>1019.178666225507</c:v>
                </c:pt>
                <c:pt idx="278">
                  <c:v>1020.7862035539383</c:v>
                </c:pt>
                <c:pt idx="279">
                  <c:v>1013.3915318431539</c:v>
                </c:pt>
                <c:pt idx="280">
                  <c:v>1001.8172630784479</c:v>
                </c:pt>
                <c:pt idx="281">
                  <c:v>991.52902417648693</c:v>
                </c:pt>
                <c:pt idx="282">
                  <c:v>997.95917349021249</c:v>
                </c:pt>
                <c:pt idx="283">
                  <c:v>992.815054039232</c:v>
                </c:pt>
                <c:pt idx="284">
                  <c:v>970.30953144119246</c:v>
                </c:pt>
                <c:pt idx="285">
                  <c:v>964.52239705883949</c:v>
                </c:pt>
                <c:pt idx="286">
                  <c:v>964.52239705883949</c:v>
                </c:pt>
                <c:pt idx="287">
                  <c:v>935.90823261276057</c:v>
                </c:pt>
                <c:pt idx="288">
                  <c:v>923.36944145099551</c:v>
                </c:pt>
                <c:pt idx="289">
                  <c:v>925.61999371079946</c:v>
                </c:pt>
                <c:pt idx="290">
                  <c:v>937.83727740687823</c:v>
                </c:pt>
                <c:pt idx="291">
                  <c:v>924.3339638480544</c:v>
                </c:pt>
                <c:pt idx="292">
                  <c:v>934.62220275001539</c:v>
                </c:pt>
                <c:pt idx="293">
                  <c:v>930.76411316177996</c:v>
                </c:pt>
                <c:pt idx="294">
                  <c:v>900.54241138726979</c:v>
                </c:pt>
                <c:pt idx="295">
                  <c:v>922.40491905393685</c:v>
                </c:pt>
                <c:pt idx="296">
                  <c:v>930.12109823040748</c:v>
                </c:pt>
                <c:pt idx="297">
                  <c:v>924.01245638236821</c:v>
                </c:pt>
                <c:pt idx="298">
                  <c:v>932.69315795589785</c:v>
                </c:pt>
                <c:pt idx="299">
                  <c:v>925.29848624511339</c:v>
                </c:pt>
                <c:pt idx="300">
                  <c:v>929.1565758333486</c:v>
                </c:pt>
                <c:pt idx="301">
                  <c:v>940.40933713236836</c:v>
                </c:pt>
                <c:pt idx="302">
                  <c:v>936.22974007844687</c:v>
                </c:pt>
                <c:pt idx="303">
                  <c:v>920.79738172550537</c:v>
                </c:pt>
                <c:pt idx="304">
                  <c:v>929.47808329903489</c:v>
                </c:pt>
                <c:pt idx="305">
                  <c:v>925.94150117648587</c:v>
                </c:pt>
                <c:pt idx="306">
                  <c:v>927.54903850491735</c:v>
                </c:pt>
                <c:pt idx="307">
                  <c:v>929.1565758333486</c:v>
                </c:pt>
                <c:pt idx="308">
                  <c:v>929.47808329903489</c:v>
                </c:pt>
                <c:pt idx="309">
                  <c:v>934.30069528432909</c:v>
                </c:pt>
                <c:pt idx="310">
                  <c:v>921.76190412256426</c:v>
                </c:pt>
                <c:pt idx="311">
                  <c:v>926.90602357354464</c:v>
                </c:pt>
                <c:pt idx="312">
                  <c:v>910.83065028923056</c:v>
                </c:pt>
                <c:pt idx="313">
                  <c:v>920.79738172550537</c:v>
                </c:pt>
                <c:pt idx="314">
                  <c:v>898.93487405883843</c:v>
                </c:pt>
                <c:pt idx="315">
                  <c:v>874.17879920099483</c:v>
                </c:pt>
                <c:pt idx="316">
                  <c:v>861.64000803922988</c:v>
                </c:pt>
                <c:pt idx="317">
                  <c:v>867.10563495589668</c:v>
                </c:pt>
                <c:pt idx="318">
                  <c:v>876.75085892648508</c:v>
                </c:pt>
                <c:pt idx="319">
                  <c:v>876.10784399511249</c:v>
                </c:pt>
                <c:pt idx="320">
                  <c:v>891.86170981374016</c:v>
                </c:pt>
                <c:pt idx="321">
                  <c:v>886.39608289707348</c:v>
                </c:pt>
                <c:pt idx="322">
                  <c:v>880.93045598040669</c:v>
                </c:pt>
                <c:pt idx="323">
                  <c:v>756.82857422550262</c:v>
                </c:pt>
                <c:pt idx="324">
                  <c:v>754.57802196569867</c:v>
                </c:pt>
                <c:pt idx="325">
                  <c:v>749.43390251471817</c:v>
                </c:pt>
                <c:pt idx="326">
                  <c:v>755.86405182844385</c:v>
                </c:pt>
                <c:pt idx="327">
                  <c:v>760.68666381373805</c:v>
                </c:pt>
                <c:pt idx="328">
                  <c:v>758.75761901962039</c:v>
                </c:pt>
                <c:pt idx="329">
                  <c:v>739.78867854412988</c:v>
                </c:pt>
                <c:pt idx="330">
                  <c:v>736.57360388726704</c:v>
                </c:pt>
                <c:pt idx="331">
                  <c:v>749.11239504903187</c:v>
                </c:pt>
                <c:pt idx="332">
                  <c:v>772.26093257844411</c:v>
                </c:pt>
                <c:pt idx="333">
                  <c:v>780.29861922060104</c:v>
                </c:pt>
                <c:pt idx="334">
                  <c:v>785.12123120589536</c:v>
                </c:pt>
                <c:pt idx="335">
                  <c:v>770.65339525001264</c:v>
                </c:pt>
                <c:pt idx="336">
                  <c:v>761.65118621079694</c:v>
                </c:pt>
                <c:pt idx="337">
                  <c:v>779.65560428922856</c:v>
                </c:pt>
                <c:pt idx="338">
                  <c:v>763.58023100491459</c:v>
                </c:pt>
                <c:pt idx="339">
                  <c:v>767.11681312746362</c:v>
                </c:pt>
                <c:pt idx="340">
                  <c:v>773.86846990687548</c:v>
                </c:pt>
                <c:pt idx="341">
                  <c:v>751.36294730883594</c:v>
                </c:pt>
                <c:pt idx="342">
                  <c:v>760.68666381373805</c:v>
                </c:pt>
                <c:pt idx="343">
                  <c:v>753.6134995686399</c:v>
                </c:pt>
                <c:pt idx="344">
                  <c:v>735.28757402452197</c:v>
                </c:pt>
                <c:pt idx="345">
                  <c:v>715.67561861765898</c:v>
                </c:pt>
                <c:pt idx="346">
                  <c:v>724.03481272550209</c:v>
                </c:pt>
                <c:pt idx="347">
                  <c:v>696.38517067648206</c:v>
                </c:pt>
                <c:pt idx="348">
                  <c:v>721.46275300001196</c:v>
                </c:pt>
                <c:pt idx="349">
                  <c:v>727.24988738236493</c:v>
                </c:pt>
                <c:pt idx="350">
                  <c:v>722.42727539707073</c:v>
                </c:pt>
                <c:pt idx="351">
                  <c:v>719.53370820589419</c:v>
                </c:pt>
                <c:pt idx="352">
                  <c:v>718.8906932745216</c:v>
                </c:pt>
                <c:pt idx="353">
                  <c:v>718.8906932745216</c:v>
                </c:pt>
                <c:pt idx="354">
                  <c:v>729.17893217648259</c:v>
                </c:pt>
                <c:pt idx="355">
                  <c:v>725.64235005393357</c:v>
                </c:pt>
                <c:pt idx="356">
                  <c:v>721.14124553432555</c:v>
                </c:pt>
                <c:pt idx="357">
                  <c:v>723.71330525981591</c:v>
                </c:pt>
                <c:pt idx="358">
                  <c:v>719.212200740208</c:v>
                </c:pt>
                <c:pt idx="359">
                  <c:v>727.24988738236493</c:v>
                </c:pt>
                <c:pt idx="360">
                  <c:v>726.60687245099246</c:v>
                </c:pt>
                <c:pt idx="361">
                  <c:v>701.20778266177615</c:v>
                </c:pt>
                <c:pt idx="362">
                  <c:v>693.8131109509917</c:v>
                </c:pt>
                <c:pt idx="363">
                  <c:v>700.24326026471749</c:v>
                </c:pt>
                <c:pt idx="364">
                  <c:v>701.85079759314874</c:v>
                </c:pt>
                <c:pt idx="365">
                  <c:v>697.34969307354095</c:v>
                </c:pt>
                <c:pt idx="366">
                  <c:v>703.13682745589404</c:v>
                </c:pt>
                <c:pt idx="367">
                  <c:v>700.88627519609008</c:v>
                </c:pt>
                <c:pt idx="368">
                  <c:v>695.09914081373699</c:v>
                </c:pt>
                <c:pt idx="369">
                  <c:v>650.73111054903029</c:v>
                </c:pt>
                <c:pt idx="370">
                  <c:v>638.83533431863805</c:v>
                </c:pt>
                <c:pt idx="371">
                  <c:v>631.76217007353978</c:v>
                </c:pt>
                <c:pt idx="372">
                  <c:v>635.62025966177521</c:v>
                </c:pt>
                <c:pt idx="373">
                  <c:v>600.25443843628443</c:v>
                </c:pt>
                <c:pt idx="374">
                  <c:v>598.32539364216677</c:v>
                </c:pt>
                <c:pt idx="375">
                  <c:v>606.3630802843237</c:v>
                </c:pt>
                <c:pt idx="376">
                  <c:v>625.01051329412803</c:v>
                </c:pt>
                <c:pt idx="377">
                  <c:v>630.79764767648101</c:v>
                </c:pt>
                <c:pt idx="378">
                  <c:v>628.54709541667705</c:v>
                </c:pt>
                <c:pt idx="379">
                  <c:v>629.19011034804964</c:v>
                </c:pt>
                <c:pt idx="380">
                  <c:v>621.1524237058926</c:v>
                </c:pt>
                <c:pt idx="381">
                  <c:v>616.0083042549121</c:v>
                </c:pt>
                <c:pt idx="382">
                  <c:v>614.07925946079445</c:v>
                </c:pt>
                <c:pt idx="383">
                  <c:v>622.75996103432408</c:v>
                </c:pt>
                <c:pt idx="384">
                  <c:v>638.19231938726546</c:v>
                </c:pt>
                <c:pt idx="385">
                  <c:v>632.08367753922607</c:v>
                </c:pt>
                <c:pt idx="386">
                  <c:v>637.22779699020657</c:v>
                </c:pt>
                <c:pt idx="387">
                  <c:v>641.40739404412818</c:v>
                </c:pt>
                <c:pt idx="388">
                  <c:v>637.54930445589287</c:v>
                </c:pt>
                <c:pt idx="389">
                  <c:v>626.61805062255928</c:v>
                </c:pt>
                <c:pt idx="390">
                  <c:v>624.36749836275544</c:v>
                </c:pt>
                <c:pt idx="391">
                  <c:v>641.40739404412818</c:v>
                </c:pt>
                <c:pt idx="392">
                  <c:v>648.80206575491263</c:v>
                </c:pt>
                <c:pt idx="393">
                  <c:v>655.87523000001079</c:v>
                </c:pt>
                <c:pt idx="394">
                  <c:v>640.44287164706952</c:v>
                </c:pt>
                <c:pt idx="395">
                  <c:v>643.65794630393214</c:v>
                </c:pt>
                <c:pt idx="396">
                  <c:v>646.2300060294225</c:v>
                </c:pt>
                <c:pt idx="397">
                  <c:v>632.72669247059866</c:v>
                </c:pt>
                <c:pt idx="398">
                  <c:v>641.085886578442</c:v>
                </c:pt>
                <c:pt idx="399">
                  <c:v>634.01272233334373</c:v>
                </c:pt>
                <c:pt idx="400">
                  <c:v>625.65352822550062</c:v>
                </c:pt>
                <c:pt idx="401">
                  <c:v>635.29875219608903</c:v>
                </c:pt>
                <c:pt idx="402">
                  <c:v>635.9417671274615</c:v>
                </c:pt>
                <c:pt idx="403">
                  <c:v>619.54488637746124</c:v>
                </c:pt>
                <c:pt idx="404">
                  <c:v>634.33422979903014</c:v>
                </c:pt>
                <c:pt idx="405">
                  <c:v>652.98166280883424</c:v>
                </c:pt>
                <c:pt idx="406">
                  <c:v>670.02155849020721</c:v>
                </c:pt>
                <c:pt idx="407">
                  <c:v>689.9550213627565</c:v>
                </c:pt>
                <c:pt idx="408">
                  <c:v>691.24105122550156</c:v>
                </c:pt>
                <c:pt idx="409">
                  <c:v>707.31642450981553</c:v>
                </c:pt>
                <c:pt idx="410">
                  <c:v>734.00154416177679</c:v>
                </c:pt>
                <c:pt idx="411">
                  <c:v>746.86184278922804</c:v>
                </c:pt>
                <c:pt idx="412">
                  <c:v>735.28757402452197</c:v>
                </c:pt>
                <c:pt idx="413">
                  <c:v>737.53812628432593</c:v>
                </c:pt>
                <c:pt idx="414">
                  <c:v>741.71772333824754</c:v>
                </c:pt>
                <c:pt idx="415">
                  <c:v>741.39621587256124</c:v>
                </c:pt>
                <c:pt idx="416">
                  <c:v>780.94163415197363</c:v>
                </c:pt>
                <c:pt idx="417">
                  <c:v>795.40947010785624</c:v>
                </c:pt>
                <c:pt idx="418">
                  <c:v>775.15449976962054</c:v>
                </c:pt>
                <c:pt idx="419">
                  <c:v>760.04364888236557</c:v>
                </c:pt>
                <c:pt idx="420">
                  <c:v>770.65339525001264</c:v>
                </c:pt>
                <c:pt idx="421">
                  <c:v>778.3695744264835</c:v>
                </c:pt>
                <c:pt idx="422">
                  <c:v>762.29420114216953</c:v>
                </c:pt>
                <c:pt idx="423">
                  <c:v>756.18555929413014</c:v>
                </c:pt>
                <c:pt idx="424">
                  <c:v>741.07470840687495</c:v>
                </c:pt>
                <c:pt idx="425">
                  <c:v>760.04364888236557</c:v>
                </c:pt>
                <c:pt idx="426">
                  <c:v>749.75540998040458</c:v>
                </c:pt>
                <c:pt idx="427">
                  <c:v>736.57360388726704</c:v>
                </c:pt>
                <c:pt idx="428">
                  <c:v>728.85742471079641</c:v>
                </c:pt>
                <c:pt idx="429">
                  <c:v>698.31421547059972</c:v>
                </c:pt>
                <c:pt idx="430">
                  <c:v>703.45833492158022</c:v>
                </c:pt>
                <c:pt idx="431">
                  <c:v>706.35190211275665</c:v>
                </c:pt>
                <c:pt idx="432">
                  <c:v>690.27652882844268</c:v>
                </c:pt>
                <c:pt idx="433">
                  <c:v>739.46717107844358</c:v>
                </c:pt>
                <c:pt idx="434">
                  <c:v>731.10797697060025</c:v>
                </c:pt>
                <c:pt idx="435">
                  <c:v>697.02818560785465</c:v>
                </c:pt>
                <c:pt idx="436">
                  <c:v>689.31200643138391</c:v>
                </c:pt>
                <c:pt idx="437">
                  <c:v>697.02818560785465</c:v>
                </c:pt>
                <c:pt idx="438">
                  <c:v>706.35190211275665</c:v>
                </c:pt>
                <c:pt idx="439">
                  <c:v>694.7776333480507</c:v>
                </c:pt>
                <c:pt idx="440">
                  <c:v>697.02818560785465</c:v>
                </c:pt>
                <c:pt idx="441">
                  <c:v>697.67120053922713</c:v>
                </c:pt>
                <c:pt idx="442">
                  <c:v>679.66678246079562</c:v>
                </c:pt>
                <c:pt idx="443">
                  <c:v>693.49160348530563</c:v>
                </c:pt>
                <c:pt idx="444">
                  <c:v>696.06366321079577</c:v>
                </c:pt>
                <c:pt idx="445">
                  <c:v>699.92175279903108</c:v>
                </c:pt>
                <c:pt idx="446">
                  <c:v>716.96164848040405</c:v>
                </c:pt>
                <c:pt idx="447">
                  <c:v>710.53149916667849</c:v>
                </c:pt>
                <c:pt idx="448">
                  <c:v>705.06587225001158</c:v>
                </c:pt>
                <c:pt idx="449">
                  <c:v>691.88406615687416</c:v>
                </c:pt>
                <c:pt idx="450">
                  <c:v>691.88406615687416</c:v>
                </c:pt>
                <c:pt idx="451">
                  <c:v>658.76879719118733</c:v>
                </c:pt>
                <c:pt idx="452">
                  <c:v>685.45391684314859</c:v>
                </c:pt>
                <c:pt idx="453">
                  <c:v>698.31421547059972</c:v>
                </c:pt>
                <c:pt idx="454">
                  <c:v>703.13682745589404</c:v>
                </c:pt>
                <c:pt idx="455">
                  <c:v>710.20999170099208</c:v>
                </c:pt>
                <c:pt idx="456">
                  <c:v>709.24546930393319</c:v>
                </c:pt>
                <c:pt idx="457">
                  <c:v>724.3563201911885</c:v>
                </c:pt>
                <c:pt idx="458">
                  <c:v>728.85742471079641</c:v>
                </c:pt>
                <c:pt idx="459">
                  <c:v>718.56918580883541</c:v>
                </c:pt>
                <c:pt idx="460">
                  <c:v>724.67782765687468</c:v>
                </c:pt>
                <c:pt idx="461">
                  <c:v>717.28315594609023</c:v>
                </c:pt>
                <c:pt idx="462">
                  <c:v>731.10797697060025</c:v>
                </c:pt>
                <c:pt idx="463">
                  <c:v>713.7465738235411</c:v>
                </c:pt>
                <c:pt idx="464">
                  <c:v>699.27873786765861</c:v>
                </c:pt>
                <c:pt idx="465">
                  <c:v>702.49381252452145</c:v>
                </c:pt>
                <c:pt idx="466">
                  <c:v>694.45612588236452</c:v>
                </c:pt>
                <c:pt idx="467">
                  <c:v>705.38737971569799</c:v>
                </c:pt>
                <c:pt idx="468">
                  <c:v>699.27873786765861</c:v>
                </c:pt>
                <c:pt idx="469">
                  <c:v>697.67120053922713</c:v>
                </c:pt>
                <c:pt idx="470">
                  <c:v>688.02597656863873</c:v>
                </c:pt>
                <c:pt idx="471">
                  <c:v>678.38075259805044</c:v>
                </c:pt>
                <c:pt idx="472">
                  <c:v>665.52045397059919</c:v>
                </c:pt>
                <c:pt idx="473">
                  <c:v>668.09251369608944</c:v>
                </c:pt>
                <c:pt idx="474">
                  <c:v>663.59140917648153</c:v>
                </c:pt>
                <c:pt idx="475">
                  <c:v>663.59140917648153</c:v>
                </c:pt>
                <c:pt idx="476">
                  <c:v>657.16125986275597</c:v>
                </c:pt>
                <c:pt idx="477">
                  <c:v>650.73111054903029</c:v>
                </c:pt>
                <c:pt idx="478">
                  <c:v>642.05040897550066</c:v>
                </c:pt>
                <c:pt idx="479">
                  <c:v>640.76437911275559</c:v>
                </c:pt>
                <c:pt idx="480">
                  <c:v>633.69121486765755</c:v>
                </c:pt>
                <c:pt idx="481">
                  <c:v>646.55151349510868</c:v>
                </c:pt>
                <c:pt idx="482">
                  <c:v>642.37191644118707</c:v>
                </c:pt>
                <c:pt idx="483">
                  <c:v>635.29875219608903</c:v>
                </c:pt>
                <c:pt idx="484">
                  <c:v>640.76437911275559</c:v>
                </c:pt>
                <c:pt idx="485">
                  <c:v>634.97724473040262</c:v>
                </c:pt>
                <c:pt idx="486">
                  <c:v>616.3298117205984</c:v>
                </c:pt>
                <c:pt idx="487">
                  <c:v>612.47172213236308</c:v>
                </c:pt>
                <c:pt idx="488">
                  <c:v>625.65352822550062</c:v>
                </c:pt>
                <c:pt idx="489">
                  <c:v>626.61805062255928</c:v>
                </c:pt>
                <c:pt idx="490">
                  <c:v>626.93955808824569</c:v>
                </c:pt>
                <c:pt idx="491">
                  <c:v>644.62246870099102</c:v>
                </c:pt>
                <c:pt idx="492">
                  <c:v>655.55372253432449</c:v>
                </c:pt>
                <c:pt idx="493">
                  <c:v>636.58478205883409</c:v>
                </c:pt>
                <c:pt idx="494">
                  <c:v>628.54709541667705</c:v>
                </c:pt>
                <c:pt idx="495">
                  <c:v>626.93955808824569</c:v>
                </c:pt>
                <c:pt idx="496">
                  <c:v>643.65794630393214</c:v>
                </c:pt>
                <c:pt idx="497">
                  <c:v>641.085886578442</c:v>
                </c:pt>
                <c:pt idx="498">
                  <c:v>621.79543863726519</c:v>
                </c:pt>
                <c:pt idx="499">
                  <c:v>621.47393117157878</c:v>
                </c:pt>
                <c:pt idx="500">
                  <c:v>622.75996103432408</c:v>
                </c:pt>
                <c:pt idx="501">
                  <c:v>623.72448343138274</c:v>
                </c:pt>
                <c:pt idx="502">
                  <c:v>640.44287164706952</c:v>
                </c:pt>
                <c:pt idx="503">
                  <c:v>631.76217007353978</c:v>
                </c:pt>
                <c:pt idx="504">
                  <c:v>626.93955808824569</c:v>
                </c:pt>
                <c:pt idx="505">
                  <c:v>641.085886578442</c:v>
                </c:pt>
                <c:pt idx="506">
                  <c:v>649.44508068628511</c:v>
                </c:pt>
                <c:pt idx="507">
                  <c:v>644.30096123530473</c:v>
                </c:pt>
                <c:pt idx="508">
                  <c:v>643.65794630393214</c:v>
                </c:pt>
                <c:pt idx="509">
                  <c:v>627.58257301961817</c:v>
                </c:pt>
                <c:pt idx="510">
                  <c:v>628.22558795099076</c:v>
                </c:pt>
                <c:pt idx="511">
                  <c:v>636.58478205883409</c:v>
                </c:pt>
                <c:pt idx="512">
                  <c:v>645.90849856373609</c:v>
                </c:pt>
                <c:pt idx="513">
                  <c:v>651.69563294608918</c:v>
                </c:pt>
                <c:pt idx="514">
                  <c:v>645.90849856373609</c:v>
                </c:pt>
                <c:pt idx="515">
                  <c:v>643.01493137255966</c:v>
                </c:pt>
                <c:pt idx="516">
                  <c:v>643.33643883824595</c:v>
                </c:pt>
                <c:pt idx="517">
                  <c:v>652.33864787746177</c:v>
                </c:pt>
                <c:pt idx="518">
                  <c:v>643.97945376961854</c:v>
                </c:pt>
                <c:pt idx="519">
                  <c:v>638.83533431863805</c:v>
                </c:pt>
                <c:pt idx="520">
                  <c:v>646.55151349510868</c:v>
                </c:pt>
                <c:pt idx="521">
                  <c:v>649.12357322059904</c:v>
                </c:pt>
                <c:pt idx="522">
                  <c:v>637.54930445589287</c:v>
                </c:pt>
                <c:pt idx="523">
                  <c:v>634.01272233334373</c:v>
                </c:pt>
                <c:pt idx="524">
                  <c:v>632.72669247059866</c:v>
                </c:pt>
                <c:pt idx="525">
                  <c:v>624.04599089706915</c:v>
                </c:pt>
                <c:pt idx="526">
                  <c:v>620.83091624020631</c:v>
                </c:pt>
                <c:pt idx="527">
                  <c:v>619.54488637746124</c:v>
                </c:pt>
                <c:pt idx="528">
                  <c:v>621.79543863726519</c:v>
                </c:pt>
                <c:pt idx="529">
                  <c:v>631.11915514216719</c:v>
                </c:pt>
                <c:pt idx="530">
                  <c:v>647.51603589216757</c:v>
                </c:pt>
                <c:pt idx="531">
                  <c:v>638.83533431863805</c:v>
                </c:pt>
                <c:pt idx="532">
                  <c:v>649.44508068628511</c:v>
                </c:pt>
                <c:pt idx="533">
                  <c:v>648.48055828922645</c:v>
                </c:pt>
                <c:pt idx="534">
                  <c:v>649.44508068628511</c:v>
                </c:pt>
                <c:pt idx="535">
                  <c:v>651.69563294608918</c:v>
                </c:pt>
                <c:pt idx="536">
                  <c:v>678.05924513236414</c:v>
                </c:pt>
                <c:pt idx="537">
                  <c:v>696.06366321079577</c:v>
                </c:pt>
                <c:pt idx="538">
                  <c:v>687.06145417158007</c:v>
                </c:pt>
                <c:pt idx="539">
                  <c:v>699.27873786765861</c:v>
                </c:pt>
                <c:pt idx="540">
                  <c:v>694.13461841667811</c:v>
                </c:pt>
                <c:pt idx="541">
                  <c:v>698.9572304019722</c:v>
                </c:pt>
                <c:pt idx="542">
                  <c:v>708.92396183824701</c:v>
                </c:pt>
                <c:pt idx="543">
                  <c:v>698.63572293628602</c:v>
                </c:pt>
                <c:pt idx="544">
                  <c:v>702.49381252452145</c:v>
                </c:pt>
                <c:pt idx="545">
                  <c:v>687.38296163726625</c:v>
                </c:pt>
                <c:pt idx="546">
                  <c:v>683.84637951471711</c:v>
                </c:pt>
                <c:pt idx="547">
                  <c:v>689.9550213627565</c:v>
                </c:pt>
                <c:pt idx="548">
                  <c:v>679.9882899264818</c:v>
                </c:pt>
                <c:pt idx="549">
                  <c:v>685.45391684314859</c:v>
                </c:pt>
                <c:pt idx="550">
                  <c:v>678.70226006373673</c:v>
                </c:pt>
                <c:pt idx="551">
                  <c:v>687.38296163726625</c:v>
                </c:pt>
                <c:pt idx="552">
                  <c:v>674.8441704755013</c:v>
                </c:pt>
                <c:pt idx="553">
                  <c:v>683.20336458334464</c:v>
                </c:pt>
                <c:pt idx="554">
                  <c:v>674.20115554412871</c:v>
                </c:pt>
                <c:pt idx="555">
                  <c:v>682.88185711765823</c:v>
                </c:pt>
                <c:pt idx="556">
                  <c:v>686.73994670589366</c:v>
                </c:pt>
                <c:pt idx="557">
                  <c:v>682.23884218628575</c:v>
                </c:pt>
                <c:pt idx="558">
                  <c:v>673.23663314706994</c:v>
                </c:pt>
                <c:pt idx="559">
                  <c:v>667.12799129903067</c:v>
                </c:pt>
                <c:pt idx="560">
                  <c:v>648.48055828922645</c:v>
                </c:pt>
                <c:pt idx="561">
                  <c:v>660.69784198530499</c:v>
                </c:pt>
                <c:pt idx="562">
                  <c:v>649.44508068628511</c:v>
                </c:pt>
                <c:pt idx="563">
                  <c:v>643.01493137255966</c:v>
                </c:pt>
                <c:pt idx="564">
                  <c:v>643.97945376961854</c:v>
                </c:pt>
                <c:pt idx="565">
                  <c:v>632.72669247059866</c:v>
                </c:pt>
                <c:pt idx="566">
                  <c:v>633.69121486765755</c:v>
                </c:pt>
                <c:pt idx="567">
                  <c:v>642.05040897550066</c:v>
                </c:pt>
                <c:pt idx="568">
                  <c:v>636.58478205883409</c:v>
                </c:pt>
                <c:pt idx="569">
                  <c:v>637.22779699020657</c:v>
                </c:pt>
                <c:pt idx="570">
                  <c:v>637.54930445589287</c:v>
                </c:pt>
                <c:pt idx="571">
                  <c:v>640.76437911275559</c:v>
                </c:pt>
                <c:pt idx="572">
                  <c:v>636.90628952452028</c:v>
                </c:pt>
                <c:pt idx="573">
                  <c:v>647.83754335785386</c:v>
                </c:pt>
                <c:pt idx="574">
                  <c:v>639.47834925001052</c:v>
                </c:pt>
                <c:pt idx="575">
                  <c:v>650.73111054903029</c:v>
                </c:pt>
                <c:pt idx="576">
                  <c:v>645.90849856373609</c:v>
                </c:pt>
                <c:pt idx="577">
                  <c:v>634.65573726471621</c:v>
                </c:pt>
                <c:pt idx="578">
                  <c:v>635.62025966177521</c:v>
                </c:pt>
                <c:pt idx="579">
                  <c:v>630.15463274510853</c:v>
                </c:pt>
                <c:pt idx="580">
                  <c:v>630.79764767648101</c:v>
                </c:pt>
                <c:pt idx="581">
                  <c:v>627.26106555393199</c:v>
                </c:pt>
                <c:pt idx="582">
                  <c:v>625.65352822550062</c:v>
                </c:pt>
                <c:pt idx="583">
                  <c:v>612.79322959804927</c:v>
                </c:pt>
                <c:pt idx="584">
                  <c:v>632.08367753922607</c:v>
                </c:pt>
                <c:pt idx="585">
                  <c:v>630.15463274510853</c:v>
                </c:pt>
                <c:pt idx="586">
                  <c:v>621.47393117157878</c:v>
                </c:pt>
                <c:pt idx="587">
                  <c:v>619.86639384314753</c:v>
                </c:pt>
                <c:pt idx="588">
                  <c:v>612.79322959804927</c:v>
                </c:pt>
                <c:pt idx="589">
                  <c:v>616.3298117205984</c:v>
                </c:pt>
                <c:pt idx="590">
                  <c:v>631.4406626078536</c:v>
                </c:pt>
                <c:pt idx="591">
                  <c:v>631.4406626078536</c:v>
                </c:pt>
                <c:pt idx="592">
                  <c:v>618.90187144608865</c:v>
                </c:pt>
                <c:pt idx="593">
                  <c:v>618.90187144608865</c:v>
                </c:pt>
                <c:pt idx="594">
                  <c:v>625.65352822550062</c:v>
                </c:pt>
                <c:pt idx="595">
                  <c:v>625.01051329412803</c:v>
                </c:pt>
                <c:pt idx="596">
                  <c:v>638.83533431863805</c:v>
                </c:pt>
                <c:pt idx="597">
                  <c:v>632.08367753922607</c:v>
                </c:pt>
                <c:pt idx="598">
                  <c:v>621.47393117157878</c:v>
                </c:pt>
                <c:pt idx="599">
                  <c:v>628.54709541667705</c:v>
                </c:pt>
                <c:pt idx="600">
                  <c:v>622.75996103432408</c:v>
                </c:pt>
                <c:pt idx="601">
                  <c:v>620.83091624020631</c:v>
                </c:pt>
                <c:pt idx="602">
                  <c:v>628.86860288236323</c:v>
                </c:pt>
                <c:pt idx="603">
                  <c:v>624.36749836275544</c:v>
                </c:pt>
                <c:pt idx="604">
                  <c:v>618.90187144608865</c:v>
                </c:pt>
                <c:pt idx="605">
                  <c:v>614.72227439216704</c:v>
                </c:pt>
                <c:pt idx="606">
                  <c:v>606.04157281863752</c:v>
                </c:pt>
                <c:pt idx="607">
                  <c:v>610.86418480393172</c:v>
                </c:pt>
                <c:pt idx="608">
                  <c:v>604.75554295589234</c:v>
                </c:pt>
                <c:pt idx="609">
                  <c:v>606.68458775001</c:v>
                </c:pt>
                <c:pt idx="610">
                  <c:v>603.14800562746098</c:v>
                </c:pt>
                <c:pt idx="611">
                  <c:v>604.75554295589234</c:v>
                </c:pt>
                <c:pt idx="612">
                  <c:v>611.82870720099049</c:v>
                </c:pt>
                <c:pt idx="613">
                  <c:v>614.40076692648074</c:v>
                </c:pt>
                <c:pt idx="614">
                  <c:v>610.86418480393172</c:v>
                </c:pt>
                <c:pt idx="615">
                  <c:v>617.29433411765717</c:v>
                </c:pt>
                <c:pt idx="616">
                  <c:v>621.47393117157878</c:v>
                </c:pt>
                <c:pt idx="617">
                  <c:v>629.51161781373582</c:v>
                </c:pt>
                <c:pt idx="618">
                  <c:v>632.40518500491248</c:v>
                </c:pt>
                <c:pt idx="619">
                  <c:v>628.54709541667705</c:v>
                </c:pt>
                <c:pt idx="620">
                  <c:v>634.33422979903014</c:v>
                </c:pt>
                <c:pt idx="621">
                  <c:v>641.085886578442</c:v>
                </c:pt>
                <c:pt idx="622">
                  <c:v>662.94839424510894</c:v>
                </c:pt>
                <c:pt idx="623">
                  <c:v>667.12799129903067</c:v>
                </c:pt>
                <c:pt idx="624">
                  <c:v>679.02376752942291</c:v>
                </c:pt>
                <c:pt idx="625">
                  <c:v>668.09251369608944</c:v>
                </c:pt>
                <c:pt idx="626">
                  <c:v>669.7000510245208</c:v>
                </c:pt>
                <c:pt idx="627">
                  <c:v>676.45170780393266</c:v>
                </c:pt>
                <c:pt idx="628">
                  <c:v>670.98608088726598</c:v>
                </c:pt>
                <c:pt idx="629">
                  <c:v>677.73773766667773</c:v>
                </c:pt>
                <c:pt idx="630">
                  <c:v>676.45170780393266</c:v>
                </c:pt>
                <c:pt idx="631">
                  <c:v>675.1656779411876</c:v>
                </c:pt>
                <c:pt idx="632">
                  <c:v>679.02376752942291</c:v>
                </c:pt>
                <c:pt idx="633">
                  <c:v>673.55814061275623</c:v>
                </c:pt>
                <c:pt idx="634">
                  <c:v>677.73773766667773</c:v>
                </c:pt>
                <c:pt idx="635">
                  <c:v>679.34527499510921</c:v>
                </c:pt>
                <c:pt idx="636">
                  <c:v>691.24105122550156</c:v>
                </c:pt>
                <c:pt idx="637">
                  <c:v>688.66899150001143</c:v>
                </c:pt>
                <c:pt idx="638">
                  <c:v>679.34527499510921</c:v>
                </c:pt>
                <c:pt idx="639">
                  <c:v>672.91512568138364</c:v>
                </c:pt>
                <c:pt idx="640">
                  <c:v>665.52045397059919</c:v>
                </c:pt>
                <c:pt idx="641">
                  <c:v>668.09251369608944</c:v>
                </c:pt>
                <c:pt idx="642">
                  <c:v>673.23663314706994</c:v>
                </c:pt>
                <c:pt idx="643">
                  <c:v>672.91512568138364</c:v>
                </c:pt>
                <c:pt idx="644">
                  <c:v>669.05703609314821</c:v>
                </c:pt>
                <c:pt idx="645">
                  <c:v>672.91512568138364</c:v>
                </c:pt>
                <c:pt idx="646">
                  <c:v>670.02155849020721</c:v>
                </c:pt>
                <c:pt idx="647">
                  <c:v>657.80427479412856</c:v>
                </c:pt>
                <c:pt idx="648">
                  <c:v>663.26990171079524</c:v>
                </c:pt>
                <c:pt idx="649">
                  <c:v>663.59140917648153</c:v>
                </c:pt>
                <c:pt idx="650">
                  <c:v>660.37633451961869</c:v>
                </c:pt>
                <c:pt idx="651">
                  <c:v>665.19894650491301</c:v>
                </c:pt>
                <c:pt idx="652">
                  <c:v>653.94618520589313</c:v>
                </c:pt>
                <c:pt idx="653">
                  <c:v>654.26769267157943</c:v>
                </c:pt>
                <c:pt idx="654">
                  <c:v>649.44508068628511</c:v>
                </c:pt>
                <c:pt idx="655">
                  <c:v>635.9417671274615</c:v>
                </c:pt>
                <c:pt idx="656">
                  <c:v>645.26548363236361</c:v>
                </c:pt>
                <c:pt idx="657">
                  <c:v>647.19452842648127</c:v>
                </c:pt>
                <c:pt idx="658">
                  <c:v>638.19231938726546</c:v>
                </c:pt>
                <c:pt idx="659">
                  <c:v>645.58699109804979</c:v>
                </c:pt>
                <c:pt idx="660">
                  <c:v>639.79985671569682</c:v>
                </c:pt>
                <c:pt idx="661">
                  <c:v>638.51382685295164</c:v>
                </c:pt>
                <c:pt idx="662">
                  <c:v>638.51382685295164</c:v>
                </c:pt>
                <c:pt idx="663">
                  <c:v>629.83312527942212</c:v>
                </c:pt>
                <c:pt idx="664">
                  <c:v>632.08367753922607</c:v>
                </c:pt>
                <c:pt idx="665">
                  <c:v>624.36749836275544</c:v>
                </c:pt>
                <c:pt idx="666">
                  <c:v>623.72448343138274</c:v>
                </c:pt>
                <c:pt idx="667">
                  <c:v>626.61805062255928</c:v>
                </c:pt>
                <c:pt idx="668">
                  <c:v>626.61805062255928</c:v>
                </c:pt>
                <c:pt idx="669">
                  <c:v>621.1524237058926</c:v>
                </c:pt>
                <c:pt idx="670">
                  <c:v>634.97724473040262</c:v>
                </c:pt>
                <c:pt idx="671">
                  <c:v>625.97503569118669</c:v>
                </c:pt>
                <c:pt idx="672">
                  <c:v>626.61805062255928</c:v>
                </c:pt>
                <c:pt idx="673">
                  <c:v>617.29433411765717</c:v>
                </c:pt>
                <c:pt idx="674">
                  <c:v>614.07925946079445</c:v>
                </c:pt>
                <c:pt idx="675">
                  <c:v>617.61584158334358</c:v>
                </c:pt>
                <c:pt idx="676">
                  <c:v>615.04378185785322</c:v>
                </c:pt>
                <c:pt idx="677">
                  <c:v>616.97282665197099</c:v>
                </c:pt>
                <c:pt idx="678">
                  <c:v>610.86418480393172</c:v>
                </c:pt>
                <c:pt idx="679">
                  <c:v>611.1856922696179</c:v>
                </c:pt>
                <c:pt idx="680">
                  <c:v>601.2189608333432</c:v>
                </c:pt>
                <c:pt idx="681">
                  <c:v>599.28991603922555</c:v>
                </c:pt>
                <c:pt idx="682">
                  <c:v>599.28991603922555</c:v>
                </c:pt>
                <c:pt idx="683">
                  <c:v>602.82649816177468</c:v>
                </c:pt>
                <c:pt idx="684">
                  <c:v>598.96840857353925</c:v>
                </c:pt>
                <c:pt idx="685">
                  <c:v>594.78881151961764</c:v>
                </c:pt>
                <c:pt idx="686">
                  <c:v>593.18127419118628</c:v>
                </c:pt>
                <c:pt idx="687">
                  <c:v>570.35424412746033</c:v>
                </c:pt>
                <c:pt idx="688">
                  <c:v>576.14137850981353</c:v>
                </c:pt>
                <c:pt idx="689">
                  <c:v>570.99725905883304</c:v>
                </c:pt>
                <c:pt idx="690">
                  <c:v>563.28107988236218</c:v>
                </c:pt>
                <c:pt idx="691">
                  <c:v>563.92409481373477</c:v>
                </c:pt>
                <c:pt idx="692">
                  <c:v>565.21012467647995</c:v>
                </c:pt>
                <c:pt idx="693">
                  <c:v>550.09927378922475</c:v>
                </c:pt>
                <c:pt idx="694">
                  <c:v>547.8487215294208</c:v>
                </c:pt>
                <c:pt idx="695">
                  <c:v>549.45625885785216</c:v>
                </c:pt>
                <c:pt idx="696">
                  <c:v>545.59816926961685</c:v>
                </c:pt>
                <c:pt idx="697">
                  <c:v>547.20570659804821</c:v>
                </c:pt>
                <c:pt idx="698">
                  <c:v>558.13696043138168</c:v>
                </c:pt>
                <c:pt idx="699">
                  <c:v>557.81545296569561</c:v>
                </c:pt>
                <c:pt idx="700">
                  <c:v>567.13916947059761</c:v>
                </c:pt>
                <c:pt idx="701">
                  <c:v>554.92188577451896</c:v>
                </c:pt>
                <c:pt idx="702">
                  <c:v>559.74449775981316</c:v>
                </c:pt>
                <c:pt idx="703">
                  <c:v>562.6380649509897</c:v>
                </c:pt>
                <c:pt idx="704">
                  <c:v>546.88419913236191</c:v>
                </c:pt>
                <c:pt idx="705">
                  <c:v>561.35203508824463</c:v>
                </c:pt>
                <c:pt idx="706">
                  <c:v>558.13696043138168</c:v>
                </c:pt>
                <c:pt idx="707">
                  <c:v>558.77997536275427</c:v>
                </c:pt>
                <c:pt idx="708">
                  <c:v>558.13696043138168</c:v>
                </c:pt>
                <c:pt idx="709">
                  <c:v>558.13696043138168</c:v>
                </c:pt>
                <c:pt idx="710">
                  <c:v>548.81324392647969</c:v>
                </c:pt>
                <c:pt idx="711">
                  <c:v>552.67133351471512</c:v>
                </c:pt>
                <c:pt idx="712">
                  <c:v>552.34982604902871</c:v>
                </c:pt>
                <c:pt idx="713">
                  <c:v>552.34982604902871</c:v>
                </c:pt>
                <c:pt idx="714">
                  <c:v>552.9928409804013</c:v>
                </c:pt>
                <c:pt idx="715">
                  <c:v>539.48952742157746</c:v>
                </c:pt>
                <c:pt idx="716">
                  <c:v>520.84209441177336</c:v>
                </c:pt>
                <c:pt idx="717">
                  <c:v>519.23455708334188</c:v>
                </c:pt>
                <c:pt idx="718">
                  <c:v>518.27003468628311</c:v>
                </c:pt>
                <c:pt idx="719">
                  <c:v>492.54943743138068</c:v>
                </c:pt>
                <c:pt idx="720">
                  <c:v>491.2634075686355</c:v>
                </c:pt>
                <c:pt idx="721">
                  <c:v>495.76451208824346</c:v>
                </c:pt>
                <c:pt idx="722">
                  <c:v>503.80219873040045</c:v>
                </c:pt>
                <c:pt idx="723">
                  <c:v>500.58712407353767</c:v>
                </c:pt>
                <c:pt idx="724">
                  <c:v>502.19466140196903</c:v>
                </c:pt>
                <c:pt idx="725">
                  <c:v>506.0527509902044</c:v>
                </c:pt>
                <c:pt idx="726">
                  <c:v>493.51395982843951</c:v>
                </c:pt>
                <c:pt idx="727">
                  <c:v>520.84209441177336</c:v>
                </c:pt>
                <c:pt idx="728">
                  <c:v>523.09264667157731</c:v>
                </c:pt>
                <c:pt idx="729">
                  <c:v>522.77113920589102</c:v>
                </c:pt>
                <c:pt idx="730">
                  <c:v>520.84209441177336</c:v>
                </c:pt>
                <c:pt idx="731">
                  <c:v>524.05716906863609</c:v>
                </c:pt>
                <c:pt idx="732">
                  <c:v>525.02169146569486</c:v>
                </c:pt>
                <c:pt idx="733">
                  <c:v>535.63143783334226</c:v>
                </c:pt>
                <c:pt idx="734">
                  <c:v>534.02390050491078</c:v>
                </c:pt>
                <c:pt idx="735">
                  <c:v>527.91525865687152</c:v>
                </c:pt>
                <c:pt idx="736">
                  <c:v>513.44742270098891</c:v>
                </c:pt>
                <c:pt idx="737">
                  <c:v>505.73124352451816</c:v>
                </c:pt>
                <c:pt idx="738">
                  <c:v>519.55606454902818</c:v>
                </c:pt>
                <c:pt idx="739">
                  <c:v>524.05716906863609</c:v>
                </c:pt>
                <c:pt idx="740">
                  <c:v>527.91525865687152</c:v>
                </c:pt>
                <c:pt idx="741">
                  <c:v>525.02169146569486</c:v>
                </c:pt>
                <c:pt idx="742">
                  <c:v>522.77113920589102</c:v>
                </c:pt>
                <c:pt idx="743">
                  <c:v>526.30772132844004</c:v>
                </c:pt>
                <c:pt idx="744">
                  <c:v>548.49173646079328</c:v>
                </c:pt>
                <c:pt idx="745">
                  <c:v>545.91967673530314</c:v>
                </c:pt>
                <c:pt idx="746">
                  <c:v>548.81324392647969</c:v>
                </c:pt>
                <c:pt idx="747">
                  <c:v>541.74007968138153</c:v>
                </c:pt>
                <c:pt idx="748">
                  <c:v>523.73566160294979</c:v>
                </c:pt>
                <c:pt idx="749">
                  <c:v>512.80440776961632</c:v>
                </c:pt>
                <c:pt idx="750">
                  <c:v>516.98400482353793</c:v>
                </c:pt>
                <c:pt idx="751">
                  <c:v>509.91084057843972</c:v>
                </c:pt>
                <c:pt idx="752">
                  <c:v>517.30551228922411</c:v>
                </c:pt>
                <c:pt idx="753">
                  <c:v>505.08822859314563</c:v>
                </c:pt>
                <c:pt idx="754">
                  <c:v>507.01727338726323</c:v>
                </c:pt>
                <c:pt idx="755">
                  <c:v>514.41194509804768</c:v>
                </c:pt>
                <c:pt idx="756">
                  <c:v>507.66028831863576</c:v>
                </c:pt>
                <c:pt idx="757">
                  <c:v>513.44742270098891</c:v>
                </c:pt>
                <c:pt idx="758">
                  <c:v>505.08822859314563</c:v>
                </c:pt>
                <c:pt idx="759">
                  <c:v>510.55385550981237</c:v>
                </c:pt>
                <c:pt idx="760">
                  <c:v>523.73566160294979</c:v>
                </c:pt>
                <c:pt idx="761">
                  <c:v>525.02169146569486</c:v>
                </c:pt>
                <c:pt idx="762">
                  <c:v>526.30772132844004</c:v>
                </c:pt>
                <c:pt idx="763">
                  <c:v>522.12812427451843</c:v>
                </c:pt>
                <c:pt idx="764">
                  <c:v>531.13033331373424</c:v>
                </c:pt>
                <c:pt idx="765">
                  <c:v>546.56269166667573</c:v>
                </c:pt>
                <c:pt idx="766">
                  <c:v>534.98842290196956</c:v>
                </c:pt>
                <c:pt idx="767">
                  <c:v>550.42078125491116</c:v>
                </c:pt>
                <c:pt idx="768">
                  <c:v>543.99063194118548</c:v>
                </c:pt>
                <c:pt idx="769">
                  <c:v>567.46067693628379</c:v>
                </c:pt>
                <c:pt idx="770">
                  <c:v>572.28328892157811</c:v>
                </c:pt>
                <c:pt idx="771">
                  <c:v>585.78660248040183</c:v>
                </c:pt>
                <c:pt idx="772">
                  <c:v>581.28549796079392</c:v>
                </c:pt>
                <c:pt idx="773">
                  <c:v>586.10810994608812</c:v>
                </c:pt>
                <c:pt idx="774">
                  <c:v>573.24781131863688</c:v>
                </c:pt>
                <c:pt idx="775">
                  <c:v>574.53384118138206</c:v>
                </c:pt>
                <c:pt idx="776">
                  <c:v>579.03494570098997</c:v>
                </c:pt>
                <c:pt idx="777">
                  <c:v>560.38751269118575</c:v>
                </c:pt>
                <c:pt idx="778">
                  <c:v>543.99063194118548</c:v>
                </c:pt>
                <c:pt idx="779">
                  <c:v>553.63585591177377</c:v>
                </c:pt>
                <c:pt idx="780">
                  <c:v>565.53163214216613</c:v>
                </c:pt>
                <c:pt idx="781">
                  <c:v>559.10148282844068</c:v>
                </c:pt>
                <c:pt idx="782">
                  <c:v>546.56269166667573</c:v>
                </c:pt>
                <c:pt idx="783">
                  <c:v>553.63585591177377</c:v>
                </c:pt>
                <c:pt idx="784">
                  <c:v>545.59816926961685</c:v>
                </c:pt>
                <c:pt idx="785">
                  <c:v>540.13254235295017</c:v>
                </c:pt>
                <c:pt idx="786">
                  <c:v>544.95515433824426</c:v>
                </c:pt>
                <c:pt idx="787">
                  <c:v>543.02610954412671</c:v>
                </c:pt>
                <c:pt idx="788">
                  <c:v>542.06158714706771</c:v>
                </c:pt>
                <c:pt idx="789">
                  <c:v>555.24339324020525</c:v>
                </c:pt>
                <c:pt idx="790">
                  <c:v>540.77555728432264</c:v>
                </c:pt>
                <c:pt idx="791">
                  <c:v>527.91525865687152</c:v>
                </c:pt>
                <c:pt idx="792">
                  <c:v>537.88199009314621</c:v>
                </c:pt>
                <c:pt idx="793">
                  <c:v>525.34319893138127</c:v>
                </c:pt>
                <c:pt idx="794">
                  <c:v>520.84209441177336</c:v>
                </c:pt>
                <c:pt idx="795">
                  <c:v>524.70018400000856</c:v>
                </c:pt>
                <c:pt idx="796">
                  <c:v>530.80882584804806</c:v>
                </c:pt>
                <c:pt idx="797">
                  <c:v>540.77555728432264</c:v>
                </c:pt>
                <c:pt idx="798">
                  <c:v>531.45184077942054</c:v>
                </c:pt>
                <c:pt idx="799">
                  <c:v>534.66691543628326</c:v>
                </c:pt>
                <c:pt idx="800">
                  <c:v>527.91525865687152</c:v>
                </c:pt>
                <c:pt idx="801">
                  <c:v>524.70018400000856</c:v>
                </c:pt>
                <c:pt idx="802">
                  <c:v>520.52058694608706</c:v>
                </c:pt>
                <c:pt idx="803">
                  <c:v>514.09043763236139</c:v>
                </c:pt>
                <c:pt idx="804">
                  <c:v>511.83988537255743</c:v>
                </c:pt>
                <c:pt idx="805">
                  <c:v>507.33878085294947</c:v>
                </c:pt>
                <c:pt idx="806">
                  <c:v>502.83767633334162</c:v>
                </c:pt>
                <c:pt idx="807">
                  <c:v>504.12370619608669</c:v>
                </c:pt>
                <c:pt idx="808">
                  <c:v>498.33657181373371</c:v>
                </c:pt>
                <c:pt idx="809">
                  <c:v>500.90863153922396</c:v>
                </c:pt>
                <c:pt idx="810">
                  <c:v>500.26561660785143</c:v>
                </c:pt>
                <c:pt idx="811">
                  <c:v>497.37204941667488</c:v>
                </c:pt>
                <c:pt idx="812">
                  <c:v>510.55385550981237</c:v>
                </c:pt>
                <c:pt idx="813">
                  <c:v>519.87757201471447</c:v>
                </c:pt>
                <c:pt idx="814">
                  <c:v>537.88199009314621</c:v>
                </c:pt>
                <c:pt idx="815">
                  <c:v>545.59816926961685</c:v>
                </c:pt>
                <c:pt idx="816">
                  <c:v>544.63364687255796</c:v>
                </c:pt>
                <c:pt idx="817">
                  <c:v>550.74228872059723</c:v>
                </c:pt>
                <c:pt idx="818">
                  <c:v>551.06379618628364</c:v>
                </c:pt>
                <c:pt idx="819">
                  <c:v>535.30993036765585</c:v>
                </c:pt>
                <c:pt idx="820">
                  <c:v>533.70239303922449</c:v>
                </c:pt>
                <c:pt idx="821">
                  <c:v>532.41636317647931</c:v>
                </c:pt>
                <c:pt idx="822">
                  <c:v>541.41857221569524</c:v>
                </c:pt>
                <c:pt idx="823">
                  <c:v>542.06158714706771</c:v>
                </c:pt>
                <c:pt idx="824">
                  <c:v>541.41857221569524</c:v>
                </c:pt>
                <c:pt idx="825">
                  <c:v>524.05716906863609</c:v>
                </c:pt>
                <c:pt idx="826">
                  <c:v>532.09485571079301</c:v>
                </c:pt>
                <c:pt idx="827">
                  <c:v>523.09264667157731</c:v>
                </c:pt>
                <c:pt idx="828">
                  <c:v>516.98400482353793</c:v>
                </c:pt>
                <c:pt idx="829">
                  <c:v>520.19907948040077</c:v>
                </c:pt>
                <c:pt idx="830">
                  <c:v>529.52279598530288</c:v>
                </c:pt>
                <c:pt idx="831">
                  <c:v>525.98621386275374</c:v>
                </c:pt>
                <c:pt idx="832">
                  <c:v>517.30551228922411</c:v>
                </c:pt>
                <c:pt idx="833">
                  <c:v>516.98400482353793</c:v>
                </c:pt>
                <c:pt idx="834">
                  <c:v>516.01948242647916</c:v>
                </c:pt>
                <c:pt idx="835">
                  <c:v>509.91084057843972</c:v>
                </c:pt>
                <c:pt idx="836">
                  <c:v>508.94631818138095</c:v>
                </c:pt>
                <c:pt idx="837">
                  <c:v>509.26782564706718</c:v>
                </c:pt>
                <c:pt idx="838">
                  <c:v>524.70018400000856</c:v>
                </c:pt>
                <c:pt idx="839">
                  <c:v>529.84430345098906</c:v>
                </c:pt>
                <c:pt idx="840">
                  <c:v>531.13033331373424</c:v>
                </c:pt>
                <c:pt idx="841">
                  <c:v>519.87757201471447</c:v>
                </c:pt>
                <c:pt idx="842">
                  <c:v>527.91525865687152</c:v>
                </c:pt>
                <c:pt idx="843">
                  <c:v>527.59375119118511</c:v>
                </c:pt>
                <c:pt idx="844">
                  <c:v>525.66470639706756</c:v>
                </c:pt>
                <c:pt idx="845">
                  <c:v>524.37867653432238</c:v>
                </c:pt>
                <c:pt idx="846">
                  <c:v>526.95073625981263</c:v>
                </c:pt>
                <c:pt idx="847">
                  <c:v>529.20128851961658</c:v>
                </c:pt>
                <c:pt idx="848">
                  <c:v>535.30993036765585</c:v>
                </c:pt>
                <c:pt idx="849">
                  <c:v>559.42299029412675</c:v>
                </c:pt>
                <c:pt idx="850">
                  <c:v>554.60037830883266</c:v>
                </c:pt>
                <c:pt idx="851">
                  <c:v>569.06821426471527</c:v>
                </c:pt>
                <c:pt idx="852">
                  <c:v>559.42299029412675</c:v>
                </c:pt>
                <c:pt idx="853">
                  <c:v>548.81324392647969</c:v>
                </c:pt>
                <c:pt idx="854">
                  <c:v>552.34982604902871</c:v>
                </c:pt>
                <c:pt idx="855">
                  <c:v>554.60037830883266</c:v>
                </c:pt>
                <c:pt idx="856">
                  <c:v>539.81103488726376</c:v>
                </c:pt>
                <c:pt idx="857">
                  <c:v>535.63143783334226</c:v>
                </c:pt>
                <c:pt idx="858">
                  <c:v>536.27445276471474</c:v>
                </c:pt>
                <c:pt idx="859">
                  <c:v>535.95294529902844</c:v>
                </c:pt>
                <c:pt idx="860">
                  <c:v>534.02390050491078</c:v>
                </c:pt>
                <c:pt idx="861">
                  <c:v>536.91746769608733</c:v>
                </c:pt>
                <c:pt idx="862">
                  <c:v>533.70239303922449</c:v>
                </c:pt>
                <c:pt idx="863">
                  <c:v>529.52279598530288</c:v>
                </c:pt>
                <c:pt idx="864">
                  <c:v>519.23455708334188</c:v>
                </c:pt>
                <c:pt idx="865">
                  <c:v>516.34098989216534</c:v>
                </c:pt>
                <c:pt idx="866">
                  <c:v>518.59154215196929</c:v>
                </c:pt>
                <c:pt idx="867">
                  <c:v>518.59154215196929</c:v>
                </c:pt>
                <c:pt idx="868">
                  <c:v>510.23234804412596</c:v>
                </c:pt>
                <c:pt idx="869">
                  <c:v>512.16139283824373</c:v>
                </c:pt>
                <c:pt idx="870">
                  <c:v>512.16139283824373</c:v>
                </c:pt>
                <c:pt idx="871">
                  <c:v>515.37646749510657</c:v>
                </c:pt>
                <c:pt idx="872">
                  <c:v>513.76893016667509</c:v>
                </c:pt>
                <c:pt idx="873">
                  <c:v>522.12812427451843</c:v>
                </c:pt>
                <c:pt idx="874">
                  <c:v>518.27003468628311</c:v>
                </c:pt>
                <c:pt idx="875">
                  <c:v>520.52058694608706</c:v>
                </c:pt>
                <c:pt idx="876">
                  <c:v>513.12591523530261</c:v>
                </c:pt>
                <c:pt idx="877">
                  <c:v>510.8753629754986</c:v>
                </c:pt>
                <c:pt idx="878">
                  <c:v>507.01727338726323</c:v>
                </c:pt>
                <c:pt idx="879">
                  <c:v>508.94631818138095</c:v>
                </c:pt>
                <c:pt idx="880">
                  <c:v>508.94631818138095</c:v>
                </c:pt>
                <c:pt idx="881">
                  <c:v>504.76672112745922</c:v>
                </c:pt>
                <c:pt idx="882">
                  <c:v>502.51616886765538</c:v>
                </c:pt>
                <c:pt idx="883">
                  <c:v>501.87315393628273</c:v>
                </c:pt>
                <c:pt idx="884">
                  <c:v>502.83767633334162</c:v>
                </c:pt>
                <c:pt idx="885">
                  <c:v>501.2301390049102</c:v>
                </c:pt>
                <c:pt idx="886">
                  <c:v>501.87315393628273</c:v>
                </c:pt>
                <c:pt idx="887">
                  <c:v>481.93969106373345</c:v>
                </c:pt>
                <c:pt idx="888">
                  <c:v>494.4784822254984</c:v>
                </c:pt>
                <c:pt idx="889">
                  <c:v>496.72903448530229</c:v>
                </c:pt>
                <c:pt idx="890">
                  <c:v>496.72903448530229</c:v>
                </c:pt>
                <c:pt idx="891">
                  <c:v>491.2634075686355</c:v>
                </c:pt>
                <c:pt idx="892">
                  <c:v>492.22792996569444</c:v>
                </c:pt>
                <c:pt idx="893">
                  <c:v>480.01064626961573</c:v>
                </c:pt>
                <c:pt idx="894">
                  <c:v>482.58270599510598</c:v>
                </c:pt>
                <c:pt idx="895">
                  <c:v>477.11707907843925</c:v>
                </c:pt>
                <c:pt idx="896">
                  <c:v>474.22351188726276</c:v>
                </c:pt>
                <c:pt idx="897">
                  <c:v>475.18803428432153</c:v>
                </c:pt>
                <c:pt idx="898">
                  <c:v>478.40310894118437</c:v>
                </c:pt>
                <c:pt idx="899">
                  <c:v>465.86431777941942</c:v>
                </c:pt>
                <c:pt idx="900">
                  <c:v>472.29446709314504</c:v>
                </c:pt>
                <c:pt idx="901">
                  <c:v>467.47185510785084</c:v>
                </c:pt>
                <c:pt idx="902">
                  <c:v>469.7224073676548</c:v>
                </c:pt>
                <c:pt idx="903">
                  <c:v>470.68692976471368</c:v>
                </c:pt>
                <c:pt idx="904">
                  <c:v>468.11487003922343</c:v>
                </c:pt>
                <c:pt idx="905">
                  <c:v>473.58049695589017</c:v>
                </c:pt>
                <c:pt idx="906">
                  <c:v>467.47185510785084</c:v>
                </c:pt>
                <c:pt idx="907">
                  <c:v>466.82884017647831</c:v>
                </c:pt>
                <c:pt idx="908">
                  <c:v>478.40310894118437</c:v>
                </c:pt>
                <c:pt idx="909">
                  <c:v>492.22792996569444</c:v>
                </c:pt>
                <c:pt idx="910">
                  <c:v>493.83546729412575</c:v>
                </c:pt>
                <c:pt idx="911">
                  <c:v>492.87094489706698</c:v>
                </c:pt>
                <c:pt idx="912">
                  <c:v>499.94410914216513</c:v>
                </c:pt>
                <c:pt idx="913">
                  <c:v>489.65587024020419</c:v>
                </c:pt>
                <c:pt idx="914">
                  <c:v>489.65587024020419</c:v>
                </c:pt>
                <c:pt idx="915">
                  <c:v>477.11707907843925</c:v>
                </c:pt>
                <c:pt idx="916">
                  <c:v>498.33657181373371</c:v>
                </c:pt>
                <c:pt idx="917">
                  <c:v>497.05054195098865</c:v>
                </c:pt>
                <c:pt idx="918">
                  <c:v>480.33215373530203</c:v>
                </c:pt>
                <c:pt idx="919">
                  <c:v>478.08160147549808</c:v>
                </c:pt>
                <c:pt idx="920">
                  <c:v>463.29225805392923</c:v>
                </c:pt>
                <c:pt idx="921">
                  <c:v>458.79115353432127</c:v>
                </c:pt>
                <c:pt idx="922">
                  <c:v>464.25678045098806</c:v>
                </c:pt>
                <c:pt idx="923">
                  <c:v>471.97295962745875</c:v>
                </c:pt>
                <c:pt idx="924">
                  <c:v>468.11487003922343</c:v>
                </c:pt>
                <c:pt idx="925">
                  <c:v>472.93748202451764</c:v>
                </c:pt>
                <c:pt idx="926">
                  <c:v>472.29446709314504</c:v>
                </c:pt>
                <c:pt idx="927">
                  <c:v>467.47185510785084</c:v>
                </c:pt>
                <c:pt idx="928">
                  <c:v>470.36542229902739</c:v>
                </c:pt>
                <c:pt idx="929">
                  <c:v>474.86652681863529</c:v>
                </c:pt>
                <c:pt idx="930">
                  <c:v>473.25898949020387</c:v>
                </c:pt>
                <c:pt idx="931">
                  <c:v>468.75788497059597</c:v>
                </c:pt>
                <c:pt idx="932">
                  <c:v>463.93527298530176</c:v>
                </c:pt>
                <c:pt idx="933">
                  <c:v>461.36321325981152</c:v>
                </c:pt>
                <c:pt idx="934">
                  <c:v>466.50733271079196</c:v>
                </c:pt>
                <c:pt idx="935">
                  <c:v>474.545019352949</c:v>
                </c:pt>
                <c:pt idx="936">
                  <c:v>490.62039263726297</c:v>
                </c:pt>
                <c:pt idx="937">
                  <c:v>488.04833291177272</c:v>
                </c:pt>
                <c:pt idx="938">
                  <c:v>480.33215373530203</c:v>
                </c:pt>
                <c:pt idx="939">
                  <c:v>475.83104921569412</c:v>
                </c:pt>
                <c:pt idx="940">
                  <c:v>475.50954175000783</c:v>
                </c:pt>
                <c:pt idx="941">
                  <c:v>481.93969106373345</c:v>
                </c:pt>
                <c:pt idx="942">
                  <c:v>472.61597455883128</c:v>
                </c:pt>
                <c:pt idx="943">
                  <c:v>468.11487003922343</c:v>
                </c:pt>
                <c:pt idx="944">
                  <c:v>471.00843723039992</c:v>
                </c:pt>
                <c:pt idx="945">
                  <c:v>467.79336257353714</c:v>
                </c:pt>
                <c:pt idx="946">
                  <c:v>463.93527298530176</c:v>
                </c:pt>
                <c:pt idx="947">
                  <c:v>490.29888517157673</c:v>
                </c:pt>
                <c:pt idx="948">
                  <c:v>503.80219873040045</c:v>
                </c:pt>
                <c:pt idx="949">
                  <c:v>508.62481071569465</c:v>
                </c:pt>
                <c:pt idx="950">
                  <c:v>501.87315393628273</c:v>
                </c:pt>
                <c:pt idx="951">
                  <c:v>514.09043763236139</c:v>
                </c:pt>
                <c:pt idx="952">
                  <c:v>513.12591523530261</c:v>
                </c:pt>
                <c:pt idx="953">
                  <c:v>501.87315393628273</c:v>
                </c:pt>
                <c:pt idx="954">
                  <c:v>509.26782564706718</c:v>
                </c:pt>
                <c:pt idx="955">
                  <c:v>520.19907948040077</c:v>
                </c:pt>
                <c:pt idx="956">
                  <c:v>515.69797496079286</c:v>
                </c:pt>
                <c:pt idx="957">
                  <c:v>509.91084057843972</c:v>
                </c:pt>
                <c:pt idx="958">
                  <c:v>509.91084057843972</c:v>
                </c:pt>
                <c:pt idx="959">
                  <c:v>506.3742584558907</c:v>
                </c:pt>
                <c:pt idx="960">
                  <c:v>507.01727338726323</c:v>
                </c:pt>
                <c:pt idx="961">
                  <c:v>513.76893016667509</c:v>
                </c:pt>
                <c:pt idx="962">
                  <c:v>517.62701975491052</c:v>
                </c:pt>
                <c:pt idx="963">
                  <c:v>507.98179578432212</c:v>
                </c:pt>
                <c:pt idx="964">
                  <c:v>515.37646749510657</c:v>
                </c:pt>
                <c:pt idx="965">
                  <c:v>508.62481071569465</c:v>
                </c:pt>
                <c:pt idx="966">
                  <c:v>502.51616886765538</c:v>
                </c:pt>
                <c:pt idx="967">
                  <c:v>495.12149715687093</c:v>
                </c:pt>
                <c:pt idx="968">
                  <c:v>494.4784822254984</c:v>
                </c:pt>
                <c:pt idx="969">
                  <c:v>490.62039263726297</c:v>
                </c:pt>
                <c:pt idx="970">
                  <c:v>482.90421346079228</c:v>
                </c:pt>
                <c:pt idx="971">
                  <c:v>484.83325825490999</c:v>
                </c:pt>
                <c:pt idx="972">
                  <c:v>475.18803428432153</c:v>
                </c:pt>
                <c:pt idx="973">
                  <c:v>467.79336257353714</c:v>
                </c:pt>
                <c:pt idx="974">
                  <c:v>464.25678045098806</c:v>
                </c:pt>
                <c:pt idx="975">
                  <c:v>462.6492431225567</c:v>
                </c:pt>
                <c:pt idx="976">
                  <c:v>462.6492431225567</c:v>
                </c:pt>
                <c:pt idx="977">
                  <c:v>461.68472072549775</c:v>
                </c:pt>
                <c:pt idx="978">
                  <c:v>458.14813860294873</c:v>
                </c:pt>
                <c:pt idx="979">
                  <c:v>455.57607887745849</c:v>
                </c:pt>
                <c:pt idx="980">
                  <c:v>456.86210874020367</c:v>
                </c:pt>
                <c:pt idx="981">
                  <c:v>459.43416846569386</c:v>
                </c:pt>
                <c:pt idx="982">
                  <c:v>454.61155648039971</c:v>
                </c:pt>
                <c:pt idx="983">
                  <c:v>452.3610042205957</c:v>
                </c:pt>
                <c:pt idx="984">
                  <c:v>459.43416846569386</c:v>
                </c:pt>
                <c:pt idx="985">
                  <c:v>453.64703408334077</c:v>
                </c:pt>
                <c:pt idx="986">
                  <c:v>452.682511686282</c:v>
                </c:pt>
                <c:pt idx="987">
                  <c:v>456.86210874020367</c:v>
                </c:pt>
                <c:pt idx="988">
                  <c:v>454.61155648039971</c:v>
                </c:pt>
                <c:pt idx="989">
                  <c:v>447.8598997009878</c:v>
                </c:pt>
                <c:pt idx="990">
                  <c:v>454.29004901471342</c:v>
                </c:pt>
                <c:pt idx="991">
                  <c:v>465.86431777941942</c:v>
                </c:pt>
                <c:pt idx="992">
                  <c:v>465.86431777941942</c:v>
                </c:pt>
                <c:pt idx="993">
                  <c:v>457.82663113726244</c:v>
                </c:pt>
                <c:pt idx="994">
                  <c:v>458.79115353432127</c:v>
                </c:pt>
                <c:pt idx="995">
                  <c:v>455.57607887745849</c:v>
                </c:pt>
                <c:pt idx="996">
                  <c:v>447.5383922353015</c:v>
                </c:pt>
                <c:pt idx="997">
                  <c:v>440.78673545588964</c:v>
                </c:pt>
                <c:pt idx="998">
                  <c:v>441.75125785294847</c:v>
                </c:pt>
                <c:pt idx="999">
                  <c:v>441.75125785294847</c:v>
                </c:pt>
                <c:pt idx="1000">
                  <c:v>452.682511686282</c:v>
                </c:pt>
                <c:pt idx="1001">
                  <c:v>444.32331757843872</c:v>
                </c:pt>
                <c:pt idx="1002">
                  <c:v>456.54060127451731</c:v>
                </c:pt>
                <c:pt idx="1003">
                  <c:v>457.82663113726244</c:v>
                </c:pt>
                <c:pt idx="1004">
                  <c:v>460.72019832843898</c:v>
                </c:pt>
                <c:pt idx="1005">
                  <c:v>456.54060127451731</c:v>
                </c:pt>
                <c:pt idx="1006">
                  <c:v>447.8598997009878</c:v>
                </c:pt>
                <c:pt idx="1007">
                  <c:v>444.32331757843872</c:v>
                </c:pt>
                <c:pt idx="1008">
                  <c:v>444.32331757843872</c:v>
                </c:pt>
                <c:pt idx="1009">
                  <c:v>450.11045196079175</c:v>
                </c:pt>
                <c:pt idx="1010">
                  <c:v>450.43195942647799</c:v>
                </c:pt>
                <c:pt idx="1011">
                  <c:v>450.43195942647799</c:v>
                </c:pt>
                <c:pt idx="1012">
                  <c:v>451.07497435785052</c:v>
                </c:pt>
                <c:pt idx="1013">
                  <c:v>451.39648182353682</c:v>
                </c:pt>
                <c:pt idx="1014">
                  <c:v>449.14592956373292</c:v>
                </c:pt>
                <c:pt idx="1015">
                  <c:v>449.14592956373292</c:v>
                </c:pt>
                <c:pt idx="1016">
                  <c:v>446.25236237255638</c:v>
                </c:pt>
                <c:pt idx="1017">
                  <c:v>444.64482504412501</c:v>
                </c:pt>
                <c:pt idx="1018">
                  <c:v>450.75346689216428</c:v>
                </c:pt>
                <c:pt idx="1019">
                  <c:v>443.68030264706613</c:v>
                </c:pt>
                <c:pt idx="1020">
                  <c:v>446.25236237255638</c:v>
                </c:pt>
                <c:pt idx="1021">
                  <c:v>451.07497435785052</c:v>
                </c:pt>
                <c:pt idx="1022">
                  <c:v>451.71798928922317</c:v>
                </c:pt>
                <c:pt idx="1023">
                  <c:v>450.43195942647799</c:v>
                </c:pt>
                <c:pt idx="1024">
                  <c:v>455.57607887745849</c:v>
                </c:pt>
                <c:pt idx="1025">
                  <c:v>457.1836162058899</c:v>
                </c:pt>
                <c:pt idx="1026">
                  <c:v>460.72019832843898</c:v>
                </c:pt>
                <c:pt idx="1027">
                  <c:v>462.3277356568704</c:v>
                </c:pt>
                <c:pt idx="1028">
                  <c:v>436.60713840196797</c:v>
                </c:pt>
                <c:pt idx="1029">
                  <c:v>452.682511686282</c:v>
                </c:pt>
                <c:pt idx="1030">
                  <c:v>460.72019832843898</c:v>
                </c:pt>
                <c:pt idx="1031">
                  <c:v>458.46964606863497</c:v>
                </c:pt>
                <c:pt idx="1032">
                  <c:v>463.29225805392923</c:v>
                </c:pt>
                <c:pt idx="1033">
                  <c:v>473.90200442157641</c:v>
                </c:pt>
                <c:pt idx="1034">
                  <c:v>479.3676313382432</c:v>
                </c:pt>
                <c:pt idx="1035">
                  <c:v>480.33215373530203</c:v>
                </c:pt>
                <c:pt idx="1036">
                  <c:v>493.19245236275322</c:v>
                </c:pt>
                <c:pt idx="1037">
                  <c:v>486.11928811765506</c:v>
                </c:pt>
                <c:pt idx="1038">
                  <c:v>503.15918379902791</c:v>
                </c:pt>
                <c:pt idx="1039">
                  <c:v>502.83767633334162</c:v>
                </c:pt>
                <c:pt idx="1040">
                  <c:v>490.62039263726297</c:v>
                </c:pt>
                <c:pt idx="1041">
                  <c:v>493.51395982843951</c:v>
                </c:pt>
                <c:pt idx="1042">
                  <c:v>490.29888517157673</c:v>
                </c:pt>
                <c:pt idx="1043">
                  <c:v>490.29888517157673</c:v>
                </c:pt>
                <c:pt idx="1044">
                  <c:v>494.1569747598121</c:v>
                </c:pt>
                <c:pt idx="1045">
                  <c:v>482.26119852941974</c:v>
                </c:pt>
                <c:pt idx="1046">
                  <c:v>489.0128553088316</c:v>
                </c:pt>
                <c:pt idx="1047">
                  <c:v>492.54943743138068</c:v>
                </c:pt>
                <c:pt idx="1048">
                  <c:v>487.40531798040018</c:v>
                </c:pt>
                <c:pt idx="1049">
                  <c:v>487.72682544608648</c:v>
                </c:pt>
                <c:pt idx="1050">
                  <c:v>474.22351188726276</c:v>
                </c:pt>
                <c:pt idx="1051">
                  <c:v>481.93969106373345</c:v>
                </c:pt>
                <c:pt idx="1052">
                  <c:v>476.47406414706666</c:v>
                </c:pt>
                <c:pt idx="1053">
                  <c:v>481.29667613236086</c:v>
                </c:pt>
                <c:pt idx="1054">
                  <c:v>496.0860195539297</c:v>
                </c:pt>
                <c:pt idx="1055">
                  <c:v>503.48069126471415</c:v>
                </c:pt>
                <c:pt idx="1056">
                  <c:v>503.48069126471415</c:v>
                </c:pt>
                <c:pt idx="1057">
                  <c:v>490.94190010294926</c:v>
                </c:pt>
                <c:pt idx="1058">
                  <c:v>490.94190010294926</c:v>
                </c:pt>
                <c:pt idx="1059">
                  <c:v>498.33657181373371</c:v>
                </c:pt>
                <c:pt idx="1060">
                  <c:v>501.55164647059649</c:v>
                </c:pt>
                <c:pt idx="1061">
                  <c:v>492.54943743138068</c:v>
                </c:pt>
                <c:pt idx="1062">
                  <c:v>491.5849150343218</c:v>
                </c:pt>
                <c:pt idx="1063">
                  <c:v>505.73124352451816</c:v>
                </c:pt>
                <c:pt idx="1064">
                  <c:v>512.48290030392991</c:v>
                </c:pt>
                <c:pt idx="1065">
                  <c:v>508.30330325000841</c:v>
                </c:pt>
                <c:pt idx="1066">
                  <c:v>510.8753629754986</c:v>
                </c:pt>
                <c:pt idx="1067">
                  <c:v>500.90863153922396</c:v>
                </c:pt>
                <c:pt idx="1068">
                  <c:v>491.2634075686355</c:v>
                </c:pt>
                <c:pt idx="1069">
                  <c:v>484.19024332353746</c:v>
                </c:pt>
                <c:pt idx="1070">
                  <c:v>494.4784822254984</c:v>
                </c:pt>
                <c:pt idx="1071">
                  <c:v>494.4784822254984</c:v>
                </c:pt>
                <c:pt idx="1072">
                  <c:v>494.4784822254984</c:v>
                </c:pt>
                <c:pt idx="1073">
                  <c:v>480.97516866667462</c:v>
                </c:pt>
                <c:pt idx="1074">
                  <c:v>488.36984037745901</c:v>
                </c:pt>
                <c:pt idx="1075">
                  <c:v>484.5117507892237</c:v>
                </c:pt>
                <c:pt idx="1076">
                  <c:v>489.3343627745179</c:v>
                </c:pt>
                <c:pt idx="1077">
                  <c:v>487.40531798040018</c:v>
                </c:pt>
                <c:pt idx="1078">
                  <c:v>500.26561660785143</c:v>
                </c:pt>
                <c:pt idx="1079">
                  <c:v>513.12591523530261</c:v>
                </c:pt>
                <c:pt idx="1080">
                  <c:v>513.76893016667509</c:v>
                </c:pt>
                <c:pt idx="1081">
                  <c:v>518.59154215196929</c:v>
                </c:pt>
                <c:pt idx="1082">
                  <c:v>519.87757201471447</c:v>
                </c:pt>
                <c:pt idx="1083">
                  <c:v>520.84209441177336</c:v>
                </c:pt>
                <c:pt idx="1084">
                  <c:v>534.34540797059708</c:v>
                </c:pt>
                <c:pt idx="1085">
                  <c:v>545.59816926961685</c:v>
                </c:pt>
                <c:pt idx="1086">
                  <c:v>556.85093056863661</c:v>
                </c:pt>
                <c:pt idx="1087">
                  <c:v>552.67133351471512</c:v>
                </c:pt>
                <c:pt idx="1088">
                  <c:v>542.06158714706771</c:v>
                </c:pt>
                <c:pt idx="1089">
                  <c:v>544.95515433824426</c:v>
                </c:pt>
                <c:pt idx="1090">
                  <c:v>557.4939455000092</c:v>
                </c:pt>
                <c:pt idx="1091">
                  <c:v>557.81545296569561</c:v>
                </c:pt>
                <c:pt idx="1092">
                  <c:v>574.21233371569565</c:v>
                </c:pt>
                <c:pt idx="1093">
                  <c:v>562.31655748530329</c:v>
                </c:pt>
                <c:pt idx="1094">
                  <c:v>552.34982604902871</c:v>
                </c:pt>
                <c:pt idx="1095">
                  <c:v>558.77997536275427</c:v>
                </c:pt>
                <c:pt idx="1096">
                  <c:v>556.52942310295032</c:v>
                </c:pt>
                <c:pt idx="1097">
                  <c:v>557.17243803432279</c:v>
                </c:pt>
                <c:pt idx="1098">
                  <c:v>547.8487215294208</c:v>
                </c:pt>
                <c:pt idx="1099">
                  <c:v>562.959572416676</c:v>
                </c:pt>
                <c:pt idx="1100">
                  <c:v>553.95736337746018</c:v>
                </c:pt>
                <c:pt idx="1101">
                  <c:v>549.45625885785216</c:v>
                </c:pt>
                <c:pt idx="1102">
                  <c:v>556.85093056863661</c:v>
                </c:pt>
                <c:pt idx="1103">
                  <c:v>549.13475139216587</c:v>
                </c:pt>
                <c:pt idx="1104">
                  <c:v>548.1702289951071</c:v>
                </c:pt>
                <c:pt idx="1105">
                  <c:v>533.70239303922449</c:v>
                </c:pt>
                <c:pt idx="1106">
                  <c:v>532.41636317647931</c:v>
                </c:pt>
                <c:pt idx="1107">
                  <c:v>524.37867653432238</c:v>
                </c:pt>
                <c:pt idx="1108">
                  <c:v>523.09264667157731</c:v>
                </c:pt>
                <c:pt idx="1109">
                  <c:v>521.16360187745954</c:v>
                </c:pt>
                <c:pt idx="1110">
                  <c:v>529.20128851961658</c:v>
                </c:pt>
                <c:pt idx="1111">
                  <c:v>524.05716906863609</c:v>
                </c:pt>
                <c:pt idx="1112">
                  <c:v>516.34098989216534</c:v>
                </c:pt>
                <c:pt idx="1113">
                  <c:v>512.80440776961632</c:v>
                </c:pt>
                <c:pt idx="1114">
                  <c:v>513.76893016667509</c:v>
                </c:pt>
                <c:pt idx="1115">
                  <c:v>517.62701975491052</c:v>
                </c:pt>
                <c:pt idx="1116">
                  <c:v>527.27224372549881</c:v>
                </c:pt>
                <c:pt idx="1117">
                  <c:v>524.37867653432238</c:v>
                </c:pt>
                <c:pt idx="1118">
                  <c:v>538.52500502451869</c:v>
                </c:pt>
                <c:pt idx="1119">
                  <c:v>548.1702289951071</c:v>
                </c:pt>
                <c:pt idx="1120">
                  <c:v>556.85093056863661</c:v>
                </c:pt>
                <c:pt idx="1121">
                  <c:v>556.85093056863661</c:v>
                </c:pt>
                <c:pt idx="1122">
                  <c:v>554.60037830883266</c:v>
                </c:pt>
                <c:pt idx="1123">
                  <c:v>559.74449775981316</c:v>
                </c:pt>
                <c:pt idx="1124">
                  <c:v>569.38972173040156</c:v>
                </c:pt>
                <c:pt idx="1125">
                  <c:v>558.45846789706809</c:v>
                </c:pt>
                <c:pt idx="1126">
                  <c:v>557.4939455000092</c:v>
                </c:pt>
                <c:pt idx="1127">
                  <c:v>558.13696043138168</c:v>
                </c:pt>
                <c:pt idx="1128">
                  <c:v>552.9928409804013</c:v>
                </c:pt>
                <c:pt idx="1129">
                  <c:v>555.88640817157773</c:v>
                </c:pt>
                <c:pt idx="1130">
                  <c:v>579.99946809804885</c:v>
                </c:pt>
                <c:pt idx="1131">
                  <c:v>569.06821426471527</c:v>
                </c:pt>
                <c:pt idx="1132">
                  <c:v>564.88861721079365</c:v>
                </c:pt>
                <c:pt idx="1133">
                  <c:v>585.46509501471553</c:v>
                </c:pt>
                <c:pt idx="1134">
                  <c:v>590.28770700000973</c:v>
                </c:pt>
                <c:pt idx="1135">
                  <c:v>618.58036398040224</c:v>
                </c:pt>
                <c:pt idx="1136">
                  <c:v>654.58920013726561</c:v>
                </c:pt>
                <c:pt idx="1137">
                  <c:v>634.33422979903014</c:v>
                </c:pt>
                <c:pt idx="1138">
                  <c:v>656.83975239706956</c:v>
                </c:pt>
                <c:pt idx="1139">
                  <c:v>641.40739404412818</c:v>
                </c:pt>
                <c:pt idx="1140">
                  <c:v>634.01272233334373</c:v>
                </c:pt>
                <c:pt idx="1141">
                  <c:v>658.12578225981474</c:v>
                </c:pt>
                <c:pt idx="1142">
                  <c:v>654.26769267157943</c:v>
                </c:pt>
                <c:pt idx="1143">
                  <c:v>652.33864787746177</c:v>
                </c:pt>
                <c:pt idx="1144">
                  <c:v>651.05261801471659</c:v>
                </c:pt>
                <c:pt idx="1145">
                  <c:v>647.51603589216757</c:v>
                </c:pt>
                <c:pt idx="1146">
                  <c:v>634.01272233334373</c:v>
                </c:pt>
                <c:pt idx="1147">
                  <c:v>642.69342390687336</c:v>
                </c:pt>
                <c:pt idx="1148">
                  <c:v>633.36970740197114</c:v>
                </c:pt>
                <c:pt idx="1149">
                  <c:v>621.79543863726519</c:v>
                </c:pt>
                <c:pt idx="1150">
                  <c:v>633.36970740197114</c:v>
                </c:pt>
                <c:pt idx="1151">
                  <c:v>624.04599089706915</c:v>
                </c:pt>
                <c:pt idx="1152">
                  <c:v>632.72669247059866</c:v>
                </c:pt>
                <c:pt idx="1153">
                  <c:v>629.51161781373582</c:v>
                </c:pt>
                <c:pt idx="1154">
                  <c:v>656.19673746569708</c:v>
                </c:pt>
                <c:pt idx="1155">
                  <c:v>644.30096123530473</c:v>
                </c:pt>
                <c:pt idx="1156">
                  <c:v>659.41181212255992</c:v>
                </c:pt>
                <c:pt idx="1157">
                  <c:v>665.84196143628549</c:v>
                </c:pt>
                <c:pt idx="1158">
                  <c:v>661.98387184805006</c:v>
                </c:pt>
                <c:pt idx="1159">
                  <c:v>648.15905082354004</c:v>
                </c:pt>
                <c:pt idx="1160">
                  <c:v>650.08809561765781</c:v>
                </c:pt>
                <c:pt idx="1161">
                  <c:v>632.08367753922607</c:v>
                </c:pt>
                <c:pt idx="1162">
                  <c:v>633.36970740197114</c:v>
                </c:pt>
                <c:pt idx="1163">
                  <c:v>653.94618520589313</c:v>
                </c:pt>
                <c:pt idx="1164">
                  <c:v>649.76658815197152</c:v>
                </c:pt>
                <c:pt idx="1165">
                  <c:v>638.83533431863805</c:v>
                </c:pt>
                <c:pt idx="1166">
                  <c:v>639.79985671569682</c:v>
                </c:pt>
                <c:pt idx="1167">
                  <c:v>644.30096123530473</c:v>
                </c:pt>
                <c:pt idx="1168">
                  <c:v>629.19011034804964</c:v>
                </c:pt>
                <c:pt idx="1169">
                  <c:v>635.9417671274615</c:v>
                </c:pt>
                <c:pt idx="1170">
                  <c:v>624.36749836275544</c:v>
                </c:pt>
                <c:pt idx="1171">
                  <c:v>607.97061761275518</c:v>
                </c:pt>
                <c:pt idx="1172">
                  <c:v>610.22116987255913</c:v>
                </c:pt>
                <c:pt idx="1173">
                  <c:v>605.72006535295122</c:v>
                </c:pt>
                <c:pt idx="1174">
                  <c:v>594.78881151961764</c:v>
                </c:pt>
                <c:pt idx="1175">
                  <c:v>600.25443843628443</c:v>
                </c:pt>
                <c:pt idx="1176">
                  <c:v>603.79102055883345</c:v>
                </c:pt>
                <c:pt idx="1177">
                  <c:v>602.50499069608827</c:v>
                </c:pt>
                <c:pt idx="1178">
                  <c:v>599.61142350491184</c:v>
                </c:pt>
                <c:pt idx="1179">
                  <c:v>602.82649816177468</c:v>
                </c:pt>
                <c:pt idx="1180">
                  <c:v>625.65352822550062</c:v>
                </c:pt>
                <c:pt idx="1181">
                  <c:v>630.15463274510853</c:v>
                </c:pt>
                <c:pt idx="1182">
                  <c:v>640.44287164706952</c:v>
                </c:pt>
                <c:pt idx="1183">
                  <c:v>640.76437911275559</c:v>
                </c:pt>
                <c:pt idx="1184">
                  <c:v>624.04599089706915</c:v>
                </c:pt>
                <c:pt idx="1185">
                  <c:v>601.86197576471579</c:v>
                </c:pt>
                <c:pt idx="1186">
                  <c:v>616.0083042549121</c:v>
                </c:pt>
                <c:pt idx="1187">
                  <c:v>612.15021466667679</c:v>
                </c:pt>
                <c:pt idx="1188">
                  <c:v>609.57815494118654</c:v>
                </c:pt>
                <c:pt idx="1189">
                  <c:v>607.97061761275518</c:v>
                </c:pt>
                <c:pt idx="1190">
                  <c:v>614.72227439216704</c:v>
                </c:pt>
                <c:pt idx="1191">
                  <c:v>616.3298117205984</c:v>
                </c:pt>
                <c:pt idx="1192">
                  <c:v>624.68900582844162</c:v>
                </c:pt>
                <c:pt idx="1193">
                  <c:v>639.15684178432423</c:v>
                </c:pt>
                <c:pt idx="1194">
                  <c:v>637.22779699020657</c:v>
                </c:pt>
                <c:pt idx="1195">
                  <c:v>625.01051329412803</c:v>
                </c:pt>
                <c:pt idx="1196">
                  <c:v>624.36749836275544</c:v>
                </c:pt>
                <c:pt idx="1197">
                  <c:v>614.72227439216704</c:v>
                </c:pt>
                <c:pt idx="1198">
                  <c:v>611.1856922696179</c:v>
                </c:pt>
                <c:pt idx="1199">
                  <c:v>622.11694610295137</c:v>
                </c:pt>
                <c:pt idx="1200">
                  <c:v>616.6513191862847</c:v>
                </c:pt>
                <c:pt idx="1201">
                  <c:v>602.50499069608827</c:v>
                </c:pt>
                <c:pt idx="1202">
                  <c:v>572.28328892157811</c:v>
                </c:pt>
                <c:pt idx="1203">
                  <c:v>570.99725905883304</c:v>
                </c:pt>
                <c:pt idx="1204">
                  <c:v>557.17243803432279</c:v>
                </c:pt>
                <c:pt idx="1205">
                  <c:v>571.64027399020551</c:v>
                </c:pt>
                <c:pt idx="1206">
                  <c:v>561.99505001961711</c:v>
                </c:pt>
                <c:pt idx="1207">
                  <c:v>560.70902015687204</c:v>
                </c:pt>
                <c:pt idx="1208">
                  <c:v>565.53163214216613</c:v>
                </c:pt>
                <c:pt idx="1209">
                  <c:v>561.67354255393082</c:v>
                </c:pt>
                <c:pt idx="1210">
                  <c:v>559.42299029412675</c:v>
                </c:pt>
                <c:pt idx="1211">
                  <c:v>567.46067693628379</c:v>
                </c:pt>
                <c:pt idx="1212">
                  <c:v>568.74670679902908</c:v>
                </c:pt>
                <c:pt idx="1213">
                  <c:v>565.85313960785254</c:v>
                </c:pt>
                <c:pt idx="1214">
                  <c:v>562.959572416676</c:v>
                </c:pt>
                <c:pt idx="1215">
                  <c:v>567.13916947059761</c:v>
                </c:pt>
                <c:pt idx="1216">
                  <c:v>570.03273666177415</c:v>
                </c:pt>
                <c:pt idx="1217">
                  <c:v>567.7821844019702</c:v>
                </c:pt>
                <c:pt idx="1218">
                  <c:v>567.7821844019702</c:v>
                </c:pt>
                <c:pt idx="1219">
                  <c:v>566.17464707353872</c:v>
                </c:pt>
                <c:pt idx="1220">
                  <c:v>570.99725905883304</c:v>
                </c:pt>
                <c:pt idx="1221">
                  <c:v>586.4296174117743</c:v>
                </c:pt>
                <c:pt idx="1222">
                  <c:v>596.07484138236282</c:v>
                </c:pt>
                <c:pt idx="1223">
                  <c:v>580.96399049510762</c:v>
                </c:pt>
                <c:pt idx="1224">
                  <c:v>588.35866220589207</c:v>
                </c:pt>
                <c:pt idx="1225">
                  <c:v>585.78660248040183</c:v>
                </c:pt>
                <c:pt idx="1226">
                  <c:v>587.07263234314701</c:v>
                </c:pt>
                <c:pt idx="1227">
                  <c:v>604.75554295589234</c:v>
                </c:pt>
                <c:pt idx="1228">
                  <c:v>602.82649816177468</c:v>
                </c:pt>
                <c:pt idx="1229">
                  <c:v>597.68237871079418</c:v>
                </c:pt>
                <c:pt idx="1230">
                  <c:v>552.9928409804013</c:v>
                </c:pt>
                <c:pt idx="1231">
                  <c:v>546.56269166667573</c:v>
                </c:pt>
                <c:pt idx="1232">
                  <c:v>544.95515433824426</c:v>
                </c:pt>
                <c:pt idx="1233">
                  <c:v>547.8487215294208</c:v>
                </c:pt>
                <c:pt idx="1234">
                  <c:v>530.80882584804806</c:v>
                </c:pt>
                <c:pt idx="1235">
                  <c:v>536.27445276471474</c:v>
                </c:pt>
                <c:pt idx="1236">
                  <c:v>538.84651249020499</c:v>
                </c:pt>
                <c:pt idx="1237">
                  <c:v>532.41636317647931</c:v>
                </c:pt>
                <c:pt idx="1238">
                  <c:v>524.37867653432238</c:v>
                </c:pt>
                <c:pt idx="1239">
                  <c:v>529.52279598530288</c:v>
                </c:pt>
                <c:pt idx="1240">
                  <c:v>536.27445276471474</c:v>
                </c:pt>
                <c:pt idx="1241">
                  <c:v>531.77334824510683</c:v>
                </c:pt>
                <c:pt idx="1242">
                  <c:v>535.95294529902844</c:v>
                </c:pt>
                <c:pt idx="1243">
                  <c:v>524.05716906863609</c:v>
                </c:pt>
                <c:pt idx="1244">
                  <c:v>525.66470639706756</c:v>
                </c:pt>
                <c:pt idx="1245">
                  <c:v>534.34540797059708</c:v>
                </c:pt>
                <c:pt idx="1246">
                  <c:v>539.81103488726376</c:v>
                </c:pt>
                <c:pt idx="1247">
                  <c:v>539.16801995589128</c:v>
                </c:pt>
                <c:pt idx="1248">
                  <c:v>550.74228872059723</c:v>
                </c:pt>
                <c:pt idx="1249">
                  <c:v>544.95515433824426</c:v>
                </c:pt>
                <c:pt idx="1250">
                  <c:v>542.06158714706771</c:v>
                </c:pt>
                <c:pt idx="1251">
                  <c:v>546.88419913236191</c:v>
                </c:pt>
                <c:pt idx="1252">
                  <c:v>550.09927378922475</c:v>
                </c:pt>
                <c:pt idx="1253">
                  <c:v>518.91304961765559</c:v>
                </c:pt>
                <c:pt idx="1254">
                  <c:v>516.01948242647916</c:v>
                </c:pt>
                <c:pt idx="1255">
                  <c:v>514.41194509804768</c:v>
                </c:pt>
                <c:pt idx="1256">
                  <c:v>507.98179578432212</c:v>
                </c:pt>
                <c:pt idx="1257">
                  <c:v>515.37646749510657</c:v>
                </c:pt>
                <c:pt idx="1258">
                  <c:v>507.01727338726323</c:v>
                </c:pt>
                <c:pt idx="1259">
                  <c:v>506.0527509902044</c:v>
                </c:pt>
                <c:pt idx="1260">
                  <c:v>509.58933311275348</c:v>
                </c:pt>
                <c:pt idx="1261">
                  <c:v>516.34098989216534</c:v>
                </c:pt>
                <c:pt idx="1262">
                  <c:v>522.12812427451843</c:v>
                </c:pt>
                <c:pt idx="1263">
                  <c:v>512.80440776961632</c:v>
                </c:pt>
                <c:pt idx="1264">
                  <c:v>527.91525865687152</c:v>
                </c:pt>
                <c:pt idx="1265">
                  <c:v>533.38088557353819</c:v>
                </c:pt>
                <c:pt idx="1266">
                  <c:v>528.87978105393029</c:v>
                </c:pt>
                <c:pt idx="1267">
                  <c:v>531.13033331373424</c:v>
                </c:pt>
                <c:pt idx="1268">
                  <c:v>535.63143783334226</c:v>
                </c:pt>
                <c:pt idx="1269">
                  <c:v>539.81103488726376</c:v>
                </c:pt>
                <c:pt idx="1270">
                  <c:v>543.66912447549919</c:v>
                </c:pt>
                <c:pt idx="1271">
                  <c:v>538.84651249020499</c:v>
                </c:pt>
                <c:pt idx="1272">
                  <c:v>540.77555728432264</c:v>
                </c:pt>
                <c:pt idx="1273">
                  <c:v>546.56269166667573</c:v>
                </c:pt>
                <c:pt idx="1274">
                  <c:v>550.42078125491116</c:v>
                </c:pt>
                <c:pt idx="1275">
                  <c:v>544.95515433824426</c:v>
                </c:pt>
                <c:pt idx="1276">
                  <c:v>543.02610954412671</c:v>
                </c:pt>
                <c:pt idx="1277">
                  <c:v>551.06379618628364</c:v>
                </c:pt>
                <c:pt idx="1278">
                  <c:v>550.09927378922475</c:v>
                </c:pt>
                <c:pt idx="1279">
                  <c:v>544.31213940687178</c:v>
                </c:pt>
                <c:pt idx="1280">
                  <c:v>542.06158714706771</c:v>
                </c:pt>
                <c:pt idx="1281">
                  <c:v>536.91746769608733</c:v>
                </c:pt>
                <c:pt idx="1282">
                  <c:v>549.77776632353846</c:v>
                </c:pt>
                <c:pt idx="1283">
                  <c:v>555.88640817157773</c:v>
                </c:pt>
                <c:pt idx="1284">
                  <c:v>565.85313960785254</c:v>
                </c:pt>
                <c:pt idx="1285">
                  <c:v>569.38972173040156</c:v>
                </c:pt>
                <c:pt idx="1286">
                  <c:v>555.56490070589155</c:v>
                </c:pt>
                <c:pt idx="1287">
                  <c:v>565.85313960785254</c:v>
                </c:pt>
                <c:pt idx="1288">
                  <c:v>565.85313960785254</c:v>
                </c:pt>
                <c:pt idx="1289">
                  <c:v>570.35424412746033</c:v>
                </c:pt>
                <c:pt idx="1290">
                  <c:v>569.71122919608774</c:v>
                </c:pt>
                <c:pt idx="1291">
                  <c:v>566.49615453922513</c:v>
                </c:pt>
                <c:pt idx="1292">
                  <c:v>577.74891583824478</c:v>
                </c:pt>
                <c:pt idx="1293">
                  <c:v>575.81987104412713</c:v>
                </c:pt>
                <c:pt idx="1294">
                  <c:v>574.85534864706824</c:v>
                </c:pt>
                <c:pt idx="1295">
                  <c:v>581.92851289216651</c:v>
                </c:pt>
                <c:pt idx="1296">
                  <c:v>579.03494570098997</c:v>
                </c:pt>
                <c:pt idx="1297">
                  <c:v>578.07042330393108</c:v>
                </c:pt>
                <c:pt idx="1298">
                  <c:v>575.17685611275465</c:v>
                </c:pt>
                <c:pt idx="1299">
                  <c:v>578.71343823530367</c:v>
                </c:pt>
                <c:pt idx="1300">
                  <c:v>578.71343823530367</c:v>
                </c:pt>
                <c:pt idx="1301">
                  <c:v>587.39413980883319</c:v>
                </c:pt>
                <c:pt idx="1302">
                  <c:v>589.64469206863714</c:v>
                </c:pt>
                <c:pt idx="1303">
                  <c:v>587.71564727451948</c:v>
                </c:pt>
                <c:pt idx="1304">
                  <c:v>589.32318460295085</c:v>
                </c:pt>
                <c:pt idx="1305">
                  <c:v>589.32318460295085</c:v>
                </c:pt>
                <c:pt idx="1306">
                  <c:v>567.7821844019702</c:v>
                </c:pt>
                <c:pt idx="1307">
                  <c:v>572.6047963872644</c:v>
                </c:pt>
                <c:pt idx="1308">
                  <c:v>569.06821426471527</c:v>
                </c:pt>
                <c:pt idx="1309">
                  <c:v>559.42299029412675</c:v>
                </c:pt>
                <c:pt idx="1310">
                  <c:v>551.06379618628364</c:v>
                </c:pt>
                <c:pt idx="1311">
                  <c:v>543.02610954412671</c:v>
                </c:pt>
                <c:pt idx="1312">
                  <c:v>547.20570659804821</c:v>
                </c:pt>
                <c:pt idx="1313">
                  <c:v>546.56269166667573</c:v>
                </c:pt>
                <c:pt idx="1314">
                  <c:v>543.66912447549919</c:v>
                </c:pt>
                <c:pt idx="1315">
                  <c:v>561.35203508824463</c:v>
                </c:pt>
                <c:pt idx="1316">
                  <c:v>559.42299029412675</c:v>
                </c:pt>
                <c:pt idx="1317">
                  <c:v>553.95736337746018</c:v>
                </c:pt>
                <c:pt idx="1318">
                  <c:v>556.52942310295032</c:v>
                </c:pt>
                <c:pt idx="1319">
                  <c:v>565.21012467647995</c:v>
                </c:pt>
                <c:pt idx="1320">
                  <c:v>564.24560227942106</c:v>
                </c:pt>
                <c:pt idx="1321">
                  <c:v>566.8176620049112</c:v>
                </c:pt>
                <c:pt idx="1322">
                  <c:v>576.78439344118601</c:v>
                </c:pt>
                <c:pt idx="1323">
                  <c:v>576.78439344118601</c:v>
                </c:pt>
                <c:pt idx="1324">
                  <c:v>582.89303528922528</c:v>
                </c:pt>
                <c:pt idx="1325">
                  <c:v>581.92851289216651</c:v>
                </c:pt>
                <c:pt idx="1326">
                  <c:v>580.64248302942133</c:v>
                </c:pt>
                <c:pt idx="1327">
                  <c:v>583.85755768628417</c:v>
                </c:pt>
                <c:pt idx="1328">
                  <c:v>589.64469206863714</c:v>
                </c:pt>
                <c:pt idx="1329">
                  <c:v>587.07263234314701</c:v>
                </c:pt>
                <c:pt idx="1330">
                  <c:v>585.78660248040183</c:v>
                </c:pt>
                <c:pt idx="1331">
                  <c:v>591.5737368627548</c:v>
                </c:pt>
                <c:pt idx="1332">
                  <c:v>576.78439344118601</c:v>
                </c:pt>
                <c:pt idx="1333">
                  <c:v>576.78439344118601</c:v>
                </c:pt>
                <c:pt idx="1334">
                  <c:v>588.68016967157837</c:v>
                </c:pt>
                <c:pt idx="1335">
                  <c:v>596.7178563137353</c:v>
                </c:pt>
                <c:pt idx="1336">
                  <c:v>592.2167517941275</c:v>
                </c:pt>
                <c:pt idx="1337">
                  <c:v>585.78660248040183</c:v>
                </c:pt>
                <c:pt idx="1338">
                  <c:v>584.82208008334305</c:v>
                </c:pt>
                <c:pt idx="1339">
                  <c:v>578.07042330393108</c:v>
                </c:pt>
                <c:pt idx="1340">
                  <c:v>572.6047963872644</c:v>
                </c:pt>
                <c:pt idx="1341">
                  <c:v>573.56931878432317</c:v>
                </c:pt>
                <c:pt idx="1342">
                  <c:v>565.53163214216613</c:v>
                </c:pt>
                <c:pt idx="1343">
                  <c:v>561.35203508824463</c:v>
                </c:pt>
                <c:pt idx="1344">
                  <c:v>559.74449775981316</c:v>
                </c:pt>
                <c:pt idx="1345">
                  <c:v>544.95515433824426</c:v>
                </c:pt>
                <c:pt idx="1346">
                  <c:v>541.74007968138153</c:v>
                </c:pt>
                <c:pt idx="1347">
                  <c:v>530.48731838236176</c:v>
                </c:pt>
                <c:pt idx="1348">
                  <c:v>523.09264667157731</c:v>
                </c:pt>
                <c:pt idx="1349">
                  <c:v>526.62922879412633</c:v>
                </c:pt>
                <c:pt idx="1350">
                  <c:v>521.48510934314584</c:v>
                </c:pt>
                <c:pt idx="1351">
                  <c:v>523.73566160294979</c:v>
                </c:pt>
                <c:pt idx="1352">
                  <c:v>526.30772132844004</c:v>
                </c:pt>
                <c:pt idx="1353">
                  <c:v>524.05716906863609</c:v>
                </c:pt>
                <c:pt idx="1354">
                  <c:v>533.38088557353819</c:v>
                </c:pt>
                <c:pt idx="1355">
                  <c:v>537.56048262745981</c:v>
                </c:pt>
                <c:pt idx="1356">
                  <c:v>543.34761700981278</c:v>
                </c:pt>
                <c:pt idx="1357">
                  <c:v>540.45404981863635</c:v>
                </c:pt>
                <c:pt idx="1358">
                  <c:v>539.16801995589128</c:v>
                </c:pt>
                <c:pt idx="1359">
                  <c:v>544.95515433824426</c:v>
                </c:pt>
                <c:pt idx="1360">
                  <c:v>551.06379618628364</c:v>
                </c:pt>
                <c:pt idx="1361">
                  <c:v>547.52721406373462</c:v>
                </c:pt>
                <c:pt idx="1362">
                  <c:v>551.38530365196982</c:v>
                </c:pt>
                <c:pt idx="1363">
                  <c:v>555.88640817157773</c:v>
                </c:pt>
                <c:pt idx="1364">
                  <c:v>555.24339324020525</c:v>
                </c:pt>
                <c:pt idx="1365">
                  <c:v>556.52942310295032</c:v>
                </c:pt>
                <c:pt idx="1366">
                  <c:v>550.74228872059723</c:v>
                </c:pt>
                <c:pt idx="1367">
                  <c:v>552.67133351471512</c:v>
                </c:pt>
                <c:pt idx="1368">
                  <c:v>563.28107988236218</c:v>
                </c:pt>
                <c:pt idx="1369">
                  <c:v>564.56710974510725</c:v>
                </c:pt>
                <c:pt idx="1370">
                  <c:v>565.85313960785254</c:v>
                </c:pt>
                <c:pt idx="1371">
                  <c:v>565.85313960785254</c:v>
                </c:pt>
                <c:pt idx="1372">
                  <c:v>557.81545296569561</c:v>
                </c:pt>
                <c:pt idx="1373">
                  <c:v>550.74228872059723</c:v>
                </c:pt>
                <c:pt idx="1374">
                  <c:v>540.77555728432264</c:v>
                </c:pt>
                <c:pt idx="1375">
                  <c:v>545.27666180393066</c:v>
                </c:pt>
                <c:pt idx="1376">
                  <c:v>542.06158714706771</c:v>
                </c:pt>
                <c:pt idx="1377">
                  <c:v>538.84651249020499</c:v>
                </c:pt>
                <c:pt idx="1378">
                  <c:v>535.95294529902844</c:v>
                </c:pt>
                <c:pt idx="1379">
                  <c:v>533.38088557353819</c:v>
                </c:pt>
                <c:pt idx="1380">
                  <c:v>530.80882584804806</c:v>
                </c:pt>
                <c:pt idx="1381">
                  <c:v>533.0593781078519</c:v>
                </c:pt>
                <c:pt idx="1382">
                  <c:v>537.23897516177351</c:v>
                </c:pt>
                <c:pt idx="1383">
                  <c:v>531.45184077942054</c:v>
                </c:pt>
                <c:pt idx="1384">
                  <c:v>535.63143783334226</c:v>
                </c:pt>
                <c:pt idx="1385">
                  <c:v>539.48952742157746</c:v>
                </c:pt>
                <c:pt idx="1386">
                  <c:v>541.09706475000883</c:v>
                </c:pt>
                <c:pt idx="1387">
                  <c:v>529.52279598530288</c:v>
                </c:pt>
                <c:pt idx="1388">
                  <c:v>529.84430345098906</c:v>
                </c:pt>
                <c:pt idx="1389">
                  <c:v>519.23455708334188</c:v>
                </c:pt>
                <c:pt idx="1390">
                  <c:v>512.80440776961632</c:v>
                </c:pt>
                <c:pt idx="1391">
                  <c:v>514.73345256373409</c:v>
                </c:pt>
                <c:pt idx="1392">
                  <c:v>509.26782564706718</c:v>
                </c:pt>
                <c:pt idx="1393">
                  <c:v>489.3343627745179</c:v>
                </c:pt>
                <c:pt idx="1394">
                  <c:v>498.65807927941995</c:v>
                </c:pt>
                <c:pt idx="1395">
                  <c:v>508.94631818138095</c:v>
                </c:pt>
                <c:pt idx="1396">
                  <c:v>512.80440776961632</c:v>
                </c:pt>
                <c:pt idx="1397">
                  <c:v>505.08822859314563</c:v>
                </c:pt>
                <c:pt idx="1398">
                  <c:v>516.66249735785163</c:v>
                </c:pt>
                <c:pt idx="1399">
                  <c:v>519.87757201471447</c:v>
                </c:pt>
                <c:pt idx="1400">
                  <c:v>521.80661680883213</c:v>
                </c:pt>
                <c:pt idx="1401">
                  <c:v>520.19907948040077</c:v>
                </c:pt>
                <c:pt idx="1402">
                  <c:v>528.23676612255781</c:v>
                </c:pt>
                <c:pt idx="1403">
                  <c:v>530.48731838236176</c:v>
                </c:pt>
                <c:pt idx="1404">
                  <c:v>524.37867653432238</c:v>
                </c:pt>
                <c:pt idx="1405">
                  <c:v>526.30772132844004</c:v>
                </c:pt>
                <c:pt idx="1406">
                  <c:v>539.81103488726376</c:v>
                </c:pt>
                <c:pt idx="1407">
                  <c:v>532.41636317647931</c:v>
                </c:pt>
                <c:pt idx="1408">
                  <c:v>538.84651249020499</c:v>
                </c:pt>
                <c:pt idx="1409">
                  <c:v>538.2034975588324</c:v>
                </c:pt>
                <c:pt idx="1410">
                  <c:v>535.95294529902844</c:v>
                </c:pt>
                <c:pt idx="1411">
                  <c:v>529.52279598530288</c:v>
                </c:pt>
                <c:pt idx="1412">
                  <c:v>536.91746769608733</c:v>
                </c:pt>
                <c:pt idx="1413">
                  <c:v>518.59154215196929</c:v>
                </c:pt>
                <c:pt idx="1414">
                  <c:v>526.95073625981263</c:v>
                </c:pt>
                <c:pt idx="1415">
                  <c:v>533.38088557353819</c:v>
                </c:pt>
                <c:pt idx="1416">
                  <c:v>549.13475139216587</c:v>
                </c:pt>
                <c:pt idx="1417">
                  <c:v>549.45625885785216</c:v>
                </c:pt>
                <c:pt idx="1418">
                  <c:v>545.59816926961685</c:v>
                </c:pt>
                <c:pt idx="1419">
                  <c:v>543.02610954412671</c:v>
                </c:pt>
                <c:pt idx="1420">
                  <c:v>536.27445276471474</c:v>
                </c:pt>
                <c:pt idx="1421">
                  <c:v>547.20570659804821</c:v>
                </c:pt>
                <c:pt idx="1422">
                  <c:v>551.38530365196982</c:v>
                </c:pt>
                <c:pt idx="1423">
                  <c:v>547.20570659804821</c:v>
                </c:pt>
                <c:pt idx="1424">
                  <c:v>547.20570659804821</c:v>
                </c:pt>
                <c:pt idx="1425">
                  <c:v>548.49173646079328</c:v>
                </c:pt>
                <c:pt idx="1426">
                  <c:v>544.31213940687178</c:v>
                </c:pt>
                <c:pt idx="1427">
                  <c:v>547.20570659804821</c:v>
                </c:pt>
                <c:pt idx="1428">
                  <c:v>547.20570659804821</c:v>
                </c:pt>
                <c:pt idx="1429">
                  <c:v>565.85313960785254</c:v>
                </c:pt>
                <c:pt idx="1430">
                  <c:v>560.70902015687204</c:v>
                </c:pt>
                <c:pt idx="1431">
                  <c:v>557.4939455000092</c:v>
                </c:pt>
                <c:pt idx="1432">
                  <c:v>562.6380649509897</c:v>
                </c:pt>
                <c:pt idx="1433">
                  <c:v>572.28328892157811</c:v>
                </c:pt>
                <c:pt idx="1434">
                  <c:v>574.85534864706824</c:v>
                </c:pt>
                <c:pt idx="1435">
                  <c:v>571.31876652451922</c:v>
                </c:pt>
                <c:pt idx="1436">
                  <c:v>571.9617814558917</c:v>
                </c:pt>
                <c:pt idx="1437">
                  <c:v>585.46509501471553</c:v>
                </c:pt>
                <c:pt idx="1438">
                  <c:v>573.89082625000958</c:v>
                </c:pt>
                <c:pt idx="1439">
                  <c:v>570.67575159314663</c:v>
                </c:pt>
                <c:pt idx="1440">
                  <c:v>575.81987104412713</c:v>
                </c:pt>
                <c:pt idx="1441">
                  <c:v>570.67575159314663</c:v>
                </c:pt>
                <c:pt idx="1442">
                  <c:v>569.06821426471527</c:v>
                </c:pt>
                <c:pt idx="1443">
                  <c:v>563.60258734804859</c:v>
                </c:pt>
                <c:pt idx="1444">
                  <c:v>551.38530365196982</c:v>
                </c:pt>
                <c:pt idx="1445">
                  <c:v>558.77997536275427</c:v>
                </c:pt>
                <c:pt idx="1446">
                  <c:v>544.95515433824426</c:v>
                </c:pt>
                <c:pt idx="1447">
                  <c:v>545.59816926961685</c:v>
                </c:pt>
                <c:pt idx="1448">
                  <c:v>544.95515433824426</c:v>
                </c:pt>
                <c:pt idx="1449">
                  <c:v>546.88419913236191</c:v>
                </c:pt>
                <c:pt idx="1450">
                  <c:v>543.02610954412671</c:v>
                </c:pt>
                <c:pt idx="1451">
                  <c:v>540.77555728432264</c:v>
                </c:pt>
                <c:pt idx="1452">
                  <c:v>542.06158714706771</c:v>
                </c:pt>
                <c:pt idx="1453">
                  <c:v>533.0593781078519</c:v>
                </c:pt>
                <c:pt idx="1454">
                  <c:v>534.02390050491078</c:v>
                </c:pt>
                <c:pt idx="1455">
                  <c:v>541.09706475000883</c:v>
                </c:pt>
                <c:pt idx="1456">
                  <c:v>535.63143783334226</c:v>
                </c:pt>
                <c:pt idx="1457">
                  <c:v>534.66691543628326</c:v>
                </c:pt>
                <c:pt idx="1458">
                  <c:v>543.99063194118548</c:v>
                </c:pt>
                <c:pt idx="1459">
                  <c:v>550.42078125491116</c:v>
                </c:pt>
                <c:pt idx="1460">
                  <c:v>551.38530365196982</c:v>
                </c:pt>
                <c:pt idx="1461">
                  <c:v>552.67133351471512</c:v>
                </c:pt>
                <c:pt idx="1462">
                  <c:v>552.9928409804013</c:v>
                </c:pt>
                <c:pt idx="1463">
                  <c:v>559.74449775981316</c:v>
                </c:pt>
                <c:pt idx="1464">
                  <c:v>550.09927378922475</c:v>
                </c:pt>
                <c:pt idx="1465">
                  <c:v>544.95515433824426</c:v>
                </c:pt>
                <c:pt idx="1466">
                  <c:v>547.20570659804821</c:v>
                </c:pt>
                <c:pt idx="1467">
                  <c:v>548.81324392647969</c:v>
                </c:pt>
                <c:pt idx="1468">
                  <c:v>546.24118420098932</c:v>
                </c:pt>
                <c:pt idx="1469">
                  <c:v>547.52721406373462</c:v>
                </c:pt>
                <c:pt idx="1470">
                  <c:v>543.02610954412671</c:v>
                </c:pt>
                <c:pt idx="1471">
                  <c:v>545.59816926961685</c:v>
                </c:pt>
                <c:pt idx="1472">
                  <c:v>537.56048262745981</c:v>
                </c:pt>
                <c:pt idx="1473">
                  <c:v>537.88199009314621</c:v>
                </c:pt>
                <c:pt idx="1474">
                  <c:v>540.77555728432264</c:v>
                </c:pt>
                <c:pt idx="1475">
                  <c:v>544.63364687255796</c:v>
                </c:pt>
                <c:pt idx="1476">
                  <c:v>549.13475139216587</c:v>
                </c:pt>
                <c:pt idx="1477">
                  <c:v>549.45625885785216</c:v>
                </c:pt>
                <c:pt idx="1478">
                  <c:v>543.99063194118548</c:v>
                </c:pt>
                <c:pt idx="1479">
                  <c:v>546.88419913236191</c:v>
                </c:pt>
                <c:pt idx="1480">
                  <c:v>546.56269166667573</c:v>
                </c:pt>
                <c:pt idx="1481">
                  <c:v>549.77776632353846</c:v>
                </c:pt>
                <c:pt idx="1482">
                  <c:v>546.56269166667573</c:v>
                </c:pt>
                <c:pt idx="1483">
                  <c:v>544.31213940687178</c:v>
                </c:pt>
                <c:pt idx="1484">
                  <c:v>544.63364687255796</c:v>
                </c:pt>
                <c:pt idx="1485">
                  <c:v>550.42078125491116</c:v>
                </c:pt>
                <c:pt idx="1486">
                  <c:v>547.8487215294208</c:v>
                </c:pt>
                <c:pt idx="1487">
                  <c:v>549.45625885785216</c:v>
                </c:pt>
                <c:pt idx="1488">
                  <c:v>551.38530365196982</c:v>
                </c:pt>
                <c:pt idx="1489">
                  <c:v>546.56269166667573</c:v>
                </c:pt>
                <c:pt idx="1490">
                  <c:v>545.59816926961685</c:v>
                </c:pt>
                <c:pt idx="1491">
                  <c:v>549.77776632353846</c:v>
                </c:pt>
                <c:pt idx="1492">
                  <c:v>548.1702289951071</c:v>
                </c:pt>
                <c:pt idx="1493">
                  <c:v>549.77776632353846</c:v>
                </c:pt>
                <c:pt idx="1494">
                  <c:v>548.81324392647969</c:v>
                </c:pt>
                <c:pt idx="1495">
                  <c:v>543.34761700981278</c:v>
                </c:pt>
                <c:pt idx="1496">
                  <c:v>532.73787064216572</c:v>
                </c:pt>
                <c:pt idx="1497">
                  <c:v>527.91525865687152</c:v>
                </c:pt>
                <c:pt idx="1498">
                  <c:v>525.02169146569486</c:v>
                </c:pt>
                <c:pt idx="1499">
                  <c:v>523.73566160294979</c:v>
                </c:pt>
                <c:pt idx="1500">
                  <c:v>518.27003468628311</c:v>
                </c:pt>
                <c:pt idx="1501">
                  <c:v>511.51837790687114</c:v>
                </c:pt>
                <c:pt idx="1502">
                  <c:v>508.94631818138095</c:v>
                </c:pt>
                <c:pt idx="1503">
                  <c:v>509.26782564706718</c:v>
                </c:pt>
                <c:pt idx="1504">
                  <c:v>507.33878085294947</c:v>
                </c:pt>
                <c:pt idx="1505">
                  <c:v>505.08822859314563</c:v>
                </c:pt>
                <c:pt idx="1506">
                  <c:v>514.73345256373409</c:v>
                </c:pt>
                <c:pt idx="1507">
                  <c:v>514.09043763236139</c:v>
                </c:pt>
                <c:pt idx="1508">
                  <c:v>517.30551228922411</c:v>
                </c:pt>
                <c:pt idx="1509">
                  <c:v>519.55606454902818</c:v>
                </c:pt>
                <c:pt idx="1510">
                  <c:v>520.52058694608706</c:v>
                </c:pt>
                <c:pt idx="1511">
                  <c:v>519.23455708334188</c:v>
                </c:pt>
                <c:pt idx="1512">
                  <c:v>520.19907948040077</c:v>
                </c:pt>
                <c:pt idx="1513">
                  <c:v>530.48731838236176</c:v>
                </c:pt>
                <c:pt idx="1514">
                  <c:v>538.2034975588324</c:v>
                </c:pt>
                <c:pt idx="1515">
                  <c:v>542.38309461275401</c:v>
                </c:pt>
                <c:pt idx="1516">
                  <c:v>548.49173646079328</c:v>
                </c:pt>
                <c:pt idx="1517">
                  <c:v>550.74228872059723</c:v>
                </c:pt>
                <c:pt idx="1518">
                  <c:v>550.74228872059723</c:v>
                </c:pt>
                <c:pt idx="1519">
                  <c:v>551.70681111765623</c:v>
                </c:pt>
                <c:pt idx="1520">
                  <c:v>552.02831858334241</c:v>
                </c:pt>
                <c:pt idx="1521">
                  <c:v>548.49173646079328</c:v>
                </c:pt>
                <c:pt idx="1522">
                  <c:v>551.06379618628364</c:v>
                </c:pt>
                <c:pt idx="1523">
                  <c:v>546.88419913236191</c:v>
                </c:pt>
                <c:pt idx="1524">
                  <c:v>550.42078125491116</c:v>
                </c:pt>
                <c:pt idx="1525">
                  <c:v>557.17243803432279</c:v>
                </c:pt>
                <c:pt idx="1526">
                  <c:v>549.77776632353846</c:v>
                </c:pt>
                <c:pt idx="1527">
                  <c:v>553.31434844608759</c:v>
                </c:pt>
                <c:pt idx="1528">
                  <c:v>549.45625885785216</c:v>
                </c:pt>
                <c:pt idx="1529">
                  <c:v>547.8487215294208</c:v>
                </c:pt>
                <c:pt idx="1530">
                  <c:v>547.8487215294208</c:v>
                </c:pt>
                <c:pt idx="1531">
                  <c:v>545.91967673530314</c:v>
                </c:pt>
                <c:pt idx="1532">
                  <c:v>552.67133351471512</c:v>
                </c:pt>
                <c:pt idx="1533">
                  <c:v>563.28107988236218</c:v>
                </c:pt>
                <c:pt idx="1534">
                  <c:v>559.42299029412675</c:v>
                </c:pt>
                <c:pt idx="1535">
                  <c:v>557.4939455000092</c:v>
                </c:pt>
                <c:pt idx="1536">
                  <c:v>556.20791563726414</c:v>
                </c:pt>
                <c:pt idx="1537">
                  <c:v>553.95736337746018</c:v>
                </c:pt>
                <c:pt idx="1538">
                  <c:v>552.67133351471512</c:v>
                </c:pt>
                <c:pt idx="1539">
                  <c:v>551.06379618628364</c:v>
                </c:pt>
                <c:pt idx="1540">
                  <c:v>542.7046020784403</c:v>
                </c:pt>
                <c:pt idx="1541">
                  <c:v>540.45404981863635</c:v>
                </c:pt>
                <c:pt idx="1542">
                  <c:v>536.59596023040103</c:v>
                </c:pt>
                <c:pt idx="1543">
                  <c:v>525.66470639706756</c:v>
                </c:pt>
                <c:pt idx="1544">
                  <c:v>525.98621386275374</c:v>
                </c:pt>
                <c:pt idx="1545">
                  <c:v>528.23676612255781</c:v>
                </c:pt>
                <c:pt idx="1546">
                  <c:v>534.02390050491078</c:v>
                </c:pt>
                <c:pt idx="1547">
                  <c:v>533.0593781078519</c:v>
                </c:pt>
                <c:pt idx="1548">
                  <c:v>541.09706475000883</c:v>
                </c:pt>
                <c:pt idx="1549">
                  <c:v>541.41857221569524</c:v>
                </c:pt>
                <c:pt idx="1550">
                  <c:v>537.56048262745981</c:v>
                </c:pt>
                <c:pt idx="1551">
                  <c:v>532.73787064216572</c:v>
                </c:pt>
                <c:pt idx="1552">
                  <c:v>528.55827358824399</c:v>
                </c:pt>
                <c:pt idx="1553">
                  <c:v>529.52279598530288</c:v>
                </c:pt>
                <c:pt idx="1554">
                  <c:v>534.02390050491078</c:v>
                </c:pt>
                <c:pt idx="1555">
                  <c:v>535.95294529902844</c:v>
                </c:pt>
                <c:pt idx="1556">
                  <c:v>534.02390050491078</c:v>
                </c:pt>
                <c:pt idx="1557">
                  <c:v>528.55827358824399</c:v>
                </c:pt>
                <c:pt idx="1558">
                  <c:v>524.70018400000856</c:v>
                </c:pt>
                <c:pt idx="1559">
                  <c:v>528.87978105393029</c:v>
                </c:pt>
                <c:pt idx="1560">
                  <c:v>530.80882584804806</c:v>
                </c:pt>
                <c:pt idx="1561">
                  <c:v>534.34540797059708</c:v>
                </c:pt>
                <c:pt idx="1562">
                  <c:v>535.30993036765585</c:v>
                </c:pt>
                <c:pt idx="1563">
                  <c:v>529.84430345098906</c:v>
                </c:pt>
                <c:pt idx="1564">
                  <c:v>530.16581091667535</c:v>
                </c:pt>
                <c:pt idx="1565">
                  <c:v>529.20128851961658</c:v>
                </c:pt>
                <c:pt idx="1566">
                  <c:v>530.80882584804806</c:v>
                </c:pt>
                <c:pt idx="1567">
                  <c:v>534.02390050491078</c:v>
                </c:pt>
                <c:pt idx="1568">
                  <c:v>531.13033331373424</c:v>
                </c:pt>
                <c:pt idx="1569">
                  <c:v>529.84430345098906</c:v>
                </c:pt>
                <c:pt idx="1570">
                  <c:v>523.73566160294979</c:v>
                </c:pt>
                <c:pt idx="1571">
                  <c:v>522.44963174020461</c:v>
                </c:pt>
                <c:pt idx="1572">
                  <c:v>522.44963174020461</c:v>
                </c:pt>
                <c:pt idx="1573">
                  <c:v>531.13033331373424</c:v>
                </c:pt>
                <c:pt idx="1574">
                  <c:v>531.45184077942054</c:v>
                </c:pt>
                <c:pt idx="1575">
                  <c:v>534.02390050491078</c:v>
                </c:pt>
                <c:pt idx="1576">
                  <c:v>534.98842290196956</c:v>
                </c:pt>
                <c:pt idx="1577">
                  <c:v>529.20128851961658</c:v>
                </c:pt>
                <c:pt idx="1578">
                  <c:v>523.41415413726361</c:v>
                </c:pt>
                <c:pt idx="1579">
                  <c:v>531.13033331373424</c:v>
                </c:pt>
                <c:pt idx="1580">
                  <c:v>529.20128851961658</c:v>
                </c:pt>
                <c:pt idx="1581">
                  <c:v>524.37867653432238</c:v>
                </c:pt>
                <c:pt idx="1582">
                  <c:v>523.41415413726361</c:v>
                </c:pt>
                <c:pt idx="1583">
                  <c:v>523.41415413726361</c:v>
                </c:pt>
                <c:pt idx="1584">
                  <c:v>530.16581091667535</c:v>
                </c:pt>
                <c:pt idx="1585">
                  <c:v>532.73787064216572</c:v>
                </c:pt>
                <c:pt idx="1586">
                  <c:v>535.63143783334226</c:v>
                </c:pt>
                <c:pt idx="1587">
                  <c:v>530.80882584804806</c:v>
                </c:pt>
                <c:pt idx="1588">
                  <c:v>533.70239303922449</c:v>
                </c:pt>
                <c:pt idx="1589">
                  <c:v>534.66691543628326</c:v>
                </c:pt>
                <c:pt idx="1590">
                  <c:v>544.95515433824426</c:v>
                </c:pt>
                <c:pt idx="1591">
                  <c:v>552.9928409804013</c:v>
                </c:pt>
                <c:pt idx="1592">
                  <c:v>550.09927378922475</c:v>
                </c:pt>
                <c:pt idx="1593">
                  <c:v>544.63364687255796</c:v>
                </c:pt>
                <c:pt idx="1594">
                  <c:v>533.70239303922449</c:v>
                </c:pt>
                <c:pt idx="1595">
                  <c:v>532.73787064216572</c:v>
                </c:pt>
                <c:pt idx="1596">
                  <c:v>532.73787064216572</c:v>
                </c:pt>
                <c:pt idx="1597">
                  <c:v>531.45184077942054</c:v>
                </c:pt>
                <c:pt idx="1598">
                  <c:v>526.62922879412633</c:v>
                </c:pt>
                <c:pt idx="1599">
                  <c:v>522.44963174020461</c:v>
                </c:pt>
                <c:pt idx="1600">
                  <c:v>525.66470639706756</c:v>
                </c:pt>
                <c:pt idx="1601">
                  <c:v>529.52279598530288</c:v>
                </c:pt>
                <c:pt idx="1602">
                  <c:v>527.91525865687152</c:v>
                </c:pt>
                <c:pt idx="1603">
                  <c:v>528.87978105393029</c:v>
                </c:pt>
                <c:pt idx="1604">
                  <c:v>528.55827358824399</c:v>
                </c:pt>
                <c:pt idx="1605">
                  <c:v>533.70239303922449</c:v>
                </c:pt>
                <c:pt idx="1606">
                  <c:v>538.84651249020499</c:v>
                </c:pt>
                <c:pt idx="1607">
                  <c:v>535.30993036765585</c:v>
                </c:pt>
                <c:pt idx="1608">
                  <c:v>527.59375119118511</c:v>
                </c:pt>
                <c:pt idx="1609">
                  <c:v>522.77113920589102</c:v>
                </c:pt>
                <c:pt idx="1610">
                  <c:v>526.95073625981263</c:v>
                </c:pt>
                <c:pt idx="1611">
                  <c:v>526.95073625981263</c:v>
                </c:pt>
                <c:pt idx="1612">
                  <c:v>525.34319893138127</c:v>
                </c:pt>
                <c:pt idx="1613">
                  <c:v>533.0593781078519</c:v>
                </c:pt>
                <c:pt idx="1614">
                  <c:v>531.45184077942054</c:v>
                </c:pt>
                <c:pt idx="1615">
                  <c:v>530.80882584804806</c:v>
                </c:pt>
                <c:pt idx="1616">
                  <c:v>535.95294529902844</c:v>
                </c:pt>
                <c:pt idx="1617">
                  <c:v>529.84430345098906</c:v>
                </c:pt>
                <c:pt idx="1618">
                  <c:v>526.30772132844004</c:v>
                </c:pt>
                <c:pt idx="1619">
                  <c:v>532.09485571079301</c:v>
                </c:pt>
                <c:pt idx="1620">
                  <c:v>527.91525865687152</c:v>
                </c:pt>
                <c:pt idx="1621">
                  <c:v>528.55827358824399</c:v>
                </c:pt>
                <c:pt idx="1622">
                  <c:v>526.95073625981263</c:v>
                </c:pt>
                <c:pt idx="1623">
                  <c:v>532.09485571079301</c:v>
                </c:pt>
                <c:pt idx="1624">
                  <c:v>538.52500502451869</c:v>
                </c:pt>
                <c:pt idx="1625">
                  <c:v>537.56048262745981</c:v>
                </c:pt>
                <c:pt idx="1626">
                  <c:v>538.84651249020499</c:v>
                </c:pt>
                <c:pt idx="1627">
                  <c:v>542.06158714706771</c:v>
                </c:pt>
                <c:pt idx="1628">
                  <c:v>543.66912447549919</c:v>
                </c:pt>
                <c:pt idx="1629">
                  <c:v>550.74228872059723</c:v>
                </c:pt>
                <c:pt idx="1630">
                  <c:v>553.95736337746018</c:v>
                </c:pt>
                <c:pt idx="1631">
                  <c:v>534.02390050491078</c:v>
                </c:pt>
                <c:pt idx="1632">
                  <c:v>525.98621386275374</c:v>
                </c:pt>
                <c:pt idx="1633">
                  <c:v>523.73566160294979</c:v>
                </c:pt>
                <c:pt idx="1634">
                  <c:v>522.44963174020461</c:v>
                </c:pt>
                <c:pt idx="1635">
                  <c:v>528.23676612255781</c:v>
                </c:pt>
                <c:pt idx="1636">
                  <c:v>526.62922879412633</c:v>
                </c:pt>
                <c:pt idx="1637">
                  <c:v>521.80661680883213</c:v>
                </c:pt>
                <c:pt idx="1638">
                  <c:v>521.16360187745954</c:v>
                </c:pt>
                <c:pt idx="1639">
                  <c:v>517.94852722059682</c:v>
                </c:pt>
                <c:pt idx="1640">
                  <c:v>515.37646749510657</c:v>
                </c:pt>
                <c:pt idx="1641">
                  <c:v>513.76893016667509</c:v>
                </c:pt>
                <c:pt idx="1642">
                  <c:v>512.16139283824373</c:v>
                </c:pt>
                <c:pt idx="1643">
                  <c:v>516.01948242647916</c:v>
                </c:pt>
                <c:pt idx="1644">
                  <c:v>512.80440776961632</c:v>
                </c:pt>
                <c:pt idx="1645">
                  <c:v>514.41194509804768</c:v>
                </c:pt>
                <c:pt idx="1646">
                  <c:v>521.16360187745954</c:v>
                </c:pt>
                <c:pt idx="1647">
                  <c:v>512.16139283824373</c:v>
                </c:pt>
                <c:pt idx="1648">
                  <c:v>511.83988537255743</c:v>
                </c:pt>
                <c:pt idx="1649">
                  <c:v>509.26782564706718</c:v>
                </c:pt>
                <c:pt idx="1650">
                  <c:v>508.30330325000841</c:v>
                </c:pt>
                <c:pt idx="1651">
                  <c:v>508.30330325000841</c:v>
                </c:pt>
                <c:pt idx="1652">
                  <c:v>507.01727338726323</c:v>
                </c:pt>
                <c:pt idx="1653">
                  <c:v>496.407527019616</c:v>
                </c:pt>
                <c:pt idx="1654">
                  <c:v>490.62039263726297</c:v>
                </c:pt>
                <c:pt idx="1655">
                  <c:v>494.1569747598121</c:v>
                </c:pt>
                <c:pt idx="1656">
                  <c:v>498.01506434804742</c:v>
                </c:pt>
                <c:pt idx="1657">
                  <c:v>498.65807927941995</c:v>
                </c:pt>
                <c:pt idx="1658">
                  <c:v>500.58712407353767</c:v>
                </c:pt>
                <c:pt idx="1659">
                  <c:v>499.62260167647884</c:v>
                </c:pt>
                <c:pt idx="1660">
                  <c:v>493.83546729412575</c:v>
                </c:pt>
                <c:pt idx="1661">
                  <c:v>498.01506434804742</c:v>
                </c:pt>
                <c:pt idx="1662">
                  <c:v>496.0860195539297</c:v>
                </c:pt>
                <c:pt idx="1663">
                  <c:v>497.69355688236118</c:v>
                </c:pt>
                <c:pt idx="1664">
                  <c:v>496.72903448530229</c:v>
                </c:pt>
                <c:pt idx="1665">
                  <c:v>493.83546729412575</c:v>
                </c:pt>
                <c:pt idx="1666">
                  <c:v>493.51395982843951</c:v>
                </c:pt>
                <c:pt idx="1667">
                  <c:v>497.37204941667488</c:v>
                </c:pt>
                <c:pt idx="1668">
                  <c:v>493.51395982843951</c:v>
                </c:pt>
                <c:pt idx="1669">
                  <c:v>497.69355688236118</c:v>
                </c:pt>
                <c:pt idx="1670">
                  <c:v>494.4784822254984</c:v>
                </c:pt>
                <c:pt idx="1671">
                  <c:v>488.36984037745901</c:v>
                </c:pt>
                <c:pt idx="1672">
                  <c:v>483.54722839216481</c:v>
                </c:pt>
                <c:pt idx="1673">
                  <c:v>476.79557161275301</c:v>
                </c:pt>
                <c:pt idx="1674">
                  <c:v>476.79557161275301</c:v>
                </c:pt>
                <c:pt idx="1675">
                  <c:v>471.32994469608622</c:v>
                </c:pt>
                <c:pt idx="1676">
                  <c:v>474.545019352949</c:v>
                </c:pt>
                <c:pt idx="1677">
                  <c:v>475.50954175000783</c:v>
                </c:pt>
                <c:pt idx="1678">
                  <c:v>476.15255668138042</c:v>
                </c:pt>
                <c:pt idx="1679">
                  <c:v>470.36542229902739</c:v>
                </c:pt>
                <c:pt idx="1680">
                  <c:v>470.04391483334109</c:v>
                </c:pt>
                <c:pt idx="1681">
                  <c:v>479.0461238725569</c:v>
                </c:pt>
                <c:pt idx="1682">
                  <c:v>472.29446709314504</c:v>
                </c:pt>
                <c:pt idx="1683">
                  <c:v>471.65145216177251</c:v>
                </c:pt>
                <c:pt idx="1684">
                  <c:v>471.32994469608622</c:v>
                </c:pt>
                <c:pt idx="1685">
                  <c:v>467.15034764216455</c:v>
                </c:pt>
                <c:pt idx="1686">
                  <c:v>458.14813860294873</c:v>
                </c:pt>
                <c:pt idx="1687">
                  <c:v>455.57607887745849</c:v>
                </c:pt>
                <c:pt idx="1688">
                  <c:v>458.79115353432127</c:v>
                </c:pt>
                <c:pt idx="1689">
                  <c:v>456.21909380883102</c:v>
                </c:pt>
                <c:pt idx="1690">
                  <c:v>457.1836162058899</c:v>
                </c:pt>
                <c:pt idx="1691">
                  <c:v>454.29004901471342</c:v>
                </c:pt>
                <c:pt idx="1692">
                  <c:v>455.25457141177225</c:v>
                </c:pt>
                <c:pt idx="1693">
                  <c:v>457.5051236715762</c:v>
                </c:pt>
                <c:pt idx="1694">
                  <c:v>457.1836162058899</c:v>
                </c:pt>
                <c:pt idx="1695">
                  <c:v>455.57607887745849</c:v>
                </c:pt>
                <c:pt idx="1696">
                  <c:v>456.86210874020367</c:v>
                </c:pt>
                <c:pt idx="1697">
                  <c:v>456.21909380883102</c:v>
                </c:pt>
                <c:pt idx="1698">
                  <c:v>457.5051236715762</c:v>
                </c:pt>
                <c:pt idx="1699">
                  <c:v>460.72019832843898</c:v>
                </c:pt>
                <c:pt idx="1700">
                  <c:v>460.39869086275269</c:v>
                </c:pt>
                <c:pt idx="1701">
                  <c:v>459.43416846569386</c:v>
                </c:pt>
                <c:pt idx="1702">
                  <c:v>465.54281031373318</c:v>
                </c:pt>
                <c:pt idx="1703">
                  <c:v>463.61376551961547</c:v>
                </c:pt>
                <c:pt idx="1704">
                  <c:v>460.07718339706645</c:v>
                </c:pt>
                <c:pt idx="1705">
                  <c:v>467.79336257353714</c:v>
                </c:pt>
                <c:pt idx="1706">
                  <c:v>466.50733271079196</c:v>
                </c:pt>
                <c:pt idx="1707">
                  <c:v>473.90200442157641</c:v>
                </c:pt>
                <c:pt idx="1708">
                  <c:v>470.36542229902739</c:v>
                </c:pt>
                <c:pt idx="1709">
                  <c:v>470.68692976471368</c:v>
                </c:pt>
                <c:pt idx="1710">
                  <c:v>465.22130284804689</c:v>
                </c:pt>
                <c:pt idx="1711">
                  <c:v>460.72019832843898</c:v>
                </c:pt>
                <c:pt idx="1712">
                  <c:v>462.3277356568704</c:v>
                </c:pt>
                <c:pt idx="1713">
                  <c:v>462.97075058824294</c:v>
                </c:pt>
                <c:pt idx="1714">
                  <c:v>469.40089990196856</c:v>
                </c:pt>
                <c:pt idx="1715">
                  <c:v>473.90200442157641</c:v>
                </c:pt>
                <c:pt idx="1716">
                  <c:v>474.545019352949</c:v>
                </c:pt>
                <c:pt idx="1717">
                  <c:v>471.00843723039992</c:v>
                </c:pt>
                <c:pt idx="1718">
                  <c:v>466.82884017647831</c:v>
                </c:pt>
                <c:pt idx="1719">
                  <c:v>469.7224073676548</c:v>
                </c:pt>
                <c:pt idx="1720">
                  <c:v>470.36542229902739</c:v>
                </c:pt>
                <c:pt idx="1721">
                  <c:v>473.25898949020387</c:v>
                </c:pt>
                <c:pt idx="1722">
                  <c:v>474.22351188726276</c:v>
                </c:pt>
                <c:pt idx="1723">
                  <c:v>474.22351188726276</c:v>
                </c:pt>
                <c:pt idx="1724">
                  <c:v>472.29446709314504</c:v>
                </c:pt>
                <c:pt idx="1725">
                  <c:v>471.00843723039992</c:v>
                </c:pt>
                <c:pt idx="1726">
                  <c:v>463.93527298530176</c:v>
                </c:pt>
                <c:pt idx="1727">
                  <c:v>461.04170579412522</c:v>
                </c:pt>
                <c:pt idx="1728">
                  <c:v>464.5782879166743</c:v>
                </c:pt>
                <c:pt idx="1729">
                  <c:v>476.47406414706666</c:v>
                </c:pt>
                <c:pt idx="1730">
                  <c:v>473.90200442157641</c:v>
                </c:pt>
                <c:pt idx="1731">
                  <c:v>472.61597455883128</c:v>
                </c:pt>
                <c:pt idx="1732">
                  <c:v>471.65145216177251</c:v>
                </c:pt>
                <c:pt idx="1733">
                  <c:v>465.86431777941942</c:v>
                </c:pt>
                <c:pt idx="1734">
                  <c:v>461.04170579412522</c:v>
                </c:pt>
                <c:pt idx="1735">
                  <c:v>455.25457141177225</c:v>
                </c:pt>
                <c:pt idx="1736">
                  <c:v>450.75346689216428</c:v>
                </c:pt>
                <c:pt idx="1737">
                  <c:v>449.14592956373292</c:v>
                </c:pt>
                <c:pt idx="1738">
                  <c:v>454.29004901471342</c:v>
                </c:pt>
                <c:pt idx="1739">
                  <c:v>459.43416846569386</c:v>
                </c:pt>
                <c:pt idx="1740">
                  <c:v>461.68472072549775</c:v>
                </c:pt>
                <c:pt idx="1741">
                  <c:v>464.25678045098806</c:v>
                </c:pt>
                <c:pt idx="1742">
                  <c:v>463.61376551961547</c:v>
                </c:pt>
                <c:pt idx="1743">
                  <c:v>466.82884017647831</c:v>
                </c:pt>
                <c:pt idx="1744">
                  <c:v>458.46964606863497</c:v>
                </c:pt>
                <c:pt idx="1745">
                  <c:v>462.3277356568704</c:v>
                </c:pt>
                <c:pt idx="1746">
                  <c:v>459.11266100000751</c:v>
                </c:pt>
                <c:pt idx="1747">
                  <c:v>454.93306394608595</c:v>
                </c:pt>
                <c:pt idx="1748">
                  <c:v>458.79115353432127</c:v>
                </c:pt>
                <c:pt idx="1749">
                  <c:v>457.82663113726244</c:v>
                </c:pt>
                <c:pt idx="1750">
                  <c:v>462.6492431225567</c:v>
                </c:pt>
                <c:pt idx="1751">
                  <c:v>467.79336257353714</c:v>
                </c:pt>
                <c:pt idx="1752">
                  <c:v>465.54281031373318</c:v>
                </c:pt>
                <c:pt idx="1753">
                  <c:v>462.3277356568704</c:v>
                </c:pt>
                <c:pt idx="1754">
                  <c:v>465.86431777941942</c:v>
                </c:pt>
                <c:pt idx="1755">
                  <c:v>467.15034764216455</c:v>
                </c:pt>
                <c:pt idx="1756">
                  <c:v>470.68692976471368</c:v>
                </c:pt>
                <c:pt idx="1757">
                  <c:v>471.32994469608622</c:v>
                </c:pt>
                <c:pt idx="1758">
                  <c:v>471.97295962745875</c:v>
                </c:pt>
                <c:pt idx="1759">
                  <c:v>468.75788497059597</c:v>
                </c:pt>
                <c:pt idx="1760">
                  <c:v>469.40089990196856</c:v>
                </c:pt>
                <c:pt idx="1761">
                  <c:v>471.32994469608622</c:v>
                </c:pt>
                <c:pt idx="1762">
                  <c:v>471.00843723039992</c:v>
                </c:pt>
                <c:pt idx="1763">
                  <c:v>474.86652681863529</c:v>
                </c:pt>
                <c:pt idx="1764">
                  <c:v>472.29446709314504</c:v>
                </c:pt>
                <c:pt idx="1765">
                  <c:v>471.97295962745875</c:v>
                </c:pt>
                <c:pt idx="1766">
                  <c:v>484.19024332353746</c:v>
                </c:pt>
                <c:pt idx="1767">
                  <c:v>491.90642250000815</c:v>
                </c:pt>
                <c:pt idx="1768">
                  <c:v>497.37204941667488</c:v>
                </c:pt>
                <c:pt idx="1769">
                  <c:v>489.97737770589043</c:v>
                </c:pt>
                <c:pt idx="1770">
                  <c:v>499.62260167647884</c:v>
                </c:pt>
                <c:pt idx="1771">
                  <c:v>505.08822859314563</c:v>
                </c:pt>
                <c:pt idx="1772">
                  <c:v>506.3742584558907</c:v>
                </c:pt>
                <c:pt idx="1773">
                  <c:v>502.83767633334162</c:v>
                </c:pt>
                <c:pt idx="1774">
                  <c:v>502.19466140196903</c:v>
                </c:pt>
                <c:pt idx="1775">
                  <c:v>505.08822859314563</c:v>
                </c:pt>
                <c:pt idx="1776">
                  <c:v>504.12370619608669</c:v>
                </c:pt>
                <c:pt idx="1777">
                  <c:v>502.19466140196903</c:v>
                </c:pt>
                <c:pt idx="1778">
                  <c:v>501.55164647059649</c:v>
                </c:pt>
                <c:pt idx="1779">
                  <c:v>499.62260167647884</c:v>
                </c:pt>
                <c:pt idx="1780">
                  <c:v>500.90863153922396</c:v>
                </c:pt>
                <c:pt idx="1781">
                  <c:v>497.37204941667488</c:v>
                </c:pt>
                <c:pt idx="1782">
                  <c:v>490.62039263726297</c:v>
                </c:pt>
                <c:pt idx="1783">
                  <c:v>490.62039263726297</c:v>
                </c:pt>
                <c:pt idx="1784">
                  <c:v>494.79998969118463</c:v>
                </c:pt>
                <c:pt idx="1785">
                  <c:v>491.90642250000815</c:v>
                </c:pt>
                <c:pt idx="1786">
                  <c:v>494.4784822254984</c:v>
                </c:pt>
                <c:pt idx="1787">
                  <c:v>504.44521366177298</c:v>
                </c:pt>
                <c:pt idx="1788">
                  <c:v>509.91084057843972</c:v>
                </c:pt>
                <c:pt idx="1789">
                  <c:v>511.83988537255743</c:v>
                </c:pt>
                <c:pt idx="1790">
                  <c:v>516.98400482353793</c:v>
                </c:pt>
                <c:pt idx="1791">
                  <c:v>514.73345256373409</c:v>
                </c:pt>
                <c:pt idx="1792">
                  <c:v>506.3742584558907</c:v>
                </c:pt>
                <c:pt idx="1793">
                  <c:v>510.23234804412596</c:v>
                </c:pt>
                <c:pt idx="1794">
                  <c:v>505.73124352451816</c:v>
                </c:pt>
                <c:pt idx="1795">
                  <c:v>505.08822859314563</c:v>
                </c:pt>
                <c:pt idx="1796">
                  <c:v>507.33878085294947</c:v>
                </c:pt>
                <c:pt idx="1797">
                  <c:v>505.08822859314563</c:v>
                </c:pt>
                <c:pt idx="1798">
                  <c:v>508.30330325000841</c:v>
                </c:pt>
                <c:pt idx="1799">
                  <c:v>504.76672112745922</c:v>
                </c:pt>
                <c:pt idx="1800">
                  <c:v>500.90863153922396</c:v>
                </c:pt>
                <c:pt idx="1801">
                  <c:v>504.12370619608669</c:v>
                </c:pt>
                <c:pt idx="1802">
                  <c:v>507.01727338726323</c:v>
                </c:pt>
                <c:pt idx="1803">
                  <c:v>507.33878085294947</c:v>
                </c:pt>
                <c:pt idx="1804">
                  <c:v>515.69797496079286</c:v>
                </c:pt>
                <c:pt idx="1805">
                  <c:v>511.51837790687114</c:v>
                </c:pt>
                <c:pt idx="1806">
                  <c:v>510.23234804412596</c:v>
                </c:pt>
                <c:pt idx="1807">
                  <c:v>513.12591523530261</c:v>
                </c:pt>
                <c:pt idx="1808">
                  <c:v>508.94631818138095</c:v>
                </c:pt>
                <c:pt idx="1809">
                  <c:v>509.91084057843972</c:v>
                </c:pt>
                <c:pt idx="1810">
                  <c:v>508.62481071569465</c:v>
                </c:pt>
                <c:pt idx="1811">
                  <c:v>500.26561660785143</c:v>
                </c:pt>
                <c:pt idx="1812">
                  <c:v>487.40531798040018</c:v>
                </c:pt>
                <c:pt idx="1813">
                  <c:v>485.79778065196876</c:v>
                </c:pt>
                <c:pt idx="1814">
                  <c:v>485.47627318628253</c:v>
                </c:pt>
                <c:pt idx="1815">
                  <c:v>484.83325825490999</c:v>
                </c:pt>
                <c:pt idx="1816">
                  <c:v>486.11928811765506</c:v>
                </c:pt>
                <c:pt idx="1817">
                  <c:v>491.90642250000815</c:v>
                </c:pt>
                <c:pt idx="1818">
                  <c:v>496.72903448530229</c:v>
                </c:pt>
                <c:pt idx="1819">
                  <c:v>498.97958674510625</c:v>
                </c:pt>
                <c:pt idx="1820">
                  <c:v>489.97737770589043</c:v>
                </c:pt>
                <c:pt idx="1821">
                  <c:v>493.83546729412575</c:v>
                </c:pt>
                <c:pt idx="1822">
                  <c:v>494.4784822254984</c:v>
                </c:pt>
                <c:pt idx="1823">
                  <c:v>495.44300462255717</c:v>
                </c:pt>
                <c:pt idx="1824">
                  <c:v>492.54943743138068</c:v>
                </c:pt>
                <c:pt idx="1825">
                  <c:v>499.62260167647884</c:v>
                </c:pt>
                <c:pt idx="1826">
                  <c:v>497.05054195098865</c:v>
                </c:pt>
                <c:pt idx="1827">
                  <c:v>499.30109421079254</c:v>
                </c:pt>
                <c:pt idx="1828">
                  <c:v>496.407527019616</c:v>
                </c:pt>
                <c:pt idx="1829">
                  <c:v>495.12149715687093</c:v>
                </c:pt>
                <c:pt idx="1830">
                  <c:v>488.69134784314525</c:v>
                </c:pt>
                <c:pt idx="1831">
                  <c:v>485.47627318628253</c:v>
                </c:pt>
                <c:pt idx="1832">
                  <c:v>484.5117507892237</c:v>
                </c:pt>
                <c:pt idx="1833">
                  <c:v>483.22572092647852</c:v>
                </c:pt>
                <c:pt idx="1834">
                  <c:v>487.72682544608648</c:v>
                </c:pt>
                <c:pt idx="1835">
                  <c:v>488.69134784314525</c:v>
                </c:pt>
                <c:pt idx="1836">
                  <c:v>487.40531798040018</c:v>
                </c:pt>
                <c:pt idx="1837">
                  <c:v>486.76230304902765</c:v>
                </c:pt>
                <c:pt idx="1838">
                  <c:v>490.62039263726297</c:v>
                </c:pt>
                <c:pt idx="1839">
                  <c:v>490.29888517157673</c:v>
                </c:pt>
                <c:pt idx="1840">
                  <c:v>487.40531798040018</c:v>
                </c:pt>
                <c:pt idx="1841">
                  <c:v>484.5117507892237</c:v>
                </c:pt>
                <c:pt idx="1842">
                  <c:v>480.33215373530203</c:v>
                </c:pt>
                <c:pt idx="1843">
                  <c:v>480.65366120098827</c:v>
                </c:pt>
                <c:pt idx="1844">
                  <c:v>482.26119852941974</c:v>
                </c:pt>
                <c:pt idx="1845">
                  <c:v>480.97516866667462</c:v>
                </c:pt>
                <c:pt idx="1846">
                  <c:v>481.61818359804721</c:v>
                </c:pt>
                <c:pt idx="1847">
                  <c:v>476.15255668138042</c:v>
                </c:pt>
                <c:pt idx="1848">
                  <c:v>478.08160147549808</c:v>
                </c:pt>
                <c:pt idx="1849">
                  <c:v>482.26119852941974</c:v>
                </c:pt>
                <c:pt idx="1850">
                  <c:v>481.29667613236086</c:v>
                </c:pt>
                <c:pt idx="1851">
                  <c:v>481.93969106373345</c:v>
                </c:pt>
                <c:pt idx="1852">
                  <c:v>478.40310894118437</c:v>
                </c:pt>
                <c:pt idx="1853">
                  <c:v>471.97295962745875</c:v>
                </c:pt>
                <c:pt idx="1854">
                  <c:v>471.32994469608622</c:v>
                </c:pt>
                <c:pt idx="1855">
                  <c:v>476.79557161275301</c:v>
                </c:pt>
                <c:pt idx="1856">
                  <c:v>480.01064626961573</c:v>
                </c:pt>
                <c:pt idx="1857">
                  <c:v>476.47406414706666</c:v>
                </c:pt>
                <c:pt idx="1858">
                  <c:v>475.83104921569412</c:v>
                </c:pt>
                <c:pt idx="1859">
                  <c:v>471.32994469608622</c:v>
                </c:pt>
                <c:pt idx="1860">
                  <c:v>474.545019352949</c:v>
                </c:pt>
                <c:pt idx="1861">
                  <c:v>476.47406414706666</c:v>
                </c:pt>
                <c:pt idx="1862">
                  <c:v>475.83104921569412</c:v>
                </c:pt>
                <c:pt idx="1863">
                  <c:v>465.54281031373318</c:v>
                </c:pt>
                <c:pt idx="1864">
                  <c:v>463.61376551961547</c:v>
                </c:pt>
                <c:pt idx="1865">
                  <c:v>463.93527298530176</c:v>
                </c:pt>
                <c:pt idx="1866">
                  <c:v>464.25678045098806</c:v>
                </c:pt>
                <c:pt idx="1867">
                  <c:v>465.54281031373318</c:v>
                </c:pt>
                <c:pt idx="1868">
                  <c:v>467.79336257353714</c:v>
                </c:pt>
                <c:pt idx="1869">
                  <c:v>465.54281031373318</c:v>
                </c:pt>
                <c:pt idx="1870">
                  <c:v>462.3277356568704</c:v>
                </c:pt>
                <c:pt idx="1871">
                  <c:v>462.97075058824294</c:v>
                </c:pt>
                <c:pt idx="1872">
                  <c:v>465.54281031373318</c:v>
                </c:pt>
                <c:pt idx="1873">
                  <c:v>474.545019352949</c:v>
                </c:pt>
                <c:pt idx="1874">
                  <c:v>473.25898949020387</c:v>
                </c:pt>
                <c:pt idx="1875">
                  <c:v>477.11707907843925</c:v>
                </c:pt>
                <c:pt idx="1876">
                  <c:v>480.97516866667462</c:v>
                </c:pt>
                <c:pt idx="1877">
                  <c:v>479.3676313382432</c:v>
                </c:pt>
                <c:pt idx="1878">
                  <c:v>474.22351188726276</c:v>
                </c:pt>
                <c:pt idx="1879">
                  <c:v>472.61597455883128</c:v>
                </c:pt>
                <c:pt idx="1880">
                  <c:v>475.50954175000783</c:v>
                </c:pt>
                <c:pt idx="1881">
                  <c:v>475.83104921569412</c:v>
                </c:pt>
                <c:pt idx="1882">
                  <c:v>483.22572092647852</c:v>
                </c:pt>
                <c:pt idx="1883">
                  <c:v>475.18803428432153</c:v>
                </c:pt>
                <c:pt idx="1884">
                  <c:v>479.0461238725569</c:v>
                </c:pt>
                <c:pt idx="1885">
                  <c:v>480.65366120098827</c:v>
                </c:pt>
                <c:pt idx="1886">
                  <c:v>492.87094489706698</c:v>
                </c:pt>
                <c:pt idx="1887">
                  <c:v>491.5849150343218</c:v>
                </c:pt>
                <c:pt idx="1888">
                  <c:v>494.1569747598121</c:v>
                </c:pt>
                <c:pt idx="1889">
                  <c:v>495.12149715687093</c:v>
                </c:pt>
                <c:pt idx="1890">
                  <c:v>490.62039263726297</c:v>
                </c:pt>
                <c:pt idx="1891">
                  <c:v>490.29888517157673</c:v>
                </c:pt>
                <c:pt idx="1892">
                  <c:v>489.3343627745179</c:v>
                </c:pt>
                <c:pt idx="1893">
                  <c:v>490.62039263726297</c:v>
                </c:pt>
                <c:pt idx="1894">
                  <c:v>487.72682544608648</c:v>
                </c:pt>
                <c:pt idx="1895">
                  <c:v>492.22792996569444</c:v>
                </c:pt>
                <c:pt idx="1896">
                  <c:v>491.2634075686355</c:v>
                </c:pt>
                <c:pt idx="1897">
                  <c:v>489.0128553088316</c:v>
                </c:pt>
                <c:pt idx="1898">
                  <c:v>484.5117507892237</c:v>
                </c:pt>
                <c:pt idx="1899">
                  <c:v>484.5117507892237</c:v>
                </c:pt>
                <c:pt idx="1900">
                  <c:v>483.22572092647852</c:v>
                </c:pt>
                <c:pt idx="1901">
                  <c:v>485.47627318628253</c:v>
                </c:pt>
                <c:pt idx="1902">
                  <c:v>490.94190010294926</c:v>
                </c:pt>
                <c:pt idx="1903">
                  <c:v>486.76230304902765</c:v>
                </c:pt>
                <c:pt idx="1904">
                  <c:v>492.54943743138068</c:v>
                </c:pt>
                <c:pt idx="1905">
                  <c:v>495.12149715687093</c:v>
                </c:pt>
                <c:pt idx="1906">
                  <c:v>501.87315393628273</c:v>
                </c:pt>
                <c:pt idx="1907">
                  <c:v>515.37646749510657</c:v>
                </c:pt>
                <c:pt idx="1908">
                  <c:v>524.70018400000856</c:v>
                </c:pt>
                <c:pt idx="1909">
                  <c:v>526.95073625981263</c:v>
                </c:pt>
                <c:pt idx="1910">
                  <c:v>528.23676612255781</c:v>
                </c:pt>
                <c:pt idx="1911">
                  <c:v>531.77334824510683</c:v>
                </c:pt>
                <c:pt idx="1912">
                  <c:v>531.77334824510683</c:v>
                </c:pt>
                <c:pt idx="1913">
                  <c:v>528.55827358824399</c:v>
                </c:pt>
                <c:pt idx="1914">
                  <c:v>526.95073625981263</c:v>
                </c:pt>
                <c:pt idx="1915">
                  <c:v>529.20128851961658</c:v>
                </c:pt>
                <c:pt idx="1916">
                  <c:v>529.84430345098906</c:v>
                </c:pt>
                <c:pt idx="1917">
                  <c:v>514.73345256373409</c:v>
                </c:pt>
                <c:pt idx="1918">
                  <c:v>520.84209441177336</c:v>
                </c:pt>
                <c:pt idx="1919">
                  <c:v>530.16581091667535</c:v>
                </c:pt>
                <c:pt idx="1920">
                  <c:v>530.16581091667535</c:v>
                </c:pt>
                <c:pt idx="1921">
                  <c:v>540.77555728432264</c:v>
                </c:pt>
                <c:pt idx="1922">
                  <c:v>547.20570659804821</c:v>
                </c:pt>
                <c:pt idx="1923">
                  <c:v>546.56269166667573</c:v>
                </c:pt>
                <c:pt idx="1924">
                  <c:v>545.27666180393066</c:v>
                </c:pt>
                <c:pt idx="1925">
                  <c:v>561.03052762255822</c:v>
                </c:pt>
                <c:pt idx="1926">
                  <c:v>550.42078125491116</c:v>
                </c:pt>
                <c:pt idx="1927">
                  <c:v>555.88640817157773</c:v>
                </c:pt>
                <c:pt idx="1928">
                  <c:v>551.70681111765623</c:v>
                </c:pt>
                <c:pt idx="1929">
                  <c:v>544.31213940687178</c:v>
                </c:pt>
                <c:pt idx="1930">
                  <c:v>547.20570659804821</c:v>
                </c:pt>
                <c:pt idx="1931">
                  <c:v>550.09927378922475</c:v>
                </c:pt>
                <c:pt idx="1932">
                  <c:v>545.27666180393066</c:v>
                </c:pt>
                <c:pt idx="1933">
                  <c:v>548.1702289951071</c:v>
                </c:pt>
                <c:pt idx="1934">
                  <c:v>570.03273666177415</c:v>
                </c:pt>
                <c:pt idx="1935">
                  <c:v>590.60921446569603</c:v>
                </c:pt>
                <c:pt idx="1936">
                  <c:v>594.14579658824505</c:v>
                </c:pt>
                <c:pt idx="1937">
                  <c:v>591.25222939706862</c:v>
                </c:pt>
                <c:pt idx="1938">
                  <c:v>589.96619953432355</c:v>
                </c:pt>
                <c:pt idx="1939">
                  <c:v>594.14579658824505</c:v>
                </c:pt>
                <c:pt idx="1940">
                  <c:v>620.83091624020631</c:v>
                </c:pt>
                <c:pt idx="1941">
                  <c:v>617.93734904902976</c:v>
                </c:pt>
                <c:pt idx="1942">
                  <c:v>583.53605022059787</c:v>
                </c:pt>
                <c:pt idx="1943">
                  <c:v>584.17906515197046</c:v>
                </c:pt>
                <c:pt idx="1944">
                  <c:v>578.39193076961737</c:v>
                </c:pt>
                <c:pt idx="1945">
                  <c:v>584.17906515197046</c:v>
                </c:pt>
                <c:pt idx="1946">
                  <c:v>584.82208008334305</c:v>
                </c:pt>
                <c:pt idx="1947">
                  <c:v>583.53605022059787</c:v>
                </c:pt>
                <c:pt idx="1948">
                  <c:v>573.56931878432317</c:v>
                </c:pt>
                <c:pt idx="1949">
                  <c:v>573.56931878432317</c:v>
                </c:pt>
                <c:pt idx="1950">
                  <c:v>573.89082625000958</c:v>
                </c:pt>
                <c:pt idx="1951">
                  <c:v>570.99725905883304</c:v>
                </c:pt>
                <c:pt idx="1952">
                  <c:v>574.85534864706824</c:v>
                </c:pt>
                <c:pt idx="1953">
                  <c:v>590.93072193138232</c:v>
                </c:pt>
                <c:pt idx="1954">
                  <c:v>596.7178563137353</c:v>
                </c:pt>
                <c:pt idx="1955">
                  <c:v>597.03936377942159</c:v>
                </c:pt>
                <c:pt idx="1956">
                  <c:v>577.74891583824478</c:v>
                </c:pt>
                <c:pt idx="1957">
                  <c:v>563.28107988236218</c:v>
                </c:pt>
                <c:pt idx="1958">
                  <c:v>554.92188577451896</c:v>
                </c:pt>
                <c:pt idx="1959">
                  <c:v>550.09927378922475</c:v>
                </c:pt>
                <c:pt idx="1960">
                  <c:v>554.92188577451896</c:v>
                </c:pt>
                <c:pt idx="1961">
                  <c:v>565.85313960785254</c:v>
                </c:pt>
                <c:pt idx="1962">
                  <c:v>566.17464707353872</c:v>
                </c:pt>
                <c:pt idx="1963">
                  <c:v>560.38751269118575</c:v>
                </c:pt>
                <c:pt idx="1964">
                  <c:v>564.56710974510725</c:v>
                </c:pt>
                <c:pt idx="1965">
                  <c:v>571.64027399020551</c:v>
                </c:pt>
                <c:pt idx="1966">
                  <c:v>570.67575159314663</c:v>
                </c:pt>
                <c:pt idx="1967">
                  <c:v>565.85313960785254</c:v>
                </c:pt>
                <c:pt idx="1968">
                  <c:v>566.17464707353872</c:v>
                </c:pt>
                <c:pt idx="1969">
                  <c:v>568.10369186765649</c:v>
                </c:pt>
                <c:pt idx="1970">
                  <c:v>554.92188577451896</c:v>
                </c:pt>
                <c:pt idx="1971">
                  <c:v>561.03052762255822</c:v>
                </c:pt>
                <c:pt idx="1972">
                  <c:v>560.70902015687204</c:v>
                </c:pt>
                <c:pt idx="1973">
                  <c:v>570.03273666177415</c:v>
                </c:pt>
                <c:pt idx="1974">
                  <c:v>566.8176620049112</c:v>
                </c:pt>
                <c:pt idx="1975">
                  <c:v>563.92409481373477</c:v>
                </c:pt>
                <c:pt idx="1976">
                  <c:v>563.60258734804859</c:v>
                </c:pt>
                <c:pt idx="1977">
                  <c:v>582.89303528922528</c:v>
                </c:pt>
                <c:pt idx="1978">
                  <c:v>580.64248302942133</c:v>
                </c:pt>
                <c:pt idx="1979">
                  <c:v>567.7821844019702</c:v>
                </c:pt>
                <c:pt idx="1980">
                  <c:v>577.4274083725586</c:v>
                </c:pt>
                <c:pt idx="1981">
                  <c:v>580.64248302942133</c:v>
                </c:pt>
                <c:pt idx="1982">
                  <c:v>582.5715278235391</c:v>
                </c:pt>
                <c:pt idx="1983">
                  <c:v>584.82208008334305</c:v>
                </c:pt>
                <c:pt idx="1984">
                  <c:v>580.32097556373503</c:v>
                </c:pt>
                <c:pt idx="1985">
                  <c:v>563.92409481373477</c:v>
                </c:pt>
                <c:pt idx="1986">
                  <c:v>563.60258734804859</c:v>
                </c:pt>
                <c:pt idx="1987">
                  <c:v>540.45404981863635</c:v>
                </c:pt>
                <c:pt idx="1988">
                  <c:v>542.7046020784403</c:v>
                </c:pt>
                <c:pt idx="1989">
                  <c:v>538.2034975588324</c:v>
                </c:pt>
                <c:pt idx="1990">
                  <c:v>544.95515433824426</c:v>
                </c:pt>
                <c:pt idx="1991">
                  <c:v>547.8487215294208</c:v>
                </c:pt>
                <c:pt idx="1992">
                  <c:v>542.38309461275401</c:v>
                </c:pt>
                <c:pt idx="1993">
                  <c:v>540.13254235295017</c:v>
                </c:pt>
                <c:pt idx="1994">
                  <c:v>550.74228872059723</c:v>
                </c:pt>
                <c:pt idx="1995">
                  <c:v>550.42078125491116</c:v>
                </c:pt>
                <c:pt idx="1996">
                  <c:v>549.45625885785216</c:v>
                </c:pt>
                <c:pt idx="1997">
                  <c:v>552.34982604902871</c:v>
                </c:pt>
                <c:pt idx="1998">
                  <c:v>542.38309461275401</c:v>
                </c:pt>
                <c:pt idx="1999">
                  <c:v>544.63364687255796</c:v>
                </c:pt>
                <c:pt idx="2000">
                  <c:v>548.49173646079328</c:v>
                </c:pt>
                <c:pt idx="2001">
                  <c:v>544.95515433824426</c:v>
                </c:pt>
                <c:pt idx="2002">
                  <c:v>545.59816926961685</c:v>
                </c:pt>
                <c:pt idx="2003">
                  <c:v>542.7046020784403</c:v>
                </c:pt>
                <c:pt idx="2004">
                  <c:v>546.88419913236191</c:v>
                </c:pt>
                <c:pt idx="2005">
                  <c:v>550.74228872059723</c:v>
                </c:pt>
                <c:pt idx="2006">
                  <c:v>542.38309461275401</c:v>
                </c:pt>
                <c:pt idx="2007">
                  <c:v>544.63364687255796</c:v>
                </c:pt>
                <c:pt idx="2008">
                  <c:v>534.34540797059708</c:v>
                </c:pt>
                <c:pt idx="2009">
                  <c:v>536.27445276471474</c:v>
                </c:pt>
                <c:pt idx="2010">
                  <c:v>535.63143783334226</c:v>
                </c:pt>
                <c:pt idx="2011">
                  <c:v>542.38309461275401</c:v>
                </c:pt>
                <c:pt idx="2012">
                  <c:v>544.63364687255796</c:v>
                </c:pt>
                <c:pt idx="2013">
                  <c:v>547.20570659804821</c:v>
                </c:pt>
                <c:pt idx="2014">
                  <c:v>548.49173646079328</c:v>
                </c:pt>
                <c:pt idx="2015">
                  <c:v>536.91746769608733</c:v>
                </c:pt>
                <c:pt idx="2016">
                  <c:v>544.63364687255796</c:v>
                </c:pt>
                <c:pt idx="2017">
                  <c:v>547.8487215294208</c:v>
                </c:pt>
                <c:pt idx="2018">
                  <c:v>558.77997536275427</c:v>
                </c:pt>
                <c:pt idx="2019">
                  <c:v>565.53163214216613</c:v>
                </c:pt>
                <c:pt idx="2020">
                  <c:v>573.24781131863688</c:v>
                </c:pt>
                <c:pt idx="2021">
                  <c:v>573.24781131863688</c:v>
                </c:pt>
                <c:pt idx="2022">
                  <c:v>580.32097556373503</c:v>
                </c:pt>
                <c:pt idx="2023">
                  <c:v>576.14137850981353</c:v>
                </c:pt>
                <c:pt idx="2024">
                  <c:v>585.46509501471553</c:v>
                </c:pt>
                <c:pt idx="2025">
                  <c:v>592.85976672549998</c:v>
                </c:pt>
                <c:pt idx="2026">
                  <c:v>583.53605022059787</c:v>
                </c:pt>
                <c:pt idx="2027">
                  <c:v>592.2167517941275</c:v>
                </c:pt>
                <c:pt idx="2028">
                  <c:v>575.81987104412713</c:v>
                </c:pt>
                <c:pt idx="2029">
                  <c:v>576.14137850981353</c:v>
                </c:pt>
                <c:pt idx="2030">
                  <c:v>578.39193076961737</c:v>
                </c:pt>
                <c:pt idx="2031">
                  <c:v>571.31876652451922</c:v>
                </c:pt>
                <c:pt idx="2032">
                  <c:v>573.89082625000958</c:v>
                </c:pt>
                <c:pt idx="2033">
                  <c:v>579.03494570098997</c:v>
                </c:pt>
                <c:pt idx="2034">
                  <c:v>580.64248302942133</c:v>
                </c:pt>
                <c:pt idx="2035">
                  <c:v>580.64248302942133</c:v>
                </c:pt>
                <c:pt idx="2036">
                  <c:v>578.39193076961737</c:v>
                </c:pt>
                <c:pt idx="2037">
                  <c:v>571.31876652451922</c:v>
                </c:pt>
                <c:pt idx="2038">
                  <c:v>565.85313960785254</c:v>
                </c:pt>
                <c:pt idx="2039">
                  <c:v>573.24781131863688</c:v>
                </c:pt>
                <c:pt idx="2040">
                  <c:v>588.35866220589207</c:v>
                </c:pt>
                <c:pt idx="2041">
                  <c:v>578.07042330393108</c:v>
                </c:pt>
                <c:pt idx="2042">
                  <c:v>561.67354255393082</c:v>
                </c:pt>
                <c:pt idx="2043">
                  <c:v>570.03273666177415</c:v>
                </c:pt>
                <c:pt idx="2044">
                  <c:v>575.17685611275465</c:v>
                </c:pt>
                <c:pt idx="2045">
                  <c:v>571.31876652451922</c:v>
                </c:pt>
                <c:pt idx="2046">
                  <c:v>570.03273666177415</c:v>
                </c:pt>
                <c:pt idx="2047">
                  <c:v>566.49615453922513</c:v>
                </c:pt>
                <c:pt idx="2048">
                  <c:v>571.31876652451922</c:v>
                </c:pt>
                <c:pt idx="2049">
                  <c:v>571.31876652451922</c:v>
                </c:pt>
                <c:pt idx="2050">
                  <c:v>571.9617814558917</c:v>
                </c:pt>
                <c:pt idx="2051">
                  <c:v>569.38972173040156</c:v>
                </c:pt>
                <c:pt idx="2052">
                  <c:v>564.56710974510725</c:v>
                </c:pt>
                <c:pt idx="2053">
                  <c:v>567.13916947059761</c:v>
                </c:pt>
                <c:pt idx="2054">
                  <c:v>569.38972173040156</c:v>
                </c:pt>
                <c:pt idx="2055">
                  <c:v>572.28328892157811</c:v>
                </c:pt>
                <c:pt idx="2056">
                  <c:v>575.17685611275465</c:v>
                </c:pt>
                <c:pt idx="2057">
                  <c:v>589.96619953432355</c:v>
                </c:pt>
                <c:pt idx="2058">
                  <c:v>591.25222939706862</c:v>
                </c:pt>
                <c:pt idx="2059">
                  <c:v>596.7178563137353</c:v>
                </c:pt>
                <c:pt idx="2060">
                  <c:v>603.79102055883345</c:v>
                </c:pt>
                <c:pt idx="2061">
                  <c:v>589.32318460295085</c:v>
                </c:pt>
                <c:pt idx="2062">
                  <c:v>580.96399049510762</c:v>
                </c:pt>
                <c:pt idx="2063">
                  <c:v>580.32097556373503</c:v>
                </c:pt>
                <c:pt idx="2064">
                  <c:v>552.67133351471512</c:v>
                </c:pt>
                <c:pt idx="2065">
                  <c:v>543.99063194118548</c:v>
                </c:pt>
                <c:pt idx="2066">
                  <c:v>540.45404981863635</c:v>
                </c:pt>
                <c:pt idx="2067">
                  <c:v>554.60037830883266</c:v>
                </c:pt>
                <c:pt idx="2068">
                  <c:v>552.9928409804013</c:v>
                </c:pt>
                <c:pt idx="2069">
                  <c:v>561.99505001961711</c:v>
                </c:pt>
                <c:pt idx="2070">
                  <c:v>543.02610954412671</c:v>
                </c:pt>
                <c:pt idx="2071">
                  <c:v>548.81324392647969</c:v>
                </c:pt>
                <c:pt idx="2072">
                  <c:v>547.20570659804821</c:v>
                </c:pt>
                <c:pt idx="2073">
                  <c:v>531.45184077942054</c:v>
                </c:pt>
                <c:pt idx="2074">
                  <c:v>507.01727338726323</c:v>
                </c:pt>
                <c:pt idx="2075">
                  <c:v>416.99518299510498</c:v>
                </c:pt>
                <c:pt idx="2076">
                  <c:v>399.95528731373207</c:v>
                </c:pt>
                <c:pt idx="2077">
                  <c:v>399.31227238235948</c:v>
                </c:pt>
                <c:pt idx="2078">
                  <c:v>386.13046628922206</c:v>
                </c:pt>
                <c:pt idx="2079">
                  <c:v>406.0639291617714</c:v>
                </c:pt>
                <c:pt idx="2080">
                  <c:v>402.20583957353608</c:v>
                </c:pt>
                <c:pt idx="2081">
                  <c:v>438.21467573039939</c:v>
                </c:pt>
                <c:pt idx="2082">
                  <c:v>449.14592956373292</c:v>
                </c:pt>
                <c:pt idx="2083">
                  <c:v>463.61376551961547</c:v>
                </c:pt>
                <c:pt idx="2084">
                  <c:v>466.82884017647831</c:v>
                </c:pt>
                <c:pt idx="2085">
                  <c:v>452.03949675490946</c:v>
                </c:pt>
                <c:pt idx="2086">
                  <c:v>447.8598997009878</c:v>
                </c:pt>
                <c:pt idx="2087">
                  <c:v>450.75346689216428</c:v>
                </c:pt>
                <c:pt idx="2088">
                  <c:v>455.89758634314478</c:v>
                </c:pt>
                <c:pt idx="2089">
                  <c:v>462.6492431225567</c:v>
                </c:pt>
                <c:pt idx="2090">
                  <c:v>468.11487003922343</c:v>
                </c:pt>
                <c:pt idx="2091">
                  <c:v>484.83325825490999</c:v>
                </c:pt>
                <c:pt idx="2092">
                  <c:v>484.5117507892237</c:v>
                </c:pt>
                <c:pt idx="2093">
                  <c:v>488.04833291177272</c:v>
                </c:pt>
                <c:pt idx="2094">
                  <c:v>498.97958674510625</c:v>
                </c:pt>
                <c:pt idx="2095">
                  <c:v>500.58712407353767</c:v>
                </c:pt>
                <c:pt idx="2096">
                  <c:v>498.33657181373371</c:v>
                </c:pt>
                <c:pt idx="2097">
                  <c:v>487.40531798040018</c:v>
                </c:pt>
                <c:pt idx="2098">
                  <c:v>487.08381051471395</c:v>
                </c:pt>
                <c:pt idx="2099">
                  <c:v>481.29667613236086</c:v>
                </c:pt>
                <c:pt idx="2100">
                  <c:v>479.3676313382432</c:v>
                </c:pt>
                <c:pt idx="2101">
                  <c:v>492.22792996569444</c:v>
                </c:pt>
                <c:pt idx="2102">
                  <c:v>492.54943743138068</c:v>
                </c:pt>
                <c:pt idx="2103">
                  <c:v>489.0128553088316</c:v>
                </c:pt>
                <c:pt idx="2104">
                  <c:v>487.08381051471395</c:v>
                </c:pt>
                <c:pt idx="2105">
                  <c:v>487.72682544608648</c:v>
                </c:pt>
                <c:pt idx="2106">
                  <c:v>493.19245236275322</c:v>
                </c:pt>
                <c:pt idx="2107">
                  <c:v>477.43858654412554</c:v>
                </c:pt>
                <c:pt idx="2108">
                  <c:v>480.01064626961573</c:v>
                </c:pt>
                <c:pt idx="2109">
                  <c:v>474.22351188726276</c:v>
                </c:pt>
                <c:pt idx="2110">
                  <c:v>484.83325825490999</c:v>
                </c:pt>
                <c:pt idx="2111">
                  <c:v>481.61818359804721</c:v>
                </c:pt>
                <c:pt idx="2112">
                  <c:v>496.72903448530229</c:v>
                </c:pt>
                <c:pt idx="2113">
                  <c:v>498.01506434804742</c:v>
                </c:pt>
                <c:pt idx="2114">
                  <c:v>500.26561660785143</c:v>
                </c:pt>
                <c:pt idx="2115">
                  <c:v>499.30109421079254</c:v>
                </c:pt>
                <c:pt idx="2116">
                  <c:v>522.44963174020461</c:v>
                </c:pt>
                <c:pt idx="2117">
                  <c:v>557.81545296569561</c:v>
                </c:pt>
                <c:pt idx="2118">
                  <c:v>550.42078125491116</c:v>
                </c:pt>
                <c:pt idx="2119">
                  <c:v>561.67354255393082</c:v>
                </c:pt>
                <c:pt idx="2120">
                  <c:v>553.31434844608759</c:v>
                </c:pt>
                <c:pt idx="2121">
                  <c:v>546.56269166667573</c:v>
                </c:pt>
                <c:pt idx="2122">
                  <c:v>556.20791563726414</c:v>
                </c:pt>
                <c:pt idx="2123">
                  <c:v>552.67133351471512</c:v>
                </c:pt>
                <c:pt idx="2124">
                  <c:v>557.4939455000092</c:v>
                </c:pt>
                <c:pt idx="2125">
                  <c:v>565.53163214216613</c:v>
                </c:pt>
                <c:pt idx="2126">
                  <c:v>583.85755768628417</c:v>
                </c:pt>
                <c:pt idx="2127">
                  <c:v>587.39413980883319</c:v>
                </c:pt>
                <c:pt idx="2128">
                  <c:v>574.21233371569565</c:v>
                </c:pt>
                <c:pt idx="2129">
                  <c:v>570.67575159314663</c:v>
                </c:pt>
                <c:pt idx="2130">
                  <c:v>565.21012467647995</c:v>
                </c:pt>
                <c:pt idx="2131">
                  <c:v>565.21012467647995</c:v>
                </c:pt>
                <c:pt idx="2132">
                  <c:v>566.8176620049112</c:v>
                </c:pt>
                <c:pt idx="2133">
                  <c:v>569.71122919608774</c:v>
                </c:pt>
                <c:pt idx="2134">
                  <c:v>574.85534864706824</c:v>
                </c:pt>
                <c:pt idx="2135">
                  <c:v>566.8176620049112</c:v>
                </c:pt>
                <c:pt idx="2136">
                  <c:v>549.45625885785216</c:v>
                </c:pt>
                <c:pt idx="2137">
                  <c:v>559.74449775981316</c:v>
                </c:pt>
                <c:pt idx="2138">
                  <c:v>561.67354255393082</c:v>
                </c:pt>
                <c:pt idx="2139">
                  <c:v>566.49615453922513</c:v>
                </c:pt>
                <c:pt idx="2140">
                  <c:v>563.60258734804859</c:v>
                </c:pt>
                <c:pt idx="2141">
                  <c:v>574.21233371569565</c:v>
                </c:pt>
                <c:pt idx="2142">
                  <c:v>572.6047963872644</c:v>
                </c:pt>
                <c:pt idx="2143">
                  <c:v>574.21233371569565</c:v>
                </c:pt>
                <c:pt idx="2144">
                  <c:v>563.60258734804859</c:v>
                </c:pt>
                <c:pt idx="2145">
                  <c:v>573.24781131863688</c:v>
                </c:pt>
                <c:pt idx="2146">
                  <c:v>575.81987104412713</c:v>
                </c:pt>
                <c:pt idx="2147">
                  <c:v>573.89082625000958</c:v>
                </c:pt>
                <c:pt idx="2148">
                  <c:v>585.78660248040183</c:v>
                </c:pt>
                <c:pt idx="2149">
                  <c:v>576.46288597549972</c:v>
                </c:pt>
                <c:pt idx="2150">
                  <c:v>579.35645316667615</c:v>
                </c:pt>
                <c:pt idx="2151">
                  <c:v>587.07263234314701</c:v>
                </c:pt>
                <c:pt idx="2152">
                  <c:v>579.35645316667615</c:v>
                </c:pt>
                <c:pt idx="2153">
                  <c:v>594.46730405393134</c:v>
                </c:pt>
                <c:pt idx="2154">
                  <c:v>605.72006535295122</c:v>
                </c:pt>
                <c:pt idx="2155">
                  <c:v>603.46951309314727</c:v>
                </c:pt>
                <c:pt idx="2156">
                  <c:v>614.07925946079445</c:v>
                </c:pt>
                <c:pt idx="2157">
                  <c:v>607.64911014706877</c:v>
                </c:pt>
                <c:pt idx="2158">
                  <c:v>621.47393117157878</c:v>
                </c:pt>
                <c:pt idx="2159">
                  <c:v>618.90187144608865</c:v>
                </c:pt>
                <c:pt idx="2160">
                  <c:v>616.0083042549121</c:v>
                </c:pt>
                <c:pt idx="2161">
                  <c:v>625.01051329412803</c:v>
                </c:pt>
                <c:pt idx="2162">
                  <c:v>661.01934945099129</c:v>
                </c:pt>
                <c:pt idx="2163">
                  <c:v>715.35411115197257</c:v>
                </c:pt>
                <c:pt idx="2164">
                  <c:v>734.96606655883568</c:v>
                </c:pt>
                <c:pt idx="2165">
                  <c:v>722.74878286275703</c:v>
                </c:pt>
                <c:pt idx="2166">
                  <c:v>783.83520134315006</c:v>
                </c:pt>
                <c:pt idx="2167">
                  <c:v>757.15008169118903</c:v>
                </c:pt>
                <c:pt idx="2168">
                  <c:v>782.54917148040499</c:v>
                </c:pt>
                <c:pt idx="2169">
                  <c:v>744.61129052942408</c:v>
                </c:pt>
                <c:pt idx="2170">
                  <c:v>773.86846990687548</c:v>
                </c:pt>
                <c:pt idx="2171">
                  <c:v>779.01258935785597</c:v>
                </c:pt>
                <c:pt idx="2172">
                  <c:v>782.22766401471881</c:v>
                </c:pt>
                <c:pt idx="2173">
                  <c:v>866.46262002452409</c:v>
                </c:pt>
                <c:pt idx="2174">
                  <c:v>896.68432179903448</c:v>
                </c:pt>
                <c:pt idx="2175">
                  <c:v>910.83065028923056</c:v>
                </c:pt>
                <c:pt idx="2176">
                  <c:v>908.90160549511302</c:v>
                </c:pt>
                <c:pt idx="2177">
                  <c:v>909.22311296079943</c:v>
                </c:pt>
                <c:pt idx="2178">
                  <c:v>829.81076893628813</c:v>
                </c:pt>
                <c:pt idx="2179">
                  <c:v>843.95709742648455</c:v>
                </c:pt>
                <c:pt idx="2180">
                  <c:v>858.74644084805345</c:v>
                </c:pt>
                <c:pt idx="2181">
                  <c:v>865.49809762746531</c:v>
                </c:pt>
                <c:pt idx="2182">
                  <c:v>910.83065028923056</c:v>
                </c:pt>
                <c:pt idx="2183">
                  <c:v>882.21648584315187</c:v>
                </c:pt>
                <c:pt idx="2184">
                  <c:v>865.49809762746531</c:v>
                </c:pt>
                <c:pt idx="2185">
                  <c:v>863.24754536766136</c:v>
                </c:pt>
                <c:pt idx="2186">
                  <c:v>864.53357523040643</c:v>
                </c:pt>
                <c:pt idx="2187">
                  <c:v>851.99478406864148</c:v>
                </c:pt>
                <c:pt idx="2188">
                  <c:v>848.77970941177875</c:v>
                </c:pt>
                <c:pt idx="2189">
                  <c:v>876.10784399511249</c:v>
                </c:pt>
                <c:pt idx="2190">
                  <c:v>879.32291865197533</c:v>
                </c:pt>
                <c:pt idx="2191">
                  <c:v>928.83506836766242</c:v>
                </c:pt>
                <c:pt idx="2192">
                  <c:v>890.89718741668139</c:v>
                </c:pt>
                <c:pt idx="2193">
                  <c:v>864.85508269609272</c:v>
                </c:pt>
                <c:pt idx="2194">
                  <c:v>862.28302297060247</c:v>
                </c:pt>
                <c:pt idx="2195">
                  <c:v>862.60453043628866</c:v>
                </c:pt>
                <c:pt idx="2196">
                  <c:v>857.78191845099445</c:v>
                </c:pt>
                <c:pt idx="2197">
                  <c:v>853.28081393138655</c:v>
                </c:pt>
                <c:pt idx="2198">
                  <c:v>871.60673947550458</c:v>
                </c:pt>
                <c:pt idx="2199">
                  <c:v>864.21206776472013</c:v>
                </c:pt>
                <c:pt idx="2200">
                  <c:v>864.53357523040643</c:v>
                </c:pt>
                <c:pt idx="2201">
                  <c:v>885.75306796570089</c:v>
                </c:pt>
                <c:pt idx="2202">
                  <c:v>880.2874410490341</c:v>
                </c:pt>
                <c:pt idx="2203">
                  <c:v>860.03247071079852</c:v>
                </c:pt>
                <c:pt idx="2204">
                  <c:v>869.99920214707311</c:v>
                </c:pt>
                <c:pt idx="2205">
                  <c:v>847.49367954903357</c:v>
                </c:pt>
                <c:pt idx="2206">
                  <c:v>781.26314161765993</c:v>
                </c:pt>
                <c:pt idx="2207">
                  <c:v>752.32746970589471</c:v>
                </c:pt>
                <c:pt idx="2208">
                  <c:v>714.3895887549138</c:v>
                </c:pt>
                <c:pt idx="2209">
                  <c:v>727.57139484805123</c:v>
                </c:pt>
                <c:pt idx="2210">
                  <c:v>735.93058895589445</c:v>
                </c:pt>
                <c:pt idx="2211">
                  <c:v>766.47379819609102</c:v>
                </c:pt>
                <c:pt idx="2212">
                  <c:v>762.937216073542</c:v>
                </c:pt>
                <c:pt idx="2213">
                  <c:v>759.40063395099298</c:v>
                </c:pt>
                <c:pt idx="2214">
                  <c:v>767.43832059315002</c:v>
                </c:pt>
                <c:pt idx="2215">
                  <c:v>769.04585792158139</c:v>
                </c:pt>
                <c:pt idx="2216">
                  <c:v>781.26314161765993</c:v>
                </c:pt>
                <c:pt idx="2217">
                  <c:v>756.50706675981633</c:v>
                </c:pt>
                <c:pt idx="2218">
                  <c:v>770.33188778432645</c:v>
                </c:pt>
                <c:pt idx="2219">
                  <c:v>781.90615654903252</c:v>
                </c:pt>
                <c:pt idx="2220">
                  <c:v>805.69770900981723</c:v>
                </c:pt>
                <c:pt idx="2221">
                  <c:v>801.83961942158192</c:v>
                </c:pt>
                <c:pt idx="2222">
                  <c:v>777.40505202942461</c:v>
                </c:pt>
                <c:pt idx="2223">
                  <c:v>769.68887285295398</c:v>
                </c:pt>
                <c:pt idx="2224">
                  <c:v>783.19218641177758</c:v>
                </c:pt>
                <c:pt idx="2225">
                  <c:v>798.62454476471896</c:v>
                </c:pt>
                <c:pt idx="2226">
                  <c:v>791.87288798530722</c:v>
                </c:pt>
                <c:pt idx="2227">
                  <c:v>804.41167914707216</c:v>
                </c:pt>
                <c:pt idx="2228">
                  <c:v>801.19660449020932</c:v>
                </c:pt>
                <c:pt idx="2229">
                  <c:v>796.05248503922883</c:v>
                </c:pt>
                <c:pt idx="2230">
                  <c:v>780.62012668628745</c:v>
                </c:pt>
                <c:pt idx="2231">
                  <c:v>785.76424613726795</c:v>
                </c:pt>
                <c:pt idx="2232">
                  <c:v>769.36736538726757</c:v>
                </c:pt>
                <c:pt idx="2233">
                  <c:v>740.11018600981618</c:v>
                </c:pt>
                <c:pt idx="2234">
                  <c:v>759.72214141667916</c:v>
                </c:pt>
                <c:pt idx="2235">
                  <c:v>770.97490271569905</c:v>
                </c:pt>
                <c:pt idx="2236">
                  <c:v>777.08354456373843</c:v>
                </c:pt>
                <c:pt idx="2237">
                  <c:v>770.97490271569905</c:v>
                </c:pt>
                <c:pt idx="2238">
                  <c:v>789.94384319118944</c:v>
                </c:pt>
                <c:pt idx="2239">
                  <c:v>828.84624653922947</c:v>
                </c:pt>
                <c:pt idx="2240">
                  <c:v>807.30524633824859</c:v>
                </c:pt>
                <c:pt idx="2241">
                  <c:v>778.04806696079709</c:v>
                </c:pt>
                <c:pt idx="2242">
                  <c:v>778.3695744264835</c:v>
                </c:pt>
                <c:pt idx="2243">
                  <c:v>778.69108189216968</c:v>
                </c:pt>
                <c:pt idx="2244">
                  <c:v>779.65560428922856</c:v>
                </c:pt>
                <c:pt idx="2245">
                  <c:v>780.29861922060104</c:v>
                </c:pt>
                <c:pt idx="2246">
                  <c:v>791.87288798530722</c:v>
                </c:pt>
                <c:pt idx="2247">
                  <c:v>781.90615654903252</c:v>
                </c:pt>
                <c:pt idx="2248">
                  <c:v>770.97490271569905</c:v>
                </c:pt>
                <c:pt idx="2249">
                  <c:v>777.08354456373843</c:v>
                </c:pt>
                <c:pt idx="2250">
                  <c:v>768.72435045589509</c:v>
                </c:pt>
                <c:pt idx="2251">
                  <c:v>744.61129052942408</c:v>
                </c:pt>
                <c:pt idx="2252">
                  <c:v>752.64897717158112</c:v>
                </c:pt>
                <c:pt idx="2253">
                  <c:v>751.04143984314965</c:v>
                </c:pt>
                <c:pt idx="2254">
                  <c:v>743.96827559805149</c:v>
                </c:pt>
                <c:pt idx="2255">
                  <c:v>712.13903649510974</c:v>
                </c:pt>
                <c:pt idx="2256">
                  <c:v>756.82857422550262</c:v>
                </c:pt>
                <c:pt idx="2257">
                  <c:v>770.97490271569905</c:v>
                </c:pt>
                <c:pt idx="2258">
                  <c:v>777.08354456373843</c:v>
                </c:pt>
                <c:pt idx="2259">
                  <c:v>779.01258935785597</c:v>
                </c:pt>
                <c:pt idx="2260">
                  <c:v>763.58023100491459</c:v>
                </c:pt>
                <c:pt idx="2261">
                  <c:v>787.05027600001301</c:v>
                </c:pt>
                <c:pt idx="2262">
                  <c:v>774.51148483824807</c:v>
                </c:pt>
                <c:pt idx="2263">
                  <c:v>768.0813355245225</c:v>
                </c:pt>
                <c:pt idx="2264">
                  <c:v>765.83078326471855</c:v>
                </c:pt>
                <c:pt idx="2265">
                  <c:v>767.11681312746362</c:v>
                </c:pt>
                <c:pt idx="2266">
                  <c:v>778.69108189216968</c:v>
                </c:pt>
                <c:pt idx="2267">
                  <c:v>807.94826126962118</c:v>
                </c:pt>
                <c:pt idx="2268">
                  <c:v>827.56021667648417</c:v>
                </c:pt>
                <c:pt idx="2269">
                  <c:v>830.13227640197454</c:v>
                </c:pt>
                <c:pt idx="2270">
                  <c:v>841.06353023530801</c:v>
                </c:pt>
                <c:pt idx="2271">
                  <c:v>828.52473907354306</c:v>
                </c:pt>
                <c:pt idx="2272">
                  <c:v>814.05690311766057</c:v>
                </c:pt>
                <c:pt idx="2273">
                  <c:v>828.84624653922947</c:v>
                </c:pt>
                <c:pt idx="2274">
                  <c:v>840.7420227696216</c:v>
                </c:pt>
                <c:pt idx="2275">
                  <c:v>845.8861422206021</c:v>
                </c:pt>
                <c:pt idx="2276">
                  <c:v>851.67327660295518</c:v>
                </c:pt>
                <c:pt idx="2277">
                  <c:v>876.75085892648508</c:v>
                </c:pt>
                <c:pt idx="2278">
                  <c:v>884.46703810295583</c:v>
                </c:pt>
                <c:pt idx="2279">
                  <c:v>885.1100530343283</c:v>
                </c:pt>
                <c:pt idx="2280">
                  <c:v>872.24975440687717</c:v>
                </c:pt>
                <c:pt idx="2281">
                  <c:v>856.81739605393568</c:v>
                </c:pt>
                <c:pt idx="2282">
                  <c:v>804.41167914707216</c:v>
                </c:pt>
                <c:pt idx="2283">
                  <c:v>820.80855989707231</c:v>
                </c:pt>
                <c:pt idx="2284">
                  <c:v>814.69991804903304</c:v>
                </c:pt>
                <c:pt idx="2285">
                  <c:v>811.80635085785661</c:v>
                </c:pt>
                <c:pt idx="2286">
                  <c:v>811.80635085785661</c:v>
                </c:pt>
                <c:pt idx="2287">
                  <c:v>799.58906716177796</c:v>
                </c:pt>
                <c:pt idx="2288">
                  <c:v>813.41388818628786</c:v>
                </c:pt>
                <c:pt idx="2289">
                  <c:v>813.41388818628786</c:v>
                </c:pt>
                <c:pt idx="2290">
                  <c:v>831.7398137304059</c:v>
                </c:pt>
                <c:pt idx="2291">
                  <c:v>814.05690311766057</c:v>
                </c:pt>
                <c:pt idx="2292">
                  <c:v>824.34514201962145</c:v>
                </c:pt>
                <c:pt idx="2293">
                  <c:v>816.6289628431507</c:v>
                </c:pt>
                <c:pt idx="2294">
                  <c:v>809.87730606373884</c:v>
                </c:pt>
                <c:pt idx="2295">
                  <c:v>810.52032099511143</c:v>
                </c:pt>
                <c:pt idx="2296">
                  <c:v>881.57347091177928</c:v>
                </c:pt>
                <c:pt idx="2297">
                  <c:v>951.34059096570195</c:v>
                </c:pt>
                <c:pt idx="2298">
                  <c:v>878.67990372060262</c:v>
                </c:pt>
                <c:pt idx="2299">
                  <c:v>861.64000803922988</c:v>
                </c:pt>
                <c:pt idx="2300">
                  <c:v>848.77970941177875</c:v>
                </c:pt>
                <c:pt idx="2301">
                  <c:v>852.95930646570037</c:v>
                </c:pt>
                <c:pt idx="2302">
                  <c:v>873.85729173530854</c:v>
                </c:pt>
                <c:pt idx="2303">
                  <c:v>888.64663515687744</c:v>
                </c:pt>
                <c:pt idx="2304">
                  <c:v>875.4648290637399</c:v>
                </c:pt>
                <c:pt idx="2305">
                  <c:v>872.24975440687717</c:v>
                </c:pt>
                <c:pt idx="2306">
                  <c:v>870.3207096127594</c:v>
                </c:pt>
                <c:pt idx="2307">
                  <c:v>886.39608289707348</c:v>
                </c:pt>
                <c:pt idx="2308">
                  <c:v>886.71759036275967</c:v>
                </c:pt>
                <c:pt idx="2309">
                  <c:v>871.92824694119088</c:v>
                </c:pt>
                <c:pt idx="2310">
                  <c:v>873.53578426962235</c:v>
                </c:pt>
                <c:pt idx="2311">
                  <c:v>866.46262002452409</c:v>
                </c:pt>
                <c:pt idx="2312">
                  <c:v>882.53799330883805</c:v>
                </c:pt>
                <c:pt idx="2313">
                  <c:v>899.25638152452461</c:v>
                </c:pt>
                <c:pt idx="2314">
                  <c:v>892.18321727942646</c:v>
                </c:pt>
                <c:pt idx="2315">
                  <c:v>897.97035166177955</c:v>
                </c:pt>
                <c:pt idx="2316">
                  <c:v>858.10342591668086</c:v>
                </c:pt>
                <c:pt idx="2317">
                  <c:v>864.53357523040643</c:v>
                </c:pt>
                <c:pt idx="2318">
                  <c:v>844.27860489217085</c:v>
                </c:pt>
                <c:pt idx="2319">
                  <c:v>854.88835125981802</c:v>
                </c:pt>
                <c:pt idx="2320">
                  <c:v>834.63338092158244</c:v>
                </c:pt>
                <c:pt idx="2321">
                  <c:v>815.34293298040564</c:v>
                </c:pt>
                <c:pt idx="2322">
                  <c:v>808.91278366668007</c:v>
                </c:pt>
                <c:pt idx="2323">
                  <c:v>828.20323160785676</c:v>
                </c:pt>
                <c:pt idx="2324">
                  <c:v>824.66664948530763</c:v>
                </c:pt>
                <c:pt idx="2325">
                  <c:v>843.95709742648455</c:v>
                </c:pt>
                <c:pt idx="2326">
                  <c:v>819.20102256864106</c:v>
                </c:pt>
                <c:pt idx="2327">
                  <c:v>839.13448544119035</c:v>
                </c:pt>
                <c:pt idx="2328">
                  <c:v>838.49147050981765</c:v>
                </c:pt>
                <c:pt idx="2329">
                  <c:v>831.09679879903331</c:v>
                </c:pt>
                <c:pt idx="2330">
                  <c:v>840.09900783824912</c:v>
                </c:pt>
                <c:pt idx="2331">
                  <c:v>841.70654516668048</c:v>
                </c:pt>
                <c:pt idx="2332">
                  <c:v>827.56021667648417</c:v>
                </c:pt>
                <c:pt idx="2333">
                  <c:v>823.70212708824886</c:v>
                </c:pt>
                <c:pt idx="2334">
                  <c:v>810.19881352942514</c:v>
                </c:pt>
                <c:pt idx="2335">
                  <c:v>793.1589178480524</c:v>
                </c:pt>
                <c:pt idx="2336">
                  <c:v>805.69770900981723</c:v>
                </c:pt>
                <c:pt idx="2337">
                  <c:v>798.30303729903278</c:v>
                </c:pt>
                <c:pt idx="2338">
                  <c:v>782.54917148040499</c:v>
                </c:pt>
                <c:pt idx="2339">
                  <c:v>771.61791764707152</c:v>
                </c:pt>
                <c:pt idx="2340">
                  <c:v>781.90615654903252</c:v>
                </c:pt>
                <c:pt idx="2341">
                  <c:v>805.05469407844464</c:v>
                </c:pt>
                <c:pt idx="2342">
                  <c:v>803.44715675001316</c:v>
                </c:pt>
                <c:pt idx="2343">
                  <c:v>814.37841058334675</c:v>
                </c:pt>
                <c:pt idx="2344">
                  <c:v>811.16333592648391</c:v>
                </c:pt>
                <c:pt idx="2345">
                  <c:v>808.91278366668007</c:v>
                </c:pt>
                <c:pt idx="2346">
                  <c:v>802.1611268872681</c:v>
                </c:pt>
                <c:pt idx="2347">
                  <c:v>814.37841058334675</c:v>
                </c:pt>
                <c:pt idx="2348">
                  <c:v>822.73760469119009</c:v>
                </c:pt>
                <c:pt idx="2349">
                  <c:v>840.42051530393542</c:v>
                </c:pt>
                <c:pt idx="2350">
                  <c:v>839.45599290687653</c:v>
                </c:pt>
                <c:pt idx="2351">
                  <c:v>832.06132119609208</c:v>
                </c:pt>
                <c:pt idx="2352">
                  <c:v>833.02584359315097</c:v>
                </c:pt>
                <c:pt idx="2353">
                  <c:v>845.56463475491591</c:v>
                </c:pt>
                <c:pt idx="2354">
                  <c:v>840.09900783824912</c:v>
                </c:pt>
                <c:pt idx="2355">
                  <c:v>839.45599290687653</c:v>
                </c:pt>
                <c:pt idx="2356">
                  <c:v>845.24312728922962</c:v>
                </c:pt>
                <c:pt idx="2357">
                  <c:v>831.7398137304059</c:v>
                </c:pt>
                <c:pt idx="2358">
                  <c:v>845.24312728922962</c:v>
                </c:pt>
                <c:pt idx="2359">
                  <c:v>832.06132119609208</c:v>
                </c:pt>
                <c:pt idx="2360">
                  <c:v>862.60453043628866</c:v>
                </c:pt>
                <c:pt idx="2361">
                  <c:v>845.56463475491591</c:v>
                </c:pt>
                <c:pt idx="2362">
                  <c:v>859.38945577942593</c:v>
                </c:pt>
                <c:pt idx="2363">
                  <c:v>880.2874410490341</c:v>
                </c:pt>
                <c:pt idx="2364">
                  <c:v>891.86170981374016</c:v>
                </c:pt>
                <c:pt idx="2365">
                  <c:v>883.50251570589694</c:v>
                </c:pt>
                <c:pt idx="2366">
                  <c:v>881.25196344609299</c:v>
                </c:pt>
                <c:pt idx="2367">
                  <c:v>862.28302297060247</c:v>
                </c:pt>
                <c:pt idx="2368">
                  <c:v>875.4648290637399</c:v>
                </c:pt>
                <c:pt idx="2369">
                  <c:v>887.68211275981855</c:v>
                </c:pt>
                <c:pt idx="2370">
                  <c:v>915.65326227452488</c:v>
                </c:pt>
                <c:pt idx="2371">
                  <c:v>889.9326650196225</c:v>
                </c:pt>
                <c:pt idx="2372">
                  <c:v>891.86170981374016</c:v>
                </c:pt>
                <c:pt idx="2373">
                  <c:v>891.86170981374016</c:v>
                </c:pt>
                <c:pt idx="2374">
                  <c:v>888.96814262256362</c:v>
                </c:pt>
                <c:pt idx="2375">
                  <c:v>886.07457543138707</c:v>
                </c:pt>
                <c:pt idx="2376">
                  <c:v>904.07899350981893</c:v>
                </c:pt>
                <c:pt idx="2377">
                  <c:v>889.28965008825003</c:v>
                </c:pt>
                <c:pt idx="2378">
                  <c:v>888.32512769119114</c:v>
                </c:pt>
                <c:pt idx="2379">
                  <c:v>906.97256070099536</c:v>
                </c:pt>
                <c:pt idx="2380">
                  <c:v>892.18321727942646</c:v>
                </c:pt>
                <c:pt idx="2381">
                  <c:v>892.50472474511275</c:v>
                </c:pt>
                <c:pt idx="2382">
                  <c:v>879.96593358334781</c:v>
                </c:pt>
                <c:pt idx="2383">
                  <c:v>886.71759036275967</c:v>
                </c:pt>
                <c:pt idx="2384">
                  <c:v>891.21869488236757</c:v>
                </c:pt>
                <c:pt idx="2385">
                  <c:v>886.71759036275967</c:v>
                </c:pt>
                <c:pt idx="2386">
                  <c:v>889.28965008825003</c:v>
                </c:pt>
                <c:pt idx="2387">
                  <c:v>904.72200844119141</c:v>
                </c:pt>
                <c:pt idx="2388">
                  <c:v>891.54020234805398</c:v>
                </c:pt>
                <c:pt idx="2389">
                  <c:v>888.32512769119114</c:v>
                </c:pt>
                <c:pt idx="2390">
                  <c:v>890.89718741668139</c:v>
                </c:pt>
                <c:pt idx="2391">
                  <c:v>855.20985872550432</c:v>
                </c:pt>
                <c:pt idx="2392">
                  <c:v>848.45820194609246</c:v>
                </c:pt>
                <c:pt idx="2393">
                  <c:v>834.63338092158244</c:v>
                </c:pt>
                <c:pt idx="2394">
                  <c:v>834.95488838726862</c:v>
                </c:pt>
                <c:pt idx="2395">
                  <c:v>834.31187345589603</c:v>
                </c:pt>
                <c:pt idx="2396">
                  <c:v>835.5979033186411</c:v>
                </c:pt>
                <c:pt idx="2397">
                  <c:v>840.09900783824912</c:v>
                </c:pt>
                <c:pt idx="2398">
                  <c:v>838.81297797550405</c:v>
                </c:pt>
                <c:pt idx="2399">
                  <c:v>834.63338092158244</c:v>
                </c:pt>
                <c:pt idx="2400">
                  <c:v>828.52473907354306</c:v>
                </c:pt>
                <c:pt idx="2401">
                  <c:v>844.27860489217085</c:v>
                </c:pt>
                <c:pt idx="2402">
                  <c:v>841.38503770099442</c:v>
                </c:pt>
                <c:pt idx="2403">
                  <c:v>853.60232139707296</c:v>
                </c:pt>
                <c:pt idx="2404">
                  <c:v>855.5313661911905</c:v>
                </c:pt>
                <c:pt idx="2405">
                  <c:v>848.45820194609246</c:v>
                </c:pt>
                <c:pt idx="2406">
                  <c:v>839.45599290687653</c:v>
                </c:pt>
                <c:pt idx="2407">
                  <c:v>836.24091825001392</c:v>
                </c:pt>
                <c:pt idx="2408">
                  <c:v>833.66885852452356</c:v>
                </c:pt>
                <c:pt idx="2409">
                  <c:v>839.45599290687653</c:v>
                </c:pt>
                <c:pt idx="2410">
                  <c:v>841.38503770099442</c:v>
                </c:pt>
                <c:pt idx="2411">
                  <c:v>842.67106756373948</c:v>
                </c:pt>
                <c:pt idx="2412">
                  <c:v>839.45599290687653</c:v>
                </c:pt>
                <c:pt idx="2413">
                  <c:v>814.37841058334675</c:v>
                </c:pt>
                <c:pt idx="2414">
                  <c:v>806.98373887256241</c:v>
                </c:pt>
                <c:pt idx="2415">
                  <c:v>807.30524633824859</c:v>
                </c:pt>
                <c:pt idx="2416">
                  <c:v>806.01921647550341</c:v>
                </c:pt>
                <c:pt idx="2417">
                  <c:v>809.23429113236637</c:v>
                </c:pt>
                <c:pt idx="2418">
                  <c:v>815.66444044609193</c:v>
                </c:pt>
                <c:pt idx="2419">
                  <c:v>807.62675380393489</c:v>
                </c:pt>
                <c:pt idx="2420">
                  <c:v>797.33851490197389</c:v>
                </c:pt>
                <c:pt idx="2421">
                  <c:v>818.23650017158207</c:v>
                </c:pt>
                <c:pt idx="2422">
                  <c:v>819.52253003432713</c:v>
                </c:pt>
                <c:pt idx="2423">
                  <c:v>816.950470308837</c:v>
                </c:pt>
                <c:pt idx="2424">
                  <c:v>818.55800763726836</c:v>
                </c:pt>
                <c:pt idx="2425">
                  <c:v>825.30966441668033</c:v>
                </c:pt>
                <c:pt idx="2426">
                  <c:v>818.23650017158207</c:v>
                </c:pt>
                <c:pt idx="2427">
                  <c:v>803.12564928432698</c:v>
                </c:pt>
                <c:pt idx="2428">
                  <c:v>766.47379819609102</c:v>
                </c:pt>
                <c:pt idx="2429">
                  <c:v>752.00596224020853</c:v>
                </c:pt>
                <c:pt idx="2430">
                  <c:v>752.9704846372673</c:v>
                </c:pt>
                <c:pt idx="2431">
                  <c:v>752.9704846372673</c:v>
                </c:pt>
                <c:pt idx="2432">
                  <c:v>752.00596224020853</c:v>
                </c:pt>
                <c:pt idx="2433">
                  <c:v>756.82857422550262</c:v>
                </c:pt>
                <c:pt idx="2434">
                  <c:v>768.40284299020868</c:v>
                </c:pt>
                <c:pt idx="2435">
                  <c:v>761.00817127942435</c:v>
                </c:pt>
                <c:pt idx="2436">
                  <c:v>750.39842491177706</c:v>
                </c:pt>
                <c:pt idx="2437">
                  <c:v>746.21882785785544</c:v>
                </c:pt>
                <c:pt idx="2438">
                  <c:v>753.2919921029536</c:v>
                </c:pt>
                <c:pt idx="2439">
                  <c:v>763.90173847060078</c:v>
                </c:pt>
                <c:pt idx="2440">
                  <c:v>763.90173847060078</c:v>
                </c:pt>
                <c:pt idx="2441">
                  <c:v>761.32967874511064</c:v>
                </c:pt>
                <c:pt idx="2442">
                  <c:v>759.07912648530657</c:v>
                </c:pt>
                <c:pt idx="2443">
                  <c:v>773.225454975503</c:v>
                </c:pt>
                <c:pt idx="2444">
                  <c:v>769.04585792158139</c:v>
                </c:pt>
                <c:pt idx="2445">
                  <c:v>777.08354456373843</c:v>
                </c:pt>
                <c:pt idx="2446">
                  <c:v>773.54696244118918</c:v>
                </c:pt>
                <c:pt idx="2447">
                  <c:v>794.44494771079746</c:v>
                </c:pt>
                <c:pt idx="2448">
                  <c:v>779.65560428922856</c:v>
                </c:pt>
                <c:pt idx="2449">
                  <c:v>781.90615654903252</c:v>
                </c:pt>
                <c:pt idx="2450">
                  <c:v>776.44052963236561</c:v>
                </c:pt>
                <c:pt idx="2451">
                  <c:v>772.58244004413041</c:v>
                </c:pt>
                <c:pt idx="2452">
                  <c:v>758.11460408824769</c:v>
                </c:pt>
                <c:pt idx="2453">
                  <c:v>758.75761901962039</c:v>
                </c:pt>
                <c:pt idx="2454">
                  <c:v>766.47379819609102</c:v>
                </c:pt>
                <c:pt idx="2455">
                  <c:v>754.57802196569867</c:v>
                </c:pt>
                <c:pt idx="2456">
                  <c:v>739.78867854412988</c:v>
                </c:pt>
                <c:pt idx="2457">
                  <c:v>720.17672313726678</c:v>
                </c:pt>
                <c:pt idx="2458">
                  <c:v>725.32084258824727</c:v>
                </c:pt>
                <c:pt idx="2459">
                  <c:v>731.10797697060025</c:v>
                </c:pt>
                <c:pt idx="2460">
                  <c:v>731.10797697060025</c:v>
                </c:pt>
                <c:pt idx="2461">
                  <c:v>728.53591724511</c:v>
                </c:pt>
                <c:pt idx="2462">
                  <c:v>725.32084258824727</c:v>
                </c:pt>
                <c:pt idx="2463">
                  <c:v>713.7465738235411</c:v>
                </c:pt>
                <c:pt idx="2464">
                  <c:v>717.92617087746282</c:v>
                </c:pt>
                <c:pt idx="2465">
                  <c:v>692.20557362256056</c:v>
                </c:pt>
              </c:numCache>
            </c:numRef>
          </c:xVal>
          <c:yVal>
            <c:numRef>
              <c:f>표준편차!$U$4:$U$2469</c:f>
              <c:numCache>
                <c:formatCode>#,##0.0000_ </c:formatCode>
                <c:ptCount val="2466"/>
                <c:pt idx="0">
                  <c:v>6.2786198653483143E-4</c:v>
                </c:pt>
                <c:pt idx="1">
                  <c:v>5.5605673672770139E-4</c:v>
                </c:pt>
                <c:pt idx="2">
                  <c:v>6.0210539875059864E-4</c:v>
                </c:pt>
                <c:pt idx="3">
                  <c:v>5.1892056886821238E-4</c:v>
                </c:pt>
                <c:pt idx="4">
                  <c:v>6.1490012591926691E-4</c:v>
                </c:pt>
                <c:pt idx="5">
                  <c:v>4.7253933471165516E-4</c:v>
                </c:pt>
                <c:pt idx="6">
                  <c:v>4.5420110531338556E-4</c:v>
                </c:pt>
                <c:pt idx="7">
                  <c:v>3.482415456705045E-4</c:v>
                </c:pt>
                <c:pt idx="8">
                  <c:v>4.8032758818313719E-4</c:v>
                </c:pt>
                <c:pt idx="9">
                  <c:v>4.407741556597357E-4</c:v>
                </c:pt>
                <c:pt idx="10">
                  <c:v>3.6991799019266179E-4</c:v>
                </c:pt>
                <c:pt idx="11">
                  <c:v>4.0493705981091806E-4</c:v>
                </c:pt>
                <c:pt idx="12">
                  <c:v>3.2277149929216134E-4</c:v>
                </c:pt>
                <c:pt idx="13">
                  <c:v>3.7647602603663069E-4</c:v>
                </c:pt>
                <c:pt idx="14">
                  <c:v>1.6795913042841614E-4</c:v>
                </c:pt>
                <c:pt idx="15">
                  <c:v>2.0650991562814338E-4</c:v>
                </c:pt>
                <c:pt idx="16">
                  <c:v>2.3098252737914E-4</c:v>
                </c:pt>
                <c:pt idx="17">
                  <c:v>1.1333423705382047E-4</c:v>
                </c:pt>
                <c:pt idx="18">
                  <c:v>1.0683017355418633E-4</c:v>
                </c:pt>
                <c:pt idx="19">
                  <c:v>1.22334475301625E-4</c:v>
                </c:pt>
                <c:pt idx="20">
                  <c:v>1.0110656302137079E-4</c:v>
                </c:pt>
                <c:pt idx="21">
                  <c:v>9.2140070806337649E-5</c:v>
                </c:pt>
                <c:pt idx="22">
                  <c:v>9.7888312789164655E-5</c:v>
                </c:pt>
                <c:pt idx="23">
                  <c:v>8.6679490894617383E-5</c:v>
                </c:pt>
                <c:pt idx="24">
                  <c:v>1.0489289288530355E-4</c:v>
                </c:pt>
                <c:pt idx="25">
                  <c:v>1.1697105761696009E-4</c:v>
                </c:pt>
                <c:pt idx="26">
                  <c:v>7.0187680822554214E-5</c:v>
                </c:pt>
                <c:pt idx="27">
                  <c:v>9.2140070806337649E-5</c:v>
                </c:pt>
                <c:pt idx="28">
                  <c:v>1.0345932353779786E-4</c:v>
                </c:pt>
                <c:pt idx="29">
                  <c:v>9.0429765841898725E-5</c:v>
                </c:pt>
                <c:pt idx="30">
                  <c:v>1.0537443252030226E-4</c:v>
                </c:pt>
                <c:pt idx="31">
                  <c:v>9.6984800545261732E-5</c:v>
                </c:pt>
                <c:pt idx="32">
                  <c:v>1.22334475301625E-4</c:v>
                </c:pt>
                <c:pt idx="33">
                  <c:v>1.0683017355418633E-4</c:v>
                </c:pt>
                <c:pt idx="34">
                  <c:v>1.0298513302831562E-4</c:v>
                </c:pt>
                <c:pt idx="35">
                  <c:v>9.8798896650311845E-5</c:v>
                </c:pt>
                <c:pt idx="36">
                  <c:v>8.0721974138883967E-5</c:v>
                </c:pt>
                <c:pt idx="37">
                  <c:v>6.4259952752861451E-5</c:v>
                </c:pt>
                <c:pt idx="38">
                  <c:v>3.8171721073678771E-5</c:v>
                </c:pt>
                <c:pt idx="39">
                  <c:v>4.8989665498343792E-5</c:v>
                </c:pt>
                <c:pt idx="40">
                  <c:v>3.7571276942607366E-5</c:v>
                </c:pt>
                <c:pt idx="41">
                  <c:v>1.5160861203591956E-5</c:v>
                </c:pt>
                <c:pt idx="42">
                  <c:v>6.3943652348201182E-5</c:v>
                </c:pt>
                <c:pt idx="43">
                  <c:v>4.6060980124886623E-5</c:v>
                </c:pt>
                <c:pt idx="44">
                  <c:v>7.6946799536216413E-5</c:v>
                </c:pt>
                <c:pt idx="45">
                  <c:v>1.2016512107992324E-4</c:v>
                </c:pt>
                <c:pt idx="46">
                  <c:v>1.2288185983098867E-4</c:v>
                </c:pt>
                <c:pt idx="47">
                  <c:v>8.0337498895421313E-5</c:v>
                </c:pt>
                <c:pt idx="48">
                  <c:v>8.9164715694394755E-5</c:v>
                </c:pt>
                <c:pt idx="49">
                  <c:v>9.3440653597012382E-5</c:v>
                </c:pt>
                <c:pt idx="50">
                  <c:v>1.0204221992842159E-4</c:v>
                </c:pt>
                <c:pt idx="51">
                  <c:v>1.4211580130536047E-4</c:v>
                </c:pt>
                <c:pt idx="52">
                  <c:v>1.7443319563981811E-4</c:v>
                </c:pt>
                <c:pt idx="53">
                  <c:v>1.8110685456657053E-4</c:v>
                </c:pt>
                <c:pt idx="54">
                  <c:v>1.6866873577504724E-4</c:v>
                </c:pt>
                <c:pt idx="55">
                  <c:v>1.8490211813757915E-4</c:v>
                </c:pt>
                <c:pt idx="56">
                  <c:v>2.0484359628546004E-4</c:v>
                </c:pt>
                <c:pt idx="57">
                  <c:v>2.2022982117455886E-4</c:v>
                </c:pt>
                <c:pt idx="58">
                  <c:v>2.4309000626796968E-4</c:v>
                </c:pt>
                <c:pt idx="59">
                  <c:v>1.8413800934139962E-4</c:v>
                </c:pt>
                <c:pt idx="60">
                  <c:v>1.319195854395238E-4</c:v>
                </c:pt>
                <c:pt idx="61">
                  <c:v>1.6938076242471416E-4</c:v>
                </c:pt>
                <c:pt idx="62">
                  <c:v>2.2022982117455886E-4</c:v>
                </c:pt>
                <c:pt idx="63">
                  <c:v>1.6938076242471416E-4</c:v>
                </c:pt>
                <c:pt idx="64">
                  <c:v>1.7009521574016796E-4</c:v>
                </c:pt>
                <c:pt idx="65">
                  <c:v>1.3426274070034411E-4</c:v>
                </c:pt>
                <c:pt idx="66">
                  <c:v>2.0401444355605254E-4</c:v>
                </c:pt>
                <c:pt idx="67">
                  <c:v>2.6980585114279093E-4</c:v>
                </c:pt>
                <c:pt idx="68">
                  <c:v>2.4214148930322738E-4</c:v>
                </c:pt>
                <c:pt idx="69">
                  <c:v>2.2825659782941269E-4</c:v>
                </c:pt>
                <c:pt idx="70">
                  <c:v>2.4981066318942026E-4</c:v>
                </c:pt>
                <c:pt idx="71">
                  <c:v>1.7370406984132964E-4</c:v>
                </c:pt>
                <c:pt idx="72">
                  <c:v>2.6469559535324838E-4</c:v>
                </c:pt>
                <c:pt idx="73">
                  <c:v>2.337338488547842E-4</c:v>
                </c:pt>
                <c:pt idx="74">
                  <c:v>2.3651069509552695E-4</c:v>
                </c:pt>
                <c:pt idx="75">
                  <c:v>2.4981066318942026E-4</c:v>
                </c:pt>
                <c:pt idx="76">
                  <c:v>2.2022982117455886E-4</c:v>
                </c:pt>
                <c:pt idx="77">
                  <c:v>2.8131408206366295E-4</c:v>
                </c:pt>
                <c:pt idx="78">
                  <c:v>3.1459740776619202E-4</c:v>
                </c:pt>
                <c:pt idx="79">
                  <c:v>3.1229063704554935E-4</c:v>
                </c:pt>
                <c:pt idx="80">
                  <c:v>3.3351212421520719E-4</c:v>
                </c:pt>
                <c:pt idx="81">
                  <c:v>2.8344607801593532E-4</c:v>
                </c:pt>
                <c:pt idx="82">
                  <c:v>2.770867573308808E-4</c:v>
                </c:pt>
                <c:pt idx="83">
                  <c:v>3.239520251970573E-4</c:v>
                </c:pt>
                <c:pt idx="84">
                  <c:v>3.5578301686291366E-4</c:v>
                </c:pt>
                <c:pt idx="85">
                  <c:v>3.7647602603663069E-4</c:v>
                </c:pt>
                <c:pt idx="86">
                  <c:v>4.407741556597357E-4</c:v>
                </c:pt>
                <c:pt idx="87">
                  <c:v>4.8978808517896057E-4</c:v>
                </c:pt>
                <c:pt idx="88">
                  <c:v>6.297272763370437E-4</c:v>
                </c:pt>
                <c:pt idx="89">
                  <c:v>5.4405835309502201E-4</c:v>
                </c:pt>
                <c:pt idx="90">
                  <c:v>6.6580883468006741E-4</c:v>
                </c:pt>
                <c:pt idx="91">
                  <c:v>7.1511276276276642E-4</c:v>
                </c:pt>
                <c:pt idx="92">
                  <c:v>7.2521808704383364E-4</c:v>
                </c:pt>
                <c:pt idx="93">
                  <c:v>9.501297240195769E-4</c:v>
                </c:pt>
                <c:pt idx="94">
                  <c:v>8.973189758547524E-4</c:v>
                </c:pt>
                <c:pt idx="95">
                  <c:v>6.8528376164441439E-4</c:v>
                </c:pt>
                <c:pt idx="96">
                  <c:v>7.0309306913922366E-4</c:v>
                </c:pt>
                <c:pt idx="97">
                  <c:v>7.6852884444352583E-4</c:v>
                </c:pt>
                <c:pt idx="98">
                  <c:v>8.3494124589820215E-4</c:v>
                </c:pt>
                <c:pt idx="99">
                  <c:v>7.6643505646829607E-4</c:v>
                </c:pt>
                <c:pt idx="100">
                  <c:v>7.3336012081831711E-4</c:v>
                </c:pt>
                <c:pt idx="101">
                  <c:v>6.7745402834689349E-4</c:v>
                </c:pt>
                <c:pt idx="102">
                  <c:v>7.3131981730132614E-4</c:v>
                </c:pt>
                <c:pt idx="103">
                  <c:v>8.5253942854784958E-4</c:v>
                </c:pt>
                <c:pt idx="104">
                  <c:v>7.6225679225030562E-4</c:v>
                </c:pt>
                <c:pt idx="105">
                  <c:v>9.2011316951386385E-4</c:v>
                </c:pt>
                <c:pt idx="106">
                  <c:v>5.2554750007269475E-4</c:v>
                </c:pt>
                <c:pt idx="107">
                  <c:v>5.3896824543338219E-4</c:v>
                </c:pt>
                <c:pt idx="108">
                  <c:v>7.4773123502351884E-4</c:v>
                </c:pt>
                <c:pt idx="109">
                  <c:v>6.5619612467659972E-4</c:v>
                </c:pt>
                <c:pt idx="110">
                  <c:v>6.7355901331856924E-4</c:v>
                </c:pt>
                <c:pt idx="111">
                  <c:v>6.1122740063458681E-4</c:v>
                </c:pt>
                <c:pt idx="112">
                  <c:v>6.0939616028362167E-4</c:v>
                </c:pt>
                <c:pt idx="113">
                  <c:v>6.5046866818193943E-4</c:v>
                </c:pt>
                <c:pt idx="114">
                  <c:v>6.9514505240087919E-4</c:v>
                </c:pt>
                <c:pt idx="115">
                  <c:v>6.2228649009958288E-4</c:v>
                </c:pt>
                <c:pt idx="116">
                  <c:v>7.1914522985546932E-4</c:v>
                </c:pt>
                <c:pt idx="117">
                  <c:v>8.0889219178612438E-4</c:v>
                </c:pt>
                <c:pt idx="118">
                  <c:v>1.054668205160754E-3</c:v>
                </c:pt>
                <c:pt idx="119">
                  <c:v>1.0765540746906399E-3</c:v>
                </c:pt>
                <c:pt idx="120">
                  <c:v>9.0640512710754659E-4</c:v>
                </c:pt>
                <c:pt idx="121">
                  <c:v>1.0474080477737677E-3</c:v>
                </c:pt>
                <c:pt idx="122">
                  <c:v>1.054668205160754E-3</c:v>
                </c:pt>
                <c:pt idx="123">
                  <c:v>9.9000469294045833E-4</c:v>
                </c:pt>
                <c:pt idx="124">
                  <c:v>9.2470324606340861E-4</c:v>
                </c:pt>
                <c:pt idx="125">
                  <c:v>8.0030384403936914E-4</c:v>
                </c:pt>
                <c:pt idx="126">
                  <c:v>7.6017232747038028E-4</c:v>
                </c:pt>
                <c:pt idx="127">
                  <c:v>7.1511276276276642E-4</c:v>
                </c:pt>
                <c:pt idx="128">
                  <c:v>9.3391405074259067E-4</c:v>
                </c:pt>
                <c:pt idx="129">
                  <c:v>9.5245614844764498E-4</c:v>
                </c:pt>
                <c:pt idx="130">
                  <c:v>8.7703206912788107E-4</c:v>
                </c:pt>
                <c:pt idx="131">
                  <c:v>9.8291856321109359E-4</c:v>
                </c:pt>
                <c:pt idx="132">
                  <c:v>1.0887787851471809E-3</c:v>
                </c:pt>
                <c:pt idx="133">
                  <c:v>8.973189758547524E-4</c:v>
                </c:pt>
                <c:pt idx="134">
                  <c:v>9.9711135453409041E-4</c:v>
                </c:pt>
                <c:pt idx="135">
                  <c:v>9.1096403734692135E-4</c:v>
                </c:pt>
                <c:pt idx="136">
                  <c:v>1.0018603926239395E-3</c:v>
                </c:pt>
                <c:pt idx="137">
                  <c:v>9.0412961736265529E-4</c:v>
                </c:pt>
                <c:pt idx="138">
                  <c:v>9.9237131304482978E-4</c:v>
                </c:pt>
                <c:pt idx="139">
                  <c:v>1.020944763140389E-3</c:v>
                </c:pt>
                <c:pt idx="140">
                  <c:v>1.0257374665530625E-3</c:v>
                </c:pt>
                <c:pt idx="141">
                  <c:v>9.8291856321109359E-4</c:v>
                </c:pt>
                <c:pt idx="142">
                  <c:v>8.240361445011336E-4</c:v>
                </c:pt>
                <c:pt idx="143">
                  <c:v>8.4151907469150861E-4</c:v>
                </c:pt>
                <c:pt idx="144">
                  <c:v>8.6140673968002372E-4</c:v>
                </c:pt>
                <c:pt idx="145">
                  <c:v>7.4155316831242904E-4</c:v>
                </c:pt>
                <c:pt idx="146">
                  <c:v>8.1104673759660754E-4</c:v>
                </c:pt>
                <c:pt idx="147">
                  <c:v>9.1096403734692135E-4</c:v>
                </c:pt>
                <c:pt idx="148">
                  <c:v>9.501297240195769E-4</c:v>
                </c:pt>
                <c:pt idx="149">
                  <c:v>8.4371743488331286E-4</c:v>
                </c:pt>
                <c:pt idx="150">
                  <c:v>7.8327172264965527E-4</c:v>
                </c:pt>
                <c:pt idx="151">
                  <c:v>8.175281683348519E-4</c:v>
                </c:pt>
                <c:pt idx="152">
                  <c:v>7.7904410945227884E-4</c:v>
                </c:pt>
                <c:pt idx="153">
                  <c:v>8.0889219178612438E-4</c:v>
                </c:pt>
                <c:pt idx="154">
                  <c:v>7.7272570311351005E-4</c:v>
                </c:pt>
                <c:pt idx="155">
                  <c:v>8.175281683348519E-4</c:v>
                </c:pt>
                <c:pt idx="156">
                  <c:v>8.6140673968002372E-4</c:v>
                </c:pt>
                <c:pt idx="157">
                  <c:v>8.175281683348519E-4</c:v>
                </c:pt>
                <c:pt idx="158">
                  <c:v>7.4155316831242904E-4</c:v>
                </c:pt>
                <c:pt idx="159">
                  <c:v>7.6225679225030562E-4</c:v>
                </c:pt>
                <c:pt idx="160">
                  <c:v>6.0210539875059864E-4</c:v>
                </c:pt>
                <c:pt idx="161">
                  <c:v>5.3055421086077136E-4</c:v>
                </c:pt>
                <c:pt idx="162">
                  <c:v>3.8178266785964991E-4</c:v>
                </c:pt>
                <c:pt idx="163">
                  <c:v>3.7515773770451649E-4</c:v>
                </c:pt>
                <c:pt idx="164">
                  <c:v>3.2042006501233885E-4</c:v>
                </c:pt>
                <c:pt idx="165">
                  <c:v>3.2990288884499449E-4</c:v>
                </c:pt>
                <c:pt idx="166">
                  <c:v>3.3836980648776051E-4</c:v>
                </c:pt>
                <c:pt idx="167">
                  <c:v>3.5578301686291366E-4</c:v>
                </c:pt>
                <c:pt idx="168">
                  <c:v>2.2466129263933705E-4</c:v>
                </c:pt>
                <c:pt idx="169">
                  <c:v>1.9586860211501109E-4</c:v>
                </c:pt>
                <c:pt idx="170">
                  <c:v>1.9427094915393001E-4</c:v>
                </c:pt>
                <c:pt idx="171">
                  <c:v>1.4027089883597295E-4</c:v>
                </c:pt>
                <c:pt idx="172">
                  <c:v>1.8490211813757915E-4</c:v>
                </c:pt>
                <c:pt idx="173">
                  <c:v>1.0110656302137079E-4</c:v>
                </c:pt>
                <c:pt idx="174">
                  <c:v>1.0489289288530355E-4</c:v>
                </c:pt>
                <c:pt idx="175">
                  <c:v>8.6679490894617383E-5</c:v>
                </c:pt>
                <c:pt idx="176">
                  <c:v>1.3250218909024176E-4</c:v>
                </c:pt>
                <c:pt idx="177">
                  <c:v>5.9357493872040263E-5</c:v>
                </c:pt>
                <c:pt idx="178">
                  <c:v>6.4896592229851961E-5</c:v>
                </c:pt>
                <c:pt idx="179">
                  <c:v>8.149562103812638E-5</c:v>
                </c:pt>
                <c:pt idx="180">
                  <c:v>6.1156726666331405E-5</c:v>
                </c:pt>
                <c:pt idx="181">
                  <c:v>7.4394654783187543E-5</c:v>
                </c:pt>
                <c:pt idx="182">
                  <c:v>5.9952094851322466E-5</c:v>
                </c:pt>
                <c:pt idx="183">
                  <c:v>9.5198827897109069E-5</c:v>
                </c:pt>
                <c:pt idx="184">
                  <c:v>8.3457360569375705E-5</c:v>
                </c:pt>
                <c:pt idx="185">
                  <c:v>8.8746373009782276E-5</c:v>
                </c:pt>
                <c:pt idx="186">
                  <c:v>8.5864233437267187E-5</c:v>
                </c:pt>
                <c:pt idx="187">
                  <c:v>6.1156726666331405E-5</c:v>
                </c:pt>
                <c:pt idx="188">
                  <c:v>7.0874360317831845E-5</c:v>
                </c:pt>
                <c:pt idx="189">
                  <c:v>5.5336069006169526E-5</c:v>
                </c:pt>
                <c:pt idx="190">
                  <c:v>5.9062106875467303E-5</c:v>
                </c:pt>
                <c:pt idx="191">
                  <c:v>5.2343943372488034E-5</c:v>
                </c:pt>
                <c:pt idx="192">
                  <c:v>5.5336069006169526E-5</c:v>
                </c:pt>
                <c:pt idx="193">
                  <c:v>9.0006407121489778E-5</c:v>
                </c:pt>
                <c:pt idx="194">
                  <c:v>8.9164715694394755E-5</c:v>
                </c:pt>
                <c:pt idx="195">
                  <c:v>9.2571889638522401E-5</c:v>
                </c:pt>
                <c:pt idx="196">
                  <c:v>7.4394654783187543E-5</c:v>
                </c:pt>
                <c:pt idx="197">
                  <c:v>9.2571889638522401E-5</c:v>
                </c:pt>
                <c:pt idx="198">
                  <c:v>1.2016512107992324E-4</c:v>
                </c:pt>
                <c:pt idx="199">
                  <c:v>1.4460657887569424E-4</c:v>
                </c:pt>
                <c:pt idx="200">
                  <c:v>1.307607162892098E-4</c:v>
                </c:pt>
                <c:pt idx="201">
                  <c:v>1.3308691260731885E-4</c:v>
                </c:pt>
                <c:pt idx="202">
                  <c:v>1.7663537923481707E-4</c:v>
                </c:pt>
                <c:pt idx="203">
                  <c:v>1.8876084761058068E-4</c:v>
                </c:pt>
                <c:pt idx="204">
                  <c:v>2.2735357422733123E-4</c:v>
                </c:pt>
                <c:pt idx="205">
                  <c:v>2.0650991562814338E-4</c:v>
                </c:pt>
                <c:pt idx="206">
                  <c:v>1.9586860211501109E-4</c:v>
                </c:pt>
                <c:pt idx="207">
                  <c:v>2.3098252737914E-4</c:v>
                </c:pt>
                <c:pt idx="208">
                  <c:v>2.1760411621962077E-4</c:v>
                </c:pt>
                <c:pt idx="209">
                  <c:v>2.0401444355605254E-4</c:v>
                </c:pt>
                <c:pt idx="210">
                  <c:v>1.8035535943423966E-4</c:v>
                </c:pt>
                <c:pt idx="211">
                  <c:v>1.5360722255637236E-4</c:v>
                </c:pt>
                <c:pt idx="212">
                  <c:v>2.0902950672805435E-4</c:v>
                </c:pt>
                <c:pt idx="213">
                  <c:v>3.0885426975800002E-4</c:v>
                </c:pt>
                <c:pt idx="214">
                  <c:v>2.5667430040825185E-4</c:v>
                </c:pt>
                <c:pt idx="215">
                  <c:v>1.9110682391649275E-4</c:v>
                </c:pt>
                <c:pt idx="216">
                  <c:v>2.2825659782941269E-4</c:v>
                </c:pt>
                <c:pt idx="217">
                  <c:v>1.8954026760760576E-4</c:v>
                </c:pt>
                <c:pt idx="218">
                  <c:v>1.555941523917997E-4</c:v>
                </c:pt>
                <c:pt idx="219">
                  <c:v>1.5895215593088514E-4</c:v>
                </c:pt>
                <c:pt idx="220">
                  <c:v>1.6584478854780871E-4</c:v>
                </c:pt>
                <c:pt idx="221">
                  <c:v>1.5963077320530262E-4</c:v>
                </c:pt>
                <c:pt idx="222">
                  <c:v>1.8110685456657053E-4</c:v>
                </c:pt>
                <c:pt idx="223">
                  <c:v>1.5294952565254684E-4</c:v>
                </c:pt>
                <c:pt idx="224">
                  <c:v>1.2178911447656714E-4</c:v>
                </c:pt>
                <c:pt idx="225">
                  <c:v>1.319195854395238E-4</c:v>
                </c:pt>
                <c:pt idx="226">
                  <c:v>1.1644564197513494E-4</c:v>
                </c:pt>
                <c:pt idx="227">
                  <c:v>1.1029244909803007E-4</c:v>
                </c:pt>
                <c:pt idx="228">
                  <c:v>8.0721974138883967E-5</c:v>
                </c:pt>
                <c:pt idx="229">
                  <c:v>8.1884802388848185E-5</c:v>
                </c:pt>
                <c:pt idx="230">
                  <c:v>9.0006407121489778E-5</c:v>
                </c:pt>
                <c:pt idx="231">
                  <c:v>9.3877608800499362E-5</c:v>
                </c:pt>
                <c:pt idx="232">
                  <c:v>7.3323212475128558E-5</c:v>
                </c:pt>
                <c:pt idx="233">
                  <c:v>1.0979217312999467E-4</c:v>
                </c:pt>
                <c:pt idx="234">
                  <c:v>1.1592219174039559E-4</c:v>
                </c:pt>
                <c:pt idx="235">
                  <c:v>1.2846818057506121E-4</c:v>
                </c:pt>
                <c:pt idx="236">
                  <c:v>1.4273517339413245E-4</c:v>
                </c:pt>
                <c:pt idx="237">
                  <c:v>1.4149863510668439E-4</c:v>
                </c:pt>
                <c:pt idx="238">
                  <c:v>1.1384793935649249E-4</c:v>
                </c:pt>
                <c:pt idx="239">
                  <c:v>1.2288185983098867E-4</c:v>
                </c:pt>
                <c:pt idx="240">
                  <c:v>1.2677066245881156E-4</c:v>
                </c:pt>
                <c:pt idx="241">
                  <c:v>1.5164101905854228E-4</c:v>
                </c:pt>
                <c:pt idx="242">
                  <c:v>1.630592385897993E-4</c:v>
                </c:pt>
                <c:pt idx="243">
                  <c:v>1.8566876557784924E-4</c:v>
                </c:pt>
                <c:pt idx="244">
                  <c:v>1.7297740283585833E-4</c:v>
                </c:pt>
                <c:pt idx="245">
                  <c:v>2.5966002796426777E-4</c:v>
                </c:pt>
                <c:pt idx="246">
                  <c:v>2.8559034234217198E-4</c:v>
                </c:pt>
                <c:pt idx="247">
                  <c:v>4.4225224263888107E-4</c:v>
                </c:pt>
                <c:pt idx="248">
                  <c:v>3.9940103793279516E-4</c:v>
                </c:pt>
                <c:pt idx="249">
                  <c:v>4.6330788497948085E-4</c:v>
                </c:pt>
                <c:pt idx="250">
                  <c:v>4.0493705981091806E-4</c:v>
                </c:pt>
                <c:pt idx="251">
                  <c:v>4.3343535575614923E-4</c:v>
                </c:pt>
                <c:pt idx="252">
                  <c:v>3.1344243391638772E-4</c:v>
                </c:pt>
                <c:pt idx="253">
                  <c:v>3.0885426975800002E-4</c:v>
                </c:pt>
                <c:pt idx="254">
                  <c:v>5.3223006733908479E-4</c:v>
                </c:pt>
                <c:pt idx="255">
                  <c:v>4.0632955507140901E-4</c:v>
                </c:pt>
                <c:pt idx="256">
                  <c:v>3.725311883826522E-4</c:v>
                </c:pt>
                <c:pt idx="257">
                  <c:v>3.725311883826522E-4</c:v>
                </c:pt>
                <c:pt idx="258">
                  <c:v>3.595982484732869E-4</c:v>
                </c:pt>
                <c:pt idx="259">
                  <c:v>3.3715051455349875E-4</c:v>
                </c:pt>
                <c:pt idx="260">
                  <c:v>3.2632271291909576E-4</c:v>
                </c:pt>
                <c:pt idx="261">
                  <c:v>2.781390159601438E-4</c:v>
                </c:pt>
                <c:pt idx="262">
                  <c:v>2.7394821047924827E-4</c:v>
                </c:pt>
                <c:pt idx="263">
                  <c:v>2.4691296855977883E-4</c:v>
                </c:pt>
                <c:pt idx="264">
                  <c:v>2.1760411621962077E-4</c:v>
                </c:pt>
                <c:pt idx="265">
                  <c:v>2.1072270221356558E-4</c:v>
                </c:pt>
                <c:pt idx="266">
                  <c:v>2.0734709256473507E-4</c:v>
                </c:pt>
                <c:pt idx="267">
                  <c:v>1.8413800934139962E-4</c:v>
                </c:pt>
                <c:pt idx="268">
                  <c:v>2.1500312817528041E-4</c:v>
                </c:pt>
                <c:pt idx="269">
                  <c:v>2.411958521788692E-4</c:v>
                </c:pt>
                <c:pt idx="270">
                  <c:v>3.1344243391638772E-4</c:v>
                </c:pt>
                <c:pt idx="271">
                  <c:v>2.9209708618417704E-4</c:v>
                </c:pt>
                <c:pt idx="272">
                  <c:v>2.6166532873012429E-4</c:v>
                </c:pt>
                <c:pt idx="273">
                  <c:v>1.9990854229715214E-4</c:v>
                </c:pt>
                <c:pt idx="274">
                  <c:v>2.5371513008058845E-4</c:v>
                </c:pt>
                <c:pt idx="275">
                  <c:v>2.4595288424593973E-4</c:v>
                </c:pt>
                <c:pt idx="276">
                  <c:v>2.0154295106305974E-4</c:v>
                </c:pt>
                <c:pt idx="277">
                  <c:v>2.2825659782941269E-4</c:v>
                </c:pt>
                <c:pt idx="278">
                  <c:v>2.2376944523671682E-4</c:v>
                </c:pt>
                <c:pt idx="279">
                  <c:v>2.4499569894591484E-4</c:v>
                </c:pt>
                <c:pt idx="280">
                  <c:v>2.8131408206366295E-4</c:v>
                </c:pt>
                <c:pt idx="281">
                  <c:v>3.1691690169406939E-4</c:v>
                </c:pt>
                <c:pt idx="282">
                  <c:v>2.9429076338015597E-4</c:v>
                </c:pt>
                <c:pt idx="283">
                  <c:v>3.1229063704554935E-4</c:v>
                </c:pt>
                <c:pt idx="284">
                  <c:v>4.0077995401054123E-4</c:v>
                </c:pt>
                <c:pt idx="285">
                  <c:v>4.2618246855849468E-4</c:v>
                </c:pt>
                <c:pt idx="286">
                  <c:v>4.2618246855849468E-4</c:v>
                </c:pt>
                <c:pt idx="287">
                  <c:v>5.6822492232864834E-4</c:v>
                </c:pt>
                <c:pt idx="288">
                  <c:v>6.391045381147157E-4</c:v>
                </c:pt>
                <c:pt idx="289">
                  <c:v>6.2600009050464906E-4</c:v>
                </c:pt>
                <c:pt idx="290">
                  <c:v>5.5778466096552284E-4</c:v>
                </c:pt>
                <c:pt idx="291">
                  <c:v>6.3346802666374856E-4</c:v>
                </c:pt>
                <c:pt idx="292">
                  <c:v>5.7525426328548822E-4</c:v>
                </c:pt>
                <c:pt idx="293">
                  <c:v>5.9667329608318763E-4</c:v>
                </c:pt>
                <c:pt idx="294">
                  <c:v>7.811563858634797E-4</c:v>
                </c:pt>
                <c:pt idx="295">
                  <c:v>6.4477144505752408E-4</c:v>
                </c:pt>
                <c:pt idx="296">
                  <c:v>6.0029126890559612E-4</c:v>
                </c:pt>
                <c:pt idx="297">
                  <c:v>6.3534348178494995E-4</c:v>
                </c:pt>
                <c:pt idx="298">
                  <c:v>5.8590180925508991E-4</c:v>
                </c:pt>
                <c:pt idx="299">
                  <c:v>6.2786198653483143E-4</c:v>
                </c:pt>
                <c:pt idx="300">
                  <c:v>6.0574393525275388E-4</c:v>
                </c:pt>
                <c:pt idx="301">
                  <c:v>5.4405835309502201E-4</c:v>
                </c:pt>
                <c:pt idx="302">
                  <c:v>5.6647622776688825E-4</c:v>
                </c:pt>
                <c:pt idx="303">
                  <c:v>6.5428361850487196E-4</c:v>
                </c:pt>
                <c:pt idx="304">
                  <c:v>6.0392295488371649E-4</c:v>
                </c:pt>
                <c:pt idx="305">
                  <c:v>6.2414159084188208E-4</c:v>
                </c:pt>
                <c:pt idx="306">
                  <c:v>6.1490012591926691E-4</c:v>
                </c:pt>
                <c:pt idx="307">
                  <c:v>6.0574393525275388E-4</c:v>
                </c:pt>
                <c:pt idx="308">
                  <c:v>6.0392295488371649E-4</c:v>
                </c:pt>
                <c:pt idx="309">
                  <c:v>5.7702023246800635E-4</c:v>
                </c:pt>
                <c:pt idx="310">
                  <c:v>6.4856623038205496E-4</c:v>
                </c:pt>
                <c:pt idx="311">
                  <c:v>6.1858649537743316E-4</c:v>
                </c:pt>
                <c:pt idx="312">
                  <c:v>7.1511276276276642E-4</c:v>
                </c:pt>
                <c:pt idx="313">
                  <c:v>6.5428361850487196E-4</c:v>
                </c:pt>
                <c:pt idx="314">
                  <c:v>7.9176355010278593E-4</c:v>
                </c:pt>
                <c:pt idx="315">
                  <c:v>9.6412475580852017E-4</c:v>
                </c:pt>
                <c:pt idx="316">
                  <c:v>1.0570922254576438E-3</c:v>
                </c:pt>
                <c:pt idx="317">
                  <c:v>1.0161606145147469E-3</c:v>
                </c:pt>
                <c:pt idx="318">
                  <c:v>9.4548425129052963E-4</c:v>
                </c:pt>
                <c:pt idx="319">
                  <c:v>9.501297240195769E-4</c:v>
                </c:pt>
                <c:pt idx="320">
                  <c:v>8.3932358484372076E-4</c:v>
                </c:pt>
                <c:pt idx="321">
                  <c:v>8.7703206912788107E-4</c:v>
                </c:pt>
                <c:pt idx="322">
                  <c:v>9.1553340891408939E-4</c:v>
                </c:pt>
                <c:pt idx="323">
                  <c:v>1.8635052826528706E-3</c:v>
                </c:pt>
                <c:pt idx="324">
                  <c:v>1.8788589137758323E-3</c:v>
                </c:pt>
                <c:pt idx="325">
                  <c:v>1.9132306907825988E-3</c:v>
                </c:pt>
                <c:pt idx="326">
                  <c:v>1.8701081891661507E-3</c:v>
                </c:pt>
                <c:pt idx="327">
                  <c:v>1.8367630599789449E-3</c:v>
                </c:pt>
                <c:pt idx="328">
                  <c:v>1.8501992377501827E-3</c:v>
                </c:pt>
                <c:pt idx="329">
                  <c:v>1.9747370617380494E-3</c:v>
                </c:pt>
                <c:pt idx="330">
                  <c:v>1.9943170269761737E-3</c:v>
                </c:pt>
                <c:pt idx="331">
                  <c:v>1.9153442562375898E-3</c:v>
                </c:pt>
                <c:pt idx="332">
                  <c:v>1.7536508306595989E-3</c:v>
                </c:pt>
                <c:pt idx="333">
                  <c:v>1.693754197829001E-3</c:v>
                </c:pt>
                <c:pt idx="334">
                  <c:v>1.6571092870211229E-3</c:v>
                </c:pt>
                <c:pt idx="335">
                  <c:v>1.7654311134357038E-3</c:v>
                </c:pt>
                <c:pt idx="336">
                  <c:v>1.8299974914496595E-3</c:v>
                </c:pt>
                <c:pt idx="337">
                  <c:v>1.6986027087714825E-3</c:v>
                </c:pt>
                <c:pt idx="338">
                  <c:v>1.816374044005145E-3</c:v>
                </c:pt>
                <c:pt idx="339">
                  <c:v>1.7910903284921551E-3</c:v>
                </c:pt>
                <c:pt idx="340">
                  <c:v>1.7418008920113423E-3</c:v>
                </c:pt>
                <c:pt idx="341">
                  <c:v>1.9004623021194598E-3</c:v>
                </c:pt>
                <c:pt idx="342">
                  <c:v>1.8367630599789449E-3</c:v>
                </c:pt>
                <c:pt idx="343">
                  <c:v>1.885381416406168E-3</c:v>
                </c:pt>
                <c:pt idx="344">
                  <c:v>2.0020124023432061E-3</c:v>
                </c:pt>
                <c:pt idx="345">
                  <c:v>2.1088321697806207E-3</c:v>
                </c:pt>
                <c:pt idx="346">
                  <c:v>2.065820367471943E-3</c:v>
                </c:pt>
                <c:pt idx="347">
                  <c:v>2.1921979162878732E-3</c:v>
                </c:pt>
                <c:pt idx="348">
                  <c:v>2.0794701816516589E-3</c:v>
                </c:pt>
                <c:pt idx="349">
                  <c:v>2.0482563050417922E-3</c:v>
                </c:pt>
                <c:pt idx="350">
                  <c:v>2.0743939330497446E-3</c:v>
                </c:pt>
                <c:pt idx="351">
                  <c:v>2.0894678900324564E-3</c:v>
                </c:pt>
                <c:pt idx="352">
                  <c:v>2.0927541278038392E-3</c:v>
                </c:pt>
                <c:pt idx="353">
                  <c:v>2.0927541278038392E-3</c:v>
                </c:pt>
                <c:pt idx="354">
                  <c:v>2.0374566322769556E-3</c:v>
                </c:pt>
                <c:pt idx="355">
                  <c:v>2.0571071350756328E-3</c:v>
                </c:pt>
                <c:pt idx="356">
                  <c:v>2.0811508521681793E-3</c:v>
                </c:pt>
                <c:pt idx="357">
                  <c:v>2.0675463196756488E-3</c:v>
                </c:pt>
                <c:pt idx="358">
                  <c:v>2.0911139231406324E-3</c:v>
                </c:pt>
                <c:pt idx="359">
                  <c:v>2.0482563050417922E-3</c:v>
                </c:pt>
                <c:pt idx="360">
                  <c:v>2.0518130152429241E-3</c:v>
                </c:pt>
                <c:pt idx="361">
                  <c:v>2.1735486356988776E-3</c:v>
                </c:pt>
                <c:pt idx="362">
                  <c:v>2.2015198502716984E-3</c:v>
                </c:pt>
                <c:pt idx="363">
                  <c:v>2.1773991920973706E-3</c:v>
                </c:pt>
                <c:pt idx="364">
                  <c:v>2.1709484247077089E-3</c:v>
                </c:pt>
                <c:pt idx="365">
                  <c:v>2.188589424432967E-3</c:v>
                </c:pt>
                <c:pt idx="366">
                  <c:v>2.1656688484048281E-3</c:v>
                </c:pt>
                <c:pt idx="367">
                  <c:v>2.1748388019002217E-3</c:v>
                </c:pt>
                <c:pt idx="368">
                  <c:v>2.196913776130563E-3</c:v>
                </c:pt>
                <c:pt idx="369">
                  <c:v>2.2883506739135558E-3</c:v>
                </c:pt>
                <c:pt idx="370">
                  <c:v>2.2881459950200417E-3</c:v>
                </c:pt>
                <c:pt idx="371">
                  <c:v>2.2829741942118537E-3</c:v>
                </c:pt>
                <c:pt idx="372">
                  <c:v>2.2862607158430511E-3</c:v>
                </c:pt>
                <c:pt idx="373">
                  <c:v>2.2152821608121681E-3</c:v>
                </c:pt>
                <c:pt idx="374">
                  <c:v>2.2088559488961262E-3</c:v>
                </c:pt>
                <c:pt idx="375">
                  <c:v>2.2339483093503113E-3</c:v>
                </c:pt>
                <c:pt idx="376">
                  <c:v>2.2745492344206607E-3</c:v>
                </c:pt>
                <c:pt idx="377">
                  <c:v>2.2819784843953438E-3</c:v>
                </c:pt>
                <c:pt idx="378">
                  <c:v>2.2793852143662653E-3</c:v>
                </c:pt>
                <c:pt idx="379">
                  <c:v>2.2801646635150614E-3</c:v>
                </c:pt>
                <c:pt idx="380">
                  <c:v>2.2682193598696199E-3</c:v>
                </c:pt>
                <c:pt idx="381">
                  <c:v>2.2580841443348753E-3</c:v>
                </c:pt>
                <c:pt idx="382">
                  <c:v>2.2537886233178557E-3</c:v>
                </c:pt>
                <c:pt idx="383">
                  <c:v>2.2709899695042596E-3</c:v>
                </c:pt>
                <c:pt idx="384">
                  <c:v>2.2878311284991511E-3</c:v>
                </c:pt>
                <c:pt idx="385">
                  <c:v>2.2832906462640001E-3</c:v>
                </c:pt>
                <c:pt idx="386">
                  <c:v>2.2873005029235317E-3</c:v>
                </c:pt>
                <c:pt idx="387">
                  <c:v>2.289094128810162E-3</c:v>
                </c:pt>
                <c:pt idx="388">
                  <c:v>2.2874851525598676E-3</c:v>
                </c:pt>
                <c:pt idx="389">
                  <c:v>2.2768624104313878E-3</c:v>
                </c:pt>
                <c:pt idx="390">
                  <c:v>2.2735704362138072E-3</c:v>
                </c:pt>
                <c:pt idx="391">
                  <c:v>2.289094128810162E-3</c:v>
                </c:pt>
                <c:pt idx="392">
                  <c:v>2.2890421561872752E-3</c:v>
                </c:pt>
                <c:pt idx="393">
                  <c:v>2.2851380268286898E-3</c:v>
                </c:pt>
                <c:pt idx="394">
                  <c:v>2.2887969763605823E-3</c:v>
                </c:pt>
                <c:pt idx="395">
                  <c:v>2.2895147917737723E-3</c:v>
                </c:pt>
                <c:pt idx="396">
                  <c:v>2.2895278910252141E-3</c:v>
                </c:pt>
                <c:pt idx="397">
                  <c:v>2.2839003540636692E-3</c:v>
                </c:pt>
                <c:pt idx="398">
                  <c:v>2.289002866994955E-3</c:v>
                </c:pt>
                <c:pt idx="399">
                  <c:v>2.2850268990622868E-3</c:v>
                </c:pt>
                <c:pt idx="400">
                  <c:v>2.275497464522571E-3</c:v>
                </c:pt>
                <c:pt idx="401">
                  <c:v>2.2860294655036367E-3</c:v>
                </c:pt>
                <c:pt idx="402">
                  <c:v>2.2864842048363684E-3</c:v>
                </c:pt>
                <c:pt idx="403">
                  <c:v>2.2652593106273133E-3</c:v>
                </c:pt>
                <c:pt idx="404">
                  <c:v>2.2852891704000255E-3</c:v>
                </c:pt>
                <c:pt idx="405">
                  <c:v>2.2871898668181075E-3</c:v>
                </c:pt>
                <c:pt idx="406">
                  <c:v>2.2661192506835326E-3</c:v>
                </c:pt>
                <c:pt idx="407">
                  <c:v>2.2146721162978628E-3</c:v>
                </c:pt>
                <c:pt idx="408">
                  <c:v>2.2103997279344844E-3</c:v>
                </c:pt>
                <c:pt idx="409">
                  <c:v>2.1477905512949191E-3</c:v>
                </c:pt>
                <c:pt idx="410">
                  <c:v>2.0096279945604023E-3</c:v>
                </c:pt>
                <c:pt idx="411">
                  <c:v>1.9300207364817492E-3</c:v>
                </c:pt>
                <c:pt idx="412">
                  <c:v>2.0020124023432061E-3</c:v>
                </c:pt>
                <c:pt idx="413">
                  <c:v>1.9884938252939257E-3</c:v>
                </c:pt>
                <c:pt idx="414">
                  <c:v>1.9627606872104474E-3</c:v>
                </c:pt>
                <c:pt idx="415">
                  <c:v>1.9647684170530353E-3</c:v>
                </c:pt>
                <c:pt idx="416">
                  <c:v>1.6888965258290377E-3</c:v>
                </c:pt>
                <c:pt idx="417">
                  <c:v>1.5775175178449799E-3</c:v>
                </c:pt>
                <c:pt idx="418">
                  <c:v>1.7322724561100826E-3</c:v>
                </c:pt>
                <c:pt idx="419">
                  <c:v>1.8412559845446892E-3</c:v>
                </c:pt>
                <c:pt idx="420">
                  <c:v>1.7654311134357038E-3</c:v>
                </c:pt>
                <c:pt idx="421">
                  <c:v>1.7082716135204958E-3</c:v>
                </c:pt>
                <c:pt idx="422">
                  <c:v>1.8254698869009764E-3</c:v>
                </c:pt>
                <c:pt idx="423">
                  <c:v>1.8679109844806554E-3</c:v>
                </c:pt>
                <c:pt idx="424">
                  <c:v>1.9667715044042848E-3</c:v>
                </c:pt>
                <c:pt idx="425">
                  <c:v>1.8412559845446892E-3</c:v>
                </c:pt>
                <c:pt idx="426">
                  <c:v>1.9111129509071364E-3</c:v>
                </c:pt>
                <c:pt idx="427">
                  <c:v>1.9943170269761737E-3</c:v>
                </c:pt>
                <c:pt idx="428">
                  <c:v>2.0392699727954534E-3</c:v>
                </c:pt>
                <c:pt idx="429">
                  <c:v>2.1849199209558919E-3</c:v>
                </c:pt>
                <c:pt idx="430">
                  <c:v>2.1643325395472846E-3</c:v>
                </c:pt>
                <c:pt idx="431">
                  <c:v>2.1520130684203626E-3</c:v>
                </c:pt>
                <c:pt idx="432">
                  <c:v>2.2136145505638064E-3</c:v>
                </c:pt>
                <c:pt idx="433">
                  <c:v>1.9767166615202326E-3</c:v>
                </c:pt>
                <c:pt idx="434">
                  <c:v>2.0264655067217478E-3</c:v>
                </c:pt>
                <c:pt idx="435">
                  <c:v>2.1897990501222693E-3</c:v>
                </c:pt>
                <c:pt idx="436">
                  <c:v>2.216766121588421E-3</c:v>
                </c:pt>
                <c:pt idx="437">
                  <c:v>2.1897990501222693E-3</c:v>
                </c:pt>
                <c:pt idx="438">
                  <c:v>2.1520130684203626E-3</c:v>
                </c:pt>
                <c:pt idx="439">
                  <c:v>2.1980756159706754E-3</c:v>
                </c:pt>
                <c:pt idx="440">
                  <c:v>2.1897990501222693E-3</c:v>
                </c:pt>
                <c:pt idx="441">
                  <c:v>2.1873730196328139E-3</c:v>
                </c:pt>
                <c:pt idx="442">
                  <c:v>2.2447433891372146E-3</c:v>
                </c:pt>
                <c:pt idx="443">
                  <c:v>2.2026541285864987E-3</c:v>
                </c:pt>
                <c:pt idx="444">
                  <c:v>2.1933871329810938E-3</c:v>
                </c:pt>
                <c:pt idx="445">
                  <c:v>2.1786693908275017E-3</c:v>
                </c:pt>
                <c:pt idx="446">
                  <c:v>2.1024720800656232E-3</c:v>
                </c:pt>
                <c:pt idx="447">
                  <c:v>2.1333030799316191E-3</c:v>
                </c:pt>
                <c:pt idx="448">
                  <c:v>2.15755316428796E-3</c:v>
                </c:pt>
                <c:pt idx="449">
                  <c:v>2.2082215154302191E-3</c:v>
                </c:pt>
                <c:pt idx="450">
                  <c:v>2.2082215154302191E-3</c:v>
                </c:pt>
                <c:pt idx="451">
                  <c:v>2.2824584881690466E-3</c:v>
                </c:pt>
                <c:pt idx="452">
                  <c:v>2.2287343050051856E-3</c:v>
                </c:pt>
                <c:pt idx="453">
                  <c:v>2.1849199209558919E-3</c:v>
                </c:pt>
                <c:pt idx="454">
                  <c:v>2.1656688484048281E-3</c:v>
                </c:pt>
                <c:pt idx="455">
                  <c:v>2.1347801254079715E-3</c:v>
                </c:pt>
                <c:pt idx="456">
                  <c:v>2.1391737011470088E-3</c:v>
                </c:pt>
                <c:pt idx="457">
                  <c:v>2.0640888285088964E-3</c:v>
                </c:pt>
                <c:pt idx="458">
                  <c:v>2.0392699727954534E-3</c:v>
                </c:pt>
                <c:pt idx="459">
                  <c:v>2.0943884882773495E-3</c:v>
                </c:pt>
                <c:pt idx="460">
                  <c:v>2.0623517192549265E-3</c:v>
                </c:pt>
                <c:pt idx="461">
                  <c:v>2.1008671750439483E-3</c:v>
                </c:pt>
                <c:pt idx="462">
                  <c:v>2.0264655067217478E-3</c:v>
                </c:pt>
                <c:pt idx="463">
                  <c:v>2.1181920333638044E-3</c:v>
                </c:pt>
                <c:pt idx="464">
                  <c:v>2.1811897328420701E-3</c:v>
                </c:pt>
                <c:pt idx="465">
                  <c:v>2.1683217944552312E-3</c:v>
                </c:pt>
                <c:pt idx="466">
                  <c:v>2.1992305825822571E-3</c:v>
                </c:pt>
                <c:pt idx="467">
                  <c:v>2.1561778162472313E-3</c:v>
                </c:pt>
                <c:pt idx="468">
                  <c:v>2.1811897328420701E-3</c:v>
                </c:pt>
                <c:pt idx="469">
                  <c:v>2.1873730196328139E-3</c:v>
                </c:pt>
                <c:pt idx="470">
                  <c:v>2.2208693359830746E-3</c:v>
                </c:pt>
                <c:pt idx="471">
                  <c:v>2.2479797658717078E-3</c:v>
                </c:pt>
                <c:pt idx="472">
                  <c:v>2.2737785735810526E-3</c:v>
                </c:pt>
                <c:pt idx="473">
                  <c:v>2.2695840981807685E-3</c:v>
                </c:pt>
                <c:pt idx="474">
                  <c:v>2.2766039476259168E-3</c:v>
                </c:pt>
                <c:pt idx="475">
                  <c:v>2.2766039476259168E-3</c:v>
                </c:pt>
                <c:pt idx="476">
                  <c:v>2.2840244948072221E-3</c:v>
                </c:pt>
                <c:pt idx="477">
                  <c:v>2.2883506739135558E-3</c:v>
                </c:pt>
                <c:pt idx="478">
                  <c:v>2.2892532807766187E-3</c:v>
                </c:pt>
                <c:pt idx="479">
                  <c:v>2.288903815841254E-3</c:v>
                </c:pt>
                <c:pt idx="480">
                  <c:v>2.2847568789661822E-3</c:v>
                </c:pt>
                <c:pt idx="481">
                  <c:v>2.289494450782594E-3</c:v>
                </c:pt>
                <c:pt idx="482">
                  <c:v>2.2893211693024852E-3</c:v>
                </c:pt>
                <c:pt idx="483">
                  <c:v>2.2860294655036367E-3</c:v>
                </c:pt>
                <c:pt idx="484">
                  <c:v>2.288903815841254E-3</c:v>
                </c:pt>
                <c:pt idx="485">
                  <c:v>2.2857904561777494E-3</c:v>
                </c:pt>
                <c:pt idx="486">
                  <c:v>2.2587739435350192E-3</c:v>
                </c:pt>
                <c:pt idx="487">
                  <c:v>2.2500045908124566E-3</c:v>
                </c:pt>
                <c:pt idx="488">
                  <c:v>2.275497464522571E-3</c:v>
                </c:pt>
                <c:pt idx="489">
                  <c:v>2.2768624104313878E-3</c:v>
                </c:pt>
                <c:pt idx="490">
                  <c:v>2.2773020673426819E-3</c:v>
                </c:pt>
                <c:pt idx="491">
                  <c:v>2.2895781676849011E-3</c:v>
                </c:pt>
                <c:pt idx="492">
                  <c:v>2.2853970420054631E-3</c:v>
                </c:pt>
                <c:pt idx="493">
                  <c:v>2.2869078897414766E-3</c:v>
                </c:pt>
                <c:pt idx="494">
                  <c:v>2.2793852143662653E-3</c:v>
                </c:pt>
                <c:pt idx="495">
                  <c:v>2.2773020673426819E-3</c:v>
                </c:pt>
                <c:pt idx="496">
                  <c:v>2.2895147917737723E-3</c:v>
                </c:pt>
                <c:pt idx="497">
                  <c:v>2.289002866994955E-3</c:v>
                </c:pt>
                <c:pt idx="498">
                  <c:v>2.2693503769284015E-3</c:v>
                </c:pt>
                <c:pt idx="499">
                  <c:v>2.2687886601565799E-3</c:v>
                </c:pt>
                <c:pt idx="500">
                  <c:v>2.2709899695042596E-3</c:v>
                </c:pt>
                <c:pt idx="501">
                  <c:v>2.2725611097102346E-3</c:v>
                </c:pt>
                <c:pt idx="502">
                  <c:v>2.2887969763605823E-3</c:v>
                </c:pt>
                <c:pt idx="503">
                  <c:v>2.2829741942118537E-3</c:v>
                </c:pt>
                <c:pt idx="504">
                  <c:v>2.2773020673426819E-3</c:v>
                </c:pt>
                <c:pt idx="505">
                  <c:v>2.289002866994955E-3</c:v>
                </c:pt>
                <c:pt idx="506">
                  <c:v>2.2888428096942107E-3</c:v>
                </c:pt>
                <c:pt idx="507">
                  <c:v>2.2895648373872238E-3</c:v>
                </c:pt>
                <c:pt idx="508">
                  <c:v>2.2895147917737723E-3</c:v>
                </c:pt>
                <c:pt idx="509">
                  <c:v>2.2781583666162128E-3</c:v>
                </c:pt>
                <c:pt idx="510">
                  <c:v>2.2789839509004444E-3</c:v>
                </c:pt>
                <c:pt idx="511">
                  <c:v>2.2869078897414766E-3</c:v>
                </c:pt>
                <c:pt idx="512">
                  <c:v>2.2895535365672435E-3</c:v>
                </c:pt>
                <c:pt idx="513">
                  <c:v>2.2878998498318628E-3</c:v>
                </c:pt>
                <c:pt idx="514">
                  <c:v>2.2895535365672435E-3</c:v>
                </c:pt>
                <c:pt idx="515">
                  <c:v>2.28943356797274E-3</c:v>
                </c:pt>
                <c:pt idx="516">
                  <c:v>2.2894780769691569E-3</c:v>
                </c:pt>
                <c:pt idx="517">
                  <c:v>2.2875604075069597E-3</c:v>
                </c:pt>
                <c:pt idx="518">
                  <c:v>2.2895437120115901E-3</c:v>
                </c:pt>
                <c:pt idx="519">
                  <c:v>2.2881459950200417E-3</c:v>
                </c:pt>
                <c:pt idx="520">
                  <c:v>2.289494450782594E-3</c:v>
                </c:pt>
                <c:pt idx="521">
                  <c:v>2.2889463773215482E-3</c:v>
                </c:pt>
                <c:pt idx="522">
                  <c:v>2.2874851525598676E-3</c:v>
                </c:pt>
                <c:pt idx="523">
                  <c:v>2.2850268990622868E-3</c:v>
                </c:pt>
                <c:pt idx="524">
                  <c:v>2.2839003540636692E-3</c:v>
                </c:pt>
                <c:pt idx="525">
                  <c:v>2.2730695864630343E-3</c:v>
                </c:pt>
                <c:pt idx="526">
                  <c:v>2.2676424818464957E-3</c:v>
                </c:pt>
                <c:pt idx="527">
                  <c:v>2.2652593106273133E-3</c:v>
                </c:pt>
                <c:pt idx="528">
                  <c:v>2.2693503769284015E-3</c:v>
                </c:pt>
                <c:pt idx="529">
                  <c:v>2.282318109933683E-3</c:v>
                </c:pt>
                <c:pt idx="530">
                  <c:v>2.2893473656647218E-3</c:v>
                </c:pt>
                <c:pt idx="531">
                  <c:v>2.2881459950200417E-3</c:v>
                </c:pt>
                <c:pt idx="532">
                  <c:v>2.2888428096942107E-3</c:v>
                </c:pt>
                <c:pt idx="533">
                  <c:v>2.2891301453132739E-3</c:v>
                </c:pt>
                <c:pt idx="534">
                  <c:v>2.2888428096942107E-3</c:v>
                </c:pt>
                <c:pt idx="535">
                  <c:v>2.2878998498318628E-3</c:v>
                </c:pt>
                <c:pt idx="536">
                  <c:v>2.2487704479781001E-3</c:v>
                </c:pt>
                <c:pt idx="537">
                  <c:v>2.1933871329810938E-3</c:v>
                </c:pt>
                <c:pt idx="538">
                  <c:v>2.2238722275156903E-3</c:v>
                </c:pt>
                <c:pt idx="539">
                  <c:v>2.1811897328420701E-3</c:v>
                </c:pt>
                <c:pt idx="540">
                  <c:v>2.2003786644871938E-3</c:v>
                </c:pt>
                <c:pt idx="541">
                  <c:v>2.1824398512260016E-3</c:v>
                </c:pt>
                <c:pt idx="542">
                  <c:v>2.140625658594061E-3</c:v>
                </c:pt>
                <c:pt idx="543">
                  <c:v>2.1836832513628473E-3</c:v>
                </c:pt>
                <c:pt idx="544">
                  <c:v>2.1683217944552312E-3</c:v>
                </c:pt>
                <c:pt idx="545">
                  <c:v>2.222878380955768E-3</c:v>
                </c:pt>
                <c:pt idx="546">
                  <c:v>2.233416903195153E-3</c:v>
                </c:pt>
                <c:pt idx="547">
                  <c:v>2.2146721162978628E-3</c:v>
                </c:pt>
                <c:pt idx="548">
                  <c:v>2.2439159236718612E-3</c:v>
                </c:pt>
                <c:pt idx="549">
                  <c:v>2.2287343050051856E-3</c:v>
                </c:pt>
                <c:pt idx="550">
                  <c:v>2.2471817108475527E-3</c:v>
                </c:pt>
                <c:pt idx="551">
                  <c:v>2.222878380955768E-3</c:v>
                </c:pt>
                <c:pt idx="552">
                  <c:v>2.256270039398196E-3</c:v>
                </c:pt>
                <c:pt idx="553">
                  <c:v>2.2352394235961998E-3</c:v>
                </c:pt>
                <c:pt idx="554">
                  <c:v>2.2576807145346044E-3</c:v>
                </c:pt>
                <c:pt idx="555">
                  <c:v>2.2361398214194961E-3</c:v>
                </c:pt>
                <c:pt idx="556">
                  <c:v>2.2248589434984939E-3</c:v>
                </c:pt>
                <c:pt idx="557">
                  <c:v>2.2379188470587059E-3</c:v>
                </c:pt>
                <c:pt idx="558">
                  <c:v>2.2597406778574708E-3</c:v>
                </c:pt>
                <c:pt idx="559">
                  <c:v>2.2712141137165272E-3</c:v>
                </c:pt>
                <c:pt idx="560">
                  <c:v>2.2891301453132739E-3</c:v>
                </c:pt>
                <c:pt idx="561">
                  <c:v>2.2803244791635758E-3</c:v>
                </c:pt>
                <c:pt idx="562">
                  <c:v>2.2888428096942107E-3</c:v>
                </c:pt>
                <c:pt idx="563">
                  <c:v>2.28943356797274E-3</c:v>
                </c:pt>
                <c:pt idx="564">
                  <c:v>2.2895437120115901E-3</c:v>
                </c:pt>
                <c:pt idx="565">
                  <c:v>2.2839003540636692E-3</c:v>
                </c:pt>
                <c:pt idx="566">
                  <c:v>2.2847568789661822E-3</c:v>
                </c:pt>
                <c:pt idx="567">
                  <c:v>2.2892532807766187E-3</c:v>
                </c:pt>
                <c:pt idx="568">
                  <c:v>2.2869078897414766E-3</c:v>
                </c:pt>
                <c:pt idx="569">
                  <c:v>2.2873005029235317E-3</c:v>
                </c:pt>
                <c:pt idx="570">
                  <c:v>2.2874851525598676E-3</c:v>
                </c:pt>
                <c:pt idx="571">
                  <c:v>2.288903815841254E-3</c:v>
                </c:pt>
                <c:pt idx="572">
                  <c:v>2.2871080813293915E-3</c:v>
                </c:pt>
                <c:pt idx="573">
                  <c:v>2.2892827508312679E-3</c:v>
                </c:pt>
                <c:pt idx="574">
                  <c:v>2.2884297392643878E-3</c:v>
                </c:pt>
                <c:pt idx="575">
                  <c:v>2.2883506739135558E-3</c:v>
                </c:pt>
                <c:pt idx="576">
                  <c:v>2.2895535365672435E-3</c:v>
                </c:pt>
                <c:pt idx="577">
                  <c:v>2.2855436903040159E-3</c:v>
                </c:pt>
                <c:pt idx="578">
                  <c:v>2.2862607158430511E-3</c:v>
                </c:pt>
                <c:pt idx="579">
                  <c:v>2.2812760838271592E-3</c:v>
                </c:pt>
                <c:pt idx="580">
                  <c:v>2.2819784843953438E-3</c:v>
                </c:pt>
                <c:pt idx="581">
                  <c:v>2.277734054203214E-3</c:v>
                </c:pt>
                <c:pt idx="582">
                  <c:v>2.275497464522571E-3</c:v>
                </c:pt>
                <c:pt idx="583">
                  <c:v>2.2507762149624857E-3</c:v>
                </c:pt>
                <c:pt idx="584">
                  <c:v>2.2832906462640001E-3</c:v>
                </c:pt>
                <c:pt idx="585">
                  <c:v>2.2812760838271592E-3</c:v>
                </c:pt>
                <c:pt idx="586">
                  <c:v>2.2687886601565799E-3</c:v>
                </c:pt>
                <c:pt idx="587">
                  <c:v>2.2658664402882434E-3</c:v>
                </c:pt>
                <c:pt idx="588">
                  <c:v>2.2507762149624857E-3</c:v>
                </c:pt>
                <c:pt idx="589">
                  <c:v>2.2587739435350192E-3</c:v>
                </c:pt>
                <c:pt idx="590">
                  <c:v>2.2826500143335367E-3</c:v>
                </c:pt>
                <c:pt idx="591">
                  <c:v>2.2826500143335367E-3</c:v>
                </c:pt>
                <c:pt idx="592">
                  <c:v>2.2640224144254519E-3</c:v>
                </c:pt>
                <c:pt idx="593">
                  <c:v>2.2640224144254519E-3</c:v>
                </c:pt>
                <c:pt idx="594">
                  <c:v>2.275497464522571E-3</c:v>
                </c:pt>
                <c:pt idx="595">
                  <c:v>2.2745492344206607E-3</c:v>
                </c:pt>
                <c:pt idx="596">
                  <c:v>2.2881459950200417E-3</c:v>
                </c:pt>
                <c:pt idx="597">
                  <c:v>2.2832906462640001E-3</c:v>
                </c:pt>
                <c:pt idx="598">
                  <c:v>2.2687886601565799E-3</c:v>
                </c:pt>
                <c:pt idx="599">
                  <c:v>2.2793852143662653E-3</c:v>
                </c:pt>
                <c:pt idx="600">
                  <c:v>2.2709899695042596E-3</c:v>
                </c:pt>
                <c:pt idx="601">
                  <c:v>2.2676424818464957E-3</c:v>
                </c:pt>
                <c:pt idx="602">
                  <c:v>2.2797787865738756E-3</c:v>
                </c:pt>
                <c:pt idx="603">
                  <c:v>2.2735704362138072E-3</c:v>
                </c:pt>
                <c:pt idx="604">
                  <c:v>2.2640224144254519E-3</c:v>
                </c:pt>
                <c:pt idx="605">
                  <c:v>2.2552502682938232E-3</c:v>
                </c:pt>
                <c:pt idx="606">
                  <c:v>2.2330303944020887E-3</c:v>
                </c:pt>
                <c:pt idx="607">
                  <c:v>2.2460357281307939E-3</c:v>
                </c:pt>
                <c:pt idx="608">
                  <c:v>2.2292866035541013E-3</c:v>
                </c:pt>
                <c:pt idx="609">
                  <c:v>2.2348589926471114E-3</c:v>
                </c:pt>
                <c:pt idx="610">
                  <c:v>2.2244452799544761E-3</c:v>
                </c:pt>
                <c:pt idx="611">
                  <c:v>2.2292866035541013E-3</c:v>
                </c:pt>
                <c:pt idx="612">
                  <c:v>2.2484391703178046E-3</c:v>
                </c:pt>
                <c:pt idx="613">
                  <c:v>2.2545231653057071E-3</c:v>
                </c:pt>
                <c:pt idx="614">
                  <c:v>2.2460357281307939E-3</c:v>
                </c:pt>
                <c:pt idx="615">
                  <c:v>2.2607984215954513E-3</c:v>
                </c:pt>
                <c:pt idx="616">
                  <c:v>2.2687886601565799E-3</c:v>
                </c:pt>
                <c:pt idx="617">
                  <c:v>2.2805428412595312E-3</c:v>
                </c:pt>
                <c:pt idx="618">
                  <c:v>2.283599367263816E-3</c:v>
                </c:pt>
                <c:pt idx="619">
                  <c:v>2.2793852143662653E-3</c:v>
                </c:pt>
                <c:pt idx="620">
                  <c:v>2.2852891704000255E-3</c:v>
                </c:pt>
                <c:pt idx="621">
                  <c:v>2.289002866994955E-3</c:v>
                </c:pt>
                <c:pt idx="622">
                  <c:v>2.2774844854107964E-3</c:v>
                </c:pt>
                <c:pt idx="623">
                  <c:v>2.2712141137165272E-3</c:v>
                </c:pt>
                <c:pt idx="624">
                  <c:v>2.2463762909563502E-3</c:v>
                </c:pt>
                <c:pt idx="625">
                  <c:v>2.2695840981807685E-3</c:v>
                </c:pt>
                <c:pt idx="626">
                  <c:v>2.2667156511841004E-3</c:v>
                </c:pt>
                <c:pt idx="627">
                  <c:v>2.2526129880493652E-3</c:v>
                </c:pt>
                <c:pt idx="628">
                  <c:v>2.2642847352028566E-3</c:v>
                </c:pt>
                <c:pt idx="629">
                  <c:v>2.2495537491884921E-3</c:v>
                </c:pt>
                <c:pt idx="630">
                  <c:v>2.2526129880493652E-3</c:v>
                </c:pt>
                <c:pt idx="631">
                  <c:v>2.2555535132487551E-3</c:v>
                </c:pt>
                <c:pt idx="632">
                  <c:v>2.2463762909563502E-3</c:v>
                </c:pt>
                <c:pt idx="633">
                  <c:v>2.2590615060083669E-3</c:v>
                </c:pt>
                <c:pt idx="634">
                  <c:v>2.2495537491884921E-3</c:v>
                </c:pt>
                <c:pt idx="635">
                  <c:v>2.245563514321152E-3</c:v>
                </c:pt>
                <c:pt idx="636">
                  <c:v>2.2103997279344844E-3</c:v>
                </c:pt>
                <c:pt idx="637">
                  <c:v>2.2188318890189202E-3</c:v>
                </c:pt>
                <c:pt idx="638">
                  <c:v>2.245563514321152E-3</c:v>
                </c:pt>
                <c:pt idx="639">
                  <c:v>2.2604123579223509E-3</c:v>
                </c:pt>
                <c:pt idx="640">
                  <c:v>2.2737785735810526E-3</c:v>
                </c:pt>
                <c:pt idx="641">
                  <c:v>2.2695840981807685E-3</c:v>
                </c:pt>
                <c:pt idx="642">
                  <c:v>2.2597406778574708E-3</c:v>
                </c:pt>
                <c:pt idx="643">
                  <c:v>2.2604123579223509E-3</c:v>
                </c:pt>
                <c:pt idx="644">
                  <c:v>2.2678857587805521E-3</c:v>
                </c:pt>
                <c:pt idx="645">
                  <c:v>2.2604123579223509E-3</c:v>
                </c:pt>
                <c:pt idx="646">
                  <c:v>2.2661192506835326E-3</c:v>
                </c:pt>
                <c:pt idx="647">
                  <c:v>2.2834212860330327E-3</c:v>
                </c:pt>
                <c:pt idx="648">
                  <c:v>2.2770480502511724E-3</c:v>
                </c:pt>
                <c:pt idx="649">
                  <c:v>2.2766039476259168E-3</c:v>
                </c:pt>
                <c:pt idx="650">
                  <c:v>2.2806994212175671E-3</c:v>
                </c:pt>
                <c:pt idx="651">
                  <c:v>2.2742685833923421E-3</c:v>
                </c:pt>
                <c:pt idx="652">
                  <c:v>2.2865757797936627E-3</c:v>
                </c:pt>
                <c:pt idx="653">
                  <c:v>2.2863555521318276E-3</c:v>
                </c:pt>
                <c:pt idx="654">
                  <c:v>2.2888428096942107E-3</c:v>
                </c:pt>
                <c:pt idx="655">
                  <c:v>2.2864842048363684E-3</c:v>
                </c:pt>
                <c:pt idx="656">
                  <c:v>2.2895814425813853E-3</c:v>
                </c:pt>
                <c:pt idx="657">
                  <c:v>2.2894041876413917E-3</c:v>
                </c:pt>
                <c:pt idx="658">
                  <c:v>2.2878311284991511E-3</c:v>
                </c:pt>
                <c:pt idx="659">
                  <c:v>2.289571387146742E-3</c:v>
                </c:pt>
                <c:pt idx="660">
                  <c:v>2.2885599368619078E-3</c:v>
                </c:pt>
                <c:pt idx="661">
                  <c:v>2.2879924512702841E-3</c:v>
                </c:pt>
                <c:pt idx="662">
                  <c:v>2.2879924512702841E-3</c:v>
                </c:pt>
                <c:pt idx="663">
                  <c:v>2.2809133159549812E-3</c:v>
                </c:pt>
                <c:pt idx="664">
                  <c:v>2.2832906462640001E-3</c:v>
                </c:pt>
                <c:pt idx="665">
                  <c:v>2.2735704362138072E-3</c:v>
                </c:pt>
                <c:pt idx="666">
                  <c:v>2.2725611097102346E-3</c:v>
                </c:pt>
                <c:pt idx="667">
                  <c:v>2.2768624104313878E-3</c:v>
                </c:pt>
                <c:pt idx="668">
                  <c:v>2.2768624104313878E-3</c:v>
                </c:pt>
                <c:pt idx="669">
                  <c:v>2.2682193598696199E-3</c:v>
                </c:pt>
                <c:pt idx="670">
                  <c:v>2.2857904561777494E-3</c:v>
                </c:pt>
                <c:pt idx="671">
                  <c:v>2.2759601044309821E-3</c:v>
                </c:pt>
                <c:pt idx="672">
                  <c:v>2.2768624104313878E-3</c:v>
                </c:pt>
                <c:pt idx="673">
                  <c:v>2.2607984215954513E-3</c:v>
                </c:pt>
                <c:pt idx="674">
                  <c:v>2.2537886233178557E-3</c:v>
                </c:pt>
                <c:pt idx="675">
                  <c:v>2.2614582516606637E-3</c:v>
                </c:pt>
                <c:pt idx="676">
                  <c:v>2.2559699249311816E-3</c:v>
                </c:pt>
                <c:pt idx="677">
                  <c:v>2.2601310890350357E-3</c:v>
                </c:pt>
                <c:pt idx="678">
                  <c:v>2.2460357281307939E-3</c:v>
                </c:pt>
                <c:pt idx="679">
                  <c:v>2.2468442396834185E-3</c:v>
                </c:pt>
                <c:pt idx="680">
                  <c:v>2.2184003074812312E-3</c:v>
                </c:pt>
                <c:pt idx="681">
                  <c:v>2.2121006126533654E-3</c:v>
                </c:pt>
                <c:pt idx="682">
                  <c:v>2.2121006126533654E-3</c:v>
                </c:pt>
                <c:pt idx="683">
                  <c:v>2.2234555671117192E-3</c:v>
                </c:pt>
                <c:pt idx="684">
                  <c:v>2.2110260566383286E-3</c:v>
                </c:pt>
                <c:pt idx="685">
                  <c:v>2.1964236239381115E-3</c:v>
                </c:pt>
                <c:pt idx="686">
                  <c:v>2.1904973855946105E-3</c:v>
                </c:pt>
                <c:pt idx="687">
                  <c:v>2.0887746343769241E-3</c:v>
                </c:pt>
                <c:pt idx="688">
                  <c:v>2.1175437655958484E-3</c:v>
                </c:pt>
                <c:pt idx="689">
                  <c:v>2.0920657665781544E-3</c:v>
                </c:pt>
                <c:pt idx="690">
                  <c:v>2.0510677096177553E-3</c:v>
                </c:pt>
                <c:pt idx="691">
                  <c:v>2.05460719814908E-3</c:v>
                </c:pt>
                <c:pt idx="692">
                  <c:v>2.061620278458806E-3</c:v>
                </c:pt>
                <c:pt idx="693">
                  <c:v>1.9739039918026569E-3</c:v>
                </c:pt>
                <c:pt idx="694">
                  <c:v>1.9599015411960389E-3</c:v>
                </c:pt>
                <c:pt idx="695">
                  <c:v>1.9699266490636747E-3</c:v>
                </c:pt>
                <c:pt idx="696">
                  <c:v>1.9456737993403825E-3</c:v>
                </c:pt>
                <c:pt idx="697">
                  <c:v>1.9558591838603361E-3</c:v>
                </c:pt>
                <c:pt idx="698">
                  <c:v>2.0219788676589918E-3</c:v>
                </c:pt>
                <c:pt idx="699">
                  <c:v>2.0201161115958044E-3</c:v>
                </c:pt>
                <c:pt idx="700">
                  <c:v>2.0719731658996586E-3</c:v>
                </c:pt>
                <c:pt idx="701">
                  <c:v>2.0031214187305152E-3</c:v>
                </c:pt>
                <c:pt idx="702">
                  <c:v>2.0312147075755584E-3</c:v>
                </c:pt>
                <c:pt idx="703">
                  <c:v>2.0475064340619202E-3</c:v>
                </c:pt>
                <c:pt idx="704">
                  <c:v>1.9538311545726755E-3</c:v>
                </c:pt>
                <c:pt idx="705">
                  <c:v>2.0403190615007919E-3</c:v>
                </c:pt>
                <c:pt idx="706">
                  <c:v>2.0219788676589918E-3</c:v>
                </c:pt>
                <c:pt idx="707">
                  <c:v>2.0256888438148998E-3</c:v>
                </c:pt>
                <c:pt idx="708">
                  <c:v>2.0219788676589918E-3</c:v>
                </c:pt>
                <c:pt idx="709">
                  <c:v>2.0219788676589918E-3</c:v>
                </c:pt>
                <c:pt idx="710">
                  <c:v>1.9659305469550891E-3</c:v>
                </c:pt>
                <c:pt idx="711">
                  <c:v>1.9896228499632928E-3</c:v>
                </c:pt>
                <c:pt idx="712">
                  <c:v>1.9876748532502023E-3</c:v>
                </c:pt>
                <c:pt idx="713">
                  <c:v>1.9876748532502023E-3</c:v>
                </c:pt>
                <c:pt idx="714">
                  <c:v>1.9915659751492303E-3</c:v>
                </c:pt>
                <c:pt idx="715">
                  <c:v>1.9059706200824579E-3</c:v>
                </c:pt>
                <c:pt idx="716">
                  <c:v>1.7761583469600207E-3</c:v>
                </c:pt>
                <c:pt idx="717">
                  <c:v>1.7644440435841534E-3</c:v>
                </c:pt>
                <c:pt idx="718">
                  <c:v>1.7573807776506635E-3</c:v>
                </c:pt>
                <c:pt idx="719">
                  <c:v>1.5613598290858152E-3</c:v>
                </c:pt>
                <c:pt idx="720">
                  <c:v>1.5512666228322265E-3</c:v>
                </c:pt>
                <c:pt idx="721">
                  <c:v>1.5865029381448349E-3</c:v>
                </c:pt>
                <c:pt idx="722">
                  <c:v>1.6486887638721788E-3</c:v>
                </c:pt>
                <c:pt idx="723">
                  <c:v>1.6239417842373051E-3</c:v>
                </c:pt>
                <c:pt idx="724">
                  <c:v>1.6363381288779289E-3</c:v>
                </c:pt>
                <c:pt idx="725">
                  <c:v>1.665898184512959E-3</c:v>
                </c:pt>
                <c:pt idx="726">
                  <c:v>1.5689167186012736E-3</c:v>
                </c:pt>
                <c:pt idx="727">
                  <c:v>1.7761583469600207E-3</c:v>
                </c:pt>
                <c:pt idx="728">
                  <c:v>1.7924328153754313E-3</c:v>
                </c:pt>
                <c:pt idx="729">
                  <c:v>1.7901170774994798E-3</c:v>
                </c:pt>
                <c:pt idx="730">
                  <c:v>1.7761583469600207E-3</c:v>
                </c:pt>
                <c:pt idx="731">
                  <c:v>1.7993612608995055E-3</c:v>
                </c:pt>
                <c:pt idx="732">
                  <c:v>1.8062611391763458E-3</c:v>
                </c:pt>
                <c:pt idx="733">
                  <c:v>1.880122414065648E-3</c:v>
                </c:pt>
                <c:pt idx="734">
                  <c:v>1.8691855742600859E-3</c:v>
                </c:pt>
                <c:pt idx="735">
                  <c:v>1.8267840417939066E-3</c:v>
                </c:pt>
                <c:pt idx="736">
                  <c:v>1.7216947912086188E-3</c:v>
                </c:pt>
                <c:pt idx="737">
                  <c:v>1.6634457315749477E-3</c:v>
                </c:pt>
                <c:pt idx="738">
                  <c:v>1.7667927377972941E-3</c:v>
                </c:pt>
                <c:pt idx="739">
                  <c:v>1.7993612608995055E-3</c:v>
                </c:pt>
                <c:pt idx="740">
                  <c:v>1.8267840417939066E-3</c:v>
                </c:pt>
                <c:pt idx="741">
                  <c:v>1.8062611391763458E-3</c:v>
                </c:pt>
                <c:pt idx="742">
                  <c:v>1.7901170774994798E-3</c:v>
                </c:pt>
                <c:pt idx="743">
                  <c:v>1.8154156174470489E-3</c:v>
                </c:pt>
                <c:pt idx="744">
                  <c:v>1.9639255069898802E-3</c:v>
                </c:pt>
                <c:pt idx="745">
                  <c:v>1.9477198866897996E-3</c:v>
                </c:pt>
                <c:pt idx="746">
                  <c:v>1.9659305469550891E-3</c:v>
                </c:pt>
                <c:pt idx="747">
                  <c:v>1.9207776043148738E-3</c:v>
                </c:pt>
                <c:pt idx="748">
                  <c:v>1.7970549268485419E-3</c:v>
                </c:pt>
                <c:pt idx="749">
                  <c:v>1.7168923598626586E-3</c:v>
                </c:pt>
                <c:pt idx="750">
                  <c:v>1.7479237361073426E-3</c:v>
                </c:pt>
                <c:pt idx="751">
                  <c:v>1.6951609407766337E-3</c:v>
                </c:pt>
                <c:pt idx="752">
                  <c:v>1.750292153420261E-3</c:v>
                </c:pt>
                <c:pt idx="753">
                  <c:v>1.6585347111438514E-3</c:v>
                </c:pt>
                <c:pt idx="754">
                  <c:v>1.6732430774757741E-3</c:v>
                </c:pt>
                <c:pt idx="755">
                  <c:v>1.7288794896497311E-3</c:v>
                </c:pt>
                <c:pt idx="756">
                  <c:v>1.6781290871359111E-3</c:v>
                </c:pt>
                <c:pt idx="757">
                  <c:v>1.7216947912086188E-3</c:v>
                </c:pt>
                <c:pt idx="758">
                  <c:v>1.6585347111438514E-3</c:v>
                </c:pt>
                <c:pt idx="759">
                  <c:v>1.7000067659005739E-3</c:v>
                </c:pt>
                <c:pt idx="760">
                  <c:v>1.7970549268485419E-3</c:v>
                </c:pt>
                <c:pt idx="761">
                  <c:v>1.8062611391763458E-3</c:v>
                </c:pt>
                <c:pt idx="762">
                  <c:v>1.8154156174470489E-3</c:v>
                </c:pt>
                <c:pt idx="763">
                  <c:v>1.7854763363817786E-3</c:v>
                </c:pt>
                <c:pt idx="764">
                  <c:v>1.849262638934128E-3</c:v>
                </c:pt>
                <c:pt idx="765">
                  <c:v>1.9517985829047644E-3</c:v>
                </c:pt>
                <c:pt idx="766">
                  <c:v>1.8757591788280833E-3</c:v>
                </c:pt>
                <c:pt idx="767">
                  <c:v>1.9758855826659785E-3</c:v>
                </c:pt>
                <c:pt idx="768">
                  <c:v>1.9353767164819039E-3</c:v>
                </c:pt>
                <c:pt idx="769">
                  <c:v>2.0736789837983169E-3</c:v>
                </c:pt>
                <c:pt idx="770">
                  <c:v>2.0985778546043642E-3</c:v>
                </c:pt>
                <c:pt idx="771">
                  <c:v>2.1610714814080697E-3</c:v>
                </c:pt>
                <c:pt idx="772">
                  <c:v>2.1414647406130679E-3</c:v>
                </c:pt>
                <c:pt idx="773">
                  <c:v>2.1624235944388017E-3</c:v>
                </c:pt>
                <c:pt idx="774">
                  <c:v>2.1034000238350494E-3</c:v>
                </c:pt>
                <c:pt idx="775">
                  <c:v>2.109746259286244E-3</c:v>
                </c:pt>
                <c:pt idx="776">
                  <c:v>2.1311947947266099E-3</c:v>
                </c:pt>
                <c:pt idx="777">
                  <c:v>2.0348723479946939E-3</c:v>
                </c:pt>
                <c:pt idx="778">
                  <c:v>1.9353767164819039E-3</c:v>
                </c:pt>
                <c:pt idx="779">
                  <c:v>1.9954375389899916E-3</c:v>
                </c:pt>
                <c:pt idx="780">
                  <c:v>2.0633597229444715E-3</c:v>
                </c:pt>
                <c:pt idx="781">
                  <c:v>2.0275360291307234E-3</c:v>
                </c:pt>
                <c:pt idx="782">
                  <c:v>1.9517985829047644E-3</c:v>
                </c:pt>
                <c:pt idx="783">
                  <c:v>1.9954375389899916E-3</c:v>
                </c:pt>
                <c:pt idx="784">
                  <c:v>1.9456737993403825E-3</c:v>
                </c:pt>
                <c:pt idx="785">
                  <c:v>1.9102220190335393E-3</c:v>
                </c:pt>
                <c:pt idx="786">
                  <c:v>1.9415682393493046E-3</c:v>
                </c:pt>
                <c:pt idx="787">
                  <c:v>1.9291458240787342E-3</c:v>
                </c:pt>
                <c:pt idx="788">
                  <c:v>1.92287607012287E-3</c:v>
                </c:pt>
                <c:pt idx="789">
                  <c:v>2.0050299411867581E-3</c:v>
                </c:pt>
                <c:pt idx="790">
                  <c:v>1.914456828465761E-3</c:v>
                </c:pt>
                <c:pt idx="791">
                  <c:v>1.8267840417939066E-3</c:v>
                </c:pt>
                <c:pt idx="792">
                  <c:v>1.8952705457351237E-3</c:v>
                </c:pt>
                <c:pt idx="793">
                  <c:v>1.8085546581486016E-3</c:v>
                </c:pt>
                <c:pt idx="794">
                  <c:v>1.7761583469600207E-3</c:v>
                </c:pt>
                <c:pt idx="795">
                  <c:v>1.8039643868155882E-3</c:v>
                </c:pt>
                <c:pt idx="796">
                  <c:v>1.8470306862203123E-3</c:v>
                </c:pt>
                <c:pt idx="797">
                  <c:v>1.914456828465761E-3</c:v>
                </c:pt>
                <c:pt idx="798">
                  <c:v>1.8514909850128481E-3</c:v>
                </c:pt>
                <c:pt idx="799">
                  <c:v>1.8735717915030889E-3</c:v>
                </c:pt>
                <c:pt idx="800">
                  <c:v>1.8267840417939066E-3</c:v>
                </c:pt>
                <c:pt idx="801">
                  <c:v>1.8039643868155882E-3</c:v>
                </c:pt>
                <c:pt idx="802">
                  <c:v>1.7738213594760614E-3</c:v>
                </c:pt>
                <c:pt idx="803">
                  <c:v>1.7264871431072325E-3</c:v>
                </c:pt>
                <c:pt idx="804">
                  <c:v>1.7096701611077486E-3</c:v>
                </c:pt>
                <c:pt idx="805">
                  <c:v>1.6756871540394374E-3</c:v>
                </c:pt>
                <c:pt idx="806">
                  <c:v>1.6412840053868347E-3</c:v>
                </c:pt>
                <c:pt idx="807">
                  <c:v>1.6511531897555264E-3</c:v>
                </c:pt>
                <c:pt idx="808">
                  <c:v>1.6065147699858584E-3</c:v>
                </c:pt>
                <c:pt idx="809">
                  <c:v>1.6264245923052832E-3</c:v>
                </c:pt>
                <c:pt idx="810">
                  <c:v>1.6214572457468113E-3</c:v>
                </c:pt>
                <c:pt idx="811">
                  <c:v>1.5990217522554044E-3</c:v>
                </c:pt>
                <c:pt idx="812">
                  <c:v>1.7000067659005739E-3</c:v>
                </c:pt>
                <c:pt idx="813">
                  <c:v>1.7691385350698877E-3</c:v>
                </c:pt>
                <c:pt idx="814">
                  <c:v>1.8952705457351237E-3</c:v>
                </c:pt>
                <c:pt idx="815">
                  <c:v>1.9456737993403825E-3</c:v>
                </c:pt>
                <c:pt idx="816">
                  <c:v>1.9395088040621263E-3</c:v>
                </c:pt>
                <c:pt idx="817">
                  <c:v>1.9778624288553262E-3</c:v>
                </c:pt>
                <c:pt idx="818">
                  <c:v>1.9798345121559914E-3</c:v>
                </c:pt>
                <c:pt idx="819">
                  <c:v>1.8779427261313587E-3</c:v>
                </c:pt>
                <c:pt idx="820">
                  <c:v>1.8669867831188328E-3</c:v>
                </c:pt>
                <c:pt idx="821">
                  <c:v>1.8581541882200102E-3</c:v>
                </c:pt>
                <c:pt idx="822">
                  <c:v>1.9186748961293682E-3</c:v>
                </c:pt>
                <c:pt idx="823">
                  <c:v>1.92287607012287E-3</c:v>
                </c:pt>
                <c:pt idx="824">
                  <c:v>1.9186748961293682E-3</c:v>
                </c:pt>
                <c:pt idx="825">
                  <c:v>1.7993612608995055E-3</c:v>
                </c:pt>
                <c:pt idx="826">
                  <c:v>1.8559367791639559E-3</c:v>
                </c:pt>
                <c:pt idx="827">
                  <c:v>1.7924328153754313E-3</c:v>
                </c:pt>
                <c:pt idx="828">
                  <c:v>1.7479237361073426E-3</c:v>
                </c:pt>
                <c:pt idx="829">
                  <c:v>1.7714814155717121E-3</c:v>
                </c:pt>
                <c:pt idx="830">
                  <c:v>1.8380672000459363E-3</c:v>
                </c:pt>
                <c:pt idx="831">
                  <c:v>1.8131319170043444E-3</c:v>
                </c:pt>
                <c:pt idx="832">
                  <c:v>1.750292153420261E-3</c:v>
                </c:pt>
                <c:pt idx="833">
                  <c:v>1.7479237361073426E-3</c:v>
                </c:pt>
                <c:pt idx="834">
                  <c:v>1.7408021343373E-3</c:v>
                </c:pt>
                <c:pt idx="835">
                  <c:v>1.6951609407766337E-3</c:v>
                </c:pt>
                <c:pt idx="836">
                  <c:v>1.6878749894784402E-3</c:v>
                </c:pt>
                <c:pt idx="837">
                  <c:v>1.6903059086548519E-3</c:v>
                </c:pt>
                <c:pt idx="838">
                  <c:v>1.8039643868155882E-3</c:v>
                </c:pt>
                <c:pt idx="839">
                  <c:v>1.8403133837522805E-3</c:v>
                </c:pt>
                <c:pt idx="840">
                  <c:v>1.849262638934128E-3</c:v>
                </c:pt>
                <c:pt idx="841">
                  <c:v>1.7691385350698877E-3</c:v>
                </c:pt>
                <c:pt idx="842">
                  <c:v>1.8267840417939066E-3</c:v>
                </c:pt>
                <c:pt idx="843">
                  <c:v>1.8245170995868309E-3</c:v>
                </c:pt>
                <c:pt idx="844">
                  <c:v>1.8108449239994827E-3</c:v>
                </c:pt>
                <c:pt idx="845">
                  <c:v>1.8016644208071464E-3</c:v>
                </c:pt>
                <c:pt idx="846">
                  <c:v>1.8199730618256287E-3</c:v>
                </c:pt>
                <c:pt idx="847">
                  <c:v>1.8358175075412972E-3</c:v>
                </c:pt>
                <c:pt idx="848">
                  <c:v>1.8779427261313587E-3</c:v>
                </c:pt>
                <c:pt idx="849">
                  <c:v>2.0293779894825911E-3</c:v>
                </c:pt>
                <c:pt idx="850">
                  <c:v>2.0012078994689924E-3</c:v>
                </c:pt>
                <c:pt idx="851">
                  <c:v>2.0821228251107771E-3</c:v>
                </c:pt>
                <c:pt idx="852">
                  <c:v>2.0293779894825911E-3</c:v>
                </c:pt>
                <c:pt idx="853">
                  <c:v>1.9659305469550891E-3</c:v>
                </c:pt>
                <c:pt idx="854">
                  <c:v>1.9876748532502023E-3</c:v>
                </c:pt>
                <c:pt idx="855">
                  <c:v>2.0012078994689924E-3</c:v>
                </c:pt>
                <c:pt idx="856">
                  <c:v>1.9080983837188891E-3</c:v>
                </c:pt>
                <c:pt idx="857">
                  <c:v>1.880122414065648E-3</c:v>
                </c:pt>
                <c:pt idx="858">
                  <c:v>1.8844701345232433E-3</c:v>
                </c:pt>
                <c:pt idx="859">
                  <c:v>1.8822982233006348E-3</c:v>
                </c:pt>
                <c:pt idx="860">
                  <c:v>1.8691855742600859E-3</c:v>
                </c:pt>
                <c:pt idx="861">
                  <c:v>1.8888021857668951E-3</c:v>
                </c:pt>
                <c:pt idx="862">
                  <c:v>1.8669867831188328E-3</c:v>
                </c:pt>
                <c:pt idx="863">
                  <c:v>1.8380672000459363E-3</c:v>
                </c:pt>
                <c:pt idx="864">
                  <c:v>1.7644440435841534E-3</c:v>
                </c:pt>
                <c:pt idx="865">
                  <c:v>1.7431787067159132E-3</c:v>
                </c:pt>
                <c:pt idx="866">
                  <c:v>1.7597380436730583E-3</c:v>
                </c:pt>
                <c:pt idx="867">
                  <c:v>1.7597380436730583E-3</c:v>
                </c:pt>
                <c:pt idx="868">
                  <c:v>1.6975850141175339E-3</c:v>
                </c:pt>
                <c:pt idx="869">
                  <c:v>1.7120800078068443E-3</c:v>
                </c:pt>
                <c:pt idx="870">
                  <c:v>1.7120800078068443E-3</c:v>
                </c:pt>
                <c:pt idx="871">
                  <c:v>1.7360409734682801E-3</c:v>
                </c:pt>
                <c:pt idx="872">
                  <c:v>1.7240922370112303E-3</c:v>
                </c:pt>
                <c:pt idx="873">
                  <c:v>1.7854763363817786E-3</c:v>
                </c:pt>
                <c:pt idx="874">
                  <c:v>1.7573807776506635E-3</c:v>
                </c:pt>
                <c:pt idx="875">
                  <c:v>1.7738213594760614E-3</c:v>
                </c:pt>
                <c:pt idx="876">
                  <c:v>1.7192948255446473E-3</c:v>
                </c:pt>
                <c:pt idx="877">
                  <c:v>1.7024261763115799E-3</c:v>
                </c:pt>
                <c:pt idx="878">
                  <c:v>1.6732430774757741E-3</c:v>
                </c:pt>
                <c:pt idx="879">
                  <c:v>1.6878749894784402E-3</c:v>
                </c:pt>
                <c:pt idx="880">
                  <c:v>1.6878749894784402E-3</c:v>
                </c:pt>
                <c:pt idx="881">
                  <c:v>1.656076183078898E-3</c:v>
                </c:pt>
                <c:pt idx="882">
                  <c:v>1.6388119911254417E-3</c:v>
                </c:pt>
                <c:pt idx="883">
                  <c:v>1.6338624382665468E-3</c:v>
                </c:pt>
                <c:pt idx="884">
                  <c:v>1.6412840053868347E-3</c:v>
                </c:pt>
                <c:pt idx="885">
                  <c:v>1.6289056503859581E-3</c:v>
                </c:pt>
                <c:pt idx="886">
                  <c:v>1.6338624382665468E-3</c:v>
                </c:pt>
                <c:pt idx="887">
                  <c:v>1.4776069072222611E-3</c:v>
                </c:pt>
                <c:pt idx="888">
                  <c:v>1.5764618762748807E-3</c:v>
                </c:pt>
                <c:pt idx="889">
                  <c:v>1.5940186972499104E-3</c:v>
                </c:pt>
                <c:pt idx="890">
                  <c:v>1.5940186972499104E-3</c:v>
                </c:pt>
                <c:pt idx="891">
                  <c:v>1.5512666228322265E-3</c:v>
                </c:pt>
                <c:pt idx="892">
                  <c:v>1.5588383484977486E-3</c:v>
                </c:pt>
                <c:pt idx="893">
                  <c:v>1.4622864045026438E-3</c:v>
                </c:pt>
                <c:pt idx="894">
                  <c:v>1.482708942972648E-3</c:v>
                </c:pt>
                <c:pt idx="895">
                  <c:v>1.4392721740064478E-3</c:v>
                </c:pt>
                <c:pt idx="896">
                  <c:v>1.4162295342761055E-3</c:v>
                </c:pt>
                <c:pt idx="897">
                  <c:v>1.4239127605803288E-3</c:v>
                </c:pt>
                <c:pt idx="898">
                  <c:v>1.4495050114835383E-3</c:v>
                </c:pt>
                <c:pt idx="899">
                  <c:v>1.3496210188883476E-3</c:v>
                </c:pt>
                <c:pt idx="900">
                  <c:v>1.4008584493020954E-3</c:v>
                </c:pt>
                <c:pt idx="901">
                  <c:v>1.3624258874740845E-3</c:v>
                </c:pt>
                <c:pt idx="902">
                  <c:v>1.380359663275203E-3</c:v>
                </c:pt>
                <c:pt idx="903">
                  <c:v>1.3880467621197531E-3</c:v>
                </c:pt>
                <c:pt idx="904">
                  <c:v>1.3675491948668286E-3</c:v>
                </c:pt>
                <c:pt idx="905">
                  <c:v>1.4111064072574303E-3</c:v>
                </c:pt>
                <c:pt idx="906">
                  <c:v>1.3624258874740845E-3</c:v>
                </c:pt>
                <c:pt idx="907">
                  <c:v>1.3573032889359299E-3</c:v>
                </c:pt>
                <c:pt idx="908">
                  <c:v>1.4495050114835383E-3</c:v>
                </c:pt>
                <c:pt idx="909">
                  <c:v>1.5588383484977486E-3</c:v>
                </c:pt>
                <c:pt idx="910">
                  <c:v>1.5714331003436515E-3</c:v>
                </c:pt>
                <c:pt idx="911">
                  <c:v>1.5638800637594421E-3</c:v>
                </c:pt>
                <c:pt idx="912">
                  <c:v>1.618970996386348E-3</c:v>
                </c:pt>
                <c:pt idx="913">
                  <c:v>1.5386239470718877E-3</c:v>
                </c:pt>
                <c:pt idx="914">
                  <c:v>1.5386239470718877E-3</c:v>
                </c:pt>
                <c:pt idx="915">
                  <c:v>1.4392721740064478E-3</c:v>
                </c:pt>
                <c:pt idx="916">
                  <c:v>1.6065147699858584E-3</c:v>
                </c:pt>
                <c:pt idx="917">
                  <c:v>1.5965209827885278E-3</c:v>
                </c:pt>
                <c:pt idx="918">
                  <c:v>1.464841213845378E-3</c:v>
                </c:pt>
                <c:pt idx="919">
                  <c:v>1.4469473912217916E-3</c:v>
                </c:pt>
                <c:pt idx="920">
                  <c:v>1.3291477441709464E-3</c:v>
                </c:pt>
                <c:pt idx="921">
                  <c:v>1.2933856664641616E-3</c:v>
                </c:pt>
                <c:pt idx="922">
                  <c:v>1.3368227070145098E-3</c:v>
                </c:pt>
                <c:pt idx="923">
                  <c:v>1.3982962078987323E-3</c:v>
                </c:pt>
                <c:pt idx="924">
                  <c:v>1.3675491948668286E-3</c:v>
                </c:pt>
                <c:pt idx="925">
                  <c:v>1.4059826650872464E-3</c:v>
                </c:pt>
                <c:pt idx="926">
                  <c:v>1.4008584493020954E-3</c:v>
                </c:pt>
                <c:pt idx="927">
                  <c:v>1.3624258874740845E-3</c:v>
                </c:pt>
                <c:pt idx="928">
                  <c:v>1.3854843681536885E-3</c:v>
                </c:pt>
                <c:pt idx="929">
                  <c:v>1.4213519041170813E-3</c:v>
                </c:pt>
                <c:pt idx="930">
                  <c:v>1.4085446042086973E-3</c:v>
                </c:pt>
                <c:pt idx="931">
                  <c:v>1.3726730739729413E-3</c:v>
                </c:pt>
                <c:pt idx="932">
                  <c:v>1.3342640171708528E-3</c:v>
                </c:pt>
                <c:pt idx="933">
                  <c:v>1.3138089770364217E-3</c:v>
                </c:pt>
                <c:pt idx="934">
                  <c:v>1.3547422981954574E-3</c:v>
                </c:pt>
                <c:pt idx="935">
                  <c:v>1.4187908227394062E-3</c:v>
                </c:pt>
                <c:pt idx="936">
                  <c:v>1.5462129270622201E-3</c:v>
                </c:pt>
                <c:pt idx="937">
                  <c:v>1.5259544180855375E-3</c:v>
                </c:pt>
                <c:pt idx="938">
                  <c:v>1.464841213845378E-3</c:v>
                </c:pt>
                <c:pt idx="939">
                  <c:v>1.429033727299263E-3</c:v>
                </c:pt>
                <c:pt idx="940">
                  <c:v>1.4264733742704956E-3</c:v>
                </c:pt>
                <c:pt idx="941">
                  <c:v>1.4776069072222611E-3</c:v>
                </c:pt>
                <c:pt idx="942">
                  <c:v>1.4034206075697964E-3</c:v>
                </c:pt>
                <c:pt idx="943">
                  <c:v>1.3675491948668286E-3</c:v>
                </c:pt>
                <c:pt idx="944">
                  <c:v>1.3906091605493831E-3</c:v>
                </c:pt>
                <c:pt idx="945">
                  <c:v>1.3649874611222814E-3</c:v>
                </c:pt>
                <c:pt idx="946">
                  <c:v>1.3342640171708528E-3</c:v>
                </c:pt>
                <c:pt idx="947">
                  <c:v>1.5436843728566594E-3</c:v>
                </c:pt>
                <c:pt idx="948">
                  <c:v>1.6486887638721788E-3</c:v>
                </c:pt>
                <c:pt idx="949">
                  <c:v>1.6854418279525804E-3</c:v>
                </c:pt>
                <c:pt idx="950">
                  <c:v>1.6338624382665468E-3</c:v>
                </c:pt>
                <c:pt idx="951">
                  <c:v>1.7264871431072325E-3</c:v>
                </c:pt>
                <c:pt idx="952">
                  <c:v>1.7192948255446473E-3</c:v>
                </c:pt>
                <c:pt idx="953">
                  <c:v>1.6338624382665468E-3</c:v>
                </c:pt>
                <c:pt idx="954">
                  <c:v>1.6903059086548519E-3</c:v>
                </c:pt>
                <c:pt idx="955">
                  <c:v>1.7714814155717121E-3</c:v>
                </c:pt>
                <c:pt idx="956">
                  <c:v>1.7384228833043894E-3</c:v>
                </c:pt>
                <c:pt idx="957">
                  <c:v>1.6951609407766337E-3</c:v>
                </c:pt>
                <c:pt idx="958">
                  <c:v>1.6951609407766337E-3</c:v>
                </c:pt>
                <c:pt idx="959">
                  <c:v>1.6683485729666807E-3</c:v>
                </c:pt>
                <c:pt idx="960">
                  <c:v>1.6732430774757741E-3</c:v>
                </c:pt>
                <c:pt idx="961">
                  <c:v>1.7240922370112303E-3</c:v>
                </c:pt>
                <c:pt idx="962">
                  <c:v>1.7526578126796342E-3</c:v>
                </c:pt>
                <c:pt idx="963">
                  <c:v>1.6805688570015367E-3</c:v>
                </c:pt>
                <c:pt idx="964">
                  <c:v>1.7360409734682801E-3</c:v>
                </c:pt>
                <c:pt idx="965">
                  <c:v>1.6854418279525804E-3</c:v>
                </c:pt>
                <c:pt idx="966">
                  <c:v>1.6388119911254417E-3</c:v>
                </c:pt>
                <c:pt idx="967">
                  <c:v>1.5814852070053606E-3</c:v>
                </c:pt>
                <c:pt idx="968">
                  <c:v>1.5764618762748807E-3</c:v>
                </c:pt>
                <c:pt idx="969">
                  <c:v>1.5462129270622201E-3</c:v>
                </c:pt>
                <c:pt idx="970">
                  <c:v>1.4852589781211613E-3</c:v>
                </c:pt>
                <c:pt idx="971">
                  <c:v>1.5005442627571621E-3</c:v>
                </c:pt>
                <c:pt idx="972">
                  <c:v>1.4239127605803288E-3</c:v>
                </c:pt>
                <c:pt idx="973">
                  <c:v>1.3649874611222814E-3</c:v>
                </c:pt>
                <c:pt idx="974">
                  <c:v>1.3368227070145098E-3</c:v>
                </c:pt>
                <c:pt idx="975">
                  <c:v>1.3240330579553385E-3</c:v>
                </c:pt>
                <c:pt idx="976">
                  <c:v>1.3240330579553385E-3</c:v>
                </c:pt>
                <c:pt idx="977">
                  <c:v>1.316364294489718E-3</c:v>
                </c:pt>
                <c:pt idx="978">
                  <c:v>1.28828577696545E-3</c:v>
                </c:pt>
                <c:pt idx="979">
                  <c:v>1.2679138340946209E-3</c:v>
                </c:pt>
                <c:pt idx="980">
                  <c:v>1.2780940271578255E-3</c:v>
                </c:pt>
                <c:pt idx="981">
                  <c:v>1.2984880608905458E-3</c:v>
                </c:pt>
                <c:pt idx="982">
                  <c:v>1.2602868829498239E-3</c:v>
                </c:pt>
                <c:pt idx="983">
                  <c:v>1.2425205325816639E-3</c:v>
                </c:pt>
                <c:pt idx="984">
                  <c:v>1.2984880608905458E-3</c:v>
                </c:pt>
                <c:pt idx="985">
                  <c:v>1.2526674257513019E-3</c:v>
                </c:pt>
                <c:pt idx="986">
                  <c:v>1.2450558827247487E-3</c:v>
                </c:pt>
                <c:pt idx="987">
                  <c:v>1.2780940271578255E-3</c:v>
                </c:pt>
                <c:pt idx="988">
                  <c:v>1.2602868829498239E-3</c:v>
                </c:pt>
                <c:pt idx="989">
                  <c:v>1.2071313572905736E-3</c:v>
                </c:pt>
                <c:pt idx="990">
                  <c:v>1.2577462104040812E-3</c:v>
                </c:pt>
                <c:pt idx="991">
                  <c:v>1.3496210188883476E-3</c:v>
                </c:pt>
                <c:pt idx="992">
                  <c:v>1.3496210188883476E-3</c:v>
                </c:pt>
                <c:pt idx="993">
                  <c:v>1.2857368118241288E-3</c:v>
                </c:pt>
                <c:pt idx="994">
                  <c:v>1.2933856664641616E-3</c:v>
                </c:pt>
                <c:pt idx="995">
                  <c:v>1.2679138340946209E-3</c:v>
                </c:pt>
                <c:pt idx="996">
                  <c:v>1.204611713000573E-3</c:v>
                </c:pt>
                <c:pt idx="997">
                  <c:v>1.1519909578239272E-3</c:v>
                </c:pt>
                <c:pt idx="998">
                  <c:v>1.1594716592992517E-3</c:v>
                </c:pt>
                <c:pt idx="999">
                  <c:v>1.1594716592992517E-3</c:v>
                </c:pt>
                <c:pt idx="1000">
                  <c:v>1.2450558827247487E-3</c:v>
                </c:pt>
                <c:pt idx="1001">
                  <c:v>1.1794818383838682E-3</c:v>
                </c:pt>
                <c:pt idx="1002">
                  <c:v>1.2755478557194759E-3</c:v>
                </c:pt>
                <c:pt idx="1003">
                  <c:v>1.2857368118241288E-3</c:v>
                </c:pt>
                <c:pt idx="1004">
                  <c:v>1.3086998464514343E-3</c:v>
                </c:pt>
                <c:pt idx="1005">
                  <c:v>1.2755478557194759E-3</c:v>
                </c:pt>
                <c:pt idx="1006">
                  <c:v>1.2071313572905736E-3</c:v>
                </c:pt>
                <c:pt idx="1007">
                  <c:v>1.1794818383838682E-3</c:v>
                </c:pt>
                <c:pt idx="1008">
                  <c:v>1.1794818383838682E-3</c:v>
                </c:pt>
                <c:pt idx="1009">
                  <c:v>1.22480028658601E-3</c:v>
                </c:pt>
                <c:pt idx="1010">
                  <c:v>1.2273287289548188E-3</c:v>
                </c:pt>
                <c:pt idx="1011">
                  <c:v>1.2273287289548188E-3</c:v>
                </c:pt>
                <c:pt idx="1012">
                  <c:v>1.2323886957009325E-3</c:v>
                </c:pt>
                <c:pt idx="1013">
                  <c:v>1.2349201898085222E-3</c:v>
                </c:pt>
                <c:pt idx="1014">
                  <c:v>1.2172213042403292E-3</c:v>
                </c:pt>
                <c:pt idx="1015">
                  <c:v>1.2172213042403292E-3</c:v>
                </c:pt>
                <c:pt idx="1016">
                  <c:v>1.194544947679646E-3</c:v>
                </c:pt>
                <c:pt idx="1017">
                  <c:v>1.1819891615450497E-3</c:v>
                </c:pt>
                <c:pt idx="1018">
                  <c:v>1.229858203697825E-3</c:v>
                </c:pt>
                <c:pt idx="1019">
                  <c:v>1.1744711408155854E-3</c:v>
                </c:pt>
                <c:pt idx="1020">
                  <c:v>1.194544947679646E-3</c:v>
                </c:pt>
                <c:pt idx="1021">
                  <c:v>1.2323886957009325E-3</c:v>
                </c:pt>
                <c:pt idx="1022">
                  <c:v>1.2374526708235707E-3</c:v>
                </c:pt>
                <c:pt idx="1023">
                  <c:v>1.2273287289548188E-3</c:v>
                </c:pt>
                <c:pt idx="1024">
                  <c:v>1.2679138340946209E-3</c:v>
                </c:pt>
                <c:pt idx="1025">
                  <c:v>1.2806409209415242E-3</c:v>
                </c:pt>
                <c:pt idx="1026">
                  <c:v>1.3086998464514343E-3</c:v>
                </c:pt>
                <c:pt idx="1027">
                  <c:v>1.3214763514566876E-3</c:v>
                </c:pt>
                <c:pt idx="1028">
                  <c:v>1.1197317692809186E-3</c:v>
                </c:pt>
                <c:pt idx="1029">
                  <c:v>1.2450558827247487E-3</c:v>
                </c:pt>
                <c:pt idx="1030">
                  <c:v>1.3086998464514343E-3</c:v>
                </c:pt>
                <c:pt idx="1031">
                  <c:v>1.2908354005372335E-3</c:v>
                </c:pt>
                <c:pt idx="1032">
                  <c:v>1.3291477441709464E-3</c:v>
                </c:pt>
                <c:pt idx="1033">
                  <c:v>1.4136680565259364E-3</c:v>
                </c:pt>
                <c:pt idx="1034">
                  <c:v>1.4571752617874136E-3</c:v>
                </c:pt>
                <c:pt idx="1035">
                  <c:v>1.464841213845378E-3</c:v>
                </c:pt>
                <c:pt idx="1036">
                  <c:v>1.5663990333326038E-3</c:v>
                </c:pt>
                <c:pt idx="1037">
                  <c:v>1.5107188715567032E-3</c:v>
                </c:pt>
                <c:pt idx="1038">
                  <c:v>1.6437541520291175E-3</c:v>
                </c:pt>
                <c:pt idx="1039">
                  <c:v>1.6412840053868347E-3</c:v>
                </c:pt>
                <c:pt idx="1040">
                  <c:v>1.5462129270622201E-3</c:v>
                </c:pt>
                <c:pt idx="1041">
                  <c:v>1.5689167186012736E-3</c:v>
                </c:pt>
                <c:pt idx="1042">
                  <c:v>1.5436843728566594E-3</c:v>
                </c:pt>
                <c:pt idx="1043">
                  <c:v>1.5436843728566594E-3</c:v>
                </c:pt>
                <c:pt idx="1044">
                  <c:v>1.5739481593204012E-3</c:v>
                </c:pt>
                <c:pt idx="1045">
                  <c:v>1.4801582465092647E-3</c:v>
                </c:pt>
                <c:pt idx="1046">
                  <c:v>1.5335592249130024E-3</c:v>
                </c:pt>
                <c:pt idx="1047">
                  <c:v>1.5613598290858152E-3</c:v>
                </c:pt>
                <c:pt idx="1048">
                  <c:v>1.5208796186691905E-3</c:v>
                </c:pt>
                <c:pt idx="1049">
                  <c:v>1.5234174985977061E-3</c:v>
                </c:pt>
                <c:pt idx="1050">
                  <c:v>1.4162295342761055E-3</c:v>
                </c:pt>
                <c:pt idx="1051">
                  <c:v>1.4776069072222611E-3</c:v>
                </c:pt>
                <c:pt idx="1052">
                  <c:v>1.4341535796721543E-3</c:v>
                </c:pt>
                <c:pt idx="1053">
                  <c:v>1.4725023740157787E-3</c:v>
                </c:pt>
                <c:pt idx="1054">
                  <c:v>1.5890096555492051E-3</c:v>
                </c:pt>
                <c:pt idx="1055">
                  <c:v>1.6462224114088062E-3</c:v>
                </c:pt>
                <c:pt idx="1056">
                  <c:v>1.6462224114088062E-3</c:v>
                </c:pt>
                <c:pt idx="1057">
                  <c:v>1.5487403500784602E-3</c:v>
                </c:pt>
                <c:pt idx="1058">
                  <c:v>1.5487403500784602E-3</c:v>
                </c:pt>
                <c:pt idx="1059">
                  <c:v>1.6065147699858584E-3</c:v>
                </c:pt>
                <c:pt idx="1060">
                  <c:v>1.6313849389025525E-3</c:v>
                </c:pt>
                <c:pt idx="1061">
                  <c:v>1.5613598290858152E-3</c:v>
                </c:pt>
                <c:pt idx="1062">
                  <c:v>1.5537917262309817E-3</c:v>
                </c:pt>
                <c:pt idx="1063">
                  <c:v>1.6634457315749477E-3</c:v>
                </c:pt>
                <c:pt idx="1064">
                  <c:v>1.7144874140038169E-3</c:v>
                </c:pt>
                <c:pt idx="1065">
                  <c:v>1.6830064438659968E-3</c:v>
                </c:pt>
                <c:pt idx="1066">
                  <c:v>1.7024261763115799E-3</c:v>
                </c:pt>
                <c:pt idx="1067">
                  <c:v>1.6264245923052832E-3</c:v>
                </c:pt>
                <c:pt idx="1068">
                  <c:v>1.5512666228322265E-3</c:v>
                </c:pt>
                <c:pt idx="1069">
                  <c:v>1.4954521348683454E-3</c:v>
                </c:pt>
                <c:pt idx="1070">
                  <c:v>1.5764618762748807E-3</c:v>
                </c:pt>
                <c:pt idx="1071">
                  <c:v>1.5764618762748807E-3</c:v>
                </c:pt>
                <c:pt idx="1072">
                  <c:v>1.5764618762748807E-3</c:v>
                </c:pt>
                <c:pt idx="1073">
                  <c:v>1.4699492169515627E-3</c:v>
                </c:pt>
                <c:pt idx="1074">
                  <c:v>1.528490358244176E-3</c:v>
                </c:pt>
                <c:pt idx="1075">
                  <c:v>1.4979985852035321E-3</c:v>
                </c:pt>
                <c:pt idx="1076">
                  <c:v>1.5360921135400042E-3</c:v>
                </c:pt>
                <c:pt idx="1077">
                  <c:v>1.5208796186691905E-3</c:v>
                </c:pt>
                <c:pt idx="1078">
                  <c:v>1.6214572457468113E-3</c:v>
                </c:pt>
                <c:pt idx="1079">
                  <c:v>1.7192948255446473E-3</c:v>
                </c:pt>
                <c:pt idx="1080">
                  <c:v>1.7240922370112303E-3</c:v>
                </c:pt>
                <c:pt idx="1081">
                  <c:v>1.7597380436730583E-3</c:v>
                </c:pt>
                <c:pt idx="1082">
                  <c:v>1.7691385350698877E-3</c:v>
                </c:pt>
                <c:pt idx="1083">
                  <c:v>1.7761583469600207E-3</c:v>
                </c:pt>
                <c:pt idx="1084">
                  <c:v>1.8713805835203149E-3</c:v>
                </c:pt>
                <c:pt idx="1085">
                  <c:v>1.9456737993403825E-3</c:v>
                </c:pt>
                <c:pt idx="1086">
                  <c:v>2.0144969808995696E-3</c:v>
                </c:pt>
                <c:pt idx="1087">
                  <c:v>1.9896228499632928E-3</c:v>
                </c:pt>
                <c:pt idx="1088">
                  <c:v>1.92287607012287E-3</c:v>
                </c:pt>
                <c:pt idx="1089">
                  <c:v>1.9415682393493046E-3</c:v>
                </c:pt>
                <c:pt idx="1090">
                  <c:v>2.0182482001219115E-3</c:v>
                </c:pt>
                <c:pt idx="1091">
                  <c:v>2.0201161115958044E-3</c:v>
                </c:pt>
                <c:pt idx="1092">
                  <c:v>2.1081686740072767E-3</c:v>
                </c:pt>
                <c:pt idx="1093">
                  <c:v>2.0457176682317896E-3</c:v>
                </c:pt>
                <c:pt idx="1094">
                  <c:v>1.9876748532502023E-3</c:v>
                </c:pt>
                <c:pt idx="1095">
                  <c:v>2.0256888438148998E-3</c:v>
                </c:pt>
                <c:pt idx="1096">
                  <c:v>2.0126137082202796E-3</c:v>
                </c:pt>
                <c:pt idx="1097">
                  <c:v>2.0163751507176375E-3</c:v>
                </c:pt>
                <c:pt idx="1098">
                  <c:v>1.9599015411960389E-3</c:v>
                </c:pt>
                <c:pt idx="1099">
                  <c:v>2.0492897868117262E-3</c:v>
                </c:pt>
                <c:pt idx="1100">
                  <c:v>1.9973659417513168E-3</c:v>
                </c:pt>
                <c:pt idx="1101">
                  <c:v>1.9699266490636747E-3</c:v>
                </c:pt>
                <c:pt idx="1102">
                  <c:v>2.0144969808995696E-3</c:v>
                </c:pt>
                <c:pt idx="1103">
                  <c:v>1.9679309337673296E-3</c:v>
                </c:pt>
                <c:pt idx="1104">
                  <c:v>1.9619158322634429E-3</c:v>
                </c:pt>
                <c:pt idx="1105">
                  <c:v>1.8669867831188328E-3</c:v>
                </c:pt>
                <c:pt idx="1106">
                  <c:v>1.8581541882200102E-3</c:v>
                </c:pt>
                <c:pt idx="1107">
                  <c:v>1.8016644208071464E-3</c:v>
                </c:pt>
                <c:pt idx="1108">
                  <c:v>1.7924328153754313E-3</c:v>
                </c:pt>
                <c:pt idx="1109">
                  <c:v>1.7784923582047404E-3</c:v>
                </c:pt>
                <c:pt idx="1110">
                  <c:v>1.8358175075412972E-3</c:v>
                </c:pt>
                <c:pt idx="1111">
                  <c:v>1.7993612608995055E-3</c:v>
                </c:pt>
                <c:pt idx="1112">
                  <c:v>1.7431787067159132E-3</c:v>
                </c:pt>
                <c:pt idx="1113">
                  <c:v>1.7168923598626586E-3</c:v>
                </c:pt>
                <c:pt idx="1114">
                  <c:v>1.7240922370112303E-3</c:v>
                </c:pt>
                <c:pt idx="1115">
                  <c:v>1.7526578126796342E-3</c:v>
                </c:pt>
                <c:pt idx="1116">
                  <c:v>1.8222467663742657E-3</c:v>
                </c:pt>
                <c:pt idx="1117">
                  <c:v>1.8016644208071464E-3</c:v>
                </c:pt>
                <c:pt idx="1118">
                  <c:v>1.8995627501868727E-3</c:v>
                </c:pt>
                <c:pt idx="1119">
                  <c:v>1.9619158322634429E-3</c:v>
                </c:pt>
                <c:pt idx="1120">
                  <c:v>2.0144969808995696E-3</c:v>
                </c:pt>
                <c:pt idx="1121">
                  <c:v>2.0144969808995696E-3</c:v>
                </c:pt>
                <c:pt idx="1122">
                  <c:v>2.0012078994689924E-3</c:v>
                </c:pt>
                <c:pt idx="1123">
                  <c:v>2.0312147075755584E-3</c:v>
                </c:pt>
                <c:pt idx="1124">
                  <c:v>2.0837944308023022E-3</c:v>
                </c:pt>
                <c:pt idx="1125">
                  <c:v>2.0238364508676867E-3</c:v>
                </c:pt>
                <c:pt idx="1126">
                  <c:v>2.0182482001219115E-3</c:v>
                </c:pt>
                <c:pt idx="1127">
                  <c:v>2.0219788676589918E-3</c:v>
                </c:pt>
                <c:pt idx="1128">
                  <c:v>1.9915659751492303E-3</c:v>
                </c:pt>
                <c:pt idx="1129">
                  <c:v>2.0088319246666458E-3</c:v>
                </c:pt>
                <c:pt idx="1130">
                  <c:v>2.1356337817479152E-3</c:v>
                </c:pt>
                <c:pt idx="1131">
                  <c:v>2.0821228251107771E-3</c:v>
                </c:pt>
                <c:pt idx="1132">
                  <c:v>2.059875287143131E-3</c:v>
                </c:pt>
                <c:pt idx="1133">
                  <c:v>2.1597128606985505E-3</c:v>
                </c:pt>
                <c:pt idx="1134">
                  <c:v>2.1794029022597018E-3</c:v>
                </c:pt>
                <c:pt idx="1135">
                  <c:v>2.263392660425917E-3</c:v>
                </c:pt>
                <c:pt idx="1136">
                  <c:v>2.286127562156163E-3</c:v>
                </c:pt>
                <c:pt idx="1137">
                  <c:v>2.2852891704000255E-3</c:v>
                </c:pt>
                <c:pt idx="1138">
                  <c:v>2.2843144929099671E-3</c:v>
                </c:pt>
                <c:pt idx="1139">
                  <c:v>2.289094128810162E-3</c:v>
                </c:pt>
                <c:pt idx="1140">
                  <c:v>2.2850268990622868E-3</c:v>
                </c:pt>
                <c:pt idx="1141">
                  <c:v>2.283108081512233E-3</c:v>
                </c:pt>
                <c:pt idx="1142">
                  <c:v>2.2863555521318276E-3</c:v>
                </c:pt>
                <c:pt idx="1143">
                  <c:v>2.2875604075069597E-3</c:v>
                </c:pt>
                <c:pt idx="1144">
                  <c:v>2.288208179932113E-3</c:v>
                </c:pt>
                <c:pt idx="1145">
                  <c:v>2.2893473656647218E-3</c:v>
                </c:pt>
                <c:pt idx="1146">
                  <c:v>2.2850268990622868E-3</c:v>
                </c:pt>
                <c:pt idx="1147">
                  <c:v>2.2893812652391185E-3</c:v>
                </c:pt>
                <c:pt idx="1148">
                  <c:v>2.2844791128659248E-3</c:v>
                </c:pt>
                <c:pt idx="1149">
                  <c:v>2.2693503769284015E-3</c:v>
                </c:pt>
                <c:pt idx="1150">
                  <c:v>2.2844791128659248E-3</c:v>
                </c:pt>
                <c:pt idx="1151">
                  <c:v>2.2730695864630343E-3</c:v>
                </c:pt>
                <c:pt idx="1152">
                  <c:v>2.2839003540636692E-3</c:v>
                </c:pt>
                <c:pt idx="1153">
                  <c:v>2.2805428412595312E-3</c:v>
                </c:pt>
                <c:pt idx="1154">
                  <c:v>2.2848712617599817E-3</c:v>
                </c:pt>
                <c:pt idx="1155">
                  <c:v>2.2895648373872238E-3</c:v>
                </c:pt>
                <c:pt idx="1156">
                  <c:v>2.2817780046270474E-3</c:v>
                </c:pt>
                <c:pt idx="1157">
                  <c:v>2.2732809295603388E-3</c:v>
                </c:pt>
                <c:pt idx="1158">
                  <c:v>2.2787477420664047E-3</c:v>
                </c:pt>
                <c:pt idx="1159">
                  <c:v>2.2892103438009546E-3</c:v>
                </c:pt>
                <c:pt idx="1160">
                  <c:v>2.2886123124647027E-3</c:v>
                </c:pt>
                <c:pt idx="1161">
                  <c:v>2.2832906462640001E-3</c:v>
                </c:pt>
                <c:pt idx="1162">
                  <c:v>2.2844791128659248E-3</c:v>
                </c:pt>
                <c:pt idx="1163">
                  <c:v>2.2865757797936627E-3</c:v>
                </c:pt>
                <c:pt idx="1164">
                  <c:v>2.2887314543628889E-3</c:v>
                </c:pt>
                <c:pt idx="1165">
                  <c:v>2.2881459950200417E-3</c:v>
                </c:pt>
                <c:pt idx="1166">
                  <c:v>2.2885599368619078E-3</c:v>
                </c:pt>
                <c:pt idx="1167">
                  <c:v>2.2895648373872238E-3</c:v>
                </c:pt>
                <c:pt idx="1168">
                  <c:v>2.2801646635150614E-3</c:v>
                </c:pt>
                <c:pt idx="1169">
                  <c:v>2.2864842048363684E-3</c:v>
                </c:pt>
                <c:pt idx="1170">
                  <c:v>2.2735704362138072E-3</c:v>
                </c:pt>
                <c:pt idx="1171">
                  <c:v>2.2384292273661525E-3</c:v>
                </c:pt>
                <c:pt idx="1172">
                  <c:v>2.2443966533215618E-3</c:v>
                </c:pt>
                <c:pt idx="1173">
                  <c:v>2.2321052570229843E-3</c:v>
                </c:pt>
                <c:pt idx="1174">
                  <c:v>2.1964236239381115E-3</c:v>
                </c:pt>
                <c:pt idx="1175">
                  <c:v>2.2152821608121681E-3</c:v>
                </c:pt>
                <c:pt idx="1176">
                  <c:v>2.2264032868441418E-3</c:v>
                </c:pt>
                <c:pt idx="1177">
                  <c:v>2.2224587278647256E-3</c:v>
                </c:pt>
                <c:pt idx="1178">
                  <c:v>2.2131681557798289E-3</c:v>
                </c:pt>
                <c:pt idx="1179">
                  <c:v>2.2234555671117192E-3</c:v>
                </c:pt>
                <c:pt idx="1180">
                  <c:v>2.275497464522571E-3</c:v>
                </c:pt>
                <c:pt idx="1181">
                  <c:v>2.2812760838271592E-3</c:v>
                </c:pt>
                <c:pt idx="1182">
                  <c:v>2.2887969763605823E-3</c:v>
                </c:pt>
                <c:pt idx="1183">
                  <c:v>2.288903815841254E-3</c:v>
                </c:pt>
                <c:pt idx="1184">
                  <c:v>2.2730695864630343E-3</c:v>
                </c:pt>
                <c:pt idx="1185">
                  <c:v>2.2204437101512433E-3</c:v>
                </c:pt>
                <c:pt idx="1186">
                  <c:v>2.2580841443348753E-3</c:v>
                </c:pt>
                <c:pt idx="1187">
                  <c:v>2.2492255733097418E-3</c:v>
                </c:pt>
                <c:pt idx="1188">
                  <c:v>2.2427282314372399E-3</c:v>
                </c:pt>
                <c:pt idx="1189">
                  <c:v>2.2384292273661525E-3</c:v>
                </c:pt>
                <c:pt idx="1190">
                  <c:v>2.2552502682938232E-3</c:v>
                </c:pt>
                <c:pt idx="1191">
                  <c:v>2.2587739435350192E-3</c:v>
                </c:pt>
                <c:pt idx="1192">
                  <c:v>2.2740636538711883E-3</c:v>
                </c:pt>
                <c:pt idx="1193">
                  <c:v>2.2882917581808207E-3</c:v>
                </c:pt>
                <c:pt idx="1194">
                  <c:v>2.2873005029235317E-3</c:v>
                </c:pt>
                <c:pt idx="1195">
                  <c:v>2.2745492344206607E-3</c:v>
                </c:pt>
                <c:pt idx="1196">
                  <c:v>2.2735704362138072E-3</c:v>
                </c:pt>
                <c:pt idx="1197">
                  <c:v>2.2552502682938232E-3</c:v>
                </c:pt>
                <c:pt idx="1198">
                  <c:v>2.2468442396834185E-3</c:v>
                </c:pt>
                <c:pt idx="1199">
                  <c:v>2.269904504482135E-3</c:v>
                </c:pt>
                <c:pt idx="1200">
                  <c:v>2.2594562607373869E-3</c:v>
                </c:pt>
                <c:pt idx="1201">
                  <c:v>2.2224587278647256E-3</c:v>
                </c:pt>
                <c:pt idx="1202">
                  <c:v>2.0985778546043642E-3</c:v>
                </c:pt>
                <c:pt idx="1203">
                  <c:v>2.0920657665781544E-3</c:v>
                </c:pt>
                <c:pt idx="1204">
                  <c:v>2.0163751507176375E-3</c:v>
                </c:pt>
                <c:pt idx="1205">
                  <c:v>2.0953335485031444E-3</c:v>
                </c:pt>
                <c:pt idx="1206">
                  <c:v>2.0439235062253481E-3</c:v>
                </c:pt>
                <c:pt idx="1207">
                  <c:v>2.0366932359214751E-3</c:v>
                </c:pt>
                <c:pt idx="1208">
                  <c:v>2.0633597229444715E-3</c:v>
                </c:pt>
                <c:pt idx="1209">
                  <c:v>2.0421239649869027E-3</c:v>
                </c:pt>
                <c:pt idx="1210">
                  <c:v>2.0293779894825911E-3</c:v>
                </c:pt>
                <c:pt idx="1211">
                  <c:v>2.0736789837983169E-3</c:v>
                </c:pt>
                <c:pt idx="1212">
                  <c:v>2.0804454771262155E-3</c:v>
                </c:pt>
                <c:pt idx="1213">
                  <c:v>2.0650936040706703E-3</c:v>
                </c:pt>
                <c:pt idx="1214">
                  <c:v>2.0492897868117262E-3</c:v>
                </c:pt>
                <c:pt idx="1215">
                  <c:v>2.0719731658996586E-3</c:v>
                </c:pt>
                <c:pt idx="1216">
                  <c:v>2.0871203513634249E-3</c:v>
                </c:pt>
                <c:pt idx="1217">
                  <c:v>2.0753791400713972E-3</c:v>
                </c:pt>
                <c:pt idx="1218">
                  <c:v>2.0753791400713972E-3</c:v>
                </c:pt>
                <c:pt idx="1219">
                  <c:v>2.0668219053508736E-3</c:v>
                </c:pt>
                <c:pt idx="1220">
                  <c:v>2.0920657665781544E-3</c:v>
                </c:pt>
                <c:pt idx="1221">
                  <c:v>2.1637691865092354E-3</c:v>
                </c:pt>
                <c:pt idx="1222">
                  <c:v>2.2010412634067612E-3</c:v>
                </c:pt>
                <c:pt idx="1223">
                  <c:v>2.1400164391062494E-3</c:v>
                </c:pt>
                <c:pt idx="1224">
                  <c:v>2.1717050623789409E-3</c:v>
                </c:pt>
                <c:pt idx="1225">
                  <c:v>2.1610714814080697E-3</c:v>
                </c:pt>
                <c:pt idx="1226">
                  <c:v>2.1664407549350849E-3</c:v>
                </c:pt>
                <c:pt idx="1227">
                  <c:v>2.2292866035541013E-3</c:v>
                </c:pt>
                <c:pt idx="1228">
                  <c:v>2.2234555671117192E-3</c:v>
                </c:pt>
                <c:pt idx="1229">
                  <c:v>2.2066579191220887E-3</c:v>
                </c:pt>
                <c:pt idx="1230">
                  <c:v>1.9915659751492303E-3</c:v>
                </c:pt>
                <c:pt idx="1231">
                  <c:v>1.9517985829047644E-3</c:v>
                </c:pt>
                <c:pt idx="1232">
                  <c:v>1.9415682393493046E-3</c:v>
                </c:pt>
                <c:pt idx="1233">
                  <c:v>1.9599015411960389E-3</c:v>
                </c:pt>
                <c:pt idx="1234">
                  <c:v>1.8470306862203123E-3</c:v>
                </c:pt>
                <c:pt idx="1235">
                  <c:v>1.8844701345232433E-3</c:v>
                </c:pt>
                <c:pt idx="1236">
                  <c:v>1.9017027842014886E-3</c:v>
                </c:pt>
                <c:pt idx="1237">
                  <c:v>1.8581541882200102E-3</c:v>
                </c:pt>
                <c:pt idx="1238">
                  <c:v>1.8016644208071464E-3</c:v>
                </c:pt>
                <c:pt idx="1239">
                  <c:v>1.8380672000459363E-3</c:v>
                </c:pt>
                <c:pt idx="1240">
                  <c:v>1.8844701345232433E-3</c:v>
                </c:pt>
                <c:pt idx="1241">
                  <c:v>1.8537157049278205E-3</c:v>
                </c:pt>
                <c:pt idx="1242">
                  <c:v>1.8822982233006348E-3</c:v>
                </c:pt>
                <c:pt idx="1243">
                  <c:v>1.7993612608995055E-3</c:v>
                </c:pt>
                <c:pt idx="1244">
                  <c:v>1.8108449239994827E-3</c:v>
                </c:pt>
                <c:pt idx="1245">
                  <c:v>1.8713805835203149E-3</c:v>
                </c:pt>
                <c:pt idx="1246">
                  <c:v>1.9080983837188891E-3</c:v>
                </c:pt>
                <c:pt idx="1247">
                  <c:v>1.903838747208396E-3</c:v>
                </c:pt>
                <c:pt idx="1248">
                  <c:v>1.9778624288553262E-3</c:v>
                </c:pt>
                <c:pt idx="1249">
                  <c:v>1.9415682393493046E-3</c:v>
                </c:pt>
                <c:pt idx="1250">
                  <c:v>1.92287607012287E-3</c:v>
                </c:pt>
                <c:pt idx="1251">
                  <c:v>1.9538311545726755E-3</c:v>
                </c:pt>
                <c:pt idx="1252">
                  <c:v>1.9739039918026569E-3</c:v>
                </c:pt>
                <c:pt idx="1253">
                  <c:v>1.7620924722639307E-3</c:v>
                </c:pt>
                <c:pt idx="1254">
                  <c:v>1.7408021343373E-3</c:v>
                </c:pt>
                <c:pt idx="1255">
                  <c:v>1.7288794896497311E-3</c:v>
                </c:pt>
                <c:pt idx="1256">
                  <c:v>1.6805688570015367E-3</c:v>
                </c:pt>
                <c:pt idx="1257">
                  <c:v>1.7360409734682801E-3</c:v>
                </c:pt>
                <c:pt idx="1258">
                  <c:v>1.6732430774757741E-3</c:v>
                </c:pt>
                <c:pt idx="1259">
                  <c:v>1.665898184512959E-3</c:v>
                </c:pt>
                <c:pt idx="1260">
                  <c:v>1.6927345656874801E-3</c:v>
                </c:pt>
                <c:pt idx="1261">
                  <c:v>1.7431787067159132E-3</c:v>
                </c:pt>
                <c:pt idx="1262">
                  <c:v>1.7854763363817786E-3</c:v>
                </c:pt>
                <c:pt idx="1263">
                  <c:v>1.7168923598626586E-3</c:v>
                </c:pt>
                <c:pt idx="1264">
                  <c:v>1.8267840417939066E-3</c:v>
                </c:pt>
                <c:pt idx="1265">
                  <c:v>1.8647842295088075E-3</c:v>
                </c:pt>
                <c:pt idx="1266">
                  <c:v>1.8335643258424611E-3</c:v>
                </c:pt>
                <c:pt idx="1267">
                  <c:v>1.849262638934128E-3</c:v>
                </c:pt>
                <c:pt idx="1268">
                  <c:v>1.880122414065648E-3</c:v>
                </c:pt>
                <c:pt idx="1269">
                  <c:v>1.9080983837188891E-3</c:v>
                </c:pt>
                <c:pt idx="1270">
                  <c:v>1.9333041016951213E-3</c:v>
                </c:pt>
                <c:pt idx="1271">
                  <c:v>1.9017027842014886E-3</c:v>
                </c:pt>
                <c:pt idx="1272">
                  <c:v>1.914456828465761E-3</c:v>
                </c:pt>
                <c:pt idx="1273">
                  <c:v>1.9517985829047644E-3</c:v>
                </c:pt>
                <c:pt idx="1274">
                  <c:v>1.9758855826659785E-3</c:v>
                </c:pt>
                <c:pt idx="1275">
                  <c:v>1.9415682393493046E-3</c:v>
                </c:pt>
                <c:pt idx="1276">
                  <c:v>1.9291458240787342E-3</c:v>
                </c:pt>
                <c:pt idx="1277">
                  <c:v>1.9798345121559914E-3</c:v>
                </c:pt>
                <c:pt idx="1278">
                  <c:v>1.9739039918026569E-3</c:v>
                </c:pt>
                <c:pt idx="1279">
                  <c:v>1.9374449568594287E-3</c:v>
                </c:pt>
                <c:pt idx="1280">
                  <c:v>1.92287607012287E-3</c:v>
                </c:pt>
                <c:pt idx="1281">
                  <c:v>1.8888021857668951E-3</c:v>
                </c:pt>
                <c:pt idx="1282">
                  <c:v>1.9719176745102767E-3</c:v>
                </c:pt>
                <c:pt idx="1283">
                  <c:v>2.0088319246666458E-3</c:v>
                </c:pt>
                <c:pt idx="1284">
                  <c:v>2.0650936040706703E-3</c:v>
                </c:pt>
                <c:pt idx="1285">
                  <c:v>2.0837944308023022E-3</c:v>
                </c:pt>
                <c:pt idx="1286">
                  <c:v>2.0069334490749441E-3</c:v>
                </c:pt>
                <c:pt idx="1287">
                  <c:v>2.0650936040706703E-3</c:v>
                </c:pt>
                <c:pt idx="1288">
                  <c:v>2.0650936040706703E-3</c:v>
                </c:pt>
                <c:pt idx="1289">
                  <c:v>2.0887746343769241E-3</c:v>
                </c:pt>
                <c:pt idx="1290">
                  <c:v>2.0854602782035799E-3</c:v>
                </c:pt>
                <c:pt idx="1291">
                  <c:v>2.0685446103417462E-3</c:v>
                </c:pt>
                <c:pt idx="1292">
                  <c:v>2.1251891941296412E-3</c:v>
                </c:pt>
                <c:pt idx="1293">
                  <c:v>2.1159963706955135E-3</c:v>
                </c:pt>
                <c:pt idx="1294">
                  <c:v>2.1113178367500713E-3</c:v>
                </c:pt>
                <c:pt idx="1295">
                  <c:v>2.1443423823456998E-3</c:v>
                </c:pt>
                <c:pt idx="1296">
                  <c:v>2.1311947947266099E-3</c:v>
                </c:pt>
                <c:pt idx="1297">
                  <c:v>2.1266998668777576E-3</c:v>
                </c:pt>
                <c:pt idx="1298">
                  <c:v>2.112883391218086E-3</c:v>
                </c:pt>
                <c:pt idx="1299">
                  <c:v>2.1297026817643427E-3</c:v>
                </c:pt>
                <c:pt idx="1300">
                  <c:v>2.1297026817643427E-3</c:v>
                </c:pt>
                <c:pt idx="1301">
                  <c:v>2.1677667050200387E-3</c:v>
                </c:pt>
                <c:pt idx="1302">
                  <c:v>2.1768635744543593E-3</c:v>
                </c:pt>
                <c:pt idx="1303">
                  <c:v>2.1690860816042041E-3</c:v>
                </c:pt>
                <c:pt idx="1304">
                  <c:v>2.1755839095289643E-3</c:v>
                </c:pt>
                <c:pt idx="1305">
                  <c:v>2.1755839095289643E-3</c:v>
                </c:pt>
                <c:pt idx="1306">
                  <c:v>2.0753791400713972E-3</c:v>
                </c:pt>
                <c:pt idx="1307">
                  <c:v>2.1001911651963136E-3</c:v>
                </c:pt>
                <c:pt idx="1308">
                  <c:v>2.0821228251107771E-3</c:v>
                </c:pt>
                <c:pt idx="1309">
                  <c:v>2.0293779894825911E-3</c:v>
                </c:pt>
                <c:pt idx="1310">
                  <c:v>1.9798345121559914E-3</c:v>
                </c:pt>
                <c:pt idx="1311">
                  <c:v>1.9291458240787342E-3</c:v>
                </c:pt>
                <c:pt idx="1312">
                  <c:v>1.9558591838603361E-3</c:v>
                </c:pt>
                <c:pt idx="1313">
                  <c:v>1.9517985829047644E-3</c:v>
                </c:pt>
                <c:pt idx="1314">
                  <c:v>1.9333041016951213E-3</c:v>
                </c:pt>
                <c:pt idx="1315">
                  <c:v>2.0403190615007919E-3</c:v>
                </c:pt>
                <c:pt idx="1316">
                  <c:v>2.0293779894825911E-3</c:v>
                </c:pt>
                <c:pt idx="1317">
                  <c:v>1.9973659417513168E-3</c:v>
                </c:pt>
                <c:pt idx="1318">
                  <c:v>2.0126137082202796E-3</c:v>
                </c:pt>
                <c:pt idx="1319">
                  <c:v>2.061620278458806E-3</c:v>
                </c:pt>
                <c:pt idx="1320">
                  <c:v>2.0563687303526623E-3</c:v>
                </c:pt>
                <c:pt idx="1321">
                  <c:v>2.0702617026433982E-3</c:v>
                </c:pt>
                <c:pt idx="1322">
                  <c:v>2.1206202908290984E-3</c:v>
                </c:pt>
                <c:pt idx="1323">
                  <c:v>2.1206202908290984E-3</c:v>
                </c:pt>
                <c:pt idx="1324">
                  <c:v>2.1486112314460181E-3</c:v>
                </c:pt>
                <c:pt idx="1325">
                  <c:v>2.1443423823456998E-3</c:v>
                </c:pt>
                <c:pt idx="1326">
                  <c:v>2.1385618359941578E-3</c:v>
                </c:pt>
                <c:pt idx="1327">
                  <c:v>2.152822610878216E-3</c:v>
                </c:pt>
                <c:pt idx="1328">
                  <c:v>2.1768635744543593E-3</c:v>
                </c:pt>
                <c:pt idx="1329">
                  <c:v>2.1664407549350849E-3</c:v>
                </c:pt>
                <c:pt idx="1330">
                  <c:v>2.1610714814080697E-3</c:v>
                </c:pt>
                <c:pt idx="1331">
                  <c:v>2.1844011999377498E-3</c:v>
                </c:pt>
                <c:pt idx="1332">
                  <c:v>2.1206202908290984E-3</c:v>
                </c:pt>
                <c:pt idx="1333">
                  <c:v>2.1206202908290984E-3</c:v>
                </c:pt>
                <c:pt idx="1334">
                  <c:v>2.1730046407726399E-3</c:v>
                </c:pt>
                <c:pt idx="1335">
                  <c:v>2.2033087126147504E-3</c:v>
                </c:pt>
                <c:pt idx="1336">
                  <c:v>2.1868599721591884E-3</c:v>
                </c:pt>
                <c:pt idx="1337">
                  <c:v>2.1610714814080697E-3</c:v>
                </c:pt>
                <c:pt idx="1338">
                  <c:v>2.1569761496595743E-3</c:v>
                </c:pt>
                <c:pt idx="1339">
                  <c:v>2.1266998668777576E-3</c:v>
                </c:pt>
                <c:pt idx="1340">
                  <c:v>2.1001911651963136E-3</c:v>
                </c:pt>
                <c:pt idx="1341">
                  <c:v>2.1049955409764573E-3</c:v>
                </c:pt>
                <c:pt idx="1342">
                  <c:v>2.0633597229444715E-3</c:v>
                </c:pt>
                <c:pt idx="1343">
                  <c:v>2.0403190615007919E-3</c:v>
                </c:pt>
                <c:pt idx="1344">
                  <c:v>2.0312147075755584E-3</c:v>
                </c:pt>
                <c:pt idx="1345">
                  <c:v>1.9415682393493046E-3</c:v>
                </c:pt>
                <c:pt idx="1346">
                  <c:v>1.9207776043148738E-3</c:v>
                </c:pt>
                <c:pt idx="1347">
                  <c:v>1.8447951464133283E-3</c:v>
                </c:pt>
                <c:pt idx="1348">
                  <c:v>1.7924328153754313E-3</c:v>
                </c:pt>
                <c:pt idx="1349">
                  <c:v>1.8176960056202408E-3</c:v>
                </c:pt>
                <c:pt idx="1350">
                  <c:v>1.7808233733957171E-3</c:v>
                </c:pt>
                <c:pt idx="1351">
                  <c:v>1.7970549268485419E-3</c:v>
                </c:pt>
                <c:pt idx="1352">
                  <c:v>1.8154156174470489E-3</c:v>
                </c:pt>
                <c:pt idx="1353">
                  <c:v>1.7993612608995055E-3</c:v>
                </c:pt>
                <c:pt idx="1354">
                  <c:v>1.8647842295088075E-3</c:v>
                </c:pt>
                <c:pt idx="1355">
                  <c:v>1.893118413647472E-3</c:v>
                </c:pt>
                <c:pt idx="1356">
                  <c:v>1.9312271312892401E-3</c:v>
                </c:pt>
                <c:pt idx="1357">
                  <c:v>1.912341506963173E-3</c:v>
                </c:pt>
                <c:pt idx="1358">
                  <c:v>1.903838747208396E-3</c:v>
                </c:pt>
                <c:pt idx="1359">
                  <c:v>1.9415682393493046E-3</c:v>
                </c:pt>
                <c:pt idx="1360">
                  <c:v>1.9798345121559914E-3</c:v>
                </c:pt>
                <c:pt idx="1361">
                  <c:v>1.9578826522361785E-3</c:v>
                </c:pt>
                <c:pt idx="1362">
                  <c:v>1.9818018143837389E-3</c:v>
                </c:pt>
                <c:pt idx="1363">
                  <c:v>2.0088319246666458E-3</c:v>
                </c:pt>
                <c:pt idx="1364">
                  <c:v>2.0050299411867581E-3</c:v>
                </c:pt>
                <c:pt idx="1365">
                  <c:v>2.0126137082202796E-3</c:v>
                </c:pt>
                <c:pt idx="1366">
                  <c:v>1.9778624288553262E-3</c:v>
                </c:pt>
                <c:pt idx="1367">
                  <c:v>1.9896228499632928E-3</c:v>
                </c:pt>
                <c:pt idx="1368">
                  <c:v>2.0510677096177553E-3</c:v>
                </c:pt>
                <c:pt idx="1369">
                  <c:v>2.058124765569571E-3</c:v>
                </c:pt>
                <c:pt idx="1370">
                  <c:v>2.0650936040706703E-3</c:v>
                </c:pt>
                <c:pt idx="1371">
                  <c:v>2.0650936040706703E-3</c:v>
                </c:pt>
                <c:pt idx="1372">
                  <c:v>2.0201161115958044E-3</c:v>
                </c:pt>
                <c:pt idx="1373">
                  <c:v>1.9778624288553262E-3</c:v>
                </c:pt>
                <c:pt idx="1374">
                  <c:v>1.914456828465761E-3</c:v>
                </c:pt>
                <c:pt idx="1375">
                  <c:v>1.9436232440054244E-3</c:v>
                </c:pt>
                <c:pt idx="1376">
                  <c:v>1.92287607012287E-3</c:v>
                </c:pt>
                <c:pt idx="1377">
                  <c:v>1.9017027842014886E-3</c:v>
                </c:pt>
                <c:pt idx="1378">
                  <c:v>1.8822982233006348E-3</c:v>
                </c:pt>
                <c:pt idx="1379">
                  <c:v>1.8647842295088075E-3</c:v>
                </c:pt>
                <c:pt idx="1380">
                  <c:v>1.8470306862203123E-3</c:v>
                </c:pt>
                <c:pt idx="1381">
                  <c:v>1.8625779328578019E-3</c:v>
                </c:pt>
                <c:pt idx="1382">
                  <c:v>1.8909622872505135E-3</c:v>
                </c:pt>
                <c:pt idx="1383">
                  <c:v>1.8514909850128481E-3</c:v>
                </c:pt>
                <c:pt idx="1384">
                  <c:v>1.880122414065648E-3</c:v>
                </c:pt>
                <c:pt idx="1385">
                  <c:v>1.9059706200824579E-3</c:v>
                </c:pt>
                <c:pt idx="1386">
                  <c:v>1.9165679645207526E-3</c:v>
                </c:pt>
                <c:pt idx="1387">
                  <c:v>1.8380672000459363E-3</c:v>
                </c:pt>
                <c:pt idx="1388">
                  <c:v>1.8403133837522805E-3</c:v>
                </c:pt>
                <c:pt idx="1389">
                  <c:v>1.7644440435841534E-3</c:v>
                </c:pt>
                <c:pt idx="1390">
                  <c:v>1.7168923598626586E-3</c:v>
                </c:pt>
                <c:pt idx="1391">
                  <c:v>1.7312692567904603E-3</c:v>
                </c:pt>
                <c:pt idx="1392">
                  <c:v>1.6903059086548519E-3</c:v>
                </c:pt>
                <c:pt idx="1393">
                  <c:v>1.5360921135400042E-3</c:v>
                </c:pt>
                <c:pt idx="1394">
                  <c:v>1.6090092808535808E-3</c:v>
                </c:pt>
                <c:pt idx="1395">
                  <c:v>1.6878749894784402E-3</c:v>
                </c:pt>
                <c:pt idx="1396">
                  <c:v>1.7168923598626586E-3</c:v>
                </c:pt>
                <c:pt idx="1397">
                  <c:v>1.6585347111438514E-3</c:v>
                </c:pt>
                <c:pt idx="1398">
                  <c:v>1.7455525805893748E-3</c:v>
                </c:pt>
                <c:pt idx="1399">
                  <c:v>1.7691385350698877E-3</c:v>
                </c:pt>
                <c:pt idx="1400">
                  <c:v>1.7831513727230616E-3</c:v>
                </c:pt>
                <c:pt idx="1401">
                  <c:v>1.7714814155717121E-3</c:v>
                </c:pt>
                <c:pt idx="1402">
                  <c:v>1.8290475733362577E-3</c:v>
                </c:pt>
                <c:pt idx="1403">
                  <c:v>1.8447951464133283E-3</c:v>
                </c:pt>
                <c:pt idx="1404">
                  <c:v>1.8016644208071464E-3</c:v>
                </c:pt>
                <c:pt idx="1405">
                  <c:v>1.8154156174470489E-3</c:v>
                </c:pt>
                <c:pt idx="1406">
                  <c:v>1.9080983837188891E-3</c:v>
                </c:pt>
                <c:pt idx="1407">
                  <c:v>1.8581541882200102E-3</c:v>
                </c:pt>
                <c:pt idx="1408">
                  <c:v>1.9017027842014886E-3</c:v>
                </c:pt>
                <c:pt idx="1409">
                  <c:v>1.897418664309754E-3</c:v>
                </c:pt>
                <c:pt idx="1410">
                  <c:v>1.8822982233006348E-3</c:v>
                </c:pt>
                <c:pt idx="1411">
                  <c:v>1.8380672000459363E-3</c:v>
                </c:pt>
                <c:pt idx="1412">
                  <c:v>1.8888021857668951E-3</c:v>
                </c:pt>
                <c:pt idx="1413">
                  <c:v>1.7597380436730583E-3</c:v>
                </c:pt>
                <c:pt idx="1414">
                  <c:v>1.8199730618256287E-3</c:v>
                </c:pt>
                <c:pt idx="1415">
                  <c:v>1.8647842295088075E-3</c:v>
                </c:pt>
                <c:pt idx="1416">
                  <c:v>1.9679309337673296E-3</c:v>
                </c:pt>
                <c:pt idx="1417">
                  <c:v>1.9699266490636747E-3</c:v>
                </c:pt>
                <c:pt idx="1418">
                  <c:v>1.9456737993403825E-3</c:v>
                </c:pt>
                <c:pt idx="1419">
                  <c:v>1.9291458240787342E-3</c:v>
                </c:pt>
                <c:pt idx="1420">
                  <c:v>1.8844701345232433E-3</c:v>
                </c:pt>
                <c:pt idx="1421">
                  <c:v>1.9558591838603361E-3</c:v>
                </c:pt>
                <c:pt idx="1422">
                  <c:v>1.9818018143837389E-3</c:v>
                </c:pt>
                <c:pt idx="1423">
                  <c:v>1.9558591838603361E-3</c:v>
                </c:pt>
                <c:pt idx="1424">
                  <c:v>1.9558591838603361E-3</c:v>
                </c:pt>
                <c:pt idx="1425">
                  <c:v>1.9639255069898802E-3</c:v>
                </c:pt>
                <c:pt idx="1426">
                  <c:v>1.9374449568594287E-3</c:v>
                </c:pt>
                <c:pt idx="1427">
                  <c:v>1.9558591838603361E-3</c:v>
                </c:pt>
                <c:pt idx="1428">
                  <c:v>1.9558591838603361E-3</c:v>
                </c:pt>
                <c:pt idx="1429">
                  <c:v>2.0650936040706703E-3</c:v>
                </c:pt>
                <c:pt idx="1430">
                  <c:v>2.0366932359214751E-3</c:v>
                </c:pt>
                <c:pt idx="1431">
                  <c:v>2.0182482001219115E-3</c:v>
                </c:pt>
                <c:pt idx="1432">
                  <c:v>2.0475064340619202E-3</c:v>
                </c:pt>
                <c:pt idx="1433">
                  <c:v>2.0985778546043642E-3</c:v>
                </c:pt>
                <c:pt idx="1434">
                  <c:v>2.1113178367500713E-3</c:v>
                </c:pt>
                <c:pt idx="1435">
                  <c:v>2.0937025841897268E-3</c:v>
                </c:pt>
                <c:pt idx="1436">
                  <c:v>2.0969586438486713E-3</c:v>
                </c:pt>
                <c:pt idx="1437">
                  <c:v>2.1597128606985505E-3</c:v>
                </c:pt>
                <c:pt idx="1438">
                  <c:v>2.1065850961438622E-3</c:v>
                </c:pt>
                <c:pt idx="1439">
                  <c:v>2.0904231113856994E-3</c:v>
                </c:pt>
                <c:pt idx="1440">
                  <c:v>2.1159963706955135E-3</c:v>
                </c:pt>
                <c:pt idx="1441">
                  <c:v>2.0904231113856994E-3</c:v>
                </c:pt>
                <c:pt idx="1442">
                  <c:v>2.0821228251107771E-3</c:v>
                </c:pt>
                <c:pt idx="1443">
                  <c:v>2.0528401856573855E-3</c:v>
                </c:pt>
                <c:pt idx="1444">
                  <c:v>1.9818018143837389E-3</c:v>
                </c:pt>
                <c:pt idx="1445">
                  <c:v>2.0256888438148998E-3</c:v>
                </c:pt>
                <c:pt idx="1446">
                  <c:v>1.9415682393493046E-3</c:v>
                </c:pt>
                <c:pt idx="1447">
                  <c:v>1.9456737993403825E-3</c:v>
                </c:pt>
                <c:pt idx="1448">
                  <c:v>1.9415682393493046E-3</c:v>
                </c:pt>
                <c:pt idx="1449">
                  <c:v>1.9538311545726755E-3</c:v>
                </c:pt>
                <c:pt idx="1450">
                  <c:v>1.9291458240787342E-3</c:v>
                </c:pt>
                <c:pt idx="1451">
                  <c:v>1.914456828465761E-3</c:v>
                </c:pt>
                <c:pt idx="1452">
                  <c:v>1.92287607012287E-3</c:v>
                </c:pt>
                <c:pt idx="1453">
                  <c:v>1.8625779328578019E-3</c:v>
                </c:pt>
                <c:pt idx="1454">
                  <c:v>1.8691855742600859E-3</c:v>
                </c:pt>
                <c:pt idx="1455">
                  <c:v>1.9165679645207526E-3</c:v>
                </c:pt>
                <c:pt idx="1456">
                  <c:v>1.880122414065648E-3</c:v>
                </c:pt>
                <c:pt idx="1457">
                  <c:v>1.8735717915030889E-3</c:v>
                </c:pt>
                <c:pt idx="1458">
                  <c:v>1.9353767164819039E-3</c:v>
                </c:pt>
                <c:pt idx="1459">
                  <c:v>1.9758855826659785E-3</c:v>
                </c:pt>
                <c:pt idx="1460">
                  <c:v>1.9818018143837389E-3</c:v>
                </c:pt>
                <c:pt idx="1461">
                  <c:v>1.9896228499632928E-3</c:v>
                </c:pt>
                <c:pt idx="1462">
                  <c:v>1.9915659751492303E-3</c:v>
                </c:pt>
                <c:pt idx="1463">
                  <c:v>2.0312147075755584E-3</c:v>
                </c:pt>
                <c:pt idx="1464">
                  <c:v>1.9739039918026569E-3</c:v>
                </c:pt>
                <c:pt idx="1465">
                  <c:v>1.9415682393493046E-3</c:v>
                </c:pt>
                <c:pt idx="1466">
                  <c:v>1.9558591838603361E-3</c:v>
                </c:pt>
                <c:pt idx="1467">
                  <c:v>1.9659305469550891E-3</c:v>
                </c:pt>
                <c:pt idx="1468">
                  <c:v>1.9497614874152925E-3</c:v>
                </c:pt>
                <c:pt idx="1469">
                  <c:v>1.9578826522361785E-3</c:v>
                </c:pt>
                <c:pt idx="1470">
                  <c:v>1.9291458240787342E-3</c:v>
                </c:pt>
                <c:pt idx="1471">
                  <c:v>1.9456737993403825E-3</c:v>
                </c:pt>
                <c:pt idx="1472">
                  <c:v>1.893118413647472E-3</c:v>
                </c:pt>
                <c:pt idx="1473">
                  <c:v>1.8952705457351237E-3</c:v>
                </c:pt>
                <c:pt idx="1474">
                  <c:v>1.914456828465761E-3</c:v>
                </c:pt>
                <c:pt idx="1475">
                  <c:v>1.9395088040621263E-3</c:v>
                </c:pt>
                <c:pt idx="1476">
                  <c:v>1.9679309337673296E-3</c:v>
                </c:pt>
                <c:pt idx="1477">
                  <c:v>1.9699266490636747E-3</c:v>
                </c:pt>
                <c:pt idx="1478">
                  <c:v>1.9353767164819039E-3</c:v>
                </c:pt>
                <c:pt idx="1479">
                  <c:v>1.9538311545726755E-3</c:v>
                </c:pt>
                <c:pt idx="1480">
                  <c:v>1.9517985829047644E-3</c:v>
                </c:pt>
                <c:pt idx="1481">
                  <c:v>1.9719176745102767E-3</c:v>
                </c:pt>
                <c:pt idx="1482">
                  <c:v>1.9517985829047644E-3</c:v>
                </c:pt>
                <c:pt idx="1483">
                  <c:v>1.9374449568594287E-3</c:v>
                </c:pt>
                <c:pt idx="1484">
                  <c:v>1.9395088040621263E-3</c:v>
                </c:pt>
                <c:pt idx="1485">
                  <c:v>1.9758855826659785E-3</c:v>
                </c:pt>
                <c:pt idx="1486">
                  <c:v>1.9599015411960389E-3</c:v>
                </c:pt>
                <c:pt idx="1487">
                  <c:v>1.9699266490636747E-3</c:v>
                </c:pt>
                <c:pt idx="1488">
                  <c:v>1.9818018143837389E-3</c:v>
                </c:pt>
                <c:pt idx="1489">
                  <c:v>1.9517985829047644E-3</c:v>
                </c:pt>
                <c:pt idx="1490">
                  <c:v>1.9456737993403825E-3</c:v>
                </c:pt>
                <c:pt idx="1491">
                  <c:v>1.9719176745102767E-3</c:v>
                </c:pt>
                <c:pt idx="1492">
                  <c:v>1.9619158322634429E-3</c:v>
                </c:pt>
                <c:pt idx="1493">
                  <c:v>1.9719176745102767E-3</c:v>
                </c:pt>
                <c:pt idx="1494">
                  <c:v>1.9659305469550891E-3</c:v>
                </c:pt>
                <c:pt idx="1495">
                  <c:v>1.9312271312892401E-3</c:v>
                </c:pt>
                <c:pt idx="1496">
                  <c:v>1.8603679126088634E-3</c:v>
                </c:pt>
                <c:pt idx="1497">
                  <c:v>1.8267840417939066E-3</c:v>
                </c:pt>
                <c:pt idx="1498">
                  <c:v>1.8062611391763458E-3</c:v>
                </c:pt>
                <c:pt idx="1499">
                  <c:v>1.7970549268485419E-3</c:v>
                </c:pt>
                <c:pt idx="1500">
                  <c:v>1.7573807776506635E-3</c:v>
                </c:pt>
                <c:pt idx="1501">
                  <c:v>1.7072578937395633E-3</c:v>
                </c:pt>
                <c:pt idx="1502">
                  <c:v>1.6878749894784402E-3</c:v>
                </c:pt>
                <c:pt idx="1503">
                  <c:v>1.6903059086548519E-3</c:v>
                </c:pt>
                <c:pt idx="1504">
                  <c:v>1.6756871540394374E-3</c:v>
                </c:pt>
                <c:pt idx="1505">
                  <c:v>1.6585347111438514E-3</c:v>
                </c:pt>
                <c:pt idx="1506">
                  <c:v>1.7312692567904603E-3</c:v>
                </c:pt>
                <c:pt idx="1507">
                  <c:v>1.7264871431072325E-3</c:v>
                </c:pt>
                <c:pt idx="1508">
                  <c:v>1.750292153420261E-3</c:v>
                </c:pt>
                <c:pt idx="1509">
                  <c:v>1.7667927377972941E-3</c:v>
                </c:pt>
                <c:pt idx="1510">
                  <c:v>1.7738213594760614E-3</c:v>
                </c:pt>
                <c:pt idx="1511">
                  <c:v>1.7644440435841534E-3</c:v>
                </c:pt>
                <c:pt idx="1512">
                  <c:v>1.7714814155717121E-3</c:v>
                </c:pt>
                <c:pt idx="1513">
                  <c:v>1.8447951464133283E-3</c:v>
                </c:pt>
                <c:pt idx="1514">
                  <c:v>1.897418664309754E-3</c:v>
                </c:pt>
                <c:pt idx="1515">
                  <c:v>1.9249702746215731E-3</c:v>
                </c:pt>
                <c:pt idx="1516">
                  <c:v>1.9639255069898802E-3</c:v>
                </c:pt>
                <c:pt idx="1517">
                  <c:v>1.9778624288553262E-3</c:v>
                </c:pt>
                <c:pt idx="1518">
                  <c:v>1.9778624288553262E-3</c:v>
                </c:pt>
                <c:pt idx="1519">
                  <c:v>1.9837643173850968E-3</c:v>
                </c:pt>
                <c:pt idx="1520">
                  <c:v>1.9857220030376254E-3</c:v>
                </c:pt>
                <c:pt idx="1521">
                  <c:v>1.9639255069898802E-3</c:v>
                </c:pt>
                <c:pt idx="1522">
                  <c:v>1.9798345121559914E-3</c:v>
                </c:pt>
                <c:pt idx="1523">
                  <c:v>1.9538311545726755E-3</c:v>
                </c:pt>
                <c:pt idx="1524">
                  <c:v>1.9758855826659785E-3</c:v>
                </c:pt>
                <c:pt idx="1525">
                  <c:v>2.0163751507176375E-3</c:v>
                </c:pt>
                <c:pt idx="1526">
                  <c:v>1.9719176745102767E-3</c:v>
                </c:pt>
                <c:pt idx="1527">
                  <c:v>1.9935042108124969E-3</c:v>
                </c:pt>
                <c:pt idx="1528">
                  <c:v>1.9699266490636747E-3</c:v>
                </c:pt>
                <c:pt idx="1529">
                  <c:v>1.9599015411960389E-3</c:v>
                </c:pt>
                <c:pt idx="1530">
                  <c:v>1.9599015411960389E-3</c:v>
                </c:pt>
                <c:pt idx="1531">
                  <c:v>1.9477198866897996E-3</c:v>
                </c:pt>
                <c:pt idx="1532">
                  <c:v>1.9896228499632928E-3</c:v>
                </c:pt>
                <c:pt idx="1533">
                  <c:v>2.0510677096177553E-3</c:v>
                </c:pt>
                <c:pt idx="1534">
                  <c:v>2.0293779894825911E-3</c:v>
                </c:pt>
                <c:pt idx="1535">
                  <c:v>2.0182482001219115E-3</c:v>
                </c:pt>
                <c:pt idx="1536">
                  <c:v>2.0107253502680603E-3</c:v>
                </c:pt>
                <c:pt idx="1537">
                  <c:v>1.9973659417513168E-3</c:v>
                </c:pt>
                <c:pt idx="1538">
                  <c:v>1.9896228499632928E-3</c:v>
                </c:pt>
                <c:pt idx="1539">
                  <c:v>1.9798345121559914E-3</c:v>
                </c:pt>
                <c:pt idx="1540">
                  <c:v>1.9270601989020964E-3</c:v>
                </c:pt>
                <c:pt idx="1541">
                  <c:v>1.912341506963173E-3</c:v>
                </c:pt>
                <c:pt idx="1542">
                  <c:v>1.8866381284379152E-3</c:v>
                </c:pt>
                <c:pt idx="1543">
                  <c:v>1.8108449239994827E-3</c:v>
                </c:pt>
                <c:pt idx="1544">
                  <c:v>1.8131319170043444E-3</c:v>
                </c:pt>
                <c:pt idx="1545">
                  <c:v>1.8290475733362577E-3</c:v>
                </c:pt>
                <c:pt idx="1546">
                  <c:v>1.8691855742600859E-3</c:v>
                </c:pt>
                <c:pt idx="1547">
                  <c:v>1.8625779328578019E-3</c:v>
                </c:pt>
                <c:pt idx="1548">
                  <c:v>1.9165679645207526E-3</c:v>
                </c:pt>
                <c:pt idx="1549">
                  <c:v>1.9186748961293682E-3</c:v>
                </c:pt>
                <c:pt idx="1550">
                  <c:v>1.893118413647472E-3</c:v>
                </c:pt>
                <c:pt idx="1551">
                  <c:v>1.8603679126088634E-3</c:v>
                </c:pt>
                <c:pt idx="1552">
                  <c:v>1.8313076745651163E-3</c:v>
                </c:pt>
                <c:pt idx="1553">
                  <c:v>1.8380672000459363E-3</c:v>
                </c:pt>
                <c:pt idx="1554">
                  <c:v>1.8691855742600859E-3</c:v>
                </c:pt>
                <c:pt idx="1555">
                  <c:v>1.8822982233006348E-3</c:v>
                </c:pt>
                <c:pt idx="1556">
                  <c:v>1.8691855742600859E-3</c:v>
                </c:pt>
                <c:pt idx="1557">
                  <c:v>1.8313076745651163E-3</c:v>
                </c:pt>
                <c:pt idx="1558">
                  <c:v>1.8039643868155882E-3</c:v>
                </c:pt>
                <c:pt idx="1559">
                  <c:v>1.8335643258424611E-3</c:v>
                </c:pt>
                <c:pt idx="1560">
                  <c:v>1.8470306862203123E-3</c:v>
                </c:pt>
                <c:pt idx="1561">
                  <c:v>1.8713805835203149E-3</c:v>
                </c:pt>
                <c:pt idx="1562">
                  <c:v>1.8779427261313587E-3</c:v>
                </c:pt>
                <c:pt idx="1563">
                  <c:v>1.8403133837522805E-3</c:v>
                </c:pt>
                <c:pt idx="1564">
                  <c:v>1.8425560390681031E-3</c:v>
                </c:pt>
                <c:pt idx="1565">
                  <c:v>1.8358175075412972E-3</c:v>
                </c:pt>
                <c:pt idx="1566">
                  <c:v>1.8470306862203123E-3</c:v>
                </c:pt>
                <c:pt idx="1567">
                  <c:v>1.8691855742600859E-3</c:v>
                </c:pt>
                <c:pt idx="1568">
                  <c:v>1.849262638934128E-3</c:v>
                </c:pt>
                <c:pt idx="1569">
                  <c:v>1.8403133837522805E-3</c:v>
                </c:pt>
                <c:pt idx="1570">
                  <c:v>1.7970549268485419E-3</c:v>
                </c:pt>
                <c:pt idx="1571">
                  <c:v>1.7877982445720431E-3</c:v>
                </c:pt>
                <c:pt idx="1572">
                  <c:v>1.7877982445720431E-3</c:v>
                </c:pt>
                <c:pt idx="1573">
                  <c:v>1.849262638934128E-3</c:v>
                </c:pt>
                <c:pt idx="1574">
                  <c:v>1.8514909850128481E-3</c:v>
                </c:pt>
                <c:pt idx="1575">
                  <c:v>1.8691855742600859E-3</c:v>
                </c:pt>
                <c:pt idx="1576">
                  <c:v>1.8757591788280833E-3</c:v>
                </c:pt>
                <c:pt idx="1577">
                  <c:v>1.8358175075412972E-3</c:v>
                </c:pt>
                <c:pt idx="1578">
                  <c:v>1.7947454384172441E-3</c:v>
                </c:pt>
                <c:pt idx="1579">
                  <c:v>1.849262638934128E-3</c:v>
                </c:pt>
                <c:pt idx="1580">
                  <c:v>1.8358175075412972E-3</c:v>
                </c:pt>
                <c:pt idx="1581">
                  <c:v>1.8016644208071464E-3</c:v>
                </c:pt>
                <c:pt idx="1582">
                  <c:v>1.7947454384172441E-3</c:v>
                </c:pt>
                <c:pt idx="1583">
                  <c:v>1.7947454384172441E-3</c:v>
                </c:pt>
                <c:pt idx="1584">
                  <c:v>1.8425560390681031E-3</c:v>
                </c:pt>
                <c:pt idx="1585">
                  <c:v>1.8603679126088634E-3</c:v>
                </c:pt>
                <c:pt idx="1586">
                  <c:v>1.880122414065648E-3</c:v>
                </c:pt>
                <c:pt idx="1587">
                  <c:v>1.8470306862203123E-3</c:v>
                </c:pt>
                <c:pt idx="1588">
                  <c:v>1.8669867831188328E-3</c:v>
                </c:pt>
                <c:pt idx="1589">
                  <c:v>1.8735717915030889E-3</c:v>
                </c:pt>
                <c:pt idx="1590">
                  <c:v>1.9415682393493046E-3</c:v>
                </c:pt>
                <c:pt idx="1591">
                  <c:v>1.9915659751492303E-3</c:v>
                </c:pt>
                <c:pt idx="1592">
                  <c:v>1.9739039918026569E-3</c:v>
                </c:pt>
                <c:pt idx="1593">
                  <c:v>1.9395088040621263E-3</c:v>
                </c:pt>
                <c:pt idx="1594">
                  <c:v>1.8669867831188328E-3</c:v>
                </c:pt>
                <c:pt idx="1595">
                  <c:v>1.8603679126088634E-3</c:v>
                </c:pt>
                <c:pt idx="1596">
                  <c:v>1.8603679126088634E-3</c:v>
                </c:pt>
                <c:pt idx="1597">
                  <c:v>1.8514909850128481E-3</c:v>
                </c:pt>
                <c:pt idx="1598">
                  <c:v>1.8176960056202408E-3</c:v>
                </c:pt>
                <c:pt idx="1599">
                  <c:v>1.7877982445720431E-3</c:v>
                </c:pt>
                <c:pt idx="1600">
                  <c:v>1.8108449239994827E-3</c:v>
                </c:pt>
                <c:pt idx="1601">
                  <c:v>1.8380672000459363E-3</c:v>
                </c:pt>
                <c:pt idx="1602">
                  <c:v>1.8267840417939066E-3</c:v>
                </c:pt>
                <c:pt idx="1603">
                  <c:v>1.8335643258424611E-3</c:v>
                </c:pt>
                <c:pt idx="1604">
                  <c:v>1.8313076745651163E-3</c:v>
                </c:pt>
                <c:pt idx="1605">
                  <c:v>1.8669867831188328E-3</c:v>
                </c:pt>
                <c:pt idx="1606">
                  <c:v>1.9017027842014886E-3</c:v>
                </c:pt>
                <c:pt idx="1607">
                  <c:v>1.8779427261313587E-3</c:v>
                </c:pt>
                <c:pt idx="1608">
                  <c:v>1.8245170995868309E-3</c:v>
                </c:pt>
                <c:pt idx="1609">
                  <c:v>1.7901170774994798E-3</c:v>
                </c:pt>
                <c:pt idx="1610">
                  <c:v>1.8199730618256287E-3</c:v>
                </c:pt>
                <c:pt idx="1611">
                  <c:v>1.8199730618256287E-3</c:v>
                </c:pt>
                <c:pt idx="1612">
                  <c:v>1.8085546581486016E-3</c:v>
                </c:pt>
                <c:pt idx="1613">
                  <c:v>1.8625779328578019E-3</c:v>
                </c:pt>
                <c:pt idx="1614">
                  <c:v>1.8514909850128481E-3</c:v>
                </c:pt>
                <c:pt idx="1615">
                  <c:v>1.8470306862203123E-3</c:v>
                </c:pt>
                <c:pt idx="1616">
                  <c:v>1.8822982233006348E-3</c:v>
                </c:pt>
                <c:pt idx="1617">
                  <c:v>1.8403133837522805E-3</c:v>
                </c:pt>
                <c:pt idx="1618">
                  <c:v>1.8154156174470489E-3</c:v>
                </c:pt>
                <c:pt idx="1619">
                  <c:v>1.8559367791639559E-3</c:v>
                </c:pt>
                <c:pt idx="1620">
                  <c:v>1.8267840417939066E-3</c:v>
                </c:pt>
                <c:pt idx="1621">
                  <c:v>1.8313076745651163E-3</c:v>
                </c:pt>
                <c:pt idx="1622">
                  <c:v>1.8199730618256287E-3</c:v>
                </c:pt>
                <c:pt idx="1623">
                  <c:v>1.8559367791639559E-3</c:v>
                </c:pt>
                <c:pt idx="1624">
                  <c:v>1.8995627501868727E-3</c:v>
                </c:pt>
                <c:pt idx="1625">
                  <c:v>1.893118413647472E-3</c:v>
                </c:pt>
                <c:pt idx="1626">
                  <c:v>1.9017027842014886E-3</c:v>
                </c:pt>
                <c:pt idx="1627">
                  <c:v>1.92287607012287E-3</c:v>
                </c:pt>
                <c:pt idx="1628">
                  <c:v>1.9333041016951213E-3</c:v>
                </c:pt>
                <c:pt idx="1629">
                  <c:v>1.9778624288553262E-3</c:v>
                </c:pt>
                <c:pt idx="1630">
                  <c:v>1.9973659417513168E-3</c:v>
                </c:pt>
                <c:pt idx="1631">
                  <c:v>1.8691855742600859E-3</c:v>
                </c:pt>
                <c:pt idx="1632">
                  <c:v>1.8131319170043444E-3</c:v>
                </c:pt>
                <c:pt idx="1633">
                  <c:v>1.7970549268485419E-3</c:v>
                </c:pt>
                <c:pt idx="1634">
                  <c:v>1.7877982445720431E-3</c:v>
                </c:pt>
                <c:pt idx="1635">
                  <c:v>1.8290475733362577E-3</c:v>
                </c:pt>
                <c:pt idx="1636">
                  <c:v>1.8176960056202408E-3</c:v>
                </c:pt>
                <c:pt idx="1637">
                  <c:v>1.7831513727230616E-3</c:v>
                </c:pt>
                <c:pt idx="1638">
                  <c:v>1.7784923582047404E-3</c:v>
                </c:pt>
                <c:pt idx="1639">
                  <c:v>1.7550206940382903E-3</c:v>
                </c:pt>
                <c:pt idx="1640">
                  <c:v>1.7360409734682801E-3</c:v>
                </c:pt>
                <c:pt idx="1641">
                  <c:v>1.7240922370112303E-3</c:v>
                </c:pt>
                <c:pt idx="1642">
                  <c:v>1.7120800078068443E-3</c:v>
                </c:pt>
                <c:pt idx="1643">
                  <c:v>1.7408021343373E-3</c:v>
                </c:pt>
                <c:pt idx="1644">
                  <c:v>1.7168923598626586E-3</c:v>
                </c:pt>
                <c:pt idx="1645">
                  <c:v>1.7288794896497311E-3</c:v>
                </c:pt>
                <c:pt idx="1646">
                  <c:v>1.7784923582047404E-3</c:v>
                </c:pt>
                <c:pt idx="1647">
                  <c:v>1.7120800078068443E-3</c:v>
                </c:pt>
                <c:pt idx="1648">
                  <c:v>1.7096701611077486E-3</c:v>
                </c:pt>
                <c:pt idx="1649">
                  <c:v>1.6903059086548519E-3</c:v>
                </c:pt>
                <c:pt idx="1650">
                  <c:v>1.6830064438659968E-3</c:v>
                </c:pt>
                <c:pt idx="1651">
                  <c:v>1.6830064438659968E-3</c:v>
                </c:pt>
                <c:pt idx="1652">
                  <c:v>1.6732430774757741E-3</c:v>
                </c:pt>
                <c:pt idx="1653">
                  <c:v>1.5915149150412821E-3</c:v>
                </c:pt>
                <c:pt idx="1654">
                  <c:v>1.5462129270622201E-3</c:v>
                </c:pt>
                <c:pt idx="1655">
                  <c:v>1.5739481593204012E-3</c:v>
                </c:pt>
                <c:pt idx="1656">
                  <c:v>1.6040186652926316E-3</c:v>
                </c:pt>
                <c:pt idx="1657">
                  <c:v>1.6090092808535808E-3</c:v>
                </c:pt>
                <c:pt idx="1658">
                  <c:v>1.6239417842373051E-3</c:v>
                </c:pt>
                <c:pt idx="1659">
                  <c:v>1.6164830556959788E-3</c:v>
                </c:pt>
                <c:pt idx="1660">
                  <c:v>1.5714331003436515E-3</c:v>
                </c:pt>
                <c:pt idx="1661">
                  <c:v>1.6040186652926316E-3</c:v>
                </c:pt>
                <c:pt idx="1662">
                  <c:v>1.5890096555492051E-3</c:v>
                </c:pt>
                <c:pt idx="1663">
                  <c:v>1.6015209862338859E-3</c:v>
                </c:pt>
                <c:pt idx="1664">
                  <c:v>1.5940186972499104E-3</c:v>
                </c:pt>
                <c:pt idx="1665">
                  <c:v>1.5714331003436515E-3</c:v>
                </c:pt>
                <c:pt idx="1666">
                  <c:v>1.5689167186012736E-3</c:v>
                </c:pt>
                <c:pt idx="1667">
                  <c:v>1.5990217522554044E-3</c:v>
                </c:pt>
                <c:pt idx="1668">
                  <c:v>1.5689167186012736E-3</c:v>
                </c:pt>
                <c:pt idx="1669">
                  <c:v>1.6015209862338859E-3</c:v>
                </c:pt>
                <c:pt idx="1670">
                  <c:v>1.5764618762748807E-3</c:v>
                </c:pt>
                <c:pt idx="1671">
                  <c:v>1.528490358244176E-3</c:v>
                </c:pt>
                <c:pt idx="1672">
                  <c:v>1.4903569903834191E-3</c:v>
                </c:pt>
                <c:pt idx="1673">
                  <c:v>1.4367130430930437E-3</c:v>
                </c:pt>
                <c:pt idx="1674">
                  <c:v>1.4367130430930437E-3</c:v>
                </c:pt>
                <c:pt idx="1675">
                  <c:v>1.3931715459864992E-3</c:v>
                </c:pt>
                <c:pt idx="1676">
                  <c:v>1.4187908227394062E-3</c:v>
                </c:pt>
                <c:pt idx="1677">
                  <c:v>1.4264733742704956E-3</c:v>
                </c:pt>
                <c:pt idx="1678">
                  <c:v>1.4315938017488404E-3</c:v>
                </c:pt>
                <c:pt idx="1679">
                  <c:v>1.3854843681536885E-3</c:v>
                </c:pt>
                <c:pt idx="1680">
                  <c:v>1.3829219960750313E-3</c:v>
                </c:pt>
                <c:pt idx="1681">
                  <c:v>1.4546189649544488E-3</c:v>
                </c:pt>
                <c:pt idx="1682">
                  <c:v>1.4008584493020954E-3</c:v>
                </c:pt>
                <c:pt idx="1683">
                  <c:v>1.3957339009429577E-3</c:v>
                </c:pt>
                <c:pt idx="1684">
                  <c:v>1.3931715459864992E-3</c:v>
                </c:pt>
                <c:pt idx="1685">
                  <c:v>1.3598644910480283E-3</c:v>
                </c:pt>
                <c:pt idx="1686">
                  <c:v>1.28828577696545E-3</c:v>
                </c:pt>
                <c:pt idx="1687">
                  <c:v>1.2679138340946209E-3</c:v>
                </c:pt>
                <c:pt idx="1688">
                  <c:v>1.2933856664641616E-3</c:v>
                </c:pt>
                <c:pt idx="1689">
                  <c:v>1.2730024225078992E-3</c:v>
                </c:pt>
                <c:pt idx="1690">
                  <c:v>1.2806409209415242E-3</c:v>
                </c:pt>
                <c:pt idx="1691">
                  <c:v>1.2577462104040812E-3</c:v>
                </c:pt>
                <c:pt idx="1692">
                  <c:v>1.2653707104592238E-3</c:v>
                </c:pt>
                <c:pt idx="1693">
                  <c:v>1.2831885211500931E-3</c:v>
                </c:pt>
                <c:pt idx="1694">
                  <c:v>1.2806409209415242E-3</c:v>
                </c:pt>
                <c:pt idx="1695">
                  <c:v>1.2679138340946209E-3</c:v>
                </c:pt>
                <c:pt idx="1696">
                  <c:v>1.2780940271578255E-3</c:v>
                </c:pt>
                <c:pt idx="1697">
                  <c:v>1.2730024225078992E-3</c:v>
                </c:pt>
                <c:pt idx="1698">
                  <c:v>1.2831885211500931E-3</c:v>
                </c:pt>
                <c:pt idx="1699">
                  <c:v>1.3086998464514343E-3</c:v>
                </c:pt>
                <c:pt idx="1700">
                  <c:v>1.3061460661130673E-3</c:v>
                </c:pt>
                <c:pt idx="1701">
                  <c:v>1.2984880608905458E-3</c:v>
                </c:pt>
                <c:pt idx="1702">
                  <c:v>1.3470607642648205E-3</c:v>
                </c:pt>
                <c:pt idx="1703">
                  <c:v>1.3317056906539506E-3</c:v>
                </c:pt>
                <c:pt idx="1704">
                  <c:v>1.3035928308775559E-3</c:v>
                </c:pt>
                <c:pt idx="1705">
                  <c:v>1.3649874611222814E-3</c:v>
                </c:pt>
                <c:pt idx="1706">
                  <c:v>1.3547422981954574E-3</c:v>
                </c:pt>
                <c:pt idx="1707">
                  <c:v>1.4136680565259364E-3</c:v>
                </c:pt>
                <c:pt idx="1708">
                  <c:v>1.3854843681536885E-3</c:v>
                </c:pt>
                <c:pt idx="1709">
                  <c:v>1.3880467621197531E-3</c:v>
                </c:pt>
                <c:pt idx="1710">
                  <c:v>1.3445007888988109E-3</c:v>
                </c:pt>
                <c:pt idx="1711">
                  <c:v>1.3086998464514343E-3</c:v>
                </c:pt>
                <c:pt idx="1712">
                  <c:v>1.3214763514566876E-3</c:v>
                </c:pt>
                <c:pt idx="1713">
                  <c:v>1.326590194393041E-3</c:v>
                </c:pt>
                <c:pt idx="1714">
                  <c:v>1.3777973871130318E-3</c:v>
                </c:pt>
                <c:pt idx="1715">
                  <c:v>1.4136680565259364E-3</c:v>
                </c:pt>
                <c:pt idx="1716">
                  <c:v>1.4187908227394062E-3</c:v>
                </c:pt>
                <c:pt idx="1717">
                  <c:v>1.3906091605493831E-3</c:v>
                </c:pt>
                <c:pt idx="1718">
                  <c:v>1.3573032889359299E-3</c:v>
                </c:pt>
                <c:pt idx="1719">
                  <c:v>1.380359663275203E-3</c:v>
                </c:pt>
                <c:pt idx="1720">
                  <c:v>1.3854843681536885E-3</c:v>
                </c:pt>
                <c:pt idx="1721">
                  <c:v>1.4085446042086973E-3</c:v>
                </c:pt>
                <c:pt idx="1722">
                  <c:v>1.4162295342761055E-3</c:v>
                </c:pt>
                <c:pt idx="1723">
                  <c:v>1.4162295342761055E-3</c:v>
                </c:pt>
                <c:pt idx="1724">
                  <c:v>1.4008584493020954E-3</c:v>
                </c:pt>
                <c:pt idx="1725">
                  <c:v>1.3906091605493831E-3</c:v>
                </c:pt>
                <c:pt idx="1726">
                  <c:v>1.3342640171708528E-3</c:v>
                </c:pt>
                <c:pt idx="1727">
                  <c:v>1.3112541555519103E-3</c:v>
                </c:pt>
                <c:pt idx="1728">
                  <c:v>1.3393817434419963E-3</c:v>
                </c:pt>
                <c:pt idx="1729">
                  <c:v>1.4341535796721543E-3</c:v>
                </c:pt>
                <c:pt idx="1730">
                  <c:v>1.4136680565259364E-3</c:v>
                </c:pt>
                <c:pt idx="1731">
                  <c:v>1.4034206075697964E-3</c:v>
                </c:pt>
                <c:pt idx="1732">
                  <c:v>1.3957339009429577E-3</c:v>
                </c:pt>
                <c:pt idx="1733">
                  <c:v>1.3496210188883476E-3</c:v>
                </c:pt>
                <c:pt idx="1734">
                  <c:v>1.3112541555519103E-3</c:v>
                </c:pt>
                <c:pt idx="1735">
                  <c:v>1.2653707104592238E-3</c:v>
                </c:pt>
                <c:pt idx="1736">
                  <c:v>1.229858203697825E-3</c:v>
                </c:pt>
                <c:pt idx="1737">
                  <c:v>1.2172213042403292E-3</c:v>
                </c:pt>
                <c:pt idx="1738">
                  <c:v>1.2577462104040812E-3</c:v>
                </c:pt>
                <c:pt idx="1739">
                  <c:v>1.2984880608905458E-3</c:v>
                </c:pt>
                <c:pt idx="1740">
                  <c:v>1.316364294489718E-3</c:v>
                </c:pt>
                <c:pt idx="1741">
                  <c:v>1.3368227070145098E-3</c:v>
                </c:pt>
                <c:pt idx="1742">
                  <c:v>1.3317056906539506E-3</c:v>
                </c:pt>
                <c:pt idx="1743">
                  <c:v>1.3573032889359299E-3</c:v>
                </c:pt>
                <c:pt idx="1744">
                  <c:v>1.2908354005372335E-3</c:v>
                </c:pt>
                <c:pt idx="1745">
                  <c:v>1.3214763514566876E-3</c:v>
                </c:pt>
                <c:pt idx="1746">
                  <c:v>1.2959365586325603E-3</c:v>
                </c:pt>
                <c:pt idx="1747">
                  <c:v>1.2628283881829351E-3</c:v>
                </c:pt>
                <c:pt idx="1748">
                  <c:v>1.2933856664641616E-3</c:v>
                </c:pt>
                <c:pt idx="1749">
                  <c:v>1.2857368118241288E-3</c:v>
                </c:pt>
                <c:pt idx="1750">
                  <c:v>1.3240330579553385E-3</c:v>
                </c:pt>
                <c:pt idx="1751">
                  <c:v>1.3649874611222814E-3</c:v>
                </c:pt>
                <c:pt idx="1752">
                  <c:v>1.3470607642648205E-3</c:v>
                </c:pt>
                <c:pt idx="1753">
                  <c:v>1.3214763514566876E-3</c:v>
                </c:pt>
                <c:pt idx="1754">
                  <c:v>1.3496210188883476E-3</c:v>
                </c:pt>
                <c:pt idx="1755">
                  <c:v>1.3598644910480283E-3</c:v>
                </c:pt>
                <c:pt idx="1756">
                  <c:v>1.3880467621197531E-3</c:v>
                </c:pt>
                <c:pt idx="1757">
                  <c:v>1.3931715459864992E-3</c:v>
                </c:pt>
                <c:pt idx="1758">
                  <c:v>1.3982962078987323E-3</c:v>
                </c:pt>
                <c:pt idx="1759">
                  <c:v>1.3726730739729413E-3</c:v>
                </c:pt>
                <c:pt idx="1760">
                  <c:v>1.3777973871130318E-3</c:v>
                </c:pt>
                <c:pt idx="1761">
                  <c:v>1.3931715459864992E-3</c:v>
                </c:pt>
                <c:pt idx="1762">
                  <c:v>1.3906091605493831E-3</c:v>
                </c:pt>
                <c:pt idx="1763">
                  <c:v>1.4213519041170813E-3</c:v>
                </c:pt>
                <c:pt idx="1764">
                  <c:v>1.4008584493020954E-3</c:v>
                </c:pt>
                <c:pt idx="1765">
                  <c:v>1.3982962078987323E-3</c:v>
                </c:pt>
                <c:pt idx="1766">
                  <c:v>1.4954521348683454E-3</c:v>
                </c:pt>
                <c:pt idx="1767">
                  <c:v>1.5563156411630306E-3</c:v>
                </c:pt>
                <c:pt idx="1768">
                  <c:v>1.5990217522554044E-3</c:v>
                </c:pt>
                <c:pt idx="1769">
                  <c:v>1.541154706515316E-3</c:v>
                </c:pt>
                <c:pt idx="1770">
                  <c:v>1.6164830556959788E-3</c:v>
                </c:pt>
                <c:pt idx="1771">
                  <c:v>1.6585347111438514E-3</c:v>
                </c:pt>
                <c:pt idx="1772">
                  <c:v>1.6683485729666807E-3</c:v>
                </c:pt>
                <c:pt idx="1773">
                  <c:v>1.6412840053868347E-3</c:v>
                </c:pt>
                <c:pt idx="1774">
                  <c:v>1.6363381288779289E-3</c:v>
                </c:pt>
                <c:pt idx="1775">
                  <c:v>1.6585347111438514E-3</c:v>
                </c:pt>
                <c:pt idx="1776">
                  <c:v>1.6511531897555264E-3</c:v>
                </c:pt>
                <c:pt idx="1777">
                  <c:v>1.6363381288779289E-3</c:v>
                </c:pt>
                <c:pt idx="1778">
                  <c:v>1.6313849389025525E-3</c:v>
                </c:pt>
                <c:pt idx="1779">
                  <c:v>1.6164830556959788E-3</c:v>
                </c:pt>
                <c:pt idx="1780">
                  <c:v>1.6264245923052832E-3</c:v>
                </c:pt>
                <c:pt idx="1781">
                  <c:v>1.5990217522554044E-3</c:v>
                </c:pt>
                <c:pt idx="1782">
                  <c:v>1.5462129270622201E-3</c:v>
                </c:pt>
                <c:pt idx="1783">
                  <c:v>1.5462129270622201E-3</c:v>
                </c:pt>
                <c:pt idx="1784">
                  <c:v>1.5789742319333815E-3</c:v>
                </c:pt>
                <c:pt idx="1785">
                  <c:v>1.5563156411630306E-3</c:v>
                </c:pt>
                <c:pt idx="1786">
                  <c:v>1.5764618762748807E-3</c:v>
                </c:pt>
                <c:pt idx="1787">
                  <c:v>1.6536156693854071E-3</c:v>
                </c:pt>
                <c:pt idx="1788">
                  <c:v>1.6951609407766337E-3</c:v>
                </c:pt>
                <c:pt idx="1789">
                  <c:v>1.7096701611077486E-3</c:v>
                </c:pt>
                <c:pt idx="1790">
                  <c:v>1.7479237361073426E-3</c:v>
                </c:pt>
                <c:pt idx="1791">
                  <c:v>1.7312692567904603E-3</c:v>
                </c:pt>
                <c:pt idx="1792">
                  <c:v>1.6683485729666807E-3</c:v>
                </c:pt>
                <c:pt idx="1793">
                  <c:v>1.6975850141175339E-3</c:v>
                </c:pt>
                <c:pt idx="1794">
                  <c:v>1.6634457315749477E-3</c:v>
                </c:pt>
                <c:pt idx="1795">
                  <c:v>1.6585347111438514E-3</c:v>
                </c:pt>
                <c:pt idx="1796">
                  <c:v>1.6756871540394374E-3</c:v>
                </c:pt>
                <c:pt idx="1797">
                  <c:v>1.6585347111438514E-3</c:v>
                </c:pt>
                <c:pt idx="1798">
                  <c:v>1.6830064438659968E-3</c:v>
                </c:pt>
                <c:pt idx="1799">
                  <c:v>1.656076183078898E-3</c:v>
                </c:pt>
                <c:pt idx="1800">
                  <c:v>1.6264245923052832E-3</c:v>
                </c:pt>
                <c:pt idx="1801">
                  <c:v>1.6511531897555264E-3</c:v>
                </c:pt>
                <c:pt idx="1802">
                  <c:v>1.6732430774757741E-3</c:v>
                </c:pt>
                <c:pt idx="1803">
                  <c:v>1.6756871540394374E-3</c:v>
                </c:pt>
                <c:pt idx="1804">
                  <c:v>1.7384228833043894E-3</c:v>
                </c:pt>
                <c:pt idx="1805">
                  <c:v>1.7072578937395633E-3</c:v>
                </c:pt>
                <c:pt idx="1806">
                  <c:v>1.6975850141175339E-3</c:v>
                </c:pt>
                <c:pt idx="1807">
                  <c:v>1.7192948255446473E-3</c:v>
                </c:pt>
                <c:pt idx="1808">
                  <c:v>1.6878749894784402E-3</c:v>
                </c:pt>
                <c:pt idx="1809">
                  <c:v>1.6951609407766337E-3</c:v>
                </c:pt>
                <c:pt idx="1810">
                  <c:v>1.6854418279525804E-3</c:v>
                </c:pt>
                <c:pt idx="1811">
                  <c:v>1.6214572457468113E-3</c:v>
                </c:pt>
                <c:pt idx="1812">
                  <c:v>1.5208796186691905E-3</c:v>
                </c:pt>
                <c:pt idx="1813">
                  <c:v>1.5081764719875553E-3</c:v>
                </c:pt>
                <c:pt idx="1814">
                  <c:v>1.505633224846795E-3</c:v>
                </c:pt>
                <c:pt idx="1815">
                  <c:v>1.5005442627571621E-3</c:v>
                </c:pt>
                <c:pt idx="1816">
                  <c:v>1.5107188715567032E-3</c:v>
                </c:pt>
                <c:pt idx="1817">
                  <c:v>1.5563156411630306E-3</c:v>
                </c:pt>
                <c:pt idx="1818">
                  <c:v>1.5940186972499104E-3</c:v>
                </c:pt>
                <c:pt idx="1819">
                  <c:v>1.6115021784218573E-3</c:v>
                </c:pt>
                <c:pt idx="1820">
                  <c:v>1.541154706515316E-3</c:v>
                </c:pt>
                <c:pt idx="1821">
                  <c:v>1.5714331003436515E-3</c:v>
                </c:pt>
                <c:pt idx="1822">
                  <c:v>1.5764618762748807E-3</c:v>
                </c:pt>
                <c:pt idx="1823">
                  <c:v>1.5839947821836785E-3</c:v>
                </c:pt>
                <c:pt idx="1824">
                  <c:v>1.5613598290858152E-3</c:v>
                </c:pt>
                <c:pt idx="1825">
                  <c:v>1.6164830556959788E-3</c:v>
                </c:pt>
                <c:pt idx="1826">
                  <c:v>1.5965209827885278E-3</c:v>
                </c:pt>
                <c:pt idx="1827">
                  <c:v>1.6139934432030318E-3</c:v>
                </c:pt>
                <c:pt idx="1828">
                  <c:v>1.5915149150412821E-3</c:v>
                </c:pt>
                <c:pt idx="1829">
                  <c:v>1.5814852070053606E-3</c:v>
                </c:pt>
                <c:pt idx="1830">
                  <c:v>1.5310253001637004E-3</c:v>
                </c:pt>
                <c:pt idx="1831">
                  <c:v>1.505633224846795E-3</c:v>
                </c:pt>
                <c:pt idx="1832">
                  <c:v>1.4979985852035321E-3</c:v>
                </c:pt>
                <c:pt idx="1833">
                  <c:v>1.4878083334384806E-3</c:v>
                </c:pt>
                <c:pt idx="1834">
                  <c:v>1.5234174985977061E-3</c:v>
                </c:pt>
                <c:pt idx="1835">
                  <c:v>1.5310253001637004E-3</c:v>
                </c:pt>
                <c:pt idx="1836">
                  <c:v>1.5208796186691905E-3</c:v>
                </c:pt>
                <c:pt idx="1837">
                  <c:v>1.5158010529357612E-3</c:v>
                </c:pt>
                <c:pt idx="1838">
                  <c:v>1.5462129270622201E-3</c:v>
                </c:pt>
                <c:pt idx="1839">
                  <c:v>1.5436843728566594E-3</c:v>
                </c:pt>
                <c:pt idx="1840">
                  <c:v>1.5208796186691905E-3</c:v>
                </c:pt>
                <c:pt idx="1841">
                  <c:v>1.4979985852035321E-3</c:v>
                </c:pt>
                <c:pt idx="1842">
                  <c:v>1.464841213845378E-3</c:v>
                </c:pt>
                <c:pt idx="1843">
                  <c:v>1.4673954907738376E-3</c:v>
                </c:pt>
                <c:pt idx="1844">
                  <c:v>1.4801582465092647E-3</c:v>
                </c:pt>
                <c:pt idx="1845">
                  <c:v>1.4699492169515627E-3</c:v>
                </c:pt>
                <c:pt idx="1846">
                  <c:v>1.4750549435776062E-3</c:v>
                </c:pt>
                <c:pt idx="1847">
                  <c:v>1.4315938017488404E-3</c:v>
                </c:pt>
                <c:pt idx="1848">
                  <c:v>1.4469473912217916E-3</c:v>
                </c:pt>
                <c:pt idx="1849">
                  <c:v>1.4801582465092647E-3</c:v>
                </c:pt>
                <c:pt idx="1850">
                  <c:v>1.4725023740157787E-3</c:v>
                </c:pt>
                <c:pt idx="1851">
                  <c:v>1.4776069072222611E-3</c:v>
                </c:pt>
                <c:pt idx="1852">
                  <c:v>1.4495050114835383E-3</c:v>
                </c:pt>
                <c:pt idx="1853">
                  <c:v>1.3982962078987323E-3</c:v>
                </c:pt>
                <c:pt idx="1854">
                  <c:v>1.3931715459864992E-3</c:v>
                </c:pt>
                <c:pt idx="1855">
                  <c:v>1.4367130430930437E-3</c:v>
                </c:pt>
                <c:pt idx="1856">
                  <c:v>1.4622864045026438E-3</c:v>
                </c:pt>
                <c:pt idx="1857">
                  <c:v>1.4341535796721543E-3</c:v>
                </c:pt>
                <c:pt idx="1858">
                  <c:v>1.429033727299263E-3</c:v>
                </c:pt>
                <c:pt idx="1859">
                  <c:v>1.3931715459864992E-3</c:v>
                </c:pt>
                <c:pt idx="1860">
                  <c:v>1.4187908227394062E-3</c:v>
                </c:pt>
                <c:pt idx="1861">
                  <c:v>1.4341535796721543E-3</c:v>
                </c:pt>
                <c:pt idx="1862">
                  <c:v>1.429033727299263E-3</c:v>
                </c:pt>
                <c:pt idx="1863">
                  <c:v>1.3470607642648205E-3</c:v>
                </c:pt>
                <c:pt idx="1864">
                  <c:v>1.3317056906539506E-3</c:v>
                </c:pt>
                <c:pt idx="1865">
                  <c:v>1.3342640171708528E-3</c:v>
                </c:pt>
                <c:pt idx="1866">
                  <c:v>1.3368227070145098E-3</c:v>
                </c:pt>
                <c:pt idx="1867">
                  <c:v>1.3470607642648205E-3</c:v>
                </c:pt>
                <c:pt idx="1868">
                  <c:v>1.3649874611222814E-3</c:v>
                </c:pt>
                <c:pt idx="1869">
                  <c:v>1.3470607642648205E-3</c:v>
                </c:pt>
                <c:pt idx="1870">
                  <c:v>1.3214763514566876E-3</c:v>
                </c:pt>
                <c:pt idx="1871">
                  <c:v>1.326590194393041E-3</c:v>
                </c:pt>
                <c:pt idx="1872">
                  <c:v>1.3470607642648205E-3</c:v>
                </c:pt>
                <c:pt idx="1873">
                  <c:v>1.4187908227394062E-3</c:v>
                </c:pt>
                <c:pt idx="1874">
                  <c:v>1.4085446042086973E-3</c:v>
                </c:pt>
                <c:pt idx="1875">
                  <c:v>1.4392721740064478E-3</c:v>
                </c:pt>
                <c:pt idx="1876">
                  <c:v>1.4699492169515627E-3</c:v>
                </c:pt>
                <c:pt idx="1877">
                  <c:v>1.4571752617874136E-3</c:v>
                </c:pt>
                <c:pt idx="1878">
                  <c:v>1.4162295342761055E-3</c:v>
                </c:pt>
                <c:pt idx="1879">
                  <c:v>1.4034206075697964E-3</c:v>
                </c:pt>
                <c:pt idx="1880">
                  <c:v>1.4264733742704956E-3</c:v>
                </c:pt>
                <c:pt idx="1881">
                  <c:v>1.429033727299263E-3</c:v>
                </c:pt>
                <c:pt idx="1882">
                  <c:v>1.4878083334384806E-3</c:v>
                </c:pt>
                <c:pt idx="1883">
                  <c:v>1.4239127605803288E-3</c:v>
                </c:pt>
                <c:pt idx="1884">
                  <c:v>1.4546189649544488E-3</c:v>
                </c:pt>
                <c:pt idx="1885">
                  <c:v>1.4673954907738376E-3</c:v>
                </c:pt>
                <c:pt idx="1886">
                  <c:v>1.5638800637594421E-3</c:v>
                </c:pt>
                <c:pt idx="1887">
                  <c:v>1.5537917262309817E-3</c:v>
                </c:pt>
                <c:pt idx="1888">
                  <c:v>1.5739481593204012E-3</c:v>
                </c:pt>
                <c:pt idx="1889">
                  <c:v>1.5814852070053606E-3</c:v>
                </c:pt>
                <c:pt idx="1890">
                  <c:v>1.5462129270622201E-3</c:v>
                </c:pt>
                <c:pt idx="1891">
                  <c:v>1.5436843728566594E-3</c:v>
                </c:pt>
                <c:pt idx="1892">
                  <c:v>1.5360921135400042E-3</c:v>
                </c:pt>
                <c:pt idx="1893">
                  <c:v>1.5462129270622201E-3</c:v>
                </c:pt>
                <c:pt idx="1894">
                  <c:v>1.5234174985977061E-3</c:v>
                </c:pt>
                <c:pt idx="1895">
                  <c:v>1.5588383484977486E-3</c:v>
                </c:pt>
                <c:pt idx="1896">
                  <c:v>1.5512666228322265E-3</c:v>
                </c:pt>
                <c:pt idx="1897">
                  <c:v>1.5335592249130024E-3</c:v>
                </c:pt>
                <c:pt idx="1898">
                  <c:v>1.4979985852035321E-3</c:v>
                </c:pt>
                <c:pt idx="1899">
                  <c:v>1.4979985852035321E-3</c:v>
                </c:pt>
                <c:pt idx="1900">
                  <c:v>1.4878083334384806E-3</c:v>
                </c:pt>
                <c:pt idx="1901">
                  <c:v>1.505633224846795E-3</c:v>
                </c:pt>
                <c:pt idx="1902">
                  <c:v>1.5487403500784602E-3</c:v>
                </c:pt>
                <c:pt idx="1903">
                  <c:v>1.5158010529357612E-3</c:v>
                </c:pt>
                <c:pt idx="1904">
                  <c:v>1.5613598290858152E-3</c:v>
                </c:pt>
                <c:pt idx="1905">
                  <c:v>1.5814852070053606E-3</c:v>
                </c:pt>
                <c:pt idx="1906">
                  <c:v>1.6338624382665468E-3</c:v>
                </c:pt>
                <c:pt idx="1907">
                  <c:v>1.7360409734682801E-3</c:v>
                </c:pt>
                <c:pt idx="1908">
                  <c:v>1.8039643868155882E-3</c:v>
                </c:pt>
                <c:pt idx="1909">
                  <c:v>1.8199730618256287E-3</c:v>
                </c:pt>
                <c:pt idx="1910">
                  <c:v>1.8290475733362577E-3</c:v>
                </c:pt>
                <c:pt idx="1911">
                  <c:v>1.8537157049278205E-3</c:v>
                </c:pt>
                <c:pt idx="1912">
                  <c:v>1.8537157049278205E-3</c:v>
                </c:pt>
                <c:pt idx="1913">
                  <c:v>1.8313076745651163E-3</c:v>
                </c:pt>
                <c:pt idx="1914">
                  <c:v>1.8199730618256287E-3</c:v>
                </c:pt>
                <c:pt idx="1915">
                  <c:v>1.8358175075412972E-3</c:v>
                </c:pt>
                <c:pt idx="1916">
                  <c:v>1.8403133837522805E-3</c:v>
                </c:pt>
                <c:pt idx="1917">
                  <c:v>1.7312692567904603E-3</c:v>
                </c:pt>
                <c:pt idx="1918">
                  <c:v>1.7761583469600207E-3</c:v>
                </c:pt>
                <c:pt idx="1919">
                  <c:v>1.8425560390681031E-3</c:v>
                </c:pt>
                <c:pt idx="1920">
                  <c:v>1.8425560390681031E-3</c:v>
                </c:pt>
                <c:pt idx="1921">
                  <c:v>1.914456828465761E-3</c:v>
                </c:pt>
                <c:pt idx="1922">
                  <c:v>1.9558591838603361E-3</c:v>
                </c:pt>
                <c:pt idx="1923">
                  <c:v>1.9517985829047644E-3</c:v>
                </c:pt>
                <c:pt idx="1924">
                  <c:v>1.9436232440054244E-3</c:v>
                </c:pt>
                <c:pt idx="1925">
                  <c:v>2.0385088127911162E-3</c:v>
                </c:pt>
                <c:pt idx="1926">
                  <c:v>1.9758855826659785E-3</c:v>
                </c:pt>
                <c:pt idx="1927">
                  <c:v>2.0088319246666458E-3</c:v>
                </c:pt>
                <c:pt idx="1928">
                  <c:v>1.9837643173850968E-3</c:v>
                </c:pt>
                <c:pt idx="1929">
                  <c:v>1.9374449568594287E-3</c:v>
                </c:pt>
                <c:pt idx="1930">
                  <c:v>1.9558591838603361E-3</c:v>
                </c:pt>
                <c:pt idx="1931">
                  <c:v>1.9739039918026569E-3</c:v>
                </c:pt>
                <c:pt idx="1932">
                  <c:v>1.9436232440054244E-3</c:v>
                </c:pt>
                <c:pt idx="1933">
                  <c:v>1.9619158322634429E-3</c:v>
                </c:pt>
                <c:pt idx="1934">
                  <c:v>2.0871203513634249E-3</c:v>
                </c:pt>
                <c:pt idx="1935">
                  <c:v>2.1806625400658209E-3</c:v>
                </c:pt>
                <c:pt idx="1936">
                  <c:v>2.1940736172425123E-3</c:v>
                </c:pt>
                <c:pt idx="1937">
                  <c:v>2.1831617012582024E-3</c:v>
                </c:pt>
                <c:pt idx="1938">
                  <c:v>2.1781365762203898E-3</c:v>
                </c:pt>
                <c:pt idx="1939">
                  <c:v>2.1940736172425123E-3</c:v>
                </c:pt>
                <c:pt idx="1940">
                  <c:v>2.2676424818464957E-3</c:v>
                </c:pt>
                <c:pt idx="1941">
                  <c:v>2.2621105725473593E-3</c:v>
                </c:pt>
                <c:pt idx="1942">
                  <c:v>2.1514252262471428E-3</c:v>
                </c:pt>
                <c:pt idx="1943">
                  <c:v>2.1542135687324412E-3</c:v>
                </c:pt>
                <c:pt idx="1944">
                  <c:v>2.1282043676275082E-3</c:v>
                </c:pt>
                <c:pt idx="1945">
                  <c:v>2.1542135687324412E-3</c:v>
                </c:pt>
                <c:pt idx="1946">
                  <c:v>2.1569761496595743E-3</c:v>
                </c:pt>
                <c:pt idx="1947">
                  <c:v>2.1514252262471428E-3</c:v>
                </c:pt>
                <c:pt idx="1948">
                  <c:v>2.1049955409764573E-3</c:v>
                </c:pt>
                <c:pt idx="1949">
                  <c:v>2.1049955409764573E-3</c:v>
                </c:pt>
                <c:pt idx="1950">
                  <c:v>2.1065850961438622E-3</c:v>
                </c:pt>
                <c:pt idx="1951">
                  <c:v>2.0920657665781544E-3</c:v>
                </c:pt>
                <c:pt idx="1952">
                  <c:v>2.1113178367500713E-3</c:v>
                </c:pt>
                <c:pt idx="1953">
                  <c:v>2.1819154771933556E-3</c:v>
                </c:pt>
                <c:pt idx="1954">
                  <c:v>2.2033087126147504E-3</c:v>
                </c:pt>
                <c:pt idx="1955">
                  <c:v>2.2044320549397395E-3</c:v>
                </c:pt>
                <c:pt idx="1956">
                  <c:v>2.1251891941296412E-3</c:v>
                </c:pt>
                <c:pt idx="1957">
                  <c:v>2.0510677096177553E-3</c:v>
                </c:pt>
                <c:pt idx="1958">
                  <c:v>2.0031214187305152E-3</c:v>
                </c:pt>
                <c:pt idx="1959">
                  <c:v>1.9739039918026569E-3</c:v>
                </c:pt>
                <c:pt idx="1960">
                  <c:v>2.0031214187305152E-3</c:v>
                </c:pt>
                <c:pt idx="1961">
                  <c:v>2.0650936040706703E-3</c:v>
                </c:pt>
                <c:pt idx="1962">
                  <c:v>2.0668219053508736E-3</c:v>
                </c:pt>
                <c:pt idx="1963">
                  <c:v>2.0348723479946939E-3</c:v>
                </c:pt>
                <c:pt idx="1964">
                  <c:v>2.058124765569571E-3</c:v>
                </c:pt>
                <c:pt idx="1965">
                  <c:v>2.0953335485031444E-3</c:v>
                </c:pt>
                <c:pt idx="1966">
                  <c:v>2.0904231113856994E-3</c:v>
                </c:pt>
                <c:pt idx="1967">
                  <c:v>2.0650936040706703E-3</c:v>
                </c:pt>
                <c:pt idx="1968">
                  <c:v>2.0668219053508736E-3</c:v>
                </c:pt>
                <c:pt idx="1969">
                  <c:v>2.0770736184954055E-3</c:v>
                </c:pt>
                <c:pt idx="1970">
                  <c:v>2.0031214187305152E-3</c:v>
                </c:pt>
                <c:pt idx="1971">
                  <c:v>2.0385088127911162E-3</c:v>
                </c:pt>
                <c:pt idx="1972">
                  <c:v>2.0366932359214751E-3</c:v>
                </c:pt>
                <c:pt idx="1973">
                  <c:v>2.0871203513634249E-3</c:v>
                </c:pt>
                <c:pt idx="1974">
                  <c:v>2.0702617026433982E-3</c:v>
                </c:pt>
                <c:pt idx="1975">
                  <c:v>2.05460719814908E-3</c:v>
                </c:pt>
                <c:pt idx="1976">
                  <c:v>2.0528401856573855E-3</c:v>
                </c:pt>
                <c:pt idx="1977">
                  <c:v>2.1486112314460181E-3</c:v>
                </c:pt>
                <c:pt idx="1978">
                  <c:v>2.1385618359941578E-3</c:v>
                </c:pt>
                <c:pt idx="1979">
                  <c:v>2.0753791400713972E-3</c:v>
                </c:pt>
                <c:pt idx="1980">
                  <c:v>2.1236723640503702E-3</c:v>
                </c:pt>
                <c:pt idx="1981">
                  <c:v>2.1385618359941578E-3</c:v>
                </c:pt>
                <c:pt idx="1982">
                  <c:v>2.1471946488129702E-3</c:v>
                </c:pt>
                <c:pt idx="1983">
                  <c:v>2.1569761496595743E-3</c:v>
                </c:pt>
                <c:pt idx="1984">
                  <c:v>2.1371009454615999E-3</c:v>
                </c:pt>
                <c:pt idx="1985">
                  <c:v>2.05460719814908E-3</c:v>
                </c:pt>
                <c:pt idx="1986">
                  <c:v>2.0528401856573855E-3</c:v>
                </c:pt>
                <c:pt idx="1987">
                  <c:v>1.912341506963173E-3</c:v>
                </c:pt>
                <c:pt idx="1988">
                  <c:v>1.9270601989020964E-3</c:v>
                </c:pt>
                <c:pt idx="1989">
                  <c:v>1.897418664309754E-3</c:v>
                </c:pt>
                <c:pt idx="1990">
                  <c:v>1.9415682393493046E-3</c:v>
                </c:pt>
                <c:pt idx="1991">
                  <c:v>1.9599015411960389E-3</c:v>
                </c:pt>
                <c:pt idx="1992">
                  <c:v>1.9249702746215731E-3</c:v>
                </c:pt>
                <c:pt idx="1993">
                  <c:v>1.9102220190335393E-3</c:v>
                </c:pt>
                <c:pt idx="1994">
                  <c:v>1.9778624288553262E-3</c:v>
                </c:pt>
                <c:pt idx="1995">
                  <c:v>1.9758855826659785E-3</c:v>
                </c:pt>
                <c:pt idx="1996">
                  <c:v>1.9699266490636747E-3</c:v>
                </c:pt>
                <c:pt idx="1997">
                  <c:v>1.9876748532502023E-3</c:v>
                </c:pt>
                <c:pt idx="1998">
                  <c:v>1.9249702746215731E-3</c:v>
                </c:pt>
                <c:pt idx="1999">
                  <c:v>1.9395088040621263E-3</c:v>
                </c:pt>
                <c:pt idx="2000">
                  <c:v>1.9639255069898802E-3</c:v>
                </c:pt>
                <c:pt idx="2001">
                  <c:v>1.9415682393493046E-3</c:v>
                </c:pt>
                <c:pt idx="2002">
                  <c:v>1.9456737993403825E-3</c:v>
                </c:pt>
                <c:pt idx="2003">
                  <c:v>1.9270601989020964E-3</c:v>
                </c:pt>
                <c:pt idx="2004">
                  <c:v>1.9538311545726755E-3</c:v>
                </c:pt>
                <c:pt idx="2005">
                  <c:v>1.9778624288553262E-3</c:v>
                </c:pt>
                <c:pt idx="2006">
                  <c:v>1.9249702746215731E-3</c:v>
                </c:pt>
                <c:pt idx="2007">
                  <c:v>1.9395088040621263E-3</c:v>
                </c:pt>
                <c:pt idx="2008">
                  <c:v>1.8713805835203149E-3</c:v>
                </c:pt>
                <c:pt idx="2009">
                  <c:v>1.8844701345232433E-3</c:v>
                </c:pt>
                <c:pt idx="2010">
                  <c:v>1.880122414065648E-3</c:v>
                </c:pt>
                <c:pt idx="2011">
                  <c:v>1.9249702746215731E-3</c:v>
                </c:pt>
                <c:pt idx="2012">
                  <c:v>1.9395088040621263E-3</c:v>
                </c:pt>
                <c:pt idx="2013">
                  <c:v>1.9558591838603361E-3</c:v>
                </c:pt>
                <c:pt idx="2014">
                  <c:v>1.9639255069898802E-3</c:v>
                </c:pt>
                <c:pt idx="2015">
                  <c:v>1.8888021857668951E-3</c:v>
                </c:pt>
                <c:pt idx="2016">
                  <c:v>1.9395088040621263E-3</c:v>
                </c:pt>
                <c:pt idx="2017">
                  <c:v>1.9599015411960389E-3</c:v>
                </c:pt>
                <c:pt idx="2018">
                  <c:v>2.0256888438148998E-3</c:v>
                </c:pt>
                <c:pt idx="2019">
                  <c:v>2.0633597229444715E-3</c:v>
                </c:pt>
                <c:pt idx="2020">
                  <c:v>2.1034000238350494E-3</c:v>
                </c:pt>
                <c:pt idx="2021">
                  <c:v>2.1034000238350494E-3</c:v>
                </c:pt>
                <c:pt idx="2022">
                  <c:v>2.1371009454615999E-3</c:v>
                </c:pt>
                <c:pt idx="2023">
                  <c:v>2.1175437655958484E-3</c:v>
                </c:pt>
                <c:pt idx="2024">
                  <c:v>2.1597128606985505E-3</c:v>
                </c:pt>
                <c:pt idx="2025">
                  <c:v>2.1892916965143222E-3</c:v>
                </c:pt>
                <c:pt idx="2026">
                  <c:v>2.1514252262471428E-3</c:v>
                </c:pt>
                <c:pt idx="2027">
                  <c:v>2.1868599721591884E-3</c:v>
                </c:pt>
                <c:pt idx="2028">
                  <c:v>2.1159963706955135E-3</c:v>
                </c:pt>
                <c:pt idx="2029">
                  <c:v>2.1175437655958484E-3</c:v>
                </c:pt>
                <c:pt idx="2030">
                  <c:v>2.1282043676275082E-3</c:v>
                </c:pt>
                <c:pt idx="2031">
                  <c:v>2.0937025841897268E-3</c:v>
                </c:pt>
                <c:pt idx="2032">
                  <c:v>2.1065850961438622E-3</c:v>
                </c:pt>
                <c:pt idx="2033">
                  <c:v>2.1311947947266099E-3</c:v>
                </c:pt>
                <c:pt idx="2034">
                  <c:v>2.1385618359941578E-3</c:v>
                </c:pt>
                <c:pt idx="2035">
                  <c:v>2.1385618359941578E-3</c:v>
                </c:pt>
                <c:pt idx="2036">
                  <c:v>2.1282043676275082E-3</c:v>
                </c:pt>
                <c:pt idx="2037">
                  <c:v>2.0937025841897268E-3</c:v>
                </c:pt>
                <c:pt idx="2038">
                  <c:v>2.0650936040706703E-3</c:v>
                </c:pt>
                <c:pt idx="2039">
                  <c:v>2.1034000238350494E-3</c:v>
                </c:pt>
                <c:pt idx="2040">
                  <c:v>2.1717050623789409E-3</c:v>
                </c:pt>
                <c:pt idx="2041">
                  <c:v>2.1266998668777576E-3</c:v>
                </c:pt>
                <c:pt idx="2042">
                  <c:v>2.0421239649869027E-3</c:v>
                </c:pt>
                <c:pt idx="2043">
                  <c:v>2.0871203513634249E-3</c:v>
                </c:pt>
                <c:pt idx="2044">
                  <c:v>2.112883391218086E-3</c:v>
                </c:pt>
                <c:pt idx="2045">
                  <c:v>2.0937025841897268E-3</c:v>
                </c:pt>
                <c:pt idx="2046">
                  <c:v>2.0871203513634249E-3</c:v>
                </c:pt>
                <c:pt idx="2047">
                  <c:v>2.0685446103417462E-3</c:v>
                </c:pt>
                <c:pt idx="2048">
                  <c:v>2.0937025841897268E-3</c:v>
                </c:pt>
                <c:pt idx="2049">
                  <c:v>2.0937025841897268E-3</c:v>
                </c:pt>
                <c:pt idx="2050">
                  <c:v>2.0969586438486713E-3</c:v>
                </c:pt>
                <c:pt idx="2051">
                  <c:v>2.0837944308023022E-3</c:v>
                </c:pt>
                <c:pt idx="2052">
                  <c:v>2.058124765569571E-3</c:v>
                </c:pt>
                <c:pt idx="2053">
                  <c:v>2.0719731658996586E-3</c:v>
                </c:pt>
                <c:pt idx="2054">
                  <c:v>2.0837944308023022E-3</c:v>
                </c:pt>
                <c:pt idx="2055">
                  <c:v>2.0985778546043642E-3</c:v>
                </c:pt>
                <c:pt idx="2056">
                  <c:v>2.112883391218086E-3</c:v>
                </c:pt>
                <c:pt idx="2057">
                  <c:v>2.1781365762203898E-3</c:v>
                </c:pt>
                <c:pt idx="2058">
                  <c:v>2.1831617012582024E-3</c:v>
                </c:pt>
                <c:pt idx="2059">
                  <c:v>2.2033087126147504E-3</c:v>
                </c:pt>
                <c:pt idx="2060">
                  <c:v>2.2264032868441418E-3</c:v>
                </c:pt>
                <c:pt idx="2061">
                  <c:v>2.1755839095289643E-3</c:v>
                </c:pt>
                <c:pt idx="2062">
                  <c:v>2.1400164391062494E-3</c:v>
                </c:pt>
                <c:pt idx="2063">
                  <c:v>2.1371009454615999E-3</c:v>
                </c:pt>
                <c:pt idx="2064">
                  <c:v>1.9896228499632928E-3</c:v>
                </c:pt>
                <c:pt idx="2065">
                  <c:v>1.9353767164819039E-3</c:v>
                </c:pt>
                <c:pt idx="2066">
                  <c:v>1.912341506963173E-3</c:v>
                </c:pt>
                <c:pt idx="2067">
                  <c:v>2.0012078994689924E-3</c:v>
                </c:pt>
                <c:pt idx="2068">
                  <c:v>1.9915659751492303E-3</c:v>
                </c:pt>
                <c:pt idx="2069">
                  <c:v>2.0439235062253481E-3</c:v>
                </c:pt>
                <c:pt idx="2070">
                  <c:v>1.9291458240787342E-3</c:v>
                </c:pt>
                <c:pt idx="2071">
                  <c:v>1.9659305469550891E-3</c:v>
                </c:pt>
                <c:pt idx="2072">
                  <c:v>1.9558591838603361E-3</c:v>
                </c:pt>
                <c:pt idx="2073">
                  <c:v>1.8514909850128481E-3</c:v>
                </c:pt>
                <c:pt idx="2074">
                  <c:v>1.6732430774757741E-3</c:v>
                </c:pt>
                <c:pt idx="2075">
                  <c:v>9.7251607675002808E-4</c:v>
                </c:pt>
                <c:pt idx="2076">
                  <c:v>8.5161073039184568E-4</c:v>
                </c:pt>
                <c:pt idx="2077">
                  <c:v>8.4719642579929441E-4</c:v>
                </c:pt>
                <c:pt idx="2078">
                  <c:v>7.5929754570534086E-4</c:v>
                </c:pt>
                <c:pt idx="2079">
                  <c:v>8.9410337480507049E-4</c:v>
                </c:pt>
                <c:pt idx="2080">
                  <c:v>8.6714971045539168E-4</c:v>
                </c:pt>
                <c:pt idx="2081">
                  <c:v>1.1321079249882371E-3</c:v>
                </c:pt>
                <c:pt idx="2082">
                  <c:v>1.2172213042403292E-3</c:v>
                </c:pt>
                <c:pt idx="2083">
                  <c:v>1.3317056906539506E-3</c:v>
                </c:pt>
                <c:pt idx="2084">
                  <c:v>1.3573032889359299E-3</c:v>
                </c:pt>
                <c:pt idx="2085">
                  <c:v>1.2399861235077724E-3</c:v>
                </c:pt>
                <c:pt idx="2086">
                  <c:v>1.2071313572905736E-3</c:v>
                </c:pt>
                <c:pt idx="2087">
                  <c:v>1.229858203697825E-3</c:v>
                </c:pt>
                <c:pt idx="2088">
                  <c:v>1.2704577433653185E-3</c:v>
                </c:pt>
                <c:pt idx="2089">
                  <c:v>1.3240330579553385E-3</c:v>
                </c:pt>
                <c:pt idx="2090">
                  <c:v>1.3675491948668286E-3</c:v>
                </c:pt>
                <c:pt idx="2091">
                  <c:v>1.5005442627571621E-3</c:v>
                </c:pt>
                <c:pt idx="2092">
                  <c:v>1.4979985852035321E-3</c:v>
                </c:pt>
                <c:pt idx="2093">
                  <c:v>1.5259544180855375E-3</c:v>
                </c:pt>
                <c:pt idx="2094">
                  <c:v>1.6115021784218573E-3</c:v>
                </c:pt>
                <c:pt idx="2095">
                  <c:v>1.6239417842373051E-3</c:v>
                </c:pt>
                <c:pt idx="2096">
                  <c:v>1.6065147699858584E-3</c:v>
                </c:pt>
                <c:pt idx="2097">
                  <c:v>1.5208796186691905E-3</c:v>
                </c:pt>
                <c:pt idx="2098">
                  <c:v>1.5183407971668681E-3</c:v>
                </c:pt>
                <c:pt idx="2099">
                  <c:v>1.4725023740157787E-3</c:v>
                </c:pt>
                <c:pt idx="2100">
                  <c:v>1.4571752617874136E-3</c:v>
                </c:pt>
                <c:pt idx="2101">
                  <c:v>1.5588383484977486E-3</c:v>
                </c:pt>
                <c:pt idx="2102">
                  <c:v>1.5613598290858152E-3</c:v>
                </c:pt>
                <c:pt idx="2103">
                  <c:v>1.5335592249130024E-3</c:v>
                </c:pt>
                <c:pt idx="2104">
                  <c:v>1.5183407971668681E-3</c:v>
                </c:pt>
                <c:pt idx="2105">
                  <c:v>1.5234174985977061E-3</c:v>
                </c:pt>
                <c:pt idx="2106">
                  <c:v>1.5663990333326038E-3</c:v>
                </c:pt>
                <c:pt idx="2107">
                  <c:v>1.4418309543786062E-3</c:v>
                </c:pt>
                <c:pt idx="2108">
                  <c:v>1.4622864045026438E-3</c:v>
                </c:pt>
                <c:pt idx="2109">
                  <c:v>1.4162295342761055E-3</c:v>
                </c:pt>
                <c:pt idx="2110">
                  <c:v>1.5005442627571621E-3</c:v>
                </c:pt>
                <c:pt idx="2111">
                  <c:v>1.4750549435776062E-3</c:v>
                </c:pt>
                <c:pt idx="2112">
                  <c:v>1.5940186972499104E-3</c:v>
                </c:pt>
                <c:pt idx="2113">
                  <c:v>1.6040186652926316E-3</c:v>
                </c:pt>
                <c:pt idx="2114">
                  <c:v>1.6214572457468113E-3</c:v>
                </c:pt>
                <c:pt idx="2115">
                  <c:v>1.6139934432030318E-3</c:v>
                </c:pt>
                <c:pt idx="2116">
                  <c:v>1.7877982445720431E-3</c:v>
                </c:pt>
                <c:pt idx="2117">
                  <c:v>2.0201161115958044E-3</c:v>
                </c:pt>
                <c:pt idx="2118">
                  <c:v>1.9758855826659785E-3</c:v>
                </c:pt>
                <c:pt idx="2119">
                  <c:v>2.0421239649869027E-3</c:v>
                </c:pt>
                <c:pt idx="2120">
                  <c:v>1.9935042108124969E-3</c:v>
                </c:pt>
                <c:pt idx="2121">
                  <c:v>1.9517985829047644E-3</c:v>
                </c:pt>
                <c:pt idx="2122">
                  <c:v>2.0107253502680603E-3</c:v>
                </c:pt>
                <c:pt idx="2123">
                  <c:v>1.9896228499632928E-3</c:v>
                </c:pt>
                <c:pt idx="2124">
                  <c:v>2.0182482001219115E-3</c:v>
                </c:pt>
                <c:pt idx="2125">
                  <c:v>2.0633597229444715E-3</c:v>
                </c:pt>
                <c:pt idx="2126">
                  <c:v>2.152822610878216E-3</c:v>
                </c:pt>
                <c:pt idx="2127">
                  <c:v>2.1677667050200387E-3</c:v>
                </c:pt>
                <c:pt idx="2128">
                  <c:v>2.1081686740072767E-3</c:v>
                </c:pt>
                <c:pt idx="2129">
                  <c:v>2.0904231113856994E-3</c:v>
                </c:pt>
                <c:pt idx="2130">
                  <c:v>2.061620278458806E-3</c:v>
                </c:pt>
                <c:pt idx="2131">
                  <c:v>2.061620278458806E-3</c:v>
                </c:pt>
                <c:pt idx="2132">
                  <c:v>2.0702617026433982E-3</c:v>
                </c:pt>
                <c:pt idx="2133">
                  <c:v>2.0854602782035799E-3</c:v>
                </c:pt>
                <c:pt idx="2134">
                  <c:v>2.1113178367500713E-3</c:v>
                </c:pt>
                <c:pt idx="2135">
                  <c:v>2.0702617026433982E-3</c:v>
                </c:pt>
                <c:pt idx="2136">
                  <c:v>1.9699266490636747E-3</c:v>
                </c:pt>
                <c:pt idx="2137">
                  <c:v>2.0312147075755584E-3</c:v>
                </c:pt>
                <c:pt idx="2138">
                  <c:v>2.0421239649869027E-3</c:v>
                </c:pt>
                <c:pt idx="2139">
                  <c:v>2.0685446103417462E-3</c:v>
                </c:pt>
                <c:pt idx="2140">
                  <c:v>2.0528401856573855E-3</c:v>
                </c:pt>
                <c:pt idx="2141">
                  <c:v>2.1081686740072767E-3</c:v>
                </c:pt>
                <c:pt idx="2142">
                  <c:v>2.1001911651963136E-3</c:v>
                </c:pt>
                <c:pt idx="2143">
                  <c:v>2.1081686740072767E-3</c:v>
                </c:pt>
                <c:pt idx="2144">
                  <c:v>2.0528401856573855E-3</c:v>
                </c:pt>
                <c:pt idx="2145">
                  <c:v>2.1034000238350494E-3</c:v>
                </c:pt>
                <c:pt idx="2146">
                  <c:v>2.1159963706955135E-3</c:v>
                </c:pt>
                <c:pt idx="2147">
                  <c:v>2.1065850961438622E-3</c:v>
                </c:pt>
                <c:pt idx="2148">
                  <c:v>2.1610714814080697E-3</c:v>
                </c:pt>
                <c:pt idx="2149">
                  <c:v>2.119085077282693E-3</c:v>
                </c:pt>
                <c:pt idx="2150">
                  <c:v>2.1326806920057926E-3</c:v>
                </c:pt>
                <c:pt idx="2151">
                  <c:v>2.1664407549350849E-3</c:v>
                </c:pt>
                <c:pt idx="2152">
                  <c:v>2.1326806920057926E-3</c:v>
                </c:pt>
                <c:pt idx="2153">
                  <c:v>2.1952520431828778E-3</c:v>
                </c:pt>
                <c:pt idx="2154">
                  <c:v>2.2321052570229843E-3</c:v>
                </c:pt>
                <c:pt idx="2155">
                  <c:v>2.2254278564800842E-3</c:v>
                </c:pt>
                <c:pt idx="2156">
                  <c:v>2.2537886233178557E-3</c:v>
                </c:pt>
                <c:pt idx="2157">
                  <c:v>2.2375475614760608E-3</c:v>
                </c:pt>
                <c:pt idx="2158">
                  <c:v>2.2687886601565799E-3</c:v>
                </c:pt>
                <c:pt idx="2159">
                  <c:v>2.2640224144254519E-3</c:v>
                </c:pt>
                <c:pt idx="2160">
                  <c:v>2.2580841443348753E-3</c:v>
                </c:pt>
                <c:pt idx="2161">
                  <c:v>2.2745492344206607E-3</c:v>
                </c:pt>
                <c:pt idx="2162">
                  <c:v>2.2799418362849599E-3</c:v>
                </c:pt>
                <c:pt idx="2163">
                  <c:v>2.1104072329474351E-3</c:v>
                </c:pt>
                <c:pt idx="2164">
                  <c:v>2.0039238245450129E-3</c:v>
                </c:pt>
                <c:pt idx="2165">
                  <c:v>2.0726904916976456E-3</c:v>
                </c:pt>
                <c:pt idx="2166">
                  <c:v>1.6669278785015537E-3</c:v>
                </c:pt>
                <c:pt idx="2167">
                  <c:v>1.861296824368549E-3</c:v>
                </c:pt>
                <c:pt idx="2168">
                  <c:v>1.6767133054404733E-3</c:v>
                </c:pt>
                <c:pt idx="2169">
                  <c:v>1.9444852531192529E-3</c:v>
                </c:pt>
                <c:pt idx="2170">
                  <c:v>1.7418008920113423E-3</c:v>
                </c:pt>
                <c:pt idx="2171">
                  <c:v>1.7034419001834215E-3</c:v>
                </c:pt>
                <c:pt idx="2172">
                  <c:v>1.6791543321421503E-3</c:v>
                </c:pt>
                <c:pt idx="2173">
                  <c:v>1.020944763140389E-3</c:v>
                </c:pt>
                <c:pt idx="2174">
                  <c:v>8.0674062283618575E-4</c:v>
                </c:pt>
                <c:pt idx="2175">
                  <c:v>7.1511276276276642E-4</c:v>
                </c:pt>
                <c:pt idx="2176">
                  <c:v>7.2724879548061909E-4</c:v>
                </c:pt>
                <c:pt idx="2177">
                  <c:v>7.2521808704383364E-4</c:v>
                </c:pt>
                <c:pt idx="2178">
                  <c:v>1.3046654121363465E-3</c:v>
                </c:pt>
                <c:pt idx="2179">
                  <c:v>1.1930871571067144E-3</c:v>
                </c:pt>
                <c:pt idx="2180">
                  <c:v>1.0789953337457282E-3</c:v>
                </c:pt>
                <c:pt idx="2181">
                  <c:v>1.0281369979951026E-3</c:v>
                </c:pt>
                <c:pt idx="2182">
                  <c:v>7.1511276276276642E-4</c:v>
                </c:pt>
                <c:pt idx="2183">
                  <c:v>9.0640512710754659E-4</c:v>
                </c:pt>
                <c:pt idx="2184">
                  <c:v>1.0281369979951026E-3</c:v>
                </c:pt>
                <c:pt idx="2185">
                  <c:v>1.0449920027727486E-3</c:v>
                </c:pt>
                <c:pt idx="2186">
                  <c:v>1.0353481742209948E-3</c:v>
                </c:pt>
                <c:pt idx="2187">
                  <c:v>1.1306705218001652E-3</c:v>
                </c:pt>
                <c:pt idx="2188">
                  <c:v>1.1555304846892723E-3</c:v>
                </c:pt>
                <c:pt idx="2189">
                  <c:v>9.501297240195769E-4</c:v>
                </c:pt>
                <c:pt idx="2190">
                  <c:v>9.2700212976559856E-4</c:v>
                </c:pt>
                <c:pt idx="2191">
                  <c:v>6.0756833776429771E-4</c:v>
                </c:pt>
                <c:pt idx="2192">
                  <c:v>8.4591865792862236E-4</c:v>
                </c:pt>
                <c:pt idx="2193">
                  <c:v>1.0329423633095496E-3</c:v>
                </c:pt>
                <c:pt idx="2194">
                  <c:v>1.052246160831928E-3</c:v>
                </c:pt>
                <c:pt idx="2195">
                  <c:v>1.0498261044069195E-3</c:v>
                </c:pt>
                <c:pt idx="2196">
                  <c:v>1.0863301850274141E-3</c:v>
                </c:pt>
                <c:pt idx="2197">
                  <c:v>1.1207700913364073E-3</c:v>
                </c:pt>
                <c:pt idx="2198">
                  <c:v>9.8291856321109359E-4</c:v>
                </c:pt>
                <c:pt idx="2199">
                  <c:v>1.0377560552477486E-3</c:v>
                </c:pt>
                <c:pt idx="2200">
                  <c:v>1.0353481742209948E-3</c:v>
                </c:pt>
                <c:pt idx="2201">
                  <c:v>8.8152127292833056E-4</c:v>
                </c:pt>
                <c:pt idx="2202">
                  <c:v>9.2011316951386385E-4</c:v>
                </c:pt>
                <c:pt idx="2203">
                  <c:v>1.0692415453786321E-3</c:v>
                </c:pt>
                <c:pt idx="2204">
                  <c:v>9.947402038192046E-4</c:v>
                </c:pt>
                <c:pt idx="2205">
                  <c:v>1.1655157342029111E-3</c:v>
                </c:pt>
                <c:pt idx="2206">
                  <c:v>1.6864643039337761E-3</c:v>
                </c:pt>
                <c:pt idx="2207">
                  <c:v>1.8940230411372526E-3</c:v>
                </c:pt>
                <c:pt idx="2208">
                  <c:v>2.1150962766667641E-3</c:v>
                </c:pt>
                <c:pt idx="2209">
                  <c:v>2.0464698112632926E-3</c:v>
                </c:pt>
                <c:pt idx="2210">
                  <c:v>1.9981746162883018E-3</c:v>
                </c:pt>
                <c:pt idx="2211">
                  <c:v>1.7957160687514986E-3</c:v>
                </c:pt>
                <c:pt idx="2212">
                  <c:v>1.8209286852991669E-3</c:v>
                </c:pt>
                <c:pt idx="2213">
                  <c:v>1.8457347626512092E-3</c:v>
                </c:pt>
                <c:pt idx="2214">
                  <c:v>1.7887727934276689E-3</c:v>
                </c:pt>
                <c:pt idx="2215">
                  <c:v>1.7771392603718014E-3</c:v>
                </c:pt>
                <c:pt idx="2216">
                  <c:v>1.6864643039337761E-3</c:v>
                </c:pt>
                <c:pt idx="2217">
                  <c:v>1.8657100091691301E-3</c:v>
                </c:pt>
                <c:pt idx="2218">
                  <c:v>1.7677785930205986E-3</c:v>
                </c:pt>
                <c:pt idx="2219">
                  <c:v>1.6815931873079976E-3</c:v>
                </c:pt>
                <c:pt idx="2220">
                  <c:v>1.4965220260794044E-3</c:v>
                </c:pt>
                <c:pt idx="2221">
                  <c:v>1.5270199212745045E-3</c:v>
                </c:pt>
                <c:pt idx="2222">
                  <c:v>1.7154980651675417E-3</c:v>
                </c:pt>
                <c:pt idx="2223">
                  <c:v>1.7724648165459024E-3</c:v>
                </c:pt>
                <c:pt idx="2224">
                  <c:v>1.6718248164887684E-3</c:v>
                </c:pt>
                <c:pt idx="2225">
                  <c:v>1.552327596510148E-3</c:v>
                </c:pt>
                <c:pt idx="2226">
                  <c:v>1.6050675055757472E-3</c:v>
                </c:pt>
                <c:pt idx="2227">
                  <c:v>1.506701779456592E-3</c:v>
                </c:pt>
                <c:pt idx="2228">
                  <c:v>1.53208996126373E-3</c:v>
                </c:pt>
                <c:pt idx="2229">
                  <c:v>1.5724898729190496E-3</c:v>
                </c:pt>
                <c:pt idx="2230">
                  <c:v>1.6913264970596512E-3</c:v>
                </c:pt>
                <c:pt idx="2231">
                  <c:v>1.6521879490063963E-3</c:v>
                </c:pt>
                <c:pt idx="2232">
                  <c:v>1.7748035208323867E-3</c:v>
                </c:pt>
                <c:pt idx="2233">
                  <c:v>1.9727527278582107E-3</c:v>
                </c:pt>
                <c:pt idx="2234">
                  <c:v>1.8434971516943302E-3</c:v>
                </c:pt>
                <c:pt idx="2235">
                  <c:v>1.763080748411041E-3</c:v>
                </c:pt>
                <c:pt idx="2236">
                  <c:v>1.7179019714871774E-3</c:v>
                </c:pt>
                <c:pt idx="2237">
                  <c:v>1.763080748411041E-3</c:v>
                </c:pt>
                <c:pt idx="2238">
                  <c:v>1.6200157105626626E-3</c:v>
                </c:pt>
                <c:pt idx="2239">
                  <c:v>1.3123274091931913E-3</c:v>
                </c:pt>
                <c:pt idx="2240">
                  <c:v>1.4837803288979569E-3</c:v>
                </c:pt>
                <c:pt idx="2241">
                  <c:v>1.7106828663484527E-3</c:v>
                </c:pt>
                <c:pt idx="2242">
                  <c:v>1.7082716135204958E-3</c:v>
                </c:pt>
                <c:pt idx="2243">
                  <c:v>1.7058579515228899E-3</c:v>
                </c:pt>
                <c:pt idx="2244">
                  <c:v>1.6986027087714825E-3</c:v>
                </c:pt>
                <c:pt idx="2245">
                  <c:v>1.693754197829001E-3</c:v>
                </c:pt>
                <c:pt idx="2246">
                  <c:v>1.6050675055757472E-3</c:v>
                </c:pt>
                <c:pt idx="2247">
                  <c:v>1.6815931873079976E-3</c:v>
                </c:pt>
                <c:pt idx="2248">
                  <c:v>1.763080748411041E-3</c:v>
                </c:pt>
                <c:pt idx="2249">
                  <c:v>1.7179019714871774E-3</c:v>
                </c:pt>
                <c:pt idx="2250">
                  <c:v>1.7794720153470926E-3</c:v>
                </c:pt>
                <c:pt idx="2251">
                  <c:v>1.9444852531192529E-3</c:v>
                </c:pt>
                <c:pt idx="2252">
                  <c:v>1.8918685904633255E-3</c:v>
                </c:pt>
                <c:pt idx="2253">
                  <c:v>1.9026006281795077E-3</c:v>
                </c:pt>
                <c:pt idx="2254">
                  <c:v>1.9485781383917226E-3</c:v>
                </c:pt>
                <c:pt idx="2255">
                  <c:v>2.1258245990777133E-3</c:v>
                </c:pt>
                <c:pt idx="2256">
                  <c:v>1.8635052826528706E-3</c:v>
                </c:pt>
                <c:pt idx="2257">
                  <c:v>1.763080748411041E-3</c:v>
                </c:pt>
                <c:pt idx="2258">
                  <c:v>1.7179019714871774E-3</c:v>
                </c:pt>
                <c:pt idx="2259">
                  <c:v>1.7034419001834215E-3</c:v>
                </c:pt>
                <c:pt idx="2260">
                  <c:v>1.816374044005145E-3</c:v>
                </c:pt>
                <c:pt idx="2261">
                  <c:v>1.6423219760727825E-3</c:v>
                </c:pt>
                <c:pt idx="2262">
                  <c:v>1.7370419686444229E-3</c:v>
                </c:pt>
                <c:pt idx="2263">
                  <c:v>1.7841284923596325E-3</c:v>
                </c:pt>
                <c:pt idx="2264">
                  <c:v>1.8003292373499201E-3</c:v>
                </c:pt>
                <c:pt idx="2265">
                  <c:v>1.7910903284921551E-3</c:v>
                </c:pt>
                <c:pt idx="2266">
                  <c:v>1.7058579515228899E-3</c:v>
                </c:pt>
                <c:pt idx="2267">
                  <c:v>1.4786788365291751E-3</c:v>
                </c:pt>
                <c:pt idx="2268">
                  <c:v>1.3225504050515342E-3</c:v>
                </c:pt>
                <c:pt idx="2269">
                  <c:v>1.3021125004691653E-3</c:v>
                </c:pt>
                <c:pt idx="2270">
                  <c:v>1.2157574425333108E-3</c:v>
                </c:pt>
                <c:pt idx="2271">
                  <c:v>1.314882441042573E-3</c:v>
                </c:pt>
                <c:pt idx="2272">
                  <c:v>1.430109284217323E-3</c:v>
                </c:pt>
                <c:pt idx="2273">
                  <c:v>1.3123274091931913E-3</c:v>
                </c:pt>
                <c:pt idx="2274">
                  <c:v>1.218282065854492E-3</c:v>
                </c:pt>
                <c:pt idx="2275">
                  <c:v>1.178028475494274E-3</c:v>
                </c:pt>
                <c:pt idx="2276">
                  <c:v>1.1331496193733865E-3</c:v>
                </c:pt>
                <c:pt idx="2277">
                  <c:v>9.4548425129052963E-4</c:v>
                </c:pt>
                <c:pt idx="2278">
                  <c:v>8.9053234950977602E-4</c:v>
                </c:pt>
                <c:pt idx="2279">
                  <c:v>8.8602138878160063E-4</c:v>
                </c:pt>
                <c:pt idx="2280">
                  <c:v>9.7820602458785185E-4</c:v>
                </c:pt>
                <c:pt idx="2281">
                  <c:v>1.0936813844095452E-3</c:v>
                </c:pt>
                <c:pt idx="2282">
                  <c:v>1.506701779456592E-3</c:v>
                </c:pt>
                <c:pt idx="2283">
                  <c:v>1.3763115906415787E-3</c:v>
                </c:pt>
                <c:pt idx="2284">
                  <c:v>1.4249885396757592E-3</c:v>
                </c:pt>
                <c:pt idx="2285">
                  <c:v>1.4480219324902405E-3</c:v>
                </c:pt>
                <c:pt idx="2286">
                  <c:v>1.4480219324902405E-3</c:v>
                </c:pt>
                <c:pt idx="2287">
                  <c:v>1.5447467892920664E-3</c:v>
                </c:pt>
                <c:pt idx="2288">
                  <c:v>1.435228884267916E-3</c:v>
                </c:pt>
                <c:pt idx="2289">
                  <c:v>1.435228884267916E-3</c:v>
                </c:pt>
                <c:pt idx="2290">
                  <c:v>1.2893568290837821E-3</c:v>
                </c:pt>
                <c:pt idx="2291">
                  <c:v>1.430109284217323E-3</c:v>
                </c:pt>
                <c:pt idx="2292">
                  <c:v>1.3481363288674381E-3</c:v>
                </c:pt>
                <c:pt idx="2293">
                  <c:v>1.4096208699622462E-3</c:v>
                </c:pt>
                <c:pt idx="2294">
                  <c:v>1.4633597781880902E-3</c:v>
                </c:pt>
                <c:pt idx="2295">
                  <c:v>1.4582490553022632E-3</c:v>
                </c:pt>
                <c:pt idx="2296">
                  <c:v>9.1096403734692135E-4</c:v>
                </c:pt>
                <c:pt idx="2297">
                  <c:v>4.8820264934405826E-4</c:v>
                </c:pt>
                <c:pt idx="2298">
                  <c:v>9.316075414866437E-4</c:v>
                </c:pt>
                <c:pt idx="2299">
                  <c:v>1.0570922254576438E-3</c:v>
                </c:pt>
                <c:pt idx="2300">
                  <c:v>1.1555304846892723E-3</c:v>
                </c:pt>
                <c:pt idx="2301">
                  <c:v>1.1232427783014784E-3</c:v>
                </c:pt>
                <c:pt idx="2302">
                  <c:v>9.6646570435409405E-4</c:v>
                </c:pt>
                <c:pt idx="2303">
                  <c:v>8.6140673968002372E-4</c:v>
                </c:pt>
                <c:pt idx="2304">
                  <c:v>9.5478501846971392E-4</c:v>
                </c:pt>
                <c:pt idx="2305">
                  <c:v>9.7820602458785185E-4</c:v>
                </c:pt>
                <c:pt idx="2306">
                  <c:v>9.9237131304482978E-4</c:v>
                </c:pt>
                <c:pt idx="2307">
                  <c:v>8.7703206912788107E-4</c:v>
                </c:pt>
                <c:pt idx="2308">
                  <c:v>8.7479158002553876E-4</c:v>
                </c:pt>
                <c:pt idx="2309">
                  <c:v>9.8056113210653428E-4</c:v>
                </c:pt>
                <c:pt idx="2310">
                  <c:v>9.6880903837165107E-4</c:v>
                </c:pt>
                <c:pt idx="2311">
                  <c:v>1.020944763140389E-3</c:v>
                </c:pt>
                <c:pt idx="2312">
                  <c:v>9.0412961736265529E-4</c:v>
                </c:pt>
                <c:pt idx="2313">
                  <c:v>7.8963603365707065E-4</c:v>
                </c:pt>
                <c:pt idx="2314">
                  <c:v>8.3713097278164663E-4</c:v>
                </c:pt>
                <c:pt idx="2315">
                  <c:v>7.9816424917998206E-4</c:v>
                </c:pt>
                <c:pt idx="2316">
                  <c:v>1.0838834013945067E-3</c:v>
                </c:pt>
                <c:pt idx="2317">
                  <c:v>1.0353481742209948E-3</c:v>
                </c:pt>
                <c:pt idx="2318">
                  <c:v>1.1905742089066572E-3</c:v>
                </c:pt>
                <c:pt idx="2319">
                  <c:v>1.1084314580891196E-3</c:v>
                </c:pt>
                <c:pt idx="2320">
                  <c:v>1.2664390144359397E-3</c:v>
                </c:pt>
                <c:pt idx="2321">
                  <c:v>1.4198667939661965E-3</c:v>
                </c:pt>
                <c:pt idx="2322">
                  <c:v>1.4710219031976069E-3</c:v>
                </c:pt>
                <c:pt idx="2323">
                  <c:v>1.3174379619534163E-3</c:v>
                </c:pt>
                <c:pt idx="2324">
                  <c:v>1.3455762341228643E-3</c:v>
                </c:pt>
                <c:pt idx="2325">
                  <c:v>1.1930871571067144E-3</c:v>
                </c:pt>
                <c:pt idx="2326">
                  <c:v>1.3891232608677535E-3</c:v>
                </c:pt>
                <c:pt idx="2327">
                  <c:v>1.2309211746232274E-3</c:v>
                </c:pt>
                <c:pt idx="2328">
                  <c:v>1.2359840000467825E-3</c:v>
                </c:pt>
                <c:pt idx="2329">
                  <c:v>1.2944572554624474E-3</c:v>
                </c:pt>
                <c:pt idx="2330">
                  <c:v>1.2233345559485174E-3</c:v>
                </c:pt>
                <c:pt idx="2331">
                  <c:v>1.2107115139544772E-3</c:v>
                </c:pt>
                <c:pt idx="2332">
                  <c:v>1.3225504050515342E-3</c:v>
                </c:pt>
                <c:pt idx="2333">
                  <c:v>1.3532573178835919E-3</c:v>
                </c:pt>
                <c:pt idx="2334">
                  <c:v>1.4608046684946097E-3</c:v>
                </c:pt>
                <c:pt idx="2335">
                  <c:v>1.5950701247224894E-3</c:v>
                </c:pt>
                <c:pt idx="2336">
                  <c:v>1.4965220260794044E-3</c:v>
                </c:pt>
                <c:pt idx="2337">
                  <c:v>1.5548522029470166E-3</c:v>
                </c:pt>
                <c:pt idx="2338">
                  <c:v>1.6767133054404733E-3</c:v>
                </c:pt>
                <c:pt idx="2339">
                  <c:v>1.7583714413861031E-3</c:v>
                </c:pt>
                <c:pt idx="2340">
                  <c:v>1.6815931873079976E-3</c:v>
                </c:pt>
                <c:pt idx="2341">
                  <c:v>1.5016135013622494E-3</c:v>
                </c:pt>
                <c:pt idx="2342">
                  <c:v>1.5143278743895731E-3</c:v>
                </c:pt>
                <c:pt idx="2343">
                  <c:v>1.427549046039205E-3</c:v>
                </c:pt>
                <c:pt idx="2344">
                  <c:v>1.4531363914644933E-3</c:v>
                </c:pt>
                <c:pt idx="2345">
                  <c:v>1.4710219031976069E-3</c:v>
                </c:pt>
                <c:pt idx="2346">
                  <c:v>1.5244834109141001E-3</c:v>
                </c:pt>
                <c:pt idx="2347">
                  <c:v>1.427549046039205E-3</c:v>
                </c:pt>
                <c:pt idx="2348">
                  <c:v>1.3609405456942085E-3</c:v>
                </c:pt>
                <c:pt idx="2349">
                  <c:v>1.2208077753143808E-3</c:v>
                </c:pt>
                <c:pt idx="2350">
                  <c:v>1.2283912706720444E-3</c:v>
                </c:pt>
                <c:pt idx="2351">
                  <c:v>1.2868075853712528E-3</c:v>
                </c:pt>
                <c:pt idx="2352">
                  <c:v>1.2791639246608562E-3</c:v>
                </c:pt>
                <c:pt idx="2353">
                  <c:v>1.1805350398749173E-3</c:v>
                </c:pt>
                <c:pt idx="2354">
                  <c:v>1.2233345559485174E-3</c:v>
                </c:pt>
                <c:pt idx="2355">
                  <c:v>1.2283912706720444E-3</c:v>
                </c:pt>
                <c:pt idx="2356">
                  <c:v>1.1830429097499924E-3</c:v>
                </c:pt>
                <c:pt idx="2357">
                  <c:v>1.2893568290837821E-3</c:v>
                </c:pt>
                <c:pt idx="2358">
                  <c:v>1.1830429097499924E-3</c:v>
                </c:pt>
                <c:pt idx="2359">
                  <c:v>1.2868075853712528E-3</c:v>
                </c:pt>
                <c:pt idx="2360">
                  <c:v>1.0498261044069195E-3</c:v>
                </c:pt>
                <c:pt idx="2361">
                  <c:v>1.1805350398749173E-3</c:v>
                </c:pt>
                <c:pt idx="2362">
                  <c:v>1.0741146820438508E-3</c:v>
                </c:pt>
                <c:pt idx="2363">
                  <c:v>9.2011316951386385E-4</c:v>
                </c:pt>
                <c:pt idx="2364">
                  <c:v>8.3932358484372076E-4</c:v>
                </c:pt>
                <c:pt idx="2365">
                  <c:v>8.973189758547524E-4</c:v>
                </c:pt>
                <c:pt idx="2366">
                  <c:v>9.1324741996451971E-4</c:v>
                </c:pt>
                <c:pt idx="2367">
                  <c:v>1.052246160831928E-3</c:v>
                </c:pt>
                <c:pt idx="2368">
                  <c:v>9.5478501846971392E-4</c:v>
                </c:pt>
                <c:pt idx="2369">
                  <c:v>8.6808666246581659E-4</c:v>
                </c:pt>
                <c:pt idx="2370">
                  <c:v>6.8528376164441439E-4</c:v>
                </c:pt>
                <c:pt idx="2371">
                  <c:v>8.5253942854784958E-4</c:v>
                </c:pt>
                <c:pt idx="2372">
                  <c:v>8.3932358484372076E-4</c:v>
                </c:pt>
                <c:pt idx="2373">
                  <c:v>8.3932358484372076E-4</c:v>
                </c:pt>
                <c:pt idx="2374">
                  <c:v>8.5918569049949357E-4</c:v>
                </c:pt>
                <c:pt idx="2375">
                  <c:v>8.7927530285360493E-4</c:v>
                </c:pt>
                <c:pt idx="2376">
                  <c:v>7.58090981806094E-4</c:v>
                </c:pt>
                <c:pt idx="2377">
                  <c:v>8.5696745037022216E-4</c:v>
                </c:pt>
                <c:pt idx="2378">
                  <c:v>8.6363059002998548E-4</c:v>
                </c:pt>
                <c:pt idx="2379">
                  <c:v>7.3950014161775293E-4</c:v>
                </c:pt>
                <c:pt idx="2380">
                  <c:v>8.3713097278164663E-4</c:v>
                </c:pt>
                <c:pt idx="2381">
                  <c:v>8.3494124589820215E-4</c:v>
                </c:pt>
                <c:pt idx="2382">
                  <c:v>9.2240692289335914E-4</c:v>
                </c:pt>
                <c:pt idx="2383">
                  <c:v>8.7479158002553876E-4</c:v>
                </c:pt>
                <c:pt idx="2384">
                  <c:v>8.4371743488331286E-4</c:v>
                </c:pt>
                <c:pt idx="2385">
                  <c:v>8.7479158002553876E-4</c:v>
                </c:pt>
                <c:pt idx="2386">
                  <c:v>8.5696745037022216E-4</c:v>
                </c:pt>
                <c:pt idx="2387">
                  <c:v>7.539376702294082E-4</c:v>
                </c:pt>
                <c:pt idx="2388">
                  <c:v>8.4151907469150861E-4</c:v>
                </c:pt>
                <c:pt idx="2389">
                  <c:v>8.6363059002998548E-4</c:v>
                </c:pt>
                <c:pt idx="2390">
                  <c:v>8.4591865792862236E-4</c:v>
                </c:pt>
                <c:pt idx="2391">
                  <c:v>1.1059687835172013E-3</c:v>
                </c:pt>
                <c:pt idx="2392">
                  <c:v>1.1580246623866949E-3</c:v>
                </c:pt>
                <c:pt idx="2393">
                  <c:v>1.2664390144359397E-3</c:v>
                </c:pt>
                <c:pt idx="2394">
                  <c:v>1.2638963535850801E-3</c:v>
                </c:pt>
                <c:pt idx="2395">
                  <c:v>1.2689824700449581E-3</c:v>
                </c:pt>
                <c:pt idx="2396">
                  <c:v>1.258813478921132E-3</c:v>
                </c:pt>
                <c:pt idx="2397">
                  <c:v>1.2233345559485174E-3</c:v>
                </c:pt>
                <c:pt idx="2398">
                  <c:v>1.2334520894724831E-3</c:v>
                </c:pt>
                <c:pt idx="2399">
                  <c:v>1.2664390144359397E-3</c:v>
                </c:pt>
                <c:pt idx="2400">
                  <c:v>1.314882441042573E-3</c:v>
                </c:pt>
                <c:pt idx="2401">
                  <c:v>1.1905742089066572E-3</c:v>
                </c:pt>
                <c:pt idx="2402">
                  <c:v>1.2132339202732341E-3</c:v>
                </c:pt>
                <c:pt idx="2403">
                  <c:v>1.1182990402546689E-3</c:v>
                </c:pt>
                <c:pt idx="2404">
                  <c:v>1.1035078233431362E-3</c:v>
                </c:pt>
                <c:pt idx="2405">
                  <c:v>1.1580246623866949E-3</c:v>
                </c:pt>
                <c:pt idx="2406">
                  <c:v>1.2283912706720444E-3</c:v>
                </c:pt>
                <c:pt idx="2407">
                  <c:v>1.2537339711807219E-3</c:v>
                </c:pt>
                <c:pt idx="2408">
                  <c:v>1.2740717025360527E-3</c:v>
                </c:pt>
                <c:pt idx="2409">
                  <c:v>1.2283912706720444E-3</c:v>
                </c:pt>
                <c:pt idx="2410">
                  <c:v>1.2132339202732341E-3</c:v>
                </c:pt>
                <c:pt idx="2411">
                  <c:v>1.2031511388130645E-3</c:v>
                </c:pt>
                <c:pt idx="2412">
                  <c:v>1.2283912706720444E-3</c:v>
                </c:pt>
                <c:pt idx="2413">
                  <c:v>1.427549046039205E-3</c:v>
                </c:pt>
                <c:pt idx="2414">
                  <c:v>1.486330080697072E-3</c:v>
                </c:pt>
                <c:pt idx="2415">
                  <c:v>1.4837803288979569E-3</c:v>
                </c:pt>
                <c:pt idx="2416">
                  <c:v>1.493975136158087E-3</c:v>
                </c:pt>
                <c:pt idx="2417">
                  <c:v>1.4684684138739127E-3</c:v>
                </c:pt>
                <c:pt idx="2418">
                  <c:v>1.4173055903325847E-3</c:v>
                </c:pt>
                <c:pt idx="2419">
                  <c:v>1.4812299080080545E-3</c:v>
                </c:pt>
                <c:pt idx="2420">
                  <c:v>1.562418766676307E-3</c:v>
                </c:pt>
                <c:pt idx="2421">
                  <c:v>1.3968103676577034E-3</c:v>
                </c:pt>
                <c:pt idx="2422">
                  <c:v>1.3865608629022414E-3</c:v>
                </c:pt>
                <c:pt idx="2423">
                  <c:v>1.4070589858518221E-3</c:v>
                </c:pt>
                <c:pt idx="2424">
                  <c:v>1.3942480307310521E-3</c:v>
                </c:pt>
                <c:pt idx="2425">
                  <c:v>1.3404569286563578E-3</c:v>
                </c:pt>
                <c:pt idx="2426">
                  <c:v>1.3968103676577034E-3</c:v>
                </c:pt>
                <c:pt idx="2427">
                  <c:v>1.5168681450748104E-3</c:v>
                </c:pt>
                <c:pt idx="2428">
                  <c:v>1.7957160687514986E-3</c:v>
                </c:pt>
                <c:pt idx="2429">
                  <c:v>1.8961734894318081E-3</c:v>
                </c:pt>
                <c:pt idx="2430">
                  <c:v>1.8897101566247567E-3</c:v>
                </c:pt>
                <c:pt idx="2431">
                  <c:v>1.8897101566247567E-3</c:v>
                </c:pt>
                <c:pt idx="2432">
                  <c:v>1.8961734894318081E-3</c:v>
                </c:pt>
                <c:pt idx="2433">
                  <c:v>1.8635052826528706E-3</c:v>
                </c:pt>
                <c:pt idx="2434">
                  <c:v>1.7818017659456586E-3</c:v>
                </c:pt>
                <c:pt idx="2435">
                  <c:v>1.834511341749142E-3</c:v>
                </c:pt>
                <c:pt idx="2436">
                  <c:v>1.9068650240482877E-3</c:v>
                </c:pt>
                <c:pt idx="2437">
                  <c:v>1.9341753668768971E-3</c:v>
                </c:pt>
                <c:pt idx="2438">
                  <c:v>1.887547758855042E-3</c:v>
                </c:pt>
                <c:pt idx="2439">
                  <c:v>1.8140917326917069E-3</c:v>
                </c:pt>
                <c:pt idx="2440">
                  <c:v>1.8140917326917069E-3</c:v>
                </c:pt>
                <c:pt idx="2441">
                  <c:v>1.8322561456986207E-3</c:v>
                </c:pt>
                <c:pt idx="2442">
                  <c:v>1.8479687978529946E-3</c:v>
                </c:pt>
                <c:pt idx="2443">
                  <c:v>1.746549067402796E-3</c:v>
                </c:pt>
                <c:pt idx="2444">
                  <c:v>1.7771392603718014E-3</c:v>
                </c:pt>
                <c:pt idx="2445">
                  <c:v>1.7179019714871774E-3</c:v>
                </c:pt>
                <c:pt idx="2446">
                  <c:v>1.7441763331293835E-3</c:v>
                </c:pt>
                <c:pt idx="2447">
                  <c:v>1.5850486664622137E-3</c:v>
                </c:pt>
                <c:pt idx="2448">
                  <c:v>1.6986027087714825E-3</c:v>
                </c:pt>
                <c:pt idx="2449">
                  <c:v>1.6815931873079976E-3</c:v>
                </c:pt>
                <c:pt idx="2450">
                  <c:v>1.7227022987480035E-3</c:v>
                </c:pt>
                <c:pt idx="2451">
                  <c:v>1.7512863360164628E-3</c:v>
                </c:pt>
                <c:pt idx="2452">
                  <c:v>1.8546492534986297E-3</c:v>
                </c:pt>
                <c:pt idx="2453">
                  <c:v>1.8501992377501827E-3</c:v>
                </c:pt>
                <c:pt idx="2454">
                  <c:v>1.7957160687514986E-3</c:v>
                </c:pt>
                <c:pt idx="2455">
                  <c:v>1.8788589137758323E-3</c:v>
                </c:pt>
                <c:pt idx="2456">
                  <c:v>1.9747370617380494E-3</c:v>
                </c:pt>
                <c:pt idx="2457">
                  <c:v>2.0861584016955486E-3</c:v>
                </c:pt>
                <c:pt idx="2458">
                  <c:v>2.0588608559628037E-3</c:v>
                </c:pt>
                <c:pt idx="2459">
                  <c:v>2.0264655067217478E-3</c:v>
                </c:pt>
                <c:pt idx="2460">
                  <c:v>2.0264655067217478E-3</c:v>
                </c:pt>
                <c:pt idx="2461">
                  <c:v>2.0410779779805434E-3</c:v>
                </c:pt>
                <c:pt idx="2462">
                  <c:v>2.0588608559628037E-3</c:v>
                </c:pt>
                <c:pt idx="2463">
                  <c:v>2.1181920333638044E-3</c:v>
                </c:pt>
                <c:pt idx="2464">
                  <c:v>2.0976396139135984E-3</c:v>
                </c:pt>
                <c:pt idx="2465">
                  <c:v>2.2071219424318216E-3</c:v>
                </c:pt>
              </c:numCache>
            </c:numRef>
          </c:yVal>
          <c:smooth val="1"/>
          <c:extLst>
            <c:ext xmlns:c16="http://schemas.microsoft.com/office/drawing/2014/chart" uri="{C3380CC4-5D6E-409C-BE32-E72D297353CC}">
              <c16:uniqueId val="{00000000-35CB-47F4-A2DF-7D75A782EB09}"/>
            </c:ext>
          </c:extLst>
        </c:ser>
        <c:dLbls>
          <c:showLegendKey val="0"/>
          <c:showVal val="0"/>
          <c:showCatName val="0"/>
          <c:showSerName val="0"/>
          <c:showPercent val="0"/>
          <c:showBubbleSize val="0"/>
        </c:dLbls>
        <c:axId val="735811679"/>
        <c:axId val="735817503"/>
      </c:scatterChart>
      <c:valAx>
        <c:axId val="735811679"/>
        <c:scaling>
          <c:orientation val="minMax"/>
        </c:scaling>
        <c:delete val="0"/>
        <c:axPos val="b"/>
        <c:numFmt formatCode="#,##0_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35817503"/>
        <c:crosses val="autoZero"/>
        <c:crossBetween val="midCat"/>
      </c:valAx>
      <c:valAx>
        <c:axId val="735817503"/>
        <c:scaling>
          <c:orientation val="minMax"/>
        </c:scaling>
        <c:delete val="0"/>
        <c:axPos val="l"/>
        <c:numFmt formatCode="#,##0.0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ko-KR"/>
          </a:p>
        </c:txPr>
        <c:crossAx val="73581167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표준편차!$AL$4:$AL$15</c:f>
              <c:numCache>
                <c:formatCode>0.0</c:formatCode>
                <c:ptCount val="12"/>
                <c:pt idx="0">
                  <c:v>85</c:v>
                </c:pt>
                <c:pt idx="1">
                  <c:v>115</c:v>
                </c:pt>
                <c:pt idx="2">
                  <c:v>110</c:v>
                </c:pt>
                <c:pt idx="3">
                  <c:v>98</c:v>
                </c:pt>
                <c:pt idx="4">
                  <c:v>138</c:v>
                </c:pt>
                <c:pt idx="5">
                  <c:v>133</c:v>
                </c:pt>
                <c:pt idx="6">
                  <c:v>98</c:v>
                </c:pt>
                <c:pt idx="7">
                  <c:v>72</c:v>
                </c:pt>
                <c:pt idx="8">
                  <c:v>75</c:v>
                </c:pt>
                <c:pt idx="9">
                  <c:v>88</c:v>
                </c:pt>
                <c:pt idx="10">
                  <c:v>88</c:v>
                </c:pt>
                <c:pt idx="11">
                  <c:v>88</c:v>
                </c:pt>
              </c:numCache>
            </c:numRef>
          </c:xVal>
          <c:yVal>
            <c:numRef>
              <c:f>표준편차!$AM$4:$AM$15</c:f>
              <c:numCache>
                <c:formatCode>0.0000</c:formatCode>
                <c:ptCount val="12"/>
                <c:pt idx="0">
                  <c:v>1.5513549070667527E-2</c:v>
                </c:pt>
                <c:pt idx="1">
                  <c:v>1.4418946111287937E-2</c:v>
                </c:pt>
                <c:pt idx="2">
                  <c:v>1.6999385397569518E-2</c:v>
                </c:pt>
                <c:pt idx="3">
                  <c:v>1.9678342268129166E-2</c:v>
                </c:pt>
                <c:pt idx="4">
                  <c:v>3.0828673359499978E-3</c:v>
                </c:pt>
                <c:pt idx="5">
                  <c:v>4.8113709695838686E-3</c:v>
                </c:pt>
                <c:pt idx="6">
                  <c:v>1.9678342268129166E-2</c:v>
                </c:pt>
                <c:pt idx="7">
                  <c:v>8.0987827749167685E-3</c:v>
                </c:pt>
                <c:pt idx="8">
                  <c:v>9.7600657934850538E-3</c:v>
                </c:pt>
                <c:pt idx="9">
                  <c:v>1.6999385397569518E-2</c:v>
                </c:pt>
                <c:pt idx="10">
                  <c:v>1.6999385397569518E-2</c:v>
                </c:pt>
                <c:pt idx="11">
                  <c:v>1.6999385397569518E-2</c:v>
                </c:pt>
              </c:numCache>
            </c:numRef>
          </c:yVal>
          <c:smooth val="1"/>
          <c:extLst>
            <c:ext xmlns:c16="http://schemas.microsoft.com/office/drawing/2014/chart" uri="{C3380CC4-5D6E-409C-BE32-E72D297353CC}">
              <c16:uniqueId val="{00000000-9160-4FD8-AAFA-303CC6D8ABF8}"/>
            </c:ext>
          </c:extLst>
        </c:ser>
        <c:dLbls>
          <c:showLegendKey val="0"/>
          <c:showVal val="0"/>
          <c:showCatName val="0"/>
          <c:showSerName val="0"/>
          <c:showPercent val="0"/>
          <c:showBubbleSize val="0"/>
        </c:dLbls>
        <c:axId val="735842463"/>
        <c:axId val="735832479"/>
      </c:scatterChart>
      <c:valAx>
        <c:axId val="735842463"/>
        <c:scaling>
          <c:orientation val="minMax"/>
        </c:scaling>
        <c:delete val="0"/>
        <c:axPos val="b"/>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35832479"/>
        <c:crosses val="autoZero"/>
        <c:crossBetween val="midCat"/>
      </c:valAx>
      <c:valAx>
        <c:axId val="735832479"/>
        <c:scaling>
          <c:orientation val="minMax"/>
        </c:scaling>
        <c:delete val="0"/>
        <c:axPos val="l"/>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ko-KR"/>
          </a:p>
        </c:txPr>
        <c:crossAx val="73584246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표준편차!$AC$4:$AC$15</c:f>
              <c:numCache>
                <c:formatCode>0.0</c:formatCode>
                <c:ptCount val="12"/>
                <c:pt idx="0">
                  <c:v>46.5</c:v>
                </c:pt>
                <c:pt idx="1">
                  <c:v>70</c:v>
                </c:pt>
                <c:pt idx="2">
                  <c:v>63.5</c:v>
                </c:pt>
                <c:pt idx="3">
                  <c:v>70</c:v>
                </c:pt>
                <c:pt idx="4">
                  <c:v>92</c:v>
                </c:pt>
                <c:pt idx="5">
                  <c:v>107</c:v>
                </c:pt>
                <c:pt idx="6">
                  <c:v>97.35</c:v>
                </c:pt>
                <c:pt idx="7">
                  <c:v>92.5</c:v>
                </c:pt>
                <c:pt idx="8">
                  <c:v>87</c:v>
                </c:pt>
                <c:pt idx="9">
                  <c:v>80.8</c:v>
                </c:pt>
                <c:pt idx="10">
                  <c:v>62</c:v>
                </c:pt>
                <c:pt idx="11">
                  <c:v>59.5</c:v>
                </c:pt>
              </c:numCache>
            </c:numRef>
          </c:xVal>
          <c:yVal>
            <c:numRef>
              <c:f>표준편차!$AD$4:$AD$15</c:f>
              <c:numCache>
                <c:formatCode>0.0000</c:formatCode>
                <c:ptCount val="12"/>
                <c:pt idx="0">
                  <c:v>4.7651255296212638E-3</c:v>
                </c:pt>
                <c:pt idx="1">
                  <c:v>2.097050760646817E-2</c:v>
                </c:pt>
                <c:pt idx="2">
                  <c:v>1.6704807688367587E-2</c:v>
                </c:pt>
                <c:pt idx="3">
                  <c:v>2.097050760646817E-2</c:v>
                </c:pt>
                <c:pt idx="4">
                  <c:v>1.6081367393294667E-2</c:v>
                </c:pt>
                <c:pt idx="5">
                  <c:v>5.3674622061288492E-3</c:v>
                </c:pt>
                <c:pt idx="6">
                  <c:v>1.1840508643407764E-2</c:v>
                </c:pt>
                <c:pt idx="7">
                  <c:v>1.5690482037232192E-2</c:v>
                </c:pt>
                <c:pt idx="8">
                  <c:v>1.9654935087814757E-2</c:v>
                </c:pt>
                <c:pt idx="9">
                  <c:v>2.2477374528423619E-2</c:v>
                </c:pt>
                <c:pt idx="10">
                  <c:v>1.5539772857379258E-2</c:v>
                </c:pt>
                <c:pt idx="11">
                  <c:v>1.355022088919223E-2</c:v>
                </c:pt>
              </c:numCache>
            </c:numRef>
          </c:yVal>
          <c:smooth val="1"/>
          <c:extLst>
            <c:ext xmlns:c16="http://schemas.microsoft.com/office/drawing/2014/chart" uri="{C3380CC4-5D6E-409C-BE32-E72D297353CC}">
              <c16:uniqueId val="{00000000-C142-4307-8C10-7E523FB56DF9}"/>
            </c:ext>
          </c:extLst>
        </c:ser>
        <c:dLbls>
          <c:showLegendKey val="0"/>
          <c:showVal val="0"/>
          <c:showCatName val="0"/>
          <c:showSerName val="0"/>
          <c:showPercent val="0"/>
          <c:showBubbleSize val="0"/>
        </c:dLbls>
        <c:axId val="735798783"/>
        <c:axId val="735800863"/>
      </c:scatterChart>
      <c:valAx>
        <c:axId val="735798783"/>
        <c:scaling>
          <c:orientation val="minMax"/>
        </c:scaling>
        <c:delete val="0"/>
        <c:axPos val="b"/>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35800863"/>
        <c:crosses val="autoZero"/>
        <c:crossBetween val="midCat"/>
      </c:valAx>
      <c:valAx>
        <c:axId val="735800863"/>
        <c:scaling>
          <c:orientation val="minMax"/>
        </c:scaling>
        <c:delete val="0"/>
        <c:axPos val="l"/>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ko-KR"/>
          </a:p>
        </c:txPr>
        <c:crossAx val="735798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10</a:t>
            </a:r>
            <a:r>
              <a:rPr lang="ko-KR" altLang="en-US"/>
              <a:t>년간 </a:t>
            </a:r>
            <a:r>
              <a:rPr lang="en-US" altLang="ko-KR"/>
              <a:t>LME Copper </a:t>
            </a:r>
            <a:r>
              <a:rPr lang="ko-KR" altLang="en-US"/>
              <a:t>시세</a:t>
            </a:r>
            <a:endParaRPr lang="en-US" altLang="ko-K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ko-KR"/>
        </a:p>
      </c:txPr>
    </c:title>
    <c:autoTitleDeleted val="0"/>
    <c:plotArea>
      <c:layout/>
      <c:lineChart>
        <c:grouping val="standard"/>
        <c:varyColors val="0"/>
        <c:ser>
          <c:idx val="0"/>
          <c:order val="0"/>
          <c:spPr>
            <a:ln w="28575" cap="rnd">
              <a:solidFill>
                <a:schemeClr val="accent1"/>
              </a:solidFill>
              <a:round/>
            </a:ln>
            <a:effectLst/>
          </c:spPr>
          <c:marker>
            <c:symbol val="none"/>
          </c:marker>
          <c:cat>
            <c:strRef>
              <c:f>표준편차!$A$4:$A$2468</c:f>
              <c:strCache>
                <c:ptCount val="2465"/>
                <c:pt idx="0">
                  <c:v>2012-01-03</c:v>
                </c:pt>
                <c:pt idx="1">
                  <c:v>2012-01-04</c:v>
                </c:pt>
                <c:pt idx="2">
                  <c:v>2012-01-05</c:v>
                </c:pt>
                <c:pt idx="3">
                  <c:v>2012-01-06</c:v>
                </c:pt>
                <c:pt idx="4">
                  <c:v>2012-01-09</c:v>
                </c:pt>
                <c:pt idx="5">
                  <c:v>2012-01-10</c:v>
                </c:pt>
                <c:pt idx="6">
                  <c:v>2012-01-11</c:v>
                </c:pt>
                <c:pt idx="7">
                  <c:v>2012-01-12</c:v>
                </c:pt>
                <c:pt idx="8">
                  <c:v>2012-01-13</c:v>
                </c:pt>
                <c:pt idx="9">
                  <c:v>2012-01-16</c:v>
                </c:pt>
                <c:pt idx="10">
                  <c:v>2012-01-17</c:v>
                </c:pt>
                <c:pt idx="11">
                  <c:v>2012-01-18</c:v>
                </c:pt>
                <c:pt idx="12">
                  <c:v>2012-01-19</c:v>
                </c:pt>
                <c:pt idx="13">
                  <c:v>2012-01-20</c:v>
                </c:pt>
                <c:pt idx="14">
                  <c:v>2012-01-23</c:v>
                </c:pt>
                <c:pt idx="15">
                  <c:v>2012-01-24</c:v>
                </c:pt>
                <c:pt idx="16">
                  <c:v>2012-01-25</c:v>
                </c:pt>
                <c:pt idx="17">
                  <c:v>2012-01-26</c:v>
                </c:pt>
                <c:pt idx="18">
                  <c:v>2012-01-27</c:v>
                </c:pt>
                <c:pt idx="19">
                  <c:v>2012-01-30</c:v>
                </c:pt>
                <c:pt idx="20">
                  <c:v>2012-01-31</c:v>
                </c:pt>
                <c:pt idx="21">
                  <c:v>2012-02-01</c:v>
                </c:pt>
                <c:pt idx="22">
                  <c:v>2012-02-02</c:v>
                </c:pt>
                <c:pt idx="23">
                  <c:v>2012-02-03</c:v>
                </c:pt>
                <c:pt idx="24">
                  <c:v>2012-02-06</c:v>
                </c:pt>
                <c:pt idx="25">
                  <c:v>2012-02-07</c:v>
                </c:pt>
                <c:pt idx="26">
                  <c:v>2012-02-08</c:v>
                </c:pt>
                <c:pt idx="27">
                  <c:v>2012-02-09</c:v>
                </c:pt>
                <c:pt idx="28">
                  <c:v>2012-02-10</c:v>
                </c:pt>
                <c:pt idx="29">
                  <c:v>2012-02-13</c:v>
                </c:pt>
                <c:pt idx="30">
                  <c:v>2012-02-14</c:v>
                </c:pt>
                <c:pt idx="31">
                  <c:v>2012-02-15</c:v>
                </c:pt>
                <c:pt idx="32">
                  <c:v>2012-02-16</c:v>
                </c:pt>
                <c:pt idx="33">
                  <c:v>2012-02-17</c:v>
                </c:pt>
                <c:pt idx="34">
                  <c:v>2012-02-20</c:v>
                </c:pt>
                <c:pt idx="35">
                  <c:v>2012-02-21</c:v>
                </c:pt>
                <c:pt idx="36">
                  <c:v>2012-02-22</c:v>
                </c:pt>
                <c:pt idx="37">
                  <c:v>2012-02-23</c:v>
                </c:pt>
                <c:pt idx="38">
                  <c:v>2012-02-24</c:v>
                </c:pt>
                <c:pt idx="39">
                  <c:v>2012-02-27</c:v>
                </c:pt>
                <c:pt idx="40">
                  <c:v>2012-02-28</c:v>
                </c:pt>
                <c:pt idx="41">
                  <c:v>2012-02-29</c:v>
                </c:pt>
                <c:pt idx="42">
                  <c:v>2012-03-01</c:v>
                </c:pt>
                <c:pt idx="43">
                  <c:v>2012-03-02</c:v>
                </c:pt>
                <c:pt idx="44">
                  <c:v>2012-03-05</c:v>
                </c:pt>
                <c:pt idx="45">
                  <c:v>2012-03-06</c:v>
                </c:pt>
                <c:pt idx="46">
                  <c:v>2012-03-07</c:v>
                </c:pt>
                <c:pt idx="47">
                  <c:v>2012-03-08</c:v>
                </c:pt>
                <c:pt idx="48">
                  <c:v>2012-03-09</c:v>
                </c:pt>
                <c:pt idx="49">
                  <c:v>2012-03-12</c:v>
                </c:pt>
                <c:pt idx="50">
                  <c:v>2012-03-13</c:v>
                </c:pt>
                <c:pt idx="51">
                  <c:v>2012-03-14</c:v>
                </c:pt>
                <c:pt idx="52">
                  <c:v>2012-03-15</c:v>
                </c:pt>
                <c:pt idx="53">
                  <c:v>2012-03-16</c:v>
                </c:pt>
                <c:pt idx="54">
                  <c:v>2012-03-19</c:v>
                </c:pt>
                <c:pt idx="55">
                  <c:v>2012-03-20</c:v>
                </c:pt>
                <c:pt idx="56">
                  <c:v>2012-03-21</c:v>
                </c:pt>
                <c:pt idx="57">
                  <c:v>2012-03-22</c:v>
                </c:pt>
                <c:pt idx="58">
                  <c:v>2012-03-23</c:v>
                </c:pt>
                <c:pt idx="59">
                  <c:v>2012-03-26</c:v>
                </c:pt>
                <c:pt idx="60">
                  <c:v>2012-03-27</c:v>
                </c:pt>
                <c:pt idx="61">
                  <c:v>2012-03-28</c:v>
                </c:pt>
                <c:pt idx="62">
                  <c:v>2012-03-29</c:v>
                </c:pt>
                <c:pt idx="63">
                  <c:v>2012-03-30</c:v>
                </c:pt>
                <c:pt idx="64">
                  <c:v>2012-04-02</c:v>
                </c:pt>
                <c:pt idx="65">
                  <c:v>2012-04-03</c:v>
                </c:pt>
                <c:pt idx="66">
                  <c:v>2012-04-04</c:v>
                </c:pt>
                <c:pt idx="67">
                  <c:v>2012-04-05</c:v>
                </c:pt>
                <c:pt idx="68">
                  <c:v>2012-04-10</c:v>
                </c:pt>
                <c:pt idx="69">
                  <c:v>2012-04-11</c:v>
                </c:pt>
                <c:pt idx="70">
                  <c:v>2012-04-12</c:v>
                </c:pt>
                <c:pt idx="71">
                  <c:v>2012-04-13</c:v>
                </c:pt>
                <c:pt idx="72">
                  <c:v>2012-04-16</c:v>
                </c:pt>
                <c:pt idx="73">
                  <c:v>2012-04-17</c:v>
                </c:pt>
                <c:pt idx="74">
                  <c:v>2012-04-18</c:v>
                </c:pt>
                <c:pt idx="75">
                  <c:v>2012-04-19</c:v>
                </c:pt>
                <c:pt idx="76">
                  <c:v>2012-04-20</c:v>
                </c:pt>
                <c:pt idx="77">
                  <c:v>2012-04-23</c:v>
                </c:pt>
                <c:pt idx="78">
                  <c:v>2012-04-24</c:v>
                </c:pt>
                <c:pt idx="79">
                  <c:v>2012-04-25</c:v>
                </c:pt>
                <c:pt idx="80">
                  <c:v>2012-04-26</c:v>
                </c:pt>
                <c:pt idx="81">
                  <c:v>2012-04-27</c:v>
                </c:pt>
                <c:pt idx="82">
                  <c:v>2012-04-30</c:v>
                </c:pt>
                <c:pt idx="83">
                  <c:v>2012-05-01</c:v>
                </c:pt>
                <c:pt idx="84">
                  <c:v>2012-05-02</c:v>
                </c:pt>
                <c:pt idx="85">
                  <c:v>2012-05-03</c:v>
                </c:pt>
                <c:pt idx="86">
                  <c:v>2012-05-04</c:v>
                </c:pt>
                <c:pt idx="87">
                  <c:v>2012-05-08</c:v>
                </c:pt>
                <c:pt idx="88">
                  <c:v>2012-05-09</c:v>
                </c:pt>
                <c:pt idx="89">
                  <c:v>2012-05-10</c:v>
                </c:pt>
                <c:pt idx="90">
                  <c:v>2012-05-11</c:v>
                </c:pt>
                <c:pt idx="91">
                  <c:v>2012-05-14</c:v>
                </c:pt>
                <c:pt idx="92">
                  <c:v>2012-05-15</c:v>
                </c:pt>
                <c:pt idx="93">
                  <c:v>2012-05-16</c:v>
                </c:pt>
                <c:pt idx="94">
                  <c:v>2012-05-17</c:v>
                </c:pt>
                <c:pt idx="95">
                  <c:v>2012-05-18</c:v>
                </c:pt>
                <c:pt idx="96">
                  <c:v>2012-05-21</c:v>
                </c:pt>
                <c:pt idx="97">
                  <c:v>2012-05-22</c:v>
                </c:pt>
                <c:pt idx="98">
                  <c:v>2012-05-23</c:v>
                </c:pt>
                <c:pt idx="99">
                  <c:v>2012-05-24</c:v>
                </c:pt>
                <c:pt idx="100">
                  <c:v>2012-05-25</c:v>
                </c:pt>
                <c:pt idx="101">
                  <c:v>2012-05-28</c:v>
                </c:pt>
                <c:pt idx="102">
                  <c:v>2012-05-29</c:v>
                </c:pt>
                <c:pt idx="103">
                  <c:v>2012-05-30</c:v>
                </c:pt>
                <c:pt idx="104">
                  <c:v>2012-05-31</c:v>
                </c:pt>
                <c:pt idx="105">
                  <c:v>2012-06-01</c:v>
                </c:pt>
                <c:pt idx="106">
                  <c:v>2012-06-06</c:v>
                </c:pt>
                <c:pt idx="107">
                  <c:v>2012-06-07</c:v>
                </c:pt>
                <c:pt idx="108">
                  <c:v>2012-06-08</c:v>
                </c:pt>
                <c:pt idx="109">
                  <c:v>2012-06-11</c:v>
                </c:pt>
                <c:pt idx="110">
                  <c:v>2012-06-12</c:v>
                </c:pt>
                <c:pt idx="111">
                  <c:v>2012-06-13</c:v>
                </c:pt>
                <c:pt idx="112">
                  <c:v>2012-06-14</c:v>
                </c:pt>
                <c:pt idx="113">
                  <c:v>2012-06-15</c:v>
                </c:pt>
                <c:pt idx="114">
                  <c:v>2012-06-18</c:v>
                </c:pt>
                <c:pt idx="115">
                  <c:v>2012-06-19</c:v>
                </c:pt>
                <c:pt idx="116">
                  <c:v>2012-06-20</c:v>
                </c:pt>
                <c:pt idx="117">
                  <c:v>2012-06-21</c:v>
                </c:pt>
                <c:pt idx="118">
                  <c:v>2012-06-22</c:v>
                </c:pt>
                <c:pt idx="119">
                  <c:v>2012-06-25</c:v>
                </c:pt>
                <c:pt idx="120">
                  <c:v>2012-06-26</c:v>
                </c:pt>
                <c:pt idx="121">
                  <c:v>2012-06-27</c:v>
                </c:pt>
                <c:pt idx="122">
                  <c:v>2012-06-28</c:v>
                </c:pt>
                <c:pt idx="123">
                  <c:v>2012-06-29</c:v>
                </c:pt>
                <c:pt idx="124">
                  <c:v>2012-07-02</c:v>
                </c:pt>
                <c:pt idx="125">
                  <c:v>2012-07-03</c:v>
                </c:pt>
                <c:pt idx="126">
                  <c:v>2012-07-04</c:v>
                </c:pt>
                <c:pt idx="127">
                  <c:v>2012-07-05</c:v>
                </c:pt>
                <c:pt idx="128">
                  <c:v>2012-07-06</c:v>
                </c:pt>
                <c:pt idx="129">
                  <c:v>2012-07-09</c:v>
                </c:pt>
                <c:pt idx="130">
                  <c:v>2012-07-10</c:v>
                </c:pt>
                <c:pt idx="131">
                  <c:v>2012-07-11</c:v>
                </c:pt>
                <c:pt idx="132">
                  <c:v>2012-07-12</c:v>
                </c:pt>
                <c:pt idx="133">
                  <c:v>2012-07-13</c:v>
                </c:pt>
                <c:pt idx="134">
                  <c:v>2012-07-16</c:v>
                </c:pt>
                <c:pt idx="135">
                  <c:v>2012-07-17</c:v>
                </c:pt>
                <c:pt idx="136">
                  <c:v>2012-07-18</c:v>
                </c:pt>
                <c:pt idx="137">
                  <c:v>2012-07-19</c:v>
                </c:pt>
                <c:pt idx="138">
                  <c:v>2012-07-20</c:v>
                </c:pt>
                <c:pt idx="139">
                  <c:v>2012-07-23</c:v>
                </c:pt>
                <c:pt idx="140">
                  <c:v>2012-07-24</c:v>
                </c:pt>
                <c:pt idx="141">
                  <c:v>2012-07-25</c:v>
                </c:pt>
                <c:pt idx="142">
                  <c:v>2012-07-26</c:v>
                </c:pt>
                <c:pt idx="143">
                  <c:v>2012-07-27</c:v>
                </c:pt>
                <c:pt idx="144">
                  <c:v>2012-07-30</c:v>
                </c:pt>
                <c:pt idx="145">
                  <c:v>2012-07-31</c:v>
                </c:pt>
                <c:pt idx="146">
                  <c:v>2012-08-01</c:v>
                </c:pt>
                <c:pt idx="147">
                  <c:v>2012-08-02</c:v>
                </c:pt>
                <c:pt idx="148">
                  <c:v>2012-08-03</c:v>
                </c:pt>
                <c:pt idx="149">
                  <c:v>2012-08-06</c:v>
                </c:pt>
                <c:pt idx="150">
                  <c:v>2012-08-07</c:v>
                </c:pt>
                <c:pt idx="151">
                  <c:v>2012-08-08</c:v>
                </c:pt>
                <c:pt idx="152">
                  <c:v>2012-08-09</c:v>
                </c:pt>
                <c:pt idx="153">
                  <c:v>2012-08-10</c:v>
                </c:pt>
                <c:pt idx="154">
                  <c:v>2012-08-13</c:v>
                </c:pt>
                <c:pt idx="155">
                  <c:v>2012-08-14</c:v>
                </c:pt>
                <c:pt idx="156">
                  <c:v>2012-08-15</c:v>
                </c:pt>
                <c:pt idx="157">
                  <c:v>2012-08-16</c:v>
                </c:pt>
                <c:pt idx="158">
                  <c:v>2012-08-17</c:v>
                </c:pt>
                <c:pt idx="159">
                  <c:v>2012-08-20</c:v>
                </c:pt>
                <c:pt idx="160">
                  <c:v>2012-08-21</c:v>
                </c:pt>
                <c:pt idx="161">
                  <c:v>2012-08-22</c:v>
                </c:pt>
                <c:pt idx="162">
                  <c:v>2012-08-23</c:v>
                </c:pt>
                <c:pt idx="163">
                  <c:v>2012-08-24</c:v>
                </c:pt>
                <c:pt idx="164">
                  <c:v>2012-08-28</c:v>
                </c:pt>
                <c:pt idx="165">
                  <c:v>2012-08-29</c:v>
                </c:pt>
                <c:pt idx="166">
                  <c:v>2012-08-30</c:v>
                </c:pt>
                <c:pt idx="167">
                  <c:v>2012-08-31</c:v>
                </c:pt>
                <c:pt idx="168">
                  <c:v>2012-09-03</c:v>
                </c:pt>
                <c:pt idx="169">
                  <c:v>2012-09-04</c:v>
                </c:pt>
                <c:pt idx="170">
                  <c:v>2012-09-05</c:v>
                </c:pt>
                <c:pt idx="171">
                  <c:v>2012-09-06</c:v>
                </c:pt>
                <c:pt idx="172">
                  <c:v>2012-09-07</c:v>
                </c:pt>
                <c:pt idx="173">
                  <c:v>2012-09-10</c:v>
                </c:pt>
                <c:pt idx="174">
                  <c:v>2012-09-11</c:v>
                </c:pt>
                <c:pt idx="175">
                  <c:v>2012-09-12</c:v>
                </c:pt>
                <c:pt idx="176">
                  <c:v>2012-09-13</c:v>
                </c:pt>
                <c:pt idx="177">
                  <c:v>2012-09-14</c:v>
                </c:pt>
                <c:pt idx="178">
                  <c:v>2012-09-17</c:v>
                </c:pt>
                <c:pt idx="179">
                  <c:v>2012-09-18</c:v>
                </c:pt>
                <c:pt idx="180">
                  <c:v>2012-09-19</c:v>
                </c:pt>
                <c:pt idx="181">
                  <c:v>2012-09-20</c:v>
                </c:pt>
                <c:pt idx="182">
                  <c:v>2012-09-21</c:v>
                </c:pt>
                <c:pt idx="183">
                  <c:v>2012-09-24</c:v>
                </c:pt>
                <c:pt idx="184">
                  <c:v>2012-09-25</c:v>
                </c:pt>
                <c:pt idx="185">
                  <c:v>2012-09-26</c:v>
                </c:pt>
                <c:pt idx="186">
                  <c:v>2012-09-27</c:v>
                </c:pt>
                <c:pt idx="187">
                  <c:v>2012-09-28</c:v>
                </c:pt>
                <c:pt idx="188">
                  <c:v>2012-10-01</c:v>
                </c:pt>
                <c:pt idx="189">
                  <c:v>2012-10-02</c:v>
                </c:pt>
                <c:pt idx="190">
                  <c:v>2012-10-03</c:v>
                </c:pt>
                <c:pt idx="191">
                  <c:v>2012-10-04</c:v>
                </c:pt>
                <c:pt idx="192">
                  <c:v>2012-10-05</c:v>
                </c:pt>
                <c:pt idx="193">
                  <c:v>2012-10-08</c:v>
                </c:pt>
                <c:pt idx="194">
                  <c:v>2012-10-09</c:v>
                </c:pt>
                <c:pt idx="195">
                  <c:v>2012-10-10</c:v>
                </c:pt>
                <c:pt idx="196">
                  <c:v>2012-10-11</c:v>
                </c:pt>
                <c:pt idx="197">
                  <c:v>2012-10-12</c:v>
                </c:pt>
                <c:pt idx="198">
                  <c:v>2012-10-15</c:v>
                </c:pt>
                <c:pt idx="199">
                  <c:v>2012-10-16</c:v>
                </c:pt>
                <c:pt idx="200">
                  <c:v>2012-10-17</c:v>
                </c:pt>
                <c:pt idx="201">
                  <c:v>2012-10-18</c:v>
                </c:pt>
                <c:pt idx="202">
                  <c:v>2012-10-19</c:v>
                </c:pt>
                <c:pt idx="203">
                  <c:v>2012-10-22</c:v>
                </c:pt>
                <c:pt idx="204">
                  <c:v>2012-10-23</c:v>
                </c:pt>
                <c:pt idx="205">
                  <c:v>2012-10-24</c:v>
                </c:pt>
                <c:pt idx="206">
                  <c:v>2012-10-25</c:v>
                </c:pt>
                <c:pt idx="207">
                  <c:v>2012-10-26</c:v>
                </c:pt>
                <c:pt idx="208">
                  <c:v>2012-10-29</c:v>
                </c:pt>
                <c:pt idx="209">
                  <c:v>2012-10-30</c:v>
                </c:pt>
                <c:pt idx="210">
                  <c:v>2012-10-31</c:v>
                </c:pt>
                <c:pt idx="211">
                  <c:v>2012-11-01</c:v>
                </c:pt>
                <c:pt idx="212">
                  <c:v>2012-11-02</c:v>
                </c:pt>
                <c:pt idx="213">
                  <c:v>2012-11-05</c:v>
                </c:pt>
                <c:pt idx="214">
                  <c:v>2012-11-06</c:v>
                </c:pt>
                <c:pt idx="215">
                  <c:v>2012-11-07</c:v>
                </c:pt>
                <c:pt idx="216">
                  <c:v>2012-11-08</c:v>
                </c:pt>
                <c:pt idx="217">
                  <c:v>2012-11-09</c:v>
                </c:pt>
                <c:pt idx="218">
                  <c:v>2012-11-12</c:v>
                </c:pt>
                <c:pt idx="219">
                  <c:v>2012-11-13</c:v>
                </c:pt>
                <c:pt idx="220">
                  <c:v>2012-11-14</c:v>
                </c:pt>
                <c:pt idx="221">
                  <c:v>2012-11-15</c:v>
                </c:pt>
                <c:pt idx="222">
                  <c:v>2012-11-16</c:v>
                </c:pt>
                <c:pt idx="223">
                  <c:v>2012-11-19</c:v>
                </c:pt>
                <c:pt idx="224">
                  <c:v>2012-11-20</c:v>
                </c:pt>
                <c:pt idx="225">
                  <c:v>2012-11-21</c:v>
                </c:pt>
                <c:pt idx="226">
                  <c:v>2012-11-22</c:v>
                </c:pt>
                <c:pt idx="227">
                  <c:v>2012-11-23</c:v>
                </c:pt>
                <c:pt idx="228">
                  <c:v>2012-11-26</c:v>
                </c:pt>
                <c:pt idx="229">
                  <c:v>2012-11-27</c:v>
                </c:pt>
                <c:pt idx="230">
                  <c:v>2012-11-28</c:v>
                </c:pt>
                <c:pt idx="231">
                  <c:v>2012-11-29</c:v>
                </c:pt>
                <c:pt idx="232">
                  <c:v>2012-11-30</c:v>
                </c:pt>
                <c:pt idx="233">
                  <c:v>2012-12-03</c:v>
                </c:pt>
                <c:pt idx="234">
                  <c:v>2012-12-04</c:v>
                </c:pt>
                <c:pt idx="235">
                  <c:v>2012-12-05</c:v>
                </c:pt>
                <c:pt idx="236">
                  <c:v>2012-12-06</c:v>
                </c:pt>
                <c:pt idx="237">
                  <c:v>2012-12-07</c:v>
                </c:pt>
                <c:pt idx="238">
                  <c:v>2012-12-10</c:v>
                </c:pt>
                <c:pt idx="239">
                  <c:v>2012-12-11</c:v>
                </c:pt>
                <c:pt idx="240">
                  <c:v>2012-12-12</c:v>
                </c:pt>
                <c:pt idx="241">
                  <c:v>2012-12-13</c:v>
                </c:pt>
                <c:pt idx="242">
                  <c:v>2012-12-14</c:v>
                </c:pt>
                <c:pt idx="243">
                  <c:v>2012-12-17</c:v>
                </c:pt>
                <c:pt idx="244">
                  <c:v>2012-12-18</c:v>
                </c:pt>
                <c:pt idx="245">
                  <c:v>2012-12-19</c:v>
                </c:pt>
                <c:pt idx="246">
                  <c:v>2012-12-20</c:v>
                </c:pt>
                <c:pt idx="247">
                  <c:v>2012-12-21</c:v>
                </c:pt>
                <c:pt idx="248">
                  <c:v>2012-12-24</c:v>
                </c:pt>
                <c:pt idx="249">
                  <c:v>2012-12-27</c:v>
                </c:pt>
                <c:pt idx="250">
                  <c:v>2012-12-28</c:v>
                </c:pt>
                <c:pt idx="251">
                  <c:v>2012-12-31</c:v>
                </c:pt>
                <c:pt idx="252">
                  <c:v>2013-01-02</c:v>
                </c:pt>
                <c:pt idx="253">
                  <c:v>2013-01-03</c:v>
                </c:pt>
                <c:pt idx="254">
                  <c:v>2013-01-04</c:v>
                </c:pt>
                <c:pt idx="255">
                  <c:v>2013-01-07</c:v>
                </c:pt>
                <c:pt idx="256">
                  <c:v>2013-01-08</c:v>
                </c:pt>
                <c:pt idx="257">
                  <c:v>2013-01-09</c:v>
                </c:pt>
                <c:pt idx="258">
                  <c:v>2013-01-10</c:v>
                </c:pt>
                <c:pt idx="259">
                  <c:v>2013-01-11</c:v>
                </c:pt>
                <c:pt idx="260">
                  <c:v>2013-01-14</c:v>
                </c:pt>
                <c:pt idx="261">
                  <c:v>2013-01-15</c:v>
                </c:pt>
                <c:pt idx="262">
                  <c:v>2013-01-16</c:v>
                </c:pt>
                <c:pt idx="263">
                  <c:v>2013-01-17</c:v>
                </c:pt>
                <c:pt idx="264">
                  <c:v>2013-01-18</c:v>
                </c:pt>
                <c:pt idx="265">
                  <c:v>2013-01-21</c:v>
                </c:pt>
                <c:pt idx="266">
                  <c:v>2013-01-22</c:v>
                </c:pt>
                <c:pt idx="267">
                  <c:v>2013-01-23</c:v>
                </c:pt>
                <c:pt idx="268">
                  <c:v>2013-01-24</c:v>
                </c:pt>
                <c:pt idx="269">
                  <c:v>2013-01-25</c:v>
                </c:pt>
                <c:pt idx="270">
                  <c:v>2013-01-28</c:v>
                </c:pt>
                <c:pt idx="271">
                  <c:v>2013-01-29</c:v>
                </c:pt>
                <c:pt idx="272">
                  <c:v>2013-01-30</c:v>
                </c:pt>
                <c:pt idx="273">
                  <c:v>2013-01-31</c:v>
                </c:pt>
                <c:pt idx="274">
                  <c:v>2013-02-01</c:v>
                </c:pt>
                <c:pt idx="275">
                  <c:v>2013-02-04</c:v>
                </c:pt>
                <c:pt idx="276">
                  <c:v>2013-02-05</c:v>
                </c:pt>
                <c:pt idx="277">
                  <c:v>2013-02-06</c:v>
                </c:pt>
                <c:pt idx="278">
                  <c:v>2013-02-07</c:v>
                </c:pt>
                <c:pt idx="279">
                  <c:v>2013-02-08</c:v>
                </c:pt>
                <c:pt idx="280">
                  <c:v>2013-02-11</c:v>
                </c:pt>
                <c:pt idx="281">
                  <c:v>2013-02-12</c:v>
                </c:pt>
                <c:pt idx="282">
                  <c:v>2013-02-13</c:v>
                </c:pt>
                <c:pt idx="283">
                  <c:v>2013-02-14</c:v>
                </c:pt>
                <c:pt idx="284">
                  <c:v>2013-02-15</c:v>
                </c:pt>
                <c:pt idx="285">
                  <c:v>2013-02-18</c:v>
                </c:pt>
                <c:pt idx="286">
                  <c:v>2013-02-19</c:v>
                </c:pt>
                <c:pt idx="287">
                  <c:v>2013-02-20</c:v>
                </c:pt>
                <c:pt idx="288">
                  <c:v>2013-02-21</c:v>
                </c:pt>
                <c:pt idx="289">
                  <c:v>2013-02-22</c:v>
                </c:pt>
                <c:pt idx="290">
                  <c:v>2013-02-25</c:v>
                </c:pt>
                <c:pt idx="291">
                  <c:v>2013-02-26</c:v>
                </c:pt>
                <c:pt idx="292">
                  <c:v>2013-02-27</c:v>
                </c:pt>
                <c:pt idx="293">
                  <c:v>2013-02-28</c:v>
                </c:pt>
                <c:pt idx="294">
                  <c:v>2013-03-01</c:v>
                </c:pt>
                <c:pt idx="295">
                  <c:v>2013-03-04</c:v>
                </c:pt>
                <c:pt idx="296">
                  <c:v>2013-03-05</c:v>
                </c:pt>
                <c:pt idx="297">
                  <c:v>2013-03-06</c:v>
                </c:pt>
                <c:pt idx="298">
                  <c:v>2013-03-07</c:v>
                </c:pt>
                <c:pt idx="299">
                  <c:v>2013-03-08</c:v>
                </c:pt>
                <c:pt idx="300">
                  <c:v>2013-03-11</c:v>
                </c:pt>
                <c:pt idx="301">
                  <c:v>2013-03-12</c:v>
                </c:pt>
                <c:pt idx="302">
                  <c:v>2013-03-13</c:v>
                </c:pt>
                <c:pt idx="303">
                  <c:v>2013-03-14</c:v>
                </c:pt>
                <c:pt idx="304">
                  <c:v>2013-03-15</c:v>
                </c:pt>
                <c:pt idx="305">
                  <c:v>2013-03-18</c:v>
                </c:pt>
                <c:pt idx="306">
                  <c:v>2013-03-19</c:v>
                </c:pt>
                <c:pt idx="307">
                  <c:v>2013-03-20</c:v>
                </c:pt>
                <c:pt idx="308">
                  <c:v>2013-03-21</c:v>
                </c:pt>
                <c:pt idx="309">
                  <c:v>2013-03-22</c:v>
                </c:pt>
                <c:pt idx="310">
                  <c:v>2013-03-25</c:v>
                </c:pt>
                <c:pt idx="311">
                  <c:v>2013-03-26</c:v>
                </c:pt>
                <c:pt idx="312">
                  <c:v>2013-03-27</c:v>
                </c:pt>
                <c:pt idx="313">
                  <c:v>2013-03-28</c:v>
                </c:pt>
                <c:pt idx="314">
                  <c:v>2013-04-02</c:v>
                </c:pt>
                <c:pt idx="315">
                  <c:v>2013-04-03</c:v>
                </c:pt>
                <c:pt idx="316">
                  <c:v>2013-04-04</c:v>
                </c:pt>
                <c:pt idx="317">
                  <c:v>2013-04-05</c:v>
                </c:pt>
                <c:pt idx="318">
                  <c:v>2013-04-08</c:v>
                </c:pt>
                <c:pt idx="319">
                  <c:v>2013-04-09</c:v>
                </c:pt>
                <c:pt idx="320">
                  <c:v>2013-04-10</c:v>
                </c:pt>
                <c:pt idx="321">
                  <c:v>2013-04-11</c:v>
                </c:pt>
                <c:pt idx="322">
                  <c:v>2013-04-12</c:v>
                </c:pt>
                <c:pt idx="323">
                  <c:v>2013-04-15</c:v>
                </c:pt>
                <c:pt idx="324">
                  <c:v>2013-04-16</c:v>
                </c:pt>
                <c:pt idx="325">
                  <c:v>2013-04-17</c:v>
                </c:pt>
                <c:pt idx="326">
                  <c:v>2013-04-18</c:v>
                </c:pt>
                <c:pt idx="327">
                  <c:v>2013-04-19</c:v>
                </c:pt>
                <c:pt idx="328">
                  <c:v>2013-04-22</c:v>
                </c:pt>
                <c:pt idx="329">
                  <c:v>2013-04-23</c:v>
                </c:pt>
                <c:pt idx="330">
                  <c:v>2013-04-24</c:v>
                </c:pt>
                <c:pt idx="331">
                  <c:v>2013-04-25</c:v>
                </c:pt>
                <c:pt idx="332">
                  <c:v>2013-04-26</c:v>
                </c:pt>
                <c:pt idx="333">
                  <c:v>2013-04-29</c:v>
                </c:pt>
                <c:pt idx="334">
                  <c:v>2013-04-30</c:v>
                </c:pt>
                <c:pt idx="335">
                  <c:v>2013-05-01</c:v>
                </c:pt>
                <c:pt idx="336">
                  <c:v>2013-05-02</c:v>
                </c:pt>
                <c:pt idx="337">
                  <c:v>2013-05-03</c:v>
                </c:pt>
                <c:pt idx="338">
                  <c:v>2013-05-07</c:v>
                </c:pt>
                <c:pt idx="339">
                  <c:v>2013-05-08</c:v>
                </c:pt>
                <c:pt idx="340">
                  <c:v>2013-05-09</c:v>
                </c:pt>
                <c:pt idx="341">
                  <c:v>2013-05-10</c:v>
                </c:pt>
                <c:pt idx="342">
                  <c:v>2013-05-13</c:v>
                </c:pt>
                <c:pt idx="343">
                  <c:v>2013-05-14</c:v>
                </c:pt>
                <c:pt idx="344">
                  <c:v>2013-05-15</c:v>
                </c:pt>
                <c:pt idx="345">
                  <c:v>2013-05-16</c:v>
                </c:pt>
                <c:pt idx="346">
                  <c:v>2013-05-17</c:v>
                </c:pt>
                <c:pt idx="347">
                  <c:v>2013-05-20</c:v>
                </c:pt>
                <c:pt idx="348">
                  <c:v>2013-05-21</c:v>
                </c:pt>
                <c:pt idx="349">
                  <c:v>2013-05-22</c:v>
                </c:pt>
                <c:pt idx="350">
                  <c:v>2013-05-23</c:v>
                </c:pt>
                <c:pt idx="351">
                  <c:v>2013-05-24</c:v>
                </c:pt>
                <c:pt idx="352">
                  <c:v>2013-05-28</c:v>
                </c:pt>
                <c:pt idx="353">
                  <c:v>2013-05-29</c:v>
                </c:pt>
                <c:pt idx="354">
                  <c:v>2013-05-30</c:v>
                </c:pt>
                <c:pt idx="355">
                  <c:v>2013-05-31</c:v>
                </c:pt>
                <c:pt idx="356">
                  <c:v>2013-06-03</c:v>
                </c:pt>
                <c:pt idx="357">
                  <c:v>2013-06-04</c:v>
                </c:pt>
                <c:pt idx="358">
                  <c:v>2013-06-05</c:v>
                </c:pt>
                <c:pt idx="359">
                  <c:v>2013-06-06</c:v>
                </c:pt>
                <c:pt idx="360">
                  <c:v>2013-06-07</c:v>
                </c:pt>
                <c:pt idx="361">
                  <c:v>2013-06-10</c:v>
                </c:pt>
                <c:pt idx="362">
                  <c:v>2013-06-11</c:v>
                </c:pt>
                <c:pt idx="363">
                  <c:v>2013-06-12</c:v>
                </c:pt>
                <c:pt idx="364">
                  <c:v>2013-06-13</c:v>
                </c:pt>
                <c:pt idx="365">
                  <c:v>2013-06-14</c:v>
                </c:pt>
                <c:pt idx="366">
                  <c:v>2013-06-17</c:v>
                </c:pt>
                <c:pt idx="367">
                  <c:v>2013-06-18</c:v>
                </c:pt>
                <c:pt idx="368">
                  <c:v>2013-06-19</c:v>
                </c:pt>
                <c:pt idx="369">
                  <c:v>2013-06-20</c:v>
                </c:pt>
                <c:pt idx="370">
                  <c:v>2013-06-21</c:v>
                </c:pt>
                <c:pt idx="371">
                  <c:v>2013-06-24</c:v>
                </c:pt>
                <c:pt idx="372">
                  <c:v>2013-06-25</c:v>
                </c:pt>
                <c:pt idx="373">
                  <c:v>2013-06-26</c:v>
                </c:pt>
                <c:pt idx="374">
                  <c:v>2013-06-27</c:v>
                </c:pt>
                <c:pt idx="375">
                  <c:v>2013-06-28</c:v>
                </c:pt>
                <c:pt idx="376">
                  <c:v>2013-07-01</c:v>
                </c:pt>
                <c:pt idx="377">
                  <c:v>2013-07-02</c:v>
                </c:pt>
                <c:pt idx="378">
                  <c:v>2013-07-03</c:v>
                </c:pt>
                <c:pt idx="379">
                  <c:v>2013-07-04</c:v>
                </c:pt>
                <c:pt idx="380">
                  <c:v>2013-07-05</c:v>
                </c:pt>
                <c:pt idx="381">
                  <c:v>2013-07-08</c:v>
                </c:pt>
                <c:pt idx="382">
                  <c:v>2013-07-09</c:v>
                </c:pt>
                <c:pt idx="383">
                  <c:v>2013-07-10</c:v>
                </c:pt>
                <c:pt idx="384">
                  <c:v>2013-07-11</c:v>
                </c:pt>
                <c:pt idx="385">
                  <c:v>2013-07-12</c:v>
                </c:pt>
                <c:pt idx="386">
                  <c:v>2013-07-15</c:v>
                </c:pt>
                <c:pt idx="387">
                  <c:v>2013-07-16</c:v>
                </c:pt>
                <c:pt idx="388">
                  <c:v>2013-07-17</c:v>
                </c:pt>
                <c:pt idx="389">
                  <c:v>2013-07-18</c:v>
                </c:pt>
                <c:pt idx="390">
                  <c:v>2013-07-19</c:v>
                </c:pt>
                <c:pt idx="391">
                  <c:v>2013-07-22</c:v>
                </c:pt>
                <c:pt idx="392">
                  <c:v>2013-07-23</c:v>
                </c:pt>
                <c:pt idx="393">
                  <c:v>2013-07-24</c:v>
                </c:pt>
                <c:pt idx="394">
                  <c:v>2013-07-25</c:v>
                </c:pt>
                <c:pt idx="395">
                  <c:v>2013-07-26</c:v>
                </c:pt>
                <c:pt idx="396">
                  <c:v>2013-07-29</c:v>
                </c:pt>
                <c:pt idx="397">
                  <c:v>2013-07-30</c:v>
                </c:pt>
                <c:pt idx="398">
                  <c:v>2013-07-31</c:v>
                </c:pt>
                <c:pt idx="399">
                  <c:v>2013-08-01</c:v>
                </c:pt>
                <c:pt idx="400">
                  <c:v>2013-08-02</c:v>
                </c:pt>
                <c:pt idx="401">
                  <c:v>2013-08-05</c:v>
                </c:pt>
                <c:pt idx="402">
                  <c:v>2013-08-06</c:v>
                </c:pt>
                <c:pt idx="403">
                  <c:v>2013-08-07</c:v>
                </c:pt>
                <c:pt idx="404">
                  <c:v>2013-08-08</c:v>
                </c:pt>
                <c:pt idx="405">
                  <c:v>2013-08-09</c:v>
                </c:pt>
                <c:pt idx="406">
                  <c:v>2013-08-12</c:v>
                </c:pt>
                <c:pt idx="407">
                  <c:v>2013-08-13</c:v>
                </c:pt>
                <c:pt idx="408">
                  <c:v>2013-08-14</c:v>
                </c:pt>
                <c:pt idx="409">
                  <c:v>2013-08-15</c:v>
                </c:pt>
                <c:pt idx="410">
                  <c:v>2013-08-16</c:v>
                </c:pt>
                <c:pt idx="411">
                  <c:v>2013-08-19</c:v>
                </c:pt>
                <c:pt idx="412">
                  <c:v>2013-08-20</c:v>
                </c:pt>
                <c:pt idx="413">
                  <c:v>2013-08-21</c:v>
                </c:pt>
                <c:pt idx="414">
                  <c:v>2013-08-22</c:v>
                </c:pt>
                <c:pt idx="415">
                  <c:v>2013-08-23</c:v>
                </c:pt>
                <c:pt idx="416">
                  <c:v>2013-08-27</c:v>
                </c:pt>
                <c:pt idx="417">
                  <c:v>2013-08-28</c:v>
                </c:pt>
                <c:pt idx="418">
                  <c:v>2013-08-29</c:v>
                </c:pt>
                <c:pt idx="419">
                  <c:v>2013-08-30</c:v>
                </c:pt>
                <c:pt idx="420">
                  <c:v>2013-09-02</c:v>
                </c:pt>
                <c:pt idx="421">
                  <c:v>2013-09-03</c:v>
                </c:pt>
                <c:pt idx="422">
                  <c:v>2013-09-04</c:v>
                </c:pt>
                <c:pt idx="423">
                  <c:v>2013-09-05</c:v>
                </c:pt>
                <c:pt idx="424">
                  <c:v>2013-09-06</c:v>
                </c:pt>
                <c:pt idx="425">
                  <c:v>2013-09-09</c:v>
                </c:pt>
                <c:pt idx="426">
                  <c:v>2013-09-10</c:v>
                </c:pt>
                <c:pt idx="427">
                  <c:v>2013-09-11</c:v>
                </c:pt>
                <c:pt idx="428">
                  <c:v>2013-09-12</c:v>
                </c:pt>
                <c:pt idx="429">
                  <c:v>2013-09-13</c:v>
                </c:pt>
                <c:pt idx="430">
                  <c:v>2013-09-16</c:v>
                </c:pt>
                <c:pt idx="431">
                  <c:v>2013-09-17</c:v>
                </c:pt>
                <c:pt idx="432">
                  <c:v>2013-09-18</c:v>
                </c:pt>
                <c:pt idx="433">
                  <c:v>2013-09-19</c:v>
                </c:pt>
                <c:pt idx="434">
                  <c:v>2013-09-20</c:v>
                </c:pt>
                <c:pt idx="435">
                  <c:v>2013-09-23</c:v>
                </c:pt>
                <c:pt idx="436">
                  <c:v>2013-09-24</c:v>
                </c:pt>
                <c:pt idx="437">
                  <c:v>2013-09-25</c:v>
                </c:pt>
                <c:pt idx="438">
                  <c:v>2013-09-26</c:v>
                </c:pt>
                <c:pt idx="439">
                  <c:v>2013-09-27</c:v>
                </c:pt>
                <c:pt idx="440">
                  <c:v>2013-09-30</c:v>
                </c:pt>
                <c:pt idx="441">
                  <c:v>2013-10-01</c:v>
                </c:pt>
                <c:pt idx="442">
                  <c:v>2013-10-02</c:v>
                </c:pt>
                <c:pt idx="443">
                  <c:v>2013-10-03</c:v>
                </c:pt>
                <c:pt idx="444">
                  <c:v>2013-10-04</c:v>
                </c:pt>
                <c:pt idx="445">
                  <c:v>2013-10-07</c:v>
                </c:pt>
                <c:pt idx="446">
                  <c:v>2013-10-08</c:v>
                </c:pt>
                <c:pt idx="447">
                  <c:v>2013-10-09</c:v>
                </c:pt>
                <c:pt idx="448">
                  <c:v>2013-10-10</c:v>
                </c:pt>
                <c:pt idx="449">
                  <c:v>2013-10-11</c:v>
                </c:pt>
                <c:pt idx="450">
                  <c:v>2013-10-14</c:v>
                </c:pt>
                <c:pt idx="451">
                  <c:v>2013-10-15</c:v>
                </c:pt>
                <c:pt idx="452">
                  <c:v>2013-10-16</c:v>
                </c:pt>
                <c:pt idx="453">
                  <c:v>2013-10-17</c:v>
                </c:pt>
                <c:pt idx="454">
                  <c:v>2013-10-18</c:v>
                </c:pt>
                <c:pt idx="455">
                  <c:v>2013-10-21</c:v>
                </c:pt>
                <c:pt idx="456">
                  <c:v>2013-10-22</c:v>
                </c:pt>
                <c:pt idx="457">
                  <c:v>2013-10-23</c:v>
                </c:pt>
                <c:pt idx="458">
                  <c:v>2013-10-24</c:v>
                </c:pt>
                <c:pt idx="459">
                  <c:v>2013-10-25</c:v>
                </c:pt>
                <c:pt idx="460">
                  <c:v>2013-10-28</c:v>
                </c:pt>
                <c:pt idx="461">
                  <c:v>2013-10-29</c:v>
                </c:pt>
                <c:pt idx="462">
                  <c:v>2013-10-30</c:v>
                </c:pt>
                <c:pt idx="463">
                  <c:v>2013-10-31</c:v>
                </c:pt>
                <c:pt idx="464">
                  <c:v>2013-11-01</c:v>
                </c:pt>
                <c:pt idx="465">
                  <c:v>2013-11-04</c:v>
                </c:pt>
                <c:pt idx="466">
                  <c:v>2013-11-05</c:v>
                </c:pt>
                <c:pt idx="467">
                  <c:v>2013-11-06</c:v>
                </c:pt>
                <c:pt idx="468">
                  <c:v>2013-11-07</c:v>
                </c:pt>
                <c:pt idx="469">
                  <c:v>2013-11-08</c:v>
                </c:pt>
                <c:pt idx="470">
                  <c:v>2013-11-11</c:v>
                </c:pt>
                <c:pt idx="471">
                  <c:v>2013-11-12</c:v>
                </c:pt>
                <c:pt idx="472">
                  <c:v>2013-11-13</c:v>
                </c:pt>
                <c:pt idx="473">
                  <c:v>2013-11-14</c:v>
                </c:pt>
                <c:pt idx="474">
                  <c:v>2013-11-15</c:v>
                </c:pt>
                <c:pt idx="475">
                  <c:v>2013-11-18</c:v>
                </c:pt>
                <c:pt idx="476">
                  <c:v>2013-11-19</c:v>
                </c:pt>
                <c:pt idx="477">
                  <c:v>2013-11-20</c:v>
                </c:pt>
                <c:pt idx="478">
                  <c:v>2013-11-21</c:v>
                </c:pt>
                <c:pt idx="479">
                  <c:v>2013-11-22</c:v>
                </c:pt>
                <c:pt idx="480">
                  <c:v>2013-11-25</c:v>
                </c:pt>
                <c:pt idx="481">
                  <c:v>2013-11-26</c:v>
                </c:pt>
                <c:pt idx="482">
                  <c:v>2013-11-27</c:v>
                </c:pt>
                <c:pt idx="483">
                  <c:v>2013-11-28</c:v>
                </c:pt>
                <c:pt idx="484">
                  <c:v>2013-11-29</c:v>
                </c:pt>
                <c:pt idx="485">
                  <c:v>2013-12-02</c:v>
                </c:pt>
                <c:pt idx="486">
                  <c:v>2013-12-03</c:v>
                </c:pt>
                <c:pt idx="487">
                  <c:v>2013-12-04</c:v>
                </c:pt>
                <c:pt idx="488">
                  <c:v>2013-12-05</c:v>
                </c:pt>
                <c:pt idx="489">
                  <c:v>2013-12-06</c:v>
                </c:pt>
                <c:pt idx="490">
                  <c:v>2013-12-09</c:v>
                </c:pt>
                <c:pt idx="491">
                  <c:v>2013-12-10</c:v>
                </c:pt>
                <c:pt idx="492">
                  <c:v>2013-12-11</c:v>
                </c:pt>
                <c:pt idx="493">
                  <c:v>2013-12-12</c:v>
                </c:pt>
                <c:pt idx="494">
                  <c:v>2013-12-13</c:v>
                </c:pt>
                <c:pt idx="495">
                  <c:v>2013-12-16</c:v>
                </c:pt>
                <c:pt idx="496">
                  <c:v>2013-12-17</c:v>
                </c:pt>
                <c:pt idx="497">
                  <c:v>2013-12-18</c:v>
                </c:pt>
                <c:pt idx="498">
                  <c:v>2013-12-19</c:v>
                </c:pt>
                <c:pt idx="499">
                  <c:v>2013-12-20</c:v>
                </c:pt>
                <c:pt idx="500">
                  <c:v>2013-12-23</c:v>
                </c:pt>
                <c:pt idx="501">
                  <c:v>2013-12-24</c:v>
                </c:pt>
                <c:pt idx="502">
                  <c:v>2013-12-27</c:v>
                </c:pt>
                <c:pt idx="503">
                  <c:v>2013-12-30</c:v>
                </c:pt>
                <c:pt idx="504">
                  <c:v>2013-12-31</c:v>
                </c:pt>
                <c:pt idx="505">
                  <c:v>2014-01-02</c:v>
                </c:pt>
                <c:pt idx="506">
                  <c:v>2014-01-03</c:v>
                </c:pt>
                <c:pt idx="507">
                  <c:v>2014-01-06</c:v>
                </c:pt>
                <c:pt idx="508">
                  <c:v>2014-01-07</c:v>
                </c:pt>
                <c:pt idx="509">
                  <c:v>2014-01-08</c:v>
                </c:pt>
                <c:pt idx="510">
                  <c:v>2014-01-09</c:v>
                </c:pt>
                <c:pt idx="511">
                  <c:v>2014-01-10</c:v>
                </c:pt>
                <c:pt idx="512">
                  <c:v>2014-01-13</c:v>
                </c:pt>
                <c:pt idx="513">
                  <c:v>2014-01-14</c:v>
                </c:pt>
                <c:pt idx="514">
                  <c:v>2014-01-15</c:v>
                </c:pt>
                <c:pt idx="515">
                  <c:v>2014-01-16</c:v>
                </c:pt>
                <c:pt idx="516">
                  <c:v>2014-01-17</c:v>
                </c:pt>
                <c:pt idx="517">
                  <c:v>2014-01-20</c:v>
                </c:pt>
                <c:pt idx="518">
                  <c:v>2014-01-21</c:v>
                </c:pt>
                <c:pt idx="519">
                  <c:v>2014-01-22</c:v>
                </c:pt>
                <c:pt idx="520">
                  <c:v>2014-01-23</c:v>
                </c:pt>
                <c:pt idx="521">
                  <c:v>2014-01-24</c:v>
                </c:pt>
                <c:pt idx="522">
                  <c:v>2014-01-27</c:v>
                </c:pt>
                <c:pt idx="523">
                  <c:v>2014-01-28</c:v>
                </c:pt>
                <c:pt idx="524">
                  <c:v>2014-01-29</c:v>
                </c:pt>
                <c:pt idx="525">
                  <c:v>2014-01-30</c:v>
                </c:pt>
                <c:pt idx="526">
                  <c:v>2014-01-31</c:v>
                </c:pt>
                <c:pt idx="527">
                  <c:v>2014-02-03</c:v>
                </c:pt>
                <c:pt idx="528">
                  <c:v>2014-02-04</c:v>
                </c:pt>
                <c:pt idx="529">
                  <c:v>2014-02-05</c:v>
                </c:pt>
                <c:pt idx="530">
                  <c:v>2014-02-06</c:v>
                </c:pt>
                <c:pt idx="531">
                  <c:v>2014-02-07</c:v>
                </c:pt>
                <c:pt idx="532">
                  <c:v>2014-02-10</c:v>
                </c:pt>
                <c:pt idx="533">
                  <c:v>2014-02-11</c:v>
                </c:pt>
                <c:pt idx="534">
                  <c:v>2014-02-12</c:v>
                </c:pt>
                <c:pt idx="535">
                  <c:v>2014-02-13</c:v>
                </c:pt>
                <c:pt idx="536">
                  <c:v>2014-02-14</c:v>
                </c:pt>
                <c:pt idx="537">
                  <c:v>2014-02-17</c:v>
                </c:pt>
                <c:pt idx="538">
                  <c:v>2014-02-18</c:v>
                </c:pt>
                <c:pt idx="539">
                  <c:v>2014-02-19</c:v>
                </c:pt>
                <c:pt idx="540">
                  <c:v>2014-02-20</c:v>
                </c:pt>
                <c:pt idx="541">
                  <c:v>2014-02-21</c:v>
                </c:pt>
                <c:pt idx="542">
                  <c:v>2014-02-24</c:v>
                </c:pt>
                <c:pt idx="543">
                  <c:v>2014-02-25</c:v>
                </c:pt>
                <c:pt idx="544">
                  <c:v>2014-02-26</c:v>
                </c:pt>
                <c:pt idx="545">
                  <c:v>2014-02-27</c:v>
                </c:pt>
                <c:pt idx="546">
                  <c:v>2014-02-28</c:v>
                </c:pt>
                <c:pt idx="547">
                  <c:v>2014-03-03</c:v>
                </c:pt>
                <c:pt idx="548">
                  <c:v>2014-03-04</c:v>
                </c:pt>
                <c:pt idx="549">
                  <c:v>2014-03-05</c:v>
                </c:pt>
                <c:pt idx="550">
                  <c:v>2014-03-06</c:v>
                </c:pt>
                <c:pt idx="551">
                  <c:v>2014-03-07</c:v>
                </c:pt>
                <c:pt idx="552">
                  <c:v>2014-03-10</c:v>
                </c:pt>
                <c:pt idx="553">
                  <c:v>2014-03-11</c:v>
                </c:pt>
                <c:pt idx="554">
                  <c:v>2014-03-12</c:v>
                </c:pt>
                <c:pt idx="555">
                  <c:v>2014-03-13</c:v>
                </c:pt>
                <c:pt idx="556">
                  <c:v>2014-03-14</c:v>
                </c:pt>
                <c:pt idx="557">
                  <c:v>2014-03-17</c:v>
                </c:pt>
                <c:pt idx="558">
                  <c:v>2014-03-18</c:v>
                </c:pt>
                <c:pt idx="559">
                  <c:v>2014-03-19</c:v>
                </c:pt>
                <c:pt idx="560">
                  <c:v>2014-03-20</c:v>
                </c:pt>
                <c:pt idx="561">
                  <c:v>2014-03-21</c:v>
                </c:pt>
                <c:pt idx="562">
                  <c:v>2014-03-24</c:v>
                </c:pt>
                <c:pt idx="563">
                  <c:v>2014-03-25</c:v>
                </c:pt>
                <c:pt idx="564">
                  <c:v>2014-03-26</c:v>
                </c:pt>
                <c:pt idx="565">
                  <c:v>2014-03-27</c:v>
                </c:pt>
                <c:pt idx="566">
                  <c:v>2014-03-28</c:v>
                </c:pt>
                <c:pt idx="567">
                  <c:v>2014-03-31</c:v>
                </c:pt>
                <c:pt idx="568">
                  <c:v>2014-04-01</c:v>
                </c:pt>
                <c:pt idx="569">
                  <c:v>2014-04-02</c:v>
                </c:pt>
                <c:pt idx="570">
                  <c:v>2014-04-03</c:v>
                </c:pt>
                <c:pt idx="571">
                  <c:v>2014-04-04</c:v>
                </c:pt>
                <c:pt idx="572">
                  <c:v>2014-04-07</c:v>
                </c:pt>
                <c:pt idx="573">
                  <c:v>2014-04-08</c:v>
                </c:pt>
                <c:pt idx="574">
                  <c:v>2014-04-09</c:v>
                </c:pt>
                <c:pt idx="575">
                  <c:v>2014-04-10</c:v>
                </c:pt>
                <c:pt idx="576">
                  <c:v>2014-04-11</c:v>
                </c:pt>
                <c:pt idx="577">
                  <c:v>2014-04-14</c:v>
                </c:pt>
                <c:pt idx="578">
                  <c:v>2014-04-15</c:v>
                </c:pt>
                <c:pt idx="579">
                  <c:v>2014-04-16</c:v>
                </c:pt>
                <c:pt idx="580">
                  <c:v>2014-04-17</c:v>
                </c:pt>
                <c:pt idx="581">
                  <c:v>2014-04-22</c:v>
                </c:pt>
                <c:pt idx="582">
                  <c:v>2014-04-23</c:v>
                </c:pt>
                <c:pt idx="583">
                  <c:v>2014-04-24</c:v>
                </c:pt>
                <c:pt idx="584">
                  <c:v>2014-04-25</c:v>
                </c:pt>
                <c:pt idx="585">
                  <c:v>2014-04-28</c:v>
                </c:pt>
                <c:pt idx="586">
                  <c:v>2014-04-29</c:v>
                </c:pt>
                <c:pt idx="587">
                  <c:v>2014-04-30</c:v>
                </c:pt>
                <c:pt idx="588">
                  <c:v>2014-05-01</c:v>
                </c:pt>
                <c:pt idx="589">
                  <c:v>2014-05-02</c:v>
                </c:pt>
                <c:pt idx="590">
                  <c:v>2014-05-06</c:v>
                </c:pt>
                <c:pt idx="591">
                  <c:v>2014-05-07</c:v>
                </c:pt>
                <c:pt idx="592">
                  <c:v>2014-05-08</c:v>
                </c:pt>
                <c:pt idx="593">
                  <c:v>2014-05-09</c:v>
                </c:pt>
                <c:pt idx="594">
                  <c:v>2014-05-12</c:v>
                </c:pt>
                <c:pt idx="595">
                  <c:v>2014-05-13</c:v>
                </c:pt>
                <c:pt idx="596">
                  <c:v>2014-05-14</c:v>
                </c:pt>
                <c:pt idx="597">
                  <c:v>2014-05-15</c:v>
                </c:pt>
                <c:pt idx="598">
                  <c:v>2014-05-16</c:v>
                </c:pt>
                <c:pt idx="599">
                  <c:v>2014-05-19</c:v>
                </c:pt>
                <c:pt idx="600">
                  <c:v>2014-05-20</c:v>
                </c:pt>
                <c:pt idx="601">
                  <c:v>2014-05-21</c:v>
                </c:pt>
                <c:pt idx="602">
                  <c:v>2014-05-22</c:v>
                </c:pt>
                <c:pt idx="603">
                  <c:v>2014-05-23</c:v>
                </c:pt>
                <c:pt idx="604">
                  <c:v>2014-05-27</c:v>
                </c:pt>
                <c:pt idx="605">
                  <c:v>2014-05-28</c:v>
                </c:pt>
                <c:pt idx="606">
                  <c:v>2014-05-29</c:v>
                </c:pt>
                <c:pt idx="607">
                  <c:v>2014-05-30</c:v>
                </c:pt>
                <c:pt idx="608">
                  <c:v>2014-06-02</c:v>
                </c:pt>
                <c:pt idx="609">
                  <c:v>2014-06-03</c:v>
                </c:pt>
                <c:pt idx="610">
                  <c:v>2014-06-04</c:v>
                </c:pt>
                <c:pt idx="611">
                  <c:v>2014-06-05</c:v>
                </c:pt>
                <c:pt idx="612">
                  <c:v>2014-06-06</c:v>
                </c:pt>
                <c:pt idx="613">
                  <c:v>2014-06-09</c:v>
                </c:pt>
                <c:pt idx="614">
                  <c:v>2014-06-10</c:v>
                </c:pt>
                <c:pt idx="615">
                  <c:v>2014-06-11</c:v>
                </c:pt>
                <c:pt idx="616">
                  <c:v>2014-06-12</c:v>
                </c:pt>
                <c:pt idx="617">
                  <c:v>2014-06-13</c:v>
                </c:pt>
                <c:pt idx="618">
                  <c:v>2014-06-16</c:v>
                </c:pt>
                <c:pt idx="619">
                  <c:v>2014-06-17</c:v>
                </c:pt>
                <c:pt idx="620">
                  <c:v>2014-06-18</c:v>
                </c:pt>
                <c:pt idx="621">
                  <c:v>2014-06-19</c:v>
                </c:pt>
                <c:pt idx="622">
                  <c:v>2014-06-20</c:v>
                </c:pt>
                <c:pt idx="623">
                  <c:v>2014-06-23</c:v>
                </c:pt>
                <c:pt idx="624">
                  <c:v>2014-06-24</c:v>
                </c:pt>
                <c:pt idx="625">
                  <c:v>2014-06-25</c:v>
                </c:pt>
                <c:pt idx="626">
                  <c:v>2014-06-26</c:v>
                </c:pt>
                <c:pt idx="627">
                  <c:v>2014-06-27</c:v>
                </c:pt>
                <c:pt idx="628">
                  <c:v>2014-06-30</c:v>
                </c:pt>
                <c:pt idx="629">
                  <c:v>2014-07-01</c:v>
                </c:pt>
                <c:pt idx="630">
                  <c:v>2014-07-02</c:v>
                </c:pt>
                <c:pt idx="631">
                  <c:v>2014-07-03</c:v>
                </c:pt>
                <c:pt idx="632">
                  <c:v>2014-07-04</c:v>
                </c:pt>
                <c:pt idx="633">
                  <c:v>2014-07-07</c:v>
                </c:pt>
                <c:pt idx="634">
                  <c:v>2014-07-08</c:v>
                </c:pt>
                <c:pt idx="635">
                  <c:v>2014-07-09</c:v>
                </c:pt>
                <c:pt idx="636">
                  <c:v>2014-07-10</c:v>
                </c:pt>
                <c:pt idx="637">
                  <c:v>2014-07-11</c:v>
                </c:pt>
                <c:pt idx="638">
                  <c:v>2014-07-14</c:v>
                </c:pt>
                <c:pt idx="639">
                  <c:v>2014-07-15</c:v>
                </c:pt>
                <c:pt idx="640">
                  <c:v>2014-07-16</c:v>
                </c:pt>
                <c:pt idx="641">
                  <c:v>2014-07-17</c:v>
                </c:pt>
                <c:pt idx="642">
                  <c:v>2014-07-18</c:v>
                </c:pt>
                <c:pt idx="643">
                  <c:v>2014-07-21</c:v>
                </c:pt>
                <c:pt idx="644">
                  <c:v>2014-07-22</c:v>
                </c:pt>
                <c:pt idx="645">
                  <c:v>2014-07-23</c:v>
                </c:pt>
                <c:pt idx="646">
                  <c:v>2014-07-24</c:v>
                </c:pt>
                <c:pt idx="647">
                  <c:v>2014-07-25</c:v>
                </c:pt>
                <c:pt idx="648">
                  <c:v>2014-07-28</c:v>
                </c:pt>
                <c:pt idx="649">
                  <c:v>2014-07-29</c:v>
                </c:pt>
                <c:pt idx="650">
                  <c:v>2014-07-30</c:v>
                </c:pt>
                <c:pt idx="651">
                  <c:v>2014-07-31</c:v>
                </c:pt>
                <c:pt idx="652">
                  <c:v>2014-08-01</c:v>
                </c:pt>
                <c:pt idx="653">
                  <c:v>2014-08-04</c:v>
                </c:pt>
                <c:pt idx="654">
                  <c:v>2014-08-05</c:v>
                </c:pt>
                <c:pt idx="655">
                  <c:v>2014-08-06</c:v>
                </c:pt>
                <c:pt idx="656">
                  <c:v>2014-08-07</c:v>
                </c:pt>
                <c:pt idx="657">
                  <c:v>2014-08-08</c:v>
                </c:pt>
                <c:pt idx="658">
                  <c:v>2014-08-11</c:v>
                </c:pt>
                <c:pt idx="659">
                  <c:v>2014-08-12</c:v>
                </c:pt>
                <c:pt idx="660">
                  <c:v>2014-08-13</c:v>
                </c:pt>
                <c:pt idx="661">
                  <c:v>2014-08-14</c:v>
                </c:pt>
                <c:pt idx="662">
                  <c:v>2014-08-15</c:v>
                </c:pt>
                <c:pt idx="663">
                  <c:v>2014-08-18</c:v>
                </c:pt>
                <c:pt idx="664">
                  <c:v>2014-08-19</c:v>
                </c:pt>
                <c:pt idx="665">
                  <c:v>2014-08-20</c:v>
                </c:pt>
                <c:pt idx="666">
                  <c:v>2014-08-21</c:v>
                </c:pt>
                <c:pt idx="667">
                  <c:v>2014-08-22</c:v>
                </c:pt>
                <c:pt idx="668">
                  <c:v>2014-08-26</c:v>
                </c:pt>
                <c:pt idx="669">
                  <c:v>2014-08-27</c:v>
                </c:pt>
                <c:pt idx="670">
                  <c:v>2014-08-28</c:v>
                </c:pt>
                <c:pt idx="671">
                  <c:v>2014-08-29</c:v>
                </c:pt>
                <c:pt idx="672">
                  <c:v>2014-09-01</c:v>
                </c:pt>
                <c:pt idx="673">
                  <c:v>2014-09-02</c:v>
                </c:pt>
                <c:pt idx="674">
                  <c:v>2014-09-03</c:v>
                </c:pt>
                <c:pt idx="675">
                  <c:v>2014-09-04</c:v>
                </c:pt>
                <c:pt idx="676">
                  <c:v>2014-09-05</c:v>
                </c:pt>
                <c:pt idx="677">
                  <c:v>2014-09-08</c:v>
                </c:pt>
                <c:pt idx="678">
                  <c:v>2014-09-09</c:v>
                </c:pt>
                <c:pt idx="679">
                  <c:v>2014-09-10</c:v>
                </c:pt>
                <c:pt idx="680">
                  <c:v>2014-09-11</c:v>
                </c:pt>
                <c:pt idx="681">
                  <c:v>2014-09-12</c:v>
                </c:pt>
                <c:pt idx="682">
                  <c:v>2014-09-15</c:v>
                </c:pt>
                <c:pt idx="683">
                  <c:v>2014-09-16</c:v>
                </c:pt>
                <c:pt idx="684">
                  <c:v>2014-09-17</c:v>
                </c:pt>
                <c:pt idx="685">
                  <c:v>2014-09-18</c:v>
                </c:pt>
                <c:pt idx="686">
                  <c:v>2014-09-19</c:v>
                </c:pt>
                <c:pt idx="687">
                  <c:v>2014-09-22</c:v>
                </c:pt>
                <c:pt idx="688">
                  <c:v>2014-09-23</c:v>
                </c:pt>
                <c:pt idx="689">
                  <c:v>2014-09-24</c:v>
                </c:pt>
                <c:pt idx="690">
                  <c:v>2014-09-25</c:v>
                </c:pt>
                <c:pt idx="691">
                  <c:v>2014-09-26</c:v>
                </c:pt>
                <c:pt idx="692">
                  <c:v>2014-09-29</c:v>
                </c:pt>
                <c:pt idx="693">
                  <c:v>2014-09-30</c:v>
                </c:pt>
                <c:pt idx="694">
                  <c:v>2014-10-01</c:v>
                </c:pt>
                <c:pt idx="695">
                  <c:v>2014-10-02</c:v>
                </c:pt>
                <c:pt idx="696">
                  <c:v>2014-10-03</c:v>
                </c:pt>
                <c:pt idx="697">
                  <c:v>2014-10-06</c:v>
                </c:pt>
                <c:pt idx="698">
                  <c:v>2014-10-07</c:v>
                </c:pt>
                <c:pt idx="699">
                  <c:v>2014-10-08</c:v>
                </c:pt>
                <c:pt idx="700">
                  <c:v>2014-10-09</c:v>
                </c:pt>
                <c:pt idx="701">
                  <c:v>2014-10-10</c:v>
                </c:pt>
                <c:pt idx="702">
                  <c:v>2014-10-13</c:v>
                </c:pt>
                <c:pt idx="703">
                  <c:v>2014-10-14</c:v>
                </c:pt>
                <c:pt idx="704">
                  <c:v>2014-10-15</c:v>
                </c:pt>
                <c:pt idx="705">
                  <c:v>2014-10-16</c:v>
                </c:pt>
                <c:pt idx="706">
                  <c:v>2014-10-17</c:v>
                </c:pt>
                <c:pt idx="707">
                  <c:v>2014-10-20</c:v>
                </c:pt>
                <c:pt idx="708">
                  <c:v>2014-10-21</c:v>
                </c:pt>
                <c:pt idx="709">
                  <c:v>2014-10-22</c:v>
                </c:pt>
                <c:pt idx="710">
                  <c:v>2014-10-23</c:v>
                </c:pt>
                <c:pt idx="711">
                  <c:v>2014-10-24</c:v>
                </c:pt>
                <c:pt idx="712">
                  <c:v>2014-10-27</c:v>
                </c:pt>
                <c:pt idx="713">
                  <c:v>2014-10-28</c:v>
                </c:pt>
                <c:pt idx="714">
                  <c:v>2014-10-29</c:v>
                </c:pt>
                <c:pt idx="715">
                  <c:v>2014-10-30</c:v>
                </c:pt>
                <c:pt idx="716">
                  <c:v>2014-10-31</c:v>
                </c:pt>
                <c:pt idx="717">
                  <c:v>2014-11-03</c:v>
                </c:pt>
                <c:pt idx="718">
                  <c:v>2014-11-04</c:v>
                </c:pt>
                <c:pt idx="719">
                  <c:v>2014-11-05</c:v>
                </c:pt>
                <c:pt idx="720">
                  <c:v>2014-11-06</c:v>
                </c:pt>
                <c:pt idx="721">
                  <c:v>2014-11-07</c:v>
                </c:pt>
                <c:pt idx="722">
                  <c:v>2014-11-10</c:v>
                </c:pt>
                <c:pt idx="723">
                  <c:v>2014-11-11</c:v>
                </c:pt>
                <c:pt idx="724">
                  <c:v>2014-11-12</c:v>
                </c:pt>
                <c:pt idx="725">
                  <c:v>2014-11-13</c:v>
                </c:pt>
                <c:pt idx="726">
                  <c:v>2014-11-14</c:v>
                </c:pt>
                <c:pt idx="727">
                  <c:v>2014-11-17</c:v>
                </c:pt>
                <c:pt idx="728">
                  <c:v>2014-11-18</c:v>
                </c:pt>
                <c:pt idx="729">
                  <c:v>2014-11-19</c:v>
                </c:pt>
                <c:pt idx="730">
                  <c:v>2014-11-20</c:v>
                </c:pt>
                <c:pt idx="731">
                  <c:v>2014-11-21</c:v>
                </c:pt>
                <c:pt idx="732">
                  <c:v>2014-11-24</c:v>
                </c:pt>
                <c:pt idx="733">
                  <c:v>2014-11-25</c:v>
                </c:pt>
                <c:pt idx="734">
                  <c:v>2014-11-26</c:v>
                </c:pt>
                <c:pt idx="735">
                  <c:v>2014-11-27</c:v>
                </c:pt>
                <c:pt idx="736">
                  <c:v>2014-11-28</c:v>
                </c:pt>
                <c:pt idx="737">
                  <c:v>2014-12-01</c:v>
                </c:pt>
                <c:pt idx="738">
                  <c:v>2014-12-02</c:v>
                </c:pt>
                <c:pt idx="739">
                  <c:v>2014-12-03</c:v>
                </c:pt>
                <c:pt idx="740">
                  <c:v>2014-12-04</c:v>
                </c:pt>
                <c:pt idx="741">
                  <c:v>2014-12-05</c:v>
                </c:pt>
                <c:pt idx="742">
                  <c:v>2014-12-08</c:v>
                </c:pt>
                <c:pt idx="743">
                  <c:v>2014-12-09</c:v>
                </c:pt>
                <c:pt idx="744">
                  <c:v>2014-12-10</c:v>
                </c:pt>
                <c:pt idx="745">
                  <c:v>2014-12-11</c:v>
                </c:pt>
                <c:pt idx="746">
                  <c:v>2014-12-12</c:v>
                </c:pt>
                <c:pt idx="747">
                  <c:v>2014-12-15</c:v>
                </c:pt>
                <c:pt idx="748">
                  <c:v>2014-12-16</c:v>
                </c:pt>
                <c:pt idx="749">
                  <c:v>2014-12-17</c:v>
                </c:pt>
                <c:pt idx="750">
                  <c:v>2014-12-18</c:v>
                </c:pt>
                <c:pt idx="751">
                  <c:v>2014-12-19</c:v>
                </c:pt>
                <c:pt idx="752">
                  <c:v>2014-12-22</c:v>
                </c:pt>
                <c:pt idx="753">
                  <c:v>2014-12-23</c:v>
                </c:pt>
                <c:pt idx="754">
                  <c:v>2014-12-24</c:v>
                </c:pt>
                <c:pt idx="755">
                  <c:v>2014-12-29</c:v>
                </c:pt>
                <c:pt idx="756">
                  <c:v>2014-12-30</c:v>
                </c:pt>
                <c:pt idx="757">
                  <c:v>2014-12-31</c:v>
                </c:pt>
                <c:pt idx="758">
                  <c:v>2015-01-02</c:v>
                </c:pt>
                <c:pt idx="759">
                  <c:v>2015-01-05</c:v>
                </c:pt>
                <c:pt idx="760">
                  <c:v>2015-01-06</c:v>
                </c:pt>
                <c:pt idx="761">
                  <c:v>2015-01-07</c:v>
                </c:pt>
                <c:pt idx="762">
                  <c:v>2015-01-08</c:v>
                </c:pt>
                <c:pt idx="763">
                  <c:v>2015-01-09</c:v>
                </c:pt>
                <c:pt idx="764">
                  <c:v>2015-01-12</c:v>
                </c:pt>
                <c:pt idx="765">
                  <c:v>2015-01-13</c:v>
                </c:pt>
                <c:pt idx="766">
                  <c:v>2015-01-14</c:v>
                </c:pt>
                <c:pt idx="767">
                  <c:v>2015-01-15</c:v>
                </c:pt>
                <c:pt idx="768">
                  <c:v>2015-01-16</c:v>
                </c:pt>
                <c:pt idx="769">
                  <c:v>2015-01-19</c:v>
                </c:pt>
                <c:pt idx="770">
                  <c:v>2015-01-20</c:v>
                </c:pt>
                <c:pt idx="771">
                  <c:v>2015-01-21</c:v>
                </c:pt>
                <c:pt idx="772">
                  <c:v>2015-01-22</c:v>
                </c:pt>
                <c:pt idx="773">
                  <c:v>2015-01-23</c:v>
                </c:pt>
                <c:pt idx="774">
                  <c:v>2015-01-26</c:v>
                </c:pt>
                <c:pt idx="775">
                  <c:v>2015-01-27</c:v>
                </c:pt>
                <c:pt idx="776">
                  <c:v>2015-01-28</c:v>
                </c:pt>
                <c:pt idx="777">
                  <c:v>2015-01-29</c:v>
                </c:pt>
                <c:pt idx="778">
                  <c:v>2015-01-30</c:v>
                </c:pt>
                <c:pt idx="779">
                  <c:v>2015-02-02</c:v>
                </c:pt>
                <c:pt idx="780">
                  <c:v>2015-02-03</c:v>
                </c:pt>
                <c:pt idx="781">
                  <c:v>2015-02-04</c:v>
                </c:pt>
                <c:pt idx="782">
                  <c:v>2015-02-05</c:v>
                </c:pt>
                <c:pt idx="783">
                  <c:v>2015-02-06</c:v>
                </c:pt>
                <c:pt idx="784">
                  <c:v>2015-02-09</c:v>
                </c:pt>
                <c:pt idx="785">
                  <c:v>2015-02-10</c:v>
                </c:pt>
                <c:pt idx="786">
                  <c:v>2015-02-11</c:v>
                </c:pt>
                <c:pt idx="787">
                  <c:v>2015-02-12</c:v>
                </c:pt>
                <c:pt idx="788">
                  <c:v>2015-02-13</c:v>
                </c:pt>
                <c:pt idx="789">
                  <c:v>2015-02-16</c:v>
                </c:pt>
                <c:pt idx="790">
                  <c:v>2015-02-17</c:v>
                </c:pt>
                <c:pt idx="791">
                  <c:v>2015-02-18</c:v>
                </c:pt>
                <c:pt idx="792">
                  <c:v>2015-02-19</c:v>
                </c:pt>
                <c:pt idx="793">
                  <c:v>2015-02-20</c:v>
                </c:pt>
                <c:pt idx="794">
                  <c:v>2015-02-23</c:v>
                </c:pt>
                <c:pt idx="795">
                  <c:v>2015-02-24</c:v>
                </c:pt>
                <c:pt idx="796">
                  <c:v>2015-02-25</c:v>
                </c:pt>
                <c:pt idx="797">
                  <c:v>2015-02-26</c:v>
                </c:pt>
                <c:pt idx="798">
                  <c:v>2015-02-27</c:v>
                </c:pt>
                <c:pt idx="799">
                  <c:v>2015-03-02</c:v>
                </c:pt>
                <c:pt idx="800">
                  <c:v>2015-03-03</c:v>
                </c:pt>
                <c:pt idx="801">
                  <c:v>2015-03-04</c:v>
                </c:pt>
                <c:pt idx="802">
                  <c:v>2015-03-05</c:v>
                </c:pt>
                <c:pt idx="803">
                  <c:v>2015-03-06</c:v>
                </c:pt>
                <c:pt idx="804">
                  <c:v>2015-03-09</c:v>
                </c:pt>
                <c:pt idx="805">
                  <c:v>2015-03-10</c:v>
                </c:pt>
                <c:pt idx="806">
                  <c:v>2015-03-11</c:v>
                </c:pt>
                <c:pt idx="807">
                  <c:v>2015-03-12</c:v>
                </c:pt>
                <c:pt idx="808">
                  <c:v>2015-03-13</c:v>
                </c:pt>
                <c:pt idx="809">
                  <c:v>2015-03-16</c:v>
                </c:pt>
                <c:pt idx="810">
                  <c:v>2015-03-17</c:v>
                </c:pt>
                <c:pt idx="811">
                  <c:v>2015-03-18</c:v>
                </c:pt>
                <c:pt idx="812">
                  <c:v>2015-03-19</c:v>
                </c:pt>
                <c:pt idx="813">
                  <c:v>2015-03-20</c:v>
                </c:pt>
                <c:pt idx="814">
                  <c:v>2015-03-23</c:v>
                </c:pt>
                <c:pt idx="815">
                  <c:v>2015-03-24</c:v>
                </c:pt>
                <c:pt idx="816">
                  <c:v>2015-03-25</c:v>
                </c:pt>
                <c:pt idx="817">
                  <c:v>2015-03-26</c:v>
                </c:pt>
                <c:pt idx="818">
                  <c:v>2015-03-27</c:v>
                </c:pt>
                <c:pt idx="819">
                  <c:v>2015-03-30</c:v>
                </c:pt>
                <c:pt idx="820">
                  <c:v>2015-03-31</c:v>
                </c:pt>
                <c:pt idx="821">
                  <c:v>2015-04-01</c:v>
                </c:pt>
                <c:pt idx="822">
                  <c:v>2015-04-02</c:v>
                </c:pt>
                <c:pt idx="823">
                  <c:v>2015-04-07</c:v>
                </c:pt>
                <c:pt idx="824">
                  <c:v>2015-04-08</c:v>
                </c:pt>
                <c:pt idx="825">
                  <c:v>2015-04-09</c:v>
                </c:pt>
                <c:pt idx="826">
                  <c:v>2015-04-10</c:v>
                </c:pt>
                <c:pt idx="827">
                  <c:v>2015-04-13</c:v>
                </c:pt>
                <c:pt idx="828">
                  <c:v>2015-04-14</c:v>
                </c:pt>
                <c:pt idx="829">
                  <c:v>2015-04-15</c:v>
                </c:pt>
                <c:pt idx="830">
                  <c:v>2015-04-16</c:v>
                </c:pt>
                <c:pt idx="831">
                  <c:v>2015-04-17</c:v>
                </c:pt>
                <c:pt idx="832">
                  <c:v>2015-04-20</c:v>
                </c:pt>
                <c:pt idx="833">
                  <c:v>2015-04-21</c:v>
                </c:pt>
                <c:pt idx="834">
                  <c:v>2015-04-22</c:v>
                </c:pt>
                <c:pt idx="835">
                  <c:v>2015-04-23</c:v>
                </c:pt>
                <c:pt idx="836">
                  <c:v>2015-04-24</c:v>
                </c:pt>
                <c:pt idx="837">
                  <c:v>2015-04-27</c:v>
                </c:pt>
                <c:pt idx="838">
                  <c:v>2015-04-28</c:v>
                </c:pt>
                <c:pt idx="839">
                  <c:v>2015-04-29</c:v>
                </c:pt>
                <c:pt idx="840">
                  <c:v>2015-04-30</c:v>
                </c:pt>
                <c:pt idx="841">
                  <c:v>2015-05-01</c:v>
                </c:pt>
                <c:pt idx="842">
                  <c:v>2015-05-05</c:v>
                </c:pt>
                <c:pt idx="843">
                  <c:v>2015-05-06</c:v>
                </c:pt>
                <c:pt idx="844">
                  <c:v>2015-05-07</c:v>
                </c:pt>
                <c:pt idx="845">
                  <c:v>2015-05-08</c:v>
                </c:pt>
                <c:pt idx="846">
                  <c:v>2015-05-11</c:v>
                </c:pt>
                <c:pt idx="847">
                  <c:v>2015-05-12</c:v>
                </c:pt>
                <c:pt idx="848">
                  <c:v>2015-05-13</c:v>
                </c:pt>
                <c:pt idx="849">
                  <c:v>2015-05-14</c:v>
                </c:pt>
                <c:pt idx="850">
                  <c:v>2015-05-15</c:v>
                </c:pt>
                <c:pt idx="851">
                  <c:v>2015-05-18</c:v>
                </c:pt>
                <c:pt idx="852">
                  <c:v>2015-05-19</c:v>
                </c:pt>
                <c:pt idx="853">
                  <c:v>2015-05-20</c:v>
                </c:pt>
                <c:pt idx="854">
                  <c:v>2015-05-21</c:v>
                </c:pt>
                <c:pt idx="855">
                  <c:v>2015-05-22</c:v>
                </c:pt>
                <c:pt idx="856">
                  <c:v>2015-05-26</c:v>
                </c:pt>
                <c:pt idx="857">
                  <c:v>2015-05-27</c:v>
                </c:pt>
                <c:pt idx="858">
                  <c:v>2015-05-28</c:v>
                </c:pt>
                <c:pt idx="859">
                  <c:v>2015-05-29</c:v>
                </c:pt>
                <c:pt idx="860">
                  <c:v>2015-06-01</c:v>
                </c:pt>
                <c:pt idx="861">
                  <c:v>2015-06-02</c:v>
                </c:pt>
                <c:pt idx="862">
                  <c:v>2015-06-03</c:v>
                </c:pt>
                <c:pt idx="863">
                  <c:v>2015-06-04</c:v>
                </c:pt>
                <c:pt idx="864">
                  <c:v>2015-06-05</c:v>
                </c:pt>
                <c:pt idx="865">
                  <c:v>2015-06-08</c:v>
                </c:pt>
                <c:pt idx="866">
                  <c:v>2015-06-09</c:v>
                </c:pt>
                <c:pt idx="867">
                  <c:v>2015-06-10</c:v>
                </c:pt>
                <c:pt idx="868">
                  <c:v>2015-06-11</c:v>
                </c:pt>
                <c:pt idx="869">
                  <c:v>2015-06-12</c:v>
                </c:pt>
                <c:pt idx="870">
                  <c:v>2015-06-15</c:v>
                </c:pt>
                <c:pt idx="871">
                  <c:v>2015-06-16</c:v>
                </c:pt>
                <c:pt idx="872">
                  <c:v>2015-06-17</c:v>
                </c:pt>
                <c:pt idx="873">
                  <c:v>2015-06-18</c:v>
                </c:pt>
                <c:pt idx="874">
                  <c:v>2015-06-19</c:v>
                </c:pt>
                <c:pt idx="875">
                  <c:v>2015-06-22</c:v>
                </c:pt>
                <c:pt idx="876">
                  <c:v>2015-06-23</c:v>
                </c:pt>
                <c:pt idx="877">
                  <c:v>2015-06-24</c:v>
                </c:pt>
                <c:pt idx="878">
                  <c:v>2015-06-25</c:v>
                </c:pt>
                <c:pt idx="879">
                  <c:v>2015-06-26</c:v>
                </c:pt>
                <c:pt idx="880">
                  <c:v>2015-06-29</c:v>
                </c:pt>
                <c:pt idx="881">
                  <c:v>2015-06-30</c:v>
                </c:pt>
                <c:pt idx="882">
                  <c:v>2015-07-01</c:v>
                </c:pt>
                <c:pt idx="883">
                  <c:v>2015-07-02</c:v>
                </c:pt>
                <c:pt idx="884">
                  <c:v>2015-07-03</c:v>
                </c:pt>
                <c:pt idx="885">
                  <c:v>2015-07-06</c:v>
                </c:pt>
                <c:pt idx="886">
                  <c:v>2015-07-07</c:v>
                </c:pt>
                <c:pt idx="887">
                  <c:v>2015-07-08</c:v>
                </c:pt>
                <c:pt idx="888">
                  <c:v>2015-07-09</c:v>
                </c:pt>
                <c:pt idx="889">
                  <c:v>2015-07-10</c:v>
                </c:pt>
                <c:pt idx="890">
                  <c:v>2015-07-13</c:v>
                </c:pt>
                <c:pt idx="891">
                  <c:v>2015-07-14</c:v>
                </c:pt>
                <c:pt idx="892">
                  <c:v>2015-07-15</c:v>
                </c:pt>
                <c:pt idx="893">
                  <c:v>2015-07-16</c:v>
                </c:pt>
                <c:pt idx="894">
                  <c:v>2015-07-17</c:v>
                </c:pt>
                <c:pt idx="895">
                  <c:v>2015-07-20</c:v>
                </c:pt>
                <c:pt idx="896">
                  <c:v>2015-07-21</c:v>
                </c:pt>
                <c:pt idx="897">
                  <c:v>2015-07-22</c:v>
                </c:pt>
                <c:pt idx="898">
                  <c:v>2015-07-23</c:v>
                </c:pt>
                <c:pt idx="899">
                  <c:v>2015-07-24</c:v>
                </c:pt>
                <c:pt idx="900">
                  <c:v>2015-07-27</c:v>
                </c:pt>
                <c:pt idx="901">
                  <c:v>2015-07-28</c:v>
                </c:pt>
                <c:pt idx="902">
                  <c:v>2015-07-29</c:v>
                </c:pt>
                <c:pt idx="903">
                  <c:v>2015-07-30</c:v>
                </c:pt>
                <c:pt idx="904">
                  <c:v>2015-07-31</c:v>
                </c:pt>
                <c:pt idx="905">
                  <c:v>2015-08-03</c:v>
                </c:pt>
                <c:pt idx="906">
                  <c:v>2015-08-04</c:v>
                </c:pt>
                <c:pt idx="907">
                  <c:v>2015-08-05</c:v>
                </c:pt>
                <c:pt idx="908">
                  <c:v>2015-08-06</c:v>
                </c:pt>
                <c:pt idx="909">
                  <c:v>2015-08-07</c:v>
                </c:pt>
                <c:pt idx="910">
                  <c:v>2015-08-10</c:v>
                </c:pt>
                <c:pt idx="911">
                  <c:v>2015-08-11</c:v>
                </c:pt>
                <c:pt idx="912">
                  <c:v>2015-08-12</c:v>
                </c:pt>
                <c:pt idx="913">
                  <c:v>2015-08-13</c:v>
                </c:pt>
                <c:pt idx="914">
                  <c:v>2015-08-14</c:v>
                </c:pt>
                <c:pt idx="915">
                  <c:v>2015-08-17</c:v>
                </c:pt>
                <c:pt idx="916">
                  <c:v>2015-08-18</c:v>
                </c:pt>
                <c:pt idx="917">
                  <c:v>2015-08-19</c:v>
                </c:pt>
                <c:pt idx="918">
                  <c:v>2015-08-20</c:v>
                </c:pt>
                <c:pt idx="919">
                  <c:v>2015-08-21</c:v>
                </c:pt>
                <c:pt idx="920">
                  <c:v>2015-08-24</c:v>
                </c:pt>
                <c:pt idx="921">
                  <c:v>2015-08-25</c:v>
                </c:pt>
                <c:pt idx="922">
                  <c:v>2015-08-26</c:v>
                </c:pt>
                <c:pt idx="923">
                  <c:v>2015-08-27</c:v>
                </c:pt>
                <c:pt idx="924">
                  <c:v>2015-08-28</c:v>
                </c:pt>
                <c:pt idx="925">
                  <c:v>2015-09-01</c:v>
                </c:pt>
                <c:pt idx="926">
                  <c:v>2015-09-02</c:v>
                </c:pt>
                <c:pt idx="927">
                  <c:v>2015-09-03</c:v>
                </c:pt>
                <c:pt idx="928">
                  <c:v>2015-09-04</c:v>
                </c:pt>
                <c:pt idx="929">
                  <c:v>2015-09-07</c:v>
                </c:pt>
                <c:pt idx="930">
                  <c:v>2015-09-08</c:v>
                </c:pt>
                <c:pt idx="931">
                  <c:v>2015-09-09</c:v>
                </c:pt>
                <c:pt idx="932">
                  <c:v>2015-09-10</c:v>
                </c:pt>
                <c:pt idx="933">
                  <c:v>2015-09-11</c:v>
                </c:pt>
                <c:pt idx="934">
                  <c:v>2015-09-14</c:v>
                </c:pt>
                <c:pt idx="935">
                  <c:v>2015-09-15</c:v>
                </c:pt>
                <c:pt idx="936">
                  <c:v>2015-09-16</c:v>
                </c:pt>
                <c:pt idx="937">
                  <c:v>2015-09-17</c:v>
                </c:pt>
                <c:pt idx="938">
                  <c:v>2015-09-18</c:v>
                </c:pt>
                <c:pt idx="939">
                  <c:v>2015-09-21</c:v>
                </c:pt>
                <c:pt idx="940">
                  <c:v>2015-09-22</c:v>
                </c:pt>
                <c:pt idx="941">
                  <c:v>2015-09-23</c:v>
                </c:pt>
                <c:pt idx="942">
                  <c:v>2015-09-24</c:v>
                </c:pt>
                <c:pt idx="943">
                  <c:v>2015-09-25</c:v>
                </c:pt>
                <c:pt idx="944">
                  <c:v>2015-09-28</c:v>
                </c:pt>
                <c:pt idx="945">
                  <c:v>2015-09-29</c:v>
                </c:pt>
                <c:pt idx="946">
                  <c:v>2015-09-30</c:v>
                </c:pt>
                <c:pt idx="947">
                  <c:v>2015-10-01</c:v>
                </c:pt>
                <c:pt idx="948">
                  <c:v>2015-10-02</c:v>
                </c:pt>
                <c:pt idx="949">
                  <c:v>2015-10-05</c:v>
                </c:pt>
                <c:pt idx="950">
                  <c:v>2015-10-06</c:v>
                </c:pt>
                <c:pt idx="951">
                  <c:v>2015-10-07</c:v>
                </c:pt>
                <c:pt idx="952">
                  <c:v>2015-10-08</c:v>
                </c:pt>
                <c:pt idx="953">
                  <c:v>2015-10-09</c:v>
                </c:pt>
                <c:pt idx="954">
                  <c:v>2015-10-12</c:v>
                </c:pt>
                <c:pt idx="955">
                  <c:v>2015-10-13</c:v>
                </c:pt>
                <c:pt idx="956">
                  <c:v>2015-10-14</c:v>
                </c:pt>
                <c:pt idx="957">
                  <c:v>2015-10-15</c:v>
                </c:pt>
                <c:pt idx="958">
                  <c:v>2015-10-16</c:v>
                </c:pt>
                <c:pt idx="959">
                  <c:v>2015-10-19</c:v>
                </c:pt>
                <c:pt idx="960">
                  <c:v>2015-10-20</c:v>
                </c:pt>
                <c:pt idx="961">
                  <c:v>2015-10-21</c:v>
                </c:pt>
                <c:pt idx="962">
                  <c:v>2015-10-22</c:v>
                </c:pt>
                <c:pt idx="963">
                  <c:v>2015-10-23</c:v>
                </c:pt>
                <c:pt idx="964">
                  <c:v>2015-10-26</c:v>
                </c:pt>
                <c:pt idx="965">
                  <c:v>2015-10-27</c:v>
                </c:pt>
                <c:pt idx="966">
                  <c:v>2015-10-28</c:v>
                </c:pt>
                <c:pt idx="967">
                  <c:v>2015-10-29</c:v>
                </c:pt>
                <c:pt idx="968">
                  <c:v>2015-10-30</c:v>
                </c:pt>
                <c:pt idx="969">
                  <c:v>2015-11-02</c:v>
                </c:pt>
                <c:pt idx="970">
                  <c:v>2015-11-03</c:v>
                </c:pt>
                <c:pt idx="971">
                  <c:v>2015-11-04</c:v>
                </c:pt>
                <c:pt idx="972">
                  <c:v>2015-11-05</c:v>
                </c:pt>
                <c:pt idx="973">
                  <c:v>2015-11-06</c:v>
                </c:pt>
                <c:pt idx="974">
                  <c:v>2015-11-09</c:v>
                </c:pt>
                <c:pt idx="975">
                  <c:v>2015-11-10</c:v>
                </c:pt>
                <c:pt idx="976">
                  <c:v>2015-11-11</c:v>
                </c:pt>
                <c:pt idx="977">
                  <c:v>2015-11-12</c:v>
                </c:pt>
                <c:pt idx="978">
                  <c:v>2015-11-13</c:v>
                </c:pt>
                <c:pt idx="979">
                  <c:v>2015-11-16</c:v>
                </c:pt>
                <c:pt idx="980">
                  <c:v>2015-11-17</c:v>
                </c:pt>
                <c:pt idx="981">
                  <c:v>2015-11-18</c:v>
                </c:pt>
                <c:pt idx="982">
                  <c:v>2015-11-19</c:v>
                </c:pt>
                <c:pt idx="983">
                  <c:v>2015-11-20</c:v>
                </c:pt>
                <c:pt idx="984">
                  <c:v>2015-11-23</c:v>
                </c:pt>
                <c:pt idx="985">
                  <c:v>2015-11-24</c:v>
                </c:pt>
                <c:pt idx="986">
                  <c:v>2015-11-25</c:v>
                </c:pt>
                <c:pt idx="987">
                  <c:v>2015-11-26</c:v>
                </c:pt>
                <c:pt idx="988">
                  <c:v>2015-11-27</c:v>
                </c:pt>
                <c:pt idx="989">
                  <c:v>2015-11-30</c:v>
                </c:pt>
                <c:pt idx="990">
                  <c:v>2015-12-01</c:v>
                </c:pt>
                <c:pt idx="991">
                  <c:v>2015-12-02</c:v>
                </c:pt>
                <c:pt idx="992">
                  <c:v>2015-12-03</c:v>
                </c:pt>
                <c:pt idx="993">
                  <c:v>2015-12-04</c:v>
                </c:pt>
                <c:pt idx="994">
                  <c:v>2015-12-07</c:v>
                </c:pt>
                <c:pt idx="995">
                  <c:v>2015-12-08</c:v>
                </c:pt>
                <c:pt idx="996">
                  <c:v>2015-12-09</c:v>
                </c:pt>
                <c:pt idx="997">
                  <c:v>2015-12-10</c:v>
                </c:pt>
                <c:pt idx="998">
                  <c:v>2015-12-11</c:v>
                </c:pt>
                <c:pt idx="999">
                  <c:v>2015-12-14</c:v>
                </c:pt>
                <c:pt idx="1000">
                  <c:v>2015-12-15</c:v>
                </c:pt>
                <c:pt idx="1001">
                  <c:v>2015-12-16</c:v>
                </c:pt>
                <c:pt idx="1002">
                  <c:v>2015-12-17</c:v>
                </c:pt>
                <c:pt idx="1003">
                  <c:v>2015-12-18</c:v>
                </c:pt>
                <c:pt idx="1004">
                  <c:v>2015-12-21</c:v>
                </c:pt>
                <c:pt idx="1005">
                  <c:v>2015-12-22</c:v>
                </c:pt>
                <c:pt idx="1006">
                  <c:v>2015-12-23</c:v>
                </c:pt>
                <c:pt idx="1007">
                  <c:v>2015-12-24</c:v>
                </c:pt>
                <c:pt idx="1008">
                  <c:v>2015-12-29</c:v>
                </c:pt>
                <c:pt idx="1009">
                  <c:v>2015-12-30</c:v>
                </c:pt>
                <c:pt idx="1010">
                  <c:v>2015-12-31</c:v>
                </c:pt>
                <c:pt idx="1011">
                  <c:v>2016-01-04</c:v>
                </c:pt>
                <c:pt idx="1012">
                  <c:v>2016-01-05</c:v>
                </c:pt>
                <c:pt idx="1013">
                  <c:v>2016-01-06</c:v>
                </c:pt>
                <c:pt idx="1014">
                  <c:v>2016-01-07</c:v>
                </c:pt>
                <c:pt idx="1015">
                  <c:v>2016-01-08</c:v>
                </c:pt>
                <c:pt idx="1016">
                  <c:v>2016-01-11</c:v>
                </c:pt>
                <c:pt idx="1017">
                  <c:v>2016-01-12</c:v>
                </c:pt>
                <c:pt idx="1018">
                  <c:v>2016-01-13</c:v>
                </c:pt>
                <c:pt idx="1019">
                  <c:v>2016-01-14</c:v>
                </c:pt>
                <c:pt idx="1020">
                  <c:v>2016-01-15</c:v>
                </c:pt>
                <c:pt idx="1021">
                  <c:v>2016-01-18</c:v>
                </c:pt>
                <c:pt idx="1022">
                  <c:v>2016-01-19</c:v>
                </c:pt>
                <c:pt idx="1023">
                  <c:v>2016-01-20</c:v>
                </c:pt>
                <c:pt idx="1024">
                  <c:v>2016-01-21</c:v>
                </c:pt>
                <c:pt idx="1025">
                  <c:v>2016-01-22</c:v>
                </c:pt>
                <c:pt idx="1026">
                  <c:v>2016-01-25</c:v>
                </c:pt>
                <c:pt idx="1027">
                  <c:v>2016-01-26</c:v>
                </c:pt>
                <c:pt idx="1028">
                  <c:v>2016-01-27</c:v>
                </c:pt>
                <c:pt idx="1029">
                  <c:v>2016-01-28</c:v>
                </c:pt>
                <c:pt idx="1030">
                  <c:v>2016-01-29</c:v>
                </c:pt>
                <c:pt idx="1031">
                  <c:v>2016-02-01</c:v>
                </c:pt>
                <c:pt idx="1032">
                  <c:v>2016-02-02</c:v>
                </c:pt>
                <c:pt idx="1033">
                  <c:v>2016-02-03</c:v>
                </c:pt>
                <c:pt idx="1034">
                  <c:v>2016-02-04</c:v>
                </c:pt>
                <c:pt idx="1035">
                  <c:v>2016-02-05</c:v>
                </c:pt>
                <c:pt idx="1036">
                  <c:v>2016-02-08</c:v>
                </c:pt>
                <c:pt idx="1037">
                  <c:v>2016-02-09</c:v>
                </c:pt>
                <c:pt idx="1038">
                  <c:v>2016-02-10</c:v>
                </c:pt>
                <c:pt idx="1039">
                  <c:v>2016-02-11</c:v>
                </c:pt>
                <c:pt idx="1040">
                  <c:v>2016-02-12</c:v>
                </c:pt>
                <c:pt idx="1041">
                  <c:v>2016-02-15</c:v>
                </c:pt>
                <c:pt idx="1042">
                  <c:v>2016-02-16</c:v>
                </c:pt>
                <c:pt idx="1043">
                  <c:v>2016-02-17</c:v>
                </c:pt>
                <c:pt idx="1044">
                  <c:v>2016-02-18</c:v>
                </c:pt>
                <c:pt idx="1045">
                  <c:v>2016-02-19</c:v>
                </c:pt>
                <c:pt idx="1046">
                  <c:v>2016-02-22</c:v>
                </c:pt>
                <c:pt idx="1047">
                  <c:v>2016-02-23</c:v>
                </c:pt>
                <c:pt idx="1048">
                  <c:v>2016-02-24</c:v>
                </c:pt>
                <c:pt idx="1049">
                  <c:v>2016-02-25</c:v>
                </c:pt>
                <c:pt idx="1050">
                  <c:v>2016-02-26</c:v>
                </c:pt>
                <c:pt idx="1051">
                  <c:v>2016-02-29</c:v>
                </c:pt>
                <c:pt idx="1052">
                  <c:v>2016-03-01</c:v>
                </c:pt>
                <c:pt idx="1053">
                  <c:v>2016-03-02</c:v>
                </c:pt>
                <c:pt idx="1054">
                  <c:v>2016-03-03</c:v>
                </c:pt>
                <c:pt idx="1055">
                  <c:v>2016-03-04</c:v>
                </c:pt>
                <c:pt idx="1056">
                  <c:v>2016-03-07</c:v>
                </c:pt>
                <c:pt idx="1057">
                  <c:v>2016-03-08</c:v>
                </c:pt>
                <c:pt idx="1058">
                  <c:v>2016-03-09</c:v>
                </c:pt>
                <c:pt idx="1059">
                  <c:v>2016-03-10</c:v>
                </c:pt>
                <c:pt idx="1060">
                  <c:v>2016-03-11</c:v>
                </c:pt>
                <c:pt idx="1061">
                  <c:v>2016-03-14</c:v>
                </c:pt>
                <c:pt idx="1062">
                  <c:v>2016-03-15</c:v>
                </c:pt>
                <c:pt idx="1063">
                  <c:v>2016-03-16</c:v>
                </c:pt>
                <c:pt idx="1064">
                  <c:v>2016-03-17</c:v>
                </c:pt>
                <c:pt idx="1065">
                  <c:v>2016-03-18</c:v>
                </c:pt>
                <c:pt idx="1066">
                  <c:v>2016-03-21</c:v>
                </c:pt>
                <c:pt idx="1067">
                  <c:v>2016-03-22</c:v>
                </c:pt>
                <c:pt idx="1068">
                  <c:v>2016-03-23</c:v>
                </c:pt>
                <c:pt idx="1069">
                  <c:v>2016-03-24</c:v>
                </c:pt>
                <c:pt idx="1070">
                  <c:v>2016-03-29</c:v>
                </c:pt>
                <c:pt idx="1071">
                  <c:v>2016-03-30</c:v>
                </c:pt>
                <c:pt idx="1072">
                  <c:v>2016-03-31</c:v>
                </c:pt>
                <c:pt idx="1073">
                  <c:v>2016-04-01</c:v>
                </c:pt>
                <c:pt idx="1074">
                  <c:v>2016-04-04</c:v>
                </c:pt>
                <c:pt idx="1075">
                  <c:v>2016-04-05</c:v>
                </c:pt>
                <c:pt idx="1076">
                  <c:v>2016-04-06</c:v>
                </c:pt>
                <c:pt idx="1077">
                  <c:v>2016-04-07</c:v>
                </c:pt>
                <c:pt idx="1078">
                  <c:v>2016-04-08</c:v>
                </c:pt>
                <c:pt idx="1079">
                  <c:v>2016-04-11</c:v>
                </c:pt>
                <c:pt idx="1080">
                  <c:v>2016-04-12</c:v>
                </c:pt>
                <c:pt idx="1081">
                  <c:v>2016-04-13</c:v>
                </c:pt>
                <c:pt idx="1082">
                  <c:v>2016-04-14</c:v>
                </c:pt>
                <c:pt idx="1083">
                  <c:v>2016-04-15</c:v>
                </c:pt>
                <c:pt idx="1084">
                  <c:v>2016-04-18</c:v>
                </c:pt>
                <c:pt idx="1085">
                  <c:v>2016-04-19</c:v>
                </c:pt>
                <c:pt idx="1086">
                  <c:v>2016-04-20</c:v>
                </c:pt>
                <c:pt idx="1087">
                  <c:v>2016-04-21</c:v>
                </c:pt>
                <c:pt idx="1088">
                  <c:v>2016-04-22</c:v>
                </c:pt>
                <c:pt idx="1089">
                  <c:v>2016-04-25</c:v>
                </c:pt>
                <c:pt idx="1090">
                  <c:v>2016-04-26</c:v>
                </c:pt>
                <c:pt idx="1091">
                  <c:v>2016-04-27</c:v>
                </c:pt>
                <c:pt idx="1092">
                  <c:v>2016-04-28</c:v>
                </c:pt>
                <c:pt idx="1093">
                  <c:v>2016-04-29</c:v>
                </c:pt>
                <c:pt idx="1094">
                  <c:v>2016-05-03</c:v>
                </c:pt>
                <c:pt idx="1095">
                  <c:v>2016-05-04</c:v>
                </c:pt>
                <c:pt idx="1096">
                  <c:v>2016-05-05</c:v>
                </c:pt>
                <c:pt idx="1097">
                  <c:v>2016-05-06</c:v>
                </c:pt>
                <c:pt idx="1098">
                  <c:v>2016-05-09</c:v>
                </c:pt>
                <c:pt idx="1099">
                  <c:v>2016-05-10</c:v>
                </c:pt>
                <c:pt idx="1100">
                  <c:v>2016-05-11</c:v>
                </c:pt>
                <c:pt idx="1101">
                  <c:v>2016-05-12</c:v>
                </c:pt>
                <c:pt idx="1102">
                  <c:v>2016-05-13</c:v>
                </c:pt>
                <c:pt idx="1103">
                  <c:v>2016-05-16</c:v>
                </c:pt>
                <c:pt idx="1104">
                  <c:v>2016-05-17</c:v>
                </c:pt>
                <c:pt idx="1105">
                  <c:v>2016-05-18</c:v>
                </c:pt>
                <c:pt idx="1106">
                  <c:v>2016-05-19</c:v>
                </c:pt>
                <c:pt idx="1107">
                  <c:v>2016-05-20</c:v>
                </c:pt>
                <c:pt idx="1108">
                  <c:v>2016-05-23</c:v>
                </c:pt>
                <c:pt idx="1109">
                  <c:v>2016-05-24</c:v>
                </c:pt>
                <c:pt idx="1110">
                  <c:v>2016-05-25</c:v>
                </c:pt>
                <c:pt idx="1111">
                  <c:v>2016-05-26</c:v>
                </c:pt>
                <c:pt idx="1112">
                  <c:v>2016-05-27</c:v>
                </c:pt>
                <c:pt idx="1113">
                  <c:v>2016-05-31</c:v>
                </c:pt>
                <c:pt idx="1114">
                  <c:v>2016-06-01</c:v>
                </c:pt>
                <c:pt idx="1115">
                  <c:v>2016-06-02</c:v>
                </c:pt>
                <c:pt idx="1116">
                  <c:v>2016-06-03</c:v>
                </c:pt>
                <c:pt idx="1117">
                  <c:v>2016-06-06</c:v>
                </c:pt>
                <c:pt idx="1118">
                  <c:v>2016-06-07</c:v>
                </c:pt>
                <c:pt idx="1119">
                  <c:v>2016-06-08</c:v>
                </c:pt>
                <c:pt idx="1120">
                  <c:v>2016-06-09</c:v>
                </c:pt>
                <c:pt idx="1121">
                  <c:v>2016-06-10</c:v>
                </c:pt>
                <c:pt idx="1122">
                  <c:v>2016-06-13</c:v>
                </c:pt>
                <c:pt idx="1123">
                  <c:v>2016-06-14</c:v>
                </c:pt>
                <c:pt idx="1124">
                  <c:v>2016-06-15</c:v>
                </c:pt>
                <c:pt idx="1125">
                  <c:v>2016-06-16</c:v>
                </c:pt>
                <c:pt idx="1126">
                  <c:v>2016-06-17</c:v>
                </c:pt>
                <c:pt idx="1127">
                  <c:v>2016-06-20</c:v>
                </c:pt>
                <c:pt idx="1128">
                  <c:v>2016-06-21</c:v>
                </c:pt>
                <c:pt idx="1129">
                  <c:v>2016-06-22</c:v>
                </c:pt>
                <c:pt idx="1130">
                  <c:v>2016-06-23</c:v>
                </c:pt>
                <c:pt idx="1131">
                  <c:v>2016-06-24</c:v>
                </c:pt>
                <c:pt idx="1132">
                  <c:v>2016-06-27</c:v>
                </c:pt>
                <c:pt idx="1133">
                  <c:v>2016-06-28</c:v>
                </c:pt>
                <c:pt idx="1134">
                  <c:v>2016-06-29</c:v>
                </c:pt>
                <c:pt idx="1135">
                  <c:v>2016-06-30</c:v>
                </c:pt>
                <c:pt idx="1136">
                  <c:v>2016-07-01</c:v>
                </c:pt>
                <c:pt idx="1137">
                  <c:v>2016-07-04</c:v>
                </c:pt>
                <c:pt idx="1138">
                  <c:v>2016-07-05</c:v>
                </c:pt>
                <c:pt idx="1139">
                  <c:v>2016-07-06</c:v>
                </c:pt>
                <c:pt idx="1140">
                  <c:v>2016-07-07</c:v>
                </c:pt>
                <c:pt idx="1141">
                  <c:v>2016-07-08</c:v>
                </c:pt>
                <c:pt idx="1142">
                  <c:v>2016-07-11</c:v>
                </c:pt>
                <c:pt idx="1143">
                  <c:v>2016-07-12</c:v>
                </c:pt>
                <c:pt idx="1144">
                  <c:v>2016-07-13</c:v>
                </c:pt>
                <c:pt idx="1145">
                  <c:v>2016-07-14</c:v>
                </c:pt>
                <c:pt idx="1146">
                  <c:v>2016-07-15</c:v>
                </c:pt>
                <c:pt idx="1147">
                  <c:v>2016-07-18</c:v>
                </c:pt>
                <c:pt idx="1148">
                  <c:v>2016-07-19</c:v>
                </c:pt>
                <c:pt idx="1149">
                  <c:v>2016-07-20</c:v>
                </c:pt>
                <c:pt idx="1150">
                  <c:v>2016-07-21</c:v>
                </c:pt>
                <c:pt idx="1151">
                  <c:v>2016-07-22</c:v>
                </c:pt>
                <c:pt idx="1152">
                  <c:v>2016-07-25</c:v>
                </c:pt>
                <c:pt idx="1153">
                  <c:v>2016-07-26</c:v>
                </c:pt>
                <c:pt idx="1154">
                  <c:v>2016-07-27</c:v>
                </c:pt>
                <c:pt idx="1155">
                  <c:v>2016-07-28</c:v>
                </c:pt>
                <c:pt idx="1156">
                  <c:v>2016-07-29</c:v>
                </c:pt>
                <c:pt idx="1157">
                  <c:v>2016-08-01</c:v>
                </c:pt>
                <c:pt idx="1158">
                  <c:v>2016-08-02</c:v>
                </c:pt>
                <c:pt idx="1159">
                  <c:v>2016-08-03</c:v>
                </c:pt>
                <c:pt idx="1160">
                  <c:v>2016-08-04</c:v>
                </c:pt>
                <c:pt idx="1161">
                  <c:v>2016-08-05</c:v>
                </c:pt>
                <c:pt idx="1162">
                  <c:v>2016-08-08</c:v>
                </c:pt>
                <c:pt idx="1163">
                  <c:v>2016-08-09</c:v>
                </c:pt>
                <c:pt idx="1164">
                  <c:v>2016-08-10</c:v>
                </c:pt>
                <c:pt idx="1165">
                  <c:v>2016-08-11</c:v>
                </c:pt>
                <c:pt idx="1166">
                  <c:v>2016-08-12</c:v>
                </c:pt>
                <c:pt idx="1167">
                  <c:v>2016-08-15</c:v>
                </c:pt>
                <c:pt idx="1168">
                  <c:v>2016-08-16</c:v>
                </c:pt>
                <c:pt idx="1169">
                  <c:v>2016-08-17</c:v>
                </c:pt>
                <c:pt idx="1170">
                  <c:v>2016-08-18</c:v>
                </c:pt>
                <c:pt idx="1171">
                  <c:v>2016-08-19</c:v>
                </c:pt>
                <c:pt idx="1172">
                  <c:v>2016-08-22</c:v>
                </c:pt>
                <c:pt idx="1173">
                  <c:v>2016-08-23</c:v>
                </c:pt>
                <c:pt idx="1174">
                  <c:v>2016-08-24</c:v>
                </c:pt>
                <c:pt idx="1175">
                  <c:v>2016-08-25</c:v>
                </c:pt>
                <c:pt idx="1176">
                  <c:v>2016-08-26</c:v>
                </c:pt>
                <c:pt idx="1177">
                  <c:v>2016-08-30</c:v>
                </c:pt>
                <c:pt idx="1178">
                  <c:v>2016-08-31</c:v>
                </c:pt>
                <c:pt idx="1179">
                  <c:v>2016-09-01</c:v>
                </c:pt>
                <c:pt idx="1180">
                  <c:v>2016-09-02</c:v>
                </c:pt>
                <c:pt idx="1181">
                  <c:v>2016-09-05</c:v>
                </c:pt>
                <c:pt idx="1182">
                  <c:v>2016-09-06</c:v>
                </c:pt>
                <c:pt idx="1183">
                  <c:v>2016-09-07</c:v>
                </c:pt>
                <c:pt idx="1184">
                  <c:v>2016-09-08</c:v>
                </c:pt>
                <c:pt idx="1185">
                  <c:v>2016-09-09</c:v>
                </c:pt>
                <c:pt idx="1186">
                  <c:v>2016-09-12</c:v>
                </c:pt>
                <c:pt idx="1187">
                  <c:v>2016-09-13</c:v>
                </c:pt>
                <c:pt idx="1188">
                  <c:v>2016-09-14</c:v>
                </c:pt>
                <c:pt idx="1189">
                  <c:v>2016-09-15</c:v>
                </c:pt>
                <c:pt idx="1190">
                  <c:v>2016-09-16</c:v>
                </c:pt>
                <c:pt idx="1191">
                  <c:v>2016-09-19</c:v>
                </c:pt>
                <c:pt idx="1192">
                  <c:v>2016-09-20</c:v>
                </c:pt>
                <c:pt idx="1193">
                  <c:v>2016-09-21</c:v>
                </c:pt>
                <c:pt idx="1194">
                  <c:v>2016-09-22</c:v>
                </c:pt>
                <c:pt idx="1195">
                  <c:v>2016-09-23</c:v>
                </c:pt>
                <c:pt idx="1196">
                  <c:v>2016-09-26</c:v>
                </c:pt>
                <c:pt idx="1197">
                  <c:v>2016-09-27</c:v>
                </c:pt>
                <c:pt idx="1198">
                  <c:v>2016-09-28</c:v>
                </c:pt>
                <c:pt idx="1199">
                  <c:v>2016-09-29</c:v>
                </c:pt>
                <c:pt idx="1200">
                  <c:v>2016-09-30</c:v>
                </c:pt>
                <c:pt idx="1201">
                  <c:v>2016-10-03</c:v>
                </c:pt>
                <c:pt idx="1202">
                  <c:v>2016-10-04</c:v>
                </c:pt>
                <c:pt idx="1203">
                  <c:v>2016-10-05</c:v>
                </c:pt>
                <c:pt idx="1204">
                  <c:v>2016-10-06</c:v>
                </c:pt>
                <c:pt idx="1205">
                  <c:v>2016-10-07</c:v>
                </c:pt>
                <c:pt idx="1206">
                  <c:v>2016-10-10</c:v>
                </c:pt>
                <c:pt idx="1207">
                  <c:v>2016-10-11</c:v>
                </c:pt>
                <c:pt idx="1208">
                  <c:v>2016-10-12</c:v>
                </c:pt>
                <c:pt idx="1209">
                  <c:v>2016-10-13</c:v>
                </c:pt>
                <c:pt idx="1210">
                  <c:v>2016-10-14</c:v>
                </c:pt>
                <c:pt idx="1211">
                  <c:v>2016-10-17</c:v>
                </c:pt>
                <c:pt idx="1212">
                  <c:v>2016-10-18</c:v>
                </c:pt>
                <c:pt idx="1213">
                  <c:v>2016-10-19</c:v>
                </c:pt>
                <c:pt idx="1214">
                  <c:v>2016-10-20</c:v>
                </c:pt>
                <c:pt idx="1215">
                  <c:v>2016-10-21</c:v>
                </c:pt>
                <c:pt idx="1216">
                  <c:v>2016-10-24</c:v>
                </c:pt>
                <c:pt idx="1217">
                  <c:v>2016-10-25</c:v>
                </c:pt>
                <c:pt idx="1218">
                  <c:v>2016-10-26</c:v>
                </c:pt>
                <c:pt idx="1219">
                  <c:v>2016-10-27</c:v>
                </c:pt>
                <c:pt idx="1220">
                  <c:v>2016-10-28</c:v>
                </c:pt>
                <c:pt idx="1221">
                  <c:v>2016-10-31</c:v>
                </c:pt>
                <c:pt idx="1222">
                  <c:v>2016-11-01</c:v>
                </c:pt>
                <c:pt idx="1223">
                  <c:v>2016-11-02</c:v>
                </c:pt>
                <c:pt idx="1224">
                  <c:v>2016-11-03</c:v>
                </c:pt>
                <c:pt idx="1225">
                  <c:v>2016-11-04</c:v>
                </c:pt>
                <c:pt idx="1226">
                  <c:v>2016-11-07</c:v>
                </c:pt>
                <c:pt idx="1227">
                  <c:v>2016-11-08</c:v>
                </c:pt>
                <c:pt idx="1228">
                  <c:v>2016-11-09</c:v>
                </c:pt>
                <c:pt idx="1229">
                  <c:v>2016-11-10</c:v>
                </c:pt>
                <c:pt idx="1230">
                  <c:v>2016-11-11</c:v>
                </c:pt>
                <c:pt idx="1231">
                  <c:v>2016-11-14</c:v>
                </c:pt>
                <c:pt idx="1232">
                  <c:v>2016-11-15</c:v>
                </c:pt>
                <c:pt idx="1233">
                  <c:v>2016-11-16</c:v>
                </c:pt>
                <c:pt idx="1234">
                  <c:v>2016-11-17</c:v>
                </c:pt>
                <c:pt idx="1235">
                  <c:v>2016-11-18</c:v>
                </c:pt>
                <c:pt idx="1236">
                  <c:v>2016-11-21</c:v>
                </c:pt>
                <c:pt idx="1237">
                  <c:v>2016-11-22</c:v>
                </c:pt>
                <c:pt idx="1238">
                  <c:v>2016-11-23</c:v>
                </c:pt>
                <c:pt idx="1239">
                  <c:v>2016-11-24</c:v>
                </c:pt>
                <c:pt idx="1240">
                  <c:v>2016-11-25</c:v>
                </c:pt>
                <c:pt idx="1241">
                  <c:v>2016-11-28</c:v>
                </c:pt>
                <c:pt idx="1242">
                  <c:v>2016-11-29</c:v>
                </c:pt>
                <c:pt idx="1243">
                  <c:v>2016-11-30</c:v>
                </c:pt>
                <c:pt idx="1244">
                  <c:v>2016-12-01</c:v>
                </c:pt>
                <c:pt idx="1245">
                  <c:v>2016-12-02</c:v>
                </c:pt>
                <c:pt idx="1246">
                  <c:v>2016-12-05</c:v>
                </c:pt>
                <c:pt idx="1247">
                  <c:v>2016-12-06</c:v>
                </c:pt>
                <c:pt idx="1248">
                  <c:v>2016-12-07</c:v>
                </c:pt>
                <c:pt idx="1249">
                  <c:v>2016-12-08</c:v>
                </c:pt>
                <c:pt idx="1250">
                  <c:v>2016-12-09</c:v>
                </c:pt>
                <c:pt idx="1251">
                  <c:v>2016-12-12</c:v>
                </c:pt>
                <c:pt idx="1252">
                  <c:v>2016-12-13</c:v>
                </c:pt>
                <c:pt idx="1253">
                  <c:v>2016-12-14</c:v>
                </c:pt>
                <c:pt idx="1254">
                  <c:v>2016-12-15</c:v>
                </c:pt>
                <c:pt idx="1255">
                  <c:v>2016-12-16</c:v>
                </c:pt>
                <c:pt idx="1256">
                  <c:v>2016-12-19</c:v>
                </c:pt>
                <c:pt idx="1257">
                  <c:v>2016-12-20</c:v>
                </c:pt>
                <c:pt idx="1258">
                  <c:v>2016-12-21</c:v>
                </c:pt>
                <c:pt idx="1259">
                  <c:v>2016-12-22</c:v>
                </c:pt>
                <c:pt idx="1260">
                  <c:v>2016-12-23</c:v>
                </c:pt>
                <c:pt idx="1261">
                  <c:v>2016-12-28</c:v>
                </c:pt>
                <c:pt idx="1262">
                  <c:v>2016-12-29</c:v>
                </c:pt>
                <c:pt idx="1263">
                  <c:v>2016-12-30</c:v>
                </c:pt>
                <c:pt idx="1264">
                  <c:v>2017-01-03</c:v>
                </c:pt>
                <c:pt idx="1265">
                  <c:v>2017-01-04</c:v>
                </c:pt>
                <c:pt idx="1266">
                  <c:v>2017-01-05</c:v>
                </c:pt>
                <c:pt idx="1267">
                  <c:v>2017-01-06</c:v>
                </c:pt>
                <c:pt idx="1268">
                  <c:v>2017-01-09</c:v>
                </c:pt>
                <c:pt idx="1269">
                  <c:v>2017-01-10</c:v>
                </c:pt>
                <c:pt idx="1270">
                  <c:v>2017-01-11</c:v>
                </c:pt>
                <c:pt idx="1271">
                  <c:v>2017-01-12</c:v>
                </c:pt>
                <c:pt idx="1272">
                  <c:v>2017-01-13</c:v>
                </c:pt>
                <c:pt idx="1273">
                  <c:v>2017-01-16</c:v>
                </c:pt>
                <c:pt idx="1274">
                  <c:v>2017-01-17</c:v>
                </c:pt>
                <c:pt idx="1275">
                  <c:v>2017-01-18</c:v>
                </c:pt>
                <c:pt idx="1276">
                  <c:v>2017-01-19</c:v>
                </c:pt>
                <c:pt idx="1277">
                  <c:v>2017-01-20</c:v>
                </c:pt>
                <c:pt idx="1278">
                  <c:v>2017-01-23</c:v>
                </c:pt>
                <c:pt idx="1279">
                  <c:v>2017-01-24</c:v>
                </c:pt>
                <c:pt idx="1280">
                  <c:v>2017-01-25</c:v>
                </c:pt>
                <c:pt idx="1281">
                  <c:v>2017-01-26</c:v>
                </c:pt>
                <c:pt idx="1282">
                  <c:v>2017-01-27</c:v>
                </c:pt>
                <c:pt idx="1283">
                  <c:v>2017-01-30</c:v>
                </c:pt>
                <c:pt idx="1284">
                  <c:v>2017-01-31</c:v>
                </c:pt>
                <c:pt idx="1285">
                  <c:v>2017-02-01</c:v>
                </c:pt>
                <c:pt idx="1286">
                  <c:v>2017-02-02</c:v>
                </c:pt>
                <c:pt idx="1287">
                  <c:v>2017-02-03</c:v>
                </c:pt>
                <c:pt idx="1288">
                  <c:v>2017-02-06</c:v>
                </c:pt>
                <c:pt idx="1289">
                  <c:v>2017-02-07</c:v>
                </c:pt>
                <c:pt idx="1290">
                  <c:v>2017-02-08</c:v>
                </c:pt>
                <c:pt idx="1291">
                  <c:v>2017-02-09</c:v>
                </c:pt>
                <c:pt idx="1292">
                  <c:v>2017-02-10</c:v>
                </c:pt>
                <c:pt idx="1293">
                  <c:v>2017-02-13</c:v>
                </c:pt>
                <c:pt idx="1294">
                  <c:v>2017-02-14</c:v>
                </c:pt>
                <c:pt idx="1295">
                  <c:v>2017-02-15</c:v>
                </c:pt>
                <c:pt idx="1296">
                  <c:v>2017-02-16</c:v>
                </c:pt>
                <c:pt idx="1297">
                  <c:v>2017-02-17</c:v>
                </c:pt>
                <c:pt idx="1298">
                  <c:v>2017-02-20</c:v>
                </c:pt>
                <c:pt idx="1299">
                  <c:v>2017-02-21</c:v>
                </c:pt>
                <c:pt idx="1300">
                  <c:v>2017-02-22</c:v>
                </c:pt>
                <c:pt idx="1301">
                  <c:v>2017-02-23</c:v>
                </c:pt>
                <c:pt idx="1302">
                  <c:v>2017-02-24</c:v>
                </c:pt>
                <c:pt idx="1303">
                  <c:v>2017-02-27</c:v>
                </c:pt>
                <c:pt idx="1304">
                  <c:v>2017-02-28</c:v>
                </c:pt>
                <c:pt idx="1305">
                  <c:v>2017-03-01</c:v>
                </c:pt>
                <c:pt idx="1306">
                  <c:v>2017-03-02</c:v>
                </c:pt>
                <c:pt idx="1307">
                  <c:v>2017-03-03</c:v>
                </c:pt>
                <c:pt idx="1308">
                  <c:v>2017-03-06</c:v>
                </c:pt>
                <c:pt idx="1309">
                  <c:v>2017-03-07</c:v>
                </c:pt>
                <c:pt idx="1310">
                  <c:v>2017-03-08</c:v>
                </c:pt>
                <c:pt idx="1311">
                  <c:v>2017-03-09</c:v>
                </c:pt>
                <c:pt idx="1312">
                  <c:v>2017-03-10</c:v>
                </c:pt>
                <c:pt idx="1313">
                  <c:v>2017-03-13</c:v>
                </c:pt>
                <c:pt idx="1314">
                  <c:v>2017-03-14</c:v>
                </c:pt>
                <c:pt idx="1315">
                  <c:v>2017-03-15</c:v>
                </c:pt>
                <c:pt idx="1316">
                  <c:v>2017-03-16</c:v>
                </c:pt>
                <c:pt idx="1317">
                  <c:v>2017-03-17</c:v>
                </c:pt>
                <c:pt idx="1318">
                  <c:v>2017-03-20</c:v>
                </c:pt>
                <c:pt idx="1319">
                  <c:v>2017-03-21</c:v>
                </c:pt>
                <c:pt idx="1320">
                  <c:v>2017-03-22</c:v>
                </c:pt>
                <c:pt idx="1321">
                  <c:v>2017-03-23</c:v>
                </c:pt>
                <c:pt idx="1322">
                  <c:v>2017-03-24</c:v>
                </c:pt>
                <c:pt idx="1323">
                  <c:v>2017-03-27</c:v>
                </c:pt>
                <c:pt idx="1324">
                  <c:v>2017-03-28</c:v>
                </c:pt>
                <c:pt idx="1325">
                  <c:v>2017-03-29</c:v>
                </c:pt>
                <c:pt idx="1326">
                  <c:v>2017-03-30</c:v>
                </c:pt>
                <c:pt idx="1327">
                  <c:v>2017-03-31</c:v>
                </c:pt>
                <c:pt idx="1328">
                  <c:v>2017-04-03</c:v>
                </c:pt>
                <c:pt idx="1329">
                  <c:v>2017-04-04</c:v>
                </c:pt>
                <c:pt idx="1330">
                  <c:v>2017-04-05</c:v>
                </c:pt>
                <c:pt idx="1331">
                  <c:v>2017-04-06</c:v>
                </c:pt>
                <c:pt idx="1332">
                  <c:v>2017-04-07</c:v>
                </c:pt>
                <c:pt idx="1333">
                  <c:v>2017-04-10</c:v>
                </c:pt>
                <c:pt idx="1334">
                  <c:v>2017-04-11</c:v>
                </c:pt>
                <c:pt idx="1335">
                  <c:v>2017-04-12</c:v>
                </c:pt>
                <c:pt idx="1336">
                  <c:v>2017-04-13</c:v>
                </c:pt>
                <c:pt idx="1337">
                  <c:v>2017-04-18</c:v>
                </c:pt>
                <c:pt idx="1338">
                  <c:v>2017-04-19</c:v>
                </c:pt>
                <c:pt idx="1339">
                  <c:v>2017-04-20</c:v>
                </c:pt>
                <c:pt idx="1340">
                  <c:v>2017-04-21</c:v>
                </c:pt>
                <c:pt idx="1341">
                  <c:v>2017-04-24</c:v>
                </c:pt>
                <c:pt idx="1342">
                  <c:v>2017-04-25</c:v>
                </c:pt>
                <c:pt idx="1343">
                  <c:v>2017-04-26</c:v>
                </c:pt>
                <c:pt idx="1344">
                  <c:v>2017-04-27</c:v>
                </c:pt>
                <c:pt idx="1345">
                  <c:v>2017-04-28</c:v>
                </c:pt>
                <c:pt idx="1346">
                  <c:v>2017-05-02</c:v>
                </c:pt>
                <c:pt idx="1347">
                  <c:v>2017-05-03</c:v>
                </c:pt>
                <c:pt idx="1348">
                  <c:v>2017-05-04</c:v>
                </c:pt>
                <c:pt idx="1349">
                  <c:v>2017-05-05</c:v>
                </c:pt>
                <c:pt idx="1350">
                  <c:v>2017-05-08</c:v>
                </c:pt>
                <c:pt idx="1351">
                  <c:v>2017-05-09</c:v>
                </c:pt>
                <c:pt idx="1352">
                  <c:v>2017-05-10</c:v>
                </c:pt>
                <c:pt idx="1353">
                  <c:v>2017-05-11</c:v>
                </c:pt>
                <c:pt idx="1354">
                  <c:v>2017-05-12</c:v>
                </c:pt>
                <c:pt idx="1355">
                  <c:v>2017-05-15</c:v>
                </c:pt>
                <c:pt idx="1356">
                  <c:v>2017-05-16</c:v>
                </c:pt>
                <c:pt idx="1357">
                  <c:v>2017-05-17</c:v>
                </c:pt>
                <c:pt idx="1358">
                  <c:v>2017-05-18</c:v>
                </c:pt>
                <c:pt idx="1359">
                  <c:v>2017-05-19</c:v>
                </c:pt>
                <c:pt idx="1360">
                  <c:v>2017-05-22</c:v>
                </c:pt>
                <c:pt idx="1361">
                  <c:v>2017-05-23</c:v>
                </c:pt>
                <c:pt idx="1362">
                  <c:v>2017-05-24</c:v>
                </c:pt>
                <c:pt idx="1363">
                  <c:v>2017-05-25</c:v>
                </c:pt>
                <c:pt idx="1364">
                  <c:v>2017-05-26</c:v>
                </c:pt>
                <c:pt idx="1365">
                  <c:v>2017-05-30</c:v>
                </c:pt>
                <c:pt idx="1366">
                  <c:v>2017-05-31</c:v>
                </c:pt>
                <c:pt idx="1367">
                  <c:v>2017-06-01</c:v>
                </c:pt>
                <c:pt idx="1368">
                  <c:v>2017-06-02</c:v>
                </c:pt>
                <c:pt idx="1369">
                  <c:v>2017-06-05</c:v>
                </c:pt>
                <c:pt idx="1370">
                  <c:v>2017-06-06</c:v>
                </c:pt>
                <c:pt idx="1371">
                  <c:v>2017-06-07</c:v>
                </c:pt>
                <c:pt idx="1372">
                  <c:v>2017-06-08</c:v>
                </c:pt>
                <c:pt idx="1373">
                  <c:v>2017-06-09</c:v>
                </c:pt>
                <c:pt idx="1374">
                  <c:v>2017-06-12</c:v>
                </c:pt>
                <c:pt idx="1375">
                  <c:v>2017-06-13</c:v>
                </c:pt>
                <c:pt idx="1376">
                  <c:v>2017-06-14</c:v>
                </c:pt>
                <c:pt idx="1377">
                  <c:v>2017-06-15</c:v>
                </c:pt>
                <c:pt idx="1378">
                  <c:v>2017-06-16</c:v>
                </c:pt>
                <c:pt idx="1379">
                  <c:v>2017-06-19</c:v>
                </c:pt>
                <c:pt idx="1380">
                  <c:v>2017-06-20</c:v>
                </c:pt>
                <c:pt idx="1381">
                  <c:v>2017-06-21</c:v>
                </c:pt>
                <c:pt idx="1382">
                  <c:v>2017-06-22</c:v>
                </c:pt>
                <c:pt idx="1383">
                  <c:v>2017-06-23</c:v>
                </c:pt>
                <c:pt idx="1384">
                  <c:v>2017-06-26</c:v>
                </c:pt>
                <c:pt idx="1385">
                  <c:v>2017-06-27</c:v>
                </c:pt>
                <c:pt idx="1386">
                  <c:v>2017-06-28</c:v>
                </c:pt>
                <c:pt idx="1387">
                  <c:v>2017-06-29</c:v>
                </c:pt>
                <c:pt idx="1388">
                  <c:v>2017-06-30</c:v>
                </c:pt>
                <c:pt idx="1389">
                  <c:v>2017-07-03</c:v>
                </c:pt>
                <c:pt idx="1390">
                  <c:v>2017-07-04</c:v>
                </c:pt>
                <c:pt idx="1391">
                  <c:v>2017-07-05</c:v>
                </c:pt>
                <c:pt idx="1392">
                  <c:v>2017-07-06</c:v>
                </c:pt>
                <c:pt idx="1393">
                  <c:v>2017-07-07</c:v>
                </c:pt>
                <c:pt idx="1394">
                  <c:v>2017-07-10</c:v>
                </c:pt>
                <c:pt idx="1395">
                  <c:v>2017-07-11</c:v>
                </c:pt>
                <c:pt idx="1396">
                  <c:v>2017-07-12</c:v>
                </c:pt>
                <c:pt idx="1397">
                  <c:v>2017-07-13</c:v>
                </c:pt>
                <c:pt idx="1398">
                  <c:v>2017-07-14</c:v>
                </c:pt>
                <c:pt idx="1399">
                  <c:v>2017-07-17</c:v>
                </c:pt>
                <c:pt idx="1400">
                  <c:v>2017-07-18</c:v>
                </c:pt>
                <c:pt idx="1401">
                  <c:v>2017-07-19</c:v>
                </c:pt>
                <c:pt idx="1402">
                  <c:v>2017-07-20</c:v>
                </c:pt>
                <c:pt idx="1403">
                  <c:v>2017-07-21</c:v>
                </c:pt>
                <c:pt idx="1404">
                  <c:v>2017-07-24</c:v>
                </c:pt>
                <c:pt idx="1405">
                  <c:v>2017-07-25</c:v>
                </c:pt>
                <c:pt idx="1406">
                  <c:v>2017-07-26</c:v>
                </c:pt>
                <c:pt idx="1407">
                  <c:v>2017-07-27</c:v>
                </c:pt>
                <c:pt idx="1408">
                  <c:v>2017-07-28</c:v>
                </c:pt>
                <c:pt idx="1409">
                  <c:v>2017-07-31</c:v>
                </c:pt>
                <c:pt idx="1410">
                  <c:v>2017-08-01</c:v>
                </c:pt>
                <c:pt idx="1411">
                  <c:v>2017-08-02</c:v>
                </c:pt>
                <c:pt idx="1412">
                  <c:v>2017-08-03</c:v>
                </c:pt>
                <c:pt idx="1413">
                  <c:v>2017-08-04</c:v>
                </c:pt>
                <c:pt idx="1414">
                  <c:v>2017-08-07</c:v>
                </c:pt>
                <c:pt idx="1415">
                  <c:v>2017-08-08</c:v>
                </c:pt>
                <c:pt idx="1416">
                  <c:v>2017-08-09</c:v>
                </c:pt>
                <c:pt idx="1417">
                  <c:v>2017-08-10</c:v>
                </c:pt>
                <c:pt idx="1418">
                  <c:v>2017-08-11</c:v>
                </c:pt>
                <c:pt idx="1419">
                  <c:v>2017-08-14</c:v>
                </c:pt>
                <c:pt idx="1420">
                  <c:v>2017-08-15</c:v>
                </c:pt>
                <c:pt idx="1421">
                  <c:v>2017-08-16</c:v>
                </c:pt>
                <c:pt idx="1422">
                  <c:v>2017-08-17</c:v>
                </c:pt>
                <c:pt idx="1423">
                  <c:v>2017-08-18</c:v>
                </c:pt>
                <c:pt idx="1424">
                  <c:v>2017-08-21</c:v>
                </c:pt>
                <c:pt idx="1425">
                  <c:v>2017-08-22</c:v>
                </c:pt>
                <c:pt idx="1426">
                  <c:v>2017-08-23</c:v>
                </c:pt>
                <c:pt idx="1427">
                  <c:v>2017-08-24</c:v>
                </c:pt>
                <c:pt idx="1428">
                  <c:v>2017-08-25</c:v>
                </c:pt>
                <c:pt idx="1429">
                  <c:v>2017-08-29</c:v>
                </c:pt>
                <c:pt idx="1430">
                  <c:v>2017-08-30</c:v>
                </c:pt>
                <c:pt idx="1431">
                  <c:v>2017-08-31</c:v>
                </c:pt>
                <c:pt idx="1432">
                  <c:v>2017-09-01</c:v>
                </c:pt>
                <c:pt idx="1433">
                  <c:v>2017-09-04</c:v>
                </c:pt>
                <c:pt idx="1434">
                  <c:v>2017-09-05</c:v>
                </c:pt>
                <c:pt idx="1435">
                  <c:v>2017-09-06</c:v>
                </c:pt>
                <c:pt idx="1436">
                  <c:v>2017-09-07</c:v>
                </c:pt>
                <c:pt idx="1437">
                  <c:v>2017-09-08</c:v>
                </c:pt>
                <c:pt idx="1438">
                  <c:v>2017-09-11</c:v>
                </c:pt>
                <c:pt idx="1439">
                  <c:v>2017-09-12</c:v>
                </c:pt>
                <c:pt idx="1440">
                  <c:v>2017-09-13</c:v>
                </c:pt>
                <c:pt idx="1441">
                  <c:v>2017-09-14</c:v>
                </c:pt>
                <c:pt idx="1442">
                  <c:v>2017-09-15</c:v>
                </c:pt>
                <c:pt idx="1443">
                  <c:v>2017-09-18</c:v>
                </c:pt>
                <c:pt idx="1444">
                  <c:v>2017-09-19</c:v>
                </c:pt>
                <c:pt idx="1445">
                  <c:v>2017-09-20</c:v>
                </c:pt>
                <c:pt idx="1446">
                  <c:v>2017-09-21</c:v>
                </c:pt>
                <c:pt idx="1447">
                  <c:v>2017-09-22</c:v>
                </c:pt>
                <c:pt idx="1448">
                  <c:v>2017-09-25</c:v>
                </c:pt>
                <c:pt idx="1449">
                  <c:v>2017-09-26</c:v>
                </c:pt>
                <c:pt idx="1450">
                  <c:v>2017-09-27</c:v>
                </c:pt>
                <c:pt idx="1451">
                  <c:v>2017-09-28</c:v>
                </c:pt>
                <c:pt idx="1452">
                  <c:v>2017-09-29</c:v>
                </c:pt>
                <c:pt idx="1453">
                  <c:v>2017-10-02</c:v>
                </c:pt>
                <c:pt idx="1454">
                  <c:v>2017-10-03</c:v>
                </c:pt>
                <c:pt idx="1455">
                  <c:v>2017-10-04</c:v>
                </c:pt>
                <c:pt idx="1456">
                  <c:v>2017-10-05</c:v>
                </c:pt>
                <c:pt idx="1457">
                  <c:v>2017-10-06</c:v>
                </c:pt>
                <c:pt idx="1458">
                  <c:v>2017-10-09</c:v>
                </c:pt>
                <c:pt idx="1459">
                  <c:v>2017-10-10</c:v>
                </c:pt>
                <c:pt idx="1460">
                  <c:v>2017-10-11</c:v>
                </c:pt>
                <c:pt idx="1461">
                  <c:v>2017-10-12</c:v>
                </c:pt>
                <c:pt idx="1462">
                  <c:v>2017-10-13</c:v>
                </c:pt>
                <c:pt idx="1463">
                  <c:v>2017-10-16</c:v>
                </c:pt>
                <c:pt idx="1464">
                  <c:v>2017-10-17</c:v>
                </c:pt>
                <c:pt idx="1465">
                  <c:v>2017-10-18</c:v>
                </c:pt>
                <c:pt idx="1466">
                  <c:v>2017-10-19</c:v>
                </c:pt>
                <c:pt idx="1467">
                  <c:v>2017-10-20</c:v>
                </c:pt>
                <c:pt idx="1468">
                  <c:v>2017-10-23</c:v>
                </c:pt>
                <c:pt idx="1469">
                  <c:v>2017-10-24</c:v>
                </c:pt>
                <c:pt idx="1470">
                  <c:v>2017-10-25</c:v>
                </c:pt>
                <c:pt idx="1471">
                  <c:v>2017-10-26</c:v>
                </c:pt>
                <c:pt idx="1472">
                  <c:v>2017-10-27</c:v>
                </c:pt>
                <c:pt idx="1473">
                  <c:v>2017-10-30</c:v>
                </c:pt>
                <c:pt idx="1474">
                  <c:v>2017-10-31</c:v>
                </c:pt>
                <c:pt idx="1475">
                  <c:v>2017-11-01</c:v>
                </c:pt>
                <c:pt idx="1476">
                  <c:v>2017-11-02</c:v>
                </c:pt>
                <c:pt idx="1477">
                  <c:v>2017-11-03</c:v>
                </c:pt>
                <c:pt idx="1478">
                  <c:v>2017-11-06</c:v>
                </c:pt>
                <c:pt idx="1479">
                  <c:v>2017-11-07</c:v>
                </c:pt>
                <c:pt idx="1480">
                  <c:v>2017-11-08</c:v>
                </c:pt>
                <c:pt idx="1481">
                  <c:v>2017-11-09</c:v>
                </c:pt>
                <c:pt idx="1482">
                  <c:v>2017-11-10</c:v>
                </c:pt>
                <c:pt idx="1483">
                  <c:v>2017-11-13</c:v>
                </c:pt>
                <c:pt idx="1484">
                  <c:v>2017-11-14</c:v>
                </c:pt>
                <c:pt idx="1485">
                  <c:v>2017-11-15</c:v>
                </c:pt>
                <c:pt idx="1486">
                  <c:v>2017-11-16</c:v>
                </c:pt>
                <c:pt idx="1487">
                  <c:v>2017-11-17</c:v>
                </c:pt>
                <c:pt idx="1488">
                  <c:v>2017-11-20</c:v>
                </c:pt>
                <c:pt idx="1489">
                  <c:v>2017-11-21</c:v>
                </c:pt>
                <c:pt idx="1490">
                  <c:v>2017-11-22</c:v>
                </c:pt>
                <c:pt idx="1491">
                  <c:v>2017-11-23</c:v>
                </c:pt>
                <c:pt idx="1492">
                  <c:v>2017-11-24</c:v>
                </c:pt>
                <c:pt idx="1493">
                  <c:v>2017-11-27</c:v>
                </c:pt>
                <c:pt idx="1494">
                  <c:v>2017-11-28</c:v>
                </c:pt>
                <c:pt idx="1495">
                  <c:v>2017-11-29</c:v>
                </c:pt>
                <c:pt idx="1496">
                  <c:v>2017-11-30</c:v>
                </c:pt>
                <c:pt idx="1497">
                  <c:v>2017-12-01</c:v>
                </c:pt>
                <c:pt idx="1498">
                  <c:v>2017-12-04</c:v>
                </c:pt>
                <c:pt idx="1499">
                  <c:v>2017-12-05</c:v>
                </c:pt>
                <c:pt idx="1500">
                  <c:v>2017-12-06</c:v>
                </c:pt>
                <c:pt idx="1501">
                  <c:v>2017-12-07</c:v>
                </c:pt>
                <c:pt idx="1502">
                  <c:v>2017-12-08</c:v>
                </c:pt>
                <c:pt idx="1503">
                  <c:v>2017-12-11</c:v>
                </c:pt>
                <c:pt idx="1504">
                  <c:v>2017-12-12</c:v>
                </c:pt>
                <c:pt idx="1505">
                  <c:v>2017-12-13</c:v>
                </c:pt>
                <c:pt idx="1506">
                  <c:v>2017-12-14</c:v>
                </c:pt>
                <c:pt idx="1507">
                  <c:v>2017-12-15</c:v>
                </c:pt>
                <c:pt idx="1508">
                  <c:v>2017-12-18</c:v>
                </c:pt>
                <c:pt idx="1509">
                  <c:v>2017-12-19</c:v>
                </c:pt>
                <c:pt idx="1510">
                  <c:v>2017-12-20</c:v>
                </c:pt>
                <c:pt idx="1511">
                  <c:v>2017-12-21</c:v>
                </c:pt>
                <c:pt idx="1512">
                  <c:v>2017-12-22</c:v>
                </c:pt>
                <c:pt idx="1513">
                  <c:v>2017-12-27</c:v>
                </c:pt>
                <c:pt idx="1514">
                  <c:v>2017-12-28</c:v>
                </c:pt>
                <c:pt idx="1515">
                  <c:v>2017-12-29</c:v>
                </c:pt>
                <c:pt idx="1516">
                  <c:v>2018-01-02</c:v>
                </c:pt>
                <c:pt idx="1517">
                  <c:v>2018-01-03</c:v>
                </c:pt>
                <c:pt idx="1518">
                  <c:v>2018-01-04</c:v>
                </c:pt>
                <c:pt idx="1519">
                  <c:v>2018-01-05</c:v>
                </c:pt>
                <c:pt idx="1520">
                  <c:v>2018-01-08</c:v>
                </c:pt>
                <c:pt idx="1521">
                  <c:v>2018-01-09</c:v>
                </c:pt>
                <c:pt idx="1522">
                  <c:v>2018-01-10</c:v>
                </c:pt>
                <c:pt idx="1523">
                  <c:v>2018-01-11</c:v>
                </c:pt>
                <c:pt idx="1524">
                  <c:v>2018-01-12</c:v>
                </c:pt>
                <c:pt idx="1525">
                  <c:v>2018-01-15</c:v>
                </c:pt>
                <c:pt idx="1526">
                  <c:v>2018-01-16</c:v>
                </c:pt>
                <c:pt idx="1527">
                  <c:v>2018-01-17</c:v>
                </c:pt>
                <c:pt idx="1528">
                  <c:v>2018-01-18</c:v>
                </c:pt>
                <c:pt idx="1529">
                  <c:v>2018-01-19</c:v>
                </c:pt>
                <c:pt idx="1530">
                  <c:v>2018-01-22</c:v>
                </c:pt>
                <c:pt idx="1531">
                  <c:v>2018-01-23</c:v>
                </c:pt>
                <c:pt idx="1532">
                  <c:v>2018-01-24</c:v>
                </c:pt>
                <c:pt idx="1533">
                  <c:v>2018-01-25</c:v>
                </c:pt>
                <c:pt idx="1534">
                  <c:v>2018-01-26</c:v>
                </c:pt>
                <c:pt idx="1535">
                  <c:v>2018-01-29</c:v>
                </c:pt>
                <c:pt idx="1536">
                  <c:v>2018-01-30</c:v>
                </c:pt>
                <c:pt idx="1537">
                  <c:v>2018-01-31</c:v>
                </c:pt>
                <c:pt idx="1538">
                  <c:v>2018-02-01</c:v>
                </c:pt>
                <c:pt idx="1539">
                  <c:v>2018-02-02</c:v>
                </c:pt>
                <c:pt idx="1540">
                  <c:v>2018-02-05</c:v>
                </c:pt>
                <c:pt idx="1541">
                  <c:v>2018-02-06</c:v>
                </c:pt>
                <c:pt idx="1542">
                  <c:v>2018-02-07</c:v>
                </c:pt>
                <c:pt idx="1543">
                  <c:v>2018-02-08</c:v>
                </c:pt>
                <c:pt idx="1544">
                  <c:v>2018-02-09</c:v>
                </c:pt>
                <c:pt idx="1545">
                  <c:v>2018-02-12</c:v>
                </c:pt>
                <c:pt idx="1546">
                  <c:v>2018-02-13</c:v>
                </c:pt>
                <c:pt idx="1547">
                  <c:v>2018-02-14</c:v>
                </c:pt>
                <c:pt idx="1548">
                  <c:v>2018-02-15</c:v>
                </c:pt>
                <c:pt idx="1549">
                  <c:v>2018-02-16</c:v>
                </c:pt>
                <c:pt idx="1550">
                  <c:v>2018-02-19</c:v>
                </c:pt>
                <c:pt idx="1551">
                  <c:v>2018-02-20</c:v>
                </c:pt>
                <c:pt idx="1552">
                  <c:v>2018-02-21</c:v>
                </c:pt>
                <c:pt idx="1553">
                  <c:v>2018-02-22</c:v>
                </c:pt>
                <c:pt idx="1554">
                  <c:v>2018-02-23</c:v>
                </c:pt>
                <c:pt idx="1555">
                  <c:v>2018-02-26</c:v>
                </c:pt>
                <c:pt idx="1556">
                  <c:v>2018-02-27</c:v>
                </c:pt>
                <c:pt idx="1557">
                  <c:v>2018-02-28</c:v>
                </c:pt>
                <c:pt idx="1558">
                  <c:v>2018-03-01</c:v>
                </c:pt>
                <c:pt idx="1559">
                  <c:v>2018-03-02</c:v>
                </c:pt>
                <c:pt idx="1560">
                  <c:v>2018-03-05</c:v>
                </c:pt>
                <c:pt idx="1561">
                  <c:v>2018-03-06</c:v>
                </c:pt>
                <c:pt idx="1562">
                  <c:v>2018-03-07</c:v>
                </c:pt>
                <c:pt idx="1563">
                  <c:v>2018-03-08</c:v>
                </c:pt>
                <c:pt idx="1564">
                  <c:v>2018-03-09</c:v>
                </c:pt>
                <c:pt idx="1565">
                  <c:v>2018-03-12</c:v>
                </c:pt>
                <c:pt idx="1566">
                  <c:v>2018-03-13</c:v>
                </c:pt>
                <c:pt idx="1567">
                  <c:v>2018-03-14</c:v>
                </c:pt>
                <c:pt idx="1568">
                  <c:v>2018-03-15</c:v>
                </c:pt>
                <c:pt idx="1569">
                  <c:v>2018-03-16</c:v>
                </c:pt>
                <c:pt idx="1570">
                  <c:v>2018-03-19</c:v>
                </c:pt>
                <c:pt idx="1571">
                  <c:v>2018-03-20</c:v>
                </c:pt>
                <c:pt idx="1572">
                  <c:v>2018-03-21</c:v>
                </c:pt>
                <c:pt idx="1573">
                  <c:v>2018-03-22</c:v>
                </c:pt>
                <c:pt idx="1574">
                  <c:v>2018-03-23</c:v>
                </c:pt>
                <c:pt idx="1575">
                  <c:v>2018-03-26</c:v>
                </c:pt>
                <c:pt idx="1576">
                  <c:v>2018-03-27</c:v>
                </c:pt>
                <c:pt idx="1577">
                  <c:v>2018-03-28</c:v>
                </c:pt>
                <c:pt idx="1578">
                  <c:v>2018-03-29</c:v>
                </c:pt>
                <c:pt idx="1579">
                  <c:v>2018-04-03</c:v>
                </c:pt>
                <c:pt idx="1580">
                  <c:v>2018-04-04</c:v>
                </c:pt>
                <c:pt idx="1581">
                  <c:v>2018-04-05</c:v>
                </c:pt>
                <c:pt idx="1582">
                  <c:v>2018-04-06</c:v>
                </c:pt>
                <c:pt idx="1583">
                  <c:v>2018-04-09</c:v>
                </c:pt>
                <c:pt idx="1584">
                  <c:v>2018-04-10</c:v>
                </c:pt>
                <c:pt idx="1585">
                  <c:v>2018-04-11</c:v>
                </c:pt>
                <c:pt idx="1586">
                  <c:v>2018-04-12</c:v>
                </c:pt>
                <c:pt idx="1587">
                  <c:v>2018-04-13</c:v>
                </c:pt>
                <c:pt idx="1588">
                  <c:v>2018-04-16</c:v>
                </c:pt>
                <c:pt idx="1589">
                  <c:v>2018-04-17</c:v>
                </c:pt>
                <c:pt idx="1590">
                  <c:v>2018-04-18</c:v>
                </c:pt>
                <c:pt idx="1591">
                  <c:v>2018-04-19</c:v>
                </c:pt>
                <c:pt idx="1592">
                  <c:v>2018-04-20</c:v>
                </c:pt>
                <c:pt idx="1593">
                  <c:v>2018-04-23</c:v>
                </c:pt>
                <c:pt idx="1594">
                  <c:v>2018-04-24</c:v>
                </c:pt>
                <c:pt idx="1595">
                  <c:v>2018-04-25</c:v>
                </c:pt>
                <c:pt idx="1596">
                  <c:v>2018-04-26</c:v>
                </c:pt>
                <c:pt idx="1597">
                  <c:v>2018-04-27</c:v>
                </c:pt>
                <c:pt idx="1598">
                  <c:v>2018-04-30</c:v>
                </c:pt>
                <c:pt idx="1599">
                  <c:v>2018-05-01</c:v>
                </c:pt>
                <c:pt idx="1600">
                  <c:v>2018-05-02</c:v>
                </c:pt>
                <c:pt idx="1601">
                  <c:v>2018-05-03</c:v>
                </c:pt>
                <c:pt idx="1602">
                  <c:v>2018-05-04</c:v>
                </c:pt>
                <c:pt idx="1603">
                  <c:v>2018-05-08</c:v>
                </c:pt>
                <c:pt idx="1604">
                  <c:v>2018-05-09</c:v>
                </c:pt>
                <c:pt idx="1605">
                  <c:v>2018-05-10</c:v>
                </c:pt>
                <c:pt idx="1606">
                  <c:v>2018-05-11</c:v>
                </c:pt>
                <c:pt idx="1607">
                  <c:v>2018-05-14</c:v>
                </c:pt>
                <c:pt idx="1608">
                  <c:v>2018-05-15</c:v>
                </c:pt>
                <c:pt idx="1609">
                  <c:v>2018-05-16</c:v>
                </c:pt>
                <c:pt idx="1610">
                  <c:v>2018-05-17</c:v>
                </c:pt>
                <c:pt idx="1611">
                  <c:v>2018-05-18</c:v>
                </c:pt>
                <c:pt idx="1612">
                  <c:v>2018-05-21</c:v>
                </c:pt>
                <c:pt idx="1613">
                  <c:v>2018-05-22</c:v>
                </c:pt>
                <c:pt idx="1614">
                  <c:v>2018-05-23</c:v>
                </c:pt>
                <c:pt idx="1615">
                  <c:v>2018-05-24</c:v>
                </c:pt>
                <c:pt idx="1616">
                  <c:v>2018-05-25</c:v>
                </c:pt>
                <c:pt idx="1617">
                  <c:v>2018-05-29</c:v>
                </c:pt>
                <c:pt idx="1618">
                  <c:v>2018-05-30</c:v>
                </c:pt>
                <c:pt idx="1619">
                  <c:v>2018-05-31</c:v>
                </c:pt>
                <c:pt idx="1620">
                  <c:v>2018-06-01</c:v>
                </c:pt>
                <c:pt idx="1621">
                  <c:v>2018-06-04</c:v>
                </c:pt>
                <c:pt idx="1622">
                  <c:v>2018-06-05</c:v>
                </c:pt>
                <c:pt idx="1623">
                  <c:v>2018-06-06</c:v>
                </c:pt>
                <c:pt idx="1624">
                  <c:v>2018-06-07</c:v>
                </c:pt>
                <c:pt idx="1625">
                  <c:v>2018-06-08</c:v>
                </c:pt>
                <c:pt idx="1626">
                  <c:v>2018-06-11</c:v>
                </c:pt>
                <c:pt idx="1627">
                  <c:v>2018-06-12</c:v>
                </c:pt>
                <c:pt idx="1628">
                  <c:v>2018-06-13</c:v>
                </c:pt>
                <c:pt idx="1629">
                  <c:v>2018-06-14</c:v>
                </c:pt>
                <c:pt idx="1630">
                  <c:v>2018-06-15</c:v>
                </c:pt>
                <c:pt idx="1631">
                  <c:v>2018-06-18</c:v>
                </c:pt>
                <c:pt idx="1632">
                  <c:v>2018-06-19</c:v>
                </c:pt>
                <c:pt idx="1633">
                  <c:v>2018-06-20</c:v>
                </c:pt>
                <c:pt idx="1634">
                  <c:v>2018-06-21</c:v>
                </c:pt>
                <c:pt idx="1635">
                  <c:v>2018-06-22</c:v>
                </c:pt>
                <c:pt idx="1636">
                  <c:v>2018-06-25</c:v>
                </c:pt>
                <c:pt idx="1637">
                  <c:v>2018-06-26</c:v>
                </c:pt>
                <c:pt idx="1638">
                  <c:v>2018-06-27</c:v>
                </c:pt>
                <c:pt idx="1639">
                  <c:v>2018-06-28</c:v>
                </c:pt>
                <c:pt idx="1640">
                  <c:v>2018-06-29</c:v>
                </c:pt>
                <c:pt idx="1641">
                  <c:v>2018-07-02</c:v>
                </c:pt>
                <c:pt idx="1642">
                  <c:v>2018-07-03</c:v>
                </c:pt>
                <c:pt idx="1643">
                  <c:v>2018-07-04</c:v>
                </c:pt>
                <c:pt idx="1644">
                  <c:v>2018-07-05</c:v>
                </c:pt>
                <c:pt idx="1645">
                  <c:v>2018-07-06</c:v>
                </c:pt>
                <c:pt idx="1646">
                  <c:v>2018-07-09</c:v>
                </c:pt>
                <c:pt idx="1647">
                  <c:v>2018-07-10</c:v>
                </c:pt>
                <c:pt idx="1648">
                  <c:v>2018-07-11</c:v>
                </c:pt>
                <c:pt idx="1649">
                  <c:v>2018-07-12</c:v>
                </c:pt>
                <c:pt idx="1650">
                  <c:v>2018-07-13</c:v>
                </c:pt>
                <c:pt idx="1651">
                  <c:v>2018-07-16</c:v>
                </c:pt>
                <c:pt idx="1652">
                  <c:v>2018-07-17</c:v>
                </c:pt>
                <c:pt idx="1653">
                  <c:v>2018-07-18</c:v>
                </c:pt>
                <c:pt idx="1654">
                  <c:v>2018-07-19</c:v>
                </c:pt>
                <c:pt idx="1655">
                  <c:v>2018-07-20</c:v>
                </c:pt>
                <c:pt idx="1656">
                  <c:v>2018-07-23</c:v>
                </c:pt>
                <c:pt idx="1657">
                  <c:v>2018-07-24</c:v>
                </c:pt>
                <c:pt idx="1658">
                  <c:v>2018-07-25</c:v>
                </c:pt>
                <c:pt idx="1659">
                  <c:v>2018-07-26</c:v>
                </c:pt>
                <c:pt idx="1660">
                  <c:v>2018-07-27</c:v>
                </c:pt>
                <c:pt idx="1661">
                  <c:v>2018-07-30</c:v>
                </c:pt>
                <c:pt idx="1662">
                  <c:v>2018-07-31</c:v>
                </c:pt>
                <c:pt idx="1663">
                  <c:v>2018-08-01</c:v>
                </c:pt>
                <c:pt idx="1664">
                  <c:v>2018-08-02</c:v>
                </c:pt>
                <c:pt idx="1665">
                  <c:v>2018-08-03</c:v>
                </c:pt>
                <c:pt idx="1666">
                  <c:v>2018-08-06</c:v>
                </c:pt>
                <c:pt idx="1667">
                  <c:v>2018-08-07</c:v>
                </c:pt>
                <c:pt idx="1668">
                  <c:v>2018-08-08</c:v>
                </c:pt>
                <c:pt idx="1669">
                  <c:v>2018-08-09</c:v>
                </c:pt>
                <c:pt idx="1670">
                  <c:v>2018-08-10</c:v>
                </c:pt>
                <c:pt idx="1671">
                  <c:v>2018-08-13</c:v>
                </c:pt>
                <c:pt idx="1672">
                  <c:v>2018-08-14</c:v>
                </c:pt>
                <c:pt idx="1673">
                  <c:v>2018-08-15</c:v>
                </c:pt>
                <c:pt idx="1674">
                  <c:v>2018-08-16</c:v>
                </c:pt>
                <c:pt idx="1675">
                  <c:v>2018-08-17</c:v>
                </c:pt>
                <c:pt idx="1676">
                  <c:v>2018-08-20</c:v>
                </c:pt>
                <c:pt idx="1677">
                  <c:v>2018-08-21</c:v>
                </c:pt>
                <c:pt idx="1678">
                  <c:v>2018-08-22</c:v>
                </c:pt>
                <c:pt idx="1679">
                  <c:v>2018-08-23</c:v>
                </c:pt>
                <c:pt idx="1680">
                  <c:v>2018-08-24</c:v>
                </c:pt>
                <c:pt idx="1681">
                  <c:v>2018-08-28</c:v>
                </c:pt>
                <c:pt idx="1682">
                  <c:v>2018-08-29</c:v>
                </c:pt>
                <c:pt idx="1683">
                  <c:v>2018-08-30</c:v>
                </c:pt>
                <c:pt idx="1684">
                  <c:v>2018-08-31</c:v>
                </c:pt>
                <c:pt idx="1685">
                  <c:v>2018-09-03</c:v>
                </c:pt>
                <c:pt idx="1686">
                  <c:v>2018-09-04</c:v>
                </c:pt>
                <c:pt idx="1687">
                  <c:v>2018-09-05</c:v>
                </c:pt>
                <c:pt idx="1688">
                  <c:v>2018-09-06</c:v>
                </c:pt>
                <c:pt idx="1689">
                  <c:v>2018-09-07</c:v>
                </c:pt>
                <c:pt idx="1690">
                  <c:v>2018-09-10</c:v>
                </c:pt>
                <c:pt idx="1691">
                  <c:v>2018-09-11</c:v>
                </c:pt>
                <c:pt idx="1692">
                  <c:v>2018-09-12</c:v>
                </c:pt>
                <c:pt idx="1693">
                  <c:v>2018-09-13</c:v>
                </c:pt>
                <c:pt idx="1694">
                  <c:v>2018-09-14</c:v>
                </c:pt>
                <c:pt idx="1695">
                  <c:v>2018-09-17</c:v>
                </c:pt>
                <c:pt idx="1696">
                  <c:v>2018-09-18</c:v>
                </c:pt>
                <c:pt idx="1697">
                  <c:v>2018-09-19</c:v>
                </c:pt>
                <c:pt idx="1698">
                  <c:v>2018-09-20</c:v>
                </c:pt>
                <c:pt idx="1699">
                  <c:v>2018-09-21</c:v>
                </c:pt>
                <c:pt idx="1700">
                  <c:v>2018-09-24</c:v>
                </c:pt>
                <c:pt idx="1701">
                  <c:v>2018-09-25</c:v>
                </c:pt>
                <c:pt idx="1702">
                  <c:v>2018-09-26</c:v>
                </c:pt>
                <c:pt idx="1703">
                  <c:v>2018-09-27</c:v>
                </c:pt>
                <c:pt idx="1704">
                  <c:v>2018-09-28</c:v>
                </c:pt>
                <c:pt idx="1705">
                  <c:v>2018-10-01</c:v>
                </c:pt>
                <c:pt idx="1706">
                  <c:v>2018-10-02</c:v>
                </c:pt>
                <c:pt idx="1707">
                  <c:v>2018-10-03</c:v>
                </c:pt>
                <c:pt idx="1708">
                  <c:v>2018-10-04</c:v>
                </c:pt>
                <c:pt idx="1709">
                  <c:v>2018-10-05</c:v>
                </c:pt>
                <c:pt idx="1710">
                  <c:v>2018-10-08</c:v>
                </c:pt>
                <c:pt idx="1711">
                  <c:v>2018-10-09</c:v>
                </c:pt>
                <c:pt idx="1712">
                  <c:v>2018-10-10</c:v>
                </c:pt>
                <c:pt idx="1713">
                  <c:v>2018-10-11</c:v>
                </c:pt>
                <c:pt idx="1714">
                  <c:v>2018-10-12</c:v>
                </c:pt>
                <c:pt idx="1715">
                  <c:v>2018-10-15</c:v>
                </c:pt>
                <c:pt idx="1716">
                  <c:v>2018-10-16</c:v>
                </c:pt>
                <c:pt idx="1717">
                  <c:v>2018-10-17</c:v>
                </c:pt>
                <c:pt idx="1718">
                  <c:v>2018-10-18</c:v>
                </c:pt>
                <c:pt idx="1719">
                  <c:v>2018-10-19</c:v>
                </c:pt>
                <c:pt idx="1720">
                  <c:v>2018-10-22</c:v>
                </c:pt>
                <c:pt idx="1721">
                  <c:v>2018-10-23</c:v>
                </c:pt>
                <c:pt idx="1722">
                  <c:v>2018-10-24</c:v>
                </c:pt>
                <c:pt idx="1723">
                  <c:v>2018-10-25</c:v>
                </c:pt>
                <c:pt idx="1724">
                  <c:v>2018-10-26</c:v>
                </c:pt>
                <c:pt idx="1725">
                  <c:v>2018-10-29</c:v>
                </c:pt>
                <c:pt idx="1726">
                  <c:v>2018-10-30</c:v>
                </c:pt>
                <c:pt idx="1727">
                  <c:v>2018-10-31</c:v>
                </c:pt>
                <c:pt idx="1728">
                  <c:v>2018-11-01</c:v>
                </c:pt>
                <c:pt idx="1729">
                  <c:v>2018-11-02</c:v>
                </c:pt>
                <c:pt idx="1730">
                  <c:v>2018-11-05</c:v>
                </c:pt>
                <c:pt idx="1731">
                  <c:v>2018-11-06</c:v>
                </c:pt>
                <c:pt idx="1732">
                  <c:v>2018-11-07</c:v>
                </c:pt>
                <c:pt idx="1733">
                  <c:v>2018-11-08</c:v>
                </c:pt>
                <c:pt idx="1734">
                  <c:v>2018-11-09</c:v>
                </c:pt>
                <c:pt idx="1735">
                  <c:v>2018-11-12</c:v>
                </c:pt>
                <c:pt idx="1736">
                  <c:v>2018-11-13</c:v>
                </c:pt>
                <c:pt idx="1737">
                  <c:v>2018-11-14</c:v>
                </c:pt>
                <c:pt idx="1738">
                  <c:v>2018-11-15</c:v>
                </c:pt>
                <c:pt idx="1739">
                  <c:v>2018-11-16</c:v>
                </c:pt>
                <c:pt idx="1740">
                  <c:v>2018-11-19</c:v>
                </c:pt>
                <c:pt idx="1741">
                  <c:v>2018-11-20</c:v>
                </c:pt>
                <c:pt idx="1742">
                  <c:v>2018-11-21</c:v>
                </c:pt>
                <c:pt idx="1743">
                  <c:v>2018-11-22</c:v>
                </c:pt>
                <c:pt idx="1744">
                  <c:v>2018-11-23</c:v>
                </c:pt>
                <c:pt idx="1745">
                  <c:v>2018-11-26</c:v>
                </c:pt>
                <c:pt idx="1746">
                  <c:v>2018-11-27</c:v>
                </c:pt>
                <c:pt idx="1747">
                  <c:v>2018-11-28</c:v>
                </c:pt>
                <c:pt idx="1748">
                  <c:v>2018-11-29</c:v>
                </c:pt>
                <c:pt idx="1749">
                  <c:v>2018-11-30</c:v>
                </c:pt>
                <c:pt idx="1750">
                  <c:v>2018-12-03</c:v>
                </c:pt>
                <c:pt idx="1751">
                  <c:v>2018-12-04</c:v>
                </c:pt>
                <c:pt idx="1752">
                  <c:v>2018-12-05</c:v>
                </c:pt>
                <c:pt idx="1753">
                  <c:v>2018-12-06</c:v>
                </c:pt>
                <c:pt idx="1754">
                  <c:v>2018-12-07</c:v>
                </c:pt>
                <c:pt idx="1755">
                  <c:v>2018-12-10</c:v>
                </c:pt>
                <c:pt idx="1756">
                  <c:v>2018-12-11</c:v>
                </c:pt>
                <c:pt idx="1757">
                  <c:v>2018-12-12</c:v>
                </c:pt>
                <c:pt idx="1758">
                  <c:v>2018-12-13</c:v>
                </c:pt>
                <c:pt idx="1759">
                  <c:v>2018-12-14</c:v>
                </c:pt>
                <c:pt idx="1760">
                  <c:v>2018-12-17</c:v>
                </c:pt>
                <c:pt idx="1761">
                  <c:v>2018-12-18</c:v>
                </c:pt>
                <c:pt idx="1762">
                  <c:v>2018-12-19</c:v>
                </c:pt>
                <c:pt idx="1763">
                  <c:v>2018-12-20</c:v>
                </c:pt>
                <c:pt idx="1764">
                  <c:v>2018-12-21</c:v>
                </c:pt>
                <c:pt idx="1765">
                  <c:v>2018-12-24</c:v>
                </c:pt>
                <c:pt idx="1766">
                  <c:v>2018-12-27</c:v>
                </c:pt>
                <c:pt idx="1767">
                  <c:v>2018-12-28</c:v>
                </c:pt>
                <c:pt idx="1768">
                  <c:v>2018-12-31</c:v>
                </c:pt>
                <c:pt idx="1769">
                  <c:v>2019-01-02</c:v>
                </c:pt>
                <c:pt idx="1770">
                  <c:v>2019-01-03</c:v>
                </c:pt>
                <c:pt idx="1771">
                  <c:v>2019-01-04</c:v>
                </c:pt>
                <c:pt idx="1772">
                  <c:v>2019-01-07</c:v>
                </c:pt>
                <c:pt idx="1773">
                  <c:v>2019-01-08</c:v>
                </c:pt>
                <c:pt idx="1774">
                  <c:v>2019-01-09</c:v>
                </c:pt>
                <c:pt idx="1775">
                  <c:v>2019-01-10</c:v>
                </c:pt>
                <c:pt idx="1776">
                  <c:v>2019-01-11</c:v>
                </c:pt>
                <c:pt idx="1777">
                  <c:v>2019-01-14</c:v>
                </c:pt>
                <c:pt idx="1778">
                  <c:v>2019-01-15</c:v>
                </c:pt>
                <c:pt idx="1779">
                  <c:v>2019-01-16</c:v>
                </c:pt>
                <c:pt idx="1780">
                  <c:v>2019-01-17</c:v>
                </c:pt>
                <c:pt idx="1781">
                  <c:v>2019-01-18</c:v>
                </c:pt>
                <c:pt idx="1782">
                  <c:v>2019-01-21</c:v>
                </c:pt>
                <c:pt idx="1783">
                  <c:v>2019-01-22</c:v>
                </c:pt>
                <c:pt idx="1784">
                  <c:v>2019-01-23</c:v>
                </c:pt>
                <c:pt idx="1785">
                  <c:v>2019-01-24</c:v>
                </c:pt>
                <c:pt idx="1786">
                  <c:v>2019-01-25</c:v>
                </c:pt>
                <c:pt idx="1787">
                  <c:v>2019-01-28</c:v>
                </c:pt>
                <c:pt idx="1788">
                  <c:v>2019-01-29</c:v>
                </c:pt>
                <c:pt idx="1789">
                  <c:v>2019-01-30</c:v>
                </c:pt>
                <c:pt idx="1790">
                  <c:v>2019-01-31</c:v>
                </c:pt>
                <c:pt idx="1791">
                  <c:v>2019-02-01</c:v>
                </c:pt>
                <c:pt idx="1792">
                  <c:v>2019-02-04</c:v>
                </c:pt>
                <c:pt idx="1793">
                  <c:v>2019-02-05</c:v>
                </c:pt>
                <c:pt idx="1794">
                  <c:v>2019-02-06</c:v>
                </c:pt>
                <c:pt idx="1795">
                  <c:v>2019-02-07</c:v>
                </c:pt>
                <c:pt idx="1796">
                  <c:v>2019-02-08</c:v>
                </c:pt>
                <c:pt idx="1797">
                  <c:v>2019-02-11</c:v>
                </c:pt>
                <c:pt idx="1798">
                  <c:v>2019-02-12</c:v>
                </c:pt>
                <c:pt idx="1799">
                  <c:v>2019-02-13</c:v>
                </c:pt>
                <c:pt idx="1800">
                  <c:v>2019-02-14</c:v>
                </c:pt>
                <c:pt idx="1801">
                  <c:v>2019-02-15</c:v>
                </c:pt>
                <c:pt idx="1802">
                  <c:v>2019-02-18</c:v>
                </c:pt>
                <c:pt idx="1803">
                  <c:v>2019-02-19</c:v>
                </c:pt>
                <c:pt idx="1804">
                  <c:v>2019-02-20</c:v>
                </c:pt>
                <c:pt idx="1805">
                  <c:v>2019-02-21</c:v>
                </c:pt>
                <c:pt idx="1806">
                  <c:v>2019-02-22</c:v>
                </c:pt>
                <c:pt idx="1807">
                  <c:v>2019-02-25</c:v>
                </c:pt>
                <c:pt idx="1808">
                  <c:v>2019-02-26</c:v>
                </c:pt>
                <c:pt idx="1809">
                  <c:v>2019-02-27</c:v>
                </c:pt>
                <c:pt idx="1810">
                  <c:v>2019-02-28</c:v>
                </c:pt>
                <c:pt idx="1811">
                  <c:v>2019-03-01</c:v>
                </c:pt>
                <c:pt idx="1812">
                  <c:v>2019-03-04</c:v>
                </c:pt>
                <c:pt idx="1813">
                  <c:v>2019-03-05</c:v>
                </c:pt>
                <c:pt idx="1814">
                  <c:v>2019-03-06</c:v>
                </c:pt>
                <c:pt idx="1815">
                  <c:v>2019-03-07</c:v>
                </c:pt>
                <c:pt idx="1816">
                  <c:v>2019-03-08</c:v>
                </c:pt>
                <c:pt idx="1817">
                  <c:v>2019-03-11</c:v>
                </c:pt>
                <c:pt idx="1818">
                  <c:v>2019-03-12</c:v>
                </c:pt>
                <c:pt idx="1819">
                  <c:v>2019-03-13</c:v>
                </c:pt>
                <c:pt idx="1820">
                  <c:v>2019-03-14</c:v>
                </c:pt>
                <c:pt idx="1821">
                  <c:v>2019-03-15</c:v>
                </c:pt>
                <c:pt idx="1822">
                  <c:v>2019-03-18</c:v>
                </c:pt>
                <c:pt idx="1823">
                  <c:v>2019-03-19</c:v>
                </c:pt>
                <c:pt idx="1824">
                  <c:v>2019-03-20</c:v>
                </c:pt>
                <c:pt idx="1825">
                  <c:v>2019-03-21</c:v>
                </c:pt>
                <c:pt idx="1826">
                  <c:v>2019-03-22</c:v>
                </c:pt>
                <c:pt idx="1827">
                  <c:v>2019-03-25</c:v>
                </c:pt>
                <c:pt idx="1828">
                  <c:v>2019-03-26</c:v>
                </c:pt>
                <c:pt idx="1829">
                  <c:v>2019-03-27</c:v>
                </c:pt>
                <c:pt idx="1830">
                  <c:v>2019-03-28</c:v>
                </c:pt>
                <c:pt idx="1831">
                  <c:v>2019-03-29</c:v>
                </c:pt>
                <c:pt idx="1832">
                  <c:v>2019-04-01</c:v>
                </c:pt>
                <c:pt idx="1833">
                  <c:v>2019-04-02</c:v>
                </c:pt>
                <c:pt idx="1834">
                  <c:v>2019-04-03</c:v>
                </c:pt>
                <c:pt idx="1835">
                  <c:v>2019-04-04</c:v>
                </c:pt>
                <c:pt idx="1836">
                  <c:v>2019-04-05</c:v>
                </c:pt>
                <c:pt idx="1837">
                  <c:v>2019-04-08</c:v>
                </c:pt>
                <c:pt idx="1838">
                  <c:v>2019-04-09</c:v>
                </c:pt>
                <c:pt idx="1839">
                  <c:v>2019-04-10</c:v>
                </c:pt>
                <c:pt idx="1840">
                  <c:v>2019-04-11</c:v>
                </c:pt>
                <c:pt idx="1841">
                  <c:v>2019-04-12</c:v>
                </c:pt>
                <c:pt idx="1842">
                  <c:v>2019-04-15</c:v>
                </c:pt>
                <c:pt idx="1843">
                  <c:v>2019-04-16</c:v>
                </c:pt>
                <c:pt idx="1844">
                  <c:v>2019-04-17</c:v>
                </c:pt>
                <c:pt idx="1845">
                  <c:v>2019-04-18</c:v>
                </c:pt>
                <c:pt idx="1846">
                  <c:v>2019-04-23</c:v>
                </c:pt>
                <c:pt idx="1847">
                  <c:v>2019-04-24</c:v>
                </c:pt>
                <c:pt idx="1848">
                  <c:v>2019-04-25</c:v>
                </c:pt>
                <c:pt idx="1849">
                  <c:v>2019-04-26</c:v>
                </c:pt>
                <c:pt idx="1850">
                  <c:v>2019-04-29</c:v>
                </c:pt>
                <c:pt idx="1851">
                  <c:v>2019-04-30</c:v>
                </c:pt>
                <c:pt idx="1852">
                  <c:v>2019-05-01</c:v>
                </c:pt>
                <c:pt idx="1853">
                  <c:v>2019-05-02</c:v>
                </c:pt>
                <c:pt idx="1854">
                  <c:v>2019-05-03</c:v>
                </c:pt>
                <c:pt idx="1855">
                  <c:v>2019-05-07</c:v>
                </c:pt>
                <c:pt idx="1856">
                  <c:v>2019-05-08</c:v>
                </c:pt>
                <c:pt idx="1857">
                  <c:v>2019-05-09</c:v>
                </c:pt>
                <c:pt idx="1858">
                  <c:v>2019-05-10</c:v>
                </c:pt>
                <c:pt idx="1859">
                  <c:v>2019-05-13</c:v>
                </c:pt>
                <c:pt idx="1860">
                  <c:v>2019-05-14</c:v>
                </c:pt>
                <c:pt idx="1861">
                  <c:v>2019-05-15</c:v>
                </c:pt>
                <c:pt idx="1862">
                  <c:v>2019-05-16</c:v>
                </c:pt>
                <c:pt idx="1863">
                  <c:v>2019-05-17</c:v>
                </c:pt>
                <c:pt idx="1864">
                  <c:v>2019-05-20</c:v>
                </c:pt>
                <c:pt idx="1865">
                  <c:v>2019-05-21</c:v>
                </c:pt>
                <c:pt idx="1866">
                  <c:v>2019-05-22</c:v>
                </c:pt>
                <c:pt idx="1867">
                  <c:v>2019-05-23</c:v>
                </c:pt>
                <c:pt idx="1868">
                  <c:v>2019-05-24</c:v>
                </c:pt>
                <c:pt idx="1869">
                  <c:v>2019-05-28</c:v>
                </c:pt>
                <c:pt idx="1870">
                  <c:v>2019-05-29</c:v>
                </c:pt>
                <c:pt idx="1871">
                  <c:v>2019-05-30</c:v>
                </c:pt>
                <c:pt idx="1872">
                  <c:v>2019-05-31</c:v>
                </c:pt>
                <c:pt idx="1873">
                  <c:v>2019-06-03</c:v>
                </c:pt>
                <c:pt idx="1874">
                  <c:v>2019-06-04</c:v>
                </c:pt>
                <c:pt idx="1875">
                  <c:v>2019-06-05</c:v>
                </c:pt>
                <c:pt idx="1876">
                  <c:v>2019-06-06</c:v>
                </c:pt>
                <c:pt idx="1877">
                  <c:v>2019-06-07</c:v>
                </c:pt>
                <c:pt idx="1878">
                  <c:v>2019-06-10</c:v>
                </c:pt>
                <c:pt idx="1879">
                  <c:v>2019-06-11</c:v>
                </c:pt>
                <c:pt idx="1880">
                  <c:v>2019-06-12</c:v>
                </c:pt>
                <c:pt idx="1881">
                  <c:v>2019-06-13</c:v>
                </c:pt>
                <c:pt idx="1882">
                  <c:v>2019-06-14</c:v>
                </c:pt>
                <c:pt idx="1883">
                  <c:v>2019-06-17</c:v>
                </c:pt>
                <c:pt idx="1884">
                  <c:v>2019-06-18</c:v>
                </c:pt>
                <c:pt idx="1885">
                  <c:v>2019-06-19</c:v>
                </c:pt>
                <c:pt idx="1886">
                  <c:v>2019-06-20</c:v>
                </c:pt>
                <c:pt idx="1887">
                  <c:v>2019-06-21</c:v>
                </c:pt>
                <c:pt idx="1888">
                  <c:v>2019-06-24</c:v>
                </c:pt>
                <c:pt idx="1889">
                  <c:v>2019-06-25</c:v>
                </c:pt>
                <c:pt idx="1890">
                  <c:v>2019-06-26</c:v>
                </c:pt>
                <c:pt idx="1891">
                  <c:v>2019-06-27</c:v>
                </c:pt>
                <c:pt idx="1892">
                  <c:v>2019-06-28</c:v>
                </c:pt>
                <c:pt idx="1893">
                  <c:v>2019-07-01</c:v>
                </c:pt>
                <c:pt idx="1894">
                  <c:v>2019-07-02</c:v>
                </c:pt>
                <c:pt idx="1895">
                  <c:v>2019-07-03</c:v>
                </c:pt>
                <c:pt idx="1896">
                  <c:v>2019-07-04</c:v>
                </c:pt>
                <c:pt idx="1897">
                  <c:v>2019-07-05</c:v>
                </c:pt>
                <c:pt idx="1898">
                  <c:v>2019-07-08</c:v>
                </c:pt>
                <c:pt idx="1899">
                  <c:v>2019-07-09</c:v>
                </c:pt>
                <c:pt idx="1900">
                  <c:v>2019-07-10</c:v>
                </c:pt>
                <c:pt idx="1901">
                  <c:v>2019-07-11</c:v>
                </c:pt>
                <c:pt idx="1902">
                  <c:v>2019-07-12</c:v>
                </c:pt>
                <c:pt idx="1903">
                  <c:v>2019-07-15</c:v>
                </c:pt>
                <c:pt idx="1904">
                  <c:v>2019-07-16</c:v>
                </c:pt>
                <c:pt idx="1905">
                  <c:v>2019-07-17</c:v>
                </c:pt>
                <c:pt idx="1906">
                  <c:v>2019-07-18</c:v>
                </c:pt>
                <c:pt idx="1907">
                  <c:v>2019-07-19</c:v>
                </c:pt>
                <c:pt idx="1908">
                  <c:v>2019-07-22</c:v>
                </c:pt>
                <c:pt idx="1909">
                  <c:v>2019-07-23</c:v>
                </c:pt>
                <c:pt idx="1910">
                  <c:v>2019-07-24</c:v>
                </c:pt>
                <c:pt idx="1911">
                  <c:v>2019-07-25</c:v>
                </c:pt>
                <c:pt idx="1912">
                  <c:v>2019-07-26</c:v>
                </c:pt>
                <c:pt idx="1913">
                  <c:v>2019-07-29</c:v>
                </c:pt>
                <c:pt idx="1914">
                  <c:v>2019-07-30</c:v>
                </c:pt>
                <c:pt idx="1915">
                  <c:v>2019-07-31</c:v>
                </c:pt>
                <c:pt idx="1916">
                  <c:v>2019-08-01</c:v>
                </c:pt>
                <c:pt idx="1917">
                  <c:v>2019-08-02</c:v>
                </c:pt>
                <c:pt idx="1918">
                  <c:v>2019-08-05</c:v>
                </c:pt>
                <c:pt idx="1919">
                  <c:v>2019-08-06</c:v>
                </c:pt>
                <c:pt idx="1920">
                  <c:v>2019-08-07</c:v>
                </c:pt>
                <c:pt idx="1921">
                  <c:v>2019-08-08</c:v>
                </c:pt>
                <c:pt idx="1922">
                  <c:v>2019-08-09</c:v>
                </c:pt>
                <c:pt idx="1923">
                  <c:v>2019-08-12</c:v>
                </c:pt>
                <c:pt idx="1924">
                  <c:v>2019-08-13</c:v>
                </c:pt>
                <c:pt idx="1925">
                  <c:v>2019-08-14</c:v>
                </c:pt>
                <c:pt idx="1926">
                  <c:v>2019-08-15</c:v>
                </c:pt>
                <c:pt idx="1927">
                  <c:v>2019-08-16</c:v>
                </c:pt>
                <c:pt idx="1928">
                  <c:v>2019-08-19</c:v>
                </c:pt>
                <c:pt idx="1929">
                  <c:v>2019-08-20</c:v>
                </c:pt>
                <c:pt idx="1930">
                  <c:v>2019-08-21</c:v>
                </c:pt>
                <c:pt idx="1931">
                  <c:v>2019-08-22</c:v>
                </c:pt>
                <c:pt idx="1932">
                  <c:v>2019-08-23</c:v>
                </c:pt>
                <c:pt idx="1933">
                  <c:v>2019-08-27</c:v>
                </c:pt>
                <c:pt idx="1934">
                  <c:v>2019-08-28</c:v>
                </c:pt>
                <c:pt idx="1935">
                  <c:v>2019-08-29</c:v>
                </c:pt>
                <c:pt idx="1936">
                  <c:v>2019-08-30</c:v>
                </c:pt>
                <c:pt idx="1937">
                  <c:v>2019-09-02</c:v>
                </c:pt>
                <c:pt idx="1938">
                  <c:v>2019-09-03</c:v>
                </c:pt>
                <c:pt idx="1939">
                  <c:v>2019-09-04</c:v>
                </c:pt>
                <c:pt idx="1940">
                  <c:v>2019-09-05</c:v>
                </c:pt>
                <c:pt idx="1941">
                  <c:v>2019-09-06</c:v>
                </c:pt>
                <c:pt idx="1942">
                  <c:v>2019-09-09</c:v>
                </c:pt>
                <c:pt idx="1943">
                  <c:v>2019-09-10</c:v>
                </c:pt>
                <c:pt idx="1944">
                  <c:v>2019-09-11</c:v>
                </c:pt>
                <c:pt idx="1945">
                  <c:v>2019-09-12</c:v>
                </c:pt>
                <c:pt idx="1946">
                  <c:v>2019-09-13</c:v>
                </c:pt>
                <c:pt idx="1947">
                  <c:v>2019-09-16</c:v>
                </c:pt>
                <c:pt idx="1948">
                  <c:v>2019-09-17</c:v>
                </c:pt>
                <c:pt idx="1949">
                  <c:v>2019-09-18</c:v>
                </c:pt>
                <c:pt idx="1950">
                  <c:v>2019-09-19</c:v>
                </c:pt>
                <c:pt idx="1951">
                  <c:v>2019-09-20</c:v>
                </c:pt>
                <c:pt idx="1952">
                  <c:v>2019-09-23</c:v>
                </c:pt>
                <c:pt idx="1953">
                  <c:v>2019-09-24</c:v>
                </c:pt>
                <c:pt idx="1954">
                  <c:v>2019-09-25</c:v>
                </c:pt>
                <c:pt idx="1955">
                  <c:v>2019-09-26</c:v>
                </c:pt>
                <c:pt idx="1956">
                  <c:v>2019-09-27</c:v>
                </c:pt>
                <c:pt idx="1957">
                  <c:v>2019-09-30</c:v>
                </c:pt>
                <c:pt idx="1958">
                  <c:v>2019-10-01</c:v>
                </c:pt>
                <c:pt idx="1959">
                  <c:v>2019-10-02</c:v>
                </c:pt>
                <c:pt idx="1960">
                  <c:v>2019-10-03</c:v>
                </c:pt>
                <c:pt idx="1961">
                  <c:v>2019-10-04</c:v>
                </c:pt>
                <c:pt idx="1962">
                  <c:v>2019-10-07</c:v>
                </c:pt>
                <c:pt idx="1963">
                  <c:v>2019-10-08</c:v>
                </c:pt>
                <c:pt idx="1964">
                  <c:v>2019-10-09</c:v>
                </c:pt>
                <c:pt idx="1965">
                  <c:v>2019-10-10</c:v>
                </c:pt>
                <c:pt idx="1966">
                  <c:v>2019-10-11</c:v>
                </c:pt>
                <c:pt idx="1967">
                  <c:v>2019-10-14</c:v>
                </c:pt>
                <c:pt idx="1968">
                  <c:v>2019-10-15</c:v>
                </c:pt>
                <c:pt idx="1969">
                  <c:v>2019-10-16</c:v>
                </c:pt>
                <c:pt idx="1970">
                  <c:v>2019-10-17</c:v>
                </c:pt>
                <c:pt idx="1971">
                  <c:v>2019-10-18</c:v>
                </c:pt>
                <c:pt idx="1972">
                  <c:v>2019-10-21</c:v>
                </c:pt>
                <c:pt idx="1973">
                  <c:v>2019-10-22</c:v>
                </c:pt>
                <c:pt idx="1974">
                  <c:v>2019-10-23</c:v>
                </c:pt>
                <c:pt idx="1975">
                  <c:v>2019-10-24</c:v>
                </c:pt>
                <c:pt idx="1976">
                  <c:v>2019-10-25</c:v>
                </c:pt>
                <c:pt idx="1977">
                  <c:v>2019-10-28</c:v>
                </c:pt>
                <c:pt idx="1978">
                  <c:v>2019-10-29</c:v>
                </c:pt>
                <c:pt idx="1979">
                  <c:v>2019-10-30</c:v>
                </c:pt>
                <c:pt idx="1980">
                  <c:v>2019-10-31</c:v>
                </c:pt>
                <c:pt idx="1981">
                  <c:v>2019-11-01</c:v>
                </c:pt>
                <c:pt idx="1982">
                  <c:v>2019-11-04</c:v>
                </c:pt>
                <c:pt idx="1983">
                  <c:v>2019-11-05</c:v>
                </c:pt>
                <c:pt idx="1984">
                  <c:v>2019-11-06</c:v>
                </c:pt>
                <c:pt idx="1985">
                  <c:v>2019-11-07</c:v>
                </c:pt>
                <c:pt idx="1986">
                  <c:v>2019-11-08</c:v>
                </c:pt>
                <c:pt idx="1987">
                  <c:v>2019-11-11</c:v>
                </c:pt>
                <c:pt idx="1988">
                  <c:v>2019-11-12</c:v>
                </c:pt>
                <c:pt idx="1989">
                  <c:v>2019-11-13</c:v>
                </c:pt>
                <c:pt idx="1990">
                  <c:v>2019-11-14</c:v>
                </c:pt>
                <c:pt idx="1991">
                  <c:v>2019-11-15</c:v>
                </c:pt>
                <c:pt idx="1992">
                  <c:v>2019-11-18</c:v>
                </c:pt>
                <c:pt idx="1993">
                  <c:v>2019-11-19</c:v>
                </c:pt>
                <c:pt idx="1994">
                  <c:v>2019-11-20</c:v>
                </c:pt>
                <c:pt idx="1995">
                  <c:v>2019-11-21</c:v>
                </c:pt>
                <c:pt idx="1996">
                  <c:v>2019-11-22</c:v>
                </c:pt>
                <c:pt idx="1997">
                  <c:v>2019-11-25</c:v>
                </c:pt>
                <c:pt idx="1998">
                  <c:v>2019-11-26</c:v>
                </c:pt>
                <c:pt idx="1999">
                  <c:v>2019-11-27</c:v>
                </c:pt>
                <c:pt idx="2000">
                  <c:v>2019-11-28</c:v>
                </c:pt>
                <c:pt idx="2001">
                  <c:v>2019-11-29</c:v>
                </c:pt>
                <c:pt idx="2002">
                  <c:v>2019-12-02</c:v>
                </c:pt>
                <c:pt idx="2003">
                  <c:v>2019-12-03</c:v>
                </c:pt>
                <c:pt idx="2004">
                  <c:v>2019-12-04</c:v>
                </c:pt>
                <c:pt idx="2005">
                  <c:v>2019-12-05</c:v>
                </c:pt>
                <c:pt idx="2006">
                  <c:v>2019-12-06</c:v>
                </c:pt>
                <c:pt idx="2007">
                  <c:v>2019-12-09</c:v>
                </c:pt>
                <c:pt idx="2008">
                  <c:v>2019-12-10</c:v>
                </c:pt>
                <c:pt idx="2009">
                  <c:v>2019-12-11</c:v>
                </c:pt>
                <c:pt idx="2010">
                  <c:v>2019-12-12</c:v>
                </c:pt>
                <c:pt idx="2011">
                  <c:v>2019-12-13</c:v>
                </c:pt>
                <c:pt idx="2012">
                  <c:v>2019-12-16</c:v>
                </c:pt>
                <c:pt idx="2013">
                  <c:v>2019-12-17</c:v>
                </c:pt>
                <c:pt idx="2014">
                  <c:v>2019-12-18</c:v>
                </c:pt>
                <c:pt idx="2015">
                  <c:v>2019-12-19</c:v>
                </c:pt>
                <c:pt idx="2016">
                  <c:v>2019-12-20</c:v>
                </c:pt>
                <c:pt idx="2017">
                  <c:v>2019-12-23</c:v>
                </c:pt>
                <c:pt idx="2018">
                  <c:v>2019-12-24</c:v>
                </c:pt>
                <c:pt idx="2019">
                  <c:v>2019-12-27</c:v>
                </c:pt>
                <c:pt idx="2020">
                  <c:v>2019-12-30</c:v>
                </c:pt>
                <c:pt idx="2021">
                  <c:v>2019-12-31</c:v>
                </c:pt>
                <c:pt idx="2022">
                  <c:v>2020-01-02</c:v>
                </c:pt>
                <c:pt idx="2023">
                  <c:v>2020-01-03</c:v>
                </c:pt>
                <c:pt idx="2024">
                  <c:v>2020-01-06</c:v>
                </c:pt>
                <c:pt idx="2025">
                  <c:v>2020-01-07</c:v>
                </c:pt>
                <c:pt idx="2026">
                  <c:v>2020-01-08</c:v>
                </c:pt>
                <c:pt idx="2027">
                  <c:v>2020-01-09</c:v>
                </c:pt>
                <c:pt idx="2028">
                  <c:v>2020-01-10</c:v>
                </c:pt>
                <c:pt idx="2029">
                  <c:v>2020-01-13</c:v>
                </c:pt>
                <c:pt idx="2030">
                  <c:v>2020-01-14</c:v>
                </c:pt>
                <c:pt idx="2031">
                  <c:v>2020-01-15</c:v>
                </c:pt>
                <c:pt idx="2032">
                  <c:v>2020-01-16</c:v>
                </c:pt>
                <c:pt idx="2033">
                  <c:v>2020-01-17</c:v>
                </c:pt>
                <c:pt idx="2034">
                  <c:v>2020-01-20</c:v>
                </c:pt>
                <c:pt idx="2035">
                  <c:v>2020-01-21</c:v>
                </c:pt>
                <c:pt idx="2036">
                  <c:v>2020-01-22</c:v>
                </c:pt>
                <c:pt idx="2037">
                  <c:v>2020-01-23</c:v>
                </c:pt>
                <c:pt idx="2038">
                  <c:v>2020-01-24</c:v>
                </c:pt>
                <c:pt idx="2039">
                  <c:v>2020-01-27</c:v>
                </c:pt>
                <c:pt idx="2040">
                  <c:v>2020-01-28</c:v>
                </c:pt>
                <c:pt idx="2041">
                  <c:v>2020-01-29</c:v>
                </c:pt>
                <c:pt idx="2042">
                  <c:v>2020-01-30</c:v>
                </c:pt>
                <c:pt idx="2043">
                  <c:v>2020-01-31</c:v>
                </c:pt>
                <c:pt idx="2044">
                  <c:v>2020-02-03</c:v>
                </c:pt>
                <c:pt idx="2045">
                  <c:v>2020-02-04</c:v>
                </c:pt>
                <c:pt idx="2046">
                  <c:v>2020-02-05</c:v>
                </c:pt>
                <c:pt idx="2047">
                  <c:v>2020-02-06</c:v>
                </c:pt>
                <c:pt idx="2048">
                  <c:v>2020-02-07</c:v>
                </c:pt>
                <c:pt idx="2049">
                  <c:v>2020-02-10</c:v>
                </c:pt>
                <c:pt idx="2050">
                  <c:v>2020-02-11</c:v>
                </c:pt>
                <c:pt idx="2051">
                  <c:v>2020-02-12</c:v>
                </c:pt>
                <c:pt idx="2052">
                  <c:v>2020-02-13</c:v>
                </c:pt>
                <c:pt idx="2053">
                  <c:v>2020-02-14</c:v>
                </c:pt>
                <c:pt idx="2054">
                  <c:v>2020-02-17</c:v>
                </c:pt>
                <c:pt idx="2055">
                  <c:v>2020-02-18</c:v>
                </c:pt>
                <c:pt idx="2056">
                  <c:v>2020-02-19</c:v>
                </c:pt>
                <c:pt idx="2057">
                  <c:v>2020-02-20</c:v>
                </c:pt>
                <c:pt idx="2058">
                  <c:v>2020-02-21</c:v>
                </c:pt>
                <c:pt idx="2059">
                  <c:v>2020-02-24</c:v>
                </c:pt>
                <c:pt idx="2060">
                  <c:v>2020-02-25</c:v>
                </c:pt>
                <c:pt idx="2061">
                  <c:v>2020-02-26</c:v>
                </c:pt>
                <c:pt idx="2062">
                  <c:v>2020-02-27</c:v>
                </c:pt>
                <c:pt idx="2063">
                  <c:v>2020-02-28</c:v>
                </c:pt>
                <c:pt idx="2064">
                  <c:v>2020-03-02</c:v>
                </c:pt>
                <c:pt idx="2065">
                  <c:v>2020-03-03</c:v>
                </c:pt>
                <c:pt idx="2066">
                  <c:v>2020-03-04</c:v>
                </c:pt>
                <c:pt idx="2067">
                  <c:v>2020-03-05</c:v>
                </c:pt>
                <c:pt idx="2068">
                  <c:v>2020-03-06</c:v>
                </c:pt>
                <c:pt idx="2069">
                  <c:v>2020-03-09</c:v>
                </c:pt>
                <c:pt idx="2070">
                  <c:v>2020-03-10</c:v>
                </c:pt>
                <c:pt idx="2071">
                  <c:v>2020-03-11</c:v>
                </c:pt>
                <c:pt idx="2072">
                  <c:v>2020-03-12</c:v>
                </c:pt>
                <c:pt idx="2073">
                  <c:v>2020-03-13</c:v>
                </c:pt>
                <c:pt idx="2074">
                  <c:v>2020-03-16</c:v>
                </c:pt>
                <c:pt idx="2075">
                  <c:v>2020-03-17</c:v>
                </c:pt>
                <c:pt idx="2076">
                  <c:v>2020-03-18</c:v>
                </c:pt>
                <c:pt idx="2077">
                  <c:v>2020-03-19</c:v>
                </c:pt>
                <c:pt idx="2078">
                  <c:v>2020-03-20</c:v>
                </c:pt>
                <c:pt idx="2079">
                  <c:v>2020-03-23</c:v>
                </c:pt>
                <c:pt idx="2080">
                  <c:v>2020-03-24</c:v>
                </c:pt>
                <c:pt idx="2081">
                  <c:v>2020-03-25</c:v>
                </c:pt>
                <c:pt idx="2082">
                  <c:v>2020-03-26</c:v>
                </c:pt>
                <c:pt idx="2083">
                  <c:v>2020-03-27</c:v>
                </c:pt>
                <c:pt idx="2084">
                  <c:v>2020-03-30</c:v>
                </c:pt>
                <c:pt idx="2085">
                  <c:v>2020-03-31</c:v>
                </c:pt>
                <c:pt idx="2086">
                  <c:v>2020-04-01</c:v>
                </c:pt>
                <c:pt idx="2087">
                  <c:v>2020-04-02</c:v>
                </c:pt>
                <c:pt idx="2088">
                  <c:v>2020-04-03</c:v>
                </c:pt>
                <c:pt idx="2089">
                  <c:v>2020-04-06</c:v>
                </c:pt>
                <c:pt idx="2090">
                  <c:v>2020-04-07</c:v>
                </c:pt>
                <c:pt idx="2091">
                  <c:v>2020-04-08</c:v>
                </c:pt>
                <c:pt idx="2092">
                  <c:v>2020-04-09</c:v>
                </c:pt>
                <c:pt idx="2093">
                  <c:v>2020-04-14</c:v>
                </c:pt>
                <c:pt idx="2094">
                  <c:v>2020-04-15</c:v>
                </c:pt>
                <c:pt idx="2095">
                  <c:v>2020-04-16</c:v>
                </c:pt>
                <c:pt idx="2096">
                  <c:v>2020-04-17</c:v>
                </c:pt>
                <c:pt idx="2097">
                  <c:v>2020-04-20</c:v>
                </c:pt>
                <c:pt idx="2098">
                  <c:v>2020-04-21</c:v>
                </c:pt>
                <c:pt idx="2099">
                  <c:v>2020-04-22</c:v>
                </c:pt>
                <c:pt idx="2100">
                  <c:v>2020-04-23</c:v>
                </c:pt>
                <c:pt idx="2101">
                  <c:v>2020-04-24</c:v>
                </c:pt>
                <c:pt idx="2102">
                  <c:v>2020-04-27</c:v>
                </c:pt>
                <c:pt idx="2103">
                  <c:v>2020-04-28</c:v>
                </c:pt>
                <c:pt idx="2104">
                  <c:v>2020-04-29</c:v>
                </c:pt>
                <c:pt idx="2105">
                  <c:v>2020-04-30</c:v>
                </c:pt>
                <c:pt idx="2106">
                  <c:v>2020-05-01</c:v>
                </c:pt>
                <c:pt idx="2107">
                  <c:v>2020-05-04</c:v>
                </c:pt>
                <c:pt idx="2108">
                  <c:v>2020-05-05</c:v>
                </c:pt>
                <c:pt idx="2109">
                  <c:v>2020-05-06</c:v>
                </c:pt>
                <c:pt idx="2110">
                  <c:v>2020-05-07</c:v>
                </c:pt>
                <c:pt idx="2111">
                  <c:v>2020-05-11</c:v>
                </c:pt>
                <c:pt idx="2112">
                  <c:v>2020-05-12</c:v>
                </c:pt>
                <c:pt idx="2113">
                  <c:v>2020-05-13</c:v>
                </c:pt>
                <c:pt idx="2114">
                  <c:v>2020-05-14</c:v>
                </c:pt>
                <c:pt idx="2115">
                  <c:v>2020-05-15</c:v>
                </c:pt>
                <c:pt idx="2116">
                  <c:v>2020-05-18</c:v>
                </c:pt>
                <c:pt idx="2117">
                  <c:v>2020-05-19</c:v>
                </c:pt>
                <c:pt idx="2118">
                  <c:v>2020-05-20</c:v>
                </c:pt>
                <c:pt idx="2119">
                  <c:v>2020-05-21</c:v>
                </c:pt>
                <c:pt idx="2120">
                  <c:v>2020-05-22</c:v>
                </c:pt>
                <c:pt idx="2121">
                  <c:v>2020-05-26</c:v>
                </c:pt>
                <c:pt idx="2122">
                  <c:v>2020-05-27</c:v>
                </c:pt>
                <c:pt idx="2123">
                  <c:v>2020-05-28</c:v>
                </c:pt>
                <c:pt idx="2124">
                  <c:v>2020-05-29</c:v>
                </c:pt>
                <c:pt idx="2125">
                  <c:v>2020-06-01</c:v>
                </c:pt>
                <c:pt idx="2126">
                  <c:v>2020-06-02</c:v>
                </c:pt>
                <c:pt idx="2127">
                  <c:v>2020-06-03</c:v>
                </c:pt>
                <c:pt idx="2128">
                  <c:v>2020-06-04</c:v>
                </c:pt>
                <c:pt idx="2129">
                  <c:v>2020-06-05</c:v>
                </c:pt>
                <c:pt idx="2130">
                  <c:v>2020-06-08</c:v>
                </c:pt>
                <c:pt idx="2131">
                  <c:v>2020-06-09</c:v>
                </c:pt>
                <c:pt idx="2132">
                  <c:v>2020-06-10</c:v>
                </c:pt>
                <c:pt idx="2133">
                  <c:v>2020-06-11</c:v>
                </c:pt>
                <c:pt idx="2134">
                  <c:v>2020-06-12</c:v>
                </c:pt>
                <c:pt idx="2135">
                  <c:v>2020-06-15</c:v>
                </c:pt>
                <c:pt idx="2136">
                  <c:v>2020-06-16</c:v>
                </c:pt>
                <c:pt idx="2137">
                  <c:v>2020-06-17</c:v>
                </c:pt>
                <c:pt idx="2138">
                  <c:v>2020-06-18</c:v>
                </c:pt>
                <c:pt idx="2139">
                  <c:v>2020-06-19</c:v>
                </c:pt>
                <c:pt idx="2140">
                  <c:v>2020-06-22</c:v>
                </c:pt>
                <c:pt idx="2141">
                  <c:v>2020-06-23</c:v>
                </c:pt>
                <c:pt idx="2142">
                  <c:v>2020-06-24</c:v>
                </c:pt>
                <c:pt idx="2143">
                  <c:v>2020-06-25</c:v>
                </c:pt>
                <c:pt idx="2144">
                  <c:v>2020-06-26</c:v>
                </c:pt>
                <c:pt idx="2145">
                  <c:v>2020-06-29</c:v>
                </c:pt>
                <c:pt idx="2146">
                  <c:v>2020-06-30</c:v>
                </c:pt>
                <c:pt idx="2147">
                  <c:v>2020-07-01</c:v>
                </c:pt>
                <c:pt idx="2148">
                  <c:v>2020-07-02</c:v>
                </c:pt>
                <c:pt idx="2149">
                  <c:v>2020-07-03</c:v>
                </c:pt>
                <c:pt idx="2150">
                  <c:v>2020-07-06</c:v>
                </c:pt>
                <c:pt idx="2151">
                  <c:v>2020-07-07</c:v>
                </c:pt>
                <c:pt idx="2152">
                  <c:v>2020-07-08</c:v>
                </c:pt>
                <c:pt idx="2153">
                  <c:v>2020-07-09</c:v>
                </c:pt>
                <c:pt idx="2154">
                  <c:v>2020-07-10</c:v>
                </c:pt>
                <c:pt idx="2155">
                  <c:v>2020-07-13</c:v>
                </c:pt>
                <c:pt idx="2156">
                  <c:v>2020-07-14</c:v>
                </c:pt>
                <c:pt idx="2157">
                  <c:v>2020-07-15</c:v>
                </c:pt>
                <c:pt idx="2158">
                  <c:v>2020-07-16</c:v>
                </c:pt>
                <c:pt idx="2159">
                  <c:v>2020-07-17</c:v>
                </c:pt>
                <c:pt idx="2160">
                  <c:v>2020-07-20</c:v>
                </c:pt>
                <c:pt idx="2161">
                  <c:v>2020-07-21</c:v>
                </c:pt>
                <c:pt idx="2162">
                  <c:v>2020-07-22</c:v>
                </c:pt>
                <c:pt idx="2163">
                  <c:v>2020-07-23</c:v>
                </c:pt>
                <c:pt idx="2164">
                  <c:v>2020-07-24</c:v>
                </c:pt>
                <c:pt idx="2165">
                  <c:v>2020-07-27</c:v>
                </c:pt>
                <c:pt idx="2166">
                  <c:v>2020-07-28</c:v>
                </c:pt>
                <c:pt idx="2167">
                  <c:v>2020-07-29</c:v>
                </c:pt>
                <c:pt idx="2168">
                  <c:v>2020-07-30</c:v>
                </c:pt>
                <c:pt idx="2169">
                  <c:v>2020-07-31</c:v>
                </c:pt>
                <c:pt idx="2170">
                  <c:v>2020-08-03</c:v>
                </c:pt>
                <c:pt idx="2171">
                  <c:v>2020-08-04</c:v>
                </c:pt>
                <c:pt idx="2172">
                  <c:v>2020-08-05</c:v>
                </c:pt>
                <c:pt idx="2173">
                  <c:v>2020-08-06</c:v>
                </c:pt>
                <c:pt idx="2174">
                  <c:v>2020-08-07</c:v>
                </c:pt>
                <c:pt idx="2175">
                  <c:v>2020-08-10</c:v>
                </c:pt>
                <c:pt idx="2176">
                  <c:v>2020-08-11</c:v>
                </c:pt>
                <c:pt idx="2177">
                  <c:v>2020-08-12</c:v>
                </c:pt>
                <c:pt idx="2178">
                  <c:v>2020-08-13</c:v>
                </c:pt>
                <c:pt idx="2179">
                  <c:v>2020-08-14</c:v>
                </c:pt>
                <c:pt idx="2180">
                  <c:v>2020-08-17</c:v>
                </c:pt>
                <c:pt idx="2181">
                  <c:v>2020-08-18</c:v>
                </c:pt>
                <c:pt idx="2182">
                  <c:v>2020-08-19</c:v>
                </c:pt>
                <c:pt idx="2183">
                  <c:v>2020-08-20</c:v>
                </c:pt>
                <c:pt idx="2184">
                  <c:v>2020-08-21</c:v>
                </c:pt>
                <c:pt idx="2185">
                  <c:v>2020-08-24</c:v>
                </c:pt>
                <c:pt idx="2186">
                  <c:v>2020-08-25</c:v>
                </c:pt>
                <c:pt idx="2187">
                  <c:v>2020-08-26</c:v>
                </c:pt>
                <c:pt idx="2188">
                  <c:v>2020-08-27</c:v>
                </c:pt>
                <c:pt idx="2189">
                  <c:v>2020-08-28</c:v>
                </c:pt>
                <c:pt idx="2190">
                  <c:v>2020-09-01</c:v>
                </c:pt>
                <c:pt idx="2191">
                  <c:v>2020-09-02</c:v>
                </c:pt>
                <c:pt idx="2192">
                  <c:v>2020-09-03</c:v>
                </c:pt>
                <c:pt idx="2193">
                  <c:v>2020-09-04</c:v>
                </c:pt>
                <c:pt idx="2194">
                  <c:v>2020-09-07</c:v>
                </c:pt>
                <c:pt idx="2195">
                  <c:v>2020-09-08</c:v>
                </c:pt>
                <c:pt idx="2196">
                  <c:v>2020-09-09</c:v>
                </c:pt>
                <c:pt idx="2197">
                  <c:v>2020-09-10</c:v>
                </c:pt>
                <c:pt idx="2198">
                  <c:v>2020-09-11</c:v>
                </c:pt>
                <c:pt idx="2199">
                  <c:v>2020-09-14</c:v>
                </c:pt>
                <c:pt idx="2200">
                  <c:v>2020-09-15</c:v>
                </c:pt>
                <c:pt idx="2201">
                  <c:v>2020-09-16</c:v>
                </c:pt>
                <c:pt idx="2202">
                  <c:v>2020-09-17</c:v>
                </c:pt>
                <c:pt idx="2203">
                  <c:v>2020-09-18</c:v>
                </c:pt>
                <c:pt idx="2204">
                  <c:v>2020-09-21</c:v>
                </c:pt>
                <c:pt idx="2205">
                  <c:v>2020-09-22</c:v>
                </c:pt>
                <c:pt idx="2206">
                  <c:v>2020-09-23</c:v>
                </c:pt>
                <c:pt idx="2207">
                  <c:v>2020-09-24</c:v>
                </c:pt>
                <c:pt idx="2208">
                  <c:v>2020-09-25</c:v>
                </c:pt>
                <c:pt idx="2209">
                  <c:v>2020-09-28</c:v>
                </c:pt>
                <c:pt idx="2210">
                  <c:v>2020-09-29</c:v>
                </c:pt>
                <c:pt idx="2211">
                  <c:v>2020-09-30</c:v>
                </c:pt>
                <c:pt idx="2212">
                  <c:v>2020-10-01</c:v>
                </c:pt>
                <c:pt idx="2213">
                  <c:v>2020-10-02</c:v>
                </c:pt>
                <c:pt idx="2214">
                  <c:v>2020-10-05</c:v>
                </c:pt>
                <c:pt idx="2215">
                  <c:v>2020-10-06</c:v>
                </c:pt>
                <c:pt idx="2216">
                  <c:v>2020-10-07</c:v>
                </c:pt>
                <c:pt idx="2217">
                  <c:v>2020-10-08</c:v>
                </c:pt>
                <c:pt idx="2218">
                  <c:v>2020-10-09</c:v>
                </c:pt>
                <c:pt idx="2219">
                  <c:v>2020-10-12</c:v>
                </c:pt>
                <c:pt idx="2220">
                  <c:v>2020-10-13</c:v>
                </c:pt>
                <c:pt idx="2221">
                  <c:v>2020-10-14</c:v>
                </c:pt>
                <c:pt idx="2222">
                  <c:v>2020-10-15</c:v>
                </c:pt>
                <c:pt idx="2223">
                  <c:v>2020-10-16</c:v>
                </c:pt>
                <c:pt idx="2224">
                  <c:v>2020-10-19</c:v>
                </c:pt>
                <c:pt idx="2225">
                  <c:v>2020-10-20</c:v>
                </c:pt>
                <c:pt idx="2226">
                  <c:v>2020-10-21</c:v>
                </c:pt>
                <c:pt idx="2227">
                  <c:v>2020-10-22</c:v>
                </c:pt>
                <c:pt idx="2228">
                  <c:v>2020-10-23</c:v>
                </c:pt>
                <c:pt idx="2229">
                  <c:v>2020-10-26</c:v>
                </c:pt>
                <c:pt idx="2230">
                  <c:v>2020-10-27</c:v>
                </c:pt>
                <c:pt idx="2231">
                  <c:v>2020-10-28</c:v>
                </c:pt>
                <c:pt idx="2232">
                  <c:v>2020-10-29</c:v>
                </c:pt>
                <c:pt idx="2233">
                  <c:v>2020-10-30</c:v>
                </c:pt>
                <c:pt idx="2234">
                  <c:v>2020-11-02</c:v>
                </c:pt>
                <c:pt idx="2235">
                  <c:v>2020-11-03</c:v>
                </c:pt>
                <c:pt idx="2236">
                  <c:v>2020-11-04</c:v>
                </c:pt>
                <c:pt idx="2237">
                  <c:v>2020-11-05</c:v>
                </c:pt>
                <c:pt idx="2238">
                  <c:v>2020-11-06</c:v>
                </c:pt>
                <c:pt idx="2239">
                  <c:v>2020-11-09</c:v>
                </c:pt>
                <c:pt idx="2240">
                  <c:v>2020-11-10</c:v>
                </c:pt>
                <c:pt idx="2241">
                  <c:v>2020-11-11</c:v>
                </c:pt>
                <c:pt idx="2242">
                  <c:v>2020-11-12</c:v>
                </c:pt>
                <c:pt idx="2243">
                  <c:v>2020-11-13</c:v>
                </c:pt>
                <c:pt idx="2244">
                  <c:v>2020-11-16</c:v>
                </c:pt>
                <c:pt idx="2245">
                  <c:v>2020-11-17</c:v>
                </c:pt>
                <c:pt idx="2246">
                  <c:v>2020-11-18</c:v>
                </c:pt>
                <c:pt idx="2247">
                  <c:v>2020-11-19</c:v>
                </c:pt>
                <c:pt idx="2248">
                  <c:v>2020-11-20</c:v>
                </c:pt>
                <c:pt idx="2249">
                  <c:v>2020-11-23</c:v>
                </c:pt>
                <c:pt idx="2250">
                  <c:v>2020-11-24</c:v>
                </c:pt>
                <c:pt idx="2251">
                  <c:v>2020-11-25</c:v>
                </c:pt>
                <c:pt idx="2252">
                  <c:v>2020-11-26</c:v>
                </c:pt>
                <c:pt idx="2253">
                  <c:v>2020-11-27</c:v>
                </c:pt>
                <c:pt idx="2254">
                  <c:v>2020-11-30</c:v>
                </c:pt>
                <c:pt idx="2255">
                  <c:v>2020-12-01</c:v>
                </c:pt>
                <c:pt idx="2256">
                  <c:v>2020-12-02</c:v>
                </c:pt>
                <c:pt idx="2257">
                  <c:v>2020-12-03</c:v>
                </c:pt>
                <c:pt idx="2258">
                  <c:v>2020-12-04</c:v>
                </c:pt>
                <c:pt idx="2259">
                  <c:v>2020-12-07</c:v>
                </c:pt>
                <c:pt idx="2260">
                  <c:v>2020-12-08</c:v>
                </c:pt>
                <c:pt idx="2261">
                  <c:v>2020-12-09</c:v>
                </c:pt>
                <c:pt idx="2262">
                  <c:v>2020-12-10</c:v>
                </c:pt>
                <c:pt idx="2263">
                  <c:v>2020-12-11</c:v>
                </c:pt>
                <c:pt idx="2264">
                  <c:v>2020-12-14</c:v>
                </c:pt>
                <c:pt idx="2265">
                  <c:v>2020-12-15</c:v>
                </c:pt>
                <c:pt idx="2266">
                  <c:v>2020-12-16</c:v>
                </c:pt>
                <c:pt idx="2267">
                  <c:v>2020-12-17</c:v>
                </c:pt>
                <c:pt idx="2268">
                  <c:v>2020-12-18</c:v>
                </c:pt>
                <c:pt idx="2269">
                  <c:v>2020-12-21</c:v>
                </c:pt>
                <c:pt idx="2270">
                  <c:v>2020-12-22</c:v>
                </c:pt>
                <c:pt idx="2271">
                  <c:v>2020-12-23</c:v>
                </c:pt>
                <c:pt idx="2272">
                  <c:v>2020-12-24</c:v>
                </c:pt>
                <c:pt idx="2273">
                  <c:v>2020-12-29</c:v>
                </c:pt>
                <c:pt idx="2274">
                  <c:v>2020-12-30</c:v>
                </c:pt>
                <c:pt idx="2275">
                  <c:v>2020-12-31</c:v>
                </c:pt>
                <c:pt idx="2276">
                  <c:v>2021-01-04</c:v>
                </c:pt>
                <c:pt idx="2277">
                  <c:v>2021-01-05</c:v>
                </c:pt>
                <c:pt idx="2278">
                  <c:v>2021-01-06</c:v>
                </c:pt>
                <c:pt idx="2279">
                  <c:v>2021-01-07</c:v>
                </c:pt>
                <c:pt idx="2280">
                  <c:v>2021-01-08</c:v>
                </c:pt>
                <c:pt idx="2281">
                  <c:v>2021-01-11</c:v>
                </c:pt>
                <c:pt idx="2282">
                  <c:v>2021-01-12</c:v>
                </c:pt>
                <c:pt idx="2283">
                  <c:v>2021-01-13</c:v>
                </c:pt>
                <c:pt idx="2284">
                  <c:v>2021-01-14</c:v>
                </c:pt>
                <c:pt idx="2285">
                  <c:v>2021-01-15</c:v>
                </c:pt>
                <c:pt idx="2286">
                  <c:v>2021-01-18</c:v>
                </c:pt>
                <c:pt idx="2287">
                  <c:v>2021-01-19</c:v>
                </c:pt>
                <c:pt idx="2288">
                  <c:v>2021-01-20</c:v>
                </c:pt>
                <c:pt idx="2289">
                  <c:v>2021-01-21</c:v>
                </c:pt>
                <c:pt idx="2290">
                  <c:v>2021-01-22</c:v>
                </c:pt>
                <c:pt idx="2291">
                  <c:v>2021-01-25</c:v>
                </c:pt>
                <c:pt idx="2292">
                  <c:v>2021-01-26</c:v>
                </c:pt>
                <c:pt idx="2293">
                  <c:v>2021-01-27</c:v>
                </c:pt>
                <c:pt idx="2294">
                  <c:v>2021-01-28</c:v>
                </c:pt>
                <c:pt idx="2295">
                  <c:v>2021-01-29</c:v>
                </c:pt>
                <c:pt idx="2296">
                  <c:v>2021-02-01</c:v>
                </c:pt>
                <c:pt idx="2297">
                  <c:v>2021-02-02</c:v>
                </c:pt>
                <c:pt idx="2298">
                  <c:v>2021-02-03</c:v>
                </c:pt>
                <c:pt idx="2299">
                  <c:v>2021-02-04</c:v>
                </c:pt>
                <c:pt idx="2300">
                  <c:v>2021-02-05</c:v>
                </c:pt>
                <c:pt idx="2301">
                  <c:v>2021-02-08</c:v>
                </c:pt>
                <c:pt idx="2302">
                  <c:v>2021-02-09</c:v>
                </c:pt>
                <c:pt idx="2303">
                  <c:v>2021-02-10</c:v>
                </c:pt>
                <c:pt idx="2304">
                  <c:v>2021-02-11</c:v>
                </c:pt>
                <c:pt idx="2305">
                  <c:v>2021-02-12</c:v>
                </c:pt>
                <c:pt idx="2306">
                  <c:v>2021-02-15</c:v>
                </c:pt>
                <c:pt idx="2307">
                  <c:v>2021-02-16</c:v>
                </c:pt>
                <c:pt idx="2308">
                  <c:v>2021-02-17</c:v>
                </c:pt>
                <c:pt idx="2309">
                  <c:v>2021-02-18</c:v>
                </c:pt>
                <c:pt idx="2310">
                  <c:v>2021-02-19</c:v>
                </c:pt>
                <c:pt idx="2311">
                  <c:v>2021-02-22</c:v>
                </c:pt>
                <c:pt idx="2312">
                  <c:v>2021-02-23</c:v>
                </c:pt>
                <c:pt idx="2313">
                  <c:v>2021-02-24</c:v>
                </c:pt>
                <c:pt idx="2314">
                  <c:v>2021-02-25</c:v>
                </c:pt>
                <c:pt idx="2315">
                  <c:v>2021-02-26</c:v>
                </c:pt>
                <c:pt idx="2316">
                  <c:v>2021-03-01</c:v>
                </c:pt>
                <c:pt idx="2317">
                  <c:v>2021-03-02</c:v>
                </c:pt>
                <c:pt idx="2318">
                  <c:v>2021-03-03</c:v>
                </c:pt>
                <c:pt idx="2319">
                  <c:v>2021-03-04</c:v>
                </c:pt>
                <c:pt idx="2320">
                  <c:v>2021-03-05</c:v>
                </c:pt>
                <c:pt idx="2321">
                  <c:v>2021-03-08</c:v>
                </c:pt>
                <c:pt idx="2322">
                  <c:v>2021-03-09</c:v>
                </c:pt>
                <c:pt idx="2323">
                  <c:v>2021-03-10</c:v>
                </c:pt>
                <c:pt idx="2324">
                  <c:v>2021-03-11</c:v>
                </c:pt>
                <c:pt idx="2325">
                  <c:v>2021-03-12</c:v>
                </c:pt>
                <c:pt idx="2326">
                  <c:v>2021-03-15</c:v>
                </c:pt>
                <c:pt idx="2327">
                  <c:v>2021-03-16</c:v>
                </c:pt>
                <c:pt idx="2328">
                  <c:v>2021-03-17</c:v>
                </c:pt>
                <c:pt idx="2329">
                  <c:v>2021-03-18</c:v>
                </c:pt>
                <c:pt idx="2330">
                  <c:v>2021-03-19</c:v>
                </c:pt>
                <c:pt idx="2331">
                  <c:v>2021-03-22</c:v>
                </c:pt>
                <c:pt idx="2332">
                  <c:v>2021-03-23</c:v>
                </c:pt>
                <c:pt idx="2333">
                  <c:v>2021-03-24</c:v>
                </c:pt>
                <c:pt idx="2334">
                  <c:v>2021-03-25</c:v>
                </c:pt>
                <c:pt idx="2335">
                  <c:v>2021-03-26</c:v>
                </c:pt>
                <c:pt idx="2336">
                  <c:v>2021-03-29</c:v>
                </c:pt>
                <c:pt idx="2337">
                  <c:v>2021-03-30</c:v>
                </c:pt>
                <c:pt idx="2338">
                  <c:v>2021-03-31</c:v>
                </c:pt>
                <c:pt idx="2339">
                  <c:v>2021-04-01</c:v>
                </c:pt>
                <c:pt idx="2340">
                  <c:v>2021-04-06</c:v>
                </c:pt>
                <c:pt idx="2341">
                  <c:v>2021-04-07</c:v>
                </c:pt>
                <c:pt idx="2342">
                  <c:v>2021-04-08</c:v>
                </c:pt>
                <c:pt idx="2343">
                  <c:v>2021-04-09</c:v>
                </c:pt>
                <c:pt idx="2344">
                  <c:v>2021-04-12</c:v>
                </c:pt>
                <c:pt idx="2345">
                  <c:v>2021-04-13</c:v>
                </c:pt>
                <c:pt idx="2346">
                  <c:v>2021-04-14</c:v>
                </c:pt>
                <c:pt idx="2347">
                  <c:v>2021-04-15</c:v>
                </c:pt>
                <c:pt idx="2348">
                  <c:v>2021-04-16</c:v>
                </c:pt>
                <c:pt idx="2349">
                  <c:v>2021-04-19</c:v>
                </c:pt>
                <c:pt idx="2350">
                  <c:v>2021-04-20</c:v>
                </c:pt>
                <c:pt idx="2351">
                  <c:v>2021-04-21</c:v>
                </c:pt>
                <c:pt idx="2352">
                  <c:v>2021-04-22</c:v>
                </c:pt>
                <c:pt idx="2353">
                  <c:v>2021-04-23</c:v>
                </c:pt>
                <c:pt idx="2354">
                  <c:v>2021-04-26</c:v>
                </c:pt>
                <c:pt idx="2355">
                  <c:v>2021-04-27</c:v>
                </c:pt>
                <c:pt idx="2356">
                  <c:v>2021-04-28</c:v>
                </c:pt>
                <c:pt idx="2357">
                  <c:v>2021-04-29</c:v>
                </c:pt>
                <c:pt idx="2358">
                  <c:v>2021-04-30</c:v>
                </c:pt>
                <c:pt idx="2359">
                  <c:v>2021-05-04</c:v>
                </c:pt>
                <c:pt idx="2360">
                  <c:v>2021-05-05</c:v>
                </c:pt>
                <c:pt idx="2361">
                  <c:v>2021-05-06</c:v>
                </c:pt>
                <c:pt idx="2362">
                  <c:v>2021-05-07</c:v>
                </c:pt>
                <c:pt idx="2363">
                  <c:v>2021-05-10</c:v>
                </c:pt>
                <c:pt idx="2364">
                  <c:v>2021-05-11</c:v>
                </c:pt>
                <c:pt idx="2365">
                  <c:v>2021-05-12</c:v>
                </c:pt>
                <c:pt idx="2366">
                  <c:v>2021-05-13</c:v>
                </c:pt>
                <c:pt idx="2367">
                  <c:v>2021-05-14</c:v>
                </c:pt>
                <c:pt idx="2368">
                  <c:v>2021-05-17</c:v>
                </c:pt>
                <c:pt idx="2369">
                  <c:v>2021-05-18</c:v>
                </c:pt>
                <c:pt idx="2370">
                  <c:v>2021-05-19</c:v>
                </c:pt>
                <c:pt idx="2371">
                  <c:v>2021-05-20</c:v>
                </c:pt>
                <c:pt idx="2372">
                  <c:v>2021-05-21</c:v>
                </c:pt>
                <c:pt idx="2373">
                  <c:v>2021-05-24</c:v>
                </c:pt>
                <c:pt idx="2374">
                  <c:v>2021-05-25</c:v>
                </c:pt>
                <c:pt idx="2375">
                  <c:v>2021-05-26</c:v>
                </c:pt>
                <c:pt idx="2376">
                  <c:v>2021-05-27</c:v>
                </c:pt>
                <c:pt idx="2377">
                  <c:v>2021-05-28</c:v>
                </c:pt>
                <c:pt idx="2378">
                  <c:v>2021-06-01</c:v>
                </c:pt>
                <c:pt idx="2379">
                  <c:v>2021-06-02</c:v>
                </c:pt>
                <c:pt idx="2380">
                  <c:v>2021-06-03</c:v>
                </c:pt>
                <c:pt idx="2381">
                  <c:v>2021-06-04</c:v>
                </c:pt>
                <c:pt idx="2382">
                  <c:v>2021-06-07</c:v>
                </c:pt>
                <c:pt idx="2383">
                  <c:v>2021-06-08</c:v>
                </c:pt>
                <c:pt idx="2384">
                  <c:v>2021-06-09</c:v>
                </c:pt>
                <c:pt idx="2385">
                  <c:v>2021-06-10</c:v>
                </c:pt>
                <c:pt idx="2386">
                  <c:v>2021-06-11</c:v>
                </c:pt>
                <c:pt idx="2387">
                  <c:v>2021-06-14</c:v>
                </c:pt>
                <c:pt idx="2388">
                  <c:v>2021-06-15</c:v>
                </c:pt>
                <c:pt idx="2389">
                  <c:v>2021-06-16</c:v>
                </c:pt>
                <c:pt idx="2390">
                  <c:v>2021-06-17</c:v>
                </c:pt>
                <c:pt idx="2391">
                  <c:v>2021-06-18</c:v>
                </c:pt>
                <c:pt idx="2392">
                  <c:v>2021-06-21</c:v>
                </c:pt>
                <c:pt idx="2393">
                  <c:v>2021-06-22</c:v>
                </c:pt>
                <c:pt idx="2394">
                  <c:v>2021-06-23</c:v>
                </c:pt>
                <c:pt idx="2395">
                  <c:v>2021-06-24</c:v>
                </c:pt>
                <c:pt idx="2396">
                  <c:v>2021-06-25</c:v>
                </c:pt>
                <c:pt idx="2397">
                  <c:v>2021-06-28</c:v>
                </c:pt>
                <c:pt idx="2398">
                  <c:v>2021-06-29</c:v>
                </c:pt>
                <c:pt idx="2399">
                  <c:v>2021-06-30</c:v>
                </c:pt>
                <c:pt idx="2400">
                  <c:v>2021-07-01</c:v>
                </c:pt>
                <c:pt idx="2401">
                  <c:v>2021-07-02</c:v>
                </c:pt>
                <c:pt idx="2402">
                  <c:v>2021-07-05</c:v>
                </c:pt>
                <c:pt idx="2403">
                  <c:v>2021-07-06</c:v>
                </c:pt>
                <c:pt idx="2404">
                  <c:v>2021-07-07</c:v>
                </c:pt>
                <c:pt idx="2405">
                  <c:v>2021-07-08</c:v>
                </c:pt>
                <c:pt idx="2406">
                  <c:v>2021-07-09</c:v>
                </c:pt>
                <c:pt idx="2407">
                  <c:v>2021-07-12</c:v>
                </c:pt>
                <c:pt idx="2408">
                  <c:v>2021-07-13</c:v>
                </c:pt>
                <c:pt idx="2409">
                  <c:v>2021-07-14</c:v>
                </c:pt>
                <c:pt idx="2410">
                  <c:v>2021-07-15</c:v>
                </c:pt>
                <c:pt idx="2411">
                  <c:v>2021-07-16</c:v>
                </c:pt>
                <c:pt idx="2412">
                  <c:v>2021-07-19</c:v>
                </c:pt>
                <c:pt idx="2413">
                  <c:v>2021-07-20</c:v>
                </c:pt>
                <c:pt idx="2414">
                  <c:v>2021-07-21</c:v>
                </c:pt>
                <c:pt idx="2415">
                  <c:v>2021-07-22</c:v>
                </c:pt>
                <c:pt idx="2416">
                  <c:v>2021-07-23</c:v>
                </c:pt>
                <c:pt idx="2417">
                  <c:v>2021-07-26</c:v>
                </c:pt>
                <c:pt idx="2418">
                  <c:v>2021-07-27</c:v>
                </c:pt>
                <c:pt idx="2419">
                  <c:v>2021-07-28</c:v>
                </c:pt>
                <c:pt idx="2420">
                  <c:v>2021-07-29</c:v>
                </c:pt>
                <c:pt idx="2421">
                  <c:v>2021-07-30</c:v>
                </c:pt>
                <c:pt idx="2422">
                  <c:v>2021-08-02</c:v>
                </c:pt>
                <c:pt idx="2423">
                  <c:v>2021-08-03</c:v>
                </c:pt>
                <c:pt idx="2424">
                  <c:v>2021-08-04</c:v>
                </c:pt>
                <c:pt idx="2425">
                  <c:v>2021-08-05</c:v>
                </c:pt>
                <c:pt idx="2426">
                  <c:v>2021-08-06</c:v>
                </c:pt>
                <c:pt idx="2427">
                  <c:v>2021-08-09</c:v>
                </c:pt>
                <c:pt idx="2428">
                  <c:v>2021-08-10</c:v>
                </c:pt>
                <c:pt idx="2429">
                  <c:v>2021-08-11</c:v>
                </c:pt>
                <c:pt idx="2430">
                  <c:v>2021-08-12</c:v>
                </c:pt>
                <c:pt idx="2431">
                  <c:v>2021-08-13</c:v>
                </c:pt>
                <c:pt idx="2432">
                  <c:v>2021-08-16</c:v>
                </c:pt>
                <c:pt idx="2433">
                  <c:v>2021-08-17</c:v>
                </c:pt>
                <c:pt idx="2434">
                  <c:v>2021-08-18</c:v>
                </c:pt>
                <c:pt idx="2435">
                  <c:v>2021-08-19</c:v>
                </c:pt>
                <c:pt idx="2436">
                  <c:v>2021-08-20</c:v>
                </c:pt>
                <c:pt idx="2437">
                  <c:v>2021-08-23</c:v>
                </c:pt>
                <c:pt idx="2438">
                  <c:v>2021-08-24</c:v>
                </c:pt>
                <c:pt idx="2439">
                  <c:v>2021-08-25</c:v>
                </c:pt>
                <c:pt idx="2440">
                  <c:v>2021-08-26</c:v>
                </c:pt>
                <c:pt idx="2441">
                  <c:v>2021-08-27</c:v>
                </c:pt>
                <c:pt idx="2442">
                  <c:v>2021-08-31</c:v>
                </c:pt>
                <c:pt idx="2443">
                  <c:v>2021-09-01</c:v>
                </c:pt>
                <c:pt idx="2444">
                  <c:v>2021-09-02</c:v>
                </c:pt>
                <c:pt idx="2445">
                  <c:v>2021-09-03</c:v>
                </c:pt>
                <c:pt idx="2446">
                  <c:v>2021-09-06</c:v>
                </c:pt>
                <c:pt idx="2447">
                  <c:v>2021-09-07</c:v>
                </c:pt>
                <c:pt idx="2448">
                  <c:v>2021-09-08</c:v>
                </c:pt>
                <c:pt idx="2449">
                  <c:v>2021-09-09</c:v>
                </c:pt>
                <c:pt idx="2450">
                  <c:v>2021-09-10</c:v>
                </c:pt>
                <c:pt idx="2451">
                  <c:v>2021-09-13</c:v>
                </c:pt>
                <c:pt idx="2452">
                  <c:v>2021-09-14</c:v>
                </c:pt>
                <c:pt idx="2453">
                  <c:v>2021-09-15</c:v>
                </c:pt>
                <c:pt idx="2454">
                  <c:v>2021-09-16</c:v>
                </c:pt>
                <c:pt idx="2455">
                  <c:v>2021-09-17</c:v>
                </c:pt>
                <c:pt idx="2456">
                  <c:v>2021-09-20</c:v>
                </c:pt>
                <c:pt idx="2457">
                  <c:v>2021-09-21</c:v>
                </c:pt>
                <c:pt idx="2458">
                  <c:v>2021-09-22</c:v>
                </c:pt>
                <c:pt idx="2459">
                  <c:v>2021-09-23</c:v>
                </c:pt>
                <c:pt idx="2460">
                  <c:v>2021-09-24</c:v>
                </c:pt>
                <c:pt idx="2461">
                  <c:v>2021-09-27</c:v>
                </c:pt>
                <c:pt idx="2462">
                  <c:v>2021-09-28</c:v>
                </c:pt>
                <c:pt idx="2463">
                  <c:v>2021-09-29</c:v>
                </c:pt>
                <c:pt idx="2464">
                  <c:v>2021-09-30</c:v>
                </c:pt>
              </c:strCache>
            </c:strRef>
          </c:cat>
          <c:val>
            <c:numRef>
              <c:f>표준편차!$B$4:$B$2468</c:f>
              <c:numCache>
                <c:formatCode>#,##0.00_ </c:formatCode>
                <c:ptCount val="2465"/>
                <c:pt idx="0">
                  <c:v>7661</c:v>
                </c:pt>
                <c:pt idx="1">
                  <c:v>7652</c:v>
                </c:pt>
                <c:pt idx="2">
                  <c:v>7471</c:v>
                </c:pt>
                <c:pt idx="3">
                  <c:v>7515</c:v>
                </c:pt>
                <c:pt idx="4">
                  <c:v>7503</c:v>
                </c:pt>
                <c:pt idx="5">
                  <c:v>7641</c:v>
                </c:pt>
                <c:pt idx="6">
                  <c:v>7689.5</c:v>
                </c:pt>
                <c:pt idx="7">
                  <c:v>7946</c:v>
                </c:pt>
                <c:pt idx="8">
                  <c:v>7965.5</c:v>
                </c:pt>
                <c:pt idx="9">
                  <c:v>8021</c:v>
                </c:pt>
                <c:pt idx="10">
                  <c:v>8185</c:v>
                </c:pt>
                <c:pt idx="11">
                  <c:v>8156</c:v>
                </c:pt>
                <c:pt idx="12">
                  <c:v>8350.5</c:v>
                </c:pt>
                <c:pt idx="13">
                  <c:v>8230.5</c:v>
                </c:pt>
                <c:pt idx="14">
                  <c:v>8333</c:v>
                </c:pt>
                <c:pt idx="15">
                  <c:v>8267</c:v>
                </c:pt>
                <c:pt idx="16">
                  <c:v>8271</c:v>
                </c:pt>
                <c:pt idx="17">
                  <c:v>8560</c:v>
                </c:pt>
                <c:pt idx="18">
                  <c:v>8610</c:v>
                </c:pt>
                <c:pt idx="19">
                  <c:v>8399</c:v>
                </c:pt>
                <c:pt idx="20">
                  <c:v>8485.5</c:v>
                </c:pt>
                <c:pt idx="21">
                  <c:v>8351.5</c:v>
                </c:pt>
                <c:pt idx="22">
                  <c:v>8339</c:v>
                </c:pt>
                <c:pt idx="23">
                  <c:v>8320</c:v>
                </c:pt>
                <c:pt idx="24">
                  <c:v>8463</c:v>
                </c:pt>
                <c:pt idx="25">
                  <c:v>8335.5</c:v>
                </c:pt>
                <c:pt idx="26">
                  <c:v>8586</c:v>
                </c:pt>
                <c:pt idx="27">
                  <c:v>8520.5</c:v>
                </c:pt>
                <c:pt idx="28">
                  <c:v>8591</c:v>
                </c:pt>
                <c:pt idx="29">
                  <c:v>8512</c:v>
                </c:pt>
                <c:pt idx="30">
                  <c:v>8405</c:v>
                </c:pt>
                <c:pt idx="31">
                  <c:v>8395.5</c:v>
                </c:pt>
                <c:pt idx="32">
                  <c:v>8209.5</c:v>
                </c:pt>
                <c:pt idx="33">
                  <c:v>8370</c:v>
                </c:pt>
                <c:pt idx="34">
                  <c:v>8234</c:v>
                </c:pt>
                <c:pt idx="35">
                  <c:v>8325</c:v>
                </c:pt>
                <c:pt idx="36">
                  <c:v>8391</c:v>
                </c:pt>
                <c:pt idx="37">
                  <c:v>8408</c:v>
                </c:pt>
                <c:pt idx="38">
                  <c:v>8441</c:v>
                </c:pt>
                <c:pt idx="39">
                  <c:v>8436</c:v>
                </c:pt>
                <c:pt idx="40">
                  <c:v>8658</c:v>
                </c:pt>
                <c:pt idx="41">
                  <c:v>8585</c:v>
                </c:pt>
                <c:pt idx="42">
                  <c:v>8570</c:v>
                </c:pt>
                <c:pt idx="43">
                  <c:v>8575</c:v>
                </c:pt>
                <c:pt idx="44">
                  <c:v>8502</c:v>
                </c:pt>
                <c:pt idx="45">
                  <c:v>8335.5</c:v>
                </c:pt>
                <c:pt idx="46">
                  <c:v>8261</c:v>
                </c:pt>
                <c:pt idx="47">
                  <c:v>8390</c:v>
                </c:pt>
                <c:pt idx="48">
                  <c:v>8390.5</c:v>
                </c:pt>
                <c:pt idx="49">
                  <c:v>8401.5</c:v>
                </c:pt>
                <c:pt idx="50">
                  <c:v>8530</c:v>
                </c:pt>
                <c:pt idx="51">
                  <c:v>8468</c:v>
                </c:pt>
                <c:pt idx="52">
                  <c:v>8490.5</c:v>
                </c:pt>
                <c:pt idx="53">
                  <c:v>8620.5</c:v>
                </c:pt>
                <c:pt idx="54">
                  <c:v>8575</c:v>
                </c:pt>
                <c:pt idx="55">
                  <c:v>8437</c:v>
                </c:pt>
                <c:pt idx="56">
                  <c:v>8470.5</c:v>
                </c:pt>
                <c:pt idx="57">
                  <c:v>8320</c:v>
                </c:pt>
                <c:pt idx="58">
                  <c:v>8400.5</c:v>
                </c:pt>
                <c:pt idx="59">
                  <c:v>8485</c:v>
                </c:pt>
                <c:pt idx="60">
                  <c:v>8512</c:v>
                </c:pt>
                <c:pt idx="61">
                  <c:v>8480.5</c:v>
                </c:pt>
                <c:pt idx="62">
                  <c:v>8360</c:v>
                </c:pt>
                <c:pt idx="63">
                  <c:v>8480</c:v>
                </c:pt>
                <c:pt idx="64">
                  <c:v>8480</c:v>
                </c:pt>
                <c:pt idx="65">
                  <c:v>8575.5</c:v>
                </c:pt>
                <c:pt idx="66">
                  <c:v>8451.5</c:v>
                </c:pt>
                <c:pt idx="67">
                  <c:v>8365.5</c:v>
                </c:pt>
                <c:pt idx="68">
                  <c:v>8256</c:v>
                </c:pt>
                <c:pt idx="69">
                  <c:v>8115</c:v>
                </c:pt>
                <c:pt idx="70">
                  <c:v>8185</c:v>
                </c:pt>
                <c:pt idx="71">
                  <c:v>8165.5</c:v>
                </c:pt>
                <c:pt idx="72">
                  <c:v>8054</c:v>
                </c:pt>
                <c:pt idx="73">
                  <c:v>8100.5</c:v>
                </c:pt>
                <c:pt idx="74">
                  <c:v>8085</c:v>
                </c:pt>
                <c:pt idx="75">
                  <c:v>8045.5</c:v>
                </c:pt>
                <c:pt idx="76">
                  <c:v>8120.5</c:v>
                </c:pt>
                <c:pt idx="77">
                  <c:v>8125</c:v>
                </c:pt>
                <c:pt idx="78">
                  <c:v>8194</c:v>
                </c:pt>
                <c:pt idx="79">
                  <c:v>8285.5</c:v>
                </c:pt>
                <c:pt idx="80">
                  <c:v>8356</c:v>
                </c:pt>
                <c:pt idx="81">
                  <c:v>8443.5</c:v>
                </c:pt>
                <c:pt idx="82">
                  <c:v>8529.5</c:v>
                </c:pt>
                <c:pt idx="83">
                  <c:v>8528</c:v>
                </c:pt>
                <c:pt idx="84">
                  <c:v>8401</c:v>
                </c:pt>
                <c:pt idx="85">
                  <c:v>8318</c:v>
                </c:pt>
                <c:pt idx="86">
                  <c:v>8296</c:v>
                </c:pt>
                <c:pt idx="87">
                  <c:v>8234</c:v>
                </c:pt>
                <c:pt idx="88">
                  <c:v>8089</c:v>
                </c:pt>
                <c:pt idx="89">
                  <c:v>8195.5</c:v>
                </c:pt>
                <c:pt idx="90">
                  <c:v>8080</c:v>
                </c:pt>
                <c:pt idx="91">
                  <c:v>7980</c:v>
                </c:pt>
                <c:pt idx="92">
                  <c:v>7854</c:v>
                </c:pt>
                <c:pt idx="93">
                  <c:v>7710</c:v>
                </c:pt>
                <c:pt idx="94">
                  <c:v>7708</c:v>
                </c:pt>
                <c:pt idx="95">
                  <c:v>7795.5</c:v>
                </c:pt>
                <c:pt idx="96">
                  <c:v>7800.5</c:v>
                </c:pt>
                <c:pt idx="97">
                  <c:v>7775</c:v>
                </c:pt>
                <c:pt idx="98">
                  <c:v>7630.5</c:v>
                </c:pt>
                <c:pt idx="99">
                  <c:v>7660.5</c:v>
                </c:pt>
                <c:pt idx="100">
                  <c:v>7695.5</c:v>
                </c:pt>
                <c:pt idx="101">
                  <c:v>7740</c:v>
                </c:pt>
                <c:pt idx="102">
                  <c:v>7685.5</c:v>
                </c:pt>
                <c:pt idx="103">
                  <c:v>7545</c:v>
                </c:pt>
                <c:pt idx="104">
                  <c:v>7517</c:v>
                </c:pt>
                <c:pt idx="105">
                  <c:v>7364</c:v>
                </c:pt>
                <c:pt idx="106">
                  <c:v>7459.5</c:v>
                </c:pt>
                <c:pt idx="107">
                  <c:v>7480.5</c:v>
                </c:pt>
                <c:pt idx="108">
                  <c:v>7251.5</c:v>
                </c:pt>
                <c:pt idx="109">
                  <c:v>7396</c:v>
                </c:pt>
                <c:pt idx="110">
                  <c:v>7384</c:v>
                </c:pt>
                <c:pt idx="111">
                  <c:v>7397.5</c:v>
                </c:pt>
                <c:pt idx="112">
                  <c:v>7376.5</c:v>
                </c:pt>
                <c:pt idx="113">
                  <c:v>7521</c:v>
                </c:pt>
                <c:pt idx="114">
                  <c:v>7475.5</c:v>
                </c:pt>
                <c:pt idx="115">
                  <c:v>7505.5</c:v>
                </c:pt>
                <c:pt idx="116">
                  <c:v>7555.5</c:v>
                </c:pt>
                <c:pt idx="117">
                  <c:v>7426</c:v>
                </c:pt>
                <c:pt idx="118">
                  <c:v>7320</c:v>
                </c:pt>
                <c:pt idx="119">
                  <c:v>7342.5</c:v>
                </c:pt>
                <c:pt idx="120">
                  <c:v>7347</c:v>
                </c:pt>
                <c:pt idx="121">
                  <c:v>7354</c:v>
                </c:pt>
                <c:pt idx="122">
                  <c:v>7421</c:v>
                </c:pt>
                <c:pt idx="123">
                  <c:v>7604.5</c:v>
                </c:pt>
                <c:pt idx="124">
                  <c:v>7647.5</c:v>
                </c:pt>
                <c:pt idx="125">
                  <c:v>7777</c:v>
                </c:pt>
                <c:pt idx="126">
                  <c:v>7695.5</c:v>
                </c:pt>
                <c:pt idx="127">
                  <c:v>7761.5</c:v>
                </c:pt>
                <c:pt idx="128">
                  <c:v>7600</c:v>
                </c:pt>
                <c:pt idx="129">
                  <c:v>7520.5</c:v>
                </c:pt>
                <c:pt idx="130">
                  <c:v>7556</c:v>
                </c:pt>
                <c:pt idx="131">
                  <c:v>7525.5</c:v>
                </c:pt>
                <c:pt idx="132">
                  <c:v>7510</c:v>
                </c:pt>
                <c:pt idx="133">
                  <c:v>7689.5</c:v>
                </c:pt>
                <c:pt idx="134">
                  <c:v>7636</c:v>
                </c:pt>
                <c:pt idx="135">
                  <c:v>7671</c:v>
                </c:pt>
                <c:pt idx="136">
                  <c:v>7596</c:v>
                </c:pt>
                <c:pt idx="137">
                  <c:v>7765</c:v>
                </c:pt>
                <c:pt idx="138">
                  <c:v>7625</c:v>
                </c:pt>
                <c:pt idx="139">
                  <c:v>7387</c:v>
                </c:pt>
                <c:pt idx="140">
                  <c:v>7396</c:v>
                </c:pt>
                <c:pt idx="141">
                  <c:v>7441</c:v>
                </c:pt>
                <c:pt idx="142">
                  <c:v>7510.5</c:v>
                </c:pt>
                <c:pt idx="143">
                  <c:v>7555</c:v>
                </c:pt>
                <c:pt idx="144">
                  <c:v>7520</c:v>
                </c:pt>
                <c:pt idx="145">
                  <c:v>7581</c:v>
                </c:pt>
                <c:pt idx="146">
                  <c:v>7500</c:v>
                </c:pt>
                <c:pt idx="147">
                  <c:v>7386.5</c:v>
                </c:pt>
                <c:pt idx="148">
                  <c:v>7327</c:v>
                </c:pt>
                <c:pt idx="149">
                  <c:v>7400</c:v>
                </c:pt>
                <c:pt idx="150">
                  <c:v>7567</c:v>
                </c:pt>
                <c:pt idx="151">
                  <c:v>7525.5</c:v>
                </c:pt>
                <c:pt idx="152">
                  <c:v>7495.5</c:v>
                </c:pt>
                <c:pt idx="153">
                  <c:v>7430.5</c:v>
                </c:pt>
                <c:pt idx="154">
                  <c:v>7426.5</c:v>
                </c:pt>
                <c:pt idx="155">
                  <c:v>7407</c:v>
                </c:pt>
                <c:pt idx="156">
                  <c:v>7386</c:v>
                </c:pt>
                <c:pt idx="157">
                  <c:v>7386</c:v>
                </c:pt>
                <c:pt idx="158">
                  <c:v>7496</c:v>
                </c:pt>
                <c:pt idx="159">
                  <c:v>7433</c:v>
                </c:pt>
                <c:pt idx="160">
                  <c:v>7510</c:v>
                </c:pt>
                <c:pt idx="161">
                  <c:v>7571.5</c:v>
                </c:pt>
                <c:pt idx="162">
                  <c:v>7667.5</c:v>
                </c:pt>
                <c:pt idx="163">
                  <c:v>7600.5</c:v>
                </c:pt>
                <c:pt idx="164">
                  <c:v>7606</c:v>
                </c:pt>
                <c:pt idx="165">
                  <c:v>7524.5</c:v>
                </c:pt>
                <c:pt idx="166">
                  <c:v>7611</c:v>
                </c:pt>
                <c:pt idx="167">
                  <c:v>7576.5</c:v>
                </c:pt>
                <c:pt idx="168">
                  <c:v>7649.5</c:v>
                </c:pt>
                <c:pt idx="169">
                  <c:v>7640.5</c:v>
                </c:pt>
                <c:pt idx="170">
                  <c:v>7606.5</c:v>
                </c:pt>
                <c:pt idx="171">
                  <c:v>7670.5</c:v>
                </c:pt>
                <c:pt idx="172">
                  <c:v>7844</c:v>
                </c:pt>
                <c:pt idx="173">
                  <c:v>8032</c:v>
                </c:pt>
                <c:pt idx="174">
                  <c:v>8080</c:v>
                </c:pt>
                <c:pt idx="175">
                  <c:v>8100.5</c:v>
                </c:pt>
                <c:pt idx="176">
                  <c:v>8055.5</c:v>
                </c:pt>
                <c:pt idx="177">
                  <c:v>8400.5</c:v>
                </c:pt>
                <c:pt idx="178">
                  <c:v>8293</c:v>
                </c:pt>
                <c:pt idx="179">
                  <c:v>8224</c:v>
                </c:pt>
                <c:pt idx="180">
                  <c:v>8323</c:v>
                </c:pt>
                <c:pt idx="181">
                  <c:v>8202</c:v>
                </c:pt>
                <c:pt idx="182">
                  <c:v>8282</c:v>
                </c:pt>
                <c:pt idx="183">
                  <c:v>8155.5</c:v>
                </c:pt>
                <c:pt idx="184">
                  <c:v>8235.5</c:v>
                </c:pt>
                <c:pt idx="185">
                  <c:v>8130.5</c:v>
                </c:pt>
                <c:pt idx="186">
                  <c:v>8175</c:v>
                </c:pt>
                <c:pt idx="187">
                  <c:v>8267.5</c:v>
                </c:pt>
                <c:pt idx="188">
                  <c:v>8191.5</c:v>
                </c:pt>
                <c:pt idx="189">
                  <c:v>8340</c:v>
                </c:pt>
                <c:pt idx="190">
                  <c:v>8276</c:v>
                </c:pt>
                <c:pt idx="191">
                  <c:v>8325</c:v>
                </c:pt>
                <c:pt idx="192">
                  <c:v>8299</c:v>
                </c:pt>
                <c:pt idx="193">
                  <c:v>8133</c:v>
                </c:pt>
                <c:pt idx="194">
                  <c:v>8183</c:v>
                </c:pt>
                <c:pt idx="195">
                  <c:v>8124.5</c:v>
                </c:pt>
                <c:pt idx="196">
                  <c:v>8212</c:v>
                </c:pt>
                <c:pt idx="197">
                  <c:v>8179</c:v>
                </c:pt>
                <c:pt idx="198">
                  <c:v>8130</c:v>
                </c:pt>
                <c:pt idx="199">
                  <c:v>8141.5</c:v>
                </c:pt>
                <c:pt idx="200">
                  <c:v>8112.5</c:v>
                </c:pt>
                <c:pt idx="201">
                  <c:v>8210</c:v>
                </c:pt>
                <c:pt idx="202">
                  <c:v>8121</c:v>
                </c:pt>
                <c:pt idx="203">
                  <c:v>7983.5</c:v>
                </c:pt>
                <c:pt idx="204">
                  <c:v>7861</c:v>
                </c:pt>
                <c:pt idx="205">
                  <c:v>7860.5</c:v>
                </c:pt>
                <c:pt idx="206">
                  <c:v>7852</c:v>
                </c:pt>
                <c:pt idx="207">
                  <c:v>7765</c:v>
                </c:pt>
                <c:pt idx="208">
                  <c:v>7720</c:v>
                </c:pt>
                <c:pt idx="209">
                  <c:v>7760</c:v>
                </c:pt>
                <c:pt idx="210">
                  <c:v>7819</c:v>
                </c:pt>
                <c:pt idx="211">
                  <c:v>7811</c:v>
                </c:pt>
                <c:pt idx="212">
                  <c:v>7765.5</c:v>
                </c:pt>
                <c:pt idx="213">
                  <c:v>7604</c:v>
                </c:pt>
                <c:pt idx="214">
                  <c:v>7661</c:v>
                </c:pt>
                <c:pt idx="215">
                  <c:v>7654.5</c:v>
                </c:pt>
                <c:pt idx="216">
                  <c:v>7605.5</c:v>
                </c:pt>
                <c:pt idx="217">
                  <c:v>7540.5</c:v>
                </c:pt>
                <c:pt idx="218">
                  <c:v>7626.5</c:v>
                </c:pt>
                <c:pt idx="219">
                  <c:v>7606.5</c:v>
                </c:pt>
                <c:pt idx="220">
                  <c:v>7635</c:v>
                </c:pt>
                <c:pt idx="221">
                  <c:v>7605.5</c:v>
                </c:pt>
                <c:pt idx="222">
                  <c:v>7573</c:v>
                </c:pt>
                <c:pt idx="223">
                  <c:v>7670.5</c:v>
                </c:pt>
                <c:pt idx="224">
                  <c:v>7731</c:v>
                </c:pt>
                <c:pt idx="225">
                  <c:v>7705</c:v>
                </c:pt>
                <c:pt idx="226">
                  <c:v>7716</c:v>
                </c:pt>
                <c:pt idx="227">
                  <c:v>7676</c:v>
                </c:pt>
                <c:pt idx="228">
                  <c:v>7770.5</c:v>
                </c:pt>
                <c:pt idx="229">
                  <c:v>7796</c:v>
                </c:pt>
                <c:pt idx="230">
                  <c:v>7720</c:v>
                </c:pt>
                <c:pt idx="231">
                  <c:v>7850</c:v>
                </c:pt>
                <c:pt idx="232">
                  <c:v>7949</c:v>
                </c:pt>
                <c:pt idx="233">
                  <c:v>7975.5</c:v>
                </c:pt>
                <c:pt idx="234">
                  <c:v>7991</c:v>
                </c:pt>
                <c:pt idx="235">
                  <c:v>8022</c:v>
                </c:pt>
                <c:pt idx="236">
                  <c:v>8020.5</c:v>
                </c:pt>
                <c:pt idx="237">
                  <c:v>7965.5</c:v>
                </c:pt>
                <c:pt idx="238">
                  <c:v>8111.5</c:v>
                </c:pt>
                <c:pt idx="239">
                  <c:v>8070</c:v>
                </c:pt>
                <c:pt idx="240">
                  <c:v>8102</c:v>
                </c:pt>
                <c:pt idx="241">
                  <c:v>8000.5</c:v>
                </c:pt>
                <c:pt idx="242">
                  <c:v>8047.5</c:v>
                </c:pt>
                <c:pt idx="243">
                  <c:v>8001</c:v>
                </c:pt>
                <c:pt idx="244">
                  <c:v>8005.5</c:v>
                </c:pt>
                <c:pt idx="245">
                  <c:v>7946</c:v>
                </c:pt>
                <c:pt idx="246">
                  <c:v>7825.5</c:v>
                </c:pt>
                <c:pt idx="247">
                  <c:v>7768.5</c:v>
                </c:pt>
                <c:pt idx="248">
                  <c:v>7780</c:v>
                </c:pt>
                <c:pt idx="249">
                  <c:v>7871.5</c:v>
                </c:pt>
                <c:pt idx="250">
                  <c:v>7870</c:v>
                </c:pt>
                <c:pt idx="251">
                  <c:v>7915</c:v>
                </c:pt>
                <c:pt idx="252">
                  <c:v>8085</c:v>
                </c:pt>
                <c:pt idx="253">
                  <c:v>8140.5</c:v>
                </c:pt>
                <c:pt idx="254">
                  <c:v>8026</c:v>
                </c:pt>
                <c:pt idx="255">
                  <c:v>7995.5</c:v>
                </c:pt>
                <c:pt idx="256">
                  <c:v>8050.5</c:v>
                </c:pt>
                <c:pt idx="257">
                  <c:v>8059</c:v>
                </c:pt>
                <c:pt idx="258">
                  <c:v>8117</c:v>
                </c:pt>
                <c:pt idx="259">
                  <c:v>8071</c:v>
                </c:pt>
                <c:pt idx="260">
                  <c:v>8030</c:v>
                </c:pt>
                <c:pt idx="261">
                  <c:v>7945</c:v>
                </c:pt>
                <c:pt idx="262">
                  <c:v>7910.5</c:v>
                </c:pt>
                <c:pt idx="263">
                  <c:v>7930</c:v>
                </c:pt>
                <c:pt idx="264">
                  <c:v>8053</c:v>
                </c:pt>
                <c:pt idx="265">
                  <c:v>8020.5</c:v>
                </c:pt>
                <c:pt idx="266">
                  <c:v>8068</c:v>
                </c:pt>
                <c:pt idx="267">
                  <c:v>8115.5</c:v>
                </c:pt>
                <c:pt idx="268">
                  <c:v>8036</c:v>
                </c:pt>
                <c:pt idx="269">
                  <c:v>8060</c:v>
                </c:pt>
                <c:pt idx="270">
                  <c:v>8015</c:v>
                </c:pt>
                <c:pt idx="271">
                  <c:v>8010.5</c:v>
                </c:pt>
                <c:pt idx="272">
                  <c:v>8175.5</c:v>
                </c:pt>
                <c:pt idx="273">
                  <c:v>8170</c:v>
                </c:pt>
                <c:pt idx="274">
                  <c:v>8160</c:v>
                </c:pt>
                <c:pt idx="275">
                  <c:v>8226</c:v>
                </c:pt>
                <c:pt idx="276">
                  <c:v>8242.5</c:v>
                </c:pt>
                <c:pt idx="277">
                  <c:v>8200</c:v>
                </c:pt>
                <c:pt idx="278">
                  <c:v>8212</c:v>
                </c:pt>
                <c:pt idx="279">
                  <c:v>8215</c:v>
                </c:pt>
                <c:pt idx="280">
                  <c:v>8216</c:v>
                </c:pt>
                <c:pt idx="281">
                  <c:v>8184.5</c:v>
                </c:pt>
                <c:pt idx="282">
                  <c:v>8221</c:v>
                </c:pt>
                <c:pt idx="283">
                  <c:v>8197</c:v>
                </c:pt>
                <c:pt idx="284">
                  <c:v>8198.5</c:v>
                </c:pt>
                <c:pt idx="285">
                  <c:v>8075.5</c:v>
                </c:pt>
                <c:pt idx="286">
                  <c:v>8070</c:v>
                </c:pt>
                <c:pt idx="287">
                  <c:v>8009.5</c:v>
                </c:pt>
                <c:pt idx="288">
                  <c:v>7847.5</c:v>
                </c:pt>
                <c:pt idx="289">
                  <c:v>7825</c:v>
                </c:pt>
                <c:pt idx="290">
                  <c:v>7865.5</c:v>
                </c:pt>
                <c:pt idx="291">
                  <c:v>7785</c:v>
                </c:pt>
                <c:pt idx="292">
                  <c:v>7831</c:v>
                </c:pt>
                <c:pt idx="293">
                  <c:v>7828</c:v>
                </c:pt>
                <c:pt idx="294">
                  <c:v>7620.5</c:v>
                </c:pt>
                <c:pt idx="295">
                  <c:v>7751</c:v>
                </c:pt>
                <c:pt idx="296">
                  <c:v>7720</c:v>
                </c:pt>
                <c:pt idx="297">
                  <c:v>7699.5</c:v>
                </c:pt>
                <c:pt idx="298">
                  <c:v>7671</c:v>
                </c:pt>
                <c:pt idx="299">
                  <c:v>7730</c:v>
                </c:pt>
                <c:pt idx="300">
                  <c:v>7677</c:v>
                </c:pt>
                <c:pt idx="301">
                  <c:v>7815</c:v>
                </c:pt>
                <c:pt idx="302">
                  <c:v>7777.5</c:v>
                </c:pt>
                <c:pt idx="303">
                  <c:v>7762</c:v>
                </c:pt>
                <c:pt idx="304">
                  <c:v>7782</c:v>
                </c:pt>
                <c:pt idx="305">
                  <c:v>7555.5</c:v>
                </c:pt>
                <c:pt idx="306">
                  <c:v>7539</c:v>
                </c:pt>
                <c:pt idx="307">
                  <c:v>7574.5</c:v>
                </c:pt>
                <c:pt idx="308">
                  <c:v>7580</c:v>
                </c:pt>
                <c:pt idx="309">
                  <c:v>7618</c:v>
                </c:pt>
                <c:pt idx="310">
                  <c:v>7602</c:v>
                </c:pt>
                <c:pt idx="311">
                  <c:v>7631</c:v>
                </c:pt>
                <c:pt idx="312">
                  <c:v>7570</c:v>
                </c:pt>
                <c:pt idx="313">
                  <c:v>7582.5</c:v>
                </c:pt>
                <c:pt idx="314">
                  <c:v>7434.5</c:v>
                </c:pt>
                <c:pt idx="315">
                  <c:v>7405.5</c:v>
                </c:pt>
                <c:pt idx="316">
                  <c:v>7336.5</c:v>
                </c:pt>
                <c:pt idx="317">
                  <c:v>7376</c:v>
                </c:pt>
                <c:pt idx="318">
                  <c:v>7457.5</c:v>
                </c:pt>
                <c:pt idx="319">
                  <c:v>7485.5</c:v>
                </c:pt>
                <c:pt idx="320">
                  <c:v>7547</c:v>
                </c:pt>
                <c:pt idx="321">
                  <c:v>7510</c:v>
                </c:pt>
                <c:pt idx="322">
                  <c:v>7510</c:v>
                </c:pt>
                <c:pt idx="323">
                  <c:v>7120.5</c:v>
                </c:pt>
                <c:pt idx="324">
                  <c:v>7219</c:v>
                </c:pt>
                <c:pt idx="325">
                  <c:v>7067</c:v>
                </c:pt>
                <c:pt idx="326">
                  <c:v>6962.5</c:v>
                </c:pt>
                <c:pt idx="327">
                  <c:v>6975</c:v>
                </c:pt>
                <c:pt idx="328">
                  <c:v>6875.5</c:v>
                </c:pt>
                <c:pt idx="329">
                  <c:v>6811</c:v>
                </c:pt>
                <c:pt idx="330">
                  <c:v>6935.5</c:v>
                </c:pt>
                <c:pt idx="331">
                  <c:v>7035</c:v>
                </c:pt>
                <c:pt idx="332">
                  <c:v>7054.5</c:v>
                </c:pt>
                <c:pt idx="333">
                  <c:v>7079</c:v>
                </c:pt>
                <c:pt idx="334">
                  <c:v>7073.5</c:v>
                </c:pt>
                <c:pt idx="335">
                  <c:v>6875</c:v>
                </c:pt>
                <c:pt idx="336">
                  <c:v>6870.5</c:v>
                </c:pt>
                <c:pt idx="337">
                  <c:v>7122</c:v>
                </c:pt>
                <c:pt idx="338">
                  <c:v>7240.5</c:v>
                </c:pt>
                <c:pt idx="339">
                  <c:v>7326</c:v>
                </c:pt>
                <c:pt idx="340">
                  <c:v>7311</c:v>
                </c:pt>
                <c:pt idx="341">
                  <c:v>7390.5</c:v>
                </c:pt>
                <c:pt idx="342">
                  <c:v>7350.5</c:v>
                </c:pt>
                <c:pt idx="343">
                  <c:v>7195.5</c:v>
                </c:pt>
                <c:pt idx="344">
                  <c:v>7095.5</c:v>
                </c:pt>
                <c:pt idx="345">
                  <c:v>7095.5</c:v>
                </c:pt>
                <c:pt idx="346">
                  <c:v>7329.5</c:v>
                </c:pt>
                <c:pt idx="347">
                  <c:v>7276</c:v>
                </c:pt>
                <c:pt idx="348">
                  <c:v>7384</c:v>
                </c:pt>
                <c:pt idx="349">
                  <c:v>7480</c:v>
                </c:pt>
                <c:pt idx="350">
                  <c:v>7285.5</c:v>
                </c:pt>
                <c:pt idx="351">
                  <c:v>7240</c:v>
                </c:pt>
                <c:pt idx="352">
                  <c:v>7257</c:v>
                </c:pt>
                <c:pt idx="353">
                  <c:v>7201.5</c:v>
                </c:pt>
                <c:pt idx="354">
                  <c:v>7245.5</c:v>
                </c:pt>
                <c:pt idx="355">
                  <c:v>7241</c:v>
                </c:pt>
                <c:pt idx="356">
                  <c:v>7330.5</c:v>
                </c:pt>
                <c:pt idx="357">
                  <c:v>7337.5</c:v>
                </c:pt>
                <c:pt idx="358">
                  <c:v>7421.5</c:v>
                </c:pt>
                <c:pt idx="359">
                  <c:v>7311</c:v>
                </c:pt>
                <c:pt idx="360">
                  <c:v>7282</c:v>
                </c:pt>
                <c:pt idx="361">
                  <c:v>7120</c:v>
                </c:pt>
                <c:pt idx="362">
                  <c:v>7036</c:v>
                </c:pt>
                <c:pt idx="363">
                  <c:v>7086</c:v>
                </c:pt>
                <c:pt idx="364">
                  <c:v>7057.5</c:v>
                </c:pt>
                <c:pt idx="365">
                  <c:v>7045</c:v>
                </c:pt>
                <c:pt idx="366">
                  <c:v>7020.5</c:v>
                </c:pt>
                <c:pt idx="367">
                  <c:v>6970.5</c:v>
                </c:pt>
                <c:pt idx="368">
                  <c:v>6972.5</c:v>
                </c:pt>
                <c:pt idx="369">
                  <c:v>6808</c:v>
                </c:pt>
                <c:pt idx="370">
                  <c:v>6777</c:v>
                </c:pt>
                <c:pt idx="371">
                  <c:v>6637.5</c:v>
                </c:pt>
                <c:pt idx="372">
                  <c:v>6726.5</c:v>
                </c:pt>
                <c:pt idx="373">
                  <c:v>6685.5</c:v>
                </c:pt>
                <c:pt idx="374">
                  <c:v>6705.5</c:v>
                </c:pt>
                <c:pt idx="375">
                  <c:v>6750.5</c:v>
                </c:pt>
                <c:pt idx="376">
                  <c:v>6917</c:v>
                </c:pt>
                <c:pt idx="377">
                  <c:v>6980</c:v>
                </c:pt>
                <c:pt idx="378">
                  <c:v>6922</c:v>
                </c:pt>
                <c:pt idx="379">
                  <c:v>6920.5</c:v>
                </c:pt>
                <c:pt idx="380">
                  <c:v>6821</c:v>
                </c:pt>
                <c:pt idx="381">
                  <c:v>6765</c:v>
                </c:pt>
                <c:pt idx="382">
                  <c:v>6719</c:v>
                </c:pt>
                <c:pt idx="383">
                  <c:v>6780</c:v>
                </c:pt>
                <c:pt idx="384">
                  <c:v>6995.5</c:v>
                </c:pt>
                <c:pt idx="385">
                  <c:v>6923</c:v>
                </c:pt>
                <c:pt idx="386">
                  <c:v>6891.5</c:v>
                </c:pt>
                <c:pt idx="387">
                  <c:v>6936.5</c:v>
                </c:pt>
                <c:pt idx="388">
                  <c:v>6924</c:v>
                </c:pt>
                <c:pt idx="389">
                  <c:v>6855.5</c:v>
                </c:pt>
                <c:pt idx="390">
                  <c:v>6920</c:v>
                </c:pt>
                <c:pt idx="391">
                  <c:v>6980</c:v>
                </c:pt>
                <c:pt idx="392">
                  <c:v>6961</c:v>
                </c:pt>
                <c:pt idx="393">
                  <c:v>7076.5</c:v>
                </c:pt>
                <c:pt idx="394">
                  <c:v>6927.5</c:v>
                </c:pt>
                <c:pt idx="395">
                  <c:v>6905.5</c:v>
                </c:pt>
                <c:pt idx="396">
                  <c:v>6860.5</c:v>
                </c:pt>
                <c:pt idx="397">
                  <c:v>6752</c:v>
                </c:pt>
                <c:pt idx="398">
                  <c:v>6805</c:v>
                </c:pt>
                <c:pt idx="399">
                  <c:v>6999</c:v>
                </c:pt>
                <c:pt idx="400">
                  <c:v>7019</c:v>
                </c:pt>
                <c:pt idx="401">
                  <c:v>6950.5</c:v>
                </c:pt>
                <c:pt idx="402">
                  <c:v>7026.5</c:v>
                </c:pt>
                <c:pt idx="403">
                  <c:v>6892</c:v>
                </c:pt>
                <c:pt idx="404">
                  <c:v>7121.5</c:v>
                </c:pt>
                <c:pt idx="405">
                  <c:v>7186</c:v>
                </c:pt>
                <c:pt idx="406">
                  <c:v>7246</c:v>
                </c:pt>
                <c:pt idx="407">
                  <c:v>7281</c:v>
                </c:pt>
                <c:pt idx="408">
                  <c:v>7272.5</c:v>
                </c:pt>
                <c:pt idx="409">
                  <c:v>7228</c:v>
                </c:pt>
                <c:pt idx="410">
                  <c:v>7335.5</c:v>
                </c:pt>
                <c:pt idx="411">
                  <c:v>7285.5</c:v>
                </c:pt>
                <c:pt idx="412">
                  <c:v>7265.5</c:v>
                </c:pt>
                <c:pt idx="413">
                  <c:v>7236</c:v>
                </c:pt>
                <c:pt idx="414">
                  <c:v>7340.5</c:v>
                </c:pt>
                <c:pt idx="415">
                  <c:v>7300.5</c:v>
                </c:pt>
                <c:pt idx="416">
                  <c:v>7300.5</c:v>
                </c:pt>
                <c:pt idx="417">
                  <c:v>7236</c:v>
                </c:pt>
                <c:pt idx="418">
                  <c:v>7210.5</c:v>
                </c:pt>
                <c:pt idx="419">
                  <c:v>7095</c:v>
                </c:pt>
                <c:pt idx="420">
                  <c:v>7175.5</c:v>
                </c:pt>
                <c:pt idx="421">
                  <c:v>7183.5</c:v>
                </c:pt>
                <c:pt idx="422">
                  <c:v>7125.5</c:v>
                </c:pt>
                <c:pt idx="423">
                  <c:v>7103</c:v>
                </c:pt>
                <c:pt idx="424">
                  <c:v>7170.5</c:v>
                </c:pt>
                <c:pt idx="425">
                  <c:v>7191.5</c:v>
                </c:pt>
                <c:pt idx="426">
                  <c:v>7172</c:v>
                </c:pt>
                <c:pt idx="427">
                  <c:v>7163</c:v>
                </c:pt>
                <c:pt idx="428">
                  <c:v>7043.5</c:v>
                </c:pt>
                <c:pt idx="429">
                  <c:v>7028.5</c:v>
                </c:pt>
                <c:pt idx="430">
                  <c:v>7050</c:v>
                </c:pt>
                <c:pt idx="431">
                  <c:v>7056.5</c:v>
                </c:pt>
                <c:pt idx="432">
                  <c:v>7090.5</c:v>
                </c:pt>
                <c:pt idx="433">
                  <c:v>7301.5</c:v>
                </c:pt>
                <c:pt idx="434">
                  <c:v>7295</c:v>
                </c:pt>
                <c:pt idx="435">
                  <c:v>7181</c:v>
                </c:pt>
                <c:pt idx="436">
                  <c:v>7140.5</c:v>
                </c:pt>
                <c:pt idx="437">
                  <c:v>7155</c:v>
                </c:pt>
                <c:pt idx="438">
                  <c:v>7220.5</c:v>
                </c:pt>
                <c:pt idx="439">
                  <c:v>7252.5</c:v>
                </c:pt>
                <c:pt idx="440">
                  <c:v>7290.5</c:v>
                </c:pt>
                <c:pt idx="441">
                  <c:v>7219</c:v>
                </c:pt>
                <c:pt idx="442">
                  <c:v>7156</c:v>
                </c:pt>
                <c:pt idx="443">
                  <c:v>7215.5</c:v>
                </c:pt>
                <c:pt idx="444">
                  <c:v>7148</c:v>
                </c:pt>
                <c:pt idx="445">
                  <c:v>7171</c:v>
                </c:pt>
                <c:pt idx="446">
                  <c:v>7231.5</c:v>
                </c:pt>
                <c:pt idx="447">
                  <c:v>7141</c:v>
                </c:pt>
                <c:pt idx="448">
                  <c:v>7112.5</c:v>
                </c:pt>
                <c:pt idx="449">
                  <c:v>7125</c:v>
                </c:pt>
                <c:pt idx="450">
                  <c:v>7205.5</c:v>
                </c:pt>
                <c:pt idx="451">
                  <c:v>7186</c:v>
                </c:pt>
                <c:pt idx="452">
                  <c:v>7158.5</c:v>
                </c:pt>
                <c:pt idx="453">
                  <c:v>7172</c:v>
                </c:pt>
                <c:pt idx="454">
                  <c:v>7241.5</c:v>
                </c:pt>
                <c:pt idx="455">
                  <c:v>7225.5</c:v>
                </c:pt>
                <c:pt idx="456">
                  <c:v>7260</c:v>
                </c:pt>
                <c:pt idx="457">
                  <c:v>7200.5</c:v>
                </c:pt>
                <c:pt idx="458">
                  <c:v>7160</c:v>
                </c:pt>
                <c:pt idx="459">
                  <c:v>7126</c:v>
                </c:pt>
                <c:pt idx="460">
                  <c:v>7161</c:v>
                </c:pt>
                <c:pt idx="461">
                  <c:v>7215.5</c:v>
                </c:pt>
                <c:pt idx="462">
                  <c:v>7275.5</c:v>
                </c:pt>
                <c:pt idx="463">
                  <c:v>7234</c:v>
                </c:pt>
                <c:pt idx="464">
                  <c:v>7255.5</c:v>
                </c:pt>
                <c:pt idx="465">
                  <c:v>7180</c:v>
                </c:pt>
                <c:pt idx="466">
                  <c:v>7138.5</c:v>
                </c:pt>
                <c:pt idx="467">
                  <c:v>7200</c:v>
                </c:pt>
                <c:pt idx="468">
                  <c:v>7119</c:v>
                </c:pt>
                <c:pt idx="469">
                  <c:v>7125.5</c:v>
                </c:pt>
                <c:pt idx="470">
                  <c:v>7135</c:v>
                </c:pt>
                <c:pt idx="471">
                  <c:v>7124</c:v>
                </c:pt>
                <c:pt idx="472">
                  <c:v>7021.5</c:v>
                </c:pt>
                <c:pt idx="473">
                  <c:v>6939</c:v>
                </c:pt>
                <c:pt idx="474">
                  <c:v>6967.5</c:v>
                </c:pt>
                <c:pt idx="475">
                  <c:v>6999.5</c:v>
                </c:pt>
                <c:pt idx="476">
                  <c:v>6947</c:v>
                </c:pt>
                <c:pt idx="477">
                  <c:v>6980</c:v>
                </c:pt>
                <c:pt idx="478">
                  <c:v>6992</c:v>
                </c:pt>
                <c:pt idx="479">
                  <c:v>7065.5</c:v>
                </c:pt>
                <c:pt idx="480">
                  <c:v>7067.5</c:v>
                </c:pt>
                <c:pt idx="481">
                  <c:v>7071</c:v>
                </c:pt>
                <c:pt idx="482">
                  <c:v>7051.5</c:v>
                </c:pt>
                <c:pt idx="483">
                  <c:v>6988</c:v>
                </c:pt>
                <c:pt idx="484">
                  <c:v>7027</c:v>
                </c:pt>
                <c:pt idx="485">
                  <c:v>7008.5</c:v>
                </c:pt>
                <c:pt idx="486">
                  <c:v>6945</c:v>
                </c:pt>
                <c:pt idx="487">
                  <c:v>6975</c:v>
                </c:pt>
                <c:pt idx="488">
                  <c:v>7081</c:v>
                </c:pt>
                <c:pt idx="489">
                  <c:v>7113</c:v>
                </c:pt>
                <c:pt idx="490">
                  <c:v>7141</c:v>
                </c:pt>
                <c:pt idx="491">
                  <c:v>7165.5</c:v>
                </c:pt>
                <c:pt idx="492">
                  <c:v>7169.5</c:v>
                </c:pt>
                <c:pt idx="493">
                  <c:v>7230</c:v>
                </c:pt>
                <c:pt idx="494">
                  <c:v>7218.5</c:v>
                </c:pt>
                <c:pt idx="495">
                  <c:v>7325.5</c:v>
                </c:pt>
                <c:pt idx="496">
                  <c:v>7286</c:v>
                </c:pt>
                <c:pt idx="497">
                  <c:v>7230</c:v>
                </c:pt>
                <c:pt idx="498">
                  <c:v>7218.5</c:v>
                </c:pt>
                <c:pt idx="499">
                  <c:v>7264.5</c:v>
                </c:pt>
                <c:pt idx="500">
                  <c:v>7251</c:v>
                </c:pt>
                <c:pt idx="501">
                  <c:v>7280</c:v>
                </c:pt>
                <c:pt idx="502">
                  <c:v>7375</c:v>
                </c:pt>
                <c:pt idx="503">
                  <c:v>7387</c:v>
                </c:pt>
                <c:pt idx="504">
                  <c:v>7394</c:v>
                </c:pt>
                <c:pt idx="505">
                  <c:v>7439.5</c:v>
                </c:pt>
                <c:pt idx="506">
                  <c:v>7335.5</c:v>
                </c:pt>
                <c:pt idx="507">
                  <c:v>7313.5</c:v>
                </c:pt>
                <c:pt idx="508">
                  <c:v>7354</c:v>
                </c:pt>
                <c:pt idx="509">
                  <c:v>7368</c:v>
                </c:pt>
                <c:pt idx="510">
                  <c:v>7282</c:v>
                </c:pt>
                <c:pt idx="511">
                  <c:v>7283.5</c:v>
                </c:pt>
                <c:pt idx="512">
                  <c:v>7305.5</c:v>
                </c:pt>
                <c:pt idx="513">
                  <c:v>7343</c:v>
                </c:pt>
                <c:pt idx="514">
                  <c:v>7309</c:v>
                </c:pt>
                <c:pt idx="515">
                  <c:v>7345.5</c:v>
                </c:pt>
                <c:pt idx="516">
                  <c:v>7379.5</c:v>
                </c:pt>
                <c:pt idx="517">
                  <c:v>7340</c:v>
                </c:pt>
                <c:pt idx="518">
                  <c:v>7332</c:v>
                </c:pt>
                <c:pt idx="519">
                  <c:v>7327</c:v>
                </c:pt>
                <c:pt idx="520">
                  <c:v>7285</c:v>
                </c:pt>
                <c:pt idx="521">
                  <c:v>7240</c:v>
                </c:pt>
                <c:pt idx="522">
                  <c:v>7235</c:v>
                </c:pt>
                <c:pt idx="523">
                  <c:v>7215</c:v>
                </c:pt>
                <c:pt idx="524">
                  <c:v>7209</c:v>
                </c:pt>
                <c:pt idx="525">
                  <c:v>7155</c:v>
                </c:pt>
                <c:pt idx="526">
                  <c:v>7091</c:v>
                </c:pt>
                <c:pt idx="527">
                  <c:v>7095.5</c:v>
                </c:pt>
                <c:pt idx="528">
                  <c:v>7107</c:v>
                </c:pt>
                <c:pt idx="529">
                  <c:v>7096</c:v>
                </c:pt>
                <c:pt idx="530">
                  <c:v>7109</c:v>
                </c:pt>
                <c:pt idx="531">
                  <c:v>7200</c:v>
                </c:pt>
                <c:pt idx="532">
                  <c:v>7190.5</c:v>
                </c:pt>
                <c:pt idx="533">
                  <c:v>7120</c:v>
                </c:pt>
                <c:pt idx="534">
                  <c:v>7174.5</c:v>
                </c:pt>
                <c:pt idx="535">
                  <c:v>7157</c:v>
                </c:pt>
                <c:pt idx="536">
                  <c:v>7175.5</c:v>
                </c:pt>
                <c:pt idx="537">
                  <c:v>7210</c:v>
                </c:pt>
                <c:pt idx="538">
                  <c:v>7205</c:v>
                </c:pt>
                <c:pt idx="539">
                  <c:v>7220</c:v>
                </c:pt>
                <c:pt idx="540">
                  <c:v>7185</c:v>
                </c:pt>
                <c:pt idx="541">
                  <c:v>7211.5</c:v>
                </c:pt>
                <c:pt idx="542">
                  <c:v>7130</c:v>
                </c:pt>
                <c:pt idx="543">
                  <c:v>7115</c:v>
                </c:pt>
                <c:pt idx="544">
                  <c:v>7149</c:v>
                </c:pt>
                <c:pt idx="545">
                  <c:v>7095</c:v>
                </c:pt>
                <c:pt idx="546">
                  <c:v>7097.5</c:v>
                </c:pt>
                <c:pt idx="547">
                  <c:v>7032.5</c:v>
                </c:pt>
                <c:pt idx="548">
                  <c:v>7035</c:v>
                </c:pt>
                <c:pt idx="549">
                  <c:v>7102.5</c:v>
                </c:pt>
                <c:pt idx="550">
                  <c:v>7054.5</c:v>
                </c:pt>
                <c:pt idx="551">
                  <c:v>6930.5</c:v>
                </c:pt>
                <c:pt idx="552">
                  <c:v>6716</c:v>
                </c:pt>
                <c:pt idx="553">
                  <c:v>6720.5</c:v>
                </c:pt>
                <c:pt idx="554">
                  <c:v>6498</c:v>
                </c:pt>
                <c:pt idx="555">
                  <c:v>6495</c:v>
                </c:pt>
                <c:pt idx="556">
                  <c:v>6490</c:v>
                </c:pt>
                <c:pt idx="557">
                  <c:v>6550</c:v>
                </c:pt>
                <c:pt idx="558">
                  <c:v>6471.5</c:v>
                </c:pt>
                <c:pt idx="559">
                  <c:v>6446</c:v>
                </c:pt>
                <c:pt idx="560">
                  <c:v>6434.5</c:v>
                </c:pt>
                <c:pt idx="561">
                  <c:v>6539.5</c:v>
                </c:pt>
                <c:pt idx="562">
                  <c:v>6510</c:v>
                </c:pt>
                <c:pt idx="563">
                  <c:v>6559.5</c:v>
                </c:pt>
                <c:pt idx="564">
                  <c:v>6555</c:v>
                </c:pt>
                <c:pt idx="565">
                  <c:v>6581</c:v>
                </c:pt>
                <c:pt idx="566">
                  <c:v>6667</c:v>
                </c:pt>
                <c:pt idx="567">
                  <c:v>6636</c:v>
                </c:pt>
                <c:pt idx="568">
                  <c:v>6632</c:v>
                </c:pt>
                <c:pt idx="569">
                  <c:v>6713</c:v>
                </c:pt>
                <c:pt idx="570">
                  <c:v>6606</c:v>
                </c:pt>
                <c:pt idx="571">
                  <c:v>6677</c:v>
                </c:pt>
                <c:pt idx="572">
                  <c:v>6610.5</c:v>
                </c:pt>
                <c:pt idx="573">
                  <c:v>6652</c:v>
                </c:pt>
                <c:pt idx="574">
                  <c:v>6630.5</c:v>
                </c:pt>
                <c:pt idx="575">
                  <c:v>6637.5</c:v>
                </c:pt>
                <c:pt idx="576">
                  <c:v>6686</c:v>
                </c:pt>
                <c:pt idx="577">
                  <c:v>6645</c:v>
                </c:pt>
                <c:pt idx="578">
                  <c:v>6630</c:v>
                </c:pt>
                <c:pt idx="579">
                  <c:v>6600</c:v>
                </c:pt>
                <c:pt idx="580">
                  <c:v>6631</c:v>
                </c:pt>
                <c:pt idx="581">
                  <c:v>6628.5</c:v>
                </c:pt>
                <c:pt idx="582">
                  <c:v>6645</c:v>
                </c:pt>
                <c:pt idx="583">
                  <c:v>6731</c:v>
                </c:pt>
                <c:pt idx="584">
                  <c:v>6785.5</c:v>
                </c:pt>
                <c:pt idx="585">
                  <c:v>6782</c:v>
                </c:pt>
                <c:pt idx="586">
                  <c:v>6770</c:v>
                </c:pt>
                <c:pt idx="587">
                  <c:v>6724</c:v>
                </c:pt>
                <c:pt idx="588">
                  <c:v>6670.5</c:v>
                </c:pt>
                <c:pt idx="589">
                  <c:v>6699</c:v>
                </c:pt>
                <c:pt idx="590">
                  <c:v>6740</c:v>
                </c:pt>
                <c:pt idx="591">
                  <c:v>6688</c:v>
                </c:pt>
                <c:pt idx="592">
                  <c:v>6690.5</c:v>
                </c:pt>
                <c:pt idx="593">
                  <c:v>6770</c:v>
                </c:pt>
                <c:pt idx="594">
                  <c:v>6930</c:v>
                </c:pt>
                <c:pt idx="595">
                  <c:v>6884.5</c:v>
                </c:pt>
                <c:pt idx="596">
                  <c:v>6976.5</c:v>
                </c:pt>
                <c:pt idx="597">
                  <c:v>6949</c:v>
                </c:pt>
                <c:pt idx="598">
                  <c:v>6950</c:v>
                </c:pt>
                <c:pt idx="599">
                  <c:v>7009</c:v>
                </c:pt>
                <c:pt idx="600">
                  <c:v>6922.5</c:v>
                </c:pt>
                <c:pt idx="601">
                  <c:v>6841</c:v>
                </c:pt>
                <c:pt idx="602">
                  <c:v>6945.5</c:v>
                </c:pt>
                <c:pt idx="603">
                  <c:v>6991</c:v>
                </c:pt>
                <c:pt idx="604">
                  <c:v>7020</c:v>
                </c:pt>
                <c:pt idx="605">
                  <c:v>7035</c:v>
                </c:pt>
                <c:pt idx="606">
                  <c:v>6970</c:v>
                </c:pt>
                <c:pt idx="607">
                  <c:v>6995.5</c:v>
                </c:pt>
                <c:pt idx="608">
                  <c:v>7003</c:v>
                </c:pt>
                <c:pt idx="609">
                  <c:v>6930</c:v>
                </c:pt>
                <c:pt idx="610">
                  <c:v>6835</c:v>
                </c:pt>
                <c:pt idx="611">
                  <c:v>6800</c:v>
                </c:pt>
                <c:pt idx="612">
                  <c:v>6660.5</c:v>
                </c:pt>
                <c:pt idx="613">
                  <c:v>6667.5</c:v>
                </c:pt>
                <c:pt idx="614">
                  <c:v>6695.5</c:v>
                </c:pt>
                <c:pt idx="615">
                  <c:v>6689.5</c:v>
                </c:pt>
                <c:pt idx="616">
                  <c:v>6725</c:v>
                </c:pt>
                <c:pt idx="617">
                  <c:v>6671.5</c:v>
                </c:pt>
                <c:pt idx="618">
                  <c:v>6735</c:v>
                </c:pt>
                <c:pt idx="619">
                  <c:v>6711</c:v>
                </c:pt>
                <c:pt idx="620">
                  <c:v>6739</c:v>
                </c:pt>
                <c:pt idx="621">
                  <c:v>6730.5</c:v>
                </c:pt>
                <c:pt idx="622">
                  <c:v>6777.5</c:v>
                </c:pt>
                <c:pt idx="623">
                  <c:v>6901</c:v>
                </c:pt>
                <c:pt idx="624">
                  <c:v>6898.5</c:v>
                </c:pt>
                <c:pt idx="625">
                  <c:v>6890.5</c:v>
                </c:pt>
                <c:pt idx="626">
                  <c:v>6936.5</c:v>
                </c:pt>
                <c:pt idx="627">
                  <c:v>6976</c:v>
                </c:pt>
                <c:pt idx="628">
                  <c:v>6955</c:v>
                </c:pt>
                <c:pt idx="629">
                  <c:v>7015</c:v>
                </c:pt>
                <c:pt idx="630">
                  <c:v>7050</c:v>
                </c:pt>
                <c:pt idx="631">
                  <c:v>7121</c:v>
                </c:pt>
                <c:pt idx="632">
                  <c:v>7159</c:v>
                </c:pt>
                <c:pt idx="633">
                  <c:v>7120.5</c:v>
                </c:pt>
                <c:pt idx="634">
                  <c:v>7155</c:v>
                </c:pt>
                <c:pt idx="635">
                  <c:v>7173</c:v>
                </c:pt>
                <c:pt idx="636">
                  <c:v>7110</c:v>
                </c:pt>
                <c:pt idx="637">
                  <c:v>7151</c:v>
                </c:pt>
                <c:pt idx="638">
                  <c:v>7154.5</c:v>
                </c:pt>
                <c:pt idx="639">
                  <c:v>7102.5</c:v>
                </c:pt>
                <c:pt idx="640">
                  <c:v>7112</c:v>
                </c:pt>
                <c:pt idx="641">
                  <c:v>7030.5</c:v>
                </c:pt>
                <c:pt idx="642">
                  <c:v>7026.5</c:v>
                </c:pt>
                <c:pt idx="643">
                  <c:v>6989.5</c:v>
                </c:pt>
                <c:pt idx="644">
                  <c:v>7060.5</c:v>
                </c:pt>
                <c:pt idx="645">
                  <c:v>7065</c:v>
                </c:pt>
                <c:pt idx="646">
                  <c:v>7151</c:v>
                </c:pt>
                <c:pt idx="647">
                  <c:v>7183.5</c:v>
                </c:pt>
                <c:pt idx="648">
                  <c:v>7132</c:v>
                </c:pt>
                <c:pt idx="649">
                  <c:v>7116</c:v>
                </c:pt>
                <c:pt idx="650">
                  <c:v>7090</c:v>
                </c:pt>
                <c:pt idx="651">
                  <c:v>7135.5</c:v>
                </c:pt>
                <c:pt idx="652">
                  <c:v>7078</c:v>
                </c:pt>
                <c:pt idx="653">
                  <c:v>7104</c:v>
                </c:pt>
                <c:pt idx="654">
                  <c:v>7100.5</c:v>
                </c:pt>
                <c:pt idx="655">
                  <c:v>6995</c:v>
                </c:pt>
                <c:pt idx="656">
                  <c:v>6980.5</c:v>
                </c:pt>
                <c:pt idx="657">
                  <c:v>7020</c:v>
                </c:pt>
                <c:pt idx="658">
                  <c:v>7010.5</c:v>
                </c:pt>
                <c:pt idx="659">
                  <c:v>7025.5</c:v>
                </c:pt>
                <c:pt idx="660">
                  <c:v>6925.5</c:v>
                </c:pt>
                <c:pt idx="661">
                  <c:v>6886.5</c:v>
                </c:pt>
                <c:pt idx="662">
                  <c:v>6852.5</c:v>
                </c:pt>
                <c:pt idx="663">
                  <c:v>6910</c:v>
                </c:pt>
                <c:pt idx="664">
                  <c:v>6934.5</c:v>
                </c:pt>
                <c:pt idx="665">
                  <c:v>6922</c:v>
                </c:pt>
                <c:pt idx="666">
                  <c:v>7003</c:v>
                </c:pt>
                <c:pt idx="667">
                  <c:v>7088</c:v>
                </c:pt>
                <c:pt idx="668">
                  <c:v>7096</c:v>
                </c:pt>
                <c:pt idx="669">
                  <c:v>7051</c:v>
                </c:pt>
                <c:pt idx="670">
                  <c:v>7033</c:v>
                </c:pt>
                <c:pt idx="671">
                  <c:v>6995</c:v>
                </c:pt>
                <c:pt idx="672">
                  <c:v>6966.5</c:v>
                </c:pt>
                <c:pt idx="673">
                  <c:v>6965.5</c:v>
                </c:pt>
                <c:pt idx="674">
                  <c:v>6927</c:v>
                </c:pt>
                <c:pt idx="675">
                  <c:v>6967</c:v>
                </c:pt>
                <c:pt idx="676">
                  <c:v>6973</c:v>
                </c:pt>
                <c:pt idx="677">
                  <c:v>7040.5</c:v>
                </c:pt>
                <c:pt idx="678">
                  <c:v>6937</c:v>
                </c:pt>
                <c:pt idx="679">
                  <c:v>6897.5</c:v>
                </c:pt>
                <c:pt idx="680">
                  <c:v>6829</c:v>
                </c:pt>
                <c:pt idx="681">
                  <c:v>6856</c:v>
                </c:pt>
                <c:pt idx="682">
                  <c:v>6850</c:v>
                </c:pt>
                <c:pt idx="683">
                  <c:v>6895.5</c:v>
                </c:pt>
                <c:pt idx="684">
                  <c:v>6958.5</c:v>
                </c:pt>
                <c:pt idx="685">
                  <c:v>6920</c:v>
                </c:pt>
                <c:pt idx="686">
                  <c:v>6868.5</c:v>
                </c:pt>
                <c:pt idx="687">
                  <c:v>6782</c:v>
                </c:pt>
                <c:pt idx="688">
                  <c:v>6797</c:v>
                </c:pt>
                <c:pt idx="689">
                  <c:v>6750</c:v>
                </c:pt>
                <c:pt idx="690">
                  <c:v>6766</c:v>
                </c:pt>
                <c:pt idx="691">
                  <c:v>6771</c:v>
                </c:pt>
                <c:pt idx="692">
                  <c:v>6735.5</c:v>
                </c:pt>
                <c:pt idx="693">
                  <c:v>6736</c:v>
                </c:pt>
                <c:pt idx="694">
                  <c:v>6755</c:v>
                </c:pt>
                <c:pt idx="695">
                  <c:v>6693.5</c:v>
                </c:pt>
                <c:pt idx="696">
                  <c:v>6665</c:v>
                </c:pt>
                <c:pt idx="697">
                  <c:v>6712.5</c:v>
                </c:pt>
                <c:pt idx="698">
                  <c:v>6715</c:v>
                </c:pt>
                <c:pt idx="699">
                  <c:v>6755</c:v>
                </c:pt>
                <c:pt idx="700">
                  <c:v>6767</c:v>
                </c:pt>
                <c:pt idx="701">
                  <c:v>6697</c:v>
                </c:pt>
                <c:pt idx="702">
                  <c:v>6802</c:v>
                </c:pt>
                <c:pt idx="703">
                  <c:v>6780.5</c:v>
                </c:pt>
                <c:pt idx="704">
                  <c:v>6781</c:v>
                </c:pt>
                <c:pt idx="705">
                  <c:v>6630</c:v>
                </c:pt>
                <c:pt idx="706">
                  <c:v>6629</c:v>
                </c:pt>
                <c:pt idx="707">
                  <c:v>6615</c:v>
                </c:pt>
                <c:pt idx="708">
                  <c:v>6660</c:v>
                </c:pt>
                <c:pt idx="709">
                  <c:v>6730.5</c:v>
                </c:pt>
                <c:pt idx="710">
                  <c:v>6718.5</c:v>
                </c:pt>
                <c:pt idx="711">
                  <c:v>6759.5</c:v>
                </c:pt>
                <c:pt idx="712">
                  <c:v>6800.5</c:v>
                </c:pt>
                <c:pt idx="713">
                  <c:v>6859.5</c:v>
                </c:pt>
                <c:pt idx="714">
                  <c:v>6855</c:v>
                </c:pt>
                <c:pt idx="715">
                  <c:v>6785</c:v>
                </c:pt>
                <c:pt idx="716">
                  <c:v>6835.5</c:v>
                </c:pt>
                <c:pt idx="717">
                  <c:v>6801</c:v>
                </c:pt>
                <c:pt idx="718">
                  <c:v>6705.5</c:v>
                </c:pt>
                <c:pt idx="719">
                  <c:v>6646</c:v>
                </c:pt>
                <c:pt idx="720">
                  <c:v>6681</c:v>
                </c:pt>
                <c:pt idx="721">
                  <c:v>6720.5</c:v>
                </c:pt>
                <c:pt idx="722">
                  <c:v>6735.5</c:v>
                </c:pt>
                <c:pt idx="723">
                  <c:v>6688</c:v>
                </c:pt>
                <c:pt idx="724">
                  <c:v>6752.5</c:v>
                </c:pt>
                <c:pt idx="725">
                  <c:v>6755.5</c:v>
                </c:pt>
                <c:pt idx="726">
                  <c:v>6695</c:v>
                </c:pt>
                <c:pt idx="727">
                  <c:v>6752</c:v>
                </c:pt>
                <c:pt idx="728">
                  <c:v>6684</c:v>
                </c:pt>
                <c:pt idx="729">
                  <c:v>6715</c:v>
                </c:pt>
                <c:pt idx="730">
                  <c:v>6688</c:v>
                </c:pt>
                <c:pt idx="731">
                  <c:v>6790</c:v>
                </c:pt>
                <c:pt idx="732">
                  <c:v>6731</c:v>
                </c:pt>
                <c:pt idx="733">
                  <c:v>6696</c:v>
                </c:pt>
                <c:pt idx="734">
                  <c:v>6649</c:v>
                </c:pt>
                <c:pt idx="735">
                  <c:v>6621.5</c:v>
                </c:pt>
                <c:pt idx="736">
                  <c:v>6515.5</c:v>
                </c:pt>
                <c:pt idx="737">
                  <c:v>6385</c:v>
                </c:pt>
                <c:pt idx="738">
                  <c:v>6455</c:v>
                </c:pt>
                <c:pt idx="739">
                  <c:v>6451</c:v>
                </c:pt>
                <c:pt idx="740">
                  <c:v>6491</c:v>
                </c:pt>
                <c:pt idx="741">
                  <c:v>6536</c:v>
                </c:pt>
                <c:pt idx="742">
                  <c:v>6465.5</c:v>
                </c:pt>
                <c:pt idx="743">
                  <c:v>6401</c:v>
                </c:pt>
                <c:pt idx="744">
                  <c:v>6476</c:v>
                </c:pt>
                <c:pt idx="745">
                  <c:v>6471.5</c:v>
                </c:pt>
                <c:pt idx="746">
                  <c:v>6526.5</c:v>
                </c:pt>
                <c:pt idx="747">
                  <c:v>6560</c:v>
                </c:pt>
                <c:pt idx="748">
                  <c:v>6390</c:v>
                </c:pt>
                <c:pt idx="749">
                  <c:v>6306</c:v>
                </c:pt>
                <c:pt idx="750">
                  <c:v>6350.5</c:v>
                </c:pt>
                <c:pt idx="751">
                  <c:v>6445.5</c:v>
                </c:pt>
                <c:pt idx="752">
                  <c:v>6426.5</c:v>
                </c:pt>
                <c:pt idx="753">
                  <c:v>6363</c:v>
                </c:pt>
                <c:pt idx="754">
                  <c:v>6361</c:v>
                </c:pt>
                <c:pt idx="755">
                  <c:v>6332</c:v>
                </c:pt>
                <c:pt idx="756">
                  <c:v>6330</c:v>
                </c:pt>
                <c:pt idx="757">
                  <c:v>6359</c:v>
                </c:pt>
                <c:pt idx="758">
                  <c:v>6309</c:v>
                </c:pt>
                <c:pt idx="759">
                  <c:v>6216</c:v>
                </c:pt>
                <c:pt idx="760">
                  <c:v>6191</c:v>
                </c:pt>
                <c:pt idx="761">
                  <c:v>6170</c:v>
                </c:pt>
                <c:pt idx="762">
                  <c:v>6230.5</c:v>
                </c:pt>
                <c:pt idx="763">
                  <c:v>6151</c:v>
                </c:pt>
                <c:pt idx="764">
                  <c:v>6131</c:v>
                </c:pt>
                <c:pt idx="765">
                  <c:v>5915</c:v>
                </c:pt>
                <c:pt idx="766">
                  <c:v>5627</c:v>
                </c:pt>
                <c:pt idx="767">
                  <c:v>5719</c:v>
                </c:pt>
                <c:pt idx="768">
                  <c:v>5660</c:v>
                </c:pt>
                <c:pt idx="769">
                  <c:v>5671</c:v>
                </c:pt>
                <c:pt idx="770">
                  <c:v>5760.5</c:v>
                </c:pt>
                <c:pt idx="771">
                  <c:v>5630.5</c:v>
                </c:pt>
                <c:pt idx="772">
                  <c:v>5742</c:v>
                </c:pt>
                <c:pt idx="773">
                  <c:v>5581</c:v>
                </c:pt>
                <c:pt idx="774">
                  <c:v>5490</c:v>
                </c:pt>
                <c:pt idx="775">
                  <c:v>5557</c:v>
                </c:pt>
                <c:pt idx="776">
                  <c:v>5485.5</c:v>
                </c:pt>
                <c:pt idx="777">
                  <c:v>5390.5</c:v>
                </c:pt>
                <c:pt idx="778">
                  <c:v>5505</c:v>
                </c:pt>
                <c:pt idx="779">
                  <c:v>5535.5</c:v>
                </c:pt>
                <c:pt idx="780">
                  <c:v>5695</c:v>
                </c:pt>
                <c:pt idx="781">
                  <c:v>5708</c:v>
                </c:pt>
                <c:pt idx="782">
                  <c:v>5595</c:v>
                </c:pt>
                <c:pt idx="783">
                  <c:v>5692</c:v>
                </c:pt>
                <c:pt idx="784">
                  <c:v>5666</c:v>
                </c:pt>
                <c:pt idx="785">
                  <c:v>5591</c:v>
                </c:pt>
                <c:pt idx="786">
                  <c:v>5645.5</c:v>
                </c:pt>
                <c:pt idx="787">
                  <c:v>5695</c:v>
                </c:pt>
                <c:pt idx="788">
                  <c:v>5731</c:v>
                </c:pt>
                <c:pt idx="789">
                  <c:v>5712</c:v>
                </c:pt>
                <c:pt idx="790">
                  <c:v>5665.5</c:v>
                </c:pt>
                <c:pt idx="791">
                  <c:v>5690</c:v>
                </c:pt>
                <c:pt idx="792">
                  <c:v>5720</c:v>
                </c:pt>
                <c:pt idx="793">
                  <c:v>5707</c:v>
                </c:pt>
                <c:pt idx="794">
                  <c:v>5657</c:v>
                </c:pt>
                <c:pt idx="795">
                  <c:v>5715</c:v>
                </c:pt>
                <c:pt idx="796">
                  <c:v>5805</c:v>
                </c:pt>
                <c:pt idx="797">
                  <c:v>5935.5</c:v>
                </c:pt>
                <c:pt idx="798">
                  <c:v>5880.5</c:v>
                </c:pt>
                <c:pt idx="799">
                  <c:v>5896</c:v>
                </c:pt>
                <c:pt idx="800">
                  <c:v>5855</c:v>
                </c:pt>
                <c:pt idx="801">
                  <c:v>5882</c:v>
                </c:pt>
                <c:pt idx="802">
                  <c:v>5856</c:v>
                </c:pt>
                <c:pt idx="803">
                  <c:v>5826.5</c:v>
                </c:pt>
                <c:pt idx="804">
                  <c:v>5800</c:v>
                </c:pt>
                <c:pt idx="805">
                  <c:v>5783.5</c:v>
                </c:pt>
                <c:pt idx="806">
                  <c:v>5786</c:v>
                </c:pt>
                <c:pt idx="807">
                  <c:v>5865.5</c:v>
                </c:pt>
                <c:pt idx="808">
                  <c:v>5860</c:v>
                </c:pt>
                <c:pt idx="809">
                  <c:v>5853</c:v>
                </c:pt>
                <c:pt idx="810">
                  <c:v>5765</c:v>
                </c:pt>
                <c:pt idx="811">
                  <c:v>5692.5</c:v>
                </c:pt>
                <c:pt idx="812">
                  <c:v>5835</c:v>
                </c:pt>
                <c:pt idx="813">
                  <c:v>5920</c:v>
                </c:pt>
                <c:pt idx="814">
                  <c:v>6093.5</c:v>
                </c:pt>
                <c:pt idx="815">
                  <c:v>6128</c:v>
                </c:pt>
                <c:pt idx="816">
                  <c:v>6134.5</c:v>
                </c:pt>
                <c:pt idx="817">
                  <c:v>6230</c:v>
                </c:pt>
                <c:pt idx="818">
                  <c:v>6146</c:v>
                </c:pt>
                <c:pt idx="819">
                  <c:v>6110</c:v>
                </c:pt>
                <c:pt idx="820">
                  <c:v>6050.5</c:v>
                </c:pt>
                <c:pt idx="821">
                  <c:v>6019.5</c:v>
                </c:pt>
                <c:pt idx="822">
                  <c:v>6001.5</c:v>
                </c:pt>
                <c:pt idx="823">
                  <c:v>6041</c:v>
                </c:pt>
                <c:pt idx="824">
                  <c:v>6055</c:v>
                </c:pt>
                <c:pt idx="825">
                  <c:v>6050</c:v>
                </c:pt>
                <c:pt idx="826">
                  <c:v>6055</c:v>
                </c:pt>
                <c:pt idx="827">
                  <c:v>6011.5</c:v>
                </c:pt>
                <c:pt idx="828">
                  <c:v>5916.5</c:v>
                </c:pt>
                <c:pt idx="829">
                  <c:v>5920.5</c:v>
                </c:pt>
                <c:pt idx="830">
                  <c:v>6054</c:v>
                </c:pt>
                <c:pt idx="831">
                  <c:v>6081</c:v>
                </c:pt>
                <c:pt idx="832">
                  <c:v>6002</c:v>
                </c:pt>
                <c:pt idx="833">
                  <c:v>5975</c:v>
                </c:pt>
                <c:pt idx="834">
                  <c:v>5927</c:v>
                </c:pt>
                <c:pt idx="835">
                  <c:v>5935</c:v>
                </c:pt>
                <c:pt idx="836">
                  <c:v>6025.5</c:v>
                </c:pt>
                <c:pt idx="837">
                  <c:v>6061</c:v>
                </c:pt>
                <c:pt idx="838">
                  <c:v>6090.5</c:v>
                </c:pt>
                <c:pt idx="839">
                  <c:v>6103</c:v>
                </c:pt>
                <c:pt idx="840">
                  <c:v>6245</c:v>
                </c:pt>
                <c:pt idx="841">
                  <c:v>6362</c:v>
                </c:pt>
                <c:pt idx="842">
                  <c:v>6410</c:v>
                </c:pt>
                <c:pt idx="843">
                  <c:v>6400.5</c:v>
                </c:pt>
                <c:pt idx="844">
                  <c:v>6437</c:v>
                </c:pt>
                <c:pt idx="845">
                  <c:v>6396.5</c:v>
                </c:pt>
                <c:pt idx="846">
                  <c:v>6363</c:v>
                </c:pt>
                <c:pt idx="847">
                  <c:v>6448</c:v>
                </c:pt>
                <c:pt idx="848">
                  <c:v>6416</c:v>
                </c:pt>
                <c:pt idx="849">
                  <c:v>6399</c:v>
                </c:pt>
                <c:pt idx="850">
                  <c:v>6356</c:v>
                </c:pt>
                <c:pt idx="851">
                  <c:v>6383</c:v>
                </c:pt>
                <c:pt idx="852">
                  <c:v>6270</c:v>
                </c:pt>
                <c:pt idx="853">
                  <c:v>6208</c:v>
                </c:pt>
                <c:pt idx="854">
                  <c:v>6240</c:v>
                </c:pt>
                <c:pt idx="855">
                  <c:v>6197.5</c:v>
                </c:pt>
                <c:pt idx="856">
                  <c:v>6134.5</c:v>
                </c:pt>
                <c:pt idx="857">
                  <c:v>6085</c:v>
                </c:pt>
                <c:pt idx="858">
                  <c:v>6117</c:v>
                </c:pt>
                <c:pt idx="859">
                  <c:v>6088.5</c:v>
                </c:pt>
                <c:pt idx="860">
                  <c:v>5970.5</c:v>
                </c:pt>
                <c:pt idx="861">
                  <c:v>5998.5</c:v>
                </c:pt>
                <c:pt idx="862">
                  <c:v>5992</c:v>
                </c:pt>
                <c:pt idx="863">
                  <c:v>5954</c:v>
                </c:pt>
                <c:pt idx="864">
                  <c:v>5924.5</c:v>
                </c:pt>
                <c:pt idx="865">
                  <c:v>5915</c:v>
                </c:pt>
                <c:pt idx="866">
                  <c:v>5989</c:v>
                </c:pt>
                <c:pt idx="867">
                  <c:v>6045.5</c:v>
                </c:pt>
                <c:pt idx="868">
                  <c:v>5906</c:v>
                </c:pt>
                <c:pt idx="869">
                  <c:v>5888.5</c:v>
                </c:pt>
                <c:pt idx="870">
                  <c:v>5760.5</c:v>
                </c:pt>
                <c:pt idx="871">
                  <c:v>5752</c:v>
                </c:pt>
                <c:pt idx="872">
                  <c:v>5749</c:v>
                </c:pt>
                <c:pt idx="873">
                  <c:v>5761</c:v>
                </c:pt>
                <c:pt idx="874">
                  <c:v>5663</c:v>
                </c:pt>
                <c:pt idx="875">
                  <c:v>5646</c:v>
                </c:pt>
                <c:pt idx="876">
                  <c:v>5725</c:v>
                </c:pt>
                <c:pt idx="877">
                  <c:v>5765</c:v>
                </c:pt>
                <c:pt idx="878">
                  <c:v>5715.5</c:v>
                </c:pt>
                <c:pt idx="879">
                  <c:v>5731</c:v>
                </c:pt>
                <c:pt idx="880">
                  <c:v>5767</c:v>
                </c:pt>
                <c:pt idx="881">
                  <c:v>5721</c:v>
                </c:pt>
                <c:pt idx="882">
                  <c:v>5755.5</c:v>
                </c:pt>
                <c:pt idx="883">
                  <c:v>5761</c:v>
                </c:pt>
                <c:pt idx="884">
                  <c:v>5761.5</c:v>
                </c:pt>
                <c:pt idx="885">
                  <c:v>5570</c:v>
                </c:pt>
                <c:pt idx="886">
                  <c:v>5440.5</c:v>
                </c:pt>
                <c:pt idx="887">
                  <c:v>5375</c:v>
                </c:pt>
                <c:pt idx="888">
                  <c:v>5576</c:v>
                </c:pt>
                <c:pt idx="889">
                  <c:v>5561.5</c:v>
                </c:pt>
                <c:pt idx="890">
                  <c:v>5605.5</c:v>
                </c:pt>
                <c:pt idx="891">
                  <c:v>5502.5</c:v>
                </c:pt>
                <c:pt idx="892">
                  <c:v>5597</c:v>
                </c:pt>
                <c:pt idx="893">
                  <c:v>5530</c:v>
                </c:pt>
                <c:pt idx="894">
                  <c:v>5465</c:v>
                </c:pt>
                <c:pt idx="895">
                  <c:v>5426</c:v>
                </c:pt>
                <c:pt idx="896">
                  <c:v>5475.5</c:v>
                </c:pt>
                <c:pt idx="897">
                  <c:v>5350.5</c:v>
                </c:pt>
                <c:pt idx="898">
                  <c:v>5340</c:v>
                </c:pt>
                <c:pt idx="899">
                  <c:v>5224.5</c:v>
                </c:pt>
                <c:pt idx="900">
                  <c:v>5190</c:v>
                </c:pt>
                <c:pt idx="901">
                  <c:v>5239.5</c:v>
                </c:pt>
                <c:pt idx="902">
                  <c:v>5302</c:v>
                </c:pt>
                <c:pt idx="903">
                  <c:v>5241</c:v>
                </c:pt>
                <c:pt idx="904">
                  <c:v>5220</c:v>
                </c:pt>
                <c:pt idx="905">
                  <c:v>5176.5</c:v>
                </c:pt>
                <c:pt idx="906">
                  <c:v>5215.5</c:v>
                </c:pt>
                <c:pt idx="907">
                  <c:v>5171.5</c:v>
                </c:pt>
                <c:pt idx="908">
                  <c:v>5165</c:v>
                </c:pt>
                <c:pt idx="909">
                  <c:v>5135.5</c:v>
                </c:pt>
                <c:pt idx="910">
                  <c:v>5150</c:v>
                </c:pt>
                <c:pt idx="911">
                  <c:v>5140</c:v>
                </c:pt>
                <c:pt idx="912">
                  <c:v>5103</c:v>
                </c:pt>
                <c:pt idx="913">
                  <c:v>5148</c:v>
                </c:pt>
                <c:pt idx="914">
                  <c:v>5156</c:v>
                </c:pt>
                <c:pt idx="915">
                  <c:v>5101</c:v>
                </c:pt>
                <c:pt idx="916">
                  <c:v>5000.5</c:v>
                </c:pt>
                <c:pt idx="917">
                  <c:v>5006.5</c:v>
                </c:pt>
                <c:pt idx="918">
                  <c:v>5060.5</c:v>
                </c:pt>
                <c:pt idx="919">
                  <c:v>5046</c:v>
                </c:pt>
                <c:pt idx="920">
                  <c:v>4888</c:v>
                </c:pt>
                <c:pt idx="921">
                  <c:v>5032</c:v>
                </c:pt>
                <c:pt idx="922">
                  <c:v>4959</c:v>
                </c:pt>
                <c:pt idx="923">
                  <c:v>5029</c:v>
                </c:pt>
                <c:pt idx="924">
                  <c:v>5095</c:v>
                </c:pt>
                <c:pt idx="925">
                  <c:v>5095</c:v>
                </c:pt>
                <c:pt idx="926">
                  <c:v>5090.5</c:v>
                </c:pt>
                <c:pt idx="927">
                  <c:v>5250</c:v>
                </c:pt>
                <c:pt idx="928">
                  <c:v>5155.5</c:v>
                </c:pt>
                <c:pt idx="929">
                  <c:v>5176</c:v>
                </c:pt>
                <c:pt idx="930">
                  <c:v>5280</c:v>
                </c:pt>
                <c:pt idx="931">
                  <c:v>5366</c:v>
                </c:pt>
                <c:pt idx="932">
                  <c:v>5400</c:v>
                </c:pt>
                <c:pt idx="933">
                  <c:v>5352</c:v>
                </c:pt>
                <c:pt idx="934">
                  <c:v>5324</c:v>
                </c:pt>
                <c:pt idx="935">
                  <c:v>5290</c:v>
                </c:pt>
                <c:pt idx="936">
                  <c:v>5350</c:v>
                </c:pt>
                <c:pt idx="937">
                  <c:v>5369</c:v>
                </c:pt>
                <c:pt idx="938">
                  <c:v>5358</c:v>
                </c:pt>
                <c:pt idx="939">
                  <c:v>5267</c:v>
                </c:pt>
                <c:pt idx="940">
                  <c:v>5131</c:v>
                </c:pt>
                <c:pt idx="941">
                  <c:v>5112</c:v>
                </c:pt>
                <c:pt idx="942">
                  <c:v>5046</c:v>
                </c:pt>
                <c:pt idx="943">
                  <c:v>5098</c:v>
                </c:pt>
                <c:pt idx="944">
                  <c:v>4965</c:v>
                </c:pt>
                <c:pt idx="945">
                  <c:v>5010</c:v>
                </c:pt>
                <c:pt idx="946">
                  <c:v>5093</c:v>
                </c:pt>
                <c:pt idx="947">
                  <c:v>5178</c:v>
                </c:pt>
                <c:pt idx="948">
                  <c:v>5081</c:v>
                </c:pt>
                <c:pt idx="949">
                  <c:v>5144.5</c:v>
                </c:pt>
                <c:pt idx="950">
                  <c:v>5175</c:v>
                </c:pt>
                <c:pt idx="951">
                  <c:v>5241</c:v>
                </c:pt>
                <c:pt idx="952">
                  <c:v>5160</c:v>
                </c:pt>
                <c:pt idx="953">
                  <c:v>5319</c:v>
                </c:pt>
                <c:pt idx="954">
                  <c:v>5335</c:v>
                </c:pt>
                <c:pt idx="955">
                  <c:v>5260.5</c:v>
                </c:pt>
                <c:pt idx="956">
                  <c:v>5278</c:v>
                </c:pt>
                <c:pt idx="957">
                  <c:v>5344</c:v>
                </c:pt>
                <c:pt idx="958">
                  <c:v>5270</c:v>
                </c:pt>
                <c:pt idx="959">
                  <c:v>5240</c:v>
                </c:pt>
                <c:pt idx="960">
                  <c:v>5189</c:v>
                </c:pt>
                <c:pt idx="961">
                  <c:v>5185.5</c:v>
                </c:pt>
                <c:pt idx="962">
                  <c:v>5274</c:v>
                </c:pt>
                <c:pt idx="963">
                  <c:v>5295</c:v>
                </c:pt>
                <c:pt idx="964">
                  <c:v>5233</c:v>
                </c:pt>
                <c:pt idx="965">
                  <c:v>5219.5</c:v>
                </c:pt>
                <c:pt idx="966">
                  <c:v>5179</c:v>
                </c:pt>
                <c:pt idx="967">
                  <c:v>5161</c:v>
                </c:pt>
                <c:pt idx="968">
                  <c:v>5135.5</c:v>
                </c:pt>
                <c:pt idx="969">
                  <c:v>5137.5</c:v>
                </c:pt>
                <c:pt idx="970">
                  <c:v>5149</c:v>
                </c:pt>
                <c:pt idx="971">
                  <c:v>5165.5</c:v>
                </c:pt>
                <c:pt idx="972">
                  <c:v>5053</c:v>
                </c:pt>
                <c:pt idx="973">
                  <c:v>5000</c:v>
                </c:pt>
                <c:pt idx="974">
                  <c:v>4990</c:v>
                </c:pt>
                <c:pt idx="975">
                  <c:v>4933.5</c:v>
                </c:pt>
                <c:pt idx="976">
                  <c:v>4931</c:v>
                </c:pt>
                <c:pt idx="977">
                  <c:v>4872.5</c:v>
                </c:pt>
                <c:pt idx="978">
                  <c:v>4825</c:v>
                </c:pt>
                <c:pt idx="979">
                  <c:v>4765</c:v>
                </c:pt>
                <c:pt idx="980">
                  <c:v>4700</c:v>
                </c:pt>
                <c:pt idx="981">
                  <c:v>4669</c:v>
                </c:pt>
                <c:pt idx="982">
                  <c:v>4610</c:v>
                </c:pt>
                <c:pt idx="983">
                  <c:v>4690</c:v>
                </c:pt>
                <c:pt idx="984">
                  <c:v>4515.5</c:v>
                </c:pt>
                <c:pt idx="985">
                  <c:v>4527</c:v>
                </c:pt>
                <c:pt idx="986">
                  <c:v>4541</c:v>
                </c:pt>
                <c:pt idx="987">
                  <c:v>4667</c:v>
                </c:pt>
                <c:pt idx="988">
                  <c:v>4636</c:v>
                </c:pt>
                <c:pt idx="989">
                  <c:v>4595.5</c:v>
                </c:pt>
                <c:pt idx="990">
                  <c:v>4619</c:v>
                </c:pt>
                <c:pt idx="991">
                  <c:v>4589</c:v>
                </c:pt>
                <c:pt idx="992">
                  <c:v>4525</c:v>
                </c:pt>
                <c:pt idx="993">
                  <c:v>4637</c:v>
                </c:pt>
                <c:pt idx="994">
                  <c:v>4592.5</c:v>
                </c:pt>
                <c:pt idx="995">
                  <c:v>4567.5</c:v>
                </c:pt>
                <c:pt idx="996">
                  <c:v>4620</c:v>
                </c:pt>
                <c:pt idx="997">
                  <c:v>4572</c:v>
                </c:pt>
                <c:pt idx="998">
                  <c:v>4667</c:v>
                </c:pt>
                <c:pt idx="999">
                  <c:v>4640</c:v>
                </c:pt>
                <c:pt idx="1000">
                  <c:v>4586</c:v>
                </c:pt>
                <c:pt idx="1001">
                  <c:v>4583</c:v>
                </c:pt>
                <c:pt idx="1002">
                  <c:v>4550</c:v>
                </c:pt>
                <c:pt idx="1003">
                  <c:v>4650</c:v>
                </c:pt>
                <c:pt idx="1004">
                  <c:v>4691</c:v>
                </c:pt>
                <c:pt idx="1005">
                  <c:v>4672.5</c:v>
                </c:pt>
                <c:pt idx="1006">
                  <c:v>4680</c:v>
                </c:pt>
                <c:pt idx="1007">
                  <c:v>4665.5</c:v>
                </c:pt>
                <c:pt idx="1008">
                  <c:v>4685</c:v>
                </c:pt>
                <c:pt idx="1009">
                  <c:v>4715</c:v>
                </c:pt>
                <c:pt idx="1010">
                  <c:v>4702</c:v>
                </c:pt>
                <c:pt idx="1011">
                  <c:v>4645</c:v>
                </c:pt>
                <c:pt idx="1012">
                  <c:v>4647</c:v>
                </c:pt>
                <c:pt idx="1013">
                  <c:v>4600</c:v>
                </c:pt>
                <c:pt idx="1014">
                  <c:v>4514</c:v>
                </c:pt>
                <c:pt idx="1015">
                  <c:v>4486.5</c:v>
                </c:pt>
                <c:pt idx="1016">
                  <c:v>4402.5</c:v>
                </c:pt>
                <c:pt idx="1017">
                  <c:v>4355</c:v>
                </c:pt>
                <c:pt idx="1018">
                  <c:v>4380</c:v>
                </c:pt>
                <c:pt idx="1019">
                  <c:v>4365.5</c:v>
                </c:pt>
                <c:pt idx="1020">
                  <c:v>4310.5</c:v>
                </c:pt>
                <c:pt idx="1021">
                  <c:v>4360</c:v>
                </c:pt>
                <c:pt idx="1022">
                  <c:v>4440.5</c:v>
                </c:pt>
                <c:pt idx="1023">
                  <c:v>4347</c:v>
                </c:pt>
                <c:pt idx="1024">
                  <c:v>4376</c:v>
                </c:pt>
                <c:pt idx="1025">
                  <c:v>4468</c:v>
                </c:pt>
                <c:pt idx="1026">
                  <c:v>4454</c:v>
                </c:pt>
                <c:pt idx="1027">
                  <c:v>4501</c:v>
                </c:pt>
                <c:pt idx="1028">
                  <c:v>4507.5</c:v>
                </c:pt>
                <c:pt idx="1029">
                  <c:v>4553.5</c:v>
                </c:pt>
                <c:pt idx="1030">
                  <c:v>4541.5</c:v>
                </c:pt>
                <c:pt idx="1031">
                  <c:v>4534</c:v>
                </c:pt>
                <c:pt idx="1032">
                  <c:v>4605.5</c:v>
                </c:pt>
                <c:pt idx="1033">
                  <c:v>4578.5</c:v>
                </c:pt>
                <c:pt idx="1034">
                  <c:v>4685</c:v>
                </c:pt>
                <c:pt idx="1035">
                  <c:v>4669</c:v>
                </c:pt>
                <c:pt idx="1036">
                  <c:v>4572.5</c:v>
                </c:pt>
                <c:pt idx="1037">
                  <c:v>4530.5</c:v>
                </c:pt>
                <c:pt idx="1038">
                  <c:v>4507</c:v>
                </c:pt>
                <c:pt idx="1039">
                  <c:v>4474</c:v>
                </c:pt>
                <c:pt idx="1040">
                  <c:v>4488.5</c:v>
                </c:pt>
                <c:pt idx="1041">
                  <c:v>4562</c:v>
                </c:pt>
                <c:pt idx="1042">
                  <c:v>4583.5</c:v>
                </c:pt>
                <c:pt idx="1043">
                  <c:v>4562</c:v>
                </c:pt>
                <c:pt idx="1044">
                  <c:v>4577</c:v>
                </c:pt>
                <c:pt idx="1045">
                  <c:v>4590</c:v>
                </c:pt>
                <c:pt idx="1046">
                  <c:v>4696</c:v>
                </c:pt>
                <c:pt idx="1047">
                  <c:v>4663.5</c:v>
                </c:pt>
                <c:pt idx="1048">
                  <c:v>4585.5</c:v>
                </c:pt>
                <c:pt idx="1049">
                  <c:v>4655</c:v>
                </c:pt>
                <c:pt idx="1050">
                  <c:v>4681</c:v>
                </c:pt>
                <c:pt idx="1051">
                  <c:v>4705</c:v>
                </c:pt>
                <c:pt idx="1052">
                  <c:v>4726</c:v>
                </c:pt>
                <c:pt idx="1053">
                  <c:v>4780</c:v>
                </c:pt>
                <c:pt idx="1054">
                  <c:v>4830</c:v>
                </c:pt>
                <c:pt idx="1055">
                  <c:v>4918</c:v>
                </c:pt>
                <c:pt idx="1056">
                  <c:v>5000</c:v>
                </c:pt>
                <c:pt idx="1057">
                  <c:v>4980.5</c:v>
                </c:pt>
                <c:pt idx="1058">
                  <c:v>4935.5</c:v>
                </c:pt>
                <c:pt idx="1059">
                  <c:v>4920.5</c:v>
                </c:pt>
                <c:pt idx="1060">
                  <c:v>4941</c:v>
                </c:pt>
                <c:pt idx="1061">
                  <c:v>4994</c:v>
                </c:pt>
                <c:pt idx="1062">
                  <c:v>4920</c:v>
                </c:pt>
                <c:pt idx="1063">
                  <c:v>4945</c:v>
                </c:pt>
                <c:pt idx="1064">
                  <c:v>5029</c:v>
                </c:pt>
                <c:pt idx="1065">
                  <c:v>5103</c:v>
                </c:pt>
                <c:pt idx="1066">
                  <c:v>5079.5</c:v>
                </c:pt>
                <c:pt idx="1067">
                  <c:v>5070</c:v>
                </c:pt>
                <c:pt idx="1068">
                  <c:v>5060.5</c:v>
                </c:pt>
                <c:pt idx="1069">
                  <c:v>4931</c:v>
                </c:pt>
                <c:pt idx="1070">
                  <c:v>4939.5</c:v>
                </c:pt>
                <c:pt idx="1071">
                  <c:v>4940</c:v>
                </c:pt>
                <c:pt idx="1072">
                  <c:v>4855.5</c:v>
                </c:pt>
                <c:pt idx="1073">
                  <c:v>4880</c:v>
                </c:pt>
                <c:pt idx="1074">
                  <c:v>4816</c:v>
                </c:pt>
                <c:pt idx="1075">
                  <c:v>4776</c:v>
                </c:pt>
                <c:pt idx="1076">
                  <c:v>4775</c:v>
                </c:pt>
                <c:pt idx="1077">
                  <c:v>4715</c:v>
                </c:pt>
                <c:pt idx="1078">
                  <c:v>4654</c:v>
                </c:pt>
                <c:pt idx="1079">
                  <c:v>4645</c:v>
                </c:pt>
                <c:pt idx="1080">
                  <c:v>4715.5</c:v>
                </c:pt>
                <c:pt idx="1081">
                  <c:v>4838</c:v>
                </c:pt>
                <c:pt idx="1082">
                  <c:v>4830.5</c:v>
                </c:pt>
                <c:pt idx="1083">
                  <c:v>4813.5</c:v>
                </c:pt>
                <c:pt idx="1084">
                  <c:v>4798</c:v>
                </c:pt>
                <c:pt idx="1085">
                  <c:v>4812</c:v>
                </c:pt>
                <c:pt idx="1086">
                  <c:v>4938.5</c:v>
                </c:pt>
                <c:pt idx="1087">
                  <c:v>5025.5</c:v>
                </c:pt>
                <c:pt idx="1088">
                  <c:v>5015.5</c:v>
                </c:pt>
                <c:pt idx="1089">
                  <c:v>5000.5</c:v>
                </c:pt>
                <c:pt idx="1090">
                  <c:v>4935.5</c:v>
                </c:pt>
                <c:pt idx="1091">
                  <c:v>4932</c:v>
                </c:pt>
                <c:pt idx="1092">
                  <c:v>4912.5</c:v>
                </c:pt>
                <c:pt idx="1093">
                  <c:v>5045</c:v>
                </c:pt>
                <c:pt idx="1094">
                  <c:v>4960</c:v>
                </c:pt>
                <c:pt idx="1095">
                  <c:v>4892</c:v>
                </c:pt>
                <c:pt idx="1096">
                  <c:v>4826</c:v>
                </c:pt>
                <c:pt idx="1097">
                  <c:v>4810</c:v>
                </c:pt>
                <c:pt idx="1098">
                  <c:v>4739.5</c:v>
                </c:pt>
                <c:pt idx="1099">
                  <c:v>4710</c:v>
                </c:pt>
                <c:pt idx="1100">
                  <c:v>4748</c:v>
                </c:pt>
                <c:pt idx="1101">
                  <c:v>4744</c:v>
                </c:pt>
                <c:pt idx="1102">
                  <c:v>4660</c:v>
                </c:pt>
                <c:pt idx="1103">
                  <c:v>4640.5</c:v>
                </c:pt>
                <c:pt idx="1104">
                  <c:v>4634</c:v>
                </c:pt>
                <c:pt idx="1105">
                  <c:v>4600.5</c:v>
                </c:pt>
                <c:pt idx="1106">
                  <c:v>4596</c:v>
                </c:pt>
                <c:pt idx="1107">
                  <c:v>4630.5</c:v>
                </c:pt>
                <c:pt idx="1108">
                  <c:v>4572</c:v>
                </c:pt>
                <c:pt idx="1109">
                  <c:v>4637</c:v>
                </c:pt>
                <c:pt idx="1110">
                  <c:v>4636</c:v>
                </c:pt>
                <c:pt idx="1111">
                  <c:v>4705.5</c:v>
                </c:pt>
                <c:pt idx="1112">
                  <c:v>4725.5</c:v>
                </c:pt>
                <c:pt idx="1113">
                  <c:v>4700</c:v>
                </c:pt>
                <c:pt idx="1114">
                  <c:v>4601</c:v>
                </c:pt>
                <c:pt idx="1115">
                  <c:v>4600</c:v>
                </c:pt>
                <c:pt idx="1116">
                  <c:v>4688</c:v>
                </c:pt>
                <c:pt idx="1117">
                  <c:v>4706</c:v>
                </c:pt>
                <c:pt idx="1118">
                  <c:v>4589</c:v>
                </c:pt>
                <c:pt idx="1119">
                  <c:v>4590.5</c:v>
                </c:pt>
                <c:pt idx="1120">
                  <c:v>4546</c:v>
                </c:pt>
                <c:pt idx="1121">
                  <c:v>4504</c:v>
                </c:pt>
                <c:pt idx="1122">
                  <c:v>4515</c:v>
                </c:pt>
                <c:pt idx="1123">
                  <c:v>4510.5</c:v>
                </c:pt>
                <c:pt idx="1124">
                  <c:v>4632</c:v>
                </c:pt>
                <c:pt idx="1125">
                  <c:v>4524.5</c:v>
                </c:pt>
                <c:pt idx="1126">
                  <c:v>4521.5</c:v>
                </c:pt>
                <c:pt idx="1127">
                  <c:v>4585</c:v>
                </c:pt>
                <c:pt idx="1128">
                  <c:v>4587</c:v>
                </c:pt>
                <c:pt idx="1129">
                  <c:v>4687.5</c:v>
                </c:pt>
                <c:pt idx="1130">
                  <c:v>4747</c:v>
                </c:pt>
                <c:pt idx="1131">
                  <c:v>4663</c:v>
                </c:pt>
                <c:pt idx="1132">
                  <c:v>4692</c:v>
                </c:pt>
                <c:pt idx="1133">
                  <c:v>4777.5</c:v>
                </c:pt>
                <c:pt idx="1134">
                  <c:v>4780</c:v>
                </c:pt>
                <c:pt idx="1135">
                  <c:v>4827</c:v>
                </c:pt>
                <c:pt idx="1136">
                  <c:v>4783.5</c:v>
                </c:pt>
                <c:pt idx="1137">
                  <c:v>4920</c:v>
                </c:pt>
                <c:pt idx="1138">
                  <c:v>4840.5</c:v>
                </c:pt>
                <c:pt idx="1139">
                  <c:v>4706</c:v>
                </c:pt>
                <c:pt idx="1140">
                  <c:v>4725</c:v>
                </c:pt>
                <c:pt idx="1141">
                  <c:v>4710</c:v>
                </c:pt>
                <c:pt idx="1142">
                  <c:v>4746</c:v>
                </c:pt>
                <c:pt idx="1143">
                  <c:v>4811.5</c:v>
                </c:pt>
                <c:pt idx="1144">
                  <c:v>4918.5</c:v>
                </c:pt>
                <c:pt idx="1145">
                  <c:v>4911.5</c:v>
                </c:pt>
                <c:pt idx="1146">
                  <c:v>4945.5</c:v>
                </c:pt>
                <c:pt idx="1147">
                  <c:v>4839</c:v>
                </c:pt>
                <c:pt idx="1148">
                  <c:v>4938</c:v>
                </c:pt>
                <c:pt idx="1149">
                  <c:v>4900.5</c:v>
                </c:pt>
                <c:pt idx="1150">
                  <c:v>4953.5</c:v>
                </c:pt>
                <c:pt idx="1151">
                  <c:v>4956</c:v>
                </c:pt>
                <c:pt idx="1152">
                  <c:v>4920</c:v>
                </c:pt>
                <c:pt idx="1153">
                  <c:v>4862</c:v>
                </c:pt>
                <c:pt idx="1154">
                  <c:v>4869.5</c:v>
                </c:pt>
                <c:pt idx="1155">
                  <c:v>4862</c:v>
                </c:pt>
                <c:pt idx="1156">
                  <c:v>4853</c:v>
                </c:pt>
                <c:pt idx="1157">
                  <c:v>4907</c:v>
                </c:pt>
                <c:pt idx="1158">
                  <c:v>4885.5</c:v>
                </c:pt>
                <c:pt idx="1159">
                  <c:v>4844.5</c:v>
                </c:pt>
                <c:pt idx="1160">
                  <c:v>4787</c:v>
                </c:pt>
                <c:pt idx="1161">
                  <c:v>4792.5</c:v>
                </c:pt>
                <c:pt idx="1162">
                  <c:v>4796</c:v>
                </c:pt>
                <c:pt idx="1163">
                  <c:v>4779</c:v>
                </c:pt>
                <c:pt idx="1164">
                  <c:v>4874.5</c:v>
                </c:pt>
                <c:pt idx="1165">
                  <c:v>4810</c:v>
                </c:pt>
                <c:pt idx="1166">
                  <c:v>4746</c:v>
                </c:pt>
                <c:pt idx="1167">
                  <c:v>4746</c:v>
                </c:pt>
                <c:pt idx="1168">
                  <c:v>4798</c:v>
                </c:pt>
                <c:pt idx="1169">
                  <c:v>4755.5</c:v>
                </c:pt>
                <c:pt idx="1170">
                  <c:v>4802.5</c:v>
                </c:pt>
                <c:pt idx="1171">
                  <c:v>4774</c:v>
                </c:pt>
                <c:pt idx="1172">
                  <c:v>4732</c:v>
                </c:pt>
                <c:pt idx="1173">
                  <c:v>4719</c:v>
                </c:pt>
                <c:pt idx="1174">
                  <c:v>4658.5</c:v>
                </c:pt>
                <c:pt idx="1175">
                  <c:v>4639.5</c:v>
                </c:pt>
                <c:pt idx="1176">
                  <c:v>4622</c:v>
                </c:pt>
                <c:pt idx="1177">
                  <c:v>4609</c:v>
                </c:pt>
                <c:pt idx="1178">
                  <c:v>4602.5</c:v>
                </c:pt>
                <c:pt idx="1179">
                  <c:v>4620</c:v>
                </c:pt>
                <c:pt idx="1180">
                  <c:v>4607</c:v>
                </c:pt>
                <c:pt idx="1181">
                  <c:v>4603</c:v>
                </c:pt>
                <c:pt idx="1182">
                  <c:v>4623</c:v>
                </c:pt>
                <c:pt idx="1183">
                  <c:v>4643</c:v>
                </c:pt>
                <c:pt idx="1184">
                  <c:v>4617.5</c:v>
                </c:pt>
                <c:pt idx="1185">
                  <c:v>4622.5</c:v>
                </c:pt>
                <c:pt idx="1186">
                  <c:v>4573</c:v>
                </c:pt>
                <c:pt idx="1187">
                  <c:v>4641.5</c:v>
                </c:pt>
                <c:pt idx="1188">
                  <c:v>4694.5</c:v>
                </c:pt>
                <c:pt idx="1189">
                  <c:v>4727</c:v>
                </c:pt>
                <c:pt idx="1190">
                  <c:v>4733.5</c:v>
                </c:pt>
                <c:pt idx="1191">
                  <c:v>4731.5</c:v>
                </c:pt>
                <c:pt idx="1192">
                  <c:v>4732.5</c:v>
                </c:pt>
                <c:pt idx="1193">
                  <c:v>4733</c:v>
                </c:pt>
                <c:pt idx="1194">
                  <c:v>4815.5</c:v>
                </c:pt>
                <c:pt idx="1195">
                  <c:v>4815</c:v>
                </c:pt>
                <c:pt idx="1196">
                  <c:v>4794</c:v>
                </c:pt>
                <c:pt idx="1197">
                  <c:v>4775</c:v>
                </c:pt>
                <c:pt idx="1198">
                  <c:v>4807.5</c:v>
                </c:pt>
                <c:pt idx="1199">
                  <c:v>4816.5</c:v>
                </c:pt>
                <c:pt idx="1200">
                  <c:v>4832</c:v>
                </c:pt>
                <c:pt idx="1201">
                  <c:v>4807</c:v>
                </c:pt>
                <c:pt idx="1202">
                  <c:v>4790.5</c:v>
                </c:pt>
                <c:pt idx="1203">
                  <c:v>4777.5</c:v>
                </c:pt>
                <c:pt idx="1204">
                  <c:v>4742</c:v>
                </c:pt>
                <c:pt idx="1205">
                  <c:v>4742</c:v>
                </c:pt>
                <c:pt idx="1206">
                  <c:v>4786</c:v>
                </c:pt>
                <c:pt idx="1207">
                  <c:v>4801.5</c:v>
                </c:pt>
                <c:pt idx="1208">
                  <c:v>4805</c:v>
                </c:pt>
                <c:pt idx="1209">
                  <c:v>4754.5</c:v>
                </c:pt>
                <c:pt idx="1210">
                  <c:v>4672.5</c:v>
                </c:pt>
                <c:pt idx="1211">
                  <c:v>4671.5</c:v>
                </c:pt>
                <c:pt idx="1212">
                  <c:v>4665.5</c:v>
                </c:pt>
                <c:pt idx="1213">
                  <c:v>4642.5</c:v>
                </c:pt>
                <c:pt idx="1214">
                  <c:v>4633.5</c:v>
                </c:pt>
                <c:pt idx="1215">
                  <c:v>4637</c:v>
                </c:pt>
                <c:pt idx="1216">
                  <c:v>4620.5</c:v>
                </c:pt>
                <c:pt idx="1217">
                  <c:v>4720</c:v>
                </c:pt>
                <c:pt idx="1218">
                  <c:v>4717.5</c:v>
                </c:pt>
                <c:pt idx="1219">
                  <c:v>4774</c:v>
                </c:pt>
                <c:pt idx="1220">
                  <c:v>4787</c:v>
                </c:pt>
                <c:pt idx="1221">
                  <c:v>4827.5</c:v>
                </c:pt>
                <c:pt idx="1222">
                  <c:v>4862.5</c:v>
                </c:pt>
                <c:pt idx="1223">
                  <c:v>4871</c:v>
                </c:pt>
                <c:pt idx="1224">
                  <c:v>4918</c:v>
                </c:pt>
                <c:pt idx="1225">
                  <c:v>4943</c:v>
                </c:pt>
                <c:pt idx="1226">
                  <c:v>5032</c:v>
                </c:pt>
                <c:pt idx="1227">
                  <c:v>5044</c:v>
                </c:pt>
                <c:pt idx="1228">
                  <c:v>5335</c:v>
                </c:pt>
                <c:pt idx="1229">
                  <c:v>5619</c:v>
                </c:pt>
                <c:pt idx="1230">
                  <c:v>5900</c:v>
                </c:pt>
                <c:pt idx="1231">
                  <c:v>5620</c:v>
                </c:pt>
                <c:pt idx="1232">
                  <c:v>5448</c:v>
                </c:pt>
                <c:pt idx="1233">
                  <c:v>5459</c:v>
                </c:pt>
                <c:pt idx="1234">
                  <c:v>5426</c:v>
                </c:pt>
                <c:pt idx="1235">
                  <c:v>5446</c:v>
                </c:pt>
                <c:pt idx="1236">
                  <c:v>5535.5</c:v>
                </c:pt>
                <c:pt idx="1237">
                  <c:v>5618</c:v>
                </c:pt>
                <c:pt idx="1238">
                  <c:v>5564</c:v>
                </c:pt>
                <c:pt idx="1239">
                  <c:v>5834.5</c:v>
                </c:pt>
                <c:pt idx="1240">
                  <c:v>5822.5</c:v>
                </c:pt>
                <c:pt idx="1241">
                  <c:v>5935.5</c:v>
                </c:pt>
                <c:pt idx="1242">
                  <c:v>5778</c:v>
                </c:pt>
                <c:pt idx="1243">
                  <c:v>5740</c:v>
                </c:pt>
                <c:pt idx="1244">
                  <c:v>5773</c:v>
                </c:pt>
                <c:pt idx="1245">
                  <c:v>5736</c:v>
                </c:pt>
                <c:pt idx="1246">
                  <c:v>5851.5</c:v>
                </c:pt>
                <c:pt idx="1247">
                  <c:v>5856</c:v>
                </c:pt>
                <c:pt idx="1248">
                  <c:v>5903.5</c:v>
                </c:pt>
                <c:pt idx="1249">
                  <c:v>5838</c:v>
                </c:pt>
                <c:pt idx="1250">
                  <c:v>5824</c:v>
                </c:pt>
                <c:pt idx="1251">
                  <c:v>5757</c:v>
                </c:pt>
                <c:pt idx="1252">
                  <c:v>5765.5</c:v>
                </c:pt>
                <c:pt idx="1253">
                  <c:v>5735</c:v>
                </c:pt>
                <c:pt idx="1254">
                  <c:v>5682.5</c:v>
                </c:pt>
                <c:pt idx="1255">
                  <c:v>5649</c:v>
                </c:pt>
                <c:pt idx="1256">
                  <c:v>5561</c:v>
                </c:pt>
                <c:pt idx="1257">
                  <c:v>5485.5</c:v>
                </c:pt>
                <c:pt idx="1258">
                  <c:v>5498.5</c:v>
                </c:pt>
                <c:pt idx="1259">
                  <c:v>5426</c:v>
                </c:pt>
                <c:pt idx="1260">
                  <c:v>5482</c:v>
                </c:pt>
                <c:pt idx="1261">
                  <c:v>5486</c:v>
                </c:pt>
                <c:pt idx="1262">
                  <c:v>5514</c:v>
                </c:pt>
                <c:pt idx="1263">
                  <c:v>5501</c:v>
                </c:pt>
                <c:pt idx="1264">
                  <c:v>5574</c:v>
                </c:pt>
                <c:pt idx="1265">
                  <c:v>5500.5</c:v>
                </c:pt>
                <c:pt idx="1266">
                  <c:v>5611</c:v>
                </c:pt>
                <c:pt idx="1267">
                  <c:v>5546.5</c:v>
                </c:pt>
                <c:pt idx="1268">
                  <c:v>5551.5</c:v>
                </c:pt>
                <c:pt idx="1269">
                  <c:v>5642</c:v>
                </c:pt>
                <c:pt idx="1270">
                  <c:v>5709.5</c:v>
                </c:pt>
                <c:pt idx="1271">
                  <c:v>5752.5</c:v>
                </c:pt>
                <c:pt idx="1272">
                  <c:v>5797</c:v>
                </c:pt>
                <c:pt idx="1273">
                  <c:v>5857</c:v>
                </c:pt>
                <c:pt idx="1274">
                  <c:v>5771.5</c:v>
                </c:pt>
                <c:pt idx="1275">
                  <c:v>5721</c:v>
                </c:pt>
                <c:pt idx="1276">
                  <c:v>5710</c:v>
                </c:pt>
                <c:pt idx="1277">
                  <c:v>5706</c:v>
                </c:pt>
                <c:pt idx="1278">
                  <c:v>5775</c:v>
                </c:pt>
                <c:pt idx="1279">
                  <c:v>5879</c:v>
                </c:pt>
                <c:pt idx="1280">
                  <c:v>5867</c:v>
                </c:pt>
                <c:pt idx="1281">
                  <c:v>5890</c:v>
                </c:pt>
                <c:pt idx="1282">
                  <c:v>5847</c:v>
                </c:pt>
                <c:pt idx="1283">
                  <c:v>5857</c:v>
                </c:pt>
                <c:pt idx="1284">
                  <c:v>5921</c:v>
                </c:pt>
                <c:pt idx="1285">
                  <c:v>5931</c:v>
                </c:pt>
                <c:pt idx="1286">
                  <c:v>5903</c:v>
                </c:pt>
                <c:pt idx="1287">
                  <c:v>5836</c:v>
                </c:pt>
                <c:pt idx="1288">
                  <c:v>5786</c:v>
                </c:pt>
                <c:pt idx="1289">
                  <c:v>5802</c:v>
                </c:pt>
                <c:pt idx="1290">
                  <c:v>5865</c:v>
                </c:pt>
                <c:pt idx="1291">
                  <c:v>5863</c:v>
                </c:pt>
                <c:pt idx="1292">
                  <c:v>5872</c:v>
                </c:pt>
                <c:pt idx="1293">
                  <c:v>6111</c:v>
                </c:pt>
                <c:pt idx="1294">
                  <c:v>6145</c:v>
                </c:pt>
                <c:pt idx="1295">
                  <c:v>6016</c:v>
                </c:pt>
                <c:pt idx="1296">
                  <c:v>6015</c:v>
                </c:pt>
                <c:pt idx="1297">
                  <c:v>5939</c:v>
                </c:pt>
                <c:pt idx="1298">
                  <c:v>6002</c:v>
                </c:pt>
                <c:pt idx="1299">
                  <c:v>6034</c:v>
                </c:pt>
                <c:pt idx="1300">
                  <c:v>5976</c:v>
                </c:pt>
                <c:pt idx="1301">
                  <c:v>5991</c:v>
                </c:pt>
                <c:pt idx="1302">
                  <c:v>5881</c:v>
                </c:pt>
                <c:pt idx="1303">
                  <c:v>5927</c:v>
                </c:pt>
                <c:pt idx="1304">
                  <c:v>5936</c:v>
                </c:pt>
                <c:pt idx="1305">
                  <c:v>6040</c:v>
                </c:pt>
                <c:pt idx="1306">
                  <c:v>5994</c:v>
                </c:pt>
                <c:pt idx="1307">
                  <c:v>5910</c:v>
                </c:pt>
                <c:pt idx="1308">
                  <c:v>5856</c:v>
                </c:pt>
                <c:pt idx="1309">
                  <c:v>5807</c:v>
                </c:pt>
                <c:pt idx="1310">
                  <c:v>5782</c:v>
                </c:pt>
                <c:pt idx="1311">
                  <c:v>5655</c:v>
                </c:pt>
                <c:pt idx="1312">
                  <c:v>5714.5</c:v>
                </c:pt>
                <c:pt idx="1313">
                  <c:v>5794</c:v>
                </c:pt>
                <c:pt idx="1314">
                  <c:v>5747</c:v>
                </c:pt>
                <c:pt idx="1315">
                  <c:v>5850</c:v>
                </c:pt>
                <c:pt idx="1316">
                  <c:v>5911</c:v>
                </c:pt>
                <c:pt idx="1317">
                  <c:v>5889</c:v>
                </c:pt>
                <c:pt idx="1318">
                  <c:v>5891</c:v>
                </c:pt>
                <c:pt idx="1319">
                  <c:v>5765.5</c:v>
                </c:pt>
                <c:pt idx="1320">
                  <c:v>5712</c:v>
                </c:pt>
                <c:pt idx="1321">
                  <c:v>5790.5</c:v>
                </c:pt>
                <c:pt idx="1322">
                  <c:v>5782.5</c:v>
                </c:pt>
                <c:pt idx="1323">
                  <c:v>5673.5</c:v>
                </c:pt>
                <c:pt idx="1324">
                  <c:v>5774.5</c:v>
                </c:pt>
                <c:pt idx="1325">
                  <c:v>5847</c:v>
                </c:pt>
                <c:pt idx="1326">
                  <c:v>5860</c:v>
                </c:pt>
                <c:pt idx="1327">
                  <c:v>5849</c:v>
                </c:pt>
                <c:pt idx="1328">
                  <c:v>5817</c:v>
                </c:pt>
                <c:pt idx="1329">
                  <c:v>5724.5</c:v>
                </c:pt>
                <c:pt idx="1330">
                  <c:v>5808.5</c:v>
                </c:pt>
                <c:pt idx="1331">
                  <c:v>5870.5</c:v>
                </c:pt>
                <c:pt idx="1332">
                  <c:v>5770</c:v>
                </c:pt>
                <c:pt idx="1333">
                  <c:v>5731</c:v>
                </c:pt>
                <c:pt idx="1334">
                  <c:v>5746</c:v>
                </c:pt>
                <c:pt idx="1335">
                  <c:v>5685</c:v>
                </c:pt>
                <c:pt idx="1336">
                  <c:v>5655</c:v>
                </c:pt>
                <c:pt idx="1337">
                  <c:v>5620.5</c:v>
                </c:pt>
                <c:pt idx="1338">
                  <c:v>5600.5</c:v>
                </c:pt>
                <c:pt idx="1339">
                  <c:v>5611.5</c:v>
                </c:pt>
                <c:pt idx="1340">
                  <c:v>5601</c:v>
                </c:pt>
                <c:pt idx="1341">
                  <c:v>5612</c:v>
                </c:pt>
                <c:pt idx="1342">
                  <c:v>5652.5</c:v>
                </c:pt>
                <c:pt idx="1343">
                  <c:v>5677.5</c:v>
                </c:pt>
                <c:pt idx="1344">
                  <c:v>5686.5</c:v>
                </c:pt>
                <c:pt idx="1345">
                  <c:v>5688.5</c:v>
                </c:pt>
                <c:pt idx="1346">
                  <c:v>5746.5</c:v>
                </c:pt>
                <c:pt idx="1347">
                  <c:v>5636.5</c:v>
                </c:pt>
                <c:pt idx="1348">
                  <c:v>5543</c:v>
                </c:pt>
                <c:pt idx="1349">
                  <c:v>5530.5</c:v>
                </c:pt>
                <c:pt idx="1350">
                  <c:v>5466</c:v>
                </c:pt>
                <c:pt idx="1351">
                  <c:v>5496</c:v>
                </c:pt>
                <c:pt idx="1352">
                  <c:v>5512</c:v>
                </c:pt>
                <c:pt idx="1353">
                  <c:v>5580.5</c:v>
                </c:pt>
                <c:pt idx="1354">
                  <c:v>5520</c:v>
                </c:pt>
                <c:pt idx="1355">
                  <c:v>5586</c:v>
                </c:pt>
                <c:pt idx="1356">
                  <c:v>5584</c:v>
                </c:pt>
                <c:pt idx="1357">
                  <c:v>5575</c:v>
                </c:pt>
                <c:pt idx="1358">
                  <c:v>5490</c:v>
                </c:pt>
                <c:pt idx="1359">
                  <c:v>5596</c:v>
                </c:pt>
                <c:pt idx="1360">
                  <c:v>5677</c:v>
                </c:pt>
                <c:pt idx="1361">
                  <c:v>5660.5</c:v>
                </c:pt>
                <c:pt idx="1362">
                  <c:v>5662.5</c:v>
                </c:pt>
                <c:pt idx="1363">
                  <c:v>5665</c:v>
                </c:pt>
                <c:pt idx="1364">
                  <c:v>5671</c:v>
                </c:pt>
                <c:pt idx="1365">
                  <c:v>5608</c:v>
                </c:pt>
                <c:pt idx="1366">
                  <c:v>5615.5</c:v>
                </c:pt>
                <c:pt idx="1367">
                  <c:v>5636.5</c:v>
                </c:pt>
                <c:pt idx="1368">
                  <c:v>5559.5</c:v>
                </c:pt>
                <c:pt idx="1369">
                  <c:v>5586.5</c:v>
                </c:pt>
                <c:pt idx="1370">
                  <c:v>5540.5</c:v>
                </c:pt>
                <c:pt idx="1371">
                  <c:v>5575.5</c:v>
                </c:pt>
                <c:pt idx="1372">
                  <c:v>5647.5</c:v>
                </c:pt>
                <c:pt idx="1373">
                  <c:v>5739</c:v>
                </c:pt>
                <c:pt idx="1374">
                  <c:v>5752</c:v>
                </c:pt>
                <c:pt idx="1375">
                  <c:v>5659</c:v>
                </c:pt>
                <c:pt idx="1376">
                  <c:v>5684.5</c:v>
                </c:pt>
                <c:pt idx="1377">
                  <c:v>5637</c:v>
                </c:pt>
                <c:pt idx="1378">
                  <c:v>5655.5</c:v>
                </c:pt>
                <c:pt idx="1379">
                  <c:v>5687</c:v>
                </c:pt>
                <c:pt idx="1380">
                  <c:v>5673.5</c:v>
                </c:pt>
                <c:pt idx="1381">
                  <c:v>5650</c:v>
                </c:pt>
                <c:pt idx="1382">
                  <c:v>5736</c:v>
                </c:pt>
                <c:pt idx="1383">
                  <c:v>5774</c:v>
                </c:pt>
                <c:pt idx="1384">
                  <c:v>5771</c:v>
                </c:pt>
                <c:pt idx="1385">
                  <c:v>5789</c:v>
                </c:pt>
                <c:pt idx="1386">
                  <c:v>5822</c:v>
                </c:pt>
                <c:pt idx="1387">
                  <c:v>5905.5</c:v>
                </c:pt>
                <c:pt idx="1388">
                  <c:v>5907.5</c:v>
                </c:pt>
                <c:pt idx="1389">
                  <c:v>5894</c:v>
                </c:pt>
                <c:pt idx="1390">
                  <c:v>5847</c:v>
                </c:pt>
                <c:pt idx="1391">
                  <c:v>5818</c:v>
                </c:pt>
                <c:pt idx="1392">
                  <c:v>5828.5</c:v>
                </c:pt>
                <c:pt idx="1393">
                  <c:v>5809</c:v>
                </c:pt>
                <c:pt idx="1394">
                  <c:v>5780</c:v>
                </c:pt>
                <c:pt idx="1395">
                  <c:v>5795</c:v>
                </c:pt>
                <c:pt idx="1396">
                  <c:v>5882.5</c:v>
                </c:pt>
                <c:pt idx="1397">
                  <c:v>5902</c:v>
                </c:pt>
                <c:pt idx="1398">
                  <c:v>5858</c:v>
                </c:pt>
                <c:pt idx="1399">
                  <c:v>5965.5</c:v>
                </c:pt>
                <c:pt idx="1400">
                  <c:v>5940.5</c:v>
                </c:pt>
                <c:pt idx="1401">
                  <c:v>5956</c:v>
                </c:pt>
                <c:pt idx="1402">
                  <c:v>5930</c:v>
                </c:pt>
                <c:pt idx="1403">
                  <c:v>6001.5</c:v>
                </c:pt>
                <c:pt idx="1404">
                  <c:v>6000</c:v>
                </c:pt>
                <c:pt idx="1405">
                  <c:v>6150</c:v>
                </c:pt>
                <c:pt idx="1406">
                  <c:v>6238</c:v>
                </c:pt>
                <c:pt idx="1407">
                  <c:v>6325</c:v>
                </c:pt>
                <c:pt idx="1408">
                  <c:v>6283</c:v>
                </c:pt>
                <c:pt idx="1409">
                  <c:v>6347</c:v>
                </c:pt>
                <c:pt idx="1410">
                  <c:v>6300.5</c:v>
                </c:pt>
                <c:pt idx="1411">
                  <c:v>6300</c:v>
                </c:pt>
                <c:pt idx="1412">
                  <c:v>6290</c:v>
                </c:pt>
                <c:pt idx="1413">
                  <c:v>6330</c:v>
                </c:pt>
                <c:pt idx="1414">
                  <c:v>6333</c:v>
                </c:pt>
                <c:pt idx="1415">
                  <c:v>6364</c:v>
                </c:pt>
                <c:pt idx="1416">
                  <c:v>6465</c:v>
                </c:pt>
                <c:pt idx="1417">
                  <c:v>6416.5</c:v>
                </c:pt>
                <c:pt idx="1418">
                  <c:v>6353.5</c:v>
                </c:pt>
                <c:pt idx="1419">
                  <c:v>6351</c:v>
                </c:pt>
                <c:pt idx="1420">
                  <c:v>6382</c:v>
                </c:pt>
                <c:pt idx="1421">
                  <c:v>6433</c:v>
                </c:pt>
                <c:pt idx="1422">
                  <c:v>6460</c:v>
                </c:pt>
                <c:pt idx="1423">
                  <c:v>6453</c:v>
                </c:pt>
                <c:pt idx="1424">
                  <c:v>6514.5</c:v>
                </c:pt>
                <c:pt idx="1425">
                  <c:v>6584</c:v>
                </c:pt>
                <c:pt idx="1426">
                  <c:v>6555</c:v>
                </c:pt>
                <c:pt idx="1427">
                  <c:v>6577</c:v>
                </c:pt>
                <c:pt idx="1428">
                  <c:v>6714</c:v>
                </c:pt>
                <c:pt idx="1429">
                  <c:v>6797</c:v>
                </c:pt>
                <c:pt idx="1430">
                  <c:v>6755</c:v>
                </c:pt>
                <c:pt idx="1431">
                  <c:v>6792</c:v>
                </c:pt>
                <c:pt idx="1432">
                  <c:v>6776</c:v>
                </c:pt>
                <c:pt idx="1433">
                  <c:v>6873</c:v>
                </c:pt>
                <c:pt idx="1434">
                  <c:v>6904</c:v>
                </c:pt>
                <c:pt idx="1435">
                  <c:v>6864</c:v>
                </c:pt>
                <c:pt idx="1436">
                  <c:v>6842.5</c:v>
                </c:pt>
                <c:pt idx="1437">
                  <c:v>6780</c:v>
                </c:pt>
                <c:pt idx="1438">
                  <c:v>6737</c:v>
                </c:pt>
                <c:pt idx="1439">
                  <c:v>6601.5</c:v>
                </c:pt>
                <c:pt idx="1440">
                  <c:v>6527</c:v>
                </c:pt>
                <c:pt idx="1441">
                  <c:v>6418.5</c:v>
                </c:pt>
                <c:pt idx="1442">
                  <c:v>6457</c:v>
                </c:pt>
                <c:pt idx="1443">
                  <c:v>6487</c:v>
                </c:pt>
                <c:pt idx="1444">
                  <c:v>6492</c:v>
                </c:pt>
                <c:pt idx="1445">
                  <c:v>6520</c:v>
                </c:pt>
                <c:pt idx="1446">
                  <c:v>6407.5</c:v>
                </c:pt>
                <c:pt idx="1447">
                  <c:v>6405</c:v>
                </c:pt>
                <c:pt idx="1448">
                  <c:v>6416</c:v>
                </c:pt>
                <c:pt idx="1449">
                  <c:v>6423</c:v>
                </c:pt>
                <c:pt idx="1450">
                  <c:v>6426</c:v>
                </c:pt>
                <c:pt idx="1451">
                  <c:v>6405</c:v>
                </c:pt>
                <c:pt idx="1452">
                  <c:v>6485</c:v>
                </c:pt>
                <c:pt idx="1453">
                  <c:v>6455</c:v>
                </c:pt>
                <c:pt idx="1454">
                  <c:v>6447</c:v>
                </c:pt>
                <c:pt idx="1455">
                  <c:v>6453</c:v>
                </c:pt>
                <c:pt idx="1456">
                  <c:v>6511</c:v>
                </c:pt>
                <c:pt idx="1457">
                  <c:v>6639</c:v>
                </c:pt>
                <c:pt idx="1458">
                  <c:v>6607</c:v>
                </c:pt>
                <c:pt idx="1459">
                  <c:v>6641</c:v>
                </c:pt>
                <c:pt idx="1460">
                  <c:v>6685</c:v>
                </c:pt>
                <c:pt idx="1461">
                  <c:v>6813</c:v>
                </c:pt>
                <c:pt idx="1462">
                  <c:v>6858</c:v>
                </c:pt>
                <c:pt idx="1463">
                  <c:v>7063</c:v>
                </c:pt>
                <c:pt idx="1464">
                  <c:v>7046</c:v>
                </c:pt>
                <c:pt idx="1465">
                  <c:v>6971.5</c:v>
                </c:pt>
                <c:pt idx="1466">
                  <c:v>6920</c:v>
                </c:pt>
                <c:pt idx="1467">
                  <c:v>7008.5</c:v>
                </c:pt>
                <c:pt idx="1468">
                  <c:v>6959</c:v>
                </c:pt>
                <c:pt idx="1469">
                  <c:v>7073.5</c:v>
                </c:pt>
                <c:pt idx="1470">
                  <c:v>6970.5</c:v>
                </c:pt>
                <c:pt idx="1471">
                  <c:v>6965</c:v>
                </c:pt>
                <c:pt idx="1472">
                  <c:v>6831.5</c:v>
                </c:pt>
                <c:pt idx="1473">
                  <c:v>6823</c:v>
                </c:pt>
                <c:pt idx="1474">
                  <c:v>6802</c:v>
                </c:pt>
                <c:pt idx="1475">
                  <c:v>6918</c:v>
                </c:pt>
                <c:pt idx="1476">
                  <c:v>6855</c:v>
                </c:pt>
                <c:pt idx="1477">
                  <c:v>6914.5</c:v>
                </c:pt>
                <c:pt idx="1478">
                  <c:v>6902.5</c:v>
                </c:pt>
                <c:pt idx="1479">
                  <c:v>6863</c:v>
                </c:pt>
                <c:pt idx="1480">
                  <c:v>6812</c:v>
                </c:pt>
                <c:pt idx="1481">
                  <c:v>6777</c:v>
                </c:pt>
                <c:pt idx="1482">
                  <c:v>6797</c:v>
                </c:pt>
                <c:pt idx="1483">
                  <c:v>6768</c:v>
                </c:pt>
                <c:pt idx="1484">
                  <c:v>6822.5</c:v>
                </c:pt>
                <c:pt idx="1485">
                  <c:v>6715.5</c:v>
                </c:pt>
                <c:pt idx="1486">
                  <c:v>6764</c:v>
                </c:pt>
                <c:pt idx="1487">
                  <c:v>6728.5</c:v>
                </c:pt>
                <c:pt idx="1488">
                  <c:v>6752</c:v>
                </c:pt>
                <c:pt idx="1489">
                  <c:v>6828</c:v>
                </c:pt>
                <c:pt idx="1490">
                  <c:v>6872.5</c:v>
                </c:pt>
                <c:pt idx="1491">
                  <c:v>6895.5</c:v>
                </c:pt>
                <c:pt idx="1492">
                  <c:v>6967.5</c:v>
                </c:pt>
                <c:pt idx="1493">
                  <c:v>6892</c:v>
                </c:pt>
                <c:pt idx="1494">
                  <c:v>6800</c:v>
                </c:pt>
                <c:pt idx="1495">
                  <c:v>6756.5</c:v>
                </c:pt>
                <c:pt idx="1496">
                  <c:v>6761</c:v>
                </c:pt>
                <c:pt idx="1497">
                  <c:v>6734</c:v>
                </c:pt>
                <c:pt idx="1498">
                  <c:v>6807</c:v>
                </c:pt>
                <c:pt idx="1499">
                  <c:v>6645</c:v>
                </c:pt>
                <c:pt idx="1500">
                  <c:v>6539</c:v>
                </c:pt>
                <c:pt idx="1501">
                  <c:v>6530.5</c:v>
                </c:pt>
                <c:pt idx="1502">
                  <c:v>6538.5</c:v>
                </c:pt>
                <c:pt idx="1503">
                  <c:v>6547.5</c:v>
                </c:pt>
                <c:pt idx="1504">
                  <c:v>6614</c:v>
                </c:pt>
                <c:pt idx="1505">
                  <c:v>6685</c:v>
                </c:pt>
                <c:pt idx="1506">
                  <c:v>6723</c:v>
                </c:pt>
                <c:pt idx="1507">
                  <c:v>6735.5</c:v>
                </c:pt>
                <c:pt idx="1508">
                  <c:v>6844</c:v>
                </c:pt>
                <c:pt idx="1509">
                  <c:v>6845</c:v>
                </c:pt>
                <c:pt idx="1510">
                  <c:v>6925</c:v>
                </c:pt>
                <c:pt idx="1511">
                  <c:v>6977</c:v>
                </c:pt>
                <c:pt idx="1512">
                  <c:v>7019</c:v>
                </c:pt>
                <c:pt idx="1513">
                  <c:v>7140</c:v>
                </c:pt>
                <c:pt idx="1514">
                  <c:v>7216</c:v>
                </c:pt>
                <c:pt idx="1515">
                  <c:v>7157</c:v>
                </c:pt>
                <c:pt idx="1516">
                  <c:v>7181</c:v>
                </c:pt>
                <c:pt idx="1517">
                  <c:v>7115.5</c:v>
                </c:pt>
                <c:pt idx="1518">
                  <c:v>7202.5</c:v>
                </c:pt>
                <c:pt idx="1519">
                  <c:v>7097</c:v>
                </c:pt>
                <c:pt idx="1520">
                  <c:v>7084.5</c:v>
                </c:pt>
                <c:pt idx="1521">
                  <c:v>7092</c:v>
                </c:pt>
                <c:pt idx="1522">
                  <c:v>7140.5</c:v>
                </c:pt>
                <c:pt idx="1523">
                  <c:v>7123</c:v>
                </c:pt>
                <c:pt idx="1524">
                  <c:v>7070.5</c:v>
                </c:pt>
                <c:pt idx="1525">
                  <c:v>7180</c:v>
                </c:pt>
                <c:pt idx="1526">
                  <c:v>7023</c:v>
                </c:pt>
                <c:pt idx="1527">
                  <c:v>7047</c:v>
                </c:pt>
                <c:pt idx="1528">
                  <c:v>7047</c:v>
                </c:pt>
                <c:pt idx="1529">
                  <c:v>7079</c:v>
                </c:pt>
                <c:pt idx="1530">
                  <c:v>7049</c:v>
                </c:pt>
                <c:pt idx="1531">
                  <c:v>6905</c:v>
                </c:pt>
                <c:pt idx="1532">
                  <c:v>6943</c:v>
                </c:pt>
                <c:pt idx="1533">
                  <c:v>7112</c:v>
                </c:pt>
                <c:pt idx="1534">
                  <c:v>7063.5</c:v>
                </c:pt>
                <c:pt idx="1535">
                  <c:v>7062</c:v>
                </c:pt>
                <c:pt idx="1536">
                  <c:v>7049</c:v>
                </c:pt>
                <c:pt idx="1537">
                  <c:v>7100.5</c:v>
                </c:pt>
                <c:pt idx="1538">
                  <c:v>7027</c:v>
                </c:pt>
                <c:pt idx="1539">
                  <c:v>7066</c:v>
                </c:pt>
                <c:pt idx="1540">
                  <c:v>7050</c:v>
                </c:pt>
                <c:pt idx="1541">
                  <c:v>7060</c:v>
                </c:pt>
                <c:pt idx="1542">
                  <c:v>7006</c:v>
                </c:pt>
                <c:pt idx="1543">
                  <c:v>6838</c:v>
                </c:pt>
                <c:pt idx="1544">
                  <c:v>6755</c:v>
                </c:pt>
                <c:pt idx="1545">
                  <c:v>6786.5</c:v>
                </c:pt>
                <c:pt idx="1546">
                  <c:v>6908</c:v>
                </c:pt>
                <c:pt idx="1547">
                  <c:v>6962</c:v>
                </c:pt>
                <c:pt idx="1548">
                  <c:v>7098</c:v>
                </c:pt>
                <c:pt idx="1549">
                  <c:v>7159</c:v>
                </c:pt>
                <c:pt idx="1550">
                  <c:v>7093</c:v>
                </c:pt>
                <c:pt idx="1551">
                  <c:v>7027</c:v>
                </c:pt>
                <c:pt idx="1552">
                  <c:v>7003</c:v>
                </c:pt>
                <c:pt idx="1553">
                  <c:v>7032</c:v>
                </c:pt>
                <c:pt idx="1554">
                  <c:v>7073.5</c:v>
                </c:pt>
                <c:pt idx="1555">
                  <c:v>7111</c:v>
                </c:pt>
                <c:pt idx="1556">
                  <c:v>7028</c:v>
                </c:pt>
                <c:pt idx="1557">
                  <c:v>6953</c:v>
                </c:pt>
                <c:pt idx="1558">
                  <c:v>6852</c:v>
                </c:pt>
                <c:pt idx="1559">
                  <c:v>6883</c:v>
                </c:pt>
                <c:pt idx="1560">
                  <c:v>6850</c:v>
                </c:pt>
                <c:pt idx="1561">
                  <c:v>6968.5</c:v>
                </c:pt>
                <c:pt idx="1562">
                  <c:v>6873</c:v>
                </c:pt>
                <c:pt idx="1563">
                  <c:v>6830</c:v>
                </c:pt>
                <c:pt idx="1564">
                  <c:v>6808</c:v>
                </c:pt>
                <c:pt idx="1565">
                  <c:v>6857</c:v>
                </c:pt>
                <c:pt idx="1566">
                  <c:v>6883</c:v>
                </c:pt>
                <c:pt idx="1567">
                  <c:v>7015</c:v>
                </c:pt>
                <c:pt idx="1568">
                  <c:v>6885.5</c:v>
                </c:pt>
                <c:pt idx="1569">
                  <c:v>6923</c:v>
                </c:pt>
                <c:pt idx="1570">
                  <c:v>6791.5</c:v>
                </c:pt>
                <c:pt idx="1571">
                  <c:v>6784</c:v>
                </c:pt>
                <c:pt idx="1572">
                  <c:v>6675</c:v>
                </c:pt>
                <c:pt idx="1573">
                  <c:v>6746.5</c:v>
                </c:pt>
                <c:pt idx="1574">
                  <c:v>6658</c:v>
                </c:pt>
                <c:pt idx="1575">
                  <c:v>6500</c:v>
                </c:pt>
                <c:pt idx="1576">
                  <c:v>6641.5</c:v>
                </c:pt>
                <c:pt idx="1577">
                  <c:v>6601.5</c:v>
                </c:pt>
                <c:pt idx="1578">
                  <c:v>6685</c:v>
                </c:pt>
                <c:pt idx="1579">
                  <c:v>6756</c:v>
                </c:pt>
                <c:pt idx="1580">
                  <c:v>6625</c:v>
                </c:pt>
                <c:pt idx="1581">
                  <c:v>6767</c:v>
                </c:pt>
                <c:pt idx="1582">
                  <c:v>6703</c:v>
                </c:pt>
                <c:pt idx="1583">
                  <c:v>6767</c:v>
                </c:pt>
                <c:pt idx="1584">
                  <c:v>6888</c:v>
                </c:pt>
                <c:pt idx="1585">
                  <c:v>6930.5</c:v>
                </c:pt>
                <c:pt idx="1586">
                  <c:v>6756</c:v>
                </c:pt>
                <c:pt idx="1587">
                  <c:v>6830</c:v>
                </c:pt>
                <c:pt idx="1588">
                  <c:v>6811.5</c:v>
                </c:pt>
                <c:pt idx="1589">
                  <c:v>6784</c:v>
                </c:pt>
                <c:pt idx="1590">
                  <c:v>6936</c:v>
                </c:pt>
                <c:pt idx="1591">
                  <c:v>6942</c:v>
                </c:pt>
                <c:pt idx="1592">
                  <c:v>6939</c:v>
                </c:pt>
                <c:pt idx="1593">
                  <c:v>6923</c:v>
                </c:pt>
                <c:pt idx="1594">
                  <c:v>6987</c:v>
                </c:pt>
                <c:pt idx="1595">
                  <c:v>6960.5</c:v>
                </c:pt>
                <c:pt idx="1596">
                  <c:v>6885.5</c:v>
                </c:pt>
                <c:pt idx="1597">
                  <c:v>6797</c:v>
                </c:pt>
                <c:pt idx="1598">
                  <c:v>6783</c:v>
                </c:pt>
                <c:pt idx="1599">
                  <c:v>6777.5</c:v>
                </c:pt>
                <c:pt idx="1600">
                  <c:v>6785</c:v>
                </c:pt>
                <c:pt idx="1601">
                  <c:v>6837</c:v>
                </c:pt>
                <c:pt idx="1602">
                  <c:v>6783</c:v>
                </c:pt>
                <c:pt idx="1603">
                  <c:v>6722</c:v>
                </c:pt>
                <c:pt idx="1604">
                  <c:v>6786</c:v>
                </c:pt>
                <c:pt idx="1605">
                  <c:v>6862</c:v>
                </c:pt>
                <c:pt idx="1606">
                  <c:v>6869</c:v>
                </c:pt>
                <c:pt idx="1607">
                  <c:v>6828</c:v>
                </c:pt>
                <c:pt idx="1608">
                  <c:v>6822.5</c:v>
                </c:pt>
                <c:pt idx="1609">
                  <c:v>6773.5</c:v>
                </c:pt>
                <c:pt idx="1610">
                  <c:v>6838</c:v>
                </c:pt>
                <c:pt idx="1611">
                  <c:v>6783.5</c:v>
                </c:pt>
                <c:pt idx="1612">
                  <c:v>6861</c:v>
                </c:pt>
                <c:pt idx="1613">
                  <c:v>6931.5</c:v>
                </c:pt>
                <c:pt idx="1614">
                  <c:v>6800</c:v>
                </c:pt>
                <c:pt idx="1615">
                  <c:v>6835</c:v>
                </c:pt>
                <c:pt idx="1616">
                  <c:v>6886</c:v>
                </c:pt>
                <c:pt idx="1617">
                  <c:v>6841.5</c:v>
                </c:pt>
                <c:pt idx="1618">
                  <c:v>6810</c:v>
                </c:pt>
                <c:pt idx="1619">
                  <c:v>6825</c:v>
                </c:pt>
                <c:pt idx="1620">
                  <c:v>6814</c:v>
                </c:pt>
                <c:pt idx="1621">
                  <c:v>6935</c:v>
                </c:pt>
                <c:pt idx="1622">
                  <c:v>6971</c:v>
                </c:pt>
                <c:pt idx="1623">
                  <c:v>7147</c:v>
                </c:pt>
                <c:pt idx="1624">
                  <c:v>7245.5</c:v>
                </c:pt>
                <c:pt idx="1625">
                  <c:v>7262.5</c:v>
                </c:pt>
                <c:pt idx="1626">
                  <c:v>7223.5</c:v>
                </c:pt>
                <c:pt idx="1627">
                  <c:v>7200.5</c:v>
                </c:pt>
                <c:pt idx="1628">
                  <c:v>7201.5</c:v>
                </c:pt>
                <c:pt idx="1629">
                  <c:v>7197</c:v>
                </c:pt>
                <c:pt idx="1630">
                  <c:v>7136</c:v>
                </c:pt>
                <c:pt idx="1631">
                  <c:v>6987</c:v>
                </c:pt>
                <c:pt idx="1632">
                  <c:v>6820</c:v>
                </c:pt>
                <c:pt idx="1633">
                  <c:v>6819</c:v>
                </c:pt>
                <c:pt idx="1634">
                  <c:v>6801</c:v>
                </c:pt>
                <c:pt idx="1635">
                  <c:v>6811</c:v>
                </c:pt>
                <c:pt idx="1636">
                  <c:v>6783</c:v>
                </c:pt>
                <c:pt idx="1637">
                  <c:v>6712</c:v>
                </c:pt>
                <c:pt idx="1638">
                  <c:v>6688</c:v>
                </c:pt>
                <c:pt idx="1639">
                  <c:v>6650</c:v>
                </c:pt>
                <c:pt idx="1640">
                  <c:v>6646</c:v>
                </c:pt>
                <c:pt idx="1641">
                  <c:v>6595</c:v>
                </c:pt>
                <c:pt idx="1642">
                  <c:v>6584.5</c:v>
                </c:pt>
                <c:pt idx="1643">
                  <c:v>6459</c:v>
                </c:pt>
                <c:pt idx="1644">
                  <c:v>6399.5</c:v>
                </c:pt>
                <c:pt idx="1645">
                  <c:v>6326</c:v>
                </c:pt>
                <c:pt idx="1646">
                  <c:v>6383</c:v>
                </c:pt>
                <c:pt idx="1647">
                  <c:v>6308</c:v>
                </c:pt>
                <c:pt idx="1648">
                  <c:v>6182</c:v>
                </c:pt>
                <c:pt idx="1649">
                  <c:v>6173</c:v>
                </c:pt>
                <c:pt idx="1650">
                  <c:v>6166</c:v>
                </c:pt>
                <c:pt idx="1651">
                  <c:v>6143</c:v>
                </c:pt>
                <c:pt idx="1652">
                  <c:v>6141.5</c:v>
                </c:pt>
                <c:pt idx="1653">
                  <c:v>6068</c:v>
                </c:pt>
                <c:pt idx="1654">
                  <c:v>5982</c:v>
                </c:pt>
                <c:pt idx="1655">
                  <c:v>6073</c:v>
                </c:pt>
                <c:pt idx="1656">
                  <c:v>6153</c:v>
                </c:pt>
                <c:pt idx="1657">
                  <c:v>6167</c:v>
                </c:pt>
                <c:pt idx="1658">
                  <c:v>6252</c:v>
                </c:pt>
                <c:pt idx="1659">
                  <c:v>6255</c:v>
                </c:pt>
                <c:pt idx="1660">
                  <c:v>6251.5</c:v>
                </c:pt>
                <c:pt idx="1661">
                  <c:v>6185</c:v>
                </c:pt>
                <c:pt idx="1662">
                  <c:v>6213</c:v>
                </c:pt>
                <c:pt idx="1663">
                  <c:v>6137</c:v>
                </c:pt>
                <c:pt idx="1664">
                  <c:v>6063</c:v>
                </c:pt>
                <c:pt idx="1665">
                  <c:v>6167</c:v>
                </c:pt>
                <c:pt idx="1666">
                  <c:v>6040</c:v>
                </c:pt>
                <c:pt idx="1667">
                  <c:v>6132</c:v>
                </c:pt>
                <c:pt idx="1668">
                  <c:v>6113</c:v>
                </c:pt>
                <c:pt idx="1669">
                  <c:v>6247</c:v>
                </c:pt>
                <c:pt idx="1670">
                  <c:v>6120</c:v>
                </c:pt>
                <c:pt idx="1671">
                  <c:v>6081</c:v>
                </c:pt>
                <c:pt idx="1672">
                  <c:v>6059</c:v>
                </c:pt>
                <c:pt idx="1673">
                  <c:v>5843</c:v>
                </c:pt>
                <c:pt idx="1674">
                  <c:v>5860</c:v>
                </c:pt>
                <c:pt idx="1675">
                  <c:v>5844</c:v>
                </c:pt>
                <c:pt idx="1676">
                  <c:v>5963</c:v>
                </c:pt>
                <c:pt idx="1677">
                  <c:v>6025.5</c:v>
                </c:pt>
                <c:pt idx="1678">
                  <c:v>6000</c:v>
                </c:pt>
                <c:pt idx="1679">
                  <c:v>5910.5</c:v>
                </c:pt>
                <c:pt idx="1680">
                  <c:v>6001</c:v>
                </c:pt>
                <c:pt idx="1681">
                  <c:v>6118</c:v>
                </c:pt>
                <c:pt idx="1682">
                  <c:v>6065</c:v>
                </c:pt>
                <c:pt idx="1683">
                  <c:v>6066.5</c:v>
                </c:pt>
                <c:pt idx="1684">
                  <c:v>6019</c:v>
                </c:pt>
                <c:pt idx="1685">
                  <c:v>5951</c:v>
                </c:pt>
                <c:pt idx="1686">
                  <c:v>5823</c:v>
                </c:pt>
                <c:pt idx="1687">
                  <c:v>5850</c:v>
                </c:pt>
                <c:pt idx="1688">
                  <c:v>5940</c:v>
                </c:pt>
                <c:pt idx="1689">
                  <c:v>5883</c:v>
                </c:pt>
                <c:pt idx="1690">
                  <c:v>5840.5</c:v>
                </c:pt>
                <c:pt idx="1691">
                  <c:v>5849</c:v>
                </c:pt>
                <c:pt idx="1692">
                  <c:v>5891</c:v>
                </c:pt>
                <c:pt idx="1693">
                  <c:v>5991</c:v>
                </c:pt>
                <c:pt idx="1694">
                  <c:v>5946.5</c:v>
                </c:pt>
                <c:pt idx="1695">
                  <c:v>5860</c:v>
                </c:pt>
                <c:pt idx="1696">
                  <c:v>6003</c:v>
                </c:pt>
                <c:pt idx="1697">
                  <c:v>6057</c:v>
                </c:pt>
                <c:pt idx="1698">
                  <c:v>6057</c:v>
                </c:pt>
                <c:pt idx="1699">
                  <c:v>6203</c:v>
                </c:pt>
                <c:pt idx="1700">
                  <c:v>6320</c:v>
                </c:pt>
                <c:pt idx="1701">
                  <c:v>6276</c:v>
                </c:pt>
                <c:pt idx="1702">
                  <c:v>6257.5</c:v>
                </c:pt>
                <c:pt idx="1703">
                  <c:v>6222</c:v>
                </c:pt>
                <c:pt idx="1704">
                  <c:v>6180</c:v>
                </c:pt>
                <c:pt idx="1705">
                  <c:v>6172</c:v>
                </c:pt>
                <c:pt idx="1706">
                  <c:v>6274</c:v>
                </c:pt>
                <c:pt idx="1707">
                  <c:v>6275</c:v>
                </c:pt>
                <c:pt idx="1708">
                  <c:v>6310</c:v>
                </c:pt>
                <c:pt idx="1709">
                  <c:v>6182.5</c:v>
                </c:pt>
                <c:pt idx="1710">
                  <c:v>6169</c:v>
                </c:pt>
                <c:pt idx="1711">
                  <c:v>6219</c:v>
                </c:pt>
                <c:pt idx="1712">
                  <c:v>6294</c:v>
                </c:pt>
                <c:pt idx="1713">
                  <c:v>6155</c:v>
                </c:pt>
                <c:pt idx="1714">
                  <c:v>6325</c:v>
                </c:pt>
                <c:pt idx="1715">
                  <c:v>6296</c:v>
                </c:pt>
                <c:pt idx="1716">
                  <c:v>6202</c:v>
                </c:pt>
                <c:pt idx="1717">
                  <c:v>6249</c:v>
                </c:pt>
                <c:pt idx="1718">
                  <c:v>6147</c:v>
                </c:pt>
                <c:pt idx="1719">
                  <c:v>6191.5</c:v>
                </c:pt>
                <c:pt idx="1720">
                  <c:v>6284</c:v>
                </c:pt>
                <c:pt idx="1721">
                  <c:v>6167.5</c:v>
                </c:pt>
                <c:pt idx="1722">
                  <c:v>6215</c:v>
                </c:pt>
                <c:pt idx="1723">
                  <c:v>6210</c:v>
                </c:pt>
                <c:pt idx="1724">
                  <c:v>6159</c:v>
                </c:pt>
                <c:pt idx="1725">
                  <c:v>6260</c:v>
                </c:pt>
                <c:pt idx="1726">
                  <c:v>6136</c:v>
                </c:pt>
                <c:pt idx="1727">
                  <c:v>6073</c:v>
                </c:pt>
                <c:pt idx="1728">
                  <c:v>6070</c:v>
                </c:pt>
                <c:pt idx="1729">
                  <c:v>6255</c:v>
                </c:pt>
                <c:pt idx="1730">
                  <c:v>6239</c:v>
                </c:pt>
                <c:pt idx="1731">
                  <c:v>6205</c:v>
                </c:pt>
                <c:pt idx="1732">
                  <c:v>6210</c:v>
                </c:pt>
                <c:pt idx="1733">
                  <c:v>6137</c:v>
                </c:pt>
                <c:pt idx="1734">
                  <c:v>6088</c:v>
                </c:pt>
                <c:pt idx="1735">
                  <c:v>6083.5</c:v>
                </c:pt>
                <c:pt idx="1736">
                  <c:v>6130</c:v>
                </c:pt>
                <c:pt idx="1737">
                  <c:v>6106</c:v>
                </c:pt>
                <c:pt idx="1738">
                  <c:v>6188</c:v>
                </c:pt>
                <c:pt idx="1739">
                  <c:v>6181</c:v>
                </c:pt>
                <c:pt idx="1740">
                  <c:v>6260</c:v>
                </c:pt>
                <c:pt idx="1741">
                  <c:v>6262</c:v>
                </c:pt>
                <c:pt idx="1742">
                  <c:v>6242</c:v>
                </c:pt>
                <c:pt idx="1743">
                  <c:v>6246</c:v>
                </c:pt>
                <c:pt idx="1744">
                  <c:v>6210</c:v>
                </c:pt>
                <c:pt idx="1745">
                  <c:v>6246</c:v>
                </c:pt>
                <c:pt idx="1746">
                  <c:v>6169.5</c:v>
                </c:pt>
                <c:pt idx="1747">
                  <c:v>6198</c:v>
                </c:pt>
                <c:pt idx="1748">
                  <c:v>6282</c:v>
                </c:pt>
                <c:pt idx="1749">
                  <c:v>6238</c:v>
                </c:pt>
                <c:pt idx="1750">
                  <c:v>6307</c:v>
                </c:pt>
                <c:pt idx="1751">
                  <c:v>6278</c:v>
                </c:pt>
                <c:pt idx="1752">
                  <c:v>6162</c:v>
                </c:pt>
                <c:pt idx="1753">
                  <c:v>6112</c:v>
                </c:pt>
                <c:pt idx="1754">
                  <c:v>6173</c:v>
                </c:pt>
                <c:pt idx="1755">
                  <c:v>6112</c:v>
                </c:pt>
                <c:pt idx="1756">
                  <c:v>6163</c:v>
                </c:pt>
                <c:pt idx="1757">
                  <c:v>6151</c:v>
                </c:pt>
                <c:pt idx="1758">
                  <c:v>6196</c:v>
                </c:pt>
                <c:pt idx="1759">
                  <c:v>6104</c:v>
                </c:pt>
                <c:pt idx="1760">
                  <c:v>6095.5</c:v>
                </c:pt>
                <c:pt idx="1761">
                  <c:v>6043</c:v>
                </c:pt>
                <c:pt idx="1762">
                  <c:v>5987</c:v>
                </c:pt>
                <c:pt idx="1763">
                  <c:v>6015</c:v>
                </c:pt>
                <c:pt idx="1764">
                  <c:v>5987</c:v>
                </c:pt>
                <c:pt idx="1765">
                  <c:v>5931.5</c:v>
                </c:pt>
                <c:pt idx="1766">
                  <c:v>5990</c:v>
                </c:pt>
                <c:pt idx="1767">
                  <c:v>6018</c:v>
                </c:pt>
                <c:pt idx="1768">
                  <c:v>5965</c:v>
                </c:pt>
                <c:pt idx="1769">
                  <c:v>5839</c:v>
                </c:pt>
                <c:pt idx="1770">
                  <c:v>5811</c:v>
                </c:pt>
                <c:pt idx="1771">
                  <c:v>5840</c:v>
                </c:pt>
                <c:pt idx="1772">
                  <c:v>5889.5</c:v>
                </c:pt>
                <c:pt idx="1773">
                  <c:v>5904.5</c:v>
                </c:pt>
                <c:pt idx="1774">
                  <c:v>5964</c:v>
                </c:pt>
                <c:pt idx="1775">
                  <c:v>5908.5</c:v>
                </c:pt>
                <c:pt idx="1776">
                  <c:v>5926.5</c:v>
                </c:pt>
                <c:pt idx="1777">
                  <c:v>5861</c:v>
                </c:pt>
                <c:pt idx="1778">
                  <c:v>5882</c:v>
                </c:pt>
                <c:pt idx="1779">
                  <c:v>5911</c:v>
                </c:pt>
                <c:pt idx="1780">
                  <c:v>5933</c:v>
                </c:pt>
                <c:pt idx="1781">
                  <c:v>6022</c:v>
                </c:pt>
                <c:pt idx="1782">
                  <c:v>5951.5</c:v>
                </c:pt>
                <c:pt idx="1783">
                  <c:v>5926.5</c:v>
                </c:pt>
                <c:pt idx="1784">
                  <c:v>5920.5</c:v>
                </c:pt>
                <c:pt idx="1785">
                  <c:v>5885</c:v>
                </c:pt>
                <c:pt idx="1786">
                  <c:v>5901</c:v>
                </c:pt>
                <c:pt idx="1787">
                  <c:v>5996</c:v>
                </c:pt>
                <c:pt idx="1788">
                  <c:v>6007</c:v>
                </c:pt>
                <c:pt idx="1789">
                  <c:v>6077</c:v>
                </c:pt>
                <c:pt idx="1790">
                  <c:v>6148</c:v>
                </c:pt>
                <c:pt idx="1791">
                  <c:v>6097.5</c:v>
                </c:pt>
                <c:pt idx="1792">
                  <c:v>6076.5</c:v>
                </c:pt>
                <c:pt idx="1793">
                  <c:v>6174</c:v>
                </c:pt>
                <c:pt idx="1794">
                  <c:v>6210</c:v>
                </c:pt>
                <c:pt idx="1795">
                  <c:v>6227</c:v>
                </c:pt>
                <c:pt idx="1796">
                  <c:v>6207</c:v>
                </c:pt>
                <c:pt idx="1797">
                  <c:v>6148</c:v>
                </c:pt>
                <c:pt idx="1798">
                  <c:v>6102</c:v>
                </c:pt>
                <c:pt idx="1799">
                  <c:v>6120</c:v>
                </c:pt>
                <c:pt idx="1800">
                  <c:v>6178.5</c:v>
                </c:pt>
                <c:pt idx="1801">
                  <c:v>6190</c:v>
                </c:pt>
                <c:pt idx="1802">
                  <c:v>6269.5</c:v>
                </c:pt>
                <c:pt idx="1803">
                  <c:v>6246.5</c:v>
                </c:pt>
                <c:pt idx="1804">
                  <c:v>6351.5</c:v>
                </c:pt>
                <c:pt idx="1805">
                  <c:v>6391</c:v>
                </c:pt>
                <c:pt idx="1806">
                  <c:v>6489</c:v>
                </c:pt>
                <c:pt idx="1807">
                  <c:v>6546</c:v>
                </c:pt>
                <c:pt idx="1808">
                  <c:v>6471</c:v>
                </c:pt>
                <c:pt idx="1809">
                  <c:v>6533</c:v>
                </c:pt>
                <c:pt idx="1810">
                  <c:v>6536</c:v>
                </c:pt>
                <c:pt idx="1811">
                  <c:v>6572</c:v>
                </c:pt>
                <c:pt idx="1812">
                  <c:v>6420</c:v>
                </c:pt>
                <c:pt idx="1813">
                  <c:v>6553.5</c:v>
                </c:pt>
                <c:pt idx="1814">
                  <c:v>6505</c:v>
                </c:pt>
                <c:pt idx="1815">
                  <c:v>6458</c:v>
                </c:pt>
                <c:pt idx="1816">
                  <c:v>6398.5</c:v>
                </c:pt>
                <c:pt idx="1817">
                  <c:v>6435</c:v>
                </c:pt>
                <c:pt idx="1818">
                  <c:v>6510</c:v>
                </c:pt>
                <c:pt idx="1819">
                  <c:v>6529</c:v>
                </c:pt>
                <c:pt idx="1820">
                  <c:v>6409</c:v>
                </c:pt>
                <c:pt idx="1821">
                  <c:v>6410</c:v>
                </c:pt>
                <c:pt idx="1822">
                  <c:v>6492</c:v>
                </c:pt>
                <c:pt idx="1823">
                  <c:v>6500</c:v>
                </c:pt>
                <c:pt idx="1824">
                  <c:v>6487</c:v>
                </c:pt>
                <c:pt idx="1825">
                  <c:v>6520</c:v>
                </c:pt>
                <c:pt idx="1826">
                  <c:v>6375</c:v>
                </c:pt>
                <c:pt idx="1827">
                  <c:v>6328</c:v>
                </c:pt>
                <c:pt idx="1828">
                  <c:v>6361</c:v>
                </c:pt>
                <c:pt idx="1829">
                  <c:v>6338.5</c:v>
                </c:pt>
                <c:pt idx="1830">
                  <c:v>6385</c:v>
                </c:pt>
                <c:pt idx="1831">
                  <c:v>6485</c:v>
                </c:pt>
                <c:pt idx="1832">
                  <c:v>6498</c:v>
                </c:pt>
                <c:pt idx="1833">
                  <c:v>6431</c:v>
                </c:pt>
                <c:pt idx="1834">
                  <c:v>6483</c:v>
                </c:pt>
                <c:pt idx="1835">
                  <c:v>6444</c:v>
                </c:pt>
                <c:pt idx="1836">
                  <c:v>6419</c:v>
                </c:pt>
                <c:pt idx="1837">
                  <c:v>6432.5</c:v>
                </c:pt>
                <c:pt idx="1838">
                  <c:v>6498</c:v>
                </c:pt>
                <c:pt idx="1839">
                  <c:v>6447</c:v>
                </c:pt>
                <c:pt idx="1840">
                  <c:v>6432.5</c:v>
                </c:pt>
                <c:pt idx="1841">
                  <c:v>6490</c:v>
                </c:pt>
                <c:pt idx="1842">
                  <c:v>6456</c:v>
                </c:pt>
                <c:pt idx="1843">
                  <c:v>6460</c:v>
                </c:pt>
                <c:pt idx="1844">
                  <c:v>6509</c:v>
                </c:pt>
                <c:pt idx="1845">
                  <c:v>6448</c:v>
                </c:pt>
                <c:pt idx="1846">
                  <c:v>6430</c:v>
                </c:pt>
                <c:pt idx="1847">
                  <c:v>6437.5</c:v>
                </c:pt>
                <c:pt idx="1848">
                  <c:v>6375.5</c:v>
                </c:pt>
                <c:pt idx="1849">
                  <c:v>6393</c:v>
                </c:pt>
                <c:pt idx="1850">
                  <c:v>6376</c:v>
                </c:pt>
                <c:pt idx="1851">
                  <c:v>6442</c:v>
                </c:pt>
                <c:pt idx="1852">
                  <c:v>6398</c:v>
                </c:pt>
                <c:pt idx="1853">
                  <c:v>6214</c:v>
                </c:pt>
                <c:pt idx="1854">
                  <c:v>6180</c:v>
                </c:pt>
                <c:pt idx="1855">
                  <c:v>6174</c:v>
                </c:pt>
                <c:pt idx="1856">
                  <c:v>6103</c:v>
                </c:pt>
                <c:pt idx="1857">
                  <c:v>6112</c:v>
                </c:pt>
                <c:pt idx="1858">
                  <c:v>6135.5</c:v>
                </c:pt>
                <c:pt idx="1859">
                  <c:v>6042.5</c:v>
                </c:pt>
                <c:pt idx="1860">
                  <c:v>6007</c:v>
                </c:pt>
                <c:pt idx="1861">
                  <c:v>6002</c:v>
                </c:pt>
                <c:pt idx="1862">
                  <c:v>6089</c:v>
                </c:pt>
                <c:pt idx="1863">
                  <c:v>6025</c:v>
                </c:pt>
                <c:pt idx="1864">
                  <c:v>5985</c:v>
                </c:pt>
                <c:pt idx="1865">
                  <c:v>6004</c:v>
                </c:pt>
                <c:pt idx="1866">
                  <c:v>5920</c:v>
                </c:pt>
                <c:pt idx="1867">
                  <c:v>5860</c:v>
                </c:pt>
                <c:pt idx="1868">
                  <c:v>5919</c:v>
                </c:pt>
                <c:pt idx="1869">
                  <c:v>5956.5</c:v>
                </c:pt>
                <c:pt idx="1870">
                  <c:v>5864.5</c:v>
                </c:pt>
                <c:pt idx="1871">
                  <c:v>5823</c:v>
                </c:pt>
                <c:pt idx="1872">
                  <c:v>5780.5</c:v>
                </c:pt>
                <c:pt idx="1873">
                  <c:v>5796</c:v>
                </c:pt>
                <c:pt idx="1874">
                  <c:v>5804</c:v>
                </c:pt>
                <c:pt idx="1875">
                  <c:v>5832.5</c:v>
                </c:pt>
                <c:pt idx="1876">
                  <c:v>5805</c:v>
                </c:pt>
                <c:pt idx="1877">
                  <c:v>5770</c:v>
                </c:pt>
                <c:pt idx="1878">
                  <c:v>5788</c:v>
                </c:pt>
                <c:pt idx="1879">
                  <c:v>5905</c:v>
                </c:pt>
                <c:pt idx="1880">
                  <c:v>5828.5</c:v>
                </c:pt>
                <c:pt idx="1881">
                  <c:v>5797.5</c:v>
                </c:pt>
                <c:pt idx="1882">
                  <c:v>5805.5</c:v>
                </c:pt>
                <c:pt idx="1883">
                  <c:v>5756</c:v>
                </c:pt>
                <c:pt idx="1884">
                  <c:v>5848.5</c:v>
                </c:pt>
                <c:pt idx="1885">
                  <c:v>5895</c:v>
                </c:pt>
                <c:pt idx="1886">
                  <c:v>5962</c:v>
                </c:pt>
                <c:pt idx="1887">
                  <c:v>5941</c:v>
                </c:pt>
                <c:pt idx="1888">
                  <c:v>5917</c:v>
                </c:pt>
                <c:pt idx="1889">
                  <c:v>5985.5</c:v>
                </c:pt>
                <c:pt idx="1890">
                  <c:v>6006</c:v>
                </c:pt>
                <c:pt idx="1891">
                  <c:v>5953.5</c:v>
                </c:pt>
                <c:pt idx="1892">
                  <c:v>5972</c:v>
                </c:pt>
                <c:pt idx="1893">
                  <c:v>5999</c:v>
                </c:pt>
                <c:pt idx="1894">
                  <c:v>5910</c:v>
                </c:pt>
                <c:pt idx="1895">
                  <c:v>5874</c:v>
                </c:pt>
                <c:pt idx="1896">
                  <c:v>5900</c:v>
                </c:pt>
                <c:pt idx="1897">
                  <c:v>5857</c:v>
                </c:pt>
                <c:pt idx="1898">
                  <c:v>5912</c:v>
                </c:pt>
                <c:pt idx="1899">
                  <c:v>5805</c:v>
                </c:pt>
                <c:pt idx="1900">
                  <c:v>5862.5</c:v>
                </c:pt>
                <c:pt idx="1901">
                  <c:v>5925</c:v>
                </c:pt>
                <c:pt idx="1902">
                  <c:v>5950</c:v>
                </c:pt>
                <c:pt idx="1903">
                  <c:v>5997.5</c:v>
                </c:pt>
                <c:pt idx="1904">
                  <c:v>5959</c:v>
                </c:pt>
                <c:pt idx="1905">
                  <c:v>5922</c:v>
                </c:pt>
                <c:pt idx="1906">
                  <c:v>5948</c:v>
                </c:pt>
                <c:pt idx="1907">
                  <c:v>6066</c:v>
                </c:pt>
                <c:pt idx="1908">
                  <c:v>6007.5</c:v>
                </c:pt>
                <c:pt idx="1909">
                  <c:v>5968.5</c:v>
                </c:pt>
                <c:pt idx="1910">
                  <c:v>5980</c:v>
                </c:pt>
                <c:pt idx="1911">
                  <c:v>6010</c:v>
                </c:pt>
                <c:pt idx="1912">
                  <c:v>5945</c:v>
                </c:pt>
                <c:pt idx="1913">
                  <c:v>5949.5</c:v>
                </c:pt>
                <c:pt idx="1914">
                  <c:v>5943</c:v>
                </c:pt>
                <c:pt idx="1915">
                  <c:v>5926</c:v>
                </c:pt>
                <c:pt idx="1916">
                  <c:v>5876</c:v>
                </c:pt>
                <c:pt idx="1917">
                  <c:v>5769</c:v>
                </c:pt>
                <c:pt idx="1918">
                  <c:v>5647</c:v>
                </c:pt>
                <c:pt idx="1919">
                  <c:v>5667</c:v>
                </c:pt>
                <c:pt idx="1920">
                  <c:v>5673.5</c:v>
                </c:pt>
                <c:pt idx="1921">
                  <c:v>5723</c:v>
                </c:pt>
                <c:pt idx="1922">
                  <c:v>5744</c:v>
                </c:pt>
                <c:pt idx="1923">
                  <c:v>5724.5</c:v>
                </c:pt>
                <c:pt idx="1924">
                  <c:v>5697</c:v>
                </c:pt>
                <c:pt idx="1925">
                  <c:v>5732</c:v>
                </c:pt>
                <c:pt idx="1926">
                  <c:v>5696.5</c:v>
                </c:pt>
                <c:pt idx="1927">
                  <c:v>5710</c:v>
                </c:pt>
                <c:pt idx="1928">
                  <c:v>5755.5</c:v>
                </c:pt>
                <c:pt idx="1929">
                  <c:v>5698</c:v>
                </c:pt>
                <c:pt idx="1930">
                  <c:v>5696.5</c:v>
                </c:pt>
                <c:pt idx="1931">
                  <c:v>5668</c:v>
                </c:pt>
                <c:pt idx="1932">
                  <c:v>5675</c:v>
                </c:pt>
                <c:pt idx="1933">
                  <c:v>5662</c:v>
                </c:pt>
                <c:pt idx="1934">
                  <c:v>5653</c:v>
                </c:pt>
                <c:pt idx="1935">
                  <c:v>5722</c:v>
                </c:pt>
                <c:pt idx="1936">
                  <c:v>5678</c:v>
                </c:pt>
                <c:pt idx="1937">
                  <c:v>5610.5</c:v>
                </c:pt>
                <c:pt idx="1938">
                  <c:v>5537</c:v>
                </c:pt>
                <c:pt idx="1939">
                  <c:v>5663</c:v>
                </c:pt>
                <c:pt idx="1940">
                  <c:v>5777</c:v>
                </c:pt>
                <c:pt idx="1941">
                  <c:v>5787.5</c:v>
                </c:pt>
                <c:pt idx="1942">
                  <c:v>5771</c:v>
                </c:pt>
                <c:pt idx="1943">
                  <c:v>5738</c:v>
                </c:pt>
                <c:pt idx="1944">
                  <c:v>5765</c:v>
                </c:pt>
                <c:pt idx="1945">
                  <c:v>5842.5</c:v>
                </c:pt>
                <c:pt idx="1946">
                  <c:v>5870</c:v>
                </c:pt>
                <c:pt idx="1947">
                  <c:v>5877</c:v>
                </c:pt>
                <c:pt idx="1948">
                  <c:v>5762</c:v>
                </c:pt>
                <c:pt idx="1949">
                  <c:v>5745</c:v>
                </c:pt>
                <c:pt idx="1950">
                  <c:v>5758.5</c:v>
                </c:pt>
                <c:pt idx="1951">
                  <c:v>5777.5</c:v>
                </c:pt>
                <c:pt idx="1952">
                  <c:v>5695</c:v>
                </c:pt>
                <c:pt idx="1953">
                  <c:v>5761</c:v>
                </c:pt>
                <c:pt idx="1954">
                  <c:v>5718.5</c:v>
                </c:pt>
                <c:pt idx="1955">
                  <c:v>5757</c:v>
                </c:pt>
                <c:pt idx="1956">
                  <c:v>5714</c:v>
                </c:pt>
                <c:pt idx="1957">
                  <c:v>5728</c:v>
                </c:pt>
                <c:pt idx="1958">
                  <c:v>5610</c:v>
                </c:pt>
                <c:pt idx="1959">
                  <c:v>5629</c:v>
                </c:pt>
                <c:pt idx="1960">
                  <c:v>5626</c:v>
                </c:pt>
                <c:pt idx="1961">
                  <c:v>5599</c:v>
                </c:pt>
                <c:pt idx="1962">
                  <c:v>5626</c:v>
                </c:pt>
                <c:pt idx="1963">
                  <c:v>5650.5</c:v>
                </c:pt>
                <c:pt idx="1964">
                  <c:v>5660</c:v>
                </c:pt>
                <c:pt idx="1965">
                  <c:v>5698.5</c:v>
                </c:pt>
                <c:pt idx="1966">
                  <c:v>5763</c:v>
                </c:pt>
                <c:pt idx="1967">
                  <c:v>5718.5</c:v>
                </c:pt>
                <c:pt idx="1968">
                  <c:v>5745</c:v>
                </c:pt>
                <c:pt idx="1969">
                  <c:v>5684</c:v>
                </c:pt>
                <c:pt idx="1970">
                  <c:v>5726.5</c:v>
                </c:pt>
                <c:pt idx="1971">
                  <c:v>5751</c:v>
                </c:pt>
                <c:pt idx="1972">
                  <c:v>5820</c:v>
                </c:pt>
                <c:pt idx="1973">
                  <c:v>5794</c:v>
                </c:pt>
                <c:pt idx="1974">
                  <c:v>5773</c:v>
                </c:pt>
                <c:pt idx="1975">
                  <c:v>5869</c:v>
                </c:pt>
                <c:pt idx="1976">
                  <c:v>5867.5</c:v>
                </c:pt>
                <c:pt idx="1977">
                  <c:v>5888.5</c:v>
                </c:pt>
                <c:pt idx="1978">
                  <c:v>5879.5</c:v>
                </c:pt>
                <c:pt idx="1979">
                  <c:v>5883</c:v>
                </c:pt>
                <c:pt idx="1980">
                  <c:v>5825</c:v>
                </c:pt>
                <c:pt idx="1981">
                  <c:v>5797</c:v>
                </c:pt>
                <c:pt idx="1982">
                  <c:v>5846.5</c:v>
                </c:pt>
                <c:pt idx="1983">
                  <c:v>5880</c:v>
                </c:pt>
                <c:pt idx="1984">
                  <c:v>5913.5</c:v>
                </c:pt>
                <c:pt idx="1985">
                  <c:v>5941</c:v>
                </c:pt>
                <c:pt idx="1986">
                  <c:v>5951.5</c:v>
                </c:pt>
                <c:pt idx="1987">
                  <c:v>5857</c:v>
                </c:pt>
                <c:pt idx="1988">
                  <c:v>5838</c:v>
                </c:pt>
                <c:pt idx="1989">
                  <c:v>5823</c:v>
                </c:pt>
                <c:pt idx="1990">
                  <c:v>5835</c:v>
                </c:pt>
                <c:pt idx="1991">
                  <c:v>5812</c:v>
                </c:pt>
                <c:pt idx="1992">
                  <c:v>5828</c:v>
                </c:pt>
                <c:pt idx="1993">
                  <c:v>5821.5</c:v>
                </c:pt>
                <c:pt idx="1994">
                  <c:v>5873</c:v>
                </c:pt>
                <c:pt idx="1995">
                  <c:v>5813</c:v>
                </c:pt>
                <c:pt idx="1996">
                  <c:v>5834</c:v>
                </c:pt>
                <c:pt idx="1997">
                  <c:v>5872.5</c:v>
                </c:pt>
                <c:pt idx="1998">
                  <c:v>5856</c:v>
                </c:pt>
                <c:pt idx="1999">
                  <c:v>5925.5</c:v>
                </c:pt>
                <c:pt idx="2000">
                  <c:v>5881.5</c:v>
                </c:pt>
                <c:pt idx="2001">
                  <c:v>5854</c:v>
                </c:pt>
                <c:pt idx="2002">
                  <c:v>5855.5</c:v>
                </c:pt>
                <c:pt idx="2003">
                  <c:v>5812</c:v>
                </c:pt>
                <c:pt idx="2004">
                  <c:v>5823</c:v>
                </c:pt>
                <c:pt idx="2005">
                  <c:v>5855</c:v>
                </c:pt>
                <c:pt idx="2006">
                  <c:v>5867.5</c:v>
                </c:pt>
                <c:pt idx="2007">
                  <c:v>5985</c:v>
                </c:pt>
                <c:pt idx="2008">
                  <c:v>6055</c:v>
                </c:pt>
                <c:pt idx="2009">
                  <c:v>6083</c:v>
                </c:pt>
                <c:pt idx="2010">
                  <c:v>6097</c:v>
                </c:pt>
                <c:pt idx="2011">
                  <c:v>6154</c:v>
                </c:pt>
                <c:pt idx="2012">
                  <c:v>6155.5</c:v>
                </c:pt>
                <c:pt idx="2013">
                  <c:v>6175</c:v>
                </c:pt>
                <c:pt idx="2014">
                  <c:v>6126.5</c:v>
                </c:pt>
                <c:pt idx="2015">
                  <c:v>6161</c:v>
                </c:pt>
                <c:pt idx="2016">
                  <c:v>6155.5</c:v>
                </c:pt>
                <c:pt idx="2017">
                  <c:v>6153</c:v>
                </c:pt>
                <c:pt idx="2018">
                  <c:v>6184.5</c:v>
                </c:pt>
                <c:pt idx="2019">
                  <c:v>6211</c:v>
                </c:pt>
                <c:pt idx="2020">
                  <c:v>6183.5</c:v>
                </c:pt>
                <c:pt idx="2021">
                  <c:v>6156</c:v>
                </c:pt>
                <c:pt idx="2022">
                  <c:v>6165.5</c:v>
                </c:pt>
                <c:pt idx="2023">
                  <c:v>6077</c:v>
                </c:pt>
                <c:pt idx="2024">
                  <c:v>6097.5</c:v>
                </c:pt>
                <c:pt idx="2025">
                  <c:v>6134.5</c:v>
                </c:pt>
                <c:pt idx="2026">
                  <c:v>6154</c:v>
                </c:pt>
                <c:pt idx="2027">
                  <c:v>6156</c:v>
                </c:pt>
                <c:pt idx="2028">
                  <c:v>6157</c:v>
                </c:pt>
                <c:pt idx="2029">
                  <c:v>6177</c:v>
                </c:pt>
                <c:pt idx="2030">
                  <c:v>6247</c:v>
                </c:pt>
                <c:pt idx="2031">
                  <c:v>6232</c:v>
                </c:pt>
                <c:pt idx="2032">
                  <c:v>6300.5</c:v>
                </c:pt>
                <c:pt idx="2033">
                  <c:v>6276.5</c:v>
                </c:pt>
                <c:pt idx="2034">
                  <c:v>6245</c:v>
                </c:pt>
                <c:pt idx="2035">
                  <c:v>6158.5</c:v>
                </c:pt>
                <c:pt idx="2036">
                  <c:v>6103.5</c:v>
                </c:pt>
                <c:pt idx="2037">
                  <c:v>6050</c:v>
                </c:pt>
                <c:pt idx="2038">
                  <c:v>5968</c:v>
                </c:pt>
                <c:pt idx="2039">
                  <c:v>5779</c:v>
                </c:pt>
                <c:pt idx="2040">
                  <c:v>5715</c:v>
                </c:pt>
                <c:pt idx="2041">
                  <c:v>5698</c:v>
                </c:pt>
                <c:pt idx="2042">
                  <c:v>5621</c:v>
                </c:pt>
                <c:pt idx="2043">
                  <c:v>5570</c:v>
                </c:pt>
                <c:pt idx="2044">
                  <c:v>5595</c:v>
                </c:pt>
                <c:pt idx="2045">
                  <c:v>5652</c:v>
                </c:pt>
                <c:pt idx="2046">
                  <c:v>5714</c:v>
                </c:pt>
                <c:pt idx="2047">
                  <c:v>5726</c:v>
                </c:pt>
                <c:pt idx="2048">
                  <c:v>5653</c:v>
                </c:pt>
                <c:pt idx="2049">
                  <c:v>5659.5</c:v>
                </c:pt>
                <c:pt idx="2050">
                  <c:v>5696</c:v>
                </c:pt>
                <c:pt idx="2051">
                  <c:v>5747</c:v>
                </c:pt>
                <c:pt idx="2052">
                  <c:v>5716</c:v>
                </c:pt>
                <c:pt idx="2053">
                  <c:v>5737</c:v>
                </c:pt>
                <c:pt idx="2054">
                  <c:v>5802</c:v>
                </c:pt>
                <c:pt idx="2055">
                  <c:v>5728</c:v>
                </c:pt>
                <c:pt idx="2056">
                  <c:v>5745.5</c:v>
                </c:pt>
                <c:pt idx="2057">
                  <c:v>5730</c:v>
                </c:pt>
                <c:pt idx="2058">
                  <c:v>5702</c:v>
                </c:pt>
                <c:pt idx="2059">
                  <c:v>5657.5</c:v>
                </c:pt>
                <c:pt idx="2060">
                  <c:v>5663.5</c:v>
                </c:pt>
                <c:pt idx="2061">
                  <c:v>5614</c:v>
                </c:pt>
                <c:pt idx="2062">
                  <c:v>5618</c:v>
                </c:pt>
                <c:pt idx="2063">
                  <c:v>5573</c:v>
                </c:pt>
                <c:pt idx="2064">
                  <c:v>5640</c:v>
                </c:pt>
                <c:pt idx="2065">
                  <c:v>5668</c:v>
                </c:pt>
                <c:pt idx="2066">
                  <c:v>5694.5</c:v>
                </c:pt>
                <c:pt idx="2067">
                  <c:v>5667.5</c:v>
                </c:pt>
                <c:pt idx="2068">
                  <c:v>5624</c:v>
                </c:pt>
                <c:pt idx="2069">
                  <c:v>5483</c:v>
                </c:pt>
                <c:pt idx="2070">
                  <c:v>5598</c:v>
                </c:pt>
                <c:pt idx="2071">
                  <c:v>5552</c:v>
                </c:pt>
                <c:pt idx="2072">
                  <c:v>5386.5</c:v>
                </c:pt>
                <c:pt idx="2073">
                  <c:v>5530.5</c:v>
                </c:pt>
                <c:pt idx="2074">
                  <c:v>5211</c:v>
                </c:pt>
                <c:pt idx="2075">
                  <c:v>5205</c:v>
                </c:pt>
                <c:pt idx="2076">
                  <c:v>4860.5</c:v>
                </c:pt>
                <c:pt idx="2077">
                  <c:v>4685</c:v>
                </c:pt>
                <c:pt idx="2078">
                  <c:v>4855</c:v>
                </c:pt>
                <c:pt idx="2079">
                  <c:v>4617.5</c:v>
                </c:pt>
                <c:pt idx="2080">
                  <c:v>4789.5</c:v>
                </c:pt>
                <c:pt idx="2081">
                  <c:v>4754</c:v>
                </c:pt>
                <c:pt idx="2082">
                  <c:v>4775.5</c:v>
                </c:pt>
                <c:pt idx="2083">
                  <c:v>4774</c:v>
                </c:pt>
                <c:pt idx="2084">
                  <c:v>4763</c:v>
                </c:pt>
                <c:pt idx="2085">
                  <c:v>4797</c:v>
                </c:pt>
                <c:pt idx="2086">
                  <c:v>4772</c:v>
                </c:pt>
                <c:pt idx="2087">
                  <c:v>4821.5</c:v>
                </c:pt>
                <c:pt idx="2088">
                  <c:v>4863.5</c:v>
                </c:pt>
                <c:pt idx="2089">
                  <c:v>4867</c:v>
                </c:pt>
                <c:pt idx="2090">
                  <c:v>5067.5</c:v>
                </c:pt>
                <c:pt idx="2091">
                  <c:v>4976</c:v>
                </c:pt>
                <c:pt idx="2092">
                  <c:v>4963.5</c:v>
                </c:pt>
                <c:pt idx="2093">
                  <c:v>5119</c:v>
                </c:pt>
                <c:pt idx="2094">
                  <c:v>5054.5</c:v>
                </c:pt>
                <c:pt idx="2095">
                  <c:v>5098.5</c:v>
                </c:pt>
                <c:pt idx="2096">
                  <c:v>5175.5</c:v>
                </c:pt>
                <c:pt idx="2097">
                  <c:v>5169.5</c:v>
                </c:pt>
                <c:pt idx="2098">
                  <c:v>4994.5</c:v>
                </c:pt>
                <c:pt idx="2099">
                  <c:v>5034</c:v>
                </c:pt>
                <c:pt idx="2100">
                  <c:v>5120.5</c:v>
                </c:pt>
                <c:pt idx="2101">
                  <c:v>5118</c:v>
                </c:pt>
                <c:pt idx="2102">
                  <c:v>5165.5</c:v>
                </c:pt>
                <c:pt idx="2103">
                  <c:v>5169.5</c:v>
                </c:pt>
                <c:pt idx="2104">
                  <c:v>5184</c:v>
                </c:pt>
                <c:pt idx="2105">
                  <c:v>5231</c:v>
                </c:pt>
                <c:pt idx="2106">
                  <c:v>5061</c:v>
                </c:pt>
                <c:pt idx="2107">
                  <c:v>5058</c:v>
                </c:pt>
                <c:pt idx="2108">
                  <c:v>5111.5</c:v>
                </c:pt>
                <c:pt idx="2109">
                  <c:v>5199.5</c:v>
                </c:pt>
                <c:pt idx="2110">
                  <c:v>5227.5</c:v>
                </c:pt>
                <c:pt idx="2111">
                  <c:v>5231</c:v>
                </c:pt>
                <c:pt idx="2112">
                  <c:v>5234</c:v>
                </c:pt>
                <c:pt idx="2113">
                  <c:v>5212.5</c:v>
                </c:pt>
                <c:pt idx="2114">
                  <c:v>5155.5</c:v>
                </c:pt>
                <c:pt idx="2115">
                  <c:v>5165</c:v>
                </c:pt>
                <c:pt idx="2116">
                  <c:v>5249.5</c:v>
                </c:pt>
                <c:pt idx="2117">
                  <c:v>5314</c:v>
                </c:pt>
                <c:pt idx="2118">
                  <c:v>5333</c:v>
                </c:pt>
                <c:pt idx="2119">
                  <c:v>5387</c:v>
                </c:pt>
                <c:pt idx="2120">
                  <c:v>5242.5</c:v>
                </c:pt>
                <c:pt idx="2121">
                  <c:v>5341.5</c:v>
                </c:pt>
                <c:pt idx="2122">
                  <c:v>5308.5</c:v>
                </c:pt>
                <c:pt idx="2123">
                  <c:v>5278.5</c:v>
                </c:pt>
                <c:pt idx="2124">
                  <c:v>5332.5</c:v>
                </c:pt>
                <c:pt idx="2125">
                  <c:v>5376.5</c:v>
                </c:pt>
                <c:pt idx="2126">
                  <c:v>5463</c:v>
                </c:pt>
                <c:pt idx="2127">
                  <c:v>5499</c:v>
                </c:pt>
                <c:pt idx="2128">
                  <c:v>5452.5</c:v>
                </c:pt>
                <c:pt idx="2129">
                  <c:v>5588</c:v>
                </c:pt>
                <c:pt idx="2130">
                  <c:v>5659</c:v>
                </c:pt>
                <c:pt idx="2131">
                  <c:v>5680.5</c:v>
                </c:pt>
                <c:pt idx="2132">
                  <c:v>5801</c:v>
                </c:pt>
                <c:pt idx="2133">
                  <c:v>5801.5</c:v>
                </c:pt>
                <c:pt idx="2134">
                  <c:v>5785.5</c:v>
                </c:pt>
                <c:pt idx="2135">
                  <c:v>5646</c:v>
                </c:pt>
                <c:pt idx="2136">
                  <c:v>5759.5</c:v>
                </c:pt>
                <c:pt idx="2137">
                  <c:v>5734</c:v>
                </c:pt>
                <c:pt idx="2138">
                  <c:v>5799</c:v>
                </c:pt>
                <c:pt idx="2139">
                  <c:v>5835.5</c:v>
                </c:pt>
                <c:pt idx="2140">
                  <c:v>5825</c:v>
                </c:pt>
                <c:pt idx="2141">
                  <c:v>5895</c:v>
                </c:pt>
                <c:pt idx="2142">
                  <c:v>5871</c:v>
                </c:pt>
                <c:pt idx="2143">
                  <c:v>5880.5</c:v>
                </c:pt>
                <c:pt idx="2144">
                  <c:v>5985.5</c:v>
                </c:pt>
                <c:pt idx="2145">
                  <c:v>5957</c:v>
                </c:pt>
                <c:pt idx="2146">
                  <c:v>6038</c:v>
                </c:pt>
                <c:pt idx="2147">
                  <c:v>6016.5</c:v>
                </c:pt>
                <c:pt idx="2148">
                  <c:v>6080</c:v>
                </c:pt>
                <c:pt idx="2149">
                  <c:v>6022.5</c:v>
                </c:pt>
                <c:pt idx="2150">
                  <c:v>6112</c:v>
                </c:pt>
                <c:pt idx="2151">
                  <c:v>6086</c:v>
                </c:pt>
                <c:pt idx="2152">
                  <c:v>6194</c:v>
                </c:pt>
                <c:pt idx="2153">
                  <c:v>6339.5</c:v>
                </c:pt>
                <c:pt idx="2154">
                  <c:v>6322.5</c:v>
                </c:pt>
                <c:pt idx="2155">
                  <c:v>6545</c:v>
                </c:pt>
                <c:pt idx="2156">
                  <c:v>6489.5</c:v>
                </c:pt>
                <c:pt idx="2157">
                  <c:v>6507</c:v>
                </c:pt>
                <c:pt idx="2158">
                  <c:v>6385</c:v>
                </c:pt>
                <c:pt idx="2159">
                  <c:v>6454.5</c:v>
                </c:pt>
                <c:pt idx="2160">
                  <c:v>6416.5</c:v>
                </c:pt>
                <c:pt idx="2161">
                  <c:v>6513</c:v>
                </c:pt>
                <c:pt idx="2162">
                  <c:v>6527</c:v>
                </c:pt>
                <c:pt idx="2163">
                  <c:v>6533.5</c:v>
                </c:pt>
                <c:pt idx="2164">
                  <c:v>6412.5</c:v>
                </c:pt>
                <c:pt idx="2165">
                  <c:v>6425.5</c:v>
                </c:pt>
                <c:pt idx="2166">
                  <c:v>6399.5</c:v>
                </c:pt>
                <c:pt idx="2167">
                  <c:v>6475</c:v>
                </c:pt>
                <c:pt idx="2168">
                  <c:v>6433.5</c:v>
                </c:pt>
                <c:pt idx="2169">
                  <c:v>6446.5</c:v>
                </c:pt>
                <c:pt idx="2170">
                  <c:v>6441</c:v>
                </c:pt>
                <c:pt idx="2171">
                  <c:v>6440</c:v>
                </c:pt>
                <c:pt idx="2172">
                  <c:v>6525.5</c:v>
                </c:pt>
                <c:pt idx="2173">
                  <c:v>6453.5</c:v>
                </c:pt>
                <c:pt idx="2174">
                  <c:v>6437</c:v>
                </c:pt>
                <c:pt idx="2175">
                  <c:v>6363</c:v>
                </c:pt>
                <c:pt idx="2176">
                  <c:v>6356.5</c:v>
                </c:pt>
                <c:pt idx="2177">
                  <c:v>6379</c:v>
                </c:pt>
                <c:pt idx="2178">
                  <c:v>6380</c:v>
                </c:pt>
                <c:pt idx="2179">
                  <c:v>6342.5</c:v>
                </c:pt>
                <c:pt idx="2180">
                  <c:v>6439.5</c:v>
                </c:pt>
                <c:pt idx="2181">
                  <c:v>6492.5</c:v>
                </c:pt>
                <c:pt idx="2182">
                  <c:v>6667</c:v>
                </c:pt>
                <c:pt idx="2183">
                  <c:v>6594.5</c:v>
                </c:pt>
                <c:pt idx="2184">
                  <c:v>6564.5</c:v>
                </c:pt>
                <c:pt idx="2185">
                  <c:v>6579.5</c:v>
                </c:pt>
                <c:pt idx="2186">
                  <c:v>6544.5</c:v>
                </c:pt>
                <c:pt idx="2187">
                  <c:v>6603.5</c:v>
                </c:pt>
                <c:pt idx="2188">
                  <c:v>6602.5</c:v>
                </c:pt>
                <c:pt idx="2189">
                  <c:v>6728</c:v>
                </c:pt>
                <c:pt idx="2190">
                  <c:v>6788.5</c:v>
                </c:pt>
                <c:pt idx="2191">
                  <c:v>6719</c:v>
                </c:pt>
                <c:pt idx="2192">
                  <c:v>6613</c:v>
                </c:pt>
                <c:pt idx="2193">
                  <c:v>6678</c:v>
                </c:pt>
                <c:pt idx="2194">
                  <c:v>6790.5</c:v>
                </c:pt>
                <c:pt idx="2195">
                  <c:v>6767.5</c:v>
                </c:pt>
                <c:pt idx="2196">
                  <c:v>6709</c:v>
                </c:pt>
                <c:pt idx="2197">
                  <c:v>6710.5</c:v>
                </c:pt>
                <c:pt idx="2198">
                  <c:v>6757.5</c:v>
                </c:pt>
                <c:pt idx="2199">
                  <c:v>6788</c:v>
                </c:pt>
                <c:pt idx="2200">
                  <c:v>6813.5</c:v>
                </c:pt>
                <c:pt idx="2201">
                  <c:v>6776</c:v>
                </c:pt>
                <c:pt idx="2202">
                  <c:v>6761</c:v>
                </c:pt>
                <c:pt idx="2203">
                  <c:v>6833.5</c:v>
                </c:pt>
                <c:pt idx="2204">
                  <c:v>6837</c:v>
                </c:pt>
                <c:pt idx="2205">
                  <c:v>6810</c:v>
                </c:pt>
                <c:pt idx="2206">
                  <c:v>6725.5</c:v>
                </c:pt>
                <c:pt idx="2207">
                  <c:v>6538.5</c:v>
                </c:pt>
                <c:pt idx="2208">
                  <c:v>6529</c:v>
                </c:pt>
                <c:pt idx="2209">
                  <c:v>6571.5</c:v>
                </c:pt>
                <c:pt idx="2210">
                  <c:v>6546</c:v>
                </c:pt>
                <c:pt idx="2211">
                  <c:v>6610</c:v>
                </c:pt>
                <c:pt idx="2212">
                  <c:v>6614</c:v>
                </c:pt>
                <c:pt idx="2213">
                  <c:v>6409.5</c:v>
                </c:pt>
                <c:pt idx="2214">
                  <c:v>6507.5</c:v>
                </c:pt>
                <c:pt idx="2215">
                  <c:v>6509</c:v>
                </c:pt>
                <c:pt idx="2216">
                  <c:v>6525</c:v>
                </c:pt>
                <c:pt idx="2217">
                  <c:v>6611.5</c:v>
                </c:pt>
                <c:pt idx="2218">
                  <c:v>6740.5</c:v>
                </c:pt>
                <c:pt idx="2219">
                  <c:v>6769</c:v>
                </c:pt>
                <c:pt idx="2220">
                  <c:v>6699.5</c:v>
                </c:pt>
                <c:pt idx="2221">
                  <c:v>6702</c:v>
                </c:pt>
                <c:pt idx="2222">
                  <c:v>6683.5</c:v>
                </c:pt>
                <c:pt idx="2223">
                  <c:v>6728</c:v>
                </c:pt>
                <c:pt idx="2224">
                  <c:v>6755</c:v>
                </c:pt>
                <c:pt idx="2225">
                  <c:v>6814</c:v>
                </c:pt>
                <c:pt idx="2226">
                  <c:v>6953</c:v>
                </c:pt>
                <c:pt idx="2227">
                  <c:v>6886</c:v>
                </c:pt>
                <c:pt idx="2228">
                  <c:v>6879.5</c:v>
                </c:pt>
                <c:pt idx="2229">
                  <c:v>6806</c:v>
                </c:pt>
                <c:pt idx="2230">
                  <c:v>6787.5</c:v>
                </c:pt>
                <c:pt idx="2231">
                  <c:v>6694.5</c:v>
                </c:pt>
                <c:pt idx="2232">
                  <c:v>6692</c:v>
                </c:pt>
                <c:pt idx="2233">
                  <c:v>6694.5</c:v>
                </c:pt>
                <c:pt idx="2234">
                  <c:v>6712.5</c:v>
                </c:pt>
                <c:pt idx="2235">
                  <c:v>6791.5</c:v>
                </c:pt>
                <c:pt idx="2236">
                  <c:v>6748</c:v>
                </c:pt>
                <c:pt idx="2237">
                  <c:v>6798</c:v>
                </c:pt>
                <c:pt idx="2238">
                  <c:v>6938.5</c:v>
                </c:pt>
                <c:pt idx="2239">
                  <c:v>7034</c:v>
                </c:pt>
                <c:pt idx="2240">
                  <c:v>6865.5</c:v>
                </c:pt>
                <c:pt idx="2241">
                  <c:v>6912.5</c:v>
                </c:pt>
                <c:pt idx="2242">
                  <c:v>6904</c:v>
                </c:pt>
                <c:pt idx="2243">
                  <c:v>6926</c:v>
                </c:pt>
                <c:pt idx="2244">
                  <c:v>7113</c:v>
                </c:pt>
                <c:pt idx="2245">
                  <c:v>7050</c:v>
                </c:pt>
                <c:pt idx="2246">
                  <c:v>7083</c:v>
                </c:pt>
                <c:pt idx="2247">
                  <c:v>7028</c:v>
                </c:pt>
                <c:pt idx="2248">
                  <c:v>7178.5</c:v>
                </c:pt>
                <c:pt idx="2249">
                  <c:v>7215.5</c:v>
                </c:pt>
                <c:pt idx="2250">
                  <c:v>7302</c:v>
                </c:pt>
                <c:pt idx="2251">
                  <c:v>7238.5</c:v>
                </c:pt>
                <c:pt idx="2252">
                  <c:v>7356.5</c:v>
                </c:pt>
                <c:pt idx="2253">
                  <c:v>7462</c:v>
                </c:pt>
                <c:pt idx="2254">
                  <c:v>7674.5</c:v>
                </c:pt>
                <c:pt idx="2255">
                  <c:v>7644</c:v>
                </c:pt>
                <c:pt idx="2256">
                  <c:v>7616.5</c:v>
                </c:pt>
                <c:pt idx="2257">
                  <c:v>7679</c:v>
                </c:pt>
                <c:pt idx="2258">
                  <c:v>7741.5</c:v>
                </c:pt>
                <c:pt idx="2259">
                  <c:v>7656.5</c:v>
                </c:pt>
                <c:pt idx="2260">
                  <c:v>7635</c:v>
                </c:pt>
                <c:pt idx="2261">
                  <c:v>7704.5</c:v>
                </c:pt>
                <c:pt idx="2262">
                  <c:v>7712</c:v>
                </c:pt>
                <c:pt idx="2263">
                  <c:v>7741</c:v>
                </c:pt>
                <c:pt idx="2264">
                  <c:v>7763</c:v>
                </c:pt>
                <c:pt idx="2265">
                  <c:v>7753</c:v>
                </c:pt>
                <c:pt idx="2266">
                  <c:v>7823</c:v>
                </c:pt>
                <c:pt idx="2267">
                  <c:v>7893</c:v>
                </c:pt>
                <c:pt idx="2268">
                  <c:v>7964</c:v>
                </c:pt>
                <c:pt idx="2269">
                  <c:v>7838.5</c:v>
                </c:pt>
                <c:pt idx="2270">
                  <c:v>7753</c:v>
                </c:pt>
                <c:pt idx="2271">
                  <c:v>7764.5</c:v>
                </c:pt>
                <c:pt idx="2272">
                  <c:v>7793</c:v>
                </c:pt>
                <c:pt idx="2273">
                  <c:v>7840</c:v>
                </c:pt>
                <c:pt idx="2274">
                  <c:v>7803.5</c:v>
                </c:pt>
                <c:pt idx="2275">
                  <c:v>7741.5</c:v>
                </c:pt>
                <c:pt idx="2276">
                  <c:v>7918.5</c:v>
                </c:pt>
                <c:pt idx="2277">
                  <c:v>7914</c:v>
                </c:pt>
                <c:pt idx="2278">
                  <c:v>8129.5</c:v>
                </c:pt>
                <c:pt idx="2279">
                  <c:v>8036.5</c:v>
                </c:pt>
                <c:pt idx="2280">
                  <c:v>8146</c:v>
                </c:pt>
                <c:pt idx="2281">
                  <c:v>7951.5</c:v>
                </c:pt>
                <c:pt idx="2282">
                  <c:v>7983</c:v>
                </c:pt>
                <c:pt idx="2283">
                  <c:v>7960.5</c:v>
                </c:pt>
                <c:pt idx="2284">
                  <c:v>8002.5</c:v>
                </c:pt>
                <c:pt idx="2285">
                  <c:v>7979.5</c:v>
                </c:pt>
                <c:pt idx="2286">
                  <c:v>7972.5</c:v>
                </c:pt>
                <c:pt idx="2287">
                  <c:v>7986.5</c:v>
                </c:pt>
                <c:pt idx="2288">
                  <c:v>8014.5</c:v>
                </c:pt>
                <c:pt idx="2289">
                  <c:v>8051</c:v>
                </c:pt>
                <c:pt idx="2290">
                  <c:v>7872</c:v>
                </c:pt>
                <c:pt idx="2291">
                  <c:v>7984.5</c:v>
                </c:pt>
                <c:pt idx="2292">
                  <c:v>7957</c:v>
                </c:pt>
                <c:pt idx="2293">
                  <c:v>7895</c:v>
                </c:pt>
                <c:pt idx="2294">
                  <c:v>7778.5</c:v>
                </c:pt>
                <c:pt idx="2295">
                  <c:v>7877</c:v>
                </c:pt>
                <c:pt idx="2296">
                  <c:v>7827</c:v>
                </c:pt>
                <c:pt idx="2297">
                  <c:v>7755.5</c:v>
                </c:pt>
                <c:pt idx="2298">
                  <c:v>7832.5</c:v>
                </c:pt>
                <c:pt idx="2299">
                  <c:v>7833.5</c:v>
                </c:pt>
                <c:pt idx="2300">
                  <c:v>7936.5</c:v>
                </c:pt>
                <c:pt idx="2301">
                  <c:v>8007</c:v>
                </c:pt>
                <c:pt idx="2302">
                  <c:v>8146.5</c:v>
                </c:pt>
                <c:pt idx="2303">
                  <c:v>8279.5</c:v>
                </c:pt>
                <c:pt idx="2304">
                  <c:v>8292</c:v>
                </c:pt>
                <c:pt idx="2305">
                  <c:v>8270.5</c:v>
                </c:pt>
                <c:pt idx="2306">
                  <c:v>8416.5</c:v>
                </c:pt>
                <c:pt idx="2307">
                  <c:v>8439.5</c:v>
                </c:pt>
                <c:pt idx="2308">
                  <c:v>8413.5</c:v>
                </c:pt>
                <c:pt idx="2309">
                  <c:v>8650</c:v>
                </c:pt>
                <c:pt idx="2310">
                  <c:v>8806.5</c:v>
                </c:pt>
                <c:pt idx="2311">
                  <c:v>9067.5</c:v>
                </c:pt>
                <c:pt idx="2312">
                  <c:v>9158</c:v>
                </c:pt>
                <c:pt idx="2313">
                  <c:v>9286</c:v>
                </c:pt>
                <c:pt idx="2314">
                  <c:v>9614.5</c:v>
                </c:pt>
                <c:pt idx="2315">
                  <c:v>9172.5</c:v>
                </c:pt>
                <c:pt idx="2316">
                  <c:v>9198</c:v>
                </c:pt>
                <c:pt idx="2317">
                  <c:v>9213.5</c:v>
                </c:pt>
                <c:pt idx="2318">
                  <c:v>9266</c:v>
                </c:pt>
                <c:pt idx="2319">
                  <c:v>8786.5</c:v>
                </c:pt>
                <c:pt idx="2320">
                  <c:v>9021.5</c:v>
                </c:pt>
                <c:pt idx="2321">
                  <c:v>8992.5</c:v>
                </c:pt>
                <c:pt idx="2322">
                  <c:v>8895</c:v>
                </c:pt>
                <c:pt idx="2323">
                  <c:v>8939</c:v>
                </c:pt>
                <c:pt idx="2324">
                  <c:v>9062.5</c:v>
                </c:pt>
                <c:pt idx="2325">
                  <c:v>9052.5</c:v>
                </c:pt>
                <c:pt idx="2326">
                  <c:v>9147.5</c:v>
                </c:pt>
                <c:pt idx="2327">
                  <c:v>8965.5</c:v>
                </c:pt>
                <c:pt idx="2328">
                  <c:v>9027</c:v>
                </c:pt>
                <c:pt idx="2329">
                  <c:v>9090</c:v>
                </c:pt>
                <c:pt idx="2330">
                  <c:v>9036</c:v>
                </c:pt>
                <c:pt idx="2331">
                  <c:v>9097.5</c:v>
                </c:pt>
                <c:pt idx="2332">
                  <c:v>9016.5</c:v>
                </c:pt>
                <c:pt idx="2333">
                  <c:v>9016</c:v>
                </c:pt>
                <c:pt idx="2334">
                  <c:v>8781</c:v>
                </c:pt>
                <c:pt idx="2335">
                  <c:v>8929</c:v>
                </c:pt>
                <c:pt idx="2336">
                  <c:v>8942.5</c:v>
                </c:pt>
                <c:pt idx="2337">
                  <c:v>8788.5</c:v>
                </c:pt>
                <c:pt idx="2338">
                  <c:v>8850.5</c:v>
                </c:pt>
                <c:pt idx="2339">
                  <c:v>8768</c:v>
                </c:pt>
                <c:pt idx="2340">
                  <c:v>8984.5</c:v>
                </c:pt>
                <c:pt idx="2341">
                  <c:v>8981.5</c:v>
                </c:pt>
                <c:pt idx="2342">
                  <c:v>9001.5</c:v>
                </c:pt>
                <c:pt idx="2343">
                  <c:v>8993</c:v>
                </c:pt>
                <c:pt idx="2344">
                  <c:v>8901</c:v>
                </c:pt>
                <c:pt idx="2345">
                  <c:v>8904</c:v>
                </c:pt>
                <c:pt idx="2346">
                  <c:v>9011</c:v>
                </c:pt>
                <c:pt idx="2347">
                  <c:v>9187.5</c:v>
                </c:pt>
                <c:pt idx="2348">
                  <c:v>9336</c:v>
                </c:pt>
                <c:pt idx="2349">
                  <c:v>9415</c:v>
                </c:pt>
                <c:pt idx="2350">
                  <c:v>9396.5</c:v>
                </c:pt>
                <c:pt idx="2351">
                  <c:v>9382.5</c:v>
                </c:pt>
                <c:pt idx="2352">
                  <c:v>9475.5</c:v>
                </c:pt>
                <c:pt idx="2353">
                  <c:v>9545.5</c:v>
                </c:pt>
                <c:pt idx="2354">
                  <c:v>9758</c:v>
                </c:pt>
                <c:pt idx="2355">
                  <c:v>9898.5</c:v>
                </c:pt>
                <c:pt idx="2356">
                  <c:v>9832.5</c:v>
                </c:pt>
                <c:pt idx="2357">
                  <c:v>9990</c:v>
                </c:pt>
                <c:pt idx="2358">
                  <c:v>9949</c:v>
                </c:pt>
                <c:pt idx="2359">
                  <c:v>9961</c:v>
                </c:pt>
                <c:pt idx="2360">
                  <c:v>9991.5</c:v>
                </c:pt>
                <c:pt idx="2361">
                  <c:v>10025.5</c:v>
                </c:pt>
                <c:pt idx="2362">
                  <c:v>10361</c:v>
                </c:pt>
                <c:pt idx="2363">
                  <c:v>10724.5</c:v>
                </c:pt>
                <c:pt idx="2364">
                  <c:v>10528</c:v>
                </c:pt>
                <c:pt idx="2365">
                  <c:v>10537</c:v>
                </c:pt>
                <c:pt idx="2366">
                  <c:v>10253.5</c:v>
                </c:pt>
                <c:pt idx="2367">
                  <c:v>10212</c:v>
                </c:pt>
                <c:pt idx="2368">
                  <c:v>10257</c:v>
                </c:pt>
                <c:pt idx="2369">
                  <c:v>10465</c:v>
                </c:pt>
                <c:pt idx="2370">
                  <c:v>10114.5</c:v>
                </c:pt>
                <c:pt idx="2371">
                  <c:v>10086</c:v>
                </c:pt>
                <c:pt idx="2372">
                  <c:v>10011</c:v>
                </c:pt>
                <c:pt idx="2373">
                  <c:v>9868</c:v>
                </c:pt>
                <c:pt idx="2374">
                  <c:v>9943</c:v>
                </c:pt>
                <c:pt idx="2375">
                  <c:v>9965</c:v>
                </c:pt>
                <c:pt idx="2376">
                  <c:v>10032.5</c:v>
                </c:pt>
                <c:pt idx="2377">
                  <c:v>10159.5</c:v>
                </c:pt>
                <c:pt idx="2378">
                  <c:v>10212.5</c:v>
                </c:pt>
                <c:pt idx="2379">
                  <c:v>10117.5</c:v>
                </c:pt>
                <c:pt idx="2380">
                  <c:v>9967</c:v>
                </c:pt>
                <c:pt idx="2381">
                  <c:v>9852</c:v>
                </c:pt>
                <c:pt idx="2382">
                  <c:v>9848</c:v>
                </c:pt>
                <c:pt idx="2383">
                  <c:v>9878.5</c:v>
                </c:pt>
                <c:pt idx="2384">
                  <c:v>9877</c:v>
                </c:pt>
                <c:pt idx="2385">
                  <c:v>9808.5</c:v>
                </c:pt>
                <c:pt idx="2386">
                  <c:v>10029</c:v>
                </c:pt>
                <c:pt idx="2387">
                  <c:v>9900</c:v>
                </c:pt>
                <c:pt idx="2388">
                  <c:v>9552.5</c:v>
                </c:pt>
                <c:pt idx="2389">
                  <c:v>9508</c:v>
                </c:pt>
                <c:pt idx="2390">
                  <c:v>9427.5</c:v>
                </c:pt>
                <c:pt idx="2391">
                  <c:v>9206</c:v>
                </c:pt>
                <c:pt idx="2392">
                  <c:v>9042.5</c:v>
                </c:pt>
                <c:pt idx="2393">
                  <c:v>9190.5</c:v>
                </c:pt>
                <c:pt idx="2394">
                  <c:v>9289.5</c:v>
                </c:pt>
                <c:pt idx="2395">
                  <c:v>9390.5</c:v>
                </c:pt>
                <c:pt idx="2396">
                  <c:v>9432.5</c:v>
                </c:pt>
                <c:pt idx="2397">
                  <c:v>9333.5</c:v>
                </c:pt>
                <c:pt idx="2398">
                  <c:v>9225.5</c:v>
                </c:pt>
                <c:pt idx="2399">
                  <c:v>9385</c:v>
                </c:pt>
                <c:pt idx="2400">
                  <c:v>9342</c:v>
                </c:pt>
                <c:pt idx="2401">
                  <c:v>9296.5</c:v>
                </c:pt>
                <c:pt idx="2402">
                  <c:v>9432</c:v>
                </c:pt>
                <c:pt idx="2403">
                  <c:v>9528</c:v>
                </c:pt>
                <c:pt idx="2404">
                  <c:v>9451.5</c:v>
                </c:pt>
                <c:pt idx="2405">
                  <c:v>9264.5</c:v>
                </c:pt>
                <c:pt idx="2406">
                  <c:v>9437.5</c:v>
                </c:pt>
                <c:pt idx="2407">
                  <c:v>9347</c:v>
                </c:pt>
                <c:pt idx="2408">
                  <c:v>9310</c:v>
                </c:pt>
                <c:pt idx="2409">
                  <c:v>9309</c:v>
                </c:pt>
                <c:pt idx="2410">
                  <c:v>9347</c:v>
                </c:pt>
                <c:pt idx="2411">
                  <c:v>9396.5</c:v>
                </c:pt>
                <c:pt idx="2412">
                  <c:v>9264.5</c:v>
                </c:pt>
                <c:pt idx="2413">
                  <c:v>9211</c:v>
                </c:pt>
                <c:pt idx="2414">
                  <c:v>9271.5</c:v>
                </c:pt>
                <c:pt idx="2415">
                  <c:v>9382.5</c:v>
                </c:pt>
                <c:pt idx="2416">
                  <c:v>9433.5</c:v>
                </c:pt>
                <c:pt idx="2417">
                  <c:v>9580</c:v>
                </c:pt>
                <c:pt idx="2418">
                  <c:v>9709</c:v>
                </c:pt>
                <c:pt idx="2419">
                  <c:v>9697</c:v>
                </c:pt>
                <c:pt idx="2420">
                  <c:v>9781</c:v>
                </c:pt>
                <c:pt idx="2421">
                  <c:v>9747.5</c:v>
                </c:pt>
                <c:pt idx="2422">
                  <c:v>9737</c:v>
                </c:pt>
                <c:pt idx="2423">
                  <c:v>9583.5</c:v>
                </c:pt>
                <c:pt idx="2424">
                  <c:v>9503</c:v>
                </c:pt>
                <c:pt idx="2425">
                  <c:v>9429</c:v>
                </c:pt>
                <c:pt idx="2426">
                  <c:v>9529.5</c:v>
                </c:pt>
                <c:pt idx="2427">
                  <c:v>9311.5</c:v>
                </c:pt>
                <c:pt idx="2428">
                  <c:v>9409.5</c:v>
                </c:pt>
                <c:pt idx="2429">
                  <c:v>9421</c:v>
                </c:pt>
                <c:pt idx="2430">
                  <c:v>9508.5</c:v>
                </c:pt>
                <c:pt idx="2431">
                  <c:v>9429.5</c:v>
                </c:pt>
                <c:pt idx="2432">
                  <c:v>9377</c:v>
                </c:pt>
                <c:pt idx="2433">
                  <c:v>9346.5</c:v>
                </c:pt>
                <c:pt idx="2434">
                  <c:v>9148.5</c:v>
                </c:pt>
                <c:pt idx="2435">
                  <c:v>8775.5</c:v>
                </c:pt>
                <c:pt idx="2436">
                  <c:v>8922</c:v>
                </c:pt>
                <c:pt idx="2437">
                  <c:v>9237</c:v>
                </c:pt>
                <c:pt idx="2438">
                  <c:v>9316.5</c:v>
                </c:pt>
                <c:pt idx="2439">
                  <c:v>9378.5</c:v>
                </c:pt>
                <c:pt idx="2440">
                  <c:v>9323</c:v>
                </c:pt>
                <c:pt idx="2441">
                  <c:v>9352</c:v>
                </c:pt>
                <c:pt idx="2442">
                  <c:v>9462.5</c:v>
                </c:pt>
                <c:pt idx="2443">
                  <c:v>9312</c:v>
                </c:pt>
                <c:pt idx="2444">
                  <c:v>9347</c:v>
                </c:pt>
                <c:pt idx="2445">
                  <c:v>9361</c:v>
                </c:pt>
                <c:pt idx="2446">
                  <c:v>9401.5</c:v>
                </c:pt>
                <c:pt idx="2447">
                  <c:v>9325</c:v>
                </c:pt>
                <c:pt idx="2448">
                  <c:v>9256</c:v>
                </c:pt>
                <c:pt idx="2449">
                  <c:v>9356.5</c:v>
                </c:pt>
                <c:pt idx="2450">
                  <c:v>9515</c:v>
                </c:pt>
                <c:pt idx="2451">
                  <c:v>9627</c:v>
                </c:pt>
                <c:pt idx="2452">
                  <c:v>9407</c:v>
                </c:pt>
                <c:pt idx="2453">
                  <c:v>9488.5</c:v>
                </c:pt>
                <c:pt idx="2454">
                  <c:v>9392</c:v>
                </c:pt>
                <c:pt idx="2455">
                  <c:v>9435.5</c:v>
                </c:pt>
                <c:pt idx="2456">
                  <c:v>9145.5</c:v>
                </c:pt>
                <c:pt idx="2457">
                  <c:v>9106</c:v>
                </c:pt>
                <c:pt idx="2458">
                  <c:v>9255</c:v>
                </c:pt>
                <c:pt idx="2459">
                  <c:v>9252</c:v>
                </c:pt>
                <c:pt idx="2460">
                  <c:v>9275</c:v>
                </c:pt>
                <c:pt idx="2461">
                  <c:v>9341</c:v>
                </c:pt>
                <c:pt idx="2462">
                  <c:v>9263</c:v>
                </c:pt>
                <c:pt idx="2463">
                  <c:v>9227</c:v>
                </c:pt>
                <c:pt idx="2464">
                  <c:v>9041</c:v>
                </c:pt>
              </c:numCache>
            </c:numRef>
          </c:val>
          <c:smooth val="0"/>
          <c:extLst>
            <c:ext xmlns:c16="http://schemas.microsoft.com/office/drawing/2014/chart" uri="{C3380CC4-5D6E-409C-BE32-E72D297353CC}">
              <c16:uniqueId val="{00000000-F83C-44E2-9ACD-6B9AC3C8196A}"/>
            </c:ext>
          </c:extLst>
        </c:ser>
        <c:dLbls>
          <c:showLegendKey val="0"/>
          <c:showVal val="0"/>
          <c:showCatName val="0"/>
          <c:showSerName val="0"/>
          <c:showPercent val="0"/>
          <c:showBubbleSize val="0"/>
        </c:dLbls>
        <c:smooth val="0"/>
        <c:axId val="1828082720"/>
        <c:axId val="1828083136"/>
      </c:lineChart>
      <c:catAx>
        <c:axId val="182808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28083136"/>
        <c:crosses val="autoZero"/>
        <c:auto val="1"/>
        <c:lblAlgn val="ctr"/>
        <c:lblOffset val="100"/>
        <c:noMultiLvlLbl val="0"/>
      </c:catAx>
      <c:valAx>
        <c:axId val="1828083136"/>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28082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F$32" horiz="1" inc="5" max="100" page="10" val="50"/>
</file>

<file path=xl/ctrlProps/ctrlProp2.xml><?xml version="1.0" encoding="utf-8"?>
<formControlPr xmlns="http://schemas.microsoft.com/office/spreadsheetml/2009/9/main" objectType="Drop" dropLines="3" dropStyle="combo" dx="16" fmlaLink="$AC$7" fmlaRange="$N$63:$N$65" sel="2" val="0"/>
</file>

<file path=xl/ctrlProps/ctrlProp3.xml><?xml version="1.0" encoding="utf-8"?>
<formControlPr xmlns="http://schemas.microsoft.com/office/spreadsheetml/2009/9/main" objectType="Drop" dropLines="5" dropStyle="combo" dx="16" fmlaLink="$AC$9" fmlaRange="$O$87:$O$91" sel="2" val="0"/>
</file>

<file path=xl/ctrlProps/ctrlProp4.xml><?xml version="1.0" encoding="utf-8"?>
<formControlPr xmlns="http://schemas.microsoft.com/office/spreadsheetml/2009/9/main" objectType="Drop" dropStyle="combo" dx="16" fmlaLink="$AC$11" fmlaRange="$C$133:$C$140" sel="7" val="0"/>
</file>

<file path=xl/ctrlProps/ctrlProp5.xml><?xml version="1.0" encoding="utf-8"?>
<formControlPr xmlns="http://schemas.microsoft.com/office/spreadsheetml/2009/9/main" objectType="Drop" dropStyle="combo" dx="16" fmlaLink="$AC$13" fmlaRange="$C$133:$C$140" sel="1" val="0"/>
</file>

<file path=xl/ctrlProps/ctrlProp6.xml><?xml version="1.0" encoding="utf-8"?>
<formControlPr xmlns="http://schemas.microsoft.com/office/spreadsheetml/2009/9/main" objectType="Drop" dropLines="4" dropStyle="combo" dx="16" fmlaLink="$AC$31" fmlaRange="$C$26:$C$29" sel="2" val="0"/>
</file>

<file path=xl/ctrlProps/ctrlProp7.xml><?xml version="1.0" encoding="utf-8"?>
<formControlPr xmlns="http://schemas.microsoft.com/office/spreadsheetml/2009/9/main" objectType="Drop" dropLines="2" dropStyle="combo" dx="16" fmlaLink="$AC$15" fmlaRange="$AE$15:$AE$16" sel="2" val="0"/>
</file>

<file path=xl/ctrlProps/ctrlProp8.xml><?xml version="1.0" encoding="utf-8"?>
<formControlPr xmlns="http://schemas.microsoft.com/office/spreadsheetml/2009/9/main" objectType="Drop" dropLines="2" dropStyle="combo" dx="16" fmlaLink="$AC$17" fmlaRange="$AE$17:$AE$18" sel="1" val="0"/>
</file>

<file path=xl/ctrlProps/ctrlProp9.xml><?xml version="1.0" encoding="utf-8"?>
<formControlPr xmlns="http://schemas.microsoft.com/office/spreadsheetml/2009/9/main" objectType="Drop" dropLines="2" dropStyle="combo" dx="16" fmlaLink="$AC$22" fmlaRange="$AE$22:$AE$23" sel="2" val="0"/>
</file>

<file path=xl/ctrlProps/ctrlProp10.xml><?xml version="1.0" encoding="utf-8"?>
<formControlPr xmlns="http://schemas.microsoft.com/office/spreadsheetml/2009/9/main" objectType="Drop" dropLines="2" dropStyle="combo" dx="16" fmlaLink="$AC$28" fmlaRange="$AE$28:$AE$29" sel="1" val="0"/>
</file>

<file path=xl/ctrlProps/ctrlProp11.xml><?xml version="1.0" encoding="utf-8"?>
<formControlPr xmlns="http://schemas.microsoft.com/office/spreadsheetml/2009/9/main" objectType="Drop" dropLines="2" dropStyle="combo" dx="16" fmlaLink="$AC$19" fmlaRange="$AE$19:$AE$20" sel="1" val="0"/>
</file>

<file path=xl/ctrlProps/ctrlProp12.xml><?xml version="1.0" encoding="utf-8"?>
<formControlPr xmlns="http://schemas.microsoft.com/office/spreadsheetml/2009/9/main" objectType="Drop" dropLines="2" dropStyle="combo" dx="16" fmlaLink="$AC$25" fmlaRange="$AE$25:$AE$26" sel="2" val="0"/>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13.emf"/><Relationship Id="rId7" Type="http://schemas.openxmlformats.org/officeDocument/2006/relationships/image" Target="../media/image17.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5" Type="http://schemas.openxmlformats.org/officeDocument/2006/relationships/image" Target="../media/image15.emf"/><Relationship Id="rId10" Type="http://schemas.openxmlformats.org/officeDocument/2006/relationships/image" Target="../media/image20.emf"/><Relationship Id="rId4" Type="http://schemas.openxmlformats.org/officeDocument/2006/relationships/image" Target="../media/image14.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30</xdr:row>
          <xdr:rowOff>19050</xdr:rowOff>
        </xdr:from>
        <xdr:to>
          <xdr:col>6</xdr:col>
          <xdr:colOff>9525</xdr:colOff>
          <xdr:row>31</xdr:row>
          <xdr:rowOff>9525</xdr:rowOff>
        </xdr:to>
        <xdr:sp macro="" textlink="">
          <xdr:nvSpPr>
            <xdr:cNvPr id="128003" name="Scroll Bar 3" hidden="1">
              <a:extLst>
                <a:ext uri="{63B3BB69-23CF-44E3-9099-C40C66FF867C}">
                  <a14:compatExt spid="_x0000_s128003"/>
                </a:ext>
                <a:ext uri="{FF2B5EF4-FFF2-40B4-BE49-F238E27FC236}">
                  <a16:creationId xmlns:a16="http://schemas.microsoft.com/office/drawing/2014/main" id="{00000000-0008-0000-0100-000003F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15</xdr:col>
          <xdr:colOff>0</xdr:colOff>
          <xdr:row>16</xdr:row>
          <xdr:rowOff>49695</xdr:rowOff>
        </xdr:to>
        <xdr:pic>
          <xdr:nvPicPr>
            <xdr:cNvPr id="11" name="그림 10">
              <a:extLst>
                <a:ext uri="{FF2B5EF4-FFF2-40B4-BE49-F238E27FC236}">
                  <a16:creationId xmlns:a16="http://schemas.microsoft.com/office/drawing/2014/main" id="{00000000-0008-0000-0100-00000B000000}"/>
                </a:ext>
              </a:extLst>
            </xdr:cNvPr>
            <xdr:cNvPicPr>
              <a:picLocks noChangeAspect="1" noChangeArrowheads="1"/>
              <a:extLst>
                <a:ext uri="{84589F7E-364E-4C9E-8A38-B11213B215E9}">
                  <a14:cameraTool cellRange="$B$134:$E$146" spid="_x0000_s329965"/>
                </a:ext>
              </a:extLst>
            </xdr:cNvPicPr>
          </xdr:nvPicPr>
          <xdr:blipFill>
            <a:blip xmlns:r="http://schemas.openxmlformats.org/officeDocument/2006/relationships" r:embed="rId1"/>
            <a:srcRect/>
            <a:stretch>
              <a:fillRect/>
            </a:stretch>
          </xdr:blipFill>
          <xdr:spPr bwMode="auto">
            <a:xfrm>
              <a:off x="8135471" y="784412"/>
              <a:ext cx="2913530" cy="188745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15</xdr:col>
          <xdr:colOff>0</xdr:colOff>
          <xdr:row>32</xdr:row>
          <xdr:rowOff>124239</xdr:rowOff>
        </xdr:to>
        <xdr:pic>
          <xdr:nvPicPr>
            <xdr:cNvPr id="12" name="그림 11">
              <a:extLst>
                <a:ext uri="{FF2B5EF4-FFF2-40B4-BE49-F238E27FC236}">
                  <a16:creationId xmlns:a16="http://schemas.microsoft.com/office/drawing/2014/main" id="{00000000-0008-0000-0100-00000C000000}"/>
                </a:ext>
              </a:extLst>
            </xdr:cNvPr>
            <xdr:cNvPicPr>
              <a:picLocks noChangeAspect="1" noChangeArrowheads="1"/>
              <a:extLst>
                <a:ext uri="{84589F7E-364E-4C9E-8A38-B11213B215E9}">
                  <a14:cameraTool cellRange="$B$102:$E$116" spid="_x0000_s329966"/>
                </a:ext>
              </a:extLst>
            </xdr:cNvPicPr>
          </xdr:nvPicPr>
          <xdr:blipFill>
            <a:blip xmlns:r="http://schemas.openxmlformats.org/officeDocument/2006/relationships" r:embed="rId2"/>
            <a:srcRect/>
            <a:stretch>
              <a:fillRect/>
            </a:stretch>
          </xdr:blipFill>
          <xdr:spPr bwMode="auto">
            <a:xfrm>
              <a:off x="8135471" y="3115235"/>
              <a:ext cx="2913530" cy="22421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xdr:row>
          <xdr:rowOff>0</xdr:rowOff>
        </xdr:from>
        <xdr:to>
          <xdr:col>22</xdr:col>
          <xdr:colOff>1</xdr:colOff>
          <xdr:row>29</xdr:row>
          <xdr:rowOff>1</xdr:rowOff>
        </xdr:to>
        <xdr:pic>
          <xdr:nvPicPr>
            <xdr:cNvPr id="13" name="그림 12">
              <a:extLst>
                <a:ext uri="{FF2B5EF4-FFF2-40B4-BE49-F238E27FC236}">
                  <a16:creationId xmlns:a16="http://schemas.microsoft.com/office/drawing/2014/main" id="{00000000-0008-0000-0100-00000D000000}"/>
                </a:ext>
              </a:extLst>
            </xdr:cNvPr>
            <xdr:cNvPicPr>
              <a:picLocks noChangeAspect="1" noChangeArrowheads="1"/>
              <a:extLst>
                <a:ext uri="{84589F7E-364E-4C9E-8A38-B11213B215E9}">
                  <a14:cameraTool cellRange="$O$148:$U$173" spid="_x0000_s329967"/>
                </a:ext>
              </a:extLst>
            </xdr:cNvPicPr>
          </xdr:nvPicPr>
          <xdr:blipFill>
            <a:blip xmlns:r="http://schemas.openxmlformats.org/officeDocument/2006/relationships" r:embed="rId3"/>
            <a:srcRect/>
            <a:stretch>
              <a:fillRect/>
            </a:stretch>
          </xdr:blipFill>
          <xdr:spPr bwMode="auto">
            <a:xfrm>
              <a:off x="11049000" y="952500"/>
              <a:ext cx="5098677" cy="381000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0</xdr:rowOff>
        </xdr:from>
        <xdr:to>
          <xdr:col>18</xdr:col>
          <xdr:colOff>332643</xdr:colOff>
          <xdr:row>37</xdr:row>
          <xdr:rowOff>109904</xdr:rowOff>
        </xdr:to>
        <xdr:pic>
          <xdr:nvPicPr>
            <xdr:cNvPr id="19" name="그림 18">
              <a:extLst>
                <a:ext uri="{FF2B5EF4-FFF2-40B4-BE49-F238E27FC236}">
                  <a16:creationId xmlns:a16="http://schemas.microsoft.com/office/drawing/2014/main" id="{00000000-0008-0000-0100-000013000000}"/>
                </a:ext>
              </a:extLst>
            </xdr:cNvPr>
            <xdr:cNvPicPr>
              <a:picLocks noChangeAspect="1" noChangeArrowheads="1"/>
              <a:extLst>
                <a:ext uri="{84589F7E-364E-4C9E-8A38-B11213B215E9}">
                  <a14:cameraTool cellRange="DCF!$I$52:$P$54" spid="_x0000_s329968"/>
                </a:ext>
              </a:extLst>
            </xdr:cNvPicPr>
          </xdr:nvPicPr>
          <xdr:blipFill>
            <a:blip xmlns:r="http://schemas.openxmlformats.org/officeDocument/2006/relationships" r:embed="rId4"/>
            <a:srcRect/>
            <a:stretch>
              <a:fillRect/>
            </a:stretch>
          </xdr:blipFill>
          <xdr:spPr bwMode="auto">
            <a:xfrm>
              <a:off x="8135471" y="5546912"/>
              <a:ext cx="5431320" cy="5805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46</xdr:row>
          <xdr:rowOff>0</xdr:rowOff>
        </xdr:from>
        <xdr:to>
          <xdr:col>18</xdr:col>
          <xdr:colOff>332643</xdr:colOff>
          <xdr:row>49</xdr:row>
          <xdr:rowOff>109904</xdr:rowOff>
        </xdr:to>
        <xdr:pic>
          <xdr:nvPicPr>
            <xdr:cNvPr id="20" name="그림 19">
              <a:extLst>
                <a:ext uri="{FF2B5EF4-FFF2-40B4-BE49-F238E27FC236}">
                  <a16:creationId xmlns:a16="http://schemas.microsoft.com/office/drawing/2014/main" id="{00000000-0008-0000-0100-000014000000}"/>
                </a:ext>
              </a:extLst>
            </xdr:cNvPr>
            <xdr:cNvPicPr>
              <a:picLocks noChangeAspect="1" noChangeArrowheads="1"/>
              <a:extLst>
                <a:ext uri="{84589F7E-364E-4C9E-8A38-B11213B215E9}">
                  <a14:cameraTool cellRange="DCF!$I$56:$P$58" spid="_x0000_s329969"/>
                </a:ext>
              </a:extLst>
            </xdr:cNvPicPr>
          </xdr:nvPicPr>
          <xdr:blipFill>
            <a:blip xmlns:r="http://schemas.openxmlformats.org/officeDocument/2006/relationships" r:embed="rId5"/>
            <a:srcRect/>
            <a:stretch>
              <a:fillRect/>
            </a:stretch>
          </xdr:blipFill>
          <xdr:spPr bwMode="auto">
            <a:xfrm>
              <a:off x="8135471" y="6174441"/>
              <a:ext cx="5431320" cy="5805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58</xdr:row>
          <xdr:rowOff>0</xdr:rowOff>
        </xdr:from>
        <xdr:to>
          <xdr:col>18</xdr:col>
          <xdr:colOff>332643</xdr:colOff>
          <xdr:row>61</xdr:row>
          <xdr:rowOff>109904</xdr:rowOff>
        </xdr:to>
        <xdr:pic>
          <xdr:nvPicPr>
            <xdr:cNvPr id="21" name="그림 20">
              <a:extLst>
                <a:ext uri="{FF2B5EF4-FFF2-40B4-BE49-F238E27FC236}">
                  <a16:creationId xmlns:a16="http://schemas.microsoft.com/office/drawing/2014/main" id="{00000000-0008-0000-0100-000015000000}"/>
                </a:ext>
              </a:extLst>
            </xdr:cNvPr>
            <xdr:cNvPicPr>
              <a:picLocks noChangeAspect="1" noChangeArrowheads="1"/>
              <a:extLst>
                <a:ext uri="{84589F7E-364E-4C9E-8A38-B11213B215E9}">
                  <a14:cameraTool cellRange="DCF!$I$64:$P$66" spid="_x0000_s329970"/>
                </a:ext>
              </a:extLst>
            </xdr:cNvPicPr>
          </xdr:nvPicPr>
          <xdr:blipFill>
            <a:blip xmlns:r="http://schemas.openxmlformats.org/officeDocument/2006/relationships" r:embed="rId6"/>
            <a:srcRect/>
            <a:stretch>
              <a:fillRect/>
            </a:stretch>
          </xdr:blipFill>
          <xdr:spPr bwMode="auto">
            <a:xfrm>
              <a:off x="8135471" y="6801971"/>
              <a:ext cx="5431320" cy="5805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62</xdr:row>
          <xdr:rowOff>0</xdr:rowOff>
        </xdr:from>
        <xdr:to>
          <xdr:col>18</xdr:col>
          <xdr:colOff>332643</xdr:colOff>
          <xdr:row>65</xdr:row>
          <xdr:rowOff>109904</xdr:rowOff>
        </xdr:to>
        <xdr:pic>
          <xdr:nvPicPr>
            <xdr:cNvPr id="22" name="그림 21">
              <a:extLst>
                <a:ext uri="{FF2B5EF4-FFF2-40B4-BE49-F238E27FC236}">
                  <a16:creationId xmlns:a16="http://schemas.microsoft.com/office/drawing/2014/main" id="{00000000-0008-0000-0100-000016000000}"/>
                </a:ext>
              </a:extLst>
            </xdr:cNvPr>
            <xdr:cNvPicPr>
              <a:picLocks noChangeAspect="1" noChangeArrowheads="1"/>
              <a:extLst>
                <a:ext uri="{84589F7E-364E-4C9E-8A38-B11213B215E9}">
                  <a14:cameraTool cellRange="DCF!$R$64:$Y$66" spid="_x0000_s329971"/>
                </a:ext>
              </a:extLst>
            </xdr:cNvPicPr>
          </xdr:nvPicPr>
          <xdr:blipFill>
            <a:blip xmlns:r="http://schemas.openxmlformats.org/officeDocument/2006/relationships" r:embed="rId7"/>
            <a:srcRect/>
            <a:stretch>
              <a:fillRect/>
            </a:stretch>
          </xdr:blipFill>
          <xdr:spPr bwMode="auto">
            <a:xfrm>
              <a:off x="8135471" y="7429500"/>
              <a:ext cx="5431320" cy="5805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66</xdr:row>
          <xdr:rowOff>0</xdr:rowOff>
        </xdr:from>
        <xdr:to>
          <xdr:col>18</xdr:col>
          <xdr:colOff>332643</xdr:colOff>
          <xdr:row>69</xdr:row>
          <xdr:rowOff>109904</xdr:rowOff>
        </xdr:to>
        <xdr:pic>
          <xdr:nvPicPr>
            <xdr:cNvPr id="23" name="그림 22">
              <a:extLst>
                <a:ext uri="{FF2B5EF4-FFF2-40B4-BE49-F238E27FC236}">
                  <a16:creationId xmlns:a16="http://schemas.microsoft.com/office/drawing/2014/main" id="{00000000-0008-0000-0100-000017000000}"/>
                </a:ext>
              </a:extLst>
            </xdr:cNvPr>
            <xdr:cNvPicPr>
              <a:picLocks noChangeAspect="1" noChangeArrowheads="1"/>
              <a:extLst>
                <a:ext uri="{84589F7E-364E-4C9E-8A38-B11213B215E9}">
                  <a14:cameraTool cellRange="DCF!$AA$64:$AH$66" spid="_x0000_s329972"/>
                </a:ext>
              </a:extLst>
            </xdr:cNvPicPr>
          </xdr:nvPicPr>
          <xdr:blipFill>
            <a:blip xmlns:r="http://schemas.openxmlformats.org/officeDocument/2006/relationships" r:embed="rId8"/>
            <a:srcRect/>
            <a:stretch>
              <a:fillRect/>
            </a:stretch>
          </xdr:blipFill>
          <xdr:spPr bwMode="auto">
            <a:xfrm>
              <a:off x="8135471" y="8057029"/>
              <a:ext cx="5431320" cy="5805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33</xdr:row>
          <xdr:rowOff>0</xdr:rowOff>
        </xdr:from>
        <xdr:to>
          <xdr:col>26</xdr:col>
          <xdr:colOff>459441</xdr:colOff>
          <xdr:row>46</xdr:row>
          <xdr:rowOff>3361</xdr:rowOff>
        </xdr:to>
        <xdr:pic>
          <xdr:nvPicPr>
            <xdr:cNvPr id="14" name="그림 13">
              <a:extLst>
                <a:ext uri="{FF2B5EF4-FFF2-40B4-BE49-F238E27FC236}">
                  <a16:creationId xmlns:a16="http://schemas.microsoft.com/office/drawing/2014/main" id="{00000000-0008-0000-0100-00000E000000}"/>
                </a:ext>
              </a:extLst>
            </xdr:cNvPr>
            <xdr:cNvPicPr>
              <a:picLocks noChangeAspect="1" noChangeArrowheads="1"/>
              <a:extLst>
                <a:ext uri="{84589F7E-364E-4C9E-8A38-B11213B215E9}">
                  <a14:cameraTool cellRange="환율전망!$N$1:$T$10" spid="_x0000_s329973"/>
                </a:ext>
              </a:extLst>
            </xdr:cNvPicPr>
          </xdr:nvPicPr>
          <xdr:blipFill>
            <a:blip xmlns:r="http://schemas.openxmlformats.org/officeDocument/2006/relationships" r:embed="rId9"/>
            <a:srcRect/>
            <a:stretch>
              <a:fillRect/>
            </a:stretch>
          </xdr:blipFill>
          <xdr:spPr bwMode="auto">
            <a:xfrm>
              <a:off x="13962529" y="5390029"/>
              <a:ext cx="4953000" cy="20383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62</xdr:row>
          <xdr:rowOff>123825</xdr:rowOff>
        </xdr:from>
        <xdr:to>
          <xdr:col>32</xdr:col>
          <xdr:colOff>365872</xdr:colOff>
          <xdr:row>66</xdr:row>
          <xdr:rowOff>124945</xdr:rowOff>
        </xdr:to>
        <xdr:pic>
          <xdr:nvPicPr>
            <xdr:cNvPr id="15" name="그림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환율전망!$A$6:$K$8" spid="_x0000_s329974"/>
                </a:ext>
              </a:extLst>
            </xdr:cNvPicPr>
          </xdr:nvPicPr>
          <xdr:blipFill>
            <a:blip xmlns:r="http://schemas.openxmlformats.org/officeDocument/2006/relationships" r:embed="rId10"/>
            <a:srcRect/>
            <a:stretch>
              <a:fillRect/>
            </a:stretch>
          </xdr:blipFill>
          <xdr:spPr bwMode="auto">
            <a:xfrm>
              <a:off x="13582650" y="9934575"/>
              <a:ext cx="9147922" cy="6107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9525</xdr:colOff>
          <xdr:row>6</xdr:row>
          <xdr:rowOff>0</xdr:rowOff>
        </xdr:from>
        <xdr:to>
          <xdr:col>25</xdr:col>
          <xdr:colOff>0</xdr:colOff>
          <xdr:row>7</xdr:row>
          <xdr:rowOff>19050</xdr:rowOff>
        </xdr:to>
        <xdr:sp macro="" textlink="">
          <xdr:nvSpPr>
            <xdr:cNvPr id="122881" name="Drop Down 1" hidden="1">
              <a:extLst>
                <a:ext uri="{63B3BB69-23CF-44E3-9099-C40C66FF867C}">
                  <a14:compatExt spid="_x0000_s122881"/>
                </a:ext>
                <a:ext uri="{FF2B5EF4-FFF2-40B4-BE49-F238E27FC236}">
                  <a16:creationId xmlns:a16="http://schemas.microsoft.com/office/drawing/2014/main" id="{00000000-0008-0000-0C00-000001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8</xdr:row>
          <xdr:rowOff>0</xdr:rowOff>
        </xdr:from>
        <xdr:to>
          <xdr:col>25</xdr:col>
          <xdr:colOff>0</xdr:colOff>
          <xdr:row>9</xdr:row>
          <xdr:rowOff>19050</xdr:rowOff>
        </xdr:to>
        <xdr:sp macro="" textlink="">
          <xdr:nvSpPr>
            <xdr:cNvPr id="122882" name="Drop Down 2" hidden="1">
              <a:extLst>
                <a:ext uri="{63B3BB69-23CF-44E3-9099-C40C66FF867C}">
                  <a14:compatExt spid="_x0000_s122882"/>
                </a:ext>
                <a:ext uri="{FF2B5EF4-FFF2-40B4-BE49-F238E27FC236}">
                  <a16:creationId xmlns:a16="http://schemas.microsoft.com/office/drawing/2014/main" id="{00000000-0008-0000-0C00-000002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10</xdr:row>
          <xdr:rowOff>0</xdr:rowOff>
        </xdr:from>
        <xdr:to>
          <xdr:col>25</xdr:col>
          <xdr:colOff>0</xdr:colOff>
          <xdr:row>11</xdr:row>
          <xdr:rowOff>19050</xdr:rowOff>
        </xdr:to>
        <xdr:sp macro="" textlink="">
          <xdr:nvSpPr>
            <xdr:cNvPr id="122883" name="Drop Down 3" hidden="1">
              <a:extLst>
                <a:ext uri="{63B3BB69-23CF-44E3-9099-C40C66FF867C}">
                  <a14:compatExt spid="_x0000_s122883"/>
                </a:ext>
                <a:ext uri="{FF2B5EF4-FFF2-40B4-BE49-F238E27FC236}">
                  <a16:creationId xmlns:a16="http://schemas.microsoft.com/office/drawing/2014/main" id="{00000000-0008-0000-0C00-000003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12</xdr:row>
          <xdr:rowOff>19050</xdr:rowOff>
        </xdr:from>
        <xdr:to>
          <xdr:col>25</xdr:col>
          <xdr:colOff>0</xdr:colOff>
          <xdr:row>13</xdr:row>
          <xdr:rowOff>38100</xdr:rowOff>
        </xdr:to>
        <xdr:sp macro="" textlink="">
          <xdr:nvSpPr>
            <xdr:cNvPr id="122884" name="Drop Down 4" hidden="1">
              <a:extLst>
                <a:ext uri="{63B3BB69-23CF-44E3-9099-C40C66FF867C}">
                  <a14:compatExt spid="_x0000_s122884"/>
                </a:ext>
                <a:ext uri="{FF2B5EF4-FFF2-40B4-BE49-F238E27FC236}">
                  <a16:creationId xmlns:a16="http://schemas.microsoft.com/office/drawing/2014/main" id="{00000000-0008-0000-0C00-000004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30</xdr:row>
          <xdr:rowOff>0</xdr:rowOff>
        </xdr:from>
        <xdr:to>
          <xdr:col>25</xdr:col>
          <xdr:colOff>0</xdr:colOff>
          <xdr:row>31</xdr:row>
          <xdr:rowOff>19050</xdr:rowOff>
        </xdr:to>
        <xdr:sp macro="" textlink="">
          <xdr:nvSpPr>
            <xdr:cNvPr id="122885" name="Drop Down 5" hidden="1">
              <a:extLst>
                <a:ext uri="{63B3BB69-23CF-44E3-9099-C40C66FF867C}">
                  <a14:compatExt spid="_x0000_s122885"/>
                </a:ext>
                <a:ext uri="{FF2B5EF4-FFF2-40B4-BE49-F238E27FC236}">
                  <a16:creationId xmlns:a16="http://schemas.microsoft.com/office/drawing/2014/main" id="{00000000-0008-0000-0C00-000005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14</xdr:row>
          <xdr:rowOff>28575</xdr:rowOff>
        </xdr:from>
        <xdr:to>
          <xdr:col>25</xdr:col>
          <xdr:colOff>0</xdr:colOff>
          <xdr:row>15</xdr:row>
          <xdr:rowOff>47625</xdr:rowOff>
        </xdr:to>
        <xdr:sp macro="" textlink="">
          <xdr:nvSpPr>
            <xdr:cNvPr id="122886" name="Drop Down 6" hidden="1">
              <a:extLst>
                <a:ext uri="{63B3BB69-23CF-44E3-9099-C40C66FF867C}">
                  <a14:compatExt spid="_x0000_s122886"/>
                </a:ext>
                <a:ext uri="{FF2B5EF4-FFF2-40B4-BE49-F238E27FC236}">
                  <a16:creationId xmlns:a16="http://schemas.microsoft.com/office/drawing/2014/main" id="{00000000-0008-0000-0C00-000006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16</xdr:row>
          <xdr:rowOff>0</xdr:rowOff>
        </xdr:from>
        <xdr:to>
          <xdr:col>25</xdr:col>
          <xdr:colOff>0</xdr:colOff>
          <xdr:row>17</xdr:row>
          <xdr:rowOff>19050</xdr:rowOff>
        </xdr:to>
        <xdr:sp macro="" textlink="">
          <xdr:nvSpPr>
            <xdr:cNvPr id="122887" name="Drop Down 7" hidden="1">
              <a:extLst>
                <a:ext uri="{63B3BB69-23CF-44E3-9099-C40C66FF867C}">
                  <a14:compatExt spid="_x0000_s122887"/>
                </a:ext>
                <a:ext uri="{FF2B5EF4-FFF2-40B4-BE49-F238E27FC236}">
                  <a16:creationId xmlns:a16="http://schemas.microsoft.com/office/drawing/2014/main" id="{00000000-0008-0000-0C00-000007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21</xdr:row>
          <xdr:rowOff>0</xdr:rowOff>
        </xdr:from>
        <xdr:to>
          <xdr:col>25</xdr:col>
          <xdr:colOff>0</xdr:colOff>
          <xdr:row>22</xdr:row>
          <xdr:rowOff>19050</xdr:rowOff>
        </xdr:to>
        <xdr:sp macro="" textlink="">
          <xdr:nvSpPr>
            <xdr:cNvPr id="122888" name="Drop Down 8" hidden="1">
              <a:extLst>
                <a:ext uri="{63B3BB69-23CF-44E3-9099-C40C66FF867C}">
                  <a14:compatExt spid="_x0000_s122888"/>
                </a:ext>
                <a:ext uri="{FF2B5EF4-FFF2-40B4-BE49-F238E27FC236}">
                  <a16:creationId xmlns:a16="http://schemas.microsoft.com/office/drawing/2014/main" id="{00000000-0008-0000-0C00-000008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27</xdr:row>
          <xdr:rowOff>9525</xdr:rowOff>
        </xdr:from>
        <xdr:to>
          <xdr:col>25</xdr:col>
          <xdr:colOff>0</xdr:colOff>
          <xdr:row>28</xdr:row>
          <xdr:rowOff>28575</xdr:rowOff>
        </xdr:to>
        <xdr:sp macro="" textlink="">
          <xdr:nvSpPr>
            <xdr:cNvPr id="122889" name="Drop Down 9" hidden="1">
              <a:extLst>
                <a:ext uri="{63B3BB69-23CF-44E3-9099-C40C66FF867C}">
                  <a14:compatExt spid="_x0000_s122889"/>
                </a:ext>
                <a:ext uri="{FF2B5EF4-FFF2-40B4-BE49-F238E27FC236}">
                  <a16:creationId xmlns:a16="http://schemas.microsoft.com/office/drawing/2014/main" id="{00000000-0008-0000-0C00-000009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18</xdr:row>
          <xdr:rowOff>0</xdr:rowOff>
        </xdr:from>
        <xdr:to>
          <xdr:col>25</xdr:col>
          <xdr:colOff>0</xdr:colOff>
          <xdr:row>19</xdr:row>
          <xdr:rowOff>19050</xdr:rowOff>
        </xdr:to>
        <xdr:sp macro="" textlink="">
          <xdr:nvSpPr>
            <xdr:cNvPr id="122890" name="Drop Down 10" hidden="1">
              <a:extLst>
                <a:ext uri="{63B3BB69-23CF-44E3-9099-C40C66FF867C}">
                  <a14:compatExt spid="_x0000_s122890"/>
                </a:ext>
                <a:ext uri="{FF2B5EF4-FFF2-40B4-BE49-F238E27FC236}">
                  <a16:creationId xmlns:a16="http://schemas.microsoft.com/office/drawing/2014/main" id="{00000000-0008-0000-0C00-00000A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24</xdr:row>
          <xdr:rowOff>9525</xdr:rowOff>
        </xdr:from>
        <xdr:to>
          <xdr:col>25</xdr:col>
          <xdr:colOff>0</xdr:colOff>
          <xdr:row>25</xdr:row>
          <xdr:rowOff>28575</xdr:rowOff>
        </xdr:to>
        <xdr:sp macro="" textlink="">
          <xdr:nvSpPr>
            <xdr:cNvPr id="122891" name="Drop Down 11" hidden="1">
              <a:extLst>
                <a:ext uri="{63B3BB69-23CF-44E3-9099-C40C66FF867C}">
                  <a14:compatExt spid="_x0000_s122891"/>
                </a:ext>
                <a:ext uri="{FF2B5EF4-FFF2-40B4-BE49-F238E27FC236}">
                  <a16:creationId xmlns:a16="http://schemas.microsoft.com/office/drawing/2014/main" id="{00000000-0008-0000-0C00-00000BE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247649</xdr:colOff>
      <xdr:row>7</xdr:row>
      <xdr:rowOff>52387</xdr:rowOff>
    </xdr:from>
    <xdr:to>
      <xdr:col>8</xdr:col>
      <xdr:colOff>66674</xdr:colOff>
      <xdr:row>20</xdr:row>
      <xdr:rowOff>123825</xdr:rowOff>
    </xdr:to>
    <xdr:graphicFrame macro="">
      <xdr:nvGraphicFramePr>
        <xdr:cNvPr id="6" name="차트 5">
          <a:extLst>
            <a:ext uri="{FF2B5EF4-FFF2-40B4-BE49-F238E27FC236}">
              <a16:creationId xmlns:a16="http://schemas.microsoft.com/office/drawing/2014/main" id="{00000000-0008-0000-1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116785</xdr:colOff>
      <xdr:row>6</xdr:row>
      <xdr:rowOff>71438</xdr:rowOff>
    </xdr:from>
    <xdr:to>
      <xdr:col>16</xdr:col>
      <xdr:colOff>467011</xdr:colOff>
      <xdr:row>18</xdr:row>
      <xdr:rowOff>146539</xdr:rowOff>
    </xdr:to>
    <xdr:graphicFrame macro="">
      <xdr:nvGraphicFramePr>
        <xdr:cNvPr id="8" name="차트 7">
          <a:extLst>
            <a:ext uri="{FF2B5EF4-FFF2-40B4-BE49-F238E27FC236}">
              <a16:creationId xmlns:a16="http://schemas.microsoft.com/office/drawing/2014/main" id="{00000000-0008-0000-1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66675</xdr:colOff>
      <xdr:row>8</xdr:row>
      <xdr:rowOff>52387</xdr:rowOff>
    </xdr:from>
    <xdr:to>
      <xdr:col>25</xdr:col>
      <xdr:colOff>504825</xdr:colOff>
      <xdr:row>21</xdr:row>
      <xdr:rowOff>19050</xdr:rowOff>
    </xdr:to>
    <xdr:graphicFrame macro="">
      <xdr:nvGraphicFramePr>
        <xdr:cNvPr id="9" name="차트 8">
          <a:extLst>
            <a:ext uri="{FF2B5EF4-FFF2-40B4-BE49-F238E27FC236}">
              <a16:creationId xmlns:a16="http://schemas.microsoft.com/office/drawing/2014/main" id="{00000000-0008-0000-1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39</xdr:col>
      <xdr:colOff>123825</xdr:colOff>
      <xdr:row>6</xdr:row>
      <xdr:rowOff>52387</xdr:rowOff>
    </xdr:from>
    <xdr:to>
      <xdr:col>43</xdr:col>
      <xdr:colOff>609600</xdr:colOff>
      <xdr:row>19</xdr:row>
      <xdr:rowOff>114300</xdr:rowOff>
    </xdr:to>
    <xdr:graphicFrame macro="">
      <xdr:nvGraphicFramePr>
        <xdr:cNvPr id="11" name="차트 10">
          <a:extLst>
            <a:ext uri="{FF2B5EF4-FFF2-40B4-BE49-F238E27FC236}">
              <a16:creationId xmlns:a16="http://schemas.microsoft.com/office/drawing/2014/main" id="{00000000-0008-0000-1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114300</xdr:colOff>
      <xdr:row>7</xdr:row>
      <xdr:rowOff>0</xdr:rowOff>
    </xdr:from>
    <xdr:to>
      <xdr:col>34</xdr:col>
      <xdr:colOff>533400</xdr:colOff>
      <xdr:row>20</xdr:row>
      <xdr:rowOff>61913</xdr:rowOff>
    </xdr:to>
    <xdr:graphicFrame macro="">
      <xdr:nvGraphicFramePr>
        <xdr:cNvPr id="2" name="차트 9">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547687</xdr:colOff>
      <xdr:row>2435</xdr:row>
      <xdr:rowOff>57150</xdr:rowOff>
    </xdr:from>
    <xdr:to>
      <xdr:col>12</xdr:col>
      <xdr:colOff>138112</xdr:colOff>
      <xdr:row>2453</xdr:row>
      <xdr:rowOff>57150</xdr:rowOff>
    </xdr:to>
    <xdr:graphicFrame macro="">
      <xdr:nvGraphicFramePr>
        <xdr:cNvPr id="3" name="차트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28575</xdr:colOff>
      <xdr:row>3</xdr:row>
      <xdr:rowOff>47625</xdr:rowOff>
    </xdr:from>
    <xdr:to>
      <xdr:col>17</xdr:col>
      <xdr:colOff>361137</xdr:colOff>
      <xdr:row>11</xdr:row>
      <xdr:rowOff>95090</xdr:rowOff>
    </xdr:to>
    <xdr:pic>
      <xdr:nvPicPr>
        <xdr:cNvPr id="2" name="그림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5848350" y="504825"/>
          <a:ext cx="6504762" cy="1276190"/>
        </a:xfrm>
        <a:prstGeom prst="rect">
          <a:avLst/>
        </a:prstGeom>
      </xdr:spPr>
    </xdr:pic>
    <xdr:clientData/>
  </xdr:twoCellAnchor>
  <xdr:twoCellAnchor editAs="oneCell">
    <xdr:from>
      <xdr:col>17</xdr:col>
      <xdr:colOff>447675</xdr:colOff>
      <xdr:row>1</xdr:row>
      <xdr:rowOff>0</xdr:rowOff>
    </xdr:from>
    <xdr:to>
      <xdr:col>26</xdr:col>
      <xdr:colOff>656401</xdr:colOff>
      <xdr:row>15</xdr:row>
      <xdr:rowOff>66399</xdr:rowOff>
    </xdr:to>
    <xdr:pic>
      <xdr:nvPicPr>
        <xdr:cNvPr id="3" name="그림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2439650" y="152400"/>
          <a:ext cx="6590476" cy="2209524"/>
        </a:xfrm>
        <a:prstGeom prst="rect">
          <a:avLst/>
        </a:prstGeom>
      </xdr:spPr>
    </xdr:pic>
    <xdr:clientData/>
  </xdr:twoCellAnchor>
  <xdr:twoCellAnchor editAs="oneCell">
    <xdr:from>
      <xdr:col>0</xdr:col>
      <xdr:colOff>590550</xdr:colOff>
      <xdr:row>46</xdr:row>
      <xdr:rowOff>85725</xdr:rowOff>
    </xdr:from>
    <xdr:to>
      <xdr:col>4</xdr:col>
      <xdr:colOff>581025</xdr:colOff>
      <xdr:row>60</xdr:row>
      <xdr:rowOff>120717</xdr:rowOff>
    </xdr:to>
    <xdr:pic>
      <xdr:nvPicPr>
        <xdr:cNvPr id="4" name="그림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590550" y="7153275"/>
          <a:ext cx="4010025" cy="21685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24</xdr:row>
      <xdr:rowOff>0</xdr:rowOff>
    </xdr:from>
    <xdr:to>
      <xdr:col>15</xdr:col>
      <xdr:colOff>1398587</xdr:colOff>
      <xdr:row>31</xdr:row>
      <xdr:rowOff>14462</xdr:rowOff>
    </xdr:to>
    <xdr:sp macro="" textlink="">
      <xdr:nvSpPr>
        <xdr:cNvPr id="2" name="Text Box 2">
          <a:extLst>
            <a:ext uri="{FF2B5EF4-FFF2-40B4-BE49-F238E27FC236}">
              <a16:creationId xmlns:a16="http://schemas.microsoft.com/office/drawing/2014/main" id="{00000000-0008-0000-3B00-000002000000}"/>
            </a:ext>
          </a:extLst>
        </xdr:cNvPr>
        <xdr:cNvSpPr txBox="1">
          <a:spLocks noChangeArrowheads="1"/>
        </xdr:cNvSpPr>
      </xdr:nvSpPr>
      <xdr:spPr bwMode="auto">
        <a:xfrm>
          <a:off x="8915400" y="3657600"/>
          <a:ext cx="4608512" cy="1224137"/>
        </a:xfrm>
        <a:prstGeom prst="rect">
          <a:avLst/>
        </a:prstGeom>
        <a:solidFill>
          <a:schemeClr val="bg1"/>
        </a:solidFill>
        <a:ln>
          <a:noFill/>
        </a:ln>
        <a:effectLst/>
      </xdr:spPr>
      <xdr:txBody>
        <a:bodyPr wrap="square" tIns="0" rIns="0" bIns="0">
          <a:noAutofit/>
        </a:bodyPr>
        <a:lstStyle>
          <a:defPPr>
            <a:defRPr lang="ko-KR"/>
          </a:defPPr>
          <a:lvl1pPr algn="ctr" rtl="0" fontAlgn="base" latinLnBrk="1">
            <a:lnSpc>
              <a:spcPct val="150000"/>
            </a:lnSpc>
            <a:spcBef>
              <a:spcPct val="0"/>
            </a:spcBef>
            <a:spcAft>
              <a:spcPct val="0"/>
            </a:spcAft>
            <a:defRPr kumimoji="1" sz="1400" kern="1200">
              <a:solidFill>
                <a:schemeClr val="tx1"/>
              </a:solidFill>
              <a:latin typeface="HY견명조" pitchFamily="18" charset="-127"/>
              <a:ea typeface="HY견명조" pitchFamily="18" charset="-127"/>
              <a:cs typeface="+mn-cs"/>
            </a:defRPr>
          </a:lvl1pPr>
          <a:lvl2pPr marL="457200" algn="ctr" rtl="0" fontAlgn="base" latinLnBrk="1">
            <a:lnSpc>
              <a:spcPct val="150000"/>
            </a:lnSpc>
            <a:spcBef>
              <a:spcPct val="0"/>
            </a:spcBef>
            <a:spcAft>
              <a:spcPct val="0"/>
            </a:spcAft>
            <a:defRPr kumimoji="1" sz="1400" kern="1200">
              <a:solidFill>
                <a:schemeClr val="tx1"/>
              </a:solidFill>
              <a:latin typeface="HY견명조" pitchFamily="18" charset="-127"/>
              <a:ea typeface="HY견명조" pitchFamily="18" charset="-127"/>
              <a:cs typeface="+mn-cs"/>
            </a:defRPr>
          </a:lvl2pPr>
          <a:lvl3pPr marL="914400" algn="ctr" rtl="0" fontAlgn="base" latinLnBrk="1">
            <a:lnSpc>
              <a:spcPct val="150000"/>
            </a:lnSpc>
            <a:spcBef>
              <a:spcPct val="0"/>
            </a:spcBef>
            <a:spcAft>
              <a:spcPct val="0"/>
            </a:spcAft>
            <a:defRPr kumimoji="1" sz="1400" kern="1200">
              <a:solidFill>
                <a:schemeClr val="tx1"/>
              </a:solidFill>
              <a:latin typeface="HY견명조" pitchFamily="18" charset="-127"/>
              <a:ea typeface="HY견명조" pitchFamily="18" charset="-127"/>
              <a:cs typeface="+mn-cs"/>
            </a:defRPr>
          </a:lvl3pPr>
          <a:lvl4pPr marL="1371600" algn="ctr" rtl="0" fontAlgn="base" latinLnBrk="1">
            <a:lnSpc>
              <a:spcPct val="150000"/>
            </a:lnSpc>
            <a:spcBef>
              <a:spcPct val="0"/>
            </a:spcBef>
            <a:spcAft>
              <a:spcPct val="0"/>
            </a:spcAft>
            <a:defRPr kumimoji="1" sz="1400" kern="1200">
              <a:solidFill>
                <a:schemeClr val="tx1"/>
              </a:solidFill>
              <a:latin typeface="HY견명조" pitchFamily="18" charset="-127"/>
              <a:ea typeface="HY견명조" pitchFamily="18" charset="-127"/>
              <a:cs typeface="+mn-cs"/>
            </a:defRPr>
          </a:lvl4pPr>
          <a:lvl5pPr marL="1828800" algn="ctr" rtl="0" fontAlgn="base" latinLnBrk="1">
            <a:lnSpc>
              <a:spcPct val="150000"/>
            </a:lnSpc>
            <a:spcBef>
              <a:spcPct val="0"/>
            </a:spcBef>
            <a:spcAft>
              <a:spcPct val="0"/>
            </a:spcAft>
            <a:defRPr kumimoji="1" sz="1400" kern="1200">
              <a:solidFill>
                <a:schemeClr val="tx1"/>
              </a:solidFill>
              <a:latin typeface="HY견명조" pitchFamily="18" charset="-127"/>
              <a:ea typeface="HY견명조" pitchFamily="18" charset="-127"/>
              <a:cs typeface="+mn-cs"/>
            </a:defRPr>
          </a:lvl5pPr>
          <a:lvl6pPr marL="2286000" algn="l" defTabSz="914400" rtl="0" eaLnBrk="1" latinLnBrk="1" hangingPunct="1">
            <a:defRPr kumimoji="1" sz="1400" kern="1200">
              <a:solidFill>
                <a:schemeClr val="tx1"/>
              </a:solidFill>
              <a:latin typeface="HY견명조" pitchFamily="18" charset="-127"/>
              <a:ea typeface="HY견명조" pitchFamily="18" charset="-127"/>
              <a:cs typeface="+mn-cs"/>
            </a:defRPr>
          </a:lvl6pPr>
          <a:lvl7pPr marL="2743200" algn="l" defTabSz="914400" rtl="0" eaLnBrk="1" latinLnBrk="1" hangingPunct="1">
            <a:defRPr kumimoji="1" sz="1400" kern="1200">
              <a:solidFill>
                <a:schemeClr val="tx1"/>
              </a:solidFill>
              <a:latin typeface="HY견명조" pitchFamily="18" charset="-127"/>
              <a:ea typeface="HY견명조" pitchFamily="18" charset="-127"/>
              <a:cs typeface="+mn-cs"/>
            </a:defRPr>
          </a:lvl7pPr>
          <a:lvl8pPr marL="3200400" algn="l" defTabSz="914400" rtl="0" eaLnBrk="1" latinLnBrk="1" hangingPunct="1">
            <a:defRPr kumimoji="1" sz="1400" kern="1200">
              <a:solidFill>
                <a:schemeClr val="tx1"/>
              </a:solidFill>
              <a:latin typeface="HY견명조" pitchFamily="18" charset="-127"/>
              <a:ea typeface="HY견명조" pitchFamily="18" charset="-127"/>
              <a:cs typeface="+mn-cs"/>
            </a:defRPr>
          </a:lvl8pPr>
          <a:lvl9pPr marL="3657600" algn="l" defTabSz="914400" rtl="0" eaLnBrk="1" latinLnBrk="1" hangingPunct="1">
            <a:defRPr kumimoji="1" sz="1400" kern="1200">
              <a:solidFill>
                <a:schemeClr val="tx1"/>
              </a:solidFill>
              <a:latin typeface="HY견명조" pitchFamily="18" charset="-127"/>
              <a:ea typeface="HY견명조" pitchFamily="18" charset="-127"/>
              <a:cs typeface="+mn-cs"/>
            </a:defRPr>
          </a:lvl9pPr>
        </a:lstStyle>
        <a:p>
          <a:pPr algn="l" eaLnBrk="1" hangingPunct="1">
            <a:lnSpc>
              <a:spcPct val="120000"/>
            </a:lnSpc>
          </a:pPr>
          <a:r>
            <a:rPr lang="ko-KR" altLang="en-US" sz="800">
              <a:solidFill>
                <a:prstClr val="black"/>
              </a:solidFill>
              <a:latin typeface="Arial" pitchFamily="34" charset="0"/>
              <a:ea typeface="바탕체" pitchFamily="17" charset="-127"/>
              <a:cs typeface="Arial" pitchFamily="34" charset="0"/>
            </a:rPr>
            <a:t>주1)</a:t>
          </a:r>
          <a:r>
            <a:rPr lang="en-US" altLang="ko-KR" sz="800">
              <a:solidFill>
                <a:prstClr val="black"/>
              </a:solidFill>
              <a:latin typeface="Arial" pitchFamily="34" charset="0"/>
              <a:ea typeface="바탕체" pitchFamily="17" charset="-127"/>
              <a:cs typeface="Arial" pitchFamily="34" charset="0"/>
            </a:rPr>
            <a:t> </a:t>
          </a:r>
          <a:r>
            <a:rPr lang="ko-KR" altLang="en-US" sz="800">
              <a:solidFill>
                <a:prstClr val="black"/>
              </a:solidFill>
              <a:latin typeface="Arial" pitchFamily="34" charset="0"/>
              <a:ea typeface="바탕체" pitchFamily="17" charset="-127"/>
              <a:cs typeface="Arial" pitchFamily="34" charset="0"/>
            </a:rPr>
            <a:t>신규 </a:t>
          </a:r>
          <a:r>
            <a:rPr lang="en-US" altLang="ko-KR" sz="800">
              <a:solidFill>
                <a:prstClr val="black"/>
              </a:solidFill>
              <a:latin typeface="Arial" pitchFamily="34" charset="0"/>
              <a:ea typeface="바탕체" pitchFamily="17" charset="-127"/>
              <a:cs typeface="Arial" pitchFamily="34" charset="0"/>
            </a:rPr>
            <a:t>: Rh(Rhodium) </a:t>
          </a:r>
          <a:r>
            <a:rPr lang="ko-KR" altLang="en-US" sz="800">
              <a:solidFill>
                <a:prstClr val="black"/>
              </a:solidFill>
              <a:latin typeface="Arial" pitchFamily="34" charset="0"/>
              <a:ea typeface="바탕체" pitchFamily="17" charset="-127"/>
              <a:cs typeface="Arial" pitchFamily="34" charset="0"/>
            </a:rPr>
            <a:t>회수설비 설치 </a:t>
          </a:r>
          <a:r>
            <a:rPr lang="en-US" altLang="ko-KR" sz="800">
              <a:solidFill>
                <a:prstClr val="black"/>
              </a:solidFill>
              <a:latin typeface="Arial" pitchFamily="34" charset="0"/>
              <a:ea typeface="바탕체" pitchFamily="17" charset="-127"/>
              <a:cs typeface="Arial" pitchFamily="34" charset="0"/>
            </a:rPr>
            <a:t>7</a:t>
          </a:r>
          <a:r>
            <a:rPr lang="ko-KR" altLang="en-US" sz="800">
              <a:solidFill>
                <a:prstClr val="black"/>
              </a:solidFill>
              <a:latin typeface="Arial" pitchFamily="34" charset="0"/>
              <a:ea typeface="바탕체" pitchFamily="17" charset="-127"/>
              <a:cs typeface="Arial" pitchFamily="34" charset="0"/>
            </a:rPr>
            <a:t>억원</a:t>
          </a:r>
          <a:endParaRPr lang="en-US" altLang="ko-KR" sz="800">
            <a:solidFill>
              <a:prstClr val="black"/>
            </a:solidFill>
            <a:latin typeface="Arial" pitchFamily="34" charset="0"/>
            <a:ea typeface="바탕체" pitchFamily="17" charset="-127"/>
            <a:cs typeface="Arial" pitchFamily="34" charset="0"/>
          </a:endParaRPr>
        </a:p>
        <a:p>
          <a:pPr algn="l" eaLnBrk="1" hangingPunct="1">
            <a:lnSpc>
              <a:spcPct val="120000"/>
            </a:lnSpc>
          </a:pPr>
          <a:r>
            <a:rPr lang="en-US" altLang="ko-KR" sz="800">
              <a:solidFill>
                <a:prstClr val="black"/>
              </a:solidFill>
              <a:latin typeface="Arial" pitchFamily="34" charset="0"/>
              <a:ea typeface="바탕체" pitchFamily="17" charset="-127"/>
              <a:cs typeface="Arial" pitchFamily="34" charset="0"/>
            </a:rPr>
            <a:t>        </a:t>
          </a:r>
          <a:r>
            <a:rPr lang="ko-KR" altLang="en-US" sz="800">
              <a:solidFill>
                <a:prstClr val="black"/>
              </a:solidFill>
              <a:latin typeface="Arial" pitchFamily="34" charset="0"/>
              <a:ea typeface="바탕체" pitchFamily="17" charset="-127"/>
              <a:cs typeface="Arial" pitchFamily="34" charset="0"/>
            </a:rPr>
            <a:t>확장 </a:t>
          </a:r>
          <a:r>
            <a:rPr lang="en-US" altLang="ko-KR" sz="800">
              <a:solidFill>
                <a:prstClr val="black"/>
              </a:solidFill>
              <a:latin typeface="Arial" pitchFamily="34" charset="0"/>
              <a:ea typeface="바탕체" pitchFamily="17" charset="-127"/>
              <a:cs typeface="Arial" pitchFamily="34" charset="0"/>
            </a:rPr>
            <a:t>: PSA </a:t>
          </a:r>
          <a:r>
            <a:rPr lang="ko-KR" altLang="en-US" sz="800">
              <a:solidFill>
                <a:prstClr val="black"/>
              </a:solidFill>
              <a:latin typeface="Arial" pitchFamily="34" charset="0"/>
              <a:ea typeface="바탕체" pitchFamily="17" charset="-127"/>
              <a:cs typeface="Arial" pitchFamily="34" charset="0"/>
            </a:rPr>
            <a:t>투자 </a:t>
          </a:r>
          <a:r>
            <a:rPr lang="en-US" altLang="ko-KR" sz="800">
              <a:solidFill>
                <a:prstClr val="black"/>
              </a:solidFill>
              <a:latin typeface="Arial" pitchFamily="34" charset="0"/>
              <a:ea typeface="바탕체" pitchFamily="17" charset="-127"/>
              <a:cs typeface="Arial" pitchFamily="34" charset="0"/>
            </a:rPr>
            <a:t>13,14 Line 298</a:t>
          </a:r>
          <a:r>
            <a:rPr lang="ko-KR" altLang="en-US" sz="800">
              <a:solidFill>
                <a:prstClr val="black"/>
              </a:solidFill>
              <a:latin typeface="Arial" pitchFamily="34" charset="0"/>
              <a:ea typeface="바탕체" pitchFamily="17" charset="-127"/>
              <a:cs typeface="Arial" pitchFamily="34" charset="0"/>
            </a:rPr>
            <a:t>억원,</a:t>
          </a:r>
          <a:r>
            <a:rPr lang="en-US" altLang="ko-KR" sz="800">
              <a:solidFill>
                <a:prstClr val="black"/>
              </a:solidFill>
              <a:latin typeface="Arial" pitchFamily="34" charset="0"/>
              <a:ea typeface="바탕체" pitchFamily="17" charset="-127"/>
              <a:cs typeface="Arial" pitchFamily="34" charset="0"/>
            </a:rPr>
            <a:t> 15,16 Line 320</a:t>
          </a:r>
          <a:r>
            <a:rPr lang="ko-KR" altLang="en-US" sz="800">
              <a:solidFill>
                <a:prstClr val="black"/>
              </a:solidFill>
              <a:latin typeface="Arial" pitchFamily="34" charset="0"/>
              <a:ea typeface="바탕체" pitchFamily="17" charset="-127"/>
              <a:cs typeface="Arial" pitchFamily="34" charset="0"/>
            </a:rPr>
            <a:t>억원,</a:t>
          </a:r>
          <a:r>
            <a:rPr lang="en-US" altLang="ko-KR" sz="800">
              <a:solidFill>
                <a:prstClr val="black"/>
              </a:solidFill>
              <a:latin typeface="Arial" pitchFamily="34" charset="0"/>
              <a:ea typeface="바탕체" pitchFamily="17" charset="-127"/>
              <a:cs typeface="Arial" pitchFamily="34" charset="0"/>
            </a:rPr>
            <a:t> 17,18 Line 355</a:t>
          </a:r>
          <a:r>
            <a:rPr lang="ko-KR" altLang="en-US" sz="800">
              <a:solidFill>
                <a:prstClr val="black"/>
              </a:solidFill>
              <a:latin typeface="Arial" pitchFamily="34" charset="0"/>
              <a:ea typeface="바탕체" pitchFamily="17" charset="-127"/>
              <a:cs typeface="Arial" pitchFamily="34" charset="0"/>
            </a:rPr>
            <a:t>억원</a:t>
          </a:r>
          <a:r>
            <a:rPr lang="en-US" altLang="ko-KR" sz="800">
              <a:solidFill>
                <a:prstClr val="black"/>
              </a:solidFill>
              <a:latin typeface="Arial" pitchFamily="34" charset="0"/>
              <a:ea typeface="바탕체" pitchFamily="17" charset="-127"/>
              <a:cs typeface="Arial" pitchFamily="34" charset="0"/>
            </a:rPr>
            <a:t> </a:t>
          </a:r>
        </a:p>
        <a:p>
          <a:pPr algn="l" eaLnBrk="1" hangingPunct="1">
            <a:lnSpc>
              <a:spcPct val="120000"/>
            </a:lnSpc>
          </a:pPr>
          <a:r>
            <a:rPr lang="en-US" altLang="ko-KR" sz="800">
              <a:solidFill>
                <a:prstClr val="black"/>
              </a:solidFill>
              <a:latin typeface="Arial" pitchFamily="34" charset="0"/>
              <a:ea typeface="바탕체" pitchFamily="17" charset="-127"/>
              <a:cs typeface="Arial" pitchFamily="34" charset="0"/>
            </a:rPr>
            <a:t>        ※ PSA 17, 18 Line </a:t>
          </a:r>
          <a:r>
            <a:rPr lang="ko-KR" altLang="en-US" sz="800">
              <a:solidFill>
                <a:prstClr val="black"/>
              </a:solidFill>
              <a:latin typeface="Arial" pitchFamily="34" charset="0"/>
              <a:ea typeface="바탕체" pitchFamily="17" charset="-127"/>
              <a:cs typeface="Arial" pitchFamily="34" charset="0"/>
            </a:rPr>
            <a:t>투자는 별도 승인 예정</a:t>
          </a:r>
          <a:r>
            <a:rPr lang="en-US" altLang="ko-KR" sz="800">
              <a:solidFill>
                <a:prstClr val="black"/>
              </a:solidFill>
              <a:latin typeface="Arial" pitchFamily="34" charset="0"/>
              <a:ea typeface="바탕체" pitchFamily="17" charset="-127"/>
              <a:cs typeface="Arial" pitchFamily="34" charset="0"/>
            </a:rPr>
            <a:t> </a:t>
          </a:r>
        </a:p>
        <a:p>
          <a:pPr algn="l" eaLnBrk="1" hangingPunct="1">
            <a:lnSpc>
              <a:spcPct val="120000"/>
            </a:lnSpc>
          </a:pPr>
          <a:r>
            <a:rPr lang="ko-KR" altLang="en-US" sz="800">
              <a:solidFill>
                <a:prstClr val="black"/>
              </a:solidFill>
              <a:latin typeface="Arial" pitchFamily="34" charset="0"/>
              <a:ea typeface="바탕체" pitchFamily="17" charset="-127"/>
              <a:cs typeface="Arial" pitchFamily="34" charset="0"/>
            </a:rPr>
            <a:t>주2)</a:t>
          </a:r>
          <a:r>
            <a:rPr lang="en-US" altLang="ko-KR" sz="800">
              <a:solidFill>
                <a:prstClr val="black"/>
              </a:solidFill>
              <a:latin typeface="Arial" pitchFamily="34" charset="0"/>
              <a:ea typeface="바탕체" pitchFamily="17" charset="-127"/>
              <a:cs typeface="Arial" pitchFamily="34" charset="0"/>
            </a:rPr>
            <a:t> ’22</a:t>
          </a:r>
          <a:r>
            <a:rPr lang="ko-KR" altLang="en-US" sz="800">
              <a:solidFill>
                <a:prstClr val="black"/>
              </a:solidFill>
              <a:latin typeface="Arial" pitchFamily="34" charset="0"/>
              <a:ea typeface="바탕체" pitchFamily="17" charset="-127"/>
              <a:cs typeface="Arial" pitchFamily="34" charset="0"/>
            </a:rPr>
            <a:t>년</a:t>
          </a:r>
          <a:r>
            <a:rPr lang="en-US" altLang="ko-KR" sz="800">
              <a:solidFill>
                <a:prstClr val="black"/>
              </a:solidFill>
              <a:latin typeface="Arial" pitchFamily="34" charset="0"/>
              <a:ea typeface="바탕체" pitchFamily="17" charset="-127"/>
              <a:cs typeface="Arial" pitchFamily="34" charset="0"/>
            </a:rPr>
            <a:t>)</a:t>
          </a:r>
          <a:r>
            <a:rPr lang="ko-KR" altLang="en-US" sz="800">
              <a:solidFill>
                <a:prstClr val="black"/>
              </a:solidFill>
              <a:latin typeface="Arial" pitchFamily="34" charset="0"/>
              <a:ea typeface="바탕체" pitchFamily="17" charset="-127"/>
              <a:cs typeface="Arial" pitchFamily="34" charset="0"/>
            </a:rPr>
            <a:t> 전기동 </a:t>
          </a:r>
          <a:r>
            <a:rPr lang="en-US" altLang="ko-KR" sz="800">
              <a:solidFill>
                <a:prstClr val="black"/>
              </a:solidFill>
              <a:latin typeface="Arial" pitchFamily="34" charset="0"/>
              <a:ea typeface="바탕체" pitchFamily="17" charset="-127"/>
              <a:cs typeface="Arial" pitchFamily="34" charset="0"/>
            </a:rPr>
            <a:t>668KT Capa. </a:t>
          </a:r>
          <a:r>
            <a:rPr lang="ko-KR" altLang="en-US" sz="800">
              <a:solidFill>
                <a:prstClr val="black"/>
              </a:solidFill>
              <a:latin typeface="Arial" pitchFamily="34" charset="0"/>
              <a:ea typeface="바탕체" pitchFamily="17" charset="-127"/>
              <a:cs typeface="Arial" pitchFamily="34" charset="0"/>
            </a:rPr>
            <a:t>생산체제 </a:t>
          </a:r>
          <a:r>
            <a:rPr lang="en-US" altLang="ko-KR" sz="800">
              <a:solidFill>
                <a:prstClr val="black"/>
              </a:solidFill>
              <a:latin typeface="Arial" pitchFamily="34" charset="0"/>
              <a:ea typeface="바탕체" pitchFamily="17" charset="-127"/>
              <a:cs typeface="Arial" pitchFamily="34" charset="0"/>
            </a:rPr>
            <a:t>49</a:t>
          </a:r>
          <a:r>
            <a:rPr lang="ko-KR" altLang="en-US" sz="800">
              <a:solidFill>
                <a:prstClr val="black"/>
              </a:solidFill>
              <a:latin typeface="Arial" pitchFamily="34" charset="0"/>
              <a:ea typeface="바탕체" pitchFamily="17" charset="-127"/>
              <a:cs typeface="Arial" pitchFamily="34" charset="0"/>
            </a:rPr>
            <a:t>억원,</a:t>
          </a:r>
          <a:r>
            <a:rPr lang="en-US" altLang="ko-KR" sz="800">
              <a:solidFill>
                <a:prstClr val="black"/>
              </a:solidFill>
              <a:latin typeface="Arial" pitchFamily="34" charset="0"/>
              <a:ea typeface="바탕체" pitchFamily="17" charset="-127"/>
              <a:cs typeface="Arial" pitchFamily="34" charset="0"/>
            </a:rPr>
            <a:t> </a:t>
          </a:r>
          <a:r>
            <a:rPr lang="ko-KR" altLang="en-US" sz="800">
              <a:solidFill>
                <a:prstClr val="black"/>
              </a:solidFill>
              <a:latin typeface="Arial" pitchFamily="34" charset="0"/>
              <a:ea typeface="바탕체" pitchFamily="17" charset="-127"/>
              <a:cs typeface="Arial" pitchFamily="34" charset="0"/>
            </a:rPr>
            <a:t>폐기물 감축(유화)</a:t>
          </a:r>
          <a:r>
            <a:rPr lang="en-US" altLang="ko-KR" sz="800">
              <a:solidFill>
                <a:prstClr val="black"/>
              </a:solidFill>
              <a:latin typeface="Arial" pitchFamily="34" charset="0"/>
              <a:ea typeface="바탕체" pitchFamily="17" charset="-127"/>
              <a:cs typeface="Arial" pitchFamily="34" charset="0"/>
            </a:rPr>
            <a:t> 20</a:t>
          </a:r>
          <a:r>
            <a:rPr lang="ko-KR" altLang="en-US" sz="800">
              <a:solidFill>
                <a:prstClr val="black"/>
              </a:solidFill>
              <a:latin typeface="Arial" pitchFamily="34" charset="0"/>
              <a:ea typeface="바탕체" pitchFamily="17" charset="-127"/>
              <a:cs typeface="Arial" pitchFamily="34" charset="0"/>
            </a:rPr>
            <a:t>억원 </a:t>
          </a:r>
          <a:endParaRPr lang="en-US" altLang="ko-KR" sz="800">
            <a:solidFill>
              <a:prstClr val="black"/>
            </a:solidFill>
            <a:latin typeface="Arial" pitchFamily="34" charset="0"/>
            <a:ea typeface="바탕체" pitchFamily="17" charset="-127"/>
            <a:cs typeface="Arial" pitchFamily="34" charset="0"/>
          </a:endParaRPr>
        </a:p>
        <a:p>
          <a:pPr algn="l" eaLnBrk="1" hangingPunct="1">
            <a:lnSpc>
              <a:spcPct val="120000"/>
            </a:lnSpc>
          </a:pPr>
          <a:r>
            <a:rPr lang="en-US" altLang="ko-KR" sz="800">
              <a:solidFill>
                <a:prstClr val="black"/>
              </a:solidFill>
              <a:latin typeface="Arial" pitchFamily="34" charset="0"/>
              <a:ea typeface="바탕체" pitchFamily="17" charset="-127"/>
              <a:cs typeface="Arial" pitchFamily="34" charset="0"/>
            </a:rPr>
            <a:t>        ’23</a:t>
          </a:r>
          <a:r>
            <a:rPr lang="ko-KR" altLang="en-US" sz="800">
              <a:solidFill>
                <a:prstClr val="black"/>
              </a:solidFill>
              <a:latin typeface="Arial" pitchFamily="34" charset="0"/>
              <a:ea typeface="바탕체" pitchFamily="17" charset="-127"/>
              <a:cs typeface="Arial" pitchFamily="34" charset="0"/>
            </a:rPr>
            <a:t>년)</a:t>
          </a:r>
          <a:r>
            <a:rPr lang="en-US" altLang="ko-KR" sz="800">
              <a:solidFill>
                <a:prstClr val="black"/>
              </a:solidFill>
              <a:latin typeface="Arial" pitchFamily="34" charset="0"/>
              <a:ea typeface="바탕체" pitchFamily="17" charset="-127"/>
              <a:cs typeface="Arial" pitchFamily="34" charset="0"/>
            </a:rPr>
            <a:t> </a:t>
          </a:r>
          <a:r>
            <a:rPr lang="ko-KR" altLang="en-US" sz="800">
              <a:solidFill>
                <a:prstClr val="black"/>
              </a:solidFill>
              <a:latin typeface="Arial" pitchFamily="34" charset="0"/>
              <a:ea typeface="바탕체" pitchFamily="17" charset="-127"/>
              <a:cs typeface="Arial" pitchFamily="34" charset="0"/>
            </a:rPr>
            <a:t>정제로 </a:t>
          </a:r>
          <a:r>
            <a:rPr lang="en-US" altLang="ko-KR" sz="800">
              <a:solidFill>
                <a:prstClr val="black"/>
              </a:solidFill>
              <a:latin typeface="Arial" pitchFamily="34" charset="0"/>
              <a:ea typeface="바탕체" pitchFamily="17" charset="-127"/>
              <a:cs typeface="Arial" pitchFamily="34" charset="0"/>
            </a:rPr>
            <a:t>Capa </a:t>
          </a:r>
          <a:r>
            <a:rPr lang="ko-KR" altLang="en-US" sz="800">
              <a:solidFill>
                <a:prstClr val="black"/>
              </a:solidFill>
              <a:latin typeface="Arial" pitchFamily="34" charset="0"/>
              <a:ea typeface="바탕체" pitchFamily="17" charset="-127"/>
              <a:cs typeface="Arial" pitchFamily="34" charset="0"/>
            </a:rPr>
            <a:t>증대 </a:t>
          </a:r>
          <a:r>
            <a:rPr lang="en-US" altLang="ko-KR" sz="800">
              <a:solidFill>
                <a:prstClr val="black"/>
              </a:solidFill>
              <a:latin typeface="Arial" pitchFamily="34" charset="0"/>
              <a:ea typeface="바탕체" pitchFamily="17" charset="-127"/>
              <a:cs typeface="Arial" pitchFamily="34" charset="0"/>
            </a:rPr>
            <a:t>54</a:t>
          </a:r>
          <a:r>
            <a:rPr lang="ko-KR" altLang="en-US" sz="800">
              <a:solidFill>
                <a:prstClr val="black"/>
              </a:solidFill>
              <a:latin typeface="Arial" pitchFamily="34" charset="0"/>
              <a:ea typeface="바탕체" pitchFamily="17" charset="-127"/>
              <a:cs typeface="Arial" pitchFamily="34" charset="0"/>
            </a:rPr>
            <a:t>억원,</a:t>
          </a:r>
          <a:r>
            <a:rPr lang="en-US" altLang="ko-KR" sz="800">
              <a:solidFill>
                <a:prstClr val="black"/>
              </a:solidFill>
              <a:latin typeface="Arial" pitchFamily="34" charset="0"/>
              <a:ea typeface="바탕체" pitchFamily="17" charset="-127"/>
              <a:cs typeface="Arial" pitchFamily="34" charset="0"/>
            </a:rPr>
            <a:t> </a:t>
          </a:r>
          <a:r>
            <a:rPr lang="ko-KR" altLang="en-US" sz="800">
              <a:solidFill>
                <a:prstClr val="black"/>
              </a:solidFill>
              <a:latin typeface="Arial" pitchFamily="34" charset="0"/>
              <a:ea typeface="바탕체" pitchFamily="17" charset="-127"/>
              <a:cs typeface="Arial" pitchFamily="34" charset="0"/>
            </a:rPr>
            <a:t>폐산 중 </a:t>
          </a:r>
          <a:r>
            <a:rPr lang="en-US" altLang="ko-KR" sz="800">
              <a:solidFill>
                <a:prstClr val="black"/>
              </a:solidFill>
              <a:latin typeface="Arial" pitchFamily="34" charset="0"/>
              <a:ea typeface="바탕체" pitchFamily="17" charset="-127"/>
              <a:cs typeface="Arial" pitchFamily="34" charset="0"/>
            </a:rPr>
            <a:t>As</a:t>
          </a:r>
          <a:r>
            <a:rPr lang="ko-KR" altLang="en-US" sz="800">
              <a:solidFill>
                <a:prstClr val="black"/>
              </a:solidFill>
              <a:latin typeface="Arial" pitchFamily="34" charset="0"/>
              <a:ea typeface="바탕체" pitchFamily="17" charset="-127"/>
              <a:cs typeface="Arial" pitchFamily="34" charset="0"/>
            </a:rPr>
            <a:t>분리로 폐기물 감축(중화)</a:t>
          </a:r>
          <a:r>
            <a:rPr lang="en-US" altLang="ko-KR" sz="800">
              <a:solidFill>
                <a:prstClr val="black"/>
              </a:solidFill>
              <a:latin typeface="Arial" pitchFamily="34" charset="0"/>
              <a:ea typeface="바탕체" pitchFamily="17" charset="-127"/>
              <a:cs typeface="Arial" pitchFamily="34" charset="0"/>
            </a:rPr>
            <a:t> 22</a:t>
          </a:r>
          <a:r>
            <a:rPr lang="ko-KR" altLang="en-US" sz="800">
              <a:solidFill>
                <a:prstClr val="black"/>
              </a:solidFill>
              <a:latin typeface="Arial" pitchFamily="34" charset="0"/>
              <a:ea typeface="바탕체" pitchFamily="17" charset="-127"/>
              <a:cs typeface="Arial" pitchFamily="34" charset="0"/>
            </a:rPr>
            <a:t>억원 등</a:t>
          </a:r>
          <a:endParaRPr lang="en-US" altLang="ko-KR" sz="800">
            <a:solidFill>
              <a:prstClr val="black"/>
            </a:solidFill>
            <a:latin typeface="Arial" pitchFamily="34" charset="0"/>
            <a:ea typeface="바탕체" pitchFamily="17" charset="-127"/>
            <a:cs typeface="Arial" pitchFamily="34" charset="0"/>
          </a:endParaRPr>
        </a:p>
        <a:p>
          <a:pPr algn="l" eaLnBrk="1" hangingPunct="1">
            <a:lnSpc>
              <a:spcPct val="120000"/>
            </a:lnSpc>
          </a:pPr>
          <a:r>
            <a:rPr lang="ko-KR" altLang="en-US" sz="800">
              <a:solidFill>
                <a:prstClr val="black"/>
              </a:solidFill>
              <a:latin typeface="Arial" pitchFamily="34" charset="0"/>
              <a:ea typeface="바탕체" pitchFamily="17" charset="-127"/>
              <a:cs typeface="Arial" pitchFamily="34" charset="0"/>
            </a:rPr>
            <a:t>주3)</a:t>
          </a:r>
          <a:r>
            <a:rPr lang="en-US" altLang="ko-KR" sz="800">
              <a:solidFill>
                <a:prstClr val="black"/>
              </a:solidFill>
              <a:latin typeface="Arial" pitchFamily="34" charset="0"/>
              <a:ea typeface="바탕체" pitchFamily="17" charset="-127"/>
              <a:cs typeface="Arial" pitchFamily="34" charset="0"/>
            </a:rPr>
            <a:t> </a:t>
          </a:r>
          <a:r>
            <a:rPr lang="ko-KR" altLang="en-US" sz="800">
              <a:solidFill>
                <a:prstClr val="black"/>
              </a:solidFill>
              <a:latin typeface="Arial" pitchFamily="34" charset="0"/>
              <a:ea typeface="바탕체" pitchFamily="17" charset="-127"/>
              <a:cs typeface="Arial" pitchFamily="34" charset="0"/>
            </a:rPr>
            <a:t>제련 </a:t>
          </a:r>
          <a:r>
            <a:rPr lang="en-US" altLang="ko-KR" sz="800">
              <a:solidFill>
                <a:prstClr val="black"/>
              </a:solidFill>
              <a:latin typeface="Arial" pitchFamily="34" charset="0"/>
              <a:ea typeface="바탕체" pitchFamily="17" charset="-127"/>
              <a:cs typeface="Arial" pitchFamily="34" charset="0"/>
            </a:rPr>
            <a:t>1</a:t>
          </a:r>
          <a:r>
            <a:rPr lang="ko-KR" altLang="en-US" sz="800">
              <a:solidFill>
                <a:prstClr val="black"/>
              </a:solidFill>
              <a:latin typeface="Arial" pitchFamily="34" charset="0"/>
              <a:ea typeface="바탕체" pitchFamily="17" charset="-127"/>
              <a:cs typeface="Arial" pitchFamily="34" charset="0"/>
            </a:rPr>
            <a:t>공장 연례보수 </a:t>
          </a:r>
          <a:r>
            <a:rPr lang="en-US" altLang="ko-KR" sz="800">
              <a:solidFill>
                <a:prstClr val="black"/>
              </a:solidFill>
              <a:latin typeface="Arial" pitchFamily="34" charset="0"/>
              <a:ea typeface="바탕체" pitchFamily="17" charset="-127"/>
              <a:cs typeface="Arial" pitchFamily="34" charset="0"/>
            </a:rPr>
            <a:t>100</a:t>
          </a:r>
          <a:r>
            <a:rPr lang="ko-KR" altLang="en-US" sz="800">
              <a:solidFill>
                <a:prstClr val="black"/>
              </a:solidFill>
              <a:latin typeface="Arial" pitchFamily="34" charset="0"/>
              <a:ea typeface="바탕체" pitchFamily="17" charset="-127"/>
              <a:cs typeface="Arial" pitchFamily="34" charset="0"/>
            </a:rPr>
            <a:t>억원,</a:t>
          </a:r>
          <a:r>
            <a:rPr lang="en-US" altLang="ko-KR" sz="800">
              <a:solidFill>
                <a:prstClr val="black"/>
              </a:solidFill>
              <a:latin typeface="Arial" pitchFamily="34" charset="0"/>
              <a:ea typeface="바탕체" pitchFamily="17" charset="-127"/>
              <a:cs typeface="Arial" pitchFamily="34" charset="0"/>
            </a:rPr>
            <a:t> ’22</a:t>
          </a:r>
          <a:r>
            <a:rPr lang="ko-KR" altLang="en-US" sz="800">
              <a:solidFill>
                <a:prstClr val="black"/>
              </a:solidFill>
              <a:latin typeface="Arial" pitchFamily="34" charset="0"/>
              <a:ea typeface="바탕체" pitchFamily="17" charset="-127"/>
              <a:cs typeface="Arial" pitchFamily="34" charset="0"/>
            </a:rPr>
            <a:t>년 </a:t>
          </a:r>
          <a:r>
            <a:rPr lang="en-US" altLang="ko-KR" sz="800">
              <a:solidFill>
                <a:prstClr val="black"/>
              </a:solidFill>
              <a:latin typeface="Arial" pitchFamily="34" charset="0"/>
              <a:ea typeface="바탕체" pitchFamily="17" charset="-127"/>
              <a:cs typeface="Arial" pitchFamily="34" charset="0"/>
            </a:rPr>
            <a:t>2</a:t>
          </a:r>
          <a:r>
            <a:rPr lang="ko-KR" altLang="en-US" sz="800">
              <a:solidFill>
                <a:prstClr val="black"/>
              </a:solidFill>
              <a:latin typeface="Arial" pitchFamily="34" charset="0"/>
              <a:ea typeface="바탕체" pitchFamily="17" charset="-127"/>
              <a:cs typeface="Arial" pitchFamily="34" charset="0"/>
            </a:rPr>
            <a:t>공장 연례보수 준비 </a:t>
          </a:r>
          <a:r>
            <a:rPr lang="en-US" altLang="ko-KR" sz="800">
              <a:solidFill>
                <a:prstClr val="black"/>
              </a:solidFill>
              <a:latin typeface="Arial" pitchFamily="34" charset="0"/>
              <a:ea typeface="바탕체" pitchFamily="17" charset="-127"/>
              <a:cs typeface="Arial" pitchFamily="34" charset="0"/>
            </a:rPr>
            <a:t>30</a:t>
          </a:r>
          <a:r>
            <a:rPr lang="ko-KR" altLang="en-US" sz="800">
              <a:solidFill>
                <a:prstClr val="black"/>
              </a:solidFill>
              <a:latin typeface="Arial" pitchFamily="34" charset="0"/>
              <a:ea typeface="바탕체" pitchFamily="17" charset="-127"/>
              <a:cs typeface="Arial" pitchFamily="34" charset="0"/>
            </a:rPr>
            <a:t>억원,</a:t>
          </a:r>
          <a:r>
            <a:rPr lang="en-US" altLang="ko-KR" sz="800">
              <a:solidFill>
                <a:prstClr val="black"/>
              </a:solidFill>
              <a:latin typeface="Arial" pitchFamily="34" charset="0"/>
              <a:ea typeface="바탕체" pitchFamily="17" charset="-127"/>
              <a:cs typeface="Arial" pitchFamily="34" charset="0"/>
            </a:rPr>
            <a:t> </a:t>
          </a:r>
          <a:r>
            <a:rPr lang="ko-KR" altLang="en-US" sz="800">
              <a:solidFill>
                <a:prstClr val="black"/>
              </a:solidFill>
              <a:latin typeface="Arial" pitchFamily="34" charset="0"/>
              <a:ea typeface="바탕체" pitchFamily="17" charset="-127"/>
              <a:cs typeface="Arial" pitchFamily="34" charset="0"/>
            </a:rPr>
            <a:t>전련 연례보수 </a:t>
          </a:r>
          <a:r>
            <a:rPr lang="en-US" altLang="ko-KR" sz="800">
              <a:solidFill>
                <a:prstClr val="black"/>
              </a:solidFill>
              <a:latin typeface="Arial" pitchFamily="34" charset="0"/>
              <a:ea typeface="바탕체" pitchFamily="17" charset="-127"/>
              <a:cs typeface="Arial" pitchFamily="34" charset="0"/>
            </a:rPr>
            <a:t>17</a:t>
          </a:r>
          <a:r>
            <a:rPr lang="ko-KR" altLang="en-US" sz="800">
              <a:solidFill>
                <a:prstClr val="black"/>
              </a:solidFill>
              <a:latin typeface="Arial" pitchFamily="34" charset="0"/>
              <a:ea typeface="바탕체" pitchFamily="17" charset="-127"/>
              <a:cs typeface="Arial" pitchFamily="34" charset="0"/>
            </a:rPr>
            <a:t>억원</a:t>
          </a:r>
          <a:r>
            <a:rPr lang="en-US" altLang="ko-KR" sz="800">
              <a:solidFill>
                <a:prstClr val="black"/>
              </a:solidFill>
              <a:latin typeface="Arial" pitchFamily="34" charset="0"/>
              <a:ea typeface="바탕체" pitchFamily="17" charset="-127"/>
              <a:cs typeface="Arial" pitchFamily="34" charset="0"/>
            </a:rPr>
            <a:t> </a:t>
          </a:r>
          <a:r>
            <a:rPr lang="ko-KR" altLang="en-US" sz="800">
              <a:solidFill>
                <a:prstClr val="black"/>
              </a:solidFill>
              <a:latin typeface="Arial" pitchFamily="34" charset="0"/>
              <a:ea typeface="바탕체" pitchFamily="17" charset="-127"/>
              <a:cs typeface="Arial" pitchFamily="34" charset="0"/>
            </a:rPr>
            <a:t>포함</a:t>
          </a:r>
          <a:endParaRPr lang="en-US" altLang="ko-KR" sz="800">
            <a:solidFill>
              <a:prstClr val="black"/>
            </a:solidFill>
            <a:latin typeface="Arial" pitchFamily="34" charset="0"/>
            <a:ea typeface="바탕체" pitchFamily="17" charset="-127"/>
            <a:cs typeface="Arial" pitchFamily="34" charset="0"/>
          </a:endParaRPr>
        </a:p>
        <a:p>
          <a:pPr algn="l" eaLnBrk="1" hangingPunct="1">
            <a:lnSpc>
              <a:spcPct val="120000"/>
            </a:lnSpc>
          </a:pPr>
          <a:r>
            <a:rPr kumimoji="0" lang="en-US" altLang="ko-KR" sz="800">
              <a:solidFill>
                <a:prstClr val="black"/>
              </a:solidFill>
              <a:latin typeface="Arial" pitchFamily="34" charset="0"/>
              <a:ea typeface="바탕체" pitchFamily="17" charset="-127"/>
              <a:cs typeface="Arial" pitchFamily="34" charset="0"/>
            </a:rPr>
            <a:t>        </a:t>
          </a:r>
          <a:r>
            <a:rPr kumimoji="0" lang="ko-KR" altLang="en-US" sz="800">
              <a:solidFill>
                <a:prstClr val="black"/>
              </a:solidFill>
              <a:latin typeface="Arial" pitchFamily="34" charset="0"/>
              <a:ea typeface="바탕체" pitchFamily="17" charset="-127"/>
              <a:cs typeface="Arial" pitchFamily="34" charset="0"/>
            </a:rPr>
            <a:t>기타 경상투자 </a:t>
          </a:r>
          <a:r>
            <a:rPr kumimoji="0" lang="en-US" altLang="ko-KR" sz="800">
              <a:solidFill>
                <a:prstClr val="black"/>
              </a:solidFill>
              <a:latin typeface="Arial" pitchFamily="34" charset="0"/>
              <a:ea typeface="바탕체" pitchFamily="17" charset="-127"/>
              <a:cs typeface="Arial" pitchFamily="34" charset="0"/>
            </a:rPr>
            <a:t>367</a:t>
          </a:r>
          <a:r>
            <a:rPr kumimoji="0" lang="ko-KR" altLang="en-US" sz="800">
              <a:solidFill>
                <a:prstClr val="black"/>
              </a:solidFill>
              <a:latin typeface="Arial" pitchFamily="34" charset="0"/>
              <a:ea typeface="바탕체" pitchFamily="17" charset="-127"/>
              <a:cs typeface="Arial" pitchFamily="34" charset="0"/>
            </a:rPr>
            <a:t>억원 </a:t>
          </a:r>
          <a:r>
            <a:rPr kumimoji="0" lang="en-US" altLang="ko-KR" sz="800">
              <a:solidFill>
                <a:prstClr val="black"/>
              </a:solidFill>
              <a:latin typeface="Arial" pitchFamily="34" charset="0"/>
              <a:ea typeface="바탕체" pitchFamily="17" charset="-127"/>
              <a:cs typeface="Arial" pitchFamily="34" charset="0"/>
            </a:rPr>
            <a:t>(</a:t>
          </a:r>
          <a:r>
            <a:rPr kumimoji="0" lang="ko-KR" altLang="en-US" sz="800">
              <a:solidFill>
                <a:prstClr val="black"/>
              </a:solidFill>
              <a:latin typeface="Arial" pitchFamily="34" charset="0"/>
              <a:ea typeface="바탕체" pitchFamily="17" charset="-127"/>
              <a:cs typeface="Arial" pitchFamily="34" charset="0"/>
            </a:rPr>
            <a:t>유지보전 </a:t>
          </a:r>
          <a:r>
            <a:rPr kumimoji="0" lang="en-US" altLang="ko-KR" sz="800">
              <a:solidFill>
                <a:prstClr val="black"/>
              </a:solidFill>
              <a:latin typeface="Arial" pitchFamily="34" charset="0"/>
              <a:ea typeface="바탕체" pitchFamily="17" charset="-127"/>
              <a:cs typeface="Arial" pitchFamily="34" charset="0"/>
            </a:rPr>
            <a:t>209, </a:t>
          </a:r>
          <a:r>
            <a:rPr kumimoji="0" lang="ko-KR" altLang="en-US" sz="800">
              <a:solidFill>
                <a:prstClr val="black"/>
              </a:solidFill>
              <a:latin typeface="Arial" pitchFamily="34" charset="0"/>
              <a:ea typeface="바탕체" pitchFamily="17" charset="-127"/>
              <a:cs typeface="Arial" pitchFamily="34" charset="0"/>
            </a:rPr>
            <a:t>환경안전 </a:t>
          </a:r>
          <a:r>
            <a:rPr kumimoji="0" lang="en-US" altLang="ko-KR" sz="800">
              <a:solidFill>
                <a:prstClr val="black"/>
              </a:solidFill>
              <a:latin typeface="Arial" pitchFamily="34" charset="0"/>
              <a:ea typeface="바탕체" pitchFamily="17" charset="-127"/>
              <a:cs typeface="Arial" pitchFamily="34" charset="0"/>
            </a:rPr>
            <a:t>113, IT 30, </a:t>
          </a:r>
          <a:r>
            <a:rPr kumimoji="0" lang="ko-KR" altLang="en-US" sz="800">
              <a:solidFill>
                <a:prstClr val="black"/>
              </a:solidFill>
              <a:latin typeface="Arial" pitchFamily="34" charset="0"/>
              <a:ea typeface="바탕체" pitchFamily="17" charset="-127"/>
              <a:cs typeface="Arial" pitchFamily="34" charset="0"/>
            </a:rPr>
            <a:t>복리후생 </a:t>
          </a:r>
          <a:r>
            <a:rPr kumimoji="0" lang="en-US" altLang="ko-KR" sz="800">
              <a:solidFill>
                <a:prstClr val="black"/>
              </a:solidFill>
              <a:latin typeface="Arial" pitchFamily="34" charset="0"/>
              <a:ea typeface="바탕체" pitchFamily="17" charset="-127"/>
              <a:cs typeface="Arial" pitchFamily="34" charset="0"/>
            </a:rPr>
            <a:t>15) </a:t>
          </a:r>
        </a:p>
        <a:p>
          <a:pPr algn="l" eaLnBrk="1" hangingPunct="1">
            <a:lnSpc>
              <a:spcPct val="120000"/>
            </a:lnSpc>
          </a:pPr>
          <a:r>
            <a:rPr kumimoji="0" lang="ko-KR" altLang="en-US" sz="800">
              <a:solidFill>
                <a:prstClr val="black"/>
              </a:solidFill>
              <a:latin typeface="Arial" pitchFamily="34" charset="0"/>
              <a:ea typeface="바탕체" pitchFamily="17" charset="-127"/>
              <a:cs typeface="Arial" pitchFamily="34" charset="0"/>
            </a:rPr>
            <a:t>주4)</a:t>
          </a:r>
          <a:r>
            <a:rPr kumimoji="0" lang="en-US" altLang="ko-KR" sz="800">
              <a:solidFill>
                <a:prstClr val="black"/>
              </a:solidFill>
              <a:latin typeface="Arial" pitchFamily="34" charset="0"/>
              <a:ea typeface="바탕체" pitchFamily="17" charset="-127"/>
              <a:cs typeface="Arial" pitchFamily="34" charset="0"/>
            </a:rPr>
            <a:t> </a:t>
          </a:r>
          <a:r>
            <a:rPr kumimoji="0" lang="zh-TW" altLang="en-US" sz="800">
              <a:solidFill>
                <a:prstClr val="black"/>
              </a:solidFill>
              <a:latin typeface="Arial" pitchFamily="34" charset="0"/>
              <a:ea typeface="바탕체" pitchFamily="17" charset="-127"/>
              <a:cs typeface="Arial" pitchFamily="34" charset="0"/>
            </a:rPr>
            <a:t>경상연구개발비</a:t>
          </a:r>
          <a:r>
            <a:rPr kumimoji="0" lang="ko-KR" altLang="en-US" sz="800">
              <a:solidFill>
                <a:prstClr val="black"/>
              </a:solidFill>
              <a:latin typeface="Arial" pitchFamily="34" charset="0"/>
              <a:ea typeface="바탕체" pitchFamily="17" charset="-127"/>
              <a:cs typeface="Arial" pitchFamily="34" charset="0"/>
            </a:rPr>
            <a:t> 별도 </a:t>
          </a:r>
          <a:r>
            <a:rPr kumimoji="0" lang="en-US" altLang="ko-KR" sz="800">
              <a:solidFill>
                <a:prstClr val="black"/>
              </a:solidFill>
              <a:latin typeface="Arial" pitchFamily="34" charset="0"/>
              <a:ea typeface="바탕체" pitchFamily="17" charset="-127"/>
              <a:cs typeface="Arial" pitchFamily="34" charset="0"/>
            </a:rPr>
            <a:t>(’21</a:t>
          </a:r>
          <a:r>
            <a:rPr kumimoji="0" lang="ko-KR" altLang="en-US" sz="800">
              <a:solidFill>
                <a:prstClr val="black"/>
              </a:solidFill>
              <a:latin typeface="Arial" pitchFamily="34" charset="0"/>
              <a:ea typeface="바탕체" pitchFamily="17" charset="-127"/>
              <a:cs typeface="Arial" pitchFamily="34" charset="0"/>
            </a:rPr>
            <a:t>년 </a:t>
          </a:r>
          <a:r>
            <a:rPr kumimoji="0" lang="en-US" altLang="ko-KR" sz="800">
              <a:solidFill>
                <a:prstClr val="black"/>
              </a:solidFill>
              <a:latin typeface="Arial" pitchFamily="34" charset="0"/>
              <a:ea typeface="바탕체" pitchFamily="17" charset="-127"/>
              <a:cs typeface="Arial" pitchFamily="34" charset="0"/>
            </a:rPr>
            <a:t>93, ’22</a:t>
          </a:r>
          <a:r>
            <a:rPr kumimoji="0" lang="ko-KR" altLang="en-US" sz="800">
              <a:solidFill>
                <a:prstClr val="black"/>
              </a:solidFill>
              <a:latin typeface="Arial" pitchFamily="34" charset="0"/>
              <a:ea typeface="바탕체" pitchFamily="17" charset="-127"/>
              <a:cs typeface="Arial" pitchFamily="34" charset="0"/>
            </a:rPr>
            <a:t>년 </a:t>
          </a:r>
          <a:r>
            <a:rPr kumimoji="0" lang="en-US" altLang="ko-KR" sz="800">
              <a:solidFill>
                <a:prstClr val="black"/>
              </a:solidFill>
              <a:latin typeface="Arial" pitchFamily="34" charset="0"/>
              <a:ea typeface="바탕체" pitchFamily="17" charset="-127"/>
              <a:cs typeface="Arial" pitchFamily="34" charset="0"/>
            </a:rPr>
            <a:t>89, ’23</a:t>
          </a:r>
          <a:r>
            <a:rPr kumimoji="0" lang="ko-KR" altLang="en-US" sz="800">
              <a:solidFill>
                <a:prstClr val="black"/>
              </a:solidFill>
              <a:latin typeface="Arial" pitchFamily="34" charset="0"/>
              <a:ea typeface="바탕체" pitchFamily="17" charset="-127"/>
              <a:cs typeface="Arial" pitchFamily="34" charset="0"/>
            </a:rPr>
            <a:t>년 </a:t>
          </a:r>
          <a:r>
            <a:rPr kumimoji="0" lang="en-US" altLang="ko-KR" sz="800">
              <a:solidFill>
                <a:prstClr val="black"/>
              </a:solidFill>
              <a:latin typeface="Arial" pitchFamily="34" charset="0"/>
              <a:ea typeface="바탕체" pitchFamily="17" charset="-127"/>
              <a:cs typeface="Arial" pitchFamily="34" charset="0"/>
            </a:rPr>
            <a:t>91, ’24</a:t>
          </a:r>
          <a:r>
            <a:rPr kumimoji="0" lang="ko-KR" altLang="en-US" sz="800">
              <a:solidFill>
                <a:prstClr val="black"/>
              </a:solidFill>
              <a:latin typeface="Arial" pitchFamily="34" charset="0"/>
              <a:ea typeface="바탕체" pitchFamily="17" charset="-127"/>
              <a:cs typeface="Arial" pitchFamily="34" charset="0"/>
            </a:rPr>
            <a:t>년 </a:t>
          </a:r>
          <a:r>
            <a:rPr kumimoji="0" lang="en-US" altLang="ko-KR" sz="800">
              <a:solidFill>
                <a:prstClr val="black"/>
              </a:solidFill>
              <a:latin typeface="Arial" pitchFamily="34" charset="0"/>
              <a:ea typeface="바탕체" pitchFamily="17" charset="-127"/>
              <a:cs typeface="Arial" pitchFamily="34" charset="0"/>
            </a:rPr>
            <a:t>92)</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0</xdr:colOff>
      <xdr:row>52</xdr:row>
      <xdr:rowOff>0</xdr:rowOff>
    </xdr:from>
    <xdr:to>
      <xdr:col>13</xdr:col>
      <xdr:colOff>0</xdr:colOff>
      <xdr:row>52</xdr:row>
      <xdr:rowOff>0</xdr:rowOff>
    </xdr:to>
    <xdr:sp macro="" textlink="">
      <xdr:nvSpPr>
        <xdr:cNvPr id="2" name="Line 1">
          <a:extLst>
            <a:ext uri="{FF2B5EF4-FFF2-40B4-BE49-F238E27FC236}">
              <a16:creationId xmlns:a16="http://schemas.microsoft.com/office/drawing/2014/main" id="{00000000-0008-0000-3C00-000002000000}"/>
            </a:ext>
          </a:extLst>
        </xdr:cNvPr>
        <xdr:cNvSpPr>
          <a:spLocks noChangeShapeType="1"/>
        </xdr:cNvSpPr>
      </xdr:nvSpPr>
      <xdr:spPr bwMode="auto">
        <a:xfrm>
          <a:off x="9296400"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52</xdr:row>
      <xdr:rowOff>0</xdr:rowOff>
    </xdr:from>
    <xdr:to>
      <xdr:col>13</xdr:col>
      <xdr:colOff>0</xdr:colOff>
      <xdr:row>52</xdr:row>
      <xdr:rowOff>0</xdr:rowOff>
    </xdr:to>
    <xdr:sp macro="" textlink="">
      <xdr:nvSpPr>
        <xdr:cNvPr id="3" name="Line 1">
          <a:extLst>
            <a:ext uri="{FF2B5EF4-FFF2-40B4-BE49-F238E27FC236}">
              <a16:creationId xmlns:a16="http://schemas.microsoft.com/office/drawing/2014/main" id="{00000000-0008-0000-3C00-000003000000}"/>
            </a:ext>
          </a:extLst>
        </xdr:cNvPr>
        <xdr:cNvSpPr>
          <a:spLocks noChangeShapeType="1"/>
        </xdr:cNvSpPr>
      </xdr:nvSpPr>
      <xdr:spPr bwMode="auto">
        <a:xfrm>
          <a:off x="9296400"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52</xdr:row>
      <xdr:rowOff>0</xdr:rowOff>
    </xdr:from>
    <xdr:to>
      <xdr:col>13</xdr:col>
      <xdr:colOff>0</xdr:colOff>
      <xdr:row>52</xdr:row>
      <xdr:rowOff>0</xdr:rowOff>
    </xdr:to>
    <xdr:sp macro="" textlink="">
      <xdr:nvSpPr>
        <xdr:cNvPr id="4" name="Line 1">
          <a:extLst>
            <a:ext uri="{FF2B5EF4-FFF2-40B4-BE49-F238E27FC236}">
              <a16:creationId xmlns:a16="http://schemas.microsoft.com/office/drawing/2014/main" id="{00000000-0008-0000-3C00-000004000000}"/>
            </a:ext>
          </a:extLst>
        </xdr:cNvPr>
        <xdr:cNvSpPr>
          <a:spLocks noChangeShapeType="1"/>
        </xdr:cNvSpPr>
      </xdr:nvSpPr>
      <xdr:spPr bwMode="auto">
        <a:xfrm>
          <a:off x="9296400"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52</xdr:row>
      <xdr:rowOff>0</xdr:rowOff>
    </xdr:from>
    <xdr:to>
      <xdr:col>10</xdr:col>
      <xdr:colOff>0</xdr:colOff>
      <xdr:row>52</xdr:row>
      <xdr:rowOff>0</xdr:rowOff>
    </xdr:to>
    <xdr:sp macro="" textlink="">
      <xdr:nvSpPr>
        <xdr:cNvPr id="5" name="Line 1">
          <a:extLst>
            <a:ext uri="{FF2B5EF4-FFF2-40B4-BE49-F238E27FC236}">
              <a16:creationId xmlns:a16="http://schemas.microsoft.com/office/drawing/2014/main" id="{00000000-0008-0000-3C00-000005000000}"/>
            </a:ext>
          </a:extLst>
        </xdr:cNvPr>
        <xdr:cNvSpPr>
          <a:spLocks noChangeShapeType="1"/>
        </xdr:cNvSpPr>
      </xdr:nvSpPr>
      <xdr:spPr bwMode="auto">
        <a:xfrm>
          <a:off x="7172325"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52</xdr:row>
      <xdr:rowOff>0</xdr:rowOff>
    </xdr:from>
    <xdr:to>
      <xdr:col>9</xdr:col>
      <xdr:colOff>0</xdr:colOff>
      <xdr:row>52</xdr:row>
      <xdr:rowOff>0</xdr:rowOff>
    </xdr:to>
    <xdr:sp macro="" textlink="">
      <xdr:nvSpPr>
        <xdr:cNvPr id="6" name="Line 5">
          <a:extLst>
            <a:ext uri="{FF2B5EF4-FFF2-40B4-BE49-F238E27FC236}">
              <a16:creationId xmlns:a16="http://schemas.microsoft.com/office/drawing/2014/main" id="{00000000-0008-0000-3C00-000006000000}"/>
            </a:ext>
          </a:extLst>
        </xdr:cNvPr>
        <xdr:cNvSpPr>
          <a:spLocks noChangeShapeType="1"/>
        </xdr:cNvSpPr>
      </xdr:nvSpPr>
      <xdr:spPr bwMode="auto">
        <a:xfrm>
          <a:off x="6105525"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52</xdr:row>
      <xdr:rowOff>0</xdr:rowOff>
    </xdr:from>
    <xdr:to>
      <xdr:col>9</xdr:col>
      <xdr:colOff>0</xdr:colOff>
      <xdr:row>52</xdr:row>
      <xdr:rowOff>0</xdr:rowOff>
    </xdr:to>
    <xdr:sp macro="" textlink="">
      <xdr:nvSpPr>
        <xdr:cNvPr id="7" name="Line 13">
          <a:extLst>
            <a:ext uri="{FF2B5EF4-FFF2-40B4-BE49-F238E27FC236}">
              <a16:creationId xmlns:a16="http://schemas.microsoft.com/office/drawing/2014/main" id="{00000000-0008-0000-3C00-000007000000}"/>
            </a:ext>
          </a:extLst>
        </xdr:cNvPr>
        <xdr:cNvSpPr>
          <a:spLocks noChangeShapeType="1"/>
        </xdr:cNvSpPr>
      </xdr:nvSpPr>
      <xdr:spPr bwMode="auto">
        <a:xfrm>
          <a:off x="6105525"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52</xdr:row>
      <xdr:rowOff>0</xdr:rowOff>
    </xdr:from>
    <xdr:to>
      <xdr:col>9</xdr:col>
      <xdr:colOff>0</xdr:colOff>
      <xdr:row>52</xdr:row>
      <xdr:rowOff>0</xdr:rowOff>
    </xdr:to>
    <xdr:sp macro="" textlink="">
      <xdr:nvSpPr>
        <xdr:cNvPr id="8" name="Line 21">
          <a:extLst>
            <a:ext uri="{FF2B5EF4-FFF2-40B4-BE49-F238E27FC236}">
              <a16:creationId xmlns:a16="http://schemas.microsoft.com/office/drawing/2014/main" id="{00000000-0008-0000-3C00-000008000000}"/>
            </a:ext>
          </a:extLst>
        </xdr:cNvPr>
        <xdr:cNvSpPr>
          <a:spLocks noChangeShapeType="1"/>
        </xdr:cNvSpPr>
      </xdr:nvSpPr>
      <xdr:spPr bwMode="auto">
        <a:xfrm>
          <a:off x="6105525"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0</xdr:colOff>
      <xdr:row>52</xdr:row>
      <xdr:rowOff>0</xdr:rowOff>
    </xdr:from>
    <xdr:to>
      <xdr:col>8</xdr:col>
      <xdr:colOff>0</xdr:colOff>
      <xdr:row>52</xdr:row>
      <xdr:rowOff>0</xdr:rowOff>
    </xdr:to>
    <xdr:sp macro="" textlink="">
      <xdr:nvSpPr>
        <xdr:cNvPr id="9" name="Line 1">
          <a:extLst>
            <a:ext uri="{FF2B5EF4-FFF2-40B4-BE49-F238E27FC236}">
              <a16:creationId xmlns:a16="http://schemas.microsoft.com/office/drawing/2014/main" id="{00000000-0008-0000-3C00-000009000000}"/>
            </a:ext>
          </a:extLst>
        </xdr:cNvPr>
        <xdr:cNvSpPr>
          <a:spLocks noChangeShapeType="1"/>
        </xdr:cNvSpPr>
      </xdr:nvSpPr>
      <xdr:spPr bwMode="auto">
        <a:xfrm>
          <a:off x="5038725"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52</xdr:row>
      <xdr:rowOff>0</xdr:rowOff>
    </xdr:from>
    <xdr:to>
      <xdr:col>7</xdr:col>
      <xdr:colOff>0</xdr:colOff>
      <xdr:row>52</xdr:row>
      <xdr:rowOff>0</xdr:rowOff>
    </xdr:to>
    <xdr:sp macro="" textlink="">
      <xdr:nvSpPr>
        <xdr:cNvPr id="10" name="Line 5">
          <a:extLst>
            <a:ext uri="{FF2B5EF4-FFF2-40B4-BE49-F238E27FC236}">
              <a16:creationId xmlns:a16="http://schemas.microsoft.com/office/drawing/2014/main" id="{00000000-0008-0000-3C00-00000A000000}"/>
            </a:ext>
          </a:extLst>
        </xdr:cNvPr>
        <xdr:cNvSpPr>
          <a:spLocks noChangeShapeType="1"/>
        </xdr:cNvSpPr>
      </xdr:nvSpPr>
      <xdr:spPr bwMode="auto">
        <a:xfrm>
          <a:off x="3971925"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52</xdr:row>
      <xdr:rowOff>0</xdr:rowOff>
    </xdr:from>
    <xdr:to>
      <xdr:col>7</xdr:col>
      <xdr:colOff>0</xdr:colOff>
      <xdr:row>52</xdr:row>
      <xdr:rowOff>0</xdr:rowOff>
    </xdr:to>
    <xdr:sp macro="" textlink="">
      <xdr:nvSpPr>
        <xdr:cNvPr id="11" name="Line 13">
          <a:extLst>
            <a:ext uri="{FF2B5EF4-FFF2-40B4-BE49-F238E27FC236}">
              <a16:creationId xmlns:a16="http://schemas.microsoft.com/office/drawing/2014/main" id="{00000000-0008-0000-3C00-00000B000000}"/>
            </a:ext>
          </a:extLst>
        </xdr:cNvPr>
        <xdr:cNvSpPr>
          <a:spLocks noChangeShapeType="1"/>
        </xdr:cNvSpPr>
      </xdr:nvSpPr>
      <xdr:spPr bwMode="auto">
        <a:xfrm>
          <a:off x="3971925"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52</xdr:row>
      <xdr:rowOff>0</xdr:rowOff>
    </xdr:from>
    <xdr:to>
      <xdr:col>7</xdr:col>
      <xdr:colOff>0</xdr:colOff>
      <xdr:row>52</xdr:row>
      <xdr:rowOff>0</xdr:rowOff>
    </xdr:to>
    <xdr:sp macro="" textlink="">
      <xdr:nvSpPr>
        <xdr:cNvPr id="12" name="Line 21">
          <a:extLst>
            <a:ext uri="{FF2B5EF4-FFF2-40B4-BE49-F238E27FC236}">
              <a16:creationId xmlns:a16="http://schemas.microsoft.com/office/drawing/2014/main" id="{00000000-0008-0000-3C00-00000C000000}"/>
            </a:ext>
          </a:extLst>
        </xdr:cNvPr>
        <xdr:cNvSpPr>
          <a:spLocks noChangeShapeType="1"/>
        </xdr:cNvSpPr>
      </xdr:nvSpPr>
      <xdr:spPr bwMode="auto">
        <a:xfrm>
          <a:off x="3971925" y="914400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20Linus_DCF%20model_04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9"/>
      <sheetName val="IRR"/>
      <sheetName val="Proforma"/>
      <sheetName val="RIM"/>
      <sheetName val="General"/>
      <sheetName val="Report"/>
      <sheetName val="Assumption"/>
      <sheetName val="DCF"/>
      <sheetName val="Revenue"/>
      <sheetName val="COGS"/>
      <sheetName val="SG&amp;A"/>
      <sheetName val="CAPEX"/>
      <sheetName val="WACC"/>
      <sheetName val="NWC"/>
      <sheetName val="Sheet3"/>
      <sheetName val="Data&gt;&gt;"/>
      <sheetName val="IRR_Backup"/>
      <sheetName val="Review log"/>
      <sheetName val="유무형자산명세서"/>
      <sheetName val="에너지비"/>
      <sheetName val="Torecom_인건비"/>
      <sheetName val="Torecom_제조원가명세서"/>
      <sheetName val="Torecom_제품별 PQ"/>
      <sheetName val="Torecom_판관비"/>
      <sheetName val="Torecom_제조경비"/>
      <sheetName val="Torecom_원재료명세서"/>
      <sheetName val="Torecom_BSPL"/>
      <sheetName val="Torecom_판매추정"/>
      <sheetName val="FDD_매출MASTER"/>
      <sheetName val="파견임원"/>
      <sheetName val="연결정산표"/>
      <sheetName val="연결FS"/>
      <sheetName val="종속회사FS"/>
      <sheetName val="환율전망"/>
      <sheetName val="인력data"/>
      <sheetName val="사업계획D&amp;A"/>
      <sheetName val="원재료별품위"/>
      <sheetName val="재고자산수불부"/>
      <sheetName val="국내Peer"/>
      <sheetName val="Bloomberg"/>
      <sheetName val="Benchmark Premium"/>
      <sheetName val="감가상각명세서"/>
      <sheetName val="Libor"/>
      <sheetName val="차입금"/>
      <sheetName val="별도FS_본체"/>
      <sheetName val="연결조정_3Q"/>
      <sheetName val="과거손익(Summary)"/>
      <sheetName val="과거손익_본체"/>
      <sheetName val="사업계획_본체"/>
      <sheetName val="판매량"/>
      <sheetName val="CDD추정치"/>
      <sheetName val="원료지표"/>
      <sheetName val="주요지표_New"/>
      <sheetName val="Sheet1"/>
      <sheetName val="금속가격"/>
      <sheetName val="부산물가격"/>
      <sheetName val="환율"/>
      <sheetName val="가동율"/>
      <sheetName val="CAPEX계획"/>
      <sheetName val="Backdata_Torecom"/>
      <sheetName val="Backdata_GRM"/>
      <sheetName val="Backdata_CS,선우"/>
      <sheetName val="BP_Torecom"/>
      <sheetName val="종속회사BP_New"/>
      <sheetName val="BP_GRM"/>
    </sheetNames>
    <sheetDataSet>
      <sheetData sheetId="0"/>
      <sheetData sheetId="1"/>
      <sheetData sheetId="2">
        <row r="42">
          <cell r="O42">
            <v>93889.725225000002</v>
          </cell>
        </row>
        <row r="61">
          <cell r="O61">
            <v>34883.097879000241</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Set>
  </externalBook>
</externalLink>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D799F-C39A-4A2C-A349-7A51EAECF1B6}">
  <sheetPr codeName="Sheet12"/>
  <dimension ref="A1:A80"/>
  <sheetViews>
    <sheetView workbookViewId="0"/>
  </sheetViews>
  <sheetFormatPr defaultRowHeight="16.5"/>
  <cols>
    <col min="1" max="1" width="12.125" bestFit="1" customWidth="1"/>
  </cols>
  <sheetData>
    <row r="1" spans="1:1">
      <c r="A1" s="2585">
        <v>44651</v>
      </c>
    </row>
    <row r="2" spans="1:1">
      <c r="A2" s="2585">
        <v>44681</v>
      </c>
    </row>
    <row r="3" spans="1:1">
      <c r="A3" s="2585">
        <v>44712</v>
      </c>
    </row>
    <row r="4" spans="1:1">
      <c r="A4" s="2585">
        <v>44742</v>
      </c>
    </row>
    <row r="5" spans="1:1">
      <c r="A5" s="2585">
        <v>44773</v>
      </c>
    </row>
    <row r="6" spans="1:1">
      <c r="A6" s="2585">
        <v>44804</v>
      </c>
    </row>
    <row r="7" spans="1:1">
      <c r="A7" s="2585">
        <v>44834</v>
      </c>
    </row>
    <row r="8" spans="1:1">
      <c r="A8" s="2585">
        <v>44865</v>
      </c>
    </row>
    <row r="9" spans="1:1">
      <c r="A9" s="2585">
        <v>44895</v>
      </c>
    </row>
    <row r="10" spans="1:1">
      <c r="A10" s="2585">
        <v>44926</v>
      </c>
    </row>
    <row r="11" spans="1:1">
      <c r="A11" s="2585">
        <v>44957</v>
      </c>
    </row>
    <row r="12" spans="1:1">
      <c r="A12" s="2585">
        <v>44985</v>
      </c>
    </row>
    <row r="13" spans="1:1">
      <c r="A13" s="2585">
        <v>45016</v>
      </c>
    </row>
    <row r="14" spans="1:1">
      <c r="A14" s="2585">
        <v>45046</v>
      </c>
    </row>
    <row r="15" spans="1:1">
      <c r="A15" s="2585">
        <v>45077</v>
      </c>
    </row>
    <row r="16" spans="1:1">
      <c r="A16" s="2585">
        <v>45107</v>
      </c>
    </row>
    <row r="17" spans="1:1">
      <c r="A17" s="2585">
        <v>45138</v>
      </c>
    </row>
    <row r="18" spans="1:1">
      <c r="A18" s="2585">
        <v>45169</v>
      </c>
    </row>
    <row r="19" spans="1:1">
      <c r="A19" s="2585">
        <v>45199</v>
      </c>
    </row>
    <row r="20" spans="1:1">
      <c r="A20" s="2585">
        <v>45230</v>
      </c>
    </row>
    <row r="21" spans="1:1">
      <c r="A21" s="2585">
        <v>45260</v>
      </c>
    </row>
    <row r="22" spans="1:1">
      <c r="A22" s="2585">
        <v>45291</v>
      </c>
    </row>
    <row r="23" spans="1:1">
      <c r="A23" s="2585">
        <v>45322</v>
      </c>
    </row>
    <row r="24" spans="1:1">
      <c r="A24" s="2585">
        <v>45351</v>
      </c>
    </row>
    <row r="25" spans="1:1">
      <c r="A25" s="2585">
        <v>45382</v>
      </c>
    </row>
    <row r="26" spans="1:1">
      <c r="A26" s="2585">
        <v>45412</v>
      </c>
    </row>
    <row r="27" spans="1:1">
      <c r="A27" s="2585">
        <v>45443</v>
      </c>
    </row>
    <row r="28" spans="1:1">
      <c r="A28" s="2585">
        <v>45473</v>
      </c>
    </row>
    <row r="29" spans="1:1">
      <c r="A29" s="2585">
        <v>45504</v>
      </c>
    </row>
    <row r="30" spans="1:1">
      <c r="A30" s="2585">
        <v>45535</v>
      </c>
    </row>
    <row r="31" spans="1:1">
      <c r="A31" s="2585">
        <v>45565</v>
      </c>
    </row>
    <row r="32" spans="1:1">
      <c r="A32" s="2585">
        <v>45596</v>
      </c>
    </row>
    <row r="33" spans="1:1">
      <c r="A33" s="2585">
        <v>45626</v>
      </c>
    </row>
    <row r="34" spans="1:1">
      <c r="A34" s="2585">
        <v>45657</v>
      </c>
    </row>
    <row r="35" spans="1:1">
      <c r="A35" s="2585">
        <v>45688</v>
      </c>
    </row>
    <row r="36" spans="1:1">
      <c r="A36" s="2585">
        <v>45716</v>
      </c>
    </row>
    <row r="37" spans="1:1">
      <c r="A37" s="2585">
        <v>45747</v>
      </c>
    </row>
    <row r="38" spans="1:1">
      <c r="A38" s="2585">
        <v>45777</v>
      </c>
    </row>
    <row r="39" spans="1:1">
      <c r="A39" s="2585">
        <v>45808</v>
      </c>
    </row>
    <row r="40" spans="1:1">
      <c r="A40" s="2585">
        <v>45838</v>
      </c>
    </row>
    <row r="41" spans="1:1">
      <c r="A41" s="2585">
        <v>45869</v>
      </c>
    </row>
    <row r="42" spans="1:1">
      <c r="A42" s="2585">
        <v>45900</v>
      </c>
    </row>
    <row r="43" spans="1:1">
      <c r="A43" s="2585">
        <v>45930</v>
      </c>
    </row>
    <row r="44" spans="1:1">
      <c r="A44" s="2585">
        <v>45961</v>
      </c>
    </row>
    <row r="45" spans="1:1">
      <c r="A45" s="2585">
        <v>45991</v>
      </c>
    </row>
    <row r="46" spans="1:1">
      <c r="A46" s="2585">
        <v>46022</v>
      </c>
    </row>
    <row r="47" spans="1:1">
      <c r="A47" s="2585">
        <v>46053</v>
      </c>
    </row>
    <row r="48" spans="1:1">
      <c r="A48" s="2585">
        <v>46081</v>
      </c>
    </row>
    <row r="49" spans="1:1">
      <c r="A49" s="2585">
        <v>46112</v>
      </c>
    </row>
    <row r="50" spans="1:1">
      <c r="A50" s="2585">
        <v>46142</v>
      </c>
    </row>
    <row r="51" spans="1:1">
      <c r="A51" s="2585">
        <v>46173</v>
      </c>
    </row>
    <row r="52" spans="1:1">
      <c r="A52" s="2585">
        <v>46203</v>
      </c>
    </row>
    <row r="53" spans="1:1">
      <c r="A53" s="2585">
        <v>46234</v>
      </c>
    </row>
    <row r="54" spans="1:1">
      <c r="A54" s="2585">
        <v>46265</v>
      </c>
    </row>
    <row r="55" spans="1:1">
      <c r="A55" s="2585">
        <v>46295</v>
      </c>
    </row>
    <row r="56" spans="1:1">
      <c r="A56" s="2585">
        <v>46326</v>
      </c>
    </row>
    <row r="57" spans="1:1">
      <c r="A57" s="2585">
        <v>46356</v>
      </c>
    </row>
    <row r="58" spans="1:1">
      <c r="A58" s="2585">
        <v>46387</v>
      </c>
    </row>
    <row r="59" spans="1:1">
      <c r="A59" s="2585">
        <v>46418</v>
      </c>
    </row>
    <row r="60" spans="1:1">
      <c r="A60" s="2585">
        <v>46446</v>
      </c>
    </row>
    <row r="61" spans="1:1">
      <c r="A61" s="2585">
        <v>46477</v>
      </c>
    </row>
    <row r="62" spans="1:1">
      <c r="A62" s="2585">
        <v>46507</v>
      </c>
    </row>
    <row r="63" spans="1:1">
      <c r="A63" s="2585">
        <v>46538</v>
      </c>
    </row>
    <row r="64" spans="1:1">
      <c r="A64" s="2585">
        <v>46568</v>
      </c>
    </row>
    <row r="65" spans="1:1">
      <c r="A65" s="2585">
        <v>46599</v>
      </c>
    </row>
    <row r="66" spans="1:1">
      <c r="A66" s="2585">
        <v>46630</v>
      </c>
    </row>
    <row r="67" spans="1:1">
      <c r="A67" s="2585">
        <v>46660</v>
      </c>
    </row>
    <row r="68" spans="1:1">
      <c r="A68" s="2585">
        <v>46691</v>
      </c>
    </row>
    <row r="69" spans="1:1">
      <c r="A69" s="2585">
        <v>46721</v>
      </c>
    </row>
    <row r="70" spans="1:1">
      <c r="A70" s="2585">
        <v>46752</v>
      </c>
    </row>
    <row r="71" spans="1:1">
      <c r="A71" s="2585">
        <v>46783</v>
      </c>
    </row>
    <row r="72" spans="1:1">
      <c r="A72" s="2585">
        <v>46812</v>
      </c>
    </row>
    <row r="73" spans="1:1">
      <c r="A73" s="2585">
        <v>46843</v>
      </c>
    </row>
    <row r="74" spans="1:1">
      <c r="A74" s="2585">
        <v>46873</v>
      </c>
    </row>
    <row r="75" spans="1:1">
      <c r="A75" s="2585">
        <v>46904</v>
      </c>
    </row>
    <row r="76" spans="1:1">
      <c r="A76" s="2585">
        <v>46934</v>
      </c>
    </row>
    <row r="77" spans="1:1">
      <c r="A77" s="2585">
        <v>46965</v>
      </c>
    </row>
    <row r="78" spans="1:1">
      <c r="A78" s="2585">
        <v>46996</v>
      </c>
    </row>
    <row r="79" spans="1:1">
      <c r="A79" s="2585">
        <v>47026</v>
      </c>
    </row>
    <row r="80" spans="1:1">
      <c r="A80" s="2585">
        <v>47057</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D3E14-B637-4A46-837B-20C30B765968}">
  <sheetPr>
    <tabColor rgb="FF00B050"/>
  </sheetPr>
  <dimension ref="A1:AL392"/>
  <sheetViews>
    <sheetView showGridLines="0" zoomScale="85" zoomScaleNormal="85" workbookViewId="0">
      <selection activeCell="E163" sqref="E163"/>
    </sheetView>
  </sheetViews>
  <sheetFormatPr defaultColWidth="9" defaultRowHeight="12" customHeight="1"/>
  <cols>
    <col min="1" max="1" width="1.625" style="1" customWidth="1"/>
    <col min="2" max="2" width="14.75" style="1" customWidth="1"/>
    <col min="3" max="22" width="9.5" style="1" customWidth="1"/>
    <col min="23" max="23" width="1.625" style="1" customWidth="1"/>
    <col min="24" max="35" width="9.5" style="1" customWidth="1"/>
    <col min="36" max="36" width="1.625" style="1" customWidth="1"/>
    <col min="37" max="38" width="9.5" style="1" customWidth="1"/>
    <col min="39" max="16384" width="9" style="1"/>
  </cols>
  <sheetData>
    <row r="1" spans="1:38" ht="12" customHeight="1">
      <c r="A1" s="2" t="str">
        <f ca="1">MID(CELL("filename",A1),FIND("]",CELL("filename",A1))+1,255)</f>
        <v>IRR</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row>
    <row r="2" spans="1:38" ht="12" customHeight="1">
      <c r="E2" s="4767" t="s">
        <v>11017</v>
      </c>
      <c r="F2" s="4768">
        <f ca="1">+E200</f>
        <v>0.29520279765129098</v>
      </c>
    </row>
    <row r="3" spans="1:38" ht="12" customHeight="1">
      <c r="E3" s="4767" t="s">
        <v>10790</v>
      </c>
      <c r="F3" s="4769">
        <f ca="1">+E201</f>
        <v>2.1743081607604022</v>
      </c>
    </row>
    <row r="4" spans="1:38" s="3" customFormat="1" ht="12" customHeight="1">
      <c r="A4" s="20" t="s">
        <v>21</v>
      </c>
      <c r="B4" s="21" t="s">
        <v>10709</v>
      </c>
      <c r="C4" s="102"/>
      <c r="D4" s="102"/>
      <c r="E4" s="102"/>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row>
    <row r="6" spans="1:38" ht="13.5">
      <c r="B6" s="3600" t="s">
        <v>10710</v>
      </c>
      <c r="X6" s="4786" t="s">
        <v>11058</v>
      </c>
      <c r="Y6" s="4786"/>
      <c r="Z6" s="4786"/>
      <c r="AA6" s="3663"/>
      <c r="AB6" s="4786"/>
      <c r="AC6" s="815"/>
      <c r="AD6" s="4786" t="s">
        <v>11059</v>
      </c>
      <c r="AE6" s="3663"/>
      <c r="AF6" s="3663"/>
      <c r="AG6" s="3663"/>
      <c r="AH6" s="3663"/>
    </row>
    <row r="7" spans="1:38" ht="13.5">
      <c r="B7" s="5207" t="s">
        <v>354</v>
      </c>
      <c r="C7" s="5207"/>
      <c r="D7" s="5207"/>
      <c r="E7" s="5207"/>
      <c r="F7" s="4527" t="s">
        <v>10711</v>
      </c>
      <c r="X7" s="3681" t="s">
        <v>6756</v>
      </c>
      <c r="Y7" s="3681"/>
      <c r="Z7" s="3681"/>
      <c r="AA7" s="3681"/>
      <c r="AB7" s="4787">
        <f>D204</f>
        <v>44742</v>
      </c>
      <c r="AC7" s="815"/>
      <c r="AD7" s="3681" t="s">
        <v>11060</v>
      </c>
      <c r="AE7" s="3681"/>
      <c r="AF7" s="3681"/>
      <c r="AG7" s="3681"/>
      <c r="AH7" s="4788">
        <f>F66</f>
        <v>0.5</v>
      </c>
    </row>
    <row r="8" spans="1:38" ht="13.5">
      <c r="B8" s="1" t="s">
        <v>10712</v>
      </c>
      <c r="F8" s="4528">
        <v>1870000</v>
      </c>
      <c r="X8" s="3681" t="s">
        <v>11061</v>
      </c>
      <c r="Y8" s="3681"/>
      <c r="Z8" s="3681"/>
      <c r="AA8" s="3681"/>
      <c r="AB8" s="4789">
        <f>F9</f>
        <v>1890000</v>
      </c>
      <c r="AC8" s="815"/>
      <c r="AD8" s="3681" t="s">
        <v>11062</v>
      </c>
      <c r="AE8" s="3681"/>
      <c r="AF8" s="3681"/>
      <c r="AG8" s="3681"/>
      <c r="AH8" s="3681"/>
    </row>
    <row r="9" spans="1:38" ht="13.5">
      <c r="B9" s="1" t="s">
        <v>10713</v>
      </c>
      <c r="F9" s="4528">
        <v>1890000</v>
      </c>
      <c r="X9" s="3681" t="s">
        <v>11063</v>
      </c>
      <c r="Y9" s="3681"/>
      <c r="Z9" s="3681"/>
      <c r="AA9" s="3681"/>
      <c r="AB9" s="4788">
        <f>F10</f>
        <v>0.249</v>
      </c>
      <c r="AC9" s="815"/>
      <c r="AD9" s="3681"/>
      <c r="AE9" s="3681" t="s">
        <v>11064</v>
      </c>
      <c r="AF9" s="3681"/>
      <c r="AG9" s="3681"/>
      <c r="AH9" s="4790">
        <f>F70</f>
        <v>2000</v>
      </c>
    </row>
    <row r="10" spans="1:38" ht="13.5">
      <c r="B10" s="68" t="s">
        <v>10714</v>
      </c>
      <c r="C10" s="68"/>
      <c r="D10" s="68"/>
      <c r="E10" s="68"/>
      <c r="F10" s="4529">
        <v>0.249</v>
      </c>
      <c r="X10" s="3681" t="s">
        <v>6127</v>
      </c>
      <c r="Y10" s="3681"/>
      <c r="Z10" s="3681"/>
      <c r="AA10" s="3681"/>
      <c r="AB10" s="4789">
        <f>AB9*AB8</f>
        <v>470610</v>
      </c>
      <c r="AC10" s="815"/>
      <c r="AD10" s="3681"/>
      <c r="AE10" s="3681" t="s">
        <v>11065</v>
      </c>
      <c r="AF10" s="3681"/>
      <c r="AG10" s="3681"/>
      <c r="AH10" s="4790">
        <f>F71</f>
        <v>110.00000000000001</v>
      </c>
    </row>
    <row r="11" spans="1:38" ht="12" customHeight="1">
      <c r="X11" s="3681" t="s">
        <v>11066</v>
      </c>
      <c r="Y11" s="3681"/>
      <c r="Z11" s="3681"/>
      <c r="AA11" s="3681"/>
      <c r="AB11" s="4789">
        <f>[1]Proforma!O42+[1]Proforma!O61</f>
        <v>128772.82310400024</v>
      </c>
      <c r="AC11" s="815"/>
      <c r="AD11" s="3681"/>
      <c r="AE11" s="3681" t="s">
        <v>11067</v>
      </c>
      <c r="AF11" s="3681"/>
      <c r="AG11" s="3681"/>
      <c r="AH11" s="4791">
        <f>F72</f>
        <v>0</v>
      </c>
    </row>
    <row r="12" spans="1:38" ht="13.5">
      <c r="B12" s="3600" t="s">
        <v>10715</v>
      </c>
      <c r="X12" s="3681" t="s">
        <v>11042</v>
      </c>
      <c r="Y12" s="3681"/>
      <c r="Z12" s="3681"/>
      <c r="AA12" s="3681"/>
      <c r="AB12" s="4792">
        <f>AB8/AB11</f>
        <v>14.67700990350726</v>
      </c>
      <c r="AC12" s="815"/>
      <c r="AD12" s="3681"/>
      <c r="AE12" s="3681" t="s">
        <v>11068</v>
      </c>
      <c r="AF12" s="3681"/>
      <c r="AG12" s="3681"/>
      <c r="AH12" s="4790">
        <f>F73</f>
        <v>5</v>
      </c>
    </row>
    <row r="13" spans="1:38" ht="13.5">
      <c r="B13" s="5207" t="s">
        <v>354</v>
      </c>
      <c r="C13" s="5207"/>
      <c r="D13" s="5207"/>
      <c r="E13" s="5207"/>
      <c r="F13" s="4527" t="s">
        <v>10711</v>
      </c>
      <c r="X13" s="815"/>
      <c r="Y13" s="815"/>
      <c r="Z13" s="815"/>
      <c r="AA13" s="815"/>
      <c r="AB13" s="815"/>
      <c r="AC13" s="815"/>
      <c r="AD13" s="815"/>
      <c r="AE13" s="815"/>
      <c r="AF13" s="815"/>
      <c r="AG13" s="815"/>
      <c r="AH13" s="815"/>
    </row>
    <row r="14" spans="1:38" ht="13.5">
      <c r="B14" s="1" t="s">
        <v>10716</v>
      </c>
      <c r="F14" s="4546">
        <v>45838</v>
      </c>
      <c r="X14" s="4786" t="s">
        <v>11069</v>
      </c>
      <c r="Y14" s="3663"/>
      <c r="Z14" s="3663"/>
      <c r="AA14" s="3663"/>
      <c r="AB14" s="3663"/>
      <c r="AC14" s="815"/>
      <c r="AD14" s="4786" t="s">
        <v>11070</v>
      </c>
      <c r="AE14" s="3663"/>
      <c r="AF14" s="3663"/>
      <c r="AG14" s="3663"/>
      <c r="AH14" s="3663"/>
    </row>
    <row r="15" spans="1:38" ht="13.5">
      <c r="B15" s="1" t="s">
        <v>10717</v>
      </c>
      <c r="F15" s="4547">
        <f>IRR_Backup!D95</f>
        <v>12.019083989820444</v>
      </c>
      <c r="X15" s="3681" t="s">
        <v>11071</v>
      </c>
      <c r="Y15" s="3681"/>
      <c r="Z15" s="3681"/>
      <c r="AA15" s="3681"/>
      <c r="AB15" s="4789">
        <f>SUM(AB17,AB20)</f>
        <v>277189.29000000004</v>
      </c>
      <c r="AC15" s="815"/>
      <c r="AD15" s="3681" t="s">
        <v>6756</v>
      </c>
      <c r="AE15" s="3681"/>
      <c r="AF15" s="3681"/>
      <c r="AG15" s="3681"/>
      <c r="AH15" s="4787">
        <f>G204</f>
        <v>45838</v>
      </c>
    </row>
    <row r="16" spans="1:38" ht="13.5">
      <c r="B16" s="1" t="s">
        <v>10718</v>
      </c>
      <c r="F16" s="4531">
        <v>0.193</v>
      </c>
      <c r="X16" s="3681"/>
      <c r="Y16" s="3681" t="s">
        <v>11072</v>
      </c>
      <c r="Z16" s="3681"/>
      <c r="AA16" s="3681"/>
      <c r="AB16" s="4788">
        <f>SUM(AB18,AB21)</f>
        <v>0.58900000000000008</v>
      </c>
      <c r="AC16" s="815"/>
      <c r="AD16" s="3681" t="s">
        <v>10774</v>
      </c>
      <c r="AE16" s="3681"/>
      <c r="AF16" s="3681"/>
      <c r="AG16" s="3681"/>
      <c r="AH16" s="4789">
        <f>SUM(E241:E283)</f>
        <v>25561.055245136373</v>
      </c>
    </row>
    <row r="17" spans="2:34" ht="13.5">
      <c r="B17" s="1" t="s">
        <v>10992</v>
      </c>
      <c r="F17" s="4531" t="s">
        <v>10993</v>
      </c>
      <c r="G17" s="289" t="s">
        <v>10995</v>
      </c>
      <c r="X17" s="3681" t="s">
        <v>11073</v>
      </c>
      <c r="Y17" s="3681"/>
      <c r="Z17" s="3681"/>
      <c r="AA17" s="3681"/>
      <c r="AB17" s="4789">
        <f>AB18*AB10</f>
        <v>253658.79</v>
      </c>
      <c r="AC17" s="815"/>
      <c r="AD17" s="3681" t="s">
        <v>6734</v>
      </c>
      <c r="AE17" s="3681"/>
      <c r="AF17" s="3681"/>
      <c r="AG17" s="3681"/>
      <c r="AH17" s="4789">
        <f>SUM(F260:F313)</f>
        <v>36618.414288600456</v>
      </c>
    </row>
    <row r="18" spans="2:34" ht="13.5">
      <c r="B18" s="68" t="s">
        <v>10994</v>
      </c>
      <c r="C18" s="68"/>
      <c r="D18" s="68"/>
      <c r="E18" s="68"/>
      <c r="F18" s="4530">
        <v>0.12</v>
      </c>
      <c r="X18" s="3681"/>
      <c r="Y18" s="3681" t="s">
        <v>11072</v>
      </c>
      <c r="Z18" s="3681"/>
      <c r="AA18" s="3681"/>
      <c r="AB18" s="4788">
        <f>F28</f>
        <v>0.53900000000000003</v>
      </c>
      <c r="AC18" s="815"/>
      <c r="AD18" s="3681" t="s">
        <v>10715</v>
      </c>
      <c r="AE18" s="3681"/>
      <c r="AF18" s="3681"/>
      <c r="AG18" s="3681"/>
      <c r="AH18" s="4789">
        <f>AH19*AH20*(1-AH21)</f>
        <v>2852824.7928932551</v>
      </c>
    </row>
    <row r="19" spans="2:34" ht="12" customHeight="1">
      <c r="X19" s="3681"/>
      <c r="Y19" s="3681" t="s">
        <v>11074</v>
      </c>
      <c r="Z19" s="3681"/>
      <c r="AA19" s="3681"/>
      <c r="AB19" s="4791">
        <f>F30</f>
        <v>5.0440000000000006E-2</v>
      </c>
      <c r="AC19" s="815"/>
      <c r="AD19" s="3681"/>
      <c r="AE19" s="3681" t="s">
        <v>11075</v>
      </c>
      <c r="AF19" s="3681"/>
      <c r="AG19" s="3681"/>
      <c r="AH19" s="4789">
        <f>E113</f>
        <v>294123.81833308091</v>
      </c>
    </row>
    <row r="20" spans="2:34" ht="13.5">
      <c r="B20" s="3600" t="s">
        <v>10719</v>
      </c>
      <c r="X20" s="3681" t="s">
        <v>11076</v>
      </c>
      <c r="Y20" s="3681"/>
      <c r="Z20" s="3681"/>
      <c r="AA20" s="3681"/>
      <c r="AB20" s="4789">
        <f>AB21*AB10</f>
        <v>23530.5</v>
      </c>
      <c r="AC20" s="815"/>
      <c r="AD20" s="3681"/>
      <c r="AE20" s="3681" t="s">
        <v>11049</v>
      </c>
      <c r="AF20" s="3681"/>
      <c r="AG20" s="3681"/>
      <c r="AH20" s="4793">
        <f>E114</f>
        <v>12.019083989820444</v>
      </c>
    </row>
    <row r="21" spans="2:34" ht="13.5">
      <c r="B21" s="5207" t="s">
        <v>354</v>
      </c>
      <c r="C21" s="5207"/>
      <c r="D21" s="5207"/>
      <c r="E21" s="5207"/>
      <c r="F21" s="4527" t="s">
        <v>10711</v>
      </c>
      <c r="X21" s="3681"/>
      <c r="Y21" s="3681" t="s">
        <v>11072</v>
      </c>
      <c r="Z21" s="3681"/>
      <c r="AA21" s="3681"/>
      <c r="AB21" s="4788">
        <f>F29</f>
        <v>0.05</v>
      </c>
      <c r="AC21" s="815"/>
      <c r="AD21" s="3681"/>
      <c r="AE21" s="3681" t="s">
        <v>10747</v>
      </c>
      <c r="AF21" s="3681"/>
      <c r="AG21" s="3681"/>
      <c r="AH21" s="4788">
        <f>E115</f>
        <v>0.193</v>
      </c>
    </row>
    <row r="22" spans="2:34" ht="13.5">
      <c r="B22" s="1" t="s">
        <v>10720</v>
      </c>
      <c r="F22" s="4531">
        <v>2.5000000000000001E-2</v>
      </c>
      <c r="X22" s="3681"/>
      <c r="Y22" s="3681" t="s">
        <v>11074</v>
      </c>
      <c r="Z22" s="3681"/>
      <c r="AA22" s="3681"/>
      <c r="AB22" s="4791">
        <f>F37</f>
        <v>4.7500000000000001E-2</v>
      </c>
      <c r="AC22" s="815"/>
      <c r="AD22" s="3681"/>
      <c r="AE22" s="3681"/>
      <c r="AF22" s="3681"/>
      <c r="AG22" s="3681"/>
      <c r="AH22" s="3681"/>
    </row>
    <row r="23" spans="2:34" ht="13.5">
      <c r="B23" s="68" t="s">
        <v>10721</v>
      </c>
      <c r="C23" s="68"/>
      <c r="D23" s="68"/>
      <c r="E23" s="68"/>
      <c r="F23" s="4532">
        <v>45565</v>
      </c>
      <c r="G23" s="289" t="s">
        <v>10722</v>
      </c>
      <c r="X23" s="3681" t="s">
        <v>11077</v>
      </c>
      <c r="Y23" s="3681"/>
      <c r="Z23" s="3681"/>
      <c r="AA23" s="3681"/>
      <c r="AB23" s="4788">
        <f>F59</f>
        <v>1.4500000000000001E-2</v>
      </c>
      <c r="AC23" s="815"/>
      <c r="AD23" s="815"/>
      <c r="AE23" s="815"/>
      <c r="AF23" s="815"/>
      <c r="AG23" s="815"/>
      <c r="AH23" s="815"/>
    </row>
    <row r="24" spans="2:34" ht="13.5">
      <c r="F24" s="2102"/>
      <c r="G24" s="2102"/>
      <c r="X24" s="3681" t="s">
        <v>11079</v>
      </c>
      <c r="Y24" s="3681"/>
      <c r="Z24" s="3681"/>
      <c r="AA24" s="3681"/>
      <c r="AB24" s="4788">
        <f>F60</f>
        <v>3.0000000000000001E-3</v>
      </c>
      <c r="AC24" s="815"/>
      <c r="AD24" s="4786" t="s">
        <v>11078</v>
      </c>
      <c r="AE24" s="4786"/>
      <c r="AF24" s="4786"/>
      <c r="AG24" s="4786"/>
      <c r="AH24" s="4786"/>
    </row>
    <row r="25" spans="2:34" ht="13.5">
      <c r="B25" s="3600" t="s">
        <v>10723</v>
      </c>
      <c r="X25" s="3681" t="s">
        <v>11081</v>
      </c>
      <c r="Y25" s="3681"/>
      <c r="Z25" s="3681"/>
      <c r="AA25" s="3681"/>
      <c r="AB25" s="4788">
        <f>F61</f>
        <v>0.01</v>
      </c>
      <c r="AC25" s="815"/>
      <c r="AD25" s="819" t="s">
        <v>11080</v>
      </c>
      <c r="AE25" s="3681"/>
      <c r="AF25" s="3681"/>
      <c r="AG25" s="3681"/>
      <c r="AH25" s="4794">
        <f ca="1">F2</f>
        <v>0.29520279765129098</v>
      </c>
    </row>
    <row r="26" spans="2:34" ht="13.5">
      <c r="B26" s="5207" t="s">
        <v>354</v>
      </c>
      <c r="C26" s="5207"/>
      <c r="D26" s="5207"/>
      <c r="E26" s="5207"/>
      <c r="F26" s="4527" t="s">
        <v>10711</v>
      </c>
      <c r="X26" s="3681" t="s">
        <v>10763</v>
      </c>
      <c r="Y26" s="3681"/>
      <c r="Z26" s="3681"/>
      <c r="AA26" s="3681"/>
      <c r="AB26" s="4789">
        <f>F62</f>
        <v>30</v>
      </c>
      <c r="AC26" s="815"/>
      <c r="AD26" s="819" t="s">
        <v>11082</v>
      </c>
      <c r="AE26" s="3681"/>
      <c r="AF26" s="3681"/>
      <c r="AG26" s="3681"/>
      <c r="AH26" s="4795">
        <f ca="1">F3</f>
        <v>2.1743081607604022</v>
      </c>
    </row>
    <row r="27" spans="2:34">
      <c r="B27" s="1" t="s">
        <v>10724</v>
      </c>
      <c r="F27" s="4533" t="s">
        <v>10725</v>
      </c>
      <c r="G27" s="5148" t="str">
        <f ca="1">+IF(COUNTIF($AL$241:$AL$313,"한도초과")&gt;0,"한도초과","한도준수")</f>
        <v>한도준수</v>
      </c>
    </row>
    <row r="28" spans="2:34">
      <c r="B28" s="1" t="s">
        <v>10726</v>
      </c>
      <c r="F28" s="4531">
        <v>0.53900000000000003</v>
      </c>
    </row>
    <row r="29" spans="2:34">
      <c r="B29" s="1" t="s">
        <v>10727</v>
      </c>
      <c r="F29" s="4531">
        <v>0.05</v>
      </c>
    </row>
    <row r="30" spans="2:34">
      <c r="B30" s="4782" t="s">
        <v>10728</v>
      </c>
      <c r="C30" s="2346"/>
      <c r="D30" s="2346"/>
      <c r="E30" s="2346"/>
      <c r="F30" s="4783">
        <f>(F34*F32+F37*F33)/100</f>
        <v>5.0440000000000006E-2</v>
      </c>
    </row>
    <row r="31" spans="2:34">
      <c r="B31" s="2617" t="s">
        <v>11006</v>
      </c>
      <c r="E31" s="2589" t="s">
        <v>11007</v>
      </c>
      <c r="F31" s="1">
        <v>62</v>
      </c>
      <c r="G31" s="1" t="s">
        <v>11008</v>
      </c>
    </row>
    <row r="32" spans="2:34">
      <c r="B32" s="3602" t="s">
        <v>11009</v>
      </c>
      <c r="F32" s="4692">
        <v>50</v>
      </c>
    </row>
    <row r="33" spans="2:9">
      <c r="B33" s="3602" t="s">
        <v>11010</v>
      </c>
      <c r="F33" s="4692">
        <v>50</v>
      </c>
    </row>
    <row r="34" spans="2:9">
      <c r="B34" s="4784" t="s">
        <v>11013</v>
      </c>
      <c r="C34" s="2346"/>
      <c r="D34" s="2346"/>
      <c r="E34" s="2346"/>
      <c r="F34" s="4785">
        <f>F35+F36</f>
        <v>5.3379999999999997E-2</v>
      </c>
    </row>
    <row r="35" spans="2:9" ht="12" customHeight="1">
      <c r="B35" s="3602" t="s">
        <v>11012</v>
      </c>
      <c r="F35" s="4623">
        <v>3.4880000000000001E-2</v>
      </c>
      <c r="G35" s="45" t="s">
        <v>13551</v>
      </c>
    </row>
    <row r="36" spans="2:9">
      <c r="B36" s="3602" t="s">
        <v>11005</v>
      </c>
      <c r="F36" s="4623">
        <v>1.8499999999999999E-2</v>
      </c>
    </row>
    <row r="37" spans="2:9">
      <c r="B37" s="4784" t="s">
        <v>11011</v>
      </c>
      <c r="C37" s="2346"/>
      <c r="D37" s="2346"/>
      <c r="E37" s="2346"/>
      <c r="F37" s="4785">
        <f>F39+F47</f>
        <v>4.7500000000000001E-2</v>
      </c>
    </row>
    <row r="38" spans="2:9">
      <c r="B38" s="3602" t="s">
        <v>11003</v>
      </c>
      <c r="D38" s="5166" t="s">
        <v>13567</v>
      </c>
      <c r="F38" s="45"/>
      <c r="G38" s="45"/>
      <c r="H38" s="5147"/>
      <c r="I38" s="330"/>
    </row>
    <row r="39" spans="2:9">
      <c r="B39" s="5165" t="s">
        <v>13547</v>
      </c>
      <c r="F39" s="4623">
        <v>1.72E-2</v>
      </c>
      <c r="G39" s="45" t="s">
        <v>13551</v>
      </c>
      <c r="H39" s="5147"/>
      <c r="I39" s="330"/>
    </row>
    <row r="40" spans="2:9">
      <c r="B40" s="5165">
        <v>2022</v>
      </c>
      <c r="F40" s="4623">
        <f>AVERAGE(CD금리추정!O12:P12)%</f>
        <v>1.8788544152744627E-2</v>
      </c>
      <c r="G40" s="45"/>
      <c r="H40" s="5147"/>
      <c r="I40" s="330"/>
    </row>
    <row r="41" spans="2:9">
      <c r="B41" s="5165">
        <v>2023</v>
      </c>
      <c r="F41" s="4623">
        <f>AVERAGE(CD금리추정!Q12:T12)%</f>
        <v>2.1041288782816227E-2</v>
      </c>
      <c r="G41" s="45"/>
      <c r="H41" s="5147"/>
      <c r="I41" s="330"/>
    </row>
    <row r="42" spans="2:9">
      <c r="B42" s="5165">
        <v>2024</v>
      </c>
      <c r="F42" s="4623">
        <f>AVERAGE(CD금리추정!U12:W12)%</f>
        <v>2.1041288782816227E-2</v>
      </c>
      <c r="G42" s="45"/>
      <c r="H42" s="5147"/>
      <c r="I42" s="330"/>
    </row>
    <row r="43" spans="2:9">
      <c r="B43" s="5165">
        <v>2025</v>
      </c>
      <c r="F43" s="4623">
        <f>F42</f>
        <v>2.1041288782816227E-2</v>
      </c>
      <c r="G43" s="45"/>
      <c r="H43" s="5147"/>
      <c r="I43" s="330"/>
    </row>
    <row r="44" spans="2:9">
      <c r="B44" s="5165">
        <v>2026</v>
      </c>
      <c r="F44" s="4623">
        <f t="shared" ref="F44:F46" si="0">F43</f>
        <v>2.1041288782816227E-2</v>
      </c>
      <c r="G44" s="45"/>
      <c r="H44" s="5147"/>
      <c r="I44" s="330"/>
    </row>
    <row r="45" spans="2:9">
      <c r="B45" s="5165">
        <v>2027</v>
      </c>
      <c r="F45" s="4623">
        <f t="shared" si="0"/>
        <v>2.1041288782816227E-2</v>
      </c>
      <c r="G45" s="45"/>
      <c r="H45" s="5147"/>
      <c r="I45" s="330"/>
    </row>
    <row r="46" spans="2:9">
      <c r="B46" s="5165">
        <v>2028</v>
      </c>
      <c r="F46" s="4623">
        <f t="shared" si="0"/>
        <v>2.1041288782816227E-2</v>
      </c>
      <c r="G46" s="45"/>
      <c r="H46" s="5147"/>
      <c r="I46" s="330"/>
    </row>
    <row r="47" spans="2:9" ht="12" customHeight="1">
      <c r="B47" s="3602" t="s">
        <v>11005</v>
      </c>
      <c r="F47" s="4623">
        <v>3.0300000000000001E-2</v>
      </c>
      <c r="H47" s="5147"/>
    </row>
    <row r="48" spans="2:9">
      <c r="B48" s="1" t="s">
        <v>10729</v>
      </c>
      <c r="F48" s="4691">
        <f>F50+F58</f>
        <v>4.7500000000000001E-2</v>
      </c>
    </row>
    <row r="49" spans="2:7">
      <c r="B49" s="2617" t="s">
        <v>11004</v>
      </c>
      <c r="D49" s="4691" t="str">
        <f>D38</f>
        <v>추정치반영</v>
      </c>
    </row>
    <row r="50" spans="2:7">
      <c r="B50" s="5165" t="s">
        <v>13547</v>
      </c>
      <c r="F50" s="4623">
        <v>1.72E-2</v>
      </c>
      <c r="G50" s="45" t="s">
        <v>13551</v>
      </c>
    </row>
    <row r="51" spans="2:7">
      <c r="B51" s="5165">
        <v>2022</v>
      </c>
      <c r="F51" s="4623">
        <f>F40</f>
        <v>1.8788544152744627E-2</v>
      </c>
      <c r="G51" s="45"/>
    </row>
    <row r="52" spans="2:7">
      <c r="B52" s="5165">
        <v>2023</v>
      </c>
      <c r="F52" s="4623">
        <f t="shared" ref="F52:F57" si="1">F41</f>
        <v>2.1041288782816227E-2</v>
      </c>
      <c r="G52" s="45"/>
    </row>
    <row r="53" spans="2:7">
      <c r="B53" s="5165">
        <v>2024</v>
      </c>
      <c r="F53" s="4623">
        <f t="shared" si="1"/>
        <v>2.1041288782816227E-2</v>
      </c>
      <c r="G53" s="45"/>
    </row>
    <row r="54" spans="2:7">
      <c r="B54" s="5165">
        <v>2025</v>
      </c>
      <c r="F54" s="4623">
        <f t="shared" si="1"/>
        <v>2.1041288782816227E-2</v>
      </c>
      <c r="G54" s="45"/>
    </row>
    <row r="55" spans="2:7">
      <c r="B55" s="5165">
        <v>2026</v>
      </c>
      <c r="F55" s="4623">
        <f t="shared" si="1"/>
        <v>2.1041288782816227E-2</v>
      </c>
      <c r="G55" s="45"/>
    </row>
    <row r="56" spans="2:7">
      <c r="B56" s="5165">
        <v>2027</v>
      </c>
      <c r="F56" s="4623">
        <f t="shared" si="1"/>
        <v>2.1041288782816227E-2</v>
      </c>
      <c r="G56" s="45"/>
    </row>
    <row r="57" spans="2:7">
      <c r="B57" s="5165">
        <v>2028</v>
      </c>
      <c r="F57" s="4623">
        <f t="shared" si="1"/>
        <v>2.1041288782816227E-2</v>
      </c>
      <c r="G57" s="45"/>
    </row>
    <row r="58" spans="2:7">
      <c r="B58" s="2617" t="s">
        <v>11005</v>
      </c>
      <c r="F58" s="4623">
        <v>3.0300000000000001E-2</v>
      </c>
    </row>
    <row r="59" spans="2:7">
      <c r="B59" s="1" t="s">
        <v>10730</v>
      </c>
      <c r="F59" s="4623">
        <v>1.4500000000000001E-2</v>
      </c>
    </row>
    <row r="60" spans="2:7">
      <c r="B60" s="1" t="s">
        <v>10898</v>
      </c>
      <c r="F60" s="4623">
        <v>3.0000000000000001E-3</v>
      </c>
    </row>
    <row r="61" spans="2:7">
      <c r="B61" s="1" t="s">
        <v>10731</v>
      </c>
      <c r="F61" s="4531">
        <v>0.01</v>
      </c>
    </row>
    <row r="62" spans="2:7">
      <c r="B62" s="68" t="s">
        <v>10896</v>
      </c>
      <c r="C62" s="68"/>
      <c r="D62" s="68"/>
      <c r="E62" s="68"/>
      <c r="F62" s="4534">
        <v>30</v>
      </c>
    </row>
    <row r="64" spans="2:7">
      <c r="B64" s="3600" t="s">
        <v>10732</v>
      </c>
    </row>
    <row r="65" spans="1:38">
      <c r="B65" s="5207" t="s">
        <v>354</v>
      </c>
      <c r="C65" s="5207"/>
      <c r="D65" s="5207"/>
      <c r="E65" s="5207"/>
      <c r="F65" s="4527" t="s">
        <v>10711</v>
      </c>
    </row>
    <row r="66" spans="1:38">
      <c r="B66" s="68" t="s">
        <v>6113</v>
      </c>
      <c r="C66" s="68"/>
      <c r="D66" s="68"/>
      <c r="E66" s="68"/>
      <c r="F66" s="4530">
        <v>0.5</v>
      </c>
    </row>
    <row r="68" spans="1:38">
      <c r="B68" s="3600" t="s">
        <v>10977</v>
      </c>
    </row>
    <row r="69" spans="1:38" ht="12" customHeight="1">
      <c r="B69" s="5207" t="s">
        <v>354</v>
      </c>
      <c r="C69" s="5207"/>
      <c r="D69" s="5207"/>
      <c r="E69" s="5207"/>
      <c r="F69" s="4527" t="s">
        <v>10711</v>
      </c>
    </row>
    <row r="70" spans="1:38">
      <c r="B70" s="1" t="s">
        <v>10978</v>
      </c>
      <c r="F70" s="4528">
        <v>2000</v>
      </c>
      <c r="G70" s="289"/>
    </row>
    <row r="71" spans="1:38">
      <c r="B71" s="1" t="s">
        <v>10990</v>
      </c>
      <c r="F71" s="4528">
        <f>100*1.1</f>
        <v>110.00000000000001</v>
      </c>
      <c r="G71" s="289"/>
    </row>
    <row r="72" spans="1:38">
      <c r="B72" s="1" t="s">
        <v>10980</v>
      </c>
      <c r="F72" s="4684">
        <v>0</v>
      </c>
      <c r="G72" s="289" t="s">
        <v>13548</v>
      </c>
    </row>
    <row r="73" spans="1:38">
      <c r="B73" s="68" t="s">
        <v>10979</v>
      </c>
      <c r="C73" s="68"/>
      <c r="D73" s="68"/>
      <c r="E73" s="68"/>
      <c r="F73" s="4534">
        <v>5</v>
      </c>
      <c r="G73" s="289" t="s">
        <v>10982</v>
      </c>
    </row>
    <row r="75" spans="1:38" s="3" customFormat="1">
      <c r="A75" s="20" t="s">
        <v>68</v>
      </c>
      <c r="B75" s="21" t="s">
        <v>10710</v>
      </c>
      <c r="C75" s="102"/>
      <c r="D75" s="102"/>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row>
    <row r="77" spans="1:38">
      <c r="B77" s="3600" t="s">
        <v>6118</v>
      </c>
    </row>
    <row r="78" spans="1:38" ht="12" customHeight="1">
      <c r="B78" s="4621" t="s">
        <v>354</v>
      </c>
      <c r="C78" s="4621"/>
      <c r="D78" s="4621"/>
      <c r="E78" s="4622" t="s">
        <v>10711</v>
      </c>
    </row>
    <row r="79" spans="1:38" ht="12" customHeight="1">
      <c r="B79" s="1" t="s">
        <v>6118</v>
      </c>
      <c r="E79" s="5167">
        <v>199999.978745</v>
      </c>
      <c r="F79" s="5169" t="s">
        <v>13550</v>
      </c>
    </row>
    <row r="80" spans="1:38" ht="12" customHeight="1">
      <c r="B80" s="2617" t="s">
        <v>10885</v>
      </c>
      <c r="E80" s="5167">
        <v>2070000</v>
      </c>
      <c r="F80" s="5169" t="s">
        <v>13549</v>
      </c>
    </row>
    <row r="81" spans="2:7" ht="12" customHeight="1">
      <c r="B81" s="2617" t="s">
        <v>10886</v>
      </c>
      <c r="E81" s="5167">
        <v>40085</v>
      </c>
      <c r="F81" s="5169" t="s">
        <v>13549</v>
      </c>
    </row>
    <row r="82" spans="2:7" ht="12" customHeight="1">
      <c r="B82" s="2617" t="s">
        <v>10887</v>
      </c>
      <c r="E82" s="5167">
        <f>SUM(E83:E84)</f>
        <v>4989397</v>
      </c>
      <c r="F82" s="5169" t="s">
        <v>13549</v>
      </c>
    </row>
    <row r="83" spans="2:7" ht="12" customHeight="1">
      <c r="B83" s="3602" t="s">
        <v>6119</v>
      </c>
      <c r="E83" s="5167">
        <v>2499684</v>
      </c>
      <c r="F83" s="5169" t="s">
        <v>13549</v>
      </c>
    </row>
    <row r="84" spans="2:7" ht="12" customHeight="1">
      <c r="B84" s="4535" t="s">
        <v>10751</v>
      </c>
      <c r="C84" s="68"/>
      <c r="D84" s="68"/>
      <c r="E84" s="5168">
        <v>2489713</v>
      </c>
      <c r="F84" s="5169" t="s">
        <v>13549</v>
      </c>
    </row>
    <row r="86" spans="2:7" ht="12" customHeight="1">
      <c r="B86" s="3600" t="s">
        <v>10733</v>
      </c>
    </row>
    <row r="87" spans="2:7" ht="12" customHeight="1">
      <c r="B87" s="5207" t="s">
        <v>354</v>
      </c>
      <c r="C87" s="5207"/>
      <c r="D87" s="5207"/>
      <c r="E87" s="4527" t="s">
        <v>10711</v>
      </c>
    </row>
    <row r="88" spans="2:7" ht="12" customHeight="1">
      <c r="B88" s="1" t="s">
        <v>10734</v>
      </c>
      <c r="E88" s="5170">
        <f>ROUND(E124*$F$10,)</f>
        <v>11616199</v>
      </c>
      <c r="F88" s="5169" t="s">
        <v>13549</v>
      </c>
      <c r="G88" s="5172"/>
    </row>
    <row r="89" spans="2:7" ht="12" customHeight="1">
      <c r="B89" s="1" t="s">
        <v>10735</v>
      </c>
      <c r="E89" s="5170">
        <v>40513</v>
      </c>
      <c r="F89" s="5169" t="s">
        <v>13549</v>
      </c>
    </row>
    <row r="90" spans="2:7" ht="12" customHeight="1">
      <c r="B90" s="2617" t="s">
        <v>10736</v>
      </c>
      <c r="E90" s="5170">
        <f>F9</f>
        <v>1890000</v>
      </c>
      <c r="F90" s="5169" t="s">
        <v>13549</v>
      </c>
    </row>
    <row r="91" spans="2:7" ht="12" customHeight="1">
      <c r="B91" s="2617" t="s">
        <v>10892</v>
      </c>
      <c r="E91" s="5170">
        <f>E124</f>
        <v>46651403</v>
      </c>
      <c r="F91" s="5169" t="s">
        <v>13549</v>
      </c>
    </row>
    <row r="92" spans="2:7" ht="12" customHeight="1">
      <c r="B92" s="2346" t="s">
        <v>10737</v>
      </c>
      <c r="C92" s="2346"/>
      <c r="D92" s="2346"/>
      <c r="E92" s="5171">
        <f>E89*E88/10^6</f>
        <v>470607.07008699997</v>
      </c>
      <c r="F92" s="5169" t="s">
        <v>13549</v>
      </c>
    </row>
    <row r="94" spans="2:7" ht="12" customHeight="1">
      <c r="B94" s="3600" t="s">
        <v>10738</v>
      </c>
    </row>
    <row r="95" spans="2:7" ht="12" customHeight="1">
      <c r="B95" s="5207" t="s">
        <v>354</v>
      </c>
      <c r="C95" s="5207"/>
      <c r="D95" s="5207"/>
      <c r="E95" s="4527" t="s">
        <v>10711</v>
      </c>
    </row>
    <row r="96" spans="2:7" ht="12" customHeight="1">
      <c r="B96" s="1" t="s">
        <v>10739</v>
      </c>
      <c r="E96" s="205">
        <f>E122</f>
        <v>23279087</v>
      </c>
    </row>
    <row r="97" spans="2:5" ht="12" customHeight="1">
      <c r="B97" s="1" t="s">
        <v>10740</v>
      </c>
      <c r="E97" s="205">
        <f>E98*10^6/E99</f>
        <v>40084.539365300545</v>
      </c>
    </row>
    <row r="98" spans="2:5" ht="12" customHeight="1">
      <c r="B98" s="2617" t="s">
        <v>10736</v>
      </c>
      <c r="E98" s="105">
        <f>F8</f>
        <v>1870000</v>
      </c>
    </row>
    <row r="99" spans="2:5" ht="12" customHeight="1">
      <c r="B99" s="3603" t="s">
        <v>10892</v>
      </c>
      <c r="C99" s="68"/>
      <c r="D99" s="68"/>
      <c r="E99" s="208">
        <f>E124</f>
        <v>46651403</v>
      </c>
    </row>
    <row r="100" spans="2:5" ht="12" customHeight="1">
      <c r="B100" s="68" t="s">
        <v>10741</v>
      </c>
      <c r="C100" s="68"/>
      <c r="D100" s="68"/>
      <c r="E100" s="208">
        <f>E97*E96/10^6</f>
        <v>933131.47923975624</v>
      </c>
    </row>
    <row r="102" spans="2:5" ht="12" customHeight="1">
      <c r="B102" s="3600" t="s">
        <v>10742</v>
      </c>
    </row>
    <row r="103" spans="2:5" ht="12" customHeight="1">
      <c r="B103" s="5207" t="s">
        <v>354</v>
      </c>
      <c r="C103" s="5207"/>
      <c r="D103" s="5207"/>
      <c r="E103" s="4527" t="s">
        <v>10711</v>
      </c>
    </row>
    <row r="104" spans="2:5" ht="12" customHeight="1">
      <c r="B104" s="1" t="s">
        <v>10737</v>
      </c>
      <c r="E104" s="205">
        <f>E92</f>
        <v>470607.07008699997</v>
      </c>
    </row>
    <row r="105" spans="2:5" ht="12" customHeight="1">
      <c r="B105" s="2617" t="s">
        <v>10743</v>
      </c>
      <c r="E105" s="205">
        <f>IF($F$27="O",MIN(258800,E104*F28),)</f>
        <v>253657.21077689301</v>
      </c>
    </row>
    <row r="106" spans="2:5" ht="12" customHeight="1">
      <c r="B106" s="2617" t="s">
        <v>10744</v>
      </c>
      <c r="E106" s="205">
        <f>E104-E105</f>
        <v>216949.85931010696</v>
      </c>
    </row>
    <row r="107" spans="2:5" ht="12" customHeight="1">
      <c r="B107" s="3602" t="s">
        <v>10893</v>
      </c>
      <c r="E107" s="205">
        <f>E106-E109-E108</f>
        <v>107346.53043910774</v>
      </c>
    </row>
    <row r="108" spans="2:5" ht="12" customHeight="1">
      <c r="B108" s="3602" t="s">
        <v>10895</v>
      </c>
      <c r="E108" s="4770">
        <v>39000</v>
      </c>
    </row>
    <row r="109" spans="2:5" ht="12" customHeight="1">
      <c r="B109" s="4535" t="s">
        <v>10894</v>
      </c>
      <c r="C109" s="68"/>
      <c r="D109" s="68"/>
      <c r="E109" s="4771">
        <v>70603.328870999219</v>
      </c>
    </row>
    <row r="111" spans="2:5" ht="12" customHeight="1">
      <c r="B111" s="3600" t="s">
        <v>10775</v>
      </c>
    </row>
    <row r="112" spans="2:5" ht="12" customHeight="1">
      <c r="B112" s="5207" t="s">
        <v>354</v>
      </c>
      <c r="C112" s="5207"/>
      <c r="D112" s="5207"/>
      <c r="E112" s="4527" t="s">
        <v>10711</v>
      </c>
    </row>
    <row r="113" spans="2:11" ht="12" customHeight="1">
      <c r="B113" s="1" t="s">
        <v>10745</v>
      </c>
      <c r="E113" s="205">
        <f>HLOOKUP(YEAR(F14)-1,$E$127:$K$130,2,FALSE)</f>
        <v>294123.81833308091</v>
      </c>
    </row>
    <row r="114" spans="2:11" ht="12" customHeight="1">
      <c r="B114" s="1" t="s">
        <v>10746</v>
      </c>
      <c r="E114" s="4536">
        <f>F15</f>
        <v>12.019083989820444</v>
      </c>
    </row>
    <row r="115" spans="2:11" ht="12" customHeight="1">
      <c r="B115" s="1" t="s">
        <v>10747</v>
      </c>
      <c r="E115" s="76">
        <f>F16</f>
        <v>0.193</v>
      </c>
    </row>
    <row r="116" spans="2:11" ht="12" customHeight="1">
      <c r="B116" s="68" t="s">
        <v>10748</v>
      </c>
      <c r="C116" s="68"/>
      <c r="D116" s="68"/>
      <c r="E116" s="208">
        <f>E113*E114*(1-E115)</f>
        <v>2852824.7928932551</v>
      </c>
      <c r="F116" s="73">
        <f>E116*10^6/I124</f>
        <v>61151.961343869021</v>
      </c>
      <c r="G116" s="76">
        <f>(E105+E92*F29)/(E116*24.9%)</f>
        <v>0.39021080866084418</v>
      </c>
    </row>
    <row r="118" spans="2:11" ht="12" customHeight="1">
      <c r="B118" s="3600" t="s">
        <v>10749</v>
      </c>
    </row>
    <row r="119" spans="2:11" ht="12" customHeight="1">
      <c r="B119" s="5210" t="s">
        <v>1503</v>
      </c>
      <c r="C119" s="5207" t="s">
        <v>10888</v>
      </c>
      <c r="D119" s="5207"/>
      <c r="E119" s="5207" t="s">
        <v>10889</v>
      </c>
      <c r="F119" s="5207"/>
      <c r="G119" s="5207" t="s">
        <v>10890</v>
      </c>
      <c r="H119" s="5207"/>
      <c r="I119" s="5158" t="s">
        <v>10891</v>
      </c>
      <c r="J119" s="5158"/>
    </row>
    <row r="120" spans="2:11" ht="12" customHeight="1">
      <c r="B120" s="5209"/>
      <c r="C120" s="4527" t="s">
        <v>10750</v>
      </c>
      <c r="D120" s="4527" t="s">
        <v>6735</v>
      </c>
      <c r="E120" s="4527" t="s">
        <v>10750</v>
      </c>
      <c r="F120" s="4527" t="s">
        <v>6735</v>
      </c>
      <c r="G120" s="4527" t="s">
        <v>10750</v>
      </c>
      <c r="H120" s="4527" t="s">
        <v>6735</v>
      </c>
      <c r="I120" s="4527" t="s">
        <v>10750</v>
      </c>
      <c r="J120" s="4527" t="s">
        <v>6735</v>
      </c>
    </row>
    <row r="121" spans="2:11" ht="12" customHeight="1">
      <c r="B121" s="210" t="s">
        <v>6119</v>
      </c>
      <c r="C121" s="205">
        <v>25872000</v>
      </c>
      <c r="D121" s="87">
        <f>C121/$C$124</f>
        <v>0.50099920992703439</v>
      </c>
      <c r="E121" s="205">
        <f>C121-E83</f>
        <v>23372316</v>
      </c>
      <c r="F121" s="87">
        <f>E121/$E$124</f>
        <v>0.50099920896269723</v>
      </c>
      <c r="G121" s="205">
        <f>E121+E122</f>
        <v>46651403</v>
      </c>
      <c r="H121" s="87">
        <f>G121/$G$124</f>
        <v>1</v>
      </c>
      <c r="I121" s="205">
        <f>G121-I123</f>
        <v>35035204</v>
      </c>
      <c r="J121" s="87">
        <f>I121/$I$124</f>
        <v>0.7510000074381471</v>
      </c>
    </row>
    <row r="122" spans="2:11" ht="12" customHeight="1">
      <c r="B122" s="210" t="s">
        <v>10751</v>
      </c>
      <c r="C122" s="205">
        <v>25768800</v>
      </c>
      <c r="D122" s="87">
        <f t="shared" ref="D122:D123" si="2">C122/$C$124</f>
        <v>0.49900079007296555</v>
      </c>
      <c r="E122" s="205">
        <f t="shared" ref="E122" si="3">C122-E84</f>
        <v>23279087</v>
      </c>
      <c r="F122" s="87">
        <f>E122/$E$124</f>
        <v>0.49900079103730277</v>
      </c>
      <c r="G122" s="205">
        <v>0</v>
      </c>
      <c r="H122" s="87">
        <f>G122/$G$124</f>
        <v>0</v>
      </c>
      <c r="I122" s="205">
        <v>0</v>
      </c>
      <c r="J122" s="87">
        <f>I122/$I$124</f>
        <v>0</v>
      </c>
    </row>
    <row r="123" spans="2:11" ht="12" customHeight="1">
      <c r="B123" s="212" t="s">
        <v>10752</v>
      </c>
      <c r="C123" s="208">
        <v>0</v>
      </c>
      <c r="D123" s="4537">
        <f t="shared" si="2"/>
        <v>0</v>
      </c>
      <c r="E123" s="208">
        <v>0</v>
      </c>
      <c r="F123" s="4537">
        <f>E123/$E$124</f>
        <v>0</v>
      </c>
      <c r="G123" s="208">
        <v>0</v>
      </c>
      <c r="H123" s="4537">
        <f>G123/$G$124</f>
        <v>0</v>
      </c>
      <c r="I123" s="208">
        <f>E88</f>
        <v>11616199</v>
      </c>
      <c r="J123" s="4537">
        <f>I123/$I$124</f>
        <v>0.24899999256185285</v>
      </c>
    </row>
    <row r="124" spans="2:11" ht="12" customHeight="1">
      <c r="B124" s="212" t="s">
        <v>55</v>
      </c>
      <c r="C124" s="208">
        <f>SUM(C121:C123)</f>
        <v>51640800</v>
      </c>
      <c r="D124" s="4537"/>
      <c r="E124" s="208">
        <f>SUM(E121:E123)</f>
        <v>46651403</v>
      </c>
      <c r="F124" s="4537"/>
      <c r="G124" s="208">
        <f>SUM(G121:G123)</f>
        <v>46651403</v>
      </c>
      <c r="H124" s="4537"/>
      <c r="I124" s="208">
        <f>SUM(I121:I123)</f>
        <v>46651403</v>
      </c>
      <c r="J124" s="4537"/>
    </row>
    <row r="126" spans="2:11" ht="12" customHeight="1">
      <c r="B126" s="3600" t="s">
        <v>10753</v>
      </c>
    </row>
    <row r="127" spans="2:11" ht="12" customHeight="1">
      <c r="B127" s="5212" t="s">
        <v>354</v>
      </c>
      <c r="C127" s="5212"/>
      <c r="D127" s="5212"/>
      <c r="E127" s="4538">
        <v>2022</v>
      </c>
      <c r="F127" s="4538">
        <v>2023</v>
      </c>
      <c r="G127" s="4538">
        <v>2024</v>
      </c>
      <c r="H127" s="4538">
        <v>2025</v>
      </c>
      <c r="I127" s="4538">
        <v>2026</v>
      </c>
      <c r="J127" s="4538">
        <v>2027</v>
      </c>
      <c r="K127" s="4538">
        <v>2028</v>
      </c>
    </row>
    <row r="128" spans="2:11" ht="12" customHeight="1">
      <c r="B128" s="1" t="s">
        <v>10754</v>
      </c>
      <c r="E128" s="205">
        <f>Proforma!P51</f>
        <v>277432.36668369954</v>
      </c>
      <c r="F128" s="205">
        <f>Proforma!Q51</f>
        <v>282278.87117985124</v>
      </c>
      <c r="G128" s="205">
        <f>Proforma!R51</f>
        <v>294123.81833308091</v>
      </c>
      <c r="H128" s="205">
        <f>Proforma!S51</f>
        <v>296130.10786238441</v>
      </c>
      <c r="I128" s="205">
        <f>Proforma!T51</f>
        <v>265962.9211637784</v>
      </c>
      <c r="J128" s="205">
        <f>I128</f>
        <v>265962.9211637784</v>
      </c>
      <c r="K128" s="205">
        <f t="shared" ref="K128" si="4">J128</f>
        <v>265962.9211637784</v>
      </c>
    </row>
    <row r="129" spans="1:38" ht="12" customHeight="1">
      <c r="B129" s="1" t="s">
        <v>10755</v>
      </c>
      <c r="E129" s="205"/>
      <c r="F129" s="4539">
        <v>45016</v>
      </c>
      <c r="G129" s="4539">
        <f>EOMONTH(F129,12)</f>
        <v>45382</v>
      </c>
      <c r="H129" s="4539">
        <f>EOMONTH(G129,12)</f>
        <v>45747</v>
      </c>
      <c r="I129" s="4539">
        <f>EOMONTH(H129,12)</f>
        <v>46112</v>
      </c>
      <c r="J129" s="4539">
        <f>EOMONTH(I129,12)</f>
        <v>46477</v>
      </c>
      <c r="K129" s="4539">
        <f>EOMONTH(J129,12)</f>
        <v>46843</v>
      </c>
    </row>
    <row r="130" spans="1:38" ht="12" customHeight="1">
      <c r="B130" s="68" t="s">
        <v>10756</v>
      </c>
      <c r="C130" s="68"/>
      <c r="D130" s="68"/>
      <c r="E130" s="68"/>
      <c r="F130" s="208">
        <f>E128*$F$66</f>
        <v>138716.18334184977</v>
      </c>
      <c r="G130" s="208">
        <f>F128*$F$66</f>
        <v>141139.43558992562</v>
      </c>
      <c r="H130" s="208">
        <f t="shared" ref="H130:K130" si="5">G128*$F$66</f>
        <v>147061.90916654046</v>
      </c>
      <c r="I130" s="208">
        <f>H128*$F$66</f>
        <v>148065.0539311922</v>
      </c>
      <c r="J130" s="208">
        <f t="shared" si="5"/>
        <v>132981.4605818892</v>
      </c>
      <c r="K130" s="208">
        <f t="shared" si="5"/>
        <v>132981.4605818892</v>
      </c>
    </row>
    <row r="132" spans="1:38" s="3" customFormat="1" ht="12" customHeight="1">
      <c r="A132" s="20" t="s">
        <v>77</v>
      </c>
      <c r="B132" s="21" t="s">
        <v>10757</v>
      </c>
      <c r="C132" s="102"/>
      <c r="D132" s="102"/>
      <c r="E132" s="102"/>
      <c r="F132" s="102"/>
      <c r="G132" s="102"/>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c r="AL132" s="102"/>
    </row>
    <row r="134" spans="1:38" ht="12" customHeight="1">
      <c r="B134" s="3600" t="s">
        <v>11041</v>
      </c>
    </row>
    <row r="135" spans="1:38" ht="12" customHeight="1">
      <c r="B135" s="5212" t="s">
        <v>354</v>
      </c>
      <c r="C135" s="5212"/>
      <c r="D135" s="5212"/>
      <c r="E135" s="4538" t="s">
        <v>3026</v>
      </c>
    </row>
    <row r="136" spans="1:38" ht="12" customHeight="1">
      <c r="B136" s="32" t="s">
        <v>11042</v>
      </c>
      <c r="C136" s="32"/>
      <c r="D136" s="32"/>
      <c r="E136" s="4765">
        <f>E138/E137</f>
        <v>4.3195223189041698</v>
      </c>
    </row>
    <row r="137" spans="1:38" ht="12" customHeight="1">
      <c r="B137" s="2617" t="s">
        <v>11043</v>
      </c>
      <c r="E137" s="205">
        <f>Proforma!O53</f>
        <v>437140.87006200076</v>
      </c>
    </row>
    <row r="138" spans="1:38" ht="12" customHeight="1">
      <c r="B138" s="2617" t="s">
        <v>11045</v>
      </c>
      <c r="E138" s="205">
        <f>E139+E140</f>
        <v>1888239.744738</v>
      </c>
    </row>
    <row r="139" spans="1:38" ht="12" customHeight="1">
      <c r="B139" s="3602" t="s">
        <v>11044</v>
      </c>
      <c r="E139" s="205">
        <f>F9</f>
        <v>1890000</v>
      </c>
    </row>
    <row r="140" spans="1:38" ht="12" customHeight="1">
      <c r="B140" s="3602" t="s">
        <v>11048</v>
      </c>
      <c r="E140" s="205">
        <f>E143-E141-E142</f>
        <v>-1760.255261999911</v>
      </c>
    </row>
    <row r="141" spans="1:38" ht="12" customHeight="1">
      <c r="B141" s="4763" t="s">
        <v>3580</v>
      </c>
      <c r="E141" s="205">
        <f>13000000000/10^6</f>
        <v>13000</v>
      </c>
    </row>
    <row r="142" spans="1:38" ht="12" customHeight="1">
      <c r="B142" s="4763" t="s">
        <v>11046</v>
      </c>
      <c r="E142" s="205">
        <f>(427994092+2207399758)/10^6</f>
        <v>2635.3938499999999</v>
      </c>
    </row>
    <row r="143" spans="1:38" ht="12" customHeight="1">
      <c r="B143" s="4764" t="s">
        <v>11047</v>
      </c>
      <c r="C143" s="68"/>
      <c r="D143" s="68"/>
      <c r="E143" s="208">
        <f>(1057988138588+1400000000)/10^6-1045513</f>
        <v>13875.138588000089</v>
      </c>
    </row>
    <row r="144" spans="1:38" ht="12" customHeight="1">
      <c r="B144" s="32" t="s">
        <v>11049</v>
      </c>
      <c r="C144" s="32"/>
      <c r="D144" s="32"/>
      <c r="E144" s="4765">
        <f>E146/E145</f>
        <v>8.2428344500121984</v>
      </c>
    </row>
    <row r="145" spans="2:30" ht="12" customHeight="1">
      <c r="B145" s="2617" t="s">
        <v>11050</v>
      </c>
      <c r="E145" s="205">
        <f>Proforma!O51</f>
        <v>229290.05931900075</v>
      </c>
    </row>
    <row r="146" spans="2:30" ht="12" customHeight="1">
      <c r="B146" s="3603" t="s">
        <v>11044</v>
      </c>
      <c r="C146" s="68"/>
      <c r="D146" s="68"/>
      <c r="E146" s="208">
        <f>E139</f>
        <v>1890000</v>
      </c>
    </row>
    <row r="148" spans="2:30" ht="12" customHeight="1">
      <c r="B148" s="3600" t="s">
        <v>10758</v>
      </c>
      <c r="O148" s="4772" t="s">
        <v>10906</v>
      </c>
    </row>
    <row r="149" spans="2:30" ht="12" customHeight="1">
      <c r="B149" s="5212" t="s">
        <v>354</v>
      </c>
      <c r="C149" s="5212"/>
      <c r="D149" s="5212"/>
      <c r="E149" s="4538">
        <v>2022</v>
      </c>
      <c r="F149" s="4538">
        <v>2023</v>
      </c>
      <c r="G149" s="4538">
        <v>2024</v>
      </c>
      <c r="H149" s="4538">
        <v>2025</v>
      </c>
      <c r="I149" s="4538">
        <v>2026</v>
      </c>
      <c r="J149" s="4538">
        <v>2027</v>
      </c>
      <c r="K149" s="4538">
        <v>2028</v>
      </c>
      <c r="O149" s="4703"/>
      <c r="P149" s="4703"/>
      <c r="Q149" s="4799" t="s">
        <v>10791</v>
      </c>
      <c r="R149" s="4799"/>
      <c r="S149" s="4799"/>
      <c r="T149" s="4799"/>
      <c r="U149" s="4799"/>
      <c r="X149" s="5218" t="s">
        <v>13552</v>
      </c>
      <c r="Y149" s="5219"/>
      <c r="Z149" s="5222" t="s">
        <v>13553</v>
      </c>
      <c r="AA149" s="5223"/>
      <c r="AB149" s="5223"/>
      <c r="AC149" s="5223"/>
      <c r="AD149" s="5223"/>
    </row>
    <row r="150" spans="2:30" ht="12" customHeight="1">
      <c r="B150" s="32" t="s">
        <v>6127</v>
      </c>
      <c r="E150" s="112">
        <f t="shared" ref="E150:J150" ca="1" si="6">SUM(E151:E156)</f>
        <v>483503.46944935061</v>
      </c>
      <c r="F150" s="112">
        <f t="shared" ca="1" si="6"/>
        <v>13759.860225448529</v>
      </c>
      <c r="G150" s="112">
        <f t="shared" ca="1" si="6"/>
        <v>13907.805505398177</v>
      </c>
      <c r="H150" s="112">
        <f t="shared" ca="1" si="6"/>
        <v>746973.43316595699</v>
      </c>
      <c r="I150" s="112">
        <f t="shared" ca="1" si="6"/>
        <v>0</v>
      </c>
      <c r="J150" s="112">
        <f t="shared" ca="1" si="6"/>
        <v>0</v>
      </c>
      <c r="K150" s="112">
        <f t="shared" ref="K150" ca="1" si="7">SUM(K151:K156)</f>
        <v>0</v>
      </c>
      <c r="P150" s="4773">
        <f ca="1">$E$172</f>
        <v>0.29520279765129098</v>
      </c>
      <c r="Q150" s="4775">
        <f>R150-1</f>
        <v>10.019083989820444</v>
      </c>
      <c r="R150" s="4775">
        <f>S150-1</f>
        <v>11.019083989820444</v>
      </c>
      <c r="S150" s="4775">
        <f>IRR_Backup!D95</f>
        <v>12.019083989820444</v>
      </c>
      <c r="T150" s="4775">
        <f>S150+1</f>
        <v>13.019083989820444</v>
      </c>
      <c r="U150" s="4775">
        <f>T150+1</f>
        <v>14.019083989820444</v>
      </c>
      <c r="X150" s="5220"/>
      <c r="Y150" s="5221"/>
      <c r="Z150" s="5173" t="s">
        <v>13554</v>
      </c>
      <c r="AA150" s="5174" t="s">
        <v>13555</v>
      </c>
      <c r="AB150" s="5174" t="s">
        <v>13556</v>
      </c>
      <c r="AC150" s="5174" t="s">
        <v>13557</v>
      </c>
      <c r="AD150" s="5175" t="s">
        <v>13558</v>
      </c>
    </row>
    <row r="151" spans="2:30" ht="12" customHeight="1">
      <c r="B151" s="2617" t="s">
        <v>10759</v>
      </c>
      <c r="E151" s="205">
        <f t="shared" ref="E151:K151" si="8">SUMIFS($C$241:$C$313,$A$241:$A$313,E$149)</f>
        <v>216949.85931010696</v>
      </c>
      <c r="F151" s="205">
        <f t="shared" si="8"/>
        <v>0</v>
      </c>
      <c r="G151" s="205">
        <f t="shared" si="8"/>
        <v>0</v>
      </c>
      <c r="H151" s="205">
        <f t="shared" si="8"/>
        <v>0</v>
      </c>
      <c r="I151" s="205">
        <f t="shared" si="8"/>
        <v>0</v>
      </c>
      <c r="J151" s="205">
        <f t="shared" si="8"/>
        <v>0</v>
      </c>
      <c r="K151" s="205">
        <f t="shared" si="8"/>
        <v>0</v>
      </c>
      <c r="O151" s="5215" t="s">
        <v>10716</v>
      </c>
      <c r="P151" s="4774">
        <v>45838</v>
      </c>
      <c r="Q151" s="4804">
        <f t="dataTable" ref="Q151:U159" dt2D="1" dtr="1" r1="F15" r2="F14" ca="1"/>
        <v>0.29520279765129098</v>
      </c>
      <c r="R151" s="4801">
        <v>0.29520279765129098</v>
      </c>
      <c r="S151" s="4809">
        <v>0.29520279765129098</v>
      </c>
      <c r="T151" s="4801">
        <v>0.29520279765129098</v>
      </c>
      <c r="U151" s="4800">
        <v>0.29520279765129098</v>
      </c>
      <c r="X151" s="5176" t="s">
        <v>13559</v>
      </c>
      <c r="Y151" s="5180" t="s">
        <v>13561</v>
      </c>
      <c r="Z151" s="5183">
        <f>Q151</f>
        <v>0.29520279765129098</v>
      </c>
      <c r="AA151" s="5184">
        <f t="shared" ref="AA151:AD151" si="9">R151</f>
        <v>0.29520279765129098</v>
      </c>
      <c r="AB151" s="5185">
        <f t="shared" si="9"/>
        <v>0.29520279765129098</v>
      </c>
      <c r="AC151" s="5184">
        <f t="shared" si="9"/>
        <v>0.29520279765129098</v>
      </c>
      <c r="AD151" s="5186">
        <f t="shared" si="9"/>
        <v>0.29520279765129098</v>
      </c>
    </row>
    <row r="152" spans="2:30" ht="12" customHeight="1">
      <c r="B152" s="2617" t="s">
        <v>6020</v>
      </c>
      <c r="E152" s="205">
        <f t="shared" ref="E152:K152" si="10">SUMIFS($D$241:$D$313,$A$241:$A$313,E$149)</f>
        <v>253657.21077689301</v>
      </c>
      <c r="F152" s="205">
        <f t="shared" si="10"/>
        <v>0</v>
      </c>
      <c r="G152" s="205">
        <f t="shared" si="10"/>
        <v>0</v>
      </c>
      <c r="H152" s="205">
        <f t="shared" si="10"/>
        <v>0</v>
      </c>
      <c r="I152" s="205">
        <f t="shared" si="10"/>
        <v>0</v>
      </c>
      <c r="J152" s="205">
        <f t="shared" si="10"/>
        <v>0</v>
      </c>
      <c r="K152" s="205">
        <f t="shared" si="10"/>
        <v>0</v>
      </c>
      <c r="O152" s="5215"/>
      <c r="P152" s="4774">
        <f t="shared" ref="P152:P159" si="11">EOMONTH(P151,3)</f>
        <v>45930</v>
      </c>
      <c r="Q152" s="4805">
        <v>0.29520279765129098</v>
      </c>
      <c r="R152" s="4803">
        <v>0.29520279765129098</v>
      </c>
      <c r="S152" s="4803">
        <v>0.29520279765129098</v>
      </c>
      <c r="T152" s="4803">
        <v>0.29520279765129098</v>
      </c>
      <c r="U152" s="4802">
        <v>0.29520279765129098</v>
      </c>
      <c r="X152" s="5177" t="s">
        <v>13560</v>
      </c>
      <c r="Y152" s="5181" t="s">
        <v>13562</v>
      </c>
      <c r="Z152" s="5187">
        <f>Q153</f>
        <v>0.29520279765129098</v>
      </c>
      <c r="AA152" s="5188">
        <f t="shared" ref="AA152:AD152" si="12">R153</f>
        <v>0.29520279765129098</v>
      </c>
      <c r="AB152" s="5189">
        <f t="shared" si="12"/>
        <v>0.29520279765129098</v>
      </c>
      <c r="AC152" s="5188">
        <f t="shared" si="12"/>
        <v>0.29520279765129098</v>
      </c>
      <c r="AD152" s="5190">
        <f t="shared" si="12"/>
        <v>0.29520279765129098</v>
      </c>
    </row>
    <row r="153" spans="2:30" ht="12" customHeight="1">
      <c r="B153" s="2617" t="s">
        <v>6021</v>
      </c>
      <c r="E153" s="205">
        <f t="shared" ref="E153:K153" ca="1" si="13">SUMIFS($H$241:$H$313,$A$241:$A$313,E$149)</f>
        <v>6965.4609448158517</v>
      </c>
      <c r="F153" s="205">
        <f t="shared" ca="1" si="13"/>
        <v>1994.6834732735283</v>
      </c>
      <c r="G153" s="205">
        <f t="shared" ca="1" si="13"/>
        <v>6042.8654299716018</v>
      </c>
      <c r="H153" s="205">
        <f t="shared" ca="1" si="13"/>
        <v>1.6666666666666667</v>
      </c>
      <c r="I153" s="205">
        <f t="shared" ca="1" si="13"/>
        <v>0</v>
      </c>
      <c r="J153" s="205">
        <f t="shared" ca="1" si="13"/>
        <v>0</v>
      </c>
      <c r="K153" s="205">
        <f t="shared" ca="1" si="13"/>
        <v>0</v>
      </c>
      <c r="O153" s="5215"/>
      <c r="P153" s="4774">
        <f t="shared" si="11"/>
        <v>46022</v>
      </c>
      <c r="Q153" s="4805">
        <v>0.29520279765129098</v>
      </c>
      <c r="R153" s="4802">
        <v>0.29520279765129098</v>
      </c>
      <c r="S153" s="4802">
        <v>0.29520279765129098</v>
      </c>
      <c r="T153" s="4802">
        <v>0.29520279765129098</v>
      </c>
      <c r="U153" s="4802">
        <v>0.29520279765129098</v>
      </c>
      <c r="X153" s="5178"/>
      <c r="Y153" s="5181" t="s">
        <v>13563</v>
      </c>
      <c r="Z153" s="5187">
        <f>Q155</f>
        <v>0.29520279765129098</v>
      </c>
      <c r="AA153" s="5188">
        <f t="shared" ref="AA153:AD153" si="14">R155</f>
        <v>0.29520279765129098</v>
      </c>
      <c r="AB153" s="5188">
        <f t="shared" si="14"/>
        <v>0.29520279765129098</v>
      </c>
      <c r="AC153" s="5188">
        <f t="shared" si="14"/>
        <v>0.29520279765129098</v>
      </c>
      <c r="AD153" s="5190">
        <f t="shared" si="14"/>
        <v>0.29520279765129098</v>
      </c>
    </row>
    <row r="154" spans="2:30" ht="12" customHeight="1">
      <c r="B154" s="2617" t="s">
        <v>10760</v>
      </c>
      <c r="E154" s="205">
        <f t="shared" ref="E154:K154" si="15">SUMIFS($E$241:$E$313,$A$241:$A$313,E$149)</f>
        <v>5930.938417534795</v>
      </c>
      <c r="F154" s="205">
        <f t="shared" si="15"/>
        <v>11765.176752175001</v>
      </c>
      <c r="G154" s="205">
        <f t="shared" si="15"/>
        <v>7864.9400754265762</v>
      </c>
      <c r="H154" s="205">
        <f t="shared" si="15"/>
        <v>0</v>
      </c>
      <c r="I154" s="205">
        <f t="shared" si="15"/>
        <v>0</v>
      </c>
      <c r="J154" s="205">
        <f t="shared" si="15"/>
        <v>0</v>
      </c>
      <c r="K154" s="205">
        <f t="shared" si="15"/>
        <v>0</v>
      </c>
      <c r="O154" s="5215"/>
      <c r="P154" s="4774">
        <f t="shared" si="11"/>
        <v>46112</v>
      </c>
      <c r="Q154" s="4806">
        <v>0.29520279765129098</v>
      </c>
      <c r="R154" s="2631">
        <v>0.29520279765129098</v>
      </c>
      <c r="S154" s="2631">
        <v>0.29520279765129098</v>
      </c>
      <c r="T154" s="2631">
        <v>0.29520279765129098</v>
      </c>
      <c r="U154" s="2631">
        <v>0.29520279765129098</v>
      </c>
      <c r="X154" s="5178"/>
      <c r="Y154" s="5181" t="s">
        <v>13564</v>
      </c>
      <c r="Z154" s="5187">
        <f>Q157</f>
        <v>0.29520279765129098</v>
      </c>
      <c r="AA154" s="5188">
        <f t="shared" ref="AA154:AD154" si="16">R157</f>
        <v>0.29520279765129098</v>
      </c>
      <c r="AB154" s="5188">
        <f t="shared" si="16"/>
        <v>0.29520279765129098</v>
      </c>
      <c r="AC154" s="5188">
        <f t="shared" si="16"/>
        <v>0.29520279765129098</v>
      </c>
      <c r="AD154" s="5190">
        <f t="shared" si="16"/>
        <v>0.29520279765129098</v>
      </c>
    </row>
    <row r="155" spans="2:30" ht="12" customHeight="1">
      <c r="B155" s="2617" t="s">
        <v>6023</v>
      </c>
      <c r="E155" s="205">
        <f t="shared" ref="E155:K155" si="17">SUMIFS($F$241:$F$313,$A$241:$A$313,E$149)</f>
        <v>0</v>
      </c>
      <c r="F155" s="205">
        <f t="shared" si="17"/>
        <v>0</v>
      </c>
      <c r="G155" s="205">
        <f t="shared" si="17"/>
        <v>0</v>
      </c>
      <c r="H155" s="205">
        <f t="shared" si="17"/>
        <v>36618.414288600456</v>
      </c>
      <c r="I155" s="205">
        <f t="shared" si="17"/>
        <v>0</v>
      </c>
      <c r="J155" s="205">
        <f t="shared" si="17"/>
        <v>0</v>
      </c>
      <c r="K155" s="205">
        <f t="shared" si="17"/>
        <v>0</v>
      </c>
      <c r="O155" s="5215"/>
      <c r="P155" s="4774">
        <f t="shared" si="11"/>
        <v>46203</v>
      </c>
      <c r="Q155" s="4806">
        <v>0.29520279765129098</v>
      </c>
      <c r="R155" s="2631">
        <v>0.29520279765129098</v>
      </c>
      <c r="S155" s="2631">
        <v>0.29520279765129098</v>
      </c>
      <c r="T155" s="2631">
        <v>0.29520279765129098</v>
      </c>
      <c r="U155" s="2631">
        <v>0.29520279765129098</v>
      </c>
      <c r="X155" s="5179"/>
      <c r="Y155" s="5182" t="s">
        <v>13565</v>
      </c>
      <c r="Z155" s="5191">
        <f>Q159</f>
        <v>0.29520279765129098</v>
      </c>
      <c r="AA155" s="5192">
        <f t="shared" ref="AA155:AD155" si="18">R159</f>
        <v>0.29520279765129098</v>
      </c>
      <c r="AB155" s="5192">
        <f t="shared" si="18"/>
        <v>0.29520279765129098</v>
      </c>
      <c r="AC155" s="5192">
        <f t="shared" si="18"/>
        <v>0.29520279765129098</v>
      </c>
      <c r="AD155" s="5193">
        <f t="shared" si="18"/>
        <v>0.29520279765129098</v>
      </c>
    </row>
    <row r="156" spans="2:30" ht="12" customHeight="1">
      <c r="B156" s="2617" t="s">
        <v>10987</v>
      </c>
      <c r="E156" s="205">
        <f t="shared" ref="E156:K156" si="19">SUMIFS($G$241:$G$313,$A$241:$A$313,E$149)</f>
        <v>0</v>
      </c>
      <c r="F156" s="205">
        <f t="shared" si="19"/>
        <v>0</v>
      </c>
      <c r="G156" s="205">
        <f t="shared" si="19"/>
        <v>0</v>
      </c>
      <c r="H156" s="205">
        <f t="shared" si="19"/>
        <v>710353.35221068992</v>
      </c>
      <c r="I156" s="205">
        <f t="shared" si="19"/>
        <v>0</v>
      </c>
      <c r="J156" s="205">
        <f t="shared" si="19"/>
        <v>0</v>
      </c>
      <c r="K156" s="205">
        <f t="shared" si="19"/>
        <v>0</v>
      </c>
      <c r="O156" s="5215"/>
      <c r="P156" s="4774">
        <f t="shared" si="11"/>
        <v>46295</v>
      </c>
      <c r="Q156" s="4806">
        <v>0.29520279765129098</v>
      </c>
      <c r="R156" s="2631">
        <v>0.29520279765129098</v>
      </c>
      <c r="S156" s="2631">
        <v>0.29520279765129098</v>
      </c>
      <c r="T156" s="2631">
        <v>0.29520279765129098</v>
      </c>
      <c r="U156" s="2631">
        <v>0.29520279765129098</v>
      </c>
    </row>
    <row r="157" spans="2:30" ht="12" customHeight="1">
      <c r="B157" s="32" t="s">
        <v>6136</v>
      </c>
      <c r="E157" s="112">
        <f t="shared" ref="E157:J157" ca="1" si="20">SUM(E158:E170)</f>
        <v>-483503.46944935061</v>
      </c>
      <c r="F157" s="112">
        <f t="shared" ca="1" si="20"/>
        <v>-13759.860225448529</v>
      </c>
      <c r="G157" s="112">
        <f t="shared" ca="1" si="20"/>
        <v>-13907.805505398177</v>
      </c>
      <c r="H157" s="112">
        <f t="shared" ca="1" si="20"/>
        <v>-746973.4331659571</v>
      </c>
      <c r="I157" s="112">
        <f t="shared" ca="1" si="20"/>
        <v>0</v>
      </c>
      <c r="J157" s="112">
        <f t="shared" ca="1" si="20"/>
        <v>0</v>
      </c>
      <c r="K157" s="112">
        <f t="shared" ref="K157" ca="1" si="21">SUM(K158:K170)</f>
        <v>0</v>
      </c>
      <c r="O157" s="5215"/>
      <c r="P157" s="4774">
        <f t="shared" si="11"/>
        <v>46387</v>
      </c>
      <c r="Q157" s="4806">
        <v>0.29520279765129098</v>
      </c>
      <c r="R157" s="2631">
        <v>0.29520279765129098</v>
      </c>
      <c r="S157" s="2631">
        <v>0.29520279765129098</v>
      </c>
      <c r="T157" s="2631">
        <v>0.29520279765129098</v>
      </c>
      <c r="U157" s="2631">
        <v>0.29520279765129098</v>
      </c>
      <c r="X157" s="5218" t="s">
        <v>13566</v>
      </c>
      <c r="Y157" s="5219"/>
      <c r="Z157" s="5222" t="s">
        <v>13553</v>
      </c>
      <c r="AA157" s="5223"/>
      <c r="AB157" s="5223"/>
      <c r="AC157" s="5223"/>
      <c r="AD157" s="5223"/>
    </row>
    <row r="158" spans="2:30" ht="12" customHeight="1">
      <c r="B158" s="2617" t="s">
        <v>10761</v>
      </c>
      <c r="E158" s="205">
        <f t="shared" ref="E158:K158" si="22">SUMIFS($I$241:$I$313,$A$241:$A$313,E$149)</f>
        <v>-470607.07008699997</v>
      </c>
      <c r="F158" s="205">
        <f t="shared" si="22"/>
        <v>0</v>
      </c>
      <c r="G158" s="205">
        <f t="shared" si="22"/>
        <v>0</v>
      </c>
      <c r="H158" s="205">
        <f t="shared" si="22"/>
        <v>0</v>
      </c>
      <c r="I158" s="205">
        <f t="shared" si="22"/>
        <v>0</v>
      </c>
      <c r="J158" s="205">
        <f t="shared" si="22"/>
        <v>0</v>
      </c>
      <c r="K158" s="205">
        <f t="shared" si="22"/>
        <v>0</v>
      </c>
      <c r="O158" s="5215"/>
      <c r="P158" s="4774">
        <f t="shared" si="11"/>
        <v>46477</v>
      </c>
      <c r="Q158" s="4806">
        <v>0.29520279765129098</v>
      </c>
      <c r="R158" s="2631">
        <v>0.29520279765129098</v>
      </c>
      <c r="S158" s="2631">
        <v>0.29520279765129098</v>
      </c>
      <c r="T158" s="2631">
        <v>0.29520279765129098</v>
      </c>
      <c r="U158" s="2631">
        <v>0.29520279765129098</v>
      </c>
      <c r="X158" s="5220"/>
      <c r="Y158" s="5221"/>
      <c r="Z158" s="5173" t="s">
        <v>13554</v>
      </c>
      <c r="AA158" s="5174" t="s">
        <v>13555</v>
      </c>
      <c r="AB158" s="5174" t="s">
        <v>13556</v>
      </c>
      <c r="AC158" s="5174" t="s">
        <v>13557</v>
      </c>
      <c r="AD158" s="5175" t="s">
        <v>13558</v>
      </c>
    </row>
    <row r="159" spans="2:30" ht="12" customHeight="1">
      <c r="B159" s="2617" t="s">
        <v>10762</v>
      </c>
      <c r="E159" s="205">
        <f t="shared" ref="E159:K159" si="23">SUMIFS($J$241:$J$313,$A$241:$A$313,E$149)</f>
        <v>-4019.2196820780241</v>
      </c>
      <c r="F159" s="205">
        <f t="shared" si="23"/>
        <v>0</v>
      </c>
      <c r="G159" s="205">
        <f t="shared" si="23"/>
        <v>0</v>
      </c>
      <c r="H159" s="205">
        <f t="shared" si="23"/>
        <v>0</v>
      </c>
      <c r="I159" s="205">
        <f t="shared" si="23"/>
        <v>0</v>
      </c>
      <c r="J159" s="205">
        <f t="shared" si="23"/>
        <v>0</v>
      </c>
      <c r="K159" s="205">
        <f t="shared" si="23"/>
        <v>0</v>
      </c>
      <c r="O159" s="5216"/>
      <c r="P159" s="4808">
        <f t="shared" si="11"/>
        <v>46568</v>
      </c>
      <c r="Q159" s="4807">
        <v>0.29520279765129098</v>
      </c>
      <c r="R159" s="2632">
        <v>0.29520279765129098</v>
      </c>
      <c r="S159" s="2632">
        <v>0.29520279765129098</v>
      </c>
      <c r="T159" s="2632">
        <v>0.29520279765129098</v>
      </c>
      <c r="U159" s="2632">
        <v>0.29520279765129098</v>
      </c>
      <c r="X159" s="5176" t="s">
        <v>13559</v>
      </c>
      <c r="Y159" s="5180" t="s">
        <v>13561</v>
      </c>
      <c r="Z159" s="5194">
        <f>Q165</f>
        <v>2.1743081607604022</v>
      </c>
      <c r="AA159" s="5195">
        <f t="shared" ref="AA159:AD159" si="24">R165</f>
        <v>2.1743081607604022</v>
      </c>
      <c r="AB159" s="5196">
        <f t="shared" si="24"/>
        <v>2.1743081607604022</v>
      </c>
      <c r="AC159" s="5195">
        <f t="shared" si="24"/>
        <v>2.1743081607604022</v>
      </c>
      <c r="AD159" s="5197">
        <f t="shared" si="24"/>
        <v>2.1743081607604022</v>
      </c>
    </row>
    <row r="160" spans="2:30" ht="12" customHeight="1">
      <c r="B160" s="2617" t="s">
        <v>10763</v>
      </c>
      <c r="E160" s="205">
        <f t="shared" ref="E160:K160" ca="1" si="25">SUMIFS($K$241:$K$313,$A$241:$A$313,E$149)</f>
        <v>-30</v>
      </c>
      <c r="F160" s="205">
        <f t="shared" ca="1" si="25"/>
        <v>-30</v>
      </c>
      <c r="G160" s="205">
        <f t="shared" ca="1" si="25"/>
        <v>-30</v>
      </c>
      <c r="H160" s="205">
        <f t="shared" ca="1" si="25"/>
        <v>-30</v>
      </c>
      <c r="I160" s="205">
        <f t="shared" ca="1" si="25"/>
        <v>0</v>
      </c>
      <c r="J160" s="205">
        <f t="shared" ca="1" si="25"/>
        <v>0</v>
      </c>
      <c r="K160" s="205">
        <f t="shared" ca="1" si="25"/>
        <v>0</v>
      </c>
      <c r="X160" s="5177" t="s">
        <v>13560</v>
      </c>
      <c r="Y160" s="5181" t="s">
        <v>13562</v>
      </c>
      <c r="Z160" s="5198">
        <f>Q167</f>
        <v>2.1743081607604022</v>
      </c>
      <c r="AA160" s="5199">
        <f t="shared" ref="AA160:AD160" si="26">R167</f>
        <v>2.1743081607604022</v>
      </c>
      <c r="AB160" s="5200">
        <f t="shared" si="26"/>
        <v>2.1743081607604022</v>
      </c>
      <c r="AC160" s="5199">
        <f t="shared" si="26"/>
        <v>2.1743081607604022</v>
      </c>
      <c r="AD160" s="5201">
        <f t="shared" si="26"/>
        <v>2.1743081607604022</v>
      </c>
    </row>
    <row r="161" spans="2:30" ht="12" customHeight="1">
      <c r="B161" s="2617" t="s">
        <v>10897</v>
      </c>
      <c r="E161" s="205">
        <f t="shared" ref="E161:K161" ca="1" si="27">SUMIFS($N$241:$N$313,$A$241:$A$313,E$149)</f>
        <v>-25.921268515471233</v>
      </c>
      <c r="F161" s="205">
        <f t="shared" ca="1" si="27"/>
        <v>-47.369428760069376</v>
      </c>
      <c r="G161" s="205">
        <f t="shared" ca="1" si="27"/>
        <v>-40.651645726946853</v>
      </c>
      <c r="H161" s="205">
        <f t="shared" ca="1" si="27"/>
        <v>-23.861537235680942</v>
      </c>
      <c r="I161" s="205">
        <f t="shared" ca="1" si="27"/>
        <v>0</v>
      </c>
      <c r="J161" s="205">
        <f t="shared" ca="1" si="27"/>
        <v>0</v>
      </c>
      <c r="K161" s="205">
        <f t="shared" ca="1" si="27"/>
        <v>0</v>
      </c>
      <c r="X161" s="5178"/>
      <c r="Y161" s="5181" t="s">
        <v>13563</v>
      </c>
      <c r="Z161" s="5198">
        <f>Q169</f>
        <v>2.1743081607604022</v>
      </c>
      <c r="AA161" s="5199">
        <f t="shared" ref="AA161:AD161" si="28">R169</f>
        <v>2.1743081607604022</v>
      </c>
      <c r="AB161" s="5199">
        <f t="shared" si="28"/>
        <v>2.1743081607604022</v>
      </c>
      <c r="AC161" s="5199">
        <f t="shared" si="28"/>
        <v>2.1743081607604022</v>
      </c>
      <c r="AD161" s="5201">
        <f t="shared" si="28"/>
        <v>2.1743081607604022</v>
      </c>
    </row>
    <row r="162" spans="2:30" ht="12" customHeight="1">
      <c r="B162" s="2617" t="s">
        <v>6025</v>
      </c>
      <c r="E162" s="205">
        <f t="shared" ref="E162:K162" ca="1" si="29">SUMIFS($M$241:$M$313,$A$241:$A$313,E$149)</f>
        <v>-157.38459701180238</v>
      </c>
      <c r="F162" s="205">
        <f t="shared" ca="1" si="29"/>
        <v>-395.84682229705425</v>
      </c>
      <c r="G162" s="205">
        <f t="shared" ca="1" si="29"/>
        <v>-514.12181959656061</v>
      </c>
      <c r="H162" s="205">
        <f t="shared" ca="1" si="29"/>
        <v>-189.93899677640826</v>
      </c>
      <c r="I162" s="205">
        <f t="shared" ca="1" si="29"/>
        <v>0</v>
      </c>
      <c r="J162" s="205">
        <f t="shared" ca="1" si="29"/>
        <v>0</v>
      </c>
      <c r="K162" s="205">
        <f t="shared" ca="1" si="29"/>
        <v>0</v>
      </c>
      <c r="O162" s="4772" t="s">
        <v>10907</v>
      </c>
      <c r="X162" s="5178"/>
      <c r="Y162" s="5181" t="s">
        <v>13564</v>
      </c>
      <c r="Z162" s="5198">
        <f>Q171</f>
        <v>2.1743081607604022</v>
      </c>
      <c r="AA162" s="5199">
        <f t="shared" ref="AA162:AD162" si="30">R171</f>
        <v>2.1743081607604022</v>
      </c>
      <c r="AB162" s="5199">
        <f t="shared" si="30"/>
        <v>2.1743081607604022</v>
      </c>
      <c r="AC162" s="5199">
        <f t="shared" si="30"/>
        <v>2.1743081607604022</v>
      </c>
      <c r="AD162" s="5201">
        <f t="shared" si="30"/>
        <v>2.1743081607604022</v>
      </c>
    </row>
    <row r="163" spans="2:30" ht="12" customHeight="1">
      <c r="B163" s="2617" t="s">
        <v>6024</v>
      </c>
      <c r="E163" s="205">
        <f t="shared" ref="E163:K163" ca="1" si="31">SUMIFS($O$241:$O$313,$A$241:$A$313,E$149)</f>
        <v>-6551.3738147453478</v>
      </c>
      <c r="F163" s="205">
        <f t="shared" ca="1" si="31"/>
        <v>-13281.643974391405</v>
      </c>
      <c r="G163" s="205">
        <f t="shared" ca="1" si="31"/>
        <v>-13318.03204007467</v>
      </c>
      <c r="H163" s="205">
        <f t="shared" ca="1" si="31"/>
        <v>-6349.3957665376784</v>
      </c>
      <c r="I163" s="205">
        <f t="shared" ca="1" si="31"/>
        <v>0</v>
      </c>
      <c r="J163" s="205">
        <f t="shared" ca="1" si="31"/>
        <v>0</v>
      </c>
      <c r="K163" s="205">
        <f t="shared" ca="1" si="31"/>
        <v>0</v>
      </c>
      <c r="O163" s="4703"/>
      <c r="P163" s="4703"/>
      <c r="Q163" s="4799" t="s">
        <v>10791</v>
      </c>
      <c r="R163" s="4799"/>
      <c r="S163" s="4799"/>
      <c r="T163" s="4799"/>
      <c r="U163" s="4799"/>
      <c r="X163" s="5179"/>
      <c r="Y163" s="5182" t="s">
        <v>13565</v>
      </c>
      <c r="Z163" s="5202">
        <f>Q173</f>
        <v>2.1743081607604022</v>
      </c>
      <c r="AA163" s="5203">
        <f t="shared" ref="AA163:AD163" si="32">R173</f>
        <v>2.1743081607604022</v>
      </c>
      <c r="AB163" s="5203">
        <f t="shared" si="32"/>
        <v>2.1743081607604022</v>
      </c>
      <c r="AC163" s="5203">
        <f t="shared" si="32"/>
        <v>2.1743081607604022</v>
      </c>
      <c r="AD163" s="5204">
        <f t="shared" si="32"/>
        <v>2.1743081607604022</v>
      </c>
    </row>
    <row r="164" spans="2:30" ht="12" customHeight="1">
      <c r="B164" s="2617" t="s">
        <v>6026</v>
      </c>
      <c r="E164" s="205">
        <f t="shared" ref="E164:K164" ca="1" si="33">SUMIFS($P$241:$P$313,$A$241:$A$313,E$149)</f>
        <v>-2.7739588404074311E-11</v>
      </c>
      <c r="F164" s="205">
        <f t="shared" ca="1" si="33"/>
        <v>0</v>
      </c>
      <c r="G164" s="205">
        <f t="shared" ca="1" si="33"/>
        <v>0</v>
      </c>
      <c r="H164" s="205">
        <f t="shared" ca="1" si="33"/>
        <v>-15004.676514727613</v>
      </c>
      <c r="I164" s="205">
        <f t="shared" ca="1" si="33"/>
        <v>0</v>
      </c>
      <c r="J164" s="205">
        <f t="shared" ca="1" si="33"/>
        <v>0</v>
      </c>
      <c r="K164" s="205">
        <f t="shared" ca="1" si="33"/>
        <v>0</v>
      </c>
      <c r="P164" s="4773">
        <f ca="1">$E$201</f>
        <v>2.1743081607604022</v>
      </c>
      <c r="Q164" s="4775">
        <v>10.019083989820444</v>
      </c>
      <c r="R164" s="4775">
        <v>11.019083989820444</v>
      </c>
      <c r="S164" s="4775">
        <v>12.019083989820444</v>
      </c>
      <c r="T164" s="4775">
        <v>13.019083989820444</v>
      </c>
      <c r="U164" s="4775">
        <v>14.019083989820444</v>
      </c>
    </row>
    <row r="165" spans="2:30" ht="12" customHeight="1">
      <c r="B165" s="2617" t="s">
        <v>10764</v>
      </c>
      <c r="E165" s="205">
        <f t="shared" ref="E165:K165" ca="1" si="34">SUMIFS($Q$241:$Q$313,$A$241:$A$313,E$149)</f>
        <v>-4.5024490186778626E-15</v>
      </c>
      <c r="F165" s="205">
        <f t="shared" ca="1" si="34"/>
        <v>0</v>
      </c>
      <c r="G165" s="205">
        <f t="shared" si="34"/>
        <v>0</v>
      </c>
      <c r="H165" s="205">
        <f t="shared" si="34"/>
        <v>0</v>
      </c>
      <c r="I165" s="205">
        <f t="shared" si="34"/>
        <v>0</v>
      </c>
      <c r="J165" s="205">
        <f t="shared" si="34"/>
        <v>0</v>
      </c>
      <c r="K165" s="205">
        <f t="shared" si="34"/>
        <v>0</v>
      </c>
      <c r="O165" s="5215" t="s">
        <v>10716</v>
      </c>
      <c r="P165" s="4774">
        <v>45838</v>
      </c>
      <c r="Q165" s="4810">
        <f t="dataTable" ref="Q165:U173" dt2D="1" dtr="1" r1="F15" r2="F14" ca="1"/>
        <v>2.1743081607604022</v>
      </c>
      <c r="R165" s="4811">
        <v>2.1743081607604022</v>
      </c>
      <c r="S165" s="4812">
        <v>2.1743081607604022</v>
      </c>
      <c r="T165" s="4811">
        <v>2.1743081607604022</v>
      </c>
      <c r="U165" s="4825">
        <v>2.1743081607604022</v>
      </c>
    </row>
    <row r="166" spans="2:30" ht="12" customHeight="1">
      <c r="B166" s="2617" t="s">
        <v>10765</v>
      </c>
      <c r="E166" s="205">
        <f t="shared" ref="E166:K166" ca="1" si="35">SUMIFS($R$241:$R$313,$A$241:$A$313,E$149)</f>
        <v>-4.5024490186778625E-13</v>
      </c>
      <c r="F166" s="205">
        <f t="shared" ca="1" si="35"/>
        <v>0</v>
      </c>
      <c r="G166" s="205">
        <f t="shared" ca="1" si="35"/>
        <v>0</v>
      </c>
      <c r="H166" s="205">
        <f t="shared" ca="1" si="35"/>
        <v>-253657.21077689301</v>
      </c>
      <c r="I166" s="205">
        <f t="shared" ca="1" si="35"/>
        <v>0</v>
      </c>
      <c r="J166" s="205">
        <f t="shared" ca="1" si="35"/>
        <v>0</v>
      </c>
      <c r="K166" s="205">
        <f t="shared" ca="1" si="35"/>
        <v>0</v>
      </c>
      <c r="O166" s="5215"/>
      <c r="P166" s="4774">
        <f t="shared" ref="P166:P173" si="36">EOMONTH(P165,3)</f>
        <v>45930</v>
      </c>
      <c r="Q166" s="4813">
        <v>2.1743081607604022</v>
      </c>
      <c r="R166" s="4814">
        <v>2.1743081607604022</v>
      </c>
      <c r="S166" s="4814">
        <v>2.1743081607604022</v>
      </c>
      <c r="T166" s="4814">
        <v>2.1743081607604022</v>
      </c>
      <c r="U166" s="4815">
        <v>2.1743081607604022</v>
      </c>
    </row>
    <row r="167" spans="2:30" ht="12" customHeight="1">
      <c r="B167" s="2617" t="s">
        <v>10989</v>
      </c>
      <c r="E167" s="205">
        <f>-F70</f>
        <v>-2000</v>
      </c>
      <c r="F167" s="205">
        <v>0</v>
      </c>
      <c r="G167" s="205">
        <v>0</v>
      </c>
      <c r="H167" s="205">
        <v>0</v>
      </c>
      <c r="I167" s="205">
        <v>0</v>
      </c>
      <c r="J167" s="205">
        <v>0</v>
      </c>
      <c r="K167" s="205">
        <v>0</v>
      </c>
      <c r="O167" s="5215"/>
      <c r="P167" s="4774">
        <f t="shared" si="36"/>
        <v>46022</v>
      </c>
      <c r="Q167" s="4813">
        <v>2.1743081607604022</v>
      </c>
      <c r="R167" s="4815">
        <v>2.1743081607604022</v>
      </c>
      <c r="S167" s="4815">
        <v>2.1743081607604022</v>
      </c>
      <c r="T167" s="4815">
        <v>2.1743081607604022</v>
      </c>
      <c r="U167" s="4815">
        <v>2.1743081607604022</v>
      </c>
    </row>
    <row r="168" spans="2:30" ht="12" customHeight="1">
      <c r="B168" s="2617" t="s">
        <v>10991</v>
      </c>
      <c r="E168" s="205">
        <f>-F71</f>
        <v>-110.00000000000001</v>
      </c>
      <c r="F168" s="205">
        <v>0</v>
      </c>
      <c r="G168" s="205">
        <v>0</v>
      </c>
      <c r="H168" s="205">
        <v>0</v>
      </c>
      <c r="I168" s="205">
        <v>0</v>
      </c>
      <c r="J168" s="205">
        <v>0</v>
      </c>
      <c r="K168" s="205">
        <v>0</v>
      </c>
      <c r="O168" s="5215"/>
      <c r="P168" s="4774">
        <f t="shared" si="36"/>
        <v>46112</v>
      </c>
      <c r="Q168" s="4816">
        <v>2.1743081607604022</v>
      </c>
      <c r="R168" s="4817">
        <v>2.1743081607604022</v>
      </c>
      <c r="S168" s="4817">
        <v>2.1743081607604022</v>
      </c>
      <c r="T168" s="4817">
        <v>2.1743081607604022</v>
      </c>
      <c r="U168" s="4817">
        <v>2.1743081607604022</v>
      </c>
    </row>
    <row r="169" spans="2:30" ht="12" customHeight="1">
      <c r="B169" s="2617" t="s">
        <v>10981</v>
      </c>
      <c r="E169" s="205">
        <f>SUMIFS($L$241:$L$313,$A$241:$A$313,E$149)-E167-E168</f>
        <v>-2.4999999999990763</v>
      </c>
      <c r="F169" s="205">
        <f t="shared" ref="F169:K169" si="37">SUMIFS($L$241:$L$313,$A$241:$A$313,F$149)-F167</f>
        <v>-5</v>
      </c>
      <c r="G169" s="205">
        <f t="shared" si="37"/>
        <v>-5</v>
      </c>
      <c r="H169" s="205">
        <f t="shared" si="37"/>
        <v>-2.5</v>
      </c>
      <c r="I169" s="205">
        <f t="shared" si="37"/>
        <v>0</v>
      </c>
      <c r="J169" s="205">
        <f t="shared" si="37"/>
        <v>0</v>
      </c>
      <c r="K169" s="205">
        <f t="shared" si="37"/>
        <v>0</v>
      </c>
      <c r="O169" s="5215"/>
      <c r="P169" s="4774">
        <f t="shared" si="36"/>
        <v>46203</v>
      </c>
      <c r="Q169" s="4816">
        <v>2.1743081607604022</v>
      </c>
      <c r="R169" s="4817">
        <v>2.1743081607604022</v>
      </c>
      <c r="S169" s="4817">
        <v>2.1743081607604022</v>
      </c>
      <c r="T169" s="4817">
        <v>2.1743081607604022</v>
      </c>
      <c r="U169" s="4817">
        <v>2.1743081607604022</v>
      </c>
    </row>
    <row r="170" spans="2:30" ht="12" customHeight="1">
      <c r="B170" s="3603" t="s">
        <v>10759</v>
      </c>
      <c r="C170" s="68"/>
      <c r="D170" s="68"/>
      <c r="E170" s="208">
        <f t="shared" ref="E170:K170" ca="1" si="38">SUMIFS($S$241:$S$313,$A$241:$A$313,E$149)</f>
        <v>0</v>
      </c>
      <c r="F170" s="208">
        <f t="shared" ca="1" si="38"/>
        <v>0</v>
      </c>
      <c r="G170" s="208">
        <f t="shared" ca="1" si="38"/>
        <v>0</v>
      </c>
      <c r="H170" s="208">
        <f t="shared" ca="1" si="38"/>
        <v>-471715.84957378672</v>
      </c>
      <c r="I170" s="208">
        <f t="shared" ca="1" si="38"/>
        <v>0</v>
      </c>
      <c r="J170" s="208">
        <f t="shared" ca="1" si="38"/>
        <v>0</v>
      </c>
      <c r="K170" s="208">
        <f t="shared" ca="1" si="38"/>
        <v>0</v>
      </c>
      <c r="O170" s="5215"/>
      <c r="P170" s="4774">
        <f t="shared" si="36"/>
        <v>46295</v>
      </c>
      <c r="Q170" s="4816">
        <v>2.1743081607604022</v>
      </c>
      <c r="R170" s="4817">
        <v>2.1743081607604022</v>
      </c>
      <c r="S170" s="4817">
        <v>2.1743081607604022</v>
      </c>
      <c r="T170" s="4817">
        <v>2.1743081607604022</v>
      </c>
      <c r="U170" s="4817">
        <v>2.1743081607604022</v>
      </c>
    </row>
    <row r="171" spans="2:30" ht="12" customHeight="1">
      <c r="B171" s="3604" t="s">
        <v>6736</v>
      </c>
      <c r="C171" s="2346"/>
      <c r="D171" s="2346"/>
      <c r="E171" s="3605">
        <f t="shared" ref="E171:J171" ca="1" si="39">SUM(E157,E150)</f>
        <v>0</v>
      </c>
      <c r="F171" s="3605">
        <f t="shared" ca="1" si="39"/>
        <v>0</v>
      </c>
      <c r="G171" s="3605">
        <f t="shared" ca="1" si="39"/>
        <v>0</v>
      </c>
      <c r="H171" s="3605">
        <f t="shared" ca="1" si="39"/>
        <v>0</v>
      </c>
      <c r="I171" s="3605">
        <f t="shared" ca="1" si="39"/>
        <v>0</v>
      </c>
      <c r="J171" s="3605">
        <f t="shared" ca="1" si="39"/>
        <v>0</v>
      </c>
      <c r="K171" s="3605">
        <f t="shared" ref="K171" ca="1" si="40">SUM(K157,K150)</f>
        <v>0</v>
      </c>
      <c r="O171" s="5215"/>
      <c r="P171" s="4774">
        <f t="shared" si="36"/>
        <v>46387</v>
      </c>
      <c r="Q171" s="4816">
        <v>2.1743081607604022</v>
      </c>
      <c r="R171" s="4817">
        <v>2.1743081607604022</v>
      </c>
      <c r="S171" s="4817">
        <v>2.1743081607604022</v>
      </c>
      <c r="T171" s="4817">
        <v>2.1743081607604022</v>
      </c>
      <c r="U171" s="4817">
        <v>2.1743081607604022</v>
      </c>
    </row>
    <row r="172" spans="2:30" ht="12" customHeight="1">
      <c r="B172" s="67" t="s">
        <v>10766</v>
      </c>
      <c r="C172" s="68"/>
      <c r="D172" s="68"/>
      <c r="E172" s="4688">
        <f ca="1">XIRR($AK$241:$AK$313,$B$241:$B$313,)</f>
        <v>0.29520279765129098</v>
      </c>
      <c r="F172" s="4688"/>
      <c r="G172" s="4688"/>
      <c r="H172" s="4688"/>
      <c r="I172" s="4688"/>
      <c r="J172" s="4688"/>
      <c r="K172" s="4688"/>
      <c r="O172" s="5215"/>
      <c r="P172" s="4774">
        <f t="shared" si="36"/>
        <v>46477</v>
      </c>
      <c r="Q172" s="4816">
        <v>2.1743081607604022</v>
      </c>
      <c r="R172" s="4817">
        <v>2.1743081607604022</v>
      </c>
      <c r="S172" s="4817">
        <v>2.1743081607604022</v>
      </c>
      <c r="T172" s="4817">
        <v>2.1743081607604022</v>
      </c>
      <c r="U172" s="4817">
        <v>2.1743081607604022</v>
      </c>
    </row>
    <row r="173" spans="2:30" ht="12" customHeight="1">
      <c r="O173" s="5216"/>
      <c r="P173" s="4808">
        <f t="shared" si="36"/>
        <v>46568</v>
      </c>
      <c r="Q173" s="4818">
        <v>2.1743081607604022</v>
      </c>
      <c r="R173" s="4819">
        <v>2.1743081607604022</v>
      </c>
      <c r="S173" s="4819">
        <v>2.1743081607604022</v>
      </c>
      <c r="T173" s="4819">
        <v>2.1743081607604022</v>
      </c>
      <c r="U173" s="4819">
        <v>2.1743081607604022</v>
      </c>
    </row>
    <row r="174" spans="2:30" ht="12" customHeight="1">
      <c r="B174" s="3600" t="s">
        <v>10988</v>
      </c>
    </row>
    <row r="175" spans="2:30" ht="12" customHeight="1">
      <c r="B175" s="5212" t="s">
        <v>354</v>
      </c>
      <c r="C175" s="5212"/>
      <c r="D175" s="5212"/>
      <c r="E175" s="4538">
        <v>2022</v>
      </c>
      <c r="F175" s="4538">
        <v>2023</v>
      </c>
      <c r="G175" s="4538">
        <v>2024</v>
      </c>
      <c r="H175" s="4538">
        <v>2025</v>
      </c>
      <c r="I175" s="4538">
        <v>2026</v>
      </c>
      <c r="J175" s="4538">
        <v>2027</v>
      </c>
      <c r="K175" s="4538">
        <v>2028</v>
      </c>
    </row>
    <row r="176" spans="2:30" ht="12" customHeight="1">
      <c r="B176" s="32" t="s">
        <v>6127</v>
      </c>
      <c r="E176" s="112">
        <f ca="1">SUM(E177:E181)</f>
        <v>483503.46944935061</v>
      </c>
      <c r="F176" s="112">
        <f t="shared" ref="F176:J176" ca="1" si="41">SUM(F177:F181)</f>
        <v>13759.860225448529</v>
      </c>
      <c r="G176" s="112">
        <f t="shared" ca="1" si="41"/>
        <v>13907.805505398177</v>
      </c>
      <c r="H176" s="112">
        <f t="shared" ca="1" si="41"/>
        <v>746973.43316595699</v>
      </c>
      <c r="I176" s="112">
        <f t="shared" ca="1" si="41"/>
        <v>0</v>
      </c>
      <c r="J176" s="112">
        <f t="shared" ca="1" si="41"/>
        <v>0</v>
      </c>
      <c r="K176" s="112">
        <f t="shared" ref="K176" ca="1" si="42">SUM(K177:K181)</f>
        <v>0</v>
      </c>
    </row>
    <row r="177" spans="1:11" ht="12" customHeight="1">
      <c r="B177" s="2617" t="s">
        <v>10759</v>
      </c>
      <c r="E177" s="205">
        <f>E151</f>
        <v>216949.85931010696</v>
      </c>
      <c r="F177" s="205">
        <f t="shared" ref="F177:J177" si="43">F151</f>
        <v>0</v>
      </c>
      <c r="G177" s="205">
        <f t="shared" si="43"/>
        <v>0</v>
      </c>
      <c r="H177" s="205">
        <f t="shared" si="43"/>
        <v>0</v>
      </c>
      <c r="I177" s="205">
        <f t="shared" si="43"/>
        <v>0</v>
      </c>
      <c r="J177" s="205">
        <f t="shared" si="43"/>
        <v>0</v>
      </c>
      <c r="K177" s="205">
        <f t="shared" ref="K177" si="44">K151</f>
        <v>0</v>
      </c>
    </row>
    <row r="178" spans="1:11" ht="12" customHeight="1">
      <c r="B178" s="2617" t="s">
        <v>10985</v>
      </c>
      <c r="E178" s="205">
        <f ca="1">E152+E153</f>
        <v>260622.67172170887</v>
      </c>
      <c r="F178" s="205">
        <f t="shared" ref="F178:J178" ca="1" si="45">F152+F153</f>
        <v>1994.6834732735283</v>
      </c>
      <c r="G178" s="205">
        <f t="shared" ca="1" si="45"/>
        <v>6042.8654299716018</v>
      </c>
      <c r="H178" s="205">
        <f t="shared" ca="1" si="45"/>
        <v>1.6666666666666667</v>
      </c>
      <c r="I178" s="205">
        <f t="shared" ca="1" si="45"/>
        <v>0</v>
      </c>
      <c r="J178" s="205">
        <f t="shared" ca="1" si="45"/>
        <v>0</v>
      </c>
      <c r="K178" s="205">
        <f t="shared" ref="K178" ca="1" si="46">K152+K153</f>
        <v>0</v>
      </c>
    </row>
    <row r="179" spans="1:11" ht="12" customHeight="1">
      <c r="B179" s="2617" t="s">
        <v>10986</v>
      </c>
      <c r="E179" s="205">
        <f>E154</f>
        <v>5930.938417534795</v>
      </c>
      <c r="F179" s="205">
        <f t="shared" ref="F179:J179" si="47">F154</f>
        <v>11765.176752175001</v>
      </c>
      <c r="G179" s="205">
        <f t="shared" si="47"/>
        <v>7864.9400754265762</v>
      </c>
      <c r="H179" s="205">
        <f t="shared" si="47"/>
        <v>0</v>
      </c>
      <c r="I179" s="205">
        <f t="shared" si="47"/>
        <v>0</v>
      </c>
      <c r="J179" s="205">
        <f t="shared" si="47"/>
        <v>0</v>
      </c>
      <c r="K179" s="205">
        <f t="shared" ref="K179" si="48">K154</f>
        <v>0</v>
      </c>
    </row>
    <row r="180" spans="1:11" ht="12" customHeight="1">
      <c r="B180" s="2617" t="s">
        <v>6734</v>
      </c>
      <c r="E180" s="205">
        <f>E155</f>
        <v>0</v>
      </c>
      <c r="F180" s="205">
        <f t="shared" ref="F180:J180" si="49">F155</f>
        <v>0</v>
      </c>
      <c r="G180" s="205">
        <f t="shared" si="49"/>
        <v>0</v>
      </c>
      <c r="H180" s="205">
        <f t="shared" si="49"/>
        <v>36618.414288600456</v>
      </c>
      <c r="I180" s="205">
        <f t="shared" si="49"/>
        <v>0</v>
      </c>
      <c r="J180" s="205">
        <f t="shared" si="49"/>
        <v>0</v>
      </c>
      <c r="K180" s="205">
        <f t="shared" ref="K180" si="50">K155</f>
        <v>0</v>
      </c>
    </row>
    <row r="181" spans="1:11" ht="12" customHeight="1">
      <c r="B181" s="2617" t="s">
        <v>10987</v>
      </c>
      <c r="E181" s="205">
        <f>E156</f>
        <v>0</v>
      </c>
      <c r="F181" s="205">
        <f t="shared" ref="F181:J181" si="51">F156</f>
        <v>0</v>
      </c>
      <c r="G181" s="205">
        <f t="shared" si="51"/>
        <v>0</v>
      </c>
      <c r="H181" s="205">
        <f t="shared" si="51"/>
        <v>710353.35221068992</v>
      </c>
      <c r="I181" s="205">
        <f t="shared" si="51"/>
        <v>0</v>
      </c>
      <c r="J181" s="205">
        <f t="shared" si="51"/>
        <v>0</v>
      </c>
      <c r="K181" s="205">
        <f t="shared" ref="K181" si="52">K156</f>
        <v>0</v>
      </c>
    </row>
    <row r="182" spans="1:11" ht="12" customHeight="1">
      <c r="B182" s="32" t="s">
        <v>6136</v>
      </c>
      <c r="E182" s="112">
        <f t="shared" ref="E182:J182" ca="1" si="53">SUM(E183:E186)</f>
        <v>-483503.46944935067</v>
      </c>
      <c r="F182" s="112">
        <f t="shared" ca="1" si="53"/>
        <v>-13759.860225448529</v>
      </c>
      <c r="G182" s="112">
        <f t="shared" ca="1" si="53"/>
        <v>-13907.805505398177</v>
      </c>
      <c r="H182" s="112">
        <f t="shared" ca="1" si="53"/>
        <v>-746973.4331659571</v>
      </c>
      <c r="I182" s="112">
        <f t="shared" ca="1" si="53"/>
        <v>0</v>
      </c>
      <c r="J182" s="112">
        <f t="shared" ca="1" si="53"/>
        <v>0</v>
      </c>
      <c r="K182" s="112">
        <f t="shared" ref="K182" ca="1" si="54">SUM(K183:K186)</f>
        <v>0</v>
      </c>
    </row>
    <row r="183" spans="1:11" ht="12" customHeight="1">
      <c r="B183" s="2617" t="s">
        <v>10985</v>
      </c>
      <c r="E183" s="205">
        <f ca="1">E159+E160+E161+E162+E163+E164+E165+E166+E168</f>
        <v>-10893.899362350674</v>
      </c>
      <c r="F183" s="205">
        <f t="shared" ref="F183:J183" ca="1" si="55">F159+F160+F161+F162+F163+F164+F165+F166+F168</f>
        <v>-13754.860225448529</v>
      </c>
      <c r="G183" s="205">
        <f t="shared" ca="1" si="55"/>
        <v>-13902.805505398177</v>
      </c>
      <c r="H183" s="205">
        <f t="shared" ca="1" si="55"/>
        <v>-275255.08359217038</v>
      </c>
      <c r="I183" s="205">
        <f t="shared" ca="1" si="55"/>
        <v>0</v>
      </c>
      <c r="J183" s="205">
        <f t="shared" ca="1" si="55"/>
        <v>0</v>
      </c>
      <c r="K183" s="205">
        <f t="shared" ref="K183" ca="1" si="56">K159+K160+K161+K162+K163+K164+K165+K166+K168</f>
        <v>0</v>
      </c>
    </row>
    <row r="184" spans="1:11" ht="12" customHeight="1">
      <c r="B184" s="2617" t="s">
        <v>10759</v>
      </c>
      <c r="E184" s="205">
        <f ca="1">E170</f>
        <v>0</v>
      </c>
      <c r="F184" s="205">
        <f t="shared" ref="F184:J184" ca="1" si="57">F170</f>
        <v>0</v>
      </c>
      <c r="G184" s="205">
        <f t="shared" ca="1" si="57"/>
        <v>0</v>
      </c>
      <c r="H184" s="205">
        <f t="shared" ca="1" si="57"/>
        <v>-471715.84957378672</v>
      </c>
      <c r="I184" s="205">
        <f t="shared" ca="1" si="57"/>
        <v>0</v>
      </c>
      <c r="J184" s="205">
        <f t="shared" ca="1" si="57"/>
        <v>0</v>
      </c>
      <c r="K184" s="205">
        <f t="shared" ref="K184" ca="1" si="58">K170</f>
        <v>0</v>
      </c>
    </row>
    <row r="185" spans="1:11" ht="12" customHeight="1">
      <c r="B185" s="2617" t="s">
        <v>10777</v>
      </c>
      <c r="E185" s="205">
        <f>E158+E167</f>
        <v>-472607.07008699997</v>
      </c>
      <c r="F185" s="205">
        <f t="shared" ref="F185:J185" si="59">F158+F167</f>
        <v>0</v>
      </c>
      <c r="G185" s="205">
        <f t="shared" si="59"/>
        <v>0</v>
      </c>
      <c r="H185" s="205">
        <f t="shared" si="59"/>
        <v>0</v>
      </c>
      <c r="I185" s="205">
        <f t="shared" si="59"/>
        <v>0</v>
      </c>
      <c r="J185" s="205">
        <f t="shared" si="59"/>
        <v>0</v>
      </c>
      <c r="K185" s="205">
        <f t="shared" ref="K185" si="60">K158+K167</f>
        <v>0</v>
      </c>
    </row>
    <row r="186" spans="1:11" ht="12" customHeight="1">
      <c r="B186" s="2617" t="s">
        <v>10981</v>
      </c>
      <c r="E186" s="205">
        <f>E169</f>
        <v>-2.4999999999990763</v>
      </c>
      <c r="F186" s="205">
        <f t="shared" ref="F186:J186" si="61">F169</f>
        <v>-5</v>
      </c>
      <c r="G186" s="205">
        <f t="shared" si="61"/>
        <v>-5</v>
      </c>
      <c r="H186" s="205">
        <f t="shared" si="61"/>
        <v>-2.5</v>
      </c>
      <c r="I186" s="205">
        <f t="shared" si="61"/>
        <v>0</v>
      </c>
      <c r="J186" s="205">
        <f t="shared" si="61"/>
        <v>0</v>
      </c>
      <c r="K186" s="205">
        <f t="shared" ref="K186" si="62">K169</f>
        <v>0</v>
      </c>
    </row>
    <row r="187" spans="1:11" ht="12" customHeight="1">
      <c r="B187" s="3604" t="s">
        <v>6736</v>
      </c>
      <c r="C187" s="2346"/>
      <c r="D187" s="2346"/>
      <c r="E187" s="3605">
        <f t="shared" ref="E187:J187" ca="1" si="63">E182+E176</f>
        <v>0</v>
      </c>
      <c r="F187" s="3605">
        <f t="shared" ca="1" si="63"/>
        <v>0</v>
      </c>
      <c r="G187" s="3605">
        <f t="shared" ca="1" si="63"/>
        <v>0</v>
      </c>
      <c r="H187" s="3605">
        <f t="shared" ca="1" si="63"/>
        <v>0</v>
      </c>
      <c r="I187" s="3605">
        <f t="shared" ca="1" si="63"/>
        <v>0</v>
      </c>
      <c r="J187" s="3605">
        <f t="shared" ca="1" si="63"/>
        <v>0</v>
      </c>
      <c r="K187" s="3605">
        <f t="shared" ref="K187" ca="1" si="64">K182+K176</f>
        <v>0</v>
      </c>
    </row>
    <row r="189" spans="1:11" ht="12" customHeight="1">
      <c r="B189" s="3600" t="s">
        <v>10904</v>
      </c>
    </row>
    <row r="190" spans="1:11" ht="12" customHeight="1">
      <c r="B190" s="5212" t="s">
        <v>354</v>
      </c>
      <c r="C190" s="5212"/>
      <c r="D190" s="5212"/>
      <c r="E190" s="4538">
        <v>2022</v>
      </c>
      <c r="F190" s="4538">
        <v>2023</v>
      </c>
      <c r="G190" s="4538">
        <v>2024</v>
      </c>
      <c r="H190" s="4538">
        <v>2025</v>
      </c>
      <c r="I190" s="4538">
        <v>2026</v>
      </c>
      <c r="J190" s="4538">
        <v>2027</v>
      </c>
      <c r="K190" s="4538">
        <v>2028</v>
      </c>
    </row>
    <row r="191" spans="1:11" ht="12" customHeight="1">
      <c r="A191" s="32"/>
      <c r="B191" s="32" t="s">
        <v>6127</v>
      </c>
      <c r="C191" s="32"/>
      <c r="D191" s="32"/>
      <c r="E191" s="112">
        <f ca="1">SUM(E192:E194)</f>
        <v>0</v>
      </c>
      <c r="F191" s="112">
        <f t="shared" ref="F191:J191" ca="1" si="65">SUM(F192:F194)</f>
        <v>0</v>
      </c>
      <c r="G191" s="112">
        <f t="shared" ca="1" si="65"/>
        <v>0</v>
      </c>
      <c r="H191" s="112">
        <f t="shared" ca="1" si="65"/>
        <v>471715.84957378672</v>
      </c>
      <c r="I191" s="112">
        <f t="shared" ca="1" si="65"/>
        <v>0</v>
      </c>
      <c r="J191" s="112">
        <f t="shared" ca="1" si="65"/>
        <v>0</v>
      </c>
      <c r="K191" s="112">
        <f t="shared" ref="K191" ca="1" si="66">SUM(K192:K194)</f>
        <v>0</v>
      </c>
    </row>
    <row r="192" spans="1:11" ht="12" customHeight="1">
      <c r="B192" s="2617" t="s">
        <v>10893</v>
      </c>
      <c r="E192" s="205">
        <f t="shared" ref="E192:K192" ca="1" si="67">SUMIFS($D$321:$D$392,$A$321:$A$392,E190)</f>
        <v>0</v>
      </c>
      <c r="F192" s="205">
        <f t="shared" ca="1" si="67"/>
        <v>0</v>
      </c>
      <c r="G192" s="205">
        <f t="shared" ca="1" si="67"/>
        <v>0</v>
      </c>
      <c r="H192" s="205">
        <f t="shared" ca="1" si="67"/>
        <v>233404.4371630669</v>
      </c>
      <c r="I192" s="205">
        <f t="shared" ca="1" si="67"/>
        <v>0</v>
      </c>
      <c r="J192" s="205">
        <f t="shared" ca="1" si="67"/>
        <v>0</v>
      </c>
      <c r="K192" s="205">
        <f t="shared" ca="1" si="67"/>
        <v>0</v>
      </c>
    </row>
    <row r="193" spans="1:20" ht="12" customHeight="1">
      <c r="B193" s="2617" t="s">
        <v>10895</v>
      </c>
      <c r="E193" s="205">
        <f t="shared" ref="E193:K193" ca="1" si="68">SUMIFS($E$321:$E$392,$A$321:$A$392,E190)</f>
        <v>0</v>
      </c>
      <c r="F193" s="205">
        <f t="shared" ca="1" si="68"/>
        <v>0</v>
      </c>
      <c r="G193" s="205">
        <f t="shared" ca="1" si="68"/>
        <v>0</v>
      </c>
      <c r="H193" s="205">
        <f t="shared" ca="1" si="68"/>
        <v>84798.018269655688</v>
      </c>
      <c r="I193" s="205">
        <f t="shared" ca="1" si="68"/>
        <v>0</v>
      </c>
      <c r="J193" s="205">
        <f t="shared" ca="1" si="68"/>
        <v>0</v>
      </c>
      <c r="K193" s="205">
        <f t="shared" ca="1" si="68"/>
        <v>0</v>
      </c>
    </row>
    <row r="194" spans="1:20" ht="12" customHeight="1">
      <c r="B194" s="2617" t="s">
        <v>10894</v>
      </c>
      <c r="E194" s="205">
        <f t="shared" ref="E194:K194" ca="1" si="69">SUMIFS($F$321:$F$392,$A$321:$A$392,E190)</f>
        <v>0</v>
      </c>
      <c r="F194" s="205">
        <f t="shared" ca="1" si="69"/>
        <v>0</v>
      </c>
      <c r="G194" s="205">
        <f t="shared" ca="1" si="69"/>
        <v>0</v>
      </c>
      <c r="H194" s="205">
        <f t="shared" ca="1" si="69"/>
        <v>153513.39414106414</v>
      </c>
      <c r="I194" s="205">
        <f t="shared" ca="1" si="69"/>
        <v>0</v>
      </c>
      <c r="J194" s="205">
        <f t="shared" ca="1" si="69"/>
        <v>0</v>
      </c>
      <c r="K194" s="205">
        <f t="shared" ca="1" si="69"/>
        <v>0</v>
      </c>
    </row>
    <row r="195" spans="1:20" ht="12" customHeight="1">
      <c r="A195" s="32"/>
      <c r="B195" s="32" t="s">
        <v>6136</v>
      </c>
      <c r="C195" s="32"/>
      <c r="D195" s="32"/>
      <c r="E195" s="112">
        <f>SUM(E196:E198)</f>
        <v>-216949.85931010696</v>
      </c>
      <c r="F195" s="112">
        <v>0</v>
      </c>
      <c r="G195" s="112">
        <v>0</v>
      </c>
      <c r="H195" s="112">
        <v>0</v>
      </c>
      <c r="I195" s="112">
        <v>0</v>
      </c>
      <c r="J195" s="112">
        <v>0</v>
      </c>
      <c r="K195" s="112">
        <v>0</v>
      </c>
    </row>
    <row r="196" spans="1:20" ht="12" customHeight="1">
      <c r="B196" s="2617" t="s">
        <v>10893</v>
      </c>
      <c r="E196" s="205">
        <f>D320</f>
        <v>-107346.53043910774</v>
      </c>
      <c r="F196" s="205">
        <v>0</v>
      </c>
      <c r="G196" s="205">
        <v>0</v>
      </c>
      <c r="H196" s="205">
        <v>0</v>
      </c>
      <c r="I196" s="205">
        <v>0</v>
      </c>
      <c r="J196" s="205">
        <v>0</v>
      </c>
      <c r="K196" s="205">
        <v>0</v>
      </c>
    </row>
    <row r="197" spans="1:20" ht="12" customHeight="1">
      <c r="B197" s="2617" t="s">
        <v>10895</v>
      </c>
      <c r="E197" s="205">
        <f>E320</f>
        <v>-39000</v>
      </c>
      <c r="F197" s="205">
        <v>0</v>
      </c>
      <c r="G197" s="205">
        <v>0</v>
      </c>
      <c r="H197" s="205">
        <v>0</v>
      </c>
      <c r="I197" s="205">
        <v>0</v>
      </c>
      <c r="J197" s="205">
        <v>0</v>
      </c>
      <c r="K197" s="205">
        <v>0</v>
      </c>
    </row>
    <row r="198" spans="1:20" ht="12" customHeight="1">
      <c r="B198" s="3603" t="s">
        <v>10894</v>
      </c>
      <c r="C198" s="68"/>
      <c r="D198" s="68"/>
      <c r="E198" s="208">
        <f>F320</f>
        <v>-70603.328870999219</v>
      </c>
      <c r="F198" s="208">
        <v>0</v>
      </c>
      <c r="G198" s="208">
        <v>0</v>
      </c>
      <c r="H198" s="208">
        <v>0</v>
      </c>
      <c r="I198" s="208">
        <v>0</v>
      </c>
      <c r="J198" s="208">
        <v>0</v>
      </c>
      <c r="K198" s="208">
        <v>0</v>
      </c>
    </row>
    <row r="199" spans="1:20" ht="12" customHeight="1">
      <c r="B199" s="3604" t="s">
        <v>6736</v>
      </c>
      <c r="C199" s="2346"/>
      <c r="D199" s="2346"/>
      <c r="E199" s="3605">
        <f ca="1">E195+E191</f>
        <v>-216949.85931010696</v>
      </c>
      <c r="F199" s="3605">
        <f t="shared" ref="F199:I199" ca="1" si="70">F195+F191</f>
        <v>0</v>
      </c>
      <c r="G199" s="3605">
        <f t="shared" ca="1" si="70"/>
        <v>0</v>
      </c>
      <c r="H199" s="3605">
        <f t="shared" ca="1" si="70"/>
        <v>471715.84957378672</v>
      </c>
      <c r="I199" s="3605">
        <f t="shared" ca="1" si="70"/>
        <v>0</v>
      </c>
      <c r="J199" s="3605">
        <f t="shared" ref="J199:K199" ca="1" si="71">J195+J191</f>
        <v>0</v>
      </c>
      <c r="K199" s="3605">
        <f t="shared" ca="1" si="71"/>
        <v>0</v>
      </c>
    </row>
    <row r="200" spans="1:20" ht="12" customHeight="1">
      <c r="B200" s="67" t="s">
        <v>10905</v>
      </c>
      <c r="C200" s="68"/>
      <c r="D200" s="68"/>
      <c r="E200" s="4688">
        <f ca="1">XIRR($C$320:$C$392,$B$320:$B$392,)</f>
        <v>0.29520279765129098</v>
      </c>
      <c r="F200" s="4688"/>
      <c r="G200" s="4688"/>
      <c r="H200" s="4688"/>
      <c r="I200" s="4688"/>
      <c r="J200" s="4688"/>
      <c r="K200" s="4688"/>
    </row>
    <row r="201" spans="1:20" ht="12" customHeight="1">
      <c r="B201" s="67" t="s">
        <v>10790</v>
      </c>
      <c r="C201" s="68"/>
      <c r="D201" s="68"/>
      <c r="E201" s="4690">
        <f ca="1">-SUM(E191:K191)/SUM(E195:K195)</f>
        <v>2.1743081607604022</v>
      </c>
      <c r="F201" s="4689"/>
      <c r="G201" s="4689"/>
      <c r="H201" s="4689"/>
      <c r="I201" s="4689"/>
      <c r="J201" s="4689"/>
      <c r="K201" s="4689"/>
    </row>
    <row r="202" spans="1:20" ht="12" customHeight="1">
      <c r="T202" s="73"/>
    </row>
    <row r="203" spans="1:20" ht="12" customHeight="1">
      <c r="B203" s="4701" t="s">
        <v>11014</v>
      </c>
      <c r="T203" s="73"/>
    </row>
    <row r="204" spans="1:20" ht="12" customHeight="1">
      <c r="B204" s="4693" t="s">
        <v>11015</v>
      </c>
      <c r="C204" s="4694"/>
      <c r="D204" s="4694">
        <f>$B$241</f>
        <v>44742</v>
      </c>
      <c r="E204" s="4695"/>
      <c r="F204" s="4695"/>
      <c r="G204" s="4696">
        <f>$F$14</f>
        <v>45838</v>
      </c>
      <c r="T204" s="73"/>
    </row>
    <row r="205" spans="1:20" ht="12" customHeight="1">
      <c r="B205" s="1" t="s">
        <v>11016</v>
      </c>
      <c r="C205" s="205"/>
      <c r="D205" s="205">
        <f>SUMIFS($C$320:$C$392,$B$320:$B$392,D204)</f>
        <v>-216949.85931010696</v>
      </c>
      <c r="G205" s="205">
        <f ca="1">SUMIFS($C$320:$C$392,$B$320:$B$392,G204)</f>
        <v>471715.84957378672</v>
      </c>
      <c r="T205" s="73"/>
    </row>
    <row r="206" spans="1:20" ht="12" customHeight="1">
      <c r="B206" s="4697" t="s">
        <v>11017</v>
      </c>
      <c r="C206" s="4697"/>
      <c r="D206" s="4697"/>
      <c r="E206" s="4697"/>
      <c r="F206" s="4697"/>
      <c r="G206" s="4700">
        <f ca="1">+XIRR(D205:G205,D204:G204)</f>
        <v>0.29520279765129098</v>
      </c>
      <c r="T206" s="73"/>
    </row>
    <row r="207" spans="1:20" ht="12" customHeight="1">
      <c r="B207" s="4698" t="s">
        <v>10790</v>
      </c>
      <c r="C207" s="4698"/>
      <c r="D207" s="4698"/>
      <c r="E207" s="4698"/>
      <c r="F207" s="4698"/>
      <c r="G207" s="4699">
        <f ca="1">+G205/-D205</f>
        <v>2.1743081607604022</v>
      </c>
      <c r="T207" s="73"/>
    </row>
    <row r="208" spans="1:20" ht="12" customHeight="1">
      <c r="T208" s="73"/>
    </row>
    <row r="209" spans="2:24" ht="12" customHeight="1">
      <c r="B209" s="4693" t="s">
        <v>11018</v>
      </c>
      <c r="C209" s="4694"/>
      <c r="D209" s="4694">
        <f>$B$241</f>
        <v>44742</v>
      </c>
      <c r="E209" s="4695"/>
      <c r="F209" s="4695"/>
      <c r="G209" s="4696">
        <f>$F$14</f>
        <v>45838</v>
      </c>
      <c r="L209" s="32" t="s">
        <v>11036</v>
      </c>
      <c r="T209" s="73"/>
    </row>
    <row r="210" spans="2:24" ht="12" customHeight="1">
      <c r="B210" s="4028" t="s">
        <v>11019</v>
      </c>
      <c r="C210" s="4702"/>
      <c r="D210" s="4702">
        <f>-E109</f>
        <v>-70603.328870999219</v>
      </c>
      <c r="E210" s="4703"/>
      <c r="G210" s="4704">
        <f>-D210*(1+F211)^YEARFRAC($D$209,$G$209)</f>
        <v>84089.694338622023</v>
      </c>
      <c r="L210" s="4723" t="s">
        <v>11037</v>
      </c>
      <c r="N210" s="4724"/>
      <c r="O210" s="4724"/>
      <c r="P210" s="4724"/>
      <c r="Q210" s="4724"/>
      <c r="T210" s="73"/>
    </row>
    <row r="211" spans="2:24" ht="12" customHeight="1">
      <c r="B211" s="4705" t="s">
        <v>11020</v>
      </c>
      <c r="F211" s="4706">
        <v>0.06</v>
      </c>
      <c r="G211" s="205">
        <f ca="1">+G205-G210</f>
        <v>387626.15523516468</v>
      </c>
      <c r="L211" s="4725">
        <f ca="1">$G$223</f>
        <v>0.32554109692573552</v>
      </c>
      <c r="M211" s="4726">
        <v>0.06</v>
      </c>
      <c r="N211" s="4727">
        <v>6.5000000000000002E-2</v>
      </c>
      <c r="O211" s="4727">
        <v>7.0000000000000007E-2</v>
      </c>
      <c r="P211" s="4727">
        <v>7.5000000000000011E-2</v>
      </c>
      <c r="Q211" s="4728">
        <v>8.0000000000000016E-2</v>
      </c>
      <c r="T211" s="73"/>
    </row>
    <row r="212" spans="2:24" ht="12" customHeight="1">
      <c r="B212" s="203" t="s">
        <v>11021</v>
      </c>
      <c r="C212" s="32"/>
      <c r="D212" s="112">
        <f>-E107-E108</f>
        <v>-146346.53043910774</v>
      </c>
      <c r="E212" s="32"/>
      <c r="F212" s="32"/>
      <c r="G212" s="4707">
        <f ca="1">MIN(-D212*(1+F211)^YEARFRAC(D209,G209),G211)</f>
        <v>174301.05929746438</v>
      </c>
      <c r="K212" s="5217" t="s">
        <v>11038</v>
      </c>
      <c r="L212" s="4729">
        <v>0.2</v>
      </c>
      <c r="M212" s="4730">
        <f t="dataTable" ref="M212:Q216" dt2D="1" dtr="1" r1="H216" r2="F216" ca="1"/>
        <v>0.32554109692573552</v>
      </c>
      <c r="N212" s="4731">
        <v>0.32554109692573552</v>
      </c>
      <c r="O212" s="4731">
        <v>0.32554109692573552</v>
      </c>
      <c r="P212" s="4731">
        <v>0.32554109692573552</v>
      </c>
      <c r="Q212" s="4732">
        <v>0.32554109692573552</v>
      </c>
      <c r="T212" s="73"/>
    </row>
    <row r="213" spans="2:24" ht="12" customHeight="1">
      <c r="B213" s="4705" t="s">
        <v>11022</v>
      </c>
      <c r="G213" s="73">
        <f ca="1">+G211-G212</f>
        <v>213325.0959377003</v>
      </c>
      <c r="K213" s="5217"/>
      <c r="L213" s="4733">
        <v>0.25</v>
      </c>
      <c r="M213" s="4734">
        <v>0.32554109692573552</v>
      </c>
      <c r="N213" s="4735">
        <v>0.32554109692573552</v>
      </c>
      <c r="O213" s="76">
        <v>0.32554109692573552</v>
      </c>
      <c r="P213" s="76">
        <v>0.32554109692573552</v>
      </c>
      <c r="Q213" s="4736">
        <v>0.32554109692573552</v>
      </c>
      <c r="T213" s="73"/>
    </row>
    <row r="214" spans="2:24" ht="12" customHeight="1">
      <c r="B214" s="203" t="s">
        <v>11023</v>
      </c>
      <c r="C214" s="32"/>
      <c r="D214" s="32"/>
      <c r="E214" s="32"/>
      <c r="F214" s="37">
        <f>+D210/D205</f>
        <v>0.32543615882266697</v>
      </c>
      <c r="G214" s="4707">
        <f ca="1">+$G$213*F214</f>
        <v>69423.699802442105</v>
      </c>
      <c r="K214" s="5217"/>
      <c r="L214" s="4733">
        <v>0.33</v>
      </c>
      <c r="M214" s="4737">
        <v>0.32554109692573552</v>
      </c>
      <c r="N214" s="4738">
        <v>0.32554109692573552</v>
      </c>
      <c r="O214" s="4739">
        <v>0.32554109692573552</v>
      </c>
      <c r="P214" s="4739">
        <v>0.32554109692573552</v>
      </c>
      <c r="Q214" s="4740">
        <v>0.32554109692573552</v>
      </c>
      <c r="T214" s="73"/>
    </row>
    <row r="215" spans="2:24" ht="12" customHeight="1">
      <c r="B215" s="203" t="s">
        <v>11024</v>
      </c>
      <c r="C215" s="32"/>
      <c r="D215" s="32"/>
      <c r="E215" s="32"/>
      <c r="F215" s="37">
        <f>100%-F214</f>
        <v>0.67456384117733303</v>
      </c>
      <c r="G215" s="4707">
        <f ca="1">+$G$213*F215</f>
        <v>143901.3961352582</v>
      </c>
      <c r="K215" s="5217"/>
      <c r="L215" s="4733">
        <v>0.35</v>
      </c>
      <c r="M215" s="4741">
        <v>0.32554109692573552</v>
      </c>
      <c r="N215" s="4742">
        <v>0.32554109692573552</v>
      </c>
      <c r="O215" s="76">
        <v>0.32554109692573552</v>
      </c>
      <c r="P215" s="76">
        <v>0.32554109692573552</v>
      </c>
      <c r="Q215" s="4736">
        <v>0.32554109692573552</v>
      </c>
      <c r="T215" s="73"/>
    </row>
    <row r="216" spans="2:24" ht="12" customHeight="1">
      <c r="B216" s="3940" t="s">
        <v>11025</v>
      </c>
      <c r="C216" s="32"/>
      <c r="D216" s="32"/>
      <c r="E216" s="32"/>
      <c r="F216" s="4708">
        <v>0.33</v>
      </c>
      <c r="G216" s="4707">
        <f ca="1">+(G214-(I216-G210))*F216</f>
        <v>22909.820934805895</v>
      </c>
      <c r="H216" s="4714">
        <v>0.06</v>
      </c>
      <c r="I216" s="4713">
        <f>-D210*(1+H216)^YEARFRAC(D209,G209)</f>
        <v>84089.694338622023</v>
      </c>
      <c r="K216" s="5217"/>
      <c r="L216" s="4743">
        <v>0.39999999999999997</v>
      </c>
      <c r="M216" s="4744">
        <v>0.32554109692573552</v>
      </c>
      <c r="N216" s="2996">
        <v>0.32554109692573552</v>
      </c>
      <c r="O216" s="2996">
        <v>0.32554109692573552</v>
      </c>
      <c r="P216" s="2996">
        <v>0.32554109692573552</v>
      </c>
      <c r="Q216" s="4745">
        <v>0.32554109692573552</v>
      </c>
      <c r="T216" s="73"/>
    </row>
    <row r="217" spans="2:24" ht="12" customHeight="1">
      <c r="B217" s="4709" t="s">
        <v>11026</v>
      </c>
      <c r="C217" s="4709"/>
      <c r="D217" s="4710">
        <f>+D210+D214-D216</f>
        <v>-70603.328870999219</v>
      </c>
      <c r="E217" s="4709"/>
      <c r="F217" s="4709"/>
      <c r="G217" s="4711">
        <f ca="1">+G210+G214-G216</f>
        <v>130603.57320625824</v>
      </c>
      <c r="T217" s="73"/>
    </row>
    <row r="218" spans="2:24" ht="12" customHeight="1">
      <c r="B218" s="4697" t="s">
        <v>11017</v>
      </c>
      <c r="C218" s="4697"/>
      <c r="D218" s="4697"/>
      <c r="E218" s="4697"/>
      <c r="F218" s="4697"/>
      <c r="G218" s="4712">
        <f ca="1">+XIRR(D217:G217,D209:G209)</f>
        <v>0.2273319780826569</v>
      </c>
      <c r="L218" s="32" t="s">
        <v>11039</v>
      </c>
      <c r="T218" s="73"/>
    </row>
    <row r="219" spans="2:24" ht="12" customHeight="1">
      <c r="B219" s="4698" t="s">
        <v>10790</v>
      </c>
      <c r="C219" s="4698"/>
      <c r="D219" s="4698"/>
      <c r="E219" s="4698"/>
      <c r="F219" s="4698"/>
      <c r="G219" s="4699">
        <f ca="1">+G217/-D217</f>
        <v>1.8498217477094698</v>
      </c>
      <c r="L219" s="4723" t="s">
        <v>11037</v>
      </c>
      <c r="N219" s="4724"/>
      <c r="O219" s="4724"/>
      <c r="P219" s="4724"/>
      <c r="Q219" s="4724"/>
      <c r="T219" s="73"/>
    </row>
    <row r="220" spans="2:24" ht="12" customHeight="1">
      <c r="L220" s="4746">
        <f ca="1">$G$224</f>
        <v>2.3308531834955897</v>
      </c>
      <c r="M220" s="4726">
        <v>0.06</v>
      </c>
      <c r="N220" s="4726">
        <v>6.5000000000000002E-2</v>
      </c>
      <c r="O220" s="4726">
        <v>7.0000000000000007E-2</v>
      </c>
      <c r="P220" s="4727">
        <v>7.5000000000000011E-2</v>
      </c>
      <c r="Q220" s="4728">
        <v>8.0000000000000016E-2</v>
      </c>
      <c r="T220" s="73"/>
    </row>
    <row r="221" spans="2:24" ht="12" customHeight="1">
      <c r="B221" s="4693" t="s">
        <v>11030</v>
      </c>
      <c r="C221" s="4694"/>
      <c r="D221" s="4694">
        <f>$B$241</f>
        <v>44742</v>
      </c>
      <c r="E221" s="4695"/>
      <c r="F221" s="4695"/>
      <c r="G221" s="4696">
        <f>$F$14</f>
        <v>45838</v>
      </c>
      <c r="K221" s="5217" t="s">
        <v>11038</v>
      </c>
      <c r="L221" s="4729">
        <v>0.2</v>
      </c>
      <c r="M221" s="4747">
        <f t="dataTable" ref="M221:Q225" dt2D="1" dtr="1" r1="H216" r2="F216" ca="1"/>
        <v>2.3308531834955897</v>
      </c>
      <c r="N221" s="4748">
        <v>2.3308531834955897</v>
      </c>
      <c r="O221" s="4748">
        <v>2.3308531834955897</v>
      </c>
      <c r="P221" s="4748">
        <v>2.3308531834955897</v>
      </c>
      <c r="Q221" s="4749">
        <v>2.3308531834955897</v>
      </c>
      <c r="T221" s="73"/>
    </row>
    <row r="222" spans="2:24" ht="12" customHeight="1">
      <c r="B222" s="1" t="s">
        <v>11031</v>
      </c>
      <c r="C222" s="205"/>
      <c r="D222" s="205">
        <f>D212</f>
        <v>-146346.53043910774</v>
      </c>
      <c r="E222" s="205"/>
      <c r="F222" s="205"/>
      <c r="G222" s="73">
        <f ca="1">+G212+G215+G216</f>
        <v>341112.27636752848</v>
      </c>
      <c r="K222" s="5217"/>
      <c r="L222" s="4733">
        <v>0.25</v>
      </c>
      <c r="M222" s="4750">
        <v>2.3308531834955897</v>
      </c>
      <c r="N222" s="4751">
        <v>2.3308531834955897</v>
      </c>
      <c r="O222" s="4752">
        <v>2.3308531834955897</v>
      </c>
      <c r="P222" s="4752">
        <v>2.3308531834955897</v>
      </c>
      <c r="Q222" s="4753">
        <v>2.3308531834955897</v>
      </c>
      <c r="T222" s="73"/>
    </row>
    <row r="223" spans="2:24" ht="12" customHeight="1">
      <c r="B223" s="4697" t="s">
        <v>11017</v>
      </c>
      <c r="C223" s="4697"/>
      <c r="D223" s="4697"/>
      <c r="E223" s="4697"/>
      <c r="F223" s="4697"/>
      <c r="G223" s="4712">
        <f ca="1">XIRR(D222:G222,D221:G221)</f>
        <v>0.32554109692573552</v>
      </c>
      <c r="K223" s="5217"/>
      <c r="L223" s="4733">
        <v>0.33</v>
      </c>
      <c r="M223" s="4754">
        <v>2.3308531834955897</v>
      </c>
      <c r="N223" s="4755">
        <v>2.3308531834955897</v>
      </c>
      <c r="O223" s="4756">
        <v>2.3308531834955897</v>
      </c>
      <c r="P223" s="4756">
        <v>2.3308531834955897</v>
      </c>
      <c r="Q223" s="4757">
        <v>2.3308531834955897</v>
      </c>
      <c r="T223" s="73"/>
    </row>
    <row r="224" spans="2:24" ht="12" customHeight="1">
      <c r="B224" s="4698" t="s">
        <v>10790</v>
      </c>
      <c r="C224" s="4698"/>
      <c r="D224" s="4698"/>
      <c r="E224" s="4698"/>
      <c r="F224" s="4698"/>
      <c r="G224" s="4699">
        <f ca="1">+G222/-D222</f>
        <v>2.3308531834955897</v>
      </c>
      <c r="K224" s="5217"/>
      <c r="L224" s="4733">
        <v>0.35</v>
      </c>
      <c r="M224" s="4758">
        <v>2.3308531834955897</v>
      </c>
      <c r="N224" s="4759">
        <v>2.3308531834955897</v>
      </c>
      <c r="O224" s="4752">
        <v>2.3308531834955897</v>
      </c>
      <c r="P224" s="4752">
        <v>2.3308531834955897</v>
      </c>
      <c r="Q224" s="4753">
        <v>2.3308531834955897</v>
      </c>
      <c r="T224" s="73"/>
      <c r="X224" s="73"/>
    </row>
    <row r="225" spans="1:38" ht="12" customHeight="1">
      <c r="K225" s="5217"/>
      <c r="L225" s="4743">
        <v>0.39999999999999997</v>
      </c>
      <c r="M225" s="4760">
        <v>2.3308531834955897</v>
      </c>
      <c r="N225" s="4761">
        <v>2.3308531834955897</v>
      </c>
      <c r="O225" s="4761">
        <v>2.3308531834955897</v>
      </c>
      <c r="P225" s="4761">
        <v>2.3308531834955897</v>
      </c>
      <c r="Q225" s="4762">
        <v>2.3308531834955897</v>
      </c>
      <c r="T225" s="73"/>
      <c r="X225" s="73"/>
    </row>
    <row r="226" spans="1:38" ht="12" customHeight="1">
      <c r="B226" s="4715" t="s">
        <v>11032</v>
      </c>
      <c r="C226" s="4716"/>
      <c r="D226" s="4716">
        <f>$B$241</f>
        <v>44742</v>
      </c>
      <c r="E226" s="4715"/>
      <c r="F226" s="4715"/>
      <c r="G226" s="4716">
        <f>$F$14</f>
        <v>45838</v>
      </c>
      <c r="T226" s="73"/>
      <c r="X226" s="73"/>
    </row>
    <row r="227" spans="1:38" ht="12" customHeight="1">
      <c r="B227" s="1" t="s">
        <v>11033</v>
      </c>
      <c r="C227" s="205"/>
      <c r="D227" s="205">
        <f>SUMIFS($D$320:$D$392,$B$320:$B$392,D226)+SUMIFS($E$320:$E$392,$B$320:$B$392,D226)</f>
        <v>-146346.53043910774</v>
      </c>
      <c r="E227" s="205"/>
      <c r="F227" s="205"/>
      <c r="G227" s="205">
        <f ca="1">SUMIFS($D$320:$D$392,$B$320:$B$392,G226)+SUMIFS($E$320:$E$392,$B$320:$B$392,G226)</f>
        <v>318202.45543272258</v>
      </c>
      <c r="T227" s="73"/>
      <c r="X227" s="73"/>
    </row>
    <row r="228" spans="1:38" ht="12" customHeight="1">
      <c r="B228" s="4697" t="s">
        <v>11017</v>
      </c>
      <c r="C228" s="4697"/>
      <c r="D228" s="4697"/>
      <c r="E228" s="4697"/>
      <c r="F228" s="4697"/>
      <c r="G228" s="4712">
        <f ca="1">XIRR(D227:G227,D226:G226)</f>
        <v>0.29520279765129098</v>
      </c>
      <c r="T228" s="73"/>
      <c r="X228" s="73"/>
    </row>
    <row r="229" spans="1:38" ht="12" customHeight="1">
      <c r="B229" s="4698" t="s">
        <v>10790</v>
      </c>
      <c r="C229" s="4698"/>
      <c r="D229" s="4698"/>
      <c r="E229" s="4698"/>
      <c r="F229" s="4698"/>
      <c r="G229" s="4699">
        <f ca="1">+G227/-D227</f>
        <v>2.1743081607604022</v>
      </c>
      <c r="T229" s="73"/>
      <c r="X229" s="73"/>
    </row>
    <row r="230" spans="1:38" ht="12" customHeight="1">
      <c r="T230" s="73"/>
      <c r="X230" s="73"/>
    </row>
    <row r="231" spans="1:38" ht="12" customHeight="1">
      <c r="B231" s="4715" t="s">
        <v>11034</v>
      </c>
      <c r="C231" s="4716"/>
      <c r="D231" s="4716"/>
      <c r="E231" s="4715"/>
      <c r="F231" s="4715"/>
      <c r="G231" s="4716"/>
      <c r="T231" s="73"/>
      <c r="X231" s="73"/>
    </row>
    <row r="232" spans="1:38" ht="12" customHeight="1">
      <c r="B232" s="4717" t="s">
        <v>11035</v>
      </c>
      <c r="C232" s="4717"/>
      <c r="D232" s="4717"/>
      <c r="E232" s="4717"/>
      <c r="F232" s="4717"/>
      <c r="G232" s="4718">
        <f ca="1">+G222-G227</f>
        <v>22909.820934805903</v>
      </c>
      <c r="J232" s="5156" t="s">
        <v>13527</v>
      </c>
      <c r="K232" s="5156"/>
      <c r="L232" s="5156"/>
      <c r="M232" s="5156"/>
      <c r="N232" s="5156"/>
      <c r="T232" s="73"/>
      <c r="X232" s="73"/>
    </row>
    <row r="233" spans="1:38" ht="12" customHeight="1">
      <c r="B233" s="4719" t="s">
        <v>11017</v>
      </c>
      <c r="C233" s="4719"/>
      <c r="D233" s="4719"/>
      <c r="E233" s="4719"/>
      <c r="F233" s="4719"/>
      <c r="G233" s="4720">
        <f ca="1">+G223-G228</f>
        <v>3.0338299274444536E-2</v>
      </c>
      <c r="T233" s="73"/>
      <c r="X233" s="73"/>
    </row>
    <row r="234" spans="1:38" ht="12" customHeight="1">
      <c r="B234" s="4721" t="s">
        <v>10790</v>
      </c>
      <c r="C234" s="4721"/>
      <c r="D234" s="4721"/>
      <c r="E234" s="4721"/>
      <c r="F234" s="4721"/>
      <c r="G234" s="4722">
        <f ca="1">+G224-G229</f>
        <v>0.15654502273518744</v>
      </c>
      <c r="T234" s="73"/>
      <c r="X234" s="73"/>
    </row>
    <row r="235" spans="1:38" ht="12" customHeight="1">
      <c r="T235" s="73"/>
    </row>
    <row r="237" spans="1:38" s="3" customFormat="1" ht="12" customHeight="1">
      <c r="A237" s="20" t="s">
        <v>78</v>
      </c>
      <c r="B237" s="21" t="s">
        <v>10758</v>
      </c>
      <c r="C237" s="102"/>
      <c r="D237" s="102"/>
      <c r="E237" s="102"/>
      <c r="F237" s="102"/>
      <c r="G237" s="102"/>
      <c r="H237" s="102"/>
      <c r="I237" s="102"/>
      <c r="J237" s="102"/>
      <c r="K237" s="102"/>
      <c r="L237" s="102"/>
      <c r="M237" s="102"/>
      <c r="N237" s="102"/>
      <c r="O237" s="102"/>
      <c r="P237" s="102"/>
      <c r="Q237" s="102"/>
      <c r="R237" s="102"/>
      <c r="S237" s="102"/>
      <c r="T237" s="102"/>
      <c r="U237" s="102"/>
      <c r="V237" s="102"/>
      <c r="W237" s="102"/>
      <c r="X237" s="102"/>
      <c r="Y237" s="102"/>
      <c r="Z237" s="102"/>
      <c r="AA237" s="102"/>
      <c r="AB237" s="102"/>
      <c r="AC237" s="102"/>
      <c r="AD237" s="102"/>
      <c r="AE237" s="102"/>
      <c r="AF237" s="102"/>
      <c r="AG237" s="102"/>
      <c r="AH237" s="102"/>
      <c r="AI237" s="102"/>
      <c r="AJ237" s="102"/>
      <c r="AK237" s="102"/>
      <c r="AL237" s="102"/>
    </row>
    <row r="238" spans="1:38" ht="12" customHeight="1">
      <c r="AL238" s="73">
        <f>MIN(23500,$E$104*$F$29)</f>
        <v>23500</v>
      </c>
    </row>
    <row r="239" spans="1:38" ht="12" customHeight="1">
      <c r="B239" s="5210" t="s">
        <v>6756</v>
      </c>
      <c r="C239" s="5211" t="s">
        <v>6127</v>
      </c>
      <c r="D239" s="5211"/>
      <c r="E239" s="5211"/>
      <c r="F239" s="5211"/>
      <c r="G239" s="5211"/>
      <c r="H239" s="5211"/>
      <c r="I239" s="5157" t="s">
        <v>6136</v>
      </c>
      <c r="J239" s="5157"/>
      <c r="K239" s="5157"/>
      <c r="L239" s="5157"/>
      <c r="M239" s="5157"/>
      <c r="N239" s="5157"/>
      <c r="O239" s="5157"/>
      <c r="P239" s="5157"/>
      <c r="Q239" s="5157"/>
      <c r="R239" s="5157"/>
      <c r="S239" s="5157"/>
      <c r="T239" s="5207" t="s">
        <v>10767</v>
      </c>
      <c r="U239" s="5207"/>
      <c r="V239" s="5207"/>
      <c r="X239" s="5207" t="s">
        <v>10768</v>
      </c>
      <c r="Y239" s="5207"/>
      <c r="Z239" s="5207"/>
      <c r="AA239" s="5207" t="s">
        <v>10769</v>
      </c>
      <c r="AB239" s="5207"/>
      <c r="AC239" s="5207"/>
      <c r="AD239" s="5213" t="s">
        <v>10770</v>
      </c>
      <c r="AE239" s="5207"/>
      <c r="AF239" s="5214"/>
      <c r="AG239" s="5207" t="s">
        <v>10900</v>
      </c>
      <c r="AH239" s="5207"/>
      <c r="AI239" s="5207"/>
      <c r="AJ239" s="205"/>
      <c r="AK239" s="5208" t="s">
        <v>10771</v>
      </c>
      <c r="AL239" s="5208" t="s">
        <v>10772</v>
      </c>
    </row>
    <row r="240" spans="1:38" ht="12" customHeight="1">
      <c r="B240" s="5209"/>
      <c r="C240" s="4540" t="s">
        <v>10744</v>
      </c>
      <c r="D240" s="4540" t="s">
        <v>10773</v>
      </c>
      <c r="E240" s="4540" t="s">
        <v>10774</v>
      </c>
      <c r="F240" s="4540" t="s">
        <v>6734</v>
      </c>
      <c r="G240" s="4540" t="s">
        <v>10987</v>
      </c>
      <c r="H240" s="4540" t="s">
        <v>10776</v>
      </c>
      <c r="I240" s="4541" t="s">
        <v>10777</v>
      </c>
      <c r="J240" s="4541" t="s">
        <v>10778</v>
      </c>
      <c r="K240" s="4541" t="s">
        <v>10779</v>
      </c>
      <c r="L240" s="4541" t="s">
        <v>10981</v>
      </c>
      <c r="M240" s="4541" t="s">
        <v>10770</v>
      </c>
      <c r="N240" s="4541" t="s">
        <v>10899</v>
      </c>
      <c r="O240" s="4541" t="s">
        <v>10769</v>
      </c>
      <c r="P240" s="4541" t="s">
        <v>10780</v>
      </c>
      <c r="Q240" s="4541" t="s">
        <v>10781</v>
      </c>
      <c r="R240" s="4541" t="s">
        <v>10782</v>
      </c>
      <c r="S240" s="4541" t="s">
        <v>10744</v>
      </c>
      <c r="T240" s="4527" t="s">
        <v>10783</v>
      </c>
      <c r="U240" s="4527" t="s">
        <v>10773</v>
      </c>
      <c r="V240" s="4527" t="s">
        <v>10776</v>
      </c>
      <c r="X240" s="4527" t="s">
        <v>10784</v>
      </c>
      <c r="Y240" s="4527" t="s">
        <v>10785</v>
      </c>
      <c r="Z240" s="4527" t="s">
        <v>10786</v>
      </c>
      <c r="AA240" s="4527" t="s">
        <v>10784</v>
      </c>
      <c r="AB240" s="4527" t="s">
        <v>10787</v>
      </c>
      <c r="AC240" s="4527" t="s">
        <v>10788</v>
      </c>
      <c r="AD240" s="5150" t="s">
        <v>10784</v>
      </c>
      <c r="AE240" s="4527" t="s">
        <v>10787</v>
      </c>
      <c r="AF240" s="5151" t="s">
        <v>10788</v>
      </c>
      <c r="AG240" s="4527" t="s">
        <v>10784</v>
      </c>
      <c r="AH240" s="4527" t="s">
        <v>10787</v>
      </c>
      <c r="AI240" s="4527" t="s">
        <v>10901</v>
      </c>
      <c r="AJ240" s="205"/>
      <c r="AK240" s="5209"/>
      <c r="AL240" s="5209"/>
    </row>
    <row r="241" spans="1:38" ht="12" customHeight="1">
      <c r="A241" s="4542">
        <f>YEAR(B241)</f>
        <v>2022</v>
      </c>
      <c r="B241" s="5149">
        <v>44742</v>
      </c>
      <c r="C241" s="205">
        <f>E106</f>
        <v>216949.85931010696</v>
      </c>
      <c r="D241" s="205">
        <f>E105</f>
        <v>253657.21077689301</v>
      </c>
      <c r="E241" s="205">
        <v>0</v>
      </c>
      <c r="F241" s="205">
        <v>0</v>
      </c>
      <c r="G241" s="205">
        <v>0</v>
      </c>
      <c r="H241" s="205">
        <f t="shared" ref="H241:H272" si="72">IF(-SUM(C241:G241,I241:O241)&gt;0,-SUM(C241:G241,I241:O241),)</f>
        <v>6159.2196820780246</v>
      </c>
      <c r="I241" s="205">
        <f>-E92</f>
        <v>-470607.07008699997</v>
      </c>
      <c r="J241" s="205">
        <f>-E104*SUM(F28,F29)*F59</f>
        <v>-4019.2196820780241</v>
      </c>
      <c r="K241" s="205">
        <f>-F62</f>
        <v>-30</v>
      </c>
      <c r="L241" s="205">
        <f>-F70-F71</f>
        <v>-2110</v>
      </c>
      <c r="M241" s="205">
        <v>0</v>
      </c>
      <c r="N241" s="205">
        <v>0</v>
      </c>
      <c r="O241" s="205">
        <v>0</v>
      </c>
      <c r="P241" s="205">
        <v>0</v>
      </c>
      <c r="Q241" s="205">
        <v>0</v>
      </c>
      <c r="R241" s="205">
        <v>0</v>
      </c>
      <c r="S241" s="205">
        <v>0</v>
      </c>
      <c r="T241" s="205">
        <f>SUM(C241:S241)</f>
        <v>2.7739588404074311E-11</v>
      </c>
      <c r="U241" s="205">
        <f>D241+R241</f>
        <v>253657.21077689301</v>
      </c>
      <c r="V241" s="205">
        <f>H241+P241</f>
        <v>6159.2196820780246</v>
      </c>
      <c r="W241" s="205"/>
      <c r="X241" s="205">
        <v>0</v>
      </c>
      <c r="Y241" s="205">
        <f t="shared" ref="Y241:Y272" si="73">-E241</f>
        <v>0</v>
      </c>
      <c r="Z241" s="205">
        <v>0</v>
      </c>
      <c r="AA241" s="205">
        <v>0</v>
      </c>
      <c r="AB241" s="205">
        <v>0</v>
      </c>
      <c r="AC241" s="205">
        <v>0</v>
      </c>
      <c r="AD241" s="5152">
        <v>0</v>
      </c>
      <c r="AE241" s="205">
        <v>0</v>
      </c>
      <c r="AF241" s="5153">
        <v>0</v>
      </c>
      <c r="AG241" s="205">
        <v>0</v>
      </c>
      <c r="AH241" s="205">
        <v>0</v>
      </c>
      <c r="AI241" s="205">
        <v>0</v>
      </c>
      <c r="AJ241" s="205"/>
      <c r="AK241" s="205">
        <f t="shared" ref="AK241:AK272" si="74">-C241-S241</f>
        <v>-216949.85931010696</v>
      </c>
      <c r="AL241" s="4543" t="str">
        <f>IF(V241&gt;$AL$238,"한도초과","한도준수")</f>
        <v>한도준수</v>
      </c>
    </row>
    <row r="242" spans="1:38" ht="12" customHeight="1">
      <c r="A242" s="4542">
        <f t="shared" ref="A242:A305" si="75">YEAR(B242)</f>
        <v>2022</v>
      </c>
      <c r="B242" s="3606">
        <f>EOMONTH(B241,1)</f>
        <v>44773</v>
      </c>
      <c r="C242" s="205">
        <v>0</v>
      </c>
      <c r="D242" s="205">
        <v>0</v>
      </c>
      <c r="E242" s="205">
        <f t="shared" ref="E242:E273" si="76">IF(B242=$F$23,X242+Z241,IF(MOD(ROW(B242)-ROW($B$241),3)=0,Z241+X242,))</f>
        <v>0</v>
      </c>
      <c r="F242" s="205">
        <f t="shared" ref="F242:F273" si="77">IF(AND(EOMONTH(B242,-2)&gt;EOMONTH($F$23,0),B242&lt;$F$14)=TRUE,IFERROR(HLOOKUP(B242,$F$129:$I$130,2,FALSE),)*$J$123,)</f>
        <v>0</v>
      </c>
      <c r="G242" s="205">
        <f t="shared" ref="G242:G273" si="78">IF(AND($F$17="O",B242=EOMONTH($B$241,60))=TRUE,$E$104*(1+$F$18)^((B242-$B$241)/365),IF($F$17="O",0,IF(AND(B242=$F$14,B242&gt;($F$23-1))=TRUE,$E$116*$J$123,)*(1-$F$72)))</f>
        <v>0</v>
      </c>
      <c r="H242" s="205">
        <f t="shared" si="72"/>
        <v>0.41666666666666669</v>
      </c>
      <c r="I242" s="205">
        <v>0</v>
      </c>
      <c r="J242" s="205">
        <v>0</v>
      </c>
      <c r="K242" s="205">
        <f t="shared" ref="K242:K273" si="79">-IF(AND(ROUND(U241,)=0,ROUND(V241,)=0)=TRUE,0,IF(MOD(ROW(B242)-ROW($B$241),12)=0,$F$62,0))</f>
        <v>0</v>
      </c>
      <c r="L242" s="205">
        <f t="shared" ref="L242:L273" si="80">IF(B242&gt;$F$14,0,-$F$73/12)</f>
        <v>-0.41666666666666669</v>
      </c>
      <c r="M242" s="205">
        <f t="shared" ref="M242:M273" si="81">IF(B242=$F$14,-(AF241+AD242),IF(MOD(ROW(B242)-ROW($B$241),3)=0,-(AF241+AD242),))</f>
        <v>0</v>
      </c>
      <c r="N242" s="205">
        <v>0</v>
      </c>
      <c r="O242" s="205">
        <f t="shared" ref="O242:O273" si="82">IF(B242=$F$14,-(AC241+AA242),IF(MOD(ROW(B242)-ROW($B$241),3)=0,-(AC241+AA242),))</f>
        <v>0</v>
      </c>
      <c r="P242" s="205">
        <f t="shared" ref="P242:P273" si="83">IF(SUM(T241,C242:H242,I242:O242)&gt;0,-MIN(V241+H242,SUM(T241,C242:H242,I242:O242)),)</f>
        <v>-2.7739588404074311E-11</v>
      </c>
      <c r="Q242" s="205">
        <f t="shared" ref="Q242:Q273" ca="1" si="84">IF(B242&lt;EOMONTH($B$241,12),R242*$F$61,)</f>
        <v>0</v>
      </c>
      <c r="R242" s="205">
        <f t="shared" ref="R242:R273" ca="1" si="85">IF(SUM(T241,C242:H242,I242:Q242)&gt;0,-MIN(U241+D242,SUM(T241,C242:H242,I242:Q242)),)</f>
        <v>0</v>
      </c>
      <c r="S242" s="205">
        <f t="shared" ref="S242:S273" ca="1" si="86">IF(SUM(T241,C242:H242,I242:R242)&gt;0,-SUM(T241,C242:H242,I242:R242),)</f>
        <v>0</v>
      </c>
      <c r="T242" s="205">
        <f t="shared" ref="T242:T273" ca="1" si="87">SUM(C242:S242)+T241</f>
        <v>0</v>
      </c>
      <c r="U242" s="205">
        <f t="shared" ref="U242:U273" ca="1" si="88">D242+R242+U241</f>
        <v>253657.21077689301</v>
      </c>
      <c r="V242" s="205">
        <f t="shared" ref="V242:V273" si="89">H242+P242+V241</f>
        <v>6159.6363487446633</v>
      </c>
      <c r="W242" s="205"/>
      <c r="X242" s="205">
        <f>IF(B242&lt;$F$23,$E$92*$F$22*(DATEDIF(B241,B242,"d"))/365,)</f>
        <v>999.23418991075357</v>
      </c>
      <c r="Y242" s="205">
        <f>-E242</f>
        <v>0</v>
      </c>
      <c r="Z242" s="205">
        <f>Z241+SUM(X242:Y242)</f>
        <v>999.23418991075357</v>
      </c>
      <c r="AA242" s="205">
        <f>(DATEDIF(B241,B242,"d"))/365*($F$34*$F$32%+($F$47+IF($D$38="현시점유지",$F$39,VLOOKUP(A242,$B$40:$F$46,5,FALSE)))*$F$33%)*ROUND(U241,)</f>
        <v>1103.7640666147054</v>
      </c>
      <c r="AB242" s="205">
        <f>O242</f>
        <v>0</v>
      </c>
      <c r="AC242" s="205">
        <f t="shared" ref="AC242:AC273" si="90">AC241+SUM(AA242:AB242)</f>
        <v>1103.7640666147054</v>
      </c>
      <c r="AD242" s="5152">
        <f>(DATEDIF(B241,B242,"d"))/365*(IF($D$49="현시점유지",$F$50,VLOOKUP(A242,$B$51:$F$57,5,FALSE))+$F$58)*ROUND(V241,)</f>
        <v>25.677881223395559</v>
      </c>
      <c r="AE242" s="205">
        <f>M242</f>
        <v>0</v>
      </c>
      <c r="AF242" s="5153">
        <f>AF241+SUM(AD242:AE242)</f>
        <v>25.677881223395559</v>
      </c>
      <c r="AG242" s="205">
        <f>IF(U241=0,0,($AL$238-V241)*$F$60*(DATEDIF(B241,B242,"d"))/365)</f>
        <v>4.4183358070321752</v>
      </c>
      <c r="AH242" s="205">
        <f>N242</f>
        <v>0</v>
      </c>
      <c r="AI242" s="205">
        <f>AI241+AG242+AH242</f>
        <v>4.4183358070321752</v>
      </c>
      <c r="AJ242" s="205"/>
      <c r="AK242" s="205">
        <f t="shared" ca="1" si="74"/>
        <v>0</v>
      </c>
      <c r="AL242" s="4543" t="str">
        <f t="shared" ref="AL242:AL305" si="91">IF(V242&gt;$AL$238,"한도초과","한도준수")</f>
        <v>한도준수</v>
      </c>
    </row>
    <row r="243" spans="1:38" ht="12" customHeight="1">
      <c r="A243" s="4542">
        <f t="shared" si="75"/>
        <v>2022</v>
      </c>
      <c r="B243" s="3606">
        <f t="shared" ref="B243:B306" si="92">EOMONTH(B242,1)</f>
        <v>44804</v>
      </c>
      <c r="C243" s="205">
        <v>0</v>
      </c>
      <c r="D243" s="205">
        <v>0</v>
      </c>
      <c r="E243" s="205">
        <f t="shared" si="76"/>
        <v>0</v>
      </c>
      <c r="F243" s="205">
        <f t="shared" si="77"/>
        <v>0</v>
      </c>
      <c r="G243" s="205">
        <f t="shared" si="78"/>
        <v>0</v>
      </c>
      <c r="H243" s="205">
        <f t="shared" ca="1" si="72"/>
        <v>0.41666666666666669</v>
      </c>
      <c r="I243" s="205">
        <v>0</v>
      </c>
      <c r="J243" s="205">
        <v>0</v>
      </c>
      <c r="K243" s="205">
        <f ca="1">-IF(AND(ROUND(U242,)=0,ROUND(V242,)=0)=TRUE,0,IF(MOD(ROW(B243)-ROW($B$241),12)=0,$F$62,0))</f>
        <v>0</v>
      </c>
      <c r="L243" s="205">
        <f t="shared" si="80"/>
        <v>-0.41666666666666669</v>
      </c>
      <c r="M243" s="205">
        <f t="shared" si="81"/>
        <v>0</v>
      </c>
      <c r="N243" s="205">
        <v>0</v>
      </c>
      <c r="O243" s="205">
        <f t="shared" si="82"/>
        <v>0</v>
      </c>
      <c r="P243" s="205">
        <f t="shared" ca="1" si="83"/>
        <v>0</v>
      </c>
      <c r="Q243" s="205">
        <f t="shared" ca="1" si="84"/>
        <v>0</v>
      </c>
      <c r="R243" s="205">
        <f t="shared" ca="1" si="85"/>
        <v>0</v>
      </c>
      <c r="S243" s="205">
        <f t="shared" ca="1" si="86"/>
        <v>0</v>
      </c>
      <c r="T243" s="205">
        <f t="shared" ca="1" si="87"/>
        <v>0</v>
      </c>
      <c r="U243" s="205">
        <f t="shared" ca="1" si="88"/>
        <v>253657.21077689301</v>
      </c>
      <c r="V243" s="205">
        <f t="shared" ca="1" si="89"/>
        <v>6160.0530154113303</v>
      </c>
      <c r="W243" s="205"/>
      <c r="X243" s="205">
        <f t="shared" ref="X243:X306" si="93">IF(B243&lt;$F$23,$E$92*$F$22*(DATEDIF(B242,B243,"d"))/365,)</f>
        <v>999.23418991075357</v>
      </c>
      <c r="Y243" s="205">
        <f t="shared" si="73"/>
        <v>0</v>
      </c>
      <c r="Z243" s="205">
        <f t="shared" ref="Z243:Z306" si="94">Z242+SUM(X243:Y243)</f>
        <v>1998.4683798215071</v>
      </c>
      <c r="AA243" s="205">
        <f t="shared" ref="AA243:AA306" ca="1" si="95">(DATEDIF(B242,B243,"d"))/365*($F$34*$F$32%+($F$47+IF($D$38="현시점유지",$F$39,VLOOKUP(A243,$B$40:$F$46,5,FALSE)))*$F$33%)*ROUND(U242,)</f>
        <v>1103.7640666147054</v>
      </c>
      <c r="AB243" s="205">
        <f t="shared" ref="AB243:AB306" si="96">O243</f>
        <v>0</v>
      </c>
      <c r="AC243" s="205">
        <f t="shared" ca="1" si="90"/>
        <v>2207.5281332294107</v>
      </c>
      <c r="AD243" s="5152">
        <f t="shared" ref="AD243:AD306" si="97">(DATEDIF(B242,B243,"d"))/365*(IF($D$49="현시점유지",$F$50,VLOOKUP(A243,$B$51:$F$57,5,FALSE))+$F$58)*ROUND(V242,)</f>
        <v>25.682050387419491</v>
      </c>
      <c r="AE243" s="205">
        <f t="shared" ref="AE243:AE306" si="98">M243</f>
        <v>0</v>
      </c>
      <c r="AF243" s="5153">
        <f t="shared" ref="AF243" si="99">AF242+SUM(AD243:AE243)</f>
        <v>51.359931610815053</v>
      </c>
      <c r="AG243" s="205">
        <f t="shared" ref="AG243:AG306" ca="1" si="100">IF(U242=0,0,($AL$238-V242)*$F$60*(DATEDIF(B242,B243,"d"))/365)</f>
        <v>4.4182296426486198</v>
      </c>
      <c r="AH243" s="205">
        <f t="shared" ref="AH243:AH306" si="101">N243</f>
        <v>0</v>
      </c>
      <c r="AI243" s="205">
        <f t="shared" ref="AI243:AI306" ca="1" si="102">AI242+AG243+AH243</f>
        <v>8.8365654496807942</v>
      </c>
      <c r="AJ243" s="205"/>
      <c r="AK243" s="205">
        <f t="shared" ca="1" si="74"/>
        <v>0</v>
      </c>
      <c r="AL243" s="4543" t="str">
        <f t="shared" ca="1" si="91"/>
        <v>한도준수</v>
      </c>
    </row>
    <row r="244" spans="1:38" ht="12" customHeight="1">
      <c r="A244" s="4542">
        <f t="shared" si="75"/>
        <v>2022</v>
      </c>
      <c r="B244" s="3606">
        <f t="shared" si="92"/>
        <v>44834</v>
      </c>
      <c r="C244" s="205">
        <v>0</v>
      </c>
      <c r="D244" s="205">
        <v>0</v>
      </c>
      <c r="E244" s="205">
        <f t="shared" si="76"/>
        <v>2965.4692087673975</v>
      </c>
      <c r="F244" s="205">
        <f t="shared" si="77"/>
        <v>0</v>
      </c>
      <c r="G244" s="205">
        <f t="shared" si="78"/>
        <v>0</v>
      </c>
      <c r="H244" s="205">
        <f t="shared" ca="1" si="72"/>
        <v>399.96006284761734</v>
      </c>
      <c r="I244" s="205">
        <v>0</v>
      </c>
      <c r="J244" s="205">
        <v>0</v>
      </c>
      <c r="K244" s="205">
        <f t="shared" ca="1" si="79"/>
        <v>0</v>
      </c>
      <c r="L244" s="205">
        <f t="shared" si="80"/>
        <v>-0.41666666666666669</v>
      </c>
      <c r="M244" s="205">
        <f t="shared" ca="1" si="81"/>
        <v>-76.213528759930682</v>
      </c>
      <c r="N244" s="205">
        <f t="shared" ref="N244:N275" ca="1" si="103">IF(B244=$F$14,-(AI243+AG244),IF(MOD(ROW(B244)-ROW($B$241),3)=0,-(AI243+AG244),))</f>
        <v>-13.112168815743754</v>
      </c>
      <c r="O244" s="205">
        <f t="shared" ca="1" si="82"/>
        <v>-3275.6869073726739</v>
      </c>
      <c r="P244" s="205">
        <f t="shared" ca="1" si="83"/>
        <v>0</v>
      </c>
      <c r="Q244" s="205">
        <f t="shared" ca="1" si="84"/>
        <v>0</v>
      </c>
      <c r="R244" s="205">
        <f t="shared" ca="1" si="85"/>
        <v>0</v>
      </c>
      <c r="S244" s="205">
        <f t="shared" ca="1" si="86"/>
        <v>0</v>
      </c>
      <c r="T244" s="205">
        <f t="shared" ca="1" si="87"/>
        <v>0</v>
      </c>
      <c r="U244" s="205">
        <f t="shared" ca="1" si="88"/>
        <v>253657.21077689301</v>
      </c>
      <c r="V244" s="205">
        <f t="shared" ca="1" si="89"/>
        <v>6560.0130782589476</v>
      </c>
      <c r="W244" s="205"/>
      <c r="X244" s="205">
        <f t="shared" si="93"/>
        <v>967.00082894589048</v>
      </c>
      <c r="Y244" s="205">
        <f t="shared" si="73"/>
        <v>-2965.4692087673975</v>
      </c>
      <c r="Z244" s="205">
        <f t="shared" si="94"/>
        <v>0</v>
      </c>
      <c r="AA244" s="205">
        <f t="shared" ca="1" si="95"/>
        <v>1068.1587741432634</v>
      </c>
      <c r="AB244" s="205">
        <f ca="1">O244</f>
        <v>-3275.6869073726739</v>
      </c>
      <c r="AC244" s="205">
        <f t="shared" ca="1" si="90"/>
        <v>0</v>
      </c>
      <c r="AD244" s="5152">
        <f t="shared" ca="1" si="97"/>
        <v>24.853597149115636</v>
      </c>
      <c r="AE244" s="205">
        <f ca="1">M244</f>
        <v>-76.213528759930682</v>
      </c>
      <c r="AF244" s="5153">
        <f t="shared" ref="AF244:AF275" ca="1" si="104">AF243+SUM(AD244:AE244)</f>
        <v>0</v>
      </c>
      <c r="AG244" s="205">
        <f t="shared" ca="1" si="100"/>
        <v>4.2756033660629598</v>
      </c>
      <c r="AH244" s="205">
        <f t="shared" ca="1" si="101"/>
        <v>-13.112168815743754</v>
      </c>
      <c r="AI244" s="205">
        <f t="shared" ca="1" si="102"/>
        <v>0</v>
      </c>
      <c r="AJ244" s="205"/>
      <c r="AK244" s="205">
        <f t="shared" ca="1" si="74"/>
        <v>0</v>
      </c>
      <c r="AL244" s="4543" t="str">
        <f t="shared" ca="1" si="91"/>
        <v>한도준수</v>
      </c>
    </row>
    <row r="245" spans="1:38" ht="12" customHeight="1">
      <c r="A245" s="4542">
        <f t="shared" si="75"/>
        <v>2022</v>
      </c>
      <c r="B245" s="3606">
        <f t="shared" si="92"/>
        <v>44865</v>
      </c>
      <c r="C245" s="205">
        <v>0</v>
      </c>
      <c r="D245" s="205">
        <v>0</v>
      </c>
      <c r="E245" s="205">
        <f t="shared" si="76"/>
        <v>0</v>
      </c>
      <c r="F245" s="205">
        <f t="shared" si="77"/>
        <v>0</v>
      </c>
      <c r="G245" s="205">
        <f t="shared" si="78"/>
        <v>0</v>
      </c>
      <c r="H245" s="205">
        <f t="shared" ca="1" si="72"/>
        <v>0.41666666666666669</v>
      </c>
      <c r="I245" s="205">
        <v>0</v>
      </c>
      <c r="J245" s="205">
        <v>0</v>
      </c>
      <c r="K245" s="205">
        <f t="shared" ca="1" si="79"/>
        <v>0</v>
      </c>
      <c r="L245" s="205">
        <f t="shared" si="80"/>
        <v>-0.41666666666666669</v>
      </c>
      <c r="M245" s="205">
        <f t="shared" si="81"/>
        <v>0</v>
      </c>
      <c r="N245" s="205">
        <f t="shared" si="103"/>
        <v>0</v>
      </c>
      <c r="O245" s="205">
        <f t="shared" si="82"/>
        <v>0</v>
      </c>
      <c r="P245" s="205">
        <f t="shared" ca="1" si="83"/>
        <v>0</v>
      </c>
      <c r="Q245" s="205">
        <f t="shared" ca="1" si="84"/>
        <v>0</v>
      </c>
      <c r="R245" s="205">
        <f t="shared" ca="1" si="85"/>
        <v>0</v>
      </c>
      <c r="S245" s="205">
        <f t="shared" ca="1" si="86"/>
        <v>0</v>
      </c>
      <c r="T245" s="205">
        <f t="shared" ca="1" si="87"/>
        <v>0</v>
      </c>
      <c r="U245" s="205">
        <f t="shared" ca="1" si="88"/>
        <v>253657.21077689301</v>
      </c>
      <c r="V245" s="205">
        <f t="shared" ca="1" si="89"/>
        <v>6560.4297449256146</v>
      </c>
      <c r="W245" s="205"/>
      <c r="X245" s="205">
        <f t="shared" si="93"/>
        <v>999.23418991075357</v>
      </c>
      <c r="Y245" s="205">
        <f t="shared" si="73"/>
        <v>0</v>
      </c>
      <c r="Z245" s="205">
        <f t="shared" si="94"/>
        <v>999.23418991075357</v>
      </c>
      <c r="AA245" s="205">
        <f t="shared" ca="1" si="95"/>
        <v>1103.7640666147054</v>
      </c>
      <c r="AB245" s="205">
        <f t="shared" si="96"/>
        <v>0</v>
      </c>
      <c r="AC245" s="205">
        <f t="shared" ca="1" si="90"/>
        <v>1103.7640666147054</v>
      </c>
      <c r="AD245" s="5152">
        <f t="shared" ca="1" si="97"/>
        <v>27.349715996992185</v>
      </c>
      <c r="AE245" s="205">
        <f t="shared" si="98"/>
        <v>0</v>
      </c>
      <c r="AF245" s="5153">
        <f t="shared" ca="1" si="104"/>
        <v>27.349715996992185</v>
      </c>
      <c r="AG245" s="205">
        <f t="shared" ca="1" si="100"/>
        <v>4.3162158458134732</v>
      </c>
      <c r="AH245" s="205">
        <f t="shared" si="101"/>
        <v>0</v>
      </c>
      <c r="AI245" s="205">
        <f t="shared" ca="1" si="102"/>
        <v>4.3162158458134732</v>
      </c>
      <c r="AJ245" s="205"/>
      <c r="AK245" s="205">
        <f t="shared" ca="1" si="74"/>
        <v>0</v>
      </c>
      <c r="AL245" s="4543" t="str">
        <f t="shared" ca="1" si="91"/>
        <v>한도준수</v>
      </c>
    </row>
    <row r="246" spans="1:38" ht="12" customHeight="1">
      <c r="A246" s="4542">
        <f t="shared" si="75"/>
        <v>2022</v>
      </c>
      <c r="B246" s="3606">
        <f t="shared" si="92"/>
        <v>44895</v>
      </c>
      <c r="C246" s="205">
        <v>0</v>
      </c>
      <c r="D246" s="205">
        <v>0</v>
      </c>
      <c r="E246" s="205">
        <f t="shared" si="76"/>
        <v>0</v>
      </c>
      <c r="F246" s="205">
        <f t="shared" si="77"/>
        <v>0</v>
      </c>
      <c r="G246" s="205">
        <f t="shared" si="78"/>
        <v>0</v>
      </c>
      <c r="H246" s="205">
        <f t="shared" ca="1" si="72"/>
        <v>0.41666666666666669</v>
      </c>
      <c r="I246" s="205">
        <v>0</v>
      </c>
      <c r="J246" s="205">
        <v>0</v>
      </c>
      <c r="K246" s="205">
        <f t="shared" ca="1" si="79"/>
        <v>0</v>
      </c>
      <c r="L246" s="205">
        <f t="shared" si="80"/>
        <v>-0.41666666666666669</v>
      </c>
      <c r="M246" s="205">
        <f t="shared" si="81"/>
        <v>0</v>
      </c>
      <c r="N246" s="205">
        <f t="shared" si="103"/>
        <v>0</v>
      </c>
      <c r="O246" s="205">
        <f t="shared" si="82"/>
        <v>0</v>
      </c>
      <c r="P246" s="205">
        <f t="shared" ca="1" si="83"/>
        <v>0</v>
      </c>
      <c r="Q246" s="205">
        <f t="shared" ca="1" si="84"/>
        <v>0</v>
      </c>
      <c r="R246" s="205">
        <f t="shared" ca="1" si="85"/>
        <v>0</v>
      </c>
      <c r="S246" s="205">
        <f t="shared" ca="1" si="86"/>
        <v>0</v>
      </c>
      <c r="T246" s="205">
        <f t="shared" ca="1" si="87"/>
        <v>0</v>
      </c>
      <c r="U246" s="205">
        <f t="shared" ca="1" si="88"/>
        <v>253657.21077689301</v>
      </c>
      <c r="V246" s="205">
        <f t="shared" ca="1" si="89"/>
        <v>6560.8464115922816</v>
      </c>
      <c r="W246" s="205"/>
      <c r="X246" s="205">
        <f t="shared" si="93"/>
        <v>967.00082894589048</v>
      </c>
      <c r="Y246" s="205">
        <f t="shared" si="73"/>
        <v>0</v>
      </c>
      <c r="Z246" s="205">
        <f t="shared" si="94"/>
        <v>1966.235018856644</v>
      </c>
      <c r="AA246" s="205">
        <f t="shared" ca="1" si="95"/>
        <v>1068.1587741432634</v>
      </c>
      <c r="AB246" s="205">
        <f t="shared" si="96"/>
        <v>0</v>
      </c>
      <c r="AC246" s="205">
        <f t="shared" ca="1" si="90"/>
        <v>2171.9228407579685</v>
      </c>
      <c r="AD246" s="5152">
        <f t="shared" ca="1" si="97"/>
        <v>26.467467093863405</v>
      </c>
      <c r="AE246" s="205">
        <f t="shared" si="98"/>
        <v>0</v>
      </c>
      <c r="AF246" s="5153">
        <f t="shared" ca="1" si="104"/>
        <v>53.817183090855593</v>
      </c>
      <c r="AG246" s="205">
        <f t="shared" ca="1" si="100"/>
        <v>4.1768803368676561</v>
      </c>
      <c r="AH246" s="205">
        <f t="shared" si="101"/>
        <v>0</v>
      </c>
      <c r="AI246" s="205">
        <f t="shared" ca="1" si="102"/>
        <v>8.4930961826811284</v>
      </c>
      <c r="AJ246" s="205"/>
      <c r="AK246" s="205">
        <f t="shared" ca="1" si="74"/>
        <v>0</v>
      </c>
      <c r="AL246" s="4543" t="str">
        <f t="shared" ca="1" si="91"/>
        <v>한도준수</v>
      </c>
    </row>
    <row r="247" spans="1:38" ht="12" customHeight="1">
      <c r="A247" s="4542">
        <f t="shared" si="75"/>
        <v>2022</v>
      </c>
      <c r="B247" s="3606">
        <f t="shared" si="92"/>
        <v>44926</v>
      </c>
      <c r="C247" s="205">
        <v>0</v>
      </c>
      <c r="D247" s="205">
        <v>0</v>
      </c>
      <c r="E247" s="205">
        <f t="shared" si="76"/>
        <v>2965.4692087673975</v>
      </c>
      <c r="F247" s="205">
        <f t="shared" si="77"/>
        <v>0</v>
      </c>
      <c r="G247" s="205">
        <f t="shared" si="78"/>
        <v>0</v>
      </c>
      <c r="H247" s="205">
        <f t="shared" ca="1" si="72"/>
        <v>404.61453322354237</v>
      </c>
      <c r="I247" s="205">
        <v>0</v>
      </c>
      <c r="J247" s="205">
        <v>0</v>
      </c>
      <c r="K247" s="205">
        <f ca="1">-IF(AND(ROUND(U246,)=0,ROUND(V246,)=0)=TRUE,0,IF(MOD(ROW(B247)-ROW($B$241),12)=0,$F$62,0))</f>
        <v>0</v>
      </c>
      <c r="L247" s="205">
        <f t="shared" si="80"/>
        <v>-0.41666666666666669</v>
      </c>
      <c r="M247" s="205">
        <f t="shared" ca="1" si="81"/>
        <v>-81.171068251871702</v>
      </c>
      <c r="N247" s="205">
        <f t="shared" ca="1" si="103"/>
        <v>-12.809099699727479</v>
      </c>
      <c r="O247" s="205">
        <f t="shared" ca="1" si="82"/>
        <v>-3275.6869073726739</v>
      </c>
      <c r="P247" s="205">
        <f t="shared" ca="1" si="83"/>
        <v>0</v>
      </c>
      <c r="Q247" s="205">
        <f t="shared" ca="1" si="84"/>
        <v>-4.5024490186778626E-15</v>
      </c>
      <c r="R247" s="205">
        <f t="shared" ca="1" si="85"/>
        <v>-4.5024490186778625E-13</v>
      </c>
      <c r="S247" s="205">
        <f t="shared" ca="1" si="86"/>
        <v>0</v>
      </c>
      <c r="T247" s="205">
        <f t="shared" ca="1" si="87"/>
        <v>0</v>
      </c>
      <c r="U247" s="205">
        <f t="shared" ca="1" si="88"/>
        <v>253657.21077689301</v>
      </c>
      <c r="V247" s="205">
        <f t="shared" ca="1" si="89"/>
        <v>6965.4609448158244</v>
      </c>
      <c r="W247" s="205"/>
      <c r="X247" s="205">
        <f t="shared" si="93"/>
        <v>999.23418991075357</v>
      </c>
      <c r="Y247" s="205">
        <f t="shared" si="73"/>
        <v>-2965.4692087673975</v>
      </c>
      <c r="Z247" s="205">
        <f t="shared" si="94"/>
        <v>0</v>
      </c>
      <c r="AA247" s="205">
        <f t="shared" ca="1" si="95"/>
        <v>1103.7640666147054</v>
      </c>
      <c r="AB247" s="205">
        <f ca="1">O247</f>
        <v>-3275.6869073726739</v>
      </c>
      <c r="AC247" s="205">
        <f t="shared" ca="1" si="90"/>
        <v>0</v>
      </c>
      <c r="AD247" s="5152">
        <f t="shared" ca="1" si="97"/>
        <v>27.353885161016116</v>
      </c>
      <c r="AE247" s="205">
        <f ca="1">M247</f>
        <v>-81.171068251871702</v>
      </c>
      <c r="AF247" s="5153">
        <f t="shared" ca="1" si="104"/>
        <v>0</v>
      </c>
      <c r="AG247" s="205">
        <f t="shared" ca="1" si="100"/>
        <v>4.31600351704635</v>
      </c>
      <c r="AH247" s="205">
        <f t="shared" ca="1" si="101"/>
        <v>-12.809099699727479</v>
      </c>
      <c r="AI247" s="205">
        <f t="shared" ca="1" si="102"/>
        <v>0</v>
      </c>
      <c r="AJ247" s="205"/>
      <c r="AK247" s="205">
        <f t="shared" ca="1" si="74"/>
        <v>0</v>
      </c>
      <c r="AL247" s="4543" t="str">
        <f t="shared" ca="1" si="91"/>
        <v>한도준수</v>
      </c>
    </row>
    <row r="248" spans="1:38" ht="12" customHeight="1">
      <c r="A248" s="4542">
        <f t="shared" si="75"/>
        <v>2023</v>
      </c>
      <c r="B248" s="3606">
        <f t="shared" si="92"/>
        <v>44957</v>
      </c>
      <c r="C248" s="205">
        <v>0</v>
      </c>
      <c r="D248" s="205">
        <v>0</v>
      </c>
      <c r="E248" s="205">
        <f t="shared" si="76"/>
        <v>0</v>
      </c>
      <c r="F248" s="205">
        <f t="shared" si="77"/>
        <v>0</v>
      </c>
      <c r="G248" s="205">
        <f t="shared" si="78"/>
        <v>0</v>
      </c>
      <c r="H248" s="205">
        <f t="shared" ca="1" si="72"/>
        <v>0.41666666666666669</v>
      </c>
      <c r="I248" s="205">
        <v>0</v>
      </c>
      <c r="J248" s="205">
        <v>0</v>
      </c>
      <c r="K248" s="205">
        <f t="shared" ca="1" si="79"/>
        <v>0</v>
      </c>
      <c r="L248" s="205">
        <f>IF(B248&gt;$F$14,0,-$F$73/12)</f>
        <v>-0.41666666666666669</v>
      </c>
      <c r="M248" s="205">
        <f t="shared" si="81"/>
        <v>0</v>
      </c>
      <c r="N248" s="205">
        <f t="shared" si="103"/>
        <v>0</v>
      </c>
      <c r="O248" s="205">
        <f t="shared" si="82"/>
        <v>0</v>
      </c>
      <c r="P248" s="205">
        <f t="shared" ca="1" si="83"/>
        <v>0</v>
      </c>
      <c r="Q248" s="205">
        <f t="shared" ca="1" si="84"/>
        <v>0</v>
      </c>
      <c r="R248" s="205">
        <f t="shared" ca="1" si="85"/>
        <v>0</v>
      </c>
      <c r="S248" s="205">
        <f t="shared" ca="1" si="86"/>
        <v>0</v>
      </c>
      <c r="T248" s="205">
        <f t="shared" ca="1" si="87"/>
        <v>0</v>
      </c>
      <c r="U248" s="205">
        <f t="shared" ca="1" si="88"/>
        <v>253657.21077689301</v>
      </c>
      <c r="V248" s="205">
        <f t="shared" ca="1" si="89"/>
        <v>6965.8776114824914</v>
      </c>
      <c r="W248" s="205"/>
      <c r="X248" s="205">
        <f t="shared" si="93"/>
        <v>999.23418991075357</v>
      </c>
      <c r="Y248" s="205">
        <f t="shared" si="73"/>
        <v>0</v>
      </c>
      <c r="Z248" s="205">
        <f t="shared" si="94"/>
        <v>999.23418991075357</v>
      </c>
      <c r="AA248" s="205">
        <f t="shared" ca="1" si="95"/>
        <v>1128.0300361811878</v>
      </c>
      <c r="AB248" s="205">
        <f t="shared" si="96"/>
        <v>0</v>
      </c>
      <c r="AC248" s="205">
        <f t="shared" ca="1" si="90"/>
        <v>1128.0300361811878</v>
      </c>
      <c r="AD248" s="5152">
        <f t="shared" ca="1" si="97"/>
        <v>30.370833883676067</v>
      </c>
      <c r="AE248" s="205">
        <f t="shared" si="98"/>
        <v>0</v>
      </c>
      <c r="AF248" s="5153">
        <f t="shared" ca="1" si="104"/>
        <v>30.370833883676067</v>
      </c>
      <c r="AG248" s="205">
        <f t="shared" ca="1" si="100"/>
        <v>4.2129099510469272</v>
      </c>
      <c r="AH248" s="205">
        <f t="shared" si="101"/>
        <v>0</v>
      </c>
      <c r="AI248" s="205">
        <f t="shared" ca="1" si="102"/>
        <v>4.2129099510469272</v>
      </c>
      <c r="AJ248" s="205"/>
      <c r="AK248" s="205">
        <f t="shared" ca="1" si="74"/>
        <v>0</v>
      </c>
      <c r="AL248" s="4543" t="str">
        <f t="shared" ca="1" si="91"/>
        <v>한도준수</v>
      </c>
    </row>
    <row r="249" spans="1:38" ht="12" customHeight="1">
      <c r="A249" s="4542">
        <f t="shared" si="75"/>
        <v>2023</v>
      </c>
      <c r="B249" s="3606">
        <f t="shared" si="92"/>
        <v>44985</v>
      </c>
      <c r="C249" s="205">
        <v>0</v>
      </c>
      <c r="D249" s="205">
        <v>0</v>
      </c>
      <c r="E249" s="205">
        <f t="shared" si="76"/>
        <v>0</v>
      </c>
      <c r="F249" s="205">
        <f t="shared" si="77"/>
        <v>0</v>
      </c>
      <c r="G249" s="205">
        <f t="shared" si="78"/>
        <v>0</v>
      </c>
      <c r="H249" s="205">
        <f t="shared" ca="1" si="72"/>
        <v>0.41666666666666669</v>
      </c>
      <c r="I249" s="205">
        <v>0</v>
      </c>
      <c r="J249" s="205">
        <v>0</v>
      </c>
      <c r="K249" s="205">
        <f t="shared" ca="1" si="79"/>
        <v>0</v>
      </c>
      <c r="L249" s="205">
        <f t="shared" si="80"/>
        <v>-0.41666666666666669</v>
      </c>
      <c r="M249" s="205">
        <f t="shared" si="81"/>
        <v>0</v>
      </c>
      <c r="N249" s="205">
        <f t="shared" si="103"/>
        <v>0</v>
      </c>
      <c r="O249" s="205">
        <f t="shared" si="82"/>
        <v>0</v>
      </c>
      <c r="P249" s="205">
        <f t="shared" ca="1" si="83"/>
        <v>0</v>
      </c>
      <c r="Q249" s="205">
        <f t="shared" ca="1" si="84"/>
        <v>0</v>
      </c>
      <c r="R249" s="205">
        <f t="shared" ca="1" si="85"/>
        <v>0</v>
      </c>
      <c r="S249" s="205">
        <f t="shared" ca="1" si="86"/>
        <v>0</v>
      </c>
      <c r="T249" s="205">
        <f t="shared" ca="1" si="87"/>
        <v>0</v>
      </c>
      <c r="U249" s="205">
        <f t="shared" ca="1" si="88"/>
        <v>253657.21077689301</v>
      </c>
      <c r="V249" s="205">
        <f t="shared" ca="1" si="89"/>
        <v>6966.2942781491583</v>
      </c>
      <c r="W249" s="205"/>
      <c r="X249" s="205">
        <f t="shared" si="93"/>
        <v>902.5341070161644</v>
      </c>
      <c r="Y249" s="205">
        <f t="shared" si="73"/>
        <v>0</v>
      </c>
      <c r="Z249" s="205">
        <f t="shared" si="94"/>
        <v>1901.7682969269181</v>
      </c>
      <c r="AA249" s="205">
        <f t="shared" ca="1" si="95"/>
        <v>1018.8658391313957</v>
      </c>
      <c r="AB249" s="205">
        <f t="shared" si="96"/>
        <v>0</v>
      </c>
      <c r="AC249" s="205">
        <f t="shared" ca="1" si="90"/>
        <v>2146.8958753125835</v>
      </c>
      <c r="AD249" s="5152">
        <f t="shared" ca="1" si="97"/>
        <v>27.435659437015726</v>
      </c>
      <c r="AE249" s="205">
        <f t="shared" si="98"/>
        <v>0</v>
      </c>
      <c r="AF249" s="5153">
        <f t="shared" ca="1" si="104"/>
        <v>57.806493320691793</v>
      </c>
      <c r="AG249" s="205">
        <f t="shared" ca="1" si="100"/>
        <v>3.8051130976314265</v>
      </c>
      <c r="AH249" s="205">
        <f t="shared" si="101"/>
        <v>0</v>
      </c>
      <c r="AI249" s="205">
        <f t="shared" ca="1" si="102"/>
        <v>8.0180230486783532</v>
      </c>
      <c r="AJ249" s="205"/>
      <c r="AK249" s="205">
        <f t="shared" ca="1" si="74"/>
        <v>0</v>
      </c>
      <c r="AL249" s="4543" t="str">
        <f t="shared" ca="1" si="91"/>
        <v>한도준수</v>
      </c>
    </row>
    <row r="250" spans="1:38" ht="12" customHeight="1">
      <c r="A250" s="4542">
        <f t="shared" si="75"/>
        <v>2023</v>
      </c>
      <c r="B250" s="3606">
        <f t="shared" si="92"/>
        <v>45016</v>
      </c>
      <c r="C250" s="205">
        <v>0</v>
      </c>
      <c r="D250" s="205">
        <v>0</v>
      </c>
      <c r="E250" s="205">
        <f t="shared" si="76"/>
        <v>2901.0024868376718</v>
      </c>
      <c r="F250" s="205">
        <f t="shared" si="77"/>
        <v>0</v>
      </c>
      <c r="G250" s="205">
        <f t="shared" si="78"/>
        <v>0</v>
      </c>
      <c r="H250" s="205">
        <f t="shared" ca="1" si="72"/>
        <v>474.75249969111201</v>
      </c>
      <c r="I250" s="205">
        <v>0</v>
      </c>
      <c r="J250" s="205">
        <v>0</v>
      </c>
      <c r="K250" s="205">
        <f t="shared" ca="1" si="79"/>
        <v>0</v>
      </c>
      <c r="L250" s="205">
        <f t="shared" si="80"/>
        <v>-0.41666666666666669</v>
      </c>
      <c r="M250" s="205">
        <f t="shared" ca="1" si="81"/>
        <v>-88.181687697387773</v>
      </c>
      <c r="N250" s="205">
        <f t="shared" ca="1" si="103"/>
        <v>-12.230720670958156</v>
      </c>
      <c r="O250" s="205">
        <f t="shared" ca="1" si="82"/>
        <v>-3274.9259114937713</v>
      </c>
      <c r="P250" s="205">
        <f t="shared" ca="1" si="83"/>
        <v>0</v>
      </c>
      <c r="Q250" s="205">
        <f t="shared" ca="1" si="84"/>
        <v>0</v>
      </c>
      <c r="R250" s="205">
        <f t="shared" ca="1" si="85"/>
        <v>0</v>
      </c>
      <c r="S250" s="205">
        <f t="shared" ca="1" si="86"/>
        <v>0</v>
      </c>
      <c r="T250" s="205">
        <f t="shared" ca="1" si="87"/>
        <v>0</v>
      </c>
      <c r="U250" s="205">
        <f t="shared" ca="1" si="88"/>
        <v>253657.21077689301</v>
      </c>
      <c r="V250" s="205">
        <f t="shared" ca="1" si="89"/>
        <v>7441.0467778402708</v>
      </c>
      <c r="W250" s="205"/>
      <c r="X250" s="205">
        <f t="shared" si="93"/>
        <v>999.23418991075357</v>
      </c>
      <c r="Y250" s="205">
        <f t="shared" si="73"/>
        <v>-2901.0024868376718</v>
      </c>
      <c r="Z250" s="205">
        <f t="shared" si="94"/>
        <v>0</v>
      </c>
      <c r="AA250" s="205">
        <f t="shared" ca="1" si="95"/>
        <v>1128.0300361811878</v>
      </c>
      <c r="AB250" s="205">
        <f ca="1">O250</f>
        <v>-3274.9259114937713</v>
      </c>
      <c r="AC250" s="205">
        <f t="shared" ca="1" si="90"/>
        <v>0</v>
      </c>
      <c r="AD250" s="5152">
        <f t="shared" ca="1" si="97"/>
        <v>30.375194376695976</v>
      </c>
      <c r="AE250" s="205">
        <f ca="1">M250</f>
        <v>-88.181687697387773</v>
      </c>
      <c r="AF250" s="5153">
        <f t="shared" ca="1" si="104"/>
        <v>0</v>
      </c>
      <c r="AG250" s="205">
        <f t="shared" ca="1" si="100"/>
        <v>4.2126976222798032</v>
      </c>
      <c r="AH250" s="205">
        <f t="shared" ca="1" si="101"/>
        <v>-12.230720670958156</v>
      </c>
      <c r="AI250" s="205">
        <f t="shared" ca="1" si="102"/>
        <v>0</v>
      </c>
      <c r="AJ250" s="205"/>
      <c r="AK250" s="205">
        <f t="shared" ca="1" si="74"/>
        <v>0</v>
      </c>
      <c r="AL250" s="4543" t="str">
        <f t="shared" ca="1" si="91"/>
        <v>한도준수</v>
      </c>
    </row>
    <row r="251" spans="1:38" ht="12" customHeight="1">
      <c r="A251" s="4542">
        <f t="shared" si="75"/>
        <v>2023</v>
      </c>
      <c r="B251" s="3606">
        <f t="shared" si="92"/>
        <v>45046</v>
      </c>
      <c r="C251" s="205">
        <v>0</v>
      </c>
      <c r="D251" s="205">
        <v>0</v>
      </c>
      <c r="E251" s="205">
        <f t="shared" si="76"/>
        <v>0</v>
      </c>
      <c r="F251" s="205">
        <f t="shared" si="77"/>
        <v>0</v>
      </c>
      <c r="G251" s="205">
        <f t="shared" si="78"/>
        <v>0</v>
      </c>
      <c r="H251" s="205">
        <f t="shared" ca="1" si="72"/>
        <v>0.41666666666666669</v>
      </c>
      <c r="I251" s="205">
        <v>0</v>
      </c>
      <c r="J251" s="205">
        <v>0</v>
      </c>
      <c r="K251" s="205">
        <f t="shared" ca="1" si="79"/>
        <v>0</v>
      </c>
      <c r="L251" s="205">
        <f t="shared" si="80"/>
        <v>-0.41666666666666669</v>
      </c>
      <c r="M251" s="205">
        <f t="shared" si="81"/>
        <v>0</v>
      </c>
      <c r="N251" s="205">
        <f t="shared" si="103"/>
        <v>0</v>
      </c>
      <c r="O251" s="205">
        <f t="shared" si="82"/>
        <v>0</v>
      </c>
      <c r="P251" s="205">
        <f t="shared" ca="1" si="83"/>
        <v>0</v>
      </c>
      <c r="Q251" s="205">
        <f t="shared" ca="1" si="84"/>
        <v>0</v>
      </c>
      <c r="R251" s="205">
        <f t="shared" ca="1" si="85"/>
        <v>0</v>
      </c>
      <c r="S251" s="205">
        <f t="shared" ca="1" si="86"/>
        <v>0</v>
      </c>
      <c r="T251" s="205">
        <f t="shared" ca="1" si="87"/>
        <v>0</v>
      </c>
      <c r="U251" s="205">
        <f t="shared" ca="1" si="88"/>
        <v>253657.21077689301</v>
      </c>
      <c r="V251" s="205">
        <f t="shared" ca="1" si="89"/>
        <v>7441.4634445069378</v>
      </c>
      <c r="W251" s="205"/>
      <c r="X251" s="205">
        <f t="shared" si="93"/>
        <v>967.00082894589048</v>
      </c>
      <c r="Y251" s="205">
        <f t="shared" si="73"/>
        <v>0</v>
      </c>
      <c r="Z251" s="205">
        <f t="shared" si="94"/>
        <v>967.00082894589048</v>
      </c>
      <c r="AA251" s="205">
        <f t="shared" ca="1" si="95"/>
        <v>1091.6419704979239</v>
      </c>
      <c r="AB251" s="205">
        <f t="shared" si="96"/>
        <v>0</v>
      </c>
      <c r="AC251" s="205">
        <f t="shared" ca="1" si="90"/>
        <v>1091.6419704979239</v>
      </c>
      <c r="AD251" s="5152">
        <f t="shared" ca="1" si="97"/>
        <v>31.399769575309769</v>
      </c>
      <c r="AE251" s="205">
        <f t="shared" si="98"/>
        <v>0</v>
      </c>
      <c r="AF251" s="5153">
        <f t="shared" ca="1" si="104"/>
        <v>31.399769575309769</v>
      </c>
      <c r="AG251" s="205">
        <f t="shared" ca="1" si="100"/>
        <v>3.9597418903955495</v>
      </c>
      <c r="AH251" s="205">
        <f t="shared" si="101"/>
        <v>0</v>
      </c>
      <c r="AI251" s="205">
        <f t="shared" ca="1" si="102"/>
        <v>3.9597418903955495</v>
      </c>
      <c r="AJ251" s="205"/>
      <c r="AK251" s="205">
        <f t="shared" ca="1" si="74"/>
        <v>0</v>
      </c>
      <c r="AL251" s="4543" t="str">
        <f t="shared" ca="1" si="91"/>
        <v>한도준수</v>
      </c>
    </row>
    <row r="252" spans="1:38" ht="12" customHeight="1">
      <c r="A252" s="4542">
        <f t="shared" si="75"/>
        <v>2023</v>
      </c>
      <c r="B252" s="3606">
        <f t="shared" si="92"/>
        <v>45077</v>
      </c>
      <c r="C252" s="205">
        <v>0</v>
      </c>
      <c r="D252" s="205">
        <v>0</v>
      </c>
      <c r="E252" s="205">
        <f t="shared" si="76"/>
        <v>0</v>
      </c>
      <c r="F252" s="205">
        <f t="shared" si="77"/>
        <v>0</v>
      </c>
      <c r="G252" s="205">
        <f t="shared" si="78"/>
        <v>0</v>
      </c>
      <c r="H252" s="205">
        <f t="shared" ca="1" si="72"/>
        <v>0.41666666666666669</v>
      </c>
      <c r="I252" s="205">
        <v>0</v>
      </c>
      <c r="J252" s="205">
        <v>0</v>
      </c>
      <c r="K252" s="205">
        <f ca="1">-IF(AND(ROUND(U251,)=0,ROUND(V251,)=0)=TRUE,0,IF(MOD(ROW(B252)-ROW($B$241),12)=0,$F$62,0))</f>
        <v>0</v>
      </c>
      <c r="L252" s="205">
        <f t="shared" si="80"/>
        <v>-0.41666666666666669</v>
      </c>
      <c r="M252" s="205">
        <f t="shared" si="81"/>
        <v>0</v>
      </c>
      <c r="N252" s="205">
        <f t="shared" si="103"/>
        <v>0</v>
      </c>
      <c r="O252" s="205">
        <f t="shared" si="82"/>
        <v>0</v>
      </c>
      <c r="P252" s="205">
        <f t="shared" ca="1" si="83"/>
        <v>0</v>
      </c>
      <c r="Q252" s="205">
        <f t="shared" ca="1" si="84"/>
        <v>0</v>
      </c>
      <c r="R252" s="205">
        <f t="shared" ca="1" si="85"/>
        <v>0</v>
      </c>
      <c r="S252" s="205">
        <f t="shared" ca="1" si="86"/>
        <v>0</v>
      </c>
      <c r="T252" s="205">
        <f t="shared" ca="1" si="87"/>
        <v>0</v>
      </c>
      <c r="U252" s="205">
        <f t="shared" ca="1" si="88"/>
        <v>253657.21077689301</v>
      </c>
      <c r="V252" s="205">
        <f t="shared" ca="1" si="89"/>
        <v>7441.8801111736047</v>
      </c>
      <c r="W252" s="205"/>
      <c r="X252" s="205">
        <f t="shared" si="93"/>
        <v>999.23418991075357</v>
      </c>
      <c r="Y252" s="205">
        <f t="shared" si="73"/>
        <v>0</v>
      </c>
      <c r="Z252" s="205">
        <f t="shared" si="94"/>
        <v>1966.235018856644</v>
      </c>
      <c r="AA252" s="205">
        <f t="shared" ca="1" si="95"/>
        <v>1128.0300361811878</v>
      </c>
      <c r="AB252" s="205">
        <f t="shared" si="96"/>
        <v>0</v>
      </c>
      <c r="AC252" s="205">
        <f t="shared" ca="1" si="90"/>
        <v>2219.6720066791117</v>
      </c>
      <c r="AD252" s="5152">
        <f t="shared" ca="1" si="97"/>
        <v>32.446428561153425</v>
      </c>
      <c r="AE252" s="205">
        <f t="shared" si="98"/>
        <v>0</v>
      </c>
      <c r="AF252" s="5153">
        <f t="shared" ca="1" si="104"/>
        <v>63.846198136463194</v>
      </c>
      <c r="AG252" s="205">
        <f t="shared" ca="1" si="100"/>
        <v>4.0916271223585055</v>
      </c>
      <c r="AH252" s="205">
        <f t="shared" si="101"/>
        <v>0</v>
      </c>
      <c r="AI252" s="205">
        <f t="shared" ca="1" si="102"/>
        <v>8.0513690127540549</v>
      </c>
      <c r="AJ252" s="205"/>
      <c r="AK252" s="205">
        <f t="shared" ca="1" si="74"/>
        <v>0</v>
      </c>
      <c r="AL252" s="4543" t="str">
        <f t="shared" ca="1" si="91"/>
        <v>한도준수</v>
      </c>
    </row>
    <row r="253" spans="1:38" ht="12" customHeight="1">
      <c r="A253" s="4542">
        <f t="shared" si="75"/>
        <v>2023</v>
      </c>
      <c r="B253" s="3606">
        <f t="shared" si="92"/>
        <v>45107</v>
      </c>
      <c r="C253" s="205">
        <v>0</v>
      </c>
      <c r="D253" s="205">
        <v>0</v>
      </c>
      <c r="E253" s="205">
        <f t="shared" si="76"/>
        <v>2933.2358478025344</v>
      </c>
      <c r="F253" s="205">
        <f t="shared" si="77"/>
        <v>0</v>
      </c>
      <c r="G253" s="205">
        <f t="shared" si="78"/>
        <v>0</v>
      </c>
      <c r="H253" s="205">
        <f t="shared" ca="1" si="72"/>
        <v>515.75588900859339</v>
      </c>
      <c r="I253" s="205">
        <v>0</v>
      </c>
      <c r="J253" s="205">
        <v>0</v>
      </c>
      <c r="K253" s="205">
        <f t="shared" ca="1" si="79"/>
        <v>-30</v>
      </c>
      <c r="L253" s="205">
        <f t="shared" si="80"/>
        <v>-0.41666666666666669</v>
      </c>
      <c r="M253" s="205">
        <f t="shared" ca="1" si="81"/>
        <v>-95.250187543727719</v>
      </c>
      <c r="N253" s="205">
        <f t="shared" ca="1" si="103"/>
        <v>-12.010905423697549</v>
      </c>
      <c r="O253" s="205">
        <f t="shared" ca="1" si="82"/>
        <v>-3311.3139771770357</v>
      </c>
      <c r="P253" s="205">
        <f t="shared" ca="1" si="83"/>
        <v>0</v>
      </c>
      <c r="Q253" s="205">
        <f t="shared" si="84"/>
        <v>0</v>
      </c>
      <c r="R253" s="205">
        <f t="shared" ca="1" si="85"/>
        <v>0</v>
      </c>
      <c r="S253" s="205">
        <f t="shared" ca="1" si="86"/>
        <v>0</v>
      </c>
      <c r="T253" s="205">
        <f t="shared" ca="1" si="87"/>
        <v>0</v>
      </c>
      <c r="U253" s="205">
        <f t="shared" ca="1" si="88"/>
        <v>253657.21077689301</v>
      </c>
      <c r="V253" s="205">
        <f t="shared" ca="1" si="89"/>
        <v>7957.6360001821977</v>
      </c>
      <c r="W253" s="205"/>
      <c r="X253" s="205">
        <f t="shared" si="93"/>
        <v>967.00082894589048</v>
      </c>
      <c r="Y253" s="205">
        <f t="shared" si="73"/>
        <v>-2933.2358478025344</v>
      </c>
      <c r="Z253" s="205">
        <f t="shared" si="94"/>
        <v>0</v>
      </c>
      <c r="AA253" s="205">
        <f t="shared" ca="1" si="95"/>
        <v>1091.6419704979239</v>
      </c>
      <c r="AB253" s="205">
        <f ca="1">O253</f>
        <v>-3311.3139771770357</v>
      </c>
      <c r="AC253" s="205">
        <f t="shared" ca="1" si="90"/>
        <v>0</v>
      </c>
      <c r="AD253" s="5152">
        <f t="shared" ca="1" si="97"/>
        <v>31.403989407264518</v>
      </c>
      <c r="AE253" s="205">
        <f ca="1">M253</f>
        <v>-95.250187543727719</v>
      </c>
      <c r="AF253" s="5153">
        <f t="shared" ca="1" si="104"/>
        <v>0</v>
      </c>
      <c r="AG253" s="205">
        <f t="shared" ca="1" si="100"/>
        <v>3.9595364109434947</v>
      </c>
      <c r="AH253" s="205">
        <f t="shared" ca="1" si="101"/>
        <v>-12.010905423697549</v>
      </c>
      <c r="AI253" s="205">
        <f t="shared" ca="1" si="102"/>
        <v>0</v>
      </c>
      <c r="AJ253" s="205"/>
      <c r="AK253" s="205">
        <f t="shared" ca="1" si="74"/>
        <v>0</v>
      </c>
      <c r="AL253" s="4543" t="str">
        <f t="shared" ca="1" si="91"/>
        <v>한도준수</v>
      </c>
    </row>
    <row r="254" spans="1:38" ht="12" customHeight="1">
      <c r="A254" s="4542">
        <f t="shared" si="75"/>
        <v>2023</v>
      </c>
      <c r="B254" s="3606">
        <f t="shared" si="92"/>
        <v>45138</v>
      </c>
      <c r="C254" s="205">
        <v>0</v>
      </c>
      <c r="D254" s="205">
        <v>0</v>
      </c>
      <c r="E254" s="205">
        <f t="shared" si="76"/>
        <v>0</v>
      </c>
      <c r="F254" s="205">
        <f t="shared" si="77"/>
        <v>0</v>
      </c>
      <c r="G254" s="205">
        <f t="shared" si="78"/>
        <v>0</v>
      </c>
      <c r="H254" s="205">
        <f t="shared" ca="1" si="72"/>
        <v>0.41666666666666669</v>
      </c>
      <c r="I254" s="205">
        <v>0</v>
      </c>
      <c r="J254" s="205">
        <v>0</v>
      </c>
      <c r="K254" s="205">
        <f t="shared" ca="1" si="79"/>
        <v>0</v>
      </c>
      <c r="L254" s="205">
        <f t="shared" si="80"/>
        <v>-0.41666666666666669</v>
      </c>
      <c r="M254" s="205">
        <f t="shared" si="81"/>
        <v>0</v>
      </c>
      <c r="N254" s="205">
        <f t="shared" si="103"/>
        <v>0</v>
      </c>
      <c r="O254" s="205">
        <f t="shared" si="82"/>
        <v>0</v>
      </c>
      <c r="P254" s="205">
        <f t="shared" ca="1" si="83"/>
        <v>0</v>
      </c>
      <c r="Q254" s="205">
        <f t="shared" si="84"/>
        <v>0</v>
      </c>
      <c r="R254" s="205">
        <f t="shared" ca="1" si="85"/>
        <v>0</v>
      </c>
      <c r="S254" s="205">
        <f t="shared" ca="1" si="86"/>
        <v>0</v>
      </c>
      <c r="T254" s="205">
        <f t="shared" ca="1" si="87"/>
        <v>0</v>
      </c>
      <c r="U254" s="205">
        <f t="shared" ca="1" si="88"/>
        <v>253657.21077689301</v>
      </c>
      <c r="V254" s="205">
        <f t="shared" ca="1" si="89"/>
        <v>7958.0526668488646</v>
      </c>
      <c r="W254" s="205"/>
      <c r="X254" s="205">
        <f t="shared" si="93"/>
        <v>999.23418991075357</v>
      </c>
      <c r="Y254" s="205">
        <f t="shared" si="73"/>
        <v>0</v>
      </c>
      <c r="Z254" s="205">
        <f t="shared" si="94"/>
        <v>999.23418991075357</v>
      </c>
      <c r="AA254" s="205">
        <f t="shared" ca="1" si="95"/>
        <v>1128.0300361811878</v>
      </c>
      <c r="AB254" s="205">
        <f t="shared" si="96"/>
        <v>0</v>
      </c>
      <c r="AC254" s="205">
        <f t="shared" ca="1" si="90"/>
        <v>1128.0300361811878</v>
      </c>
      <c r="AD254" s="5152">
        <f t="shared" ca="1" si="97"/>
        <v>34.700803452447111</v>
      </c>
      <c r="AE254" s="205">
        <f t="shared" si="98"/>
        <v>0</v>
      </c>
      <c r="AF254" s="5153">
        <f t="shared" ca="1" si="104"/>
        <v>34.700803452447111</v>
      </c>
      <c r="AG254" s="205">
        <f t="shared" ca="1" si="100"/>
        <v>3.9601091835152209</v>
      </c>
      <c r="AH254" s="205">
        <f t="shared" si="101"/>
        <v>0</v>
      </c>
      <c r="AI254" s="205">
        <f t="shared" ca="1" si="102"/>
        <v>3.9601091835152209</v>
      </c>
      <c r="AJ254" s="205"/>
      <c r="AK254" s="205">
        <f t="shared" ca="1" si="74"/>
        <v>0</v>
      </c>
      <c r="AL254" s="4543" t="str">
        <f t="shared" ca="1" si="91"/>
        <v>한도준수</v>
      </c>
    </row>
    <row r="255" spans="1:38" ht="12" customHeight="1">
      <c r="A255" s="4542">
        <f t="shared" si="75"/>
        <v>2023</v>
      </c>
      <c r="B255" s="3606">
        <f t="shared" si="92"/>
        <v>45169</v>
      </c>
      <c r="C255" s="205">
        <v>0</v>
      </c>
      <c r="D255" s="205">
        <v>0</v>
      </c>
      <c r="E255" s="205">
        <f t="shared" si="76"/>
        <v>0</v>
      </c>
      <c r="F255" s="205">
        <f t="shared" si="77"/>
        <v>0</v>
      </c>
      <c r="G255" s="205">
        <f t="shared" si="78"/>
        <v>0</v>
      </c>
      <c r="H255" s="205">
        <f t="shared" ca="1" si="72"/>
        <v>0.41666666666666669</v>
      </c>
      <c r="I255" s="205">
        <v>0</v>
      </c>
      <c r="J255" s="205">
        <v>0</v>
      </c>
      <c r="K255" s="205">
        <f t="shared" ca="1" si="79"/>
        <v>0</v>
      </c>
      <c r="L255" s="205">
        <f t="shared" si="80"/>
        <v>-0.41666666666666669</v>
      </c>
      <c r="M255" s="205">
        <f t="shared" si="81"/>
        <v>0</v>
      </c>
      <c r="N255" s="205">
        <f t="shared" si="103"/>
        <v>0</v>
      </c>
      <c r="O255" s="205">
        <f t="shared" si="82"/>
        <v>0</v>
      </c>
      <c r="P255" s="205">
        <f t="shared" ca="1" si="83"/>
        <v>0</v>
      </c>
      <c r="Q255" s="205">
        <f t="shared" si="84"/>
        <v>0</v>
      </c>
      <c r="R255" s="205">
        <f t="shared" ca="1" si="85"/>
        <v>0</v>
      </c>
      <c r="S255" s="205">
        <f t="shared" ca="1" si="86"/>
        <v>0</v>
      </c>
      <c r="T255" s="205">
        <f t="shared" ca="1" si="87"/>
        <v>0</v>
      </c>
      <c r="U255" s="205">
        <f t="shared" ca="1" si="88"/>
        <v>253657.21077689301</v>
      </c>
      <c r="V255" s="205">
        <f t="shared" ca="1" si="89"/>
        <v>7958.4693335155316</v>
      </c>
      <c r="W255" s="205"/>
      <c r="X255" s="205">
        <f t="shared" si="93"/>
        <v>999.23418991075357</v>
      </c>
      <c r="Y255" s="205">
        <f t="shared" si="73"/>
        <v>0</v>
      </c>
      <c r="Z255" s="205">
        <f t="shared" si="94"/>
        <v>1998.4683798215071</v>
      </c>
      <c r="AA255" s="205">
        <f t="shared" ca="1" si="95"/>
        <v>1128.0300361811878</v>
      </c>
      <c r="AB255" s="205">
        <f t="shared" si="96"/>
        <v>0</v>
      </c>
      <c r="AC255" s="205">
        <f t="shared" ca="1" si="90"/>
        <v>2256.0600723623756</v>
      </c>
      <c r="AD255" s="5152">
        <f t="shared" ca="1" si="97"/>
        <v>34.700803452447111</v>
      </c>
      <c r="AE255" s="205">
        <f t="shared" si="98"/>
        <v>0</v>
      </c>
      <c r="AF255" s="5153">
        <f t="shared" ca="1" si="104"/>
        <v>69.401606904894223</v>
      </c>
      <c r="AG255" s="205">
        <f t="shared" ca="1" si="100"/>
        <v>3.9600030191316593</v>
      </c>
      <c r="AH255" s="205">
        <f t="shared" si="101"/>
        <v>0</v>
      </c>
      <c r="AI255" s="205">
        <f t="shared" ca="1" si="102"/>
        <v>7.9201122026468802</v>
      </c>
      <c r="AJ255" s="205"/>
      <c r="AK255" s="205">
        <f t="shared" ca="1" si="74"/>
        <v>0</v>
      </c>
      <c r="AL255" s="4543" t="str">
        <f t="shared" ca="1" si="91"/>
        <v>한도준수</v>
      </c>
    </row>
    <row r="256" spans="1:38" ht="12" customHeight="1">
      <c r="A256" s="4542">
        <f t="shared" si="75"/>
        <v>2023</v>
      </c>
      <c r="B256" s="3606">
        <f t="shared" si="92"/>
        <v>45199</v>
      </c>
      <c r="C256" s="205">
        <v>0</v>
      </c>
      <c r="D256" s="205">
        <v>0</v>
      </c>
      <c r="E256" s="205">
        <f t="shared" si="76"/>
        <v>2965.4692087673975</v>
      </c>
      <c r="F256" s="205">
        <f t="shared" si="77"/>
        <v>0</v>
      </c>
      <c r="G256" s="205">
        <f t="shared" si="78"/>
        <v>0</v>
      </c>
      <c r="H256" s="205">
        <f t="shared" ca="1" si="72"/>
        <v>497.38480080955651</v>
      </c>
      <c r="I256" s="205">
        <v>0</v>
      </c>
      <c r="J256" s="205">
        <v>0</v>
      </c>
      <c r="K256" s="205">
        <f t="shared" ca="1" si="79"/>
        <v>0</v>
      </c>
      <c r="L256" s="205">
        <f t="shared" si="80"/>
        <v>-0.41666666666666669</v>
      </c>
      <c r="M256" s="205">
        <f t="shared" ca="1" si="81"/>
        <v>-102.98302960081078</v>
      </c>
      <c r="N256" s="205">
        <f t="shared" ca="1" si="103"/>
        <v>-11.752270449177297</v>
      </c>
      <c r="O256" s="205">
        <f t="shared" ca="1" si="82"/>
        <v>-3347.7020428602996</v>
      </c>
      <c r="P256" s="205">
        <f t="shared" ca="1" si="83"/>
        <v>0</v>
      </c>
      <c r="Q256" s="205">
        <f t="shared" si="84"/>
        <v>0</v>
      </c>
      <c r="R256" s="205">
        <f t="shared" ca="1" si="85"/>
        <v>0</v>
      </c>
      <c r="S256" s="205">
        <f t="shared" ca="1" si="86"/>
        <v>0</v>
      </c>
      <c r="T256" s="205">
        <f t="shared" ca="1" si="87"/>
        <v>0</v>
      </c>
      <c r="U256" s="205">
        <f t="shared" ca="1" si="88"/>
        <v>253657.21077689301</v>
      </c>
      <c r="V256" s="205">
        <f t="shared" ca="1" si="89"/>
        <v>8455.8541343250872</v>
      </c>
      <c r="W256" s="205"/>
      <c r="X256" s="205">
        <f t="shared" si="93"/>
        <v>967.00082894589048</v>
      </c>
      <c r="Y256" s="205">
        <f t="shared" si="73"/>
        <v>-2965.4692087673975</v>
      </c>
      <c r="Z256" s="205">
        <f t="shared" si="94"/>
        <v>0</v>
      </c>
      <c r="AA256" s="205">
        <f t="shared" ca="1" si="95"/>
        <v>1091.6419704979239</v>
      </c>
      <c r="AB256" s="205">
        <f ca="1">O256</f>
        <v>-3347.7020428602996</v>
      </c>
      <c r="AC256" s="205">
        <f t="shared" ca="1" si="90"/>
        <v>0</v>
      </c>
      <c r="AD256" s="5152">
        <f t="shared" ca="1" si="97"/>
        <v>33.581422695916558</v>
      </c>
      <c r="AE256" s="205">
        <f ca="1">M256</f>
        <v>-102.98302960081078</v>
      </c>
      <c r="AF256" s="5153">
        <f t="shared" ca="1" si="104"/>
        <v>0</v>
      </c>
      <c r="AG256" s="205">
        <f t="shared" ca="1" si="100"/>
        <v>3.8321582465304171</v>
      </c>
      <c r="AH256" s="205">
        <f t="shared" ca="1" si="101"/>
        <v>-11.752270449177297</v>
      </c>
      <c r="AI256" s="205">
        <f t="shared" ca="1" si="102"/>
        <v>0</v>
      </c>
      <c r="AJ256" s="205"/>
      <c r="AK256" s="205">
        <f t="shared" ca="1" si="74"/>
        <v>0</v>
      </c>
      <c r="AL256" s="4543" t="str">
        <f t="shared" ca="1" si="91"/>
        <v>한도준수</v>
      </c>
    </row>
    <row r="257" spans="1:38" ht="12" customHeight="1">
      <c r="A257" s="4542">
        <f t="shared" si="75"/>
        <v>2023</v>
      </c>
      <c r="B257" s="3606">
        <f t="shared" si="92"/>
        <v>45230</v>
      </c>
      <c r="C257" s="205">
        <v>0</v>
      </c>
      <c r="D257" s="205">
        <v>0</v>
      </c>
      <c r="E257" s="205">
        <f t="shared" si="76"/>
        <v>0</v>
      </c>
      <c r="F257" s="205">
        <f t="shared" si="77"/>
        <v>0</v>
      </c>
      <c r="G257" s="205">
        <f t="shared" si="78"/>
        <v>0</v>
      </c>
      <c r="H257" s="205">
        <f t="shared" ca="1" si="72"/>
        <v>0.41666666666666669</v>
      </c>
      <c r="I257" s="205">
        <v>0</v>
      </c>
      <c r="J257" s="205">
        <v>0</v>
      </c>
      <c r="K257" s="205">
        <f t="shared" ca="1" si="79"/>
        <v>0</v>
      </c>
      <c r="L257" s="205">
        <f t="shared" si="80"/>
        <v>-0.41666666666666669</v>
      </c>
      <c r="M257" s="205">
        <f t="shared" si="81"/>
        <v>0</v>
      </c>
      <c r="N257" s="205">
        <f t="shared" si="103"/>
        <v>0</v>
      </c>
      <c r="O257" s="205">
        <f t="shared" si="82"/>
        <v>0</v>
      </c>
      <c r="P257" s="205">
        <f t="shared" ca="1" si="83"/>
        <v>0</v>
      </c>
      <c r="Q257" s="205">
        <f t="shared" si="84"/>
        <v>0</v>
      </c>
      <c r="R257" s="205">
        <f t="shared" ca="1" si="85"/>
        <v>0</v>
      </c>
      <c r="S257" s="205">
        <f t="shared" ca="1" si="86"/>
        <v>0</v>
      </c>
      <c r="T257" s="205">
        <f t="shared" ca="1" si="87"/>
        <v>0</v>
      </c>
      <c r="U257" s="205">
        <f t="shared" ca="1" si="88"/>
        <v>253657.21077689301</v>
      </c>
      <c r="V257" s="205">
        <f t="shared" ca="1" si="89"/>
        <v>8456.2708009917533</v>
      </c>
      <c r="W257" s="205"/>
      <c r="X257" s="205">
        <f t="shared" si="93"/>
        <v>999.23418991075357</v>
      </c>
      <c r="Y257" s="205">
        <f t="shared" si="73"/>
        <v>0</v>
      </c>
      <c r="Z257" s="205">
        <f t="shared" si="94"/>
        <v>999.23418991075357</v>
      </c>
      <c r="AA257" s="205">
        <f t="shared" ca="1" si="95"/>
        <v>1128.0300361811878</v>
      </c>
      <c r="AB257" s="205">
        <f t="shared" si="96"/>
        <v>0</v>
      </c>
      <c r="AC257" s="205">
        <f t="shared" ca="1" si="90"/>
        <v>1128.0300361811878</v>
      </c>
      <c r="AD257" s="5152">
        <f t="shared" ca="1" si="97"/>
        <v>36.872328976362503</v>
      </c>
      <c r="AE257" s="205">
        <f t="shared" si="98"/>
        <v>0</v>
      </c>
      <c r="AF257" s="5153">
        <f t="shared" ca="1" si="104"/>
        <v>36.872328976362503</v>
      </c>
      <c r="AG257" s="205">
        <f t="shared" ca="1" si="100"/>
        <v>3.8331659328979915</v>
      </c>
      <c r="AH257" s="205">
        <f t="shared" si="101"/>
        <v>0</v>
      </c>
      <c r="AI257" s="205">
        <f t="shared" ca="1" si="102"/>
        <v>3.8331659328979915</v>
      </c>
      <c r="AJ257" s="205"/>
      <c r="AK257" s="205">
        <f t="shared" ca="1" si="74"/>
        <v>0</v>
      </c>
      <c r="AL257" s="4543" t="str">
        <f t="shared" ca="1" si="91"/>
        <v>한도준수</v>
      </c>
    </row>
    <row r="258" spans="1:38" ht="12" customHeight="1">
      <c r="A258" s="4542">
        <f t="shared" si="75"/>
        <v>2023</v>
      </c>
      <c r="B258" s="3606">
        <f t="shared" si="92"/>
        <v>45260</v>
      </c>
      <c r="C258" s="205">
        <v>0</v>
      </c>
      <c r="D258" s="205">
        <v>0</v>
      </c>
      <c r="E258" s="205">
        <f t="shared" si="76"/>
        <v>0</v>
      </c>
      <c r="F258" s="205">
        <f t="shared" si="77"/>
        <v>0</v>
      </c>
      <c r="G258" s="205">
        <f t="shared" si="78"/>
        <v>0</v>
      </c>
      <c r="H258" s="205">
        <f t="shared" ca="1" si="72"/>
        <v>0.41666666666666669</v>
      </c>
      <c r="I258" s="205">
        <v>0</v>
      </c>
      <c r="J258" s="205">
        <v>0</v>
      </c>
      <c r="K258" s="205">
        <f t="shared" ca="1" si="79"/>
        <v>0</v>
      </c>
      <c r="L258" s="205">
        <f t="shared" si="80"/>
        <v>-0.41666666666666669</v>
      </c>
      <c r="M258" s="205">
        <f t="shared" si="81"/>
        <v>0</v>
      </c>
      <c r="N258" s="205">
        <f t="shared" si="103"/>
        <v>0</v>
      </c>
      <c r="O258" s="205">
        <f t="shared" si="82"/>
        <v>0</v>
      </c>
      <c r="P258" s="205">
        <f t="shared" ca="1" si="83"/>
        <v>0</v>
      </c>
      <c r="Q258" s="205">
        <f t="shared" si="84"/>
        <v>0</v>
      </c>
      <c r="R258" s="205">
        <f t="shared" ca="1" si="85"/>
        <v>0</v>
      </c>
      <c r="S258" s="205">
        <f t="shared" ca="1" si="86"/>
        <v>0</v>
      </c>
      <c r="T258" s="205">
        <f t="shared" ca="1" si="87"/>
        <v>0</v>
      </c>
      <c r="U258" s="205">
        <f t="shared" ca="1" si="88"/>
        <v>253657.21077689301</v>
      </c>
      <c r="V258" s="205">
        <f t="shared" ca="1" si="89"/>
        <v>8456.6874676584193</v>
      </c>
      <c r="W258" s="205"/>
      <c r="X258" s="205">
        <f t="shared" si="93"/>
        <v>967.00082894589048</v>
      </c>
      <c r="Y258" s="205">
        <f t="shared" si="73"/>
        <v>0</v>
      </c>
      <c r="Z258" s="205">
        <f t="shared" si="94"/>
        <v>1966.235018856644</v>
      </c>
      <c r="AA258" s="205">
        <f t="shared" ca="1" si="95"/>
        <v>1091.6419704979239</v>
      </c>
      <c r="AB258" s="205">
        <f t="shared" si="96"/>
        <v>0</v>
      </c>
      <c r="AC258" s="205">
        <f t="shared" ca="1" si="90"/>
        <v>2219.6720066791117</v>
      </c>
      <c r="AD258" s="5152">
        <f t="shared" ca="1" si="97"/>
        <v>35.682899009383064</v>
      </c>
      <c r="AE258" s="205">
        <f t="shared" si="98"/>
        <v>0</v>
      </c>
      <c r="AF258" s="5153">
        <f t="shared" ca="1" si="104"/>
        <v>72.555227985745574</v>
      </c>
      <c r="AG258" s="205">
        <f t="shared" ca="1" si="100"/>
        <v>3.7094126792075128</v>
      </c>
      <c r="AH258" s="205">
        <f t="shared" si="101"/>
        <v>0</v>
      </c>
      <c r="AI258" s="205">
        <f t="shared" ca="1" si="102"/>
        <v>7.5425786121055047</v>
      </c>
      <c r="AJ258" s="205"/>
      <c r="AK258" s="205">
        <f t="shared" ca="1" si="74"/>
        <v>0</v>
      </c>
      <c r="AL258" s="4543" t="str">
        <f t="shared" ca="1" si="91"/>
        <v>한도준수</v>
      </c>
    </row>
    <row r="259" spans="1:38" ht="12" customHeight="1">
      <c r="A259" s="4542">
        <f t="shared" si="75"/>
        <v>2023</v>
      </c>
      <c r="B259" s="3606">
        <f t="shared" si="92"/>
        <v>45291</v>
      </c>
      <c r="C259" s="205">
        <v>0</v>
      </c>
      <c r="D259" s="205">
        <v>0</v>
      </c>
      <c r="E259" s="205">
        <f t="shared" si="76"/>
        <v>2965.4692087673975</v>
      </c>
      <c r="F259" s="205">
        <f t="shared" si="77"/>
        <v>0</v>
      </c>
      <c r="G259" s="205">
        <f t="shared" si="78"/>
        <v>0</v>
      </c>
      <c r="H259" s="205">
        <f t="shared" ca="1" si="72"/>
        <v>503.45695043093292</v>
      </c>
      <c r="I259" s="205">
        <v>0</v>
      </c>
      <c r="J259" s="205">
        <v>0</v>
      </c>
      <c r="K259" s="205">
        <f t="shared" ca="1" si="79"/>
        <v>0</v>
      </c>
      <c r="L259" s="205">
        <f t="shared" si="80"/>
        <v>-0.41666666666666669</v>
      </c>
      <c r="M259" s="205">
        <f t="shared" ca="1" si="81"/>
        <v>-109.43191745512799</v>
      </c>
      <c r="N259" s="205">
        <f t="shared" ca="1" si="103"/>
        <v>-11.375532216236373</v>
      </c>
      <c r="O259" s="205">
        <f t="shared" ca="1" si="82"/>
        <v>-3347.7020428602996</v>
      </c>
      <c r="P259" s="205">
        <f t="shared" ca="1" si="83"/>
        <v>0</v>
      </c>
      <c r="Q259" s="205">
        <f t="shared" si="84"/>
        <v>0</v>
      </c>
      <c r="R259" s="205">
        <f t="shared" ca="1" si="85"/>
        <v>0</v>
      </c>
      <c r="S259" s="205">
        <f t="shared" ca="1" si="86"/>
        <v>0</v>
      </c>
      <c r="T259" s="205">
        <f t="shared" ca="1" si="87"/>
        <v>0</v>
      </c>
      <c r="U259" s="205">
        <f t="shared" ca="1" si="88"/>
        <v>253657.21077689301</v>
      </c>
      <c r="V259" s="205">
        <f t="shared" ca="1" si="89"/>
        <v>8960.1444180893523</v>
      </c>
      <c r="W259" s="205"/>
      <c r="X259" s="205">
        <f t="shared" si="93"/>
        <v>999.23418991075357</v>
      </c>
      <c r="Y259" s="205">
        <f t="shared" si="73"/>
        <v>-2965.4692087673975</v>
      </c>
      <c r="Z259" s="205">
        <f t="shared" si="94"/>
        <v>0</v>
      </c>
      <c r="AA259" s="205">
        <f t="shared" ca="1" si="95"/>
        <v>1128.0300361811878</v>
      </c>
      <c r="AB259" s="205">
        <f ca="1">O259</f>
        <v>-3347.7020428602996</v>
      </c>
      <c r="AC259" s="205">
        <f t="shared" ca="1" si="90"/>
        <v>0</v>
      </c>
      <c r="AD259" s="5152">
        <f t="shared" ca="1" si="97"/>
        <v>36.876689469382413</v>
      </c>
      <c r="AE259" s="205">
        <f ca="1">M259</f>
        <v>-109.43191745512799</v>
      </c>
      <c r="AF259" s="5153">
        <f t="shared" ca="1" si="104"/>
        <v>0</v>
      </c>
      <c r="AG259" s="205">
        <f t="shared" ca="1" si="100"/>
        <v>3.8329536041308683</v>
      </c>
      <c r="AH259" s="205">
        <f t="shared" ca="1" si="101"/>
        <v>-11.375532216236373</v>
      </c>
      <c r="AI259" s="205">
        <f t="shared" ca="1" si="102"/>
        <v>0</v>
      </c>
      <c r="AJ259" s="205"/>
      <c r="AK259" s="205">
        <f t="shared" ca="1" si="74"/>
        <v>0</v>
      </c>
      <c r="AL259" s="4543" t="str">
        <f t="shared" ca="1" si="91"/>
        <v>한도준수</v>
      </c>
    </row>
    <row r="260" spans="1:38" ht="12" customHeight="1">
      <c r="A260" s="4542">
        <f t="shared" si="75"/>
        <v>2024</v>
      </c>
      <c r="B260" s="3606">
        <f t="shared" si="92"/>
        <v>45322</v>
      </c>
      <c r="C260" s="205">
        <v>0</v>
      </c>
      <c r="D260" s="205">
        <v>0</v>
      </c>
      <c r="E260" s="205">
        <f t="shared" si="76"/>
        <v>0</v>
      </c>
      <c r="F260" s="205">
        <f t="shared" si="77"/>
        <v>0</v>
      </c>
      <c r="G260" s="205">
        <f t="shared" si="78"/>
        <v>0</v>
      </c>
      <c r="H260" s="205">
        <f t="shared" ca="1" si="72"/>
        <v>0.41666666666666669</v>
      </c>
      <c r="I260" s="205">
        <v>0</v>
      </c>
      <c r="J260" s="205">
        <v>0</v>
      </c>
      <c r="K260" s="205">
        <f t="shared" ca="1" si="79"/>
        <v>0</v>
      </c>
      <c r="L260" s="205">
        <f t="shared" si="80"/>
        <v>-0.41666666666666669</v>
      </c>
      <c r="M260" s="205">
        <f t="shared" si="81"/>
        <v>0</v>
      </c>
      <c r="N260" s="205">
        <f t="shared" si="103"/>
        <v>0</v>
      </c>
      <c r="O260" s="205">
        <f t="shared" si="82"/>
        <v>0</v>
      </c>
      <c r="P260" s="205">
        <f t="shared" ca="1" si="83"/>
        <v>0</v>
      </c>
      <c r="Q260" s="205">
        <f t="shared" si="84"/>
        <v>0</v>
      </c>
      <c r="R260" s="205">
        <f t="shared" ca="1" si="85"/>
        <v>0</v>
      </c>
      <c r="S260" s="205">
        <f t="shared" ca="1" si="86"/>
        <v>0</v>
      </c>
      <c r="T260" s="205">
        <f t="shared" ca="1" si="87"/>
        <v>0</v>
      </c>
      <c r="U260" s="205">
        <f t="shared" ca="1" si="88"/>
        <v>253657.21077689301</v>
      </c>
      <c r="V260" s="205">
        <f t="shared" ca="1" si="89"/>
        <v>8960.5610847560183</v>
      </c>
      <c r="W260" s="205"/>
      <c r="X260" s="205">
        <f t="shared" si="93"/>
        <v>999.23418991075357</v>
      </c>
      <c r="Y260" s="205">
        <f t="shared" si="73"/>
        <v>0</v>
      </c>
      <c r="Z260" s="205">
        <f t="shared" si="94"/>
        <v>999.23418991075357</v>
      </c>
      <c r="AA260" s="205">
        <f t="shared" ca="1" si="95"/>
        <v>1128.0300361811878</v>
      </c>
      <c r="AB260" s="205">
        <f t="shared" si="96"/>
        <v>0</v>
      </c>
      <c r="AC260" s="205">
        <f t="shared" ca="1" si="90"/>
        <v>1128.0300361811878</v>
      </c>
      <c r="AD260" s="5152">
        <f t="shared" ca="1" si="97"/>
        <v>39.070017458397352</v>
      </c>
      <c r="AE260" s="205">
        <f t="shared" si="98"/>
        <v>0</v>
      </c>
      <c r="AF260" s="5153">
        <f t="shared" ca="1" si="104"/>
        <v>39.070017458397352</v>
      </c>
      <c r="AG260" s="205">
        <f t="shared" ca="1" si="100"/>
        <v>3.7046755318292885</v>
      </c>
      <c r="AH260" s="205">
        <f t="shared" si="101"/>
        <v>0</v>
      </c>
      <c r="AI260" s="205">
        <f t="shared" ca="1" si="102"/>
        <v>3.7046755318292885</v>
      </c>
      <c r="AJ260" s="205"/>
      <c r="AK260" s="205">
        <f t="shared" ca="1" si="74"/>
        <v>0</v>
      </c>
      <c r="AL260" s="4543" t="str">
        <f t="shared" ca="1" si="91"/>
        <v>한도준수</v>
      </c>
    </row>
    <row r="261" spans="1:38" ht="12" customHeight="1">
      <c r="A261" s="4542">
        <f t="shared" si="75"/>
        <v>2024</v>
      </c>
      <c r="B261" s="3606">
        <f t="shared" si="92"/>
        <v>45351</v>
      </c>
      <c r="C261" s="205">
        <v>0</v>
      </c>
      <c r="D261" s="205">
        <v>0</v>
      </c>
      <c r="E261" s="205">
        <f t="shared" si="76"/>
        <v>0</v>
      </c>
      <c r="F261" s="205">
        <f t="shared" si="77"/>
        <v>0</v>
      </c>
      <c r="G261" s="205">
        <f t="shared" si="78"/>
        <v>0</v>
      </c>
      <c r="H261" s="205">
        <f t="shared" ca="1" si="72"/>
        <v>0.41666666666666669</v>
      </c>
      <c r="I261" s="205">
        <v>0</v>
      </c>
      <c r="J261" s="205">
        <v>0</v>
      </c>
      <c r="K261" s="205">
        <f t="shared" ca="1" si="79"/>
        <v>0</v>
      </c>
      <c r="L261" s="205">
        <f t="shared" si="80"/>
        <v>-0.41666666666666669</v>
      </c>
      <c r="M261" s="205">
        <f t="shared" si="81"/>
        <v>0</v>
      </c>
      <c r="N261" s="205">
        <f t="shared" si="103"/>
        <v>0</v>
      </c>
      <c r="O261" s="205">
        <f t="shared" si="82"/>
        <v>0</v>
      </c>
      <c r="P261" s="205">
        <f t="shared" ca="1" si="83"/>
        <v>0</v>
      </c>
      <c r="Q261" s="205">
        <f t="shared" si="84"/>
        <v>0</v>
      </c>
      <c r="R261" s="205">
        <f t="shared" ca="1" si="85"/>
        <v>0</v>
      </c>
      <c r="S261" s="205">
        <f t="shared" ca="1" si="86"/>
        <v>0</v>
      </c>
      <c r="T261" s="205">
        <f t="shared" ca="1" si="87"/>
        <v>0</v>
      </c>
      <c r="U261" s="205">
        <f t="shared" ca="1" si="88"/>
        <v>253657.21077689301</v>
      </c>
      <c r="V261" s="205">
        <f t="shared" ca="1" si="89"/>
        <v>8960.9777514226844</v>
      </c>
      <c r="W261" s="205"/>
      <c r="X261" s="205">
        <f t="shared" si="93"/>
        <v>934.76746798102738</v>
      </c>
      <c r="Y261" s="205">
        <f t="shared" si="73"/>
        <v>0</v>
      </c>
      <c r="Z261" s="205">
        <f t="shared" si="94"/>
        <v>1934.001657891781</v>
      </c>
      <c r="AA261" s="205">
        <f t="shared" ca="1" si="95"/>
        <v>1055.25390481466</v>
      </c>
      <c r="AB261" s="205">
        <f t="shared" si="96"/>
        <v>0</v>
      </c>
      <c r="AC261" s="205">
        <f t="shared" ca="1" si="90"/>
        <v>2183.2839409958478</v>
      </c>
      <c r="AD261" s="5152">
        <f t="shared" ca="1" si="97"/>
        <v>36.553450341648414</v>
      </c>
      <c r="AE261" s="205">
        <f t="shared" si="98"/>
        <v>0</v>
      </c>
      <c r="AF261" s="5153">
        <f t="shared" ca="1" si="104"/>
        <v>75.623467800045773</v>
      </c>
      <c r="AG261" s="205">
        <f t="shared" ca="1" si="100"/>
        <v>3.4655648921266478</v>
      </c>
      <c r="AH261" s="205">
        <f t="shared" si="101"/>
        <v>0</v>
      </c>
      <c r="AI261" s="205">
        <f t="shared" ca="1" si="102"/>
        <v>7.1702404239559367</v>
      </c>
      <c r="AJ261" s="205"/>
      <c r="AK261" s="205">
        <f t="shared" ca="1" si="74"/>
        <v>0</v>
      </c>
      <c r="AL261" s="4543" t="str">
        <f t="shared" ca="1" si="91"/>
        <v>한도준수</v>
      </c>
    </row>
    <row r="262" spans="1:38" ht="12" customHeight="1">
      <c r="A262" s="4542">
        <f t="shared" si="75"/>
        <v>2024</v>
      </c>
      <c r="B262" s="3606">
        <f t="shared" si="92"/>
        <v>45382</v>
      </c>
      <c r="C262" s="205">
        <v>0</v>
      </c>
      <c r="D262" s="205">
        <v>0</v>
      </c>
      <c r="E262" s="205">
        <f t="shared" si="76"/>
        <v>2933.2358478025344</v>
      </c>
      <c r="F262" s="205">
        <f t="shared" si="77"/>
        <v>0</v>
      </c>
      <c r="G262" s="205">
        <f t="shared" si="78"/>
        <v>0</v>
      </c>
      <c r="H262" s="205">
        <f t="shared" ca="1" si="72"/>
        <v>504.06734541964852</v>
      </c>
      <c r="I262" s="205">
        <v>0</v>
      </c>
      <c r="J262" s="205">
        <v>0</v>
      </c>
      <c r="K262" s="205">
        <f t="shared" ca="1" si="79"/>
        <v>0</v>
      </c>
      <c r="L262" s="205">
        <f t="shared" si="80"/>
        <v>-0.41666666666666669</v>
      </c>
      <c r="M262" s="205">
        <f t="shared" ca="1" si="81"/>
        <v>-114.69784575146303</v>
      </c>
      <c r="N262" s="205">
        <f t="shared" ca="1" si="103"/>
        <v>-10.874703627018102</v>
      </c>
      <c r="O262" s="205">
        <f t="shared" ca="1" si="82"/>
        <v>-3311.3139771770357</v>
      </c>
      <c r="P262" s="205">
        <f t="shared" ca="1" si="83"/>
        <v>0</v>
      </c>
      <c r="Q262" s="205">
        <f t="shared" si="84"/>
        <v>0</v>
      </c>
      <c r="R262" s="205">
        <f t="shared" ca="1" si="85"/>
        <v>0</v>
      </c>
      <c r="S262" s="205">
        <f t="shared" ca="1" si="86"/>
        <v>0</v>
      </c>
      <c r="T262" s="205">
        <f t="shared" ca="1" si="87"/>
        <v>0</v>
      </c>
      <c r="U262" s="205">
        <f t="shared" ca="1" si="88"/>
        <v>253657.21077689301</v>
      </c>
      <c r="V262" s="205">
        <f t="shared" ca="1" si="89"/>
        <v>9465.045096842332</v>
      </c>
      <c r="W262" s="205"/>
      <c r="X262" s="205">
        <f t="shared" si="93"/>
        <v>999.23418991075357</v>
      </c>
      <c r="Y262" s="205">
        <f t="shared" si="73"/>
        <v>-2933.2358478025344</v>
      </c>
      <c r="Z262" s="205">
        <f t="shared" si="94"/>
        <v>0</v>
      </c>
      <c r="AA262" s="205">
        <f t="shared" ca="1" si="95"/>
        <v>1128.0300361811878</v>
      </c>
      <c r="AB262" s="205">
        <f ca="1">O262</f>
        <v>-3311.3139771770357</v>
      </c>
      <c r="AC262" s="205">
        <f t="shared" ca="1" si="90"/>
        <v>0</v>
      </c>
      <c r="AD262" s="5152">
        <f t="shared" ca="1" si="97"/>
        <v>39.074377951417262</v>
      </c>
      <c r="AE262" s="205">
        <f ca="1">M262</f>
        <v>-114.69784575146303</v>
      </c>
      <c r="AF262" s="5153">
        <f t="shared" ca="1" si="104"/>
        <v>0</v>
      </c>
      <c r="AG262" s="205">
        <f t="shared" ca="1" si="100"/>
        <v>3.7044632030621654</v>
      </c>
      <c r="AH262" s="205">
        <f t="shared" ca="1" si="101"/>
        <v>-10.874703627018102</v>
      </c>
      <c r="AI262" s="205">
        <f t="shared" ca="1" si="102"/>
        <v>0</v>
      </c>
      <c r="AJ262" s="205"/>
      <c r="AK262" s="205">
        <f t="shared" ca="1" si="74"/>
        <v>0</v>
      </c>
      <c r="AL262" s="4543" t="str">
        <f t="shared" ca="1" si="91"/>
        <v>한도준수</v>
      </c>
    </row>
    <row r="263" spans="1:38" ht="12" customHeight="1">
      <c r="A263" s="4542">
        <f t="shared" si="75"/>
        <v>2024</v>
      </c>
      <c r="B263" s="3606">
        <f t="shared" si="92"/>
        <v>45412</v>
      </c>
      <c r="C263" s="205">
        <v>0</v>
      </c>
      <c r="D263" s="205">
        <v>0</v>
      </c>
      <c r="E263" s="205">
        <f t="shared" si="76"/>
        <v>0</v>
      </c>
      <c r="F263" s="205">
        <f t="shared" si="77"/>
        <v>0</v>
      </c>
      <c r="G263" s="205">
        <f t="shared" si="78"/>
        <v>0</v>
      </c>
      <c r="H263" s="205">
        <f t="shared" ca="1" si="72"/>
        <v>0.41666666666666669</v>
      </c>
      <c r="I263" s="205">
        <v>0</v>
      </c>
      <c r="J263" s="205">
        <v>0</v>
      </c>
      <c r="K263" s="205">
        <f t="shared" ca="1" si="79"/>
        <v>0</v>
      </c>
      <c r="L263" s="205">
        <f t="shared" si="80"/>
        <v>-0.41666666666666669</v>
      </c>
      <c r="M263" s="205">
        <f t="shared" si="81"/>
        <v>0</v>
      </c>
      <c r="N263" s="205">
        <f t="shared" si="103"/>
        <v>0</v>
      </c>
      <c r="O263" s="205">
        <f t="shared" si="82"/>
        <v>0</v>
      </c>
      <c r="P263" s="205">
        <f t="shared" ca="1" si="83"/>
        <v>0</v>
      </c>
      <c r="Q263" s="205">
        <f t="shared" si="84"/>
        <v>0</v>
      </c>
      <c r="R263" s="205">
        <f t="shared" ca="1" si="85"/>
        <v>0</v>
      </c>
      <c r="S263" s="205">
        <f t="shared" ca="1" si="86"/>
        <v>0</v>
      </c>
      <c r="T263" s="205">
        <f t="shared" ca="1" si="87"/>
        <v>0</v>
      </c>
      <c r="U263" s="205">
        <f t="shared" ca="1" si="88"/>
        <v>253657.21077689301</v>
      </c>
      <c r="V263" s="205">
        <f t="shared" ca="1" si="89"/>
        <v>9465.461763508998</v>
      </c>
      <c r="W263" s="205"/>
      <c r="X263" s="205">
        <f t="shared" si="93"/>
        <v>967.00082894589048</v>
      </c>
      <c r="Y263" s="205">
        <f t="shared" si="73"/>
        <v>0</v>
      </c>
      <c r="Z263" s="205">
        <f t="shared" si="94"/>
        <v>967.00082894589048</v>
      </c>
      <c r="AA263" s="205">
        <f t="shared" ca="1" si="95"/>
        <v>1091.6419704979239</v>
      </c>
      <c r="AB263" s="205">
        <f t="shared" si="96"/>
        <v>0</v>
      </c>
      <c r="AC263" s="205">
        <f t="shared" ca="1" si="90"/>
        <v>1091.6419704979239</v>
      </c>
      <c r="AD263" s="5152">
        <f t="shared" ca="1" si="97"/>
        <v>39.940709451727855</v>
      </c>
      <c r="AE263" s="205">
        <f t="shared" si="98"/>
        <v>0</v>
      </c>
      <c r="AF263" s="5153">
        <f t="shared" ca="1" si="104"/>
        <v>39.940709451727855</v>
      </c>
      <c r="AG263" s="205">
        <f t="shared" ca="1" si="100"/>
        <v>3.4606738117375078</v>
      </c>
      <c r="AH263" s="205">
        <f t="shared" si="101"/>
        <v>0</v>
      </c>
      <c r="AI263" s="205">
        <f t="shared" ca="1" si="102"/>
        <v>3.4606738117375078</v>
      </c>
      <c r="AJ263" s="205"/>
      <c r="AK263" s="205">
        <f t="shared" ca="1" si="74"/>
        <v>0</v>
      </c>
      <c r="AL263" s="4543" t="str">
        <f t="shared" ca="1" si="91"/>
        <v>한도준수</v>
      </c>
    </row>
    <row r="264" spans="1:38" ht="12" customHeight="1">
      <c r="A264" s="4542">
        <f t="shared" si="75"/>
        <v>2024</v>
      </c>
      <c r="B264" s="3606">
        <f t="shared" si="92"/>
        <v>45443</v>
      </c>
      <c r="C264" s="205">
        <v>0</v>
      </c>
      <c r="D264" s="205">
        <v>0</v>
      </c>
      <c r="E264" s="205">
        <f t="shared" si="76"/>
        <v>0</v>
      </c>
      <c r="F264" s="205">
        <f t="shared" si="77"/>
        <v>0</v>
      </c>
      <c r="G264" s="205">
        <f t="shared" si="78"/>
        <v>0</v>
      </c>
      <c r="H264" s="205">
        <f t="shared" ca="1" si="72"/>
        <v>0.41666666666666669</v>
      </c>
      <c r="I264" s="205">
        <v>0</v>
      </c>
      <c r="J264" s="205">
        <v>0</v>
      </c>
      <c r="K264" s="205">
        <f t="shared" ca="1" si="79"/>
        <v>0</v>
      </c>
      <c r="L264" s="205">
        <f t="shared" si="80"/>
        <v>-0.41666666666666669</v>
      </c>
      <c r="M264" s="205">
        <f t="shared" si="81"/>
        <v>0</v>
      </c>
      <c r="N264" s="205">
        <f t="shared" si="103"/>
        <v>0</v>
      </c>
      <c r="O264" s="205">
        <f t="shared" si="82"/>
        <v>0</v>
      </c>
      <c r="P264" s="205">
        <f t="shared" ca="1" si="83"/>
        <v>0</v>
      </c>
      <c r="Q264" s="205">
        <f t="shared" si="84"/>
        <v>0</v>
      </c>
      <c r="R264" s="205">
        <f t="shared" ca="1" si="85"/>
        <v>0</v>
      </c>
      <c r="S264" s="205">
        <f t="shared" ca="1" si="86"/>
        <v>0</v>
      </c>
      <c r="T264" s="205">
        <f t="shared" ca="1" si="87"/>
        <v>0</v>
      </c>
      <c r="U264" s="205">
        <f t="shared" ca="1" si="88"/>
        <v>253657.21077689301</v>
      </c>
      <c r="V264" s="205">
        <f t="shared" ca="1" si="89"/>
        <v>9465.8784301756641</v>
      </c>
      <c r="W264" s="205"/>
      <c r="X264" s="205">
        <f t="shared" si="93"/>
        <v>999.23418991075357</v>
      </c>
      <c r="Y264" s="205">
        <f t="shared" si="73"/>
        <v>0</v>
      </c>
      <c r="Z264" s="205">
        <f t="shared" si="94"/>
        <v>1966.235018856644</v>
      </c>
      <c r="AA264" s="205">
        <f t="shared" ca="1" si="95"/>
        <v>1128.0300361811878</v>
      </c>
      <c r="AB264" s="205">
        <f t="shared" si="96"/>
        <v>0</v>
      </c>
      <c r="AC264" s="205">
        <f t="shared" ca="1" si="90"/>
        <v>2219.6720066791117</v>
      </c>
      <c r="AD264" s="5152">
        <f t="shared" ca="1" si="97"/>
        <v>41.272066433452117</v>
      </c>
      <c r="AE264" s="205">
        <f t="shared" si="98"/>
        <v>0</v>
      </c>
      <c r="AF264" s="5153">
        <f t="shared" ca="1" si="104"/>
        <v>81.21277588517998</v>
      </c>
      <c r="AG264" s="205">
        <f t="shared" ca="1" si="100"/>
        <v>3.5759234410785292</v>
      </c>
      <c r="AH264" s="205">
        <f t="shared" si="101"/>
        <v>0</v>
      </c>
      <c r="AI264" s="205">
        <f t="shared" ca="1" si="102"/>
        <v>7.036597252816037</v>
      </c>
      <c r="AJ264" s="205"/>
      <c r="AK264" s="205">
        <f t="shared" ca="1" si="74"/>
        <v>0</v>
      </c>
      <c r="AL264" s="4543" t="str">
        <f t="shared" ca="1" si="91"/>
        <v>한도준수</v>
      </c>
    </row>
    <row r="265" spans="1:38" ht="12" customHeight="1">
      <c r="A265" s="4542">
        <f t="shared" si="75"/>
        <v>2024</v>
      </c>
      <c r="B265" s="3606">
        <f t="shared" si="92"/>
        <v>45473</v>
      </c>
      <c r="C265" s="205">
        <v>0</v>
      </c>
      <c r="D265" s="205">
        <v>0</v>
      </c>
      <c r="E265" s="205">
        <f t="shared" si="76"/>
        <v>2933.2358478025344</v>
      </c>
      <c r="F265" s="205">
        <f t="shared" si="77"/>
        <v>0</v>
      </c>
      <c r="G265" s="205">
        <f t="shared" si="78"/>
        <v>0</v>
      </c>
      <c r="H265" s="205">
        <f t="shared" ca="1" si="72"/>
        <v>540.14956679513216</v>
      </c>
      <c r="I265" s="205">
        <v>0</v>
      </c>
      <c r="J265" s="205">
        <v>0</v>
      </c>
      <c r="K265" s="205">
        <f t="shared" ca="1" si="79"/>
        <v>-30</v>
      </c>
      <c r="L265" s="205">
        <f t="shared" si="80"/>
        <v>-0.41666666666666669</v>
      </c>
      <c r="M265" s="205">
        <f t="shared" ca="1" si="81"/>
        <v>-121.15770516886258</v>
      </c>
      <c r="N265" s="205">
        <f t="shared" ca="1" si="103"/>
        <v>-10.49706558510149</v>
      </c>
      <c r="O265" s="205">
        <f t="shared" ca="1" si="82"/>
        <v>-3311.3139771770357</v>
      </c>
      <c r="P265" s="205">
        <f t="shared" ca="1" si="83"/>
        <v>0</v>
      </c>
      <c r="Q265" s="205">
        <f t="shared" si="84"/>
        <v>0</v>
      </c>
      <c r="R265" s="205">
        <f t="shared" ca="1" si="85"/>
        <v>0</v>
      </c>
      <c r="S265" s="205">
        <f t="shared" ca="1" si="86"/>
        <v>0</v>
      </c>
      <c r="T265" s="205">
        <f t="shared" ca="1" si="87"/>
        <v>0</v>
      </c>
      <c r="U265" s="205">
        <f t="shared" ca="1" si="88"/>
        <v>253657.21077689301</v>
      </c>
      <c r="V265" s="205">
        <f t="shared" ca="1" si="89"/>
        <v>10006.027996970795</v>
      </c>
      <c r="W265" s="205"/>
      <c r="X265" s="205">
        <f t="shared" si="93"/>
        <v>967.00082894589048</v>
      </c>
      <c r="Y265" s="205">
        <f t="shared" si="73"/>
        <v>-2933.2358478025344</v>
      </c>
      <c r="Z265" s="205">
        <f t="shared" si="94"/>
        <v>0</v>
      </c>
      <c r="AA265" s="205">
        <f t="shared" ca="1" si="95"/>
        <v>1091.6419704979239</v>
      </c>
      <c r="AB265" s="205">
        <f ca="1">O265</f>
        <v>-3311.3139771770357</v>
      </c>
      <c r="AC265" s="205">
        <f t="shared" ca="1" si="90"/>
        <v>0</v>
      </c>
      <c r="AD265" s="5152">
        <f t="shared" ca="1" si="97"/>
        <v>39.944929283682605</v>
      </c>
      <c r="AE265" s="205">
        <f ca="1">M265</f>
        <v>-121.15770516886258</v>
      </c>
      <c r="AF265" s="5153">
        <f t="shared" ca="1" si="104"/>
        <v>0</v>
      </c>
      <c r="AG265" s="205">
        <f t="shared" ca="1" si="100"/>
        <v>3.4604683322854526</v>
      </c>
      <c r="AH265" s="205">
        <f t="shared" ca="1" si="101"/>
        <v>-10.49706558510149</v>
      </c>
      <c r="AI265" s="205">
        <f t="shared" ca="1" si="102"/>
        <v>0</v>
      </c>
      <c r="AJ265" s="205"/>
      <c r="AK265" s="205">
        <f t="shared" ca="1" si="74"/>
        <v>0</v>
      </c>
      <c r="AL265" s="4543" t="str">
        <f t="shared" ca="1" si="91"/>
        <v>한도준수</v>
      </c>
    </row>
    <row r="266" spans="1:38" ht="12" customHeight="1">
      <c r="A266" s="4542">
        <f t="shared" si="75"/>
        <v>2024</v>
      </c>
      <c r="B266" s="3606">
        <f t="shared" si="92"/>
        <v>45504</v>
      </c>
      <c r="C266" s="205">
        <v>0</v>
      </c>
      <c r="D266" s="205">
        <v>0</v>
      </c>
      <c r="E266" s="205">
        <f t="shared" si="76"/>
        <v>0</v>
      </c>
      <c r="F266" s="205">
        <f t="shared" si="77"/>
        <v>0</v>
      </c>
      <c r="G266" s="205">
        <f t="shared" si="78"/>
        <v>0</v>
      </c>
      <c r="H266" s="205">
        <f t="shared" ca="1" si="72"/>
        <v>0.41666666666666669</v>
      </c>
      <c r="I266" s="205">
        <v>0</v>
      </c>
      <c r="J266" s="205">
        <v>0</v>
      </c>
      <c r="K266" s="205">
        <f t="shared" ca="1" si="79"/>
        <v>0</v>
      </c>
      <c r="L266" s="205">
        <f t="shared" si="80"/>
        <v>-0.41666666666666669</v>
      </c>
      <c r="M266" s="205">
        <f t="shared" si="81"/>
        <v>0</v>
      </c>
      <c r="N266" s="205">
        <f t="shared" si="103"/>
        <v>0</v>
      </c>
      <c r="O266" s="205">
        <f t="shared" si="82"/>
        <v>0</v>
      </c>
      <c r="P266" s="205">
        <f t="shared" ca="1" si="83"/>
        <v>0</v>
      </c>
      <c r="Q266" s="205">
        <f t="shared" si="84"/>
        <v>0</v>
      </c>
      <c r="R266" s="205">
        <f t="shared" ca="1" si="85"/>
        <v>0</v>
      </c>
      <c r="S266" s="205">
        <f t="shared" ca="1" si="86"/>
        <v>0</v>
      </c>
      <c r="T266" s="205">
        <f t="shared" ca="1" si="87"/>
        <v>0</v>
      </c>
      <c r="U266" s="205">
        <f t="shared" ca="1" si="88"/>
        <v>253657.21077689301</v>
      </c>
      <c r="V266" s="205">
        <f t="shared" ca="1" si="89"/>
        <v>10006.444663637461</v>
      </c>
      <c r="W266" s="205"/>
      <c r="X266" s="205">
        <f t="shared" si="93"/>
        <v>999.23418991075357</v>
      </c>
      <c r="Y266" s="205">
        <f t="shared" si="73"/>
        <v>0</v>
      </c>
      <c r="Z266" s="205">
        <f t="shared" si="94"/>
        <v>999.23418991075357</v>
      </c>
      <c r="AA266" s="205">
        <f t="shared" ca="1" si="95"/>
        <v>1128.0300361811878</v>
      </c>
      <c r="AB266" s="205">
        <f t="shared" si="96"/>
        <v>0</v>
      </c>
      <c r="AC266" s="205">
        <f t="shared" ca="1" si="90"/>
        <v>1128.0300361811878</v>
      </c>
      <c r="AD266" s="5152">
        <f t="shared" ca="1" si="97"/>
        <v>43.631093157223653</v>
      </c>
      <c r="AE266" s="205">
        <f t="shared" si="98"/>
        <v>0</v>
      </c>
      <c r="AF266" s="5153">
        <f t="shared" ca="1" si="104"/>
        <v>43.631093157223653</v>
      </c>
      <c r="AG266" s="205">
        <f t="shared" ca="1" si="100"/>
        <v>3.4381901267992219</v>
      </c>
      <c r="AH266" s="205">
        <f t="shared" si="101"/>
        <v>0</v>
      </c>
      <c r="AI266" s="205">
        <f t="shared" ca="1" si="102"/>
        <v>3.4381901267992219</v>
      </c>
      <c r="AJ266" s="205"/>
      <c r="AK266" s="205">
        <f t="shared" ca="1" si="74"/>
        <v>0</v>
      </c>
      <c r="AL266" s="4543" t="str">
        <f t="shared" ca="1" si="91"/>
        <v>한도준수</v>
      </c>
    </row>
    <row r="267" spans="1:38" ht="12" customHeight="1">
      <c r="A267" s="4542">
        <f t="shared" si="75"/>
        <v>2024</v>
      </c>
      <c r="B267" s="3606">
        <f t="shared" si="92"/>
        <v>45535</v>
      </c>
      <c r="C267" s="205">
        <v>0</v>
      </c>
      <c r="D267" s="205">
        <v>0</v>
      </c>
      <c r="E267" s="205">
        <f t="shared" si="76"/>
        <v>0</v>
      </c>
      <c r="F267" s="205">
        <f t="shared" si="77"/>
        <v>0</v>
      </c>
      <c r="G267" s="205">
        <f t="shared" si="78"/>
        <v>0</v>
      </c>
      <c r="H267" s="205">
        <f t="shared" ca="1" si="72"/>
        <v>0.41666666666666669</v>
      </c>
      <c r="I267" s="205">
        <v>0</v>
      </c>
      <c r="J267" s="205">
        <v>0</v>
      </c>
      <c r="K267" s="205">
        <f t="shared" ca="1" si="79"/>
        <v>0</v>
      </c>
      <c r="L267" s="205">
        <f t="shared" si="80"/>
        <v>-0.41666666666666669</v>
      </c>
      <c r="M267" s="205">
        <f t="shared" si="81"/>
        <v>0</v>
      </c>
      <c r="N267" s="205">
        <f t="shared" si="103"/>
        <v>0</v>
      </c>
      <c r="O267" s="205">
        <f t="shared" si="82"/>
        <v>0</v>
      </c>
      <c r="P267" s="205">
        <f t="shared" ca="1" si="83"/>
        <v>0</v>
      </c>
      <c r="Q267" s="205">
        <f t="shared" si="84"/>
        <v>0</v>
      </c>
      <c r="R267" s="205">
        <f t="shared" ca="1" si="85"/>
        <v>0</v>
      </c>
      <c r="S267" s="205">
        <f t="shared" ca="1" si="86"/>
        <v>0</v>
      </c>
      <c r="T267" s="205">
        <f t="shared" ca="1" si="87"/>
        <v>0</v>
      </c>
      <c r="U267" s="205">
        <f t="shared" ca="1" si="88"/>
        <v>253657.21077689301</v>
      </c>
      <c r="V267" s="205">
        <f t="shared" ca="1" si="89"/>
        <v>10006.861330304127</v>
      </c>
      <c r="W267" s="205"/>
      <c r="X267" s="205">
        <f t="shared" si="93"/>
        <v>999.23418991075357</v>
      </c>
      <c r="Y267" s="205">
        <f t="shared" si="73"/>
        <v>0</v>
      </c>
      <c r="Z267" s="205">
        <f t="shared" si="94"/>
        <v>1998.4683798215071</v>
      </c>
      <c r="AA267" s="205">
        <f t="shared" ca="1" si="95"/>
        <v>1128.0300361811878</v>
      </c>
      <c r="AB267" s="205">
        <f t="shared" si="96"/>
        <v>0</v>
      </c>
      <c r="AC267" s="205">
        <f t="shared" ca="1" si="90"/>
        <v>2256.0600723623756</v>
      </c>
      <c r="AD267" s="5152">
        <f t="shared" ca="1" si="97"/>
        <v>43.631093157223653</v>
      </c>
      <c r="AE267" s="205">
        <f t="shared" si="98"/>
        <v>0</v>
      </c>
      <c r="AF267" s="5153">
        <f t="shared" ca="1" si="104"/>
        <v>87.262186314447305</v>
      </c>
      <c r="AG267" s="205">
        <f t="shared" ca="1" si="100"/>
        <v>3.4380839624156603</v>
      </c>
      <c r="AH267" s="205">
        <f t="shared" si="101"/>
        <v>0</v>
      </c>
      <c r="AI267" s="205">
        <f t="shared" ca="1" si="102"/>
        <v>6.8762740892148821</v>
      </c>
      <c r="AJ267" s="205"/>
      <c r="AK267" s="205">
        <f t="shared" ca="1" si="74"/>
        <v>0</v>
      </c>
      <c r="AL267" s="4543" t="str">
        <f t="shared" ca="1" si="91"/>
        <v>한도준수</v>
      </c>
    </row>
    <row r="268" spans="1:38" ht="12" customHeight="1">
      <c r="A268" s="4542">
        <f t="shared" si="75"/>
        <v>2024</v>
      </c>
      <c r="B268" s="3606">
        <f t="shared" si="92"/>
        <v>45565</v>
      </c>
      <c r="C268" s="205">
        <v>0</v>
      </c>
      <c r="D268" s="205">
        <v>0</v>
      </c>
      <c r="E268" s="205">
        <f t="shared" si="76"/>
        <v>1998.4683798215071</v>
      </c>
      <c r="F268" s="205">
        <f t="shared" si="77"/>
        <v>0</v>
      </c>
      <c r="G268" s="205">
        <f t="shared" si="78"/>
        <v>0</v>
      </c>
      <c r="H268" s="205">
        <f t="shared" ca="1" si="72"/>
        <v>1489.3437237687428</v>
      </c>
      <c r="I268" s="205">
        <v>0</v>
      </c>
      <c r="J268" s="205">
        <v>0</v>
      </c>
      <c r="K268" s="205">
        <f t="shared" ca="1" si="79"/>
        <v>0</v>
      </c>
      <c r="L268" s="205">
        <f t="shared" si="80"/>
        <v>-0.41666666666666669</v>
      </c>
      <c r="M268" s="205">
        <f t="shared" ca="1" si="81"/>
        <v>-129.49004468565076</v>
      </c>
      <c r="N268" s="205">
        <f t="shared" ca="1" si="103"/>
        <v>-10.203349377633042</v>
      </c>
      <c r="O268" s="205">
        <f t="shared" ca="1" si="82"/>
        <v>-3347.7020428602996</v>
      </c>
      <c r="P268" s="205">
        <f t="shared" ca="1" si="83"/>
        <v>0</v>
      </c>
      <c r="Q268" s="205">
        <f t="shared" si="84"/>
        <v>0</v>
      </c>
      <c r="R268" s="205">
        <f t="shared" ca="1" si="85"/>
        <v>0</v>
      </c>
      <c r="S268" s="205">
        <f t="shared" ca="1" si="86"/>
        <v>0</v>
      </c>
      <c r="T268" s="205">
        <f t="shared" ca="1" si="87"/>
        <v>0</v>
      </c>
      <c r="U268" s="205">
        <f t="shared" ca="1" si="88"/>
        <v>253657.21077689301</v>
      </c>
      <c r="V268" s="205">
        <f t="shared" ca="1" si="89"/>
        <v>11496.205054072871</v>
      </c>
      <c r="W268" s="205"/>
      <c r="X268" s="205">
        <f t="shared" si="93"/>
        <v>0</v>
      </c>
      <c r="Y268" s="205">
        <f t="shared" si="73"/>
        <v>-1998.4683798215071</v>
      </c>
      <c r="Z268" s="205">
        <f t="shared" si="94"/>
        <v>0</v>
      </c>
      <c r="AA268" s="205">
        <f t="shared" ca="1" si="95"/>
        <v>1091.6419704979239</v>
      </c>
      <c r="AB268" s="205">
        <f ca="1">O268</f>
        <v>-3347.7020428602996</v>
      </c>
      <c r="AC268" s="205">
        <f t="shared" ca="1" si="90"/>
        <v>0</v>
      </c>
      <c r="AD268" s="5152">
        <f t="shared" ca="1" si="97"/>
        <v>42.227858371203446</v>
      </c>
      <c r="AE268" s="205">
        <f ca="1">M268</f>
        <v>-129.49004468565076</v>
      </c>
      <c r="AF268" s="5153">
        <f t="shared" ca="1" si="104"/>
        <v>0</v>
      </c>
      <c r="AG268" s="205">
        <f t="shared" ca="1" si="100"/>
        <v>3.3270752884181611</v>
      </c>
      <c r="AH268" s="205">
        <f t="shared" ca="1" si="101"/>
        <v>-10.203349377633042</v>
      </c>
      <c r="AI268" s="205">
        <f t="shared" ca="1" si="102"/>
        <v>0</v>
      </c>
      <c r="AJ268" s="205"/>
      <c r="AK268" s="205">
        <f t="shared" ca="1" si="74"/>
        <v>0</v>
      </c>
      <c r="AL268" s="4543" t="str">
        <f t="shared" ca="1" si="91"/>
        <v>한도준수</v>
      </c>
    </row>
    <row r="269" spans="1:38" ht="12" customHeight="1">
      <c r="A269" s="4542">
        <f t="shared" si="75"/>
        <v>2024</v>
      </c>
      <c r="B269" s="3606">
        <f t="shared" si="92"/>
        <v>45596</v>
      </c>
      <c r="C269" s="205">
        <v>0</v>
      </c>
      <c r="D269" s="205">
        <v>0</v>
      </c>
      <c r="E269" s="205">
        <f t="shared" si="76"/>
        <v>0</v>
      </c>
      <c r="F269" s="205">
        <f t="shared" si="77"/>
        <v>0</v>
      </c>
      <c r="G269" s="205">
        <f t="shared" si="78"/>
        <v>0</v>
      </c>
      <c r="H269" s="205">
        <f t="shared" ca="1" si="72"/>
        <v>0.41666666666666669</v>
      </c>
      <c r="I269" s="205">
        <v>0</v>
      </c>
      <c r="J269" s="205">
        <v>0</v>
      </c>
      <c r="K269" s="205">
        <f t="shared" ca="1" si="79"/>
        <v>0</v>
      </c>
      <c r="L269" s="205">
        <f t="shared" si="80"/>
        <v>-0.41666666666666669</v>
      </c>
      <c r="M269" s="205">
        <f t="shared" si="81"/>
        <v>0</v>
      </c>
      <c r="N269" s="205">
        <f t="shared" si="103"/>
        <v>0</v>
      </c>
      <c r="O269" s="205">
        <f t="shared" si="82"/>
        <v>0</v>
      </c>
      <c r="P269" s="205">
        <f t="shared" ca="1" si="83"/>
        <v>0</v>
      </c>
      <c r="Q269" s="205">
        <f t="shared" si="84"/>
        <v>0</v>
      </c>
      <c r="R269" s="205">
        <f t="shared" ca="1" si="85"/>
        <v>0</v>
      </c>
      <c r="S269" s="205">
        <f t="shared" ca="1" si="86"/>
        <v>0</v>
      </c>
      <c r="T269" s="205">
        <f t="shared" ca="1" si="87"/>
        <v>0</v>
      </c>
      <c r="U269" s="205">
        <f t="shared" ca="1" si="88"/>
        <v>253657.21077689301</v>
      </c>
      <c r="V269" s="205">
        <f t="shared" ca="1" si="89"/>
        <v>11496.621720739537</v>
      </c>
      <c r="W269" s="205"/>
      <c r="X269" s="205">
        <f t="shared" si="93"/>
        <v>0</v>
      </c>
      <c r="Y269" s="205">
        <f t="shared" si="73"/>
        <v>0</v>
      </c>
      <c r="Z269" s="205">
        <f t="shared" si="94"/>
        <v>0</v>
      </c>
      <c r="AA269" s="205">
        <f t="shared" ca="1" si="95"/>
        <v>1128.0300361811878</v>
      </c>
      <c r="AB269" s="205">
        <f t="shared" si="96"/>
        <v>0</v>
      </c>
      <c r="AC269" s="205">
        <f t="shared" ca="1" si="90"/>
        <v>1128.0300361811878</v>
      </c>
      <c r="AD269" s="5152">
        <f t="shared" ca="1" si="97"/>
        <v>50.128227756890176</v>
      </c>
      <c r="AE269" s="205">
        <f t="shared" si="98"/>
        <v>0</v>
      </c>
      <c r="AF269" s="5153">
        <f t="shared" ca="1" si="104"/>
        <v>50.128227756890176</v>
      </c>
      <c r="AG269" s="205">
        <f t="shared" ca="1" si="100"/>
        <v>3.0585011780033513</v>
      </c>
      <c r="AH269" s="205">
        <f t="shared" si="101"/>
        <v>0</v>
      </c>
      <c r="AI269" s="205">
        <f t="shared" ca="1" si="102"/>
        <v>3.0585011780033513</v>
      </c>
      <c r="AJ269" s="205"/>
      <c r="AK269" s="205">
        <f t="shared" ca="1" si="74"/>
        <v>0</v>
      </c>
      <c r="AL269" s="4543" t="str">
        <f t="shared" ca="1" si="91"/>
        <v>한도준수</v>
      </c>
    </row>
    <row r="270" spans="1:38" ht="12" customHeight="1">
      <c r="A270" s="4542">
        <f t="shared" si="75"/>
        <v>2024</v>
      </c>
      <c r="B270" s="3606">
        <f t="shared" si="92"/>
        <v>45626</v>
      </c>
      <c r="C270" s="205">
        <v>0</v>
      </c>
      <c r="D270" s="205">
        <v>0</v>
      </c>
      <c r="E270" s="205">
        <f t="shared" si="76"/>
        <v>0</v>
      </c>
      <c r="F270" s="205">
        <f t="shared" si="77"/>
        <v>0</v>
      </c>
      <c r="G270" s="205">
        <f t="shared" si="78"/>
        <v>0</v>
      </c>
      <c r="H270" s="205">
        <f t="shared" ca="1" si="72"/>
        <v>0.41666666666666669</v>
      </c>
      <c r="I270" s="205">
        <v>0</v>
      </c>
      <c r="J270" s="205">
        <v>0</v>
      </c>
      <c r="K270" s="205">
        <f t="shared" ca="1" si="79"/>
        <v>0</v>
      </c>
      <c r="L270" s="205">
        <f t="shared" si="80"/>
        <v>-0.41666666666666669</v>
      </c>
      <c r="M270" s="205">
        <f t="shared" si="81"/>
        <v>0</v>
      </c>
      <c r="N270" s="205">
        <f t="shared" si="103"/>
        <v>0</v>
      </c>
      <c r="O270" s="205">
        <f t="shared" si="82"/>
        <v>0</v>
      </c>
      <c r="P270" s="205">
        <f t="shared" ca="1" si="83"/>
        <v>0</v>
      </c>
      <c r="Q270" s="205">
        <f t="shared" si="84"/>
        <v>0</v>
      </c>
      <c r="R270" s="205">
        <f t="shared" ca="1" si="85"/>
        <v>0</v>
      </c>
      <c r="S270" s="205">
        <f t="shared" ca="1" si="86"/>
        <v>0</v>
      </c>
      <c r="T270" s="205">
        <f t="shared" ca="1" si="87"/>
        <v>0</v>
      </c>
      <c r="U270" s="205">
        <f t="shared" ca="1" si="88"/>
        <v>253657.21077689301</v>
      </c>
      <c r="V270" s="205">
        <f t="shared" ca="1" si="89"/>
        <v>11497.038387406203</v>
      </c>
      <c r="W270" s="205"/>
      <c r="X270" s="205">
        <f t="shared" si="93"/>
        <v>0</v>
      </c>
      <c r="Y270" s="205">
        <f t="shared" si="73"/>
        <v>0</v>
      </c>
      <c r="Z270" s="205">
        <f t="shared" si="94"/>
        <v>0</v>
      </c>
      <c r="AA270" s="205">
        <f t="shared" ca="1" si="95"/>
        <v>1091.6419704979239</v>
      </c>
      <c r="AB270" s="205">
        <f t="shared" si="96"/>
        <v>0</v>
      </c>
      <c r="AC270" s="205">
        <f t="shared" ca="1" si="90"/>
        <v>2219.6720066791117</v>
      </c>
      <c r="AD270" s="5152">
        <f t="shared" ca="1" si="97"/>
        <v>48.515407983783952</v>
      </c>
      <c r="AE270" s="205">
        <f t="shared" si="98"/>
        <v>0</v>
      </c>
      <c r="AF270" s="5153">
        <f t="shared" ca="1" si="104"/>
        <v>98.643635740674128</v>
      </c>
      <c r="AG270" s="205">
        <f t="shared" ca="1" si="100"/>
        <v>2.9597371099546352</v>
      </c>
      <c r="AH270" s="205">
        <f t="shared" si="101"/>
        <v>0</v>
      </c>
      <c r="AI270" s="205">
        <f t="shared" ca="1" si="102"/>
        <v>6.0182382879579865</v>
      </c>
      <c r="AJ270" s="205"/>
      <c r="AK270" s="205">
        <f t="shared" ca="1" si="74"/>
        <v>0</v>
      </c>
      <c r="AL270" s="4543" t="str">
        <f t="shared" ca="1" si="91"/>
        <v>한도준수</v>
      </c>
    </row>
    <row r="271" spans="1:38" ht="12" customHeight="1">
      <c r="A271" s="4542">
        <f t="shared" si="75"/>
        <v>2024</v>
      </c>
      <c r="B271" s="3606">
        <f t="shared" si="92"/>
        <v>45657</v>
      </c>
      <c r="C271" s="205">
        <v>0</v>
      </c>
      <c r="D271" s="205">
        <v>0</v>
      </c>
      <c r="E271" s="205">
        <f t="shared" si="76"/>
        <v>0</v>
      </c>
      <c r="F271" s="205">
        <f t="shared" si="77"/>
        <v>0</v>
      </c>
      <c r="G271" s="205">
        <f t="shared" si="78"/>
        <v>0</v>
      </c>
      <c r="H271" s="205">
        <f t="shared" ca="1" si="72"/>
        <v>3505.9714606547445</v>
      </c>
      <c r="I271" s="205">
        <v>0</v>
      </c>
      <c r="J271" s="205">
        <v>0</v>
      </c>
      <c r="K271" s="205">
        <f t="shared" ca="1" si="79"/>
        <v>0</v>
      </c>
      <c r="L271" s="205">
        <f t="shared" si="80"/>
        <v>-0.41666666666666669</v>
      </c>
      <c r="M271" s="205">
        <f t="shared" ca="1" si="81"/>
        <v>-148.77622399058421</v>
      </c>
      <c r="N271" s="205">
        <f t="shared" ca="1" si="103"/>
        <v>-9.0765271371942156</v>
      </c>
      <c r="O271" s="205">
        <f t="shared" ca="1" si="82"/>
        <v>-3347.7020428602996</v>
      </c>
      <c r="P271" s="205">
        <f t="shared" ca="1" si="83"/>
        <v>0</v>
      </c>
      <c r="Q271" s="205">
        <f t="shared" si="84"/>
        <v>0</v>
      </c>
      <c r="R271" s="205">
        <f t="shared" ca="1" si="85"/>
        <v>0</v>
      </c>
      <c r="S271" s="205">
        <f t="shared" ca="1" si="86"/>
        <v>0</v>
      </c>
      <c r="T271" s="205">
        <f t="shared" ca="1" si="87"/>
        <v>0</v>
      </c>
      <c r="U271" s="205">
        <f t="shared" ca="1" si="88"/>
        <v>253657.21077689301</v>
      </c>
      <c r="V271" s="205">
        <f t="shared" ca="1" si="89"/>
        <v>15003.009848060947</v>
      </c>
      <c r="W271" s="205"/>
      <c r="X271" s="205">
        <f t="shared" si="93"/>
        <v>0</v>
      </c>
      <c r="Y271" s="205">
        <f t="shared" si="73"/>
        <v>0</v>
      </c>
      <c r="Z271" s="205">
        <f t="shared" si="94"/>
        <v>0</v>
      </c>
      <c r="AA271" s="205">
        <f t="shared" ca="1" si="95"/>
        <v>1128.0300361811878</v>
      </c>
      <c r="AB271" s="205">
        <f ca="1">O271</f>
        <v>-3347.7020428602996</v>
      </c>
      <c r="AC271" s="205">
        <f t="shared" ca="1" si="90"/>
        <v>0</v>
      </c>
      <c r="AD271" s="5152">
        <f t="shared" ca="1" si="97"/>
        <v>50.132588249910086</v>
      </c>
      <c r="AE271" s="205">
        <f ca="1">M271</f>
        <v>-148.77622399058421</v>
      </c>
      <c r="AF271" s="5153">
        <f t="shared" ca="1" si="104"/>
        <v>0</v>
      </c>
      <c r="AG271" s="205">
        <f t="shared" ca="1" si="100"/>
        <v>3.0582888492362281</v>
      </c>
      <c r="AH271" s="205">
        <f t="shared" ca="1" si="101"/>
        <v>-9.0765271371942156</v>
      </c>
      <c r="AI271" s="205">
        <f t="shared" ca="1" si="102"/>
        <v>0</v>
      </c>
      <c r="AJ271" s="205"/>
      <c r="AK271" s="205">
        <f t="shared" ca="1" si="74"/>
        <v>0</v>
      </c>
      <c r="AL271" s="4543" t="str">
        <f t="shared" ca="1" si="91"/>
        <v>한도준수</v>
      </c>
    </row>
    <row r="272" spans="1:38" ht="12" customHeight="1">
      <c r="A272" s="4542">
        <f t="shared" si="75"/>
        <v>2025</v>
      </c>
      <c r="B272" s="3606">
        <f t="shared" si="92"/>
        <v>45688</v>
      </c>
      <c r="C272" s="205">
        <v>0</v>
      </c>
      <c r="D272" s="205">
        <v>0</v>
      </c>
      <c r="E272" s="205">
        <f t="shared" si="76"/>
        <v>0</v>
      </c>
      <c r="F272" s="205">
        <f t="shared" si="77"/>
        <v>0</v>
      </c>
      <c r="G272" s="205">
        <f t="shared" si="78"/>
        <v>0</v>
      </c>
      <c r="H272" s="205">
        <f t="shared" ca="1" si="72"/>
        <v>0.41666666666666669</v>
      </c>
      <c r="I272" s="205">
        <v>0</v>
      </c>
      <c r="J272" s="205">
        <v>0</v>
      </c>
      <c r="K272" s="205">
        <f t="shared" ca="1" si="79"/>
        <v>0</v>
      </c>
      <c r="L272" s="205">
        <f t="shared" si="80"/>
        <v>-0.41666666666666669</v>
      </c>
      <c r="M272" s="205">
        <f t="shared" si="81"/>
        <v>0</v>
      </c>
      <c r="N272" s="205">
        <f t="shared" si="103"/>
        <v>0</v>
      </c>
      <c r="O272" s="205">
        <f t="shared" si="82"/>
        <v>0</v>
      </c>
      <c r="P272" s="205">
        <f t="shared" ca="1" si="83"/>
        <v>0</v>
      </c>
      <c r="Q272" s="205">
        <f t="shared" si="84"/>
        <v>0</v>
      </c>
      <c r="R272" s="205">
        <f t="shared" ca="1" si="85"/>
        <v>0</v>
      </c>
      <c r="S272" s="205">
        <f t="shared" ca="1" si="86"/>
        <v>0</v>
      </c>
      <c r="T272" s="205">
        <f t="shared" ca="1" si="87"/>
        <v>0</v>
      </c>
      <c r="U272" s="205">
        <f t="shared" ca="1" si="88"/>
        <v>253657.21077689301</v>
      </c>
      <c r="V272" s="205">
        <f t="shared" ca="1" si="89"/>
        <v>15003.426514727613</v>
      </c>
      <c r="W272" s="205"/>
      <c r="X272" s="205">
        <f t="shared" si="93"/>
        <v>0</v>
      </c>
      <c r="Y272" s="205">
        <f t="shared" si="73"/>
        <v>0</v>
      </c>
      <c r="Z272" s="205">
        <f t="shared" si="94"/>
        <v>0</v>
      </c>
      <c r="AA272" s="205">
        <f t="shared" ca="1" si="95"/>
        <v>1128.0300361811878</v>
      </c>
      <c r="AB272" s="205">
        <f t="shared" si="96"/>
        <v>0</v>
      </c>
      <c r="AC272" s="205">
        <f t="shared" ca="1" si="90"/>
        <v>1128.0300361811878</v>
      </c>
      <c r="AD272" s="5152">
        <f t="shared" ca="1" si="97"/>
        <v>65.420476777716019</v>
      </c>
      <c r="AE272" s="205">
        <f t="shared" si="98"/>
        <v>0</v>
      </c>
      <c r="AF272" s="5153">
        <f t="shared" ca="1" si="104"/>
        <v>65.420476777716019</v>
      </c>
      <c r="AG272" s="205">
        <f t="shared" ca="1" si="100"/>
        <v>2.164986531863923</v>
      </c>
      <c r="AH272" s="205">
        <f t="shared" si="101"/>
        <v>0</v>
      </c>
      <c r="AI272" s="205">
        <f t="shared" ca="1" si="102"/>
        <v>2.164986531863923</v>
      </c>
      <c r="AJ272" s="205"/>
      <c r="AK272" s="205">
        <f t="shared" ca="1" si="74"/>
        <v>0</v>
      </c>
      <c r="AL272" s="4543" t="str">
        <f t="shared" ca="1" si="91"/>
        <v>한도준수</v>
      </c>
    </row>
    <row r="273" spans="1:38" ht="12" customHeight="1">
      <c r="A273" s="4542">
        <f t="shared" si="75"/>
        <v>2025</v>
      </c>
      <c r="B273" s="3606">
        <f t="shared" si="92"/>
        <v>45716</v>
      </c>
      <c r="C273" s="205">
        <v>0</v>
      </c>
      <c r="D273" s="205">
        <v>0</v>
      </c>
      <c r="E273" s="205">
        <f t="shared" si="76"/>
        <v>0</v>
      </c>
      <c r="F273" s="205">
        <f t="shared" si="77"/>
        <v>0</v>
      </c>
      <c r="G273" s="205">
        <f t="shared" si="78"/>
        <v>0</v>
      </c>
      <c r="H273" s="205">
        <f t="shared" ref="H273:H304" ca="1" si="105">IF(-SUM(C273:G273,I273:O273)&gt;0,-SUM(C273:G273,I273:O273),)</f>
        <v>0.41666666666666669</v>
      </c>
      <c r="I273" s="205">
        <v>0</v>
      </c>
      <c r="J273" s="205">
        <v>0</v>
      </c>
      <c r="K273" s="205">
        <f t="shared" ca="1" si="79"/>
        <v>0</v>
      </c>
      <c r="L273" s="205">
        <f t="shared" si="80"/>
        <v>-0.41666666666666669</v>
      </c>
      <c r="M273" s="205">
        <f t="shared" si="81"/>
        <v>0</v>
      </c>
      <c r="N273" s="205">
        <f t="shared" si="103"/>
        <v>0</v>
      </c>
      <c r="O273" s="205">
        <f t="shared" si="82"/>
        <v>0</v>
      </c>
      <c r="P273" s="205">
        <f t="shared" ca="1" si="83"/>
        <v>0</v>
      </c>
      <c r="Q273" s="205">
        <f t="shared" si="84"/>
        <v>0</v>
      </c>
      <c r="R273" s="205">
        <f t="shared" ca="1" si="85"/>
        <v>0</v>
      </c>
      <c r="S273" s="205">
        <f t="shared" ca="1" si="86"/>
        <v>0</v>
      </c>
      <c r="T273" s="205">
        <f t="shared" ca="1" si="87"/>
        <v>0</v>
      </c>
      <c r="U273" s="205">
        <f t="shared" ca="1" si="88"/>
        <v>253657.21077689301</v>
      </c>
      <c r="V273" s="205">
        <f t="shared" ca="1" si="89"/>
        <v>15003.843181394279</v>
      </c>
      <c r="W273" s="205"/>
      <c r="X273" s="205">
        <f t="shared" si="93"/>
        <v>0</v>
      </c>
      <c r="Y273" s="205">
        <f t="shared" ref="Y273:Y304" si="106">-E273</f>
        <v>0</v>
      </c>
      <c r="Z273" s="205">
        <f t="shared" si="94"/>
        <v>0</v>
      </c>
      <c r="AA273" s="205">
        <f t="shared" ca="1" si="95"/>
        <v>1018.8658391313957</v>
      </c>
      <c r="AB273" s="205">
        <f t="shared" si="96"/>
        <v>0</v>
      </c>
      <c r="AC273" s="205">
        <f t="shared" ca="1" si="90"/>
        <v>2146.8958753125835</v>
      </c>
      <c r="AD273" s="5152">
        <f t="shared" ca="1" si="97"/>
        <v>59.089462896001571</v>
      </c>
      <c r="AE273" s="205">
        <f t="shared" si="98"/>
        <v>0</v>
      </c>
      <c r="AF273" s="5153">
        <f t="shared" ca="1" si="104"/>
        <v>124.50993967371758</v>
      </c>
      <c r="AG273" s="205">
        <f t="shared" ca="1" si="100"/>
        <v>1.9553758157887138</v>
      </c>
      <c r="AH273" s="205">
        <f t="shared" si="101"/>
        <v>0</v>
      </c>
      <c r="AI273" s="205">
        <f t="shared" ca="1" si="102"/>
        <v>4.1203623476526365</v>
      </c>
      <c r="AJ273" s="205"/>
      <c r="AK273" s="205">
        <f t="shared" ref="AK273:AK304" ca="1" si="107">-C273-S273</f>
        <v>0</v>
      </c>
      <c r="AL273" s="4543" t="str">
        <f t="shared" ca="1" si="91"/>
        <v>한도준수</v>
      </c>
    </row>
    <row r="274" spans="1:38" ht="12" customHeight="1">
      <c r="A274" s="4542">
        <f t="shared" si="75"/>
        <v>2025</v>
      </c>
      <c r="B274" s="3606">
        <f t="shared" si="92"/>
        <v>45747</v>
      </c>
      <c r="C274" s="205">
        <v>0</v>
      </c>
      <c r="D274" s="205">
        <v>0</v>
      </c>
      <c r="E274" s="205">
        <f t="shared" ref="E274:E305" si="108">IF(B274=$F$23,X274+Z273,IF(MOD(ROW(B274)-ROW($B$241),3)=0,Z273+X274,))</f>
        <v>0</v>
      </c>
      <c r="F274" s="205">
        <f t="shared" ref="F274:F305" si="109">IF(AND(EOMONTH(B274,-2)&gt;EOMONTH($F$23,0),B274&lt;$F$14)=TRUE,IFERROR(HLOOKUP(B274,$F$129:$I$130,2,FALSE),)*$J$123,)</f>
        <v>36618.414288600456</v>
      </c>
      <c r="G274" s="205">
        <f t="shared" ref="G274:G305" si="110">IF(AND($F$17="O",B274=EOMONTH($B$241,60))=TRUE,$E$104*(1+$F$18)^((B274-$B$241)/365),IF($F$17="O",0,IF(AND(B274=$F$14,B274&gt;($F$23-1))=TRUE,$E$116*$J$123,)*(1-$F$72)))</f>
        <v>0</v>
      </c>
      <c r="H274" s="205">
        <f t="shared" ca="1" si="105"/>
        <v>0</v>
      </c>
      <c r="I274" s="205">
        <v>0</v>
      </c>
      <c r="J274" s="205">
        <v>0</v>
      </c>
      <c r="K274" s="205">
        <f t="shared" ref="K274:K305" ca="1" si="111">-IF(AND(ROUND(U273,)=0,ROUND(V273,)=0)=TRUE,0,IF(MOD(ROW(B274)-ROW($B$241),12)=0,$F$62,0))</f>
        <v>0</v>
      </c>
      <c r="L274" s="205">
        <f t="shared" ref="L274:L305" si="112">IF(B274&gt;$F$14,0,-$F$73/12)</f>
        <v>-0.41666666666666669</v>
      </c>
      <c r="M274" s="205">
        <f t="shared" ref="M274:M305" ca="1" si="113">IF(B274=$F$14,-(AF273+AD274),IF(MOD(ROW(B274)-ROW($B$241),3)=0,-(AF273+AD274),))</f>
        <v>-189.93477694445352</v>
      </c>
      <c r="N274" s="205">
        <f t="shared" ca="1" si="103"/>
        <v>-6.2851365507494368</v>
      </c>
      <c r="O274" s="205">
        <f t="shared" ref="O274:O305" ca="1" si="114">IF(B274=$F$14,-(AC273+AA274),IF(MOD(ROW(B274)-ROW($B$241),3)=0,-(AC273+AA274),))</f>
        <v>-3274.9259114937713</v>
      </c>
      <c r="P274" s="205">
        <f t="shared" ref="P274:P305" ca="1" si="115">IF(SUM(T273,C274:H274,I274:O274)&gt;0,-MIN(V273+H274,SUM(T273,C274:H274,I274:O274)),)</f>
        <v>-15003.843181394279</v>
      </c>
      <c r="Q274" s="205">
        <f t="shared" ref="Q274:Q305" si="116">IF(B274&lt;EOMONTH($B$241,12),R274*$F$61,)</f>
        <v>0</v>
      </c>
      <c r="R274" s="205">
        <f t="shared" ref="R274:R305" ca="1" si="117">IF(SUM(T273,C274:H274,I274:Q274)&gt;0,-MIN(U273+D274,SUM(T273,C274:H274,I274:Q274)),)</f>
        <v>-18143.008615550534</v>
      </c>
      <c r="S274" s="205">
        <f t="shared" ref="S274:S305" ca="1" si="118">IF(SUM(T273,C274:H274,I274:R274)&gt;0,-SUM(T273,C274:H274,I274:R274),)</f>
        <v>0</v>
      </c>
      <c r="T274" s="205">
        <f t="shared" ref="T274:T305" ca="1" si="119">SUM(C274:S274)+T273</f>
        <v>0</v>
      </c>
      <c r="U274" s="205">
        <f t="shared" ref="U274:U305" ca="1" si="120">D274+R274+U273</f>
        <v>235514.20216134249</v>
      </c>
      <c r="V274" s="205">
        <f t="shared" ref="V274:V305" ca="1" si="121">H274+P274+V273</f>
        <v>0</v>
      </c>
      <c r="W274" s="205"/>
      <c r="X274" s="205">
        <f t="shared" si="93"/>
        <v>0</v>
      </c>
      <c r="Y274" s="205">
        <f t="shared" si="106"/>
        <v>0</v>
      </c>
      <c r="Z274" s="205">
        <f t="shared" si="94"/>
        <v>0</v>
      </c>
      <c r="AA274" s="205">
        <f t="shared" ca="1" si="95"/>
        <v>1128.0300361811878</v>
      </c>
      <c r="AB274" s="205">
        <f ca="1">O274</f>
        <v>-3274.9259114937713</v>
      </c>
      <c r="AC274" s="205">
        <f t="shared" ref="AC274:AC305" ca="1" si="122">AC273+SUM(AA274:AB274)</f>
        <v>0</v>
      </c>
      <c r="AD274" s="5152">
        <f t="shared" ca="1" si="97"/>
        <v>65.424837270735921</v>
      </c>
      <c r="AE274" s="205">
        <f ca="1">M274</f>
        <v>-189.93477694445352</v>
      </c>
      <c r="AF274" s="5153">
        <f t="shared" ca="1" si="104"/>
        <v>0</v>
      </c>
      <c r="AG274" s="205">
        <f t="shared" ca="1" si="100"/>
        <v>2.1647742030968002</v>
      </c>
      <c r="AH274" s="205">
        <f t="shared" ca="1" si="101"/>
        <v>-6.2851365507494368</v>
      </c>
      <c r="AI274" s="205">
        <f t="shared" ca="1" si="102"/>
        <v>0</v>
      </c>
      <c r="AJ274" s="205"/>
      <c r="AK274" s="205">
        <f t="shared" ca="1" si="107"/>
        <v>0</v>
      </c>
      <c r="AL274" s="4543" t="str">
        <f t="shared" ca="1" si="91"/>
        <v>한도준수</v>
      </c>
    </row>
    <row r="275" spans="1:38" ht="12" customHeight="1">
      <c r="A275" s="4542">
        <f t="shared" si="75"/>
        <v>2025</v>
      </c>
      <c r="B275" s="3606">
        <f t="shared" si="92"/>
        <v>45777</v>
      </c>
      <c r="C275" s="205">
        <v>0</v>
      </c>
      <c r="D275" s="205">
        <v>0</v>
      </c>
      <c r="E275" s="205">
        <f t="shared" si="108"/>
        <v>0</v>
      </c>
      <c r="F275" s="205">
        <f t="shared" si="109"/>
        <v>0</v>
      </c>
      <c r="G275" s="205">
        <f t="shared" si="110"/>
        <v>0</v>
      </c>
      <c r="H275" s="205">
        <f t="shared" ca="1" si="105"/>
        <v>0.41666666666666669</v>
      </c>
      <c r="I275" s="205">
        <v>0</v>
      </c>
      <c r="J275" s="205">
        <v>0</v>
      </c>
      <c r="K275" s="205">
        <f t="shared" ca="1" si="111"/>
        <v>0</v>
      </c>
      <c r="L275" s="205">
        <f t="shared" si="112"/>
        <v>-0.41666666666666669</v>
      </c>
      <c r="M275" s="205">
        <f t="shared" si="113"/>
        <v>0</v>
      </c>
      <c r="N275" s="205">
        <f t="shared" si="103"/>
        <v>0</v>
      </c>
      <c r="O275" s="205">
        <f t="shared" si="114"/>
        <v>0</v>
      </c>
      <c r="P275" s="205">
        <f t="shared" ca="1" si="115"/>
        <v>0</v>
      </c>
      <c r="Q275" s="205">
        <f t="shared" si="116"/>
        <v>0</v>
      </c>
      <c r="R275" s="205">
        <f t="shared" ca="1" si="117"/>
        <v>0</v>
      </c>
      <c r="S275" s="205">
        <f t="shared" ca="1" si="118"/>
        <v>0</v>
      </c>
      <c r="T275" s="205">
        <f t="shared" ca="1" si="119"/>
        <v>0</v>
      </c>
      <c r="U275" s="205">
        <f t="shared" ca="1" si="120"/>
        <v>235514.20216134249</v>
      </c>
      <c r="V275" s="205">
        <f t="shared" ca="1" si="121"/>
        <v>0.41666666666666669</v>
      </c>
      <c r="W275" s="205"/>
      <c r="X275" s="205">
        <f t="shared" si="93"/>
        <v>0</v>
      </c>
      <c r="Y275" s="205">
        <f t="shared" si="106"/>
        <v>0</v>
      </c>
      <c r="Z275" s="205">
        <f t="shared" si="94"/>
        <v>0</v>
      </c>
      <c r="AA275" s="205">
        <f t="shared" ca="1" si="95"/>
        <v>1013.5614906738156</v>
      </c>
      <c r="AB275" s="205">
        <f t="shared" si="96"/>
        <v>0</v>
      </c>
      <c r="AC275" s="205">
        <f t="shared" ca="1" si="122"/>
        <v>1013.5614906738156</v>
      </c>
      <c r="AD275" s="5152">
        <f t="shared" ca="1" si="97"/>
        <v>0</v>
      </c>
      <c r="AE275" s="205">
        <f t="shared" si="98"/>
        <v>0</v>
      </c>
      <c r="AF275" s="5153">
        <f t="shared" ca="1" si="104"/>
        <v>0</v>
      </c>
      <c r="AG275" s="205">
        <f t="shared" ca="1" si="100"/>
        <v>5.7945205479452051</v>
      </c>
      <c r="AH275" s="205">
        <f t="shared" si="101"/>
        <v>0</v>
      </c>
      <c r="AI275" s="205">
        <f t="shared" ca="1" si="102"/>
        <v>5.7945205479452051</v>
      </c>
      <c r="AJ275" s="205"/>
      <c r="AK275" s="205">
        <f t="shared" ca="1" si="107"/>
        <v>0</v>
      </c>
      <c r="AL275" s="4543" t="str">
        <f t="shared" ca="1" si="91"/>
        <v>한도준수</v>
      </c>
    </row>
    <row r="276" spans="1:38" ht="12" customHeight="1">
      <c r="A276" s="4542">
        <f t="shared" si="75"/>
        <v>2025</v>
      </c>
      <c r="B276" s="3606">
        <f t="shared" si="92"/>
        <v>45808</v>
      </c>
      <c r="C276" s="205">
        <v>0</v>
      </c>
      <c r="D276" s="205">
        <v>0</v>
      </c>
      <c r="E276" s="205">
        <f t="shared" si="108"/>
        <v>0</v>
      </c>
      <c r="F276" s="205">
        <f t="shared" si="109"/>
        <v>0</v>
      </c>
      <c r="G276" s="205">
        <f t="shared" si="110"/>
        <v>0</v>
      </c>
      <c r="H276" s="205">
        <f t="shared" ca="1" si="105"/>
        <v>0.41666666666666669</v>
      </c>
      <c r="I276" s="205">
        <v>0</v>
      </c>
      <c r="J276" s="205">
        <v>0</v>
      </c>
      <c r="K276" s="205">
        <f t="shared" ca="1" si="111"/>
        <v>0</v>
      </c>
      <c r="L276" s="205">
        <f t="shared" si="112"/>
        <v>-0.41666666666666669</v>
      </c>
      <c r="M276" s="205">
        <f t="shared" si="113"/>
        <v>0</v>
      </c>
      <c r="N276" s="205">
        <f t="shared" ref="N276:N307" si="123">IF(B276=$F$14,-(AI275+AG276),IF(MOD(ROW(B276)-ROW($B$241),3)=0,-(AI275+AG276),))</f>
        <v>0</v>
      </c>
      <c r="O276" s="205">
        <f t="shared" si="114"/>
        <v>0</v>
      </c>
      <c r="P276" s="205">
        <f t="shared" ca="1" si="115"/>
        <v>0</v>
      </c>
      <c r="Q276" s="205">
        <f t="shared" si="116"/>
        <v>0</v>
      </c>
      <c r="R276" s="205">
        <f t="shared" ca="1" si="117"/>
        <v>0</v>
      </c>
      <c r="S276" s="205">
        <f t="shared" ca="1" si="118"/>
        <v>0</v>
      </c>
      <c r="T276" s="205">
        <f t="shared" ca="1" si="119"/>
        <v>0</v>
      </c>
      <c r="U276" s="205">
        <f t="shared" ca="1" si="120"/>
        <v>235514.20216134249</v>
      </c>
      <c r="V276" s="205">
        <f t="shared" ca="1" si="121"/>
        <v>0.83333333333333337</v>
      </c>
      <c r="W276" s="205"/>
      <c r="X276" s="205">
        <f t="shared" si="93"/>
        <v>0</v>
      </c>
      <c r="Y276" s="205">
        <f t="shared" si="106"/>
        <v>0</v>
      </c>
      <c r="Z276" s="205">
        <f t="shared" si="94"/>
        <v>0</v>
      </c>
      <c r="AA276" s="205">
        <f t="shared" ca="1" si="95"/>
        <v>1047.3468736962761</v>
      </c>
      <c r="AB276" s="205">
        <f t="shared" si="96"/>
        <v>0</v>
      </c>
      <c r="AC276" s="205">
        <f t="shared" ca="1" si="122"/>
        <v>2060.9083643700915</v>
      </c>
      <c r="AD276" s="5152">
        <f t="shared" ca="1" si="97"/>
        <v>0</v>
      </c>
      <c r="AE276" s="205">
        <f t="shared" si="98"/>
        <v>0</v>
      </c>
      <c r="AF276" s="5153">
        <f t="shared" ref="AF276:AF307" ca="1" si="124">AF275+SUM(AD276:AE276)</f>
        <v>0</v>
      </c>
      <c r="AG276" s="205">
        <f t="shared" ca="1" si="100"/>
        <v>5.9875650684931498</v>
      </c>
      <c r="AH276" s="205">
        <f t="shared" si="101"/>
        <v>0</v>
      </c>
      <c r="AI276" s="205">
        <f t="shared" ca="1" si="102"/>
        <v>11.782085616438355</v>
      </c>
      <c r="AJ276" s="205"/>
      <c r="AK276" s="205">
        <f t="shared" ca="1" si="107"/>
        <v>0</v>
      </c>
      <c r="AL276" s="4543" t="str">
        <f t="shared" ca="1" si="91"/>
        <v>한도준수</v>
      </c>
    </row>
    <row r="277" spans="1:38" ht="12" customHeight="1">
      <c r="A277" s="4542">
        <f t="shared" si="75"/>
        <v>2025</v>
      </c>
      <c r="B277" s="3606">
        <f t="shared" si="92"/>
        <v>45838</v>
      </c>
      <c r="C277" s="205">
        <v>0</v>
      </c>
      <c r="D277" s="205">
        <v>0</v>
      </c>
      <c r="E277" s="205">
        <f t="shared" si="108"/>
        <v>0</v>
      </c>
      <c r="F277" s="205">
        <f t="shared" si="109"/>
        <v>0</v>
      </c>
      <c r="G277" s="205">
        <f t="shared" si="110"/>
        <v>710353.35221068992</v>
      </c>
      <c r="H277" s="205">
        <f t="shared" ca="1" si="105"/>
        <v>0</v>
      </c>
      <c r="I277" s="205">
        <v>0</v>
      </c>
      <c r="J277" s="205">
        <v>0</v>
      </c>
      <c r="K277" s="205">
        <f t="shared" ca="1" si="111"/>
        <v>-30</v>
      </c>
      <c r="L277" s="205">
        <f t="shared" si="112"/>
        <v>-0.41666666666666669</v>
      </c>
      <c r="M277" s="205">
        <f t="shared" ca="1" si="113"/>
        <v>-4.2198319547520182E-3</v>
      </c>
      <c r="N277" s="205">
        <f t="shared" ca="1" si="123"/>
        <v>-17.576400684931507</v>
      </c>
      <c r="O277" s="205">
        <f t="shared" ca="1" si="114"/>
        <v>-3074.469855043907</v>
      </c>
      <c r="P277" s="205">
        <f t="shared" ca="1" si="115"/>
        <v>-0.83333333333333337</v>
      </c>
      <c r="Q277" s="205">
        <f t="shared" si="116"/>
        <v>0</v>
      </c>
      <c r="R277" s="205">
        <f t="shared" ca="1" si="117"/>
        <v>-235514.20216134249</v>
      </c>
      <c r="S277" s="205">
        <f t="shared" ca="1" si="118"/>
        <v>-471715.84957378672</v>
      </c>
      <c r="T277" s="205">
        <f t="shared" ca="1" si="119"/>
        <v>0</v>
      </c>
      <c r="U277" s="205">
        <f t="shared" ca="1" si="120"/>
        <v>0</v>
      </c>
      <c r="V277" s="205">
        <f t="shared" ca="1" si="121"/>
        <v>0</v>
      </c>
      <c r="W277" s="205"/>
      <c r="X277" s="205">
        <f t="shared" si="93"/>
        <v>0</v>
      </c>
      <c r="Y277" s="205">
        <f t="shared" si="106"/>
        <v>0</v>
      </c>
      <c r="Z277" s="205">
        <f t="shared" si="94"/>
        <v>0</v>
      </c>
      <c r="AA277" s="205">
        <f t="shared" ca="1" si="95"/>
        <v>1013.5614906738156</v>
      </c>
      <c r="AB277" s="205">
        <f ca="1">O277</f>
        <v>-3074.469855043907</v>
      </c>
      <c r="AC277" s="205">
        <f t="shared" ca="1" si="122"/>
        <v>0</v>
      </c>
      <c r="AD277" s="5152">
        <f t="shared" ca="1" si="97"/>
        <v>4.2198319547520182E-3</v>
      </c>
      <c r="AE277" s="205">
        <f ca="1">M277</f>
        <v>-4.2198319547520182E-3</v>
      </c>
      <c r="AF277" s="5153">
        <f t="shared" ca="1" si="124"/>
        <v>0</v>
      </c>
      <c r="AG277" s="205">
        <f t="shared" ca="1" si="100"/>
        <v>5.7943150684931508</v>
      </c>
      <c r="AH277" s="205">
        <f t="shared" ca="1" si="101"/>
        <v>-17.576400684931507</v>
      </c>
      <c r="AI277" s="205">
        <f t="shared" ca="1" si="102"/>
        <v>0</v>
      </c>
      <c r="AJ277" s="205"/>
      <c r="AK277" s="205">
        <f t="shared" ca="1" si="107"/>
        <v>471715.84957378672</v>
      </c>
      <c r="AL277" s="4543" t="str">
        <f t="shared" ca="1" si="91"/>
        <v>한도준수</v>
      </c>
    </row>
    <row r="278" spans="1:38" ht="12" customHeight="1">
      <c r="A278" s="4542">
        <f t="shared" si="75"/>
        <v>2025</v>
      </c>
      <c r="B278" s="3606">
        <f t="shared" si="92"/>
        <v>45869</v>
      </c>
      <c r="C278" s="205">
        <v>0</v>
      </c>
      <c r="D278" s="205">
        <v>0</v>
      </c>
      <c r="E278" s="205">
        <f t="shared" si="108"/>
        <v>0</v>
      </c>
      <c r="F278" s="205">
        <f t="shared" si="109"/>
        <v>0</v>
      </c>
      <c r="G278" s="205">
        <f t="shared" si="110"/>
        <v>0</v>
      </c>
      <c r="H278" s="205">
        <f t="shared" ca="1" si="105"/>
        <v>0</v>
      </c>
      <c r="I278" s="205">
        <v>0</v>
      </c>
      <c r="J278" s="205">
        <v>0</v>
      </c>
      <c r="K278" s="205">
        <f t="shared" ca="1" si="111"/>
        <v>0</v>
      </c>
      <c r="L278" s="205">
        <f t="shared" si="112"/>
        <v>0</v>
      </c>
      <c r="M278" s="205">
        <f t="shared" si="113"/>
        <v>0</v>
      </c>
      <c r="N278" s="205">
        <f t="shared" si="123"/>
        <v>0</v>
      </c>
      <c r="O278" s="205">
        <f t="shared" si="114"/>
        <v>0</v>
      </c>
      <c r="P278" s="205">
        <f t="shared" ca="1" si="115"/>
        <v>0</v>
      </c>
      <c r="Q278" s="205">
        <f t="shared" si="116"/>
        <v>0</v>
      </c>
      <c r="R278" s="205">
        <f t="shared" ca="1" si="117"/>
        <v>0</v>
      </c>
      <c r="S278" s="205">
        <f t="shared" ca="1" si="118"/>
        <v>0</v>
      </c>
      <c r="T278" s="205">
        <f t="shared" ca="1" si="119"/>
        <v>0</v>
      </c>
      <c r="U278" s="205">
        <f t="shared" ca="1" si="120"/>
        <v>0</v>
      </c>
      <c r="V278" s="205">
        <f t="shared" ca="1" si="121"/>
        <v>0</v>
      </c>
      <c r="W278" s="205"/>
      <c r="X278" s="205">
        <f t="shared" si="93"/>
        <v>0</v>
      </c>
      <c r="Y278" s="205">
        <f t="shared" si="106"/>
        <v>0</v>
      </c>
      <c r="Z278" s="205">
        <f t="shared" si="94"/>
        <v>0</v>
      </c>
      <c r="AA278" s="205">
        <f t="shared" ca="1" si="95"/>
        <v>0</v>
      </c>
      <c r="AB278" s="205">
        <f t="shared" si="96"/>
        <v>0</v>
      </c>
      <c r="AC278" s="205">
        <f t="shared" ca="1" si="122"/>
        <v>0</v>
      </c>
      <c r="AD278" s="5152">
        <f t="shared" ca="1" si="97"/>
        <v>0</v>
      </c>
      <c r="AE278" s="205">
        <f t="shared" si="98"/>
        <v>0</v>
      </c>
      <c r="AF278" s="5153">
        <f t="shared" ca="1" si="124"/>
        <v>0</v>
      </c>
      <c r="AG278" s="205">
        <f t="shared" ca="1" si="100"/>
        <v>0</v>
      </c>
      <c r="AH278" s="205">
        <f t="shared" si="101"/>
        <v>0</v>
      </c>
      <c r="AI278" s="205">
        <f t="shared" ca="1" si="102"/>
        <v>0</v>
      </c>
      <c r="AJ278" s="205"/>
      <c r="AK278" s="205">
        <f t="shared" ca="1" si="107"/>
        <v>0</v>
      </c>
      <c r="AL278" s="4543" t="str">
        <f t="shared" ca="1" si="91"/>
        <v>한도준수</v>
      </c>
    </row>
    <row r="279" spans="1:38" ht="12" customHeight="1">
      <c r="A279" s="4542">
        <f t="shared" si="75"/>
        <v>2025</v>
      </c>
      <c r="B279" s="3606">
        <f t="shared" si="92"/>
        <v>45900</v>
      </c>
      <c r="C279" s="205">
        <v>0</v>
      </c>
      <c r="D279" s="205">
        <v>0</v>
      </c>
      <c r="E279" s="205">
        <f t="shared" si="108"/>
        <v>0</v>
      </c>
      <c r="F279" s="205">
        <f t="shared" si="109"/>
        <v>0</v>
      </c>
      <c r="G279" s="205">
        <f t="shared" si="110"/>
        <v>0</v>
      </c>
      <c r="H279" s="205">
        <f t="shared" ca="1" si="105"/>
        <v>0</v>
      </c>
      <c r="I279" s="205">
        <v>0</v>
      </c>
      <c r="J279" s="205">
        <v>0</v>
      </c>
      <c r="K279" s="205">
        <f t="shared" ca="1" si="111"/>
        <v>0</v>
      </c>
      <c r="L279" s="205">
        <f t="shared" si="112"/>
        <v>0</v>
      </c>
      <c r="M279" s="205">
        <f t="shared" si="113"/>
        <v>0</v>
      </c>
      <c r="N279" s="205">
        <f t="shared" si="123"/>
        <v>0</v>
      </c>
      <c r="O279" s="205">
        <f t="shared" si="114"/>
        <v>0</v>
      </c>
      <c r="P279" s="205">
        <f t="shared" ca="1" si="115"/>
        <v>0</v>
      </c>
      <c r="Q279" s="205">
        <f t="shared" si="116"/>
        <v>0</v>
      </c>
      <c r="R279" s="205">
        <f t="shared" ca="1" si="117"/>
        <v>0</v>
      </c>
      <c r="S279" s="205">
        <f t="shared" ca="1" si="118"/>
        <v>0</v>
      </c>
      <c r="T279" s="205">
        <f t="shared" ca="1" si="119"/>
        <v>0</v>
      </c>
      <c r="U279" s="205">
        <f t="shared" ca="1" si="120"/>
        <v>0</v>
      </c>
      <c r="V279" s="205">
        <f t="shared" ca="1" si="121"/>
        <v>0</v>
      </c>
      <c r="W279" s="205"/>
      <c r="X279" s="205">
        <f t="shared" si="93"/>
        <v>0</v>
      </c>
      <c r="Y279" s="205">
        <f t="shared" si="106"/>
        <v>0</v>
      </c>
      <c r="Z279" s="205">
        <f t="shared" si="94"/>
        <v>0</v>
      </c>
      <c r="AA279" s="205">
        <f t="shared" ca="1" si="95"/>
        <v>0</v>
      </c>
      <c r="AB279" s="205">
        <f>O279</f>
        <v>0</v>
      </c>
      <c r="AC279" s="205">
        <f t="shared" ca="1" si="122"/>
        <v>0</v>
      </c>
      <c r="AD279" s="5152">
        <f t="shared" ca="1" si="97"/>
        <v>0</v>
      </c>
      <c r="AE279" s="205">
        <f>M279</f>
        <v>0</v>
      </c>
      <c r="AF279" s="5153">
        <f t="shared" ca="1" si="124"/>
        <v>0</v>
      </c>
      <c r="AG279" s="205">
        <f t="shared" ca="1" si="100"/>
        <v>0</v>
      </c>
      <c r="AH279" s="205">
        <f t="shared" si="101"/>
        <v>0</v>
      </c>
      <c r="AI279" s="205">
        <f t="shared" ca="1" si="102"/>
        <v>0</v>
      </c>
      <c r="AJ279" s="205"/>
      <c r="AK279" s="205">
        <f t="shared" ca="1" si="107"/>
        <v>0</v>
      </c>
      <c r="AL279" s="4543" t="str">
        <f t="shared" ca="1" si="91"/>
        <v>한도준수</v>
      </c>
    </row>
    <row r="280" spans="1:38" ht="12" customHeight="1">
      <c r="A280" s="4542">
        <f t="shared" si="75"/>
        <v>2025</v>
      </c>
      <c r="B280" s="3606">
        <f t="shared" si="92"/>
        <v>45930</v>
      </c>
      <c r="C280" s="205">
        <v>0</v>
      </c>
      <c r="D280" s="205">
        <v>0</v>
      </c>
      <c r="E280" s="205">
        <f t="shared" si="108"/>
        <v>0</v>
      </c>
      <c r="F280" s="205">
        <f t="shared" si="109"/>
        <v>0</v>
      </c>
      <c r="G280" s="205">
        <f t="shared" si="110"/>
        <v>0</v>
      </c>
      <c r="H280" s="205">
        <f t="shared" ca="1" si="105"/>
        <v>0</v>
      </c>
      <c r="I280" s="205">
        <v>0</v>
      </c>
      <c r="J280" s="205">
        <v>0</v>
      </c>
      <c r="K280" s="205">
        <f t="shared" ca="1" si="111"/>
        <v>0</v>
      </c>
      <c r="L280" s="205">
        <f t="shared" si="112"/>
        <v>0</v>
      </c>
      <c r="M280" s="205">
        <f t="shared" ca="1" si="113"/>
        <v>0</v>
      </c>
      <c r="N280" s="205">
        <f t="shared" ca="1" si="123"/>
        <v>0</v>
      </c>
      <c r="O280" s="205">
        <f t="shared" ca="1" si="114"/>
        <v>0</v>
      </c>
      <c r="P280" s="205">
        <f t="shared" ca="1" si="115"/>
        <v>0</v>
      </c>
      <c r="Q280" s="205">
        <f t="shared" si="116"/>
        <v>0</v>
      </c>
      <c r="R280" s="205">
        <f t="shared" ca="1" si="117"/>
        <v>0</v>
      </c>
      <c r="S280" s="205">
        <f t="shared" ca="1" si="118"/>
        <v>0</v>
      </c>
      <c r="T280" s="205">
        <f t="shared" ca="1" si="119"/>
        <v>0</v>
      </c>
      <c r="U280" s="205">
        <f t="shared" ca="1" si="120"/>
        <v>0</v>
      </c>
      <c r="V280" s="205">
        <f t="shared" ca="1" si="121"/>
        <v>0</v>
      </c>
      <c r="W280" s="205"/>
      <c r="X280" s="205">
        <f t="shared" si="93"/>
        <v>0</v>
      </c>
      <c r="Y280" s="205">
        <f t="shared" si="106"/>
        <v>0</v>
      </c>
      <c r="Z280" s="205">
        <f t="shared" si="94"/>
        <v>0</v>
      </c>
      <c r="AA280" s="205">
        <f t="shared" ca="1" si="95"/>
        <v>0</v>
      </c>
      <c r="AB280" s="205">
        <f ca="1">O280</f>
        <v>0</v>
      </c>
      <c r="AC280" s="205">
        <f t="shared" ca="1" si="122"/>
        <v>0</v>
      </c>
      <c r="AD280" s="5152">
        <f t="shared" ca="1" si="97"/>
        <v>0</v>
      </c>
      <c r="AE280" s="205">
        <f ca="1">M280</f>
        <v>0</v>
      </c>
      <c r="AF280" s="5153">
        <f t="shared" ca="1" si="124"/>
        <v>0</v>
      </c>
      <c r="AG280" s="205">
        <f t="shared" ca="1" si="100"/>
        <v>0</v>
      </c>
      <c r="AH280" s="205">
        <f t="shared" ca="1" si="101"/>
        <v>0</v>
      </c>
      <c r="AI280" s="205">
        <f t="shared" ca="1" si="102"/>
        <v>0</v>
      </c>
      <c r="AJ280" s="205"/>
      <c r="AK280" s="205">
        <f t="shared" ca="1" si="107"/>
        <v>0</v>
      </c>
      <c r="AL280" s="4543" t="str">
        <f t="shared" ca="1" si="91"/>
        <v>한도준수</v>
      </c>
    </row>
    <row r="281" spans="1:38" ht="12" customHeight="1">
      <c r="A281" s="4542">
        <f t="shared" si="75"/>
        <v>2025</v>
      </c>
      <c r="B281" s="3606">
        <f t="shared" si="92"/>
        <v>45961</v>
      </c>
      <c r="C281" s="205">
        <v>0</v>
      </c>
      <c r="D281" s="205">
        <v>0</v>
      </c>
      <c r="E281" s="205">
        <f t="shared" si="108"/>
        <v>0</v>
      </c>
      <c r="F281" s="205">
        <f t="shared" si="109"/>
        <v>0</v>
      </c>
      <c r="G281" s="205">
        <f t="shared" si="110"/>
        <v>0</v>
      </c>
      <c r="H281" s="205">
        <f t="shared" ca="1" si="105"/>
        <v>0</v>
      </c>
      <c r="I281" s="205">
        <v>0</v>
      </c>
      <c r="J281" s="205">
        <v>0</v>
      </c>
      <c r="K281" s="205">
        <f t="shared" ca="1" si="111"/>
        <v>0</v>
      </c>
      <c r="L281" s="205">
        <f t="shared" si="112"/>
        <v>0</v>
      </c>
      <c r="M281" s="205">
        <f t="shared" si="113"/>
        <v>0</v>
      </c>
      <c r="N281" s="205">
        <f t="shared" si="123"/>
        <v>0</v>
      </c>
      <c r="O281" s="205">
        <f t="shared" si="114"/>
        <v>0</v>
      </c>
      <c r="P281" s="205">
        <f t="shared" ca="1" si="115"/>
        <v>0</v>
      </c>
      <c r="Q281" s="205">
        <f t="shared" si="116"/>
        <v>0</v>
      </c>
      <c r="R281" s="205">
        <f t="shared" ca="1" si="117"/>
        <v>0</v>
      </c>
      <c r="S281" s="205">
        <f t="shared" ca="1" si="118"/>
        <v>0</v>
      </c>
      <c r="T281" s="205">
        <f t="shared" ca="1" si="119"/>
        <v>0</v>
      </c>
      <c r="U281" s="205">
        <f t="shared" ca="1" si="120"/>
        <v>0</v>
      </c>
      <c r="V281" s="205">
        <f t="shared" ca="1" si="121"/>
        <v>0</v>
      </c>
      <c r="W281" s="205"/>
      <c r="X281" s="205">
        <f t="shared" si="93"/>
        <v>0</v>
      </c>
      <c r="Y281" s="205">
        <f t="shared" si="106"/>
        <v>0</v>
      </c>
      <c r="Z281" s="205">
        <f t="shared" si="94"/>
        <v>0</v>
      </c>
      <c r="AA281" s="205">
        <f t="shared" ca="1" si="95"/>
        <v>0</v>
      </c>
      <c r="AB281" s="205">
        <f t="shared" si="96"/>
        <v>0</v>
      </c>
      <c r="AC281" s="205">
        <f t="shared" ca="1" si="122"/>
        <v>0</v>
      </c>
      <c r="AD281" s="5152">
        <f t="shared" ca="1" si="97"/>
        <v>0</v>
      </c>
      <c r="AE281" s="205">
        <f t="shared" si="98"/>
        <v>0</v>
      </c>
      <c r="AF281" s="5153">
        <f t="shared" ca="1" si="124"/>
        <v>0</v>
      </c>
      <c r="AG281" s="205">
        <f t="shared" ca="1" si="100"/>
        <v>0</v>
      </c>
      <c r="AH281" s="205">
        <f t="shared" si="101"/>
        <v>0</v>
      </c>
      <c r="AI281" s="205">
        <f t="shared" ca="1" si="102"/>
        <v>0</v>
      </c>
      <c r="AJ281" s="205"/>
      <c r="AK281" s="205">
        <f t="shared" ca="1" si="107"/>
        <v>0</v>
      </c>
      <c r="AL281" s="4543" t="str">
        <f t="shared" ca="1" si="91"/>
        <v>한도준수</v>
      </c>
    </row>
    <row r="282" spans="1:38" ht="12" customHeight="1">
      <c r="A282" s="4542">
        <f t="shared" si="75"/>
        <v>2025</v>
      </c>
      <c r="B282" s="3606">
        <f t="shared" si="92"/>
        <v>45991</v>
      </c>
      <c r="C282" s="205">
        <v>0</v>
      </c>
      <c r="D282" s="205">
        <v>0</v>
      </c>
      <c r="E282" s="205">
        <f t="shared" si="108"/>
        <v>0</v>
      </c>
      <c r="F282" s="205">
        <f t="shared" si="109"/>
        <v>0</v>
      </c>
      <c r="G282" s="205">
        <f t="shared" si="110"/>
        <v>0</v>
      </c>
      <c r="H282" s="205">
        <f t="shared" ca="1" si="105"/>
        <v>0</v>
      </c>
      <c r="I282" s="205">
        <v>0</v>
      </c>
      <c r="J282" s="205">
        <v>0</v>
      </c>
      <c r="K282" s="205">
        <f t="shared" ca="1" si="111"/>
        <v>0</v>
      </c>
      <c r="L282" s="205">
        <f t="shared" si="112"/>
        <v>0</v>
      </c>
      <c r="M282" s="205">
        <f t="shared" si="113"/>
        <v>0</v>
      </c>
      <c r="N282" s="205">
        <f t="shared" si="123"/>
        <v>0</v>
      </c>
      <c r="O282" s="205">
        <f t="shared" si="114"/>
        <v>0</v>
      </c>
      <c r="P282" s="205">
        <f t="shared" ca="1" si="115"/>
        <v>0</v>
      </c>
      <c r="Q282" s="205">
        <f t="shared" si="116"/>
        <v>0</v>
      </c>
      <c r="R282" s="205">
        <f t="shared" ca="1" si="117"/>
        <v>0</v>
      </c>
      <c r="S282" s="205">
        <f t="shared" ca="1" si="118"/>
        <v>0</v>
      </c>
      <c r="T282" s="205">
        <f t="shared" ca="1" si="119"/>
        <v>0</v>
      </c>
      <c r="U282" s="205">
        <f t="shared" ca="1" si="120"/>
        <v>0</v>
      </c>
      <c r="V282" s="205">
        <f t="shared" ca="1" si="121"/>
        <v>0</v>
      </c>
      <c r="W282" s="205"/>
      <c r="X282" s="205">
        <f t="shared" si="93"/>
        <v>0</v>
      </c>
      <c r="Y282" s="205">
        <f t="shared" si="106"/>
        <v>0</v>
      </c>
      <c r="Z282" s="205">
        <f t="shared" si="94"/>
        <v>0</v>
      </c>
      <c r="AA282" s="205">
        <f t="shared" ca="1" si="95"/>
        <v>0</v>
      </c>
      <c r="AB282" s="205">
        <f t="shared" si="96"/>
        <v>0</v>
      </c>
      <c r="AC282" s="205">
        <f t="shared" ca="1" si="122"/>
        <v>0</v>
      </c>
      <c r="AD282" s="5152">
        <f t="shared" ca="1" si="97"/>
        <v>0</v>
      </c>
      <c r="AE282" s="205">
        <f t="shared" si="98"/>
        <v>0</v>
      </c>
      <c r="AF282" s="5153">
        <f t="shared" ca="1" si="124"/>
        <v>0</v>
      </c>
      <c r="AG282" s="205">
        <f t="shared" ca="1" si="100"/>
        <v>0</v>
      </c>
      <c r="AH282" s="205">
        <f t="shared" si="101"/>
        <v>0</v>
      </c>
      <c r="AI282" s="205">
        <f t="shared" ca="1" si="102"/>
        <v>0</v>
      </c>
      <c r="AJ282" s="205"/>
      <c r="AK282" s="205">
        <f t="shared" ca="1" si="107"/>
        <v>0</v>
      </c>
      <c r="AL282" s="4543" t="str">
        <f t="shared" ca="1" si="91"/>
        <v>한도준수</v>
      </c>
    </row>
    <row r="283" spans="1:38" ht="12" customHeight="1">
      <c r="A283" s="4542">
        <f t="shared" si="75"/>
        <v>2025</v>
      </c>
      <c r="B283" s="3606">
        <f t="shared" si="92"/>
        <v>46022</v>
      </c>
      <c r="C283" s="205">
        <v>0</v>
      </c>
      <c r="D283" s="205">
        <v>0</v>
      </c>
      <c r="E283" s="205">
        <f t="shared" si="108"/>
        <v>0</v>
      </c>
      <c r="F283" s="205">
        <f t="shared" si="109"/>
        <v>0</v>
      </c>
      <c r="G283" s="205">
        <f t="shared" si="110"/>
        <v>0</v>
      </c>
      <c r="H283" s="205">
        <f t="shared" ca="1" si="105"/>
        <v>0</v>
      </c>
      <c r="I283" s="205">
        <v>0</v>
      </c>
      <c r="J283" s="205">
        <v>0</v>
      </c>
      <c r="K283" s="205">
        <f t="shared" ca="1" si="111"/>
        <v>0</v>
      </c>
      <c r="L283" s="205">
        <f t="shared" si="112"/>
        <v>0</v>
      </c>
      <c r="M283" s="205">
        <f t="shared" ca="1" si="113"/>
        <v>0</v>
      </c>
      <c r="N283" s="205">
        <f t="shared" ca="1" si="123"/>
        <v>0</v>
      </c>
      <c r="O283" s="205">
        <f t="shared" ca="1" si="114"/>
        <v>0</v>
      </c>
      <c r="P283" s="205">
        <f t="shared" ca="1" si="115"/>
        <v>0</v>
      </c>
      <c r="Q283" s="205">
        <f t="shared" si="116"/>
        <v>0</v>
      </c>
      <c r="R283" s="205">
        <f t="shared" ca="1" si="117"/>
        <v>0</v>
      </c>
      <c r="S283" s="205">
        <f t="shared" ca="1" si="118"/>
        <v>0</v>
      </c>
      <c r="T283" s="205">
        <f t="shared" ca="1" si="119"/>
        <v>0</v>
      </c>
      <c r="U283" s="205">
        <f t="shared" ca="1" si="120"/>
        <v>0</v>
      </c>
      <c r="V283" s="205">
        <f t="shared" ca="1" si="121"/>
        <v>0</v>
      </c>
      <c r="W283" s="205"/>
      <c r="X283" s="205">
        <f t="shared" si="93"/>
        <v>0</v>
      </c>
      <c r="Y283" s="205">
        <f t="shared" si="106"/>
        <v>0</v>
      </c>
      <c r="Z283" s="205">
        <f t="shared" si="94"/>
        <v>0</v>
      </c>
      <c r="AA283" s="205">
        <f t="shared" ca="1" si="95"/>
        <v>0</v>
      </c>
      <c r="AB283" s="205">
        <f ca="1">O283</f>
        <v>0</v>
      </c>
      <c r="AC283" s="205">
        <f t="shared" ca="1" si="122"/>
        <v>0</v>
      </c>
      <c r="AD283" s="5152">
        <f t="shared" ca="1" si="97"/>
        <v>0</v>
      </c>
      <c r="AE283" s="205">
        <f ca="1">M283</f>
        <v>0</v>
      </c>
      <c r="AF283" s="5153">
        <f t="shared" ca="1" si="124"/>
        <v>0</v>
      </c>
      <c r="AG283" s="205">
        <f t="shared" ca="1" si="100"/>
        <v>0</v>
      </c>
      <c r="AH283" s="205">
        <f t="shared" ca="1" si="101"/>
        <v>0</v>
      </c>
      <c r="AI283" s="205">
        <f t="shared" ca="1" si="102"/>
        <v>0</v>
      </c>
      <c r="AJ283" s="205"/>
      <c r="AK283" s="205">
        <f t="shared" ca="1" si="107"/>
        <v>0</v>
      </c>
      <c r="AL283" s="4543" t="str">
        <f t="shared" ca="1" si="91"/>
        <v>한도준수</v>
      </c>
    </row>
    <row r="284" spans="1:38" ht="12" customHeight="1">
      <c r="A284" s="4542">
        <f t="shared" si="75"/>
        <v>2026</v>
      </c>
      <c r="B284" s="3606">
        <f t="shared" si="92"/>
        <v>46053</v>
      </c>
      <c r="C284" s="205">
        <v>0</v>
      </c>
      <c r="D284" s="205">
        <v>0</v>
      </c>
      <c r="E284" s="205">
        <f t="shared" si="108"/>
        <v>0</v>
      </c>
      <c r="F284" s="205">
        <f t="shared" si="109"/>
        <v>0</v>
      </c>
      <c r="G284" s="205">
        <f t="shared" si="110"/>
        <v>0</v>
      </c>
      <c r="H284" s="205">
        <f t="shared" ca="1" si="105"/>
        <v>0</v>
      </c>
      <c r="I284" s="205">
        <v>0</v>
      </c>
      <c r="J284" s="205">
        <v>0</v>
      </c>
      <c r="K284" s="205">
        <f t="shared" ca="1" si="111"/>
        <v>0</v>
      </c>
      <c r="L284" s="205">
        <f t="shared" si="112"/>
        <v>0</v>
      </c>
      <c r="M284" s="205">
        <f t="shared" si="113"/>
        <v>0</v>
      </c>
      <c r="N284" s="205">
        <f t="shared" si="123"/>
        <v>0</v>
      </c>
      <c r="O284" s="205">
        <f t="shared" si="114"/>
        <v>0</v>
      </c>
      <c r="P284" s="205">
        <f t="shared" ca="1" si="115"/>
        <v>0</v>
      </c>
      <c r="Q284" s="205">
        <f t="shared" si="116"/>
        <v>0</v>
      </c>
      <c r="R284" s="205">
        <f t="shared" ca="1" si="117"/>
        <v>0</v>
      </c>
      <c r="S284" s="205">
        <f t="shared" ca="1" si="118"/>
        <v>0</v>
      </c>
      <c r="T284" s="205">
        <f t="shared" ca="1" si="119"/>
        <v>0</v>
      </c>
      <c r="U284" s="205">
        <f t="shared" ca="1" si="120"/>
        <v>0</v>
      </c>
      <c r="V284" s="205">
        <f t="shared" ca="1" si="121"/>
        <v>0</v>
      </c>
      <c r="W284" s="205"/>
      <c r="X284" s="205">
        <f t="shared" si="93"/>
        <v>0</v>
      </c>
      <c r="Y284" s="205">
        <f t="shared" si="106"/>
        <v>0</v>
      </c>
      <c r="Z284" s="205">
        <f t="shared" si="94"/>
        <v>0</v>
      </c>
      <c r="AA284" s="205">
        <f t="shared" ca="1" si="95"/>
        <v>0</v>
      </c>
      <c r="AB284" s="205">
        <f t="shared" si="96"/>
        <v>0</v>
      </c>
      <c r="AC284" s="205">
        <f t="shared" ca="1" si="122"/>
        <v>0</v>
      </c>
      <c r="AD284" s="5152">
        <f t="shared" ca="1" si="97"/>
        <v>0</v>
      </c>
      <c r="AE284" s="205">
        <f t="shared" si="98"/>
        <v>0</v>
      </c>
      <c r="AF284" s="5153">
        <f t="shared" ca="1" si="124"/>
        <v>0</v>
      </c>
      <c r="AG284" s="205">
        <f t="shared" ca="1" si="100"/>
        <v>0</v>
      </c>
      <c r="AH284" s="205">
        <f t="shared" si="101"/>
        <v>0</v>
      </c>
      <c r="AI284" s="205">
        <f t="shared" ca="1" si="102"/>
        <v>0</v>
      </c>
      <c r="AJ284" s="205"/>
      <c r="AK284" s="205">
        <f t="shared" ca="1" si="107"/>
        <v>0</v>
      </c>
      <c r="AL284" s="4543" t="str">
        <f t="shared" ca="1" si="91"/>
        <v>한도준수</v>
      </c>
    </row>
    <row r="285" spans="1:38" ht="12" customHeight="1">
      <c r="A285" s="4542">
        <f t="shared" si="75"/>
        <v>2026</v>
      </c>
      <c r="B285" s="3606">
        <f t="shared" si="92"/>
        <v>46081</v>
      </c>
      <c r="C285" s="205">
        <v>0</v>
      </c>
      <c r="D285" s="205">
        <v>0</v>
      </c>
      <c r="E285" s="205">
        <f t="shared" si="108"/>
        <v>0</v>
      </c>
      <c r="F285" s="205">
        <f t="shared" si="109"/>
        <v>0</v>
      </c>
      <c r="G285" s="205">
        <f t="shared" si="110"/>
        <v>0</v>
      </c>
      <c r="H285" s="205">
        <f t="shared" ca="1" si="105"/>
        <v>0</v>
      </c>
      <c r="I285" s="205">
        <v>0</v>
      </c>
      <c r="J285" s="205">
        <v>0</v>
      </c>
      <c r="K285" s="205">
        <f t="shared" ca="1" si="111"/>
        <v>0</v>
      </c>
      <c r="L285" s="205">
        <f t="shared" si="112"/>
        <v>0</v>
      </c>
      <c r="M285" s="205">
        <f t="shared" si="113"/>
        <v>0</v>
      </c>
      <c r="N285" s="205">
        <f t="shared" si="123"/>
        <v>0</v>
      </c>
      <c r="O285" s="205">
        <f t="shared" si="114"/>
        <v>0</v>
      </c>
      <c r="P285" s="205">
        <f t="shared" ca="1" si="115"/>
        <v>0</v>
      </c>
      <c r="Q285" s="205">
        <f t="shared" si="116"/>
        <v>0</v>
      </c>
      <c r="R285" s="205">
        <f t="shared" ca="1" si="117"/>
        <v>0</v>
      </c>
      <c r="S285" s="205">
        <f t="shared" ca="1" si="118"/>
        <v>0</v>
      </c>
      <c r="T285" s="205">
        <f t="shared" ca="1" si="119"/>
        <v>0</v>
      </c>
      <c r="U285" s="205">
        <f t="shared" ca="1" si="120"/>
        <v>0</v>
      </c>
      <c r="V285" s="205">
        <f t="shared" ca="1" si="121"/>
        <v>0</v>
      </c>
      <c r="W285" s="205"/>
      <c r="X285" s="205">
        <f t="shared" si="93"/>
        <v>0</v>
      </c>
      <c r="Y285" s="205">
        <f t="shared" si="106"/>
        <v>0</v>
      </c>
      <c r="Z285" s="205">
        <f t="shared" si="94"/>
        <v>0</v>
      </c>
      <c r="AA285" s="205">
        <f t="shared" ca="1" si="95"/>
        <v>0</v>
      </c>
      <c r="AB285" s="205">
        <f t="shared" si="96"/>
        <v>0</v>
      </c>
      <c r="AC285" s="205">
        <f t="shared" ca="1" si="122"/>
        <v>0</v>
      </c>
      <c r="AD285" s="5152">
        <f t="shared" ca="1" si="97"/>
        <v>0</v>
      </c>
      <c r="AE285" s="205">
        <f t="shared" si="98"/>
        <v>0</v>
      </c>
      <c r="AF285" s="5153">
        <f t="shared" ca="1" si="124"/>
        <v>0</v>
      </c>
      <c r="AG285" s="205">
        <f t="shared" ca="1" si="100"/>
        <v>0</v>
      </c>
      <c r="AH285" s="205">
        <f t="shared" si="101"/>
        <v>0</v>
      </c>
      <c r="AI285" s="205">
        <f t="shared" ca="1" si="102"/>
        <v>0</v>
      </c>
      <c r="AJ285" s="205"/>
      <c r="AK285" s="205">
        <f t="shared" ca="1" si="107"/>
        <v>0</v>
      </c>
      <c r="AL285" s="4543" t="str">
        <f t="shared" ca="1" si="91"/>
        <v>한도준수</v>
      </c>
    </row>
    <row r="286" spans="1:38" ht="12" customHeight="1">
      <c r="A286" s="4542">
        <f t="shared" si="75"/>
        <v>2026</v>
      </c>
      <c r="B286" s="3606">
        <f t="shared" si="92"/>
        <v>46112</v>
      </c>
      <c r="C286" s="205">
        <v>0</v>
      </c>
      <c r="D286" s="205">
        <v>0</v>
      </c>
      <c r="E286" s="205">
        <f t="shared" si="108"/>
        <v>0</v>
      </c>
      <c r="F286" s="205">
        <f t="shared" si="109"/>
        <v>0</v>
      </c>
      <c r="G286" s="205">
        <f t="shared" si="110"/>
        <v>0</v>
      </c>
      <c r="H286" s="205">
        <f t="shared" ca="1" si="105"/>
        <v>0</v>
      </c>
      <c r="I286" s="205">
        <v>0</v>
      </c>
      <c r="J286" s="205">
        <v>0</v>
      </c>
      <c r="K286" s="205">
        <f t="shared" ca="1" si="111"/>
        <v>0</v>
      </c>
      <c r="L286" s="205">
        <f t="shared" si="112"/>
        <v>0</v>
      </c>
      <c r="M286" s="205">
        <f t="shared" ca="1" si="113"/>
        <v>0</v>
      </c>
      <c r="N286" s="205">
        <f t="shared" ca="1" si="123"/>
        <v>0</v>
      </c>
      <c r="O286" s="205">
        <f t="shared" ca="1" si="114"/>
        <v>0</v>
      </c>
      <c r="P286" s="205">
        <f t="shared" ca="1" si="115"/>
        <v>0</v>
      </c>
      <c r="Q286" s="205">
        <f t="shared" si="116"/>
        <v>0</v>
      </c>
      <c r="R286" s="205">
        <f t="shared" ca="1" si="117"/>
        <v>0</v>
      </c>
      <c r="S286" s="205">
        <f t="shared" ca="1" si="118"/>
        <v>0</v>
      </c>
      <c r="T286" s="205">
        <f t="shared" ca="1" si="119"/>
        <v>0</v>
      </c>
      <c r="U286" s="205">
        <f t="shared" ca="1" si="120"/>
        <v>0</v>
      </c>
      <c r="V286" s="205">
        <f t="shared" ca="1" si="121"/>
        <v>0</v>
      </c>
      <c r="W286" s="205"/>
      <c r="X286" s="205">
        <f t="shared" si="93"/>
        <v>0</v>
      </c>
      <c r="Y286" s="205">
        <f t="shared" si="106"/>
        <v>0</v>
      </c>
      <c r="Z286" s="205">
        <f t="shared" si="94"/>
        <v>0</v>
      </c>
      <c r="AA286" s="205">
        <f t="shared" ca="1" si="95"/>
        <v>0</v>
      </c>
      <c r="AB286" s="205">
        <f ca="1">O286</f>
        <v>0</v>
      </c>
      <c r="AC286" s="205">
        <f t="shared" ca="1" si="122"/>
        <v>0</v>
      </c>
      <c r="AD286" s="5152">
        <f t="shared" ca="1" si="97"/>
        <v>0</v>
      </c>
      <c r="AE286" s="205">
        <f ca="1">M286</f>
        <v>0</v>
      </c>
      <c r="AF286" s="5153">
        <f t="shared" ca="1" si="124"/>
        <v>0</v>
      </c>
      <c r="AG286" s="205">
        <f t="shared" ca="1" si="100"/>
        <v>0</v>
      </c>
      <c r="AH286" s="205">
        <f t="shared" ca="1" si="101"/>
        <v>0</v>
      </c>
      <c r="AI286" s="205">
        <f t="shared" ca="1" si="102"/>
        <v>0</v>
      </c>
      <c r="AJ286" s="205"/>
      <c r="AK286" s="205">
        <f t="shared" ca="1" si="107"/>
        <v>0</v>
      </c>
      <c r="AL286" s="4543" t="str">
        <f t="shared" ca="1" si="91"/>
        <v>한도준수</v>
      </c>
    </row>
    <row r="287" spans="1:38" ht="12" customHeight="1">
      <c r="A287" s="4542">
        <f t="shared" si="75"/>
        <v>2026</v>
      </c>
      <c r="B287" s="3606">
        <f t="shared" si="92"/>
        <v>46142</v>
      </c>
      <c r="C287" s="205">
        <v>0</v>
      </c>
      <c r="D287" s="205">
        <v>0</v>
      </c>
      <c r="E287" s="205">
        <f t="shared" si="108"/>
        <v>0</v>
      </c>
      <c r="F287" s="205">
        <f t="shared" si="109"/>
        <v>0</v>
      </c>
      <c r="G287" s="205">
        <f t="shared" si="110"/>
        <v>0</v>
      </c>
      <c r="H287" s="205">
        <f t="shared" ca="1" si="105"/>
        <v>0</v>
      </c>
      <c r="I287" s="205">
        <v>0</v>
      </c>
      <c r="J287" s="205">
        <v>0</v>
      </c>
      <c r="K287" s="205">
        <f t="shared" ca="1" si="111"/>
        <v>0</v>
      </c>
      <c r="L287" s="205">
        <f t="shared" si="112"/>
        <v>0</v>
      </c>
      <c r="M287" s="205">
        <f t="shared" si="113"/>
        <v>0</v>
      </c>
      <c r="N287" s="205">
        <f t="shared" si="123"/>
        <v>0</v>
      </c>
      <c r="O287" s="205">
        <f t="shared" si="114"/>
        <v>0</v>
      </c>
      <c r="P287" s="205">
        <f t="shared" ca="1" si="115"/>
        <v>0</v>
      </c>
      <c r="Q287" s="205">
        <f t="shared" si="116"/>
        <v>0</v>
      </c>
      <c r="R287" s="205">
        <f t="shared" ca="1" si="117"/>
        <v>0</v>
      </c>
      <c r="S287" s="205">
        <f t="shared" ca="1" si="118"/>
        <v>0</v>
      </c>
      <c r="T287" s="205">
        <f t="shared" ca="1" si="119"/>
        <v>0</v>
      </c>
      <c r="U287" s="205">
        <f t="shared" ca="1" si="120"/>
        <v>0</v>
      </c>
      <c r="V287" s="205">
        <f t="shared" ca="1" si="121"/>
        <v>0</v>
      </c>
      <c r="W287" s="205"/>
      <c r="X287" s="205">
        <f t="shared" si="93"/>
        <v>0</v>
      </c>
      <c r="Y287" s="205">
        <f t="shared" si="106"/>
        <v>0</v>
      </c>
      <c r="Z287" s="205">
        <f t="shared" si="94"/>
        <v>0</v>
      </c>
      <c r="AA287" s="205">
        <f t="shared" ca="1" si="95"/>
        <v>0</v>
      </c>
      <c r="AB287" s="205">
        <f t="shared" si="96"/>
        <v>0</v>
      </c>
      <c r="AC287" s="205">
        <f t="shared" ca="1" si="122"/>
        <v>0</v>
      </c>
      <c r="AD287" s="5152">
        <f t="shared" ca="1" si="97"/>
        <v>0</v>
      </c>
      <c r="AE287" s="205">
        <f t="shared" si="98"/>
        <v>0</v>
      </c>
      <c r="AF287" s="5153">
        <f t="shared" ca="1" si="124"/>
        <v>0</v>
      </c>
      <c r="AG287" s="205">
        <f t="shared" ca="1" si="100"/>
        <v>0</v>
      </c>
      <c r="AH287" s="205">
        <f t="shared" si="101"/>
        <v>0</v>
      </c>
      <c r="AI287" s="205">
        <f t="shared" ca="1" si="102"/>
        <v>0</v>
      </c>
      <c r="AJ287" s="205"/>
      <c r="AK287" s="205">
        <f t="shared" ca="1" si="107"/>
        <v>0</v>
      </c>
      <c r="AL287" s="4543" t="str">
        <f t="shared" ca="1" si="91"/>
        <v>한도준수</v>
      </c>
    </row>
    <row r="288" spans="1:38" ht="12" customHeight="1">
      <c r="A288" s="4542">
        <f t="shared" si="75"/>
        <v>2026</v>
      </c>
      <c r="B288" s="3606">
        <f t="shared" si="92"/>
        <v>46173</v>
      </c>
      <c r="C288" s="205">
        <v>0</v>
      </c>
      <c r="D288" s="205">
        <v>0</v>
      </c>
      <c r="E288" s="205">
        <f t="shared" si="108"/>
        <v>0</v>
      </c>
      <c r="F288" s="205">
        <f t="shared" si="109"/>
        <v>0</v>
      </c>
      <c r="G288" s="205">
        <f t="shared" si="110"/>
        <v>0</v>
      </c>
      <c r="H288" s="205">
        <f t="shared" ca="1" si="105"/>
        <v>0</v>
      </c>
      <c r="I288" s="205">
        <v>0</v>
      </c>
      <c r="J288" s="205">
        <v>0</v>
      </c>
      <c r="K288" s="205">
        <f t="shared" ca="1" si="111"/>
        <v>0</v>
      </c>
      <c r="L288" s="205">
        <f t="shared" si="112"/>
        <v>0</v>
      </c>
      <c r="M288" s="205">
        <f t="shared" si="113"/>
        <v>0</v>
      </c>
      <c r="N288" s="205">
        <f t="shared" si="123"/>
        <v>0</v>
      </c>
      <c r="O288" s="205">
        <f t="shared" si="114"/>
        <v>0</v>
      </c>
      <c r="P288" s="205">
        <f t="shared" ca="1" si="115"/>
        <v>0</v>
      </c>
      <c r="Q288" s="205">
        <f t="shared" si="116"/>
        <v>0</v>
      </c>
      <c r="R288" s="205">
        <f t="shared" ca="1" si="117"/>
        <v>0</v>
      </c>
      <c r="S288" s="205">
        <f t="shared" ca="1" si="118"/>
        <v>0</v>
      </c>
      <c r="T288" s="205">
        <f t="shared" ca="1" si="119"/>
        <v>0</v>
      </c>
      <c r="U288" s="205">
        <f t="shared" ca="1" si="120"/>
        <v>0</v>
      </c>
      <c r="V288" s="205">
        <f t="shared" ca="1" si="121"/>
        <v>0</v>
      </c>
      <c r="W288" s="205"/>
      <c r="X288" s="205">
        <f t="shared" si="93"/>
        <v>0</v>
      </c>
      <c r="Y288" s="205">
        <f t="shared" si="106"/>
        <v>0</v>
      </c>
      <c r="Z288" s="205">
        <f t="shared" si="94"/>
        <v>0</v>
      </c>
      <c r="AA288" s="205">
        <f t="shared" ca="1" si="95"/>
        <v>0</v>
      </c>
      <c r="AB288" s="205">
        <f t="shared" si="96"/>
        <v>0</v>
      </c>
      <c r="AC288" s="205">
        <f t="shared" ca="1" si="122"/>
        <v>0</v>
      </c>
      <c r="AD288" s="5152">
        <f t="shared" ca="1" si="97"/>
        <v>0</v>
      </c>
      <c r="AE288" s="205">
        <f t="shared" si="98"/>
        <v>0</v>
      </c>
      <c r="AF288" s="5153">
        <f t="shared" ca="1" si="124"/>
        <v>0</v>
      </c>
      <c r="AG288" s="205">
        <f t="shared" ca="1" si="100"/>
        <v>0</v>
      </c>
      <c r="AH288" s="205">
        <f t="shared" si="101"/>
        <v>0</v>
      </c>
      <c r="AI288" s="205">
        <f t="shared" ca="1" si="102"/>
        <v>0</v>
      </c>
      <c r="AJ288" s="205"/>
      <c r="AK288" s="205">
        <f t="shared" ca="1" si="107"/>
        <v>0</v>
      </c>
      <c r="AL288" s="4543" t="str">
        <f t="shared" ca="1" si="91"/>
        <v>한도준수</v>
      </c>
    </row>
    <row r="289" spans="1:38" ht="12" customHeight="1">
      <c r="A289" s="4542">
        <f t="shared" si="75"/>
        <v>2026</v>
      </c>
      <c r="B289" s="3606">
        <f t="shared" si="92"/>
        <v>46203</v>
      </c>
      <c r="C289" s="205">
        <v>0</v>
      </c>
      <c r="D289" s="205">
        <v>0</v>
      </c>
      <c r="E289" s="205">
        <f t="shared" si="108"/>
        <v>0</v>
      </c>
      <c r="F289" s="205">
        <f t="shared" si="109"/>
        <v>0</v>
      </c>
      <c r="G289" s="205">
        <f t="shared" si="110"/>
        <v>0</v>
      </c>
      <c r="H289" s="205">
        <f t="shared" ca="1" si="105"/>
        <v>0</v>
      </c>
      <c r="I289" s="205">
        <v>0</v>
      </c>
      <c r="J289" s="205">
        <v>0</v>
      </c>
      <c r="K289" s="205">
        <f t="shared" ca="1" si="111"/>
        <v>0</v>
      </c>
      <c r="L289" s="205">
        <f t="shared" si="112"/>
        <v>0</v>
      </c>
      <c r="M289" s="205">
        <f t="shared" ca="1" si="113"/>
        <v>0</v>
      </c>
      <c r="N289" s="205">
        <f t="shared" ca="1" si="123"/>
        <v>0</v>
      </c>
      <c r="O289" s="205">
        <f t="shared" ca="1" si="114"/>
        <v>0</v>
      </c>
      <c r="P289" s="205">
        <f t="shared" ca="1" si="115"/>
        <v>0</v>
      </c>
      <c r="Q289" s="205">
        <f t="shared" si="116"/>
        <v>0</v>
      </c>
      <c r="R289" s="205">
        <f t="shared" ca="1" si="117"/>
        <v>0</v>
      </c>
      <c r="S289" s="205">
        <f t="shared" ca="1" si="118"/>
        <v>0</v>
      </c>
      <c r="T289" s="205">
        <f t="shared" ca="1" si="119"/>
        <v>0</v>
      </c>
      <c r="U289" s="205">
        <f t="shared" ca="1" si="120"/>
        <v>0</v>
      </c>
      <c r="V289" s="205">
        <f t="shared" ca="1" si="121"/>
        <v>0</v>
      </c>
      <c r="W289" s="205"/>
      <c r="X289" s="205">
        <f t="shared" si="93"/>
        <v>0</v>
      </c>
      <c r="Y289" s="205">
        <f t="shared" si="106"/>
        <v>0</v>
      </c>
      <c r="Z289" s="205">
        <f t="shared" si="94"/>
        <v>0</v>
      </c>
      <c r="AA289" s="205">
        <f t="shared" ca="1" si="95"/>
        <v>0</v>
      </c>
      <c r="AB289" s="205">
        <f ca="1">O289</f>
        <v>0</v>
      </c>
      <c r="AC289" s="205">
        <f t="shared" ca="1" si="122"/>
        <v>0</v>
      </c>
      <c r="AD289" s="5152">
        <f t="shared" ca="1" si="97"/>
        <v>0</v>
      </c>
      <c r="AE289" s="205">
        <f ca="1">M289</f>
        <v>0</v>
      </c>
      <c r="AF289" s="5153">
        <f t="shared" ca="1" si="124"/>
        <v>0</v>
      </c>
      <c r="AG289" s="205">
        <f t="shared" ca="1" si="100"/>
        <v>0</v>
      </c>
      <c r="AH289" s="205">
        <f t="shared" ca="1" si="101"/>
        <v>0</v>
      </c>
      <c r="AI289" s="205">
        <f t="shared" ca="1" si="102"/>
        <v>0</v>
      </c>
      <c r="AJ289" s="205"/>
      <c r="AK289" s="205">
        <f t="shared" ca="1" si="107"/>
        <v>0</v>
      </c>
      <c r="AL289" s="4543" t="str">
        <f t="shared" ca="1" si="91"/>
        <v>한도준수</v>
      </c>
    </row>
    <row r="290" spans="1:38" ht="12" customHeight="1">
      <c r="A290" s="4542">
        <f t="shared" si="75"/>
        <v>2026</v>
      </c>
      <c r="B290" s="3606">
        <f t="shared" si="92"/>
        <v>46234</v>
      </c>
      <c r="C290" s="205">
        <v>0</v>
      </c>
      <c r="D290" s="205">
        <v>0</v>
      </c>
      <c r="E290" s="205">
        <f t="shared" si="108"/>
        <v>0</v>
      </c>
      <c r="F290" s="205">
        <f t="shared" si="109"/>
        <v>0</v>
      </c>
      <c r="G290" s="205">
        <f t="shared" si="110"/>
        <v>0</v>
      </c>
      <c r="H290" s="205">
        <f t="shared" ca="1" si="105"/>
        <v>0</v>
      </c>
      <c r="I290" s="205">
        <v>0</v>
      </c>
      <c r="J290" s="205">
        <v>0</v>
      </c>
      <c r="K290" s="205">
        <f t="shared" ca="1" si="111"/>
        <v>0</v>
      </c>
      <c r="L290" s="205">
        <f t="shared" si="112"/>
        <v>0</v>
      </c>
      <c r="M290" s="205">
        <f t="shared" si="113"/>
        <v>0</v>
      </c>
      <c r="N290" s="205">
        <f t="shared" si="123"/>
        <v>0</v>
      </c>
      <c r="O290" s="205">
        <f t="shared" si="114"/>
        <v>0</v>
      </c>
      <c r="P290" s="205">
        <f t="shared" ca="1" si="115"/>
        <v>0</v>
      </c>
      <c r="Q290" s="205">
        <f t="shared" si="116"/>
        <v>0</v>
      </c>
      <c r="R290" s="205">
        <f t="shared" ca="1" si="117"/>
        <v>0</v>
      </c>
      <c r="S290" s="205">
        <f t="shared" ca="1" si="118"/>
        <v>0</v>
      </c>
      <c r="T290" s="205">
        <f t="shared" ca="1" si="119"/>
        <v>0</v>
      </c>
      <c r="U290" s="205">
        <f t="shared" ca="1" si="120"/>
        <v>0</v>
      </c>
      <c r="V290" s="205">
        <f t="shared" ca="1" si="121"/>
        <v>0</v>
      </c>
      <c r="W290" s="205"/>
      <c r="X290" s="205">
        <f t="shared" si="93"/>
        <v>0</v>
      </c>
      <c r="Y290" s="205">
        <f t="shared" si="106"/>
        <v>0</v>
      </c>
      <c r="Z290" s="205">
        <f t="shared" si="94"/>
        <v>0</v>
      </c>
      <c r="AA290" s="205">
        <f t="shared" ca="1" si="95"/>
        <v>0</v>
      </c>
      <c r="AB290" s="205">
        <f t="shared" si="96"/>
        <v>0</v>
      </c>
      <c r="AC290" s="205">
        <f t="shared" ca="1" si="122"/>
        <v>0</v>
      </c>
      <c r="AD290" s="5152">
        <f t="shared" ca="1" si="97"/>
        <v>0</v>
      </c>
      <c r="AE290" s="205">
        <f t="shared" si="98"/>
        <v>0</v>
      </c>
      <c r="AF290" s="5153">
        <f t="shared" ca="1" si="124"/>
        <v>0</v>
      </c>
      <c r="AG290" s="205">
        <f t="shared" ca="1" si="100"/>
        <v>0</v>
      </c>
      <c r="AH290" s="205">
        <f t="shared" si="101"/>
        <v>0</v>
      </c>
      <c r="AI290" s="205">
        <f t="shared" ca="1" si="102"/>
        <v>0</v>
      </c>
      <c r="AJ290" s="205"/>
      <c r="AK290" s="205">
        <f t="shared" ca="1" si="107"/>
        <v>0</v>
      </c>
      <c r="AL290" s="4543" t="str">
        <f t="shared" ca="1" si="91"/>
        <v>한도준수</v>
      </c>
    </row>
    <row r="291" spans="1:38" ht="12" customHeight="1">
      <c r="A291" s="4542">
        <f t="shared" si="75"/>
        <v>2026</v>
      </c>
      <c r="B291" s="3606">
        <f t="shared" si="92"/>
        <v>46265</v>
      </c>
      <c r="C291" s="205">
        <v>0</v>
      </c>
      <c r="D291" s="205">
        <v>0</v>
      </c>
      <c r="E291" s="205">
        <f t="shared" si="108"/>
        <v>0</v>
      </c>
      <c r="F291" s="205">
        <f t="shared" si="109"/>
        <v>0</v>
      </c>
      <c r="G291" s="205">
        <f t="shared" si="110"/>
        <v>0</v>
      </c>
      <c r="H291" s="205">
        <f t="shared" ca="1" si="105"/>
        <v>0</v>
      </c>
      <c r="I291" s="205">
        <v>0</v>
      </c>
      <c r="J291" s="205">
        <v>0</v>
      </c>
      <c r="K291" s="205">
        <f t="shared" ca="1" si="111"/>
        <v>0</v>
      </c>
      <c r="L291" s="205">
        <f t="shared" si="112"/>
        <v>0</v>
      </c>
      <c r="M291" s="205">
        <f t="shared" si="113"/>
        <v>0</v>
      </c>
      <c r="N291" s="205">
        <f t="shared" si="123"/>
        <v>0</v>
      </c>
      <c r="O291" s="205">
        <f t="shared" si="114"/>
        <v>0</v>
      </c>
      <c r="P291" s="205">
        <f t="shared" ca="1" si="115"/>
        <v>0</v>
      </c>
      <c r="Q291" s="205">
        <f t="shared" si="116"/>
        <v>0</v>
      </c>
      <c r="R291" s="205">
        <f t="shared" ca="1" si="117"/>
        <v>0</v>
      </c>
      <c r="S291" s="205">
        <f t="shared" ca="1" si="118"/>
        <v>0</v>
      </c>
      <c r="T291" s="205">
        <f t="shared" ca="1" si="119"/>
        <v>0</v>
      </c>
      <c r="U291" s="205">
        <f t="shared" ca="1" si="120"/>
        <v>0</v>
      </c>
      <c r="V291" s="205">
        <f t="shared" ca="1" si="121"/>
        <v>0</v>
      </c>
      <c r="W291" s="205"/>
      <c r="X291" s="205">
        <f t="shared" si="93"/>
        <v>0</v>
      </c>
      <c r="Y291" s="205">
        <f t="shared" si="106"/>
        <v>0</v>
      </c>
      <c r="Z291" s="205">
        <f t="shared" si="94"/>
        <v>0</v>
      </c>
      <c r="AA291" s="205">
        <f t="shared" ca="1" si="95"/>
        <v>0</v>
      </c>
      <c r="AB291" s="205">
        <f t="shared" si="96"/>
        <v>0</v>
      </c>
      <c r="AC291" s="205">
        <f t="shared" ca="1" si="122"/>
        <v>0</v>
      </c>
      <c r="AD291" s="5152">
        <f t="shared" ca="1" si="97"/>
        <v>0</v>
      </c>
      <c r="AE291" s="205">
        <f t="shared" si="98"/>
        <v>0</v>
      </c>
      <c r="AF291" s="5153">
        <f t="shared" ca="1" si="124"/>
        <v>0</v>
      </c>
      <c r="AG291" s="205">
        <f t="shared" ca="1" si="100"/>
        <v>0</v>
      </c>
      <c r="AH291" s="205">
        <f t="shared" si="101"/>
        <v>0</v>
      </c>
      <c r="AI291" s="205">
        <f t="shared" ca="1" si="102"/>
        <v>0</v>
      </c>
      <c r="AJ291" s="205"/>
      <c r="AK291" s="205">
        <f t="shared" ca="1" si="107"/>
        <v>0</v>
      </c>
      <c r="AL291" s="4543" t="str">
        <f t="shared" ca="1" si="91"/>
        <v>한도준수</v>
      </c>
    </row>
    <row r="292" spans="1:38" ht="12" customHeight="1">
      <c r="A292" s="4542">
        <f t="shared" si="75"/>
        <v>2026</v>
      </c>
      <c r="B292" s="3606">
        <f t="shared" si="92"/>
        <v>46295</v>
      </c>
      <c r="C292" s="205">
        <v>0</v>
      </c>
      <c r="D292" s="205">
        <v>0</v>
      </c>
      <c r="E292" s="205">
        <f t="shared" si="108"/>
        <v>0</v>
      </c>
      <c r="F292" s="205">
        <f t="shared" si="109"/>
        <v>0</v>
      </c>
      <c r="G292" s="205">
        <f t="shared" si="110"/>
        <v>0</v>
      </c>
      <c r="H292" s="205">
        <f t="shared" ca="1" si="105"/>
        <v>0</v>
      </c>
      <c r="I292" s="205">
        <v>0</v>
      </c>
      <c r="J292" s="205">
        <v>0</v>
      </c>
      <c r="K292" s="205">
        <f t="shared" ca="1" si="111"/>
        <v>0</v>
      </c>
      <c r="L292" s="205">
        <f t="shared" si="112"/>
        <v>0</v>
      </c>
      <c r="M292" s="205">
        <f t="shared" ca="1" si="113"/>
        <v>0</v>
      </c>
      <c r="N292" s="205">
        <f t="shared" ca="1" si="123"/>
        <v>0</v>
      </c>
      <c r="O292" s="205">
        <f t="shared" ca="1" si="114"/>
        <v>0</v>
      </c>
      <c r="P292" s="205">
        <f t="shared" ca="1" si="115"/>
        <v>0</v>
      </c>
      <c r="Q292" s="205">
        <f t="shared" si="116"/>
        <v>0</v>
      </c>
      <c r="R292" s="205">
        <f t="shared" ca="1" si="117"/>
        <v>0</v>
      </c>
      <c r="S292" s="205">
        <f t="shared" ca="1" si="118"/>
        <v>0</v>
      </c>
      <c r="T292" s="205">
        <f t="shared" ca="1" si="119"/>
        <v>0</v>
      </c>
      <c r="U292" s="205">
        <f t="shared" ca="1" si="120"/>
        <v>0</v>
      </c>
      <c r="V292" s="205">
        <f t="shared" ca="1" si="121"/>
        <v>0</v>
      </c>
      <c r="W292" s="205"/>
      <c r="X292" s="205">
        <f t="shared" si="93"/>
        <v>0</v>
      </c>
      <c r="Y292" s="205">
        <f t="shared" si="106"/>
        <v>0</v>
      </c>
      <c r="Z292" s="205">
        <f t="shared" si="94"/>
        <v>0</v>
      </c>
      <c r="AA292" s="205">
        <f t="shared" ca="1" si="95"/>
        <v>0</v>
      </c>
      <c r="AB292" s="205">
        <f ca="1">O292</f>
        <v>0</v>
      </c>
      <c r="AC292" s="205">
        <f t="shared" ca="1" si="122"/>
        <v>0</v>
      </c>
      <c r="AD292" s="5152">
        <f t="shared" ca="1" si="97"/>
        <v>0</v>
      </c>
      <c r="AE292" s="205">
        <f ca="1">M292</f>
        <v>0</v>
      </c>
      <c r="AF292" s="5153">
        <f t="shared" ca="1" si="124"/>
        <v>0</v>
      </c>
      <c r="AG292" s="205">
        <f t="shared" ca="1" si="100"/>
        <v>0</v>
      </c>
      <c r="AH292" s="205">
        <f t="shared" ca="1" si="101"/>
        <v>0</v>
      </c>
      <c r="AI292" s="205">
        <f t="shared" ca="1" si="102"/>
        <v>0</v>
      </c>
      <c r="AJ292" s="205"/>
      <c r="AK292" s="205">
        <f t="shared" ca="1" si="107"/>
        <v>0</v>
      </c>
      <c r="AL292" s="4543" t="str">
        <f t="shared" ca="1" si="91"/>
        <v>한도준수</v>
      </c>
    </row>
    <row r="293" spans="1:38" ht="12" customHeight="1">
      <c r="A293" s="4542">
        <f t="shared" si="75"/>
        <v>2026</v>
      </c>
      <c r="B293" s="3606">
        <f t="shared" si="92"/>
        <v>46326</v>
      </c>
      <c r="C293" s="205">
        <v>0</v>
      </c>
      <c r="D293" s="205">
        <v>0</v>
      </c>
      <c r="E293" s="205">
        <f t="shared" si="108"/>
        <v>0</v>
      </c>
      <c r="F293" s="205">
        <f t="shared" si="109"/>
        <v>0</v>
      </c>
      <c r="G293" s="205">
        <f t="shared" si="110"/>
        <v>0</v>
      </c>
      <c r="H293" s="205">
        <f t="shared" ca="1" si="105"/>
        <v>0</v>
      </c>
      <c r="I293" s="205">
        <v>0</v>
      </c>
      <c r="J293" s="205">
        <v>0</v>
      </c>
      <c r="K293" s="205">
        <f t="shared" ca="1" si="111"/>
        <v>0</v>
      </c>
      <c r="L293" s="205">
        <f t="shared" si="112"/>
        <v>0</v>
      </c>
      <c r="M293" s="205">
        <f t="shared" si="113"/>
        <v>0</v>
      </c>
      <c r="N293" s="205">
        <f t="shared" si="123"/>
        <v>0</v>
      </c>
      <c r="O293" s="205">
        <f t="shared" si="114"/>
        <v>0</v>
      </c>
      <c r="P293" s="205">
        <f t="shared" ca="1" si="115"/>
        <v>0</v>
      </c>
      <c r="Q293" s="205">
        <f t="shared" si="116"/>
        <v>0</v>
      </c>
      <c r="R293" s="205">
        <f t="shared" ca="1" si="117"/>
        <v>0</v>
      </c>
      <c r="S293" s="205">
        <f t="shared" ca="1" si="118"/>
        <v>0</v>
      </c>
      <c r="T293" s="205">
        <f t="shared" ca="1" si="119"/>
        <v>0</v>
      </c>
      <c r="U293" s="205">
        <f t="shared" ca="1" si="120"/>
        <v>0</v>
      </c>
      <c r="V293" s="205">
        <f t="shared" ca="1" si="121"/>
        <v>0</v>
      </c>
      <c r="W293" s="205"/>
      <c r="X293" s="205">
        <f t="shared" si="93"/>
        <v>0</v>
      </c>
      <c r="Y293" s="205">
        <f t="shared" si="106"/>
        <v>0</v>
      </c>
      <c r="Z293" s="205">
        <f t="shared" si="94"/>
        <v>0</v>
      </c>
      <c r="AA293" s="205">
        <f t="shared" ca="1" si="95"/>
        <v>0</v>
      </c>
      <c r="AB293" s="205">
        <f t="shared" si="96"/>
        <v>0</v>
      </c>
      <c r="AC293" s="205">
        <f t="shared" ca="1" si="122"/>
        <v>0</v>
      </c>
      <c r="AD293" s="5152">
        <f t="shared" ca="1" si="97"/>
        <v>0</v>
      </c>
      <c r="AE293" s="205">
        <f t="shared" si="98"/>
        <v>0</v>
      </c>
      <c r="AF293" s="5153">
        <f t="shared" ca="1" si="124"/>
        <v>0</v>
      </c>
      <c r="AG293" s="205">
        <f t="shared" ca="1" si="100"/>
        <v>0</v>
      </c>
      <c r="AH293" s="205">
        <f t="shared" si="101"/>
        <v>0</v>
      </c>
      <c r="AI293" s="205">
        <f t="shared" ca="1" si="102"/>
        <v>0</v>
      </c>
      <c r="AJ293" s="205"/>
      <c r="AK293" s="205">
        <f t="shared" ca="1" si="107"/>
        <v>0</v>
      </c>
      <c r="AL293" s="4543" t="str">
        <f t="shared" ca="1" si="91"/>
        <v>한도준수</v>
      </c>
    </row>
    <row r="294" spans="1:38" ht="12" customHeight="1">
      <c r="A294" s="4542">
        <f t="shared" si="75"/>
        <v>2026</v>
      </c>
      <c r="B294" s="3606">
        <f t="shared" si="92"/>
        <v>46356</v>
      </c>
      <c r="C294" s="205">
        <v>0</v>
      </c>
      <c r="D294" s="205">
        <v>0</v>
      </c>
      <c r="E294" s="205">
        <f t="shared" si="108"/>
        <v>0</v>
      </c>
      <c r="F294" s="205">
        <f t="shared" si="109"/>
        <v>0</v>
      </c>
      <c r="G294" s="205">
        <f t="shared" si="110"/>
        <v>0</v>
      </c>
      <c r="H294" s="205">
        <f t="shared" ca="1" si="105"/>
        <v>0</v>
      </c>
      <c r="I294" s="205">
        <v>0</v>
      </c>
      <c r="J294" s="205">
        <v>0</v>
      </c>
      <c r="K294" s="205">
        <f t="shared" ca="1" si="111"/>
        <v>0</v>
      </c>
      <c r="L294" s="205">
        <f t="shared" si="112"/>
        <v>0</v>
      </c>
      <c r="M294" s="205">
        <f t="shared" si="113"/>
        <v>0</v>
      </c>
      <c r="N294" s="205">
        <f t="shared" si="123"/>
        <v>0</v>
      </c>
      <c r="O294" s="205">
        <f t="shared" si="114"/>
        <v>0</v>
      </c>
      <c r="P294" s="205">
        <f t="shared" ca="1" si="115"/>
        <v>0</v>
      </c>
      <c r="Q294" s="205">
        <f t="shared" si="116"/>
        <v>0</v>
      </c>
      <c r="R294" s="205">
        <f t="shared" ca="1" si="117"/>
        <v>0</v>
      </c>
      <c r="S294" s="205">
        <f t="shared" ca="1" si="118"/>
        <v>0</v>
      </c>
      <c r="T294" s="205">
        <f t="shared" ca="1" si="119"/>
        <v>0</v>
      </c>
      <c r="U294" s="205">
        <f t="shared" ca="1" si="120"/>
        <v>0</v>
      </c>
      <c r="V294" s="205">
        <f t="shared" ca="1" si="121"/>
        <v>0</v>
      </c>
      <c r="W294" s="205"/>
      <c r="X294" s="205">
        <f t="shared" si="93"/>
        <v>0</v>
      </c>
      <c r="Y294" s="205">
        <f t="shared" si="106"/>
        <v>0</v>
      </c>
      <c r="Z294" s="205">
        <f t="shared" si="94"/>
        <v>0</v>
      </c>
      <c r="AA294" s="205">
        <f t="shared" ca="1" si="95"/>
        <v>0</v>
      </c>
      <c r="AB294" s="205">
        <f t="shared" si="96"/>
        <v>0</v>
      </c>
      <c r="AC294" s="205">
        <f t="shared" ca="1" si="122"/>
        <v>0</v>
      </c>
      <c r="AD294" s="5152">
        <f t="shared" ca="1" si="97"/>
        <v>0</v>
      </c>
      <c r="AE294" s="205">
        <f t="shared" si="98"/>
        <v>0</v>
      </c>
      <c r="AF294" s="5153">
        <f t="shared" ca="1" si="124"/>
        <v>0</v>
      </c>
      <c r="AG294" s="205">
        <f t="shared" ca="1" si="100"/>
        <v>0</v>
      </c>
      <c r="AH294" s="205">
        <f t="shared" si="101"/>
        <v>0</v>
      </c>
      <c r="AI294" s="205">
        <f t="shared" ca="1" si="102"/>
        <v>0</v>
      </c>
      <c r="AJ294" s="205"/>
      <c r="AK294" s="205">
        <f t="shared" ca="1" si="107"/>
        <v>0</v>
      </c>
      <c r="AL294" s="4543" t="str">
        <f t="shared" ca="1" si="91"/>
        <v>한도준수</v>
      </c>
    </row>
    <row r="295" spans="1:38" ht="12" customHeight="1">
      <c r="A295" s="4542">
        <f t="shared" si="75"/>
        <v>2026</v>
      </c>
      <c r="B295" s="3606">
        <f t="shared" si="92"/>
        <v>46387</v>
      </c>
      <c r="C295" s="205">
        <v>0</v>
      </c>
      <c r="D295" s="205">
        <v>0</v>
      </c>
      <c r="E295" s="205">
        <f t="shared" si="108"/>
        <v>0</v>
      </c>
      <c r="F295" s="205">
        <f t="shared" si="109"/>
        <v>0</v>
      </c>
      <c r="G295" s="205">
        <f t="shared" si="110"/>
        <v>0</v>
      </c>
      <c r="H295" s="205">
        <f t="shared" ca="1" si="105"/>
        <v>0</v>
      </c>
      <c r="I295" s="205">
        <v>0</v>
      </c>
      <c r="J295" s="205">
        <v>0</v>
      </c>
      <c r="K295" s="205">
        <f t="shared" ca="1" si="111"/>
        <v>0</v>
      </c>
      <c r="L295" s="205">
        <f t="shared" si="112"/>
        <v>0</v>
      </c>
      <c r="M295" s="205">
        <f t="shared" ca="1" si="113"/>
        <v>0</v>
      </c>
      <c r="N295" s="205">
        <f t="shared" ca="1" si="123"/>
        <v>0</v>
      </c>
      <c r="O295" s="205">
        <f t="shared" ca="1" si="114"/>
        <v>0</v>
      </c>
      <c r="P295" s="205">
        <f t="shared" ca="1" si="115"/>
        <v>0</v>
      </c>
      <c r="Q295" s="205">
        <f t="shared" si="116"/>
        <v>0</v>
      </c>
      <c r="R295" s="205">
        <f t="shared" ca="1" si="117"/>
        <v>0</v>
      </c>
      <c r="S295" s="205">
        <f t="shared" ca="1" si="118"/>
        <v>0</v>
      </c>
      <c r="T295" s="205">
        <f t="shared" ca="1" si="119"/>
        <v>0</v>
      </c>
      <c r="U295" s="205">
        <f t="shared" ca="1" si="120"/>
        <v>0</v>
      </c>
      <c r="V295" s="205">
        <f t="shared" ca="1" si="121"/>
        <v>0</v>
      </c>
      <c r="W295" s="205"/>
      <c r="X295" s="205">
        <f t="shared" si="93"/>
        <v>0</v>
      </c>
      <c r="Y295" s="205">
        <f t="shared" si="106"/>
        <v>0</v>
      </c>
      <c r="Z295" s="205">
        <f t="shared" si="94"/>
        <v>0</v>
      </c>
      <c r="AA295" s="205">
        <f t="shared" ca="1" si="95"/>
        <v>0</v>
      </c>
      <c r="AB295" s="205">
        <f ca="1">O295</f>
        <v>0</v>
      </c>
      <c r="AC295" s="205">
        <f t="shared" ca="1" si="122"/>
        <v>0</v>
      </c>
      <c r="AD295" s="5152">
        <f t="shared" ca="1" si="97"/>
        <v>0</v>
      </c>
      <c r="AE295" s="205">
        <f ca="1">M295</f>
        <v>0</v>
      </c>
      <c r="AF295" s="5153">
        <f t="shared" ca="1" si="124"/>
        <v>0</v>
      </c>
      <c r="AG295" s="205">
        <f t="shared" ca="1" si="100"/>
        <v>0</v>
      </c>
      <c r="AH295" s="205">
        <f t="shared" ca="1" si="101"/>
        <v>0</v>
      </c>
      <c r="AI295" s="205">
        <f t="shared" ca="1" si="102"/>
        <v>0</v>
      </c>
      <c r="AJ295" s="205"/>
      <c r="AK295" s="205">
        <f t="shared" ca="1" si="107"/>
        <v>0</v>
      </c>
      <c r="AL295" s="4543" t="str">
        <f t="shared" ca="1" si="91"/>
        <v>한도준수</v>
      </c>
    </row>
    <row r="296" spans="1:38" ht="12" customHeight="1">
      <c r="A296" s="4542">
        <f t="shared" si="75"/>
        <v>2027</v>
      </c>
      <c r="B296" s="3606">
        <f t="shared" si="92"/>
        <v>46418</v>
      </c>
      <c r="C296" s="205">
        <v>0</v>
      </c>
      <c r="D296" s="205">
        <v>0</v>
      </c>
      <c r="E296" s="205">
        <f t="shared" si="108"/>
        <v>0</v>
      </c>
      <c r="F296" s="205">
        <f t="shared" si="109"/>
        <v>0</v>
      </c>
      <c r="G296" s="205">
        <f t="shared" si="110"/>
        <v>0</v>
      </c>
      <c r="H296" s="205">
        <f t="shared" ca="1" si="105"/>
        <v>0</v>
      </c>
      <c r="I296" s="205">
        <v>0</v>
      </c>
      <c r="J296" s="205">
        <v>0</v>
      </c>
      <c r="K296" s="205">
        <f t="shared" ca="1" si="111"/>
        <v>0</v>
      </c>
      <c r="L296" s="205">
        <f t="shared" si="112"/>
        <v>0</v>
      </c>
      <c r="M296" s="205">
        <f t="shared" si="113"/>
        <v>0</v>
      </c>
      <c r="N296" s="205">
        <f t="shared" si="123"/>
        <v>0</v>
      </c>
      <c r="O296" s="205">
        <f t="shared" si="114"/>
        <v>0</v>
      </c>
      <c r="P296" s="205">
        <f t="shared" ca="1" si="115"/>
        <v>0</v>
      </c>
      <c r="Q296" s="205">
        <f t="shared" si="116"/>
        <v>0</v>
      </c>
      <c r="R296" s="205">
        <f t="shared" ca="1" si="117"/>
        <v>0</v>
      </c>
      <c r="S296" s="205">
        <f t="shared" ca="1" si="118"/>
        <v>0</v>
      </c>
      <c r="T296" s="205">
        <f t="shared" ca="1" si="119"/>
        <v>0</v>
      </c>
      <c r="U296" s="205">
        <f t="shared" ca="1" si="120"/>
        <v>0</v>
      </c>
      <c r="V296" s="205">
        <f t="shared" ca="1" si="121"/>
        <v>0</v>
      </c>
      <c r="W296" s="205"/>
      <c r="X296" s="205">
        <f t="shared" si="93"/>
        <v>0</v>
      </c>
      <c r="Y296" s="205">
        <f t="shared" si="106"/>
        <v>0</v>
      </c>
      <c r="Z296" s="205">
        <f t="shared" si="94"/>
        <v>0</v>
      </c>
      <c r="AA296" s="205">
        <f t="shared" ca="1" si="95"/>
        <v>0</v>
      </c>
      <c r="AB296" s="205">
        <f t="shared" si="96"/>
        <v>0</v>
      </c>
      <c r="AC296" s="205">
        <f t="shared" ca="1" si="122"/>
        <v>0</v>
      </c>
      <c r="AD296" s="5152">
        <f t="shared" ca="1" si="97"/>
        <v>0</v>
      </c>
      <c r="AE296" s="205">
        <f t="shared" si="98"/>
        <v>0</v>
      </c>
      <c r="AF296" s="5153">
        <f t="shared" ca="1" si="124"/>
        <v>0</v>
      </c>
      <c r="AG296" s="205">
        <f t="shared" ca="1" si="100"/>
        <v>0</v>
      </c>
      <c r="AH296" s="205">
        <f t="shared" si="101"/>
        <v>0</v>
      </c>
      <c r="AI296" s="205">
        <f t="shared" ca="1" si="102"/>
        <v>0</v>
      </c>
      <c r="AJ296" s="205"/>
      <c r="AK296" s="205">
        <f t="shared" ca="1" si="107"/>
        <v>0</v>
      </c>
      <c r="AL296" s="4543" t="str">
        <f t="shared" ca="1" si="91"/>
        <v>한도준수</v>
      </c>
    </row>
    <row r="297" spans="1:38" ht="12" customHeight="1">
      <c r="A297" s="4542">
        <f t="shared" si="75"/>
        <v>2027</v>
      </c>
      <c r="B297" s="3606">
        <f t="shared" si="92"/>
        <v>46446</v>
      </c>
      <c r="C297" s="205">
        <v>0</v>
      </c>
      <c r="D297" s="205">
        <v>0</v>
      </c>
      <c r="E297" s="205">
        <f t="shared" si="108"/>
        <v>0</v>
      </c>
      <c r="F297" s="205">
        <f t="shared" si="109"/>
        <v>0</v>
      </c>
      <c r="G297" s="205">
        <f t="shared" si="110"/>
        <v>0</v>
      </c>
      <c r="H297" s="205">
        <f t="shared" ca="1" si="105"/>
        <v>0</v>
      </c>
      <c r="I297" s="205">
        <v>0</v>
      </c>
      <c r="J297" s="205">
        <v>0</v>
      </c>
      <c r="K297" s="205">
        <f t="shared" ca="1" si="111"/>
        <v>0</v>
      </c>
      <c r="L297" s="205">
        <f t="shared" si="112"/>
        <v>0</v>
      </c>
      <c r="M297" s="205">
        <f t="shared" si="113"/>
        <v>0</v>
      </c>
      <c r="N297" s="205">
        <f t="shared" si="123"/>
        <v>0</v>
      </c>
      <c r="O297" s="205">
        <f t="shared" si="114"/>
        <v>0</v>
      </c>
      <c r="P297" s="205">
        <f t="shared" ca="1" si="115"/>
        <v>0</v>
      </c>
      <c r="Q297" s="205">
        <f t="shared" si="116"/>
        <v>0</v>
      </c>
      <c r="R297" s="205">
        <f t="shared" ca="1" si="117"/>
        <v>0</v>
      </c>
      <c r="S297" s="205">
        <f t="shared" ca="1" si="118"/>
        <v>0</v>
      </c>
      <c r="T297" s="205">
        <f t="shared" ca="1" si="119"/>
        <v>0</v>
      </c>
      <c r="U297" s="205">
        <f t="shared" ca="1" si="120"/>
        <v>0</v>
      </c>
      <c r="V297" s="205">
        <f t="shared" ca="1" si="121"/>
        <v>0</v>
      </c>
      <c r="W297" s="205"/>
      <c r="X297" s="205">
        <f t="shared" si="93"/>
        <v>0</v>
      </c>
      <c r="Y297" s="205">
        <f t="shared" si="106"/>
        <v>0</v>
      </c>
      <c r="Z297" s="205">
        <f t="shared" si="94"/>
        <v>0</v>
      </c>
      <c r="AA297" s="205">
        <f t="shared" ca="1" si="95"/>
        <v>0</v>
      </c>
      <c r="AB297" s="205">
        <f t="shared" si="96"/>
        <v>0</v>
      </c>
      <c r="AC297" s="205">
        <f t="shared" ca="1" si="122"/>
        <v>0</v>
      </c>
      <c r="AD297" s="5152">
        <f t="shared" ca="1" si="97"/>
        <v>0</v>
      </c>
      <c r="AE297" s="205">
        <f t="shared" si="98"/>
        <v>0</v>
      </c>
      <c r="AF297" s="5153">
        <f t="shared" ca="1" si="124"/>
        <v>0</v>
      </c>
      <c r="AG297" s="205">
        <f t="shared" ca="1" si="100"/>
        <v>0</v>
      </c>
      <c r="AH297" s="205">
        <f t="shared" si="101"/>
        <v>0</v>
      </c>
      <c r="AI297" s="205">
        <f t="shared" ca="1" si="102"/>
        <v>0</v>
      </c>
      <c r="AJ297" s="205"/>
      <c r="AK297" s="205">
        <f t="shared" ca="1" si="107"/>
        <v>0</v>
      </c>
      <c r="AL297" s="4543" t="str">
        <f t="shared" ca="1" si="91"/>
        <v>한도준수</v>
      </c>
    </row>
    <row r="298" spans="1:38" ht="12" customHeight="1">
      <c r="A298" s="4542">
        <f t="shared" si="75"/>
        <v>2027</v>
      </c>
      <c r="B298" s="3606">
        <f t="shared" si="92"/>
        <v>46477</v>
      </c>
      <c r="C298" s="205">
        <v>0</v>
      </c>
      <c r="D298" s="205">
        <v>0</v>
      </c>
      <c r="E298" s="205">
        <f t="shared" si="108"/>
        <v>0</v>
      </c>
      <c r="F298" s="205">
        <f t="shared" si="109"/>
        <v>0</v>
      </c>
      <c r="G298" s="205">
        <f t="shared" si="110"/>
        <v>0</v>
      </c>
      <c r="H298" s="205">
        <f t="shared" ca="1" si="105"/>
        <v>0</v>
      </c>
      <c r="I298" s="205">
        <v>0</v>
      </c>
      <c r="J298" s="205">
        <v>0</v>
      </c>
      <c r="K298" s="205">
        <f t="shared" ca="1" si="111"/>
        <v>0</v>
      </c>
      <c r="L298" s="205">
        <f t="shared" si="112"/>
        <v>0</v>
      </c>
      <c r="M298" s="205">
        <f t="shared" ca="1" si="113"/>
        <v>0</v>
      </c>
      <c r="N298" s="205">
        <f t="shared" ca="1" si="123"/>
        <v>0</v>
      </c>
      <c r="O298" s="205">
        <f t="shared" ca="1" si="114"/>
        <v>0</v>
      </c>
      <c r="P298" s="205">
        <f t="shared" ca="1" si="115"/>
        <v>0</v>
      </c>
      <c r="Q298" s="205">
        <f t="shared" si="116"/>
        <v>0</v>
      </c>
      <c r="R298" s="205">
        <f t="shared" ca="1" si="117"/>
        <v>0</v>
      </c>
      <c r="S298" s="205">
        <f t="shared" ca="1" si="118"/>
        <v>0</v>
      </c>
      <c r="T298" s="205">
        <f t="shared" ca="1" si="119"/>
        <v>0</v>
      </c>
      <c r="U298" s="205">
        <f t="shared" ca="1" si="120"/>
        <v>0</v>
      </c>
      <c r="V298" s="205">
        <f t="shared" ca="1" si="121"/>
        <v>0</v>
      </c>
      <c r="W298" s="205"/>
      <c r="X298" s="205">
        <f t="shared" si="93"/>
        <v>0</v>
      </c>
      <c r="Y298" s="205">
        <f t="shared" si="106"/>
        <v>0</v>
      </c>
      <c r="Z298" s="205">
        <f t="shared" si="94"/>
        <v>0</v>
      </c>
      <c r="AA298" s="205">
        <f t="shared" ca="1" si="95"/>
        <v>0</v>
      </c>
      <c r="AB298" s="205">
        <f ca="1">O298</f>
        <v>0</v>
      </c>
      <c r="AC298" s="205">
        <f t="shared" ca="1" si="122"/>
        <v>0</v>
      </c>
      <c r="AD298" s="5152">
        <f t="shared" ca="1" si="97"/>
        <v>0</v>
      </c>
      <c r="AE298" s="205">
        <f ca="1">M298</f>
        <v>0</v>
      </c>
      <c r="AF298" s="5153">
        <f t="shared" ca="1" si="124"/>
        <v>0</v>
      </c>
      <c r="AG298" s="205">
        <f t="shared" ca="1" si="100"/>
        <v>0</v>
      </c>
      <c r="AH298" s="205">
        <f t="shared" ca="1" si="101"/>
        <v>0</v>
      </c>
      <c r="AI298" s="205">
        <f t="shared" ca="1" si="102"/>
        <v>0</v>
      </c>
      <c r="AJ298" s="205"/>
      <c r="AK298" s="205">
        <f t="shared" ca="1" si="107"/>
        <v>0</v>
      </c>
      <c r="AL298" s="4543" t="str">
        <f t="shared" ca="1" si="91"/>
        <v>한도준수</v>
      </c>
    </row>
    <row r="299" spans="1:38" ht="12" customHeight="1">
      <c r="A299" s="4542">
        <f t="shared" si="75"/>
        <v>2027</v>
      </c>
      <c r="B299" s="3606">
        <f t="shared" si="92"/>
        <v>46507</v>
      </c>
      <c r="C299" s="205">
        <v>0</v>
      </c>
      <c r="D299" s="205">
        <v>0</v>
      </c>
      <c r="E299" s="205">
        <f t="shared" si="108"/>
        <v>0</v>
      </c>
      <c r="F299" s="205">
        <f t="shared" si="109"/>
        <v>0</v>
      </c>
      <c r="G299" s="205">
        <f t="shared" si="110"/>
        <v>0</v>
      </c>
      <c r="H299" s="205">
        <f t="shared" ca="1" si="105"/>
        <v>0</v>
      </c>
      <c r="I299" s="205">
        <v>0</v>
      </c>
      <c r="J299" s="205">
        <v>0</v>
      </c>
      <c r="K299" s="205">
        <f t="shared" ca="1" si="111"/>
        <v>0</v>
      </c>
      <c r="L299" s="205">
        <f t="shared" si="112"/>
        <v>0</v>
      </c>
      <c r="M299" s="205">
        <f t="shared" si="113"/>
        <v>0</v>
      </c>
      <c r="N299" s="205">
        <f t="shared" si="123"/>
        <v>0</v>
      </c>
      <c r="O299" s="205">
        <f t="shared" si="114"/>
        <v>0</v>
      </c>
      <c r="P299" s="205">
        <f t="shared" ca="1" si="115"/>
        <v>0</v>
      </c>
      <c r="Q299" s="205">
        <f t="shared" si="116"/>
        <v>0</v>
      </c>
      <c r="R299" s="205">
        <f t="shared" ca="1" si="117"/>
        <v>0</v>
      </c>
      <c r="S299" s="205">
        <f t="shared" ca="1" si="118"/>
        <v>0</v>
      </c>
      <c r="T299" s="205">
        <f t="shared" ca="1" si="119"/>
        <v>0</v>
      </c>
      <c r="U299" s="205">
        <f t="shared" ca="1" si="120"/>
        <v>0</v>
      </c>
      <c r="V299" s="205">
        <f t="shared" ca="1" si="121"/>
        <v>0</v>
      </c>
      <c r="W299" s="205"/>
      <c r="X299" s="205">
        <f t="shared" si="93"/>
        <v>0</v>
      </c>
      <c r="Y299" s="205">
        <f t="shared" si="106"/>
        <v>0</v>
      </c>
      <c r="Z299" s="205">
        <f t="shared" si="94"/>
        <v>0</v>
      </c>
      <c r="AA299" s="205">
        <f t="shared" ca="1" si="95"/>
        <v>0</v>
      </c>
      <c r="AB299" s="205">
        <f t="shared" si="96"/>
        <v>0</v>
      </c>
      <c r="AC299" s="205">
        <f t="shared" ca="1" si="122"/>
        <v>0</v>
      </c>
      <c r="AD299" s="5152">
        <f t="shared" ca="1" si="97"/>
        <v>0</v>
      </c>
      <c r="AE299" s="205">
        <f t="shared" si="98"/>
        <v>0</v>
      </c>
      <c r="AF299" s="5153">
        <f t="shared" ca="1" si="124"/>
        <v>0</v>
      </c>
      <c r="AG299" s="205">
        <f t="shared" ca="1" si="100"/>
        <v>0</v>
      </c>
      <c r="AH299" s="205">
        <f t="shared" si="101"/>
        <v>0</v>
      </c>
      <c r="AI299" s="205">
        <f t="shared" ca="1" si="102"/>
        <v>0</v>
      </c>
      <c r="AJ299" s="205"/>
      <c r="AK299" s="205">
        <f t="shared" ca="1" si="107"/>
        <v>0</v>
      </c>
      <c r="AL299" s="4543" t="str">
        <f t="shared" ca="1" si="91"/>
        <v>한도준수</v>
      </c>
    </row>
    <row r="300" spans="1:38" ht="12" customHeight="1">
      <c r="A300" s="4542">
        <f t="shared" si="75"/>
        <v>2027</v>
      </c>
      <c r="B300" s="3606">
        <f t="shared" si="92"/>
        <v>46538</v>
      </c>
      <c r="C300" s="205">
        <v>0</v>
      </c>
      <c r="D300" s="205">
        <v>0</v>
      </c>
      <c r="E300" s="205">
        <f t="shared" si="108"/>
        <v>0</v>
      </c>
      <c r="F300" s="205">
        <f t="shared" si="109"/>
        <v>0</v>
      </c>
      <c r="G300" s="205">
        <f t="shared" si="110"/>
        <v>0</v>
      </c>
      <c r="H300" s="205">
        <f t="shared" ca="1" si="105"/>
        <v>0</v>
      </c>
      <c r="I300" s="205">
        <v>0</v>
      </c>
      <c r="J300" s="205">
        <v>0</v>
      </c>
      <c r="K300" s="205">
        <f t="shared" ca="1" si="111"/>
        <v>0</v>
      </c>
      <c r="L300" s="205">
        <f t="shared" si="112"/>
        <v>0</v>
      </c>
      <c r="M300" s="205">
        <f t="shared" si="113"/>
        <v>0</v>
      </c>
      <c r="N300" s="205">
        <f t="shared" si="123"/>
        <v>0</v>
      </c>
      <c r="O300" s="205">
        <f t="shared" si="114"/>
        <v>0</v>
      </c>
      <c r="P300" s="205">
        <f t="shared" ca="1" si="115"/>
        <v>0</v>
      </c>
      <c r="Q300" s="205">
        <f t="shared" si="116"/>
        <v>0</v>
      </c>
      <c r="R300" s="205">
        <f t="shared" ca="1" si="117"/>
        <v>0</v>
      </c>
      <c r="S300" s="205">
        <f t="shared" ca="1" si="118"/>
        <v>0</v>
      </c>
      <c r="T300" s="205">
        <f t="shared" ca="1" si="119"/>
        <v>0</v>
      </c>
      <c r="U300" s="205">
        <f t="shared" ca="1" si="120"/>
        <v>0</v>
      </c>
      <c r="V300" s="205">
        <f t="shared" ca="1" si="121"/>
        <v>0</v>
      </c>
      <c r="W300" s="205"/>
      <c r="X300" s="205">
        <f t="shared" si="93"/>
        <v>0</v>
      </c>
      <c r="Y300" s="205">
        <f t="shared" si="106"/>
        <v>0</v>
      </c>
      <c r="Z300" s="205">
        <f t="shared" si="94"/>
        <v>0</v>
      </c>
      <c r="AA300" s="205">
        <f t="shared" ca="1" si="95"/>
        <v>0</v>
      </c>
      <c r="AB300" s="205">
        <f t="shared" si="96"/>
        <v>0</v>
      </c>
      <c r="AC300" s="205">
        <f t="shared" ca="1" si="122"/>
        <v>0</v>
      </c>
      <c r="AD300" s="5152">
        <f t="shared" ca="1" si="97"/>
        <v>0</v>
      </c>
      <c r="AE300" s="205">
        <f t="shared" si="98"/>
        <v>0</v>
      </c>
      <c r="AF300" s="5153">
        <f t="shared" ca="1" si="124"/>
        <v>0</v>
      </c>
      <c r="AG300" s="205">
        <f t="shared" ca="1" si="100"/>
        <v>0</v>
      </c>
      <c r="AH300" s="205">
        <f t="shared" si="101"/>
        <v>0</v>
      </c>
      <c r="AI300" s="205">
        <f t="shared" ca="1" si="102"/>
        <v>0</v>
      </c>
      <c r="AJ300" s="205"/>
      <c r="AK300" s="205">
        <f t="shared" ca="1" si="107"/>
        <v>0</v>
      </c>
      <c r="AL300" s="4543" t="str">
        <f t="shared" ca="1" si="91"/>
        <v>한도준수</v>
      </c>
    </row>
    <row r="301" spans="1:38" ht="12" customHeight="1">
      <c r="A301" s="4542">
        <f t="shared" si="75"/>
        <v>2027</v>
      </c>
      <c r="B301" s="3606">
        <f t="shared" si="92"/>
        <v>46568</v>
      </c>
      <c r="C301" s="205">
        <v>0</v>
      </c>
      <c r="D301" s="205">
        <v>0</v>
      </c>
      <c r="E301" s="205">
        <f t="shared" si="108"/>
        <v>0</v>
      </c>
      <c r="F301" s="205">
        <f t="shared" si="109"/>
        <v>0</v>
      </c>
      <c r="G301" s="205">
        <f t="shared" si="110"/>
        <v>0</v>
      </c>
      <c r="H301" s="205">
        <f t="shared" ca="1" si="105"/>
        <v>0</v>
      </c>
      <c r="I301" s="205">
        <v>0</v>
      </c>
      <c r="J301" s="205">
        <v>0</v>
      </c>
      <c r="K301" s="205">
        <f t="shared" ca="1" si="111"/>
        <v>0</v>
      </c>
      <c r="L301" s="205">
        <f t="shared" si="112"/>
        <v>0</v>
      </c>
      <c r="M301" s="205">
        <f t="shared" ca="1" si="113"/>
        <v>0</v>
      </c>
      <c r="N301" s="205">
        <f t="shared" ca="1" si="123"/>
        <v>0</v>
      </c>
      <c r="O301" s="205">
        <f t="shared" ca="1" si="114"/>
        <v>0</v>
      </c>
      <c r="P301" s="205">
        <f t="shared" ca="1" si="115"/>
        <v>0</v>
      </c>
      <c r="Q301" s="205">
        <f t="shared" si="116"/>
        <v>0</v>
      </c>
      <c r="R301" s="205">
        <f t="shared" ca="1" si="117"/>
        <v>0</v>
      </c>
      <c r="S301" s="205">
        <f t="shared" ca="1" si="118"/>
        <v>0</v>
      </c>
      <c r="T301" s="205">
        <f t="shared" ca="1" si="119"/>
        <v>0</v>
      </c>
      <c r="U301" s="205">
        <f t="shared" ca="1" si="120"/>
        <v>0</v>
      </c>
      <c r="V301" s="205">
        <f t="shared" ca="1" si="121"/>
        <v>0</v>
      </c>
      <c r="W301" s="205"/>
      <c r="X301" s="205">
        <f t="shared" si="93"/>
        <v>0</v>
      </c>
      <c r="Y301" s="205">
        <f t="shared" si="106"/>
        <v>0</v>
      </c>
      <c r="Z301" s="205">
        <f t="shared" si="94"/>
        <v>0</v>
      </c>
      <c r="AA301" s="205">
        <f t="shared" ca="1" si="95"/>
        <v>0</v>
      </c>
      <c r="AB301" s="205">
        <f ca="1">O301</f>
        <v>0</v>
      </c>
      <c r="AC301" s="205">
        <f t="shared" ca="1" si="122"/>
        <v>0</v>
      </c>
      <c r="AD301" s="5152">
        <f t="shared" ca="1" si="97"/>
        <v>0</v>
      </c>
      <c r="AE301" s="205">
        <f ca="1">M301</f>
        <v>0</v>
      </c>
      <c r="AF301" s="5153">
        <f t="shared" ca="1" si="124"/>
        <v>0</v>
      </c>
      <c r="AG301" s="205">
        <f t="shared" ca="1" si="100"/>
        <v>0</v>
      </c>
      <c r="AH301" s="205">
        <f t="shared" ca="1" si="101"/>
        <v>0</v>
      </c>
      <c r="AI301" s="205">
        <f t="shared" ca="1" si="102"/>
        <v>0</v>
      </c>
      <c r="AJ301" s="205"/>
      <c r="AK301" s="205">
        <f t="shared" ca="1" si="107"/>
        <v>0</v>
      </c>
      <c r="AL301" s="4543" t="str">
        <f t="shared" ca="1" si="91"/>
        <v>한도준수</v>
      </c>
    </row>
    <row r="302" spans="1:38" ht="12" customHeight="1">
      <c r="A302" s="4542">
        <f t="shared" si="75"/>
        <v>2027</v>
      </c>
      <c r="B302" s="3606">
        <f t="shared" si="92"/>
        <v>46599</v>
      </c>
      <c r="C302" s="205">
        <v>0</v>
      </c>
      <c r="D302" s="205">
        <v>0</v>
      </c>
      <c r="E302" s="205">
        <f t="shared" si="108"/>
        <v>0</v>
      </c>
      <c r="F302" s="205">
        <f t="shared" si="109"/>
        <v>0</v>
      </c>
      <c r="G302" s="205">
        <f t="shared" si="110"/>
        <v>0</v>
      </c>
      <c r="H302" s="205">
        <f t="shared" ca="1" si="105"/>
        <v>0</v>
      </c>
      <c r="I302" s="205">
        <v>0</v>
      </c>
      <c r="J302" s="205">
        <v>0</v>
      </c>
      <c r="K302" s="205">
        <f t="shared" ca="1" si="111"/>
        <v>0</v>
      </c>
      <c r="L302" s="205">
        <f t="shared" si="112"/>
        <v>0</v>
      </c>
      <c r="M302" s="205">
        <f t="shared" si="113"/>
        <v>0</v>
      </c>
      <c r="N302" s="205">
        <f t="shared" si="123"/>
        <v>0</v>
      </c>
      <c r="O302" s="205">
        <f t="shared" si="114"/>
        <v>0</v>
      </c>
      <c r="P302" s="205">
        <f t="shared" ca="1" si="115"/>
        <v>0</v>
      </c>
      <c r="Q302" s="205">
        <f t="shared" si="116"/>
        <v>0</v>
      </c>
      <c r="R302" s="205">
        <f t="shared" ca="1" si="117"/>
        <v>0</v>
      </c>
      <c r="S302" s="205">
        <f t="shared" ca="1" si="118"/>
        <v>0</v>
      </c>
      <c r="T302" s="205">
        <f t="shared" ca="1" si="119"/>
        <v>0</v>
      </c>
      <c r="U302" s="205">
        <f t="shared" ca="1" si="120"/>
        <v>0</v>
      </c>
      <c r="V302" s="205">
        <f t="shared" ca="1" si="121"/>
        <v>0</v>
      </c>
      <c r="W302" s="205"/>
      <c r="X302" s="205">
        <f t="shared" si="93"/>
        <v>0</v>
      </c>
      <c r="Y302" s="205">
        <f t="shared" si="106"/>
        <v>0</v>
      </c>
      <c r="Z302" s="205">
        <f t="shared" si="94"/>
        <v>0</v>
      </c>
      <c r="AA302" s="205">
        <f t="shared" ca="1" si="95"/>
        <v>0</v>
      </c>
      <c r="AB302" s="205">
        <f t="shared" si="96"/>
        <v>0</v>
      </c>
      <c r="AC302" s="205">
        <f t="shared" ca="1" si="122"/>
        <v>0</v>
      </c>
      <c r="AD302" s="5152">
        <f t="shared" ca="1" si="97"/>
        <v>0</v>
      </c>
      <c r="AE302" s="205">
        <f t="shared" si="98"/>
        <v>0</v>
      </c>
      <c r="AF302" s="5153">
        <f t="shared" ca="1" si="124"/>
        <v>0</v>
      </c>
      <c r="AG302" s="205">
        <f t="shared" ca="1" si="100"/>
        <v>0</v>
      </c>
      <c r="AH302" s="205">
        <f t="shared" si="101"/>
        <v>0</v>
      </c>
      <c r="AI302" s="205">
        <f t="shared" ca="1" si="102"/>
        <v>0</v>
      </c>
      <c r="AJ302" s="205"/>
      <c r="AK302" s="205">
        <f t="shared" ca="1" si="107"/>
        <v>0</v>
      </c>
      <c r="AL302" s="4543" t="str">
        <f t="shared" ca="1" si="91"/>
        <v>한도준수</v>
      </c>
    </row>
    <row r="303" spans="1:38" ht="12" customHeight="1">
      <c r="A303" s="4542">
        <f t="shared" si="75"/>
        <v>2027</v>
      </c>
      <c r="B303" s="3606">
        <f t="shared" si="92"/>
        <v>46630</v>
      </c>
      <c r="C303" s="205">
        <v>0</v>
      </c>
      <c r="D303" s="205">
        <v>0</v>
      </c>
      <c r="E303" s="205">
        <f t="shared" si="108"/>
        <v>0</v>
      </c>
      <c r="F303" s="205">
        <f t="shared" si="109"/>
        <v>0</v>
      </c>
      <c r="G303" s="205">
        <f t="shared" si="110"/>
        <v>0</v>
      </c>
      <c r="H303" s="205">
        <f t="shared" ca="1" si="105"/>
        <v>0</v>
      </c>
      <c r="I303" s="205">
        <v>0</v>
      </c>
      <c r="J303" s="205">
        <v>0</v>
      </c>
      <c r="K303" s="205">
        <f t="shared" ca="1" si="111"/>
        <v>0</v>
      </c>
      <c r="L303" s="205">
        <f t="shared" si="112"/>
        <v>0</v>
      </c>
      <c r="M303" s="205">
        <f t="shared" si="113"/>
        <v>0</v>
      </c>
      <c r="N303" s="205">
        <f t="shared" si="123"/>
        <v>0</v>
      </c>
      <c r="O303" s="205">
        <f t="shared" si="114"/>
        <v>0</v>
      </c>
      <c r="P303" s="205">
        <f t="shared" ca="1" si="115"/>
        <v>0</v>
      </c>
      <c r="Q303" s="205">
        <f t="shared" si="116"/>
        <v>0</v>
      </c>
      <c r="R303" s="205">
        <f t="shared" ca="1" si="117"/>
        <v>0</v>
      </c>
      <c r="S303" s="205">
        <f t="shared" ca="1" si="118"/>
        <v>0</v>
      </c>
      <c r="T303" s="205">
        <f t="shared" ca="1" si="119"/>
        <v>0</v>
      </c>
      <c r="U303" s="205">
        <f t="shared" ca="1" si="120"/>
        <v>0</v>
      </c>
      <c r="V303" s="205">
        <f t="shared" ca="1" si="121"/>
        <v>0</v>
      </c>
      <c r="W303" s="205"/>
      <c r="X303" s="205">
        <f t="shared" si="93"/>
        <v>0</v>
      </c>
      <c r="Y303" s="205">
        <f t="shared" si="106"/>
        <v>0</v>
      </c>
      <c r="Z303" s="205">
        <f t="shared" si="94"/>
        <v>0</v>
      </c>
      <c r="AA303" s="205">
        <f t="shared" ca="1" si="95"/>
        <v>0</v>
      </c>
      <c r="AB303" s="205">
        <f t="shared" si="96"/>
        <v>0</v>
      </c>
      <c r="AC303" s="205">
        <f t="shared" ca="1" si="122"/>
        <v>0</v>
      </c>
      <c r="AD303" s="5152">
        <f t="shared" ca="1" si="97"/>
        <v>0</v>
      </c>
      <c r="AE303" s="205">
        <f t="shared" si="98"/>
        <v>0</v>
      </c>
      <c r="AF303" s="5153">
        <f t="shared" ca="1" si="124"/>
        <v>0</v>
      </c>
      <c r="AG303" s="205">
        <f t="shared" ca="1" si="100"/>
        <v>0</v>
      </c>
      <c r="AH303" s="205">
        <f t="shared" si="101"/>
        <v>0</v>
      </c>
      <c r="AI303" s="205">
        <f t="shared" ca="1" si="102"/>
        <v>0</v>
      </c>
      <c r="AJ303" s="205"/>
      <c r="AK303" s="205">
        <f t="shared" ca="1" si="107"/>
        <v>0</v>
      </c>
      <c r="AL303" s="4543" t="str">
        <f t="shared" ca="1" si="91"/>
        <v>한도준수</v>
      </c>
    </row>
    <row r="304" spans="1:38" ht="12" customHeight="1">
      <c r="A304" s="4542">
        <f t="shared" si="75"/>
        <v>2027</v>
      </c>
      <c r="B304" s="3606">
        <f t="shared" si="92"/>
        <v>46660</v>
      </c>
      <c r="C304" s="205">
        <v>0</v>
      </c>
      <c r="D304" s="205">
        <v>0</v>
      </c>
      <c r="E304" s="205">
        <f t="shared" si="108"/>
        <v>0</v>
      </c>
      <c r="F304" s="205">
        <f t="shared" si="109"/>
        <v>0</v>
      </c>
      <c r="G304" s="205">
        <f t="shared" si="110"/>
        <v>0</v>
      </c>
      <c r="H304" s="205">
        <f t="shared" ca="1" si="105"/>
        <v>0</v>
      </c>
      <c r="I304" s="205">
        <v>0</v>
      </c>
      <c r="J304" s="205">
        <v>0</v>
      </c>
      <c r="K304" s="205">
        <f t="shared" ca="1" si="111"/>
        <v>0</v>
      </c>
      <c r="L304" s="205">
        <f t="shared" si="112"/>
        <v>0</v>
      </c>
      <c r="M304" s="205">
        <f t="shared" ca="1" si="113"/>
        <v>0</v>
      </c>
      <c r="N304" s="205">
        <f t="shared" ca="1" si="123"/>
        <v>0</v>
      </c>
      <c r="O304" s="205">
        <f t="shared" ca="1" si="114"/>
        <v>0</v>
      </c>
      <c r="P304" s="205">
        <f t="shared" ca="1" si="115"/>
        <v>0</v>
      </c>
      <c r="Q304" s="205">
        <f t="shared" si="116"/>
        <v>0</v>
      </c>
      <c r="R304" s="205">
        <f t="shared" ca="1" si="117"/>
        <v>0</v>
      </c>
      <c r="S304" s="205">
        <f t="shared" ca="1" si="118"/>
        <v>0</v>
      </c>
      <c r="T304" s="205">
        <f t="shared" ca="1" si="119"/>
        <v>0</v>
      </c>
      <c r="U304" s="205">
        <f t="shared" ca="1" si="120"/>
        <v>0</v>
      </c>
      <c r="V304" s="205">
        <f t="shared" ca="1" si="121"/>
        <v>0</v>
      </c>
      <c r="W304" s="205"/>
      <c r="X304" s="205">
        <f t="shared" si="93"/>
        <v>0</v>
      </c>
      <c r="Y304" s="205">
        <f t="shared" si="106"/>
        <v>0</v>
      </c>
      <c r="Z304" s="205">
        <f t="shared" si="94"/>
        <v>0</v>
      </c>
      <c r="AA304" s="205">
        <f t="shared" ca="1" si="95"/>
        <v>0</v>
      </c>
      <c r="AB304" s="205">
        <f ca="1">O304</f>
        <v>0</v>
      </c>
      <c r="AC304" s="205">
        <f t="shared" ca="1" si="122"/>
        <v>0</v>
      </c>
      <c r="AD304" s="5152">
        <f t="shared" ca="1" si="97"/>
        <v>0</v>
      </c>
      <c r="AE304" s="205">
        <f ca="1">M304</f>
        <v>0</v>
      </c>
      <c r="AF304" s="5153">
        <f t="shared" ca="1" si="124"/>
        <v>0</v>
      </c>
      <c r="AG304" s="205">
        <f t="shared" ca="1" si="100"/>
        <v>0</v>
      </c>
      <c r="AH304" s="205">
        <f t="shared" ca="1" si="101"/>
        <v>0</v>
      </c>
      <c r="AI304" s="205">
        <f t="shared" ca="1" si="102"/>
        <v>0</v>
      </c>
      <c r="AJ304" s="205"/>
      <c r="AK304" s="205">
        <f t="shared" ca="1" si="107"/>
        <v>0</v>
      </c>
      <c r="AL304" s="4543" t="str">
        <f t="shared" ca="1" si="91"/>
        <v>한도준수</v>
      </c>
    </row>
    <row r="305" spans="1:38" ht="12" customHeight="1">
      <c r="A305" s="4542">
        <f t="shared" si="75"/>
        <v>2027</v>
      </c>
      <c r="B305" s="3606">
        <f t="shared" si="92"/>
        <v>46691</v>
      </c>
      <c r="C305" s="205">
        <v>0</v>
      </c>
      <c r="D305" s="205">
        <v>0</v>
      </c>
      <c r="E305" s="205">
        <f t="shared" si="108"/>
        <v>0</v>
      </c>
      <c r="F305" s="205">
        <f t="shared" si="109"/>
        <v>0</v>
      </c>
      <c r="G305" s="205">
        <f t="shared" si="110"/>
        <v>0</v>
      </c>
      <c r="H305" s="205">
        <f t="shared" ref="H305:H313" ca="1" si="125">IF(-SUM(C305:G305,I305:O305)&gt;0,-SUM(C305:G305,I305:O305),)</f>
        <v>0</v>
      </c>
      <c r="I305" s="205">
        <v>0</v>
      </c>
      <c r="J305" s="205">
        <v>0</v>
      </c>
      <c r="K305" s="205">
        <f t="shared" ca="1" si="111"/>
        <v>0</v>
      </c>
      <c r="L305" s="205">
        <f t="shared" si="112"/>
        <v>0</v>
      </c>
      <c r="M305" s="205">
        <f t="shared" si="113"/>
        <v>0</v>
      </c>
      <c r="N305" s="205">
        <f t="shared" si="123"/>
        <v>0</v>
      </c>
      <c r="O305" s="205">
        <f t="shared" si="114"/>
        <v>0</v>
      </c>
      <c r="P305" s="205">
        <f t="shared" ca="1" si="115"/>
        <v>0</v>
      </c>
      <c r="Q305" s="205">
        <f t="shared" si="116"/>
        <v>0</v>
      </c>
      <c r="R305" s="205">
        <f t="shared" ca="1" si="117"/>
        <v>0</v>
      </c>
      <c r="S305" s="205">
        <f t="shared" ca="1" si="118"/>
        <v>0</v>
      </c>
      <c r="T305" s="205">
        <f t="shared" ca="1" si="119"/>
        <v>0</v>
      </c>
      <c r="U305" s="205">
        <f t="shared" ca="1" si="120"/>
        <v>0</v>
      </c>
      <c r="V305" s="205">
        <f t="shared" ca="1" si="121"/>
        <v>0</v>
      </c>
      <c r="W305" s="205"/>
      <c r="X305" s="205">
        <f t="shared" si="93"/>
        <v>0</v>
      </c>
      <c r="Y305" s="205">
        <f t="shared" ref="Y305:Y313" si="126">-E305</f>
        <v>0</v>
      </c>
      <c r="Z305" s="205">
        <f t="shared" si="94"/>
        <v>0</v>
      </c>
      <c r="AA305" s="205">
        <f t="shared" ca="1" si="95"/>
        <v>0</v>
      </c>
      <c r="AB305" s="205">
        <f t="shared" si="96"/>
        <v>0</v>
      </c>
      <c r="AC305" s="205">
        <f t="shared" ca="1" si="122"/>
        <v>0</v>
      </c>
      <c r="AD305" s="5152">
        <f t="shared" ca="1" si="97"/>
        <v>0</v>
      </c>
      <c r="AE305" s="205">
        <f t="shared" si="98"/>
        <v>0</v>
      </c>
      <c r="AF305" s="5153">
        <f t="shared" ca="1" si="124"/>
        <v>0</v>
      </c>
      <c r="AG305" s="205">
        <f t="shared" ca="1" si="100"/>
        <v>0</v>
      </c>
      <c r="AH305" s="205">
        <f t="shared" si="101"/>
        <v>0</v>
      </c>
      <c r="AI305" s="205">
        <f t="shared" ca="1" si="102"/>
        <v>0</v>
      </c>
      <c r="AJ305" s="205"/>
      <c r="AK305" s="205">
        <f t="shared" ref="AK305:AK313" ca="1" si="127">-C305-S305</f>
        <v>0</v>
      </c>
      <c r="AL305" s="4543" t="str">
        <f t="shared" ca="1" si="91"/>
        <v>한도준수</v>
      </c>
    </row>
    <row r="306" spans="1:38" ht="12" customHeight="1">
      <c r="A306" s="4542">
        <f t="shared" ref="A306:A313" si="128">YEAR(B306)</f>
        <v>2027</v>
      </c>
      <c r="B306" s="3606">
        <f t="shared" si="92"/>
        <v>46721</v>
      </c>
      <c r="C306" s="205">
        <v>0</v>
      </c>
      <c r="D306" s="205">
        <v>0</v>
      </c>
      <c r="E306" s="205">
        <f t="shared" ref="E306:E313" si="129">IF(B306=$F$23,X306+Z305,IF(MOD(ROW(B306)-ROW($B$241),3)=0,Z305+X306,))</f>
        <v>0</v>
      </c>
      <c r="F306" s="205">
        <f t="shared" ref="F306:F313" si="130">IF(AND(EOMONTH(B306,-2)&gt;EOMONTH($F$23,0),B306&lt;$F$14)=TRUE,IFERROR(HLOOKUP(B306,$F$129:$I$130,2,FALSE),)*$J$123,)</f>
        <v>0</v>
      </c>
      <c r="G306" s="205">
        <f t="shared" ref="G306:G313" si="131">IF(AND($F$17="O",B306=EOMONTH($B$241,60))=TRUE,$E$104*(1+$F$18)^((B306-$B$241)/365),IF($F$17="O",0,IF(AND(B306=$F$14,B306&gt;($F$23-1))=TRUE,$E$116*$J$123,)*(1-$F$72)))</f>
        <v>0</v>
      </c>
      <c r="H306" s="205">
        <f t="shared" ca="1" si="125"/>
        <v>0</v>
      </c>
      <c r="I306" s="205">
        <v>0</v>
      </c>
      <c r="J306" s="205">
        <v>0</v>
      </c>
      <c r="K306" s="205">
        <f t="shared" ref="K306:K313" ca="1" si="132">-IF(AND(ROUND(U305,)=0,ROUND(V305,)=0)=TRUE,0,IF(MOD(ROW(B306)-ROW($B$241),12)=0,$F$62,0))</f>
        <v>0</v>
      </c>
      <c r="L306" s="205">
        <f t="shared" ref="L306:L313" si="133">IF(B306&gt;$F$14,0,-$F$73/12)</f>
        <v>0</v>
      </c>
      <c r="M306" s="205">
        <f t="shared" ref="M306:M313" si="134">IF(B306=$F$14,-(AF305+AD306),IF(MOD(ROW(B306)-ROW($B$241),3)=0,-(AF305+AD306),))</f>
        <v>0</v>
      </c>
      <c r="N306" s="205">
        <f t="shared" si="123"/>
        <v>0</v>
      </c>
      <c r="O306" s="205">
        <f t="shared" ref="O306:O313" si="135">IF(B306=$F$14,-(AC305+AA306),IF(MOD(ROW(B306)-ROW($B$241),3)=0,-(AC305+AA306),))</f>
        <v>0</v>
      </c>
      <c r="P306" s="205">
        <f t="shared" ref="P306:P313" ca="1" si="136">IF(SUM(T305,C306:H306,I306:O306)&gt;0,-MIN(V305+H306,SUM(T305,C306:H306,I306:O306)),)</f>
        <v>0</v>
      </c>
      <c r="Q306" s="205">
        <f t="shared" ref="Q306:Q313" si="137">IF(B306&lt;EOMONTH($B$241,12),R306*$F$61,)</f>
        <v>0</v>
      </c>
      <c r="R306" s="205">
        <f t="shared" ref="R306:R313" ca="1" si="138">IF(SUM(T305,C306:H306,I306:Q306)&gt;0,-MIN(U305+D306,SUM(T305,C306:H306,I306:Q306)),)</f>
        <v>0</v>
      </c>
      <c r="S306" s="205">
        <f t="shared" ref="S306:S313" ca="1" si="139">IF(SUM(T305,C306:H306,I306:R306)&gt;0,-SUM(T305,C306:H306,I306:R306),)</f>
        <v>0</v>
      </c>
      <c r="T306" s="205">
        <f t="shared" ref="T306:T313" ca="1" si="140">SUM(C306:S306)+T305</f>
        <v>0</v>
      </c>
      <c r="U306" s="205">
        <f t="shared" ref="U306:U313" ca="1" si="141">D306+R306+U305</f>
        <v>0</v>
      </c>
      <c r="V306" s="205">
        <f t="shared" ref="V306:V313" ca="1" si="142">H306+P306+V305</f>
        <v>0</v>
      </c>
      <c r="W306" s="205"/>
      <c r="X306" s="205">
        <f t="shared" si="93"/>
        <v>0</v>
      </c>
      <c r="Y306" s="205">
        <f t="shared" si="126"/>
        <v>0</v>
      </c>
      <c r="Z306" s="205">
        <f t="shared" si="94"/>
        <v>0</v>
      </c>
      <c r="AA306" s="205">
        <f t="shared" ca="1" si="95"/>
        <v>0</v>
      </c>
      <c r="AB306" s="205">
        <f t="shared" si="96"/>
        <v>0</v>
      </c>
      <c r="AC306" s="205">
        <f t="shared" ref="AC306:AC313" ca="1" si="143">AC305+SUM(AA306:AB306)</f>
        <v>0</v>
      </c>
      <c r="AD306" s="5152">
        <f t="shared" ca="1" si="97"/>
        <v>0</v>
      </c>
      <c r="AE306" s="205">
        <f t="shared" si="98"/>
        <v>0</v>
      </c>
      <c r="AF306" s="5153">
        <f t="shared" ca="1" si="124"/>
        <v>0</v>
      </c>
      <c r="AG306" s="205">
        <f t="shared" ca="1" si="100"/>
        <v>0</v>
      </c>
      <c r="AH306" s="205">
        <f t="shared" si="101"/>
        <v>0</v>
      </c>
      <c r="AI306" s="205">
        <f t="shared" ca="1" si="102"/>
        <v>0</v>
      </c>
      <c r="AJ306" s="205"/>
      <c r="AK306" s="205">
        <f t="shared" ca="1" si="127"/>
        <v>0</v>
      </c>
      <c r="AL306" s="4543" t="str">
        <f t="shared" ref="AL306:AL313" ca="1" si="144">IF(V306&gt;$AL$238,"한도초과","한도준수")</f>
        <v>한도준수</v>
      </c>
    </row>
    <row r="307" spans="1:38" ht="12" customHeight="1">
      <c r="A307" s="4542">
        <f t="shared" si="128"/>
        <v>2027</v>
      </c>
      <c r="B307" s="3606">
        <f t="shared" ref="B307:B313" si="145">EOMONTH(B306,1)</f>
        <v>46752</v>
      </c>
      <c r="C307" s="205">
        <v>0</v>
      </c>
      <c r="D307" s="205">
        <v>0</v>
      </c>
      <c r="E307" s="205">
        <f t="shared" si="129"/>
        <v>0</v>
      </c>
      <c r="F307" s="205">
        <f t="shared" si="130"/>
        <v>0</v>
      </c>
      <c r="G307" s="205">
        <f t="shared" si="131"/>
        <v>0</v>
      </c>
      <c r="H307" s="205">
        <f t="shared" ca="1" si="125"/>
        <v>0</v>
      </c>
      <c r="I307" s="205">
        <v>0</v>
      </c>
      <c r="J307" s="205">
        <v>0</v>
      </c>
      <c r="K307" s="205">
        <f t="shared" ca="1" si="132"/>
        <v>0</v>
      </c>
      <c r="L307" s="205">
        <f t="shared" si="133"/>
        <v>0</v>
      </c>
      <c r="M307" s="205">
        <f t="shared" ca="1" si="134"/>
        <v>0</v>
      </c>
      <c r="N307" s="205">
        <f t="shared" ca="1" si="123"/>
        <v>0</v>
      </c>
      <c r="O307" s="205">
        <f t="shared" ca="1" si="135"/>
        <v>0</v>
      </c>
      <c r="P307" s="205">
        <f t="shared" ca="1" si="136"/>
        <v>0</v>
      </c>
      <c r="Q307" s="205">
        <f t="shared" si="137"/>
        <v>0</v>
      </c>
      <c r="R307" s="205">
        <f t="shared" ca="1" si="138"/>
        <v>0</v>
      </c>
      <c r="S307" s="205">
        <f t="shared" ca="1" si="139"/>
        <v>0</v>
      </c>
      <c r="T307" s="205">
        <f t="shared" ca="1" si="140"/>
        <v>0</v>
      </c>
      <c r="U307" s="205">
        <f t="shared" ca="1" si="141"/>
        <v>0</v>
      </c>
      <c r="V307" s="205">
        <f t="shared" ca="1" si="142"/>
        <v>0</v>
      </c>
      <c r="W307" s="205"/>
      <c r="X307" s="205">
        <f t="shared" ref="X307:X313" si="146">IF(B307&lt;$F$23,$E$92*$F$22*(DATEDIF(B306,B307,"d"))/365,)</f>
        <v>0</v>
      </c>
      <c r="Y307" s="205">
        <f t="shared" si="126"/>
        <v>0</v>
      </c>
      <c r="Z307" s="205">
        <f t="shared" ref="Z307:Z313" si="147">Z306+SUM(X307:Y307)</f>
        <v>0</v>
      </c>
      <c r="AA307" s="205">
        <f t="shared" ref="AA307:AA313" ca="1" si="148">(DATEDIF(B306,B307,"d"))/365*($F$34*$F$32%+($F$47+IF($D$38="현시점유지",$F$39,VLOOKUP(A307,$B$40:$F$46,5,FALSE)))*$F$33%)*ROUND(U306,)</f>
        <v>0</v>
      </c>
      <c r="AB307" s="205">
        <f ca="1">O307</f>
        <v>0</v>
      </c>
      <c r="AC307" s="205">
        <f t="shared" ca="1" si="143"/>
        <v>0</v>
      </c>
      <c r="AD307" s="5152">
        <f t="shared" ref="AD307:AD313" ca="1" si="149">(DATEDIF(B306,B307,"d"))/365*(IF($D$49="현시점유지",$F$50,VLOOKUP(A307,$B$51:$F$57,5,FALSE))+$F$58)*ROUND(V306,)</f>
        <v>0</v>
      </c>
      <c r="AE307" s="205">
        <f ca="1">M307</f>
        <v>0</v>
      </c>
      <c r="AF307" s="5153">
        <f t="shared" ca="1" si="124"/>
        <v>0</v>
      </c>
      <c r="AG307" s="205">
        <f t="shared" ref="AG307:AG313" ca="1" si="150">IF(U306=0,0,($AL$238-V306)*$F$60*(DATEDIF(B306,B307,"d"))/365)</f>
        <v>0</v>
      </c>
      <c r="AH307" s="205">
        <f t="shared" ref="AH307:AH313" ca="1" si="151">N307</f>
        <v>0</v>
      </c>
      <c r="AI307" s="205">
        <f t="shared" ref="AI307:AI313" ca="1" si="152">AI306+AG307+AH307</f>
        <v>0</v>
      </c>
      <c r="AJ307" s="205"/>
      <c r="AK307" s="205">
        <f t="shared" ca="1" si="127"/>
        <v>0</v>
      </c>
      <c r="AL307" s="4543" t="str">
        <f t="shared" ca="1" si="144"/>
        <v>한도준수</v>
      </c>
    </row>
    <row r="308" spans="1:38" ht="12" customHeight="1">
      <c r="A308" s="4542">
        <f t="shared" si="128"/>
        <v>2028</v>
      </c>
      <c r="B308" s="3606">
        <f t="shared" si="145"/>
        <v>46783</v>
      </c>
      <c r="C308" s="205">
        <v>0</v>
      </c>
      <c r="D308" s="205">
        <v>0</v>
      </c>
      <c r="E308" s="205">
        <f t="shared" si="129"/>
        <v>0</v>
      </c>
      <c r="F308" s="205">
        <f t="shared" si="130"/>
        <v>0</v>
      </c>
      <c r="G308" s="205">
        <f t="shared" si="131"/>
        <v>0</v>
      </c>
      <c r="H308" s="205">
        <f t="shared" ca="1" si="125"/>
        <v>0</v>
      </c>
      <c r="I308" s="205">
        <v>0</v>
      </c>
      <c r="J308" s="205">
        <v>0</v>
      </c>
      <c r="K308" s="205">
        <f t="shared" ca="1" si="132"/>
        <v>0</v>
      </c>
      <c r="L308" s="205">
        <f t="shared" si="133"/>
        <v>0</v>
      </c>
      <c r="M308" s="205">
        <f t="shared" si="134"/>
        <v>0</v>
      </c>
      <c r="N308" s="205">
        <f t="shared" ref="N308:N313" si="153">IF(B308=$F$14,-(AI307+AG308),IF(MOD(ROW(B308)-ROW($B$241),3)=0,-(AI307+AG308),))</f>
        <v>0</v>
      </c>
      <c r="O308" s="205">
        <f t="shared" si="135"/>
        <v>0</v>
      </c>
      <c r="P308" s="205">
        <f t="shared" ca="1" si="136"/>
        <v>0</v>
      </c>
      <c r="Q308" s="205">
        <f t="shared" si="137"/>
        <v>0</v>
      </c>
      <c r="R308" s="205">
        <f t="shared" ca="1" si="138"/>
        <v>0</v>
      </c>
      <c r="S308" s="205">
        <f t="shared" ca="1" si="139"/>
        <v>0</v>
      </c>
      <c r="T308" s="205">
        <f t="shared" ca="1" si="140"/>
        <v>0</v>
      </c>
      <c r="U308" s="205">
        <f t="shared" ca="1" si="141"/>
        <v>0</v>
      </c>
      <c r="V308" s="205">
        <f t="shared" ca="1" si="142"/>
        <v>0</v>
      </c>
      <c r="W308" s="205"/>
      <c r="X308" s="205">
        <f t="shared" si="146"/>
        <v>0</v>
      </c>
      <c r="Y308" s="205">
        <f t="shared" si="126"/>
        <v>0</v>
      </c>
      <c r="Z308" s="205">
        <f t="shared" si="147"/>
        <v>0</v>
      </c>
      <c r="AA308" s="205">
        <f t="shared" ca="1" si="148"/>
        <v>0</v>
      </c>
      <c r="AB308" s="205">
        <f t="shared" ref="AB308:AB312" si="154">O308</f>
        <v>0</v>
      </c>
      <c r="AC308" s="205">
        <f t="shared" ca="1" si="143"/>
        <v>0</v>
      </c>
      <c r="AD308" s="5152">
        <f t="shared" ca="1" si="149"/>
        <v>0</v>
      </c>
      <c r="AE308" s="205">
        <f t="shared" ref="AE308:AE312" si="155">M308</f>
        <v>0</v>
      </c>
      <c r="AF308" s="5153">
        <f t="shared" ref="AF308:AF313" ca="1" si="156">AF307+SUM(AD308:AE308)</f>
        <v>0</v>
      </c>
      <c r="AG308" s="205">
        <f t="shared" ca="1" si="150"/>
        <v>0</v>
      </c>
      <c r="AH308" s="205">
        <f t="shared" si="151"/>
        <v>0</v>
      </c>
      <c r="AI308" s="205">
        <f t="shared" ca="1" si="152"/>
        <v>0</v>
      </c>
      <c r="AJ308" s="205"/>
      <c r="AK308" s="205">
        <f t="shared" ca="1" si="127"/>
        <v>0</v>
      </c>
      <c r="AL308" s="4543" t="str">
        <f t="shared" ca="1" si="144"/>
        <v>한도준수</v>
      </c>
    </row>
    <row r="309" spans="1:38" ht="12" customHeight="1">
      <c r="A309" s="4542">
        <f t="shared" si="128"/>
        <v>2028</v>
      </c>
      <c r="B309" s="3606">
        <f t="shared" si="145"/>
        <v>46812</v>
      </c>
      <c r="C309" s="205">
        <v>0</v>
      </c>
      <c r="D309" s="205">
        <v>0</v>
      </c>
      <c r="E309" s="205">
        <f t="shared" si="129"/>
        <v>0</v>
      </c>
      <c r="F309" s="205">
        <f t="shared" si="130"/>
        <v>0</v>
      </c>
      <c r="G309" s="205">
        <f t="shared" si="131"/>
        <v>0</v>
      </c>
      <c r="H309" s="205">
        <f t="shared" ca="1" si="125"/>
        <v>0</v>
      </c>
      <c r="I309" s="205">
        <v>0</v>
      </c>
      <c r="J309" s="205">
        <v>0</v>
      </c>
      <c r="K309" s="205">
        <f t="shared" ca="1" si="132"/>
        <v>0</v>
      </c>
      <c r="L309" s="205">
        <f t="shared" si="133"/>
        <v>0</v>
      </c>
      <c r="M309" s="205">
        <f t="shared" si="134"/>
        <v>0</v>
      </c>
      <c r="N309" s="205">
        <f t="shared" si="153"/>
        <v>0</v>
      </c>
      <c r="O309" s="205">
        <f t="shared" si="135"/>
        <v>0</v>
      </c>
      <c r="P309" s="205">
        <f t="shared" ca="1" si="136"/>
        <v>0</v>
      </c>
      <c r="Q309" s="205">
        <f t="shared" si="137"/>
        <v>0</v>
      </c>
      <c r="R309" s="205">
        <f t="shared" ca="1" si="138"/>
        <v>0</v>
      </c>
      <c r="S309" s="205">
        <f t="shared" ca="1" si="139"/>
        <v>0</v>
      </c>
      <c r="T309" s="205">
        <f t="shared" ca="1" si="140"/>
        <v>0</v>
      </c>
      <c r="U309" s="205">
        <f t="shared" ca="1" si="141"/>
        <v>0</v>
      </c>
      <c r="V309" s="205">
        <f t="shared" ca="1" si="142"/>
        <v>0</v>
      </c>
      <c r="W309" s="205"/>
      <c r="X309" s="205">
        <f t="shared" si="146"/>
        <v>0</v>
      </c>
      <c r="Y309" s="205">
        <f t="shared" si="126"/>
        <v>0</v>
      </c>
      <c r="Z309" s="205">
        <f t="shared" si="147"/>
        <v>0</v>
      </c>
      <c r="AA309" s="205">
        <f t="shared" ca="1" si="148"/>
        <v>0</v>
      </c>
      <c r="AB309" s="205">
        <f t="shared" si="154"/>
        <v>0</v>
      </c>
      <c r="AC309" s="205">
        <f t="shared" ca="1" si="143"/>
        <v>0</v>
      </c>
      <c r="AD309" s="5152">
        <f t="shared" ca="1" si="149"/>
        <v>0</v>
      </c>
      <c r="AE309" s="205">
        <f t="shared" si="155"/>
        <v>0</v>
      </c>
      <c r="AF309" s="5153">
        <f t="shared" ca="1" si="156"/>
        <v>0</v>
      </c>
      <c r="AG309" s="205">
        <f t="shared" ca="1" si="150"/>
        <v>0</v>
      </c>
      <c r="AH309" s="205">
        <f t="shared" si="151"/>
        <v>0</v>
      </c>
      <c r="AI309" s="205">
        <f t="shared" ca="1" si="152"/>
        <v>0</v>
      </c>
      <c r="AJ309" s="205"/>
      <c r="AK309" s="205">
        <f t="shared" ca="1" si="127"/>
        <v>0</v>
      </c>
      <c r="AL309" s="4543" t="str">
        <f t="shared" ca="1" si="144"/>
        <v>한도준수</v>
      </c>
    </row>
    <row r="310" spans="1:38" ht="12" customHeight="1">
      <c r="A310" s="4542">
        <f t="shared" si="128"/>
        <v>2028</v>
      </c>
      <c r="B310" s="3606">
        <f t="shared" si="145"/>
        <v>46843</v>
      </c>
      <c r="C310" s="205">
        <v>0</v>
      </c>
      <c r="D310" s="205">
        <v>0</v>
      </c>
      <c r="E310" s="205">
        <f t="shared" si="129"/>
        <v>0</v>
      </c>
      <c r="F310" s="205">
        <f t="shared" si="130"/>
        <v>0</v>
      </c>
      <c r="G310" s="205">
        <f t="shared" si="131"/>
        <v>0</v>
      </c>
      <c r="H310" s="205">
        <f t="shared" ca="1" si="125"/>
        <v>0</v>
      </c>
      <c r="I310" s="205">
        <v>0</v>
      </c>
      <c r="J310" s="205">
        <v>0</v>
      </c>
      <c r="K310" s="205">
        <f t="shared" ca="1" si="132"/>
        <v>0</v>
      </c>
      <c r="L310" s="205">
        <f t="shared" si="133"/>
        <v>0</v>
      </c>
      <c r="M310" s="205">
        <f t="shared" ca="1" si="134"/>
        <v>0</v>
      </c>
      <c r="N310" s="205">
        <f t="shared" ca="1" si="153"/>
        <v>0</v>
      </c>
      <c r="O310" s="205">
        <f t="shared" ca="1" si="135"/>
        <v>0</v>
      </c>
      <c r="P310" s="205">
        <f t="shared" ca="1" si="136"/>
        <v>0</v>
      </c>
      <c r="Q310" s="205">
        <f t="shared" si="137"/>
        <v>0</v>
      </c>
      <c r="R310" s="205">
        <f t="shared" ca="1" si="138"/>
        <v>0</v>
      </c>
      <c r="S310" s="205">
        <f t="shared" ca="1" si="139"/>
        <v>0</v>
      </c>
      <c r="T310" s="205">
        <f t="shared" ca="1" si="140"/>
        <v>0</v>
      </c>
      <c r="U310" s="205">
        <f t="shared" ca="1" si="141"/>
        <v>0</v>
      </c>
      <c r="V310" s="205">
        <f t="shared" ca="1" si="142"/>
        <v>0</v>
      </c>
      <c r="W310" s="205"/>
      <c r="X310" s="205">
        <f t="shared" si="146"/>
        <v>0</v>
      </c>
      <c r="Y310" s="205">
        <f t="shared" si="126"/>
        <v>0</v>
      </c>
      <c r="Z310" s="205">
        <f t="shared" si="147"/>
        <v>0</v>
      </c>
      <c r="AA310" s="205">
        <f t="shared" ca="1" si="148"/>
        <v>0</v>
      </c>
      <c r="AB310" s="205">
        <f ca="1">O310</f>
        <v>0</v>
      </c>
      <c r="AC310" s="205">
        <f t="shared" ca="1" si="143"/>
        <v>0</v>
      </c>
      <c r="AD310" s="5152">
        <f t="shared" ca="1" si="149"/>
        <v>0</v>
      </c>
      <c r="AE310" s="205">
        <f ca="1">M310</f>
        <v>0</v>
      </c>
      <c r="AF310" s="5153">
        <f t="shared" ca="1" si="156"/>
        <v>0</v>
      </c>
      <c r="AG310" s="205">
        <f t="shared" ca="1" si="150"/>
        <v>0</v>
      </c>
      <c r="AH310" s="205">
        <f t="shared" ca="1" si="151"/>
        <v>0</v>
      </c>
      <c r="AI310" s="205">
        <f t="shared" ca="1" si="152"/>
        <v>0</v>
      </c>
      <c r="AJ310" s="205"/>
      <c r="AK310" s="205">
        <f t="shared" ca="1" si="127"/>
        <v>0</v>
      </c>
      <c r="AL310" s="4543" t="str">
        <f t="shared" ca="1" si="144"/>
        <v>한도준수</v>
      </c>
    </row>
    <row r="311" spans="1:38" ht="12" customHeight="1">
      <c r="A311" s="4542">
        <f t="shared" si="128"/>
        <v>2028</v>
      </c>
      <c r="B311" s="3606">
        <f t="shared" si="145"/>
        <v>46873</v>
      </c>
      <c r="C311" s="205">
        <v>0</v>
      </c>
      <c r="D311" s="205">
        <v>0</v>
      </c>
      <c r="E311" s="205">
        <f t="shared" si="129"/>
        <v>0</v>
      </c>
      <c r="F311" s="205">
        <f t="shared" si="130"/>
        <v>0</v>
      </c>
      <c r="G311" s="205">
        <f t="shared" si="131"/>
        <v>0</v>
      </c>
      <c r="H311" s="205">
        <f t="shared" ca="1" si="125"/>
        <v>0</v>
      </c>
      <c r="I311" s="205">
        <v>0</v>
      </c>
      <c r="J311" s="205">
        <v>0</v>
      </c>
      <c r="K311" s="205">
        <f t="shared" ca="1" si="132"/>
        <v>0</v>
      </c>
      <c r="L311" s="205">
        <f t="shared" si="133"/>
        <v>0</v>
      </c>
      <c r="M311" s="205">
        <f t="shared" si="134"/>
        <v>0</v>
      </c>
      <c r="N311" s="205">
        <f t="shared" si="153"/>
        <v>0</v>
      </c>
      <c r="O311" s="205">
        <f t="shared" si="135"/>
        <v>0</v>
      </c>
      <c r="P311" s="205">
        <f t="shared" ca="1" si="136"/>
        <v>0</v>
      </c>
      <c r="Q311" s="205">
        <f t="shared" si="137"/>
        <v>0</v>
      </c>
      <c r="R311" s="205">
        <f t="shared" ca="1" si="138"/>
        <v>0</v>
      </c>
      <c r="S311" s="205">
        <f t="shared" ca="1" si="139"/>
        <v>0</v>
      </c>
      <c r="T311" s="205">
        <f t="shared" ca="1" si="140"/>
        <v>0</v>
      </c>
      <c r="U311" s="205">
        <f t="shared" ca="1" si="141"/>
        <v>0</v>
      </c>
      <c r="V311" s="205">
        <f t="shared" ca="1" si="142"/>
        <v>0</v>
      </c>
      <c r="W311" s="205"/>
      <c r="X311" s="205">
        <f t="shared" si="146"/>
        <v>0</v>
      </c>
      <c r="Y311" s="205">
        <f t="shared" si="126"/>
        <v>0</v>
      </c>
      <c r="Z311" s="205">
        <f t="shared" si="147"/>
        <v>0</v>
      </c>
      <c r="AA311" s="205">
        <f t="shared" ca="1" si="148"/>
        <v>0</v>
      </c>
      <c r="AB311" s="205">
        <f t="shared" si="154"/>
        <v>0</v>
      </c>
      <c r="AC311" s="205">
        <f t="shared" ca="1" si="143"/>
        <v>0</v>
      </c>
      <c r="AD311" s="5152">
        <f t="shared" ca="1" si="149"/>
        <v>0</v>
      </c>
      <c r="AE311" s="205">
        <f t="shared" si="155"/>
        <v>0</v>
      </c>
      <c r="AF311" s="5153">
        <f t="shared" ca="1" si="156"/>
        <v>0</v>
      </c>
      <c r="AG311" s="205">
        <f t="shared" ca="1" si="150"/>
        <v>0</v>
      </c>
      <c r="AH311" s="205">
        <f t="shared" si="151"/>
        <v>0</v>
      </c>
      <c r="AI311" s="205">
        <f t="shared" ca="1" si="152"/>
        <v>0</v>
      </c>
      <c r="AJ311" s="205"/>
      <c r="AK311" s="205">
        <f t="shared" ca="1" si="127"/>
        <v>0</v>
      </c>
      <c r="AL311" s="4543" t="str">
        <f t="shared" ca="1" si="144"/>
        <v>한도준수</v>
      </c>
    </row>
    <row r="312" spans="1:38" ht="12" customHeight="1">
      <c r="A312" s="4542">
        <f t="shared" si="128"/>
        <v>2028</v>
      </c>
      <c r="B312" s="3606">
        <f t="shared" si="145"/>
        <v>46904</v>
      </c>
      <c r="C312" s="205">
        <v>0</v>
      </c>
      <c r="D312" s="205">
        <v>0</v>
      </c>
      <c r="E312" s="205">
        <f t="shared" si="129"/>
        <v>0</v>
      </c>
      <c r="F312" s="205">
        <f t="shared" si="130"/>
        <v>0</v>
      </c>
      <c r="G312" s="205">
        <f t="shared" si="131"/>
        <v>0</v>
      </c>
      <c r="H312" s="205">
        <f t="shared" ca="1" si="125"/>
        <v>0</v>
      </c>
      <c r="I312" s="205">
        <v>0</v>
      </c>
      <c r="J312" s="205">
        <v>0</v>
      </c>
      <c r="K312" s="205">
        <f t="shared" ca="1" si="132"/>
        <v>0</v>
      </c>
      <c r="L312" s="205">
        <f t="shared" si="133"/>
        <v>0</v>
      </c>
      <c r="M312" s="205">
        <f t="shared" si="134"/>
        <v>0</v>
      </c>
      <c r="N312" s="205">
        <f t="shared" si="153"/>
        <v>0</v>
      </c>
      <c r="O312" s="205">
        <f t="shared" si="135"/>
        <v>0</v>
      </c>
      <c r="P312" s="205">
        <f t="shared" ca="1" si="136"/>
        <v>0</v>
      </c>
      <c r="Q312" s="205">
        <f t="shared" si="137"/>
        <v>0</v>
      </c>
      <c r="R312" s="205">
        <f t="shared" ca="1" si="138"/>
        <v>0</v>
      </c>
      <c r="S312" s="205">
        <f t="shared" ca="1" si="139"/>
        <v>0</v>
      </c>
      <c r="T312" s="205">
        <f t="shared" ca="1" si="140"/>
        <v>0</v>
      </c>
      <c r="U312" s="205">
        <f t="shared" ca="1" si="141"/>
        <v>0</v>
      </c>
      <c r="V312" s="205">
        <f t="shared" ca="1" si="142"/>
        <v>0</v>
      </c>
      <c r="W312" s="205"/>
      <c r="X312" s="205">
        <f t="shared" si="146"/>
        <v>0</v>
      </c>
      <c r="Y312" s="205">
        <f t="shared" si="126"/>
        <v>0</v>
      </c>
      <c r="Z312" s="205">
        <f t="shared" si="147"/>
        <v>0</v>
      </c>
      <c r="AA312" s="205">
        <f t="shared" ca="1" si="148"/>
        <v>0</v>
      </c>
      <c r="AB312" s="205">
        <f t="shared" si="154"/>
        <v>0</v>
      </c>
      <c r="AC312" s="205">
        <f t="shared" ca="1" si="143"/>
        <v>0</v>
      </c>
      <c r="AD312" s="5152">
        <f t="shared" ca="1" si="149"/>
        <v>0</v>
      </c>
      <c r="AE312" s="205">
        <f t="shared" si="155"/>
        <v>0</v>
      </c>
      <c r="AF312" s="5153">
        <f t="shared" ca="1" si="156"/>
        <v>0</v>
      </c>
      <c r="AG312" s="205">
        <f t="shared" ca="1" si="150"/>
        <v>0</v>
      </c>
      <c r="AH312" s="205">
        <f t="shared" si="151"/>
        <v>0</v>
      </c>
      <c r="AI312" s="205">
        <f t="shared" ca="1" si="152"/>
        <v>0</v>
      </c>
      <c r="AJ312" s="205"/>
      <c r="AK312" s="205">
        <f t="shared" ca="1" si="127"/>
        <v>0</v>
      </c>
      <c r="AL312" s="4543" t="str">
        <f t="shared" ca="1" si="144"/>
        <v>한도준수</v>
      </c>
    </row>
    <row r="313" spans="1:38" ht="12" customHeight="1">
      <c r="A313" s="4542">
        <f t="shared" si="128"/>
        <v>2028</v>
      </c>
      <c r="B313" s="4544">
        <f t="shared" si="145"/>
        <v>46934</v>
      </c>
      <c r="C313" s="208">
        <v>0</v>
      </c>
      <c r="D313" s="208">
        <v>0</v>
      </c>
      <c r="E313" s="208">
        <f t="shared" si="129"/>
        <v>0</v>
      </c>
      <c r="F313" s="208">
        <f t="shared" si="130"/>
        <v>0</v>
      </c>
      <c r="G313" s="208">
        <f t="shared" si="131"/>
        <v>0</v>
      </c>
      <c r="H313" s="208">
        <f t="shared" ca="1" si="125"/>
        <v>0</v>
      </c>
      <c r="I313" s="208">
        <v>0</v>
      </c>
      <c r="J313" s="208">
        <v>0</v>
      </c>
      <c r="K313" s="208">
        <f t="shared" ca="1" si="132"/>
        <v>0</v>
      </c>
      <c r="L313" s="208">
        <f t="shared" si="133"/>
        <v>0</v>
      </c>
      <c r="M313" s="208">
        <f t="shared" ca="1" si="134"/>
        <v>0</v>
      </c>
      <c r="N313" s="208">
        <f t="shared" ca="1" si="153"/>
        <v>0</v>
      </c>
      <c r="O313" s="208">
        <f t="shared" ca="1" si="135"/>
        <v>0</v>
      </c>
      <c r="P313" s="208">
        <f t="shared" ca="1" si="136"/>
        <v>0</v>
      </c>
      <c r="Q313" s="208">
        <f t="shared" si="137"/>
        <v>0</v>
      </c>
      <c r="R313" s="208">
        <f t="shared" ca="1" si="138"/>
        <v>0</v>
      </c>
      <c r="S313" s="208">
        <f t="shared" ca="1" si="139"/>
        <v>0</v>
      </c>
      <c r="T313" s="208">
        <f t="shared" ca="1" si="140"/>
        <v>0</v>
      </c>
      <c r="U313" s="208">
        <f t="shared" ca="1" si="141"/>
        <v>0</v>
      </c>
      <c r="V313" s="208">
        <f t="shared" ca="1" si="142"/>
        <v>0</v>
      </c>
      <c r="W313" s="205"/>
      <c r="X313" s="208">
        <f t="shared" si="146"/>
        <v>0</v>
      </c>
      <c r="Y313" s="208">
        <f t="shared" si="126"/>
        <v>0</v>
      </c>
      <c r="Z313" s="208">
        <f t="shared" si="147"/>
        <v>0</v>
      </c>
      <c r="AA313" s="208">
        <f t="shared" ca="1" si="148"/>
        <v>0</v>
      </c>
      <c r="AB313" s="208">
        <f ca="1">O313</f>
        <v>0</v>
      </c>
      <c r="AC313" s="208">
        <f t="shared" ca="1" si="143"/>
        <v>0</v>
      </c>
      <c r="AD313" s="5154">
        <f t="shared" ca="1" si="149"/>
        <v>0</v>
      </c>
      <c r="AE313" s="208">
        <f ca="1">M313</f>
        <v>0</v>
      </c>
      <c r="AF313" s="5155">
        <f t="shared" ca="1" si="156"/>
        <v>0</v>
      </c>
      <c r="AG313" s="208">
        <f t="shared" ca="1" si="150"/>
        <v>0</v>
      </c>
      <c r="AH313" s="208">
        <f t="shared" ca="1" si="151"/>
        <v>0</v>
      </c>
      <c r="AI313" s="208">
        <f t="shared" ca="1" si="152"/>
        <v>0</v>
      </c>
      <c r="AJ313" s="205"/>
      <c r="AK313" s="208">
        <f t="shared" ca="1" si="127"/>
        <v>0</v>
      </c>
      <c r="AL313" s="4545" t="str">
        <f t="shared" ca="1" si="144"/>
        <v>한도준수</v>
      </c>
    </row>
    <row r="314" spans="1:38" ht="12" customHeight="1">
      <c r="AJ314" s="205"/>
    </row>
    <row r="315" spans="1:38" ht="12" customHeight="1">
      <c r="AJ315" s="205"/>
    </row>
    <row r="316" spans="1:38" s="3" customFormat="1" ht="12" customHeight="1">
      <c r="A316" s="20" t="s">
        <v>79</v>
      </c>
      <c r="B316" s="21" t="s">
        <v>10789</v>
      </c>
      <c r="C316" s="102"/>
      <c r="D316" s="102"/>
      <c r="E316" s="102"/>
      <c r="F316" s="102"/>
      <c r="G316" s="102"/>
      <c r="H316" s="102"/>
      <c r="I316" s="102"/>
      <c r="J316" s="102"/>
      <c r="K316" s="102"/>
      <c r="L316" s="102"/>
      <c r="M316" s="102"/>
      <c r="N316" s="102"/>
      <c r="O316" s="102"/>
      <c r="P316" s="102"/>
      <c r="Q316" s="102"/>
      <c r="R316" s="102"/>
      <c r="S316" s="102"/>
      <c r="T316" s="102"/>
      <c r="U316" s="102"/>
      <c r="V316" s="102"/>
      <c r="W316" s="102"/>
      <c r="X316" s="102"/>
      <c r="Y316" s="102"/>
      <c r="Z316" s="102"/>
      <c r="AA316" s="102"/>
      <c r="AB316" s="102"/>
      <c r="AC316" s="102"/>
      <c r="AD316" s="102"/>
      <c r="AE316" s="102"/>
      <c r="AF316" s="102"/>
      <c r="AG316" s="102"/>
      <c r="AH316" s="102"/>
      <c r="AI316" s="102"/>
      <c r="AJ316" s="102"/>
      <c r="AK316" s="102"/>
      <c r="AL316" s="102"/>
    </row>
    <row r="317" spans="1:38" ht="12" customHeight="1">
      <c r="C317" s="62">
        <f ca="1">-C356/C320</f>
        <v>2.1743081607604022</v>
      </c>
    </row>
    <row r="318" spans="1:38" ht="12" customHeight="1">
      <c r="B318" s="5210" t="s">
        <v>6756</v>
      </c>
      <c r="C318" s="5208" t="s">
        <v>10771</v>
      </c>
      <c r="D318" s="5208" t="s">
        <v>10902</v>
      </c>
      <c r="E318" s="5208" t="s">
        <v>10903</v>
      </c>
      <c r="F318" s="5208" t="s">
        <v>10894</v>
      </c>
    </row>
    <row r="319" spans="1:38" ht="12" customHeight="1">
      <c r="B319" s="5209"/>
      <c r="C319" s="5209"/>
      <c r="D319" s="5209"/>
      <c r="E319" s="5209"/>
      <c r="F319" s="5209"/>
    </row>
    <row r="320" spans="1:38" ht="12" customHeight="1">
      <c r="A320" s="1">
        <f>YEAR(B320)</f>
        <v>2022</v>
      </c>
      <c r="B320" s="3606">
        <v>44742</v>
      </c>
      <c r="C320" s="205">
        <f>AK241</f>
        <v>-216949.85931010696</v>
      </c>
      <c r="D320" s="205">
        <f>-E107</f>
        <v>-107346.53043910774</v>
      </c>
      <c r="E320" s="205">
        <f>-E108</f>
        <v>-39000</v>
      </c>
      <c r="F320" s="205">
        <f>-E109</f>
        <v>-70603.328870999219</v>
      </c>
      <c r="G320" s="1" t="b">
        <f>C320=SUM(D320:F320)</f>
        <v>1</v>
      </c>
    </row>
    <row r="321" spans="1:7" ht="12" customHeight="1">
      <c r="A321" s="1">
        <f t="shared" ref="A321:A384" si="157">YEAR(B321)</f>
        <v>2022</v>
      </c>
      <c r="B321" s="3606">
        <f>EOMONTH(B320,1)</f>
        <v>44773</v>
      </c>
      <c r="C321" s="205">
        <f t="shared" ref="C321:C351" ca="1" si="158">AK242</f>
        <v>0</v>
      </c>
      <c r="D321" s="205">
        <f ca="1">$C321*D$320/SUM($D$320:$F$320)</f>
        <v>0</v>
      </c>
      <c r="E321" s="205">
        <f ca="1">$C321*E$320/SUM($D$320:$F$320)</f>
        <v>0</v>
      </c>
      <c r="F321" s="205">
        <f ca="1">$C321*F$320/SUM($D$320:$F$320)</f>
        <v>0</v>
      </c>
      <c r="G321" s="1" t="b">
        <f t="shared" ref="G321:G384" ca="1" si="159">C321=SUM(D321:F321)</f>
        <v>1</v>
      </c>
    </row>
    <row r="322" spans="1:7" ht="12" customHeight="1">
      <c r="A322" s="1">
        <f t="shared" si="157"/>
        <v>2022</v>
      </c>
      <c r="B322" s="3606">
        <f t="shared" ref="B322:B385" si="160">EOMONTH(B321,1)</f>
        <v>44804</v>
      </c>
      <c r="C322" s="205">
        <f t="shared" ca="1" si="158"/>
        <v>0</v>
      </c>
      <c r="D322" s="205">
        <f t="shared" ref="D322:F353" ca="1" si="161">$C322*D$320/SUM($D$320:$F$320)</f>
        <v>0</v>
      </c>
      <c r="E322" s="205">
        <f t="shared" ca="1" si="161"/>
        <v>0</v>
      </c>
      <c r="F322" s="205">
        <f t="shared" ca="1" si="161"/>
        <v>0</v>
      </c>
      <c r="G322" s="1" t="b">
        <f t="shared" ca="1" si="159"/>
        <v>1</v>
      </c>
    </row>
    <row r="323" spans="1:7" ht="12" customHeight="1">
      <c r="A323" s="1">
        <f t="shared" si="157"/>
        <v>2022</v>
      </c>
      <c r="B323" s="3606">
        <f t="shared" si="160"/>
        <v>44834</v>
      </c>
      <c r="C323" s="205">
        <f t="shared" ca="1" si="158"/>
        <v>0</v>
      </c>
      <c r="D323" s="205">
        <f t="shared" ca="1" si="161"/>
        <v>0</v>
      </c>
      <c r="E323" s="205">
        <f t="shared" ca="1" si="161"/>
        <v>0</v>
      </c>
      <c r="F323" s="205">
        <f t="shared" ca="1" si="161"/>
        <v>0</v>
      </c>
      <c r="G323" s="1" t="b">
        <f t="shared" ca="1" si="159"/>
        <v>1</v>
      </c>
    </row>
    <row r="324" spans="1:7" ht="12" customHeight="1">
      <c r="A324" s="1">
        <f t="shared" si="157"/>
        <v>2022</v>
      </c>
      <c r="B324" s="3606">
        <f t="shared" si="160"/>
        <v>44865</v>
      </c>
      <c r="C324" s="205">
        <f t="shared" ca="1" si="158"/>
        <v>0</v>
      </c>
      <c r="D324" s="205">
        <f t="shared" ca="1" si="161"/>
        <v>0</v>
      </c>
      <c r="E324" s="205">
        <f t="shared" ca="1" si="161"/>
        <v>0</v>
      </c>
      <c r="F324" s="205">
        <f t="shared" ca="1" si="161"/>
        <v>0</v>
      </c>
      <c r="G324" s="1" t="b">
        <f t="shared" ca="1" si="159"/>
        <v>1</v>
      </c>
    </row>
    <row r="325" spans="1:7" ht="12" customHeight="1">
      <c r="A325" s="1">
        <f t="shared" si="157"/>
        <v>2022</v>
      </c>
      <c r="B325" s="3606">
        <f t="shared" si="160"/>
        <v>44895</v>
      </c>
      <c r="C325" s="205">
        <f ca="1">AK246</f>
        <v>0</v>
      </c>
      <c r="D325" s="205">
        <f t="shared" ca="1" si="161"/>
        <v>0</v>
      </c>
      <c r="E325" s="205">
        <f t="shared" ca="1" si="161"/>
        <v>0</v>
      </c>
      <c r="F325" s="205">
        <f t="shared" ca="1" si="161"/>
        <v>0</v>
      </c>
      <c r="G325" s="1" t="b">
        <f t="shared" ca="1" si="159"/>
        <v>1</v>
      </c>
    </row>
    <row r="326" spans="1:7" ht="12" customHeight="1">
      <c r="A326" s="1">
        <f t="shared" si="157"/>
        <v>2022</v>
      </c>
      <c r="B326" s="3606">
        <f t="shared" si="160"/>
        <v>44926</v>
      </c>
      <c r="C326" s="205">
        <f t="shared" ca="1" si="158"/>
        <v>0</v>
      </c>
      <c r="D326" s="205">
        <f t="shared" ca="1" si="161"/>
        <v>0</v>
      </c>
      <c r="E326" s="205">
        <f t="shared" ca="1" si="161"/>
        <v>0</v>
      </c>
      <c r="F326" s="205">
        <f t="shared" ca="1" si="161"/>
        <v>0</v>
      </c>
      <c r="G326" s="1" t="b">
        <f t="shared" ca="1" si="159"/>
        <v>1</v>
      </c>
    </row>
    <row r="327" spans="1:7" ht="12" customHeight="1">
      <c r="A327" s="1">
        <f t="shared" si="157"/>
        <v>2023</v>
      </c>
      <c r="B327" s="3606">
        <f t="shared" si="160"/>
        <v>44957</v>
      </c>
      <c r="C327" s="205">
        <f t="shared" ca="1" si="158"/>
        <v>0</v>
      </c>
      <c r="D327" s="205">
        <f t="shared" ca="1" si="161"/>
        <v>0</v>
      </c>
      <c r="E327" s="205">
        <f t="shared" ca="1" si="161"/>
        <v>0</v>
      </c>
      <c r="F327" s="205">
        <f t="shared" ca="1" si="161"/>
        <v>0</v>
      </c>
      <c r="G327" s="1" t="b">
        <f t="shared" ca="1" si="159"/>
        <v>1</v>
      </c>
    </row>
    <row r="328" spans="1:7" ht="12" customHeight="1">
      <c r="A328" s="1">
        <f t="shared" si="157"/>
        <v>2023</v>
      </c>
      <c r="B328" s="3606">
        <f t="shared" si="160"/>
        <v>44985</v>
      </c>
      <c r="C328" s="205">
        <f t="shared" ca="1" si="158"/>
        <v>0</v>
      </c>
      <c r="D328" s="205">
        <f t="shared" ca="1" si="161"/>
        <v>0</v>
      </c>
      <c r="E328" s="205">
        <f t="shared" ca="1" si="161"/>
        <v>0</v>
      </c>
      <c r="F328" s="205">
        <f t="shared" ca="1" si="161"/>
        <v>0</v>
      </c>
      <c r="G328" s="1" t="b">
        <f t="shared" ca="1" si="159"/>
        <v>1</v>
      </c>
    </row>
    <row r="329" spans="1:7" ht="12" customHeight="1">
      <c r="A329" s="1">
        <f t="shared" si="157"/>
        <v>2023</v>
      </c>
      <c r="B329" s="3606">
        <f t="shared" si="160"/>
        <v>45016</v>
      </c>
      <c r="C329" s="205">
        <f t="shared" ca="1" si="158"/>
        <v>0</v>
      </c>
      <c r="D329" s="205">
        <f t="shared" ca="1" si="161"/>
        <v>0</v>
      </c>
      <c r="E329" s="205">
        <f t="shared" ca="1" si="161"/>
        <v>0</v>
      </c>
      <c r="F329" s="205">
        <f t="shared" ca="1" si="161"/>
        <v>0</v>
      </c>
      <c r="G329" s="1" t="b">
        <f t="shared" ca="1" si="159"/>
        <v>1</v>
      </c>
    </row>
    <row r="330" spans="1:7" ht="12" customHeight="1">
      <c r="A330" s="1">
        <f t="shared" si="157"/>
        <v>2023</v>
      </c>
      <c r="B330" s="3606">
        <f t="shared" si="160"/>
        <v>45046</v>
      </c>
      <c r="C330" s="205">
        <f t="shared" ca="1" si="158"/>
        <v>0</v>
      </c>
      <c r="D330" s="205">
        <f t="shared" ca="1" si="161"/>
        <v>0</v>
      </c>
      <c r="E330" s="205">
        <f t="shared" ca="1" si="161"/>
        <v>0</v>
      </c>
      <c r="F330" s="205">
        <f t="shared" ca="1" si="161"/>
        <v>0</v>
      </c>
      <c r="G330" s="1" t="b">
        <f t="shared" ca="1" si="159"/>
        <v>1</v>
      </c>
    </row>
    <row r="331" spans="1:7" ht="12" customHeight="1">
      <c r="A331" s="1">
        <f t="shared" si="157"/>
        <v>2023</v>
      </c>
      <c r="B331" s="3606">
        <f t="shared" si="160"/>
        <v>45077</v>
      </c>
      <c r="C331" s="205">
        <f t="shared" ca="1" si="158"/>
        <v>0</v>
      </c>
      <c r="D331" s="205">
        <f t="shared" ca="1" si="161"/>
        <v>0</v>
      </c>
      <c r="E331" s="205">
        <f t="shared" ca="1" si="161"/>
        <v>0</v>
      </c>
      <c r="F331" s="205">
        <f t="shared" ca="1" si="161"/>
        <v>0</v>
      </c>
      <c r="G331" s="1" t="b">
        <f t="shared" ca="1" si="159"/>
        <v>1</v>
      </c>
    </row>
    <row r="332" spans="1:7" ht="12" customHeight="1">
      <c r="A332" s="1">
        <f t="shared" si="157"/>
        <v>2023</v>
      </c>
      <c r="B332" s="3606">
        <f t="shared" si="160"/>
        <v>45107</v>
      </c>
      <c r="C332" s="205">
        <f t="shared" ca="1" si="158"/>
        <v>0</v>
      </c>
      <c r="D332" s="205">
        <f t="shared" ca="1" si="161"/>
        <v>0</v>
      </c>
      <c r="E332" s="205">
        <f t="shared" ca="1" si="161"/>
        <v>0</v>
      </c>
      <c r="F332" s="205">
        <f t="shared" ca="1" si="161"/>
        <v>0</v>
      </c>
      <c r="G332" s="1" t="b">
        <f t="shared" ca="1" si="159"/>
        <v>1</v>
      </c>
    </row>
    <row r="333" spans="1:7" ht="12" customHeight="1">
      <c r="A333" s="1">
        <f t="shared" si="157"/>
        <v>2023</v>
      </c>
      <c r="B333" s="3606">
        <f t="shared" si="160"/>
        <v>45138</v>
      </c>
      <c r="C333" s="205">
        <f t="shared" ca="1" si="158"/>
        <v>0</v>
      </c>
      <c r="D333" s="205">
        <f t="shared" ca="1" si="161"/>
        <v>0</v>
      </c>
      <c r="E333" s="205">
        <f t="shared" ca="1" si="161"/>
        <v>0</v>
      </c>
      <c r="F333" s="205">
        <f t="shared" ca="1" si="161"/>
        <v>0</v>
      </c>
      <c r="G333" s="1" t="b">
        <f t="shared" ca="1" si="159"/>
        <v>1</v>
      </c>
    </row>
    <row r="334" spans="1:7" ht="12" customHeight="1">
      <c r="A334" s="1">
        <f t="shared" si="157"/>
        <v>2023</v>
      </c>
      <c r="B334" s="3606">
        <f t="shared" si="160"/>
        <v>45169</v>
      </c>
      <c r="C334" s="205">
        <f t="shared" ca="1" si="158"/>
        <v>0</v>
      </c>
      <c r="D334" s="205">
        <f t="shared" ca="1" si="161"/>
        <v>0</v>
      </c>
      <c r="E334" s="205">
        <f t="shared" ca="1" si="161"/>
        <v>0</v>
      </c>
      <c r="F334" s="205">
        <f t="shared" ca="1" si="161"/>
        <v>0</v>
      </c>
      <c r="G334" s="1" t="b">
        <f t="shared" ca="1" si="159"/>
        <v>1</v>
      </c>
    </row>
    <row r="335" spans="1:7" ht="12" customHeight="1">
      <c r="A335" s="1">
        <f t="shared" si="157"/>
        <v>2023</v>
      </c>
      <c r="B335" s="3606">
        <f t="shared" si="160"/>
        <v>45199</v>
      </c>
      <c r="C335" s="205">
        <f t="shared" ca="1" si="158"/>
        <v>0</v>
      </c>
      <c r="D335" s="205">
        <f t="shared" ca="1" si="161"/>
        <v>0</v>
      </c>
      <c r="E335" s="205">
        <f t="shared" ca="1" si="161"/>
        <v>0</v>
      </c>
      <c r="F335" s="205">
        <f t="shared" ca="1" si="161"/>
        <v>0</v>
      </c>
      <c r="G335" s="1" t="b">
        <f t="shared" ca="1" si="159"/>
        <v>1</v>
      </c>
    </row>
    <row r="336" spans="1:7" ht="12" customHeight="1">
      <c r="A336" s="1">
        <f t="shared" si="157"/>
        <v>2023</v>
      </c>
      <c r="B336" s="3606">
        <f t="shared" si="160"/>
        <v>45230</v>
      </c>
      <c r="C336" s="205">
        <f t="shared" ca="1" si="158"/>
        <v>0</v>
      </c>
      <c r="D336" s="205">
        <f t="shared" ca="1" si="161"/>
        <v>0</v>
      </c>
      <c r="E336" s="205">
        <f t="shared" ca="1" si="161"/>
        <v>0</v>
      </c>
      <c r="F336" s="205">
        <f t="shared" ca="1" si="161"/>
        <v>0</v>
      </c>
      <c r="G336" s="1" t="b">
        <f t="shared" ca="1" si="159"/>
        <v>1</v>
      </c>
    </row>
    <row r="337" spans="1:7" ht="12" customHeight="1">
      <c r="A337" s="1">
        <f t="shared" si="157"/>
        <v>2023</v>
      </c>
      <c r="B337" s="3606">
        <f t="shared" si="160"/>
        <v>45260</v>
      </c>
      <c r="C337" s="205">
        <f t="shared" ca="1" si="158"/>
        <v>0</v>
      </c>
      <c r="D337" s="205">
        <f t="shared" ca="1" si="161"/>
        <v>0</v>
      </c>
      <c r="E337" s="205">
        <f t="shared" ca="1" si="161"/>
        <v>0</v>
      </c>
      <c r="F337" s="205">
        <f t="shared" ca="1" si="161"/>
        <v>0</v>
      </c>
      <c r="G337" s="1" t="b">
        <f t="shared" ca="1" si="159"/>
        <v>1</v>
      </c>
    </row>
    <row r="338" spans="1:7" ht="12" customHeight="1">
      <c r="A338" s="1">
        <f t="shared" si="157"/>
        <v>2023</v>
      </c>
      <c r="B338" s="3606">
        <f t="shared" si="160"/>
        <v>45291</v>
      </c>
      <c r="C338" s="205">
        <f t="shared" ca="1" si="158"/>
        <v>0</v>
      </c>
      <c r="D338" s="205">
        <f t="shared" ca="1" si="161"/>
        <v>0</v>
      </c>
      <c r="E338" s="205">
        <f t="shared" ca="1" si="161"/>
        <v>0</v>
      </c>
      <c r="F338" s="205">
        <f t="shared" ca="1" si="161"/>
        <v>0</v>
      </c>
      <c r="G338" s="1" t="b">
        <f t="shared" ca="1" si="159"/>
        <v>1</v>
      </c>
    </row>
    <row r="339" spans="1:7" ht="12" customHeight="1">
      <c r="A339" s="1">
        <f t="shared" si="157"/>
        <v>2024</v>
      </c>
      <c r="B339" s="3606">
        <f t="shared" si="160"/>
        <v>45322</v>
      </c>
      <c r="C339" s="205">
        <f t="shared" ca="1" si="158"/>
        <v>0</v>
      </c>
      <c r="D339" s="205">
        <f t="shared" ca="1" si="161"/>
        <v>0</v>
      </c>
      <c r="E339" s="205">
        <f t="shared" ca="1" si="161"/>
        <v>0</v>
      </c>
      <c r="F339" s="205">
        <f t="shared" ca="1" si="161"/>
        <v>0</v>
      </c>
      <c r="G339" s="1" t="b">
        <f t="shared" ca="1" si="159"/>
        <v>1</v>
      </c>
    </row>
    <row r="340" spans="1:7" ht="12" customHeight="1">
      <c r="A340" s="1">
        <f t="shared" si="157"/>
        <v>2024</v>
      </c>
      <c r="B340" s="3606">
        <f t="shared" si="160"/>
        <v>45351</v>
      </c>
      <c r="C340" s="205">
        <f t="shared" ca="1" si="158"/>
        <v>0</v>
      </c>
      <c r="D340" s="205">
        <f t="shared" ca="1" si="161"/>
        <v>0</v>
      </c>
      <c r="E340" s="205">
        <f t="shared" ca="1" si="161"/>
        <v>0</v>
      </c>
      <c r="F340" s="205">
        <f t="shared" ca="1" si="161"/>
        <v>0</v>
      </c>
      <c r="G340" s="1" t="b">
        <f t="shared" ca="1" si="159"/>
        <v>1</v>
      </c>
    </row>
    <row r="341" spans="1:7" ht="12" customHeight="1">
      <c r="A341" s="1">
        <f t="shared" si="157"/>
        <v>2024</v>
      </c>
      <c r="B341" s="3606">
        <f t="shared" si="160"/>
        <v>45382</v>
      </c>
      <c r="C341" s="205">
        <f t="shared" ca="1" si="158"/>
        <v>0</v>
      </c>
      <c r="D341" s="205">
        <f t="shared" ca="1" si="161"/>
        <v>0</v>
      </c>
      <c r="E341" s="205">
        <f t="shared" ca="1" si="161"/>
        <v>0</v>
      </c>
      <c r="F341" s="205">
        <f t="shared" ca="1" si="161"/>
        <v>0</v>
      </c>
      <c r="G341" s="1" t="b">
        <f t="shared" ca="1" si="159"/>
        <v>1</v>
      </c>
    </row>
    <row r="342" spans="1:7" ht="12" customHeight="1">
      <c r="A342" s="1">
        <f t="shared" si="157"/>
        <v>2024</v>
      </c>
      <c r="B342" s="3606">
        <f t="shared" si="160"/>
        <v>45412</v>
      </c>
      <c r="C342" s="205">
        <f t="shared" ca="1" si="158"/>
        <v>0</v>
      </c>
      <c r="D342" s="205">
        <f t="shared" ca="1" si="161"/>
        <v>0</v>
      </c>
      <c r="E342" s="205">
        <f t="shared" ca="1" si="161"/>
        <v>0</v>
      </c>
      <c r="F342" s="205">
        <f t="shared" ca="1" si="161"/>
        <v>0</v>
      </c>
      <c r="G342" s="1" t="b">
        <f t="shared" ca="1" si="159"/>
        <v>1</v>
      </c>
    </row>
    <row r="343" spans="1:7" ht="12" customHeight="1">
      <c r="A343" s="1">
        <f t="shared" si="157"/>
        <v>2024</v>
      </c>
      <c r="B343" s="3606">
        <f t="shared" si="160"/>
        <v>45443</v>
      </c>
      <c r="C343" s="205">
        <f t="shared" ca="1" si="158"/>
        <v>0</v>
      </c>
      <c r="D343" s="205">
        <f t="shared" ca="1" si="161"/>
        <v>0</v>
      </c>
      <c r="E343" s="205">
        <f t="shared" ca="1" si="161"/>
        <v>0</v>
      </c>
      <c r="F343" s="205">
        <f t="shared" ca="1" si="161"/>
        <v>0</v>
      </c>
      <c r="G343" s="1" t="b">
        <f t="shared" ca="1" si="159"/>
        <v>1</v>
      </c>
    </row>
    <row r="344" spans="1:7" ht="12" customHeight="1">
      <c r="A344" s="1">
        <f t="shared" si="157"/>
        <v>2024</v>
      </c>
      <c r="B344" s="3606">
        <f t="shared" si="160"/>
        <v>45473</v>
      </c>
      <c r="C344" s="205">
        <f t="shared" ca="1" si="158"/>
        <v>0</v>
      </c>
      <c r="D344" s="205">
        <f t="shared" ca="1" si="161"/>
        <v>0</v>
      </c>
      <c r="E344" s="205">
        <f t="shared" ca="1" si="161"/>
        <v>0</v>
      </c>
      <c r="F344" s="205">
        <f t="shared" ca="1" si="161"/>
        <v>0</v>
      </c>
      <c r="G344" s="1" t="b">
        <f t="shared" ca="1" si="159"/>
        <v>1</v>
      </c>
    </row>
    <row r="345" spans="1:7" ht="12" customHeight="1">
      <c r="A345" s="1">
        <f t="shared" si="157"/>
        <v>2024</v>
      </c>
      <c r="B345" s="3606">
        <f t="shared" si="160"/>
        <v>45504</v>
      </c>
      <c r="C345" s="205">
        <f t="shared" ca="1" si="158"/>
        <v>0</v>
      </c>
      <c r="D345" s="205">
        <f t="shared" ca="1" si="161"/>
        <v>0</v>
      </c>
      <c r="E345" s="205">
        <f t="shared" ca="1" si="161"/>
        <v>0</v>
      </c>
      <c r="F345" s="205">
        <f t="shared" ca="1" si="161"/>
        <v>0</v>
      </c>
      <c r="G345" s="1" t="b">
        <f t="shared" ca="1" si="159"/>
        <v>1</v>
      </c>
    </row>
    <row r="346" spans="1:7" ht="12" customHeight="1">
      <c r="A346" s="1">
        <f t="shared" si="157"/>
        <v>2024</v>
      </c>
      <c r="B346" s="3606">
        <f t="shared" si="160"/>
        <v>45535</v>
      </c>
      <c r="C346" s="205">
        <f t="shared" ca="1" si="158"/>
        <v>0</v>
      </c>
      <c r="D346" s="205">
        <f t="shared" ca="1" si="161"/>
        <v>0</v>
      </c>
      <c r="E346" s="205">
        <f t="shared" ca="1" si="161"/>
        <v>0</v>
      </c>
      <c r="F346" s="205">
        <f t="shared" ca="1" si="161"/>
        <v>0</v>
      </c>
      <c r="G346" s="1" t="b">
        <f t="shared" ca="1" si="159"/>
        <v>1</v>
      </c>
    </row>
    <row r="347" spans="1:7" ht="12" customHeight="1">
      <c r="A347" s="1">
        <f t="shared" si="157"/>
        <v>2024</v>
      </c>
      <c r="B347" s="3606">
        <f t="shared" si="160"/>
        <v>45565</v>
      </c>
      <c r="C347" s="205">
        <f t="shared" ca="1" si="158"/>
        <v>0</v>
      </c>
      <c r="D347" s="205">
        <f t="shared" ca="1" si="161"/>
        <v>0</v>
      </c>
      <c r="E347" s="205">
        <f t="shared" ca="1" si="161"/>
        <v>0</v>
      </c>
      <c r="F347" s="205">
        <f t="shared" ca="1" si="161"/>
        <v>0</v>
      </c>
      <c r="G347" s="1" t="b">
        <f t="shared" ca="1" si="159"/>
        <v>1</v>
      </c>
    </row>
    <row r="348" spans="1:7" ht="12" customHeight="1">
      <c r="A348" s="1">
        <f t="shared" si="157"/>
        <v>2024</v>
      </c>
      <c r="B348" s="3606">
        <f t="shared" si="160"/>
        <v>45596</v>
      </c>
      <c r="C348" s="205">
        <f t="shared" ca="1" si="158"/>
        <v>0</v>
      </c>
      <c r="D348" s="205">
        <f t="shared" ca="1" si="161"/>
        <v>0</v>
      </c>
      <c r="E348" s="205">
        <f t="shared" ca="1" si="161"/>
        <v>0</v>
      </c>
      <c r="F348" s="205">
        <f t="shared" ca="1" si="161"/>
        <v>0</v>
      </c>
      <c r="G348" s="1" t="b">
        <f t="shared" ca="1" si="159"/>
        <v>1</v>
      </c>
    </row>
    <row r="349" spans="1:7" ht="12" customHeight="1">
      <c r="A349" s="1">
        <f t="shared" si="157"/>
        <v>2024</v>
      </c>
      <c r="B349" s="3606">
        <f t="shared" si="160"/>
        <v>45626</v>
      </c>
      <c r="C349" s="205">
        <f t="shared" ca="1" si="158"/>
        <v>0</v>
      </c>
      <c r="D349" s="205">
        <f t="shared" ca="1" si="161"/>
        <v>0</v>
      </c>
      <c r="E349" s="205">
        <f t="shared" ca="1" si="161"/>
        <v>0</v>
      </c>
      <c r="F349" s="205">
        <f t="shared" ca="1" si="161"/>
        <v>0</v>
      </c>
      <c r="G349" s="1" t="b">
        <f t="shared" ca="1" si="159"/>
        <v>1</v>
      </c>
    </row>
    <row r="350" spans="1:7" ht="12" customHeight="1">
      <c r="A350" s="1">
        <f t="shared" si="157"/>
        <v>2024</v>
      </c>
      <c r="B350" s="3606">
        <f t="shared" si="160"/>
        <v>45657</v>
      </c>
      <c r="C350" s="205">
        <f t="shared" ca="1" si="158"/>
        <v>0</v>
      </c>
      <c r="D350" s="205">
        <f t="shared" ca="1" si="161"/>
        <v>0</v>
      </c>
      <c r="E350" s="205">
        <f t="shared" ca="1" si="161"/>
        <v>0</v>
      </c>
      <c r="F350" s="205">
        <f t="shared" ca="1" si="161"/>
        <v>0</v>
      </c>
      <c r="G350" s="1" t="b">
        <f t="shared" ca="1" si="159"/>
        <v>1</v>
      </c>
    </row>
    <row r="351" spans="1:7" ht="12" customHeight="1">
      <c r="A351" s="1">
        <f t="shared" si="157"/>
        <v>2025</v>
      </c>
      <c r="B351" s="3606">
        <f t="shared" si="160"/>
        <v>45688</v>
      </c>
      <c r="C351" s="205">
        <f t="shared" ca="1" si="158"/>
        <v>0</v>
      </c>
      <c r="D351" s="205">
        <f t="shared" ca="1" si="161"/>
        <v>0</v>
      </c>
      <c r="E351" s="205">
        <f t="shared" ca="1" si="161"/>
        <v>0</v>
      </c>
      <c r="F351" s="205">
        <f t="shared" ca="1" si="161"/>
        <v>0</v>
      </c>
      <c r="G351" s="1" t="b">
        <f t="shared" ca="1" si="159"/>
        <v>1</v>
      </c>
    </row>
    <row r="352" spans="1:7" ht="12" customHeight="1">
      <c r="A352" s="1">
        <f t="shared" si="157"/>
        <v>2025</v>
      </c>
      <c r="B352" s="3606">
        <f t="shared" si="160"/>
        <v>45716</v>
      </c>
      <c r="C352" s="205">
        <f t="shared" ref="C352:C383" ca="1" si="162">AK273</f>
        <v>0</v>
      </c>
      <c r="D352" s="205">
        <f t="shared" ca="1" si="161"/>
        <v>0</v>
      </c>
      <c r="E352" s="205">
        <f t="shared" ca="1" si="161"/>
        <v>0</v>
      </c>
      <c r="F352" s="205">
        <f t="shared" ca="1" si="161"/>
        <v>0</v>
      </c>
      <c r="G352" s="1" t="b">
        <f t="shared" ca="1" si="159"/>
        <v>1</v>
      </c>
    </row>
    <row r="353" spans="1:7" ht="12" customHeight="1">
      <c r="A353" s="1">
        <f t="shared" si="157"/>
        <v>2025</v>
      </c>
      <c r="B353" s="3606">
        <f t="shared" si="160"/>
        <v>45747</v>
      </c>
      <c r="C353" s="205">
        <f t="shared" ca="1" si="162"/>
        <v>0</v>
      </c>
      <c r="D353" s="205">
        <f t="shared" ca="1" si="161"/>
        <v>0</v>
      </c>
      <c r="E353" s="205">
        <f t="shared" ca="1" si="161"/>
        <v>0</v>
      </c>
      <c r="F353" s="205">
        <f t="shared" ca="1" si="161"/>
        <v>0</v>
      </c>
      <c r="G353" s="1" t="b">
        <f t="shared" ca="1" si="159"/>
        <v>1</v>
      </c>
    </row>
    <row r="354" spans="1:7" ht="12" customHeight="1">
      <c r="A354" s="1">
        <f t="shared" si="157"/>
        <v>2025</v>
      </c>
      <c r="B354" s="3606">
        <f t="shared" si="160"/>
        <v>45777</v>
      </c>
      <c r="C354" s="205">
        <f t="shared" ca="1" si="162"/>
        <v>0</v>
      </c>
      <c r="D354" s="205">
        <f t="shared" ref="D354:F392" ca="1" si="163">$C354*D$320/SUM($D$320:$F$320)</f>
        <v>0</v>
      </c>
      <c r="E354" s="205">
        <f t="shared" ca="1" si="163"/>
        <v>0</v>
      </c>
      <c r="F354" s="205">
        <f t="shared" ca="1" si="163"/>
        <v>0</v>
      </c>
      <c r="G354" s="1" t="b">
        <f t="shared" ca="1" si="159"/>
        <v>1</v>
      </c>
    </row>
    <row r="355" spans="1:7" ht="12" customHeight="1">
      <c r="A355" s="1">
        <f t="shared" si="157"/>
        <v>2025</v>
      </c>
      <c r="B355" s="3606">
        <f t="shared" si="160"/>
        <v>45808</v>
      </c>
      <c r="C355" s="205">
        <f t="shared" ca="1" si="162"/>
        <v>0</v>
      </c>
      <c r="D355" s="205">
        <f t="shared" ca="1" si="163"/>
        <v>0</v>
      </c>
      <c r="E355" s="205">
        <f t="shared" ca="1" si="163"/>
        <v>0</v>
      </c>
      <c r="F355" s="205">
        <f t="shared" ca="1" si="163"/>
        <v>0</v>
      </c>
      <c r="G355" s="1" t="b">
        <f t="shared" ca="1" si="159"/>
        <v>1</v>
      </c>
    </row>
    <row r="356" spans="1:7" ht="12" customHeight="1">
      <c r="A356" s="1">
        <f t="shared" si="157"/>
        <v>2025</v>
      </c>
      <c r="B356" s="3606">
        <f t="shared" si="160"/>
        <v>45838</v>
      </c>
      <c r="C356" s="205">
        <f t="shared" ca="1" si="162"/>
        <v>471715.84957378672</v>
      </c>
      <c r="D356" s="205">
        <f t="shared" ca="1" si="163"/>
        <v>233404.4371630669</v>
      </c>
      <c r="E356" s="205">
        <f t="shared" ca="1" si="163"/>
        <v>84798.018269655688</v>
      </c>
      <c r="F356" s="205">
        <f t="shared" ca="1" si="163"/>
        <v>153513.39414106414</v>
      </c>
      <c r="G356" s="1" t="b">
        <f t="shared" ca="1" si="159"/>
        <v>1</v>
      </c>
    </row>
    <row r="357" spans="1:7" ht="12" customHeight="1">
      <c r="A357" s="1">
        <f t="shared" si="157"/>
        <v>2025</v>
      </c>
      <c r="B357" s="3606">
        <f t="shared" si="160"/>
        <v>45869</v>
      </c>
      <c r="C357" s="205">
        <f t="shared" ca="1" si="162"/>
        <v>0</v>
      </c>
      <c r="D357" s="205">
        <f t="shared" ca="1" si="163"/>
        <v>0</v>
      </c>
      <c r="E357" s="205">
        <f t="shared" ca="1" si="163"/>
        <v>0</v>
      </c>
      <c r="F357" s="205">
        <f t="shared" ca="1" si="163"/>
        <v>0</v>
      </c>
      <c r="G357" s="1" t="b">
        <f t="shared" ca="1" si="159"/>
        <v>1</v>
      </c>
    </row>
    <row r="358" spans="1:7" ht="12" customHeight="1">
      <c r="A358" s="1">
        <f t="shared" si="157"/>
        <v>2025</v>
      </c>
      <c r="B358" s="3606">
        <f t="shared" si="160"/>
        <v>45900</v>
      </c>
      <c r="C358" s="205">
        <f t="shared" ca="1" si="162"/>
        <v>0</v>
      </c>
      <c r="D358" s="205">
        <f t="shared" ca="1" si="163"/>
        <v>0</v>
      </c>
      <c r="E358" s="205">
        <f t="shared" ca="1" si="163"/>
        <v>0</v>
      </c>
      <c r="F358" s="205">
        <f t="shared" ca="1" si="163"/>
        <v>0</v>
      </c>
      <c r="G358" s="1" t="b">
        <f t="shared" ca="1" si="159"/>
        <v>1</v>
      </c>
    </row>
    <row r="359" spans="1:7" ht="12" customHeight="1">
      <c r="A359" s="1">
        <f t="shared" si="157"/>
        <v>2025</v>
      </c>
      <c r="B359" s="3606">
        <f t="shared" si="160"/>
        <v>45930</v>
      </c>
      <c r="C359" s="205">
        <f t="shared" ca="1" si="162"/>
        <v>0</v>
      </c>
      <c r="D359" s="205">
        <f t="shared" ca="1" si="163"/>
        <v>0</v>
      </c>
      <c r="E359" s="205">
        <f t="shared" ca="1" si="163"/>
        <v>0</v>
      </c>
      <c r="F359" s="205">
        <f t="shared" ca="1" si="163"/>
        <v>0</v>
      </c>
      <c r="G359" s="1" t="b">
        <f t="shared" ca="1" si="159"/>
        <v>1</v>
      </c>
    </row>
    <row r="360" spans="1:7" ht="12" customHeight="1">
      <c r="A360" s="1">
        <f t="shared" si="157"/>
        <v>2025</v>
      </c>
      <c r="B360" s="3606">
        <f t="shared" si="160"/>
        <v>45961</v>
      </c>
      <c r="C360" s="205">
        <f t="shared" ca="1" si="162"/>
        <v>0</v>
      </c>
      <c r="D360" s="205">
        <f t="shared" ca="1" si="163"/>
        <v>0</v>
      </c>
      <c r="E360" s="205">
        <f t="shared" ca="1" si="163"/>
        <v>0</v>
      </c>
      <c r="F360" s="205">
        <f t="shared" ca="1" si="163"/>
        <v>0</v>
      </c>
      <c r="G360" s="1" t="b">
        <f t="shared" ca="1" si="159"/>
        <v>1</v>
      </c>
    </row>
    <row r="361" spans="1:7" ht="12" customHeight="1">
      <c r="A361" s="1">
        <f t="shared" si="157"/>
        <v>2025</v>
      </c>
      <c r="B361" s="3606">
        <f t="shared" si="160"/>
        <v>45991</v>
      </c>
      <c r="C361" s="205">
        <f t="shared" ca="1" si="162"/>
        <v>0</v>
      </c>
      <c r="D361" s="205">
        <f t="shared" ca="1" si="163"/>
        <v>0</v>
      </c>
      <c r="E361" s="205">
        <f t="shared" ca="1" si="163"/>
        <v>0</v>
      </c>
      <c r="F361" s="205">
        <f t="shared" ca="1" si="163"/>
        <v>0</v>
      </c>
      <c r="G361" s="1" t="b">
        <f t="shared" ca="1" si="159"/>
        <v>1</v>
      </c>
    </row>
    <row r="362" spans="1:7" ht="12" customHeight="1">
      <c r="A362" s="1">
        <f t="shared" si="157"/>
        <v>2025</v>
      </c>
      <c r="B362" s="3606">
        <f t="shared" si="160"/>
        <v>46022</v>
      </c>
      <c r="C362" s="205">
        <f t="shared" ca="1" si="162"/>
        <v>0</v>
      </c>
      <c r="D362" s="205">
        <f t="shared" ca="1" si="163"/>
        <v>0</v>
      </c>
      <c r="E362" s="205">
        <f t="shared" ca="1" si="163"/>
        <v>0</v>
      </c>
      <c r="F362" s="205">
        <f t="shared" ca="1" si="163"/>
        <v>0</v>
      </c>
      <c r="G362" s="1" t="b">
        <f t="shared" ca="1" si="159"/>
        <v>1</v>
      </c>
    </row>
    <row r="363" spans="1:7" ht="12" customHeight="1">
      <c r="A363" s="1">
        <f t="shared" si="157"/>
        <v>2026</v>
      </c>
      <c r="B363" s="3606">
        <f t="shared" si="160"/>
        <v>46053</v>
      </c>
      <c r="C363" s="205">
        <f t="shared" ca="1" si="162"/>
        <v>0</v>
      </c>
      <c r="D363" s="205">
        <f t="shared" ca="1" si="163"/>
        <v>0</v>
      </c>
      <c r="E363" s="205">
        <f t="shared" ca="1" si="163"/>
        <v>0</v>
      </c>
      <c r="F363" s="205">
        <f t="shared" ca="1" si="163"/>
        <v>0</v>
      </c>
      <c r="G363" s="1" t="b">
        <f t="shared" ca="1" si="159"/>
        <v>1</v>
      </c>
    </row>
    <row r="364" spans="1:7" ht="12" customHeight="1">
      <c r="A364" s="1">
        <f t="shared" si="157"/>
        <v>2026</v>
      </c>
      <c r="B364" s="3606">
        <f t="shared" si="160"/>
        <v>46081</v>
      </c>
      <c r="C364" s="205">
        <f t="shared" ca="1" si="162"/>
        <v>0</v>
      </c>
      <c r="D364" s="205">
        <f t="shared" ca="1" si="163"/>
        <v>0</v>
      </c>
      <c r="E364" s="205">
        <f t="shared" ca="1" si="163"/>
        <v>0</v>
      </c>
      <c r="F364" s="205">
        <f t="shared" ca="1" si="163"/>
        <v>0</v>
      </c>
      <c r="G364" s="1" t="b">
        <f t="shared" ca="1" si="159"/>
        <v>1</v>
      </c>
    </row>
    <row r="365" spans="1:7" ht="12" customHeight="1">
      <c r="A365" s="1">
        <f t="shared" si="157"/>
        <v>2026</v>
      </c>
      <c r="B365" s="3606">
        <f t="shared" si="160"/>
        <v>46112</v>
      </c>
      <c r="C365" s="205">
        <f t="shared" ca="1" si="162"/>
        <v>0</v>
      </c>
      <c r="D365" s="205">
        <f t="shared" ca="1" si="163"/>
        <v>0</v>
      </c>
      <c r="E365" s="205">
        <f t="shared" ca="1" si="163"/>
        <v>0</v>
      </c>
      <c r="F365" s="205">
        <f t="shared" ca="1" si="163"/>
        <v>0</v>
      </c>
      <c r="G365" s="1" t="b">
        <f t="shared" ca="1" si="159"/>
        <v>1</v>
      </c>
    </row>
    <row r="366" spans="1:7" ht="12" customHeight="1">
      <c r="A366" s="1">
        <f t="shared" si="157"/>
        <v>2026</v>
      </c>
      <c r="B366" s="3606">
        <f t="shared" si="160"/>
        <v>46142</v>
      </c>
      <c r="C366" s="205">
        <f t="shared" ca="1" si="162"/>
        <v>0</v>
      </c>
      <c r="D366" s="205">
        <f t="shared" ca="1" si="163"/>
        <v>0</v>
      </c>
      <c r="E366" s="205">
        <f t="shared" ca="1" si="163"/>
        <v>0</v>
      </c>
      <c r="F366" s="205">
        <f t="shared" ca="1" si="163"/>
        <v>0</v>
      </c>
      <c r="G366" s="1" t="b">
        <f t="shared" ca="1" si="159"/>
        <v>1</v>
      </c>
    </row>
    <row r="367" spans="1:7" ht="12" customHeight="1">
      <c r="A367" s="1">
        <f t="shared" si="157"/>
        <v>2026</v>
      </c>
      <c r="B367" s="3606">
        <f t="shared" si="160"/>
        <v>46173</v>
      </c>
      <c r="C367" s="205">
        <f t="shared" ca="1" si="162"/>
        <v>0</v>
      </c>
      <c r="D367" s="205">
        <f t="shared" ca="1" si="163"/>
        <v>0</v>
      </c>
      <c r="E367" s="205">
        <f t="shared" ca="1" si="163"/>
        <v>0</v>
      </c>
      <c r="F367" s="205">
        <f t="shared" ca="1" si="163"/>
        <v>0</v>
      </c>
      <c r="G367" s="1" t="b">
        <f t="shared" ca="1" si="159"/>
        <v>1</v>
      </c>
    </row>
    <row r="368" spans="1:7" ht="12" customHeight="1">
      <c r="A368" s="1">
        <f t="shared" si="157"/>
        <v>2026</v>
      </c>
      <c r="B368" s="3606">
        <f t="shared" si="160"/>
        <v>46203</v>
      </c>
      <c r="C368" s="205">
        <f t="shared" ca="1" si="162"/>
        <v>0</v>
      </c>
      <c r="D368" s="205">
        <f t="shared" ca="1" si="163"/>
        <v>0</v>
      </c>
      <c r="E368" s="205">
        <f t="shared" ca="1" si="163"/>
        <v>0</v>
      </c>
      <c r="F368" s="205">
        <f t="shared" ca="1" si="163"/>
        <v>0</v>
      </c>
      <c r="G368" s="1" t="b">
        <f t="shared" ca="1" si="159"/>
        <v>1</v>
      </c>
    </row>
    <row r="369" spans="1:7" ht="12" customHeight="1">
      <c r="A369" s="1">
        <f t="shared" si="157"/>
        <v>2026</v>
      </c>
      <c r="B369" s="3606">
        <f t="shared" si="160"/>
        <v>46234</v>
      </c>
      <c r="C369" s="205">
        <f t="shared" ca="1" si="162"/>
        <v>0</v>
      </c>
      <c r="D369" s="205">
        <f t="shared" ca="1" si="163"/>
        <v>0</v>
      </c>
      <c r="E369" s="205">
        <f t="shared" ca="1" si="163"/>
        <v>0</v>
      </c>
      <c r="F369" s="205">
        <f t="shared" ca="1" si="163"/>
        <v>0</v>
      </c>
      <c r="G369" s="1" t="b">
        <f t="shared" ca="1" si="159"/>
        <v>1</v>
      </c>
    </row>
    <row r="370" spans="1:7" ht="12" customHeight="1">
      <c r="A370" s="1">
        <f t="shared" si="157"/>
        <v>2026</v>
      </c>
      <c r="B370" s="3606">
        <f t="shared" si="160"/>
        <v>46265</v>
      </c>
      <c r="C370" s="205">
        <f t="shared" ca="1" si="162"/>
        <v>0</v>
      </c>
      <c r="D370" s="205">
        <f t="shared" ca="1" si="163"/>
        <v>0</v>
      </c>
      <c r="E370" s="205">
        <f t="shared" ca="1" si="163"/>
        <v>0</v>
      </c>
      <c r="F370" s="205">
        <f t="shared" ca="1" si="163"/>
        <v>0</v>
      </c>
      <c r="G370" s="1" t="b">
        <f t="shared" ca="1" si="159"/>
        <v>1</v>
      </c>
    </row>
    <row r="371" spans="1:7" ht="12" customHeight="1">
      <c r="A371" s="1">
        <f t="shared" si="157"/>
        <v>2026</v>
      </c>
      <c r="B371" s="3606">
        <f t="shared" si="160"/>
        <v>46295</v>
      </c>
      <c r="C371" s="205">
        <f t="shared" ca="1" si="162"/>
        <v>0</v>
      </c>
      <c r="D371" s="205">
        <f t="shared" ca="1" si="163"/>
        <v>0</v>
      </c>
      <c r="E371" s="205">
        <f t="shared" ca="1" si="163"/>
        <v>0</v>
      </c>
      <c r="F371" s="205">
        <f t="shared" ca="1" si="163"/>
        <v>0</v>
      </c>
      <c r="G371" s="1" t="b">
        <f t="shared" ca="1" si="159"/>
        <v>1</v>
      </c>
    </row>
    <row r="372" spans="1:7" ht="12" customHeight="1">
      <c r="A372" s="1">
        <f t="shared" si="157"/>
        <v>2026</v>
      </c>
      <c r="B372" s="3606">
        <f t="shared" si="160"/>
        <v>46326</v>
      </c>
      <c r="C372" s="205">
        <f t="shared" ca="1" si="162"/>
        <v>0</v>
      </c>
      <c r="D372" s="205">
        <f t="shared" ca="1" si="163"/>
        <v>0</v>
      </c>
      <c r="E372" s="205">
        <f t="shared" ca="1" si="163"/>
        <v>0</v>
      </c>
      <c r="F372" s="205">
        <f t="shared" ca="1" si="163"/>
        <v>0</v>
      </c>
      <c r="G372" s="1" t="b">
        <f t="shared" ca="1" si="159"/>
        <v>1</v>
      </c>
    </row>
    <row r="373" spans="1:7" ht="12" customHeight="1">
      <c r="A373" s="1">
        <f t="shared" si="157"/>
        <v>2026</v>
      </c>
      <c r="B373" s="3606">
        <f t="shared" si="160"/>
        <v>46356</v>
      </c>
      <c r="C373" s="205">
        <f t="shared" ca="1" si="162"/>
        <v>0</v>
      </c>
      <c r="D373" s="205">
        <f t="shared" ca="1" si="163"/>
        <v>0</v>
      </c>
      <c r="E373" s="205">
        <f t="shared" ca="1" si="163"/>
        <v>0</v>
      </c>
      <c r="F373" s="205">
        <f t="shared" ca="1" si="163"/>
        <v>0</v>
      </c>
      <c r="G373" s="1" t="b">
        <f t="shared" ca="1" si="159"/>
        <v>1</v>
      </c>
    </row>
    <row r="374" spans="1:7" ht="12" customHeight="1">
      <c r="A374" s="1">
        <f t="shared" si="157"/>
        <v>2026</v>
      </c>
      <c r="B374" s="3606">
        <f t="shared" si="160"/>
        <v>46387</v>
      </c>
      <c r="C374" s="205">
        <f t="shared" ca="1" si="162"/>
        <v>0</v>
      </c>
      <c r="D374" s="205">
        <f t="shared" ca="1" si="163"/>
        <v>0</v>
      </c>
      <c r="E374" s="205">
        <f t="shared" ca="1" si="163"/>
        <v>0</v>
      </c>
      <c r="F374" s="205">
        <f t="shared" ca="1" si="163"/>
        <v>0</v>
      </c>
      <c r="G374" s="1" t="b">
        <f t="shared" ca="1" si="159"/>
        <v>1</v>
      </c>
    </row>
    <row r="375" spans="1:7" ht="12" customHeight="1">
      <c r="A375" s="1">
        <f t="shared" si="157"/>
        <v>2027</v>
      </c>
      <c r="B375" s="3606">
        <f t="shared" si="160"/>
        <v>46418</v>
      </c>
      <c r="C375" s="205">
        <f t="shared" ca="1" si="162"/>
        <v>0</v>
      </c>
      <c r="D375" s="205">
        <f t="shared" ca="1" si="163"/>
        <v>0</v>
      </c>
      <c r="E375" s="205">
        <f t="shared" ca="1" si="163"/>
        <v>0</v>
      </c>
      <c r="F375" s="205">
        <f t="shared" ca="1" si="163"/>
        <v>0</v>
      </c>
      <c r="G375" s="1" t="b">
        <f t="shared" ca="1" si="159"/>
        <v>1</v>
      </c>
    </row>
    <row r="376" spans="1:7" ht="12" customHeight="1">
      <c r="A376" s="1">
        <f t="shared" si="157"/>
        <v>2027</v>
      </c>
      <c r="B376" s="3606">
        <f t="shared" si="160"/>
        <v>46446</v>
      </c>
      <c r="C376" s="205">
        <f t="shared" ca="1" si="162"/>
        <v>0</v>
      </c>
      <c r="D376" s="205">
        <f t="shared" ca="1" si="163"/>
        <v>0</v>
      </c>
      <c r="E376" s="205">
        <f t="shared" ca="1" si="163"/>
        <v>0</v>
      </c>
      <c r="F376" s="205">
        <f t="shared" ca="1" si="163"/>
        <v>0</v>
      </c>
      <c r="G376" s="1" t="b">
        <f t="shared" ca="1" si="159"/>
        <v>1</v>
      </c>
    </row>
    <row r="377" spans="1:7" ht="12" customHeight="1">
      <c r="A377" s="1">
        <f t="shared" si="157"/>
        <v>2027</v>
      </c>
      <c r="B377" s="3606">
        <f t="shared" si="160"/>
        <v>46477</v>
      </c>
      <c r="C377" s="205">
        <f t="shared" ca="1" si="162"/>
        <v>0</v>
      </c>
      <c r="D377" s="205">
        <f t="shared" ca="1" si="163"/>
        <v>0</v>
      </c>
      <c r="E377" s="205">
        <f t="shared" ca="1" si="163"/>
        <v>0</v>
      </c>
      <c r="F377" s="205">
        <f t="shared" ca="1" si="163"/>
        <v>0</v>
      </c>
      <c r="G377" s="1" t="b">
        <f t="shared" ca="1" si="159"/>
        <v>1</v>
      </c>
    </row>
    <row r="378" spans="1:7" ht="12" customHeight="1">
      <c r="A378" s="1">
        <f t="shared" si="157"/>
        <v>2027</v>
      </c>
      <c r="B378" s="3606">
        <f t="shared" si="160"/>
        <v>46507</v>
      </c>
      <c r="C378" s="205">
        <f t="shared" ca="1" si="162"/>
        <v>0</v>
      </c>
      <c r="D378" s="205">
        <f t="shared" ca="1" si="163"/>
        <v>0</v>
      </c>
      <c r="E378" s="205">
        <f t="shared" ca="1" si="163"/>
        <v>0</v>
      </c>
      <c r="F378" s="205">
        <f t="shared" ca="1" si="163"/>
        <v>0</v>
      </c>
      <c r="G378" s="1" t="b">
        <f t="shared" ca="1" si="159"/>
        <v>1</v>
      </c>
    </row>
    <row r="379" spans="1:7" ht="12" customHeight="1">
      <c r="A379" s="1">
        <f t="shared" si="157"/>
        <v>2027</v>
      </c>
      <c r="B379" s="3606">
        <f t="shared" si="160"/>
        <v>46538</v>
      </c>
      <c r="C379" s="205">
        <f t="shared" ca="1" si="162"/>
        <v>0</v>
      </c>
      <c r="D379" s="205">
        <f t="shared" ca="1" si="163"/>
        <v>0</v>
      </c>
      <c r="E379" s="205">
        <f t="shared" ca="1" si="163"/>
        <v>0</v>
      </c>
      <c r="F379" s="205">
        <f t="shared" ca="1" si="163"/>
        <v>0</v>
      </c>
      <c r="G379" s="1" t="b">
        <f t="shared" ca="1" si="159"/>
        <v>1</v>
      </c>
    </row>
    <row r="380" spans="1:7" ht="12" customHeight="1">
      <c r="A380" s="1">
        <f t="shared" si="157"/>
        <v>2027</v>
      </c>
      <c r="B380" s="3606">
        <f t="shared" si="160"/>
        <v>46568</v>
      </c>
      <c r="C380" s="205">
        <f t="shared" ca="1" si="162"/>
        <v>0</v>
      </c>
      <c r="D380" s="205">
        <f t="shared" ca="1" si="163"/>
        <v>0</v>
      </c>
      <c r="E380" s="205">
        <f t="shared" ca="1" si="163"/>
        <v>0</v>
      </c>
      <c r="F380" s="205">
        <f t="shared" ca="1" si="163"/>
        <v>0</v>
      </c>
      <c r="G380" s="1" t="b">
        <f t="shared" ca="1" si="159"/>
        <v>1</v>
      </c>
    </row>
    <row r="381" spans="1:7" ht="12" customHeight="1">
      <c r="A381" s="1">
        <f t="shared" si="157"/>
        <v>2027</v>
      </c>
      <c r="B381" s="3606">
        <f t="shared" si="160"/>
        <v>46599</v>
      </c>
      <c r="C381" s="205">
        <f t="shared" ca="1" si="162"/>
        <v>0</v>
      </c>
      <c r="D381" s="205">
        <f t="shared" ca="1" si="163"/>
        <v>0</v>
      </c>
      <c r="E381" s="205">
        <f t="shared" ca="1" si="163"/>
        <v>0</v>
      </c>
      <c r="F381" s="205">
        <f t="shared" ca="1" si="163"/>
        <v>0</v>
      </c>
      <c r="G381" s="1" t="b">
        <f t="shared" ca="1" si="159"/>
        <v>1</v>
      </c>
    </row>
    <row r="382" spans="1:7" ht="12" customHeight="1">
      <c r="A382" s="1">
        <f t="shared" si="157"/>
        <v>2027</v>
      </c>
      <c r="B382" s="3606">
        <f t="shared" si="160"/>
        <v>46630</v>
      </c>
      <c r="C382" s="205">
        <f t="shared" ca="1" si="162"/>
        <v>0</v>
      </c>
      <c r="D382" s="205">
        <f t="shared" ca="1" si="163"/>
        <v>0</v>
      </c>
      <c r="E382" s="205">
        <f t="shared" ca="1" si="163"/>
        <v>0</v>
      </c>
      <c r="F382" s="205">
        <f t="shared" ca="1" si="163"/>
        <v>0</v>
      </c>
      <c r="G382" s="1" t="b">
        <f t="shared" ca="1" si="159"/>
        <v>1</v>
      </c>
    </row>
    <row r="383" spans="1:7" ht="12" customHeight="1">
      <c r="A383" s="1">
        <f t="shared" si="157"/>
        <v>2027</v>
      </c>
      <c r="B383" s="3606">
        <f t="shared" si="160"/>
        <v>46660</v>
      </c>
      <c r="C383" s="205">
        <f t="shared" ca="1" si="162"/>
        <v>0</v>
      </c>
      <c r="D383" s="205">
        <f t="shared" ca="1" si="163"/>
        <v>0</v>
      </c>
      <c r="E383" s="205">
        <f t="shared" ca="1" si="163"/>
        <v>0</v>
      </c>
      <c r="F383" s="205">
        <f t="shared" ca="1" si="163"/>
        <v>0</v>
      </c>
      <c r="G383" s="1" t="b">
        <f t="shared" ca="1" si="159"/>
        <v>1</v>
      </c>
    </row>
    <row r="384" spans="1:7" ht="12" customHeight="1">
      <c r="A384" s="1">
        <f t="shared" si="157"/>
        <v>2027</v>
      </c>
      <c r="B384" s="3606">
        <f t="shared" si="160"/>
        <v>46691</v>
      </c>
      <c r="C384" s="205">
        <f t="shared" ref="C384:C392" ca="1" si="164">AK305</f>
        <v>0</v>
      </c>
      <c r="D384" s="205">
        <f t="shared" ca="1" si="163"/>
        <v>0</v>
      </c>
      <c r="E384" s="205">
        <f t="shared" ca="1" si="163"/>
        <v>0</v>
      </c>
      <c r="F384" s="205">
        <f t="shared" ca="1" si="163"/>
        <v>0</v>
      </c>
      <c r="G384" s="1" t="b">
        <f t="shared" ca="1" si="159"/>
        <v>1</v>
      </c>
    </row>
    <row r="385" spans="1:7" ht="12" customHeight="1">
      <c r="A385" s="1">
        <f t="shared" ref="A385:A392" si="165">YEAR(B385)</f>
        <v>2027</v>
      </c>
      <c r="B385" s="3606">
        <f t="shared" si="160"/>
        <v>46721</v>
      </c>
      <c r="C385" s="205">
        <f t="shared" ca="1" si="164"/>
        <v>0</v>
      </c>
      <c r="D385" s="205">
        <f t="shared" ca="1" si="163"/>
        <v>0</v>
      </c>
      <c r="E385" s="205">
        <f t="shared" ca="1" si="163"/>
        <v>0</v>
      </c>
      <c r="F385" s="205">
        <f t="shared" ca="1" si="163"/>
        <v>0</v>
      </c>
      <c r="G385" s="1" t="b">
        <f t="shared" ref="G385:G392" ca="1" si="166">C385=SUM(D385:F385)</f>
        <v>1</v>
      </c>
    </row>
    <row r="386" spans="1:7" ht="12" customHeight="1">
      <c r="A386" s="1">
        <f t="shared" si="165"/>
        <v>2027</v>
      </c>
      <c r="B386" s="3606">
        <f t="shared" ref="B386:B392" si="167">EOMONTH(B385,1)</f>
        <v>46752</v>
      </c>
      <c r="C386" s="205">
        <f t="shared" ca="1" si="164"/>
        <v>0</v>
      </c>
      <c r="D386" s="205">
        <f t="shared" ca="1" si="163"/>
        <v>0</v>
      </c>
      <c r="E386" s="205">
        <f t="shared" ca="1" si="163"/>
        <v>0</v>
      </c>
      <c r="F386" s="205">
        <f t="shared" ca="1" si="163"/>
        <v>0</v>
      </c>
      <c r="G386" s="1" t="b">
        <f t="shared" ca="1" si="166"/>
        <v>1</v>
      </c>
    </row>
    <row r="387" spans="1:7" ht="12" customHeight="1">
      <c r="A387" s="1">
        <f t="shared" si="165"/>
        <v>2028</v>
      </c>
      <c r="B387" s="3606">
        <f t="shared" si="167"/>
        <v>46783</v>
      </c>
      <c r="C387" s="205">
        <f t="shared" ca="1" si="164"/>
        <v>0</v>
      </c>
      <c r="D387" s="205">
        <f t="shared" ca="1" si="163"/>
        <v>0</v>
      </c>
      <c r="E387" s="205">
        <f t="shared" ca="1" si="163"/>
        <v>0</v>
      </c>
      <c r="F387" s="205">
        <f t="shared" ca="1" si="163"/>
        <v>0</v>
      </c>
      <c r="G387" s="1" t="b">
        <f t="shared" ca="1" si="166"/>
        <v>1</v>
      </c>
    </row>
    <row r="388" spans="1:7" ht="12" customHeight="1">
      <c r="A388" s="1">
        <f t="shared" si="165"/>
        <v>2028</v>
      </c>
      <c r="B388" s="3606">
        <f t="shared" si="167"/>
        <v>46812</v>
      </c>
      <c r="C388" s="205">
        <f t="shared" ca="1" si="164"/>
        <v>0</v>
      </c>
      <c r="D388" s="205">
        <f t="shared" ca="1" si="163"/>
        <v>0</v>
      </c>
      <c r="E388" s="205">
        <f t="shared" ca="1" si="163"/>
        <v>0</v>
      </c>
      <c r="F388" s="205">
        <f t="shared" ca="1" si="163"/>
        <v>0</v>
      </c>
      <c r="G388" s="1" t="b">
        <f t="shared" ca="1" si="166"/>
        <v>1</v>
      </c>
    </row>
    <row r="389" spans="1:7" ht="12" customHeight="1">
      <c r="A389" s="1">
        <f t="shared" si="165"/>
        <v>2028</v>
      </c>
      <c r="B389" s="3606">
        <f t="shared" si="167"/>
        <v>46843</v>
      </c>
      <c r="C389" s="205">
        <f t="shared" ca="1" si="164"/>
        <v>0</v>
      </c>
      <c r="D389" s="205">
        <f t="shared" ca="1" si="163"/>
        <v>0</v>
      </c>
      <c r="E389" s="205">
        <f t="shared" ca="1" si="163"/>
        <v>0</v>
      </c>
      <c r="F389" s="205">
        <f t="shared" ca="1" si="163"/>
        <v>0</v>
      </c>
      <c r="G389" s="1" t="b">
        <f t="shared" ca="1" si="166"/>
        <v>1</v>
      </c>
    </row>
    <row r="390" spans="1:7" ht="12" customHeight="1">
      <c r="A390" s="1">
        <f t="shared" si="165"/>
        <v>2028</v>
      </c>
      <c r="B390" s="3606">
        <f t="shared" si="167"/>
        <v>46873</v>
      </c>
      <c r="C390" s="205">
        <f t="shared" ca="1" si="164"/>
        <v>0</v>
      </c>
      <c r="D390" s="205">
        <f t="shared" ca="1" si="163"/>
        <v>0</v>
      </c>
      <c r="E390" s="205">
        <f t="shared" ca="1" si="163"/>
        <v>0</v>
      </c>
      <c r="F390" s="205">
        <f t="shared" ca="1" si="163"/>
        <v>0</v>
      </c>
      <c r="G390" s="1" t="b">
        <f t="shared" ca="1" si="166"/>
        <v>1</v>
      </c>
    </row>
    <row r="391" spans="1:7" ht="12" customHeight="1">
      <c r="A391" s="1">
        <f t="shared" si="165"/>
        <v>2028</v>
      </c>
      <c r="B391" s="3606">
        <f t="shared" si="167"/>
        <v>46904</v>
      </c>
      <c r="C391" s="205">
        <f t="shared" ca="1" si="164"/>
        <v>0</v>
      </c>
      <c r="D391" s="205">
        <f t="shared" ca="1" si="163"/>
        <v>0</v>
      </c>
      <c r="E391" s="205">
        <f t="shared" ca="1" si="163"/>
        <v>0</v>
      </c>
      <c r="F391" s="205">
        <f t="shared" ca="1" si="163"/>
        <v>0</v>
      </c>
      <c r="G391" s="1" t="b">
        <f t="shared" ca="1" si="166"/>
        <v>1</v>
      </c>
    </row>
    <row r="392" spans="1:7" ht="12" customHeight="1">
      <c r="A392" s="1">
        <f t="shared" si="165"/>
        <v>2028</v>
      </c>
      <c r="B392" s="4544">
        <f t="shared" si="167"/>
        <v>46934</v>
      </c>
      <c r="C392" s="208">
        <f t="shared" ca="1" si="164"/>
        <v>0</v>
      </c>
      <c r="D392" s="208">
        <f t="shared" ca="1" si="163"/>
        <v>0</v>
      </c>
      <c r="E392" s="208">
        <f t="shared" ca="1" si="163"/>
        <v>0</v>
      </c>
      <c r="F392" s="208">
        <f t="shared" ca="1" si="163"/>
        <v>0</v>
      </c>
      <c r="G392" s="1" t="b">
        <f t="shared" ca="1" si="166"/>
        <v>1</v>
      </c>
    </row>
  </sheetData>
  <mergeCells count="41">
    <mergeCell ref="B119:B120"/>
    <mergeCell ref="G119:H119"/>
    <mergeCell ref="B127:D127"/>
    <mergeCell ref="B149:D149"/>
    <mergeCell ref="C119:D119"/>
    <mergeCell ref="E119:F119"/>
    <mergeCell ref="B190:D190"/>
    <mergeCell ref="B175:D175"/>
    <mergeCell ref="B135:D135"/>
    <mergeCell ref="AA239:AC239"/>
    <mergeCell ref="AD239:AF239"/>
    <mergeCell ref="O151:O159"/>
    <mergeCell ref="O165:O173"/>
    <mergeCell ref="K212:K216"/>
    <mergeCell ref="K221:K225"/>
    <mergeCell ref="X149:Y150"/>
    <mergeCell ref="Z149:AD149"/>
    <mergeCell ref="X157:Y158"/>
    <mergeCell ref="Z157:AD157"/>
    <mergeCell ref="AK239:AK240"/>
    <mergeCell ref="AL239:AL240"/>
    <mergeCell ref="B318:B319"/>
    <mergeCell ref="C318:C319"/>
    <mergeCell ref="D318:D319"/>
    <mergeCell ref="E318:E319"/>
    <mergeCell ref="B239:B240"/>
    <mergeCell ref="C239:H239"/>
    <mergeCell ref="T239:V239"/>
    <mergeCell ref="X239:Z239"/>
    <mergeCell ref="AG239:AI239"/>
    <mergeCell ref="F318:F319"/>
    <mergeCell ref="B95:D95"/>
    <mergeCell ref="B103:D103"/>
    <mergeCell ref="B112:D112"/>
    <mergeCell ref="B7:E7"/>
    <mergeCell ref="B13:E13"/>
    <mergeCell ref="B21:E21"/>
    <mergeCell ref="B26:E26"/>
    <mergeCell ref="B65:E65"/>
    <mergeCell ref="B87:D87"/>
    <mergeCell ref="B69:E69"/>
  </mergeCells>
  <phoneticPr fontId="1" type="noConversion"/>
  <conditionalFormatting sqref="AL241:AL313">
    <cfRule type="containsText" dxfId="1977" priority="1" operator="containsText" text="준수">
      <formula>NOT(ISERROR(SEARCH("준수",AL241)))</formula>
    </cfRule>
    <cfRule type="containsText" dxfId="1976" priority="2" operator="containsText" text="초과">
      <formula>NOT(ISERROR(SEARCH("초과",AL241)))</formula>
    </cfRule>
  </conditionalFormatting>
  <dataValidations disablePrompts="1" count="3">
    <dataValidation type="list" allowBlank="1" showInputMessage="1" showErrorMessage="1" sqref="F27 F17" xr:uid="{B463C6D2-6E4C-4DB6-9D4C-6077B511CBA8}">
      <formula1>"O,X"</formula1>
    </dataValidation>
    <dataValidation type="list" allowBlank="1" showInputMessage="1" showErrorMessage="1" sqref="F14 F23" xr:uid="{5B957363-007A-4729-A7B0-C620461E8A05}">
      <formula1>$B$241:$B$313</formula1>
    </dataValidation>
    <dataValidation type="list" allowBlank="1" showInputMessage="1" showErrorMessage="1" sqref="D38 D49" xr:uid="{9411BFE2-397F-438D-A1C3-4906BA5BE1CC}">
      <formula1>"현시점유지,추정치반영"</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8003" r:id="rId4" name="Scroll Bar 3">
              <controlPr defaultSize="0" autoPict="0">
                <anchor moveWithCells="1">
                  <from>
                    <xdr:col>5</xdr:col>
                    <xdr:colOff>0</xdr:colOff>
                    <xdr:row>30</xdr:row>
                    <xdr:rowOff>19050</xdr:rowOff>
                  </from>
                  <to>
                    <xdr:col>6</xdr:col>
                    <xdr:colOff>9525</xdr:colOff>
                    <xdr:row>31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37B97-668E-442D-9127-5AF08C155194}">
  <sheetPr>
    <tabColor rgb="FF00B050"/>
  </sheetPr>
  <dimension ref="A1:R38"/>
  <sheetViews>
    <sheetView showGridLines="0" workbookViewId="0">
      <selection activeCell="J14" sqref="J14"/>
    </sheetView>
  </sheetViews>
  <sheetFormatPr defaultColWidth="9" defaultRowHeight="12"/>
  <cols>
    <col min="1" max="1" width="4.625" style="3" customWidth="1"/>
    <col min="2" max="5" width="1.625" style="3" customWidth="1"/>
    <col min="6" max="7" width="9" style="3"/>
    <col min="8" max="8" width="9.75" style="3" bestFit="1" customWidth="1"/>
    <col min="9" max="16384" width="9" style="3"/>
  </cols>
  <sheetData>
    <row r="1" spans="1:18">
      <c r="A1" s="2" t="str">
        <f ca="1">MID(CELL("filename",A1),FIND("]",CELL("filename",A1))+1,255)</f>
        <v>RIM</v>
      </c>
      <c r="B1" s="2"/>
      <c r="C1" s="2"/>
      <c r="D1" s="2"/>
      <c r="E1" s="2"/>
      <c r="F1" s="2"/>
      <c r="G1" s="2"/>
      <c r="H1" s="2"/>
      <c r="I1" s="2"/>
      <c r="J1" s="2"/>
      <c r="K1" s="2"/>
      <c r="L1" s="2"/>
      <c r="M1" s="2"/>
      <c r="N1" s="2"/>
      <c r="O1" s="2"/>
      <c r="P1" s="2"/>
      <c r="Q1" s="2"/>
      <c r="R1" s="2"/>
    </row>
    <row r="3" spans="1:18">
      <c r="B3" s="24"/>
      <c r="C3" s="24"/>
      <c r="D3" s="24"/>
      <c r="E3" s="24"/>
      <c r="F3" s="24"/>
      <c r="G3" s="24"/>
      <c r="H3" s="24"/>
      <c r="I3" s="24"/>
      <c r="J3" s="26"/>
      <c r="K3" s="26"/>
      <c r="L3" s="26"/>
      <c r="M3" s="26"/>
      <c r="N3" s="26"/>
      <c r="O3" s="26"/>
      <c r="P3" s="26"/>
    </row>
    <row r="4" spans="1:18">
      <c r="B4" s="28"/>
      <c r="C4" s="28"/>
      <c r="D4" s="28"/>
      <c r="E4" s="28"/>
      <c r="F4" s="28"/>
      <c r="G4" s="28"/>
      <c r="H4" s="28"/>
      <c r="I4" s="28"/>
      <c r="J4" s="30" t="s">
        <v>5174</v>
      </c>
      <c r="K4" s="30" t="s">
        <v>6</v>
      </c>
      <c r="L4" s="30" t="s">
        <v>7</v>
      </c>
      <c r="M4" s="30" t="s">
        <v>8</v>
      </c>
      <c r="N4" s="30" t="s">
        <v>9</v>
      </c>
      <c r="O4" s="30" t="s">
        <v>5102</v>
      </c>
      <c r="P4" s="30" t="s">
        <v>28</v>
      </c>
    </row>
    <row r="5" spans="1:18">
      <c r="B5" s="33" t="s">
        <v>2096</v>
      </c>
      <c r="C5" s="33"/>
      <c r="D5" s="33"/>
      <c r="E5" s="33"/>
      <c r="F5" s="33"/>
      <c r="G5" s="33"/>
      <c r="H5" s="33"/>
      <c r="I5" s="33"/>
      <c r="J5" s="105">
        <f>Proforma!N51</f>
        <v>64779.04861699992</v>
      </c>
      <c r="K5" s="105">
        <f>Proforma!P51</f>
        <v>277432.36668369954</v>
      </c>
      <c r="L5" s="105">
        <f>Proforma!Q51</f>
        <v>282278.87117985124</v>
      </c>
      <c r="M5" s="105">
        <f>Proforma!R51</f>
        <v>294123.81833308091</v>
      </c>
      <c r="N5" s="105">
        <f>Proforma!S51</f>
        <v>296130.10786238441</v>
      </c>
      <c r="O5" s="105">
        <f>Proforma!T51</f>
        <v>265962.9211637784</v>
      </c>
      <c r="P5" s="105"/>
    </row>
    <row r="6" spans="1:18">
      <c r="B6" s="12" t="s">
        <v>10998</v>
      </c>
      <c r="C6" s="12"/>
      <c r="D6" s="12"/>
      <c r="E6" s="12"/>
      <c r="F6" s="12"/>
      <c r="G6" s="12"/>
      <c r="H6" s="12"/>
      <c r="I6" s="12"/>
      <c r="J6" s="107">
        <f>AVERAGE(Proforma!M32:N32)</f>
        <v>2263607.4579946133</v>
      </c>
      <c r="K6" s="107">
        <f>AVERAGE(Proforma!O32:P32)</f>
        <v>2264150.8654308496</v>
      </c>
      <c r="L6" s="107">
        <f>AVERAGE(Proforma!P32:Q32)</f>
        <v>2305681.8926916998</v>
      </c>
      <c r="M6" s="107">
        <f>AVERAGE(Proforma!Q32:R32)</f>
        <v>2453955.4279822782</v>
      </c>
      <c r="N6" s="107">
        <f>AVERAGE(Proforma!R32:S32)</f>
        <v>2604981.7187017775</v>
      </c>
      <c r="O6" s="107">
        <f>AVERAGE(Proforma!S32:T32)</f>
        <v>2738464.7516659927</v>
      </c>
      <c r="P6" s="107"/>
    </row>
    <row r="7" spans="1:18">
      <c r="B7" s="3" t="s">
        <v>10996</v>
      </c>
      <c r="J7" s="278">
        <f>J5/J6*4</f>
        <v>0.11447046330972828</v>
      </c>
      <c r="K7" s="278">
        <f>K5/K6</f>
        <v>0.1225326328380094</v>
      </c>
      <c r="L7" s="278">
        <f>L5/L6</f>
        <v>0.12242750054749016</v>
      </c>
      <c r="M7" s="278">
        <f>M5/M6</f>
        <v>0.11985703366051724</v>
      </c>
      <c r="N7" s="278">
        <f>N5/N6</f>
        <v>0.11367838236114926</v>
      </c>
      <c r="O7" s="278">
        <f>O5/O6</f>
        <v>9.7121177477992093E-2</v>
      </c>
      <c r="P7" s="105"/>
    </row>
    <row r="8" spans="1:18">
      <c r="B8" s="12" t="s">
        <v>10997</v>
      </c>
      <c r="C8" s="12"/>
      <c r="D8" s="12"/>
      <c r="E8" s="12"/>
      <c r="F8" s="12"/>
      <c r="G8" s="12"/>
      <c r="H8" s="12"/>
      <c r="I8" s="12"/>
      <c r="J8" s="4686">
        <f>$G$17</f>
        <v>0.12753586147786888</v>
      </c>
      <c r="K8" s="4686">
        <f>$G$17</f>
        <v>0.12753586147786888</v>
      </c>
      <c r="L8" s="4686">
        <f t="shared" ref="L8:O8" si="0">$G$17</f>
        <v>0.12753586147786888</v>
      </c>
      <c r="M8" s="4686">
        <f t="shared" si="0"/>
        <v>0.12753586147786888</v>
      </c>
      <c r="N8" s="4686">
        <f t="shared" si="0"/>
        <v>0.12753586147786888</v>
      </c>
      <c r="O8" s="4686">
        <f t="shared" si="0"/>
        <v>0.12753586147786888</v>
      </c>
      <c r="P8" s="107"/>
    </row>
    <row r="9" spans="1:18">
      <c r="B9" s="3" t="s">
        <v>10999</v>
      </c>
      <c r="J9" s="105">
        <f>J6*(J7-J8)/4</f>
        <v>-7393.7331837680576</v>
      </c>
      <c r="K9" s="105">
        <f>K6*(K7-K8)</f>
        <v>-11328.064454886262</v>
      </c>
      <c r="L9" s="105">
        <f t="shared" ref="L9:O9" si="1">L6*(L7-L8)</f>
        <v>-11778.255298507951</v>
      </c>
      <c r="M9" s="105">
        <f t="shared" si="1"/>
        <v>-18843.501202931377</v>
      </c>
      <c r="N9" s="105">
        <f t="shared" si="1"/>
        <v>-36098.479766346281</v>
      </c>
      <c r="O9" s="105">
        <f t="shared" si="1"/>
        <v>-83289.540066722242</v>
      </c>
      <c r="P9" s="105">
        <f>O9*((1+$G$16)/($G$17-$G$16))</f>
        <v>-715717.18120455591</v>
      </c>
    </row>
    <row r="10" spans="1:18">
      <c r="B10" s="3" t="s">
        <v>43</v>
      </c>
      <c r="J10" s="306">
        <f>H23/2</f>
        <v>0.12602739726027398</v>
      </c>
      <c r="K10" s="306">
        <f>H23+0.5</f>
        <v>0.75205479452054802</v>
      </c>
      <c r="L10" s="306">
        <f>K10+1</f>
        <v>1.752054794520548</v>
      </c>
      <c r="M10" s="306">
        <f>L10+1</f>
        <v>2.7520547945205482</v>
      </c>
      <c r="N10" s="306">
        <f>M10+1</f>
        <v>3.7520547945205482</v>
      </c>
      <c r="O10" s="306">
        <f>N10+1</f>
        <v>4.7520547945205482</v>
      </c>
      <c r="P10" s="306">
        <f>O10</f>
        <v>4.7520547945205482</v>
      </c>
    </row>
    <row r="11" spans="1:18">
      <c r="B11" s="12" t="s">
        <v>44</v>
      </c>
      <c r="C11" s="12"/>
      <c r="D11" s="12"/>
      <c r="E11" s="12"/>
      <c r="F11" s="12"/>
      <c r="G11" s="12"/>
      <c r="H11" s="12"/>
      <c r="I11" s="12"/>
      <c r="J11" s="311">
        <f>1/(1+$G$17)^J10</f>
        <v>0.98498620008230675</v>
      </c>
      <c r="K11" s="311">
        <f>1/(1+$G$17)^K10</f>
        <v>0.91368208615960433</v>
      </c>
      <c r="L11" s="311">
        <f t="shared" ref="L11:P11" si="2">1/(1+$G$17)^L10</f>
        <v>0.81033527834940422</v>
      </c>
      <c r="M11" s="311">
        <f t="shared" si="2"/>
        <v>0.71867805365169701</v>
      </c>
      <c r="N11" s="311">
        <f t="shared" si="2"/>
        <v>0.63738820041583477</v>
      </c>
      <c r="O11" s="311">
        <f t="shared" si="2"/>
        <v>0.56529306267953705</v>
      </c>
      <c r="P11" s="311">
        <f t="shared" si="2"/>
        <v>0.56529306267953705</v>
      </c>
    </row>
    <row r="12" spans="1:18">
      <c r="B12" s="3" t="s">
        <v>11001</v>
      </c>
      <c r="J12" s="105">
        <f>J9*J11</f>
        <v>-7282.7251531021548</v>
      </c>
      <c r="K12" s="105">
        <f>K9*K11</f>
        <v>-10350.249563290941</v>
      </c>
      <c r="L12" s="105">
        <f t="shared" ref="L12:P12" si="3">L9*L11</f>
        <v>-9544.335785786785</v>
      </c>
      <c r="M12" s="105">
        <f t="shared" si="3"/>
        <v>-13542.410768506134</v>
      </c>
      <c r="N12" s="105">
        <f t="shared" si="3"/>
        <v>-23008.745056018881</v>
      </c>
      <c r="O12" s="105">
        <f t="shared" si="3"/>
        <v>-47082.999193487427</v>
      </c>
      <c r="P12" s="105">
        <f t="shared" si="3"/>
        <v>-404589.95737548859</v>
      </c>
    </row>
    <row r="13" spans="1:18">
      <c r="B13" s="12" t="s">
        <v>11002</v>
      </c>
      <c r="C13" s="12"/>
      <c r="D13" s="12"/>
      <c r="E13" s="12"/>
      <c r="F13" s="12"/>
      <c r="G13" s="12"/>
      <c r="H13" s="12"/>
      <c r="I13" s="12"/>
      <c r="J13" s="107">
        <f>Proforma!$M$32</f>
        <v>2232813.7339002267</v>
      </c>
      <c r="K13" s="107"/>
      <c r="L13" s="107"/>
      <c r="M13" s="107"/>
      <c r="N13" s="107"/>
      <c r="O13" s="107"/>
      <c r="P13" s="107"/>
    </row>
    <row r="14" spans="1:18">
      <c r="B14" s="3604" t="s">
        <v>15</v>
      </c>
      <c r="C14" s="3604"/>
      <c r="D14" s="3604"/>
      <c r="E14" s="3604"/>
      <c r="F14" s="3604"/>
      <c r="G14" s="3604"/>
      <c r="H14" s="3604"/>
      <c r="I14" s="3604"/>
      <c r="J14" s="4687">
        <f>SUM(J12:P12,J13)</f>
        <v>1717412.3110045458</v>
      </c>
      <c r="K14" s="4687"/>
      <c r="L14" s="4687"/>
      <c r="M14" s="4687"/>
      <c r="N14" s="4687"/>
      <c r="O14" s="4687"/>
      <c r="P14" s="4687"/>
    </row>
    <row r="15" spans="1:18">
      <c r="K15" s="105"/>
      <c r="L15" s="105"/>
      <c r="M15" s="105"/>
      <c r="N15" s="105"/>
      <c r="O15" s="105"/>
      <c r="P15" s="105"/>
    </row>
    <row r="16" spans="1:18">
      <c r="B16" s="74" t="s">
        <v>49</v>
      </c>
      <c r="C16" s="74"/>
      <c r="D16" s="74"/>
      <c r="E16" s="74"/>
      <c r="F16" s="74"/>
      <c r="G16" s="75">
        <v>0.01</v>
      </c>
      <c r="K16" s="105"/>
      <c r="L16" s="105"/>
      <c r="M16" s="105"/>
      <c r="N16" s="105"/>
      <c r="O16" s="105"/>
      <c r="P16" s="105"/>
    </row>
    <row r="17" spans="2:16">
      <c r="B17" s="77" t="s">
        <v>11000</v>
      </c>
      <c r="C17" s="77"/>
      <c r="D17" s="77"/>
      <c r="E17" s="77"/>
      <c r="F17" s="77"/>
      <c r="G17" s="2991">
        <f>WACC!$U$36</f>
        <v>0.12753586147786888</v>
      </c>
      <c r="K17" s="105"/>
      <c r="L17" s="105"/>
      <c r="M17" s="105"/>
      <c r="N17" s="105"/>
      <c r="O17" s="105"/>
      <c r="P17" s="105"/>
    </row>
    <row r="18" spans="2:16">
      <c r="K18" s="105"/>
      <c r="L18" s="105"/>
      <c r="M18" s="105"/>
      <c r="N18" s="105"/>
      <c r="O18" s="105"/>
      <c r="P18" s="105"/>
    </row>
    <row r="19" spans="2:16">
      <c r="B19" s="4" t="s">
        <v>0</v>
      </c>
      <c r="C19" s="4"/>
      <c r="D19" s="4"/>
      <c r="E19" s="4"/>
      <c r="F19" s="4"/>
      <c r="G19" s="4"/>
      <c r="H19" s="4"/>
      <c r="K19" s="105"/>
      <c r="L19" s="105"/>
      <c r="M19" s="105"/>
      <c r="N19" s="105"/>
      <c r="O19" s="105"/>
      <c r="P19" s="105"/>
    </row>
    <row r="20" spans="2:16">
      <c r="B20" s="5" t="s">
        <v>1</v>
      </c>
      <c r="C20" s="5"/>
      <c r="D20" s="5"/>
      <c r="E20" s="5"/>
      <c r="F20" s="5"/>
      <c r="G20" s="5"/>
      <c r="H20" s="6">
        <v>44469</v>
      </c>
      <c r="K20" s="105"/>
      <c r="L20" s="105"/>
      <c r="M20" s="105"/>
      <c r="N20" s="105"/>
      <c r="O20" s="105"/>
      <c r="P20" s="105"/>
    </row>
    <row r="21" spans="2:16">
      <c r="B21" s="5" t="s">
        <v>2</v>
      </c>
      <c r="C21" s="5"/>
      <c r="D21" s="5"/>
      <c r="E21" s="5"/>
      <c r="F21" s="5"/>
      <c r="G21" s="5"/>
      <c r="H21" s="7">
        <f>H20</f>
        <v>44469</v>
      </c>
      <c r="K21" s="105"/>
      <c r="L21" s="105"/>
      <c r="M21" s="105"/>
      <c r="N21" s="105"/>
      <c r="O21" s="105"/>
      <c r="P21" s="105"/>
    </row>
    <row r="22" spans="2:16">
      <c r="B22" s="5" t="s">
        <v>3</v>
      </c>
      <c r="C22" s="5"/>
      <c r="D22" s="5"/>
      <c r="E22" s="5"/>
      <c r="F22" s="5"/>
      <c r="G22" s="5"/>
      <c r="H22" s="7">
        <f>IF(H20=DATE(YEAR(H20),12,31),DATE(YEAR(H20+1),12,31),DATE(YEAR(H20),12,31))</f>
        <v>44561</v>
      </c>
      <c r="K22" s="105"/>
      <c r="L22" s="105"/>
      <c r="M22" s="105"/>
      <c r="N22" s="105"/>
      <c r="O22" s="105"/>
      <c r="P22" s="105"/>
    </row>
    <row r="23" spans="2:16" ht="13.5">
      <c r="B23" s="8" t="s">
        <v>4</v>
      </c>
      <c r="C23" s="8"/>
      <c r="D23" s="8"/>
      <c r="E23" s="8"/>
      <c r="F23" s="8"/>
      <c r="G23" s="8"/>
      <c r="H23" s="9">
        <f>(H22-H20)/365</f>
        <v>0.25205479452054796</v>
      </c>
      <c r="K23" s="105"/>
      <c r="L23" s="105"/>
      <c r="M23" s="105"/>
      <c r="N23" s="105"/>
      <c r="O23" s="105"/>
      <c r="P23" s="105"/>
    </row>
    <row r="24" spans="2:16">
      <c r="K24" s="105"/>
      <c r="L24" s="105"/>
      <c r="M24" s="105"/>
      <c r="N24" s="105"/>
      <c r="O24" s="105"/>
      <c r="P24" s="105"/>
    </row>
    <row r="25" spans="2:16">
      <c r="K25" s="105"/>
      <c r="L25" s="105"/>
      <c r="M25" s="105"/>
      <c r="N25" s="105"/>
      <c r="O25" s="105"/>
      <c r="P25" s="105"/>
    </row>
    <row r="26" spans="2:16">
      <c r="K26" s="105"/>
      <c r="L26" s="105"/>
      <c r="M26" s="105"/>
      <c r="N26" s="105"/>
      <c r="O26" s="105"/>
      <c r="P26" s="105"/>
    </row>
    <row r="27" spans="2:16">
      <c r="K27" s="105"/>
      <c r="L27" s="105"/>
      <c r="M27" s="105"/>
      <c r="N27" s="105"/>
      <c r="O27" s="105"/>
      <c r="P27" s="105"/>
    </row>
    <row r="28" spans="2:16">
      <c r="K28" s="105"/>
      <c r="L28" s="105"/>
      <c r="M28" s="105"/>
      <c r="N28" s="105"/>
      <c r="O28" s="105"/>
      <c r="P28" s="105"/>
    </row>
    <row r="29" spans="2:16">
      <c r="K29" s="105"/>
      <c r="L29" s="105"/>
      <c r="M29" s="105"/>
      <c r="N29" s="105"/>
      <c r="O29" s="105"/>
      <c r="P29" s="105"/>
    </row>
    <row r="30" spans="2:16">
      <c r="K30" s="105"/>
      <c r="L30" s="105"/>
      <c r="M30" s="105"/>
      <c r="N30" s="105"/>
      <c r="O30" s="105"/>
      <c r="P30" s="105"/>
    </row>
    <row r="31" spans="2:16">
      <c r="K31" s="105"/>
      <c r="L31" s="105"/>
      <c r="M31" s="105"/>
      <c r="N31" s="105"/>
      <c r="O31" s="105"/>
      <c r="P31" s="105"/>
    </row>
    <row r="32" spans="2:16">
      <c r="K32" s="105"/>
      <c r="L32" s="105"/>
      <c r="M32" s="105"/>
      <c r="N32" s="105"/>
      <c r="O32" s="105"/>
      <c r="P32" s="105"/>
    </row>
    <row r="33" spans="11:16">
      <c r="K33" s="105"/>
      <c r="L33" s="105"/>
      <c r="M33" s="105"/>
      <c r="N33" s="105"/>
      <c r="O33" s="105"/>
      <c r="P33" s="105"/>
    </row>
    <row r="34" spans="11:16">
      <c r="K34" s="105"/>
      <c r="L34" s="105"/>
      <c r="M34" s="105"/>
      <c r="N34" s="105"/>
      <c r="O34" s="105"/>
      <c r="P34" s="105"/>
    </row>
    <row r="35" spans="11:16">
      <c r="K35" s="105"/>
      <c r="L35" s="105"/>
      <c r="M35" s="105"/>
      <c r="N35" s="105"/>
      <c r="O35" s="105"/>
      <c r="P35" s="105"/>
    </row>
    <row r="36" spans="11:16">
      <c r="K36" s="105"/>
      <c r="L36" s="105"/>
      <c r="M36" s="105"/>
      <c r="N36" s="105"/>
      <c r="O36" s="105"/>
      <c r="P36" s="105"/>
    </row>
    <row r="37" spans="11:16">
      <c r="K37" s="105"/>
      <c r="L37" s="105"/>
      <c r="M37" s="105"/>
      <c r="N37" s="105"/>
      <c r="O37" s="105"/>
      <c r="P37" s="105"/>
    </row>
    <row r="38" spans="11:16">
      <c r="K38" s="105"/>
      <c r="L38" s="105"/>
      <c r="M38" s="105"/>
      <c r="N38" s="105"/>
      <c r="O38" s="105"/>
      <c r="P38" s="105"/>
    </row>
  </sheetData>
  <phoneticPr fontId="1" type="noConversion"/>
  <conditionalFormatting sqref="J4">
    <cfRule type="cellIs" dxfId="1975" priority="1" operator="equal">
      <formula>"X"</formula>
    </cfRule>
    <cfRule type="cellIs" dxfId="1974" priority="2" operator="equal">
      <formula>"O"</formula>
    </cfRule>
    <cfRule type="cellIs" dxfId="1973" priority="3" operator="equal">
      <formula>"미정"</formula>
    </cfRule>
    <cfRule type="cellIs" dxfId="1972" priority="4" operator="equal">
      <formula>"예정"</formula>
    </cfRule>
    <cfRule type="cellIs" dxfId="1971" priority="5" operator="equal">
      <formula>"확정"</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AC88"/>
  <sheetViews>
    <sheetView showGridLines="0" tabSelected="1" topLeftCell="A19" workbookViewId="0">
      <selection activeCell="O53" sqref="O53"/>
    </sheetView>
  </sheetViews>
  <sheetFormatPr defaultColWidth="9" defaultRowHeight="12" outlineLevelCol="1"/>
  <cols>
    <col min="1" max="1" width="4.625" style="3" customWidth="1"/>
    <col min="2" max="5" width="1.625" style="3" customWidth="1"/>
    <col min="6" max="9" width="9" style="3"/>
    <col min="10" max="10" width="9.75" style="3" bestFit="1" customWidth="1"/>
    <col min="11" max="12" width="9" style="3"/>
    <col min="13" max="14" width="9" style="3" hidden="1" customWidth="1" outlineLevel="1"/>
    <col min="15" max="15" width="9.25" style="3" bestFit="1" customWidth="1" collapsed="1"/>
    <col min="16" max="16384" width="9" style="3"/>
  </cols>
  <sheetData>
    <row r="1" spans="1:23">
      <c r="A1" s="2" t="str">
        <f ca="1">MID(CELL("filename",A1),FIND("]",CELL("filename",A1))+1,255)</f>
        <v>Proforma</v>
      </c>
      <c r="B1" s="2"/>
      <c r="C1" s="2"/>
      <c r="D1" s="2"/>
      <c r="E1" s="2"/>
      <c r="F1" s="2"/>
      <c r="G1" s="2"/>
      <c r="H1" s="2"/>
      <c r="I1" s="2"/>
      <c r="J1" s="2"/>
      <c r="K1" s="2"/>
      <c r="L1" s="2"/>
      <c r="M1" s="2"/>
      <c r="N1" s="2"/>
      <c r="O1" s="2"/>
      <c r="P1" s="2"/>
      <c r="Q1" s="2"/>
      <c r="R1" s="2"/>
      <c r="S1" s="2"/>
      <c r="T1" s="2"/>
    </row>
    <row r="3" spans="1:23">
      <c r="B3" s="289" t="s">
        <v>351</v>
      </c>
      <c r="C3" s="289"/>
      <c r="D3" s="289"/>
      <c r="E3" s="289"/>
      <c r="F3" s="289"/>
      <c r="G3" s="289"/>
      <c r="H3" s="289"/>
      <c r="I3" s="289"/>
      <c r="J3" s="289"/>
      <c r="K3" s="289"/>
      <c r="L3" s="289"/>
      <c r="M3" s="289"/>
      <c r="N3" s="289"/>
      <c r="O3" s="289"/>
      <c r="P3" s="289"/>
    </row>
    <row r="4" spans="1:23">
      <c r="B4" s="289" t="s">
        <v>10973</v>
      </c>
      <c r="C4" s="289"/>
      <c r="D4" s="289"/>
      <c r="E4" s="289"/>
      <c r="F4" s="289"/>
      <c r="G4" s="289"/>
      <c r="H4" s="289"/>
      <c r="I4" s="289"/>
      <c r="J4" s="289"/>
      <c r="K4" s="289"/>
      <c r="L4" s="289"/>
      <c r="M4" s="289"/>
      <c r="N4" s="289"/>
      <c r="O4" s="289"/>
      <c r="P4" s="289"/>
    </row>
    <row r="5" spans="1:23">
      <c r="B5" s="4683" t="s">
        <v>10974</v>
      </c>
      <c r="C5" s="289"/>
      <c r="D5" s="289"/>
      <c r="E5" s="289"/>
      <c r="F5" s="289"/>
      <c r="G5" s="289"/>
      <c r="H5" s="289"/>
      <c r="I5" s="289"/>
      <c r="J5" s="289"/>
      <c r="K5" s="289"/>
      <c r="L5" s="289"/>
      <c r="M5" s="289"/>
      <c r="N5" s="289"/>
      <c r="O5" s="289"/>
      <c r="P5" s="289"/>
    </row>
    <row r="6" spans="1:23">
      <c r="B6" s="289" t="s">
        <v>10975</v>
      </c>
      <c r="C6" s="289"/>
      <c r="D6" s="289"/>
      <c r="E6" s="289"/>
      <c r="F6" s="289"/>
      <c r="G6" s="289"/>
      <c r="H6" s="289"/>
      <c r="I6" s="289"/>
      <c r="J6" s="289"/>
      <c r="K6" s="289"/>
      <c r="L6" s="289"/>
      <c r="M6" s="289"/>
      <c r="N6" s="289"/>
      <c r="O6" s="289"/>
      <c r="P6" s="289"/>
    </row>
    <row r="7" spans="1:23">
      <c r="B7" s="289" t="s">
        <v>10976</v>
      </c>
      <c r="C7" s="289"/>
      <c r="D7" s="289"/>
      <c r="E7" s="289"/>
      <c r="F7" s="289"/>
      <c r="G7" s="289"/>
      <c r="H7" s="289"/>
      <c r="I7" s="289"/>
      <c r="J7" s="289"/>
      <c r="K7" s="289"/>
      <c r="L7" s="289"/>
      <c r="M7" s="289"/>
      <c r="N7" s="289"/>
      <c r="O7" s="289"/>
      <c r="P7" s="289"/>
    </row>
    <row r="10" spans="1:23" customFormat="1" ht="12" customHeight="1">
      <c r="A10" s="20" t="s">
        <v>21</v>
      </c>
      <c r="B10" s="21" t="s">
        <v>3741</v>
      </c>
      <c r="C10" s="102"/>
      <c r="D10" s="102"/>
      <c r="E10" s="102"/>
      <c r="F10" s="102"/>
      <c r="G10" s="102"/>
      <c r="H10" s="102"/>
      <c r="I10" s="102"/>
      <c r="J10" s="102"/>
      <c r="K10" s="102"/>
      <c r="L10" s="102"/>
      <c r="M10" s="102"/>
      <c r="N10" s="102"/>
      <c r="O10" s="102"/>
      <c r="P10" s="102"/>
      <c r="Q10" s="102"/>
      <c r="R10" s="102"/>
      <c r="S10" s="102"/>
      <c r="T10" s="102"/>
    </row>
    <row r="12" spans="1:23">
      <c r="B12" s="24"/>
      <c r="C12" s="24"/>
      <c r="D12" s="24"/>
      <c r="E12" s="24"/>
      <c r="F12" s="24"/>
      <c r="G12" s="24"/>
      <c r="H12" s="24"/>
      <c r="I12" s="24"/>
      <c r="J12" s="25" t="s">
        <v>23</v>
      </c>
      <c r="K12" s="26"/>
      <c r="L12" s="26"/>
      <c r="M12" s="27"/>
      <c r="N12" s="26"/>
      <c r="O12" s="26"/>
      <c r="P12" s="26" t="s">
        <v>24</v>
      </c>
      <c r="Q12" s="26"/>
      <c r="R12" s="26"/>
      <c r="S12" s="26"/>
      <c r="T12" s="26"/>
    </row>
    <row r="13" spans="1:23">
      <c r="B13" s="28"/>
      <c r="C13" s="28"/>
      <c r="D13" s="28"/>
      <c r="E13" s="28"/>
      <c r="F13" s="28"/>
      <c r="G13" s="28"/>
      <c r="H13" s="1949"/>
      <c r="I13" s="28"/>
      <c r="J13" s="29" t="s">
        <v>69</v>
      </c>
      <c r="K13" s="30" t="s">
        <v>27</v>
      </c>
      <c r="L13" s="30" t="s">
        <v>60</v>
      </c>
      <c r="M13" s="5074" t="s">
        <v>5104</v>
      </c>
      <c r="N13" s="5130" t="s">
        <v>5174</v>
      </c>
      <c r="O13" s="4656" t="s">
        <v>70</v>
      </c>
      <c r="P13" s="30" t="s">
        <v>71</v>
      </c>
      <c r="Q13" s="30" t="s">
        <v>72</v>
      </c>
      <c r="R13" s="30" t="s">
        <v>73</v>
      </c>
      <c r="S13" s="30" t="s">
        <v>74</v>
      </c>
      <c r="T13" s="30" t="s">
        <v>5102</v>
      </c>
    </row>
    <row r="14" spans="1:23" s="32" customFormat="1">
      <c r="B14" s="32" t="s">
        <v>3744</v>
      </c>
      <c r="J14" s="227">
        <f>연결FS!D4/10^6</f>
        <v>2477921.2370429998</v>
      </c>
      <c r="K14" s="103">
        <f>연결FS!E4/10^6</f>
        <v>2353925.8154659998</v>
      </c>
      <c r="L14" s="103">
        <f>연결FS!F4/10^6</f>
        <v>2996885.7408790002</v>
      </c>
      <c r="M14" s="5109">
        <f>M15+M16+M17+M18</f>
        <v>2934132.9039710001</v>
      </c>
      <c r="N14" s="5131">
        <f>O14</f>
        <v>2944892.1574340002</v>
      </c>
      <c r="O14" s="4648">
        <f>연결FS!G4/10^6</f>
        <v>2944892.1574340002</v>
      </c>
      <c r="P14" s="5020">
        <f t="shared" ref="P14:S14" si="0">P15+P16+P17+P18</f>
        <v>2860511.1188748181</v>
      </c>
      <c r="Q14" s="5020">
        <f t="shared" si="0"/>
        <v>2931266.1854286785</v>
      </c>
      <c r="R14" s="5020">
        <f t="shared" si="0"/>
        <v>2985206.6597150359</v>
      </c>
      <c r="S14" s="5020">
        <f t="shared" si="0"/>
        <v>3094421.8994059088</v>
      </c>
      <c r="T14" s="5020">
        <f t="shared" ref="T14" si="1">T15+T16+T17+T18</f>
        <v>3210070.8075374924</v>
      </c>
    </row>
    <row r="15" spans="1:23">
      <c r="C15" s="3" t="s">
        <v>3745</v>
      </c>
      <c r="J15" s="216">
        <f>연결FS!D5/10^6</f>
        <v>286836.07754999999</v>
      </c>
      <c r="K15" s="105">
        <f>연결FS!E5/10^6</f>
        <v>324259.58396900003</v>
      </c>
      <c r="L15" s="105">
        <f>연결FS!F5/10^6</f>
        <v>447645.05104799999</v>
      </c>
      <c r="M15" s="5050">
        <f>연결정산표!L216/10^6</f>
        <v>528873.29414400004</v>
      </c>
      <c r="N15" s="5050">
        <f t="shared" ref="N15:N32" si="2">O15</f>
        <v>575561.64585700002</v>
      </c>
      <c r="O15" s="4649">
        <f>연결FS!G5/10^6</f>
        <v>575561.64585700002</v>
      </c>
      <c r="P15" s="4879">
        <f t="shared" ref="P15:S15" si="3">P80</f>
        <v>455862.55403262225</v>
      </c>
      <c r="Q15" s="4879">
        <f t="shared" si="3"/>
        <v>572019.48807155481</v>
      </c>
      <c r="R15" s="4879">
        <f t="shared" si="3"/>
        <v>743093.94535719347</v>
      </c>
      <c r="S15" s="4879">
        <f t="shared" si="3"/>
        <v>861853.70726099145</v>
      </c>
      <c r="T15" s="4879">
        <f t="shared" ref="T15" si="4">T80</f>
        <v>926468.2268506519</v>
      </c>
      <c r="W15" s="32"/>
    </row>
    <row r="16" spans="1:23">
      <c r="C16" s="3" t="s">
        <v>1583</v>
      </c>
      <c r="J16" s="216">
        <f>연결FS!D7/10^6</f>
        <v>497200.726066</v>
      </c>
      <c r="K16" s="105">
        <f>연결FS!E7/10^6</f>
        <v>558294.03653499996</v>
      </c>
      <c r="L16" s="105">
        <f>연결FS!F7/10^6</f>
        <v>647010.17082400003</v>
      </c>
      <c r="M16" s="5050">
        <f>NWC!M11</f>
        <v>433253.19180500001</v>
      </c>
      <c r="N16" s="5050">
        <f t="shared" si="2"/>
        <v>471574.27892100002</v>
      </c>
      <c r="O16" s="4649">
        <f>연결FS!G7/10^6</f>
        <v>471574.27892100002</v>
      </c>
      <c r="P16" s="4879">
        <f>O16+(NWC!P11-NWC!O11)</f>
        <v>478759.92280760099</v>
      </c>
      <c r="Q16" s="4879">
        <f>P16+(NWC!Q11-NWC!P11)</f>
        <v>470249.64369587059</v>
      </c>
      <c r="R16" s="4879">
        <f>Q16+(NWC!R11-NWC!Q11)</f>
        <v>447525.35240952705</v>
      </c>
      <c r="S16" s="4879">
        <f>R16+(NWC!S11-NWC!R11)</f>
        <v>445846.77387768595</v>
      </c>
      <c r="T16" s="4879">
        <f>S16+(NWC!T11-NWC!S11)</f>
        <v>454595.41486466286</v>
      </c>
      <c r="W16" s="32"/>
    </row>
    <row r="17" spans="2:23">
      <c r="C17" s="3" t="s">
        <v>1589</v>
      </c>
      <c r="J17" s="216">
        <f>연결FS!D10/10^6</f>
        <v>1522715.9296939999</v>
      </c>
      <c r="K17" s="105">
        <f>연결FS!E10/10^6</f>
        <v>1253565.831209</v>
      </c>
      <c r="L17" s="105">
        <f>연결FS!F10/10^6</f>
        <v>1648923.778095</v>
      </c>
      <c r="M17" s="5050">
        <f>NWC!M18</f>
        <v>1684308.116163</v>
      </c>
      <c r="N17" s="5050">
        <f t="shared" si="2"/>
        <v>1782739.627747</v>
      </c>
      <c r="O17" s="4649">
        <f>연결FS!G10/10^6</f>
        <v>1782739.627747</v>
      </c>
      <c r="P17" s="4879">
        <f>O17+(NWC!P18-NWC!O18)</f>
        <v>1810872.0371255951</v>
      </c>
      <c r="Q17" s="4879">
        <f>P17+(NWC!Q18-NWC!P18)</f>
        <v>1773980.4487522531</v>
      </c>
      <c r="R17" s="4879">
        <f>Q17+(NWC!R18-NWC!Q18)</f>
        <v>1679570.7570393158</v>
      </c>
      <c r="S17" s="4879">
        <f>R17+(NWC!S18-NWC!R18)</f>
        <v>1671704.8133582317</v>
      </c>
      <c r="T17" s="4879">
        <f>S17+(NWC!T18-NWC!S18)</f>
        <v>1713990.5609131777</v>
      </c>
      <c r="W17" s="32"/>
    </row>
    <row r="18" spans="2:23">
      <c r="C18" s="3" t="s">
        <v>3746</v>
      </c>
      <c r="J18" s="216">
        <f>J14-J15-J16-J17</f>
        <v>171168.50373299979</v>
      </c>
      <c r="K18" s="105">
        <f t="shared" ref="K18:L18" si="5">K14-K15-K16-K17</f>
        <v>217806.36375299981</v>
      </c>
      <c r="L18" s="105">
        <f t="shared" si="5"/>
        <v>253306.74091200018</v>
      </c>
      <c r="M18" s="5050">
        <f>연결정산표!L215/10^6-M15-M16-M17</f>
        <v>287698.30185900023</v>
      </c>
      <c r="N18" s="5050">
        <f>O18</f>
        <v>115016.60490899999</v>
      </c>
      <c r="O18" s="4649">
        <f>O14-O15-O16-O17</f>
        <v>115016.60490899999</v>
      </c>
      <c r="P18" s="4879">
        <f>O18</f>
        <v>115016.60490899999</v>
      </c>
      <c r="Q18" s="4879">
        <f t="shared" ref="Q18:T18" si="6">P18</f>
        <v>115016.60490899999</v>
      </c>
      <c r="R18" s="4879">
        <f t="shared" si="6"/>
        <v>115016.60490899999</v>
      </c>
      <c r="S18" s="4879">
        <f t="shared" si="6"/>
        <v>115016.60490899999</v>
      </c>
      <c r="T18" s="4879">
        <f t="shared" si="6"/>
        <v>115016.60490899999</v>
      </c>
      <c r="U18" s="289" t="s">
        <v>3781</v>
      </c>
      <c r="W18" s="32"/>
    </row>
    <row r="19" spans="2:23" s="32" customFormat="1">
      <c r="B19" s="32" t="s">
        <v>3747</v>
      </c>
      <c r="J19" s="396">
        <f>연결FS!D12/10^6</f>
        <v>1062456.3356989999</v>
      </c>
      <c r="K19" s="112">
        <f>연결FS!E12/10^6</f>
        <v>987652.90023200004</v>
      </c>
      <c r="L19" s="112">
        <f>연결FS!F12/10^6</f>
        <v>912423.00856900006</v>
      </c>
      <c r="M19" s="5131">
        <f>연결정산표!L362/10^6</f>
        <v>940872.92806122685</v>
      </c>
      <c r="N19" s="5131">
        <f t="shared" si="2"/>
        <v>961070.07993699994</v>
      </c>
      <c r="O19" s="4648">
        <f>연결FS!G12/10^6</f>
        <v>961070.07993699994</v>
      </c>
      <c r="P19" s="5020">
        <f t="shared" ref="P19:S19" si="7">P20+P21+P22+P23</f>
        <v>1023495.8670422928</v>
      </c>
      <c r="Q19" s="5020">
        <f t="shared" si="7"/>
        <v>1064807.0097365207</v>
      </c>
      <c r="R19" s="5020">
        <f t="shared" si="7"/>
        <v>1083069.8310096012</v>
      </c>
      <c r="S19" s="5020">
        <f t="shared" si="7"/>
        <v>1116517.7981455328</v>
      </c>
      <c r="T19" s="5020">
        <f t="shared" ref="T19" si="8">T20+T21+T22+T23</f>
        <v>1147010.8701133025</v>
      </c>
      <c r="V19" s="3"/>
    </row>
    <row r="20" spans="2:23">
      <c r="C20" s="3" t="s">
        <v>1456</v>
      </c>
      <c r="J20" s="216">
        <f>연결FS!D13/10^6</f>
        <v>725083.21525999997</v>
      </c>
      <c r="K20" s="105">
        <f>연결FS!E13/10^6</f>
        <v>737624.503211</v>
      </c>
      <c r="L20" s="105">
        <f>연결FS!F13/10^6</f>
        <v>746851.75411600003</v>
      </c>
      <c r="M20" s="5050">
        <f>연결정산표!L443/10^6</f>
        <v>783876.94613099995</v>
      </c>
      <c r="N20" s="5050">
        <f>O20</f>
        <v>805452.88933699997</v>
      </c>
      <c r="O20" s="4649">
        <f>연결FS!G13/10^6+연결FS!G14/10^6</f>
        <v>805452.88933699997</v>
      </c>
      <c r="P20" s="4879">
        <f>O20+CAPEX!P10+CAPEX!P15+CAPEX!P19+CAPEX!P23+CAPEX!P27+CAPEX!P30-CAPEX!P39-CAPEX!P46-CAPEX!P53-CAPEX!P60-CAPEX!P67-CAPEX!P73</f>
        <v>867084.46131141193</v>
      </c>
      <c r="Q20" s="4879">
        <f>P20+CAPEX!Q10+CAPEX!Q15+CAPEX!Q19+CAPEX!Q23+CAPEX!Q27+CAPEX!Q30-CAPEX!Q39-CAPEX!Q46-CAPEX!Q53-CAPEX!Q60-CAPEX!Q67-CAPEX!Q73</f>
        <v>910077.01727731421</v>
      </c>
      <c r="R20" s="4879">
        <f>Q20+CAPEX!R10+CAPEX!R15+CAPEX!R19+CAPEX!R23+CAPEX!R27+CAPEX!R30-CAPEX!R39-CAPEX!R46-CAPEX!R53-CAPEX!R60-CAPEX!R67-CAPEX!R73</f>
        <v>930545.80309732107</v>
      </c>
      <c r="S20" s="4879">
        <f>R20+CAPEX!S10+CAPEX!S15+CAPEX!S19+CAPEX!S23+CAPEX!S27+CAPEX!S30-CAPEX!S39-CAPEX!S46-CAPEX!S53-CAPEX!S60-CAPEX!S67-CAPEX!S73</f>
        <v>963343.08213495347</v>
      </c>
      <c r="T20" s="4879">
        <f>S20+CAPEX!T10+CAPEX!T15+CAPEX!T19+CAPEX!T23+CAPEX!T27+CAPEX!T30-CAPEX!T39-CAPEX!T46-CAPEX!T53-CAPEX!T60-CAPEX!T67-CAPEX!T73</f>
        <v>993236.70788002177</v>
      </c>
      <c r="W20" s="32"/>
    </row>
    <row r="21" spans="2:23">
      <c r="C21" s="3" t="s">
        <v>1458</v>
      </c>
      <c r="J21" s="216">
        <f>연결FS!D15/10^6</f>
        <v>27168.244771999998</v>
      </c>
      <c r="K21" s="105">
        <f>연결FS!E15/10^6</f>
        <v>26019.387976000002</v>
      </c>
      <c r="L21" s="105">
        <f>연결FS!F15/10^6</f>
        <v>31708.528097999999</v>
      </c>
      <c r="M21" s="5050">
        <f>연결정산표!L510/10^6</f>
        <v>28719.407029999998</v>
      </c>
      <c r="N21" s="5050">
        <f t="shared" ref="N21:N22" si="9">O21</f>
        <v>28769.627068999998</v>
      </c>
      <c r="O21" s="4649">
        <f>연결FS!G15/10^6</f>
        <v>28769.627068999998</v>
      </c>
      <c r="P21" s="4879">
        <f>O21+CAPEX!P11+CAPEX!P16+CAPEX!P20+CAPEX!P24+CAPEX!P28-CAPEX!P41-CAPEX!P48-CAPEX!P55-CAPEX!P62-CAPEX!P69</f>
        <v>29101.443735498404</v>
      </c>
      <c r="Q21" s="4879">
        <f>P21+CAPEX!Q11+CAPEX!Q16+CAPEX!Q20+CAPEX!Q24+CAPEX!Q28-CAPEX!Q41-CAPEX!Q48-CAPEX!Q55-CAPEX!Q62-CAPEX!Q69</f>
        <v>27077.822763219621</v>
      </c>
      <c r="R21" s="4879">
        <f>Q21+CAPEX!R11+CAPEX!R16+CAPEX!R20+CAPEX!R24+CAPEX!R28-CAPEX!R41-CAPEX!R48-CAPEX!R55-CAPEX!R62-CAPEX!R69</f>
        <v>24616.484819544468</v>
      </c>
      <c r="S21" s="4879">
        <f>R21+CAPEX!S11+CAPEX!S16+CAPEX!S20+CAPEX!S24+CAPEX!S28-CAPEX!S41-CAPEX!S48-CAPEX!S55-CAPEX!S62-CAPEX!S69</f>
        <v>25074.744782545142</v>
      </c>
      <c r="T21" s="4879">
        <f>S21+CAPEX!T11+CAPEX!T16+CAPEX!T20+CAPEX!T24+CAPEX!T28-CAPEX!T41-CAPEX!T48-CAPEX!T55-CAPEX!T62-CAPEX!T69</f>
        <v>25527.52556159913</v>
      </c>
      <c r="W21" s="32"/>
    </row>
    <row r="22" spans="2:23">
      <c r="C22" s="3" t="s">
        <v>1546</v>
      </c>
      <c r="J22" s="216">
        <f>연결FS!D16/10^6</f>
        <v>0</v>
      </c>
      <c r="K22" s="105">
        <f>연결FS!E16/10^6</f>
        <v>6952.3999759999997</v>
      </c>
      <c r="L22" s="105">
        <f>연결FS!F16/10^6</f>
        <v>5231.1862520000004</v>
      </c>
      <c r="M22" s="5050">
        <f>연결정산표!L553/10^6</f>
        <v>4083.7230060000002</v>
      </c>
      <c r="N22" s="5050">
        <f t="shared" si="9"/>
        <v>3496.1750489999999</v>
      </c>
      <c r="O22" s="4649">
        <f>연결FS!G16/10^6</f>
        <v>3496.1750489999999</v>
      </c>
      <c r="P22" s="4879">
        <f>O22+CAPEX!P12+CAPEX!P17+CAPEX!P21+CAPEX!P25+CAPEX!P29-CAPEX!P43-CAPEX!P50-CAPEX!P57-CAPEX!P64-CAPEX!P71</f>
        <v>3958.5735133826374</v>
      </c>
      <c r="Q22" s="4879">
        <f>P22+CAPEX!Q12+CAPEX!Q17+CAPEX!Q21+CAPEX!Q25+CAPEX!Q29-CAPEX!Q43-CAPEX!Q50-CAPEX!Q57-CAPEX!Q64-CAPEX!Q71</f>
        <v>4300.7812139869056</v>
      </c>
      <c r="R22" s="4879">
        <f>Q22+CAPEX!R12+CAPEX!R17+CAPEX!R21+CAPEX!R25+CAPEX!R29-CAPEX!R43-CAPEX!R50-CAPEX!R57-CAPEX!R64-CAPEX!R71</f>
        <v>4556.1546107355935</v>
      </c>
      <c r="S22" s="4879">
        <f>R22+CAPEX!S12+CAPEX!S17+CAPEX!S21+CAPEX!S25+CAPEX!S29-CAPEX!S43-CAPEX!S50-CAPEX!S57-CAPEX!S64-CAPEX!S71</f>
        <v>4748.5827460342589</v>
      </c>
      <c r="T22" s="4879">
        <f>S22+CAPEX!T12+CAPEX!T17+CAPEX!T21+CAPEX!T25+CAPEX!T29-CAPEX!T43-CAPEX!T50-CAPEX!T57-CAPEX!T64-CAPEX!T71</f>
        <v>4895.2481896815707</v>
      </c>
      <c r="W22" s="32"/>
    </row>
    <row r="23" spans="2:23">
      <c r="C23" s="3" t="s">
        <v>3748</v>
      </c>
      <c r="J23" s="216">
        <f>J19-J20-J21-J22</f>
        <v>310204.87566699996</v>
      </c>
      <c r="K23" s="105">
        <f t="shared" ref="K23:M23" si="10">K19-K20-K21-K22</f>
        <v>217056.60906900006</v>
      </c>
      <c r="L23" s="105">
        <f t="shared" si="10"/>
        <v>128631.54010300002</v>
      </c>
      <c r="M23" s="5050">
        <f t="shared" si="10"/>
        <v>124192.8518942269</v>
      </c>
      <c r="N23" s="5050">
        <f>O23</f>
        <v>123351.38848199998</v>
      </c>
      <c r="O23" s="4649">
        <f>O19-O20-O21-O22</f>
        <v>123351.38848199998</v>
      </c>
      <c r="P23" s="4879">
        <f>O23</f>
        <v>123351.38848199998</v>
      </c>
      <c r="Q23" s="4879">
        <f t="shared" ref="Q23:T23" si="11">P23</f>
        <v>123351.38848199998</v>
      </c>
      <c r="R23" s="4879">
        <f t="shared" si="11"/>
        <v>123351.38848199998</v>
      </c>
      <c r="S23" s="4879">
        <f t="shared" si="11"/>
        <v>123351.38848199998</v>
      </c>
      <c r="T23" s="4879">
        <f t="shared" si="11"/>
        <v>123351.38848199998</v>
      </c>
      <c r="U23" s="289" t="s">
        <v>3781</v>
      </c>
      <c r="W23" s="32"/>
    </row>
    <row r="24" spans="2:23" s="32" customFormat="1">
      <c r="B24" s="61" t="s">
        <v>3749</v>
      </c>
      <c r="C24" s="61"/>
      <c r="D24" s="61"/>
      <c r="E24" s="61"/>
      <c r="F24" s="61"/>
      <c r="G24" s="61"/>
      <c r="H24" s="61"/>
      <c r="I24" s="61"/>
      <c r="J24" s="2052">
        <f>J19+J14</f>
        <v>3540377.5727419998</v>
      </c>
      <c r="K24" s="2049">
        <f t="shared" ref="K24:S24" si="12">K19+K14</f>
        <v>3341578.715698</v>
      </c>
      <c r="L24" s="2049">
        <f t="shared" si="12"/>
        <v>3909308.7494480005</v>
      </c>
      <c r="M24" s="5132">
        <f t="shared" si="12"/>
        <v>3875005.832032227</v>
      </c>
      <c r="N24" s="5132">
        <f t="shared" si="2"/>
        <v>3905962.237371</v>
      </c>
      <c r="O24" s="4650">
        <f>O19+O14</f>
        <v>3905962.237371</v>
      </c>
      <c r="P24" s="5026">
        <f t="shared" si="12"/>
        <v>3884006.9859171109</v>
      </c>
      <c r="Q24" s="5026">
        <f t="shared" si="12"/>
        <v>3996073.1951651992</v>
      </c>
      <c r="R24" s="5026">
        <f t="shared" si="12"/>
        <v>4068276.4907246372</v>
      </c>
      <c r="S24" s="5026">
        <f t="shared" si="12"/>
        <v>4210939.6975514414</v>
      </c>
      <c r="T24" s="5026">
        <f t="shared" ref="T24" si="13">T19+T14</f>
        <v>4357081.6776507944</v>
      </c>
      <c r="V24" s="3"/>
    </row>
    <row r="25" spans="2:23">
      <c r="B25" s="32" t="s">
        <v>3750</v>
      </c>
      <c r="C25" s="32"/>
      <c r="D25" s="32"/>
      <c r="E25" s="32"/>
      <c r="F25" s="32"/>
      <c r="G25" s="32"/>
      <c r="H25" s="32"/>
      <c r="I25" s="32"/>
      <c r="J25" s="396">
        <f>연결FS!D29/10^6</f>
        <v>1519748.853845</v>
      </c>
      <c r="K25" s="112">
        <f>연결FS!E29/10^6</f>
        <v>1229333.2282080001</v>
      </c>
      <c r="L25" s="112">
        <f>연결FS!F29/10^6</f>
        <v>1700130.789994</v>
      </c>
      <c r="M25" s="5131">
        <f>연결정산표!L611/10^6</f>
        <v>1628998.7787510001</v>
      </c>
      <c r="N25" s="5131">
        <f t="shared" si="2"/>
        <v>1600855.4459220001</v>
      </c>
      <c r="O25" s="4648">
        <f>연결FS!G29/10^6</f>
        <v>1600855.4459220001</v>
      </c>
      <c r="P25" s="5020">
        <f t="shared" ref="P25:S25" si="14">P26+P27+P29+P28</f>
        <v>1639400.8277844123</v>
      </c>
      <c r="Q25" s="5020">
        <f t="shared" si="14"/>
        <v>1607904.3491944985</v>
      </c>
      <c r="R25" s="5020">
        <f t="shared" si="14"/>
        <v>1527123.2620107816</v>
      </c>
      <c r="S25" s="5020">
        <f t="shared" si="14"/>
        <v>1520718.2701417424</v>
      </c>
      <c r="T25" s="5020">
        <f t="shared" ref="T25" si="15">T26+T27+T29+T28</f>
        <v>1548962.3830085087</v>
      </c>
      <c r="W25" s="32"/>
    </row>
    <row r="26" spans="2:23">
      <c r="C26" s="3" t="s">
        <v>1592</v>
      </c>
      <c r="J26" s="216">
        <f>연결FS!D30/10^6</f>
        <v>227196.41733600001</v>
      </c>
      <c r="K26" s="105">
        <f>연결FS!E30/10^6</f>
        <v>242010.15936300001</v>
      </c>
      <c r="L26" s="105">
        <f>연결FS!F30/10^6</f>
        <v>388902.77778300003</v>
      </c>
      <c r="M26" s="5050">
        <f>NWC!M22</f>
        <v>223173.48712000001</v>
      </c>
      <c r="N26" s="5050">
        <f t="shared" si="2"/>
        <v>382165.83341100003</v>
      </c>
      <c r="O26" s="4649">
        <f>연결FS!G30/10^6</f>
        <v>382165.83341100003</v>
      </c>
      <c r="P26" s="4879">
        <f>O26+(NWC!P22-NWC!O22)</f>
        <v>387331.74463512917</v>
      </c>
      <c r="Q26" s="4879">
        <f>P26+(NWC!Q22-NWC!P22)</f>
        <v>380557.39879474748</v>
      </c>
      <c r="R26" s="4879">
        <f>Q26+(NWC!R22-NWC!Q22)</f>
        <v>363221.09177877201</v>
      </c>
      <c r="S26" s="4879">
        <f>R26+(NWC!S22-NWC!R22)</f>
        <v>361776.68059437489</v>
      </c>
      <c r="T26" s="4879">
        <f>S26+(NWC!T22-NWC!S22)</f>
        <v>369541.54761927301</v>
      </c>
      <c r="W26" s="32"/>
    </row>
    <row r="27" spans="2:23">
      <c r="C27" s="3" t="s">
        <v>1593</v>
      </c>
      <c r="J27" s="216">
        <f>NWC!J25</f>
        <v>1114257</v>
      </c>
      <c r="K27" s="105">
        <f>NWC!K25</f>
        <v>828419</v>
      </c>
      <c r="L27" s="105">
        <f>NWC!L25</f>
        <v>1087792</v>
      </c>
      <c r="M27" s="5050">
        <f>NWC!M25</f>
        <v>1285706.0783259999</v>
      </c>
      <c r="N27" s="5050">
        <f t="shared" si="2"/>
        <v>1045513</v>
      </c>
      <c r="O27" s="4649">
        <f>연결FS!AE60</f>
        <v>1045513</v>
      </c>
      <c r="P27" s="4879">
        <f>O27+(NWC!P25-NWC!O25)</f>
        <v>1065545.2754962838</v>
      </c>
      <c r="Q27" s="4879">
        <f>P27+(NWC!Q25-NWC!P25)</f>
        <v>1039275.8418390094</v>
      </c>
      <c r="R27" s="4879">
        <f>Q27+(NWC!R25-NWC!Q25)</f>
        <v>972049.4294666748</v>
      </c>
      <c r="S27" s="4879">
        <f>R27+(NWC!S25-NWC!R25)</f>
        <v>966448.31835183292</v>
      </c>
      <c r="T27" s="4879">
        <f>S27+(NWC!T25-NWC!S25)</f>
        <v>996558.77683362551</v>
      </c>
      <c r="W27" s="32"/>
    </row>
    <row r="28" spans="2:23">
      <c r="C28" s="3" t="s">
        <v>3783</v>
      </c>
      <c r="J28" s="216">
        <f>연결FS!D34/10^6</f>
        <v>43839.888498</v>
      </c>
      <c r="K28" s="105">
        <f>연결FS!E34/10^6</f>
        <v>52255.727320999998</v>
      </c>
      <c r="L28" s="105">
        <f>연결FS!F34/10^6</f>
        <v>50643.872481999999</v>
      </c>
      <c r="M28" s="5050">
        <f>연결정산표!L688/10^6</f>
        <v>22334.939191000001</v>
      </c>
      <c r="N28" s="5050">
        <f>O28</f>
        <v>47873.317534000002</v>
      </c>
      <c r="O28" s="4649">
        <f>연결FS!G34/10^6</f>
        <v>47873.317534000002</v>
      </c>
      <c r="P28" s="4879">
        <f>O28+P50+P71</f>
        <v>61220.512675999096</v>
      </c>
      <c r="Q28" s="4879">
        <f t="shared" ref="Q28:T28" si="16">P28+Q50+Q71</f>
        <v>62767.813583741474</v>
      </c>
      <c r="R28" s="4879">
        <f t="shared" si="16"/>
        <v>66549.445788334589</v>
      </c>
      <c r="S28" s="4879">
        <f t="shared" si="16"/>
        <v>67189.976218534386</v>
      </c>
      <c r="T28" s="4879">
        <f t="shared" si="16"/>
        <v>57558.763578610058</v>
      </c>
      <c r="W28" s="32"/>
    </row>
    <row r="29" spans="2:23">
      <c r="C29" s="3" t="s">
        <v>3782</v>
      </c>
      <c r="J29" s="216">
        <f>J25-J26-J27-J28</f>
        <v>134455.54801100015</v>
      </c>
      <c r="K29" s="105">
        <f t="shared" ref="K29:M29" si="17">K25-K26-K27-K28</f>
        <v>106648.34152400012</v>
      </c>
      <c r="L29" s="105">
        <f t="shared" si="17"/>
        <v>172792.13972900008</v>
      </c>
      <c r="M29" s="5050">
        <f t="shared" si="17"/>
        <v>97784.274114000218</v>
      </c>
      <c r="N29" s="5050">
        <f>O29</f>
        <v>125303.29497700013</v>
      </c>
      <c r="O29" s="4649">
        <f>O25-O26-O27-O28</f>
        <v>125303.29497700013</v>
      </c>
      <c r="P29" s="4879">
        <f t="shared" ref="P29:P30" si="18">O29</f>
        <v>125303.29497700013</v>
      </c>
      <c r="Q29" s="4879">
        <f t="shared" ref="Q29:T29" si="19">P29</f>
        <v>125303.29497700013</v>
      </c>
      <c r="R29" s="4879">
        <f t="shared" si="19"/>
        <v>125303.29497700013</v>
      </c>
      <c r="S29" s="4879">
        <f t="shared" si="19"/>
        <v>125303.29497700013</v>
      </c>
      <c r="T29" s="4879">
        <f t="shared" si="19"/>
        <v>125303.29497700013</v>
      </c>
      <c r="U29" s="289" t="s">
        <v>3781</v>
      </c>
      <c r="W29" s="32"/>
    </row>
    <row r="30" spans="2:23">
      <c r="B30" s="32" t="s">
        <v>3751</v>
      </c>
      <c r="C30" s="32"/>
      <c r="D30" s="32"/>
      <c r="E30" s="32"/>
      <c r="F30" s="32"/>
      <c r="G30" s="32"/>
      <c r="H30" s="32"/>
      <c r="I30" s="32"/>
      <c r="J30" s="396">
        <f>연결FS!D38/10^6</f>
        <v>27001.904279999999</v>
      </c>
      <c r="K30" s="112">
        <f>연결FS!E38/10^6</f>
        <v>10767.058179</v>
      </c>
      <c r="L30" s="112">
        <f>연결FS!F38/10^6</f>
        <v>12926.026776000001</v>
      </c>
      <c r="M30" s="5131">
        <f>연결정산표!L700/10^6</f>
        <v>13193.319380999999</v>
      </c>
      <c r="N30" s="5131">
        <f>O30</f>
        <v>10705.60936</v>
      </c>
      <c r="O30" s="4648">
        <f>연결FS!G38/10^6</f>
        <v>10705.60936</v>
      </c>
      <c r="P30" s="5020">
        <f t="shared" si="18"/>
        <v>10705.60936</v>
      </c>
      <c r="Q30" s="5020">
        <f t="shared" ref="Q30:T30" si="20">P30</f>
        <v>10705.60936</v>
      </c>
      <c r="R30" s="5020">
        <f t="shared" si="20"/>
        <v>10705.60936</v>
      </c>
      <c r="S30" s="5020">
        <f t="shared" si="20"/>
        <v>10705.60936</v>
      </c>
      <c r="T30" s="5020">
        <f t="shared" si="20"/>
        <v>10705.60936</v>
      </c>
      <c r="U30" s="289" t="s">
        <v>3781</v>
      </c>
      <c r="W30" s="32"/>
    </row>
    <row r="31" spans="2:23" s="32" customFormat="1">
      <c r="B31" s="61" t="s">
        <v>3752</v>
      </c>
      <c r="C31" s="61"/>
      <c r="D31" s="61"/>
      <c r="E31" s="61"/>
      <c r="F31" s="61"/>
      <c r="G31" s="61"/>
      <c r="H31" s="61"/>
      <c r="I31" s="61"/>
      <c r="J31" s="2052">
        <f>J30+J25</f>
        <v>1546750.7581249999</v>
      </c>
      <c r="K31" s="2049">
        <f t="shared" ref="K31" si="21">K30+K25</f>
        <v>1240100.286387</v>
      </c>
      <c r="L31" s="2049">
        <f t="shared" ref="L31" si="22">L30+L25</f>
        <v>1713056.8167699999</v>
      </c>
      <c r="M31" s="5132">
        <f t="shared" ref="M31" si="23">M30+M25</f>
        <v>1642192.0981320001</v>
      </c>
      <c r="N31" s="5132">
        <f t="shared" si="2"/>
        <v>1611561.055282</v>
      </c>
      <c r="O31" s="4650">
        <f t="shared" ref="O31" si="24">O30+O25</f>
        <v>1611561.055282</v>
      </c>
      <c r="P31" s="5026">
        <f t="shared" ref="P31" si="25">P30+P25</f>
        <v>1650106.4371444122</v>
      </c>
      <c r="Q31" s="5026">
        <f t="shared" ref="Q31" si="26">Q30+Q25</f>
        <v>1618609.9585544984</v>
      </c>
      <c r="R31" s="5026">
        <f t="shared" ref="R31" si="27">R30+R25</f>
        <v>1537828.8713707814</v>
      </c>
      <c r="S31" s="5026">
        <f t="shared" ref="S31:T31" si="28">S30+S25</f>
        <v>1531423.8795017423</v>
      </c>
      <c r="T31" s="5026">
        <f t="shared" si="28"/>
        <v>1559667.9923685086</v>
      </c>
      <c r="V31" s="3"/>
    </row>
    <row r="32" spans="2:23" s="32" customFormat="1">
      <c r="B32" s="2050" t="s">
        <v>3753</v>
      </c>
      <c r="C32" s="2050"/>
      <c r="D32" s="2050"/>
      <c r="E32" s="2050"/>
      <c r="F32" s="2050"/>
      <c r="G32" s="2050"/>
      <c r="H32" s="2050"/>
      <c r="I32" s="2050"/>
      <c r="J32" s="2053">
        <f>J24-J31</f>
        <v>1993626.8146169998</v>
      </c>
      <c r="K32" s="2051">
        <f t="shared" ref="K32:M32" si="29">K24-K31</f>
        <v>2101478.4293109998</v>
      </c>
      <c r="L32" s="2051">
        <f t="shared" si="29"/>
        <v>2196251.9326780005</v>
      </c>
      <c r="M32" s="5133">
        <f t="shared" si="29"/>
        <v>2232813.7339002267</v>
      </c>
      <c r="N32" s="5133">
        <f t="shared" si="2"/>
        <v>2294401.182089</v>
      </c>
      <c r="O32" s="4651">
        <f>O24-O31</f>
        <v>2294401.182089</v>
      </c>
      <c r="P32" s="5027">
        <f t="shared" ref="P32:S32" si="30">P24-P31</f>
        <v>2233900.5487726987</v>
      </c>
      <c r="Q32" s="5027">
        <f t="shared" si="30"/>
        <v>2377463.2366107008</v>
      </c>
      <c r="R32" s="5027">
        <f t="shared" si="30"/>
        <v>2530447.619353856</v>
      </c>
      <c r="S32" s="5027">
        <f t="shared" si="30"/>
        <v>2679515.8180496991</v>
      </c>
      <c r="T32" s="5027">
        <f t="shared" ref="T32" si="31">T24-T31</f>
        <v>2797413.6852822858</v>
      </c>
      <c r="V32" s="3"/>
    </row>
    <row r="33" spans="1:29">
      <c r="J33" s="105"/>
      <c r="K33" s="105"/>
      <c r="L33" s="105"/>
      <c r="M33" s="105"/>
      <c r="N33" s="105"/>
      <c r="O33" s="105"/>
      <c r="P33" s="105">
        <f>P32-(O32+P51+P75)</f>
        <v>0</v>
      </c>
      <c r="Q33" s="105">
        <f t="shared" ref="Q33:T33" si="32">Q32-(P32+Q51+Q75)</f>
        <v>0</v>
      </c>
      <c r="R33" s="105">
        <f t="shared" si="32"/>
        <v>0</v>
      </c>
      <c r="S33" s="105">
        <f t="shared" si="32"/>
        <v>0</v>
      </c>
      <c r="T33" s="105">
        <f t="shared" si="32"/>
        <v>0</v>
      </c>
    </row>
    <row r="34" spans="1:29">
      <c r="M34" s="105"/>
      <c r="N34" s="105"/>
      <c r="P34" s="105"/>
    </row>
    <row r="35" spans="1:29" customFormat="1" ht="12" customHeight="1">
      <c r="A35" s="20" t="s">
        <v>68</v>
      </c>
      <c r="B35" s="21" t="s">
        <v>3742</v>
      </c>
      <c r="C35" s="102"/>
      <c r="D35" s="102"/>
      <c r="E35" s="102"/>
      <c r="F35" s="102"/>
      <c r="G35" s="102"/>
      <c r="H35" s="102"/>
      <c r="I35" s="102"/>
      <c r="J35" s="102"/>
      <c r="K35" s="102"/>
      <c r="L35" s="102"/>
      <c r="M35" s="102"/>
      <c r="N35" s="2085"/>
      <c r="O35" s="102"/>
      <c r="P35" s="102"/>
      <c r="Q35" s="102"/>
      <c r="R35" s="102"/>
      <c r="S35" s="102"/>
      <c r="T35" s="102"/>
    </row>
    <row r="37" spans="1:29">
      <c r="B37" s="24"/>
      <c r="C37" s="24"/>
      <c r="D37" s="24"/>
      <c r="E37" s="24"/>
      <c r="F37" s="24"/>
      <c r="G37" s="24"/>
      <c r="H37" s="24"/>
      <c r="I37" s="24"/>
      <c r="J37" s="25" t="s">
        <v>23</v>
      </c>
      <c r="K37" s="26"/>
      <c r="L37" s="26"/>
      <c r="M37" s="27"/>
      <c r="N37" s="26"/>
      <c r="O37" s="26"/>
      <c r="P37" s="26" t="s">
        <v>24</v>
      </c>
      <c r="Q37" s="26"/>
      <c r="R37" s="26"/>
      <c r="S37" s="26"/>
      <c r="T37" s="26"/>
    </row>
    <row r="38" spans="1:29">
      <c r="B38" s="28"/>
      <c r="C38" s="28"/>
      <c r="D38" s="28"/>
      <c r="E38" s="28"/>
      <c r="F38" s="28"/>
      <c r="G38" s="28"/>
      <c r="H38" s="1949"/>
      <c r="I38" s="28"/>
      <c r="J38" s="29" t="s">
        <v>69</v>
      </c>
      <c r="K38" s="30" t="s">
        <v>27</v>
      </c>
      <c r="L38" s="30" t="s">
        <v>60</v>
      </c>
      <c r="M38" s="5074" t="s">
        <v>5104</v>
      </c>
      <c r="N38" s="5130" t="s">
        <v>5174</v>
      </c>
      <c r="O38" s="4656" t="s">
        <v>70</v>
      </c>
      <c r="P38" s="30" t="s">
        <v>71</v>
      </c>
      <c r="Q38" s="30" t="s">
        <v>72</v>
      </c>
      <c r="R38" s="30" t="s">
        <v>73</v>
      </c>
      <c r="S38" s="30" t="s">
        <v>74</v>
      </c>
      <c r="T38" s="30" t="s">
        <v>5102</v>
      </c>
      <c r="V38" s="3" t="s">
        <v>13523</v>
      </c>
    </row>
    <row r="39" spans="1:29" s="32" customFormat="1">
      <c r="B39" s="32" t="s">
        <v>3754</v>
      </c>
      <c r="J39" s="227">
        <f>연결FS!K3/10^6</f>
        <v>7448913.7123100003</v>
      </c>
      <c r="K39" s="103">
        <f>연결FS!L3/10^6</f>
        <v>7874716.8175600003</v>
      </c>
      <c r="L39" s="103">
        <f>연결FS!M3/10^6</f>
        <v>7979812.4662619997</v>
      </c>
      <c r="M39" s="5109">
        <f>연결정산표!L6/10^6</f>
        <v>7254338.9507990004</v>
      </c>
      <c r="N39" s="5109">
        <f>O39-M39</f>
        <v>2647172.3508670004</v>
      </c>
      <c r="O39" s="4652">
        <f>연결FS!N3/10^6</f>
        <v>9901511.3016660009</v>
      </c>
      <c r="P39" s="5020">
        <f>DCF!P8</f>
        <v>10286901.021661209</v>
      </c>
      <c r="Q39" s="5020">
        <f>DCF!Q8</f>
        <v>10096907.578534821</v>
      </c>
      <c r="R39" s="5020">
        <f>DCF!R8</f>
        <v>9589583.8718248643</v>
      </c>
      <c r="S39" s="5020">
        <f>DCF!S8</f>
        <v>9552109.3177432083</v>
      </c>
      <c r="T39" s="5020">
        <f>DCF!T8</f>
        <v>9747424.2306819931</v>
      </c>
      <c r="V39" s="5030" t="str">
        <f t="shared" ref="V39:AA39" si="33">+O38</f>
        <v>2021(E)</v>
      </c>
      <c r="W39" s="5030" t="str">
        <f t="shared" si="33"/>
        <v>2022(E)</v>
      </c>
      <c r="X39" s="5030" t="str">
        <f t="shared" si="33"/>
        <v>2023(E)</v>
      </c>
      <c r="Y39" s="5030" t="str">
        <f t="shared" si="33"/>
        <v>2024(E)</v>
      </c>
      <c r="Z39" s="5030" t="str">
        <f t="shared" si="33"/>
        <v>2025(E)</v>
      </c>
      <c r="AA39" s="5030" t="str">
        <f t="shared" si="33"/>
        <v>2026(E)</v>
      </c>
      <c r="AB39" s="5046" t="s">
        <v>13524</v>
      </c>
      <c r="AC39" s="5046" t="s">
        <v>13525</v>
      </c>
    </row>
    <row r="40" spans="1:29">
      <c r="B40" s="3" t="s">
        <v>1298</v>
      </c>
      <c r="J40" s="216">
        <f>연결FS!K4/10^6</f>
        <v>7100110.9138679998</v>
      </c>
      <c r="K40" s="105">
        <f>연결FS!L4/10^6</f>
        <v>7463355.757518</v>
      </c>
      <c r="L40" s="105">
        <f>연결FS!M4/10^6</f>
        <v>7656346.202509</v>
      </c>
      <c r="M40" s="5050">
        <f>연결정산표!L28/10^6</f>
        <v>6921270.8885239996</v>
      </c>
      <c r="N40" s="5050">
        <f t="shared" ref="N40" si="34">O40-M40</f>
        <v>2531957.8178550005</v>
      </c>
      <c r="O40" s="4649">
        <f>연결FS!N4/10^6</f>
        <v>9453228.7063790001</v>
      </c>
      <c r="P40" s="4879">
        <f>DCF!P9</f>
        <v>9828437.0148736238</v>
      </c>
      <c r="Q40" s="4879">
        <f>DCF!Q9</f>
        <v>9624161.4571046568</v>
      </c>
      <c r="R40" s="4879">
        <f>DCF!R9</f>
        <v>9101397.5078193452</v>
      </c>
      <c r="S40" s="4879">
        <f>DCF!S9</f>
        <v>9057842.3207514491</v>
      </c>
      <c r="T40" s="4879">
        <f>DCF!T9</f>
        <v>9291986.336998418</v>
      </c>
      <c r="V40" s="5035">
        <f t="shared" ref="V40:AA41" si="35">+O40/O$39</f>
        <v>0.954725841174208</v>
      </c>
      <c r="W40" s="5036">
        <f t="shared" si="35"/>
        <v>0.95543225254892661</v>
      </c>
      <c r="X40" s="5037">
        <f t="shared" si="35"/>
        <v>0.95317911768993679</v>
      </c>
      <c r="Y40" s="5037">
        <f t="shared" si="35"/>
        <v>0.94909201790915465</v>
      </c>
      <c r="Z40" s="5037">
        <f t="shared" si="35"/>
        <v>0.94825572231741007</v>
      </c>
      <c r="AA40" s="5038">
        <f t="shared" si="35"/>
        <v>0.95327607756621568</v>
      </c>
      <c r="AB40" s="11">
        <f>+W40-$V40</f>
        <v>7.0641137471860738E-4</v>
      </c>
      <c r="AC40" s="11">
        <f>+Z40-$V40</f>
        <v>-6.4701188567979351E-3</v>
      </c>
    </row>
    <row r="41" spans="1:29" s="32" customFormat="1">
      <c r="B41" s="41" t="s">
        <v>2957</v>
      </c>
      <c r="C41" s="41"/>
      <c r="D41" s="41"/>
      <c r="E41" s="41"/>
      <c r="F41" s="41"/>
      <c r="G41" s="41"/>
      <c r="H41" s="41"/>
      <c r="I41" s="41"/>
      <c r="J41" s="2083">
        <f>연결FS!K5/10^6</f>
        <v>348802.798442</v>
      </c>
      <c r="K41" s="2082">
        <f>연결FS!L5/10^6</f>
        <v>411361.06004200003</v>
      </c>
      <c r="L41" s="2082">
        <f>연결FS!M5/10^6</f>
        <v>323466.26375300001</v>
      </c>
      <c r="M41" s="5134">
        <f t="shared" ref="M41:S41" si="36">M39-M40</f>
        <v>333068.06227500085</v>
      </c>
      <c r="N41" s="5134">
        <f t="shared" si="36"/>
        <v>115214.53301199991</v>
      </c>
      <c r="O41" s="4653">
        <f t="shared" si="36"/>
        <v>448282.59528700076</v>
      </c>
      <c r="P41" s="5028">
        <f t="shared" si="36"/>
        <v>458464.00678758509</v>
      </c>
      <c r="Q41" s="5028">
        <f t="shared" si="36"/>
        <v>472746.1214301642</v>
      </c>
      <c r="R41" s="5028">
        <f t="shared" si="36"/>
        <v>488186.36400551908</v>
      </c>
      <c r="S41" s="5028">
        <f t="shared" si="36"/>
        <v>494266.99699175917</v>
      </c>
      <c r="T41" s="5028">
        <f t="shared" ref="T41" si="37">T39-T40</f>
        <v>455437.89368357509</v>
      </c>
      <c r="V41" s="5039">
        <f t="shared" si="35"/>
        <v>4.5274158825791978E-2</v>
      </c>
      <c r="W41" s="5040">
        <f t="shared" si="35"/>
        <v>4.4567747451073343E-2</v>
      </c>
      <c r="X41" s="4911">
        <f t="shared" si="35"/>
        <v>4.6820882310063212E-2</v>
      </c>
      <c r="Y41" s="4911">
        <f t="shared" si="35"/>
        <v>5.0907982090845294E-2</v>
      </c>
      <c r="Z41" s="4911">
        <f t="shared" si="35"/>
        <v>5.1744277682589927E-2</v>
      </c>
      <c r="AA41" s="5041">
        <f t="shared" si="35"/>
        <v>4.6723922433784308E-2</v>
      </c>
      <c r="AB41" s="11">
        <f t="shared" ref="AB41:AB51" si="38">+W41-$V41</f>
        <v>-7.0641137471863513E-4</v>
      </c>
      <c r="AC41" s="11">
        <f>+Z41-$V41</f>
        <v>6.470118856797949E-3</v>
      </c>
    </row>
    <row r="42" spans="1:29">
      <c r="B42" s="3" t="s">
        <v>3755</v>
      </c>
      <c r="J42" s="216">
        <f>연결FS!K6/10^6</f>
        <v>80621.196293999994</v>
      </c>
      <c r="K42" s="105">
        <f>연결FS!L6/10^6</f>
        <v>95923.831160000002</v>
      </c>
      <c r="L42" s="105">
        <f>연결FS!M6/10^6</f>
        <v>94880.853170999995</v>
      </c>
      <c r="M42" s="5050">
        <f>연결정산표!L44/10^6</f>
        <v>68903.419282000003</v>
      </c>
      <c r="N42" s="5050">
        <f>O42-M42</f>
        <v>24986.305942999999</v>
      </c>
      <c r="O42" s="4649">
        <f>연결FS!N6/10^6</f>
        <v>93889.725225000002</v>
      </c>
      <c r="P42" s="4879">
        <f>DCF!P12</f>
        <v>99716.302896505018</v>
      </c>
      <c r="Q42" s="4879">
        <f>DCF!Q12</f>
        <v>99958.665171112458</v>
      </c>
      <c r="R42" s="4879">
        <f>DCF!R12</f>
        <v>98675.640378007141</v>
      </c>
      <c r="S42" s="4879">
        <f>DCF!S12</f>
        <v>102561.51030034552</v>
      </c>
      <c r="T42" s="4879">
        <f>DCF!T12</f>
        <v>101910.61093583106</v>
      </c>
      <c r="V42" s="5031"/>
      <c r="W42" s="5032"/>
      <c r="X42" s="5042"/>
      <c r="Y42" s="5033"/>
      <c r="Z42" s="5033"/>
      <c r="AA42" s="5034"/>
      <c r="AB42" s="11"/>
      <c r="AC42" s="11"/>
    </row>
    <row r="43" spans="1:29" s="32" customFormat="1">
      <c r="B43" s="41" t="s">
        <v>2091</v>
      </c>
      <c r="C43" s="41"/>
      <c r="D43" s="41"/>
      <c r="E43" s="41"/>
      <c r="F43" s="41"/>
      <c r="G43" s="41"/>
      <c r="H43" s="41"/>
      <c r="I43" s="41"/>
      <c r="J43" s="2083">
        <f>연결FS!K7/10^6</f>
        <v>268181.60214799998</v>
      </c>
      <c r="K43" s="2082">
        <f>연결FS!L7/10^6</f>
        <v>315437.22888200002</v>
      </c>
      <c r="L43" s="2082">
        <f>연결FS!M7/10^6</f>
        <v>228585.41058200001</v>
      </c>
      <c r="M43" s="5134">
        <f>M41-M42</f>
        <v>264164.64299300086</v>
      </c>
      <c r="N43" s="5134">
        <f>N41-N42</f>
        <v>90228.227068999913</v>
      </c>
      <c r="O43" s="4653">
        <f>O41-O42</f>
        <v>354392.87006200076</v>
      </c>
      <c r="P43" s="5028">
        <f t="shared" ref="P43:S43" si="39">P41-P42</f>
        <v>358747.70389108011</v>
      </c>
      <c r="Q43" s="5028">
        <f t="shared" si="39"/>
        <v>372787.45625905175</v>
      </c>
      <c r="R43" s="5028">
        <f t="shared" si="39"/>
        <v>389510.72362751194</v>
      </c>
      <c r="S43" s="5028">
        <f t="shared" si="39"/>
        <v>391705.48669141368</v>
      </c>
      <c r="T43" s="5028">
        <f t="shared" ref="T43" si="40">T41-T42</f>
        <v>353527.282747744</v>
      </c>
      <c r="V43" s="5039">
        <f t="shared" ref="V43:AA43" si="41">+O43/O$39</f>
        <v>3.5791795743582253E-2</v>
      </c>
      <c r="W43" s="5040">
        <f t="shared" si="41"/>
        <v>3.4874225302222915E-2</v>
      </c>
      <c r="X43" s="4911">
        <f t="shared" si="41"/>
        <v>3.6920953604801396E-2</v>
      </c>
      <c r="Y43" s="4911">
        <f t="shared" si="41"/>
        <v>4.0618104897328498E-2</v>
      </c>
      <c r="Z43" s="4911">
        <f t="shared" si="41"/>
        <v>4.1007224023683855E-2</v>
      </c>
      <c r="AA43" s="5041">
        <f t="shared" si="41"/>
        <v>3.6268790029159212E-2</v>
      </c>
      <c r="AB43" s="11">
        <f t="shared" si="38"/>
        <v>-9.1757044135933746E-4</v>
      </c>
      <c r="AC43" s="11">
        <f>+Z43-$V43</f>
        <v>5.2154282801016028E-3</v>
      </c>
    </row>
    <row r="44" spans="1:29">
      <c r="B44" s="3" t="s">
        <v>3552</v>
      </c>
      <c r="J44" s="216">
        <f>J49-J43</f>
        <v>-19322.743387999973</v>
      </c>
      <c r="K44" s="105">
        <f>K49-K43</f>
        <v>-24763.033558000054</v>
      </c>
      <c r="L44" s="105">
        <f>L49-L43</f>
        <v>43041.307506999961</v>
      </c>
      <c r="M44" s="5050">
        <f>연결정산표!L88/10^6-연결정산표!L107/10^6+연결정산표!L131/10^6-연결정산표!L163/10^6</f>
        <v>-49305.9326</v>
      </c>
      <c r="N44" s="5050">
        <f>N45+N47+N48</f>
        <v>-1180.1778529999997</v>
      </c>
      <c r="O44" s="4649">
        <f>(연결FS!N8-연결FS!N9+연결FS!N10-연결FS!N11+연결FS!N12+연결FS!N13)/10^6</f>
        <v>-50486.110453000001</v>
      </c>
      <c r="P44" s="4879">
        <f t="shared" ref="P44:S44" si="42">P45+P47+P48</f>
        <v>6648.5582246185122</v>
      </c>
      <c r="Q44" s="4879">
        <f t="shared" si="42"/>
        <v>-997.38873945906926</v>
      </c>
      <c r="R44" s="4879">
        <f t="shared" si="42"/>
        <v>-2094.0767500964357</v>
      </c>
      <c r="S44" s="4879">
        <f t="shared" si="42"/>
        <v>-1642.0198544949344</v>
      </c>
      <c r="T44" s="4879">
        <f t="shared" ref="T44" si="43">T45+T47+T48</f>
        <v>-3262.2152493556132</v>
      </c>
      <c r="V44" s="5031"/>
      <c r="W44" s="5032"/>
      <c r="X44" s="5042"/>
      <c r="Y44" s="5033"/>
      <c r="Z44" s="5033"/>
      <c r="AA44" s="5034"/>
      <c r="AB44" s="11"/>
      <c r="AC44" s="11"/>
    </row>
    <row r="45" spans="1:29">
      <c r="C45" s="3" t="s">
        <v>2971</v>
      </c>
      <c r="J45" s="216">
        <f>연결FS!K58</f>
        <v>24242</v>
      </c>
      <c r="K45" s="105">
        <f>연결FS!K40</f>
        <v>22154</v>
      </c>
      <c r="L45" s="105">
        <f>연결FS!J40</f>
        <v>17241</v>
      </c>
      <c r="M45" s="5050">
        <f>연결정산표!L133/10^6</f>
        <v>9133.7286619999995</v>
      </c>
      <c r="N45" s="5050">
        <f>O45-M45</f>
        <v>3727.2713380000005</v>
      </c>
      <c r="O45" s="4649">
        <f>연결FS!L40</f>
        <v>12861</v>
      </c>
      <c r="P45" s="4879">
        <f>O15*P46</f>
        <v>14468.823063330959</v>
      </c>
      <c r="Q45" s="4879">
        <f t="shared" ref="Q45:T45" si="44">P15*Q46</f>
        <v>11459.753586733792</v>
      </c>
      <c r="R45" s="4879">
        <f t="shared" si="44"/>
        <v>14379.778119789429</v>
      </c>
      <c r="S45" s="4879">
        <f t="shared" si="44"/>
        <v>18680.353168419853</v>
      </c>
      <c r="T45" s="4879">
        <f t="shared" si="44"/>
        <v>21665.809191068533</v>
      </c>
      <c r="V45" s="5031"/>
      <c r="W45" s="5032"/>
      <c r="X45" s="5042"/>
      <c r="Y45" s="5033"/>
      <c r="Z45" s="5033"/>
      <c r="AA45" s="5034"/>
      <c r="AB45" s="11"/>
      <c r="AC45" s="11"/>
    </row>
    <row r="46" spans="1:29" s="45" customFormat="1">
      <c r="D46" s="45" t="s">
        <v>3776</v>
      </c>
      <c r="J46" s="398">
        <f>J45/AVERAGE(J15,연결FS!C5/10^6)</f>
        <v>7.8527486421455142E-2</v>
      </c>
      <c r="K46" s="399">
        <f>K45/AVERAGE(J15:K15)</f>
        <v>7.2505833030893446E-2</v>
      </c>
      <c r="L46" s="399">
        <f>L45/AVERAGE(K15:L15)</f>
        <v>4.4671321346892272E-2</v>
      </c>
      <c r="M46" s="5078">
        <f>M45/AVERAGE(L15:M15)/3*4</f>
        <v>2.4942296153734222E-2</v>
      </c>
      <c r="N46" s="5078">
        <f>O46</f>
        <v>2.5138615763368257E-2</v>
      </c>
      <c r="O46" s="4654">
        <f>O45/AVERAGE(O15,L15)</f>
        <v>2.5138615763368257E-2</v>
      </c>
      <c r="P46" s="4912">
        <f t="shared" ref="P46:T46" si="45">O46</f>
        <v>2.5138615763368257E-2</v>
      </c>
      <c r="Q46" s="4912">
        <f t="shared" si="45"/>
        <v>2.5138615763368257E-2</v>
      </c>
      <c r="R46" s="4912">
        <f t="shared" si="45"/>
        <v>2.5138615763368257E-2</v>
      </c>
      <c r="S46" s="4912">
        <f t="shared" si="45"/>
        <v>2.5138615763368257E-2</v>
      </c>
      <c r="T46" s="4912">
        <f t="shared" si="45"/>
        <v>2.5138615763368257E-2</v>
      </c>
      <c r="U46" s="289" t="s">
        <v>10968</v>
      </c>
      <c r="V46" s="5031"/>
      <c r="W46" s="5032"/>
      <c r="X46" s="5042"/>
      <c r="Y46" s="5033"/>
      <c r="Z46" s="5033"/>
      <c r="AA46" s="5034"/>
      <c r="AB46" s="11"/>
      <c r="AC46" s="11"/>
    </row>
    <row r="47" spans="1:29">
      <c r="C47" s="3" t="s">
        <v>2093</v>
      </c>
      <c r="J47" s="216">
        <f>-연결FS!K66</f>
        <v>-26280</v>
      </c>
      <c r="K47" s="105">
        <f>-연결FS!K49</f>
        <v>-25669</v>
      </c>
      <c r="L47" s="105">
        <f>-연결FS!J49</f>
        <v>-12141</v>
      </c>
      <c r="M47" s="5050">
        <f>-연결정산표!L165/10^6</f>
        <v>-3568.9486780000002</v>
      </c>
      <c r="N47" s="5050">
        <f t="shared" ref="N47:N48" si="46">O47-M47</f>
        <v>-1273.0513219999998</v>
      </c>
      <c r="O47" s="4649">
        <f>-연결FS!L49</f>
        <v>-4842</v>
      </c>
      <c r="P47" s="4879">
        <f>-NWC!P44</f>
        <v>-7820.2648387124473</v>
      </c>
      <c r="Q47" s="4879">
        <f>-NWC!Q44</f>
        <v>-12457.142326192861</v>
      </c>
      <c r="R47" s="4879">
        <f>-NWC!R44</f>
        <v>-16473.854869885865</v>
      </c>
      <c r="S47" s="4879">
        <f>-NWC!S44</f>
        <v>-20322.373022914788</v>
      </c>
      <c r="T47" s="4879">
        <f>-NWC!T44</f>
        <v>-24928.024440424146</v>
      </c>
      <c r="U47" s="289" t="s">
        <v>3774</v>
      </c>
      <c r="V47" s="5031"/>
      <c r="W47" s="5032"/>
      <c r="X47" s="5042"/>
      <c r="Y47" s="5033"/>
      <c r="Z47" s="5033"/>
      <c r="AA47" s="5034"/>
      <c r="AB47" s="11"/>
      <c r="AC47" s="11"/>
    </row>
    <row r="48" spans="1:29">
      <c r="C48" s="3" t="s">
        <v>3756</v>
      </c>
      <c r="J48" s="216">
        <f>J44-J45-J47</f>
        <v>-17284.743387999973</v>
      </c>
      <c r="K48" s="105">
        <f>K44-K45-K47</f>
        <v>-21248.033558000054</v>
      </c>
      <c r="L48" s="105">
        <f>L44-L45-L47</f>
        <v>37941.307506999961</v>
      </c>
      <c r="M48" s="5050">
        <f>M44-M45-M47</f>
        <v>-54870.712584000001</v>
      </c>
      <c r="N48" s="5050">
        <f t="shared" si="46"/>
        <v>-3634.3978690000004</v>
      </c>
      <c r="O48" s="4649">
        <f>O44-O45-O47</f>
        <v>-58505.110453000001</v>
      </c>
      <c r="P48" s="4879">
        <v>0</v>
      </c>
      <c r="Q48" s="4879">
        <v>0</v>
      </c>
      <c r="R48" s="4879">
        <v>0</v>
      </c>
      <c r="S48" s="4879">
        <v>0</v>
      </c>
      <c r="T48" s="4879">
        <v>0</v>
      </c>
      <c r="U48" s="289" t="s">
        <v>3775</v>
      </c>
      <c r="V48" s="5031"/>
      <c r="W48" s="5032"/>
      <c r="X48" s="5042"/>
      <c r="Y48" s="5033"/>
      <c r="Z48" s="5033"/>
      <c r="AA48" s="5034"/>
      <c r="AB48" s="11"/>
      <c r="AC48" s="11"/>
    </row>
    <row r="49" spans="1:29" s="32" customFormat="1">
      <c r="B49" s="41" t="s">
        <v>3551</v>
      </c>
      <c r="C49" s="41"/>
      <c r="D49" s="41"/>
      <c r="E49" s="41"/>
      <c r="F49" s="41"/>
      <c r="G49" s="41"/>
      <c r="H49" s="41"/>
      <c r="I49" s="41"/>
      <c r="J49" s="2083">
        <f>연결FS!K14/10^6</f>
        <v>248858.85876</v>
      </c>
      <c r="K49" s="2082">
        <f>연결FS!L14/10^6</f>
        <v>290674.19532399997</v>
      </c>
      <c r="L49" s="2082">
        <f>연결FS!M14/10^6</f>
        <v>271626.71808899997</v>
      </c>
      <c r="M49" s="5134">
        <f>연결정산표!L193/10^6</f>
        <v>214858.71039299999</v>
      </c>
      <c r="N49" s="5134">
        <f>N43+N44</f>
        <v>89048.049215999912</v>
      </c>
      <c r="O49" s="4653">
        <f>O43+O44</f>
        <v>303906.75960900076</v>
      </c>
      <c r="P49" s="5028">
        <f t="shared" ref="P49:S49" si="47">P43+P44</f>
        <v>365396.2621156986</v>
      </c>
      <c r="Q49" s="5028">
        <f t="shared" si="47"/>
        <v>371790.0675195927</v>
      </c>
      <c r="R49" s="5028">
        <f t="shared" si="47"/>
        <v>387416.64687741548</v>
      </c>
      <c r="S49" s="5028">
        <f t="shared" si="47"/>
        <v>390063.46683691873</v>
      </c>
      <c r="T49" s="5028">
        <f t="shared" ref="T49" si="48">T43+T44</f>
        <v>350265.06749838841</v>
      </c>
      <c r="V49" s="5039">
        <f t="shared" ref="V49:AA49" si="49">+O49/O$39</f>
        <v>3.0692966997660876E-2</v>
      </c>
      <c r="W49" s="5040">
        <f t="shared" si="49"/>
        <v>3.5520538337666593E-2</v>
      </c>
      <c r="X49" s="4911">
        <f t="shared" si="49"/>
        <v>3.6822171999473109E-2</v>
      </c>
      <c r="Y49" s="4911">
        <f t="shared" si="49"/>
        <v>4.0399734968238142E-2</v>
      </c>
      <c r="Z49" s="4911">
        <f t="shared" si="49"/>
        <v>4.0835322739907205E-2</v>
      </c>
      <c r="AA49" s="5041">
        <f t="shared" si="49"/>
        <v>3.5934115434912345E-2</v>
      </c>
      <c r="AB49" s="11">
        <f t="shared" si="38"/>
        <v>4.8275713400057173E-3</v>
      </c>
      <c r="AC49" s="11">
        <f>+Z49-$V49</f>
        <v>1.0142355742246329E-2</v>
      </c>
    </row>
    <row r="50" spans="1:29">
      <c r="B50" s="3" t="s">
        <v>3566</v>
      </c>
      <c r="J50" s="216">
        <f>연결FS!K15/10^6</f>
        <v>58164.543255999997</v>
      </c>
      <c r="K50" s="105">
        <f>연결FS!L15/10^6</f>
        <v>69364.403955999995</v>
      </c>
      <c r="L50" s="105">
        <f>연결FS!M15/10^6</f>
        <v>72375.920425999997</v>
      </c>
      <c r="M50" s="5050">
        <f>연결정산표!L194/10^6</f>
        <v>50347.699691000002</v>
      </c>
      <c r="N50" s="5050">
        <f>O50-M50</f>
        <v>24269.000598999992</v>
      </c>
      <c r="O50" s="4649">
        <f>연결FS!N15/10^6</f>
        <v>74616.700289999993</v>
      </c>
      <c r="P50" s="4879">
        <f t="shared" ref="P50:S50" si="50">IF(P49&lt;0,0,IF(P49&lt;200,P49*10%*1.1,IF(P49&lt;20000,(200*10%*1.1+(P49-200)*20%*1.1),(200*10%*1.1+(20000-200)*20%*1.1+(P49-20000)*22%*1.1))))</f>
        <v>87963.895431999073</v>
      </c>
      <c r="Q50" s="4879">
        <f t="shared" si="50"/>
        <v>89511.196339741437</v>
      </c>
      <c r="R50" s="4879">
        <f t="shared" si="50"/>
        <v>93292.828544334552</v>
      </c>
      <c r="S50" s="4879">
        <f t="shared" si="50"/>
        <v>93933.358974534349</v>
      </c>
      <c r="T50" s="4879">
        <f t="shared" ref="T50" si="51">IF(T49&lt;0,0,IF(T49&lt;200,T49*10%*1.1,IF(T49&lt;20000,(200*10%*1.1+(T49-200)*20%*1.1),(200*10%*1.1+(20000-200)*20%*1.1+(T49-20000)*22%*1.1))))</f>
        <v>84302.146334610006</v>
      </c>
      <c r="V50" s="5031"/>
      <c r="W50" s="5032"/>
      <c r="X50" s="5042"/>
      <c r="Y50" s="5033"/>
      <c r="Z50" s="5033"/>
      <c r="AA50" s="5034"/>
      <c r="AB50" s="11"/>
      <c r="AC50" s="11"/>
    </row>
    <row r="51" spans="1:29" s="32" customFormat="1">
      <c r="B51" s="2050" t="s">
        <v>2096</v>
      </c>
      <c r="C51" s="2050"/>
      <c r="D51" s="2050"/>
      <c r="E51" s="2050"/>
      <c r="F51" s="2050"/>
      <c r="G51" s="2050"/>
      <c r="H51" s="2050"/>
      <c r="I51" s="2050"/>
      <c r="J51" s="2053">
        <f>연결FS!K16/10^6</f>
        <v>190694.315504</v>
      </c>
      <c r="K51" s="2051">
        <f>연결FS!L16/10^6</f>
        <v>221309.79136800001</v>
      </c>
      <c r="L51" s="2051">
        <f>연결FS!M16/10^6</f>
        <v>199250.797663</v>
      </c>
      <c r="M51" s="5133">
        <f>M49-M50</f>
        <v>164511.010702</v>
      </c>
      <c r="N51" s="5133">
        <f>N49-N50</f>
        <v>64779.04861699992</v>
      </c>
      <c r="O51" s="4651">
        <f>O49-O50</f>
        <v>229290.05931900075</v>
      </c>
      <c r="P51" s="5027">
        <f t="shared" ref="P51:S51" si="52">P49-P50</f>
        <v>277432.36668369954</v>
      </c>
      <c r="Q51" s="5027">
        <f t="shared" si="52"/>
        <v>282278.87117985124</v>
      </c>
      <c r="R51" s="5027">
        <f t="shared" si="52"/>
        <v>294123.81833308091</v>
      </c>
      <c r="S51" s="5027">
        <f t="shared" si="52"/>
        <v>296130.10786238441</v>
      </c>
      <c r="T51" s="5027">
        <f t="shared" ref="T51" si="53">T49-T50</f>
        <v>265962.9211637784</v>
      </c>
      <c r="V51" s="5043">
        <f t="shared" ref="V51:AA51" si="54">+O51/O$39</f>
        <v>2.3157076968686692E-2</v>
      </c>
      <c r="W51" s="5044">
        <f t="shared" si="54"/>
        <v>2.6969479544860789E-2</v>
      </c>
      <c r="X51" s="5021">
        <f t="shared" si="54"/>
        <v>2.7956962959624632E-2</v>
      </c>
      <c r="Y51" s="5021">
        <f t="shared" si="54"/>
        <v>3.067117637890894E-2</v>
      </c>
      <c r="Z51" s="5021">
        <f t="shared" si="54"/>
        <v>3.1001540917493228E-2</v>
      </c>
      <c r="AA51" s="5045">
        <f t="shared" si="54"/>
        <v>2.7285456636493385E-2</v>
      </c>
      <c r="AB51" s="11">
        <f t="shared" si="38"/>
        <v>3.8124025761740975E-3</v>
      </c>
      <c r="AC51" s="11">
        <f>+Z51-$V51</f>
        <v>7.8444639488065362E-3</v>
      </c>
    </row>
    <row r="52" spans="1:29">
      <c r="B52" s="3" t="s">
        <v>76</v>
      </c>
      <c r="J52" s="105">
        <f>CAPEX!J37</f>
        <v>72394</v>
      </c>
      <c r="K52" s="105">
        <f>CAPEX!K37</f>
        <v>79007</v>
      </c>
      <c r="L52" s="105">
        <f>CAPEX!L37</f>
        <v>78767</v>
      </c>
      <c r="M52" s="5050">
        <f>CAPEX!M37</f>
        <v>60400.871017775513</v>
      </c>
      <c r="N52" s="5050">
        <f>O52-M52</f>
        <v>22347.128982224487</v>
      </c>
      <c r="O52" s="105">
        <f>76579+3628+2541</f>
        <v>82748</v>
      </c>
      <c r="P52" s="4879">
        <f>DCF!P17</f>
        <v>85220.087366622538</v>
      </c>
      <c r="Q52" s="4879">
        <f>DCF!Q17</f>
        <v>87997.323220096703</v>
      </c>
      <c r="R52" s="4879">
        <f>DCF!R17</f>
        <v>91609.730217154691</v>
      </c>
      <c r="S52" s="4879">
        <f>DCF!S17</f>
        <v>97532.661934210308</v>
      </c>
      <c r="T52" s="4879">
        <f>DCF!T17</f>
        <v>100487.55710237243</v>
      </c>
      <c r="V52" s="45"/>
      <c r="W52" s="45"/>
      <c r="X52" s="45"/>
      <c r="Y52" s="45"/>
      <c r="Z52" s="45"/>
      <c r="AA52" s="45"/>
      <c r="AB52" s="45"/>
      <c r="AC52" s="45"/>
    </row>
    <row r="53" spans="1:29">
      <c r="B53" s="67" t="s">
        <v>3802</v>
      </c>
      <c r="C53" s="67"/>
      <c r="D53" s="67"/>
      <c r="E53" s="67"/>
      <c r="F53" s="67"/>
      <c r="G53" s="67"/>
      <c r="H53" s="67"/>
      <c r="I53" s="67"/>
      <c r="J53" s="111">
        <f>J52+J43</f>
        <v>340575.60214799998</v>
      </c>
      <c r="K53" s="111">
        <f t="shared" ref="K53:O53" si="55">K52+K43</f>
        <v>394444.22888200002</v>
      </c>
      <c r="L53" s="111">
        <f t="shared" si="55"/>
        <v>307352.41058200004</v>
      </c>
      <c r="M53" s="5135">
        <f t="shared" si="55"/>
        <v>324565.51401077636</v>
      </c>
      <c r="N53" s="5135">
        <f t="shared" si="55"/>
        <v>112575.3560512244</v>
      </c>
      <c r="O53" s="111">
        <f t="shared" si="55"/>
        <v>437140.87006200076</v>
      </c>
      <c r="P53" s="5029">
        <f t="shared" ref="P53" si="56">P52+P43</f>
        <v>443967.79125770263</v>
      </c>
      <c r="Q53" s="5029">
        <f t="shared" ref="Q53" si="57">Q52+Q43</f>
        <v>460784.77947914845</v>
      </c>
      <c r="R53" s="5029">
        <f t="shared" ref="R53" si="58">R52+R43</f>
        <v>481120.4538446666</v>
      </c>
      <c r="S53" s="5029">
        <f t="shared" ref="S53" si="59">S52+S43</f>
        <v>489238.14862562402</v>
      </c>
      <c r="T53" s="5029">
        <f t="shared" ref="T53" si="60">T52+T43</f>
        <v>454014.8398501164</v>
      </c>
      <c r="V53" s="5043">
        <f t="shared" ref="V53:AA53" si="61">+O53/O$39</f>
        <v>4.4148903813143014E-2</v>
      </c>
      <c r="W53" s="5044">
        <f t="shared" si="61"/>
        <v>4.3158555751905858E-2</v>
      </c>
      <c r="X53" s="5021">
        <f t="shared" si="61"/>
        <v>4.563622831001625E-2</v>
      </c>
      <c r="Y53" s="5021">
        <f t="shared" si="61"/>
        <v>5.0171150310103191E-2</v>
      </c>
      <c r="Z53" s="5021">
        <f t="shared" si="61"/>
        <v>5.1217812982610626E-2</v>
      </c>
      <c r="AA53" s="5045">
        <f t="shared" si="61"/>
        <v>4.6577929625860819E-2</v>
      </c>
      <c r="AB53" s="11">
        <f t="shared" ref="AB53" si="62">+W53-$V53</f>
        <v>-9.9034806123715624E-4</v>
      </c>
      <c r="AC53" s="11">
        <f>+Z53-$V53</f>
        <v>7.0689091694676118E-3</v>
      </c>
    </row>
    <row r="54" spans="1:29">
      <c r="J54" s="2631"/>
      <c r="K54" s="2631"/>
      <c r="L54" s="2631"/>
      <c r="M54" s="2631"/>
      <c r="N54" s="2631"/>
      <c r="O54" s="2631"/>
      <c r="P54" s="2631"/>
      <c r="Q54" s="2631"/>
      <c r="R54" s="2631"/>
      <c r="S54" s="2631"/>
      <c r="T54" s="2631"/>
      <c r="U54" s="2631"/>
    </row>
    <row r="55" spans="1:29">
      <c r="J55" s="2631"/>
      <c r="K55" s="2631"/>
      <c r="L55" s="2631"/>
      <c r="M55" s="105"/>
      <c r="O55" s="2631"/>
    </row>
    <row r="56" spans="1:29" customFormat="1" ht="12" customHeight="1">
      <c r="A56" s="20" t="s">
        <v>77</v>
      </c>
      <c r="B56" s="21" t="s">
        <v>3743</v>
      </c>
      <c r="C56" s="102"/>
      <c r="D56" s="102"/>
      <c r="E56" s="102"/>
      <c r="F56" s="102"/>
      <c r="G56" s="102"/>
      <c r="H56" s="102"/>
      <c r="I56" s="102"/>
      <c r="J56" s="102"/>
      <c r="K56" s="102"/>
      <c r="L56" s="102"/>
      <c r="M56" s="102"/>
      <c r="N56" s="102"/>
      <c r="O56" s="102"/>
      <c r="P56" s="102"/>
      <c r="Q56" s="102"/>
      <c r="R56" s="102"/>
      <c r="S56" s="102"/>
      <c r="T56" s="102"/>
    </row>
    <row r="57" spans="1:29">
      <c r="A57" s="1956"/>
      <c r="M57" s="105"/>
    </row>
    <row r="58" spans="1:29">
      <c r="B58" s="24"/>
      <c r="C58" s="24"/>
      <c r="D58" s="24"/>
      <c r="E58" s="24"/>
      <c r="F58" s="24"/>
      <c r="G58" s="24"/>
      <c r="H58" s="24"/>
      <c r="I58" s="24"/>
      <c r="J58" s="25" t="s">
        <v>23</v>
      </c>
      <c r="K58" s="26"/>
      <c r="L58" s="26"/>
      <c r="M58" s="27"/>
      <c r="N58" s="26"/>
      <c r="O58" s="26"/>
      <c r="P58" s="26" t="s">
        <v>24</v>
      </c>
      <c r="Q58" s="26"/>
      <c r="R58" s="26"/>
      <c r="S58" s="26"/>
      <c r="T58" s="26"/>
    </row>
    <row r="59" spans="1:29">
      <c r="B59" s="28"/>
      <c r="C59" s="28"/>
      <c r="D59" s="28"/>
      <c r="E59" s="28"/>
      <c r="F59" s="28"/>
      <c r="G59" s="28"/>
      <c r="H59" s="1949"/>
      <c r="I59" s="28"/>
      <c r="J59" s="29" t="s">
        <v>69</v>
      </c>
      <c r="K59" s="30" t="s">
        <v>27</v>
      </c>
      <c r="L59" s="30" t="s">
        <v>60</v>
      </c>
      <c r="M59" s="5074" t="s">
        <v>5104</v>
      </c>
      <c r="N59" s="5130" t="s">
        <v>5174</v>
      </c>
      <c r="O59" s="4656" t="s">
        <v>70</v>
      </c>
      <c r="P59" s="30" t="s">
        <v>71</v>
      </c>
      <c r="Q59" s="30" t="s">
        <v>72</v>
      </c>
      <c r="R59" s="30" t="s">
        <v>73</v>
      </c>
      <c r="S59" s="30" t="s">
        <v>74</v>
      </c>
      <c r="T59" s="30" t="s">
        <v>5102</v>
      </c>
    </row>
    <row r="60" spans="1:29" s="32" customFormat="1">
      <c r="B60" s="32" t="s">
        <v>3763</v>
      </c>
      <c r="J60" s="227">
        <f>연결FS!Q3/10^6</f>
        <v>5713.9597439999998</v>
      </c>
      <c r="K60" s="103">
        <f>연결FS!R3/10^6</f>
        <v>459812.779109</v>
      </c>
      <c r="L60" s="103">
        <f>연결FS!S3/10^6</f>
        <v>-21620.182552999999</v>
      </c>
      <c r="M60" s="5109">
        <f>M61+M62+M69+M70+M71</f>
        <v>96214.031381000721</v>
      </c>
      <c r="N60" s="5109">
        <f>N61+N62+N69+N70+N71</f>
        <v>162583.14517599851</v>
      </c>
      <c r="O60" s="4652">
        <f>연결FS!T3/10^6</f>
        <v>258797.176557</v>
      </c>
      <c r="P60" s="5020">
        <f t="shared" ref="P60:S60" si="63">P61+P62+P69+P70+P71</f>
        <v>345847.50715125399</v>
      </c>
      <c r="Q60" s="5020">
        <f t="shared" si="63"/>
        <v>410451.01695238106</v>
      </c>
      <c r="R60" s="5020">
        <f t="shared" si="63"/>
        <v>489312.85673813429</v>
      </c>
      <c r="S60" s="5020">
        <f t="shared" si="63"/>
        <v>402403.41125532234</v>
      </c>
      <c r="T60" s="5020">
        <f t="shared" ref="T60" si="64">T61+T62+T69+T70+T71</f>
        <v>313549.74410920206</v>
      </c>
    </row>
    <row r="61" spans="1:29">
      <c r="C61" s="3" t="s">
        <v>2096</v>
      </c>
      <c r="J61" s="216">
        <f>J51</f>
        <v>190694.315504</v>
      </c>
      <c r="K61" s="105">
        <f t="shared" ref="K61:L61" si="65">K51</f>
        <v>221309.79136800001</v>
      </c>
      <c r="L61" s="105">
        <f t="shared" si="65"/>
        <v>199250.797663</v>
      </c>
      <c r="M61" s="5050">
        <f>M51</f>
        <v>164511.010702</v>
      </c>
      <c r="N61" s="5050">
        <f>N51</f>
        <v>64779.04861699992</v>
      </c>
      <c r="O61" s="4649">
        <f>O51</f>
        <v>229290.05931900075</v>
      </c>
      <c r="P61" s="4879">
        <f t="shared" ref="P61:S61" si="66">P51</f>
        <v>277432.36668369954</v>
      </c>
      <c r="Q61" s="4879">
        <f t="shared" si="66"/>
        <v>282278.87117985124</v>
      </c>
      <c r="R61" s="4879">
        <f t="shared" si="66"/>
        <v>294123.81833308091</v>
      </c>
      <c r="S61" s="4879">
        <f t="shared" si="66"/>
        <v>296130.10786238441</v>
      </c>
      <c r="T61" s="4879">
        <f t="shared" ref="T61" si="67">T51</f>
        <v>265962.9211637784</v>
      </c>
      <c r="W61" s="32"/>
    </row>
    <row r="62" spans="1:29">
      <c r="C62" s="3" t="s">
        <v>1297</v>
      </c>
      <c r="J62" s="216">
        <f>J60-J61-J69-J70-J71</f>
        <v>-102305.615449</v>
      </c>
      <c r="K62" s="105">
        <f t="shared" ref="K62:L62" si="68">K60-K61-K69-K70-K71</f>
        <v>312938.20869599999</v>
      </c>
      <c r="L62" s="105">
        <f t="shared" si="68"/>
        <v>-132902.44167299999</v>
      </c>
      <c r="M62" s="5050">
        <f>M63+M64+M65+M66+M67+M68</f>
        <v>4794.8736770006944</v>
      </c>
      <c r="N62" s="5050">
        <f>N63+N64+N65+N66+N67+N68</f>
        <v>86419.945652998562</v>
      </c>
      <c r="O62" s="4649">
        <f>O60-O61-O69-O70-O71</f>
        <v>91214.819329999256</v>
      </c>
      <c r="P62" s="4879">
        <f t="shared" ref="P62:S62" si="69">P63+P64+P65+P66+P67+P68</f>
        <v>136383.28253293596</v>
      </c>
      <c r="Q62" s="4879">
        <f t="shared" si="69"/>
        <v>217133.42994398798</v>
      </c>
      <c r="R62" s="4879">
        <f t="shared" si="69"/>
        <v>286794.31149489124</v>
      </c>
      <c r="S62" s="4879">
        <f t="shared" si="69"/>
        <v>201208.15179176745</v>
      </c>
      <c r="T62" s="4879">
        <f t="shared" ref="T62" si="70">T63+T64+T65+T66+T67+T68</f>
        <v>144782.39716931368</v>
      </c>
      <c r="W62" s="32"/>
    </row>
    <row r="63" spans="1:29">
      <c r="D63" s="3" t="s">
        <v>3769</v>
      </c>
      <c r="J63" s="216">
        <f>-((NWC!J10-NWC!J22)-(NWC!I10-NWC!I22))</f>
        <v>-207868.94342999975</v>
      </c>
      <c r="K63" s="105">
        <f>-((NWC!K10-NWC!K22)-(NWC!J10-NWC!J22))</f>
        <v>222870.53004299989</v>
      </c>
      <c r="L63" s="105">
        <f>-((NWC!L10-NWC!L22)-(NWC!K10-NWC!K22))</f>
        <v>-337181.46275500022</v>
      </c>
      <c r="M63" s="5050">
        <f>-((NWC!M10-NWC!M22)-(NWC!L10-NWC!L22))</f>
        <v>12643.350288000191</v>
      </c>
      <c r="N63" s="5050">
        <f>O63-M63</f>
        <v>22239.74759100005</v>
      </c>
      <c r="O63" s="4649">
        <f>-((O16+O17-O26)-(L16+L17-L26))</f>
        <v>34883.097879000241</v>
      </c>
      <c r="P63" s="4879">
        <f>-((NWC!P10-NWC!P22)-(NWC!O10-NWC!O22))</f>
        <v>-30152.142041067127</v>
      </c>
      <c r="Q63" s="4879">
        <f>-((NWC!Q10-NWC!Q22)-(NWC!P10-NWC!P22))</f>
        <v>38627.521644690773</v>
      </c>
      <c r="R63" s="4879">
        <f>-((NWC!R10-NWC!R22)-(NWC!Q10-NWC!Q22))</f>
        <v>99797.675983305555</v>
      </c>
      <c r="S63" s="4879">
        <f>-((NWC!S10-NWC!S22)-(NWC!R10-NWC!R22))</f>
        <v>8100.111028527841</v>
      </c>
      <c r="T63" s="4879">
        <f>-((NWC!T10-NWC!T22)-(NWC!S10-NWC!S22))</f>
        <v>-43269.521517024375</v>
      </c>
      <c r="W63" s="32"/>
    </row>
    <row r="64" spans="1:29">
      <c r="D64" s="3" t="s">
        <v>76</v>
      </c>
      <c r="J64" s="216">
        <f>CAPEX!J37</f>
        <v>72394</v>
      </c>
      <c r="K64" s="105">
        <f>CAPEX!K37</f>
        <v>79007</v>
      </c>
      <c r="L64" s="105">
        <f>CAPEX!L37</f>
        <v>78767</v>
      </c>
      <c r="M64" s="5050">
        <f>CAPEX!M37</f>
        <v>60400.871017775513</v>
      </c>
      <c r="N64" s="5050">
        <f>O64-M64</f>
        <v>22347.128982224487</v>
      </c>
      <c r="O64" s="4649">
        <f>SUM(연결FS!Q38:Q40)</f>
        <v>82748</v>
      </c>
      <c r="P64" s="4879">
        <f>CAPEX!P37</f>
        <v>85220.087366622538</v>
      </c>
      <c r="Q64" s="4879">
        <f>CAPEX!Q37</f>
        <v>87997.323220096703</v>
      </c>
      <c r="R64" s="4879">
        <f>CAPEX!R37</f>
        <v>91609.730217154691</v>
      </c>
      <c r="S64" s="4879">
        <f>CAPEX!S37</f>
        <v>97532.661934210308</v>
      </c>
      <c r="T64" s="4879">
        <f>CAPEX!T37</f>
        <v>100487.55710237243</v>
      </c>
      <c r="W64" s="32"/>
    </row>
    <row r="65" spans="2:23">
      <c r="D65" s="3" t="s">
        <v>2971</v>
      </c>
      <c r="J65" s="216">
        <f t="shared" ref="J65:O65" si="71">-J45</f>
        <v>-24242</v>
      </c>
      <c r="K65" s="105">
        <f t="shared" si="71"/>
        <v>-22154</v>
      </c>
      <c r="L65" s="105">
        <f t="shared" si="71"/>
        <v>-17241</v>
      </c>
      <c r="M65" s="5050">
        <f t="shared" si="71"/>
        <v>-9133.7286619999995</v>
      </c>
      <c r="N65" s="5050">
        <f t="shared" ref="N65:N68" si="72">O65-M65</f>
        <v>-3727.2713380000005</v>
      </c>
      <c r="O65" s="4649">
        <f t="shared" si="71"/>
        <v>-12861</v>
      </c>
      <c r="P65" s="4879">
        <f t="shared" ref="P65:S65" si="73">-P45</f>
        <v>-14468.823063330959</v>
      </c>
      <c r="Q65" s="4879">
        <f t="shared" si="73"/>
        <v>-11459.753586733792</v>
      </c>
      <c r="R65" s="4879">
        <f t="shared" si="73"/>
        <v>-14379.778119789429</v>
      </c>
      <c r="S65" s="4879">
        <f t="shared" si="73"/>
        <v>-18680.353168419853</v>
      </c>
      <c r="T65" s="4879">
        <f t="shared" ref="T65" si="74">-T45</f>
        <v>-21665.809191068533</v>
      </c>
      <c r="W65" s="32"/>
    </row>
    <row r="66" spans="2:23">
      <c r="D66" s="3" t="s">
        <v>2093</v>
      </c>
      <c r="J66" s="216">
        <f>-J47</f>
        <v>26280</v>
      </c>
      <c r="K66" s="105">
        <f t="shared" ref="K66:L66" si="75">-K47</f>
        <v>25669</v>
      </c>
      <c r="L66" s="105">
        <f t="shared" si="75"/>
        <v>12141</v>
      </c>
      <c r="M66" s="5050">
        <f>-M47</f>
        <v>3568.9486780000002</v>
      </c>
      <c r="N66" s="5050">
        <f t="shared" si="72"/>
        <v>1273.0513219999998</v>
      </c>
      <c r="O66" s="4649">
        <f>-O47</f>
        <v>4842</v>
      </c>
      <c r="P66" s="4879">
        <f t="shared" ref="P66:S66" si="76">-P47</f>
        <v>7820.2648387124473</v>
      </c>
      <c r="Q66" s="4879">
        <f t="shared" si="76"/>
        <v>12457.142326192861</v>
      </c>
      <c r="R66" s="4879">
        <f t="shared" si="76"/>
        <v>16473.854869885865</v>
      </c>
      <c r="S66" s="4879">
        <f t="shared" si="76"/>
        <v>20322.373022914788</v>
      </c>
      <c r="T66" s="4879">
        <f t="shared" ref="T66" si="77">-T47</f>
        <v>24928.024440424146</v>
      </c>
      <c r="W66" s="32"/>
    </row>
    <row r="67" spans="2:23">
      <c r="D67" s="3" t="s">
        <v>3566</v>
      </c>
      <c r="J67" s="216">
        <f>J50</f>
        <v>58164.543255999997</v>
      </c>
      <c r="K67" s="105">
        <f t="shared" ref="K67:L67" si="78">K50</f>
        <v>69364.403955999995</v>
      </c>
      <c r="L67" s="105">
        <f t="shared" si="78"/>
        <v>72375.920425999997</v>
      </c>
      <c r="M67" s="5050">
        <f>M50</f>
        <v>50347.699691000002</v>
      </c>
      <c r="N67" s="5050">
        <f t="shared" si="72"/>
        <v>24269.000598999992</v>
      </c>
      <c r="O67" s="4649">
        <f>O50</f>
        <v>74616.700289999993</v>
      </c>
      <c r="P67" s="4879">
        <f t="shared" ref="P67:S67" si="79">P50</f>
        <v>87963.895431999073</v>
      </c>
      <c r="Q67" s="4879">
        <f t="shared" si="79"/>
        <v>89511.196339741437</v>
      </c>
      <c r="R67" s="4879">
        <f t="shared" si="79"/>
        <v>93292.828544334552</v>
      </c>
      <c r="S67" s="4879">
        <f t="shared" si="79"/>
        <v>93933.358974534349</v>
      </c>
      <c r="T67" s="4879">
        <f t="shared" ref="T67" si="80">T50</f>
        <v>84302.146334610006</v>
      </c>
      <c r="W67" s="32"/>
    </row>
    <row r="68" spans="2:23">
      <c r="D68" s="3" t="s">
        <v>3772</v>
      </c>
      <c r="J68" s="216">
        <f>J62-J63-J64-J65-J66-J67</f>
        <v>-27033.21527500025</v>
      </c>
      <c r="K68" s="105">
        <f t="shared" ref="K68:L68" si="81">K62-K63-K64-K65-K66-K67</f>
        <v>-61818.725302999897</v>
      </c>
      <c r="L68" s="105">
        <f t="shared" si="81"/>
        <v>58236.100656000228</v>
      </c>
      <c r="M68" s="5050">
        <v>-113032.267335775</v>
      </c>
      <c r="N68" s="5050">
        <f t="shared" si="72"/>
        <v>20018.288496774025</v>
      </c>
      <c r="O68" s="4649">
        <f>O62-O63-O64-O65-O66-O67</f>
        <v>-93013.978839000978</v>
      </c>
      <c r="P68" s="4879">
        <v>0</v>
      </c>
      <c r="Q68" s="4879">
        <v>0</v>
      </c>
      <c r="R68" s="4879">
        <v>0</v>
      </c>
      <c r="S68" s="4879">
        <v>0</v>
      </c>
      <c r="T68" s="4879">
        <v>0</v>
      </c>
      <c r="U68" s="289" t="s">
        <v>3775</v>
      </c>
      <c r="W68" s="32"/>
    </row>
    <row r="69" spans="2:23">
      <c r="C69" s="3" t="s">
        <v>3764</v>
      </c>
      <c r="J69" s="216">
        <f>연결FS!Q5/10^6</f>
        <v>3474.9770010000002</v>
      </c>
      <c r="K69" s="105">
        <f>연결FS!R5/10^6</f>
        <v>14192.433074</v>
      </c>
      <c r="L69" s="105">
        <f>연결FS!S5/10^6</f>
        <v>6946.3568089999999</v>
      </c>
      <c r="M69" s="5050">
        <f>-M65</f>
        <v>9133.7286619999995</v>
      </c>
      <c r="N69" s="5050">
        <f>O69-M69</f>
        <v>-698.1012439999995</v>
      </c>
      <c r="O69" s="4649">
        <f>연결FS!T5/10^6</f>
        <v>8435.627418</v>
      </c>
      <c r="P69" s="4879">
        <f t="shared" ref="P69:S69" si="82">-P65</f>
        <v>14468.823063330959</v>
      </c>
      <c r="Q69" s="4879">
        <f t="shared" si="82"/>
        <v>11459.753586733792</v>
      </c>
      <c r="R69" s="4879">
        <f t="shared" si="82"/>
        <v>14379.778119789429</v>
      </c>
      <c r="S69" s="4879">
        <f t="shared" si="82"/>
        <v>18680.353168419853</v>
      </c>
      <c r="T69" s="4879">
        <f t="shared" ref="T69" si="83">-T65</f>
        <v>21665.809191068533</v>
      </c>
      <c r="U69" s="289" t="s">
        <v>3777</v>
      </c>
      <c r="W69" s="32"/>
    </row>
    <row r="70" spans="2:23">
      <c r="C70" s="3" t="s">
        <v>3765</v>
      </c>
      <c r="J70" s="216">
        <f>연결FS!Q6/10^6</f>
        <v>-25371.071681000001</v>
      </c>
      <c r="K70" s="105">
        <f>연결FS!R6/10^6</f>
        <v>-26737.606919000002</v>
      </c>
      <c r="L70" s="105">
        <f>연결FS!S6/10^6</f>
        <v>-13072.564752</v>
      </c>
      <c r="M70" s="5050">
        <f t="shared" ref="M70" si="84">-M66</f>
        <v>-3568.9486780000002</v>
      </c>
      <c r="N70" s="5050">
        <f t="shared" ref="N70:N71" si="85">O70-M70</f>
        <v>-1468.4513430000002</v>
      </c>
      <c r="O70" s="4649">
        <f>연결FS!T6/10^6</f>
        <v>-5037.4000210000004</v>
      </c>
      <c r="P70" s="4879">
        <f t="shared" ref="P70:S70" si="86">-P66</f>
        <v>-7820.2648387124473</v>
      </c>
      <c r="Q70" s="4879">
        <f t="shared" si="86"/>
        <v>-12457.142326192861</v>
      </c>
      <c r="R70" s="4879">
        <f t="shared" si="86"/>
        <v>-16473.854869885865</v>
      </c>
      <c r="S70" s="4879">
        <f t="shared" si="86"/>
        <v>-20322.373022914788</v>
      </c>
      <c r="T70" s="4879">
        <f t="shared" ref="T70" si="87">-T66</f>
        <v>-24928.024440424146</v>
      </c>
      <c r="U70" s="289" t="s">
        <v>3778</v>
      </c>
      <c r="W70" s="32"/>
    </row>
    <row r="71" spans="2:23">
      <c r="C71" s="3" t="s">
        <v>3766</v>
      </c>
      <c r="J71" s="216">
        <f>연결FS!Q7/10^6</f>
        <v>-60778.645630999999</v>
      </c>
      <c r="K71" s="105">
        <f>연결FS!R7/10^6</f>
        <v>-61890.04711</v>
      </c>
      <c r="L71" s="105">
        <f>연결FS!S7/10^6</f>
        <v>-81842.330600000001</v>
      </c>
      <c r="M71" s="5050">
        <f>-(L28+M50-M28)</f>
        <v>-78656.632981999996</v>
      </c>
      <c r="N71" s="5050">
        <f t="shared" si="85"/>
        <v>13550.703492999994</v>
      </c>
      <c r="O71" s="4649">
        <f>연결FS!T7/10^6</f>
        <v>-65105.929489000002</v>
      </c>
      <c r="P71" s="4879">
        <f>-O50</f>
        <v>-74616.700289999993</v>
      </c>
      <c r="Q71" s="4879">
        <f t="shared" ref="Q71:T71" si="88">-P50</f>
        <v>-87963.895431999073</v>
      </c>
      <c r="R71" s="4879">
        <f t="shared" si="88"/>
        <v>-89511.196339741437</v>
      </c>
      <c r="S71" s="4879">
        <f t="shared" si="88"/>
        <v>-93292.828544334552</v>
      </c>
      <c r="T71" s="4879">
        <f t="shared" si="88"/>
        <v>-93933.358974534349</v>
      </c>
      <c r="U71" s="289" t="s">
        <v>3779</v>
      </c>
      <c r="W71" s="32"/>
    </row>
    <row r="72" spans="2:23" s="32" customFormat="1">
      <c r="B72" s="32" t="s">
        <v>3767</v>
      </c>
      <c r="J72" s="396">
        <f>연결FS!Q8/10^6</f>
        <v>117458.897356</v>
      </c>
      <c r="K72" s="112">
        <f>연결FS!R8/10^6</f>
        <v>19388.932569000001</v>
      </c>
      <c r="L72" s="112">
        <f>연결FS!S8/10^6</f>
        <v>-10497.251131000001</v>
      </c>
      <c r="M72" s="5131">
        <f>-CAPEX!M8</f>
        <v>-96906.802611000006</v>
      </c>
      <c r="N72" s="5131">
        <f>O72-M72</f>
        <v>142625.69481100002</v>
      </c>
      <c r="O72" s="4648">
        <f>연결FS!T8/10^6</f>
        <v>45718.892200000002</v>
      </c>
      <c r="P72" s="5020">
        <f>-CAPEX!P8</f>
        <v>-147645.87447191557</v>
      </c>
      <c r="Q72" s="5020">
        <f>-CAPEX!Q8</f>
        <v>-129308.46591432448</v>
      </c>
      <c r="R72" s="5020">
        <f>-CAPEX!R8</f>
        <v>-109872.55149023533</v>
      </c>
      <c r="S72" s="5020">
        <f>-CAPEX!S8</f>
        <v>-130980.62907014199</v>
      </c>
      <c r="T72" s="5020">
        <f>-CAPEX!T8</f>
        <v>-130980.62907014199</v>
      </c>
      <c r="U72" s="289" t="s">
        <v>3780</v>
      </c>
    </row>
    <row r="73" spans="2:23" s="32" customFormat="1">
      <c r="B73" s="32" t="s">
        <v>3768</v>
      </c>
      <c r="J73" s="396">
        <f>연결FS!Q20/10^6</f>
        <v>-166955.95516099999</v>
      </c>
      <c r="K73" s="112">
        <f>연결FS!R20/10^6</f>
        <v>-441807.97571500001</v>
      </c>
      <c r="L73" s="112">
        <f>연결FS!S20/10^6</f>
        <v>155866.28018999999</v>
      </c>
      <c r="M73" s="5131">
        <f>M74+M76+M75</f>
        <v>81921.014325999888</v>
      </c>
      <c r="N73" s="5131">
        <f t="shared" ref="N73:N76" si="89">O73-M73</f>
        <v>-259281.54275499989</v>
      </c>
      <c r="O73" s="4648">
        <f>연결FS!T20/10^6</f>
        <v>-177360.528429</v>
      </c>
      <c r="P73" s="5020">
        <f>P74+P76+P75</f>
        <v>-317900.72450371622</v>
      </c>
      <c r="Q73" s="5020">
        <f t="shared" ref="Q73:T73" si="90">Q74+Q76+Q75</f>
        <v>-164985.61699912412</v>
      </c>
      <c r="R73" s="5020">
        <f t="shared" si="90"/>
        <v>-208365.84796226025</v>
      </c>
      <c r="S73" s="5020">
        <f t="shared" si="90"/>
        <v>-152663.02028138234</v>
      </c>
      <c r="T73" s="5020">
        <f t="shared" si="90"/>
        <v>-117954.59544939961</v>
      </c>
    </row>
    <row r="74" spans="2:23">
      <c r="C74" s="3" t="s">
        <v>3773</v>
      </c>
      <c r="J74" s="216">
        <f>NWC!J25-NWC!I25</f>
        <v>29474</v>
      </c>
      <c r="K74" s="105">
        <f>NWC!K25-NWC!J25</f>
        <v>-285838</v>
      </c>
      <c r="L74" s="105">
        <f>NWC!L25-NWC!K25</f>
        <v>259373</v>
      </c>
      <c r="M74" s="5050">
        <f>NWC!M25-NWC!L25</f>
        <v>197914.0783259999</v>
      </c>
      <c r="N74" s="5050">
        <f>NWC!N25-NWC!M25</f>
        <v>-41820.746954559116</v>
      </c>
      <c r="O74" s="4649">
        <f>NWC!O25-NWC!L25</f>
        <v>156093.33137144079</v>
      </c>
      <c r="P74" s="4879">
        <f>NWC!P25-NWC!O25</f>
        <v>20032.275496283779</v>
      </c>
      <c r="Q74" s="4879">
        <f>NWC!Q25-NWC!P25</f>
        <v>-26269.433657274349</v>
      </c>
      <c r="R74" s="4879">
        <f>NWC!R25-NWC!Q25</f>
        <v>-67226.412372334627</v>
      </c>
      <c r="S74" s="4879">
        <f>NWC!S25-NWC!R25</f>
        <v>-5601.1111148418859</v>
      </c>
      <c r="T74" s="4879">
        <f>NWC!T25-NWC!S25</f>
        <v>30110.458481792593</v>
      </c>
      <c r="W74" s="32"/>
    </row>
    <row r="75" spans="2:23">
      <c r="C75" s="3" t="s">
        <v>6734</v>
      </c>
      <c r="J75" s="216">
        <f>연결FS!Q24/10^6</f>
        <v>-90009.914399999994</v>
      </c>
      <c r="K75" s="105">
        <f>연결FS!R24/10^6</f>
        <v>-104004.57120000001</v>
      </c>
      <c r="L75" s="105">
        <f>연결FS!S24/10^6</f>
        <v>-107051.3784</v>
      </c>
      <c r="M75" s="5050">
        <f>-IRR_Backup!D33/10^6</f>
        <v>-120323.06400000001</v>
      </c>
      <c r="N75" s="5050">
        <f t="shared" si="89"/>
        <v>0</v>
      </c>
      <c r="O75" s="4649">
        <f>연결FS!T24/10^6</f>
        <v>-120323.064</v>
      </c>
      <c r="P75" s="4879">
        <f>-137933-200000</f>
        <v>-337933</v>
      </c>
      <c r="Q75" s="4879">
        <f>-IRR!F130</f>
        <v>-138716.18334184977</v>
      </c>
      <c r="R75" s="4879">
        <f>-IRR!G130</f>
        <v>-141139.43558992562</v>
      </c>
      <c r="S75" s="4879">
        <f>-IRR!H130</f>
        <v>-147061.90916654046</v>
      </c>
      <c r="T75" s="4879">
        <f>-IRR!I130</f>
        <v>-148065.0539311922</v>
      </c>
      <c r="V75" s="105"/>
      <c r="W75" s="112"/>
    </row>
    <row r="76" spans="2:23">
      <c r="C76" s="3" t="s">
        <v>320</v>
      </c>
      <c r="J76" s="216">
        <f>J73-J74-J75</f>
        <v>-106420.040761</v>
      </c>
      <c r="K76" s="105">
        <f t="shared" ref="K76:L76" si="91">K73-K74-K75</f>
        <v>-51965.404515000002</v>
      </c>
      <c r="L76" s="105">
        <f t="shared" si="91"/>
        <v>3544.6585899999918</v>
      </c>
      <c r="M76" s="5050">
        <f>연결정산표!L640/10^6-연결FS!AE32</f>
        <v>4330</v>
      </c>
      <c r="N76" s="5050">
        <f t="shared" si="89"/>
        <v>-217460.79580044077</v>
      </c>
      <c r="O76" s="4649">
        <f>O73-O74-O75</f>
        <v>-213130.79580044077</v>
      </c>
      <c r="P76" s="4879">
        <v>0</v>
      </c>
      <c r="Q76" s="4879">
        <v>0</v>
      </c>
      <c r="R76" s="4879">
        <v>0</v>
      </c>
      <c r="S76" s="4879">
        <v>0</v>
      </c>
      <c r="T76" s="4879">
        <v>0</v>
      </c>
      <c r="U76" s="289" t="s">
        <v>3775</v>
      </c>
      <c r="W76" s="32"/>
    </row>
    <row r="77" spans="2:23" s="32" customFormat="1">
      <c r="B77" s="41" t="s">
        <v>3770</v>
      </c>
      <c r="C77" s="41"/>
      <c r="D77" s="41"/>
      <c r="E77" s="41"/>
      <c r="F77" s="41"/>
      <c r="G77" s="41"/>
      <c r="H77" s="41"/>
      <c r="I77" s="41"/>
      <c r="J77" s="2083">
        <f t="shared" ref="J77:T77" si="92">J73+J72+J60</f>
        <v>-43783.09806099999</v>
      </c>
      <c r="K77" s="2082">
        <f t="shared" si="92"/>
        <v>37393.735962999985</v>
      </c>
      <c r="L77" s="2082">
        <f t="shared" si="92"/>
        <v>123748.846506</v>
      </c>
      <c r="M77" s="5134">
        <f t="shared" si="92"/>
        <v>81228.243096000602</v>
      </c>
      <c r="N77" s="5134">
        <f t="shared" si="92"/>
        <v>45927.297231998644</v>
      </c>
      <c r="O77" s="4653">
        <f t="shared" si="92"/>
        <v>127155.540328</v>
      </c>
      <c r="P77" s="5028">
        <f t="shared" si="92"/>
        <v>-119699.09182437777</v>
      </c>
      <c r="Q77" s="5028">
        <f t="shared" si="92"/>
        <v>116156.93403893249</v>
      </c>
      <c r="R77" s="5028">
        <f t="shared" si="92"/>
        <v>171074.45728563872</v>
      </c>
      <c r="S77" s="5028">
        <f t="shared" si="92"/>
        <v>118759.76190379803</v>
      </c>
      <c r="T77" s="5028">
        <f t="shared" si="92"/>
        <v>64614.519589660456</v>
      </c>
    </row>
    <row r="78" spans="2:23" s="32" customFormat="1">
      <c r="B78" s="32" t="s">
        <v>3578</v>
      </c>
      <c r="J78" s="396">
        <f>연결FS!Q28/10^6</f>
        <v>330578.31083099998</v>
      </c>
      <c r="K78" s="112">
        <f>J80</f>
        <v>286836.07754999999</v>
      </c>
      <c r="L78" s="112">
        <f>K80</f>
        <v>324259.58396899997</v>
      </c>
      <c r="M78" s="5131">
        <f>L80</f>
        <v>447645.05104799994</v>
      </c>
      <c r="N78" s="5131">
        <f>M80</f>
        <v>528873.29414400051</v>
      </c>
      <c r="O78" s="4648">
        <f>L80</f>
        <v>447645.05104799994</v>
      </c>
      <c r="P78" s="5020">
        <f>O80</f>
        <v>575561.64585700002</v>
      </c>
      <c r="Q78" s="5020">
        <f t="shared" ref="Q78:T78" si="93">P80</f>
        <v>455862.55403262225</v>
      </c>
      <c r="R78" s="5020">
        <f t="shared" si="93"/>
        <v>572019.48807155481</v>
      </c>
      <c r="S78" s="5020">
        <f t="shared" si="93"/>
        <v>743093.94535719347</v>
      </c>
      <c r="T78" s="5020">
        <f t="shared" si="93"/>
        <v>861853.70726099145</v>
      </c>
    </row>
    <row r="79" spans="2:23" s="32" customFormat="1">
      <c r="B79" s="32" t="s">
        <v>3771</v>
      </c>
      <c r="J79" s="396">
        <f>연결FS!Q29/10^6</f>
        <v>40.864780000000003</v>
      </c>
      <c r="K79" s="112">
        <f>연결FS!R29/10^6</f>
        <v>29.770455999999999</v>
      </c>
      <c r="L79" s="112">
        <f>연결FS!S29/10^6</f>
        <v>-363.37942700000002</v>
      </c>
      <c r="M79" s="5131">
        <v>0</v>
      </c>
      <c r="N79" s="5131">
        <f>O79-M79</f>
        <v>761.05448100000001</v>
      </c>
      <c r="O79" s="4648">
        <f>연결FS!T29/10^6</f>
        <v>761.05448100000001</v>
      </c>
      <c r="P79" s="5020">
        <v>0</v>
      </c>
      <c r="Q79" s="5020">
        <v>0</v>
      </c>
      <c r="R79" s="5020">
        <v>0</v>
      </c>
      <c r="S79" s="5020">
        <v>0</v>
      </c>
      <c r="T79" s="5020">
        <v>0</v>
      </c>
      <c r="U79" s="289" t="s">
        <v>3775</v>
      </c>
    </row>
    <row r="80" spans="2:23" s="32" customFormat="1">
      <c r="B80" s="67" t="s">
        <v>3579</v>
      </c>
      <c r="C80" s="67"/>
      <c r="D80" s="67"/>
      <c r="E80" s="67"/>
      <c r="F80" s="67"/>
      <c r="G80" s="67"/>
      <c r="H80" s="67"/>
      <c r="I80" s="67"/>
      <c r="J80" s="1990">
        <f>J77+J78+J79</f>
        <v>286836.07754999999</v>
      </c>
      <c r="K80" s="111">
        <f t="shared" ref="K80:L80" si="94">K77+K78+K79</f>
        <v>324259.58396899997</v>
      </c>
      <c r="L80" s="111">
        <f t="shared" si="94"/>
        <v>447645.05104799994</v>
      </c>
      <c r="M80" s="5135">
        <f>M77+M78+M79</f>
        <v>528873.29414400051</v>
      </c>
      <c r="N80" s="5135">
        <f>N79+N78+N77</f>
        <v>575561.64585699921</v>
      </c>
      <c r="O80" s="4655">
        <f>O77+O78+O79</f>
        <v>575561.64585700002</v>
      </c>
      <c r="P80" s="5029">
        <f t="shared" ref="P80:S80" si="95">P77+P78+P79</f>
        <v>455862.55403262225</v>
      </c>
      <c r="Q80" s="5029">
        <f t="shared" si="95"/>
        <v>572019.48807155481</v>
      </c>
      <c r="R80" s="5029">
        <f t="shared" si="95"/>
        <v>743093.94535719347</v>
      </c>
      <c r="S80" s="5029">
        <f t="shared" si="95"/>
        <v>861853.70726099145</v>
      </c>
      <c r="T80" s="5029">
        <f t="shared" ref="T80" si="96">T77+T78+T79</f>
        <v>926468.2268506519</v>
      </c>
    </row>
    <row r="81" spans="2:25">
      <c r="J81" s="3" t="b">
        <f>J80=J15</f>
        <v>1</v>
      </c>
      <c r="K81" s="3" t="b">
        <f>K80=K15</f>
        <v>1</v>
      </c>
      <c r="L81" s="3" t="b">
        <f>L80=L15</f>
        <v>1</v>
      </c>
      <c r="M81" s="3" t="b">
        <f>M80=M15</f>
        <v>0</v>
      </c>
    </row>
    <row r="82" spans="2:25">
      <c r="M82" s="105">
        <f>M80-M15</f>
        <v>0</v>
      </c>
      <c r="P82" s="105"/>
    </row>
    <row r="83" spans="2:25">
      <c r="J83" s="4854" t="str">
        <f>+J59</f>
        <v>2018(A)</v>
      </c>
      <c r="K83" s="4854" t="str">
        <f t="shared" ref="K83:T83" si="97">+K59</f>
        <v>2019(A)</v>
      </c>
      <c r="L83" s="4854" t="str">
        <f t="shared" si="97"/>
        <v>2020(A)</v>
      </c>
      <c r="M83" s="5136" t="str">
        <f t="shared" si="97"/>
        <v>2021 9m(A)</v>
      </c>
      <c r="N83" s="5136" t="str">
        <f t="shared" si="97"/>
        <v>2021 3m(E)</v>
      </c>
      <c r="O83" s="4854" t="str">
        <f t="shared" si="97"/>
        <v>2021(E)</v>
      </c>
      <c r="P83" s="4854" t="str">
        <f t="shared" si="97"/>
        <v>2022(E)</v>
      </c>
      <c r="Q83" s="4854" t="str">
        <f t="shared" si="97"/>
        <v>2023(E)</v>
      </c>
      <c r="R83" s="4854" t="str">
        <f t="shared" si="97"/>
        <v>2024(E)</v>
      </c>
      <c r="S83" s="4854" t="str">
        <f t="shared" si="97"/>
        <v>2025(E)</v>
      </c>
      <c r="T83" s="4854" t="str">
        <f t="shared" si="97"/>
        <v>2026(E)</v>
      </c>
      <c r="U83" s="110" t="s">
        <v>13518</v>
      </c>
      <c r="V83" s="110" t="s">
        <v>13519</v>
      </c>
      <c r="W83" s="110" t="s">
        <v>13520</v>
      </c>
      <c r="X83" s="110" t="s">
        <v>13522</v>
      </c>
      <c r="Y83" s="110" t="s">
        <v>13521</v>
      </c>
    </row>
    <row r="84" spans="2:25">
      <c r="B84" s="4150" t="s">
        <v>13515</v>
      </c>
      <c r="C84" s="4150"/>
      <c r="D84" s="4150"/>
      <c r="E84" s="4150"/>
      <c r="F84" s="4150"/>
      <c r="G84" s="4150"/>
      <c r="H84" s="4150"/>
      <c r="I84" s="4150"/>
      <c r="J84" s="4863">
        <f>+J43/J$39</f>
        <v>3.6002780070442449E-2</v>
      </c>
      <c r="K84" s="4863">
        <f t="shared" ref="K84:T84" si="98">+K43/K$39</f>
        <v>4.0056961563189136E-2</v>
      </c>
      <c r="L84" s="4863">
        <f t="shared" si="98"/>
        <v>2.8645461475246516E-2</v>
      </c>
      <c r="M84" s="5137">
        <f t="shared" si="98"/>
        <v>3.6414709153327542E-2</v>
      </c>
      <c r="N84" s="5137">
        <f t="shared" si="98"/>
        <v>3.4084757284295608E-2</v>
      </c>
      <c r="O84" s="4863">
        <f t="shared" si="98"/>
        <v>3.5791795743582253E-2</v>
      </c>
      <c r="P84" s="4855">
        <f t="shared" si="98"/>
        <v>3.4874225302222915E-2</v>
      </c>
      <c r="Q84" s="4726">
        <f t="shared" si="98"/>
        <v>3.6920953604801396E-2</v>
      </c>
      <c r="R84" s="4726">
        <f t="shared" si="98"/>
        <v>4.0618104897328498E-2</v>
      </c>
      <c r="S84" s="4726">
        <f t="shared" si="98"/>
        <v>4.1007224023683855E-2</v>
      </c>
      <c r="T84" s="4856">
        <f t="shared" si="98"/>
        <v>3.6268790029159212E-2</v>
      </c>
      <c r="U84" s="2631">
        <f>+AVERAGE(J84:L84,O84)</f>
        <v>3.5124249713115091E-2</v>
      </c>
      <c r="V84" s="4278">
        <v>3.1616515847412291E-2</v>
      </c>
      <c r="W84" s="2631">
        <f>+AVERAGE(P84:T84)</f>
        <v>3.7937859571439178E-2</v>
      </c>
      <c r="X84" s="11">
        <f>+$W84-U84</f>
        <v>2.8136098583240871E-3</v>
      </c>
      <c r="Y84" s="11">
        <f>+$W84-V84</f>
        <v>6.3213437240268872E-3</v>
      </c>
    </row>
    <row r="85" spans="2:25">
      <c r="B85" s="3" t="s">
        <v>13516</v>
      </c>
      <c r="J85" s="4864">
        <f>+J53/J$39</f>
        <v>4.5721512599235528E-2</v>
      </c>
      <c r="K85" s="4864">
        <f t="shared" ref="K85:T85" si="99">+K53/K$39</f>
        <v>5.0089957267088051E-2</v>
      </c>
      <c r="L85" s="4864">
        <f t="shared" si="99"/>
        <v>3.8516244821724964E-2</v>
      </c>
      <c r="M85" s="5138">
        <f t="shared" si="99"/>
        <v>4.4740880762819658E-2</v>
      </c>
      <c r="N85" s="5138">
        <f t="shared" si="99"/>
        <v>4.2526643954389209E-2</v>
      </c>
      <c r="O85" s="4864">
        <f t="shared" si="99"/>
        <v>4.4148903813143014E-2</v>
      </c>
      <c r="P85" s="4857">
        <f t="shared" si="99"/>
        <v>4.3158555751905858E-2</v>
      </c>
      <c r="Q85" s="4858">
        <f t="shared" si="99"/>
        <v>4.563622831001625E-2</v>
      </c>
      <c r="R85" s="4858">
        <f t="shared" si="99"/>
        <v>5.0171150310103191E-2</v>
      </c>
      <c r="S85" s="4858">
        <f t="shared" si="99"/>
        <v>5.1217812982610626E-2</v>
      </c>
      <c r="T85" s="4859">
        <f t="shared" si="99"/>
        <v>4.6577929625860819E-2</v>
      </c>
      <c r="U85" s="2631">
        <f>+AVERAGE(J85:L85,O85)</f>
        <v>4.4619154625297891E-2</v>
      </c>
      <c r="V85" s="4278">
        <v>4.0254158491346108E-2</v>
      </c>
      <c r="W85" s="2631">
        <f>+AVERAGE(P85:T85)</f>
        <v>4.7352335396099357E-2</v>
      </c>
      <c r="X85" s="11">
        <f t="shared" ref="X85:Y86" si="100">+$W85-U85</f>
        <v>2.733180770801466E-3</v>
      </c>
      <c r="Y85" s="11">
        <f t="shared" si="100"/>
        <v>7.0981769047532492E-3</v>
      </c>
    </row>
    <row r="86" spans="2:25">
      <c r="B86" s="12" t="s">
        <v>13517</v>
      </c>
      <c r="C86" s="12"/>
      <c r="D86" s="12"/>
      <c r="E86" s="12"/>
      <c r="F86" s="12"/>
      <c r="G86" s="12"/>
      <c r="H86" s="12"/>
      <c r="I86" s="12"/>
      <c r="J86" s="4865">
        <f>+J51/J$39</f>
        <v>2.5600285205191795E-2</v>
      </c>
      <c r="K86" s="4865">
        <f t="shared" ref="K86:T86" si="101">+K51/K$39</f>
        <v>2.810384125490031E-2</v>
      </c>
      <c r="L86" s="4865">
        <f t="shared" si="101"/>
        <v>2.4969358428586667E-2</v>
      </c>
      <c r="M86" s="5139">
        <f t="shared" si="101"/>
        <v>2.2677601890090975E-2</v>
      </c>
      <c r="N86" s="5139">
        <f t="shared" si="101"/>
        <v>2.4471035516740541E-2</v>
      </c>
      <c r="O86" s="4865">
        <f t="shared" si="101"/>
        <v>2.3157076968686692E-2</v>
      </c>
      <c r="P86" s="4860">
        <f t="shared" si="101"/>
        <v>2.6969479544860789E-2</v>
      </c>
      <c r="Q86" s="4861">
        <f t="shared" si="101"/>
        <v>2.7956962959624632E-2</v>
      </c>
      <c r="R86" s="4861">
        <f t="shared" si="101"/>
        <v>3.067117637890894E-2</v>
      </c>
      <c r="S86" s="4861">
        <f t="shared" si="101"/>
        <v>3.1001540917493228E-2</v>
      </c>
      <c r="T86" s="4862">
        <f t="shared" si="101"/>
        <v>2.7285456636493385E-2</v>
      </c>
      <c r="U86" s="2631">
        <f>+AVERAGE(J86:L86,O86)</f>
        <v>2.5457640464341368E-2</v>
      </c>
      <c r="V86" s="4278">
        <v>2.2445326039002164E-2</v>
      </c>
      <c r="W86" s="2631">
        <f>+AVERAGE(P86:T86)</f>
        <v>2.8776923287476198E-2</v>
      </c>
      <c r="X86" s="11">
        <f t="shared" si="100"/>
        <v>3.3192828231348309E-3</v>
      </c>
      <c r="Y86" s="11">
        <f t="shared" si="100"/>
        <v>6.3315972484740343E-3</v>
      </c>
    </row>
    <row r="88" spans="2:25">
      <c r="M88" s="248"/>
    </row>
  </sheetData>
  <phoneticPr fontId="1" type="noConversion"/>
  <conditionalFormatting sqref="K13:M13">
    <cfRule type="cellIs" dxfId="1970" priority="87" operator="equal">
      <formula>"X"</formula>
    </cfRule>
    <cfRule type="cellIs" dxfId="1969" priority="88" operator="equal">
      <formula>"O"</formula>
    </cfRule>
    <cfRule type="cellIs" dxfId="1968" priority="89" operator="equal">
      <formula>"미정"</formula>
    </cfRule>
    <cfRule type="cellIs" dxfId="1967" priority="90" operator="equal">
      <formula>"예정"</formula>
    </cfRule>
    <cfRule type="cellIs" dxfId="1966" priority="91" operator="equal">
      <formula>"확정"</formula>
    </cfRule>
  </conditionalFormatting>
  <conditionalFormatting sqref="N13:P13">
    <cfRule type="cellIs" dxfId="1965" priority="82" operator="equal">
      <formula>"X"</formula>
    </cfRule>
    <cfRule type="cellIs" dxfId="1964" priority="83" operator="equal">
      <formula>"O"</formula>
    </cfRule>
    <cfRule type="cellIs" dxfId="1963" priority="84" operator="equal">
      <formula>"미정"</formula>
    </cfRule>
    <cfRule type="cellIs" dxfId="1962" priority="85" operator="equal">
      <formula>"예정"</formula>
    </cfRule>
    <cfRule type="cellIs" dxfId="1961" priority="86" operator="equal">
      <formula>"확정"</formula>
    </cfRule>
  </conditionalFormatting>
  <conditionalFormatting sqref="K38:L38">
    <cfRule type="cellIs" dxfId="1960" priority="77" operator="equal">
      <formula>"X"</formula>
    </cfRule>
    <cfRule type="cellIs" dxfId="1959" priority="78" operator="equal">
      <formula>"O"</formula>
    </cfRule>
    <cfRule type="cellIs" dxfId="1958" priority="79" operator="equal">
      <formula>"미정"</formula>
    </cfRule>
    <cfRule type="cellIs" dxfId="1957" priority="80" operator="equal">
      <formula>"예정"</formula>
    </cfRule>
    <cfRule type="cellIs" dxfId="1956" priority="81" operator="equal">
      <formula>"확정"</formula>
    </cfRule>
  </conditionalFormatting>
  <conditionalFormatting sqref="P38">
    <cfRule type="cellIs" dxfId="1955" priority="72" operator="equal">
      <formula>"X"</formula>
    </cfRule>
    <cfRule type="cellIs" dxfId="1954" priority="73" operator="equal">
      <formula>"O"</formula>
    </cfRule>
    <cfRule type="cellIs" dxfId="1953" priority="74" operator="equal">
      <formula>"미정"</formula>
    </cfRule>
    <cfRule type="cellIs" dxfId="1952" priority="75" operator="equal">
      <formula>"예정"</formula>
    </cfRule>
    <cfRule type="cellIs" dxfId="1951" priority="76" operator="equal">
      <formula>"확정"</formula>
    </cfRule>
  </conditionalFormatting>
  <conditionalFormatting sqref="K59:L59">
    <cfRule type="cellIs" dxfId="1950" priority="67" operator="equal">
      <formula>"X"</formula>
    </cfRule>
    <cfRule type="cellIs" dxfId="1949" priority="68" operator="equal">
      <formula>"O"</formula>
    </cfRule>
    <cfRule type="cellIs" dxfId="1948" priority="69" operator="equal">
      <formula>"미정"</formula>
    </cfRule>
    <cfRule type="cellIs" dxfId="1947" priority="70" operator="equal">
      <formula>"예정"</formula>
    </cfRule>
    <cfRule type="cellIs" dxfId="1946" priority="71" operator="equal">
      <formula>"확정"</formula>
    </cfRule>
  </conditionalFormatting>
  <conditionalFormatting sqref="P59">
    <cfRule type="cellIs" dxfId="1945" priority="62" operator="equal">
      <formula>"X"</formula>
    </cfRule>
    <cfRule type="cellIs" dxfId="1944" priority="63" operator="equal">
      <formula>"O"</formula>
    </cfRule>
    <cfRule type="cellIs" dxfId="1943" priority="64" operator="equal">
      <formula>"미정"</formula>
    </cfRule>
    <cfRule type="cellIs" dxfId="1942" priority="65" operator="equal">
      <formula>"예정"</formula>
    </cfRule>
    <cfRule type="cellIs" dxfId="1941" priority="66" operator="equal">
      <formula>"확정"</formula>
    </cfRule>
  </conditionalFormatting>
  <conditionalFormatting sqref="M38">
    <cfRule type="cellIs" dxfId="1940" priority="47" operator="equal">
      <formula>"X"</formula>
    </cfRule>
    <cfRule type="cellIs" dxfId="1939" priority="48" operator="equal">
      <formula>"O"</formula>
    </cfRule>
    <cfRule type="cellIs" dxfId="1938" priority="49" operator="equal">
      <formula>"미정"</formula>
    </cfRule>
    <cfRule type="cellIs" dxfId="1937" priority="50" operator="equal">
      <formula>"예정"</formula>
    </cfRule>
    <cfRule type="cellIs" dxfId="1936" priority="51" operator="equal">
      <formula>"확정"</formula>
    </cfRule>
  </conditionalFormatting>
  <conditionalFormatting sqref="N38">
    <cfRule type="cellIs" dxfId="1935" priority="42" operator="equal">
      <formula>"X"</formula>
    </cfRule>
    <cfRule type="cellIs" dxfId="1934" priority="43" operator="equal">
      <formula>"O"</formula>
    </cfRule>
    <cfRule type="cellIs" dxfId="1933" priority="44" operator="equal">
      <formula>"미정"</formula>
    </cfRule>
    <cfRule type="cellIs" dxfId="1932" priority="45" operator="equal">
      <formula>"예정"</formula>
    </cfRule>
    <cfRule type="cellIs" dxfId="1931" priority="46" operator="equal">
      <formula>"확정"</formula>
    </cfRule>
  </conditionalFormatting>
  <conditionalFormatting sqref="O38">
    <cfRule type="cellIs" dxfId="1930" priority="37" operator="equal">
      <formula>"X"</formula>
    </cfRule>
    <cfRule type="cellIs" dxfId="1929" priority="38" operator="equal">
      <formula>"O"</formula>
    </cfRule>
    <cfRule type="cellIs" dxfId="1928" priority="39" operator="equal">
      <formula>"미정"</formula>
    </cfRule>
    <cfRule type="cellIs" dxfId="1927" priority="40" operator="equal">
      <formula>"예정"</formula>
    </cfRule>
    <cfRule type="cellIs" dxfId="1926" priority="41" operator="equal">
      <formula>"확정"</formula>
    </cfRule>
  </conditionalFormatting>
  <conditionalFormatting sqref="M59">
    <cfRule type="cellIs" dxfId="1925" priority="17" operator="equal">
      <formula>"X"</formula>
    </cfRule>
    <cfRule type="cellIs" dxfId="1924" priority="18" operator="equal">
      <formula>"O"</formula>
    </cfRule>
    <cfRule type="cellIs" dxfId="1923" priority="19" operator="equal">
      <formula>"미정"</formula>
    </cfRule>
    <cfRule type="cellIs" dxfId="1922" priority="20" operator="equal">
      <formula>"예정"</formula>
    </cfRule>
    <cfRule type="cellIs" dxfId="1921" priority="21" operator="equal">
      <formula>"확정"</formula>
    </cfRule>
  </conditionalFormatting>
  <conditionalFormatting sqref="N59">
    <cfRule type="cellIs" dxfId="1920" priority="12" operator="equal">
      <formula>"X"</formula>
    </cfRule>
    <cfRule type="cellIs" dxfId="1919" priority="13" operator="equal">
      <formula>"O"</formula>
    </cfRule>
    <cfRule type="cellIs" dxfId="1918" priority="14" operator="equal">
      <formula>"미정"</formula>
    </cfRule>
    <cfRule type="cellIs" dxfId="1917" priority="15" operator="equal">
      <formula>"예정"</formula>
    </cfRule>
    <cfRule type="cellIs" dxfId="1916" priority="16" operator="equal">
      <formula>"확정"</formula>
    </cfRule>
  </conditionalFormatting>
  <conditionalFormatting sqref="O59">
    <cfRule type="cellIs" dxfId="1915" priority="7" operator="equal">
      <formula>"X"</formula>
    </cfRule>
    <cfRule type="cellIs" dxfId="1914" priority="8" operator="equal">
      <formula>"O"</formula>
    </cfRule>
    <cfRule type="cellIs" dxfId="1913" priority="9" operator="equal">
      <formula>"미정"</formula>
    </cfRule>
    <cfRule type="cellIs" dxfId="1912" priority="10" operator="equal">
      <formula>"예정"</formula>
    </cfRule>
    <cfRule type="cellIs" dxfId="1911" priority="11" operator="equal">
      <formula>"확정"</formula>
    </cfRule>
  </conditionalFormatting>
  <conditionalFormatting sqref="AB40:AC51">
    <cfRule type="cellIs" dxfId="1910" priority="5" operator="lessThan">
      <formula>0</formula>
    </cfRule>
    <cfRule type="cellIs" dxfId="1909" priority="6" operator="greaterThan">
      <formula>0</formula>
    </cfRule>
  </conditionalFormatting>
  <conditionalFormatting sqref="AB53:AC53">
    <cfRule type="cellIs" dxfId="1908" priority="3" operator="lessThan">
      <formula>0</formula>
    </cfRule>
    <cfRule type="cellIs" dxfId="1907" priority="4" operator="greaterThan">
      <formula>0</formula>
    </cfRule>
  </conditionalFormatting>
  <conditionalFormatting sqref="X84:Y86">
    <cfRule type="cellIs" dxfId="1906" priority="1" operator="lessThan">
      <formula>0</formula>
    </cfRule>
    <cfRule type="cellIs" dxfId="1905" priority="2" operator="greaterThan">
      <formula>0</formula>
    </cfRule>
  </conditionalFormatting>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6A3F0-5697-4D01-BBAF-CA0BF4797E40}">
  <sheetPr>
    <tabColor rgb="FF0070C0"/>
  </sheetPr>
  <dimension ref="B1:P304"/>
  <sheetViews>
    <sheetView topLeftCell="A109" zoomScaleNormal="100" workbookViewId="0">
      <selection activeCell="O191" sqref="O191"/>
    </sheetView>
  </sheetViews>
  <sheetFormatPr defaultColWidth="9" defaultRowHeight="13.5"/>
  <cols>
    <col min="1" max="1" width="9" style="815"/>
    <col min="2" max="2" width="22.625" style="815" bestFit="1" customWidth="1"/>
    <col min="3" max="3" width="10.625" style="815" bestFit="1" customWidth="1"/>
    <col min="4" max="4" width="9" style="815"/>
    <col min="5" max="10" width="9.625" style="815" customWidth="1"/>
    <col min="11" max="11" width="9.625" style="4552" customWidth="1"/>
    <col min="12" max="13" width="9.625" style="815" customWidth="1"/>
    <col min="14" max="16384" width="9" style="815"/>
  </cols>
  <sheetData>
    <row r="1" spans="2:13">
      <c r="B1" s="1513" t="s">
        <v>10798</v>
      </c>
    </row>
    <row r="3" spans="2:13">
      <c r="B3" s="817" t="s">
        <v>10799</v>
      </c>
      <c r="C3" s="4553"/>
      <c r="D3" s="4553"/>
      <c r="E3" s="4553"/>
      <c r="F3" s="4553"/>
      <c r="G3" s="4553"/>
      <c r="H3" s="4553"/>
      <c r="I3" s="4553"/>
      <c r="J3" s="4553"/>
      <c r="K3" s="4554"/>
      <c r="L3" s="4553"/>
      <c r="M3" s="4553"/>
    </row>
    <row r="5" spans="2:13">
      <c r="B5" s="4555"/>
      <c r="C5" s="4555"/>
      <c r="D5" s="4555"/>
      <c r="E5" s="4556" t="s">
        <v>5173</v>
      </c>
      <c r="F5" s="4556" t="s">
        <v>5360</v>
      </c>
      <c r="G5" s="4556" t="s">
        <v>1326</v>
      </c>
      <c r="H5" s="4556" t="s">
        <v>1327</v>
      </c>
      <c r="I5" s="4556" t="s">
        <v>1328</v>
      </c>
      <c r="J5" s="4556" t="s">
        <v>1329</v>
      </c>
      <c r="K5" s="4556" t="s">
        <v>10800</v>
      </c>
      <c r="L5" s="4556" t="s">
        <v>10801</v>
      </c>
    </row>
    <row r="6" spans="2:13">
      <c r="B6" s="709" t="s">
        <v>10802</v>
      </c>
      <c r="C6" s="709"/>
      <c r="D6" s="709"/>
      <c r="E6" s="3608">
        <f>DCF!N13/100</f>
        <v>944.77039825236818</v>
      </c>
      <c r="F6" s="3608">
        <f>DCF!O13/100</f>
        <v>3586.4168281823581</v>
      </c>
      <c r="G6" s="3608">
        <f>DCF!P13/100</f>
        <v>3587.4770389108012</v>
      </c>
      <c r="H6" s="3608">
        <f>DCF!Q13/100</f>
        <v>3727.8745625905176</v>
      </c>
      <c r="I6" s="3608">
        <f>DCF!R13/100</f>
        <v>3895.1072362751192</v>
      </c>
      <c r="J6" s="3608">
        <f>DCF!S13/100</f>
        <v>3917.0548669141367</v>
      </c>
      <c r="K6" s="3608">
        <f>DCF!T13/100</f>
        <v>3535.2728274774399</v>
      </c>
      <c r="L6" s="3608">
        <f>DCF!U13/100</f>
        <v>3570.6255557522036</v>
      </c>
    </row>
    <row r="7" spans="2:13">
      <c r="B7" s="1513" t="s">
        <v>3456</v>
      </c>
      <c r="C7" s="1513"/>
      <c r="D7" s="1513"/>
      <c r="E7" s="3613">
        <f>DCF!N14</f>
        <v>3.2894286439971707E-2</v>
      </c>
      <c r="F7" s="3613">
        <f>DCF!O14</f>
        <v>3.5416222876693881E-2</v>
      </c>
      <c r="G7" s="3613">
        <f>DCF!P14</f>
        <v>3.4874225302222915E-2</v>
      </c>
      <c r="H7" s="3613">
        <f>DCF!Q14</f>
        <v>3.6920953604801396E-2</v>
      </c>
      <c r="I7" s="3613">
        <f>DCF!R14</f>
        <v>4.0618104897328498E-2</v>
      </c>
      <c r="J7" s="3613">
        <f>DCF!S14</f>
        <v>4.1007224023683855E-2</v>
      </c>
      <c r="K7" s="3613">
        <f>DCF!T14</f>
        <v>3.6268790029159212E-2</v>
      </c>
      <c r="L7" s="3613">
        <f>DCF!U14</f>
        <v>3.6268790029159108E-2</v>
      </c>
    </row>
    <row r="8" spans="2:13">
      <c r="B8" s="815" t="s">
        <v>10803</v>
      </c>
      <c r="E8" s="4557">
        <f>DCF!N15/100</f>
        <v>224.01443637707311</v>
      </c>
      <c r="F8" s="4557">
        <f>DCF!O15/100</f>
        <v>863.29287242013083</v>
      </c>
      <c r="G8" s="4557">
        <f>DCF!P15/100</f>
        <v>863.54944341641385</v>
      </c>
      <c r="H8" s="4557">
        <f>DCF!Q15/100</f>
        <v>897.52564414690528</v>
      </c>
      <c r="I8" s="4557">
        <f>DCF!R15/100</f>
        <v>937.99595117857893</v>
      </c>
      <c r="J8" s="4557">
        <f>DCF!S15/100</f>
        <v>943.30727779322115</v>
      </c>
      <c r="K8" s="4557">
        <f>DCF!T15/100</f>
        <v>850.91602424954044</v>
      </c>
      <c r="L8" s="4557">
        <f>DCF!U15/100</f>
        <v>859.47138449203339</v>
      </c>
    </row>
    <row r="9" spans="2:13">
      <c r="B9" s="709" t="s">
        <v>10804</v>
      </c>
      <c r="E9" s="4558">
        <f>DCF!N16/100</f>
        <v>720.75596187529504</v>
      </c>
      <c r="F9" s="4558">
        <f>DCF!O16/100</f>
        <v>2723.1239557622275</v>
      </c>
      <c r="G9" s="4558">
        <f>DCF!P16/100</f>
        <v>2723.9275954943873</v>
      </c>
      <c r="H9" s="4558">
        <f>DCF!Q16/100</f>
        <v>2830.3489184436121</v>
      </c>
      <c r="I9" s="4558">
        <f>DCF!R16/100</f>
        <v>2957.1112850965401</v>
      </c>
      <c r="J9" s="4558">
        <f>DCF!S16/100</f>
        <v>2973.7475891209156</v>
      </c>
      <c r="K9" s="4558">
        <f>DCF!T16/100</f>
        <v>2684.3568032278995</v>
      </c>
      <c r="L9" s="4558">
        <f>DCF!U16/100</f>
        <v>2711.1541712601702</v>
      </c>
    </row>
    <row r="10" spans="2:13">
      <c r="B10" s="815" t="s">
        <v>10805</v>
      </c>
      <c r="E10" s="4557">
        <f>DCF!N17/100</f>
        <v>191.81567016572782</v>
      </c>
      <c r="F10" s="4559"/>
      <c r="G10" s="4557">
        <f>DCF!P17/100</f>
        <v>852.20087366622533</v>
      </c>
      <c r="H10" s="4557">
        <f>DCF!Q17/100</f>
        <v>879.973232200967</v>
      </c>
      <c r="I10" s="4557">
        <f>DCF!R17/100</f>
        <v>916.09730217154686</v>
      </c>
      <c r="J10" s="4557">
        <f>DCF!S17/100</f>
        <v>975.32661934210307</v>
      </c>
      <c r="K10" s="4557">
        <f>DCF!T17/100</f>
        <v>1004.8755710237243</v>
      </c>
      <c r="L10" s="4560" t="str">
        <f>DCF!U17</f>
        <v>= CAPEX</v>
      </c>
    </row>
    <row r="11" spans="2:13">
      <c r="B11" s="815" t="s">
        <v>10806</v>
      </c>
      <c r="E11" s="4557">
        <f>DCF!N18/100</f>
        <v>-401.88821793092677</v>
      </c>
      <c r="F11" s="4559"/>
      <c r="G11" s="4557">
        <f>DCF!P18/100</f>
        <v>-1476.4587447191557</v>
      </c>
      <c r="H11" s="4557">
        <f>DCF!Q18/100</f>
        <v>-1293.0846591432448</v>
      </c>
      <c r="I11" s="4557">
        <f>DCF!R18/100</f>
        <v>-1098.7255149023533</v>
      </c>
      <c r="J11" s="4557">
        <f>DCF!S18/100</f>
        <v>-1309.80629070142</v>
      </c>
      <c r="K11" s="4557">
        <f>DCF!T18/100</f>
        <v>-1309.80629070142</v>
      </c>
      <c r="L11" s="4560" t="str">
        <f>DCF!U18</f>
        <v>= D&amp;A</v>
      </c>
    </row>
    <row r="12" spans="2:13">
      <c r="B12" s="815" t="s">
        <v>10807</v>
      </c>
      <c r="E12" s="4557">
        <f>DCF!N19/100</f>
        <v>-286.10034654802445</v>
      </c>
      <c r="F12" s="4559"/>
      <c r="G12" s="4557">
        <f>DCF!P19/100</f>
        <v>-179.40131383495793</v>
      </c>
      <c r="H12" s="4557">
        <f>DCF!Q19/100</f>
        <v>-0.99054338776437367</v>
      </c>
      <c r="I12" s="4557">
        <f>DCF!R19/100</f>
        <v>160.97408741085061</v>
      </c>
      <c r="J12" s="4557">
        <f>DCF!S19/100</f>
        <v>-178.23373109228601</v>
      </c>
      <c r="K12" s="4557">
        <f>DCF!T19/100</f>
        <v>-380.87087475656159</v>
      </c>
      <c r="L12" s="4557">
        <f>DCF!U19/100</f>
        <v>-443.9365474836921</v>
      </c>
    </row>
    <row r="13" spans="2:13">
      <c r="B13" s="4561" t="s">
        <v>10808</v>
      </c>
      <c r="C13" s="4561"/>
      <c r="D13" s="4561"/>
      <c r="E13" s="4562">
        <f>DCF!N20/100</f>
        <v>224.58306756207162</v>
      </c>
      <c r="F13" s="4563"/>
      <c r="G13" s="4562">
        <f>DCF!P20/100</f>
        <v>1920.2684106064989</v>
      </c>
      <c r="H13" s="4562">
        <f>DCF!Q20/100</f>
        <v>2416.2469481135699</v>
      </c>
      <c r="I13" s="4562">
        <f>DCF!R20/100</f>
        <v>2935.4571597765839</v>
      </c>
      <c r="J13" s="4562">
        <f>DCF!S20/100</f>
        <v>2461.0341866693125</v>
      </c>
      <c r="K13" s="4562">
        <f>DCF!T20/100</f>
        <v>1998.5552087936419</v>
      </c>
      <c r="L13" s="4562">
        <f>DCF!U20/100</f>
        <v>2267.2176237764784</v>
      </c>
    </row>
    <row r="14" spans="2:13">
      <c r="B14" s="815" t="s">
        <v>10809</v>
      </c>
      <c r="E14" s="4564">
        <f>DCF!N21</f>
        <v>0.12602739726027398</v>
      </c>
      <c r="F14" s="4559"/>
      <c r="G14" s="4564">
        <f>DCF!P21</f>
        <v>0.75205479452054802</v>
      </c>
      <c r="H14" s="4564">
        <f>DCF!Q21</f>
        <v>1.752054794520548</v>
      </c>
      <c r="I14" s="4564">
        <f>DCF!R21</f>
        <v>2.7520547945205482</v>
      </c>
      <c r="J14" s="4564">
        <f>DCF!S21</f>
        <v>3.7520547945205482</v>
      </c>
      <c r="K14" s="4564">
        <f>DCF!T21</f>
        <v>4.7520547945205482</v>
      </c>
      <c r="L14" s="4564">
        <f>DCF!U21</f>
        <v>4.7520547945205482</v>
      </c>
    </row>
    <row r="15" spans="2:13">
      <c r="B15" s="815" t="s">
        <v>10810</v>
      </c>
      <c r="E15" s="4564">
        <f>DCF!N22</f>
        <v>0.98760827355281344</v>
      </c>
      <c r="F15" s="4559"/>
      <c r="G15" s="4564">
        <f>DCF!P22</f>
        <v>0.92829262971933235</v>
      </c>
      <c r="H15" s="4564">
        <f>DCF!Q22</f>
        <v>0.84084477329649665</v>
      </c>
      <c r="I15" s="4564">
        <f>DCF!R22</f>
        <v>0.76163475842073958</v>
      </c>
      <c r="J15" s="4564">
        <f>DCF!S22</f>
        <v>0.689886556540525</v>
      </c>
      <c r="K15" s="4564">
        <f>DCF!T22</f>
        <v>0.62489724324322904</v>
      </c>
      <c r="L15" s="4564">
        <f>DCF!U22</f>
        <v>0.62489724324322904</v>
      </c>
    </row>
    <row r="16" spans="2:13">
      <c r="B16" s="4561" t="s">
        <v>10811</v>
      </c>
      <c r="C16" s="4561"/>
      <c r="D16" s="4561"/>
      <c r="E16" s="4562">
        <f>DCF!N23/100</f>
        <v>221.80009562417243</v>
      </c>
      <c r="F16" s="4563"/>
      <c r="G16" s="4562">
        <f>DCF!P23/100</f>
        <v>1782.5710126488696</v>
      </c>
      <c r="H16" s="4562">
        <f>DCF!Q23/100</f>
        <v>2031.6886173149064</v>
      </c>
      <c r="I16" s="4562">
        <f>DCF!R23/100</f>
        <v>2235.746204740869</v>
      </c>
      <c r="J16" s="4562">
        <f>DCF!S23/100</f>
        <v>1697.8344005698036</v>
      </c>
      <c r="K16" s="4562">
        <f>DCF!T23/100</f>
        <v>1248.8916404445429</v>
      </c>
      <c r="L16" s="4562">
        <f>DCF!U23/100</f>
        <v>15072.106839684953</v>
      </c>
    </row>
    <row r="17" spans="2:13">
      <c r="B17" s="815" t="s">
        <v>10812</v>
      </c>
      <c r="E17" s="996">
        <f>DCF!N24/100</f>
        <v>9218.5319713431636</v>
      </c>
      <c r="F17" s="4559"/>
    </row>
    <row r="18" spans="2:13">
      <c r="B18" s="815" t="s">
        <v>10813</v>
      </c>
      <c r="E18" s="996">
        <f>DCF!N25/100</f>
        <v>15072.106839684953</v>
      </c>
      <c r="F18" s="4559"/>
    </row>
    <row r="19" spans="2:13">
      <c r="B19" s="4561" t="s">
        <v>10814</v>
      </c>
      <c r="C19" s="4565"/>
      <c r="D19" s="4565"/>
      <c r="E19" s="4562">
        <f>DCF!N26/100</f>
        <v>24290.638811028115</v>
      </c>
      <c r="F19" s="4566"/>
      <c r="G19" s="4565"/>
      <c r="H19" s="4565"/>
      <c r="I19" s="4565"/>
      <c r="J19" s="4565"/>
      <c r="K19" s="4567"/>
      <c r="L19" s="4565"/>
    </row>
    <row r="21" spans="2:13">
      <c r="B21" s="4561" t="s">
        <v>10814</v>
      </c>
      <c r="C21" s="4561"/>
      <c r="D21" s="4561"/>
      <c r="E21" s="4561"/>
      <c r="F21" s="4568">
        <f>DCF!G32/100</f>
        <v>24290.638811028115</v>
      </c>
    </row>
    <row r="22" spans="2:13">
      <c r="B22" s="709" t="s">
        <v>10815</v>
      </c>
      <c r="C22" s="709"/>
      <c r="D22" s="709"/>
      <c r="E22" s="709"/>
      <c r="F22" s="3608">
        <f>DCF!G33/100</f>
        <v>158.61602289000001</v>
      </c>
    </row>
    <row r="23" spans="2:13">
      <c r="B23" s="4561" t="s">
        <v>10816</v>
      </c>
      <c r="C23" s="4561"/>
      <c r="D23" s="4561"/>
      <c r="E23" s="4561"/>
      <c r="F23" s="4568">
        <f>DCF!G34/100</f>
        <v>24449.254833918116</v>
      </c>
    </row>
    <row r="24" spans="2:13">
      <c r="B24" s="709" t="s">
        <v>10817</v>
      </c>
      <c r="C24" s="709"/>
      <c r="D24" s="709"/>
      <c r="E24" s="709"/>
      <c r="F24" s="3608">
        <f>DCF!G35/100</f>
        <v>140.30000000000001</v>
      </c>
    </row>
    <row r="25" spans="2:13">
      <c r="B25" s="4561" t="s">
        <v>10818</v>
      </c>
      <c r="C25" s="4561"/>
      <c r="D25" s="4561"/>
      <c r="E25" s="4561"/>
      <c r="F25" s="4568">
        <f>DCF!G36/100</f>
        <v>24308.954833918116</v>
      </c>
    </row>
    <row r="28" spans="2:13">
      <c r="B28" s="817" t="s">
        <v>10819</v>
      </c>
      <c r="C28" s="4553"/>
      <c r="D28" s="4553"/>
      <c r="E28" s="4553"/>
      <c r="F28" s="4553"/>
      <c r="G28" s="4553"/>
      <c r="H28" s="4553"/>
      <c r="I28" s="4553"/>
      <c r="J28" s="4553"/>
      <c r="K28" s="4554"/>
      <c r="L28" s="4553"/>
      <c r="M28" s="4553"/>
    </row>
    <row r="30" spans="2:13" ht="26.25" customHeight="1">
      <c r="B30" s="4565"/>
      <c r="C30" s="4569"/>
      <c r="D30" s="4556" t="s">
        <v>5173</v>
      </c>
      <c r="E30" s="4556" t="s">
        <v>5360</v>
      </c>
      <c r="F30" s="4556" t="s">
        <v>1326</v>
      </c>
      <c r="G30" s="4556" t="s">
        <v>1327</v>
      </c>
      <c r="H30" s="4556" t="s">
        <v>1328</v>
      </c>
      <c r="I30" s="4556" t="s">
        <v>1329</v>
      </c>
      <c r="J30" s="4556" t="s">
        <v>10800</v>
      </c>
      <c r="K30" s="4570" t="s">
        <v>10820</v>
      </c>
    </row>
    <row r="31" spans="2:13">
      <c r="B31" s="709" t="s">
        <v>10821</v>
      </c>
      <c r="C31" s="709"/>
      <c r="D31" s="4571">
        <f>Revenue!N8/100</f>
        <v>28721.413366922112</v>
      </c>
      <c r="E31" s="4571">
        <f>Revenue!O8/100</f>
        <v>101264.8028749121</v>
      </c>
      <c r="F31" s="4571">
        <f>Revenue!P8/100</f>
        <v>102869.01021661209</v>
      </c>
      <c r="G31" s="4571">
        <f>Revenue!Q8/100</f>
        <v>100969.07578534821</v>
      </c>
      <c r="H31" s="4571">
        <f>Revenue!R8/100</f>
        <v>95895.838718248648</v>
      </c>
      <c r="I31" s="4571">
        <f>Revenue!S8/100</f>
        <v>95521.093177432078</v>
      </c>
      <c r="J31" s="4571">
        <f>Revenue!T8/100</f>
        <v>97474.242306819928</v>
      </c>
      <c r="K31" s="4572">
        <f>RATE(2026-2021,,-E31,J31)</f>
        <v>-7.6011113044415074E-3</v>
      </c>
    </row>
    <row r="32" spans="2:13">
      <c r="B32" s="3609" t="s">
        <v>1508</v>
      </c>
      <c r="D32" s="4573">
        <f>Revenue!N9/100</f>
        <v>27986.461793369399</v>
      </c>
      <c r="E32" s="4573">
        <f>Revenue!O9/100</f>
        <v>98400.280401609387</v>
      </c>
      <c r="F32" s="4573">
        <f>Revenue!P9/100</f>
        <v>100051.25554962059</v>
      </c>
      <c r="G32" s="4573">
        <f>Revenue!Q9/100</f>
        <v>98145.351819991818</v>
      </c>
      <c r="H32" s="4573">
        <f>Revenue!R9/100</f>
        <v>93113.240591411159</v>
      </c>
      <c r="I32" s="4573">
        <f>Revenue!S9/100</f>
        <v>92843.446265905048</v>
      </c>
      <c r="J32" s="4573">
        <f>Revenue!T9/100</f>
        <v>94815.345301258101</v>
      </c>
      <c r="K32" s="4572">
        <f t="shared" ref="K32:K46" si="0">RATE(2026-2021,,-E32,J32)</f>
        <v>-7.3949988898606035E-3</v>
      </c>
    </row>
    <row r="33" spans="2:13">
      <c r="B33" s="3609" t="s">
        <v>6027</v>
      </c>
      <c r="D33" s="4573">
        <f>Revenue!N11/100</f>
        <v>1848.9853946600269</v>
      </c>
      <c r="E33" s="4573">
        <f>Revenue!O11/100</f>
        <v>6842.6592128200273</v>
      </c>
      <c r="F33" s="4573">
        <f>Revenue!P11/100</f>
        <v>6432.7244310602709</v>
      </c>
      <c r="G33" s="4573">
        <f>Revenue!Q11/100</f>
        <v>6673.5367677307358</v>
      </c>
      <c r="H33" s="4573">
        <f>Revenue!R11/100</f>
        <v>6518.4988504583089</v>
      </c>
      <c r="I33" s="4573">
        <f>Revenue!S11/100</f>
        <v>6597.1112157953276</v>
      </c>
      <c r="J33" s="4573">
        <f>Revenue!T11/100</f>
        <v>6396.4809133599601</v>
      </c>
      <c r="K33" s="4572">
        <f t="shared" si="0"/>
        <v>-1.3395165080253037E-2</v>
      </c>
    </row>
    <row r="34" spans="2:13">
      <c r="B34" s="3609" t="s">
        <v>10822</v>
      </c>
      <c r="D34" s="4573">
        <f>-Revenue!N13/100</f>
        <v>-1114.0338211073117</v>
      </c>
      <c r="E34" s="4573">
        <f>-Revenue!O13/100</f>
        <v>-3978.1367395173152</v>
      </c>
      <c r="F34" s="4573">
        <f>-Revenue!P13/100</f>
        <v>-3614.969764068785</v>
      </c>
      <c r="G34" s="4573">
        <f>-Revenue!Q13/100</f>
        <v>-3849.8128023743457</v>
      </c>
      <c r="H34" s="4573">
        <f>-Revenue!R13/100</f>
        <v>-3735.9007236208276</v>
      </c>
      <c r="I34" s="4573">
        <f>-Revenue!S13/100</f>
        <v>-3919.464304268306</v>
      </c>
      <c r="J34" s="4573">
        <f>-Revenue!T13/100</f>
        <v>-3737.5839077981213</v>
      </c>
      <c r="K34" s="4572">
        <f t="shared" si="0"/>
        <v>-1.23973448357323E-2</v>
      </c>
    </row>
    <row r="35" spans="2:13">
      <c r="B35" s="709" t="s">
        <v>10823</v>
      </c>
      <c r="C35" s="709"/>
      <c r="D35" s="4571">
        <f>COGS!N8/100</f>
        <v>27513.917650225834</v>
      </c>
      <c r="E35" s="4571">
        <f>COGS!O8/100</f>
        <v>96726.626535465824</v>
      </c>
      <c r="F35" s="4571">
        <f>COGS!P8/100</f>
        <v>98284.370148736241</v>
      </c>
      <c r="G35" s="4571">
        <f>COGS!Q8/100</f>
        <v>96241.614571046564</v>
      </c>
      <c r="H35" s="4571">
        <f>COGS!R8/100</f>
        <v>91013.975078193456</v>
      </c>
      <c r="I35" s="4571">
        <f>COGS!S8/100</f>
        <v>90578.423207514497</v>
      </c>
      <c r="J35" s="4571">
        <f>COGS!T8/100</f>
        <v>92919.863369984174</v>
      </c>
      <c r="K35" s="4572">
        <f t="shared" si="0"/>
        <v>-7.9980994340845008E-3</v>
      </c>
    </row>
    <row r="36" spans="2:13">
      <c r="B36" s="3609" t="s">
        <v>1508</v>
      </c>
      <c r="D36" s="4573">
        <f>COGS!N9/100</f>
        <v>26901.059147916545</v>
      </c>
      <c r="E36" s="4573">
        <f>COGS!O9/100</f>
        <v>94289.326641466556</v>
      </c>
      <c r="F36" s="4573">
        <f>COGS!P9/100</f>
        <v>95873.687388499719</v>
      </c>
      <c r="G36" s="4573">
        <f>COGS!Q9/100</f>
        <v>93899.348589715155</v>
      </c>
      <c r="H36" s="4573">
        <f>COGS!R9/100</f>
        <v>88696.292054762875</v>
      </c>
      <c r="I36" s="4573">
        <f>COGS!S9/100</f>
        <v>88375.969227572641</v>
      </c>
      <c r="J36" s="4573">
        <f>COGS!T9/100</f>
        <v>90722.242551314383</v>
      </c>
      <c r="K36" s="4572">
        <f t="shared" si="0"/>
        <v>-7.6834182567003398E-3</v>
      </c>
    </row>
    <row r="37" spans="2:13">
      <c r="B37" s="3609" t="s">
        <v>6027</v>
      </c>
      <c r="D37" s="4573">
        <f>COGS!N11/100</f>
        <v>1726.8923234166036</v>
      </c>
      <c r="E37" s="4573">
        <f>COGS!O11/100</f>
        <v>6392.6368230641683</v>
      </c>
      <c r="F37" s="4573">
        <f>COGS!P11/100</f>
        <v>6025.6525243053065</v>
      </c>
      <c r="G37" s="4573">
        <f>COGS!Q11/100</f>
        <v>6192.0787837057596</v>
      </c>
      <c r="H37" s="4573">
        <f>COGS!R11/100</f>
        <v>6053.5837470513916</v>
      </c>
      <c r="I37" s="4573">
        <f>COGS!S11/100</f>
        <v>6121.9182842101563</v>
      </c>
      <c r="J37" s="4573">
        <f>COGS!T11/100</f>
        <v>5935.2047264679186</v>
      </c>
      <c r="K37" s="4572">
        <f t="shared" si="0"/>
        <v>-1.4739358231109896E-2</v>
      </c>
    </row>
    <row r="38" spans="2:13">
      <c r="B38" s="3609" t="s">
        <v>10822</v>
      </c>
      <c r="D38" s="4573">
        <f>-COGS!N13/100</f>
        <v>-1114.0338211073117</v>
      </c>
      <c r="E38" s="4573">
        <f>-COGS!O13/100</f>
        <v>-3955.336929064903</v>
      </c>
      <c r="F38" s="4573">
        <f>-COGS!P13/100</f>
        <v>-3614.969764068785</v>
      </c>
      <c r="G38" s="4573">
        <f>-COGS!Q13/100</f>
        <v>-3849.8128023743457</v>
      </c>
      <c r="H38" s="4573">
        <f>-COGS!R13/100</f>
        <v>-3735.9007236208276</v>
      </c>
      <c r="I38" s="4573">
        <f>-COGS!S13/100</f>
        <v>-3919.464304268306</v>
      </c>
      <c r="J38" s="4573">
        <f>-COGS!T13/100</f>
        <v>-3737.5839077981213</v>
      </c>
      <c r="K38" s="4572">
        <f t="shared" si="0"/>
        <v>-1.1261390342123406E-2</v>
      </c>
    </row>
    <row r="39" spans="2:13">
      <c r="B39" s="709" t="s">
        <v>10824</v>
      </c>
      <c r="D39" s="4571">
        <f t="shared" ref="D39:J39" si="1">D31-D35</f>
        <v>1207.4957166962777</v>
      </c>
      <c r="E39" s="4571">
        <f t="shared" si="1"/>
        <v>4538.176339446276</v>
      </c>
      <c r="F39" s="4571">
        <f t="shared" si="1"/>
        <v>4584.6400678758509</v>
      </c>
      <c r="G39" s="4571">
        <f t="shared" si="1"/>
        <v>4727.461214301642</v>
      </c>
      <c r="H39" s="4571">
        <f t="shared" si="1"/>
        <v>4881.8636400551914</v>
      </c>
      <c r="I39" s="4571">
        <f t="shared" si="1"/>
        <v>4942.6699699175806</v>
      </c>
      <c r="J39" s="4571">
        <f t="shared" si="1"/>
        <v>4554.3789368357538</v>
      </c>
      <c r="K39" s="4572">
        <f t="shared" si="0"/>
        <v>7.1304006045655986E-4</v>
      </c>
    </row>
    <row r="40" spans="2:13">
      <c r="B40" s="4574" t="s">
        <v>10825</v>
      </c>
      <c r="C40" s="4575"/>
      <c r="D40" s="4576">
        <f t="shared" ref="D40:J40" si="2">D39/D31</f>
        <v>4.2041653774842667E-2</v>
      </c>
      <c r="E40" s="4576">
        <f t="shared" si="2"/>
        <v>4.4814942710668021E-2</v>
      </c>
      <c r="F40" s="4576">
        <f t="shared" si="2"/>
        <v>4.4567747451073343E-2</v>
      </c>
      <c r="G40" s="4576">
        <f t="shared" si="2"/>
        <v>4.6820882310063212E-2</v>
      </c>
      <c r="H40" s="4576">
        <f t="shared" si="2"/>
        <v>5.0907982090845301E-2</v>
      </c>
      <c r="I40" s="4576">
        <f t="shared" si="2"/>
        <v>5.1744277682589809E-2</v>
      </c>
      <c r="J40" s="4576">
        <f t="shared" si="2"/>
        <v>4.6723922433784336E-2</v>
      </c>
      <c r="K40" s="4572">
        <f t="shared" si="0"/>
        <v>8.3778321999404704E-3</v>
      </c>
    </row>
    <row r="41" spans="2:13">
      <c r="B41" s="815" t="s">
        <v>10826</v>
      </c>
      <c r="D41" s="4573">
        <f>'SG&amp;A'!N8/100</f>
        <v>262.72531844391091</v>
      </c>
      <c r="E41" s="4573">
        <f>'SG&amp;A'!O8/100</f>
        <v>951.75951126391078</v>
      </c>
      <c r="F41" s="4573">
        <f>'SG&amp;A'!P8/100</f>
        <v>997.16302896505022</v>
      </c>
      <c r="G41" s="4573">
        <f>'SG&amp;A'!Q8/100</f>
        <v>999.58665171112455</v>
      </c>
      <c r="H41" s="4573">
        <f>'SG&amp;A'!R8/100</f>
        <v>986.75640378007142</v>
      </c>
      <c r="I41" s="4573">
        <f>'SG&amp;A'!S8/100</f>
        <v>1025.6151030034553</v>
      </c>
      <c r="J41" s="4573">
        <f>'SG&amp;A'!T8/100</f>
        <v>1019.1061093583106</v>
      </c>
      <c r="K41" s="4572">
        <f t="shared" si="0"/>
        <v>1.3767667337903671E-2</v>
      </c>
    </row>
    <row r="42" spans="2:13">
      <c r="B42" s="709" t="s">
        <v>10802</v>
      </c>
      <c r="D42" s="4571">
        <f t="shared" ref="D42:J42" si="3">D39-D41</f>
        <v>944.7703982523667</v>
      </c>
      <c r="E42" s="4571">
        <f t="shared" si="3"/>
        <v>3586.416828182365</v>
      </c>
      <c r="F42" s="4571">
        <f t="shared" si="3"/>
        <v>3587.4770389108007</v>
      </c>
      <c r="G42" s="4571">
        <f t="shared" si="3"/>
        <v>3727.8745625905176</v>
      </c>
      <c r="H42" s="4571">
        <f t="shared" si="3"/>
        <v>3895.1072362751202</v>
      </c>
      <c r="I42" s="4571">
        <f t="shared" si="3"/>
        <v>3917.0548669141253</v>
      </c>
      <c r="J42" s="4571">
        <f t="shared" si="3"/>
        <v>3535.2728274774431</v>
      </c>
      <c r="K42" s="4572">
        <f t="shared" si="0"/>
        <v>-2.8685041135180149E-3</v>
      </c>
    </row>
    <row r="43" spans="2:13" s="1513" customFormat="1">
      <c r="B43" s="4574" t="s">
        <v>10827</v>
      </c>
      <c r="C43" s="4575"/>
      <c r="D43" s="4576">
        <f t="shared" ref="D43:J43" si="4">D42/D31</f>
        <v>3.2894286439971658E-2</v>
      </c>
      <c r="E43" s="4576">
        <f t="shared" si="4"/>
        <v>3.5416222876693951E-2</v>
      </c>
      <c r="F43" s="4576">
        <f t="shared" si="4"/>
        <v>3.4874225302222915E-2</v>
      </c>
      <c r="G43" s="4576">
        <f t="shared" si="4"/>
        <v>3.6920953604801403E-2</v>
      </c>
      <c r="H43" s="4576">
        <f t="shared" si="4"/>
        <v>4.0618104897328505E-2</v>
      </c>
      <c r="I43" s="4576">
        <f t="shared" si="4"/>
        <v>4.1007224023683737E-2</v>
      </c>
      <c r="J43" s="4576">
        <f t="shared" si="4"/>
        <v>3.6268790029159247E-2</v>
      </c>
      <c r="K43" s="4572">
        <f t="shared" si="0"/>
        <v>4.7688557946137279E-3</v>
      </c>
    </row>
    <row r="44" spans="2:13">
      <c r="B44" s="815" t="s">
        <v>10828</v>
      </c>
      <c r="D44" s="4573">
        <f>CAPEX!N37/100</f>
        <v>191.81567016572782</v>
      </c>
      <c r="E44" s="4573">
        <f>CAPEX!O37/100</f>
        <v>795.82438034348297</v>
      </c>
      <c r="F44" s="4573">
        <f>CAPEX!P37/100</f>
        <v>852.20087366622533</v>
      </c>
      <c r="G44" s="4573">
        <f>CAPEX!Q37/100</f>
        <v>879.973232200967</v>
      </c>
      <c r="H44" s="4573">
        <f>CAPEX!R37/100</f>
        <v>916.09730217154686</v>
      </c>
      <c r="I44" s="4573">
        <f>CAPEX!S37/100</f>
        <v>975.32661934210307</v>
      </c>
      <c r="J44" s="4573">
        <f>CAPEX!T37/100</f>
        <v>1004.8755710237243</v>
      </c>
      <c r="K44" s="4572">
        <f t="shared" si="0"/>
        <v>4.7753233360034994E-2</v>
      </c>
    </row>
    <row r="45" spans="2:13">
      <c r="B45" s="709" t="s">
        <v>3813</v>
      </c>
      <c r="D45" s="4571">
        <f t="shared" ref="D45:J45" si="5">D44+D42</f>
        <v>1136.5860684180946</v>
      </c>
      <c r="E45" s="4571">
        <f t="shared" si="5"/>
        <v>4382.2412085258475</v>
      </c>
      <c r="F45" s="4571">
        <f t="shared" si="5"/>
        <v>4439.6779125770263</v>
      </c>
      <c r="G45" s="4571">
        <f t="shared" si="5"/>
        <v>4607.8477947914844</v>
      </c>
      <c r="H45" s="4571">
        <f t="shared" si="5"/>
        <v>4811.2045384466674</v>
      </c>
      <c r="I45" s="4571">
        <f t="shared" si="5"/>
        <v>4892.3814862562285</v>
      </c>
      <c r="J45" s="4571">
        <f t="shared" si="5"/>
        <v>4540.1483985011673</v>
      </c>
      <c r="K45" s="4572">
        <f t="shared" si="0"/>
        <v>7.1050043105791993E-3</v>
      </c>
    </row>
    <row r="46" spans="2:13">
      <c r="B46" s="4577" t="s">
        <v>10829</v>
      </c>
      <c r="C46" s="4578"/>
      <c r="D46" s="4579">
        <f t="shared" ref="D46:J46" si="6">D45/D31</f>
        <v>3.9572776377609552E-2</v>
      </c>
      <c r="E46" s="4579">
        <f t="shared" si="6"/>
        <v>4.3275067783808699E-2</v>
      </c>
      <c r="F46" s="4579">
        <f t="shared" si="6"/>
        <v>4.3158555751905858E-2</v>
      </c>
      <c r="G46" s="4579">
        <f t="shared" si="6"/>
        <v>4.5636228310016257E-2</v>
      </c>
      <c r="H46" s="4579">
        <f t="shared" si="6"/>
        <v>5.0171150310103205E-2</v>
      </c>
      <c r="I46" s="4579">
        <f t="shared" si="6"/>
        <v>5.1217812982610508E-2</v>
      </c>
      <c r="J46" s="4579">
        <f t="shared" si="6"/>
        <v>4.6577929625860853E-2</v>
      </c>
      <c r="K46" s="4580">
        <f t="shared" si="0"/>
        <v>1.4818754618268004E-2</v>
      </c>
    </row>
    <row r="48" spans="2:13">
      <c r="B48" s="817" t="s">
        <v>10830</v>
      </c>
      <c r="C48" s="4553"/>
      <c r="D48" s="4553"/>
      <c r="E48" s="4553"/>
      <c r="F48" s="4553"/>
      <c r="G48" s="4553"/>
      <c r="H48" s="4553"/>
      <c r="I48" s="4553"/>
      <c r="J48" s="4553"/>
      <c r="K48" s="4554"/>
      <c r="L48" s="4553"/>
      <c r="M48" s="4553"/>
    </row>
    <row r="50" spans="2:11" ht="26.25" customHeight="1">
      <c r="B50" s="4565"/>
      <c r="C50" s="4569"/>
      <c r="D50" s="4556" t="s">
        <v>5173</v>
      </c>
      <c r="E50" s="4556" t="s">
        <v>5360</v>
      </c>
      <c r="F50" s="4556" t="s">
        <v>1326</v>
      </c>
      <c r="G50" s="4556" t="s">
        <v>1327</v>
      </c>
      <c r="H50" s="4556" t="s">
        <v>1328</v>
      </c>
      <c r="I50" s="4556" t="s">
        <v>1329</v>
      </c>
      <c r="J50" s="4556" t="s">
        <v>10800</v>
      </c>
      <c r="K50" s="4570" t="s">
        <v>10820</v>
      </c>
    </row>
    <row r="51" spans="2:11">
      <c r="B51" s="709" t="s">
        <v>1299</v>
      </c>
      <c r="C51" s="709"/>
      <c r="D51" s="3610">
        <f>Revenue!N20/100</f>
        <v>27986.461793369399</v>
      </c>
      <c r="E51" s="3610">
        <f>Revenue!O20/100</f>
        <v>98400.280401609387</v>
      </c>
      <c r="F51" s="3610">
        <f>Revenue!P20/100</f>
        <v>100051.25554962059</v>
      </c>
      <c r="G51" s="3610">
        <f>Revenue!Q20/100</f>
        <v>98145.351819991818</v>
      </c>
      <c r="H51" s="3610">
        <f>Revenue!R20/100</f>
        <v>93113.240591411159</v>
      </c>
      <c r="I51" s="3610">
        <f>Revenue!S20/100</f>
        <v>92843.446265905048</v>
      </c>
      <c r="J51" s="3610">
        <f>Revenue!T20/100</f>
        <v>94815.345301258101</v>
      </c>
      <c r="K51" s="4572">
        <f>RATE(2026-2021,,-E51,J51)</f>
        <v>-7.3949988898606035E-3</v>
      </c>
    </row>
    <row r="52" spans="2:11">
      <c r="B52" s="815" t="s">
        <v>10831</v>
      </c>
      <c r="D52" s="3611">
        <f>(Revenue!N21+Revenue!N28+Revenue!N35+Revenue!N42+Revenue!N49+Revenue!N56+Revenue!N63)/100</f>
        <v>27010.523659963903</v>
      </c>
      <c r="E52" s="3611">
        <f>(Revenue!O21+Revenue!O28+Revenue!O35+Revenue!O42+Revenue!O49+Revenue!O56+Revenue!O63)/100</f>
        <v>95486.737336443912</v>
      </c>
      <c r="F52" s="3611">
        <f>(Revenue!P21+Revenue!P28+Revenue!P35+Revenue!P42+Revenue!P49+Revenue!P56+Revenue!P63)/100</f>
        <v>96322.878795115335</v>
      </c>
      <c r="G52" s="3611">
        <f>(Revenue!Q21+Revenue!Q28+Revenue!Q35+Revenue!Q42+Revenue!Q49+Revenue!Q56+Revenue!Q63)/100</f>
        <v>94488.314587534624</v>
      </c>
      <c r="H52" s="3611">
        <f>(Revenue!R21+Revenue!R28+Revenue!R35+Revenue!R42+Revenue!R49+Revenue!R56+Revenue!R63)/100</f>
        <v>89536.210265176167</v>
      </c>
      <c r="I52" s="3611">
        <f>(Revenue!S21+Revenue!S28+Revenue!S35+Revenue!S42+Revenue!S49+Revenue!S56+Revenue!S63)/100</f>
        <v>89260.03431806255</v>
      </c>
      <c r="J52" s="3611">
        <f>(Revenue!T21+Revenue!T28+Revenue!T35+Revenue!T42+Revenue!T49+Revenue!T56+Revenue!T63)/100</f>
        <v>91207.508200901138</v>
      </c>
      <c r="K52" s="4572">
        <f t="shared" ref="K52:K63" si="7">RATE(2026-2021,,-E52,J52)</f>
        <v>-9.1281117794613804E-3</v>
      </c>
    </row>
    <row r="53" spans="2:11">
      <c r="B53" s="815" t="s">
        <v>10832</v>
      </c>
      <c r="D53" s="3611">
        <f>(Revenue!N67+Revenue!N71+Revenue!N75+Revenue!N79+Revenue!N83)/100</f>
        <v>478.30455664937881</v>
      </c>
      <c r="E53" s="3611">
        <f>(Revenue!O67+Revenue!O71+Revenue!O75+Revenue!O79+Revenue!O83)/100</f>
        <v>1735.6155550393787</v>
      </c>
      <c r="F53" s="3611">
        <f>(Revenue!P67+Revenue!P71+Revenue!P75+Revenue!P79+Revenue!P83)/100</f>
        <v>1949.3428585558327</v>
      </c>
      <c r="G53" s="3611">
        <f>(Revenue!Q67+Revenue!Q71+Revenue!Q75+Revenue!Q79+Revenue!Q83)/100</f>
        <v>1911.8926397333757</v>
      </c>
      <c r="H53" s="3611">
        <f>(Revenue!R67+Revenue!R71+Revenue!R75+Revenue!R79+Revenue!R83)/100</f>
        <v>1921.3628359688842</v>
      </c>
      <c r="I53" s="3611">
        <f>(Revenue!S67+Revenue!S71+Revenue!S75+Revenue!S79+Revenue!S83)/100</f>
        <v>1932.5417312075278</v>
      </c>
      <c r="J53" s="3611">
        <f>(Revenue!T67+Revenue!T71+Revenue!T75+Revenue!T79+Revenue!T83)/100</f>
        <v>1921.9041031100473</v>
      </c>
      <c r="K53" s="4572">
        <f t="shared" si="7"/>
        <v>2.0600169323451972E-2</v>
      </c>
    </row>
    <row r="54" spans="2:11">
      <c r="B54" s="815" t="s">
        <v>246</v>
      </c>
      <c r="D54" s="3611">
        <f>Revenue!N87</f>
        <v>49763.357675611529</v>
      </c>
      <c r="E54" s="3611">
        <f>Revenue!O87</f>
        <v>117792.75101261152</v>
      </c>
      <c r="F54" s="3611">
        <f>Revenue!P87</f>
        <v>177903.38959494297</v>
      </c>
      <c r="G54" s="3611">
        <f>Revenue!Q87</f>
        <v>174514.45927238002</v>
      </c>
      <c r="H54" s="3611">
        <f>Revenue!R87</f>
        <v>165566.74902661226</v>
      </c>
      <c r="I54" s="3611">
        <f>Revenue!S87</f>
        <v>165087.02166349872</v>
      </c>
      <c r="J54" s="3611">
        <f>Revenue!T87</f>
        <v>168593.29972469024</v>
      </c>
      <c r="K54" s="4572">
        <f t="shared" si="7"/>
        <v>7.4346440358027593E-2</v>
      </c>
    </row>
    <row r="55" spans="2:11">
      <c r="B55" s="709" t="s">
        <v>10823</v>
      </c>
      <c r="C55" s="709"/>
      <c r="D55" s="3610">
        <f>COGS!N9/100</f>
        <v>26901.059147916545</v>
      </c>
      <c r="E55" s="3610">
        <f>COGS!O9/100</f>
        <v>94289.326641466556</v>
      </c>
      <c r="F55" s="3610">
        <f>COGS!P9/100</f>
        <v>95873.687388499719</v>
      </c>
      <c r="G55" s="3610">
        <f>COGS!Q9/100</f>
        <v>93899.348589715155</v>
      </c>
      <c r="H55" s="3610">
        <f>COGS!R9/100</f>
        <v>88696.292054762875</v>
      </c>
      <c r="I55" s="3610">
        <f>COGS!S9/100</f>
        <v>88375.969227572641</v>
      </c>
      <c r="J55" s="3610">
        <f>COGS!T9/100</f>
        <v>90722.242551314383</v>
      </c>
      <c r="K55" s="4572">
        <f t="shared" si="7"/>
        <v>-7.6834182567003398E-3</v>
      </c>
    </row>
    <row r="56" spans="2:11">
      <c r="B56" s="709" t="s">
        <v>10824</v>
      </c>
      <c r="D56" s="3610">
        <f>D51-D55</f>
        <v>1085.4026454528539</v>
      </c>
      <c r="E56" s="3610">
        <f t="shared" ref="E56:J56" si="8">E51-E55</f>
        <v>4110.953760142831</v>
      </c>
      <c r="F56" s="3610">
        <f t="shared" si="8"/>
        <v>4177.5681611208711</v>
      </c>
      <c r="G56" s="3610">
        <f t="shared" si="8"/>
        <v>4246.0032302766631</v>
      </c>
      <c r="H56" s="3610">
        <f t="shared" si="8"/>
        <v>4416.9485366482841</v>
      </c>
      <c r="I56" s="3610">
        <f t="shared" si="8"/>
        <v>4467.4770383324067</v>
      </c>
      <c r="J56" s="3610">
        <f t="shared" si="8"/>
        <v>4093.1027499437187</v>
      </c>
      <c r="K56" s="4572">
        <f t="shared" si="7"/>
        <v>-8.699731534173305E-4</v>
      </c>
    </row>
    <row r="57" spans="2:11">
      <c r="B57" s="4574" t="s">
        <v>10825</v>
      </c>
      <c r="C57" s="4575"/>
      <c r="D57" s="4576">
        <f>D56/D51</f>
        <v>3.878313212533388E-2</v>
      </c>
      <c r="E57" s="4576">
        <f t="shared" ref="E57:J57" si="9">E56/E51</f>
        <v>4.1777866316685765E-2</v>
      </c>
      <c r="F57" s="4576">
        <f t="shared" si="9"/>
        <v>4.1754280225389066E-2</v>
      </c>
      <c r="G57" s="4576">
        <f t="shared" si="9"/>
        <v>4.3262397571962943E-2</v>
      </c>
      <c r="H57" s="4576">
        <f t="shared" si="9"/>
        <v>4.7436309901727411E-2</v>
      </c>
      <c r="I57" s="4576">
        <f t="shared" si="9"/>
        <v>4.8118388728672183E-2</v>
      </c>
      <c r="J57" s="4576">
        <f t="shared" si="9"/>
        <v>4.3169201535243548E-2</v>
      </c>
      <c r="K57" s="4572">
        <f t="shared" si="7"/>
        <v>6.5736377805330837E-3</v>
      </c>
    </row>
    <row r="58" spans="2:11">
      <c r="B58" s="815" t="s">
        <v>10826</v>
      </c>
      <c r="D58" s="4573">
        <f>'SG&amp;A'!N20/100</f>
        <v>239.72648439313809</v>
      </c>
      <c r="E58" s="4573">
        <f>'SG&amp;A'!O20/100</f>
        <v>904.70758873967895</v>
      </c>
      <c r="F58" s="4573">
        <f>'SG&amp;A'!P20/100</f>
        <v>916.23135451918006</v>
      </c>
      <c r="G58" s="4573">
        <f>'SG&amp;A'!Q20/100</f>
        <v>920.17393958932519</v>
      </c>
      <c r="H58" s="4573">
        <f>'SG&amp;A'!R20/100</f>
        <v>907.30250250407039</v>
      </c>
      <c r="I58" s="4573">
        <f>'SG&amp;A'!S20/100</f>
        <v>943.58929372515024</v>
      </c>
      <c r="J58" s="4573">
        <f>'SG&amp;A'!T20/100</f>
        <v>937.49292705251503</v>
      </c>
      <c r="K58" s="4572">
        <f t="shared" si="7"/>
        <v>7.1448894322221693E-3</v>
      </c>
    </row>
    <row r="59" spans="2:11">
      <c r="B59" s="709" t="s">
        <v>10802</v>
      </c>
      <c r="D59" s="4571">
        <f>D56-D58</f>
        <v>845.67616105971581</v>
      </c>
      <c r="E59" s="4571">
        <f t="shared" ref="E59:J59" si="10">E56-E58</f>
        <v>3206.2461714031519</v>
      </c>
      <c r="F59" s="4571">
        <f t="shared" si="10"/>
        <v>3261.336806601691</v>
      </c>
      <c r="G59" s="4571">
        <f t="shared" si="10"/>
        <v>3325.829290687338</v>
      </c>
      <c r="H59" s="4571">
        <f t="shared" si="10"/>
        <v>3509.6460341442134</v>
      </c>
      <c r="I59" s="4571">
        <f t="shared" si="10"/>
        <v>3523.8877446072565</v>
      </c>
      <c r="J59" s="4571">
        <f t="shared" si="10"/>
        <v>3155.6098228912037</v>
      </c>
      <c r="K59" s="4572">
        <f t="shared" si="7"/>
        <v>-3.1787511890845376E-3</v>
      </c>
    </row>
    <row r="60" spans="2:11">
      <c r="B60" s="4574" t="s">
        <v>10827</v>
      </c>
      <c r="C60" s="4575"/>
      <c r="D60" s="4576">
        <f>D59/D51</f>
        <v>3.0217330340060168E-2</v>
      </c>
      <c r="E60" s="4576">
        <f t="shared" ref="E60:J60" si="11">E59/E51</f>
        <v>3.2583709704049911E-2</v>
      </c>
      <c r="F60" s="4576">
        <f t="shared" si="11"/>
        <v>3.2596660468535807E-2</v>
      </c>
      <c r="G60" s="4576">
        <f t="shared" si="11"/>
        <v>3.3886773331733878E-2</v>
      </c>
      <c r="H60" s="4576">
        <f t="shared" si="11"/>
        <v>3.7692233798894824E-2</v>
      </c>
      <c r="I60" s="4576">
        <f t="shared" si="11"/>
        <v>3.7955158778949116E-2</v>
      </c>
      <c r="J60" s="4576">
        <f t="shared" si="11"/>
        <v>3.3281636140909905E-2</v>
      </c>
      <c r="K60" s="4572">
        <f t="shared" si="7"/>
        <v>4.2476591353671706E-3</v>
      </c>
    </row>
    <row r="61" spans="2:11">
      <c r="B61" s="815" t="s">
        <v>10828</v>
      </c>
      <c r="D61" s="4573">
        <f>CAPEX!N38/100</f>
        <v>168.61119462000002</v>
      </c>
      <c r="E61" s="4573">
        <f>CAPEX!O38/100</f>
        <v>693</v>
      </c>
      <c r="F61" s="4573">
        <f>CAPEX!P38/100</f>
        <v>747.98286624100513</v>
      </c>
      <c r="G61" s="4573">
        <f>CAPEX!Q38/100</f>
        <v>770.63094921020763</v>
      </c>
      <c r="H61" s="4573">
        <f>CAPEX!R38/100</f>
        <v>808.09438731149623</v>
      </c>
      <c r="I61" s="4573">
        <f>CAPEX!S38/100</f>
        <v>869.38608708217782</v>
      </c>
      <c r="J61" s="4573">
        <f>CAPEX!T38/100</f>
        <v>900.25841156333047</v>
      </c>
      <c r="K61" s="4572">
        <f t="shared" si="7"/>
        <v>5.3723803091540442E-2</v>
      </c>
    </row>
    <row r="62" spans="2:11">
      <c r="B62" s="709" t="s">
        <v>3813</v>
      </c>
      <c r="D62" s="4571">
        <f>D59+D61</f>
        <v>1014.2873556797158</v>
      </c>
      <c r="E62" s="4571">
        <f t="shared" ref="E62:J62" si="12">E59+E61</f>
        <v>3899.2461714031519</v>
      </c>
      <c r="F62" s="4571">
        <f t="shared" si="12"/>
        <v>4009.319672842696</v>
      </c>
      <c r="G62" s="4571">
        <f t="shared" si="12"/>
        <v>4096.4602398975458</v>
      </c>
      <c r="H62" s="4571">
        <f t="shared" si="12"/>
        <v>4317.74042145571</v>
      </c>
      <c r="I62" s="4571">
        <f t="shared" si="12"/>
        <v>4393.2738316894347</v>
      </c>
      <c r="J62" s="4571">
        <f t="shared" si="12"/>
        <v>4055.8682344545341</v>
      </c>
      <c r="K62" s="4572">
        <f t="shared" si="7"/>
        <v>7.9074065248049934E-3</v>
      </c>
    </row>
    <row r="63" spans="2:11">
      <c r="B63" s="4577" t="s">
        <v>10829</v>
      </c>
      <c r="C63" s="4578"/>
      <c r="D63" s="4579">
        <f>D62/D51</f>
        <v>3.6242071726266679E-2</v>
      </c>
      <c r="E63" s="4579">
        <f t="shared" ref="E63:J63" si="13">E62/E51</f>
        <v>3.9626372562037715E-2</v>
      </c>
      <c r="F63" s="4579">
        <f t="shared" si="13"/>
        <v>4.0072657267696828E-2</v>
      </c>
      <c r="G63" s="4579">
        <f t="shared" si="13"/>
        <v>4.1738708598353741E-2</v>
      </c>
      <c r="H63" s="4579">
        <f t="shared" si="13"/>
        <v>4.6370853318297912E-2</v>
      </c>
      <c r="I63" s="4579">
        <f t="shared" si="13"/>
        <v>4.7319159384788791E-2</v>
      </c>
      <c r="J63" s="4579">
        <f t="shared" si="13"/>
        <v>4.277649595187117E-2</v>
      </c>
      <c r="K63" s="4580">
        <f t="shared" si="7"/>
        <v>1.5416409747635846E-2</v>
      </c>
    </row>
    <row r="65" spans="2:13">
      <c r="B65" s="817" t="s">
        <v>10833</v>
      </c>
      <c r="C65" s="4553"/>
      <c r="D65" s="4553"/>
      <c r="E65" s="4553"/>
      <c r="F65" s="4553"/>
      <c r="G65" s="4553"/>
      <c r="H65" s="4553"/>
      <c r="I65" s="4553"/>
      <c r="J65" s="4553"/>
      <c r="K65" s="4554"/>
      <c r="L65" s="4553"/>
      <c r="M65" s="4553"/>
    </row>
    <row r="66" spans="2:13">
      <c r="E66" s="815" t="s">
        <v>10834</v>
      </c>
    </row>
    <row r="67" spans="2:13" ht="27">
      <c r="B67" s="4565"/>
      <c r="C67" s="4569"/>
      <c r="D67" s="4556" t="s">
        <v>5173</v>
      </c>
      <c r="E67" s="4556" t="s">
        <v>5360</v>
      </c>
      <c r="F67" s="4556" t="s">
        <v>1326</v>
      </c>
      <c r="G67" s="4556" t="s">
        <v>1327</v>
      </c>
      <c r="H67" s="4556" t="s">
        <v>1328</v>
      </c>
      <c r="I67" s="4556" t="s">
        <v>1329</v>
      </c>
      <c r="J67" s="4556" t="s">
        <v>10800</v>
      </c>
      <c r="K67" s="4570" t="s">
        <v>10820</v>
      </c>
    </row>
    <row r="68" spans="2:13" s="709" customFormat="1">
      <c r="B68" s="709" t="s">
        <v>1299</v>
      </c>
      <c r="C68" s="718"/>
      <c r="D68" s="3610">
        <f>Revenue!N20/100</f>
        <v>27986.461793369399</v>
      </c>
      <c r="E68" s="3610">
        <f>Revenue!O20/100</f>
        <v>98400.280401609387</v>
      </c>
      <c r="F68" s="3610">
        <f>Revenue!P20/100</f>
        <v>100051.25554962059</v>
      </c>
      <c r="G68" s="3610">
        <f>Revenue!Q20/100</f>
        <v>98145.351819991818</v>
      </c>
      <c r="H68" s="3610">
        <f>Revenue!R20/100</f>
        <v>93113.240591411159</v>
      </c>
      <c r="I68" s="3610">
        <f>Revenue!S20/100</f>
        <v>92843.446265905048</v>
      </c>
      <c r="J68" s="3610">
        <f>Revenue!T20/100</f>
        <v>94815.345301258101</v>
      </c>
      <c r="K68" s="4581">
        <f>IFERROR(RATE(2026-2021,,-E68,J68),"n.a")</f>
        <v>-7.3949988898606035E-3</v>
      </c>
    </row>
    <row r="69" spans="2:13">
      <c r="B69" s="709" t="s">
        <v>258</v>
      </c>
      <c r="C69" s="709"/>
      <c r="D69" s="3610">
        <f>Revenue!N21/100</f>
        <v>19595.0835887576</v>
      </c>
      <c r="E69" s="3610">
        <f>Revenue!O21/100</f>
        <v>66286.114292597602</v>
      </c>
      <c r="F69" s="3610">
        <f>Revenue!P21/100</f>
        <v>68099.800831661923</v>
      </c>
      <c r="G69" s="3610">
        <f>Revenue!Q21/100</f>
        <v>66887.56025739359</v>
      </c>
      <c r="H69" s="3610">
        <f>Revenue!R21/100</f>
        <v>63634.339015572463</v>
      </c>
      <c r="I69" s="3610">
        <f>Revenue!S21/100</f>
        <v>63200.425118510269</v>
      </c>
      <c r="J69" s="3610">
        <f>Revenue!T21/100</f>
        <v>65562.700686832264</v>
      </c>
      <c r="K69" s="4581">
        <f>IFERROR(RATE(2026-2021,,-E69,J69),"n.a")</f>
        <v>-2.1922915284278747E-3</v>
      </c>
    </row>
    <row r="70" spans="2:13">
      <c r="B70" s="3609" t="s">
        <v>10835</v>
      </c>
      <c r="C70" s="1558" t="s">
        <v>3470</v>
      </c>
      <c r="D70" s="3611">
        <f>Revenue!N23</f>
        <v>11.651172499999999</v>
      </c>
      <c r="E70" s="3611">
        <f>Revenue!O23</f>
        <v>10.639825729148892</v>
      </c>
      <c r="F70" s="3611">
        <f>Revenue!P23</f>
        <v>10.574503234730113</v>
      </c>
      <c r="G70" s="3611">
        <f>Revenue!Q23</f>
        <v>10.149857398694019</v>
      </c>
      <c r="H70" s="3611">
        <f>Revenue!R23</f>
        <v>9.6124379177601913</v>
      </c>
      <c r="I70" s="3611">
        <f>Revenue!S23</f>
        <v>9.4872600468763846</v>
      </c>
      <c r="J70" s="3611">
        <f>Revenue!T23</f>
        <v>9.8992451588150789</v>
      </c>
      <c r="K70" s="4582">
        <f t="shared" ref="K70:K74" si="14">IFERROR(RATE(2026-2021,,-E70,J70),"n.a")</f>
        <v>-1.4325518602254216E-2</v>
      </c>
    </row>
    <row r="71" spans="2:13">
      <c r="B71" s="3609" t="s">
        <v>10836</v>
      </c>
      <c r="C71" s="1558" t="s">
        <v>3545</v>
      </c>
      <c r="D71" s="3611">
        <f>Revenue!N27</f>
        <v>168181.21600000001</v>
      </c>
      <c r="E71" s="3611">
        <f>Revenue!O27</f>
        <v>623000</v>
      </c>
      <c r="F71" s="3611">
        <f>Revenue!P27</f>
        <v>644000</v>
      </c>
      <c r="G71" s="3611">
        <f>Revenue!Q27</f>
        <v>659000</v>
      </c>
      <c r="H71" s="3611">
        <f>Revenue!R27</f>
        <v>662000</v>
      </c>
      <c r="I71" s="3611">
        <f>Revenue!S27</f>
        <v>666160.98648332688</v>
      </c>
      <c r="J71" s="3611">
        <f>Revenue!T27</f>
        <v>662300</v>
      </c>
      <c r="K71" s="4582">
        <f t="shared" si="14"/>
        <v>1.2309568019477097E-2</v>
      </c>
    </row>
    <row r="72" spans="2:13">
      <c r="B72" s="709" t="s">
        <v>262</v>
      </c>
      <c r="C72" s="709"/>
      <c r="D72" s="3610">
        <f>Revenue!N28/100</f>
        <v>5741.9734889672209</v>
      </c>
      <c r="E72" s="3610">
        <f>Revenue!O28/100</f>
        <v>21995.206006447221</v>
      </c>
      <c r="F72" s="3610">
        <f>Revenue!P28/100</f>
        <v>21629.6729163612</v>
      </c>
      <c r="G72" s="3610">
        <f>Revenue!Q28/100</f>
        <v>21072.366327805514</v>
      </c>
      <c r="H72" s="3610">
        <f>Revenue!R28/100</f>
        <v>19669.674489161931</v>
      </c>
      <c r="I72" s="3610">
        <f>Revenue!S28/100</f>
        <v>20208.441905193464</v>
      </c>
      <c r="J72" s="3610">
        <f>Revenue!T28/100</f>
        <v>19960.121909629535</v>
      </c>
      <c r="K72" s="4581">
        <f t="shared" si="14"/>
        <v>-1.9230320620508168E-2</v>
      </c>
    </row>
    <row r="73" spans="2:13">
      <c r="B73" s="3609" t="s">
        <v>10837</v>
      </c>
      <c r="C73" s="1558" t="s">
        <v>3546</v>
      </c>
      <c r="D73" s="3611">
        <f>Revenue!N30</f>
        <v>68.55269208413587</v>
      </c>
      <c r="E73" s="3611">
        <f>Revenue!O30</f>
        <v>66.652139413476434</v>
      </c>
      <c r="F73" s="3611">
        <f>Revenue!P30</f>
        <v>65.544463382912724</v>
      </c>
      <c r="G73" s="3611">
        <f>Revenue!Q30</f>
        <v>63.855655538804591</v>
      </c>
      <c r="H73" s="3611">
        <f>Revenue!R30</f>
        <v>63.450562868264292</v>
      </c>
      <c r="I73" s="3611">
        <f>Revenue!S30</f>
        <v>61.453193406108753</v>
      </c>
      <c r="J73" s="3611">
        <f>Revenue!T30</f>
        <v>61.051909936509972</v>
      </c>
      <c r="K73" s="4582">
        <f t="shared" si="14"/>
        <v>-1.7399383760224749E-2</v>
      </c>
    </row>
    <row r="74" spans="2:13">
      <c r="B74" s="3609" t="s">
        <v>10838</v>
      </c>
      <c r="C74" s="1558" t="s">
        <v>3548</v>
      </c>
      <c r="D74" s="3611">
        <f>Revenue!N34</f>
        <v>8376</v>
      </c>
      <c r="E74" s="3611">
        <f>Revenue!O34</f>
        <v>33000</v>
      </c>
      <c r="F74" s="3611">
        <f>Revenue!P34</f>
        <v>33000</v>
      </c>
      <c r="G74" s="3611">
        <f>Revenue!Q34</f>
        <v>33000</v>
      </c>
      <c r="H74" s="3611">
        <f>Revenue!R34</f>
        <v>31000</v>
      </c>
      <c r="I74" s="3611">
        <f>Revenue!S34</f>
        <v>32884.282793324528</v>
      </c>
      <c r="J74" s="3611">
        <f>Revenue!T34</f>
        <v>32693.689567430025</v>
      </c>
      <c r="K74" s="4582">
        <f t="shared" si="14"/>
        <v>-1.8633581437098006E-3</v>
      </c>
    </row>
    <row r="75" spans="2:13">
      <c r="B75" s="709" t="s">
        <v>264</v>
      </c>
      <c r="C75" s="709"/>
      <c r="D75" s="3610">
        <f>Revenue!N35/100</f>
        <v>1261.1854068640259</v>
      </c>
      <c r="E75" s="3610">
        <f>Revenue!O35/100</f>
        <v>5491.3390954940251</v>
      </c>
      <c r="F75" s="3610">
        <f>Revenue!P35/100</f>
        <v>4914.2193694054331</v>
      </c>
      <c r="G75" s="3610">
        <f>Revenue!Q35/100</f>
        <v>4887.0281470047103</v>
      </c>
      <c r="H75" s="3610">
        <f>Revenue!R35/100</f>
        <v>4743.472715916826</v>
      </c>
      <c r="I75" s="3610">
        <f>Revenue!S35/100</f>
        <v>4524.6996688852923</v>
      </c>
      <c r="J75" s="3610">
        <f>Revenue!T35/100</f>
        <v>4423.697668716055</v>
      </c>
      <c r="K75" s="4581">
        <f>IFERROR(RATE(2026-2021,,-E75,J75),"n.a")</f>
        <v>-4.231775672512509E-2</v>
      </c>
    </row>
    <row r="76" spans="2:13">
      <c r="B76" s="3609" t="s">
        <v>10837</v>
      </c>
      <c r="C76" s="1558" t="s">
        <v>3546</v>
      </c>
      <c r="D76" s="4583">
        <f>Revenue!N37</f>
        <v>0.90941359663908361</v>
      </c>
      <c r="E76" s="4583">
        <f>Revenue!O37</f>
        <v>0.9370885828488098</v>
      </c>
      <c r="F76" s="4583">
        <f>Revenue!P37</f>
        <v>0.90835847863316699</v>
      </c>
      <c r="G76" s="4583">
        <f>Revenue!Q37</f>
        <v>0.88693795771410355</v>
      </c>
      <c r="H76" s="4583">
        <f>Revenue!R37</f>
        <v>0.86402053113239097</v>
      </c>
      <c r="I76" s="4583">
        <f>Revenue!S37</f>
        <v>0.81332577686704222</v>
      </c>
      <c r="J76" s="4583">
        <f>Revenue!T37</f>
        <v>0.79980599793612039</v>
      </c>
      <c r="K76" s="4582">
        <f>IFERROR(RATE(2026-2021,,-E76,J76),"n.a")</f>
        <v>-3.1185116631083799E-2</v>
      </c>
    </row>
    <row r="77" spans="2:13">
      <c r="B77" s="3609" t="s">
        <v>10838</v>
      </c>
      <c r="C77" s="1558" t="s">
        <v>3548</v>
      </c>
      <c r="D77" s="3611">
        <f>Revenue!N41</f>
        <v>138681.16899999999</v>
      </c>
      <c r="E77" s="3611">
        <f>Revenue!O41</f>
        <v>586000</v>
      </c>
      <c r="F77" s="3611">
        <f>Revenue!P41</f>
        <v>541000</v>
      </c>
      <c r="G77" s="3611">
        <f>Revenue!Q41</f>
        <v>551000</v>
      </c>
      <c r="H77" s="3611">
        <f>Revenue!R41</f>
        <v>549000</v>
      </c>
      <c r="I77" s="3611">
        <f>Revenue!S41</f>
        <v>556320.70168912946</v>
      </c>
      <c r="J77" s="3611">
        <f>Revenue!T41</f>
        <v>553096.33587786253</v>
      </c>
      <c r="K77" s="4582">
        <f>IFERROR(RATE(2026-2021,,-E77,J77),"n.a")</f>
        <v>-1.1490987891805322E-2</v>
      </c>
    </row>
    <row r="78" spans="2:13">
      <c r="B78" s="709" t="s">
        <v>10839</v>
      </c>
      <c r="D78" s="3610">
        <f>Revenue!N42/100</f>
        <v>0</v>
      </c>
      <c r="E78" s="3610">
        <f>Revenue!O42/100</f>
        <v>18.24777666</v>
      </c>
      <c r="F78" s="3610">
        <f>Revenue!P42/100</f>
        <v>0</v>
      </c>
      <c r="G78" s="3610">
        <f>Revenue!Q42/100</f>
        <v>0</v>
      </c>
      <c r="H78" s="3610">
        <f>Revenue!R42/100</f>
        <v>0</v>
      </c>
      <c r="I78" s="3610">
        <f>Revenue!S42/100</f>
        <v>0</v>
      </c>
      <c r="J78" s="3610">
        <f>Revenue!T42/100</f>
        <v>0</v>
      </c>
      <c r="K78" s="4582">
        <f t="shared" ref="K78" si="15">IFERROR(RATE(2026-2021,,-E78,J78),"n.a")</f>
        <v>-0.99999940914518248</v>
      </c>
    </row>
    <row r="79" spans="2:13">
      <c r="B79" s="3609" t="s">
        <v>10837</v>
      </c>
      <c r="C79" s="1558" t="s">
        <v>3546</v>
      </c>
      <c r="D79" s="4583">
        <f>Revenue!N44</f>
        <v>1.079978951413993</v>
      </c>
      <c r="E79" s="4583">
        <f>Revenue!O44</f>
        <v>1.0026250912087913</v>
      </c>
      <c r="F79" s="4583">
        <f>Revenue!P44</f>
        <v>1.0464133955509631</v>
      </c>
      <c r="G79" s="4583">
        <f>Revenue!Q44</f>
        <v>1.0187634484406527</v>
      </c>
      <c r="H79" s="4583">
        <f>Revenue!R44</f>
        <v>0.99174743564840828</v>
      </c>
      <c r="I79" s="4583">
        <f>Revenue!S44</f>
        <v>0.93845800145650593</v>
      </c>
      <c r="J79" s="4583">
        <f>Revenue!T44</f>
        <v>0.92498107156481957</v>
      </c>
      <c r="K79" s="4582">
        <f>IFERROR(RATE(2026-2021,,-E79,J79),"n.a")</f>
        <v>-1.5991487748725608E-2</v>
      </c>
    </row>
    <row r="80" spans="2:13">
      <c r="B80" s="4584" t="s">
        <v>10838</v>
      </c>
      <c r="C80" s="4585" t="s">
        <v>3548</v>
      </c>
      <c r="D80" s="4586">
        <f>Revenue!N48</f>
        <v>0</v>
      </c>
      <c r="E80" s="4586">
        <f>Revenue!O48</f>
        <v>1820</v>
      </c>
      <c r="F80" s="4586">
        <f>Revenue!P48</f>
        <v>0</v>
      </c>
      <c r="G80" s="4586">
        <f>Revenue!Q48</f>
        <v>0</v>
      </c>
      <c r="H80" s="4586">
        <f>Revenue!R48</f>
        <v>0</v>
      </c>
      <c r="I80" s="4586">
        <f>Revenue!S48</f>
        <v>0</v>
      </c>
      <c r="J80" s="4586">
        <f>Revenue!T48</f>
        <v>0</v>
      </c>
      <c r="K80" s="4587">
        <f>IFERROR(RATE(2026-2021,,-E80,J80),"n.a")</f>
        <v>-0.99999940914518248</v>
      </c>
    </row>
    <row r="81" spans="2:13">
      <c r="B81" s="3609"/>
      <c r="C81" s="1558"/>
      <c r="E81" s="3611"/>
      <c r="F81" s="3611"/>
      <c r="G81" s="3611"/>
      <c r="H81" s="3611"/>
      <c r="I81" s="3611"/>
      <c r="J81" s="3611"/>
      <c r="K81" s="4588"/>
      <c r="L81" s="3611"/>
      <c r="M81" s="3611"/>
    </row>
    <row r="82" spans="2:13">
      <c r="B82" s="3609"/>
      <c r="C82" s="1558"/>
      <c r="E82" s="3611"/>
      <c r="F82" s="3611"/>
      <c r="G82" s="3611"/>
      <c r="H82" s="3611"/>
      <c r="I82" s="3611"/>
      <c r="J82" s="3611"/>
      <c r="K82" s="4588"/>
      <c r="L82" s="3611"/>
      <c r="M82" s="3611"/>
    </row>
    <row r="83" spans="2:13" ht="27">
      <c r="B83" s="4565"/>
      <c r="C83" s="4569"/>
      <c r="D83" s="4556" t="s">
        <v>5173</v>
      </c>
      <c r="E83" s="4556" t="s">
        <v>5360</v>
      </c>
      <c r="F83" s="4556" t="s">
        <v>1326</v>
      </c>
      <c r="G83" s="4556" t="s">
        <v>1327</v>
      </c>
      <c r="H83" s="4556" t="s">
        <v>1328</v>
      </c>
      <c r="I83" s="4556" t="s">
        <v>1329</v>
      </c>
      <c r="J83" s="4556" t="s">
        <v>10800</v>
      </c>
      <c r="K83" s="4570" t="s">
        <v>10820</v>
      </c>
    </row>
    <row r="84" spans="2:13" s="709" customFormat="1">
      <c r="B84" s="709" t="s">
        <v>268</v>
      </c>
      <c r="D84" s="3610">
        <f>Revenue!N49/100</f>
        <v>345.6584199716745</v>
      </c>
      <c r="E84" s="3610">
        <f>Revenue!O49/100</f>
        <v>1453.6024502516746</v>
      </c>
      <c r="F84" s="3610">
        <f>Revenue!P49/100</f>
        <v>1418.9111981370768</v>
      </c>
      <c r="G84" s="3610">
        <f>Revenue!Q49/100</f>
        <v>1378.198216311883</v>
      </c>
      <c r="H84" s="3610">
        <f>Revenue!R49/100</f>
        <v>1191.8635158370412</v>
      </c>
      <c r="I84" s="3610">
        <f>Revenue!S49/100</f>
        <v>1028.026618663358</v>
      </c>
      <c r="J84" s="3610">
        <f>Revenue!T49/100</f>
        <v>961.50295365937654</v>
      </c>
      <c r="K84" s="4582">
        <f t="shared" ref="K84:K98" si="16">IFERROR(RATE(2026-2021,,-E84,J84),"n.a")</f>
        <v>-7.9336352630123647E-2</v>
      </c>
    </row>
    <row r="85" spans="2:13">
      <c r="B85" s="3609" t="s">
        <v>10837</v>
      </c>
      <c r="C85" s="1558" t="s">
        <v>3546</v>
      </c>
      <c r="D85" s="3611">
        <f>Revenue!N51</f>
        <v>76.925173307576046</v>
      </c>
      <c r="E85" s="3611">
        <f>Revenue!O51</f>
        <v>88.364890592806958</v>
      </c>
      <c r="F85" s="3611">
        <f>Revenue!P51</f>
        <v>76.367664054740416</v>
      </c>
      <c r="G85" s="3611">
        <f>Revenue!Q51</f>
        <v>70.316235526116486</v>
      </c>
      <c r="H85" s="3611">
        <f>Revenue!R51</f>
        <v>61.37299257657267</v>
      </c>
      <c r="I85" s="3611">
        <f>Revenue!S51</f>
        <v>52.645982672168671</v>
      </c>
      <c r="J85" s="3611">
        <f>Revenue!T51</f>
        <v>49.526306262809811</v>
      </c>
      <c r="K85" s="4582">
        <f t="shared" si="16"/>
        <v>-0.10934145483691536</v>
      </c>
    </row>
    <row r="86" spans="2:13">
      <c r="B86" s="3609" t="s">
        <v>10838</v>
      </c>
      <c r="C86" s="1558" t="s">
        <v>3548</v>
      </c>
      <c r="D86" s="3611">
        <f>Revenue!N55</f>
        <v>449.3436999999999</v>
      </c>
      <c r="E86" s="3611">
        <f>Revenue!O55</f>
        <v>1645</v>
      </c>
      <c r="F86" s="3611">
        <f>Revenue!P55</f>
        <v>1858</v>
      </c>
      <c r="G86" s="3611">
        <f>Revenue!Q55</f>
        <v>1960</v>
      </c>
      <c r="H86" s="3611">
        <f>Revenue!R55</f>
        <v>1942</v>
      </c>
      <c r="I86" s="3611">
        <f>Revenue!S55</f>
        <v>1952.7161741190648</v>
      </c>
      <c r="J86" s="3611">
        <f>Revenue!T55</f>
        <v>1941.3984732824426</v>
      </c>
      <c r="K86" s="4582">
        <f t="shared" si="16"/>
        <v>3.3688670445378342E-2</v>
      </c>
    </row>
    <row r="87" spans="2:13" s="709" customFormat="1">
      <c r="B87" s="709" t="s">
        <v>266</v>
      </c>
      <c r="D87" s="3610">
        <f>Revenue!N56/100</f>
        <v>16.601687893378859</v>
      </c>
      <c r="E87" s="3610">
        <f>Revenue!O56/100</f>
        <v>80.049734343378859</v>
      </c>
      <c r="F87" s="3610">
        <f>Revenue!P56/100</f>
        <v>92.604479549694588</v>
      </c>
      <c r="G87" s="3610">
        <f>Revenue!Q56/100</f>
        <v>108.64763901892796</v>
      </c>
      <c r="H87" s="3610">
        <f>Revenue!R56/100</f>
        <v>106.4205286879054</v>
      </c>
      <c r="I87" s="3610">
        <f>Revenue!S56/100</f>
        <v>105.23640866132759</v>
      </c>
      <c r="J87" s="3610">
        <f>Revenue!T56/100</f>
        <v>106.48450313917751</v>
      </c>
      <c r="K87" s="4582">
        <f t="shared" si="16"/>
        <v>5.8730203340333666E-2</v>
      </c>
    </row>
    <row r="88" spans="2:13">
      <c r="B88" s="3609" t="s">
        <v>10837</v>
      </c>
      <c r="C88" s="1558" t="s">
        <v>3546</v>
      </c>
      <c r="D88" s="3611">
        <f>Revenue!N58</f>
        <v>39.503749841474864</v>
      </c>
      <c r="E88" s="3611">
        <f>Revenue!O58</f>
        <v>40.841701195601459</v>
      </c>
      <c r="F88" s="3611">
        <f>Revenue!P58</f>
        <v>37.041791819877837</v>
      </c>
      <c r="G88" s="3611">
        <f>Revenue!Q58</f>
        <v>37.464703109975162</v>
      </c>
      <c r="H88" s="3611">
        <f>Revenue!R58</f>
        <v>38.00733167425193</v>
      </c>
      <c r="I88" s="3611">
        <f>Revenue!S58</f>
        <v>37.856070027045632</v>
      </c>
      <c r="J88" s="3611">
        <f>Revenue!T58</f>
        <v>38.528345173413378</v>
      </c>
      <c r="K88" s="4582">
        <f t="shared" si="16"/>
        <v>-1.1594151530740069E-2</v>
      </c>
    </row>
    <row r="89" spans="2:13">
      <c r="B89" s="3609" t="s">
        <v>10838</v>
      </c>
      <c r="C89" s="1558" t="s">
        <v>3548</v>
      </c>
      <c r="D89" s="3611">
        <f>Revenue!N62</f>
        <v>42.025599999999997</v>
      </c>
      <c r="E89" s="3611">
        <f>Revenue!O62</f>
        <v>196</v>
      </c>
      <c r="F89" s="3611">
        <f>Revenue!P62</f>
        <v>250</v>
      </c>
      <c r="G89" s="3611">
        <f>Revenue!Q62</f>
        <v>290</v>
      </c>
      <c r="H89" s="3611">
        <f>Revenue!R62</f>
        <v>280</v>
      </c>
      <c r="I89" s="3611">
        <f>Revenue!S62</f>
        <v>277.99084423222803</v>
      </c>
      <c r="J89" s="3611">
        <f>Revenue!T62</f>
        <v>276.37964376590332</v>
      </c>
      <c r="K89" s="4582">
        <f t="shared" si="16"/>
        <v>7.1149270292142408E-2</v>
      </c>
    </row>
    <row r="90" spans="2:13" s="709" customFormat="1">
      <c r="B90" s="709" t="s">
        <v>5586</v>
      </c>
      <c r="C90" s="718"/>
      <c r="D90" s="3610">
        <f>Revenue!N63/100</f>
        <v>50.021067509999995</v>
      </c>
      <c r="E90" s="3610">
        <f>Revenue!O63/100</f>
        <v>162.17798064999999</v>
      </c>
      <c r="F90" s="3610">
        <f>Revenue!P63/100</f>
        <v>167.67</v>
      </c>
      <c r="G90" s="3610">
        <f>Revenue!Q63/100</f>
        <v>154.51400000000001</v>
      </c>
      <c r="H90" s="3610">
        <f>Revenue!R63/100</f>
        <v>190.44</v>
      </c>
      <c r="I90" s="3610">
        <f>Revenue!S63/100</f>
        <v>193.20459814884535</v>
      </c>
      <c r="J90" s="3610">
        <f>Revenue!T63/100</f>
        <v>193.00047892472384</v>
      </c>
      <c r="K90" s="4572">
        <f t="shared" si="16"/>
        <v>3.5412251919424001E-2</v>
      </c>
    </row>
    <row r="91" spans="2:13">
      <c r="B91" s="3609" t="s">
        <v>10835</v>
      </c>
      <c r="C91" s="1558" t="s">
        <v>3470</v>
      </c>
      <c r="D91" s="4589">
        <f>Revenue!N65</f>
        <v>3.5369999999999999</v>
      </c>
      <c r="E91" s="4589">
        <f>Revenue!O65</f>
        <v>3.5256082749999997</v>
      </c>
      <c r="F91" s="4589">
        <f>Revenue!P65</f>
        <v>3.726</v>
      </c>
      <c r="G91" s="4589">
        <f>Revenue!Q65</f>
        <v>3.359</v>
      </c>
      <c r="H91" s="4589">
        <f>Revenue!R65</f>
        <v>4.1399999999999997</v>
      </c>
      <c r="I91" s="4589">
        <f>Revenue!S65</f>
        <v>4.1598747145951602</v>
      </c>
      <c r="J91" s="4589">
        <f>Revenue!T65</f>
        <v>4.1797048891452402</v>
      </c>
      <c r="K91" s="4572">
        <f t="shared" si="16"/>
        <v>3.4623437838626814E-2</v>
      </c>
    </row>
    <row r="92" spans="2:13">
      <c r="B92" s="3609" t="s">
        <v>10836</v>
      </c>
      <c r="C92" s="1558" t="s">
        <v>3545</v>
      </c>
      <c r="D92" s="3611">
        <f>Revenue!N66</f>
        <v>1414.223</v>
      </c>
      <c r="E92" s="3611">
        <f>Revenue!O66</f>
        <v>4600</v>
      </c>
      <c r="F92" s="3611">
        <f>Revenue!P66</f>
        <v>4500</v>
      </c>
      <c r="G92" s="3611">
        <f>Revenue!Q66</f>
        <v>4600</v>
      </c>
      <c r="H92" s="3611">
        <f>Revenue!R66</f>
        <v>4600</v>
      </c>
      <c r="I92" s="3611">
        <f>Revenue!S66</f>
        <v>4644.4811780262489</v>
      </c>
      <c r="J92" s="3611">
        <f>Revenue!T66</f>
        <v>4617.5623409669215</v>
      </c>
      <c r="K92" s="4572">
        <f t="shared" si="16"/>
        <v>7.6241659721309378E-4</v>
      </c>
    </row>
    <row r="93" spans="2:13" s="709" customFormat="1">
      <c r="B93" s="709" t="s">
        <v>244</v>
      </c>
      <c r="C93" s="718"/>
      <c r="D93" s="3610">
        <f>Revenue!N67/100</f>
        <v>209.12507029379123</v>
      </c>
      <c r="E93" s="3610">
        <f>Revenue!O67/100</f>
        <v>834.33697929379127</v>
      </c>
      <c r="F93" s="3610">
        <f>Revenue!P67/100</f>
        <v>935.93</v>
      </c>
      <c r="G93" s="3610">
        <f>Revenue!Q67/100</f>
        <v>1015.6500000000001</v>
      </c>
      <c r="H93" s="3610">
        <f>Revenue!R67/100</f>
        <v>1061.96</v>
      </c>
      <c r="I93" s="3610">
        <f>Revenue!S67/100</f>
        <v>1070.560394628463</v>
      </c>
      <c r="J93" s="3610">
        <f>Revenue!T67/100</f>
        <v>1066.2733170797383</v>
      </c>
      <c r="K93" s="4572">
        <f t="shared" si="16"/>
        <v>5.028075993547932E-2</v>
      </c>
    </row>
    <row r="94" spans="2:13">
      <c r="B94" s="3609" t="s">
        <v>10835</v>
      </c>
      <c r="C94" s="1558" t="s">
        <v>3470</v>
      </c>
      <c r="D94" s="4589">
        <f>Revenue!N69</f>
        <v>0.51502282672456245</v>
      </c>
      <c r="E94" s="4589">
        <f>Revenue!O69</f>
        <v>0.51502282672456245</v>
      </c>
      <c r="F94" s="4589">
        <f>Revenue!P69</f>
        <v>0.54100000000000004</v>
      </c>
      <c r="G94" s="4589">
        <f>Revenue!Q69</f>
        <v>0.55500000000000005</v>
      </c>
      <c r="H94" s="4589">
        <f>Revenue!R69</f>
        <v>0.55600000000000005</v>
      </c>
      <c r="I94" s="4589">
        <f>Revenue!S69</f>
        <v>0.55700180180180181</v>
      </c>
      <c r="J94" s="4589">
        <f>Revenue!T69</f>
        <v>0.55800540865189519</v>
      </c>
      <c r="K94" s="4572">
        <f t="shared" si="16"/>
        <v>1.6160680111595094E-2</v>
      </c>
    </row>
    <row r="95" spans="2:13">
      <c r="B95" s="3609" t="s">
        <v>10836</v>
      </c>
      <c r="C95" s="1558" t="s">
        <v>3545</v>
      </c>
      <c r="D95" s="3611">
        <f>Revenue!N70</f>
        <v>40605.009999999995</v>
      </c>
      <c r="E95" s="3611">
        <f>Revenue!O70</f>
        <v>162000</v>
      </c>
      <c r="F95" s="3611">
        <f>Revenue!P70</f>
        <v>173000</v>
      </c>
      <c r="G95" s="3611">
        <f>Revenue!Q70</f>
        <v>183000</v>
      </c>
      <c r="H95" s="3611">
        <f>Revenue!R70</f>
        <v>191000</v>
      </c>
      <c r="I95" s="3611">
        <f>Revenue!S70</f>
        <v>192200.52631165471</v>
      </c>
      <c r="J95" s="3611">
        <f>Revenue!T70</f>
        <v>191086.55589123865</v>
      </c>
      <c r="K95" s="4572">
        <f t="shared" si="16"/>
        <v>3.3577445468684228E-2</v>
      </c>
    </row>
    <row r="96" spans="2:13" s="709" customFormat="1">
      <c r="B96" s="709" t="s">
        <v>242</v>
      </c>
      <c r="C96" s="718"/>
      <c r="D96" s="3610">
        <f>Revenue!N71/100</f>
        <v>142.28443509939851</v>
      </c>
      <c r="E96" s="3610">
        <f>Revenue!O71/100</f>
        <v>471.02529673939847</v>
      </c>
      <c r="F96" s="3610">
        <f>Revenue!P71/100</f>
        <v>574.4</v>
      </c>
      <c r="G96" s="3610">
        <f>Revenue!Q71/100</f>
        <v>478.80000000000007</v>
      </c>
      <c r="H96" s="3610">
        <f>Revenue!R71/100</f>
        <v>473.90000000000009</v>
      </c>
      <c r="I96" s="3610">
        <f>Revenue!S71/100</f>
        <v>474.15366698346179</v>
      </c>
      <c r="J96" s="3610">
        <f>Revenue!T71/100</f>
        <v>470.05091752265866</v>
      </c>
      <c r="K96" s="4572">
        <f t="shared" si="16"/>
        <v>-4.1406968138006222E-4</v>
      </c>
    </row>
    <row r="97" spans="2:13">
      <c r="B97" s="3609" t="s">
        <v>10835</v>
      </c>
      <c r="C97" s="1558" t="s">
        <v>3470</v>
      </c>
      <c r="D97" s="4583">
        <f>Revenue!N73</f>
        <v>3.6598702155353421E-2</v>
      </c>
      <c r="E97" s="4583">
        <f>Revenue!O73</f>
        <v>3.6598702155353414E-2</v>
      </c>
      <c r="F97" s="4583">
        <f>Revenue!P73</f>
        <v>0.04</v>
      </c>
      <c r="G97" s="4583">
        <f>Revenue!Q73</f>
        <v>3.5000000000000003E-2</v>
      </c>
      <c r="H97" s="4583">
        <f>Revenue!R73</f>
        <v>3.5000000000000003E-2</v>
      </c>
      <c r="I97" s="4583">
        <f>Revenue!S73</f>
        <v>3.4799999999999998E-2</v>
      </c>
      <c r="J97" s="4583">
        <f>Revenue!T73</f>
        <v>3.4700000000000002E-2</v>
      </c>
      <c r="K97" s="4572">
        <f t="shared" si="16"/>
        <v>-1.0598059121181454E-2</v>
      </c>
    </row>
    <row r="98" spans="2:13">
      <c r="B98" s="4584" t="s">
        <v>10836</v>
      </c>
      <c r="C98" s="4585" t="s">
        <v>3545</v>
      </c>
      <c r="D98" s="4586">
        <f>Revenue!N74</f>
        <v>388769.07299999997</v>
      </c>
      <c r="E98" s="4586">
        <f>Revenue!O74</f>
        <v>1287000</v>
      </c>
      <c r="F98" s="4586">
        <f>Revenue!P74</f>
        <v>1436000</v>
      </c>
      <c r="G98" s="4586">
        <f>Revenue!Q74</f>
        <v>1368000</v>
      </c>
      <c r="H98" s="4586">
        <f>Revenue!R74</f>
        <v>1354000</v>
      </c>
      <c r="I98" s="4586">
        <f>Revenue!S74</f>
        <v>1362510.5373087984</v>
      </c>
      <c r="J98" s="4586">
        <f>Revenue!T74</f>
        <v>1354613.5951661631</v>
      </c>
      <c r="K98" s="4580">
        <f t="shared" si="16"/>
        <v>1.0293076068515299E-2</v>
      </c>
    </row>
    <row r="99" spans="2:13">
      <c r="B99" s="3609"/>
      <c r="C99" s="1558"/>
      <c r="E99" s="3611"/>
      <c r="F99" s="3611"/>
      <c r="G99" s="3611"/>
      <c r="H99" s="3611"/>
      <c r="I99" s="3611"/>
      <c r="J99" s="3611"/>
      <c r="K99" s="4588"/>
      <c r="L99" s="3611"/>
      <c r="M99" s="3611"/>
    </row>
    <row r="100" spans="2:13">
      <c r="B100" s="3609"/>
      <c r="C100" s="1558"/>
      <c r="E100" s="3611"/>
      <c r="F100" s="3611"/>
      <c r="G100" s="3611"/>
      <c r="H100" s="3611"/>
      <c r="I100" s="3611"/>
      <c r="J100" s="3611"/>
      <c r="K100" s="4588"/>
      <c r="L100" s="3611"/>
      <c r="M100" s="3611"/>
    </row>
    <row r="101" spans="2:13" ht="27">
      <c r="B101" s="4565"/>
      <c r="C101" s="4569"/>
      <c r="D101" s="4556" t="s">
        <v>5173</v>
      </c>
      <c r="E101" s="4556" t="s">
        <v>5360</v>
      </c>
      <c r="F101" s="4556" t="s">
        <v>1326</v>
      </c>
      <c r="G101" s="4556" t="s">
        <v>1327</v>
      </c>
      <c r="H101" s="4556" t="s">
        <v>1328</v>
      </c>
      <c r="I101" s="4556" t="s">
        <v>1329</v>
      </c>
      <c r="J101" s="4556" t="s">
        <v>10800</v>
      </c>
      <c r="K101" s="4570" t="s">
        <v>10820</v>
      </c>
    </row>
    <row r="102" spans="2:13" s="709" customFormat="1">
      <c r="B102" s="709" t="s">
        <v>260</v>
      </c>
      <c r="C102" s="718"/>
      <c r="D102" s="3610">
        <f>Revenue!N75/100</f>
        <v>9.0186819663226068</v>
      </c>
      <c r="E102" s="3610">
        <f>Revenue!O75/100</f>
        <v>30.805229656322609</v>
      </c>
      <c r="F102" s="3610">
        <f>Revenue!P75/100</f>
        <v>36.452999999999996</v>
      </c>
      <c r="G102" s="3610">
        <f>Revenue!Q75/100</f>
        <v>42.363999999999997</v>
      </c>
      <c r="H102" s="3610">
        <f>Revenue!R75/100</f>
        <v>43.383999999999993</v>
      </c>
      <c r="I102" s="3610">
        <f>Revenue!S75/100</f>
        <v>43.558453185392736</v>
      </c>
      <c r="J102" s="3610">
        <f>Revenue!T75/100</f>
        <v>43.305993791348598</v>
      </c>
      <c r="K102" s="4572">
        <f t="shared" ref="K102:K112" si="17">IFERROR(RATE(2026-2021,,-E102,J102),"n.a")</f>
        <v>7.0495168915157391E-2</v>
      </c>
    </row>
    <row r="103" spans="2:13">
      <c r="B103" s="3609" t="s">
        <v>10835</v>
      </c>
      <c r="C103" s="1558" t="s">
        <v>3470</v>
      </c>
      <c r="D103" s="4590">
        <f>Revenue!N77</f>
        <v>2.5800024837791128E-3</v>
      </c>
      <c r="E103" s="4590">
        <f>Revenue!O77</f>
        <v>2.5800024837791128E-3</v>
      </c>
      <c r="F103" s="4590">
        <f>Revenue!P77</f>
        <v>2.8999999999999998E-3</v>
      </c>
      <c r="G103" s="4590">
        <f>Revenue!Q77</f>
        <v>3.3999999999999998E-3</v>
      </c>
      <c r="H103" s="4590">
        <f>Revenue!R77</f>
        <v>3.3999999999999998E-3</v>
      </c>
      <c r="I103" s="4590">
        <f>Revenue!S77</f>
        <v>3.3999999999999998E-3</v>
      </c>
      <c r="J103" s="4590">
        <f>Revenue!T77</f>
        <v>3.3999999999999998E-3</v>
      </c>
      <c r="K103" s="4572">
        <f t="shared" si="17"/>
        <v>5.6748788470671878E-2</v>
      </c>
    </row>
    <row r="104" spans="2:13">
      <c r="B104" s="3609" t="s">
        <v>10836</v>
      </c>
      <c r="C104" s="1558" t="s">
        <v>3545</v>
      </c>
      <c r="D104" s="3611">
        <f>Revenue!N78</f>
        <v>349560.98</v>
      </c>
      <c r="E104" s="3611">
        <f>Revenue!O78</f>
        <v>1194000</v>
      </c>
      <c r="F104" s="3611">
        <f>Revenue!P78</f>
        <v>1257000</v>
      </c>
      <c r="G104" s="3611">
        <f>Revenue!Q78</f>
        <v>1246000</v>
      </c>
      <c r="H104" s="3611">
        <f>Revenue!R78</f>
        <v>1276000</v>
      </c>
      <c r="I104" s="3611">
        <f>Revenue!S78</f>
        <v>1281130.9760409629</v>
      </c>
      <c r="J104" s="3611">
        <f>Revenue!T78</f>
        <v>1273705.699745547</v>
      </c>
      <c r="K104" s="4572">
        <f t="shared" si="17"/>
        <v>1.3008181882452933E-2</v>
      </c>
    </row>
    <row r="105" spans="2:13" s="709" customFormat="1">
      <c r="B105" s="709" t="s">
        <v>327</v>
      </c>
      <c r="C105" s="718"/>
      <c r="D105" s="3610">
        <f>Revenue!N79/100</f>
        <v>68.821557565823781</v>
      </c>
      <c r="E105" s="3610">
        <f>Revenue!O79/100</f>
        <v>254.9382825458238</v>
      </c>
      <c r="F105" s="3610">
        <f>Revenue!P79/100</f>
        <v>249.57065855583275</v>
      </c>
      <c r="G105" s="3610">
        <f>Revenue!Q79/100</f>
        <v>255.38363973337542</v>
      </c>
      <c r="H105" s="3610">
        <f>Revenue!R79/100</f>
        <v>256.54623596888393</v>
      </c>
      <c r="I105" s="3610">
        <f>Revenue!S79/100</f>
        <v>258.15875170938983</v>
      </c>
      <c r="J105" s="3610">
        <f>Revenue!T79/100</f>
        <v>256.66249559243477</v>
      </c>
      <c r="K105" s="4572">
        <f t="shared" si="17"/>
        <v>1.3490067874562385E-3</v>
      </c>
    </row>
    <row r="106" spans="2:13">
      <c r="B106" s="3609" t="s">
        <v>10835</v>
      </c>
      <c r="C106" s="1558" t="s">
        <v>3470</v>
      </c>
      <c r="D106" s="3611">
        <f>Revenue!N81</f>
        <v>12.493101217917564</v>
      </c>
      <c r="E106" s="3611">
        <f>Revenue!O81</f>
        <v>12.493101217917564</v>
      </c>
      <c r="F106" s="3611">
        <f>Revenue!P81</f>
        <v>12.493101217917564</v>
      </c>
      <c r="G106" s="3611">
        <f>Revenue!Q81</f>
        <v>12.493101217917564</v>
      </c>
      <c r="H106" s="3611">
        <f>Revenue!R81</f>
        <v>12.493101217917564</v>
      </c>
      <c r="I106" s="3611">
        <f>Revenue!S81</f>
        <v>12.493101217917564</v>
      </c>
      <c r="J106" s="3611">
        <f>Revenue!T81</f>
        <v>12.493101217917564</v>
      </c>
      <c r="K106" s="4572">
        <f t="shared" si="17"/>
        <v>1.2915871167742451E-16</v>
      </c>
    </row>
    <row r="107" spans="2:13">
      <c r="B107" s="3609" t="s">
        <v>10836</v>
      </c>
      <c r="C107" s="1558" t="s">
        <v>3545</v>
      </c>
      <c r="D107" s="3611">
        <f>Revenue!N82</f>
        <v>550.87649067567099</v>
      </c>
      <c r="E107" s="3611">
        <f>Revenue!O82</f>
        <v>2040.6324906756711</v>
      </c>
      <c r="F107" s="3611">
        <f>Revenue!P82</f>
        <v>1997.6677864251938</v>
      </c>
      <c r="G107" s="3611">
        <f>Revenue!Q82</f>
        <v>2044.197315612116</v>
      </c>
      <c r="H107" s="3611">
        <f>Revenue!R82</f>
        <v>2053.5032214495004</v>
      </c>
      <c r="I107" s="3611">
        <f>Revenue!S82</f>
        <v>2066.4104709176568</v>
      </c>
      <c r="J107" s="3611">
        <f>Revenue!T82</f>
        <v>2054.4338120332386</v>
      </c>
      <c r="K107" s="4572">
        <f t="shared" si="17"/>
        <v>1.3490067874561667E-3</v>
      </c>
    </row>
    <row r="108" spans="2:13" s="709" customFormat="1">
      <c r="B108" s="709" t="s">
        <v>252</v>
      </c>
      <c r="C108" s="718"/>
      <c r="D108" s="3610">
        <f>Revenue!N83/100</f>
        <v>49.054811724042658</v>
      </c>
      <c r="E108" s="3610">
        <f>Revenue!O83/100</f>
        <v>144.50976680404267</v>
      </c>
      <c r="F108" s="3610">
        <f>Revenue!P83/100</f>
        <v>152.98920000000001</v>
      </c>
      <c r="G108" s="3610">
        <f>Revenue!Q83/100</f>
        <v>119.69499999999999</v>
      </c>
      <c r="H108" s="3610">
        <f>Revenue!R83/100</f>
        <v>85.572600000000008</v>
      </c>
      <c r="I108" s="3610">
        <f>Revenue!S83/100</f>
        <v>86.110464700820444</v>
      </c>
      <c r="J108" s="3610">
        <f>Revenue!T83/100</f>
        <v>85.611379123867081</v>
      </c>
      <c r="K108" s="4572">
        <f t="shared" si="17"/>
        <v>-9.9410542727822224E-2</v>
      </c>
    </row>
    <row r="109" spans="2:13">
      <c r="B109" s="3609" t="s">
        <v>10835</v>
      </c>
      <c r="C109" s="1558" t="s">
        <v>3470</v>
      </c>
      <c r="D109" s="4583">
        <f>Revenue!N85</f>
        <v>3.3266520903324735E-2</v>
      </c>
      <c r="E109" s="4583">
        <f>Revenue!O85</f>
        <v>3.3266520903324742E-2</v>
      </c>
      <c r="F109" s="4583">
        <f>Revenue!P85</f>
        <v>3.6400000000000002E-2</v>
      </c>
      <c r="G109" s="4583">
        <f>Revenue!Q85</f>
        <v>3.6999999999999998E-2</v>
      </c>
      <c r="H109" s="4583">
        <f>Revenue!R85</f>
        <v>3.8100000000000002E-2</v>
      </c>
      <c r="I109" s="4583">
        <f>Revenue!S85</f>
        <v>3.8100000000000002E-2</v>
      </c>
      <c r="J109" s="4583">
        <f>Revenue!T85</f>
        <v>3.8100000000000002E-2</v>
      </c>
      <c r="K109" s="4572">
        <f t="shared" si="17"/>
        <v>2.7503993329979243E-2</v>
      </c>
    </row>
    <row r="110" spans="2:13">
      <c r="B110" s="3609" t="s">
        <v>10836</v>
      </c>
      <c r="C110" s="1558" t="s">
        <v>3545</v>
      </c>
      <c r="D110" s="3611">
        <f>Revenue!N86</f>
        <v>147460</v>
      </c>
      <c r="E110" s="3611">
        <f>Revenue!O86</f>
        <v>434400</v>
      </c>
      <c r="F110" s="3611">
        <f>Revenue!P86</f>
        <v>420300</v>
      </c>
      <c r="G110" s="3611">
        <f>Revenue!Q86</f>
        <v>323500</v>
      </c>
      <c r="H110" s="3611">
        <f>Revenue!R86</f>
        <v>224600</v>
      </c>
      <c r="I110" s="3611">
        <f>Revenue!S86</f>
        <v>226011.71837485681</v>
      </c>
      <c r="J110" s="3611">
        <f>Revenue!T86</f>
        <v>224701.78247734139</v>
      </c>
      <c r="K110" s="4572">
        <f t="shared" si="17"/>
        <v>-0.12351731660404143</v>
      </c>
    </row>
    <row r="111" spans="2:13" s="709" customFormat="1">
      <c r="B111" s="709" t="s">
        <v>246</v>
      </c>
      <c r="C111" s="718"/>
      <c r="D111" s="3610">
        <f>Revenue!N87/100</f>
        <v>497.6335767561153</v>
      </c>
      <c r="E111" s="3610">
        <f>Revenue!O87/100</f>
        <v>1177.9275101261153</v>
      </c>
      <c r="F111" s="3610">
        <f>Revenue!P87/100</f>
        <v>1779.0338959494297</v>
      </c>
      <c r="G111" s="3610">
        <f>Revenue!Q87/100</f>
        <v>1745.1445927238001</v>
      </c>
      <c r="H111" s="3610">
        <f>Revenue!R87/100</f>
        <v>1655.6674902661225</v>
      </c>
      <c r="I111" s="3610">
        <f>Revenue!S87/100</f>
        <v>1650.8702166349872</v>
      </c>
      <c r="J111" s="3610">
        <f>Revenue!T87/100</f>
        <v>1685.9329972469025</v>
      </c>
      <c r="K111" s="4572">
        <f t="shared" si="17"/>
        <v>7.4346440358027399E-2</v>
      </c>
    </row>
    <row r="112" spans="2:13">
      <c r="B112" s="4591" t="s">
        <v>328</v>
      </c>
      <c r="C112" s="4592" t="s">
        <v>2702</v>
      </c>
      <c r="D112" s="4593">
        <f>Revenue!N89</f>
        <v>1.8103120759995255E-2</v>
      </c>
      <c r="E112" s="4593">
        <f>Revenue!O89</f>
        <v>1.1842496968712986E-2</v>
      </c>
      <c r="F112" s="4593">
        <f>Revenue!P89</f>
        <v>1.8103120759995255E-2</v>
      </c>
      <c r="G112" s="4593">
        <f>Revenue!Q89</f>
        <v>1.8103120759995255E-2</v>
      </c>
      <c r="H112" s="4593">
        <f>Revenue!R89</f>
        <v>1.8103120759995255E-2</v>
      </c>
      <c r="I112" s="4593">
        <f>Revenue!S89</f>
        <v>1.8103120759995255E-2</v>
      </c>
      <c r="J112" s="4593">
        <f>Revenue!T89</f>
        <v>1.8103120759995255E-2</v>
      </c>
      <c r="K112" s="4580">
        <f t="shared" si="17"/>
        <v>8.8584216753452127E-2</v>
      </c>
    </row>
    <row r="114" spans="2:13">
      <c r="B114" s="817" t="s">
        <v>10840</v>
      </c>
      <c r="C114" s="4553"/>
      <c r="D114" s="4553"/>
      <c r="E114" s="4553"/>
      <c r="F114" s="4553"/>
      <c r="G114" s="4553"/>
      <c r="H114" s="4553"/>
      <c r="I114" s="4553"/>
      <c r="J114" s="4553"/>
      <c r="K114" s="4554"/>
      <c r="L114" s="4553"/>
      <c r="M114" s="4553"/>
    </row>
    <row r="115" spans="2:13">
      <c r="D115" s="815" t="s">
        <v>10834</v>
      </c>
    </row>
    <row r="116" spans="2:13" ht="27">
      <c r="B116" s="4565"/>
      <c r="C116" s="4569"/>
      <c r="D116" s="4556" t="s">
        <v>5173</v>
      </c>
      <c r="E116" s="4556" t="s">
        <v>5360</v>
      </c>
      <c r="F116" s="4556" t="s">
        <v>1326</v>
      </c>
      <c r="G116" s="4556" t="s">
        <v>1327</v>
      </c>
      <c r="H116" s="4556" t="s">
        <v>1328</v>
      </c>
      <c r="I116" s="4556" t="s">
        <v>1329</v>
      </c>
      <c r="J116" s="4556" t="s">
        <v>10800</v>
      </c>
      <c r="K116" s="4570" t="s">
        <v>10820</v>
      </c>
    </row>
    <row r="117" spans="2:13">
      <c r="B117" s="709" t="s">
        <v>10823</v>
      </c>
      <c r="D117" s="3610">
        <f>COGS!N19/100</f>
        <v>26901.059147916545</v>
      </c>
      <c r="E117" s="3610">
        <f>COGS!O19/100</f>
        <v>94289.326641466541</v>
      </c>
      <c r="F117" s="3610">
        <f>COGS!P19/100</f>
        <v>95873.687388499719</v>
      </c>
      <c r="G117" s="3610">
        <f>COGS!Q19/100</f>
        <v>93899.348589715155</v>
      </c>
      <c r="H117" s="3610">
        <f>COGS!R19/100</f>
        <v>88696.292054762875</v>
      </c>
      <c r="I117" s="3610">
        <f>COGS!S19/100</f>
        <v>88375.969227572641</v>
      </c>
      <c r="J117" s="3610">
        <f>COGS!T19/100</f>
        <v>90722.242551314383</v>
      </c>
      <c r="K117" s="4572">
        <f t="shared" ref="K117:K118" si="18">IFERROR(RATE(2026-2021,,-E117,J117),"n.a")</f>
        <v>-7.6834182567002349E-3</v>
      </c>
    </row>
    <row r="118" spans="2:13">
      <c r="B118" s="3609" t="s">
        <v>10841</v>
      </c>
      <c r="D118" s="3611">
        <f>COGS!N20/100</f>
        <v>25984.801090664507</v>
      </c>
      <c r="E118" s="3611">
        <f>COGS!O20/100</f>
        <v>90693.287004584505</v>
      </c>
      <c r="F118" s="3611">
        <f>COGS!P20/100</f>
        <v>92115.238732381724</v>
      </c>
      <c r="G118" s="3611">
        <f>COGS!Q20/100</f>
        <v>90085.120826654267</v>
      </c>
      <c r="H118" s="3611">
        <f>COGS!R20/100</f>
        <v>84797.941670072207</v>
      </c>
      <c r="I118" s="3611">
        <f>COGS!S20/100</f>
        <v>84380.324536482411</v>
      </c>
      <c r="J118" s="3611">
        <f>COGS!T20/100</f>
        <v>86613.06741821226</v>
      </c>
      <c r="K118" s="4572">
        <f t="shared" si="18"/>
        <v>-9.1642782829792178E-3</v>
      </c>
    </row>
    <row r="119" spans="2:13" s="1513" customFormat="1">
      <c r="B119" s="4594" t="s">
        <v>3456</v>
      </c>
      <c r="D119" s="4595">
        <f>COGS!N21</f>
        <v>0.92847753612144246</v>
      </c>
      <c r="E119" s="4595">
        <f>COGS!O21</f>
        <v>0.92167711956135001</v>
      </c>
      <c r="F119" s="4595">
        <f>COGS!P21</f>
        <v>0.92068048747970999</v>
      </c>
      <c r="G119" s="4595">
        <f>COGS!Q21</f>
        <v>0.91787455193883449</v>
      </c>
      <c r="H119" s="4595">
        <f>COGS!R21</f>
        <v>0.9106969227091215</v>
      </c>
      <c r="I119" s="4595">
        <f>COGS!S21</f>
        <v>0.90884524358150032</v>
      </c>
      <c r="J119" s="4595">
        <f>COGS!T21</f>
        <v>0.91349208446180696</v>
      </c>
      <c r="K119" s="4572">
        <f>IFERROR(RATE(2026-2021,,-E119,J119),"n.a")</f>
        <v>-1.7824606879270071E-3</v>
      </c>
    </row>
    <row r="120" spans="2:13">
      <c r="B120" s="3609" t="s">
        <v>5559</v>
      </c>
      <c r="D120" s="3611">
        <f>COGS!N22/100</f>
        <v>182.96261051283673</v>
      </c>
      <c r="E120" s="3611">
        <f>COGS!O22/100</f>
        <v>732.66120694283677</v>
      </c>
      <c r="F120" s="3611">
        <f>COGS!P22/100</f>
        <v>760.97005643725822</v>
      </c>
      <c r="G120" s="3611">
        <f>COGS!Q22/100</f>
        <v>774.27548502405568</v>
      </c>
      <c r="H120" s="3611">
        <f>COGS!R22/100</f>
        <v>801.41146410133081</v>
      </c>
      <c r="I120" s="3611">
        <f>COGS!S22/100</f>
        <v>830.05494362921104</v>
      </c>
      <c r="J120" s="3611">
        <f>COGS!T22/100</f>
        <v>864.38733900596617</v>
      </c>
      <c r="K120" s="4572">
        <f>IFERROR(RATE(2026-2021,,-E120,J120),"n.a")</f>
        <v>3.3620323408394243E-2</v>
      </c>
    </row>
    <row r="121" spans="2:13" s="1513" customFormat="1">
      <c r="B121" s="4594" t="s">
        <v>3456</v>
      </c>
      <c r="D121" s="4595">
        <f>COGS!N23</f>
        <v>6.5375398956714331E-3</v>
      </c>
      <c r="E121" s="4595">
        <f>COGS!O23</f>
        <v>7.4457227555913916E-3</v>
      </c>
      <c r="F121" s="4595">
        <f>COGS!P23</f>
        <v>7.6058021686679755E-3</v>
      </c>
      <c r="G121" s="4595">
        <f>COGS!Q23</f>
        <v>7.8890693310076729E-3</v>
      </c>
      <c r="H121" s="4595">
        <f>COGS!R23</f>
        <v>8.6068475225558154E-3</v>
      </c>
      <c r="I121" s="4595">
        <f>COGS!S23</f>
        <v>8.9403719596095228E-3</v>
      </c>
      <c r="J121" s="4595">
        <f>COGS!T23</f>
        <v>9.1165342093047965E-3</v>
      </c>
      <c r="K121" s="4572">
        <f>IFERROR(RATE(2026-2021,,-E121,J121),"n.a")</f>
        <v>4.1320890235160931E-2</v>
      </c>
    </row>
    <row r="122" spans="2:13">
      <c r="B122" s="3609" t="s">
        <v>1286</v>
      </c>
      <c r="D122" s="3611">
        <f>COGS!N24/100</f>
        <v>733.29544673920259</v>
      </c>
      <c r="E122" s="3611">
        <f>COGS!O24/100</f>
        <v>2863.3784299392114</v>
      </c>
      <c r="F122" s="3611">
        <f>COGS!P24/100</f>
        <v>2997.4785996807332</v>
      </c>
      <c r="G122" s="3611">
        <f>COGS!Q24/100</f>
        <v>3039.9522780368234</v>
      </c>
      <c r="H122" s="3611">
        <f>COGS!R24/100</f>
        <v>3096.9389205893244</v>
      </c>
      <c r="I122" s="3611">
        <f>COGS!S24/100</f>
        <v>3165.5897474610233</v>
      </c>
      <c r="J122" s="3611">
        <f>COGS!T24/100</f>
        <v>3244.7877940961603</v>
      </c>
      <c r="K122" s="4572">
        <f>IFERROR(RATE(2026-2021,,-E122,J122),"n.a")</f>
        <v>2.5324913644748023E-2</v>
      </c>
    </row>
    <row r="123" spans="2:13" s="1513" customFormat="1">
      <c r="B123" s="4596" t="s">
        <v>3456</v>
      </c>
      <c r="C123" s="4591"/>
      <c r="D123" s="4597">
        <f>COGS!N25</f>
        <v>2.6201791857552219E-2</v>
      </c>
      <c r="E123" s="4597">
        <f>COGS!O25</f>
        <v>2.9099291366372765E-2</v>
      </c>
      <c r="F123" s="4597">
        <f>COGS!P25</f>
        <v>2.9959430126232933E-2</v>
      </c>
      <c r="G123" s="4597">
        <f>COGS!Q25</f>
        <v>3.0973981158194767E-2</v>
      </c>
      <c r="H123" s="4597">
        <f>COGS!R25</f>
        <v>3.3259919866595093E-2</v>
      </c>
      <c r="I123" s="4597">
        <f>COGS!S25</f>
        <v>3.4095995730218008E-2</v>
      </c>
      <c r="J123" s="4597">
        <f>COGS!T25</f>
        <v>3.4222179793644704E-2</v>
      </c>
      <c r="K123" s="4580">
        <f>IFERROR(RATE(2026-2021,,-E123,J123),"n.a")</f>
        <v>3.296367890132558E-2</v>
      </c>
    </row>
    <row r="125" spans="2:13">
      <c r="B125" s="817" t="s">
        <v>10842</v>
      </c>
      <c r="C125" s="4553"/>
      <c r="D125" s="4553"/>
      <c r="E125" s="4553"/>
      <c r="F125" s="4553"/>
      <c r="G125" s="4553"/>
      <c r="H125" s="4553"/>
      <c r="I125" s="4553"/>
      <c r="J125" s="4553"/>
      <c r="K125" s="4554"/>
      <c r="L125" s="4553"/>
      <c r="M125" s="4553"/>
    </row>
    <row r="127" spans="2:13" ht="27">
      <c r="B127" s="4565"/>
      <c r="C127" s="4569"/>
      <c r="D127" s="4556" t="s">
        <v>5173</v>
      </c>
      <c r="E127" s="4556" t="s">
        <v>5360</v>
      </c>
      <c r="F127" s="4556" t="s">
        <v>1326</v>
      </c>
      <c r="G127" s="4556" t="s">
        <v>1327</v>
      </c>
      <c r="H127" s="4556" t="s">
        <v>1328</v>
      </c>
      <c r="I127" s="4556" t="s">
        <v>1329</v>
      </c>
      <c r="J127" s="4556" t="s">
        <v>10800</v>
      </c>
      <c r="K127" s="4570" t="s">
        <v>10820</v>
      </c>
    </row>
    <row r="128" spans="2:13" s="709" customFormat="1">
      <c r="B128" s="709" t="s">
        <v>10841</v>
      </c>
      <c r="D128" s="3610">
        <f>COGS!N29/100</f>
        <v>25984.801090664507</v>
      </c>
      <c r="E128" s="3610">
        <f>COGS!O29/100</f>
        <v>90693.287004584505</v>
      </c>
      <c r="F128" s="3610">
        <f>COGS!P29/100</f>
        <v>92115.238732381724</v>
      </c>
      <c r="G128" s="3610">
        <f>COGS!Q29/100</f>
        <v>90085.120826654267</v>
      </c>
      <c r="H128" s="3610">
        <f>COGS!R29/100</f>
        <v>84797.941670072207</v>
      </c>
      <c r="I128" s="3610">
        <f>COGS!S29/100</f>
        <v>84380.324536482411</v>
      </c>
      <c r="J128" s="3610">
        <f>COGS!T29/100</f>
        <v>86613.06741821226</v>
      </c>
      <c r="K128" s="4582">
        <f t="shared" ref="K128:K144" si="19">IFERROR(RATE(2026-2021,,-E128,J128),"n.a")</f>
        <v>-9.1642782829792178E-3</v>
      </c>
    </row>
    <row r="129" spans="2:11">
      <c r="B129" s="815" t="s">
        <v>258</v>
      </c>
      <c r="D129" s="3611">
        <f>COGS!N31/100</f>
        <v>18498.761171479957</v>
      </c>
      <c r="E129" s="3611">
        <f>COGS!O31/100</f>
        <v>62258.375413759954</v>
      </c>
      <c r="F129" s="3611">
        <f>COGS!P31/100</f>
        <v>63680.822070431102</v>
      </c>
      <c r="G129" s="3611">
        <f>COGS!Q31/100</f>
        <v>62253.395557324002</v>
      </c>
      <c r="H129" s="3611">
        <f>COGS!R31/100</f>
        <v>58659.128855305666</v>
      </c>
      <c r="I129" s="3611">
        <f>COGS!S31/100</f>
        <v>58048.363110383747</v>
      </c>
      <c r="J129" s="3611">
        <f>COGS!T31/100</f>
        <v>60634.055422170983</v>
      </c>
      <c r="K129" s="4582">
        <f t="shared" si="19"/>
        <v>-5.273320014293168E-3</v>
      </c>
    </row>
    <row r="130" spans="2:11" s="1513" customFormat="1">
      <c r="B130" s="1513" t="s">
        <v>3456</v>
      </c>
      <c r="D130" s="4595">
        <f>COGS!N32</f>
        <v>0.94405114873270346</v>
      </c>
      <c r="E130" s="4595">
        <f>COGS!O32</f>
        <v>0.93923706462776568</v>
      </c>
      <c r="F130" s="4595">
        <f>COGS!P32</f>
        <v>0.93511025425530636</v>
      </c>
      <c r="G130" s="4595">
        <f>COGS!Q32</f>
        <v>0.93071709175463102</v>
      </c>
      <c r="H130" s="4595">
        <f>COGS!R32</f>
        <v>0.92181563858077831</v>
      </c>
      <c r="I130" s="4595">
        <f>COGS!S32</f>
        <v>0.91848057986215081</v>
      </c>
      <c r="J130" s="4595">
        <f>COGS!T32</f>
        <v>0.92482546916113906</v>
      </c>
      <c r="K130" s="4582">
        <f t="shared" si="19"/>
        <v>-3.087797838908998E-3</v>
      </c>
    </row>
    <row r="131" spans="2:11">
      <c r="B131" s="3609" t="s">
        <v>10843</v>
      </c>
      <c r="C131" s="1558" t="s">
        <v>3470</v>
      </c>
      <c r="D131" s="4589">
        <f>COGS!N33</f>
        <v>11.106249566580411</v>
      </c>
      <c r="E131" s="4589">
        <f>COGS!O33</f>
        <v>10.090484235013289</v>
      </c>
      <c r="F131" s="4589">
        <f>COGS!P33</f>
        <v>9.9913881504864666</v>
      </c>
      <c r="G131" s="4589">
        <f>COGS!Q33</f>
        <v>9.5451040558289328</v>
      </c>
      <c r="H131" s="4589">
        <f>COGS!R33</f>
        <v>8.9532488733046058</v>
      </c>
      <c r="I131" s="4589">
        <f>COGS!S33</f>
        <v>8.8046849394831295</v>
      </c>
      <c r="J131" s="4589">
        <f>COGS!T33</f>
        <v>9.250493418709139</v>
      </c>
      <c r="K131" s="4582">
        <f t="shared" si="19"/>
        <v>-1.7232970509935622E-2</v>
      </c>
    </row>
    <row r="132" spans="2:11">
      <c r="B132" s="3609" t="s">
        <v>10844</v>
      </c>
      <c r="C132" s="1558" t="s">
        <v>3545</v>
      </c>
      <c r="D132" s="3611">
        <f>COGS!N37</f>
        <v>166561.72779643096</v>
      </c>
      <c r="E132" s="3611">
        <f>COGS!O37</f>
        <v>617000.86897443095</v>
      </c>
      <c r="F132" s="3611">
        <f>COGS!P37</f>
        <v>637357.10305009596</v>
      </c>
      <c r="G132" s="3611">
        <f>COGS!Q37</f>
        <v>652202.37718946149</v>
      </c>
      <c r="H132" s="3611">
        <f>COGS!R37</f>
        <v>655171.43201733462</v>
      </c>
      <c r="I132" s="3611">
        <f>COGS!S37</f>
        <v>659289.49768634676</v>
      </c>
      <c r="J132" s="3611">
        <f>COGS!T37</f>
        <v>655468.33750012191</v>
      </c>
      <c r="K132" s="4582">
        <f t="shared" si="19"/>
        <v>1.2169364800375282E-2</v>
      </c>
    </row>
    <row r="133" spans="2:11">
      <c r="B133" s="815" t="s">
        <v>262</v>
      </c>
      <c r="D133" s="3611">
        <f>COGS!N42</f>
        <v>551026.93575012754</v>
      </c>
      <c r="E133" s="3611">
        <f>COGS!O42</f>
        <v>2100248.6889391276</v>
      </c>
      <c r="F133" s="3611">
        <f>COGS!P42</f>
        <v>2064930.9134404548</v>
      </c>
      <c r="G133" s="3611">
        <f>COGS!Q42</f>
        <v>2011243.5994270556</v>
      </c>
      <c r="H133" s="3611">
        <f>COGS!R42</f>
        <v>1876129.6833937748</v>
      </c>
      <c r="I133" s="3611">
        <f>COGS!S42</f>
        <v>1927984.2949917291</v>
      </c>
      <c r="J133" s="3611">
        <f>COGS!T42</f>
        <v>1904166.726023982</v>
      </c>
      <c r="K133" s="4582">
        <f t="shared" si="19"/>
        <v>-1.9411377536249958E-2</v>
      </c>
    </row>
    <row r="134" spans="2:11" s="1513" customFormat="1">
      <c r="B134" s="1513" t="s">
        <v>3456</v>
      </c>
      <c r="D134" s="4595">
        <f>COGS!N43</f>
        <v>0.95964730037309509</v>
      </c>
      <c r="E134" s="4595">
        <f>COGS!O43</f>
        <v>0.95486656879844822</v>
      </c>
      <c r="F134" s="4595">
        <f>COGS!P43</f>
        <v>0.95467505284302834</v>
      </c>
      <c r="G134" s="4595">
        <f>COGS!Q43</f>
        <v>0.95444601149191743</v>
      </c>
      <c r="H134" s="4595">
        <f>COGS!R43</f>
        <v>0.9538183686911188</v>
      </c>
      <c r="I134" s="4595">
        <f>COGS!S43</f>
        <v>0.95404895836934722</v>
      </c>
      <c r="J134" s="4595">
        <f>COGS!T43</f>
        <v>0.95398551904902862</v>
      </c>
      <c r="K134" s="4582">
        <f t="shared" si="19"/>
        <v>-1.8460696690416261E-4</v>
      </c>
    </row>
    <row r="135" spans="2:11">
      <c r="B135" s="3609" t="s">
        <v>10845</v>
      </c>
      <c r="C135" s="1558" t="s">
        <v>3546</v>
      </c>
      <c r="D135" s="4589">
        <f>COGS!N44</f>
        <v>67.782638015783633</v>
      </c>
      <c r="E135" s="4589">
        <f>COGS!O44</f>
        <v>65.575119272901134</v>
      </c>
      <c r="F135" s="4589">
        <f>COGS!P44</f>
        <v>64.732037267775809</v>
      </c>
      <c r="G135" s="4589">
        <f>COGS!Q44</f>
        <v>63.049032190510616</v>
      </c>
      <c r="H135" s="4589">
        <f>COGS!R44</f>
        <v>62.607858681573504</v>
      </c>
      <c r="I135" s="4589">
        <f>COGS!S44</f>
        <v>60.651676085292166</v>
      </c>
      <c r="J135" s="4589">
        <f>COGS!T44</f>
        <v>60.251619759614535</v>
      </c>
      <c r="K135" s="4582">
        <f t="shared" si="19"/>
        <v>-1.679081391770626E-2</v>
      </c>
    </row>
    <row r="136" spans="2:11">
      <c r="B136" s="3609" t="s">
        <v>10846</v>
      </c>
      <c r="C136" s="1558" t="s">
        <v>3548</v>
      </c>
      <c r="D136" s="3611">
        <f>COGS!N48</f>
        <v>8129.3226684658875</v>
      </c>
      <c r="E136" s="3611">
        <f>COGS!O48</f>
        <v>32028.133722465889</v>
      </c>
      <c r="F136" s="3611">
        <f>COGS!P48</f>
        <v>31899.674420851203</v>
      </c>
      <c r="G136" s="3611">
        <f>COGS!Q48</f>
        <v>31899.674420851203</v>
      </c>
      <c r="H136" s="3611">
        <f>COGS!R48</f>
        <v>29966.360819587491</v>
      </c>
      <c r="I136" s="3611">
        <f>COGS!S48</f>
        <v>31787.815596068234</v>
      </c>
      <c r="J136" s="3611">
        <f>COGS!T48</f>
        <v>31603.577358102946</v>
      </c>
      <c r="K136" s="4582">
        <f t="shared" si="19"/>
        <v>-2.6653164511077567E-3</v>
      </c>
    </row>
    <row r="137" spans="2:11">
      <c r="B137" s="815" t="s">
        <v>264</v>
      </c>
      <c r="D137" s="3611">
        <f>COGS!N53</f>
        <v>119437.92611032519</v>
      </c>
      <c r="E137" s="3611">
        <f>COGS!O53</f>
        <v>507133.95585932524</v>
      </c>
      <c r="F137" s="3611">
        <f>COGS!P53</f>
        <v>467973.28016279411</v>
      </c>
      <c r="G137" s="3611">
        <f>COGS!Q53</f>
        <v>465087.35664351814</v>
      </c>
      <c r="H137" s="3611">
        <f>COGS!R53</f>
        <v>451020.79712935031</v>
      </c>
      <c r="I137" s="3611">
        <f>COGS!S53</f>
        <v>429838.58515082969</v>
      </c>
      <c r="J137" s="3611">
        <f>COGS!T53</f>
        <v>420072.86230212433</v>
      </c>
      <c r="K137" s="4582">
        <f t="shared" si="19"/>
        <v>-3.6968734274229392E-2</v>
      </c>
    </row>
    <row r="138" spans="2:11" s="1513" customFormat="1">
      <c r="B138" s="1513" t="s">
        <v>3456</v>
      </c>
      <c r="D138" s="4595">
        <f>COGS!N54</f>
        <v>0.94702908438586408</v>
      </c>
      <c r="E138" s="4595">
        <f>COGS!O54</f>
        <v>0.92351600773563447</v>
      </c>
      <c r="F138" s="4595">
        <f>COGS!P54</f>
        <v>0.95228406586052283</v>
      </c>
      <c r="G138" s="4595">
        <f>COGS!Q54</f>
        <v>0.95167726203617842</v>
      </c>
      <c r="H138" s="4595">
        <f>COGS!R54</f>
        <v>0.95082405684750793</v>
      </c>
      <c r="I138" s="4595">
        <f>COGS!S54</f>
        <v>0.94998257698002075</v>
      </c>
      <c r="J138" s="4595">
        <f>COGS!T54</f>
        <v>0.94959668078774317</v>
      </c>
      <c r="K138" s="4582">
        <f t="shared" si="19"/>
        <v>5.5853833446823228E-3</v>
      </c>
    </row>
    <row r="139" spans="2:11">
      <c r="B139" s="3609" t="s">
        <v>10845</v>
      </c>
      <c r="C139" s="1558" t="s">
        <v>3546</v>
      </c>
      <c r="D139" s="4589">
        <f>COGS!N55</f>
        <v>0.88553510860489926</v>
      </c>
      <c r="E139" s="4589">
        <f>COGS!O55</f>
        <v>0.88982806374117207</v>
      </c>
      <c r="F139" s="4589">
        <f>COGS!P55</f>
        <v>0.88637290421821935</v>
      </c>
      <c r="G139" s="4589">
        <f>COGS!Q55</f>
        <v>0.86491935203848336</v>
      </c>
      <c r="H139" s="4589">
        <f>COGS!R55</f>
        <v>0.84181547189605499</v>
      </c>
      <c r="I139" s="4589">
        <f>COGS!S55</f>
        <v>0.79172226173763316</v>
      </c>
      <c r="J139" s="4589">
        <f>COGS!T55</f>
        <v>0.77824533184594669</v>
      </c>
      <c r="K139" s="4582">
        <f t="shared" si="19"/>
        <v>-2.6441427683113351E-2</v>
      </c>
    </row>
    <row r="140" spans="2:11">
      <c r="B140" s="3609" t="s">
        <v>10846</v>
      </c>
      <c r="C140" s="1558" t="s">
        <v>3548</v>
      </c>
      <c r="D140" s="3611">
        <f>COGS!N59</f>
        <v>134876.55650208108</v>
      </c>
      <c r="E140" s="3611">
        <f>COGS!O59</f>
        <v>569923.53525819723</v>
      </c>
      <c r="F140" s="3611">
        <f>COGS!P59</f>
        <v>527964.33412587945</v>
      </c>
      <c r="G140" s="3611">
        <f>COGS!Q59</f>
        <v>537723.37911896408</v>
      </c>
      <c r="H140" s="3611">
        <f>COGS!R59</f>
        <v>535771.57012034708</v>
      </c>
      <c r="I140" s="3611">
        <f>COGS!S59</f>
        <v>542915.87583686365</v>
      </c>
      <c r="J140" s="3611">
        <f>COGS!T59</f>
        <v>539769.20273423183</v>
      </c>
      <c r="K140" s="4582">
        <f t="shared" si="19"/>
        <v>-1.0813223662593801E-2</v>
      </c>
    </row>
    <row r="141" spans="2:11">
      <c r="B141" s="815" t="s">
        <v>10839</v>
      </c>
      <c r="D141" s="3611">
        <f>COGS!N64</f>
        <v>0</v>
      </c>
      <c r="E141" s="3611">
        <f>COGS!O64</f>
        <v>928.93871300000001</v>
      </c>
      <c r="F141" s="3611">
        <f>COGS!P64</f>
        <v>0</v>
      </c>
      <c r="G141" s="3611">
        <f>COGS!Q64</f>
        <v>0</v>
      </c>
      <c r="H141" s="3611">
        <f>COGS!R64</f>
        <v>0</v>
      </c>
      <c r="I141" s="3611">
        <f>COGS!S64</f>
        <v>0</v>
      </c>
      <c r="J141" s="3611">
        <f>COGS!T64</f>
        <v>0</v>
      </c>
      <c r="K141" s="4582">
        <f t="shared" si="19"/>
        <v>-0.99999940914518248</v>
      </c>
    </row>
    <row r="142" spans="2:11" s="1513" customFormat="1">
      <c r="B142" s="1513" t="s">
        <v>3456</v>
      </c>
      <c r="D142" s="4598" t="str">
        <f>COGS!N65</f>
        <v>n.a</v>
      </c>
      <c r="E142" s="4595">
        <f>COGS!O65</f>
        <v>0.50906953230980634</v>
      </c>
      <c r="F142" s="4595" t="str">
        <f>COGS!P65</f>
        <v>n.a</v>
      </c>
      <c r="G142" s="4595" t="str">
        <f>COGS!Q65</f>
        <v>n.a</v>
      </c>
      <c r="H142" s="4595" t="str">
        <f>COGS!R65</f>
        <v>n.a</v>
      </c>
      <c r="I142" s="4595" t="str">
        <f>COGS!S65</f>
        <v>n.a</v>
      </c>
      <c r="J142" s="4595" t="str">
        <f>COGS!T65</f>
        <v>n.a</v>
      </c>
      <c r="K142" s="4582" t="str">
        <f t="shared" si="19"/>
        <v>n.a</v>
      </c>
    </row>
    <row r="143" spans="2:11">
      <c r="B143" s="3609" t="s">
        <v>10845</v>
      </c>
      <c r="C143" s="1558" t="s">
        <v>3546</v>
      </c>
      <c r="D143" s="4559"/>
      <c r="E143" s="4559"/>
      <c r="F143" s="4589">
        <f>COGS!P66</f>
        <v>0.88637290421821935</v>
      </c>
      <c r="G143" s="4589">
        <f>COGS!Q66</f>
        <v>0.86491935203848336</v>
      </c>
      <c r="H143" s="4589">
        <f>COGS!R66</f>
        <v>0.84181547189605499</v>
      </c>
      <c r="I143" s="4589">
        <f>COGS!S66</f>
        <v>0.79172226173763316</v>
      </c>
      <c r="J143" s="4589">
        <f>COGS!T66</f>
        <v>0.77824533184594669</v>
      </c>
      <c r="K143" s="4582" t="str">
        <f t="shared" si="19"/>
        <v>n.a</v>
      </c>
    </row>
    <row r="144" spans="2:11">
      <c r="B144" s="4584" t="s">
        <v>10846</v>
      </c>
      <c r="C144" s="4585" t="s">
        <v>3548</v>
      </c>
      <c r="D144" s="4599"/>
      <c r="E144" s="4599"/>
      <c r="F144" s="4586">
        <f>COGS!P70</f>
        <v>0</v>
      </c>
      <c r="G144" s="4586">
        <f>COGS!Q70</f>
        <v>0</v>
      </c>
      <c r="H144" s="4586">
        <f>COGS!R70</f>
        <v>0</v>
      </c>
      <c r="I144" s="4586">
        <f>COGS!S70</f>
        <v>0</v>
      </c>
      <c r="J144" s="4586">
        <f>COGS!T70</f>
        <v>0</v>
      </c>
      <c r="K144" s="4587" t="str">
        <f t="shared" si="19"/>
        <v>n.a</v>
      </c>
    </row>
    <row r="146" spans="2:11" ht="27">
      <c r="B146" s="4565"/>
      <c r="C146" s="4569"/>
      <c r="D146" s="4556" t="s">
        <v>5173</v>
      </c>
      <c r="E146" s="4556" t="s">
        <v>5360</v>
      </c>
      <c r="F146" s="4556" t="s">
        <v>1326</v>
      </c>
      <c r="G146" s="4556" t="s">
        <v>1327</v>
      </c>
      <c r="H146" s="4556" t="s">
        <v>1328</v>
      </c>
      <c r="I146" s="4556" t="s">
        <v>1329</v>
      </c>
      <c r="J146" s="4556" t="s">
        <v>10800</v>
      </c>
      <c r="K146" s="4570" t="s">
        <v>10820</v>
      </c>
    </row>
    <row r="147" spans="2:11">
      <c r="B147" s="815" t="s">
        <v>268</v>
      </c>
      <c r="D147" s="3611">
        <f>COGS!N75/100</f>
        <v>194.01316047427721</v>
      </c>
      <c r="E147" s="3611">
        <f>COGS!O75/100</f>
        <v>760.96416830427722</v>
      </c>
      <c r="F147" s="3611">
        <f>COGS!P75/100</f>
        <v>944.81252220014471</v>
      </c>
      <c r="G147" s="3611">
        <f>COGS!Q75/100</f>
        <v>919.25303012242182</v>
      </c>
      <c r="H147" s="3611">
        <f>COGS!R75/100</f>
        <v>793.2717093380212</v>
      </c>
      <c r="I147" s="3611">
        <f>COGS!S75/100</f>
        <v>680.77833658893371</v>
      </c>
      <c r="J147" s="3611">
        <f>COGS!T75/100</f>
        <v>635.67633411685767</v>
      </c>
      <c r="K147" s="4600">
        <f t="shared" ref="K147:K160" si="20">IFERROR(RATE(2026-2021,,-E147,J147),"n.a")</f>
        <v>-3.5339785825036552E-2</v>
      </c>
    </row>
    <row r="148" spans="2:11" s="1513" customFormat="1">
      <c r="B148" s="1513" t="s">
        <v>3456</v>
      </c>
      <c r="D148" s="4595">
        <f>COGS!N76</f>
        <v>0.5612857933279215</v>
      </c>
      <c r="E148" s="4595">
        <f>COGS!O76</f>
        <v>0.52350226031369518</v>
      </c>
      <c r="F148" s="4595">
        <f>COGS!P76</f>
        <v>0.66587149600384588</v>
      </c>
      <c r="G148" s="4595">
        <f>COGS!Q76</f>
        <v>0.66699624135516733</v>
      </c>
      <c r="H148" s="4595">
        <f>COGS!R76</f>
        <v>0.66557260860603618</v>
      </c>
      <c r="I148" s="4595">
        <f>COGS!S76</f>
        <v>0.66221858873078887</v>
      </c>
      <c r="J148" s="4595">
        <f>COGS!T76</f>
        <v>0.66112780173741759</v>
      </c>
      <c r="K148" s="4582">
        <f t="shared" si="20"/>
        <v>4.7787883154434149E-2</v>
      </c>
    </row>
    <row r="149" spans="2:11">
      <c r="B149" s="3609" t="s">
        <v>10845</v>
      </c>
      <c r="C149" s="110" t="s">
        <v>3546</v>
      </c>
      <c r="D149" s="3611">
        <f>COGS!N77</f>
        <v>74.581176582112818</v>
      </c>
      <c r="E149" s="3611">
        <f>COGS!O77</f>
        <v>79.905192549894423</v>
      </c>
      <c r="F149" s="3611">
        <f>COGS!P77</f>
        <v>74.473741868889192</v>
      </c>
      <c r="G149" s="3611">
        <f>COGS!Q77</f>
        <v>68.688216962210277</v>
      </c>
      <c r="H149" s="3611">
        <f>COGS!R77</f>
        <v>59.824073971173739</v>
      </c>
      <c r="I149" s="3611">
        <f>COGS!S77</f>
        <v>51.058711167115867</v>
      </c>
      <c r="J149" s="3611">
        <f>COGS!T77</f>
        <v>47.953974014386993</v>
      </c>
      <c r="K149" s="4582">
        <f t="shared" si="20"/>
        <v>-9.7078654150222488E-2</v>
      </c>
    </row>
    <row r="150" spans="2:11">
      <c r="B150" s="3609" t="s">
        <v>10846</v>
      </c>
      <c r="C150" s="110" t="s">
        <v>3548</v>
      </c>
      <c r="D150" s="3611">
        <f>COGS!N81</f>
        <v>260.13689963803597</v>
      </c>
      <c r="E150" s="3611">
        <f>COGS!O81</f>
        <v>952.33381463803596</v>
      </c>
      <c r="F150" s="3611">
        <f>COGS!P81</f>
        <v>1268.6518744599734</v>
      </c>
      <c r="G150" s="3611">
        <f>COGS!Q81</f>
        <v>1338.297994586409</v>
      </c>
      <c r="H150" s="3611">
        <f>COGS!R81</f>
        <v>1326.0075027993907</v>
      </c>
      <c r="I150" s="3611">
        <f>COGS!S81</f>
        <v>1333.3245611326477</v>
      </c>
      <c r="J150" s="3611">
        <f>COGS!T81</f>
        <v>1325.5967772892902</v>
      </c>
      <c r="K150" s="4582">
        <f t="shared" si="20"/>
        <v>6.837679561890625E-2</v>
      </c>
    </row>
    <row r="151" spans="2:11">
      <c r="B151" s="815" t="s">
        <v>266</v>
      </c>
      <c r="D151" s="3611">
        <f>COGS!N86/100</f>
        <v>10.84815711688772</v>
      </c>
      <c r="E151" s="3611">
        <f>COGS!O86/100</f>
        <v>46.86087947688771</v>
      </c>
      <c r="F151" s="3611">
        <f>COGS!P86/100</f>
        <v>49.649923250574396</v>
      </c>
      <c r="G151" s="3611">
        <f>COGS!Q86/100</f>
        <v>58.291797564980541</v>
      </c>
      <c r="H151" s="3611">
        <f>COGS!R86/100</f>
        <v>57.103701715859771</v>
      </c>
      <c r="I151" s="3611">
        <f>COGS!S86/100</f>
        <v>56.468221654053174</v>
      </c>
      <c r="J151" s="3611">
        <f>COGS!T86/100</f>
        <v>57.1359681589527</v>
      </c>
      <c r="K151" s="4582">
        <f t="shared" si="20"/>
        <v>4.0446685776928545E-2</v>
      </c>
    </row>
    <row r="152" spans="2:11" s="1513" customFormat="1">
      <c r="B152" s="1513" t="s">
        <v>3456</v>
      </c>
      <c r="D152" s="4595">
        <f>COGS!N87</f>
        <v>0.6534369990905694</v>
      </c>
      <c r="E152" s="4595">
        <f>COGS!O87</f>
        <v>0.58539706422852988</v>
      </c>
      <c r="F152" s="4595">
        <f>COGS!P87</f>
        <v>0.53615034058833644</v>
      </c>
      <c r="G152" s="4595">
        <f>COGS!Q87</f>
        <v>0.53652153043864381</v>
      </c>
      <c r="H152" s="4595">
        <f>COGS!R87</f>
        <v>0.53658539776028713</v>
      </c>
      <c r="I152" s="4595">
        <f>COGS!S87</f>
        <v>0.53658446133200466</v>
      </c>
      <c r="J152" s="4595">
        <f>COGS!T87</f>
        <v>0.53656603988915441</v>
      </c>
      <c r="K152" s="4582">
        <f t="shared" si="20"/>
        <v>-1.7269288725188122E-2</v>
      </c>
    </row>
    <row r="153" spans="2:11">
      <c r="B153" s="3609" t="s">
        <v>10845</v>
      </c>
      <c r="C153" s="110" t="s">
        <v>3546</v>
      </c>
      <c r="D153" s="3611">
        <f>COGS!N88</f>
        <v>38.630269187395228</v>
      </c>
      <c r="E153" s="3611">
        <f>COGS!O88</f>
        <v>35.779976764593897</v>
      </c>
      <c r="F153" s="3611">
        <f>COGS!P88</f>
        <v>36.153024214819432</v>
      </c>
      <c r="G153" s="3611">
        <f>COGS!Q88</f>
        <v>36.591103701317429</v>
      </c>
      <c r="H153" s="3611">
        <f>COGS!R88</f>
        <v>37.125498168846981</v>
      </c>
      <c r="I153" s="3611">
        <f>COGS!S88</f>
        <v>36.977681512071371</v>
      </c>
      <c r="J153" s="3611">
        <f>COGS!T88</f>
        <v>37.63306558498158</v>
      </c>
      <c r="K153" s="4582">
        <f t="shared" si="20"/>
        <v>1.0150094091792707E-2</v>
      </c>
    </row>
    <row r="154" spans="2:11">
      <c r="B154" s="3609" t="s">
        <v>10846</v>
      </c>
      <c r="C154" s="110" t="s">
        <v>3548</v>
      </c>
      <c r="D154" s="3611">
        <f>COGS!N92</f>
        <v>28.082012745661611</v>
      </c>
      <c r="E154" s="3611">
        <f>COGS!O92</f>
        <v>130.96956374566159</v>
      </c>
      <c r="F154" s="3611">
        <f>COGS!P92</f>
        <v>137.33269713636423</v>
      </c>
      <c r="G154" s="3611">
        <f>COGS!Q92</f>
        <v>159.30592867818251</v>
      </c>
      <c r="H154" s="3611">
        <f>COGS!R92</f>
        <v>153.81262079272796</v>
      </c>
      <c r="I154" s="3611">
        <f>COGS!S92</f>
        <v>152.7089296705071</v>
      </c>
      <c r="J154" s="3611">
        <f>COGS!T92</f>
        <v>151.82384764783617</v>
      </c>
      <c r="K154" s="4582">
        <f t="shared" si="20"/>
        <v>2.9992168355432582E-2</v>
      </c>
    </row>
    <row r="155" spans="2:11">
      <c r="B155" s="815" t="s">
        <v>5586</v>
      </c>
      <c r="D155" s="3611">
        <f>COGS!N97/100</f>
        <v>5.4533739273746695</v>
      </c>
      <c r="E155" s="3611">
        <f>COGS!O97/100</f>
        <v>17.680893577374668</v>
      </c>
      <c r="F155" s="3611">
        <f>COGS!P97/100</f>
        <v>18.279641997246753</v>
      </c>
      <c r="G155" s="3611">
        <f>COGS!Q97/100</f>
        <v>16.845354586763193</v>
      </c>
      <c r="H155" s="3611">
        <f>COGS!R97/100</f>
        <v>20.762062515391371</v>
      </c>
      <c r="I155" s="3611">
        <f>COGS!S97/100</f>
        <v>21.063463269415013</v>
      </c>
      <c r="J155" s="3611">
        <f>COGS!T97/100</f>
        <v>21.041209876788443</v>
      </c>
      <c r="K155" s="4582">
        <f t="shared" si="20"/>
        <v>3.5412251919424022E-2</v>
      </c>
    </row>
    <row r="156" spans="2:11" s="1513" customFormat="1">
      <c r="B156" s="1513" t="s">
        <v>3456</v>
      </c>
      <c r="D156" s="4595">
        <f>COGS!N98</f>
        <v>0.10902154229884149</v>
      </c>
      <c r="E156" s="4595">
        <f>COGS!O98</f>
        <v>0.10902154229884148</v>
      </c>
      <c r="F156" s="4595">
        <f>COGS!P98</f>
        <v>0.10902154229884148</v>
      </c>
      <c r="G156" s="4595">
        <f>COGS!Q98</f>
        <v>0.10902154229884148</v>
      </c>
      <c r="H156" s="4595">
        <f>COGS!R98</f>
        <v>0.10902154229884148</v>
      </c>
      <c r="I156" s="4595">
        <f>COGS!S98</f>
        <v>0.10902154229884148</v>
      </c>
      <c r="J156" s="4595">
        <f>COGS!T98</f>
        <v>0.10902154229884148</v>
      </c>
      <c r="K156" s="4582">
        <f t="shared" si="20"/>
        <v>4.4233425637973612E-17</v>
      </c>
    </row>
    <row r="157" spans="2:11">
      <c r="B157" s="815" t="s">
        <v>244</v>
      </c>
      <c r="D157" s="3611">
        <f>COGS!N99/100</f>
        <v>0</v>
      </c>
      <c r="E157" s="3611">
        <f>COGS!O99/100</f>
        <v>8.2458790000000004</v>
      </c>
      <c r="F157" s="3611">
        <f>COGS!P99/100</f>
        <v>0</v>
      </c>
      <c r="G157" s="3611">
        <f>COGS!Q99/100</f>
        <v>0</v>
      </c>
      <c r="H157" s="3611">
        <f>COGS!R99/100</f>
        <v>0</v>
      </c>
      <c r="I157" s="3611">
        <f>COGS!S99/100</f>
        <v>0</v>
      </c>
      <c r="J157" s="3611">
        <f>COGS!T99/100</f>
        <v>0</v>
      </c>
      <c r="K157" s="4582">
        <f t="shared" si="20"/>
        <v>-0.99999940914518248</v>
      </c>
    </row>
    <row r="158" spans="2:11" s="1513" customFormat="1">
      <c r="B158" s="1513" t="s">
        <v>3456</v>
      </c>
      <c r="D158" s="4595">
        <f>COGS!N100</f>
        <v>0</v>
      </c>
      <c r="E158" s="4595">
        <f>COGS!O100</f>
        <v>9.8831517775702198E-3</v>
      </c>
      <c r="F158" s="4595">
        <f>COGS!P100</f>
        <v>0</v>
      </c>
      <c r="G158" s="4595">
        <f>COGS!Q100</f>
        <v>0</v>
      </c>
      <c r="H158" s="4595">
        <f>COGS!R100</f>
        <v>0</v>
      </c>
      <c r="I158" s="4595">
        <f>COGS!S100</f>
        <v>0</v>
      </c>
      <c r="J158" s="4595">
        <f>COGS!T100</f>
        <v>0</v>
      </c>
      <c r="K158" s="4582">
        <f t="shared" si="20"/>
        <v>-0.99999940914518248</v>
      </c>
    </row>
    <row r="159" spans="2:11">
      <c r="B159" s="815" t="s">
        <v>242</v>
      </c>
      <c r="D159" s="3611">
        <f>COGS!N101/100</f>
        <v>0</v>
      </c>
      <c r="E159" s="3611">
        <f>COGS!O101/100</f>
        <v>0.12040129000000001</v>
      </c>
      <c r="F159" s="3611">
        <f>COGS!P101/100</f>
        <v>0</v>
      </c>
      <c r="G159" s="3611">
        <f>COGS!Q101/100</f>
        <v>0</v>
      </c>
      <c r="H159" s="3611">
        <f>COGS!R101/100</f>
        <v>0</v>
      </c>
      <c r="I159" s="3611">
        <f>COGS!S101/100</f>
        <v>0</v>
      </c>
      <c r="J159" s="3611">
        <f>COGS!T101/100</f>
        <v>0</v>
      </c>
      <c r="K159" s="4582">
        <f t="shared" si="20"/>
        <v>-0.99999940914518248</v>
      </c>
    </row>
    <row r="160" spans="2:11" s="1513" customFormat="1">
      <c r="B160" s="4591" t="s">
        <v>3456</v>
      </c>
      <c r="C160" s="4591"/>
      <c r="D160" s="4597">
        <f>COGS!N102</f>
        <v>0</v>
      </c>
      <c r="E160" s="4597">
        <f>COGS!O102</f>
        <v>2.5561533708159576E-4</v>
      </c>
      <c r="F160" s="4597">
        <f>COGS!P102</f>
        <v>0</v>
      </c>
      <c r="G160" s="4597">
        <f>COGS!Q102</f>
        <v>0</v>
      </c>
      <c r="H160" s="4597">
        <f>COGS!R102</f>
        <v>0</v>
      </c>
      <c r="I160" s="4597">
        <f>COGS!S102</f>
        <v>0</v>
      </c>
      <c r="J160" s="4597">
        <f>COGS!T102</f>
        <v>0</v>
      </c>
      <c r="K160" s="4587">
        <f t="shared" si="20"/>
        <v>-0.99999940914518248</v>
      </c>
    </row>
    <row r="161" spans="2:13">
      <c r="D161" s="4601"/>
      <c r="E161" s="4601"/>
      <c r="F161" s="4601"/>
      <c r="G161" s="4601"/>
      <c r="H161" s="4601"/>
      <c r="I161" s="4601"/>
      <c r="J161" s="4601"/>
    </row>
    <row r="162" spans="2:13" ht="27">
      <c r="B162" s="4565"/>
      <c r="C162" s="4569"/>
      <c r="D162" s="4556" t="s">
        <v>5173</v>
      </c>
      <c r="E162" s="4556" t="s">
        <v>5360</v>
      </c>
      <c r="F162" s="4556" t="s">
        <v>1326</v>
      </c>
      <c r="G162" s="4556" t="s">
        <v>1327</v>
      </c>
      <c r="H162" s="4556" t="s">
        <v>1328</v>
      </c>
      <c r="I162" s="4556" t="s">
        <v>1329</v>
      </c>
      <c r="J162" s="4556" t="s">
        <v>10800</v>
      </c>
      <c r="K162" s="4570" t="s">
        <v>10820</v>
      </c>
    </row>
    <row r="163" spans="2:13">
      <c r="B163" s="815" t="s">
        <v>260</v>
      </c>
      <c r="D163" s="3611">
        <f>COGS!N103/100</f>
        <v>0</v>
      </c>
      <c r="E163" s="3611">
        <f>COGS!O103/100</f>
        <v>0</v>
      </c>
      <c r="F163" s="3611">
        <f>COGS!P103/100</f>
        <v>0</v>
      </c>
      <c r="G163" s="3611">
        <f>COGS!Q103/100</f>
        <v>0</v>
      </c>
      <c r="H163" s="3611">
        <f>COGS!R103/100</f>
        <v>0</v>
      </c>
      <c r="I163" s="3611">
        <f>COGS!S103/100</f>
        <v>0</v>
      </c>
      <c r="J163" s="3611">
        <f>COGS!T103/100</f>
        <v>0</v>
      </c>
      <c r="K163" s="4582" t="str">
        <f t="shared" ref="K163:K171" si="21">IFERROR(RATE(2026-2021,,-E163,J163),"n.a")</f>
        <v>n.a</v>
      </c>
    </row>
    <row r="164" spans="2:13" s="1513" customFormat="1">
      <c r="B164" s="1513" t="s">
        <v>3456</v>
      </c>
      <c r="D164" s="4595">
        <f>COGS!N104</f>
        <v>0</v>
      </c>
      <c r="E164" s="4595">
        <f>COGS!O104</f>
        <v>0</v>
      </c>
      <c r="F164" s="4595">
        <f>COGS!P104</f>
        <v>0</v>
      </c>
      <c r="G164" s="4595">
        <f>COGS!Q104</f>
        <v>0</v>
      </c>
      <c r="H164" s="4595">
        <f>COGS!R104</f>
        <v>0</v>
      </c>
      <c r="I164" s="4595">
        <f>COGS!S104</f>
        <v>0</v>
      </c>
      <c r="J164" s="4595">
        <f>COGS!T104</f>
        <v>0</v>
      </c>
      <c r="K164" s="4582" t="str">
        <f t="shared" si="21"/>
        <v>n.a</v>
      </c>
    </row>
    <row r="165" spans="2:13">
      <c r="B165" s="815" t="s">
        <v>327</v>
      </c>
      <c r="D165" s="3611">
        <f>COGS!N105/100</f>
        <v>64.851071536926867</v>
      </c>
      <c r="E165" s="3611">
        <f>COGS!O105/100</f>
        <v>240.23026190692687</v>
      </c>
      <c r="F165" s="3611">
        <f>COGS!P105/100</f>
        <v>235.17230943287396</v>
      </c>
      <c r="G165" s="3611">
        <f>COGS!Q105/100</f>
        <v>240.64992533581352</v>
      </c>
      <c r="H165" s="3611">
        <f>COGS!R105/100</f>
        <v>241.7454485164015</v>
      </c>
      <c r="I165" s="3611">
        <f>COGS!S105/100</f>
        <v>243.26493423193398</v>
      </c>
      <c r="J165" s="3611">
        <f>COGS!T105/100</f>
        <v>241.85500083446021</v>
      </c>
      <c r="K165" s="4582">
        <f t="shared" si="21"/>
        <v>1.3490067874562493E-3</v>
      </c>
    </row>
    <row r="166" spans="2:13" s="1513" customFormat="1">
      <c r="B166" s="1513" t="s">
        <v>3456</v>
      </c>
      <c r="D166" s="4595">
        <f>COGS!N106</f>
        <v>0.94230752442504107</v>
      </c>
      <c r="E166" s="4595">
        <f>COGS!O106</f>
        <v>0.94230752442504107</v>
      </c>
      <c r="F166" s="4595">
        <f>COGS!P106</f>
        <v>0.94230752442504107</v>
      </c>
      <c r="G166" s="4595">
        <f>COGS!Q106</f>
        <v>0.94230752442504095</v>
      </c>
      <c r="H166" s="4595">
        <f>COGS!R106</f>
        <v>0.94230752442504118</v>
      </c>
      <c r="I166" s="4595">
        <f>COGS!S106</f>
        <v>0.94230752442504107</v>
      </c>
      <c r="J166" s="4595">
        <f>COGS!T106</f>
        <v>0.94230752442504095</v>
      </c>
      <c r="K166" s="4582">
        <f t="shared" si="21"/>
        <v>9.0356759004717807E-17</v>
      </c>
    </row>
    <row r="167" spans="2:13">
      <c r="B167" s="815" t="s">
        <v>252</v>
      </c>
      <c r="D167" s="3611">
        <f>COGS!N107/100</f>
        <v>0</v>
      </c>
      <c r="E167" s="3611">
        <f>COGS!O107/100</f>
        <v>0</v>
      </c>
      <c r="F167" s="3611">
        <f>COGS!P107/100</f>
        <v>0</v>
      </c>
      <c r="G167" s="3611">
        <f>COGS!Q107/100</f>
        <v>0</v>
      </c>
      <c r="H167" s="3611">
        <f>COGS!R107/100</f>
        <v>0</v>
      </c>
      <c r="I167" s="3611">
        <f>COGS!S107/100</f>
        <v>0</v>
      </c>
      <c r="J167" s="3611">
        <f>COGS!T107/100</f>
        <v>0</v>
      </c>
      <c r="K167" s="4582" t="str">
        <f t="shared" si="21"/>
        <v>n.a</v>
      </c>
    </row>
    <row r="168" spans="2:13" s="1513" customFormat="1">
      <c r="B168" s="1513" t="s">
        <v>3456</v>
      </c>
      <c r="D168" s="4595">
        <f>COGS!N108</f>
        <v>0</v>
      </c>
      <c r="E168" s="4595">
        <f>COGS!O108</f>
        <v>0</v>
      </c>
      <c r="F168" s="4595">
        <f>COGS!P108</f>
        <v>0</v>
      </c>
      <c r="G168" s="4595">
        <f>COGS!Q108</f>
        <v>0</v>
      </c>
      <c r="H168" s="4595">
        <f>COGS!R108</f>
        <v>0</v>
      </c>
      <c r="I168" s="4595">
        <f>COGS!S108</f>
        <v>0</v>
      </c>
      <c r="J168" s="4595">
        <f>COGS!T108</f>
        <v>0</v>
      </c>
      <c r="K168" s="4582" t="str">
        <f t="shared" si="21"/>
        <v>n.a</v>
      </c>
    </row>
    <row r="169" spans="2:13">
      <c r="B169" s="815" t="s">
        <v>246</v>
      </c>
      <c r="D169" s="3611">
        <f>COGS!N109/100</f>
        <v>429.45323762179754</v>
      </c>
      <c r="E169" s="3611">
        <f>COGS!O109/100</f>
        <v>1016.5406968817974</v>
      </c>
      <c r="F169" s="3611">
        <f>COGS!P109/100</f>
        <v>1559.1960956908304</v>
      </c>
      <c r="G169" s="3611">
        <f>COGS!Q109/100</f>
        <v>1529.4945428449894</v>
      </c>
      <c r="H169" s="3611">
        <f>COGS!R109/100</f>
        <v>1451.0742557872859</v>
      </c>
      <c r="I169" s="3611">
        <f>COGS!S109/100</f>
        <v>1446.8697882205588</v>
      </c>
      <c r="J169" s="3611">
        <f>COGS!T109/100</f>
        <v>1477.5998101491105</v>
      </c>
      <c r="K169" s="4582">
        <f t="shared" si="21"/>
        <v>7.7671533742721885E-2</v>
      </c>
    </row>
    <row r="170" spans="2:13" s="1513" customFormat="1">
      <c r="B170" s="1513" t="s">
        <v>3456</v>
      </c>
      <c r="D170" s="4595">
        <f>COGS!N110</f>
        <v>0.86299087859231771</v>
      </c>
      <c r="E170" s="4595">
        <f>COGS!O110</f>
        <v>0.86299087859231782</v>
      </c>
      <c r="F170" s="4595">
        <f>COGS!P110</f>
        <v>0.87642854879879784</v>
      </c>
      <c r="G170" s="4595">
        <f>COGS!Q110</f>
        <v>0.87642854879879784</v>
      </c>
      <c r="H170" s="4595">
        <f>COGS!R110</f>
        <v>0.87642854879879795</v>
      </c>
      <c r="I170" s="4595">
        <f>COGS!S110</f>
        <v>0.87642854879879784</v>
      </c>
      <c r="J170" s="4595">
        <f>COGS!T110</f>
        <v>0.87642854879879806</v>
      </c>
      <c r="K170" s="4582">
        <f t="shared" si="21"/>
        <v>3.0949917595213673E-3</v>
      </c>
    </row>
    <row r="171" spans="2:13">
      <c r="B171" s="4602" t="s">
        <v>5870</v>
      </c>
      <c r="C171" s="4602"/>
      <c r="D171" s="4586">
        <f>COGS!N111/100</f>
        <v>76.772299902749495</v>
      </c>
      <c r="E171" s="4586">
        <f>COGS!O111/100</f>
        <v>261.15257527274946</v>
      </c>
      <c r="F171" s="4586">
        <f>COGS!P111/100</f>
        <v>298.26423334642419</v>
      </c>
      <c r="G171" s="4586">
        <f>COGS!Q111/100</f>
        <v>303.88105816956187</v>
      </c>
      <c r="H171" s="4586">
        <f>COGS!R111/100</f>
        <v>303.35083166232334</v>
      </c>
      <c r="I171" s="4586">
        <f>COGS!S111/100</f>
        <v>305.28788070818473</v>
      </c>
      <c r="J171" s="4586">
        <f>COGS!T111/100</f>
        <v>303.30778964403805</v>
      </c>
      <c r="K171" s="4587">
        <f t="shared" si="21"/>
        <v>3.0381020080379323E-2</v>
      </c>
    </row>
    <row r="173" spans="2:13">
      <c r="B173" s="817" t="s">
        <v>10847</v>
      </c>
      <c r="C173" s="4553"/>
      <c r="D173" s="4553"/>
      <c r="E173" s="4553"/>
      <c r="F173" s="4553"/>
      <c r="G173" s="4553"/>
      <c r="H173" s="4553"/>
      <c r="I173" s="4553"/>
      <c r="J173" s="4553"/>
      <c r="K173" s="4554"/>
      <c r="L173" s="4553"/>
      <c r="M173" s="4553"/>
    </row>
    <row r="174" spans="2:13" s="709" customFormat="1">
      <c r="K174" s="4575"/>
    </row>
    <row r="175" spans="2:13" ht="27">
      <c r="B175" s="4565"/>
      <c r="C175" s="4569"/>
      <c r="D175" s="4556" t="s">
        <v>5173</v>
      </c>
      <c r="E175" s="4556" t="s">
        <v>5360</v>
      </c>
      <c r="F175" s="4556" t="s">
        <v>1326</v>
      </c>
      <c r="G175" s="4556" t="s">
        <v>1327</v>
      </c>
      <c r="H175" s="4556" t="s">
        <v>1328</v>
      </c>
      <c r="I175" s="4556" t="s">
        <v>1329</v>
      </c>
      <c r="J175" s="4556" t="s">
        <v>10800</v>
      </c>
      <c r="K175" s="4570" t="s">
        <v>10820</v>
      </c>
    </row>
    <row r="176" spans="2:13">
      <c r="B176" s="709" t="s">
        <v>5559</v>
      </c>
      <c r="D176" s="3610">
        <f>COGS!N122/100</f>
        <v>182.96261051283673</v>
      </c>
      <c r="E176" s="3610">
        <f>COGS!O122/100</f>
        <v>732.66120694283677</v>
      </c>
      <c r="F176" s="3610">
        <f>COGS!P122/100</f>
        <v>760.97005643725822</v>
      </c>
      <c r="G176" s="3610">
        <f>COGS!Q122/100</f>
        <v>774.27548502405568</v>
      </c>
      <c r="H176" s="3610">
        <f>COGS!R122/100</f>
        <v>801.41146410133081</v>
      </c>
      <c r="I176" s="3610">
        <f>COGS!S122/100</f>
        <v>830.05494362921104</v>
      </c>
      <c r="J176" s="3610">
        <f>COGS!T122/100</f>
        <v>864.38733900596617</v>
      </c>
      <c r="K176" s="4582">
        <f t="shared" ref="K176:K187" si="22">IFERROR(RATE(2026-2021,,-E176,J176),"n.a")</f>
        <v>3.3620323408394243E-2</v>
      </c>
    </row>
    <row r="177" spans="2:13">
      <c r="B177" s="3609" t="s">
        <v>5875</v>
      </c>
      <c r="D177" s="3611">
        <f>COGS!N123/100</f>
        <v>170.00494405845129</v>
      </c>
      <c r="E177" s="3611">
        <f>COGS!O123/100</f>
        <v>680.77312162845135</v>
      </c>
      <c r="F177" s="3611">
        <f>COGS!P123/100</f>
        <v>688.00523741705297</v>
      </c>
      <c r="G177" s="3611">
        <f>COGS!Q123/100</f>
        <v>700.02308529349887</v>
      </c>
      <c r="H177" s="3611">
        <f>COGS!R123/100</f>
        <v>722.94251582705397</v>
      </c>
      <c r="I177" s="3611">
        <f>COGS!S123/100</f>
        <v>746.79961884934676</v>
      </c>
      <c r="J177" s="3611">
        <f>COGS!T123/100</f>
        <v>777.4184032221699</v>
      </c>
      <c r="K177" s="4582">
        <f t="shared" si="22"/>
        <v>2.6905508082796504E-2</v>
      </c>
    </row>
    <row r="178" spans="2:13">
      <c r="B178" s="3612" t="s">
        <v>4747</v>
      </c>
      <c r="D178" s="3611">
        <f>COGS!N124</f>
        <v>677</v>
      </c>
      <c r="E178" s="3611">
        <f>COGS!O124</f>
        <v>677.75</v>
      </c>
      <c r="F178" s="3611">
        <f>COGS!P124</f>
        <v>665</v>
      </c>
      <c r="G178" s="3611">
        <f>COGS!Q124</f>
        <v>664</v>
      </c>
      <c r="H178" s="3611">
        <f>COGS!R124</f>
        <v>660</v>
      </c>
      <c r="I178" s="3611">
        <f>COGS!S124</f>
        <v>660</v>
      </c>
      <c r="J178" s="3611">
        <f>COGS!T124</f>
        <v>660</v>
      </c>
      <c r="K178" s="4582">
        <f t="shared" si="22"/>
        <v>-5.2936695577537624E-3</v>
      </c>
    </row>
    <row r="179" spans="2:13">
      <c r="B179" s="3612" t="s">
        <v>10848</v>
      </c>
      <c r="D179" s="3611">
        <f>COGS!N128</f>
        <v>100.44605261946901</v>
      </c>
      <c r="E179" s="3611">
        <f>COGS!O128</f>
        <v>100.44605261946901</v>
      </c>
      <c r="F179" s="3611">
        <f>COGS!P128</f>
        <v>103.45943419805309</v>
      </c>
      <c r="G179" s="3611">
        <f>COGS!Q128</f>
        <v>105.42516344781609</v>
      </c>
      <c r="H179" s="3611">
        <f>COGS!R128</f>
        <v>109.53674482228091</v>
      </c>
      <c r="I179" s="3611">
        <f>COGS!S128</f>
        <v>113.15145740141617</v>
      </c>
      <c r="J179" s="3611">
        <f>COGS!T128</f>
        <v>117.79066715487423</v>
      </c>
      <c r="K179" s="4582">
        <f t="shared" si="22"/>
        <v>3.2370536563135578E-2</v>
      </c>
    </row>
    <row r="180" spans="2:13">
      <c r="B180" s="3609" t="s">
        <v>6028</v>
      </c>
      <c r="D180" s="3611">
        <f>COGS!N129/100</f>
        <v>12.957666454385446</v>
      </c>
      <c r="E180" s="3611">
        <f>COGS!O129/100</f>
        <v>51.888085314385442</v>
      </c>
      <c r="F180" s="3611">
        <f>COGS!P129/100</f>
        <v>72.964819020205113</v>
      </c>
      <c r="G180" s="3611">
        <f>COGS!Q129/100</f>
        <v>74.252399730556832</v>
      </c>
      <c r="H180" s="3611">
        <f>COGS!R129/100</f>
        <v>78.468948274276812</v>
      </c>
      <c r="I180" s="3611">
        <f>COGS!S129/100</f>
        <v>83.255324779864281</v>
      </c>
      <c r="J180" s="3611">
        <f>COGS!T129/100</f>
        <v>86.968935783796368</v>
      </c>
      <c r="K180" s="4582">
        <f t="shared" si="22"/>
        <v>0.10881553526245219</v>
      </c>
    </row>
    <row r="181" spans="2:13" s="1513" customFormat="1">
      <c r="B181" s="4594" t="s">
        <v>10849</v>
      </c>
      <c r="D181" s="3613">
        <f>COGS!N130</f>
        <v>7.6219350714472903E-2</v>
      </c>
      <c r="E181" s="3613">
        <f>COGS!O130</f>
        <v>7.6219350714472889E-2</v>
      </c>
      <c r="F181" s="3613">
        <f>COGS!P130</f>
        <v>0.10605270868886645</v>
      </c>
      <c r="G181" s="3613">
        <f>COGS!Q130</f>
        <v>0.10607135863158715</v>
      </c>
      <c r="H181" s="3613">
        <f>COGS!R130</f>
        <v>0.10854106178069703</v>
      </c>
      <c r="I181" s="3613">
        <f>COGS!S130</f>
        <v>0.1114828163786992</v>
      </c>
      <c r="J181" s="3613">
        <f>COGS!T130</f>
        <v>0.11186889250799287</v>
      </c>
      <c r="K181" s="4582">
        <f t="shared" si="22"/>
        <v>7.9763937908275143E-2</v>
      </c>
    </row>
    <row r="182" spans="2:13" s="709" customFormat="1">
      <c r="B182" s="1510" t="s">
        <v>1286</v>
      </c>
      <c r="D182" s="3610">
        <f>COGS!N134/100</f>
        <v>733.29544673920259</v>
      </c>
      <c r="E182" s="3610">
        <f>COGS!O134/100</f>
        <v>2863.3784299392114</v>
      </c>
      <c r="F182" s="3610">
        <f>COGS!P134/100</f>
        <v>2997.4785996807332</v>
      </c>
      <c r="G182" s="3610">
        <f>COGS!Q134/100</f>
        <v>3039.9522780368234</v>
      </c>
      <c r="H182" s="3610">
        <f>COGS!R134/100</f>
        <v>3096.9389205893244</v>
      </c>
      <c r="I182" s="3610">
        <f>COGS!S134/100</f>
        <v>3165.5897474610233</v>
      </c>
      <c r="J182" s="3610">
        <f>COGS!T134/100</f>
        <v>3244.7877940961603</v>
      </c>
      <c r="K182" s="4581">
        <f t="shared" si="22"/>
        <v>2.5324913644748023E-2</v>
      </c>
    </row>
    <row r="183" spans="2:13">
      <c r="B183" s="3609" t="s">
        <v>6029</v>
      </c>
      <c r="D183" s="3611">
        <f>COGS!N135/100</f>
        <v>354.92227420406982</v>
      </c>
      <c r="E183" s="3611">
        <f>COGS!O135/100</f>
        <v>1318.3860670140698</v>
      </c>
      <c r="F183" s="3611">
        <f>COGS!P135/100</f>
        <v>1397.6806174041942</v>
      </c>
      <c r="G183" s="3611">
        <f>COGS!Q135/100</f>
        <v>1414.3467051897271</v>
      </c>
      <c r="H183" s="3611">
        <f>COGS!R135/100</f>
        <v>1416.8725409294573</v>
      </c>
      <c r="I183" s="3611">
        <f>COGS!S135/100</f>
        <v>1430.6643575642029</v>
      </c>
      <c r="J183" s="3611">
        <f>COGS!T135/100</f>
        <v>1434.5250302775544</v>
      </c>
      <c r="K183" s="4582">
        <f t="shared" si="22"/>
        <v>1.7028457628745833E-2</v>
      </c>
    </row>
    <row r="184" spans="2:13">
      <c r="B184" s="3612" t="s">
        <v>10850</v>
      </c>
      <c r="D184" s="3611">
        <f>COGS!N136/100</f>
        <v>238.16663939837898</v>
      </c>
      <c r="E184" s="3611">
        <f>COGS!O136/100</f>
        <v>895.52320623837886</v>
      </c>
      <c r="F184" s="3611">
        <f>COGS!P136/100</f>
        <v>949.28133463312815</v>
      </c>
      <c r="G184" s="3611">
        <f>COGS!Q136/100</f>
        <v>959.51551976677229</v>
      </c>
      <c r="H184" s="3611">
        <f>COGS!R136/100</f>
        <v>959.19888249442681</v>
      </c>
      <c r="I184" s="3611">
        <f>COGS!S136/100</f>
        <v>970.11223498023264</v>
      </c>
      <c r="J184" s="3611">
        <f>COGS!T136/100</f>
        <v>976.20796513575897</v>
      </c>
      <c r="K184" s="4582">
        <f t="shared" si="22"/>
        <v>1.7403202835012312E-2</v>
      </c>
    </row>
    <row r="185" spans="2:13">
      <c r="B185" s="3612" t="s">
        <v>1384</v>
      </c>
      <c r="D185" s="3611">
        <f>COGS!N152/100</f>
        <v>70.828213574441349</v>
      </c>
      <c r="E185" s="3611">
        <f>COGS!O152/100</f>
        <v>262.3716138244414</v>
      </c>
      <c r="F185" s="3611">
        <f>COGS!P152/100</f>
        <v>271.21560080728773</v>
      </c>
      <c r="G185" s="3611">
        <f>COGS!Q152/100</f>
        <v>277.53273436646361</v>
      </c>
      <c r="H185" s="3611">
        <f>COGS!R152/100</f>
        <v>278.79616107829884</v>
      </c>
      <c r="I185" s="3611">
        <f>COGS!S152/100</f>
        <v>280.54852823517228</v>
      </c>
      <c r="J185" s="3611">
        <f>COGS!T152/100</f>
        <v>278.92250374948236</v>
      </c>
      <c r="K185" s="4582">
        <f t="shared" si="22"/>
        <v>1.2309568019477173E-2</v>
      </c>
    </row>
    <row r="186" spans="2:13">
      <c r="B186" s="3612" t="s">
        <v>10851</v>
      </c>
      <c r="D186" s="3611">
        <f>COGS!N158/100</f>
        <v>45.927421231249461</v>
      </c>
      <c r="E186" s="3611">
        <f>COGS!O158/100</f>
        <v>160.49124695124948</v>
      </c>
      <c r="F186" s="3611">
        <f>COGS!P158/100</f>
        <v>177.1836819637785</v>
      </c>
      <c r="G186" s="3611">
        <f>COGS!Q158/100</f>
        <v>177.2984510564911</v>
      </c>
      <c r="H186" s="3611">
        <f>COGS!R158/100</f>
        <v>178.87749735673137</v>
      </c>
      <c r="I186" s="3611">
        <f>COGS!S158/100</f>
        <v>180.0035943487978</v>
      </c>
      <c r="J186" s="3611">
        <f>COGS!T158/100</f>
        <v>179.39456139231294</v>
      </c>
      <c r="K186" s="4582">
        <f t="shared" si="22"/>
        <v>2.2519465317591039E-2</v>
      </c>
    </row>
    <row r="187" spans="2:13">
      <c r="B187" s="4584" t="s">
        <v>10852</v>
      </c>
      <c r="C187" s="4602"/>
      <c r="D187" s="4586">
        <f>COGS!N171/100</f>
        <v>378.37317253513282</v>
      </c>
      <c r="E187" s="4586">
        <f>COGS!O171/100</f>
        <v>1544.9923629251418</v>
      </c>
      <c r="F187" s="4586">
        <f>COGS!P171/100</f>
        <v>1599.797982276539</v>
      </c>
      <c r="G187" s="4586">
        <f>COGS!Q171/100</f>
        <v>1625.6055728470965</v>
      </c>
      <c r="H187" s="4586">
        <f>COGS!R171/100</f>
        <v>1680.0663796598674</v>
      </c>
      <c r="I187" s="4586">
        <f>COGS!S171/100</f>
        <v>1734.9253898968204</v>
      </c>
      <c r="J187" s="4586">
        <f>COGS!T171/100</f>
        <v>1810.2627638186054</v>
      </c>
      <c r="K187" s="4587">
        <f t="shared" si="22"/>
        <v>3.2198102243460425E-2</v>
      </c>
    </row>
    <row r="189" spans="2:13">
      <c r="B189" s="817" t="s">
        <v>10853</v>
      </c>
      <c r="C189" s="4553"/>
      <c r="D189" s="4553"/>
      <c r="E189" s="4553"/>
      <c r="F189" s="4553"/>
      <c r="G189" s="4553"/>
      <c r="H189" s="4553"/>
      <c r="I189" s="4553"/>
      <c r="J189" s="4553"/>
      <c r="K189" s="4554"/>
      <c r="L189" s="4553"/>
      <c r="M189" s="4553"/>
    </row>
    <row r="191" spans="2:13" ht="27">
      <c r="B191" s="4565"/>
      <c r="C191" s="4569"/>
      <c r="D191" s="4556" t="s">
        <v>5173</v>
      </c>
      <c r="E191" s="4556" t="s">
        <v>5360</v>
      </c>
      <c r="F191" s="4556" t="s">
        <v>1326</v>
      </c>
      <c r="G191" s="4556" t="s">
        <v>1327</v>
      </c>
      <c r="H191" s="4556" t="s">
        <v>1328</v>
      </c>
      <c r="I191" s="4556" t="s">
        <v>1329</v>
      </c>
      <c r="J191" s="4556" t="s">
        <v>10800</v>
      </c>
      <c r="K191" s="4570" t="s">
        <v>10820</v>
      </c>
    </row>
    <row r="192" spans="2:13" s="709" customFormat="1">
      <c r="B192" s="709" t="s">
        <v>10826</v>
      </c>
      <c r="D192" s="3610">
        <f>'SG&amp;A'!N20/100</f>
        <v>239.72648439313809</v>
      </c>
      <c r="E192" s="3610">
        <f>'SG&amp;A'!O20/100</f>
        <v>904.70758873967895</v>
      </c>
      <c r="F192" s="3610">
        <f>'SG&amp;A'!P20/100</f>
        <v>916.23135451918006</v>
      </c>
      <c r="G192" s="3610">
        <f>'SG&amp;A'!Q20/100</f>
        <v>920.17393958932519</v>
      </c>
      <c r="H192" s="3610">
        <f>'SG&amp;A'!R20/100</f>
        <v>907.30250250407039</v>
      </c>
      <c r="I192" s="3610">
        <f>'SG&amp;A'!S20/100</f>
        <v>943.58929372515024</v>
      </c>
      <c r="J192" s="3610">
        <f>'SG&amp;A'!T20/100</f>
        <v>937.49292705251503</v>
      </c>
      <c r="K192" s="4582">
        <f t="shared" ref="K192:K201" si="23">IFERROR(RATE(2026-2021,,-E192,J192),"n.a")</f>
        <v>7.1448894322221693E-3</v>
      </c>
    </row>
    <row r="193" spans="2:13" s="709" customFormat="1">
      <c r="B193" s="4603" t="s">
        <v>5875</v>
      </c>
      <c r="D193" s="3610">
        <f>'SG&amp;A'!N27/100</f>
        <v>60.831615586666679</v>
      </c>
      <c r="E193" s="3610">
        <f>'SG&amp;A'!O27/100</f>
        <v>243.32646234666672</v>
      </c>
      <c r="F193" s="3610">
        <f>'SG&amp;A'!P27/100</f>
        <v>233.16940005968121</v>
      </c>
      <c r="G193" s="3610">
        <f>'SG&amp;A'!Q27/100</f>
        <v>237.59940347027896</v>
      </c>
      <c r="H193" s="3610">
        <f>'SG&amp;A'!R27/100</f>
        <v>246.83617241720552</v>
      </c>
      <c r="I193" s="3610">
        <f>'SG&amp;A'!S27/100</f>
        <v>254.94533536844054</v>
      </c>
      <c r="J193" s="3610">
        <f>'SG&amp;A'!T27/100</f>
        <v>265.39311691714806</v>
      </c>
      <c r="K193" s="4581">
        <f t="shared" si="23"/>
        <v>1.7513224939186989E-2</v>
      </c>
    </row>
    <row r="194" spans="2:13">
      <c r="B194" s="3612" t="s">
        <v>10854</v>
      </c>
      <c r="D194" s="3611">
        <f>'SG&amp;A'!N28/100</f>
        <v>11.418236361659499</v>
      </c>
      <c r="E194" s="3611">
        <f>'SG&amp;A'!O28/100</f>
        <v>45.672945446637996</v>
      </c>
      <c r="F194" s="3611">
        <f>'SG&amp;A'!P28/100</f>
        <v>0</v>
      </c>
      <c r="G194" s="3611">
        <f>'SG&amp;A'!Q28/100</f>
        <v>0</v>
      </c>
      <c r="H194" s="3611">
        <f>'SG&amp;A'!R28/100</f>
        <v>0</v>
      </c>
      <c r="I194" s="3611">
        <f>'SG&amp;A'!S28/100</f>
        <v>0</v>
      </c>
      <c r="J194" s="3611">
        <f>'SG&amp;A'!T28/100</f>
        <v>0</v>
      </c>
      <c r="K194" s="4582">
        <f t="shared" si="23"/>
        <v>-0.99999940914518248</v>
      </c>
    </row>
    <row r="195" spans="2:13">
      <c r="B195" s="3614" t="s">
        <v>1410</v>
      </c>
      <c r="D195" s="3611">
        <f>'SG&amp;A'!N29/100</f>
        <v>3.7213856666666669</v>
      </c>
      <c r="E195" s="3611">
        <f>'SG&amp;A'!O29/100</f>
        <v>14.885542666666668</v>
      </c>
      <c r="F195" s="3611">
        <f>'SG&amp;A'!P29/100</f>
        <v>0</v>
      </c>
      <c r="G195" s="3611">
        <f>'SG&amp;A'!Q29/100</f>
        <v>0</v>
      </c>
      <c r="H195" s="3611">
        <f>'SG&amp;A'!R29/100</f>
        <v>0</v>
      </c>
      <c r="I195" s="3611">
        <f>'SG&amp;A'!S29/100</f>
        <v>0</v>
      </c>
      <c r="J195" s="3611">
        <f>'SG&amp;A'!T29/100</f>
        <v>0</v>
      </c>
      <c r="K195" s="4582">
        <f t="shared" si="23"/>
        <v>-0.99999940914518248</v>
      </c>
    </row>
    <row r="196" spans="2:13">
      <c r="B196" s="3614" t="s">
        <v>10855</v>
      </c>
      <c r="D196" s="3611">
        <f>'SG&amp;A'!N30/100</f>
        <v>3.1001999999999996</v>
      </c>
      <c r="E196" s="3611">
        <f>'SG&amp;A'!O30/100</f>
        <v>12.400799999999998</v>
      </c>
      <c r="F196" s="3611">
        <f>'SG&amp;A'!P30/100</f>
        <v>0</v>
      </c>
      <c r="G196" s="3611">
        <f>'SG&amp;A'!Q30/100</f>
        <v>0</v>
      </c>
      <c r="H196" s="3611">
        <f>'SG&amp;A'!R30/100</f>
        <v>0</v>
      </c>
      <c r="I196" s="3611">
        <f>'SG&amp;A'!S30/100</f>
        <v>0</v>
      </c>
      <c r="J196" s="3611">
        <f>'SG&amp;A'!T30/100</f>
        <v>0</v>
      </c>
      <c r="K196" s="4582">
        <f t="shared" si="23"/>
        <v>-0.99999940914518248</v>
      </c>
    </row>
    <row r="197" spans="2:13">
      <c r="B197" s="3614" t="s">
        <v>1378</v>
      </c>
      <c r="D197" s="3611">
        <f>'SG&amp;A'!N34/100</f>
        <v>0.74739402832616308</v>
      </c>
      <c r="E197" s="3611">
        <f>'SG&amp;A'!O34/100</f>
        <v>2.9895761133046523</v>
      </c>
      <c r="F197" s="3611">
        <f>'SG&amp;A'!P34/100</f>
        <v>0</v>
      </c>
      <c r="G197" s="3611">
        <f>'SG&amp;A'!Q34/100</f>
        <v>0</v>
      </c>
      <c r="H197" s="3611">
        <f>'SG&amp;A'!R34/100</f>
        <v>0</v>
      </c>
      <c r="I197" s="3611">
        <f>'SG&amp;A'!S34/100</f>
        <v>0</v>
      </c>
      <c r="J197" s="3611">
        <f>'SG&amp;A'!T34/100</f>
        <v>0</v>
      </c>
      <c r="K197" s="4582">
        <f t="shared" si="23"/>
        <v>-0.99999940914518248</v>
      </c>
    </row>
    <row r="198" spans="2:13">
      <c r="B198" s="3612" t="s">
        <v>10856</v>
      </c>
      <c r="D198" s="3611">
        <f>'SG&amp;A'!N36/100</f>
        <v>49.413379225007176</v>
      </c>
      <c r="E198" s="3611">
        <f>'SG&amp;A'!O36/100</f>
        <v>197.65351690002871</v>
      </c>
      <c r="F198" s="3611">
        <f>'SG&amp;A'!P36/100</f>
        <v>233.16940005968121</v>
      </c>
      <c r="G198" s="3611">
        <f>'SG&amp;A'!Q36/100</f>
        <v>237.59940347027896</v>
      </c>
      <c r="H198" s="3611">
        <f>'SG&amp;A'!R36/100</f>
        <v>246.83617241720552</v>
      </c>
      <c r="I198" s="3611">
        <f>'SG&amp;A'!S36/100</f>
        <v>254.94533536844054</v>
      </c>
      <c r="J198" s="3611">
        <f>'SG&amp;A'!T36/100</f>
        <v>265.39311691714806</v>
      </c>
      <c r="K198" s="4581">
        <f t="shared" si="23"/>
        <v>6.0710875626175567E-2</v>
      </c>
    </row>
    <row r="199" spans="2:13">
      <c r="B199" s="3614" t="s">
        <v>1410</v>
      </c>
      <c r="D199" s="3611">
        <f>'SG&amp;A'!N37/100</f>
        <v>21.227750100000002</v>
      </c>
      <c r="E199" s="3611">
        <f>'SG&amp;A'!O37/100</f>
        <v>84.911000400000006</v>
      </c>
      <c r="F199" s="3611">
        <f>'SG&amp;A'!P37/100</f>
        <v>88.106169896533345</v>
      </c>
      <c r="G199" s="3611">
        <f>'SG&amp;A'!Q37/100</f>
        <v>89.780187124567476</v>
      </c>
      <c r="H199" s="3611">
        <f>'SG&amp;A'!R37/100</f>
        <v>93.281614422425591</v>
      </c>
      <c r="I199" s="3611">
        <f>'SG&amp;A'!S37/100</f>
        <v>96.359907698365618</v>
      </c>
      <c r="J199" s="3611">
        <f>'SG&amp;A'!T37/100</f>
        <v>100.3106639139986</v>
      </c>
      <c r="K199" s="4582">
        <f t="shared" si="23"/>
        <v>3.3895462764119332E-2</v>
      </c>
    </row>
    <row r="200" spans="2:13">
      <c r="B200" s="3614" t="s">
        <v>10855</v>
      </c>
      <c r="D200" s="3611">
        <f>'SG&amp;A'!N40/100</f>
        <v>13.236185266666666</v>
      </c>
      <c r="E200" s="3611">
        <f>'SG&amp;A'!O40/100</f>
        <v>52.944741066666666</v>
      </c>
      <c r="F200" s="3611">
        <f>'SG&amp;A'!P40/100</f>
        <v>54.937032063841968</v>
      </c>
      <c r="G200" s="3611">
        <f>'SG&amp;A'!Q40/100</f>
        <v>55.980835673054969</v>
      </c>
      <c r="H200" s="3611">
        <f>'SG&amp;A'!R40/100</f>
        <v>58.164088264304112</v>
      </c>
      <c r="I200" s="3611">
        <f>'SG&amp;A'!S40/100</f>
        <v>60.083503177026131</v>
      </c>
      <c r="J200" s="3611">
        <f>'SG&amp;A'!T40/100</f>
        <v>62.546926807284201</v>
      </c>
      <c r="K200" s="4582">
        <f t="shared" si="23"/>
        <v>3.3895462764119359E-2</v>
      </c>
    </row>
    <row r="201" spans="2:13">
      <c r="B201" s="3614" t="s">
        <v>1378</v>
      </c>
      <c r="D201" s="3611">
        <f>'SG&amp;A'!N44/100</f>
        <v>4.263329598340504</v>
      </c>
      <c r="E201" s="3611">
        <f>'SG&amp;A'!O44/100</f>
        <v>17.053318393362016</v>
      </c>
      <c r="F201" s="3611">
        <f>'SG&amp;A'!P44/100</f>
        <v>17.695028448460381</v>
      </c>
      <c r="G201" s="3611">
        <f>'SG&amp;A'!Q44/100</f>
        <v>18.031233988981125</v>
      </c>
      <c r="H201" s="3611">
        <f>'SG&amp;A'!R44/100</f>
        <v>18.734452114551388</v>
      </c>
      <c r="I201" s="3611">
        <f>'SG&amp;A'!S44/100</f>
        <v>19.352689034331583</v>
      </c>
      <c r="J201" s="3611">
        <f>'SG&amp;A'!T44/100</f>
        <v>20.14614928473917</v>
      </c>
      <c r="K201" s="4582">
        <f t="shared" si="23"/>
        <v>3.3895462764119443E-2</v>
      </c>
    </row>
    <row r="202" spans="2:13">
      <c r="B202" s="3614" t="s">
        <v>1388</v>
      </c>
      <c r="D202" s="3611">
        <f>'SG&amp;A'!N46/100</f>
        <v>6.6224740366666675</v>
      </c>
      <c r="E202" s="3611">
        <f>'SG&amp;A'!O46/100</f>
        <v>26.48989614666667</v>
      </c>
      <c r="F202" s="3611">
        <f>'SG&amp;A'!P46/100</f>
        <v>27.486701127593086</v>
      </c>
      <c r="G202" s="3611">
        <f>'SG&amp;A'!Q46/100</f>
        <v>28.008948449017357</v>
      </c>
      <c r="H202" s="3611">
        <f>'SG&amp;A'!R46/100</f>
        <v>29.101297438529027</v>
      </c>
      <c r="I202" s="3611">
        <f>'SG&amp;A'!S46/100</f>
        <v>30.06164025400048</v>
      </c>
      <c r="J202" s="3611">
        <f>'SG&amp;A'!T46/100</f>
        <v>31.294167504414499</v>
      </c>
      <c r="K202" s="4582">
        <f>IFERROR(RATE(2026-2021,,-E202,J202),"n.a")</f>
        <v>3.3895462764119449E-2</v>
      </c>
    </row>
    <row r="203" spans="2:13" s="709" customFormat="1">
      <c r="B203" s="4603" t="s">
        <v>6029</v>
      </c>
      <c r="D203" s="3610">
        <f>'SG&amp;A'!N51/100</f>
        <v>114.19794710183731</v>
      </c>
      <c r="E203" s="3610">
        <f>'SG&amp;A'!O51/100</f>
        <v>401.51713507885825</v>
      </c>
      <c r="F203" s="3610">
        <f>'SG&amp;A'!P51/100</f>
        <v>408.25371090003517</v>
      </c>
      <c r="G203" s="3610">
        <f>'SG&amp;A'!Q51/100</f>
        <v>400.47619406709128</v>
      </c>
      <c r="H203" s="3610">
        <f>'SG&amp;A'!R51/100</f>
        <v>379.94165061534716</v>
      </c>
      <c r="I203" s="3610">
        <f>'SG&amp;A'!S51/100</f>
        <v>378.84030653822077</v>
      </c>
      <c r="J203" s="3610">
        <f>'SG&amp;A'!T51/100</f>
        <v>386.88657234356828</v>
      </c>
      <c r="K203" s="4581">
        <f>IFERROR(RATE(2026-2021,,-E203,J203),"n.a")</f>
        <v>-7.3962431286320619E-3</v>
      </c>
    </row>
    <row r="204" spans="2:13">
      <c r="B204" s="3612" t="s">
        <v>1380</v>
      </c>
      <c r="D204" s="3611">
        <f>'SG&amp;A'!N52/100</f>
        <v>58.229900080431833</v>
      </c>
      <c r="E204" s="3611">
        <f>'SG&amp;A'!O52/100</f>
        <v>204.73608053697279</v>
      </c>
      <c r="F204" s="3611">
        <f>'SG&amp;A'!P52/100</f>
        <v>208.17117421239928</v>
      </c>
      <c r="G204" s="3611">
        <f>'SG&amp;A'!Q52/100</f>
        <v>204.20566458282906</v>
      </c>
      <c r="H204" s="3611">
        <f>'SG&amp;A'!R52/100</f>
        <v>193.7356260264263</v>
      </c>
      <c r="I204" s="3611">
        <f>'SG&amp;A'!S52/100</f>
        <v>193.17427973219014</v>
      </c>
      <c r="J204" s="3611">
        <f>'SG&amp;A'!T52/100</f>
        <v>197.27710218416985</v>
      </c>
      <c r="K204" s="4582">
        <f>IFERROR(RATE(2026-2021,,-E204,J204),"n.a")</f>
        <v>-7.3949988898606529E-3</v>
      </c>
    </row>
    <row r="205" spans="2:13">
      <c r="B205" s="3612" t="s">
        <v>1391</v>
      </c>
      <c r="D205" s="3611">
        <f>'SG&amp;A'!N54/100</f>
        <v>55.968047021405461</v>
      </c>
      <c r="E205" s="3611">
        <f>'SG&amp;A'!O54/100</f>
        <v>196.78105454188545</v>
      </c>
      <c r="F205" s="3611">
        <f>'SG&amp;A'!P54/100</f>
        <v>200.08253668763587</v>
      </c>
      <c r="G205" s="3611">
        <f>'SG&amp;A'!Q54/100</f>
        <v>196.27052948426225</v>
      </c>
      <c r="H205" s="3611">
        <f>'SG&amp;A'!R54/100</f>
        <v>186.20602458892085</v>
      </c>
      <c r="I205" s="3611">
        <f>'SG&amp;A'!S54/100</f>
        <v>185.66602680603057</v>
      </c>
      <c r="J205" s="3611">
        <f>'SG&amp;A'!T54/100</f>
        <v>189.60947015939846</v>
      </c>
      <c r="K205" s="4582">
        <f>IFERROR(RATE(2026-2021,,-E205,J205),"n.a")</f>
        <v>-7.3975376733379367E-3</v>
      </c>
    </row>
    <row r="206" spans="2:13" s="709" customFormat="1">
      <c r="B206" s="4604" t="s">
        <v>10852</v>
      </c>
      <c r="C206" s="4605"/>
      <c r="D206" s="4606">
        <f>'SG&amp;A'!N59/100</f>
        <v>64.696921704634093</v>
      </c>
      <c r="E206" s="4606">
        <f>'SG&amp;A'!O59/100</f>
        <v>259.86399131415402</v>
      </c>
      <c r="F206" s="4606">
        <f>'SG&amp;A'!P59/100</f>
        <v>274.80824355946362</v>
      </c>
      <c r="G206" s="4606">
        <f>'SG&amp;A'!Q59/100</f>
        <v>282.09834205195494</v>
      </c>
      <c r="H206" s="4606">
        <f>'SG&amp;A'!R59/100</f>
        <v>280.52467947151769</v>
      </c>
      <c r="I206" s="4606">
        <f>'SG&amp;A'!S59/100</f>
        <v>309.80365181848885</v>
      </c>
      <c r="J206" s="4606">
        <f>'SG&amp;A'!T59/100</f>
        <v>285.2132377917988</v>
      </c>
      <c r="K206" s="4607">
        <f>IFERROR(RATE(2026-2021,,-E206,J206),"n.a")</f>
        <v>1.8790097078110843E-2</v>
      </c>
    </row>
    <row r="208" spans="2:13">
      <c r="B208" s="817" t="s">
        <v>10857</v>
      </c>
      <c r="C208" s="4553"/>
      <c r="D208" s="4553"/>
      <c r="E208" s="4553"/>
      <c r="F208" s="4553"/>
      <c r="G208" s="4553"/>
      <c r="H208" s="4553"/>
      <c r="I208" s="4553"/>
      <c r="J208" s="4553"/>
      <c r="K208" s="4554"/>
      <c r="L208" s="4553"/>
      <c r="M208" s="4553"/>
    </row>
    <row r="210" spans="2:13" ht="27">
      <c r="B210" s="4565"/>
      <c r="C210" s="4569"/>
      <c r="D210" s="4556" t="s">
        <v>5173</v>
      </c>
      <c r="E210" s="4556" t="s">
        <v>5360</v>
      </c>
      <c r="F210" s="4556" t="s">
        <v>1326</v>
      </c>
      <c r="G210" s="4556" t="s">
        <v>1327</v>
      </c>
      <c r="H210" s="4556" t="s">
        <v>1328</v>
      </c>
      <c r="I210" s="4556" t="s">
        <v>1329</v>
      </c>
      <c r="J210" s="4556" t="s">
        <v>10800</v>
      </c>
      <c r="K210" s="4570" t="s">
        <v>10820</v>
      </c>
    </row>
    <row r="211" spans="2:13" s="709" customFormat="1">
      <c r="B211" s="709" t="s">
        <v>10858</v>
      </c>
      <c r="D211" s="3610">
        <f>NWC!N8/100</f>
        <v>271.06309010384837</v>
      </c>
      <c r="E211" s="3610">
        <f>NWC!O8/100</f>
        <v>-1834.5111960361526</v>
      </c>
      <c r="F211" s="3610">
        <f>NWC!P8/100</f>
        <v>101.19866544783348</v>
      </c>
      <c r="G211" s="3610">
        <f>NWC!Q8/100</f>
        <v>-123.58087987416424</v>
      </c>
      <c r="H211" s="3610">
        <f>NWC!R8/100</f>
        <v>-325.71263610970925</v>
      </c>
      <c r="I211" s="3610">
        <f>NWC!S8/100</f>
        <v>-24.989999136861879</v>
      </c>
      <c r="J211" s="3610">
        <f>NWC!T8/100</f>
        <v>131.59063035232015</v>
      </c>
      <c r="K211" s="4581" t="str">
        <f t="shared" ref="K211:K218" si="24">IFERROR(RATE(2026-2021,,-E211,J211),"n.a")</f>
        <v>n.a</v>
      </c>
    </row>
    <row r="212" spans="2:13" s="709" customFormat="1">
      <c r="B212" s="4605" t="s">
        <v>10859</v>
      </c>
      <c r="C212" s="4605"/>
      <c r="D212" s="4606">
        <f>NWC!N9/100</f>
        <v>6357.8805153238491</v>
      </c>
      <c r="E212" s="4606">
        <f>NWC!O9/100</f>
        <v>6357.8805153238491</v>
      </c>
      <c r="F212" s="4606">
        <f>NWC!P9/100</f>
        <v>6459.0791807716832</v>
      </c>
      <c r="G212" s="4606">
        <f>NWC!Q9/100</f>
        <v>6335.4983008975187</v>
      </c>
      <c r="H212" s="4606">
        <f>NWC!R9/100</f>
        <v>6009.7856647878098</v>
      </c>
      <c r="I212" s="4606">
        <f>NWC!S9/100</f>
        <v>5984.7956656509477</v>
      </c>
      <c r="J212" s="4606">
        <f>NWC!T9/100</f>
        <v>6116.3862960032675</v>
      </c>
      <c r="K212" s="4607">
        <f t="shared" si="24"/>
        <v>-7.7148112723562064E-3</v>
      </c>
    </row>
    <row r="213" spans="2:13" s="709" customFormat="1">
      <c r="B213" s="709" t="s">
        <v>10860</v>
      </c>
      <c r="D213" s="3610">
        <f>NWC!N10/100</f>
        <v>22004.457882181097</v>
      </c>
      <c r="E213" s="3610">
        <f>NWC!O10/100</f>
        <v>22004.457882181097</v>
      </c>
      <c r="F213" s="3610">
        <f>NWC!P10/100</f>
        <v>22357.638414833062</v>
      </c>
      <c r="G213" s="3610">
        <f>NWC!Q10/100</f>
        <v>21903.619739982336</v>
      </c>
      <c r="H213" s="3610">
        <f>NWC!R10/100</f>
        <v>20732.279909989527</v>
      </c>
      <c r="I213" s="3610">
        <f>NWC!S10/100</f>
        <v>20636.834687860275</v>
      </c>
      <c r="J213" s="3610">
        <f>NWC!T10/100</f>
        <v>21147.178573279503</v>
      </c>
      <c r="K213" s="4581">
        <f t="shared" si="24"/>
        <v>-7.9162140366260975E-3</v>
      </c>
    </row>
    <row r="214" spans="2:13">
      <c r="B214" s="3609" t="s">
        <v>1582</v>
      </c>
      <c r="D214" s="3611">
        <f>NWC!N11/100</f>
        <v>4535.9025157861779</v>
      </c>
      <c r="E214" s="3611">
        <f>NWC!O11/100</f>
        <v>4535.9025157861779</v>
      </c>
      <c r="F214" s="3611">
        <f>NWC!P11/100</f>
        <v>4607.7589546521876</v>
      </c>
      <c r="G214" s="3611">
        <f>NWC!Q11/100</f>
        <v>4522.6561635348835</v>
      </c>
      <c r="H214" s="3611">
        <f>NWC!R11/100</f>
        <v>4295.4132506714486</v>
      </c>
      <c r="I214" s="3611">
        <f>NWC!S11/100</f>
        <v>4278.6274653530372</v>
      </c>
      <c r="J214" s="3611">
        <f>NWC!T11/100</f>
        <v>4366.1138752228062</v>
      </c>
      <c r="K214" s="4582">
        <f t="shared" si="24"/>
        <v>-7.6011113044415378E-3</v>
      </c>
    </row>
    <row r="215" spans="2:13">
      <c r="B215" s="3609" t="s">
        <v>1588</v>
      </c>
      <c r="D215" s="3611">
        <f>NWC!N18/100</f>
        <v>17468.555366394921</v>
      </c>
      <c r="E215" s="3611">
        <f>NWC!O18/100</f>
        <v>17468.555366394921</v>
      </c>
      <c r="F215" s="3611">
        <f>NWC!P18/100</f>
        <v>17749.879460180873</v>
      </c>
      <c r="G215" s="3611">
        <f>NWC!Q18/100</f>
        <v>17380.963576447451</v>
      </c>
      <c r="H215" s="3611">
        <f>NWC!R18/100</f>
        <v>16436.866659318079</v>
      </c>
      <c r="I215" s="3611">
        <f>NWC!S18/100</f>
        <v>16358.207222507237</v>
      </c>
      <c r="J215" s="3611">
        <f>NWC!T18/100</f>
        <v>16781.064698056696</v>
      </c>
      <c r="K215" s="4581">
        <f t="shared" si="24"/>
        <v>-7.9980994340845615E-3</v>
      </c>
    </row>
    <row r="216" spans="2:13" s="709" customFormat="1">
      <c r="B216" s="709" t="s">
        <v>10861</v>
      </c>
      <c r="D216" s="3610">
        <f>NWC!N21/100</f>
        <v>15646.577366857249</v>
      </c>
      <c r="E216" s="3610">
        <f>NWC!O21/100</f>
        <v>15646.577366857249</v>
      </c>
      <c r="F216" s="3610">
        <f>NWC!P21/100</f>
        <v>15898.559234061378</v>
      </c>
      <c r="G216" s="3610">
        <f>NWC!Q21/100</f>
        <v>15568.121439084818</v>
      </c>
      <c r="H216" s="3610">
        <f>NWC!R21/100</f>
        <v>14722.494245201717</v>
      </c>
      <c r="I216" s="3610">
        <f>NWC!S21/100</f>
        <v>14652.039022209328</v>
      </c>
      <c r="J216" s="3610">
        <f>NWC!T21/100</f>
        <v>15030.792277276234</v>
      </c>
      <c r="K216" s="4581">
        <f t="shared" si="24"/>
        <v>-7.9980994340845442E-3</v>
      </c>
    </row>
    <row r="217" spans="2:13">
      <c r="B217" s="3609" t="s">
        <v>4269</v>
      </c>
      <c r="D217" s="3611">
        <f>NWC!N22/100</f>
        <v>3207.7240531428411</v>
      </c>
      <c r="E217" s="3611">
        <f>NWC!O22/100</f>
        <v>3207.7240531428411</v>
      </c>
      <c r="F217" s="3611">
        <f>NWC!P22/100</f>
        <v>3259.3831653841321</v>
      </c>
      <c r="G217" s="3611">
        <f>NWC!Q22/100</f>
        <v>3191.6397069803152</v>
      </c>
      <c r="H217" s="3611">
        <f>NWC!R22/100</f>
        <v>3018.2766368205607</v>
      </c>
      <c r="I217" s="3611">
        <f>NWC!S22/100</f>
        <v>3003.8325249765894</v>
      </c>
      <c r="J217" s="3611">
        <f>NWC!T22/100</f>
        <v>3081.4811952255709</v>
      </c>
      <c r="K217" s="4582">
        <f t="shared" si="24"/>
        <v>-7.9980994340845581E-3</v>
      </c>
    </row>
    <row r="218" spans="2:13">
      <c r="B218" s="4584" t="s">
        <v>10862</v>
      </c>
      <c r="C218" s="4602"/>
      <c r="D218" s="4586">
        <f>NWC!N25/100</f>
        <v>12438.853313714408</v>
      </c>
      <c r="E218" s="4586">
        <f>NWC!O25/100</f>
        <v>12438.853313714408</v>
      </c>
      <c r="F218" s="4586">
        <f>NWC!P25/100</f>
        <v>12639.176068677245</v>
      </c>
      <c r="G218" s="4586">
        <f>NWC!Q25/100</f>
        <v>12376.481732104503</v>
      </c>
      <c r="H218" s="4586">
        <f>NWC!R25/100</f>
        <v>11704.217608381156</v>
      </c>
      <c r="I218" s="4586">
        <f>NWC!S25/100</f>
        <v>11648.206497232737</v>
      </c>
      <c r="J218" s="4586">
        <f>NWC!T25/100</f>
        <v>11949.311082050663</v>
      </c>
      <c r="K218" s="4607">
        <f t="shared" si="24"/>
        <v>-7.998099434084617E-3</v>
      </c>
    </row>
    <row r="220" spans="2:13">
      <c r="B220" s="817" t="s">
        <v>10863</v>
      </c>
      <c r="C220" s="4553"/>
      <c r="D220" s="4553"/>
      <c r="E220" s="4553"/>
      <c r="F220" s="4553"/>
      <c r="G220" s="4553"/>
      <c r="H220" s="4553"/>
      <c r="I220" s="4553"/>
      <c r="J220" s="4553"/>
      <c r="K220" s="4554"/>
      <c r="L220" s="4553"/>
      <c r="M220" s="4553"/>
    </row>
    <row r="222" spans="2:13" ht="27">
      <c r="B222" s="4565"/>
      <c r="C222" s="4569"/>
      <c r="D222" s="4556" t="s">
        <v>5173</v>
      </c>
      <c r="E222" s="4556" t="s">
        <v>5360</v>
      </c>
      <c r="F222" s="4556" t="s">
        <v>1326</v>
      </c>
      <c r="G222" s="4556" t="s">
        <v>1327</v>
      </c>
      <c r="H222" s="4556" t="s">
        <v>1328</v>
      </c>
      <c r="I222" s="4556" t="s">
        <v>1329</v>
      </c>
      <c r="J222" s="4556" t="s">
        <v>10800</v>
      </c>
      <c r="K222" s="4570" t="s">
        <v>10820</v>
      </c>
    </row>
    <row r="223" spans="2:13" s="709" customFormat="1">
      <c r="B223" s="709" t="s">
        <v>1508</v>
      </c>
      <c r="C223" s="718"/>
      <c r="D223" s="4608"/>
      <c r="E223" s="4608"/>
      <c r="F223" s="4608"/>
      <c r="G223" s="4608"/>
      <c r="H223" s="4608"/>
      <c r="I223" s="4608"/>
      <c r="J223" s="4608"/>
      <c r="K223" s="4609"/>
    </row>
    <row r="224" spans="2:13" s="709" customFormat="1">
      <c r="B224" s="4603" t="s">
        <v>6030</v>
      </c>
      <c r="D224" s="3610"/>
      <c r="E224" s="3610"/>
      <c r="F224" s="3610"/>
      <c r="G224" s="3610"/>
      <c r="H224" s="3610"/>
      <c r="I224" s="3610"/>
      <c r="J224" s="3610"/>
      <c r="K224" s="4581" t="str">
        <f t="shared" ref="K224:K235" si="25">IFERROR(RATE(2026-2021,,-E224,J224),"n.a")</f>
        <v>n.a</v>
      </c>
    </row>
    <row r="225" spans="2:11">
      <c r="B225" s="3612" t="s">
        <v>1455</v>
      </c>
      <c r="D225" s="3611"/>
      <c r="E225" s="3611"/>
      <c r="F225" s="3611"/>
      <c r="G225" s="3611"/>
      <c r="H225" s="3611"/>
      <c r="I225" s="3611"/>
      <c r="J225" s="3611"/>
      <c r="K225" s="4581" t="str">
        <f t="shared" si="25"/>
        <v>n.a</v>
      </c>
    </row>
    <row r="226" spans="2:11">
      <c r="B226" s="3612" t="s">
        <v>1457</v>
      </c>
      <c r="D226" s="3611"/>
      <c r="E226" s="3611"/>
      <c r="F226" s="3611"/>
      <c r="G226" s="3611"/>
      <c r="H226" s="3611"/>
      <c r="I226" s="3611"/>
      <c r="J226" s="3611"/>
      <c r="K226" s="4581" t="str">
        <f t="shared" si="25"/>
        <v>n.a</v>
      </c>
    </row>
    <row r="227" spans="2:11">
      <c r="B227" s="3612" t="s">
        <v>1545</v>
      </c>
      <c r="D227" s="3611"/>
      <c r="E227" s="3611"/>
      <c r="F227" s="3611"/>
      <c r="G227" s="3611"/>
      <c r="H227" s="3611"/>
      <c r="I227" s="3611"/>
      <c r="J227" s="3611"/>
      <c r="K227" s="4581" t="str">
        <f t="shared" si="25"/>
        <v>n.a</v>
      </c>
    </row>
    <row r="228" spans="2:11">
      <c r="B228" s="3612" t="s">
        <v>10822</v>
      </c>
      <c r="D228" s="3611"/>
      <c r="E228" s="3611"/>
      <c r="F228" s="3611"/>
      <c r="G228" s="3611"/>
      <c r="H228" s="3611"/>
      <c r="I228" s="3611"/>
      <c r="J228" s="3611"/>
      <c r="K228" s="4582" t="str">
        <f t="shared" si="25"/>
        <v>n.a</v>
      </c>
    </row>
    <row r="229" spans="2:11" s="1513" customFormat="1">
      <c r="B229" s="4610" t="s">
        <v>10864</v>
      </c>
      <c r="D229" s="4595"/>
      <c r="E229" s="4595"/>
      <c r="F229" s="4595"/>
      <c r="G229" s="4595"/>
      <c r="H229" s="4595"/>
      <c r="I229" s="4595"/>
      <c r="J229" s="4595"/>
      <c r="K229" s="4581" t="str">
        <f t="shared" si="25"/>
        <v>n.a</v>
      </c>
    </row>
    <row r="230" spans="2:11" s="709" customFormat="1">
      <c r="B230" s="4603" t="s">
        <v>10828</v>
      </c>
      <c r="D230" s="3610"/>
      <c r="E230" s="3610"/>
      <c r="F230" s="3610"/>
      <c r="G230" s="3610"/>
      <c r="H230" s="3610"/>
      <c r="I230" s="3610"/>
      <c r="J230" s="3610"/>
      <c r="K230" s="4581" t="str">
        <f t="shared" si="25"/>
        <v>n.a</v>
      </c>
    </row>
    <row r="231" spans="2:11">
      <c r="B231" s="3612" t="s">
        <v>1455</v>
      </c>
      <c r="D231" s="3611"/>
      <c r="E231" s="3611"/>
      <c r="F231" s="3611"/>
      <c r="G231" s="3611"/>
      <c r="H231" s="3611"/>
      <c r="I231" s="3611"/>
      <c r="J231" s="3611"/>
      <c r="K231" s="4581" t="str">
        <f t="shared" si="25"/>
        <v>n.a</v>
      </c>
    </row>
    <row r="232" spans="2:11">
      <c r="B232" s="3612" t="s">
        <v>1457</v>
      </c>
      <c r="D232" s="3611"/>
      <c r="E232" s="3611"/>
      <c r="F232" s="3611"/>
      <c r="G232" s="3611"/>
      <c r="H232" s="3611"/>
      <c r="I232" s="3611"/>
      <c r="J232" s="3611"/>
      <c r="K232" s="4581" t="str">
        <f t="shared" si="25"/>
        <v>n.a</v>
      </c>
    </row>
    <row r="233" spans="2:11">
      <c r="B233" s="3612" t="s">
        <v>1545</v>
      </c>
      <c r="D233" s="3611"/>
      <c r="E233" s="3611"/>
      <c r="F233" s="3611"/>
      <c r="G233" s="3611"/>
      <c r="H233" s="3611"/>
      <c r="I233" s="3611"/>
      <c r="J233" s="3611"/>
      <c r="K233" s="4581" t="str">
        <f t="shared" si="25"/>
        <v>n.a</v>
      </c>
    </row>
    <row r="234" spans="2:11">
      <c r="B234" s="3612" t="s">
        <v>10822</v>
      </c>
      <c r="D234" s="3611"/>
      <c r="E234" s="3611"/>
      <c r="F234" s="3611"/>
      <c r="G234" s="3611"/>
      <c r="H234" s="3611"/>
      <c r="I234" s="3611"/>
      <c r="J234" s="3611"/>
      <c r="K234" s="4581" t="str">
        <f t="shared" si="25"/>
        <v>n.a</v>
      </c>
    </row>
    <row r="235" spans="2:11" s="1513" customFormat="1">
      <c r="B235" s="4611" t="s">
        <v>10865</v>
      </c>
      <c r="C235" s="4591"/>
      <c r="D235" s="4593"/>
      <c r="E235" s="4593"/>
      <c r="F235" s="4593"/>
      <c r="G235" s="4593"/>
      <c r="H235" s="4593"/>
      <c r="I235" s="4593"/>
      <c r="J235" s="4593"/>
      <c r="K235" s="4607" t="str">
        <f t="shared" si="25"/>
        <v>n.a</v>
      </c>
    </row>
    <row r="236" spans="2:11">
      <c r="B236" s="709" t="s">
        <v>6027</v>
      </c>
      <c r="C236" s="709"/>
      <c r="D236" s="3610"/>
      <c r="E236" s="3610"/>
      <c r="F236" s="3610"/>
      <c r="G236" s="3610"/>
      <c r="H236" s="3610"/>
      <c r="I236" s="3610"/>
      <c r="J236" s="3610"/>
      <c r="K236" s="4581"/>
    </row>
    <row r="237" spans="2:11">
      <c r="B237" s="4603" t="s">
        <v>6030</v>
      </c>
      <c r="C237" s="709"/>
      <c r="D237" s="3610"/>
      <c r="E237" s="3610"/>
      <c r="F237" s="3610"/>
      <c r="G237" s="3610"/>
      <c r="H237" s="3610"/>
      <c r="I237" s="3610"/>
      <c r="J237" s="3610"/>
      <c r="K237" s="4581" t="str">
        <f>IFERROR(RATE(2026-2021,,-E237,J237),"n.a")</f>
        <v>n.a</v>
      </c>
    </row>
    <row r="238" spans="2:11">
      <c r="B238" s="3612" t="s">
        <v>1455</v>
      </c>
      <c r="D238" s="3611"/>
      <c r="E238" s="3611"/>
      <c r="F238" s="3611"/>
      <c r="G238" s="3611"/>
      <c r="H238" s="3611"/>
      <c r="I238" s="3611"/>
      <c r="J238" s="3611"/>
      <c r="K238" s="4581" t="str">
        <f>IFERROR(RATE(2026-2021,,-E238,J238),"n.a")</f>
        <v>n.a</v>
      </c>
    </row>
    <row r="239" spans="2:11">
      <c r="B239" s="3612" t="s">
        <v>1457</v>
      </c>
      <c r="D239" s="3611"/>
      <c r="E239" s="3611"/>
      <c r="F239" s="3611"/>
      <c r="G239" s="3611"/>
      <c r="H239" s="3611"/>
      <c r="I239" s="3611"/>
      <c r="J239" s="3611"/>
      <c r="K239" s="4582" t="str">
        <f>IFERROR(RATE(2026-2021,,-E239,J239),"n.a")</f>
        <v>n.a</v>
      </c>
    </row>
    <row r="240" spans="2:11">
      <c r="B240" s="3612" t="s">
        <v>1545</v>
      </c>
      <c r="D240" s="3611"/>
      <c r="E240" s="3611"/>
      <c r="F240" s="3611"/>
      <c r="G240" s="3611"/>
      <c r="H240" s="3611"/>
      <c r="I240" s="3611"/>
      <c r="J240" s="3611"/>
      <c r="K240" s="4581" t="str">
        <f>IFERROR(RATE(2026-2021,,-E240,J240),"n.a")</f>
        <v>n.a</v>
      </c>
    </row>
    <row r="241" spans="2:13">
      <c r="B241" s="4603" t="s">
        <v>10828</v>
      </c>
      <c r="C241" s="709"/>
      <c r="D241" s="3610"/>
      <c r="E241" s="3610"/>
      <c r="F241" s="3610"/>
      <c r="G241" s="3610"/>
      <c r="H241" s="3610"/>
      <c r="I241" s="3610"/>
      <c r="J241" s="3610"/>
      <c r="K241" s="4581" t="str">
        <f t="shared" ref="K241:K244" si="26">IFERROR(RATE(2026-2021,,-E241,J241),"n.a")</f>
        <v>n.a</v>
      </c>
    </row>
    <row r="242" spans="2:13">
      <c r="B242" s="3612" t="s">
        <v>1455</v>
      </c>
      <c r="D242" s="3611"/>
      <c r="E242" s="3611"/>
      <c r="F242" s="3611"/>
      <c r="G242" s="3611"/>
      <c r="H242" s="3611"/>
      <c r="I242" s="3611"/>
      <c r="J242" s="3611"/>
      <c r="K242" s="4581" t="str">
        <f t="shared" si="26"/>
        <v>n.a</v>
      </c>
    </row>
    <row r="243" spans="2:13">
      <c r="B243" s="3612" t="s">
        <v>1457</v>
      </c>
      <c r="D243" s="3611"/>
      <c r="E243" s="3611"/>
      <c r="F243" s="3611"/>
      <c r="G243" s="3611"/>
      <c r="H243" s="3611"/>
      <c r="I243" s="3611"/>
      <c r="J243" s="3611"/>
      <c r="K243" s="4581" t="str">
        <f t="shared" si="26"/>
        <v>n.a</v>
      </c>
    </row>
    <row r="244" spans="2:13">
      <c r="B244" s="4612" t="s">
        <v>1545</v>
      </c>
      <c r="C244" s="4602"/>
      <c r="D244" s="4586"/>
      <c r="E244" s="4586"/>
      <c r="F244" s="4586"/>
      <c r="G244" s="4586"/>
      <c r="H244" s="4586"/>
      <c r="I244" s="4586"/>
      <c r="J244" s="4586"/>
      <c r="K244" s="4607" t="str">
        <f t="shared" si="26"/>
        <v>n.a</v>
      </c>
    </row>
    <row r="246" spans="2:13">
      <c r="B246" s="817" t="s">
        <v>10866</v>
      </c>
      <c r="C246" s="4553"/>
      <c r="D246" s="4553"/>
      <c r="E246" s="4553"/>
      <c r="F246" s="4553"/>
      <c r="G246" s="4553"/>
      <c r="H246" s="4553"/>
      <c r="I246" s="4553"/>
      <c r="J246" s="4553"/>
      <c r="K246" s="4554"/>
      <c r="L246" s="4553"/>
      <c r="M246" s="4553"/>
    </row>
    <row r="248" spans="2:13">
      <c r="B248" s="4565"/>
      <c r="C248" s="4569"/>
      <c r="D248" s="4556" t="s">
        <v>5173</v>
      </c>
      <c r="E248" s="4556" t="s">
        <v>5360</v>
      </c>
      <c r="F248" s="4556" t="s">
        <v>1326</v>
      </c>
      <c r="G248" s="4556" t="s">
        <v>1327</v>
      </c>
      <c r="H248" s="4556" t="s">
        <v>1328</v>
      </c>
      <c r="I248" s="4556" t="s">
        <v>1329</v>
      </c>
      <c r="J248" s="4556" t="s">
        <v>10800</v>
      </c>
      <c r="K248" s="4613"/>
    </row>
    <row r="249" spans="2:13" s="709" customFormat="1">
      <c r="B249" s="709" t="s">
        <v>3988</v>
      </c>
      <c r="D249" s="3610">
        <f>Proforma!N14/100</f>
        <v>29448.921574340002</v>
      </c>
      <c r="E249" s="3610">
        <f>Proforma!O14/100</f>
        <v>29448.921574340002</v>
      </c>
      <c r="F249" s="3610">
        <f>Proforma!P14/100</f>
        <v>28605.111188748182</v>
      </c>
      <c r="G249" s="3610">
        <f>Proforma!Q14/100</f>
        <v>29312.661854286784</v>
      </c>
      <c r="H249" s="3610">
        <f>Proforma!R14/100</f>
        <v>29852.066597150359</v>
      </c>
      <c r="I249" s="3610">
        <f>Proforma!S14/100</f>
        <v>30944.218994059087</v>
      </c>
      <c r="J249" s="3610">
        <f>Proforma!T14/100</f>
        <v>32100.708075374925</v>
      </c>
      <c r="K249" s="4575"/>
    </row>
    <row r="250" spans="2:13">
      <c r="B250" s="3609" t="s">
        <v>3989</v>
      </c>
      <c r="D250" s="3611">
        <f>Proforma!N15/100</f>
        <v>5755.6164585699998</v>
      </c>
      <c r="E250" s="3611">
        <f>Proforma!O15/100</f>
        <v>5755.6164585699998</v>
      </c>
      <c r="F250" s="3611">
        <f>Proforma!P15/100</f>
        <v>4558.6255403262221</v>
      </c>
      <c r="G250" s="3611">
        <f>Proforma!Q15/100</f>
        <v>5720.1948807155477</v>
      </c>
      <c r="H250" s="3611">
        <f>Proforma!R15/100</f>
        <v>7430.9394535719348</v>
      </c>
      <c r="I250" s="3611">
        <f>Proforma!S15/100</f>
        <v>8618.5370726099136</v>
      </c>
      <c r="J250" s="3611">
        <f>Proforma!T15/100</f>
        <v>9264.6822685065199</v>
      </c>
    </row>
    <row r="251" spans="2:13">
      <c r="B251" s="3609" t="s">
        <v>1582</v>
      </c>
      <c r="D251" s="3611">
        <f>Proforma!N16/100</f>
        <v>4715.7427892100004</v>
      </c>
      <c r="E251" s="3611">
        <f>Proforma!O16/100</f>
        <v>4715.7427892100004</v>
      </c>
      <c r="F251" s="3611">
        <f>Proforma!P16/100</f>
        <v>4787.5992280760101</v>
      </c>
      <c r="G251" s="3611">
        <f>Proforma!Q16/100</f>
        <v>4702.496436958706</v>
      </c>
      <c r="H251" s="3611">
        <f>Proforma!R16/100</f>
        <v>4475.2535240952702</v>
      </c>
      <c r="I251" s="3611">
        <f>Proforma!S16/100</f>
        <v>4458.4677387768597</v>
      </c>
      <c r="J251" s="3611">
        <f>Proforma!T16/100</f>
        <v>4545.9541486466287</v>
      </c>
    </row>
    <row r="252" spans="2:13">
      <c r="B252" s="3609" t="s">
        <v>1588</v>
      </c>
      <c r="D252" s="3611">
        <f>Proforma!N17/100</f>
        <v>17827.396277470001</v>
      </c>
      <c r="E252" s="3611">
        <f>Proforma!O17/100</f>
        <v>17827.396277470001</v>
      </c>
      <c r="F252" s="3611">
        <f>Proforma!P17/100</f>
        <v>18108.720371255953</v>
      </c>
      <c r="G252" s="3611">
        <f>Proforma!Q17/100</f>
        <v>17739.804487522531</v>
      </c>
      <c r="H252" s="3611">
        <f>Proforma!R17/100</f>
        <v>16795.707570393159</v>
      </c>
      <c r="I252" s="3611">
        <f>Proforma!S17/100</f>
        <v>16717.048133582317</v>
      </c>
      <c r="J252" s="3611">
        <f>Proforma!T17/100</f>
        <v>17139.905609131776</v>
      </c>
    </row>
    <row r="253" spans="2:13">
      <c r="B253" s="3609" t="s">
        <v>4073</v>
      </c>
      <c r="D253" s="3611">
        <f>Proforma!N18/100</f>
        <v>1150.1660490899999</v>
      </c>
      <c r="E253" s="3611">
        <f>Proforma!O18/100</f>
        <v>1150.1660490899999</v>
      </c>
      <c r="F253" s="3611">
        <f>Proforma!P18/100</f>
        <v>1150.1660490899999</v>
      </c>
      <c r="G253" s="3611">
        <f>Proforma!Q18/100</f>
        <v>1150.1660490899999</v>
      </c>
      <c r="H253" s="3611">
        <f>Proforma!R18/100</f>
        <v>1150.1660490899999</v>
      </c>
      <c r="I253" s="3611">
        <f>Proforma!S18/100</f>
        <v>1150.1660490899999</v>
      </c>
      <c r="J253" s="3611">
        <f>Proforma!T18/100</f>
        <v>1150.1660490899999</v>
      </c>
    </row>
    <row r="254" spans="2:13" s="709" customFormat="1">
      <c r="B254" s="709" t="s">
        <v>4090</v>
      </c>
      <c r="D254" s="3610">
        <f>Proforma!N19/100</f>
        <v>9610.700799369999</v>
      </c>
      <c r="E254" s="3610">
        <f>Proforma!O19/100</f>
        <v>9610.700799369999</v>
      </c>
      <c r="F254" s="3610">
        <f>Proforma!P19/100</f>
        <v>10234.958670422928</v>
      </c>
      <c r="G254" s="3610">
        <f>Proforma!Q19/100</f>
        <v>10648.070097365207</v>
      </c>
      <c r="H254" s="3610">
        <f>Proforma!R19/100</f>
        <v>10830.698310096013</v>
      </c>
      <c r="I254" s="3610">
        <f>Proforma!S19/100</f>
        <v>11165.177981455328</v>
      </c>
      <c r="J254" s="3610">
        <f>Proforma!T19/100</f>
        <v>11470.108701133026</v>
      </c>
      <c r="K254" s="4575"/>
    </row>
    <row r="255" spans="2:13">
      <c r="B255" s="3609" t="s">
        <v>1455</v>
      </c>
      <c r="D255" s="3611">
        <f>Proforma!N20/100</f>
        <v>8054.5288933699994</v>
      </c>
      <c r="E255" s="3611">
        <f>Proforma!O20/100</f>
        <v>8054.5288933699994</v>
      </c>
      <c r="F255" s="3611">
        <f>Proforma!P20/100</f>
        <v>8670.8446131141191</v>
      </c>
      <c r="G255" s="3611">
        <f>Proforma!Q20/100</f>
        <v>9100.7701727731419</v>
      </c>
      <c r="H255" s="3611">
        <f>Proforma!R20/100</f>
        <v>9305.45803097321</v>
      </c>
      <c r="I255" s="3611">
        <f>Proforma!S20/100</f>
        <v>9633.4308213495351</v>
      </c>
      <c r="J255" s="3611">
        <f>Proforma!T20/100</f>
        <v>9932.3670788002182</v>
      </c>
    </row>
    <row r="256" spans="2:13">
      <c r="B256" s="3609" t="s">
        <v>1457</v>
      </c>
      <c r="D256" s="3611">
        <f>Proforma!N21/100</f>
        <v>287.69627069000001</v>
      </c>
      <c r="E256" s="3611">
        <f>Proforma!O21/100</f>
        <v>287.69627069000001</v>
      </c>
      <c r="F256" s="3611">
        <f>Proforma!P21/100</f>
        <v>291.01443735498401</v>
      </c>
      <c r="G256" s="3611">
        <f>Proforma!Q21/100</f>
        <v>270.77822763219621</v>
      </c>
      <c r="H256" s="3611">
        <f>Proforma!R21/100</f>
        <v>246.16484819544468</v>
      </c>
      <c r="I256" s="3611">
        <f>Proforma!S21/100</f>
        <v>250.74744782545142</v>
      </c>
      <c r="J256" s="3611">
        <f>Proforma!T21/100</f>
        <v>255.27525561599131</v>
      </c>
    </row>
    <row r="257" spans="2:13">
      <c r="B257" s="3609" t="s">
        <v>1545</v>
      </c>
      <c r="D257" s="3611">
        <f>Proforma!N22/100</f>
        <v>34.96175049</v>
      </c>
      <c r="E257" s="3611">
        <f>Proforma!O22/100</f>
        <v>34.96175049</v>
      </c>
      <c r="F257" s="3611">
        <f>Proforma!P22/100</f>
        <v>39.585735133826375</v>
      </c>
      <c r="G257" s="3611">
        <f>Proforma!Q22/100</f>
        <v>43.00781213986906</v>
      </c>
      <c r="H257" s="3611">
        <f>Proforma!R22/100</f>
        <v>45.561546107355937</v>
      </c>
      <c r="I257" s="3611">
        <f>Proforma!S22/100</f>
        <v>47.485827460342591</v>
      </c>
      <c r="J257" s="3611">
        <f>Proforma!T22/100</f>
        <v>48.952481896815705</v>
      </c>
    </row>
    <row r="258" spans="2:13">
      <c r="B258" s="3609" t="s">
        <v>4246</v>
      </c>
      <c r="D258" s="3611">
        <f>Proforma!N23/100</f>
        <v>1233.5138848199997</v>
      </c>
      <c r="E258" s="3611">
        <f>Proforma!O23/100</f>
        <v>1233.5138848199997</v>
      </c>
      <c r="F258" s="3611">
        <f>Proforma!P23/100</f>
        <v>1233.5138848199997</v>
      </c>
      <c r="G258" s="3611">
        <f>Proforma!Q23/100</f>
        <v>1233.5138848199997</v>
      </c>
      <c r="H258" s="3611">
        <f>Proforma!R23/100</f>
        <v>1233.5138848199997</v>
      </c>
      <c r="I258" s="3611">
        <f>Proforma!S23/100</f>
        <v>1233.5138848199997</v>
      </c>
      <c r="J258" s="3611">
        <f>Proforma!T23/100</f>
        <v>1233.5138848199997</v>
      </c>
    </row>
    <row r="259" spans="2:13" s="709" customFormat="1">
      <c r="B259" s="709" t="s">
        <v>10867</v>
      </c>
      <c r="D259" s="3610">
        <f>Proforma!N24/100</f>
        <v>39059.622373710001</v>
      </c>
      <c r="E259" s="3610">
        <f>Proforma!O24/100</f>
        <v>39059.622373710001</v>
      </c>
      <c r="F259" s="3610">
        <f>Proforma!P24/100</f>
        <v>38840.069859171112</v>
      </c>
      <c r="G259" s="3610">
        <f>Proforma!Q24/100</f>
        <v>39960.731951651993</v>
      </c>
      <c r="H259" s="3610">
        <f>Proforma!R24/100</f>
        <v>40682.764907246368</v>
      </c>
      <c r="I259" s="3610">
        <f>Proforma!S24/100</f>
        <v>42109.396975514413</v>
      </c>
      <c r="J259" s="3610">
        <f>Proforma!T24/100</f>
        <v>43570.816776507942</v>
      </c>
      <c r="K259" s="4575"/>
    </row>
    <row r="260" spans="2:13" s="709" customFormat="1">
      <c r="B260" s="709" t="s">
        <v>4267</v>
      </c>
      <c r="D260" s="3610">
        <f>Proforma!N25/100</f>
        <v>16008.55445922</v>
      </c>
      <c r="E260" s="3610">
        <f>Proforma!O25/100</f>
        <v>16008.55445922</v>
      </c>
      <c r="F260" s="3610">
        <f>Proforma!P25/100</f>
        <v>16394.008277844125</v>
      </c>
      <c r="G260" s="3610">
        <f>Proforma!Q25/100</f>
        <v>16079.043491944985</v>
      </c>
      <c r="H260" s="3610">
        <f>Proforma!R25/100</f>
        <v>15271.232620107816</v>
      </c>
      <c r="I260" s="3610">
        <f>Proforma!S25/100</f>
        <v>15207.182701417425</v>
      </c>
      <c r="J260" s="3610">
        <f>Proforma!T25/100</f>
        <v>15489.623830085087</v>
      </c>
      <c r="K260" s="4575"/>
    </row>
    <row r="261" spans="2:13">
      <c r="B261" s="3609" t="s">
        <v>4269</v>
      </c>
      <c r="D261" s="3611">
        <f>Proforma!N26/100</f>
        <v>3821.6583341100004</v>
      </c>
      <c r="E261" s="3611">
        <f>Proforma!O26/100</f>
        <v>3821.6583341100004</v>
      </c>
      <c r="F261" s="3611">
        <f>Proforma!P26/100</f>
        <v>3873.3174463512919</v>
      </c>
      <c r="G261" s="3611">
        <f>Proforma!Q26/100</f>
        <v>3805.573987947475</v>
      </c>
      <c r="H261" s="3611">
        <f>Proforma!R26/100</f>
        <v>3632.2109177877201</v>
      </c>
      <c r="I261" s="3611">
        <f>Proforma!S26/100</f>
        <v>3617.7668059437487</v>
      </c>
      <c r="J261" s="3611">
        <f>Proforma!T26/100</f>
        <v>3695.4154761927302</v>
      </c>
    </row>
    <row r="262" spans="2:13">
      <c r="B262" s="3609" t="s">
        <v>10862</v>
      </c>
      <c r="D262" s="3611">
        <f>Proforma!N27/100</f>
        <v>10455.129999999999</v>
      </c>
      <c r="E262" s="3611">
        <f>Proforma!O27/100</f>
        <v>10455.129999999999</v>
      </c>
      <c r="F262" s="3611">
        <f>Proforma!P27/100</f>
        <v>10655.452754962838</v>
      </c>
      <c r="G262" s="3611">
        <f>Proforma!Q27/100</f>
        <v>10392.758418390094</v>
      </c>
      <c r="H262" s="3611">
        <f>Proforma!R27/100</f>
        <v>9720.4942946667488</v>
      </c>
      <c r="I262" s="3611">
        <f>Proforma!S27/100</f>
        <v>9664.4831835183286</v>
      </c>
      <c r="J262" s="3611">
        <f>Proforma!T27/100</f>
        <v>9965.587768336256</v>
      </c>
    </row>
    <row r="263" spans="2:13">
      <c r="B263" s="3609" t="s">
        <v>10868</v>
      </c>
      <c r="D263" s="3611">
        <f>Proforma!N28/100</f>
        <v>478.73317534</v>
      </c>
      <c r="E263" s="3611">
        <f>Proforma!O28/100</f>
        <v>478.73317534</v>
      </c>
      <c r="F263" s="3611">
        <f>Proforma!P28/100</f>
        <v>612.205126759991</v>
      </c>
      <c r="G263" s="3611">
        <f>Proforma!Q28/100</f>
        <v>627.67813583741474</v>
      </c>
      <c r="H263" s="3611">
        <f>Proforma!R28/100</f>
        <v>665.49445788334594</v>
      </c>
      <c r="I263" s="3611">
        <f>Proforma!S28/100</f>
        <v>671.89976218534389</v>
      </c>
      <c r="J263" s="3611">
        <f>Proforma!T28/100</f>
        <v>575.58763578610058</v>
      </c>
    </row>
    <row r="264" spans="2:13">
      <c r="B264" s="3609" t="s">
        <v>4314</v>
      </c>
      <c r="D264" s="3611">
        <f>Proforma!N29/100</f>
        <v>1253.0329497700013</v>
      </c>
      <c r="E264" s="3611">
        <f>Proforma!O29/100</f>
        <v>1253.0329497700013</v>
      </c>
      <c r="F264" s="3611">
        <f>Proforma!P29/100</f>
        <v>1253.0329497700013</v>
      </c>
      <c r="G264" s="3611">
        <f>Proforma!Q29/100</f>
        <v>1253.0329497700013</v>
      </c>
      <c r="H264" s="3611">
        <f>Proforma!R29/100</f>
        <v>1253.0329497700013</v>
      </c>
      <c r="I264" s="3611">
        <f>Proforma!S29/100</f>
        <v>1253.0329497700013</v>
      </c>
      <c r="J264" s="3611">
        <f>Proforma!T29/100</f>
        <v>1253.0329497700013</v>
      </c>
    </row>
    <row r="265" spans="2:13" s="709" customFormat="1">
      <c r="B265" s="709" t="s">
        <v>4325</v>
      </c>
      <c r="D265" s="3610">
        <f>Proforma!N30/100</f>
        <v>107.0560936</v>
      </c>
      <c r="E265" s="3610">
        <f>Proforma!O30/100</f>
        <v>107.0560936</v>
      </c>
      <c r="F265" s="3610">
        <f>Proforma!P30/100</f>
        <v>107.0560936</v>
      </c>
      <c r="G265" s="3610">
        <f>Proforma!Q30/100</f>
        <v>107.0560936</v>
      </c>
      <c r="H265" s="3610">
        <f>Proforma!R30/100</f>
        <v>107.0560936</v>
      </c>
      <c r="I265" s="3610">
        <f>Proforma!S30/100</f>
        <v>107.0560936</v>
      </c>
      <c r="J265" s="3610">
        <f>Proforma!T30/100</f>
        <v>107.0560936</v>
      </c>
      <c r="K265" s="4575"/>
    </row>
    <row r="266" spans="2:13" s="709" customFormat="1">
      <c r="B266" s="709" t="s">
        <v>10869</v>
      </c>
      <c r="D266" s="3610">
        <f>Proforma!N31/100</f>
        <v>16115.610552820001</v>
      </c>
      <c r="E266" s="3610">
        <f>Proforma!O31/100</f>
        <v>16115.610552820001</v>
      </c>
      <c r="F266" s="3610">
        <f>Proforma!P31/100</f>
        <v>16501.064371444121</v>
      </c>
      <c r="G266" s="3610">
        <f>Proforma!Q31/100</f>
        <v>16186.099585544984</v>
      </c>
      <c r="H266" s="3610">
        <f>Proforma!R31/100</f>
        <v>15378.288713707814</v>
      </c>
      <c r="I266" s="3610">
        <f>Proforma!S31/100</f>
        <v>15314.238795017423</v>
      </c>
      <c r="J266" s="3610">
        <f>Proforma!T31/100</f>
        <v>15596.679923685086</v>
      </c>
      <c r="K266" s="4575"/>
    </row>
    <row r="267" spans="2:13" s="709" customFormat="1">
      <c r="B267" s="4605" t="s">
        <v>10870</v>
      </c>
      <c r="C267" s="4605"/>
      <c r="D267" s="4606">
        <f>Proforma!N32/100</f>
        <v>22944.011820889998</v>
      </c>
      <c r="E267" s="4606">
        <f>Proforma!O32/100</f>
        <v>22944.011820889998</v>
      </c>
      <c r="F267" s="4606">
        <f>Proforma!P32/100</f>
        <v>22339.005487726987</v>
      </c>
      <c r="G267" s="4606">
        <f>Proforma!Q32/100</f>
        <v>23774.632366107009</v>
      </c>
      <c r="H267" s="4606">
        <f>Proforma!R32/100</f>
        <v>25304.476193538561</v>
      </c>
      <c r="I267" s="4606">
        <f>Proforma!S32/100</f>
        <v>26795.15818049699</v>
      </c>
      <c r="J267" s="4606">
        <f>Proforma!T32/100</f>
        <v>27974.13685282286</v>
      </c>
      <c r="K267" s="4578"/>
    </row>
    <row r="269" spans="2:13">
      <c r="B269" s="817" t="s">
        <v>10871</v>
      </c>
      <c r="C269" s="4553"/>
      <c r="D269" s="4553"/>
      <c r="E269" s="4553"/>
      <c r="F269" s="4553"/>
      <c r="G269" s="4553"/>
      <c r="H269" s="4553"/>
      <c r="I269" s="4553"/>
      <c r="J269" s="4553"/>
      <c r="K269" s="4554"/>
      <c r="L269" s="4553"/>
      <c r="M269" s="4553"/>
    </row>
    <row r="271" spans="2:13">
      <c r="B271" s="4565"/>
      <c r="C271" s="4569"/>
      <c r="D271" s="4556" t="s">
        <v>5173</v>
      </c>
      <c r="E271" s="4556" t="s">
        <v>5360</v>
      </c>
      <c r="F271" s="4556" t="s">
        <v>1326</v>
      </c>
      <c r="G271" s="4556" t="s">
        <v>1327</v>
      </c>
      <c r="H271" s="4556" t="s">
        <v>1328</v>
      </c>
      <c r="I271" s="4556" t="s">
        <v>1329</v>
      </c>
      <c r="J271" s="4556" t="s">
        <v>10800</v>
      </c>
      <c r="K271" s="4613"/>
    </row>
    <row r="272" spans="2:13" s="709" customFormat="1">
      <c r="B272" s="709" t="s">
        <v>140</v>
      </c>
      <c r="D272" s="3610">
        <f>Proforma!N39/100</f>
        <v>26471.723508670006</v>
      </c>
      <c r="E272" s="3610">
        <f>Proforma!O39/100</f>
        <v>99015.113016660005</v>
      </c>
      <c r="F272" s="3610">
        <f>Proforma!P39/100</f>
        <v>102869.01021661209</v>
      </c>
      <c r="G272" s="3610">
        <f>Proforma!Q39/100</f>
        <v>100969.07578534821</v>
      </c>
      <c r="H272" s="3610">
        <f>Proforma!R39/100</f>
        <v>95895.838718248648</v>
      </c>
      <c r="I272" s="3610">
        <f>Proforma!S39/100</f>
        <v>95521.093177432078</v>
      </c>
      <c r="J272" s="3610">
        <f>Proforma!T39/100</f>
        <v>97474.242306819928</v>
      </c>
      <c r="K272" s="4575"/>
    </row>
    <row r="273" spans="2:13">
      <c r="B273" s="815" t="s">
        <v>141</v>
      </c>
      <c r="D273" s="3611">
        <f>Proforma!N40/100</f>
        <v>25319.578178550004</v>
      </c>
      <c r="E273" s="3611">
        <f>Proforma!O40/100</f>
        <v>94532.287063790005</v>
      </c>
      <c r="F273" s="3611">
        <f>Proforma!P40/100</f>
        <v>98284.370148736241</v>
      </c>
      <c r="G273" s="3611">
        <f>Proforma!Q40/100</f>
        <v>96241.614571046564</v>
      </c>
      <c r="H273" s="3611">
        <f>Proforma!R40/100</f>
        <v>91013.975078193456</v>
      </c>
      <c r="I273" s="3611">
        <f>Proforma!S40/100</f>
        <v>90578.423207514497</v>
      </c>
      <c r="J273" s="3611">
        <f>Proforma!T40/100</f>
        <v>92919.863369984174</v>
      </c>
    </row>
    <row r="274" spans="2:13" s="709" customFormat="1">
      <c r="B274" s="709" t="s">
        <v>142</v>
      </c>
      <c r="D274" s="3610">
        <f>Proforma!N41/100</f>
        <v>1152.145330119999</v>
      </c>
      <c r="E274" s="3610">
        <f>Proforma!O41/100</f>
        <v>4482.8259528700073</v>
      </c>
      <c r="F274" s="3610">
        <f>Proforma!P41/100</f>
        <v>4584.6400678758509</v>
      </c>
      <c r="G274" s="3610">
        <f>Proforma!Q41/100</f>
        <v>4727.461214301642</v>
      </c>
      <c r="H274" s="3610">
        <f>Proforma!R41/100</f>
        <v>4881.8636400551904</v>
      </c>
      <c r="I274" s="3610">
        <f>Proforma!S41/100</f>
        <v>4942.6699699175915</v>
      </c>
      <c r="J274" s="3610">
        <f>Proforma!T41/100</f>
        <v>4554.3789368357511</v>
      </c>
      <c r="K274" s="4575"/>
    </row>
    <row r="275" spans="2:13" s="1052" customFormat="1">
      <c r="B275" s="4574" t="s">
        <v>10872</v>
      </c>
      <c r="C275" s="4574"/>
      <c r="D275" s="4576">
        <f>D274/D272</f>
        <v>4.3523623603225113E-2</v>
      </c>
      <c r="E275" s="4576">
        <f t="shared" ref="E275:J275" si="27">E274/E272</f>
        <v>4.5274158825791971E-2</v>
      </c>
      <c r="F275" s="4576">
        <f t="shared" si="27"/>
        <v>4.4567747451073343E-2</v>
      </c>
      <c r="G275" s="4576">
        <f t="shared" si="27"/>
        <v>4.6820882310063212E-2</v>
      </c>
      <c r="H275" s="4576">
        <f t="shared" si="27"/>
        <v>5.0907982090845287E-2</v>
      </c>
      <c r="I275" s="4576">
        <f t="shared" si="27"/>
        <v>5.1744277682589927E-2</v>
      </c>
      <c r="J275" s="4576">
        <f t="shared" si="27"/>
        <v>4.6723922433784308E-2</v>
      </c>
      <c r="K275" s="4574"/>
    </row>
    <row r="276" spans="2:13">
      <c r="B276" s="815" t="s">
        <v>143</v>
      </c>
      <c r="D276" s="3611">
        <f>Proforma!N42/100</f>
        <v>249.86305942999999</v>
      </c>
      <c r="E276" s="3611">
        <f>Proforma!O42/100</f>
        <v>938.89725225000007</v>
      </c>
      <c r="F276" s="3611">
        <f>Proforma!P42/100</f>
        <v>997.16302896505022</v>
      </c>
      <c r="G276" s="3611">
        <f>Proforma!Q42/100</f>
        <v>999.58665171112455</v>
      </c>
      <c r="H276" s="3611">
        <f>Proforma!R42/100</f>
        <v>986.75640378007142</v>
      </c>
      <c r="I276" s="3611">
        <f>Proforma!S42/100</f>
        <v>1025.6151030034553</v>
      </c>
      <c r="J276" s="3611">
        <f>Proforma!T42/100</f>
        <v>1019.1061093583106</v>
      </c>
    </row>
    <row r="277" spans="2:13" s="709" customFormat="1">
      <c r="B277" s="709" t="s">
        <v>144</v>
      </c>
      <c r="D277" s="3610">
        <f>Proforma!N43/100</f>
        <v>902.28227068999911</v>
      </c>
      <c r="E277" s="3610">
        <f>Proforma!O43/100</f>
        <v>3543.9287006200075</v>
      </c>
      <c r="F277" s="3610">
        <f>Proforma!P43/100</f>
        <v>3587.4770389108012</v>
      </c>
      <c r="G277" s="3610">
        <f>Proforma!Q43/100</f>
        <v>3727.8745625905176</v>
      </c>
      <c r="H277" s="3610">
        <f>Proforma!R43/100</f>
        <v>3895.1072362751192</v>
      </c>
      <c r="I277" s="3610">
        <f>Proforma!S43/100</f>
        <v>3917.0548669141367</v>
      </c>
      <c r="J277" s="3610">
        <f>Proforma!T43/100</f>
        <v>3535.2728274774399</v>
      </c>
      <c r="K277" s="4575"/>
    </row>
    <row r="278" spans="2:13" s="709" customFormat="1">
      <c r="B278" s="709" t="s">
        <v>10873</v>
      </c>
      <c r="D278" s="3610">
        <f>Proforma!N44/100</f>
        <v>-11.801778529999996</v>
      </c>
      <c r="E278" s="3610">
        <f>Proforma!O44/100</f>
        <v>-504.86110453000003</v>
      </c>
      <c r="F278" s="3610">
        <f>Proforma!P44/100</f>
        <v>66.485582246185118</v>
      </c>
      <c r="G278" s="3610">
        <f>Proforma!Q44/100</f>
        <v>-9.9738873945906921</v>
      </c>
      <c r="H278" s="3610">
        <f>Proforma!R44/100</f>
        <v>-20.940767500964355</v>
      </c>
      <c r="I278" s="3610">
        <f>Proforma!S44/100</f>
        <v>-16.420198544949343</v>
      </c>
      <c r="J278" s="3610">
        <f>Proforma!T44/100</f>
        <v>-32.622152493556129</v>
      </c>
      <c r="K278" s="4575"/>
    </row>
    <row r="279" spans="2:13">
      <c r="B279" s="3609" t="s">
        <v>2224</v>
      </c>
      <c r="D279" s="3611">
        <f>Proforma!N45/100</f>
        <v>37.272713380000006</v>
      </c>
      <c r="E279" s="3611">
        <f>Proforma!O45/100</f>
        <v>128.61000000000001</v>
      </c>
      <c r="F279" s="3611">
        <f>Proforma!P45/100</f>
        <v>144.68823063330959</v>
      </c>
      <c r="G279" s="3611">
        <f>Proforma!Q45/100</f>
        <v>114.59753586733792</v>
      </c>
      <c r="H279" s="3611">
        <f>Proforma!R45/100</f>
        <v>143.7977811978943</v>
      </c>
      <c r="I279" s="3611">
        <f>Proforma!S45/100</f>
        <v>186.80353168419853</v>
      </c>
      <c r="J279" s="3611">
        <f>Proforma!T45/100</f>
        <v>216.65809191068533</v>
      </c>
    </row>
    <row r="280" spans="2:13">
      <c r="B280" s="4610" t="s">
        <v>10874</v>
      </c>
      <c r="D280" s="3613">
        <f>Proforma!N46</f>
        <v>2.5138615763368257E-2</v>
      </c>
      <c r="E280" s="3613">
        <f>Proforma!O46</f>
        <v>2.5138615763368257E-2</v>
      </c>
      <c r="F280" s="3613">
        <f>Proforma!P46</f>
        <v>2.5138615763368257E-2</v>
      </c>
      <c r="G280" s="3613">
        <f>Proforma!Q46</f>
        <v>2.5138615763368257E-2</v>
      </c>
      <c r="H280" s="3613">
        <f>Proforma!R46</f>
        <v>2.5138615763368257E-2</v>
      </c>
      <c r="I280" s="3613">
        <f>Proforma!S46</f>
        <v>2.5138615763368257E-2</v>
      </c>
      <c r="J280" s="3613">
        <f>Proforma!T46</f>
        <v>2.5138615763368257E-2</v>
      </c>
    </row>
    <row r="281" spans="2:13">
      <c r="B281" s="3609" t="s">
        <v>2584</v>
      </c>
      <c r="D281" s="3611">
        <f>Proforma!N47/100</f>
        <v>-12.730513219999999</v>
      </c>
      <c r="E281" s="3611">
        <f>Proforma!O47/100</f>
        <v>-48.42</v>
      </c>
      <c r="F281" s="3611">
        <f>Proforma!P47/100</f>
        <v>-78.202648387124469</v>
      </c>
      <c r="G281" s="3611">
        <f>Proforma!Q47/100</f>
        <v>-124.57142326192862</v>
      </c>
      <c r="H281" s="3611">
        <f>Proforma!R47/100</f>
        <v>-164.73854869885864</v>
      </c>
      <c r="I281" s="3611">
        <f>Proforma!S47/100</f>
        <v>-203.22373022914789</v>
      </c>
      <c r="J281" s="3611">
        <f>Proforma!T47/100</f>
        <v>-249.28024440424144</v>
      </c>
    </row>
    <row r="282" spans="2:13">
      <c r="B282" s="3609" t="s">
        <v>150</v>
      </c>
      <c r="D282" s="3611">
        <f>Proforma!N48/100</f>
        <v>-36.34397869</v>
      </c>
      <c r="E282" s="3611">
        <f>Proforma!O48/100</f>
        <v>-585.05110452999998</v>
      </c>
      <c r="F282" s="3611">
        <f>Proforma!P48/100</f>
        <v>0</v>
      </c>
      <c r="G282" s="3611">
        <f>Proforma!Q48/100</f>
        <v>0</v>
      </c>
      <c r="H282" s="3611">
        <f>Proforma!R48/100</f>
        <v>0</v>
      </c>
      <c r="I282" s="3611">
        <f>Proforma!S48/100</f>
        <v>0</v>
      </c>
      <c r="J282" s="3611">
        <f>Proforma!T48/100</f>
        <v>0</v>
      </c>
    </row>
    <row r="283" spans="2:13">
      <c r="B283" s="709" t="s">
        <v>10875</v>
      </c>
      <c r="C283" s="709"/>
      <c r="D283" s="3610">
        <f>Proforma!N49/100</f>
        <v>890.48049215999913</v>
      </c>
      <c r="E283" s="3610">
        <f>Proforma!O49/100</f>
        <v>3039.0675960900076</v>
      </c>
      <c r="F283" s="3610">
        <f>Proforma!P49/100</f>
        <v>3653.9626211569862</v>
      </c>
      <c r="G283" s="3610">
        <f>Proforma!Q49/100</f>
        <v>3717.9006751959269</v>
      </c>
      <c r="H283" s="3610">
        <f>Proforma!R49/100</f>
        <v>3874.166468774155</v>
      </c>
      <c r="I283" s="3610">
        <f>Proforma!S49/100</f>
        <v>3900.6346683691872</v>
      </c>
      <c r="J283" s="3610">
        <f>Proforma!T49/100</f>
        <v>3502.6506749838841</v>
      </c>
    </row>
    <row r="284" spans="2:13">
      <c r="B284" s="815" t="s">
        <v>152</v>
      </c>
      <c r="D284" s="3611">
        <f>Proforma!N50/100</f>
        <v>242.69000598999992</v>
      </c>
      <c r="E284" s="3611">
        <f>Proforma!O50/100</f>
        <v>746.16700289999994</v>
      </c>
      <c r="F284" s="3611">
        <f>Proforma!P50/100</f>
        <v>879.63895431999072</v>
      </c>
      <c r="G284" s="3611">
        <f>Proforma!Q50/100</f>
        <v>895.11196339741434</v>
      </c>
      <c r="H284" s="3611">
        <f>Proforma!R50/100</f>
        <v>932.92828544334554</v>
      </c>
      <c r="I284" s="3611">
        <f>Proforma!S50/100</f>
        <v>939.33358974534349</v>
      </c>
      <c r="J284" s="3611">
        <f>Proforma!T50/100</f>
        <v>843.02146334610006</v>
      </c>
    </row>
    <row r="285" spans="2:13">
      <c r="B285" s="709" t="s">
        <v>153</v>
      </c>
      <c r="C285" s="709"/>
      <c r="D285" s="3610">
        <f>Proforma!N51/100</f>
        <v>647.79048616999921</v>
      </c>
      <c r="E285" s="3610">
        <f>Proforma!O51/100</f>
        <v>2292.9005931900074</v>
      </c>
      <c r="F285" s="3610">
        <f>Proforma!P51/100</f>
        <v>2774.3236668369955</v>
      </c>
      <c r="G285" s="3610">
        <f>Proforma!Q51/100</f>
        <v>2822.7887117985124</v>
      </c>
      <c r="H285" s="3610">
        <f>Proforma!R51/100</f>
        <v>2941.2381833308091</v>
      </c>
      <c r="I285" s="3610">
        <f>Proforma!S51/100</f>
        <v>2961.3010786238442</v>
      </c>
      <c r="J285" s="3610">
        <f>Proforma!T51/100</f>
        <v>2659.629211637784</v>
      </c>
    </row>
    <row r="286" spans="2:13" s="1513" customFormat="1">
      <c r="B286" s="4577" t="s">
        <v>10876</v>
      </c>
      <c r="C286" s="4577"/>
      <c r="D286" s="4579">
        <f>D285/D272</f>
        <v>2.4471035516740541E-2</v>
      </c>
      <c r="E286" s="4579">
        <f t="shared" ref="E286:J286" si="28">E285/E272</f>
        <v>2.3157076968686692E-2</v>
      </c>
      <c r="F286" s="4579">
        <f t="shared" si="28"/>
        <v>2.6969479544860789E-2</v>
      </c>
      <c r="G286" s="4579">
        <f t="shared" si="28"/>
        <v>2.7956962959624635E-2</v>
      </c>
      <c r="H286" s="4579">
        <f t="shared" si="28"/>
        <v>3.0671176378908937E-2</v>
      </c>
      <c r="I286" s="4579">
        <f t="shared" si="28"/>
        <v>3.1001540917493232E-2</v>
      </c>
      <c r="J286" s="4579">
        <f t="shared" si="28"/>
        <v>2.7285456636493385E-2</v>
      </c>
      <c r="K286" s="4614"/>
    </row>
    <row r="288" spans="2:13">
      <c r="B288" s="817" t="s">
        <v>10972</v>
      </c>
      <c r="C288" s="4553"/>
      <c r="D288" s="4553"/>
      <c r="E288" s="4553"/>
      <c r="F288" s="4553"/>
      <c r="G288" s="4553"/>
      <c r="H288" s="4553"/>
      <c r="I288" s="4553"/>
      <c r="J288" s="4553"/>
      <c r="K288" s="4554"/>
      <c r="L288" s="4553"/>
      <c r="M288" s="4553"/>
    </row>
    <row r="290" spans="2:16">
      <c r="B290" s="4657" t="s">
        <v>5741</v>
      </c>
      <c r="C290" s="4658" t="s">
        <v>10971</v>
      </c>
      <c r="D290" s="4658" t="s">
        <v>1326</v>
      </c>
      <c r="E290" s="4658" t="s">
        <v>1327</v>
      </c>
      <c r="F290" s="4658" t="s">
        <v>1328</v>
      </c>
      <c r="G290" s="4658" t="s">
        <v>1329</v>
      </c>
      <c r="H290" s="4658" t="s">
        <v>10800</v>
      </c>
      <c r="J290" s="4657" t="s">
        <v>5741</v>
      </c>
      <c r="K290" s="4658" t="s">
        <v>10971</v>
      </c>
      <c r="L290" s="4658" t="s">
        <v>1326</v>
      </c>
      <c r="M290" s="4658" t="s">
        <v>1327</v>
      </c>
      <c r="N290" s="4658" t="s">
        <v>1328</v>
      </c>
      <c r="O290" s="4658" t="s">
        <v>1329</v>
      </c>
      <c r="P290" s="4658" t="s">
        <v>10800</v>
      </c>
    </row>
    <row r="291" spans="2:16">
      <c r="B291" s="4659" t="s">
        <v>3988</v>
      </c>
      <c r="C291" s="4660">
        <f>Proforma!O14/100</f>
        <v>29448.921574340002</v>
      </c>
      <c r="D291" s="4660">
        <f>Proforma!P14/100</f>
        <v>28605.111188748182</v>
      </c>
      <c r="E291" s="4660">
        <f>Proforma!Q14/100</f>
        <v>29312.661854286784</v>
      </c>
      <c r="F291" s="4660">
        <f>Proforma!R14/100</f>
        <v>29852.066597150359</v>
      </c>
      <c r="G291" s="4660">
        <f>Proforma!S14/100</f>
        <v>30944.218994059087</v>
      </c>
      <c r="H291" s="4660">
        <f>Proforma!T14/100</f>
        <v>32100.708075374925</v>
      </c>
      <c r="J291" s="4671" t="s">
        <v>2127</v>
      </c>
      <c r="K291" s="4672">
        <f>Proforma!O39/100</f>
        <v>99015.113016660005</v>
      </c>
      <c r="L291" s="4672">
        <f>Proforma!P39/100</f>
        <v>102869.01021661209</v>
      </c>
      <c r="M291" s="4672">
        <f>Proforma!Q39/100</f>
        <v>100969.07578534821</v>
      </c>
      <c r="N291" s="4672">
        <f>Proforma!R39/100</f>
        <v>95895.838718248648</v>
      </c>
      <c r="O291" s="4672">
        <f>Proforma!S39/100</f>
        <v>95521.093177432078</v>
      </c>
      <c r="P291" s="4672">
        <f>Proforma!T39/100</f>
        <v>97474.242306819928</v>
      </c>
    </row>
    <row r="292" spans="2:16">
      <c r="B292" s="4661" t="s">
        <v>3989</v>
      </c>
      <c r="C292" s="4662">
        <f>Proforma!O15/100</f>
        <v>5755.6164585699998</v>
      </c>
      <c r="D292" s="4662">
        <f>Proforma!P15/100</f>
        <v>4558.6255403262221</v>
      </c>
      <c r="E292" s="4662">
        <f>Proforma!Q15/100</f>
        <v>5720.1948807155477</v>
      </c>
      <c r="F292" s="4662">
        <f>Proforma!R15/100</f>
        <v>7430.9394535719348</v>
      </c>
      <c r="G292" s="4662">
        <f>Proforma!S15/100</f>
        <v>8618.5370726099136</v>
      </c>
      <c r="H292" s="4662">
        <f>Proforma!T15/100</f>
        <v>9264.6822685065199</v>
      </c>
      <c r="J292" s="4664" t="s">
        <v>141</v>
      </c>
      <c r="K292" s="4665">
        <f>Proforma!O40/100</f>
        <v>94532.287063790005</v>
      </c>
      <c r="L292" s="4665">
        <f>Proforma!P40/100</f>
        <v>98284.370148736241</v>
      </c>
      <c r="M292" s="4665">
        <f>Proforma!Q40/100</f>
        <v>96241.614571046564</v>
      </c>
      <c r="N292" s="4665">
        <f>Proforma!R40/100</f>
        <v>91013.975078193456</v>
      </c>
      <c r="O292" s="4665">
        <f>Proforma!S40/100</f>
        <v>90578.423207514497</v>
      </c>
      <c r="P292" s="4665">
        <f>Proforma!T40/100</f>
        <v>92919.863369984174</v>
      </c>
    </row>
    <row r="293" spans="2:16">
      <c r="B293" s="4661" t="s">
        <v>10860</v>
      </c>
      <c r="C293" s="4662">
        <f>(Proforma!O16+Proforma!O17)/100</f>
        <v>22543.13906668</v>
      </c>
      <c r="D293" s="4662">
        <f>(Proforma!P16+Proforma!P17)/100</f>
        <v>22896.31959933196</v>
      </c>
      <c r="E293" s="4662">
        <f>(Proforma!Q16+Proforma!Q17)/100</f>
        <v>22442.300924481238</v>
      </c>
      <c r="F293" s="4662">
        <f>(Proforma!R16+Proforma!R17)/100</f>
        <v>21270.961094488426</v>
      </c>
      <c r="G293" s="4662">
        <f>(Proforma!S16+Proforma!S17)/100</f>
        <v>21175.515872359178</v>
      </c>
      <c r="H293" s="4662">
        <f>(Proforma!T16+Proforma!T17)/100</f>
        <v>21685.859757778406</v>
      </c>
      <c r="J293" s="4673" t="s">
        <v>142</v>
      </c>
      <c r="K293" s="4681">
        <f>K291-K292</f>
        <v>4482.82595287</v>
      </c>
      <c r="L293" s="4681">
        <f t="shared" ref="L293:P293" si="29">L291-L292</f>
        <v>4584.6400678758509</v>
      </c>
      <c r="M293" s="4681">
        <f t="shared" si="29"/>
        <v>4727.461214301642</v>
      </c>
      <c r="N293" s="4681">
        <f t="shared" si="29"/>
        <v>4881.8636400551914</v>
      </c>
      <c r="O293" s="4681">
        <f t="shared" si="29"/>
        <v>4942.6699699175806</v>
      </c>
      <c r="P293" s="4681">
        <f t="shared" si="29"/>
        <v>4554.3789368357538</v>
      </c>
    </row>
    <row r="294" spans="2:16" ht="27">
      <c r="B294" s="4663" t="s">
        <v>4073</v>
      </c>
      <c r="C294" s="4679">
        <f>C291-C292-C293</f>
        <v>1150.1660490900031</v>
      </c>
      <c r="D294" s="4679">
        <f t="shared" ref="D294:H294" si="30">D291-D292-D293</f>
        <v>1150.1660490899994</v>
      </c>
      <c r="E294" s="4679">
        <f t="shared" si="30"/>
        <v>1150.1660490899994</v>
      </c>
      <c r="F294" s="4679">
        <f t="shared" si="30"/>
        <v>1150.1660490899958</v>
      </c>
      <c r="G294" s="4679">
        <f t="shared" si="30"/>
        <v>1150.1660490899958</v>
      </c>
      <c r="H294" s="4679">
        <f t="shared" si="30"/>
        <v>1150.1660490899994</v>
      </c>
      <c r="J294" s="4674" t="s">
        <v>10872</v>
      </c>
      <c r="K294" s="4675">
        <f>K293/K291</f>
        <v>4.5274158825791902E-2</v>
      </c>
      <c r="L294" s="4675">
        <f t="shared" ref="L294:P294" si="31">L293/L291</f>
        <v>4.4567747451073343E-2</v>
      </c>
      <c r="M294" s="4675">
        <f t="shared" si="31"/>
        <v>4.6820882310063212E-2</v>
      </c>
      <c r="N294" s="4675">
        <f t="shared" si="31"/>
        <v>5.0907982090845301E-2</v>
      </c>
      <c r="O294" s="4675">
        <f t="shared" si="31"/>
        <v>5.1744277682589809E-2</v>
      </c>
      <c r="P294" s="4675">
        <f t="shared" si="31"/>
        <v>4.6723922433784336E-2</v>
      </c>
    </row>
    <row r="295" spans="2:16" ht="27">
      <c r="B295" s="4664" t="s">
        <v>4090</v>
      </c>
      <c r="C295" s="4665">
        <f>Proforma!O19/100</f>
        <v>9610.700799369999</v>
      </c>
      <c r="D295" s="4665">
        <f>Proforma!P19/100</f>
        <v>10234.958670422928</v>
      </c>
      <c r="E295" s="4665">
        <f>Proforma!Q19/100</f>
        <v>10648.070097365207</v>
      </c>
      <c r="F295" s="4665">
        <f>Proforma!R19/100</f>
        <v>10830.698310096013</v>
      </c>
      <c r="G295" s="4665">
        <f>Proforma!S19/100</f>
        <v>11165.177981455328</v>
      </c>
      <c r="H295" s="4665">
        <f>Proforma!T19/100</f>
        <v>11470.108701133026</v>
      </c>
      <c r="J295" s="4664" t="s">
        <v>143</v>
      </c>
      <c r="K295" s="4665">
        <f>Proforma!O42/100</f>
        <v>938.89725225000007</v>
      </c>
      <c r="L295" s="4665">
        <f>Proforma!P42/100</f>
        <v>997.16302896505022</v>
      </c>
      <c r="M295" s="4665">
        <f>Proforma!Q42/100</f>
        <v>999.58665171112455</v>
      </c>
      <c r="N295" s="4665">
        <f>Proforma!R42/100</f>
        <v>986.75640378007142</v>
      </c>
      <c r="O295" s="4665">
        <f>Proforma!S42/100</f>
        <v>1025.6151030034553</v>
      </c>
      <c r="P295" s="4665">
        <f>Proforma!T42/100</f>
        <v>1019.1061093583106</v>
      </c>
    </row>
    <row r="296" spans="2:16">
      <c r="B296" s="4661" t="s">
        <v>10969</v>
      </c>
      <c r="C296" s="4662">
        <f>SUM(Proforma!O20:O22)/100</f>
        <v>8377.1869145500004</v>
      </c>
      <c r="D296" s="4662">
        <f>SUM(Proforma!P20:P22)/100</f>
        <v>9001.4447856029292</v>
      </c>
      <c r="E296" s="4662">
        <f>SUM(Proforma!Q20:Q22)/100</f>
        <v>9414.556212545207</v>
      </c>
      <c r="F296" s="4662">
        <f>SUM(Proforma!R20:R22)/100</f>
        <v>9597.1844252760111</v>
      </c>
      <c r="G296" s="4662">
        <f>SUM(Proforma!S20:S22)/100</f>
        <v>9931.664096635328</v>
      </c>
      <c r="H296" s="4662">
        <f>SUM(Proforma!T20:T22)/100</f>
        <v>10236.594816313025</v>
      </c>
      <c r="J296" s="4673" t="s">
        <v>144</v>
      </c>
      <c r="K296" s="4681">
        <f>K293-K295</f>
        <v>3543.9287006200002</v>
      </c>
      <c r="L296" s="4681">
        <f t="shared" ref="L296:P296" si="32">L293-L295</f>
        <v>3587.4770389108007</v>
      </c>
      <c r="M296" s="4681">
        <f t="shared" si="32"/>
        <v>3727.8745625905176</v>
      </c>
      <c r="N296" s="4681">
        <f t="shared" si="32"/>
        <v>3895.1072362751202</v>
      </c>
      <c r="O296" s="4681">
        <f t="shared" si="32"/>
        <v>3917.0548669141253</v>
      </c>
      <c r="P296" s="4681">
        <f t="shared" si="32"/>
        <v>3535.2728274774431</v>
      </c>
    </row>
    <row r="297" spans="2:16">
      <c r="B297" s="4663" t="s">
        <v>4246</v>
      </c>
      <c r="C297" s="4679">
        <f>C295-C296</f>
        <v>1233.5138848199986</v>
      </c>
      <c r="D297" s="4679">
        <f t="shared" ref="D297:H297" si="33">D295-D296</f>
        <v>1233.5138848199986</v>
      </c>
      <c r="E297" s="4679">
        <f t="shared" si="33"/>
        <v>1233.5138848200004</v>
      </c>
      <c r="F297" s="4679">
        <f t="shared" si="33"/>
        <v>1233.5138848200022</v>
      </c>
      <c r="G297" s="4679">
        <f t="shared" si="33"/>
        <v>1233.5138848200004</v>
      </c>
      <c r="H297" s="4679">
        <f t="shared" si="33"/>
        <v>1233.5138848200004</v>
      </c>
      <c r="J297" s="4674" t="s">
        <v>10970</v>
      </c>
      <c r="K297" s="4676">
        <f>K296/K291</f>
        <v>3.5791795743582183E-2</v>
      </c>
      <c r="L297" s="4676">
        <f t="shared" ref="L297:P297" si="34">L296/L291</f>
        <v>3.4874225302222915E-2</v>
      </c>
      <c r="M297" s="4676">
        <f t="shared" si="34"/>
        <v>3.6920953604801403E-2</v>
      </c>
      <c r="N297" s="4676">
        <f t="shared" si="34"/>
        <v>4.0618104897328505E-2</v>
      </c>
      <c r="O297" s="4676">
        <f t="shared" si="34"/>
        <v>4.1007224023683737E-2</v>
      </c>
      <c r="P297" s="4676">
        <f t="shared" si="34"/>
        <v>3.6268790029159247E-2</v>
      </c>
    </row>
    <row r="298" spans="2:16">
      <c r="B298" s="4666" t="s">
        <v>10867</v>
      </c>
      <c r="C298" s="4667">
        <f>C295+C291</f>
        <v>39059.622373710001</v>
      </c>
      <c r="D298" s="4667">
        <f t="shared" ref="D298:H298" si="35">D295+D291</f>
        <v>38840.069859171112</v>
      </c>
      <c r="E298" s="4667">
        <f t="shared" si="35"/>
        <v>39960.731951651993</v>
      </c>
      <c r="F298" s="4667">
        <f t="shared" si="35"/>
        <v>40682.764907246368</v>
      </c>
      <c r="G298" s="4667">
        <f t="shared" si="35"/>
        <v>42109.396975514413</v>
      </c>
      <c r="H298" s="4667">
        <f t="shared" si="35"/>
        <v>43570.816776507949</v>
      </c>
      <c r="J298" s="4664" t="s">
        <v>10828</v>
      </c>
      <c r="K298" s="4665">
        <f>Proforma!O64/100</f>
        <v>827.48</v>
      </c>
      <c r="L298" s="4665">
        <f>Proforma!P64/100</f>
        <v>852.20087366622533</v>
      </c>
      <c r="M298" s="4665">
        <f>Proforma!Q64/100</f>
        <v>879.973232200967</v>
      </c>
      <c r="N298" s="4665">
        <f>Proforma!R64/100</f>
        <v>916.09730217154686</v>
      </c>
      <c r="O298" s="4665">
        <f>Proforma!S64/100</f>
        <v>975.32661934210307</v>
      </c>
      <c r="P298" s="4665">
        <f>Proforma!T64/100</f>
        <v>1004.8755710237243</v>
      </c>
    </row>
    <row r="299" spans="2:16">
      <c r="B299" s="4664" t="s">
        <v>4267</v>
      </c>
      <c r="C299" s="4665">
        <f>Proforma!O25/100</f>
        <v>16008.55445922</v>
      </c>
      <c r="D299" s="4665">
        <f>Proforma!P25/100</f>
        <v>16394.008277844125</v>
      </c>
      <c r="E299" s="4665">
        <f>Proforma!Q25/100</f>
        <v>16079.043491944985</v>
      </c>
      <c r="F299" s="4665">
        <f>Proforma!R25/100</f>
        <v>15271.232620107816</v>
      </c>
      <c r="G299" s="4665">
        <f>Proforma!S25/100</f>
        <v>15207.182701417425</v>
      </c>
      <c r="H299" s="4665">
        <f>Proforma!T25/100</f>
        <v>15489.623830085087</v>
      </c>
      <c r="J299" s="4673" t="s">
        <v>3813</v>
      </c>
      <c r="K299" s="4681">
        <f>K296+K298</f>
        <v>4371.4087006200007</v>
      </c>
      <c r="L299" s="4681">
        <f t="shared" ref="L299:P299" si="36">L296+L298</f>
        <v>4439.6779125770263</v>
      </c>
      <c r="M299" s="4681">
        <f t="shared" si="36"/>
        <v>4607.8477947914844</v>
      </c>
      <c r="N299" s="4681">
        <f t="shared" si="36"/>
        <v>4811.2045384466674</v>
      </c>
      <c r="O299" s="4681">
        <f t="shared" si="36"/>
        <v>4892.3814862562285</v>
      </c>
      <c r="P299" s="4681">
        <f t="shared" si="36"/>
        <v>4540.1483985011673</v>
      </c>
    </row>
    <row r="300" spans="2:16">
      <c r="B300" s="4661" t="s">
        <v>10861</v>
      </c>
      <c r="C300" s="4662">
        <f>SUM(Proforma!O26:O27)/100</f>
        <v>14276.788334110001</v>
      </c>
      <c r="D300" s="4662">
        <f>SUM(Proforma!P26:P27)/100</f>
        <v>14528.77020131413</v>
      </c>
      <c r="E300" s="4662">
        <f>SUM(Proforma!Q26:Q27)/100</f>
        <v>14198.332406337569</v>
      </c>
      <c r="F300" s="4662">
        <f>SUM(Proforma!R26:R27)/100</f>
        <v>13352.705212454468</v>
      </c>
      <c r="G300" s="4662">
        <f>SUM(Proforma!S26:S27)/100</f>
        <v>13282.249989462078</v>
      </c>
      <c r="H300" s="4662">
        <f>SUM(Proforma!T26:T27)/100</f>
        <v>13661.003244528985</v>
      </c>
      <c r="J300" s="4674" t="s">
        <v>10829</v>
      </c>
      <c r="K300" s="4675">
        <f>K299/K291</f>
        <v>4.4148903813142945E-2</v>
      </c>
      <c r="L300" s="4675">
        <f t="shared" ref="L300:P300" si="37">L299/L291</f>
        <v>4.3158555751905858E-2</v>
      </c>
      <c r="M300" s="4675">
        <f t="shared" si="37"/>
        <v>4.5636228310016257E-2</v>
      </c>
      <c r="N300" s="4675">
        <f t="shared" si="37"/>
        <v>5.0171150310103205E-2</v>
      </c>
      <c r="O300" s="4675">
        <f t="shared" si="37"/>
        <v>5.1217812982610508E-2</v>
      </c>
      <c r="P300" s="4675">
        <f t="shared" si="37"/>
        <v>4.6577929625860853E-2</v>
      </c>
    </row>
    <row r="301" spans="2:16">
      <c r="B301" s="4663" t="s">
        <v>4314</v>
      </c>
      <c r="C301" s="4679">
        <f>C299-C300</f>
        <v>1731.7661251099998</v>
      </c>
      <c r="D301" s="4679">
        <f t="shared" ref="D301:H301" si="38">D299-D300</f>
        <v>1865.2380765299949</v>
      </c>
      <c r="E301" s="4679">
        <f t="shared" si="38"/>
        <v>1880.711085607416</v>
      </c>
      <c r="F301" s="4679">
        <f t="shared" si="38"/>
        <v>1918.5274076533478</v>
      </c>
      <c r="G301" s="4679">
        <f t="shared" si="38"/>
        <v>1924.9327119553473</v>
      </c>
      <c r="H301" s="4679">
        <f t="shared" si="38"/>
        <v>1828.620585556102</v>
      </c>
      <c r="J301" s="4664" t="s">
        <v>10873</v>
      </c>
      <c r="K301" s="4682">
        <f>Proforma!O44/100</f>
        <v>-504.86110453000003</v>
      </c>
      <c r="L301" s="4682">
        <f>Proforma!P44/100</f>
        <v>66.485582246185118</v>
      </c>
      <c r="M301" s="4682">
        <f>Proforma!Q44/100</f>
        <v>-9.9738873945906921</v>
      </c>
      <c r="N301" s="4682">
        <f>Proforma!R44/100</f>
        <v>-20.940767500964355</v>
      </c>
      <c r="O301" s="4682">
        <f>Proforma!S44/100</f>
        <v>-16.420198544949343</v>
      </c>
      <c r="P301" s="4682">
        <f>Proforma!T44/100</f>
        <v>-32.622152493556129</v>
      </c>
    </row>
    <row r="302" spans="2:16">
      <c r="B302" s="4668" t="s">
        <v>4325</v>
      </c>
      <c r="C302" s="4680">
        <f>Proforma!O30/100</f>
        <v>107.0560936</v>
      </c>
      <c r="D302" s="4680">
        <f>Proforma!P30/100</f>
        <v>107.0560936</v>
      </c>
      <c r="E302" s="4680">
        <f>Proforma!Q30/100</f>
        <v>107.0560936</v>
      </c>
      <c r="F302" s="4680">
        <f>Proforma!R30/100</f>
        <v>107.0560936</v>
      </c>
      <c r="G302" s="4680">
        <f>Proforma!S30/100</f>
        <v>107.0560936</v>
      </c>
      <c r="H302" s="4680">
        <f>Proforma!T30/100</f>
        <v>107.0560936</v>
      </c>
      <c r="J302" s="4661" t="s">
        <v>152</v>
      </c>
      <c r="K302" s="4662">
        <f>Proforma!O50/100</f>
        <v>746.16700289999994</v>
      </c>
      <c r="L302" s="4662">
        <f>Proforma!P50/100</f>
        <v>879.63895431999072</v>
      </c>
      <c r="M302" s="4662">
        <f>Proforma!Q50/100</f>
        <v>895.11196339741434</v>
      </c>
      <c r="N302" s="4662">
        <f>Proforma!R50/100</f>
        <v>932.92828544334554</v>
      </c>
      <c r="O302" s="4662">
        <f>Proforma!S50/100</f>
        <v>939.33358974534349</v>
      </c>
      <c r="P302" s="4662">
        <f>Proforma!T50/100</f>
        <v>843.02146334610006</v>
      </c>
    </row>
    <row r="303" spans="2:16">
      <c r="B303" s="4666" t="s">
        <v>10869</v>
      </c>
      <c r="C303" s="4667">
        <f>C302+C299</f>
        <v>16115.610552820001</v>
      </c>
      <c r="D303" s="4667">
        <f t="shared" ref="D303:H303" si="39">D302+D299</f>
        <v>16501.064371444125</v>
      </c>
      <c r="E303" s="4667">
        <f t="shared" si="39"/>
        <v>16186.099585544986</v>
      </c>
      <c r="F303" s="4667">
        <f t="shared" si="39"/>
        <v>15378.288713707816</v>
      </c>
      <c r="G303" s="4667">
        <f t="shared" si="39"/>
        <v>15314.238795017425</v>
      </c>
      <c r="H303" s="4667">
        <f t="shared" si="39"/>
        <v>15596.679923685087</v>
      </c>
      <c r="J303" s="4673" t="s">
        <v>153</v>
      </c>
      <c r="K303" s="4681">
        <f>K296+K301-K302</f>
        <v>2292.9005931900001</v>
      </c>
      <c r="L303" s="4681">
        <f t="shared" ref="L303:P303" si="40">L296+L301-L302</f>
        <v>2774.323666836995</v>
      </c>
      <c r="M303" s="4681">
        <f t="shared" si="40"/>
        <v>2822.7887117985124</v>
      </c>
      <c r="N303" s="4681">
        <f t="shared" si="40"/>
        <v>2941.2381833308104</v>
      </c>
      <c r="O303" s="4681">
        <f t="shared" si="40"/>
        <v>2961.3010786238324</v>
      </c>
      <c r="P303" s="4681">
        <f t="shared" si="40"/>
        <v>2659.6292116377867</v>
      </c>
    </row>
    <row r="304" spans="2:16" ht="27">
      <c r="B304" s="4669" t="s">
        <v>10870</v>
      </c>
      <c r="C304" s="4670">
        <f>C298-C303</f>
        <v>22944.011820890002</v>
      </c>
      <c r="D304" s="4670">
        <f t="shared" ref="D304:H304" si="41">D298-D303</f>
        <v>22339.005487726987</v>
      </c>
      <c r="E304" s="4670">
        <f t="shared" si="41"/>
        <v>23774.632366107006</v>
      </c>
      <c r="F304" s="4670">
        <f t="shared" si="41"/>
        <v>25304.476193538554</v>
      </c>
      <c r="G304" s="4670">
        <f t="shared" si="41"/>
        <v>26795.15818049699</v>
      </c>
      <c r="H304" s="4670">
        <f t="shared" si="41"/>
        <v>27974.136852822863</v>
      </c>
      <c r="J304" s="4677" t="s">
        <v>10876</v>
      </c>
      <c r="K304" s="4678">
        <f>K303/K291</f>
        <v>2.3157076968686619E-2</v>
      </c>
      <c r="L304" s="4678">
        <f t="shared" ref="L304:P304" si="42">L303/L291</f>
        <v>2.6969479544860786E-2</v>
      </c>
      <c r="M304" s="4678">
        <f t="shared" si="42"/>
        <v>2.7956962959624635E-2</v>
      </c>
      <c r="N304" s="4678">
        <f t="shared" si="42"/>
        <v>3.0671176378908951E-2</v>
      </c>
      <c r="O304" s="4678">
        <f t="shared" si="42"/>
        <v>3.100154091749311E-2</v>
      </c>
      <c r="P304" s="4678">
        <f t="shared" si="42"/>
        <v>2.7285456636493413E-2</v>
      </c>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A1:S19"/>
  <sheetViews>
    <sheetView showGridLines="0" workbookViewId="0">
      <selection activeCell="H7" sqref="H7"/>
    </sheetView>
  </sheetViews>
  <sheetFormatPr defaultColWidth="9" defaultRowHeight="12"/>
  <cols>
    <col min="1" max="1" width="4.625" style="3" customWidth="1"/>
    <col min="2" max="5" width="1.625" style="3" customWidth="1"/>
    <col min="6" max="7" width="9" style="3"/>
    <col min="8" max="8" width="9.75" style="3" bestFit="1" customWidth="1"/>
    <col min="9" max="16384" width="9" style="3"/>
  </cols>
  <sheetData>
    <row r="1" spans="1:19">
      <c r="A1" s="2" t="str">
        <f ca="1">MID(CELL("filename",A1),FIND("]",CELL("filename",A1))+1,255)</f>
        <v>General</v>
      </c>
      <c r="B1" s="2"/>
      <c r="C1" s="2"/>
      <c r="D1" s="2"/>
      <c r="E1" s="2"/>
      <c r="F1" s="2"/>
      <c r="G1" s="2"/>
      <c r="H1" s="2"/>
      <c r="I1" s="2"/>
      <c r="J1" s="2"/>
      <c r="K1" s="2"/>
      <c r="L1" s="2"/>
      <c r="M1" s="2"/>
      <c r="N1" s="2"/>
      <c r="O1" s="2"/>
      <c r="P1" s="2"/>
      <c r="Q1" s="2"/>
      <c r="R1" s="2"/>
      <c r="S1" s="2"/>
    </row>
    <row r="3" spans="1:19">
      <c r="B3" s="4" t="s">
        <v>0</v>
      </c>
      <c r="C3" s="4"/>
      <c r="D3" s="4"/>
      <c r="E3" s="4"/>
      <c r="F3" s="4"/>
      <c r="G3" s="4"/>
      <c r="H3" s="4"/>
    </row>
    <row r="4" spans="1:19">
      <c r="B4" s="5" t="s">
        <v>1</v>
      </c>
      <c r="C4" s="5"/>
      <c r="D4" s="5"/>
      <c r="E4" s="5"/>
      <c r="F4" s="5"/>
      <c r="G4" s="5"/>
      <c r="H4" s="6">
        <v>44469</v>
      </c>
    </row>
    <row r="5" spans="1:19">
      <c r="B5" s="5" t="s">
        <v>2</v>
      </c>
      <c r="C5" s="5"/>
      <c r="D5" s="5"/>
      <c r="E5" s="5"/>
      <c r="F5" s="5"/>
      <c r="G5" s="5"/>
      <c r="H5" s="7">
        <f>H4</f>
        <v>44469</v>
      </c>
    </row>
    <row r="6" spans="1:19">
      <c r="B6" s="5" t="s">
        <v>3</v>
      </c>
      <c r="C6" s="5"/>
      <c r="D6" s="5"/>
      <c r="E6" s="5"/>
      <c r="F6" s="5"/>
      <c r="G6" s="5"/>
      <c r="H6" s="7">
        <f>IF(H4=DATE(YEAR(H4),12,31),DATE(YEAR(H4+1),12,31),DATE(YEAR(H4),12,31))</f>
        <v>44561</v>
      </c>
    </row>
    <row r="7" spans="1:19" ht="13.5">
      <c r="B7" s="8" t="s">
        <v>4</v>
      </c>
      <c r="C7" s="8"/>
      <c r="D7" s="8"/>
      <c r="E7" s="8"/>
      <c r="F7" s="8"/>
      <c r="G7" s="8"/>
      <c r="H7" s="9">
        <f>(H6-H4)/365</f>
        <v>0.25205479452054796</v>
      </c>
    </row>
    <row r="9" spans="1:19">
      <c r="B9" s="4" t="s">
        <v>20</v>
      </c>
      <c r="C9" s="4"/>
      <c r="D9" s="4"/>
      <c r="E9" s="4"/>
      <c r="F9" s="4"/>
      <c r="G9" s="4"/>
      <c r="H9" s="4"/>
      <c r="I9" s="10" t="s">
        <v>5</v>
      </c>
      <c r="J9" s="10" t="s">
        <v>6</v>
      </c>
      <c r="K9" s="10" t="s">
        <v>7</v>
      </c>
      <c r="L9" s="10" t="s">
        <v>8</v>
      </c>
      <c r="M9" s="10" t="s">
        <v>9</v>
      </c>
      <c r="N9" s="10" t="s">
        <v>5102</v>
      </c>
    </row>
    <row r="10" spans="1:19">
      <c r="B10" s="3" t="s">
        <v>10</v>
      </c>
      <c r="I10" s="11">
        <v>1.7000000000000001E-2</v>
      </c>
      <c r="J10" s="4911">
        <v>0.01</v>
      </c>
      <c r="K10" s="4911">
        <v>9.0000000000000011E-3</v>
      </c>
      <c r="L10" s="4911">
        <v>6.9999999999999993E-3</v>
      </c>
      <c r="M10" s="4911">
        <v>8.0000000000000002E-3</v>
      </c>
      <c r="N10" s="4911">
        <v>4.0000000000000001E-3</v>
      </c>
    </row>
    <row r="11" spans="1:19">
      <c r="B11" s="3" t="s">
        <v>11</v>
      </c>
      <c r="I11" s="11">
        <v>2.2000000000000002E-2</v>
      </c>
      <c r="J11" s="4911">
        <v>1.9E-2</v>
      </c>
      <c r="K11" s="4911">
        <v>1.2E-2</v>
      </c>
      <c r="L11" s="4911">
        <v>1.6E-2</v>
      </c>
      <c r="M11" s="4911">
        <v>1.3000000000000001E-2</v>
      </c>
      <c r="N11" s="4911">
        <v>1.4999999999999999E-2</v>
      </c>
    </row>
    <row r="12" spans="1:19">
      <c r="B12" s="3" t="s">
        <v>12</v>
      </c>
      <c r="I12" s="11">
        <v>5.9000000000000004E-2</v>
      </c>
      <c r="J12" s="4911">
        <v>2.4E-2</v>
      </c>
      <c r="K12" s="4911">
        <v>0.01</v>
      </c>
      <c r="L12" s="4911">
        <v>1.3999999999999999E-2</v>
      </c>
      <c r="M12" s="4911">
        <v>0.02</v>
      </c>
      <c r="N12" s="4911">
        <v>1.7000000000000001E-2</v>
      </c>
    </row>
    <row r="13" spans="1:19">
      <c r="B13" s="12" t="s">
        <v>13</v>
      </c>
      <c r="C13" s="12"/>
      <c r="D13" s="12"/>
      <c r="E13" s="12"/>
      <c r="F13" s="12"/>
      <c r="G13" s="12"/>
      <c r="H13" s="12"/>
      <c r="I13" s="13">
        <v>5.5999999999999994E-2</v>
      </c>
      <c r="J13" s="5021">
        <v>0.03</v>
      </c>
      <c r="K13" s="5021">
        <v>1.9E-2</v>
      </c>
      <c r="L13" s="5021">
        <v>3.9E-2</v>
      </c>
      <c r="M13" s="5021">
        <v>3.3000000000000002E-2</v>
      </c>
      <c r="N13" s="5021">
        <v>4.0999999999999995E-2</v>
      </c>
    </row>
    <row r="15" spans="1:19">
      <c r="B15" s="4" t="s">
        <v>14</v>
      </c>
      <c r="C15" s="4"/>
      <c r="D15" s="4"/>
      <c r="E15" s="4"/>
      <c r="F15" s="4"/>
      <c r="G15" s="4"/>
      <c r="H15" s="4"/>
    </row>
    <row r="16" spans="1:19">
      <c r="B16" s="3" t="s">
        <v>15</v>
      </c>
      <c r="H16" s="3" t="s">
        <v>16</v>
      </c>
    </row>
    <row r="17" spans="2:19">
      <c r="B17" s="15" t="s">
        <v>15</v>
      </c>
      <c r="H17" s="15" t="s">
        <v>17</v>
      </c>
    </row>
    <row r="18" spans="2:19">
      <c r="B18" s="16" t="s">
        <v>15</v>
      </c>
      <c r="H18" s="16" t="s">
        <v>18</v>
      </c>
      <c r="J18" s="14"/>
      <c r="K18" s="14"/>
      <c r="L18" s="14"/>
      <c r="M18" s="14"/>
      <c r="N18" s="14"/>
      <c r="O18" s="14"/>
      <c r="P18" s="14"/>
      <c r="Q18" s="14"/>
      <c r="R18" s="14"/>
      <c r="S18" s="14"/>
    </row>
    <row r="19" spans="2:19">
      <c r="B19" s="17" t="s">
        <v>15</v>
      </c>
      <c r="C19" s="18"/>
      <c r="D19" s="18"/>
      <c r="E19" s="12"/>
      <c r="F19" s="12"/>
      <c r="G19" s="12"/>
      <c r="H19" s="17" t="s">
        <v>19</v>
      </c>
    </row>
  </sheetData>
  <phoneticPr fontId="1" type="noConversion"/>
  <conditionalFormatting sqref="I9:J9">
    <cfRule type="cellIs" dxfId="1904" priority="1" operator="equal">
      <formula>"X"</formula>
    </cfRule>
    <cfRule type="cellIs" dxfId="1903" priority="2" operator="equal">
      <formula>"O"</formula>
    </cfRule>
    <cfRule type="cellIs" dxfId="1902" priority="3" operator="equal">
      <formula>"미정"</formula>
    </cfRule>
    <cfRule type="cellIs" dxfId="1901" priority="4" operator="equal">
      <formula>"예정"</formula>
    </cfRule>
    <cfRule type="cellIs" dxfId="1900" priority="5" operator="equal">
      <formula>"확정"</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sheetPr>
  <dimension ref="A1:AB707"/>
  <sheetViews>
    <sheetView showGridLines="0" topLeftCell="A505" workbookViewId="0">
      <selection activeCell="Q533" sqref="Q533"/>
    </sheetView>
  </sheetViews>
  <sheetFormatPr defaultColWidth="9" defaultRowHeight="12" customHeight="1" outlineLevelCol="1"/>
  <cols>
    <col min="1" max="1" width="4.625" style="3" customWidth="1"/>
    <col min="2" max="2" width="1.625" style="3" customWidth="1"/>
    <col min="3" max="6" width="9" style="3"/>
    <col min="7" max="12" width="9" style="3" customWidth="1"/>
    <col min="13" max="14" width="9" style="3" customWidth="1" outlineLevel="1"/>
    <col min="15" max="20" width="9" style="3" customWidth="1"/>
    <col min="21" max="21" width="1.625" style="3" customWidth="1"/>
    <col min="22" max="24" width="9" style="3"/>
    <col min="25" max="25" width="8.875" style="3" customWidth="1"/>
    <col min="26" max="16384" width="9" style="3"/>
  </cols>
  <sheetData>
    <row r="1" spans="1:25" ht="12" customHeight="1">
      <c r="A1" s="2" t="str">
        <f ca="1">MID(CELL("filename",A1),FIND("]",CELL("filename",A1))+1,255)</f>
        <v>Assumption</v>
      </c>
      <c r="B1" s="2"/>
      <c r="C1" s="2"/>
      <c r="D1" s="2"/>
      <c r="E1" s="2"/>
      <c r="F1" s="2"/>
      <c r="G1" s="2"/>
      <c r="H1" s="2"/>
      <c r="I1" s="2"/>
      <c r="J1" s="2"/>
      <c r="K1" s="2"/>
      <c r="L1" s="2"/>
      <c r="M1" s="2"/>
      <c r="N1" s="2"/>
      <c r="O1" s="2"/>
      <c r="P1" s="2"/>
      <c r="Q1" s="2"/>
      <c r="R1" s="2"/>
      <c r="S1" s="2"/>
      <c r="T1" s="2"/>
      <c r="U1" s="2"/>
      <c r="V1" s="2"/>
      <c r="W1" s="2"/>
      <c r="X1" s="4405" t="s">
        <v>54</v>
      </c>
      <c r="Y1" s="4406">
        <f>DCF!$G$36</f>
        <v>2430895.4833918116</v>
      </c>
    </row>
    <row r="2" spans="1:25" ht="12" customHeight="1">
      <c r="C2" s="248"/>
      <c r="D2" s="36"/>
    </row>
    <row r="3" spans="1:25" customFormat="1" ht="12" customHeight="1">
      <c r="A3" s="20" t="s">
        <v>6705</v>
      </c>
      <c r="B3" s="21" t="s">
        <v>3650</v>
      </c>
      <c r="C3" s="21"/>
      <c r="D3" s="102"/>
      <c r="E3" s="102"/>
      <c r="F3" s="102"/>
      <c r="G3" s="102"/>
      <c r="H3" s="102"/>
      <c r="I3" s="102"/>
      <c r="J3" s="102"/>
      <c r="K3" s="102"/>
      <c r="L3" s="102"/>
      <c r="M3" s="102"/>
      <c r="N3" s="102"/>
      <c r="O3" s="102"/>
      <c r="P3" s="102"/>
      <c r="Q3" s="102"/>
      <c r="R3" s="102"/>
      <c r="S3" s="102"/>
      <c r="T3" s="102"/>
      <c r="U3" s="102"/>
      <c r="V3" s="102"/>
      <c r="W3" s="102"/>
      <c r="X3" s="102"/>
      <c r="Y3" s="102"/>
    </row>
    <row r="4" spans="1:25" ht="12" customHeight="1" thickBot="1">
      <c r="C4" s="248"/>
      <c r="D4" s="248"/>
      <c r="E4" s="36"/>
    </row>
    <row r="5" spans="1:25" ht="12" customHeight="1" thickBot="1">
      <c r="C5" s="290" t="s">
        <v>11027</v>
      </c>
      <c r="D5" s="3005" t="s">
        <v>11028</v>
      </c>
      <c r="E5" s="36"/>
    </row>
    <row r="6" spans="1:25" ht="12" customHeight="1">
      <c r="C6" s="248"/>
      <c r="D6" s="248"/>
      <c r="E6" s="36"/>
    </row>
    <row r="7" spans="1:25" ht="12" customHeight="1" thickBot="1">
      <c r="C7" s="290" t="s">
        <v>6762</v>
      </c>
      <c r="D7" s="290" t="s">
        <v>354</v>
      </c>
      <c r="E7" s="290"/>
      <c r="F7" s="290" t="s">
        <v>3650</v>
      </c>
      <c r="G7" s="2041" t="s">
        <v>6626</v>
      </c>
      <c r="H7" s="2041"/>
      <c r="I7" s="2041"/>
      <c r="J7" s="2041"/>
      <c r="K7" s="2041"/>
      <c r="L7" s="2041"/>
      <c r="M7" s="2041"/>
      <c r="N7" s="2041"/>
      <c r="O7" s="2041"/>
      <c r="P7" s="2041"/>
      <c r="Q7" s="2041"/>
      <c r="R7" s="2041"/>
    </row>
    <row r="8" spans="1:25" ht="12" customHeight="1" thickBot="1">
      <c r="C8" s="110" t="s">
        <v>3653</v>
      </c>
      <c r="D8" s="3" t="s">
        <v>6766</v>
      </c>
      <c r="F8" s="3005" t="s">
        <v>6722</v>
      </c>
      <c r="G8" s="289" t="str">
        <f>IF(F8="Base",D72,D70)</f>
        <v>CDD 추정치 준용</v>
      </c>
    </row>
    <row r="9" spans="1:25" ht="12" customHeight="1" thickBot="1">
      <c r="C9" s="110" t="s">
        <v>3653</v>
      </c>
      <c r="D9" s="3" t="s">
        <v>6767</v>
      </c>
      <c r="F9" s="3005" t="s">
        <v>6722</v>
      </c>
      <c r="G9" s="289" t="str">
        <f>IF(F9="Base",D165,D162)</f>
        <v>CDD 추정치 준용</v>
      </c>
    </row>
    <row r="10" spans="1:25" ht="12" customHeight="1" thickBot="1">
      <c r="C10" s="110" t="s">
        <v>3653</v>
      </c>
      <c r="D10" s="3" t="s">
        <v>6768</v>
      </c>
      <c r="F10" s="3005" t="s">
        <v>6722</v>
      </c>
      <c r="G10" s="289" t="str">
        <f>IF(F10="Base",D231,D232)</f>
        <v>2021년 3m은 현재 수준 유지, 이후 과거 평균 수준의 채취율 유지 가정</v>
      </c>
    </row>
    <row r="11" spans="1:25" ht="12" customHeight="1" thickBot="1">
      <c r="C11" s="110" t="s">
        <v>3651</v>
      </c>
      <c r="D11" s="3" t="s">
        <v>6765</v>
      </c>
      <c r="F11" s="3005" t="s">
        <v>6722</v>
      </c>
      <c r="G11" s="289" t="str">
        <f>IF(F11="Base",D33,D35)</f>
        <v>CDD 추정치 준용</v>
      </c>
    </row>
    <row r="12" spans="1:25" ht="12" customHeight="1" thickBot="1">
      <c r="C12" s="110" t="s">
        <v>6777</v>
      </c>
      <c r="D12" s="3" t="s">
        <v>4913</v>
      </c>
      <c r="F12" s="3005" t="s">
        <v>6722</v>
      </c>
      <c r="G12" s="289" t="str">
        <f>IF(F12="Base",D125,D127)</f>
        <v>CDD Upside case 추정치 준용(~24년: 사업계획 판매량 적용 / 25년 이후 Silver소재 판매량 지속 증가)</v>
      </c>
    </row>
    <row r="13" spans="1:25" ht="12" customHeight="1" thickBot="1">
      <c r="C13" s="1950" t="s">
        <v>6777</v>
      </c>
      <c r="D13" s="12" t="s">
        <v>3644</v>
      </c>
      <c r="E13" s="12"/>
      <c r="F13" s="3005" t="s">
        <v>6722</v>
      </c>
      <c r="G13" s="1954" t="e">
        <f>IF(F13="Base",#REF!,#REF!)</f>
        <v>#REF!</v>
      </c>
      <c r="H13" s="12"/>
      <c r="I13" s="12"/>
      <c r="J13" s="12"/>
      <c r="K13" s="12"/>
      <c r="L13" s="12"/>
      <c r="M13" s="12"/>
      <c r="N13" s="12"/>
      <c r="O13" s="12"/>
      <c r="P13" s="12"/>
      <c r="Q13" s="12"/>
      <c r="R13" s="12"/>
    </row>
    <row r="15" spans="1:25" customFormat="1" ht="12" customHeight="1">
      <c r="A15" s="20" t="s">
        <v>21</v>
      </c>
      <c r="B15" s="21" t="s">
        <v>29</v>
      </c>
      <c r="C15" s="21"/>
      <c r="D15" s="102"/>
      <c r="E15" s="102"/>
      <c r="F15" s="102"/>
      <c r="G15" s="102"/>
      <c r="H15" s="102"/>
      <c r="I15" s="102"/>
      <c r="J15" s="102"/>
      <c r="K15" s="102"/>
      <c r="L15" s="102"/>
      <c r="M15" s="102"/>
      <c r="N15" s="102"/>
      <c r="O15" s="102"/>
      <c r="P15" s="102"/>
      <c r="Q15" s="102"/>
      <c r="R15" s="102"/>
      <c r="S15" s="102"/>
      <c r="T15" s="102"/>
      <c r="U15" s="102"/>
      <c r="V15" s="102"/>
      <c r="W15" s="102"/>
      <c r="X15" s="102"/>
      <c r="Y15" s="102"/>
    </row>
    <row r="16" spans="1:25" customFormat="1" ht="12" customHeight="1">
      <c r="A16" s="1918"/>
      <c r="B16" s="555" t="s">
        <v>3483</v>
      </c>
      <c r="C16" s="555"/>
      <c r="D16" s="1919"/>
      <c r="E16" s="1919"/>
      <c r="F16" s="1919"/>
      <c r="G16" s="1919"/>
      <c r="H16" s="1919"/>
      <c r="I16" s="1919"/>
      <c r="J16" s="1919"/>
      <c r="K16" s="1919"/>
      <c r="L16" s="1919"/>
      <c r="M16" s="1919"/>
      <c r="N16" s="1919"/>
      <c r="O16" s="1919"/>
      <c r="P16" s="1919"/>
      <c r="Q16" s="1919"/>
      <c r="R16" s="1919"/>
      <c r="S16" s="1919"/>
      <c r="T16" s="1919"/>
      <c r="U16" s="1919"/>
      <c r="V16" s="1919"/>
      <c r="W16" s="1919"/>
      <c r="X16" s="1919"/>
      <c r="Y16" s="1919"/>
    </row>
    <row r="18" spans="2:28" ht="12" customHeight="1">
      <c r="B18" s="203" t="s">
        <v>1279</v>
      </c>
      <c r="C18" s="203"/>
      <c r="N18" s="105"/>
      <c r="P18" s="105"/>
      <c r="Q18" s="105"/>
      <c r="R18" s="105"/>
      <c r="S18" s="105"/>
      <c r="T18" s="105"/>
    </row>
    <row r="19" spans="2:28" ht="12" customHeight="1">
      <c r="B19" s="24"/>
      <c r="C19" s="24"/>
      <c r="D19" s="24"/>
      <c r="E19" s="24"/>
      <c r="F19" s="24"/>
      <c r="G19" s="24"/>
      <c r="H19" s="24"/>
      <c r="I19" s="24"/>
      <c r="J19" s="25" t="s">
        <v>23</v>
      </c>
      <c r="K19" s="26"/>
      <c r="L19" s="26"/>
      <c r="M19" s="27"/>
      <c r="N19" s="26" t="s">
        <v>24</v>
      </c>
      <c r="O19" s="26"/>
      <c r="P19" s="26"/>
      <c r="Q19" s="26"/>
      <c r="R19" s="26"/>
      <c r="S19" s="26"/>
      <c r="T19" s="26"/>
      <c r="V19" s="2041" t="s">
        <v>3650</v>
      </c>
      <c r="W19" s="2041"/>
      <c r="X19" s="2041"/>
      <c r="Y19" s="2041"/>
    </row>
    <row r="20" spans="2:28" ht="12" customHeight="1" thickBot="1">
      <c r="B20" s="28"/>
      <c r="C20" s="28"/>
      <c r="D20" s="28"/>
      <c r="E20" s="1949" t="s">
        <v>2889</v>
      </c>
      <c r="F20" s="1949" t="s">
        <v>3464</v>
      </c>
      <c r="G20" s="1949"/>
      <c r="H20" s="28"/>
      <c r="I20" s="28"/>
      <c r="J20" s="29" t="s">
        <v>69</v>
      </c>
      <c r="K20" s="30" t="s">
        <v>27</v>
      </c>
      <c r="L20" s="30" t="s">
        <v>60</v>
      </c>
      <c r="M20" s="31" t="s">
        <v>5104</v>
      </c>
      <c r="N20" s="30" t="s">
        <v>5174</v>
      </c>
      <c r="O20" s="30" t="s">
        <v>70</v>
      </c>
      <c r="P20" s="30" t="s">
        <v>71</v>
      </c>
      <c r="Q20" s="30" t="s">
        <v>72</v>
      </c>
      <c r="R20" s="30" t="s">
        <v>73</v>
      </c>
      <c r="S20" s="30" t="s">
        <v>74</v>
      </c>
      <c r="T20" s="30" t="s">
        <v>5102</v>
      </c>
      <c r="V20" s="290" t="s">
        <v>3651</v>
      </c>
      <c r="W20" s="290" t="s">
        <v>3652</v>
      </c>
      <c r="X20" s="290" t="s">
        <v>3653</v>
      </c>
      <c r="Y20" s="290" t="s">
        <v>3740</v>
      </c>
      <c r="AA20" s="3" t="s">
        <v>13513</v>
      </c>
      <c r="AB20" s="3" t="s">
        <v>13514</v>
      </c>
    </row>
    <row r="21" spans="2:28" ht="12" customHeight="1" thickBot="1">
      <c r="B21" s="3" t="s">
        <v>329</v>
      </c>
      <c r="E21" s="110" t="s">
        <v>3462</v>
      </c>
      <c r="F21" s="4402">
        <f>IF($D$5="Stress",5,IF(F11="Base",2,4))</f>
        <v>2</v>
      </c>
      <c r="G21" s="289" t="str">
        <f>VLOOKUP(F21,$C$32:$D$36,2,FALSE)</f>
        <v>CDD 추정치 준용</v>
      </c>
      <c r="J21" s="217">
        <f>HLOOKUP($B21,금속가격!$O$2:$X$9,MATCH(J$20,금속가격!$M$3:$M$9,0)+1,FALSE)</f>
        <v>6523.037549407115</v>
      </c>
      <c r="K21" s="218">
        <f>HLOOKUP($B21,금속가격!$O$2:$X$9,MATCH(K$20,금속가격!$M$3:$M$9,0)+1,FALSE)</f>
        <v>5999.733201581028</v>
      </c>
      <c r="L21" s="218">
        <f>HLOOKUP($B21,금속가격!$O$2:$X$9,MATCH(L$20,금속가격!$M$3:$M$9,0)+1,FALSE)</f>
        <v>6180.6259842519685</v>
      </c>
      <c r="M21" s="219">
        <f>HLOOKUP($B21,금속가격!$O$2:$X$9,MATCH(M$20,금속가격!$M$3:$M$9,0)+1,FALSE)</f>
        <v>9188.2486772486773</v>
      </c>
      <c r="N21" s="105">
        <f>IF(CHOOSE($F21,$M21,HLOOKUP(N$20,CDD추정치!$E$3:$K$9,MATCH($B21,CDD추정치!$B$3:$B$9,0),0),HLOOKUP(N$20,금속가격!$P$57:$W$65,MATCH($B21,금속가격!$M$57:$M$65,0),0),CDD추정치!F90,HLOOKUP(N$20,CDD추정치!$E$3:$K$9,MATCH($B21,CDD추정치!$B$3:$B$9,0),0))*(1+DCF!$G$56)+(DCF!$G$67-CHOOSE($F21,$M21,HLOOKUP(N$20,CDD추정치!$E$3:$K$9,MATCH($B21,CDD추정치!$B$3:$B$9,0),0),HLOOKUP(N$20,금속가격!$P$57:$W$65,MATCH($B21,금속가격!$M$57:$M$65,0),0),CDD추정치!F90,HLOOKUP(N$20,CDD추정치!$E$3:$K$9,MATCH($B21,CDD추정치!$B$3:$B$9,0),0))*(1+DCF!$G$56))=0,CHOOSE($F21,$M21,HLOOKUP(N$20,CDD추정치!$E$3:$K$9,MATCH($B21,CDD추정치!$B$3:$B$9,0),0),HLOOKUP(N$20,금속가격!$P$57:$W$65,MATCH($B21,금속가격!$M$57:$M$65,0),0),CDD추정치!F90,HLOOKUP(N$20,CDD추정치!$E$3:$K$9,MATCH($B21,CDD추정치!$B$3:$B$9,0),0))*(1+DCF!$G$56),CHOOSE($F21,$M21,HLOOKUP(N$20,CDD추정치!$E$3:$K$9,MATCH($B21,CDD추정치!$B$3:$B$9,0),0),HLOOKUP(N$20,금속가격!$P$57:$W$65,MATCH($B21,금속가격!$M$57:$M$65,0),0),CDD추정치!F90,HLOOKUP(N$20,CDD추정치!$E$3:$K$9,MATCH($B21,CDD추정치!$B$3:$B$9,0),0))*(1+DCF!$G$56)+(DCF!$G$67-CHOOSE($F21,$M21,HLOOKUP(N$20,CDD추정치!$E$3:$K$9,MATCH($B21,CDD추정치!$B$3:$B$9,0),0),HLOOKUP(N$20,금속가격!$P$57:$W$65,MATCH($B21,금속가격!$M$57:$M$65,0),0),CDD추정치!F90,HLOOKUP(N$20,CDD추정치!$E$3:$K$9,MATCH($B21,CDD추정치!$B$3:$B$9,0),0))*(1+DCF!$G$56)))</f>
        <v>9784</v>
      </c>
      <c r="O21" s="105">
        <f>M21*0.75+N21*0.25</f>
        <v>9337.1865079365089</v>
      </c>
      <c r="P21" s="105">
        <f>IF(IF($D$5="Stress",5000,CHOOSE($F21,$M21,HLOOKUP(P$20,CDD추정치!$E$3:$K$9,MATCH($B21,CDD추정치!$B$3:$B$9,0),0),HLOOKUP(P$20,금속가격!$P$57:$W$65,MATCH($B21,금속가격!$M$57:$M$65,0),0),CDD추정치!H90))*(1+DCF!$G$56)+(DCF!$G$67-IF($D$5="Stress",5000,CHOOSE($F21,$M21,HLOOKUP(P$20,CDD추정치!$E$3:$K$9,MATCH($B21,CDD추정치!$B$3:$B$9,0),0),HLOOKUP(P$20,금속가격!$P$57:$W$65,MATCH($B21,금속가격!$M$57:$M$65,0),0),CDD추정치!H90))*(1+DCF!$G$56))=0,IF($D$5="Stress",5000,CHOOSE($F21,$M21,HLOOKUP(P$20,CDD추정치!$E$3:$K$9,MATCH($B21,CDD추정치!$B$3:$B$9,0),0),HLOOKUP(P$20,금속가격!$P$57:$W$65,MATCH($B21,금속가격!$M$57:$M$65,0),0),CDD추정치!H90))*(1+DCF!$G$56),IF($D$5="Stress",5000,CHOOSE($F21,$M21,HLOOKUP(P$20,CDD추정치!$E$3:$K$9,MATCH($B21,CDD추정치!$B$3:$B$9,0),0),HLOOKUP(P$20,금속가격!$P$57:$W$65,MATCH($B21,금속가격!$M$57:$M$65,0),0),CDD추정치!H90))*(1+DCF!$G$56)+(DCF!$G$67-IF($D$5="Stress",5000,CHOOSE($F21,$M21,HLOOKUP(P$20,CDD추정치!$E$3:$K$9,MATCH($B21,CDD추정치!$B$3:$B$9,0),0),HLOOKUP(P$20,금속가격!$P$57:$W$65,MATCH($B21,금속가격!$M$57:$M$65,0),0),CDD추정치!H90))*(1+DCF!$G$56)))</f>
        <v>9173</v>
      </c>
      <c r="Q21" s="105">
        <f>IF(IF($D$5="Stress",5000,CHOOSE($F21,$M21,HLOOKUP(Q$20,CDD추정치!$E$3:$K$9,MATCH($B21,CDD추정치!$B$3:$B$9,0),0),HLOOKUP(Q$20,금속가격!$P$57:$W$65,MATCH($B21,금속가격!$M$57:$M$65,0),0),CDD추정치!I90))*(1+DCF!$G$56)+(DCF!$G$67-IF($D$5="Stress",5000,CHOOSE($F21,$M21,HLOOKUP(Q$20,CDD추정치!$E$3:$K$9,MATCH($B21,CDD추정치!$B$3:$B$9,0),0),HLOOKUP(Q$20,금속가격!$P$57:$W$65,MATCH($B21,금속가격!$M$57:$M$65,0),0),CDD추정치!I90))*(1+DCF!$G$56))=0,IF($D$5="Stress",5000,CHOOSE($F21,$M21,HLOOKUP(Q$20,CDD추정치!$E$3:$K$9,MATCH($B21,CDD추정치!$B$3:$B$9,0),0),HLOOKUP(Q$20,금속가격!$P$57:$W$65,MATCH($B21,금속가격!$M$57:$M$65,0),0),CDD추정치!I90))*(1+DCF!$G$56),IF($D$5="Stress",5000,CHOOSE($F21,$M21,HLOOKUP(Q$20,CDD추정치!$E$3:$K$9,MATCH($B21,CDD추정치!$B$3:$B$9,0),0),HLOOKUP(Q$20,금속가격!$P$57:$W$65,MATCH($B21,금속가격!$M$57:$M$65,0),0),CDD추정치!I90))*(1+DCF!$G$56)+(DCF!$G$67-IF($D$5="Stress",5000,CHOOSE($F21,$M21,HLOOKUP(Q$20,CDD추정치!$E$3:$K$9,MATCH($B21,CDD추정치!$B$3:$B$9,0),0),HLOOKUP(Q$20,금속가격!$P$57:$W$65,MATCH($B21,금속가격!$M$57:$M$65,0),0),CDD추정치!I90))*(1+DCF!$G$56)))</f>
        <v>8835</v>
      </c>
      <c r="R21" s="105">
        <f>IF(IF($D$5="Stress",5000,CHOOSE($F21,$M21,HLOOKUP(R$20,CDD추정치!$E$3:$K$9,MATCH($B21,CDD추정치!$B$3:$B$9,0),0),HLOOKUP(R$20,금속가격!$P$57:$W$65,MATCH($B21,금속가격!$M$57:$M$65,0),0),CDD추정치!J90))*(1+DCF!$G$56)+(DCF!$G$67-IF($D$5="Stress",5000,CHOOSE($F21,$M21,HLOOKUP(R$20,CDD추정치!$E$3:$K$9,MATCH($B21,CDD추정치!$B$3:$B$9,0),0),HLOOKUP(R$20,금속가격!$P$57:$W$65,MATCH($B21,금속가격!$M$57:$M$65,0),0),CDD추정치!J90))*(1+DCF!$G$56))=0,IF($D$5="Stress",5000,CHOOSE($F21,$M21,HLOOKUP(R$20,CDD추정치!$E$3:$K$9,MATCH($B21,CDD추정치!$B$3:$B$9,0),0),HLOOKUP(R$20,금속가격!$P$57:$W$65,MATCH($B21,금속가격!$M$57:$M$65,0),0),CDD추정치!J90))*(1+DCF!$G$56),IF($D$5="Stress",5000,CHOOSE($F21,$M21,HLOOKUP(R$20,CDD추정치!$E$3:$K$9,MATCH($B21,CDD추정치!$B$3:$B$9,0),0),HLOOKUP(R$20,금속가격!$P$57:$W$65,MATCH($B21,금속가격!$M$57:$M$65,0),0),CDD추정치!J90))*(1+DCF!$G$56)+(DCF!$G$67-IF($D$5="Stress",5000,CHOOSE($F21,$M21,HLOOKUP(R$20,CDD추정치!$E$3:$K$9,MATCH($B21,CDD추정치!$B$3:$B$9,0),0),HLOOKUP(R$20,금속가격!$P$57:$W$65,MATCH($B21,금속가격!$M$57:$M$65,0),0),CDD추정치!J90))*(1+DCF!$G$56)))</f>
        <v>8394</v>
      </c>
      <c r="S21" s="105">
        <f>IF(IF($D$5="Stress",5000,CHOOSE($F21,$M21,HLOOKUP(S$20,CDD추정치!$E$3:$K$9,MATCH($B21,CDD추정치!$B$3:$B$9,0),0),HLOOKUP(S$20,금속가격!$P$57:$W$65,MATCH($B21,금속가격!$M$57:$M$65,0),0),CDD추정치!K90))*(1+DCF!$G$56)+(DCF!$G$67-IF($D$5="Stress",5000,CHOOSE($F21,$M21,HLOOKUP(S$20,CDD추정치!$E$3:$K$9,MATCH($B21,CDD추정치!$B$3:$B$9,0),0),HLOOKUP(S$20,금속가격!$P$57:$W$65,MATCH($B21,금속가격!$M$57:$M$65,0),0),CDD추정치!K90))*(1+DCF!$G$56))=0,IF($D$5="Stress",5000,CHOOSE($F21,$M21,HLOOKUP(S$20,CDD추정치!$E$3:$K$9,MATCH($B21,CDD추정치!$B$3:$B$9,0),0),HLOOKUP(S$20,금속가격!$P$57:$W$65,MATCH($B21,금속가격!$M$57:$M$65,0),0),CDD추정치!K90))*(1+DCF!$G$56),IF($D$5="Stress",5000,CHOOSE($F21,$M21,HLOOKUP(S$20,CDD추정치!$E$3:$K$9,MATCH($B21,CDD추정치!$B$3:$B$9,0),0),HLOOKUP(S$20,금속가격!$P$57:$W$65,MATCH($B21,금속가격!$M$57:$M$65,0),0),CDD추정치!K90))*(1+DCF!$G$56)+(DCF!$G$67-IF($D$5="Stress",5000,CHOOSE($F21,$M21,HLOOKUP(S$20,CDD추정치!$E$3:$K$9,MATCH($B21,CDD추정치!$B$3:$B$9,0),0),HLOOKUP(S$20,금속가격!$P$57:$W$65,MATCH($B21,금속가격!$M$57:$M$65,0),0),CDD추정치!K90))*(1+DCF!$G$56)))</f>
        <v>8465</v>
      </c>
      <c r="T21" s="105">
        <f>IF(IF($D$5="Stress",5000,CHOOSE($F21,$M21,HLOOKUP(T$20,CDD추정치!$E$3:$K$9,MATCH($B21,CDD추정치!$B$3:$B$9,0),0),HLOOKUP(T$20,금속가격!$P$57:$W$65,MATCH($B21,금속가격!$M$57:$M$65,0),0),CDD추정치!L90))*(1+DCF!$G$56)+(DCF!$G$67-IF($D$5="Stress",5000,CHOOSE($F21,$M21,HLOOKUP(T$20,CDD추정치!$E$3:$K$9,MATCH($B21,CDD추정치!$B$3:$B$9,0),0),HLOOKUP(T$20,금속가격!$P$57:$W$65,MATCH($B21,금속가격!$M$57:$M$65,0),0),CDD추정치!L90))*(1+DCF!$G$56))=0,IF($D$5="Stress",5000,CHOOSE($F21,$M21,HLOOKUP(T$20,CDD추정치!$E$3:$K$9,MATCH($B21,CDD추정치!$B$3:$B$9,0),0),HLOOKUP(T$20,금속가격!$P$57:$W$65,MATCH($B21,금속가격!$M$57:$M$65,0),0),CDD추정치!L90))*(1+DCF!$G$56),IF($D$5="Stress",5000,CHOOSE($F21,$M21,HLOOKUP(T$20,CDD추정치!$E$3:$K$9,MATCH($B21,CDD추정치!$B$3:$B$9,0),0),HLOOKUP(T$20,금속가격!$P$57:$W$65,MATCH($B21,금속가격!$M$57:$M$65,0),0),CDD추정치!L90))*(1+DCF!$G$56)+(DCF!$G$67-IF($D$5="Stress",5000,CHOOSE($F21,$M21,HLOOKUP(T$20,CDD추정치!$E$3:$K$9,MATCH($B21,CDD추정치!$B$3:$B$9,0),0),HLOOKUP(T$20,금속가격!$P$57:$W$65,MATCH($B21,금속가격!$M$57:$M$65,0),0),CDD추정치!L90))*(1+DCF!$G$56)))</f>
        <v>8834</v>
      </c>
      <c r="V21" s="1958">
        <v>4</v>
      </c>
      <c r="W21" s="1958">
        <v>2</v>
      </c>
      <c r="X21" s="1958"/>
      <c r="Y21" s="1958" t="str">
        <f t="shared" ref="Y21:Y25" si="0">INDEX($V$20:$X$20,1,MATCH($F21,$V21:$X21,0))</f>
        <v>Base</v>
      </c>
      <c r="Z21" s="105">
        <f>+AVERAGE(P21:T21)</f>
        <v>8740.2000000000007</v>
      </c>
      <c r="AA21" s="4849">
        <f>+$Z21/J21</f>
        <v>1.3398972386406707</v>
      </c>
      <c r="AB21" s="4850">
        <f>+$Z21/O21</f>
        <v>0.93606355539443531</v>
      </c>
    </row>
    <row r="22" spans="2:28" ht="12" customHeight="1" thickBot="1">
      <c r="B22" s="3" t="s">
        <v>330</v>
      </c>
      <c r="E22" s="110" t="s">
        <v>3463</v>
      </c>
      <c r="F22" s="291">
        <v>2</v>
      </c>
      <c r="G22" s="289" t="str">
        <f>VLOOKUP(F22,$C$32:$D$34,2,FALSE)</f>
        <v>CDD 추정치 준용</v>
      </c>
      <c r="J22" s="220">
        <f>HLOOKUP($B22,금속가격!$O$2:$X$9,MATCH(J$20,금속가격!$M$3:$M$9,0)+1,FALSE)</f>
        <v>40782.790356902457</v>
      </c>
      <c r="K22" s="221">
        <f>HLOOKUP($B22,금속가격!$O$2:$X$9,MATCH(K$20,금속가격!$M$3:$M$9,0)+1,FALSE)</f>
        <v>44773.001580847573</v>
      </c>
      <c r="L22" s="221">
        <f>HLOOKUP($B22,금속가격!$O$2:$X$9,MATCH(L$20,금속가격!$M$3:$M$9,0)+1,FALSE)</f>
        <v>56893.63579290855</v>
      </c>
      <c r="M22" s="222">
        <f>HLOOKUP($B22,금속가격!$O$2:$X$9,MATCH(M$20,금속가격!$M$3:$M$9,0)+1,FALSE)</f>
        <v>57862.166401427829</v>
      </c>
      <c r="N22" s="105">
        <f>IF(CHOOSE($F22,$M22,HLOOKUP(N$20,CDD추정치!$E$3:$K$9,MATCH($B22,CDD추정치!$B$3:$B$9,0),0),HLOOKUP(N$20,금속가격!$P$57:$W$65,MATCH($B22,금속가격!$M$57:$M$65,0),0))*(1+DCF!$G$60)+(DCF!$G$68-CHOOSE($F22,$M22,HLOOKUP(N$20,CDD추정치!$E$3:$K$9,MATCH($B22,CDD추정치!$B$3:$B$9,0),0),HLOOKUP(N$20,금속가격!$P$57:$W$65,MATCH($B22,금속가격!$M$57:$M$65,0),0))*(1+DCF!$G$60))=0,CHOOSE($F22,$M22,HLOOKUP(N$20,CDD추정치!$E$3:$K$9,MATCH($B22,CDD추정치!$B$3:$B$9,0),0),HLOOKUP(N$20,금속가격!$P$57:$W$65,MATCH($B22,금속가격!$M$57:$M$65,0),0))*(1+DCF!$G$60),CHOOSE($F22,$M22,HLOOKUP(N$20,CDD추정치!$E$3:$K$9,MATCH($B22,CDD추정치!$B$3:$B$9,0),0),HLOOKUP(N$20,금속가격!$P$57:$W$65,MATCH($B22,금속가격!$M$57:$M$65,0),0))*(1+DCF!$G$60)+(DCF!$G$68-CHOOSE($F22,$M22,HLOOKUP(N$20,CDD추정치!$E$3:$K$9,MATCH($B22,CDD추정치!$B$3:$B$9,0),0),HLOOKUP(N$20,금속가격!$P$57:$W$65,MATCH($B22,금속가격!$M$57:$M$65,0),0))*(1+DCF!$G$60)))</f>
        <v>57851.190794583701</v>
      </c>
      <c r="O22" s="105">
        <f t="shared" ref="O22:O25" si="1">M22*0.75+N22*0.25</f>
        <v>57859.422499716798</v>
      </c>
      <c r="P22" s="105">
        <f>IF(CHOOSE($F22,$M22,HLOOKUP(P$20,CDD추정치!$E$3:$K$9,MATCH($B22,CDD추정치!$B$3:$B$9,0),0),HLOOKUP(P$20,금속가격!$P$57:$W$65,MATCH($B22,금속가격!$M$57:$M$65,0),0))*(1+DCF!$G$60)+(DCF!$G$68-CHOOSE($F22,$M22,HLOOKUP(P$20,CDD추정치!$E$3:$K$9,MATCH($B22,CDD추정치!$B$3:$B$9,0),0),HLOOKUP(P$20,금속가격!$P$57:$W$65,MATCH($B22,금속가격!$M$57:$M$65,0),0))*(1+DCF!$G$60))=0,CHOOSE($F22,$M22,HLOOKUP(P$20,CDD추정치!$E$3:$K$9,MATCH($B22,CDD추정치!$B$3:$B$9,0),0),HLOOKUP(P$20,금속가격!$P$57:$W$65,MATCH($B22,금속가격!$M$57:$M$65,0),0))*(1+DCF!$G$60),CHOOSE($F22,$M22,HLOOKUP(P$20,CDD추정치!$E$3:$K$9,MATCH($B22,CDD추정치!$B$3:$B$9,0),0),HLOOKUP(P$20,금속가격!$P$57:$W$65,MATCH($B22,금속가격!$M$57:$M$65,0),0))*(1+DCF!$G$60)+(DCF!$G$68-CHOOSE($F22,$M22,HLOOKUP(P$20,CDD추정치!$E$3:$K$9,MATCH($B22,CDD추정치!$B$3:$B$9,0),0),HLOOKUP(P$20,금속가격!$P$57:$W$65,MATCH($B22,금속가격!$M$57:$M$65,0),0))*(1+DCF!$G$60)))</f>
        <v>57241.832205716637</v>
      </c>
      <c r="Q22" s="105">
        <f>IF(CHOOSE($F22,$M22,HLOOKUP(Q$20,CDD추정치!$E$3:$K$9,MATCH($B22,CDD추정치!$B$3:$B$9,0),0),HLOOKUP(Q$20,금속가격!$P$57:$W$65,MATCH($B22,금속가격!$M$57:$M$65,0),0))*(1+DCF!$G$60)+(DCF!$G$68-CHOOSE($F22,$M22,HLOOKUP(Q$20,CDD추정치!$E$3:$K$9,MATCH($B22,CDD추정치!$B$3:$B$9,0),0),HLOOKUP(Q$20,금속가격!$P$57:$W$65,MATCH($B22,금속가격!$M$57:$M$65,0),0))*(1+DCF!$G$60))=0,CHOOSE($F22,$M22,HLOOKUP(Q$20,CDD추정치!$E$3:$K$9,MATCH($B22,CDD추정치!$B$3:$B$9,0),0),HLOOKUP(Q$20,금속가격!$P$57:$W$65,MATCH($B22,금속가격!$M$57:$M$65,0),0))*(1+DCF!$G$60),CHOOSE($F22,$M22,HLOOKUP(Q$20,CDD추정치!$E$3:$K$9,MATCH($B22,CDD추정치!$B$3:$B$9,0),0),HLOOKUP(Q$20,금속가격!$P$57:$W$65,MATCH($B22,금속가격!$M$57:$M$65,0),0))*(1+DCF!$G$60)+(DCF!$G$68-CHOOSE($F22,$M22,HLOOKUP(Q$20,CDD추정치!$E$3:$K$9,MATCH($B22,CDD추정치!$B$3:$B$9,0),0),HLOOKUP(Q$20,금속가격!$P$57:$W$65,MATCH($B22,금속가격!$M$57:$M$65,0),0))*(1+DCF!$G$60)))</f>
        <v>55942.299029412687</v>
      </c>
      <c r="R22" s="105">
        <f>IF(CHOOSE($F22,$M22,HLOOKUP(R$20,CDD추정치!$E$3:$K$9,MATCH($B22,CDD추정치!$B$3:$B$9,0),0),HLOOKUP(R$20,금속가격!$P$57:$W$65,MATCH($B22,금속가격!$M$57:$M$65,0),0))*(1+DCF!$G$60)+(DCF!$G$68-CHOOSE($F22,$M22,HLOOKUP(R$20,CDD추정치!$E$3:$K$9,MATCH($B22,CDD추정치!$B$3:$B$9,0),0),HLOOKUP(R$20,금속가격!$P$57:$W$65,MATCH($B22,금속가격!$M$57:$M$65,0),0))*(1+DCF!$G$60))=0,CHOOSE($F22,$M22,HLOOKUP(R$20,CDD추정치!$E$3:$K$9,MATCH($B22,CDD추정치!$B$3:$B$9,0),0),HLOOKUP(R$20,금속가격!$P$57:$W$65,MATCH($B22,금속가격!$M$57:$M$65,0),0))*(1+DCF!$G$60),CHOOSE($F22,$M22,HLOOKUP(R$20,CDD추정치!$E$3:$K$9,MATCH($B22,CDD추정치!$B$3:$B$9,0),0),HLOOKUP(R$20,금속가격!$P$57:$W$65,MATCH($B22,금속가격!$M$57:$M$65,0),0))*(1+DCF!$G$60)+(DCF!$G$68-CHOOSE($F22,$M22,HLOOKUP(R$20,CDD추정치!$E$3:$K$9,MATCH($B22,CDD추정치!$B$3:$B$9,0),0),HLOOKUP(R$20,금속가격!$P$57:$W$65,MATCH($B22,금속가격!$M$57:$M$65,0),0))*(1+DCF!$G$60)))</f>
        <v>55765.469923285229</v>
      </c>
      <c r="S22" s="105">
        <f>IF(CHOOSE($F22,$M22,HLOOKUP(S$20,CDD추정치!$E$3:$K$9,MATCH($B22,CDD추정치!$B$3:$B$9,0),0),HLOOKUP(S$20,금속가격!$P$57:$W$65,MATCH($B22,금속가격!$M$57:$M$65,0),0))*(1+DCF!$G$60)+(DCF!$G$68-CHOOSE($F22,$M22,HLOOKUP(S$20,CDD추정치!$E$3:$K$9,MATCH($B22,CDD추정치!$B$3:$B$9,0),0),HLOOKUP(S$20,금속가격!$P$57:$W$65,MATCH($B22,금속가격!$M$57:$M$65,0),0))*(1+DCF!$G$60))=0,CHOOSE($F22,$M22,HLOOKUP(S$20,CDD추정치!$E$3:$K$9,MATCH($B22,CDD추정치!$B$3:$B$9,0),0),HLOOKUP(S$20,금속가격!$P$57:$W$65,MATCH($B22,금속가격!$M$57:$M$65,0),0))*(1+DCF!$G$60),CHOOSE($F22,$M22,HLOOKUP(S$20,CDD추정치!$E$3:$K$9,MATCH($B22,CDD추정치!$B$3:$B$9,0),0),HLOOKUP(S$20,금속가격!$P$57:$W$65,MATCH($B22,금속가격!$M$57:$M$65,0),0))*(1+DCF!$G$60)+(DCF!$G$68-CHOOSE($F22,$M22,HLOOKUP(S$20,CDD추정치!$E$3:$K$9,MATCH($B22,CDD추정치!$B$3:$B$9,0),0),HLOOKUP(S$20,금속가격!$P$57:$W$65,MATCH($B22,금속가격!$M$57:$M$65,0),0))*(1+DCF!$G$60)))</f>
        <v>55186.756485049926</v>
      </c>
      <c r="T22" s="105">
        <f>IF(CHOOSE($F22,$M22,HLOOKUP(T$20,CDD추정치!$E$3:$K$9,MATCH($B22,CDD추정치!$B$3:$B$9,0),0),HLOOKUP(T$20,금속가격!$P$57:$W$65,MATCH($B22,금속가격!$M$57:$M$65,0),0))*(1+DCF!$G$60)+(DCF!$G$68-CHOOSE($F22,$M22,HLOOKUP(T$20,CDD추정치!$E$3:$K$9,MATCH($B22,CDD추정치!$B$3:$B$9,0),0),HLOOKUP(T$20,금속가격!$P$57:$W$65,MATCH($B22,금속가격!$M$57:$M$65,0),0))*(1+DCF!$G$60))=0,CHOOSE($F22,$M22,HLOOKUP(T$20,CDD추정치!$E$3:$K$9,MATCH($B22,CDD추정치!$B$3:$B$9,0),0),HLOOKUP(T$20,금속가격!$P$57:$W$65,MATCH($B22,금속가격!$M$57:$M$65,0),0))*(1+DCF!$G$60),CHOOSE($F22,$M22,HLOOKUP(T$20,CDD추정치!$E$3:$K$9,MATCH($B22,CDD추정치!$B$3:$B$9,0),0),HLOOKUP(T$20,금속가격!$P$57:$W$65,MATCH($B22,금속가격!$M$57:$M$65,0),0))*(1+DCF!$G$60)+(DCF!$G$68-CHOOSE($F22,$M22,HLOOKUP(T$20,CDD추정치!$E$3:$K$9,MATCH($B22,CDD추정치!$B$3:$B$9,0),0),HLOOKUP(T$20,금속가격!$P$57:$W$65,MATCH($B22,금속가격!$M$57:$M$65,0),0))*(1+DCF!$G$60)))</f>
        <v>54826.669783269877</v>
      </c>
      <c r="V22" s="110"/>
      <c r="W22" s="110">
        <v>2</v>
      </c>
      <c r="X22" s="110"/>
      <c r="Y22" s="110" t="str">
        <f t="shared" si="0"/>
        <v>Base</v>
      </c>
      <c r="Z22" s="105">
        <f t="shared" ref="Z22:Z25" si="2">+AVERAGE(P22:T22)</f>
        <v>55792.605485346881</v>
      </c>
      <c r="AA22" s="4729">
        <f t="shared" ref="AA22:AA25" si="3">+$Z22/J22</f>
        <v>1.368042868010968</v>
      </c>
      <c r="AB22" s="4851">
        <f t="shared" ref="AB22:AB25" si="4">+$Z22/O22</f>
        <v>0.96427864425401011</v>
      </c>
    </row>
    <row r="23" spans="2:28" ht="12" customHeight="1" thickBot="1">
      <c r="B23" s="3" t="s">
        <v>331</v>
      </c>
      <c r="E23" s="110" t="s">
        <v>3463</v>
      </c>
      <c r="F23" s="291">
        <v>2</v>
      </c>
      <c r="G23" s="289" t="str">
        <f>VLOOKUP(F23,$C$32:$D$34,2,FALSE)</f>
        <v>CDD 추정치 준용</v>
      </c>
      <c r="J23" s="220">
        <f>HLOOKUP($B23,금속가격!$O$2:$X$9,MATCH(J$20,금속가격!$M$3:$M$9,0)+1,FALSE)</f>
        <v>505.03866815377108</v>
      </c>
      <c r="K23" s="221">
        <f>HLOOKUP($B23,금속가격!$O$2:$X$9,MATCH(K$20,금속가격!$M$3:$M$9,0)+1,FALSE)</f>
        <v>521.16106031646598</v>
      </c>
      <c r="L23" s="221">
        <f>HLOOKUP($B23,금속가격!$O$2:$X$9,MATCH(L$20,금속가격!$M$3:$M$9,0)+1,FALSE)</f>
        <v>660.61050334305128</v>
      </c>
      <c r="M23" s="222">
        <f>HLOOKUP($B23,금속가격!$O$2:$X$9,MATCH(M$20,금속가격!$M$3:$M$9,0)+1,FALSE)</f>
        <v>827.8187835271948</v>
      </c>
      <c r="N23" s="105">
        <f>IF(CHOOSE($F23,$M23,HLOOKUP(N$20,CDD추정치!$E$3:$K$9,MATCH($B23,CDD추정치!$B$3:$B$9,0),0),HLOOKUP(N$20,금속가격!$P$57:$W$65,MATCH($B23,금속가격!$M$57:$M$65,0),0))*(1+DCF!$G$64)+(DCF!$G$69-CHOOSE($F23,$M23,HLOOKUP(N$20,CDD추정치!$E$3:$K$9,MATCH($B23,CDD추정치!$B$3:$B$9,0),0),HLOOKUP(N$20,금속가격!$P$57:$W$65,MATCH($B23,금속가격!$M$57:$M$65,0),0))*(1+DCF!$G$64))=0,CHOOSE($F23,$M23,HLOOKUP(N$20,CDD추정치!$E$3:$K$9,MATCH($B23,CDD추정치!$B$3:$B$9,0),0),HLOOKUP(N$20,금속가격!$P$57:$W$65,MATCH($B23,금속가격!$M$57:$M$65,0),0))*(1+DCF!$G$64),CHOOSE($F23,$M23,HLOOKUP(N$20,CDD추정치!$E$3:$K$9,MATCH($B23,CDD추정치!$B$3:$B$9,0),0),HLOOKUP(N$20,금속가격!$P$57:$W$65,MATCH($B23,금속가격!$M$57:$M$65,0),0))*(1+DCF!$G$64)+(DCF!$G$69-CHOOSE($F23,$M23,HLOOKUP(N$20,CDD추정치!$E$3:$K$9,MATCH($B23,CDD추정치!$B$3:$B$9,0),0),HLOOKUP(N$20,금속가격!$P$57:$W$65,MATCH($B23,금속가격!$M$57:$M$65,0),0))*(1+DCF!$G$64)))</f>
        <v>766.30143882790117</v>
      </c>
      <c r="O23" s="105">
        <f t="shared" si="1"/>
        <v>812.43944735237142</v>
      </c>
      <c r="P23" s="105">
        <f>IF(CHOOSE($F23,$M23,HLOOKUP(P$20,CDD추정치!$E$3:$K$9,MATCH($B23,CDD추정치!$B$3:$B$9,0),0),HLOOKUP(P$20,금속가격!$P$57:$W$65,MATCH($B23,금속가격!$M$57:$M$65,0),0))*(1+DCF!$G$64)+(DCF!$G$69-CHOOSE($F23,$M23,HLOOKUP(P$20,CDD추정치!$E$3:$K$9,MATCH($B23,CDD추정치!$B$3:$B$9,0),0),HLOOKUP(P$20,금속가격!$P$57:$W$65,MATCH($B23,금속가격!$M$57:$M$65,0),0))*(1+DCF!$G$64))=0,CHOOSE($F23,$M23,HLOOKUP(P$20,CDD추정치!$E$3:$K$9,MATCH($B23,CDD추정치!$B$3:$B$9,0),0),HLOOKUP(P$20,금속가격!$P$57:$W$65,MATCH($B23,금속가격!$M$57:$M$65,0),0))*(1+DCF!$G$64),CHOOSE($F23,$M23,HLOOKUP(P$20,CDD추정치!$E$3:$K$9,MATCH($B23,CDD추정치!$B$3:$B$9,0),0),HLOOKUP(P$20,금속가격!$P$57:$W$65,MATCH($B23,금속가격!$M$57:$M$65,0),0))*(1+DCF!$G$64)+(DCF!$G$69-CHOOSE($F23,$M23,HLOOKUP(P$20,CDD추정치!$E$3:$K$9,MATCH($B23,CDD추정치!$B$3:$B$9,0),0),HLOOKUP(P$20,금속가격!$P$57:$W$65,MATCH($B23,금속가격!$M$57:$M$65,0),0))*(1+DCF!$G$64)))</f>
        <v>791.87288798530733</v>
      </c>
      <c r="Q23" s="105">
        <f>IF(CHOOSE($F23,$M23,HLOOKUP(Q$20,CDD추정치!$E$3:$K$9,MATCH($B23,CDD추정치!$B$3:$B$9,0),0),HLOOKUP(Q$20,금속가격!$P$57:$W$65,MATCH($B23,금속가격!$M$57:$M$65,0),0))*(1+DCF!$G$64)+(DCF!$G$69-CHOOSE($F23,$M23,HLOOKUP(Q$20,CDD추정치!$E$3:$K$9,MATCH($B23,CDD추정치!$B$3:$B$9,0),0),HLOOKUP(Q$20,금속가격!$P$57:$W$65,MATCH($B23,금속가격!$M$57:$M$65,0),0))*(1+DCF!$G$64))=0,CHOOSE($F23,$M23,HLOOKUP(Q$20,CDD추정치!$E$3:$K$9,MATCH($B23,CDD추정치!$B$3:$B$9,0),0),HLOOKUP(Q$20,금속가격!$P$57:$W$65,MATCH($B23,금속가격!$M$57:$M$65,0),0))*(1+DCF!$G$64),CHOOSE($F23,$M23,HLOOKUP(Q$20,CDD추정치!$E$3:$K$9,MATCH($B23,CDD추정치!$B$3:$B$9,0),0),HLOOKUP(Q$20,금속가격!$P$57:$W$65,MATCH($B23,금속가격!$M$57:$M$65,0),0))*(1+DCF!$G$64)+(DCF!$G$69-CHOOSE($F23,$M23,HLOOKUP(Q$20,CDD추정치!$E$3:$K$9,MATCH($B23,CDD추정치!$B$3:$B$9,0),0),HLOOKUP(Q$20,금속가격!$P$57:$W$65,MATCH($B23,금속가격!$M$57:$M$65,0),0))*(1+DCF!$G$64)))</f>
        <v>775.47600723530684</v>
      </c>
      <c r="R23" s="105">
        <f>IF(CHOOSE($F23,$M23,HLOOKUP(R$20,CDD추정치!$E$3:$K$9,MATCH($B23,CDD추정치!$B$3:$B$9,0),0),HLOOKUP(R$20,금속가격!$P$57:$W$65,MATCH($B23,금속가격!$M$57:$M$65,0),0))*(1+DCF!$G$64)+(DCF!$G$69-CHOOSE($F23,$M23,HLOOKUP(R$20,CDD추정치!$E$3:$K$9,MATCH($B23,CDD추정치!$B$3:$B$9,0),0),HLOOKUP(R$20,금속가격!$P$57:$W$65,MATCH($B23,금속가격!$M$57:$M$65,0),0))*(1+DCF!$G$64))=0,CHOOSE($F23,$M23,HLOOKUP(R$20,CDD추정치!$E$3:$K$9,MATCH($B23,CDD추정치!$B$3:$B$9,0),0),HLOOKUP(R$20,금속가격!$P$57:$W$65,MATCH($B23,금속가격!$M$57:$M$65,0),0))*(1+DCF!$G$64),CHOOSE($F23,$M23,HLOOKUP(R$20,CDD추정치!$E$3:$K$9,MATCH($B23,CDD추정치!$B$3:$B$9,0),0),HLOOKUP(R$20,금속가격!$P$57:$W$65,MATCH($B23,금속가격!$M$57:$M$65,0),0))*(1+DCF!$G$64)+(DCF!$G$69-CHOOSE($F23,$M23,HLOOKUP(R$20,CDD추정치!$E$3:$K$9,MATCH($B23,CDD추정치!$B$3:$B$9,0),0),HLOOKUP(R$20,금속가격!$P$57:$W$65,MATCH($B23,금속가격!$M$57:$M$65,0),0))*(1+DCF!$G$64)))</f>
        <v>757.6323428897183</v>
      </c>
      <c r="S23" s="105">
        <f>IF(CHOOSE($F23,$M23,HLOOKUP(S$20,CDD추정치!$E$3:$K$9,MATCH($B23,CDD추정치!$B$3:$B$9,0),0),HLOOKUP(S$20,금속가격!$P$57:$W$65,MATCH($B23,금속가격!$M$57:$M$65,0),0))*(1+DCF!$G$64)+(DCF!$G$69-CHOOSE($F23,$M23,HLOOKUP(S$20,CDD추정치!$E$3:$K$9,MATCH($B23,CDD추정치!$B$3:$B$9,0),0),HLOOKUP(S$20,금속가격!$P$57:$W$65,MATCH($B23,금속가격!$M$57:$M$65,0),0))*(1+DCF!$G$64))=0,CHOOSE($F23,$M23,HLOOKUP(S$20,CDD추정치!$E$3:$K$9,MATCH($B23,CDD추정치!$B$3:$B$9,0),0),HLOOKUP(S$20,금속가격!$P$57:$W$65,MATCH($B23,금속가격!$M$57:$M$65,0),0))*(1+DCF!$G$64),CHOOSE($F23,$M23,HLOOKUP(S$20,CDD추정치!$E$3:$K$9,MATCH($B23,CDD추정치!$B$3:$B$9,0),0),HLOOKUP(S$20,금속가격!$P$57:$W$65,MATCH($B23,금속가격!$M$57:$M$65,0),0))*(1+DCF!$G$64)+(DCF!$G$69-CHOOSE($F23,$M23,HLOOKUP(S$20,CDD추정치!$E$3:$K$9,MATCH($B23,CDD추정치!$B$3:$B$9,0),0),HLOOKUP(S$20,금속가격!$P$57:$W$65,MATCH($B23,금속가격!$M$57:$M$65,0),0))*(1+DCF!$G$64)))</f>
        <v>728.6966709779532</v>
      </c>
      <c r="T23" s="105">
        <f>IF(CHOOSE($F23,$M23,HLOOKUP(T$20,CDD추정치!$E$3:$K$9,MATCH($B23,CDD추정치!$B$3:$B$9,0),0),HLOOKUP(T$20,금속가격!$P$57:$W$65,MATCH($B23,금속가격!$M$57:$M$65,0),0))*(1+DCF!$G$64)+(DCF!$G$69-CHOOSE($F23,$M23,HLOOKUP(T$20,CDD추정치!$E$3:$K$9,MATCH($B23,CDD추정치!$B$3:$B$9,0),0),HLOOKUP(T$20,금속가격!$P$57:$W$65,MATCH($B23,금속가격!$M$57:$M$65,0),0))*(1+DCF!$G$64))=0,CHOOSE($F23,$M23,HLOOKUP(T$20,CDD추정치!$E$3:$K$9,MATCH($B23,CDD추정치!$B$3:$B$9,0),0),HLOOKUP(T$20,금속가격!$P$57:$W$65,MATCH($B23,금속가격!$M$57:$M$65,0),0))*(1+DCF!$G$64),CHOOSE($F23,$M23,HLOOKUP(T$20,CDD추정치!$E$3:$K$9,MATCH($B23,CDD추정치!$B$3:$B$9,0),0),HLOOKUP(T$20,금속가격!$P$57:$W$65,MATCH($B23,금속가격!$M$57:$M$65,0),0))*(1+DCF!$G$64)+(DCF!$G$69-CHOOSE($F23,$M23,HLOOKUP(T$20,CDD추정치!$E$3:$K$9,MATCH($B23,CDD추정치!$B$3:$B$9,0),0),HLOOKUP(T$20,금속가격!$P$57:$W$65,MATCH($B23,금속가격!$M$57:$M$65,0),0))*(1+DCF!$G$64)))</f>
        <v>716.5662210304406</v>
      </c>
      <c r="V23" s="110"/>
      <c r="W23" s="110">
        <v>2</v>
      </c>
      <c r="X23" s="110"/>
      <c r="Y23" s="110" t="str">
        <f t="shared" si="0"/>
        <v>Base</v>
      </c>
      <c r="Z23" s="105">
        <f t="shared" si="2"/>
        <v>754.04882602374528</v>
      </c>
      <c r="AA23" s="4729">
        <f t="shared" si="3"/>
        <v>1.4930516682618786</v>
      </c>
      <c r="AB23" s="4851">
        <f t="shared" si="4"/>
        <v>0.92812926364061576</v>
      </c>
    </row>
    <row r="24" spans="2:28" ht="12" customHeight="1" thickBot="1">
      <c r="B24" s="3" t="s">
        <v>332</v>
      </c>
      <c r="E24" s="110" t="s">
        <v>3463</v>
      </c>
      <c r="F24" s="291">
        <v>2</v>
      </c>
      <c r="G24" s="289" t="str">
        <f>VLOOKUP(F24,$C$32:$D$34,2,FALSE)</f>
        <v>CDD 추정치 준용</v>
      </c>
      <c r="J24" s="220">
        <f>HLOOKUP($B24,금속가격!$O$2:$X$9,MATCH(J$20,금속가격!$M$3:$M$9,0)+1,FALSE)</f>
        <v>32669.160503833191</v>
      </c>
      <c r="K24" s="221">
        <f>HLOOKUP($B24,금속가격!$O$2:$X$9,MATCH(K$20,금속가격!$M$3:$M$9,0)+1,FALSE)</f>
        <v>48841.492920671917</v>
      </c>
      <c r="L24" s="221">
        <f>HLOOKUP($B24,금속가격!$O$2:$X$9,MATCH(L$20,금속가격!$M$3:$M$9,0)+1,FALSE)</f>
        <v>70068.004558798013</v>
      </c>
      <c r="M24" s="222">
        <f>HLOOKUP($B24,금속가격!$O$2:$X$9,MATCH(M$20,금속가격!$M$3:$M$9,0)+1,FALSE)</f>
        <v>81684.748476234163</v>
      </c>
      <c r="N24" s="105">
        <f>CHOOSE($F24,$M24,HLOOKUP(N$20,CDD추정치!$E$3:$K$9,MATCH($B24,CDD추정치!$B$3:$B$9,0),0),HLOOKUP(N$20,금속가격!$P$57:$W$65,MATCH($B24,금속가격!$M$57:$M$65,0),0))</f>
        <v>64813.191873009433</v>
      </c>
      <c r="O24" s="105">
        <f t="shared" si="1"/>
        <v>77466.859325427984</v>
      </c>
      <c r="P24" s="105">
        <f>CHOOSE($F24,$M24,HLOOKUP(P$20,CDD추정치!$E$3:$K$9,MATCH($B24,CDD추정치!$B$3:$B$9,0),0),HLOOKUP(P$20,금속가격!$P$57:$W$65,MATCH($B24,금속가격!$M$57:$M$65,0),0))</f>
        <v>66587.732725751091</v>
      </c>
      <c r="Q24" s="105">
        <f>CHOOSE($F24,$M24,HLOOKUP(Q$20,CDD추정치!$E$3:$K$9,MATCH($B24,CDD추정치!$B$3:$B$9,0),0),HLOOKUP(Q$20,금속가격!$P$57:$W$65,MATCH($B24,금속가격!$M$57:$M$65,0),0))</f>
        <v>61504.056678319641</v>
      </c>
      <c r="R24" s="105">
        <f>CHOOSE($F24,$M24,HLOOKUP(R$20,CDD추정치!$E$3:$K$9,MATCH($B24,CDD추정치!$B$3:$B$9,0),0),HLOOKUP(R$20,금속가격!$P$57:$W$65,MATCH($B24,금속가격!$M$57:$M$65,0),0))</f>
        <v>53858.9306517656</v>
      </c>
      <c r="S24" s="105">
        <f>CHOOSE($F24,$M24,HLOOKUP(S$20,CDD추정치!$E$3:$K$9,MATCH($B24,CDD추정치!$B$3:$B$9,0),0),HLOOKUP(S$20,금속가격!$P$57:$W$65,MATCH($B24,금속가격!$M$57:$M$65,0),0))</f>
        <v>47210.799276304708</v>
      </c>
      <c r="T24" s="105">
        <f>CHOOSE($F24,$M24,HLOOKUP(T$20,CDD추정치!$E$3:$K$9,MATCH($B24,CDD추정치!$B$3:$B$9,0),0),HLOOKUP(T$20,금속가격!$P$57:$W$65,MATCH($B24,금속가격!$M$57:$M$65,0),0))</f>
        <v>44416.25638455955</v>
      </c>
      <c r="V24" s="110"/>
      <c r="W24" s="110">
        <v>2</v>
      </c>
      <c r="X24" s="110"/>
      <c r="Y24" s="110" t="str">
        <f t="shared" si="0"/>
        <v>Base</v>
      </c>
      <c r="Z24" s="105">
        <f t="shared" si="2"/>
        <v>54715.55514334012</v>
      </c>
      <c r="AA24" s="4729">
        <f t="shared" si="3"/>
        <v>1.6748381133613808</v>
      </c>
      <c r="AB24" s="4851">
        <f t="shared" si="4"/>
        <v>0.70630919621366528</v>
      </c>
    </row>
    <row r="25" spans="2:28" ht="12" customHeight="1">
      <c r="B25" s="12" t="s">
        <v>333</v>
      </c>
      <c r="C25" s="12"/>
      <c r="D25" s="12"/>
      <c r="E25" s="1950" t="s">
        <v>3463</v>
      </c>
      <c r="F25" s="3023">
        <v>2</v>
      </c>
      <c r="G25" s="1954" t="str">
        <f>VLOOKUP(F25,$C$32:$D$34,2,FALSE)</f>
        <v>CDD 추정치 준용</v>
      </c>
      <c r="H25" s="12"/>
      <c r="I25" s="12"/>
      <c r="J25" s="223">
        <f>HLOOKUP($B25,금속가격!$O$2:$X$9,MATCH(J$20,금속가격!$M$3:$M$9,0)+1,FALSE)</f>
        <v>28341.082746010525</v>
      </c>
      <c r="K25" s="224">
        <f>HLOOKUP($B25,금속가격!$O$2:$X$9,MATCH(K$20,금속가격!$M$3:$M$9,0)+1,FALSE)</f>
        <v>27892.074234960375</v>
      </c>
      <c r="L25" s="224">
        <f>HLOOKUP($B25,금속가격!$O$2:$X$9,MATCH(L$20,금속가격!$M$3:$M$9,0)+1,FALSE)</f>
        <v>28730.054329915067</v>
      </c>
      <c r="M25" s="225">
        <f>HLOOKUP($B25,금속가격!$O$2:$X$9,MATCH(M$20,금속가격!$M$3:$M$9,0)+1,FALSE)</f>
        <v>35981.936125803855</v>
      </c>
      <c r="N25" s="107">
        <f>CHOOSE($F25,$M25,HLOOKUP(N$20,CDD추정치!$E$3:$K$9,MATCH($B25,CDD추정치!$B$3:$B$9,0),0),HLOOKUP(N$20,금속가격!$P$57:$W$65,MATCH($B25,금속가격!$M$57:$M$65,0),0))</f>
        <v>33108.995649283184</v>
      </c>
      <c r="O25" s="107">
        <f t="shared" si="1"/>
        <v>35263.701006673684</v>
      </c>
      <c r="P25" s="107">
        <f>CHOOSE($F25,$M25,HLOOKUP(P$20,CDD추정치!$E$3:$K$9,MATCH($B25,CDD추정치!$B$3:$B$9,0),0),HLOOKUP(P$20,금속가격!$P$57:$W$65,MATCH($B25,금속가격!$M$57:$M$65,0),0))</f>
        <v>32150.746568627979</v>
      </c>
      <c r="Q25" s="107">
        <f>CHOOSE($F25,$M25,HLOOKUP(Q$20,CDD추정치!$E$3:$K$9,MATCH($B25,CDD추정치!$B$3:$B$9,0),0),HLOOKUP(Q$20,금속가격!$P$57:$W$65,MATCH($B25,금속가격!$M$57:$M$65,0),0))</f>
        <v>32633.0077671574</v>
      </c>
      <c r="R25" s="107">
        <f>CHOOSE($F25,$M25,HLOOKUP(R$20,CDD추정치!$E$3:$K$9,MATCH($B25,CDD추정치!$B$3:$B$9,0),0),HLOOKUP(R$20,금속가격!$P$57:$W$65,MATCH($B25,금속가격!$M$57:$M$65,0),0))</f>
        <v>33211.721205392707</v>
      </c>
      <c r="S25" s="107">
        <f>CHOOSE($F25,$M25,HLOOKUP(S$20,CDD추정치!$E$3:$K$9,MATCH($B25,CDD추정치!$B$3:$B$9,0),0),HLOOKUP(S$20,금속가격!$P$57:$W$65,MATCH($B25,금속가격!$M$57:$M$65,0),0))</f>
        <v>33790.43464362801</v>
      </c>
      <c r="T25" s="107">
        <f>CHOOSE($F25,$M25,HLOOKUP(T$20,CDD추정치!$E$3:$K$9,MATCH($B25,CDD추정치!$B$3:$B$9,0),0),HLOOKUP(T$20,금속가격!$P$57:$W$65,MATCH($B25,금속가격!$M$57:$M$65,0),0))</f>
        <v>34380.33929971281</v>
      </c>
      <c r="V25" s="1950"/>
      <c r="W25" s="1950">
        <v>2</v>
      </c>
      <c r="X25" s="1950"/>
      <c r="Y25" s="1950" t="str">
        <f t="shared" si="0"/>
        <v>Base</v>
      </c>
      <c r="Z25" s="105">
        <f t="shared" si="2"/>
        <v>33233.249896903777</v>
      </c>
      <c r="AA25" s="4852">
        <f t="shared" si="3"/>
        <v>1.1726175105847678</v>
      </c>
      <c r="AB25" s="4853">
        <f t="shared" si="4"/>
        <v>0.94242092997029314</v>
      </c>
    </row>
    <row r="26" spans="2:28" ht="12" customHeight="1">
      <c r="B26" s="1953" t="s">
        <v>351</v>
      </c>
      <c r="J26" s="221"/>
      <c r="K26" s="221"/>
      <c r="L26" s="221"/>
      <c r="M26" s="221"/>
      <c r="N26" s="105"/>
      <c r="O26" s="105"/>
      <c r="P26" s="105"/>
      <c r="Q26" s="105"/>
      <c r="R26" s="105"/>
      <c r="S26" s="105"/>
      <c r="T26" s="105"/>
    </row>
    <row r="27" spans="2:28" ht="12" customHeight="1">
      <c r="B27" s="3" t="s">
        <v>5191</v>
      </c>
      <c r="J27" s="221"/>
      <c r="K27" s="221"/>
      <c r="L27" s="221"/>
      <c r="M27" s="221"/>
      <c r="N27" s="105"/>
      <c r="P27" s="105"/>
      <c r="Q27" s="105"/>
      <c r="R27" s="105"/>
      <c r="S27" s="105"/>
      <c r="T27" s="105"/>
    </row>
    <row r="28" spans="2:28" ht="12" customHeight="1">
      <c r="C28" s="1956" t="s">
        <v>3466</v>
      </c>
      <c r="J28" s="221"/>
      <c r="K28" s="221"/>
      <c r="L28" s="221"/>
      <c r="M28" s="221"/>
      <c r="N28" s="105"/>
      <c r="O28" s="105"/>
      <c r="P28" s="105"/>
      <c r="Q28" s="105"/>
      <c r="R28" s="105"/>
      <c r="S28" s="105"/>
      <c r="T28" s="105"/>
    </row>
    <row r="29" spans="2:28" ht="12" customHeight="1">
      <c r="C29" s="1956" t="s">
        <v>3467</v>
      </c>
      <c r="J29" s="221"/>
      <c r="K29" s="221"/>
      <c r="L29" s="221"/>
      <c r="M29" s="221"/>
      <c r="N29" s="105"/>
      <c r="O29" s="105"/>
      <c r="P29" s="105"/>
      <c r="Q29" s="105"/>
      <c r="R29" s="105"/>
      <c r="S29" s="105"/>
      <c r="T29" s="105"/>
    </row>
    <row r="30" spans="2:28" ht="12" customHeight="1">
      <c r="B30" s="3" t="s">
        <v>3468</v>
      </c>
      <c r="J30" s="221"/>
      <c r="K30" s="221"/>
      <c r="L30" s="221"/>
      <c r="M30" s="221"/>
      <c r="N30" s="105"/>
      <c r="O30" s="105"/>
      <c r="P30" s="105"/>
      <c r="Q30" s="105"/>
      <c r="R30" s="105"/>
      <c r="S30" s="105"/>
      <c r="T30" s="105"/>
    </row>
    <row r="31" spans="2:28" ht="12" customHeight="1">
      <c r="C31" s="1950" t="s">
        <v>3464</v>
      </c>
      <c r="D31" s="1957" t="s">
        <v>3469</v>
      </c>
      <c r="E31" s="1957"/>
      <c r="F31" s="1957"/>
      <c r="G31" s="1957"/>
      <c r="H31" s="1957"/>
      <c r="I31" s="1957"/>
      <c r="J31" s="1957"/>
      <c r="K31" s="1957"/>
      <c r="L31" s="1957"/>
      <c r="M31" s="1957"/>
      <c r="N31" s="1957"/>
      <c r="O31" s="1957"/>
      <c r="P31" s="1957"/>
      <c r="Q31" s="1957"/>
      <c r="R31" s="1957"/>
      <c r="S31" s="1957"/>
      <c r="T31" s="1957"/>
    </row>
    <row r="32" spans="2:28" ht="12" customHeight="1">
      <c r="C32" s="1958">
        <v>1</v>
      </c>
      <c r="D32" s="302" t="s">
        <v>5192</v>
      </c>
      <c r="E32" s="302"/>
      <c r="F32" s="302"/>
      <c r="G32" s="302"/>
      <c r="H32" s="302"/>
      <c r="I32" s="218"/>
      <c r="J32" s="218"/>
      <c r="K32" s="218"/>
      <c r="L32" s="218"/>
      <c r="M32" s="304"/>
      <c r="N32" s="304"/>
      <c r="O32" s="304"/>
      <c r="P32" s="304"/>
      <c r="Q32" s="304"/>
      <c r="R32" s="304"/>
      <c r="S32" s="302"/>
      <c r="T32" s="302"/>
    </row>
    <row r="33" spans="2:25" ht="12" customHeight="1">
      <c r="C33" s="110">
        <v>2</v>
      </c>
      <c r="D33" s="3" t="s">
        <v>5176</v>
      </c>
      <c r="I33" s="221"/>
      <c r="J33" s="221"/>
      <c r="K33" s="221"/>
      <c r="L33" s="221"/>
      <c r="M33" s="105"/>
      <c r="N33" s="105"/>
      <c r="O33" s="105"/>
      <c r="P33" s="105"/>
      <c r="Q33" s="105"/>
      <c r="R33" s="105"/>
    </row>
    <row r="34" spans="2:25" ht="12" customHeight="1">
      <c r="C34" s="110">
        <v>3</v>
      </c>
      <c r="D34" s="3" t="s">
        <v>5195</v>
      </c>
      <c r="I34" s="221"/>
      <c r="J34" s="221"/>
      <c r="K34" s="221"/>
      <c r="L34" s="221"/>
      <c r="M34" s="105"/>
      <c r="N34" s="105"/>
      <c r="O34" s="105"/>
      <c r="P34" s="105"/>
      <c r="Q34" s="105"/>
      <c r="R34" s="105"/>
    </row>
    <row r="35" spans="2:25" ht="12" customHeight="1">
      <c r="C35" s="110">
        <v>4</v>
      </c>
      <c r="D35" s="3" t="s">
        <v>6764</v>
      </c>
      <c r="I35" s="221"/>
      <c r="J35" s="221"/>
      <c r="K35" s="221"/>
      <c r="L35" s="221"/>
      <c r="M35" s="105"/>
      <c r="N35" s="105"/>
      <c r="O35" s="105"/>
      <c r="P35" s="105"/>
      <c r="Q35" s="105"/>
      <c r="R35" s="105"/>
    </row>
    <row r="36" spans="2:25" ht="12" customHeight="1">
      <c r="C36" s="1950">
        <v>5</v>
      </c>
      <c r="D36" s="12" t="s">
        <v>11029</v>
      </c>
      <c r="E36" s="12"/>
      <c r="F36" s="12"/>
      <c r="G36" s="12"/>
      <c r="H36" s="12"/>
      <c r="I36" s="224"/>
      <c r="J36" s="224"/>
      <c r="K36" s="224"/>
      <c r="L36" s="224"/>
      <c r="M36" s="107"/>
      <c r="N36" s="107"/>
      <c r="O36" s="107"/>
      <c r="P36" s="107"/>
      <c r="Q36" s="107"/>
      <c r="R36" s="107"/>
      <c r="S36" s="12"/>
      <c r="T36" s="12"/>
    </row>
    <row r="37" spans="2:25" ht="12" customHeight="1">
      <c r="J37" s="221"/>
      <c r="K37" s="221"/>
      <c r="L37" s="221"/>
      <c r="M37" s="221"/>
      <c r="N37" s="105"/>
      <c r="O37" s="105"/>
      <c r="P37" s="105"/>
      <c r="Q37" s="105"/>
      <c r="R37" s="105"/>
      <c r="S37" s="105"/>
      <c r="T37" s="105"/>
    </row>
    <row r="38" spans="2:25" ht="12" customHeight="1">
      <c r="B38" s="203" t="s">
        <v>1283</v>
      </c>
      <c r="C38" s="203"/>
      <c r="J38" s="221"/>
      <c r="K38" s="221"/>
      <c r="L38" s="221"/>
      <c r="M38" s="221"/>
      <c r="N38" s="105"/>
      <c r="O38" s="105"/>
      <c r="P38" s="105"/>
      <c r="Q38" s="105"/>
      <c r="R38" s="105"/>
      <c r="S38" s="105"/>
      <c r="T38" s="105"/>
    </row>
    <row r="39" spans="2:25" ht="12" customHeight="1">
      <c r="B39" s="24"/>
      <c r="C39" s="24"/>
      <c r="D39" s="24"/>
      <c r="E39" s="24"/>
      <c r="F39" s="24"/>
      <c r="G39" s="24"/>
      <c r="H39" s="24"/>
      <c r="I39" s="24"/>
      <c r="J39" s="25" t="s">
        <v>23</v>
      </c>
      <c r="K39" s="26"/>
      <c r="L39" s="26"/>
      <c r="M39" s="27"/>
      <c r="N39" s="26" t="s">
        <v>24</v>
      </c>
      <c r="O39" s="26"/>
      <c r="P39" s="26"/>
      <c r="Q39" s="26"/>
      <c r="R39" s="26"/>
      <c r="S39" s="26"/>
      <c r="T39" s="26"/>
      <c r="V39" s="2041" t="s">
        <v>3650</v>
      </c>
      <c r="W39" s="2041"/>
      <c r="X39" s="2041"/>
      <c r="Y39" s="2041"/>
    </row>
    <row r="40" spans="2:25" ht="12" customHeight="1" thickBot="1">
      <c r="B40" s="28"/>
      <c r="C40" s="28"/>
      <c r="D40" s="28"/>
      <c r="E40" s="1949" t="s">
        <v>2889</v>
      </c>
      <c r="F40" s="1949" t="s">
        <v>3464</v>
      </c>
      <c r="G40" s="28"/>
      <c r="H40" s="28"/>
      <c r="I40" s="28"/>
      <c r="J40" s="29" t="s">
        <v>69</v>
      </c>
      <c r="K40" s="30" t="s">
        <v>27</v>
      </c>
      <c r="L40" s="30" t="s">
        <v>60</v>
      </c>
      <c r="M40" s="31" t="s">
        <v>5104</v>
      </c>
      <c r="N40" s="30" t="s">
        <v>5174</v>
      </c>
      <c r="O40" s="30" t="s">
        <v>70</v>
      </c>
      <c r="P40" s="30" t="s">
        <v>71</v>
      </c>
      <c r="Q40" s="30" t="s">
        <v>72</v>
      </c>
      <c r="R40" s="30" t="s">
        <v>73</v>
      </c>
      <c r="S40" s="30" t="s">
        <v>74</v>
      </c>
      <c r="T40" s="30" t="s">
        <v>5102</v>
      </c>
      <c r="V40" s="290" t="s">
        <v>3651</v>
      </c>
      <c r="W40" s="290" t="s">
        <v>3652</v>
      </c>
      <c r="X40" s="290" t="s">
        <v>3653</v>
      </c>
      <c r="Y40" s="290" t="s">
        <v>3740</v>
      </c>
    </row>
    <row r="41" spans="2:25" ht="12" customHeight="1" thickBot="1">
      <c r="B41" s="3" t="s">
        <v>5587</v>
      </c>
      <c r="E41" s="3" t="s">
        <v>3471</v>
      </c>
      <c r="F41" s="291">
        <v>2</v>
      </c>
      <c r="G41" s="289" t="str">
        <f t="shared" ref="G41:G46" si="5">VLOOKUP(F41,$C$53:$D$55,2,FALSE)</f>
        <v>CDD 추정치 준용</v>
      </c>
      <c r="J41" s="3017">
        <f>Revenue!J65</f>
        <v>2.6806232020894449</v>
      </c>
      <c r="K41" s="3018">
        <f>Revenue!K65</f>
        <v>3.1117134390396415</v>
      </c>
      <c r="L41" s="3019">
        <f>Revenue!L65</f>
        <v>2.841505423340545</v>
      </c>
      <c r="M41" s="3020">
        <f>Revenue!M65</f>
        <v>3.5205512859186312</v>
      </c>
      <c r="N41" s="306">
        <f>CHOOSE($F41,M41,CDD추정치!E44,M41)</f>
        <v>3.5369999999999999</v>
      </c>
      <c r="O41" s="357">
        <f t="shared" ref="O41:O46" si="6">M41*0.75+N41*0.25</f>
        <v>3.5246634644389729</v>
      </c>
      <c r="P41" s="357">
        <f>CHOOSE($F41,$M41,CDD추정치!G44,CDD추정치!R10)</f>
        <v>3.726</v>
      </c>
      <c r="Q41" s="357">
        <f>CHOOSE($F41,$M41,CDD추정치!H44,CDD추정치!S10)</f>
        <v>3.359</v>
      </c>
      <c r="R41" s="357">
        <f>CHOOSE($F41,$M41,CDD추정치!I44,CDD추정치!T10)</f>
        <v>4.1399999999999997</v>
      </c>
      <c r="S41" s="357">
        <f>CHOOSE($F41,$M41,CDD추정치!J44,CDD추정치!U10)</f>
        <v>4.1598747145951602</v>
      </c>
      <c r="T41" s="357">
        <f>CHOOSE($F41,$M41,CDD추정치!K44,CDD추정치!V10)</f>
        <v>4.1797048891452402</v>
      </c>
      <c r="U41" s="289"/>
      <c r="V41" s="1958"/>
      <c r="W41" s="1958">
        <v>2</v>
      </c>
      <c r="X41" s="1958"/>
      <c r="Y41" s="1958" t="str">
        <f t="shared" ref="Y41:Y46" si="7">INDEX($V$20:$X$20,1,MATCH($F41,$V41:$X41,0))</f>
        <v>Base</v>
      </c>
    </row>
    <row r="42" spans="2:25" ht="12" customHeight="1" thickBot="1">
      <c r="B42" s="3" t="s">
        <v>3644</v>
      </c>
      <c r="E42" s="3" t="s">
        <v>3471</v>
      </c>
      <c r="F42" s="291">
        <v>2</v>
      </c>
      <c r="G42" s="289" t="str">
        <f t="shared" si="5"/>
        <v>CDD 추정치 준용</v>
      </c>
      <c r="J42" s="307">
        <f>Revenue!J69</f>
        <v>0.47778187963286273</v>
      </c>
      <c r="K42" s="308">
        <f>Revenue!K69</f>
        <v>0.4698149344256099</v>
      </c>
      <c r="L42" s="2478">
        <f>Revenue!L69</f>
        <v>0.50148980905303908</v>
      </c>
      <c r="M42" s="2479">
        <f>Revenue!M69</f>
        <v>0.51502282672456257</v>
      </c>
      <c r="N42" s="306">
        <f>CHOOSE($F42,$M42,HLOOKUP(N$40,CDD추정치!$E$39:$K$45,MATCH($B42,CDD추정치!$C$39:$C$45,0),0),HLOOKUP(N$40,부산물가격!$D$11:$K$16,MATCH($B42,부산물가격!$B$11:$B$16,0),0))</f>
        <v>0.51502282672456245</v>
      </c>
      <c r="O42" s="357">
        <f t="shared" si="6"/>
        <v>0.51502282672456245</v>
      </c>
      <c r="P42" s="357">
        <f>CHOOSE($F42,$M42,HLOOKUP(P$40,CDD추정치!$E$39:$K$45,MATCH($B42,CDD추정치!$C$39:$C$45,0),0),HLOOKUP(P$40,부산물가격!$D$11:$K$16,MATCH($B42,부산물가격!$B$11:$B$16,0),0))</f>
        <v>0.54100000000000004</v>
      </c>
      <c r="Q42" s="357">
        <f>CHOOSE($F42,$M42,HLOOKUP(Q$40,CDD추정치!$E$39:$K$45,MATCH($B42,CDD추정치!$C$39:$C$45,0),0),HLOOKUP(Q$40,부산물가격!$D$11:$K$16,MATCH($B42,부산물가격!$B$11:$B$16,0),0))</f>
        <v>0.55500000000000005</v>
      </c>
      <c r="R42" s="357">
        <f>CHOOSE($F42,$M42,HLOOKUP(R$40,CDD추정치!$E$39:$K$45,MATCH($B42,CDD추정치!$C$39:$C$45,0),0),HLOOKUP(R$40,부산물가격!$D$11:$K$16,MATCH($B42,부산물가격!$B$11:$B$16,0),0))</f>
        <v>0.55600000000000005</v>
      </c>
      <c r="S42" s="357">
        <f>CHOOSE($F42,$M42,HLOOKUP(S$40,CDD추정치!$E$39:$K$45,MATCH($B42,CDD추정치!$C$39:$C$45,0),0),HLOOKUP(S$40,부산물가격!$D$11:$K$16,MATCH($B42,부산물가격!$B$11:$B$16,0),0))</f>
        <v>0.55700180180180181</v>
      </c>
      <c r="T42" s="357">
        <f>CHOOSE($F42,$M42,HLOOKUP(T$40,CDD추정치!$E$39:$K$45,MATCH($B42,CDD추정치!$C$39:$C$45,0),0),HLOOKUP(T$40,부산물가격!$D$11:$K$16,MATCH($B42,부산물가격!$B$11:$B$16,0),0))</f>
        <v>0.55800540865189519</v>
      </c>
      <c r="U42" s="289"/>
      <c r="V42" s="110"/>
      <c r="W42" s="110">
        <v>2</v>
      </c>
      <c r="X42" s="110"/>
      <c r="Y42" s="110" t="str">
        <f t="shared" si="7"/>
        <v>Base</v>
      </c>
    </row>
    <row r="43" spans="2:25" ht="12" customHeight="1" thickBot="1">
      <c r="B43" s="3" t="s">
        <v>1366</v>
      </c>
      <c r="E43" s="3" t="s">
        <v>3470</v>
      </c>
      <c r="F43" s="291">
        <v>2</v>
      </c>
      <c r="G43" s="289" t="str">
        <f t="shared" si="5"/>
        <v>CDD 추정치 준용</v>
      </c>
      <c r="J43" s="307">
        <f>Revenue!J73</f>
        <v>2.9556449631252375E-2</v>
      </c>
      <c r="K43" s="308">
        <f>Revenue!K73</f>
        <v>3.8651980190934063E-2</v>
      </c>
      <c r="L43" s="2478">
        <f>Revenue!L73</f>
        <v>8.8797029256417817E-3</v>
      </c>
      <c r="M43" s="2479">
        <f>Revenue!M73</f>
        <v>3.6598702155353421E-2</v>
      </c>
      <c r="N43" s="306">
        <f>CHOOSE($F43,$M43,HLOOKUP(N$40,CDD추정치!$E$39:$K$45,MATCH($B43,CDD추정치!$C$39:$C$45,0),0),HLOOKUP(N$40,부산물가격!$D$11:$K$16,MATCH($B43,부산물가격!$B$11:$B$16,0),0))</f>
        <v>3.6598702155353421E-2</v>
      </c>
      <c r="O43" s="306">
        <f t="shared" si="6"/>
        <v>3.6598702155353421E-2</v>
      </c>
      <c r="P43" s="306">
        <f>CHOOSE($F43,$M43,HLOOKUP(P$40,CDD추정치!$E$39:$K$45,MATCH($B43,CDD추정치!$C$39:$C$45,0),0),HLOOKUP(P$40,부산물가격!$D$11:$K$16,MATCH($B43,부산물가격!$B$11:$B$16,0),0))</f>
        <v>0.04</v>
      </c>
      <c r="Q43" s="306">
        <f>CHOOSE($F43,$M43,HLOOKUP(Q$40,CDD추정치!$E$39:$K$45,MATCH($B43,CDD추정치!$C$39:$C$45,0),0),HLOOKUP(Q$40,부산물가격!$D$11:$K$16,MATCH($B43,부산물가격!$B$11:$B$16,0),0))</f>
        <v>3.5000000000000003E-2</v>
      </c>
      <c r="R43" s="306">
        <f>CHOOSE($F43,$M43,HLOOKUP(R$40,CDD추정치!$E$39:$K$45,MATCH($B43,CDD추정치!$C$39:$C$45,0),0),HLOOKUP(R$40,부산물가격!$D$11:$K$16,MATCH($B43,부산물가격!$B$11:$B$16,0),0))</f>
        <v>3.5000000000000003E-2</v>
      </c>
      <c r="S43" s="306">
        <f>CHOOSE($F43,$M43,HLOOKUP(S$40,CDD추정치!$E$39:$K$45,MATCH($B43,CDD추정치!$C$39:$C$45,0),0),HLOOKUP(S$40,부산물가격!$D$11:$K$16,MATCH($B43,부산물가격!$B$11:$B$16,0),0))</f>
        <v>3.4799999999999998E-2</v>
      </c>
      <c r="T43" s="306">
        <f>CHOOSE($F43,$M43,HLOOKUP(T$40,CDD추정치!$E$39:$K$45,MATCH($B43,CDD추정치!$C$39:$C$45,0),0),HLOOKUP(T$40,부산물가격!$D$11:$K$16,MATCH($B43,부산물가격!$B$11:$B$16,0),0))</f>
        <v>3.4700000000000002E-2</v>
      </c>
      <c r="U43" s="289"/>
      <c r="V43" s="110"/>
      <c r="W43" s="110">
        <v>2</v>
      </c>
      <c r="X43" s="110"/>
      <c r="Y43" s="110" t="str">
        <f t="shared" si="7"/>
        <v>Base</v>
      </c>
    </row>
    <row r="44" spans="2:25" ht="12" customHeight="1" thickBot="1">
      <c r="B44" s="3" t="s">
        <v>3645</v>
      </c>
      <c r="E44" s="3" t="s">
        <v>3470</v>
      </c>
      <c r="F44" s="291">
        <v>2</v>
      </c>
      <c r="G44" s="289" t="str">
        <f t="shared" si="5"/>
        <v>CDD 추정치 준용</v>
      </c>
      <c r="J44" s="307">
        <f>Revenue!J77</f>
        <v>1.3495430047655885E-3</v>
      </c>
      <c r="K44" s="308">
        <f>Revenue!K77</f>
        <v>1.3749506147209072E-3</v>
      </c>
      <c r="L44" s="2478">
        <f>Revenue!L77</f>
        <v>1.7141427338286336E-3</v>
      </c>
      <c r="M44" s="2479">
        <f>Revenue!M77</f>
        <v>2.5800024837791132E-3</v>
      </c>
      <c r="N44" s="306">
        <f>CHOOSE($F44,$M44,HLOOKUP(N$40,CDD추정치!$E$39:$K$45,MATCH($B44,CDD추정치!$C$39:$C$45,0),0),HLOOKUP(N$40,부산물가격!$D$11:$K$16,MATCH($B44,부산물가격!$B$11:$B$16,0),0))</f>
        <v>2.5800024837791128E-3</v>
      </c>
      <c r="O44" s="357">
        <f t="shared" si="6"/>
        <v>2.5800024837791128E-3</v>
      </c>
      <c r="P44" s="357">
        <f>CHOOSE($F44,$M44,HLOOKUP(P$40,CDD추정치!$E$39:$K$45,MATCH($B44,CDD추정치!$C$39:$C$45,0),0),HLOOKUP(P$40,부산물가격!$D$11:$K$16,MATCH($B44,부산물가격!$B$11:$B$16,0),0))</f>
        <v>2.8999999999999998E-3</v>
      </c>
      <c r="Q44" s="357">
        <f>CHOOSE($F44,$M44,HLOOKUP(Q$40,CDD추정치!$E$39:$K$45,MATCH($B44,CDD추정치!$C$39:$C$45,0),0),HLOOKUP(Q$40,부산물가격!$D$11:$K$16,MATCH($B44,부산물가격!$B$11:$B$16,0),0))</f>
        <v>3.3999999999999998E-3</v>
      </c>
      <c r="R44" s="357">
        <f>CHOOSE($F44,$M44,HLOOKUP(R$40,CDD추정치!$E$39:$K$45,MATCH($B44,CDD추정치!$C$39:$C$45,0),0),HLOOKUP(R$40,부산물가격!$D$11:$K$16,MATCH($B44,부산물가격!$B$11:$B$16,0),0))</f>
        <v>3.3999999999999998E-3</v>
      </c>
      <c r="S44" s="357">
        <f>CHOOSE($F44,$M44,HLOOKUP(S$40,CDD추정치!$E$39:$K$45,MATCH($B44,CDD추정치!$C$39:$C$45,0),0),HLOOKUP(S$40,부산물가격!$D$11:$K$16,MATCH($B44,부산물가격!$B$11:$B$16,0),0))</f>
        <v>3.3999999999999998E-3</v>
      </c>
      <c r="T44" s="357">
        <f>CHOOSE($F44,$M44,HLOOKUP(T$40,CDD추정치!$E$39:$K$45,MATCH($B44,CDD추정치!$C$39:$C$45,0),0),HLOOKUP(T$40,부산물가격!$D$11:$K$16,MATCH($B44,부산물가격!$B$11:$B$16,0),0))</f>
        <v>3.3999999999999998E-3</v>
      </c>
      <c r="U44" s="289"/>
      <c r="V44" s="110"/>
      <c r="W44" s="110">
        <v>2</v>
      </c>
      <c r="X44" s="110"/>
      <c r="Y44" s="110" t="str">
        <f t="shared" si="7"/>
        <v>Base</v>
      </c>
    </row>
    <row r="45" spans="2:25" ht="12" customHeight="1" thickBot="1">
      <c r="B45" s="3" t="s">
        <v>3646</v>
      </c>
      <c r="E45" s="3" t="s">
        <v>3470</v>
      </c>
      <c r="F45" s="291">
        <v>2</v>
      </c>
      <c r="G45" s="289" t="str">
        <f t="shared" si="5"/>
        <v>CDD 추정치 준용</v>
      </c>
      <c r="J45" s="307">
        <f>Revenue!J81</f>
        <v>9.9431543312739166</v>
      </c>
      <c r="K45" s="308">
        <f>Revenue!K81</f>
        <v>13.131166484955974</v>
      </c>
      <c r="L45" s="2478">
        <f>Revenue!L81</f>
        <v>14.829141078399328</v>
      </c>
      <c r="M45" s="2479">
        <f>Revenue!M81</f>
        <v>12.493101217917564</v>
      </c>
      <c r="N45" s="306">
        <f>CHOOSE($F45,$M45,HLOOKUP(N$40,CDD추정치!$E$39:$K$45,MATCH($B45,CDD추정치!$C$39:$C$45,0),0))</f>
        <v>12.493101217917564</v>
      </c>
      <c r="O45" s="357">
        <f t="shared" si="6"/>
        <v>12.493101217917564</v>
      </c>
      <c r="P45" s="357">
        <f>CHOOSE($F45,$M45,HLOOKUP(P$40,CDD추정치!$E$39:$K$45,MATCH($B45,CDD추정치!$C$39:$C$45,0),0))</f>
        <v>12.493101217917564</v>
      </c>
      <c r="Q45" s="357">
        <f>CHOOSE($F45,$M45,HLOOKUP(Q$40,CDD추정치!$E$39:$K$45,MATCH($B45,CDD추정치!$C$39:$C$45,0),0))</f>
        <v>12.493101217917564</v>
      </c>
      <c r="R45" s="357">
        <f>CHOOSE($F45,$M45,HLOOKUP(R$40,CDD추정치!$E$39:$K$45,MATCH($B45,CDD추정치!$C$39:$C$45,0),0))</f>
        <v>12.493101217917564</v>
      </c>
      <c r="S45" s="357">
        <f>CHOOSE($F45,$M45,HLOOKUP(S$40,CDD추정치!$E$39:$K$45,MATCH($B45,CDD추정치!$C$39:$C$45,0),0))</f>
        <v>12.493101217917564</v>
      </c>
      <c r="T45" s="357">
        <f>CHOOSE($F45,$M45,HLOOKUP(T$40,CDD추정치!$E$39:$K$45,MATCH($B45,CDD추정치!$C$39:$C$45,0),0))</f>
        <v>12.493101217917564</v>
      </c>
      <c r="U45" s="289"/>
      <c r="V45" s="110"/>
      <c r="W45" s="110">
        <v>2</v>
      </c>
      <c r="X45" s="110"/>
      <c r="Y45" s="110" t="str">
        <f t="shared" si="7"/>
        <v>Base</v>
      </c>
    </row>
    <row r="46" spans="2:25" ht="12" customHeight="1" thickBot="1">
      <c r="B46" s="12" t="s">
        <v>3647</v>
      </c>
      <c r="C46" s="12"/>
      <c r="D46" s="12"/>
      <c r="E46" s="12" t="s">
        <v>3470</v>
      </c>
      <c r="F46" s="291">
        <v>2</v>
      </c>
      <c r="G46" s="1954" t="str">
        <f t="shared" si="5"/>
        <v>CDD 추정치 준용</v>
      </c>
      <c r="H46" s="12"/>
      <c r="I46" s="12"/>
      <c r="J46" s="309">
        <f>Revenue!J85</f>
        <v>3.2944643258498801E-2</v>
      </c>
      <c r="K46" s="310">
        <f>Revenue!K85</f>
        <v>3.3847825610150505E-2</v>
      </c>
      <c r="L46" s="2480">
        <f>Revenue!L85</f>
        <v>2.9365040255244751E-2</v>
      </c>
      <c r="M46" s="2481">
        <f>Revenue!M85</f>
        <v>3.3266520903324735E-2</v>
      </c>
      <c r="N46" s="311">
        <f>CHOOSE($F46,$M46,HLOOKUP(N$40,CDD추정치!$E$39:$K$45,MATCH($B46,CDD추정치!$C$39:$C$45,0),0),HLOOKUP(N$40,부산물가격!$D$11:$K$16,MATCH($B46,부산물가격!$B$11:$B$16,0),0))</f>
        <v>3.3266520903324735E-2</v>
      </c>
      <c r="O46" s="1959">
        <f t="shared" si="6"/>
        <v>3.3266520903324735E-2</v>
      </c>
      <c r="P46" s="1959">
        <f>CHOOSE($F46,$M46,HLOOKUP(P$40,CDD추정치!$E$39:$K$45,MATCH($B46,CDD추정치!$C$39:$C$45,0),0),HLOOKUP(P$40,부산물가격!$D$11:$K$16,MATCH($B46,부산물가격!$B$11:$B$16,0),0))</f>
        <v>3.6400000000000002E-2</v>
      </c>
      <c r="Q46" s="1959">
        <f>CHOOSE($F46,$M46,HLOOKUP(Q$40,CDD추정치!$E$39:$K$45,MATCH($B46,CDD추정치!$C$39:$C$45,0),0),HLOOKUP(Q$40,부산물가격!$D$11:$K$16,MATCH($B46,부산물가격!$B$11:$B$16,0),0))</f>
        <v>3.6999999999999998E-2</v>
      </c>
      <c r="R46" s="1959">
        <f>CHOOSE($F46,$M46,HLOOKUP(R$40,CDD추정치!$E$39:$K$45,MATCH($B46,CDD추정치!$C$39:$C$45,0),0),HLOOKUP(R$40,부산물가격!$D$11:$K$16,MATCH($B46,부산물가격!$B$11:$B$16,0),0))</f>
        <v>3.8100000000000002E-2</v>
      </c>
      <c r="S46" s="1959">
        <f>CHOOSE($F46,$M46,HLOOKUP(S$40,CDD추정치!$E$39:$K$45,MATCH($B46,CDD추정치!$C$39:$C$45,0),0),HLOOKUP(S$40,부산물가격!$D$11:$K$16,MATCH($B46,부산물가격!$B$11:$B$16,0),0))</f>
        <v>3.8100000000000002E-2</v>
      </c>
      <c r="T46" s="1959">
        <f>CHOOSE($F46,$M46,HLOOKUP(T$40,CDD추정치!$E$39:$K$45,MATCH($B46,CDD추정치!$C$39:$C$45,0),0),HLOOKUP(T$40,부산물가격!$D$11:$K$16,MATCH($B46,부산물가격!$B$11:$B$16,0),0))</f>
        <v>3.8100000000000002E-2</v>
      </c>
      <c r="U46" s="289"/>
      <c r="V46" s="1950"/>
      <c r="W46" s="1950">
        <v>2</v>
      </c>
      <c r="X46" s="1950"/>
      <c r="Y46" s="1950" t="str">
        <f t="shared" si="7"/>
        <v>Base</v>
      </c>
    </row>
    <row r="47" spans="2:25" ht="12" customHeight="1">
      <c r="B47" s="1953" t="s">
        <v>351</v>
      </c>
      <c r="J47" s="221"/>
      <c r="K47" s="221"/>
      <c r="L47" s="221"/>
      <c r="M47" s="221"/>
      <c r="N47" s="105"/>
      <c r="O47" s="105"/>
      <c r="P47" s="105"/>
      <c r="Q47" s="105"/>
      <c r="R47" s="105"/>
      <c r="S47" s="105"/>
      <c r="T47" s="105"/>
    </row>
    <row r="48" spans="2:25" ht="12" customHeight="1">
      <c r="B48" s="3" t="s">
        <v>3465</v>
      </c>
      <c r="J48" s="221"/>
      <c r="K48" s="221"/>
      <c r="L48" s="221"/>
      <c r="M48" s="221"/>
      <c r="N48" s="105"/>
      <c r="O48" s="105"/>
      <c r="P48" s="105"/>
      <c r="Q48" s="105"/>
      <c r="R48" s="105"/>
      <c r="S48" s="105"/>
      <c r="T48" s="105"/>
    </row>
    <row r="49" spans="2:25" ht="12" customHeight="1">
      <c r="C49" s="1956" t="s">
        <v>3472</v>
      </c>
      <c r="J49" s="221"/>
      <c r="K49" s="221"/>
      <c r="L49" s="221"/>
      <c r="M49" s="221"/>
      <c r="N49" s="105"/>
      <c r="O49" s="105"/>
      <c r="P49" s="105"/>
      <c r="Q49" s="105"/>
      <c r="R49" s="105"/>
      <c r="S49" s="105"/>
      <c r="T49" s="105"/>
    </row>
    <row r="50" spans="2:25" ht="12" customHeight="1">
      <c r="C50" s="1956" t="s">
        <v>3473</v>
      </c>
      <c r="J50" s="221"/>
      <c r="K50" s="221"/>
      <c r="L50" s="221"/>
      <c r="M50" s="221"/>
      <c r="N50" s="105"/>
      <c r="O50" s="105"/>
      <c r="P50" s="105"/>
      <c r="Q50" s="105"/>
      <c r="R50" s="105"/>
      <c r="S50" s="105"/>
      <c r="T50" s="105"/>
    </row>
    <row r="51" spans="2:25" ht="12" customHeight="1">
      <c r="B51" s="3" t="s">
        <v>3474</v>
      </c>
      <c r="J51" s="221"/>
      <c r="K51" s="221"/>
      <c r="L51" s="221"/>
      <c r="M51" s="221"/>
      <c r="N51" s="105"/>
      <c r="O51" s="105"/>
      <c r="P51" s="105"/>
      <c r="Q51" s="105"/>
      <c r="R51" s="105"/>
      <c r="S51" s="105"/>
      <c r="T51" s="105"/>
    </row>
    <row r="52" spans="2:25" ht="12" customHeight="1">
      <c r="C52" s="1950" t="s">
        <v>3464</v>
      </c>
      <c r="D52" s="1957" t="s">
        <v>3469</v>
      </c>
      <c r="E52" s="1957"/>
      <c r="F52" s="1957"/>
      <c r="G52" s="1957"/>
      <c r="H52" s="1957"/>
      <c r="I52" s="1957"/>
      <c r="J52" s="1957"/>
      <c r="K52" s="1957"/>
      <c r="L52" s="1957"/>
      <c r="M52" s="1957"/>
      <c r="N52" s="1957"/>
      <c r="O52" s="1957"/>
      <c r="P52" s="1957"/>
      <c r="Q52" s="1957"/>
      <c r="R52" s="1957"/>
      <c r="S52" s="1957"/>
      <c r="T52" s="1957"/>
    </row>
    <row r="53" spans="2:25" ht="12" customHeight="1">
      <c r="C53" s="1958">
        <v>1</v>
      </c>
      <c r="D53" s="302" t="s">
        <v>3475</v>
      </c>
      <c r="E53" s="302"/>
      <c r="F53" s="302"/>
      <c r="G53" s="302"/>
      <c r="H53" s="302"/>
      <c r="I53" s="302"/>
      <c r="J53" s="302"/>
      <c r="K53" s="302"/>
      <c r="L53" s="302"/>
      <c r="M53" s="302"/>
      <c r="N53" s="302"/>
      <c r="O53" s="302"/>
      <c r="P53" s="302"/>
      <c r="Q53" s="302"/>
      <c r="R53" s="302"/>
      <c r="S53" s="302"/>
      <c r="T53" s="302"/>
    </row>
    <row r="54" spans="2:25" ht="12" customHeight="1">
      <c r="C54" s="110">
        <v>2</v>
      </c>
      <c r="D54" s="3" t="s">
        <v>5176</v>
      </c>
    </row>
    <row r="55" spans="2:25" ht="12" customHeight="1">
      <c r="C55" s="1950">
        <v>3</v>
      </c>
      <c r="D55" s="12" t="s">
        <v>5196</v>
      </c>
      <c r="E55" s="12"/>
      <c r="F55" s="12"/>
      <c r="G55" s="12"/>
      <c r="H55" s="12"/>
      <c r="I55" s="12"/>
      <c r="J55" s="12"/>
      <c r="K55" s="12"/>
      <c r="L55" s="12"/>
      <c r="M55" s="12"/>
      <c r="N55" s="12"/>
      <c r="O55" s="12"/>
      <c r="P55" s="12"/>
      <c r="Q55" s="12"/>
      <c r="R55" s="12"/>
      <c r="S55" s="12"/>
      <c r="T55" s="12"/>
    </row>
    <row r="57" spans="2:25" ht="12" customHeight="1">
      <c r="B57" s="203" t="s">
        <v>353</v>
      </c>
      <c r="C57" s="203"/>
    </row>
    <row r="58" spans="2:25" ht="12" customHeight="1">
      <c r="B58" s="24"/>
      <c r="C58" s="24"/>
      <c r="D58" s="24"/>
      <c r="E58" s="24"/>
      <c r="F58" s="24"/>
      <c r="G58" s="24"/>
      <c r="H58" s="24"/>
      <c r="I58" s="24"/>
      <c r="J58" s="25" t="s">
        <v>23</v>
      </c>
      <c r="K58" s="26"/>
      <c r="L58" s="26"/>
      <c r="M58" s="27"/>
      <c r="N58" s="26" t="s">
        <v>24</v>
      </c>
      <c r="O58" s="26"/>
      <c r="P58" s="26"/>
      <c r="Q58" s="26"/>
      <c r="R58" s="26"/>
      <c r="S58" s="26"/>
      <c r="T58" s="26"/>
      <c r="V58" s="2041" t="s">
        <v>3650</v>
      </c>
      <c r="W58" s="2041"/>
      <c r="X58" s="2041"/>
      <c r="Y58" s="2041"/>
    </row>
    <row r="59" spans="2:25" ht="12" customHeight="1" thickBot="1">
      <c r="B59" s="28"/>
      <c r="C59" s="28"/>
      <c r="D59" s="28"/>
      <c r="E59" s="1949" t="s">
        <v>2889</v>
      </c>
      <c r="F59" s="1949" t="s">
        <v>3464</v>
      </c>
      <c r="G59" s="28"/>
      <c r="H59" s="28"/>
      <c r="I59" s="28"/>
      <c r="J59" s="29" t="s">
        <v>69</v>
      </c>
      <c r="K59" s="30" t="s">
        <v>27</v>
      </c>
      <c r="L59" s="30" t="s">
        <v>60</v>
      </c>
      <c r="M59" s="31" t="s">
        <v>5104</v>
      </c>
      <c r="N59" s="30" t="s">
        <v>5174</v>
      </c>
      <c r="O59" s="30" t="s">
        <v>70</v>
      </c>
      <c r="P59" s="30" t="s">
        <v>71</v>
      </c>
      <c r="Q59" s="30" t="s">
        <v>72</v>
      </c>
      <c r="R59" s="30" t="s">
        <v>73</v>
      </c>
      <c r="S59" s="30" t="s">
        <v>74</v>
      </c>
      <c r="T59" s="30" t="s">
        <v>5102</v>
      </c>
      <c r="V59" s="290" t="s">
        <v>3651</v>
      </c>
      <c r="W59" s="290" t="s">
        <v>3652</v>
      </c>
      <c r="X59" s="290" t="s">
        <v>3653</v>
      </c>
      <c r="Y59" s="290" t="s">
        <v>3740</v>
      </c>
    </row>
    <row r="60" spans="2:25" ht="12" customHeight="1" thickBot="1">
      <c r="B60" s="3" t="s">
        <v>329</v>
      </c>
      <c r="E60" s="110" t="s">
        <v>3462</v>
      </c>
      <c r="F60" s="4404">
        <f>IF($D$5="Stress",1,IF(F8="Base",3,1))</f>
        <v>3</v>
      </c>
      <c r="G60" s="289" t="str">
        <f t="shared" ref="G60:G65" si="8">VLOOKUP(F60,$C$70:$D$73,2,FALSE)</f>
        <v>CDD 추정치 준용</v>
      </c>
      <c r="J60" s="2601">
        <f>HLOOKUP(J$59,주요지표_New!$E$51:$J$56,MATCH($B60,주요지표_New!$B$51:$B$56,0),0)</f>
        <v>62.04</v>
      </c>
      <c r="K60" s="2602">
        <f>HLOOKUP(K$59,주요지표_New!$E$51:$J$56,MATCH($B60,주요지표_New!$B$51:$B$56,0),0)</f>
        <v>73.55</v>
      </c>
      <c r="L60" s="2602">
        <f>HLOOKUP(L$59,주요지표_New!$E$51:$J$56,MATCH($B60,주요지표_New!$B$51:$B$56,0),0)</f>
        <v>71.61</v>
      </c>
      <c r="M60" s="3012">
        <f>HLOOKUP(M$59,주요지표_New!$E$51:$J$56,MATCH($B60,주요지표_New!$B$51:$B$56,0),0)</f>
        <v>69.02</v>
      </c>
      <c r="N60" s="248">
        <f>CHOOSE($F60,M60,M60,HLOOKUP(N$59,CDD추정치!$B$12:$K$22,MATCH($B60,CDD추정치!$B$12:$B$22,0),FALSE),$M$60)</f>
        <v>69</v>
      </c>
      <c r="O60" s="248">
        <f>(M60*3+N60)/4</f>
        <v>69.015000000000001</v>
      </c>
      <c r="P60" s="248">
        <f>CHOOSE($F60,$N60,AVERAGE($J60:$M60),HLOOKUP(P$59,CDD추정치!$B$12:$K$22,MATCH($B60,CDD추정치!$B$12:$B$22,0),FALSE),HLOOKUP(P$59,CDD추정치!$P$12:$V$19,MATCH($B60,CDD추정치!$P$12:$P$19,0),FALSE))</f>
        <v>82.329545454545453</v>
      </c>
      <c r="Q60" s="248">
        <f>CHOOSE($F60,$N60,AVERAGE($J60:$M60),HLOOKUP(Q$59,CDD추정치!$B$12:$K$22,MATCH($B60,CDD추정치!$B$12:$B$22,0),FALSE),HLOOKUP(Q$59,CDD추정치!$P$12:$V$19,MATCH($B60,CDD추정치!$P$12:$P$19,0),FALSE))</f>
        <v>76.591728077631245</v>
      </c>
      <c r="R60" s="248">
        <f>CHOOSE($F60,$N60,AVERAGE($J60:$M60),HLOOKUP(R$59,CDD추정치!$B$12:$K$22,MATCH($B60,CDD추정치!$B$12:$B$22,0),FALSE),HLOOKUP(R$59,CDD추정치!$P$12:$V$19,MATCH($B60,CDD추정치!$P$12:$P$19,0),FALSE))</f>
        <v>73.616206624552902</v>
      </c>
      <c r="S60" s="248">
        <f>CHOOSE($F60,$N60,AVERAGE($J60:$M60),HLOOKUP(S$59,CDD추정치!$B$12:$K$22,MATCH($B60,CDD추정치!$B$12:$B$22,0),FALSE),HLOOKUP(S$59,CDD추정치!$P$12:$V$19,MATCH($B60,CDD추정치!$P$12:$P$19,0),FALSE))</f>
        <v>74.387980986844568</v>
      </c>
      <c r="T60" s="248">
        <f>CHOOSE($F60,$N60,AVERAGE($J60:$M60),HLOOKUP(T$59,CDD추정치!$B$12:$K$22,MATCH($B60,CDD추정치!$B$12:$B$22,0),FALSE),HLOOKUP(T$59,CDD추정치!$P$12:$V$19,MATCH($B60,CDD추정치!$P$12:$P$19,0),FALSE))</f>
        <v>76.211664099981064</v>
      </c>
      <c r="U60" s="289"/>
      <c r="V60" s="1958"/>
      <c r="W60" s="1958">
        <v>3</v>
      </c>
      <c r="X60" s="1958">
        <v>1</v>
      </c>
      <c r="Y60" s="1958" t="str">
        <f t="shared" ref="Y60:Y65" si="9">INDEX($V$20:$X$20,1,MATCH($F60,$V60:$X60,0))</f>
        <v>Base</v>
      </c>
    </row>
    <row r="61" spans="2:25" ht="12" customHeight="1" thickBot="1">
      <c r="B61" s="3" t="s">
        <v>330</v>
      </c>
      <c r="E61" s="1951" t="s">
        <v>360</v>
      </c>
      <c r="F61" s="3005">
        <v>3</v>
      </c>
      <c r="G61" s="289" t="str">
        <f t="shared" si="8"/>
        <v>CDD 추정치 준용</v>
      </c>
      <c r="J61" s="286">
        <f>HLOOKUP(J$59,주요지표_New!$E$51:$J$56,MATCH($B61,주요지표_New!$B$51:$B$56,0),0)</f>
        <v>4.3E-3</v>
      </c>
      <c r="K61" s="246">
        <f>HLOOKUP(K$59,주요지표_New!$E$51:$J$56,MATCH($B61,주요지표_New!$B$51:$B$56,0),0)</f>
        <v>3.3E-3</v>
      </c>
      <c r="L61" s="246">
        <f>HLOOKUP(L$59,주요지표_New!$E$51:$J$56,MATCH($B61,주요지표_New!$B$51:$B$56,0),0)</f>
        <v>2E-3</v>
      </c>
      <c r="M61" s="2634">
        <f>HLOOKUP(M$59,주요지표_New!$E$51:$J$56,MATCH($B61,주요지표_New!$B$51:$B$56,0),0)</f>
        <v>2.2000000000000001E-3</v>
      </c>
      <c r="N61" s="245">
        <f>CHOOSE($F61,M61,M61,HLOOKUP(N$59,CDD추정치!$B$12:$K$22,MATCH($B61,CDD추정치!$B$12:$B$22,0),FALSE))</f>
        <v>2.0999999999999999E-3</v>
      </c>
      <c r="O61" s="245">
        <f t="shared" ref="O61:O65" si="10">(M61*3+N61)/4</f>
        <v>2.1749999999999999E-3</v>
      </c>
      <c r="P61" s="245">
        <f>CHOOSE($F61,$N61,AVERAGE($J61:$M61),HLOOKUP(P$59,CDD추정치!$B$12:$K$22,MATCH($B61,CDD추정치!$B$12:$B$22,0),FALSE),HLOOKUP(P$59,CDD추정치!$P$12:$V$19,MATCH($B61,CDD추정치!$P$12:$P$19,0),FALSE))</f>
        <v>2.2000000000000001E-3</v>
      </c>
      <c r="Q61" s="245">
        <f>CHOOSE($F61,$N61,AVERAGE($J61:$M61),HLOOKUP(Q$59,CDD추정치!$B$12:$K$22,MATCH($B61,CDD추정치!$B$12:$B$22,0),FALSE),HLOOKUP(Q$59,CDD추정치!$P$12:$V$19,MATCH($B61,CDD추정치!$P$12:$P$19,0),FALSE))</f>
        <v>2.2000000000000001E-3</v>
      </c>
      <c r="R61" s="245">
        <f>CHOOSE($F61,$N61,AVERAGE($J61:$M61),HLOOKUP(R$59,CDD추정치!$B$12:$K$22,MATCH($B61,CDD추정치!$B$12:$B$22,0),FALSE),HLOOKUP(R$59,CDD추정치!$P$12:$V$19,MATCH($B61,CDD추정치!$P$12:$P$19,0),FALSE))</f>
        <v>2.3E-3</v>
      </c>
      <c r="S61" s="245">
        <f>CHOOSE($F61,$N61,AVERAGE($J61:$M61),HLOOKUP(S$59,CDD추정치!$B$12:$K$22,MATCH($B61,CDD추정치!$B$12:$B$22,0),FALSE),HLOOKUP(S$59,CDD추정치!$P$12:$V$19,MATCH($B61,CDD추정치!$P$12:$P$19,0),FALSE))</f>
        <v>2.294915103823189E-3</v>
      </c>
      <c r="T61" s="245">
        <f>CHOOSE($F61,$N61,AVERAGE($J61:$M61),HLOOKUP(T$59,CDD추정치!$B$12:$K$22,MATCH($B61,CDD추정치!$B$12:$B$22,0),FALSE),HLOOKUP(T$59,CDD추정치!$P$12:$V$19,MATCH($B61,CDD추정치!$P$12:$P$19,0),FALSE))</f>
        <v>2.2898414494590428E-3</v>
      </c>
      <c r="U61" s="289"/>
      <c r="V61" s="110"/>
      <c r="W61" s="110">
        <v>3</v>
      </c>
      <c r="X61" s="110"/>
      <c r="Y61" s="110" t="str">
        <f t="shared" si="9"/>
        <v>Base</v>
      </c>
    </row>
    <row r="62" spans="2:25" ht="12" customHeight="1" thickBot="1">
      <c r="B62" s="3" t="s">
        <v>331</v>
      </c>
      <c r="E62" s="1951" t="s">
        <v>2702</v>
      </c>
      <c r="F62" s="3005">
        <v>3</v>
      </c>
      <c r="G62" s="289" t="str">
        <f t="shared" si="8"/>
        <v>CDD 추정치 준용</v>
      </c>
      <c r="J62" s="286">
        <f>HLOOKUP(J$59,주요지표_New!$E$51:$J$56,MATCH($B62,주요지표_New!$B$51:$B$56,0),0)</f>
        <v>6.9999999999999993E-3</v>
      </c>
      <c r="K62" s="246">
        <f>HLOOKUP(K$59,주요지표_New!$E$51:$J$56,MATCH($B62,주요지표_New!$B$51:$B$56,0),0)</f>
        <v>6.8999999999999999E-3</v>
      </c>
      <c r="L62" s="246">
        <f>HLOOKUP(L$59,주요지표_New!$E$51:$J$56,MATCH($B62,주요지표_New!$B$51:$B$56,0),0)</f>
        <v>4.5000000000000005E-3</v>
      </c>
      <c r="M62" s="2634">
        <f>HLOOKUP(M$59,주요지표_New!$E$51:$J$56,MATCH($B62,주요지표_New!$B$51:$B$56,0),0)</f>
        <v>4.3E-3</v>
      </c>
      <c r="N62" s="245">
        <f>CHOOSE($F62,M62,M62,HLOOKUP(N$59,CDD추정치!$B$12:$K$22,MATCH($B62,CDD추정치!$B$12:$B$22,0),FALSE))</f>
        <v>3.5999999999999999E-3</v>
      </c>
      <c r="O62" s="245">
        <f t="shared" si="10"/>
        <v>4.1250000000000002E-3</v>
      </c>
      <c r="P62" s="245">
        <f>CHOOSE($F62,$N62,AVERAGE($J62:$M62),HLOOKUP(P$59,CDD추정치!$B$12:$K$22,MATCH($B62,CDD추정치!$B$12:$B$22,0),FALSE),HLOOKUP(P$59,CDD추정치!$P$12:$V$19,MATCH($B62,CDD추정치!$P$12:$P$19,0),FALSE))</f>
        <v>4.0000000000000001E-3</v>
      </c>
      <c r="Q62" s="245">
        <f>CHOOSE($F62,$N62,AVERAGE($J62:$M62),HLOOKUP(Q$59,CDD추정치!$B$12:$K$22,MATCH($B62,CDD추정치!$B$12:$B$22,0),FALSE),HLOOKUP(Q$59,CDD추정치!$P$12:$V$19,MATCH($B62,CDD추정치!$P$12:$P$19,0),FALSE))</f>
        <v>4.1999999999999997E-3</v>
      </c>
      <c r="R62" s="245">
        <f>CHOOSE($F62,$N62,AVERAGE($J62:$M62),HLOOKUP(R$59,CDD추정치!$B$12:$K$22,MATCH($B62,CDD추정치!$B$12:$B$22,0),FALSE),HLOOKUP(R$59,CDD추정치!$P$12:$V$19,MATCH($B62,CDD추정치!$P$12:$P$19,0),FALSE))</f>
        <v>4.5999999999999999E-3</v>
      </c>
      <c r="S62" s="245">
        <f>CHOOSE($F62,$N62,AVERAGE($J62:$M62),HLOOKUP(S$59,CDD추정치!$B$12:$K$22,MATCH($B62,CDD추정치!$B$12:$B$22,0),FALSE),HLOOKUP(S$59,CDD추정치!$P$12:$V$19,MATCH($B62,CDD추정치!$P$12:$P$19,0),FALSE))</f>
        <v>4.6243313262904501E-3</v>
      </c>
      <c r="T62" s="245">
        <f>CHOOSE($F62,$N62,AVERAGE($J62:$M62),HLOOKUP(T$59,CDD추정치!$B$12:$K$22,MATCH($B62,CDD추정치!$B$12:$B$22,0),FALSE),HLOOKUP(T$59,CDD추정치!$P$12:$V$19,MATCH($B62,CDD추정치!$P$12:$P$19,0),FALSE))</f>
        <v>4.6487913511546073E-3</v>
      </c>
      <c r="U62" s="289"/>
      <c r="V62" s="110"/>
      <c r="W62" s="110">
        <v>3</v>
      </c>
      <c r="X62" s="110"/>
      <c r="Y62" s="110" t="str">
        <f t="shared" si="9"/>
        <v>Base</v>
      </c>
    </row>
    <row r="63" spans="2:25" ht="12" customHeight="1" thickBot="1">
      <c r="B63" s="3" t="s">
        <v>316</v>
      </c>
      <c r="E63" s="110" t="s">
        <v>5582</v>
      </c>
      <c r="F63" s="3005">
        <v>3</v>
      </c>
      <c r="G63" s="289" t="str">
        <f t="shared" si="8"/>
        <v>CDD 추정치 준용</v>
      </c>
      <c r="J63" s="3011" t="str">
        <f>Revenue!J46</f>
        <v>n.a</v>
      </c>
      <c r="K63" s="1937">
        <f>Revenue!K46</f>
        <v>68.984376788550207</v>
      </c>
      <c r="L63" s="1937">
        <f>Revenue!L46</f>
        <v>212.3288642236015</v>
      </c>
      <c r="M63" s="2186">
        <f>Revenue!M46</f>
        <v>68.471238450827173</v>
      </c>
      <c r="N63" s="3015">
        <f>CHOOSE($F63,M63,M63,HLOOKUP(N$59,CDD추정치!$E$12:$K$22,MATCH($B63,CDD추정치!$C$12:$C$20,0),FALSE))</f>
        <v>147</v>
      </c>
      <c r="O63" s="3015">
        <f t="shared" si="10"/>
        <v>88.103428838120379</v>
      </c>
      <c r="P63" s="3016">
        <f>CHOOSE($F63,O63,O63,HLOOKUP(P$59,CDD추정치!$E$12:$K$22,MATCH($B63,CDD추정치!$C$12:$C$20,0),FALSE))</f>
        <v>124</v>
      </c>
      <c r="Q63" s="3016">
        <f>CHOOSE($F63,P63,P63,HLOOKUP(Q$59,CDD추정치!$E$12:$K$22,MATCH($B63,CDD추정치!$C$12:$C$20,0),FALSE))</f>
        <v>119</v>
      </c>
      <c r="R63" s="3016">
        <f>CHOOSE($F63,Q63,Q63,HLOOKUP(R$59,CDD추정치!$E$12:$K$22,MATCH($B63,CDD추정치!$C$12:$C$20,0),FALSE))</f>
        <v>116</v>
      </c>
      <c r="S63" s="3016">
        <f>CHOOSE($F63,R63,R63,HLOOKUP(S$59,CDD추정치!$E$12:$K$22,MATCH($B63,CDD추정치!$C$12:$C$20,0),FALSE))</f>
        <v>116</v>
      </c>
      <c r="T63" s="3016">
        <f>CHOOSE($F63,S63,S63,HLOOKUP(T$59,CDD추정치!$E$12:$K$22,MATCH($B63,CDD추정치!$C$12:$C$20,0),FALSE))</f>
        <v>116</v>
      </c>
      <c r="U63" s="289"/>
      <c r="V63" s="110"/>
      <c r="W63" s="110">
        <v>3</v>
      </c>
      <c r="X63" s="110"/>
      <c r="Y63" s="110" t="str">
        <f t="shared" si="9"/>
        <v>Base</v>
      </c>
    </row>
    <row r="64" spans="2:25" ht="12" customHeight="1" thickBot="1">
      <c r="B64" s="3" t="s">
        <v>332</v>
      </c>
      <c r="E64" s="1951" t="s">
        <v>2702</v>
      </c>
      <c r="F64" s="3005">
        <v>3</v>
      </c>
      <c r="G64" s="289" t="str">
        <f t="shared" si="8"/>
        <v>CDD 추정치 준용</v>
      </c>
      <c r="J64" s="286">
        <f>HLOOKUP(J$59,주요지표_New!$E$51:$J$56,MATCH($B64,주요지표_New!$B$51:$B$56,0),0)</f>
        <v>6.0000000000000001E-3</v>
      </c>
      <c r="K64" s="246">
        <f>HLOOKUP(K$59,주요지표_New!$E$51:$J$56,MATCH($B64,주요지표_New!$B$51:$B$56,0),0)</f>
        <v>6.1999999999999998E-3</v>
      </c>
      <c r="L64" s="246">
        <f>HLOOKUP(L$59,주요지표_New!$E$51:$J$56,MATCH($B64,주요지표_New!$B$51:$B$56,0),0)</f>
        <v>5.5000000000000005E-3</v>
      </c>
      <c r="M64" s="2634">
        <f>HLOOKUP(M$59,주요지표_New!$E$51:$J$56,MATCH($B64,주요지표_New!$B$51:$B$56,0),0)</f>
        <v>5.0000000000000001E-3</v>
      </c>
      <c r="N64" s="245">
        <f>CHOOSE($F64,M64,M64,HLOOKUP(N$59,CDD추정치!$B$12:$K$22,MATCH($B64,CDD추정치!$B$12:$B$22,0),FALSE))</f>
        <v>3.7000000000000002E-3</v>
      </c>
      <c r="O64" s="245">
        <f t="shared" si="10"/>
        <v>4.6750000000000003E-3</v>
      </c>
      <c r="P64" s="245">
        <f>CHOOSE($F64,$N64,AVERAGE($J64:$M64),HLOOKUP(P$59,CDD추정치!$B$12:$K$22,MATCH($B64,CDD추정치!$B$12:$B$22,0),FALSE),HLOOKUP(P$59,CDD추정치!$P$12:$V$19,MATCH($B64,CDD추정치!$P$12:$P$19,0),FALSE))</f>
        <v>3.8E-3</v>
      </c>
      <c r="Q64" s="245">
        <f>CHOOSE($F64,$N64,AVERAGE($J64:$M64),HLOOKUP(Q$59,CDD추정치!$B$12:$K$22,MATCH($B64,CDD추정치!$B$12:$B$22,0),FALSE),HLOOKUP(Q$59,CDD추정치!$P$12:$V$19,MATCH($B64,CDD추정치!$P$12:$P$19,0),FALSE))</f>
        <v>3.8E-3</v>
      </c>
      <c r="R64" s="245">
        <f>CHOOSE($F64,$N64,AVERAGE($J64:$M64),HLOOKUP(R$59,CDD추정치!$B$12:$K$22,MATCH($B64,CDD추정치!$B$12:$B$22,0),FALSE),HLOOKUP(R$59,CDD추정치!$P$12:$V$19,MATCH($B64,CDD추정치!$P$12:$P$19,0),FALSE))</f>
        <v>3.8E-3</v>
      </c>
      <c r="S64" s="245">
        <f>CHOOSE($F64,$N64,AVERAGE($J64:$M64),HLOOKUP(S$59,CDD추정치!$B$12:$K$22,MATCH($B64,CDD추정치!$B$12:$B$22,0),FALSE),HLOOKUP(S$59,CDD추정치!$P$12:$V$19,MATCH($B64,CDD추정치!$P$12:$P$19,0),FALSE))</f>
        <v>3.7136363636363638E-3</v>
      </c>
      <c r="T64" s="245">
        <f>CHOOSE($F64,$N64,AVERAGE($J64:$M64),HLOOKUP(T$59,CDD추정치!$B$12:$K$22,MATCH($B64,CDD추정치!$B$12:$B$22,0),FALSE),HLOOKUP(T$59,CDD추정치!$P$12:$V$19,MATCH($B64,CDD추정치!$P$12:$P$19,0),FALSE))</f>
        <v>3.6445454545454546E-3</v>
      </c>
      <c r="U64" s="289"/>
      <c r="V64" s="110"/>
      <c r="W64" s="110">
        <v>3</v>
      </c>
      <c r="X64" s="110"/>
      <c r="Y64" s="110" t="str">
        <f t="shared" si="9"/>
        <v>Base</v>
      </c>
    </row>
    <row r="65" spans="2:25" ht="12" customHeight="1">
      <c r="B65" s="12" t="s">
        <v>333</v>
      </c>
      <c r="C65" s="12"/>
      <c r="D65" s="12"/>
      <c r="E65" s="1952" t="s">
        <v>2702</v>
      </c>
      <c r="F65" s="3023">
        <v>3</v>
      </c>
      <c r="G65" s="1954" t="str">
        <f t="shared" si="8"/>
        <v>CDD 추정치 준용</v>
      </c>
      <c r="H65" s="12"/>
      <c r="I65" s="12"/>
      <c r="J65" s="287">
        <f>HLOOKUP(J$59,주요지표_New!$E$51:$J$56,MATCH($B65,주요지표_New!$B$51:$B$56,0),0)</f>
        <v>8.9999999999999993E-3</v>
      </c>
      <c r="K65" s="288">
        <f>HLOOKUP(K$59,주요지표_New!$E$51:$J$56,MATCH($B65,주요지표_New!$B$51:$B$56,0),0)</f>
        <v>1.2E-2</v>
      </c>
      <c r="L65" s="288">
        <f>HLOOKUP(L$59,주요지표_New!$E$51:$J$56,MATCH($B65,주요지표_New!$B$51:$B$56,0),0)</f>
        <v>1.1000000000000001E-2</v>
      </c>
      <c r="M65" s="2359">
        <f>HLOOKUP(M$59,주요지표_New!$E$51:$J$56,MATCH($B65,주요지표_New!$B$51:$B$56,0),0)</f>
        <v>1.2E-2</v>
      </c>
      <c r="N65" s="247">
        <f>CHOOSE($F65,M65,M65,HLOOKUP(N$59,CDD추정치!$B$12:$K$22,MATCH($B65,CDD추정치!$B$12:$B$22,0),FALSE))</f>
        <v>9.0000000000000011E-3</v>
      </c>
      <c r="O65" s="247">
        <f t="shared" si="10"/>
        <v>1.1250000000000001E-2</v>
      </c>
      <c r="P65" s="247">
        <f>CHOOSE($F65,$N65,AVERAGE($J65:$M65),HLOOKUP(P$59,CDD추정치!$B$12:$K$22,MATCH($B65,CDD추정치!$B$12:$B$22,0),FALSE),HLOOKUP(P$59,CDD추정치!$P$12:$V$19,MATCH($B65,CDD추정치!$P$12:$P$19,0),FALSE))</f>
        <v>8.3999999999999995E-3</v>
      </c>
      <c r="Q65" s="247">
        <f>CHOOSE($F65,$N65,AVERAGE($J65:$M65),HLOOKUP(Q$59,CDD추정치!$B$12:$K$22,MATCH($B65,CDD추정치!$B$12:$B$22,0),FALSE),HLOOKUP(Q$59,CDD추정치!$P$12:$V$19,MATCH($B65,CDD추정치!$P$12:$P$19,0),FALSE))</f>
        <v>8.0000000000000002E-3</v>
      </c>
      <c r="R65" s="247">
        <f>CHOOSE($F65,$N65,AVERAGE($J65:$M65),HLOOKUP(R$59,CDD추정치!$B$12:$K$22,MATCH($B65,CDD추정치!$B$12:$B$22,0),FALSE),HLOOKUP(R$59,CDD추정치!$P$12:$V$19,MATCH($B65,CDD추정치!$P$12:$P$19,0),FALSE))</f>
        <v>8.1000000000000013E-3</v>
      </c>
      <c r="S65" s="247">
        <f>CHOOSE($F65,$N65,AVERAGE($J65:$M65),HLOOKUP(S$59,CDD추정치!$B$12:$K$22,MATCH($B65,CDD추정치!$B$12:$B$22,0),FALSE),HLOOKUP(S$59,CDD추정치!$P$12:$V$19,MATCH($B65,CDD추정치!$P$12:$P$19,0),FALSE))</f>
        <v>8.3880474087846841E-3</v>
      </c>
      <c r="T65" s="247">
        <f>CHOOSE($F65,$N65,AVERAGE($J65:$M65),HLOOKUP(T$59,CDD추정치!$B$12:$K$22,MATCH($B65,CDD추정치!$B$12:$B$22,0),FALSE),HLOOKUP(T$59,CDD추정치!$P$12:$V$19,MATCH($B65,CDD추정치!$P$12:$P$19,0),FALSE))</f>
        <v>8.6863381891382034E-3</v>
      </c>
      <c r="U65" s="289"/>
      <c r="V65" s="1950"/>
      <c r="W65" s="1950">
        <v>3</v>
      </c>
      <c r="X65" s="1950"/>
      <c r="Y65" s="1950" t="str">
        <f t="shared" si="9"/>
        <v>Base</v>
      </c>
    </row>
    <row r="66" spans="2:25" ht="12" customHeight="1">
      <c r="B66" s="1953" t="s">
        <v>351</v>
      </c>
      <c r="J66" s="221"/>
      <c r="K66" s="221"/>
      <c r="L66" s="221"/>
      <c r="M66" s="221"/>
      <c r="N66" s="105"/>
      <c r="O66" s="105"/>
      <c r="P66" s="105"/>
      <c r="Q66" s="105"/>
      <c r="R66" s="105"/>
      <c r="S66" s="105"/>
      <c r="T66" s="105"/>
    </row>
    <row r="67" spans="2:25" ht="12" customHeight="1">
      <c r="B67" s="3" t="s">
        <v>3477</v>
      </c>
      <c r="J67" s="221"/>
      <c r="K67" s="221"/>
      <c r="L67" s="221"/>
      <c r="M67" s="221"/>
      <c r="N67" s="105"/>
      <c r="O67" s="105"/>
      <c r="P67" s="105"/>
      <c r="Q67" s="105"/>
      <c r="R67" s="105"/>
      <c r="S67" s="105"/>
      <c r="T67" s="105"/>
    </row>
    <row r="68" spans="2:25" ht="12" customHeight="1">
      <c r="B68" s="3" t="s">
        <v>3478</v>
      </c>
      <c r="J68" s="221"/>
      <c r="K68" s="221"/>
      <c r="L68" s="221"/>
      <c r="M68" s="221"/>
      <c r="N68" s="105"/>
      <c r="O68" s="105"/>
      <c r="P68" s="105"/>
      <c r="Q68" s="105"/>
      <c r="R68" s="105"/>
      <c r="S68" s="105"/>
      <c r="T68" s="105"/>
    </row>
    <row r="69" spans="2:25" ht="12" customHeight="1">
      <c r="C69" s="1950" t="s">
        <v>3464</v>
      </c>
      <c r="D69" s="1957" t="s">
        <v>3469</v>
      </c>
      <c r="E69" s="1957"/>
      <c r="F69" s="1957"/>
      <c r="G69" s="1957"/>
      <c r="H69" s="1957"/>
      <c r="I69" s="1957"/>
      <c r="J69" s="1957"/>
      <c r="K69" s="1957"/>
      <c r="L69" s="1957"/>
      <c r="M69" s="1957"/>
      <c r="N69" s="1957"/>
      <c r="O69" s="1957"/>
      <c r="P69" s="1957"/>
      <c r="Q69" s="1957"/>
      <c r="R69" s="1957"/>
      <c r="S69" s="1957"/>
      <c r="T69" s="1957"/>
    </row>
    <row r="70" spans="2:25" ht="12" customHeight="1">
      <c r="C70" s="1958">
        <v>1</v>
      </c>
      <c r="D70" s="302" t="s">
        <v>3476</v>
      </c>
      <c r="E70" s="302"/>
      <c r="F70" s="302"/>
      <c r="G70" s="302"/>
      <c r="H70" s="302"/>
      <c r="I70" s="302"/>
      <c r="J70" s="302"/>
      <c r="K70" s="302"/>
      <c r="L70" s="302"/>
      <c r="M70" s="302"/>
      <c r="N70" s="302"/>
      <c r="O70" s="302"/>
      <c r="P70" s="302"/>
      <c r="Q70" s="302"/>
      <c r="R70" s="302"/>
      <c r="S70" s="302"/>
      <c r="T70" s="302"/>
    </row>
    <row r="71" spans="2:25" ht="12" customHeight="1">
      <c r="C71" s="110">
        <v>2</v>
      </c>
      <c r="D71" s="3" t="s">
        <v>5583</v>
      </c>
    </row>
    <row r="72" spans="2:25" ht="12" customHeight="1">
      <c r="C72" s="110">
        <v>3</v>
      </c>
      <c r="D72" s="3" t="s">
        <v>5176</v>
      </c>
    </row>
    <row r="73" spans="2:25" ht="12" customHeight="1">
      <c r="C73" s="1950">
        <v>4</v>
      </c>
      <c r="D73" s="12" t="s">
        <v>5585</v>
      </c>
      <c r="E73" s="12"/>
      <c r="F73" s="12"/>
      <c r="G73" s="12"/>
      <c r="H73" s="12"/>
      <c r="I73" s="12"/>
      <c r="J73" s="12"/>
      <c r="K73" s="12"/>
      <c r="L73" s="12"/>
      <c r="M73" s="12"/>
      <c r="N73" s="12"/>
      <c r="O73" s="12"/>
      <c r="P73" s="12"/>
      <c r="Q73" s="12"/>
      <c r="R73" s="12"/>
      <c r="S73" s="12"/>
      <c r="T73" s="12"/>
    </row>
    <row r="75" spans="2:25" ht="12" customHeight="1">
      <c r="B75" s="203" t="s">
        <v>407</v>
      </c>
      <c r="C75" s="203"/>
    </row>
    <row r="76" spans="2:25" ht="12" customHeight="1">
      <c r="B76" s="24"/>
      <c r="C76" s="24"/>
      <c r="D76" s="24"/>
      <c r="E76" s="24"/>
      <c r="F76" s="24"/>
      <c r="G76" s="24"/>
      <c r="H76" s="24"/>
      <c r="I76" s="24"/>
      <c r="J76" s="25" t="s">
        <v>23</v>
      </c>
      <c r="K76" s="26"/>
      <c r="L76" s="26"/>
      <c r="M76" s="27"/>
      <c r="N76" s="26" t="s">
        <v>24</v>
      </c>
      <c r="O76" s="26"/>
      <c r="P76" s="26"/>
      <c r="Q76" s="26"/>
      <c r="R76" s="26"/>
      <c r="S76" s="26"/>
      <c r="T76" s="26"/>
      <c r="V76" s="2041" t="s">
        <v>3650</v>
      </c>
      <c r="W76" s="2041"/>
      <c r="X76" s="2041"/>
      <c r="Y76" s="2041"/>
    </row>
    <row r="77" spans="2:25" ht="12" customHeight="1" thickBot="1">
      <c r="B77" s="28"/>
      <c r="C77" s="28"/>
      <c r="D77" s="28"/>
      <c r="E77" s="1949" t="s">
        <v>2889</v>
      </c>
      <c r="F77" s="28"/>
      <c r="G77" s="28"/>
      <c r="H77" s="28"/>
      <c r="I77" s="28"/>
      <c r="J77" s="29" t="s">
        <v>69</v>
      </c>
      <c r="K77" s="30" t="s">
        <v>27</v>
      </c>
      <c r="L77" s="30" t="s">
        <v>60</v>
      </c>
      <c r="M77" s="31" t="s">
        <v>5104</v>
      </c>
      <c r="N77" s="30" t="s">
        <v>5174</v>
      </c>
      <c r="O77" s="30" t="s">
        <v>70</v>
      </c>
      <c r="P77" s="30" t="s">
        <v>71</v>
      </c>
      <c r="Q77" s="30" t="s">
        <v>72</v>
      </c>
      <c r="R77" s="30" t="s">
        <v>73</v>
      </c>
      <c r="S77" s="30" t="s">
        <v>74</v>
      </c>
      <c r="T77" s="30" t="s">
        <v>5102</v>
      </c>
      <c r="V77" s="290" t="s">
        <v>3651</v>
      </c>
      <c r="W77" s="290" t="s">
        <v>3652</v>
      </c>
      <c r="X77" s="290" t="s">
        <v>3653</v>
      </c>
      <c r="Y77" s="290" t="s">
        <v>3740</v>
      </c>
    </row>
    <row r="78" spans="2:25" ht="12" customHeight="1" thickBot="1">
      <c r="B78" s="295" t="s">
        <v>3001</v>
      </c>
      <c r="C78" s="295"/>
      <c r="D78" s="295"/>
      <c r="E78" s="1960" t="s">
        <v>408</v>
      </c>
      <c r="F78" s="291">
        <v>2</v>
      </c>
      <c r="G78" s="295"/>
      <c r="H78" s="295"/>
      <c r="I78" s="295"/>
      <c r="J78" s="300">
        <f>AVERAGE(환율!L4:L248)</f>
        <v>1100.3032653061225</v>
      </c>
      <c r="K78" s="296">
        <f>AVERAGE(환율!H4:H250)</f>
        <v>1165.6546558704458</v>
      </c>
      <c r="L78" s="296">
        <f>AVERAGE(환율!D4:D252)</f>
        <v>1180.0522088353418</v>
      </c>
      <c r="M78" s="301">
        <f>AVERAGE(환율!P4:P188)</f>
        <v>1131.01027027027</v>
      </c>
      <c r="N78" s="297">
        <f>CHOOSE($F$78,O78*2-M78,CDD추정치!D50,환율전망!C11)*(1+DCF!$G$65)</f>
        <v>1182.5</v>
      </c>
      <c r="O78" s="2100">
        <f>CHOOSE($F$78,환율전망!C36,CDD추정치!E50,환율전망!D11)</f>
        <v>1141.53</v>
      </c>
      <c r="P78" s="2100">
        <f>CHOOSE($F$78,환율전망!D36,CDD추정치!F50,환율전망!E11)*(1+DCF!$G$65)</f>
        <v>1142.53125</v>
      </c>
      <c r="Q78" s="2100">
        <f>CHOOSE($F$78,환율전망!E36,CDD추정치!G50,환율전망!F11)*(1+DCF!$G$65)</f>
        <v>1138.95</v>
      </c>
      <c r="R78" s="2100">
        <f>CHOOSE($F$78,환율전망!F36,CDD추정치!H50,환율전망!G11)*(1+DCF!$G$65)</f>
        <v>1135.2</v>
      </c>
      <c r="S78" s="2100">
        <f>CHOOSE($F$78,환율전망!G36,CDD추정치!I50,환율전망!H11)*(1+DCF!$G$65)</f>
        <v>1111</v>
      </c>
      <c r="T78" s="2100">
        <f>CHOOSE($F$78,환율전망!H36,CDD추정치!J50,환율전망!I11)*(1+DCF!$G$65)</f>
        <v>1111</v>
      </c>
      <c r="U78" s="289"/>
      <c r="V78" s="1950"/>
      <c r="W78" s="1950">
        <v>2</v>
      </c>
      <c r="X78" s="1950"/>
      <c r="Y78" s="1950" t="str">
        <f>INDEX($V$20:$X$20,1,MATCH($F78,$V78:$X78,0))</f>
        <v>Base</v>
      </c>
    </row>
    <row r="79" spans="2:25" ht="12" customHeight="1">
      <c r="B79" s="1953" t="s">
        <v>351</v>
      </c>
      <c r="N79" s="2703"/>
      <c r="O79" s="248"/>
      <c r="P79" s="248"/>
      <c r="Q79" s="248"/>
      <c r="R79" s="248"/>
      <c r="S79" s="248"/>
      <c r="T79" s="248"/>
    </row>
    <row r="80" spans="2:25" ht="12" customHeight="1">
      <c r="B80" s="3" t="s">
        <v>3479</v>
      </c>
    </row>
    <row r="81" spans="2:25" ht="12" customHeight="1">
      <c r="B81" s="3" t="s">
        <v>4964</v>
      </c>
    </row>
    <row r="82" spans="2:25" ht="12" customHeight="1">
      <c r="C82" s="1950" t="s">
        <v>3464</v>
      </c>
      <c r="D82" s="1957" t="s">
        <v>3469</v>
      </c>
      <c r="E82" s="1957"/>
      <c r="F82" s="1957"/>
      <c r="G82" s="1957"/>
      <c r="H82" s="1957"/>
      <c r="I82" s="1957"/>
      <c r="J82" s="1957"/>
      <c r="K82" s="1957"/>
      <c r="L82" s="1957"/>
      <c r="M82" s="1957"/>
      <c r="N82" s="1957"/>
      <c r="O82" s="1957"/>
      <c r="P82" s="1957"/>
      <c r="Q82" s="1957"/>
      <c r="R82" s="1957"/>
      <c r="S82" s="1957"/>
      <c r="T82" s="1957"/>
    </row>
    <row r="83" spans="2:25" ht="12" customHeight="1">
      <c r="C83" s="1958">
        <v>1</v>
      </c>
      <c r="D83" s="302" t="s">
        <v>4916</v>
      </c>
      <c r="E83" s="302"/>
      <c r="F83" s="302"/>
      <c r="G83" s="302"/>
      <c r="H83" s="302"/>
      <c r="I83" s="302"/>
      <c r="J83" s="302"/>
      <c r="K83" s="302"/>
      <c r="L83" s="302"/>
      <c r="M83" s="302"/>
      <c r="N83" s="302"/>
      <c r="O83" s="302"/>
      <c r="P83" s="302"/>
      <c r="Q83" s="302"/>
      <c r="R83" s="302"/>
      <c r="S83" s="302"/>
      <c r="T83" s="302"/>
    </row>
    <row r="84" spans="2:25" ht="12" customHeight="1">
      <c r="C84" s="110">
        <v>2</v>
      </c>
      <c r="D84" s="3" t="s">
        <v>5176</v>
      </c>
    </row>
    <row r="85" spans="2:25" ht="12" customHeight="1">
      <c r="C85" s="1950">
        <v>3</v>
      </c>
      <c r="D85" s="12" t="s">
        <v>4917</v>
      </c>
      <c r="E85" s="12"/>
      <c r="F85" s="12"/>
      <c r="G85" s="12"/>
      <c r="H85" s="12"/>
      <c r="I85" s="12"/>
      <c r="J85" s="12"/>
      <c r="K85" s="12"/>
      <c r="L85" s="12"/>
      <c r="M85" s="12"/>
      <c r="N85" s="12"/>
      <c r="O85" s="12"/>
      <c r="P85" s="12"/>
      <c r="Q85" s="12"/>
      <c r="R85" s="12"/>
      <c r="S85" s="12"/>
      <c r="T85" s="12"/>
    </row>
    <row r="87" spans="2:25" ht="12" customHeight="1">
      <c r="B87" s="203" t="s">
        <v>1280</v>
      </c>
      <c r="C87" s="203"/>
    </row>
    <row r="88" spans="2:25" ht="12" customHeight="1">
      <c r="B88" s="24"/>
      <c r="C88" s="24"/>
      <c r="D88" s="24"/>
      <c r="E88" s="24"/>
      <c r="F88" s="24"/>
      <c r="G88" s="24"/>
      <c r="H88" s="24"/>
      <c r="I88" s="24"/>
      <c r="J88" s="25" t="s">
        <v>23</v>
      </c>
      <c r="K88" s="26"/>
      <c r="L88" s="26"/>
      <c r="M88" s="27"/>
      <c r="N88" s="26" t="s">
        <v>24</v>
      </c>
      <c r="O88" s="26"/>
      <c r="P88" s="26"/>
      <c r="Q88" s="26"/>
      <c r="R88" s="26"/>
      <c r="S88" s="26"/>
      <c r="T88" s="26"/>
      <c r="V88" s="2041" t="s">
        <v>3650</v>
      </c>
      <c r="W88" s="2041"/>
      <c r="X88" s="2041"/>
      <c r="Y88" s="2041"/>
    </row>
    <row r="89" spans="2:25" ht="12" customHeight="1" thickBot="1">
      <c r="B89" s="28"/>
      <c r="C89" s="28"/>
      <c r="D89" s="28"/>
      <c r="E89" s="1949" t="s">
        <v>2889</v>
      </c>
      <c r="F89" s="1949" t="s">
        <v>3464</v>
      </c>
      <c r="G89" s="28"/>
      <c r="H89" s="28"/>
      <c r="I89" s="28"/>
      <c r="J89" s="29" t="s">
        <v>69</v>
      </c>
      <c r="K89" s="30" t="s">
        <v>27</v>
      </c>
      <c r="L89" s="30" t="s">
        <v>60</v>
      </c>
      <c r="M89" s="31" t="s">
        <v>5104</v>
      </c>
      <c r="N89" s="30" t="s">
        <v>64</v>
      </c>
      <c r="O89" s="30" t="s">
        <v>70</v>
      </c>
      <c r="P89" s="30" t="s">
        <v>71</v>
      </c>
      <c r="Q89" s="30" t="s">
        <v>72</v>
      </c>
      <c r="R89" s="30" t="s">
        <v>73</v>
      </c>
      <c r="S89" s="30" t="s">
        <v>74</v>
      </c>
      <c r="T89" s="30" t="s">
        <v>5102</v>
      </c>
      <c r="V89" s="290" t="s">
        <v>3651</v>
      </c>
      <c r="W89" s="290" t="s">
        <v>3652</v>
      </c>
      <c r="X89" s="290" t="s">
        <v>3653</v>
      </c>
      <c r="Y89" s="290" t="s">
        <v>3740</v>
      </c>
    </row>
    <row r="90" spans="2:25" ht="12" customHeight="1" thickBot="1">
      <c r="B90" s="295" t="s">
        <v>1281</v>
      </c>
      <c r="C90" s="295"/>
      <c r="D90" s="295"/>
      <c r="E90" s="1960" t="s">
        <v>360</v>
      </c>
      <c r="F90" s="291">
        <v>2</v>
      </c>
      <c r="G90" s="1961" t="str">
        <f>VLOOKUP(F90,$C$95:$D$96,2,FALSE)</f>
        <v>CDD 추정치 준용</v>
      </c>
      <c r="H90" s="295"/>
      <c r="I90" s="295"/>
      <c r="J90" s="312">
        <f>Revenue!J89</f>
        <v>2.5380133226301487E-2</v>
      </c>
      <c r="K90" s="313">
        <f>Revenue!K89</f>
        <v>2.1104477152683428E-2</v>
      </c>
      <c r="L90" s="313">
        <f>Revenue!L89</f>
        <v>1.6172250289377209E-2</v>
      </c>
      <c r="M90" s="2482">
        <f>Revenue!M89</f>
        <v>9.7556223716188956E-3</v>
      </c>
      <c r="N90" s="314">
        <f>CHOOSE($F$90,M90,AVERAGE($L$90:$M$90,$J$90:$K$90))</f>
        <v>1.8103120759995255E-2</v>
      </c>
      <c r="O90" s="314">
        <f>M90*0.75+N90*0.25</f>
        <v>1.1842496968712986E-2</v>
      </c>
      <c r="P90" s="314">
        <f>CHOOSE($F$90,O90,AVERAGE($L$90:$M$90,$J$90:$K$90))</f>
        <v>1.8103120759995255E-2</v>
      </c>
      <c r="Q90" s="314">
        <f>CHOOSE($F$90,P90,AVERAGE($L$90:$M$90,$J$90:$K$90))</f>
        <v>1.8103120759995255E-2</v>
      </c>
      <c r="R90" s="314">
        <f>CHOOSE($F$90,Q90,AVERAGE($L$90:$M$90,$J$90:$K$90))</f>
        <v>1.8103120759995255E-2</v>
      </c>
      <c r="S90" s="314">
        <f>CHOOSE($F$90,R90,AVERAGE($L$90:$M$90,$J$90:$K$90))</f>
        <v>1.8103120759995255E-2</v>
      </c>
      <c r="T90" s="314">
        <f>CHOOSE($F$90,S90,AVERAGE($L$90:$M$90,$J$90:$K$90))</f>
        <v>1.8103120759995255E-2</v>
      </c>
      <c r="U90" s="289"/>
      <c r="V90" s="1950"/>
      <c r="W90" s="1950">
        <v>2</v>
      </c>
      <c r="X90" s="1950" t="s">
        <v>2627</v>
      </c>
      <c r="Y90" s="1950" t="str">
        <f>INDEX($V$20:$X$20,1,MATCH($F90,$V90:$X90,0))</f>
        <v>Base</v>
      </c>
    </row>
    <row r="91" spans="2:25" ht="12" customHeight="1">
      <c r="B91" s="1953" t="s">
        <v>351</v>
      </c>
      <c r="J91" s="221"/>
      <c r="K91" s="221"/>
      <c r="L91" s="221"/>
      <c r="M91" s="221"/>
      <c r="N91" s="105"/>
      <c r="O91" s="105"/>
      <c r="P91" s="105"/>
      <c r="Q91" s="105"/>
      <c r="R91" s="105"/>
      <c r="S91" s="105"/>
      <c r="T91" s="105"/>
    </row>
    <row r="92" spans="2:25" ht="12" customHeight="1">
      <c r="B92" s="3" t="s">
        <v>3480</v>
      </c>
      <c r="J92" s="221"/>
      <c r="K92" s="221"/>
      <c r="L92" s="221"/>
      <c r="M92" s="221"/>
      <c r="N92" s="105"/>
      <c r="O92" s="105"/>
      <c r="P92" s="105"/>
      <c r="Q92" s="105"/>
      <c r="R92" s="105"/>
      <c r="S92" s="105"/>
      <c r="T92" s="105"/>
    </row>
    <row r="93" spans="2:25" ht="12" customHeight="1">
      <c r="B93" s="3" t="s">
        <v>3481</v>
      </c>
      <c r="J93" s="221"/>
      <c r="K93" s="221"/>
      <c r="L93" s="221"/>
      <c r="M93" s="221"/>
      <c r="N93" s="105"/>
      <c r="O93" s="105"/>
      <c r="P93" s="105"/>
      <c r="Q93" s="105"/>
      <c r="R93" s="105"/>
      <c r="S93" s="105"/>
      <c r="T93" s="105"/>
    </row>
    <row r="94" spans="2:25" ht="12" customHeight="1">
      <c r="C94" s="1950" t="s">
        <v>3464</v>
      </c>
      <c r="D94" s="1957" t="s">
        <v>3469</v>
      </c>
      <c r="E94" s="1957"/>
      <c r="F94" s="1957"/>
      <c r="G94" s="1957"/>
      <c r="H94" s="1957"/>
      <c r="I94" s="1957"/>
      <c r="J94" s="1957"/>
      <c r="K94" s="1957"/>
      <c r="L94" s="1957"/>
      <c r="M94" s="1957"/>
      <c r="N94" s="1957"/>
      <c r="O94" s="1957"/>
      <c r="P94" s="1957"/>
      <c r="Q94" s="1957"/>
      <c r="R94" s="1957"/>
      <c r="S94" s="1957"/>
      <c r="T94" s="1957"/>
    </row>
    <row r="95" spans="2:25" ht="12" customHeight="1">
      <c r="C95" s="1958">
        <v>1</v>
      </c>
      <c r="D95" s="302" t="s">
        <v>3482</v>
      </c>
      <c r="E95" s="302"/>
      <c r="F95" s="302"/>
      <c r="G95" s="302"/>
      <c r="H95" s="302"/>
      <c r="I95" s="302"/>
      <c r="J95" s="302"/>
      <c r="K95" s="302"/>
      <c r="L95" s="302"/>
      <c r="M95" s="302"/>
      <c r="N95" s="302"/>
      <c r="O95" s="302"/>
      <c r="P95" s="302"/>
      <c r="Q95" s="302"/>
      <c r="R95" s="302"/>
      <c r="S95" s="302"/>
      <c r="T95" s="302"/>
    </row>
    <row r="96" spans="2:25" ht="12" customHeight="1">
      <c r="C96" s="1950">
        <v>2</v>
      </c>
      <c r="D96" s="12" t="s">
        <v>5176</v>
      </c>
      <c r="E96" s="12"/>
      <c r="F96" s="12"/>
      <c r="G96" s="12"/>
      <c r="H96" s="12"/>
      <c r="I96" s="12"/>
      <c r="J96" s="12"/>
      <c r="K96" s="12"/>
      <c r="L96" s="12"/>
      <c r="M96" s="12"/>
      <c r="N96" s="12"/>
      <c r="O96" s="12"/>
      <c r="P96" s="12"/>
      <c r="Q96" s="12"/>
      <c r="R96" s="12"/>
      <c r="S96" s="12"/>
      <c r="T96" s="12"/>
    </row>
    <row r="97" spans="1:25" ht="12" customHeight="1">
      <c r="V97"/>
      <c r="W97"/>
      <c r="X97"/>
      <c r="Y97"/>
    </row>
    <row r="98" spans="1:25" customFormat="1" ht="12" customHeight="1">
      <c r="A98" s="1918"/>
      <c r="B98" s="555" t="s">
        <v>3484</v>
      </c>
      <c r="C98" s="555"/>
      <c r="D98" s="1919"/>
      <c r="E98" s="1919"/>
      <c r="F98" s="1919"/>
      <c r="G98" s="1919"/>
      <c r="H98" s="1919"/>
      <c r="I98" s="1919"/>
      <c r="J98" s="1919"/>
      <c r="K98" s="1919"/>
      <c r="L98" s="1919"/>
      <c r="M98" s="1919"/>
      <c r="N98" s="1919"/>
      <c r="O98" s="1919"/>
      <c r="P98" s="1919"/>
      <c r="Q98" s="1919"/>
      <c r="R98" s="1919"/>
      <c r="S98" s="1919"/>
      <c r="T98" s="1919"/>
      <c r="U98" s="1919"/>
      <c r="V98" s="1919"/>
      <c r="W98" s="1919"/>
      <c r="X98" s="1919"/>
      <c r="Y98" s="1919"/>
    </row>
    <row r="100" spans="1:25" ht="12" customHeight="1">
      <c r="B100" s="203" t="s">
        <v>1278</v>
      </c>
      <c r="C100" s="203"/>
    </row>
    <row r="101" spans="1:25" ht="12" customHeight="1">
      <c r="B101" s="24"/>
      <c r="C101" s="24"/>
      <c r="D101" s="24"/>
      <c r="E101" s="24"/>
      <c r="F101" s="24"/>
      <c r="G101" s="24"/>
      <c r="H101" s="24"/>
      <c r="I101" s="24"/>
      <c r="J101" s="25" t="s">
        <v>23</v>
      </c>
      <c r="K101" s="26"/>
      <c r="L101" s="26"/>
      <c r="M101" s="27"/>
      <c r="N101" s="26" t="s">
        <v>24</v>
      </c>
      <c r="O101" s="26"/>
      <c r="P101" s="26"/>
      <c r="Q101" s="26"/>
      <c r="R101" s="26"/>
      <c r="S101" s="26"/>
      <c r="T101" s="26"/>
      <c r="V101" s="2041" t="s">
        <v>3650</v>
      </c>
      <c r="W101" s="2041"/>
      <c r="X101" s="2041"/>
      <c r="Y101" s="2041"/>
    </row>
    <row r="102" spans="1:25" ht="12" customHeight="1" thickBot="1">
      <c r="B102" s="28"/>
      <c r="C102" s="28"/>
      <c r="D102" s="28"/>
      <c r="E102" s="1949" t="s">
        <v>2889</v>
      </c>
      <c r="F102" s="1949" t="s">
        <v>3464</v>
      </c>
      <c r="G102" s="28"/>
      <c r="H102" s="28"/>
      <c r="I102" s="28"/>
      <c r="J102" s="29" t="s">
        <v>69</v>
      </c>
      <c r="K102" s="30" t="s">
        <v>27</v>
      </c>
      <c r="L102" s="30" t="s">
        <v>60</v>
      </c>
      <c r="M102" s="31" t="s">
        <v>5104</v>
      </c>
      <c r="N102" s="30" t="s">
        <v>5174</v>
      </c>
      <c r="O102" s="30" t="s">
        <v>70</v>
      </c>
      <c r="P102" s="30" t="s">
        <v>71</v>
      </c>
      <c r="Q102" s="30" t="s">
        <v>72</v>
      </c>
      <c r="R102" s="30" t="s">
        <v>73</v>
      </c>
      <c r="S102" s="30" t="s">
        <v>74</v>
      </c>
      <c r="T102" s="30" t="s">
        <v>5102</v>
      </c>
      <c r="V102" s="290" t="s">
        <v>3651</v>
      </c>
      <c r="W102" s="290" t="s">
        <v>3652</v>
      </c>
      <c r="X102" s="290" t="s">
        <v>3653</v>
      </c>
      <c r="Y102" s="290" t="s">
        <v>3740</v>
      </c>
    </row>
    <row r="103" spans="1:25" ht="12" customHeight="1" thickBot="1">
      <c r="B103" s="3" t="s">
        <v>258</v>
      </c>
      <c r="E103" s="110" t="s">
        <v>3486</v>
      </c>
      <c r="F103" s="3005">
        <v>2</v>
      </c>
      <c r="G103" s="289" t="str">
        <f>VLOOKUP(F103,$C$119:$D$120,2,FALSE)</f>
        <v>CDD 추정치 준용</v>
      </c>
      <c r="J103" s="217">
        <f>Revenue!J27</f>
        <v>651602.01399999962</v>
      </c>
      <c r="K103" s="218">
        <f>Revenue!K27</f>
        <v>640466.69499999925</v>
      </c>
      <c r="L103" s="218">
        <f>Revenue!L27</f>
        <v>642520.47100000002</v>
      </c>
      <c r="M103" s="219">
        <f>Revenue!M27</f>
        <v>454818.78399999999</v>
      </c>
      <c r="N103" s="105">
        <f>CHOOSE($F103,$M103/3,HLOOKUP(N$102,CDD추정치!$G$24:$M$36,MATCH($B103,CDD추정치!$C$24:$C$36,0),0))</f>
        <v>168181.21600000001</v>
      </c>
      <c r="O103" s="320">
        <f>N103+M103</f>
        <v>623000</v>
      </c>
      <c r="P103" s="320">
        <f>CHOOSE($F103,$O$103,HLOOKUP(P$102,CDD추정치!$G$24:$M$36,MATCH($B103,CDD추정치!$C$24:$C$36,0),0))</f>
        <v>644000</v>
      </c>
      <c r="Q103" s="320">
        <f>CHOOSE($F103,$O$103,HLOOKUP(Q$102,CDD추정치!$G$24:$M$36,MATCH($B103,CDD추정치!$C$24:$C$36,0),0))</f>
        <v>659000</v>
      </c>
      <c r="R103" s="320">
        <f>CHOOSE($F103,$O$103,HLOOKUP(R$102,CDD추정치!$G$24:$M$36,MATCH($B103,CDD추정치!$C$24:$C$36,0),0))</f>
        <v>662000</v>
      </c>
      <c r="S103" s="320">
        <f>CHOOSE($F103,$O$103,HLOOKUP(S$102,CDD추정치!$G$24:$M$36,MATCH($B103,CDD추정치!$C$24:$C$36,0),0))</f>
        <v>666160.98648332688</v>
      </c>
      <c r="T103" s="320">
        <f>CHOOSE($F103,$O$103,HLOOKUP(T$102,CDD추정치!$G$24:$M$36,MATCH($B103,CDD추정치!$C$24:$C$36,0),0))</f>
        <v>662300</v>
      </c>
      <c r="U103" s="289"/>
      <c r="V103" s="1958"/>
      <c r="W103" s="1958">
        <v>2</v>
      </c>
      <c r="X103" s="1958"/>
      <c r="Y103" s="1958" t="str">
        <f t="shared" ref="Y103:Y114" si="11">INDEX($V$20:$X$20,1,MATCH($F103,$V103:$X103,0))</f>
        <v>Base</v>
      </c>
    </row>
    <row r="104" spans="1:25" ht="12" customHeight="1" thickBot="1">
      <c r="B104" s="3" t="s">
        <v>262</v>
      </c>
      <c r="E104" s="110" t="s">
        <v>3487</v>
      </c>
      <c r="F104" s="3005">
        <v>2</v>
      </c>
      <c r="G104" s="289" t="str">
        <f>VLOOKUP(F104,$C$119:$D$120,2,FALSE)</f>
        <v>CDD 추정치 준용</v>
      </c>
      <c r="J104" s="220">
        <f>Revenue!J34</f>
        <v>39446.750799999994</v>
      </c>
      <c r="K104" s="221">
        <f>Revenue!K34</f>
        <v>45910.3151</v>
      </c>
      <c r="L104" s="221">
        <f>Revenue!L34</f>
        <v>32290</v>
      </c>
      <c r="M104" s="222">
        <f>Revenue!M34</f>
        <v>24624</v>
      </c>
      <c r="N104" s="105">
        <f>CHOOSE($F104,$M104/3,HLOOKUP(N$102,CDD추정치!$G$24:$M$36,MATCH($B104,CDD추정치!$C$24:$C$36,0),0))</f>
        <v>8376</v>
      </c>
      <c r="O104" s="320">
        <f t="shared" ref="O104:O114" si="12">N104+M104</f>
        <v>33000</v>
      </c>
      <c r="P104" s="320">
        <f>CHOOSE($F104,$O$104,HLOOKUP(P$102,CDD추정치!$G$24:$M$36,MATCH($B104,CDD추정치!$C$24:$C$36,0),0))</f>
        <v>33000</v>
      </c>
      <c r="Q104" s="320">
        <f>CHOOSE($F104,$O$104,HLOOKUP(Q$102,CDD추정치!$G$24:$M$36,MATCH($B104,CDD추정치!$C$24:$C$36,0),0))</f>
        <v>33000</v>
      </c>
      <c r="R104" s="320">
        <f>CHOOSE($F104,$O$104,HLOOKUP(R$102,CDD추정치!$G$24:$M$36,MATCH($B104,CDD추정치!$C$24:$C$36,0),0))</f>
        <v>31000</v>
      </c>
      <c r="S104" s="320">
        <f>CHOOSE($F104,$O$104,HLOOKUP(S$102,CDD추정치!$G$24:$M$36,MATCH($B104,CDD추정치!$C$24:$C$36,0),0))</f>
        <v>32884.282793324528</v>
      </c>
      <c r="T104" s="320">
        <f>CHOOSE($F104,$O$104,HLOOKUP(T$102,CDD추정치!$G$24:$M$36,MATCH($B104,CDD추정치!$C$24:$C$36,0),0))</f>
        <v>32693.689567430025</v>
      </c>
      <c r="U104" s="289"/>
      <c r="V104" s="110"/>
      <c r="W104" s="110">
        <v>2</v>
      </c>
      <c r="X104" s="110"/>
      <c r="Y104" s="110" t="str">
        <f t="shared" si="11"/>
        <v>Base</v>
      </c>
    </row>
    <row r="105" spans="1:25" ht="12" customHeight="1" thickBot="1">
      <c r="B105" s="3" t="s">
        <v>264</v>
      </c>
      <c r="E105" s="110" t="s">
        <v>3487</v>
      </c>
      <c r="F105" s="4404">
        <f>IF(F12="Base",2,3)</f>
        <v>2</v>
      </c>
      <c r="G105" s="289" t="str">
        <f>VLOOKUP(F105,$C$123:$D$125,2,FALSE)</f>
        <v>CDD 추정치 준용(향후 Silver소재 미발생)</v>
      </c>
      <c r="J105" s="220">
        <f>Revenue!J41</f>
        <v>659376.72400000005</v>
      </c>
      <c r="K105" s="221">
        <f>Revenue!K41</f>
        <v>608975.16399999999</v>
      </c>
      <c r="L105" s="221">
        <f>Revenue!L41</f>
        <v>528834.73800000001</v>
      </c>
      <c r="M105" s="222">
        <f>Revenue!M41</f>
        <v>447318.83100000001</v>
      </c>
      <c r="N105" s="105">
        <f>CHOOSE($F105,$M105/3,HLOOKUP(N$102,CDD추정치!$G$24:$M$36,MATCH($B105,CDD추정치!$C$24:$C$36,0),0),CDD추정치!F91)</f>
        <v>138681.16899999999</v>
      </c>
      <c r="O105" s="320">
        <f t="shared" si="12"/>
        <v>586000</v>
      </c>
      <c r="P105" s="320">
        <f>CHOOSE($F105,$O$105,HLOOKUP(P$102,CDD추정치!$G$24:$M$36,MATCH($B105,CDD추정치!$C$24:$C$36,0),0),HLOOKUP(P$102,판매량!$E$17:$J$29,MATCH($B105,판매량!$B$17:$B$29,0),0),CDD추정치!H91)</f>
        <v>541000</v>
      </c>
      <c r="Q105" s="320">
        <f>CHOOSE($F105,$O$105,HLOOKUP(Q$102,CDD추정치!$G$24:$M$36,MATCH($B105,CDD추정치!$C$24:$C$36,0),0),CDD추정치!I91)</f>
        <v>551000</v>
      </c>
      <c r="R105" s="320">
        <f>CHOOSE($F105,$O$105,HLOOKUP(R$102,CDD추정치!$G$24:$M$36,MATCH($B105,CDD추정치!$C$24:$C$36,0),0),CDD추정치!J91)</f>
        <v>549000</v>
      </c>
      <c r="S105" s="320">
        <f>CHOOSE($F105,$O$105,HLOOKUP(S$102,CDD추정치!$G$24:$M$36,MATCH($B105,CDD추정치!$C$24:$C$36,0),0),CDD추정치!K91)</f>
        <v>556320.70168912946</v>
      </c>
      <c r="T105" s="320">
        <f>CHOOSE($F105,$O$105,HLOOKUP(T$102,CDD추정치!$G$24:$M$36,MATCH($B105,CDD추정치!$C$24:$C$36,0),0),CDD추정치!L91)</f>
        <v>553096.33587786253</v>
      </c>
      <c r="U105" s="289"/>
      <c r="V105" s="110">
        <v>3</v>
      </c>
      <c r="W105" s="110">
        <v>2</v>
      </c>
      <c r="X105" s="110"/>
      <c r="Y105" s="110" t="str">
        <f t="shared" si="11"/>
        <v>Base</v>
      </c>
    </row>
    <row r="106" spans="1:25" ht="12" customHeight="1" thickBot="1">
      <c r="B106" s="3" t="s">
        <v>316</v>
      </c>
      <c r="E106" s="110" t="s">
        <v>3487</v>
      </c>
      <c r="F106" s="4404">
        <f>IF(F12="Base",2,3)</f>
        <v>2</v>
      </c>
      <c r="G106" s="289" t="str">
        <f>VLOOKUP(F106,$C$123:$D$125,2,FALSE)</f>
        <v>CDD 추정치 준용(향후 Silver소재 미발생)</v>
      </c>
      <c r="J106" s="220">
        <f>Revenue!J48</f>
        <v>0</v>
      </c>
      <c r="K106" s="221">
        <f>Revenue!K48</f>
        <v>5204</v>
      </c>
      <c r="L106" s="221">
        <f>Revenue!L48</f>
        <v>204</v>
      </c>
      <c r="M106" s="222">
        <f>Revenue!M48</f>
        <v>1820</v>
      </c>
      <c r="N106" s="105">
        <f>CHOOSE($F106,$M106/3,HLOOKUP(N$102,CDD추정치!$G$24:$M$36,MATCH($B106,CDD추정치!$C$24:$C$36,0),0),CDD추정치!F92)</f>
        <v>0</v>
      </c>
      <c r="O106" s="320">
        <f t="shared" si="12"/>
        <v>1820</v>
      </c>
      <c r="P106" s="320">
        <f>CHOOSE($F106,$O$106,HLOOKUP(P$102,CDD추정치!$G$24:$M$36,MATCH($B106,CDD추정치!$C$24:$C$36,0),0),CDD추정치!H92)</f>
        <v>0</v>
      </c>
      <c r="Q106" s="320">
        <f>CHOOSE($F106,$O$106,HLOOKUP(Q$102,CDD추정치!$G$24:$M$36,MATCH($B106,CDD추정치!$C$24:$C$36,0),0),CDD추정치!I92)</f>
        <v>0</v>
      </c>
      <c r="R106" s="320">
        <f>CHOOSE($F106,$O$106,HLOOKUP(R$102,CDD추정치!$G$24:$M$36,MATCH($B106,CDD추정치!$C$24:$C$36,0),0),CDD추정치!J92)</f>
        <v>0</v>
      </c>
      <c r="S106" s="320">
        <f>CHOOSE($F106,$O$106,HLOOKUP(S$102,CDD추정치!$G$24:$M$36,MATCH($B106,CDD추정치!$C$24:$C$36,0),0),CDD추정치!K92)</f>
        <v>0</v>
      </c>
      <c r="T106" s="320">
        <f>CHOOSE($F106,$O$106,HLOOKUP(T$102,CDD추정치!$G$24:$M$36,MATCH($B106,CDD추정치!$C$24:$C$36,0),0),CDD추정치!L92)</f>
        <v>0</v>
      </c>
      <c r="U106" s="289"/>
      <c r="V106" s="110">
        <v>3</v>
      </c>
      <c r="W106" s="110">
        <v>2</v>
      </c>
      <c r="X106" s="110"/>
      <c r="Y106" s="110" t="str">
        <f t="shared" si="11"/>
        <v>Base</v>
      </c>
    </row>
    <row r="107" spans="1:25" ht="12" customHeight="1" thickBot="1">
      <c r="B107" s="3" t="s">
        <v>268</v>
      </c>
      <c r="E107" s="110" t="s">
        <v>3487</v>
      </c>
      <c r="F107" s="3005">
        <v>2</v>
      </c>
      <c r="G107" s="289" t="str">
        <f>VLOOKUP(F107,$C$119:$D$120,2,FALSE)</f>
        <v>CDD 추정치 준용</v>
      </c>
      <c r="J107" s="220">
        <f>Revenue!J55</f>
        <v>1584.3124999999991</v>
      </c>
      <c r="K107" s="221">
        <f>Revenue!K55</f>
        <v>1675.5292999999999</v>
      </c>
      <c r="L107" s="221">
        <f>Revenue!L55</f>
        <v>1648.8732</v>
      </c>
      <c r="M107" s="222">
        <f>Revenue!M55</f>
        <v>1195.6563000000001</v>
      </c>
      <c r="N107" s="105">
        <f>CHOOSE($F107,$M107/3,HLOOKUP(N$102,CDD추정치!$G$24:$M$36,MATCH($B107,CDD추정치!$C$24:$C$36,0),0))</f>
        <v>449.3436999999999</v>
      </c>
      <c r="O107" s="320">
        <f t="shared" si="12"/>
        <v>1645</v>
      </c>
      <c r="P107" s="320">
        <f>CHOOSE($F107,$O$107,HLOOKUP(P$102,CDD추정치!$G$24:$M$36,MATCH($B107,CDD추정치!$C$24:$C$36,0),0))</f>
        <v>1858</v>
      </c>
      <c r="Q107" s="320">
        <f>CHOOSE($F107,$O$107,HLOOKUP(Q$102,CDD추정치!$G$24:$M$36,MATCH($B107,CDD추정치!$C$24:$C$36,0),0))</f>
        <v>1960</v>
      </c>
      <c r="R107" s="320">
        <f>CHOOSE($F107,$O$107,HLOOKUP(R$102,CDD추정치!$G$24:$M$36,MATCH($B107,CDD추정치!$C$24:$C$36,0),0))</f>
        <v>1942</v>
      </c>
      <c r="S107" s="320">
        <f>CHOOSE($F107,$O$107,HLOOKUP(S$102,CDD추정치!$G$24:$M$36,MATCH($B107,CDD추정치!$C$24:$C$36,0),0))</f>
        <v>1952.7161741190648</v>
      </c>
      <c r="T107" s="320">
        <f>CHOOSE($F107,$O$107,HLOOKUP(T$102,CDD추정치!$G$24:$M$36,MATCH($B107,CDD추정치!$C$24:$C$36,0),0))</f>
        <v>1941.3984732824426</v>
      </c>
      <c r="U107" s="289"/>
      <c r="V107" s="110"/>
      <c r="W107" s="110">
        <v>2</v>
      </c>
      <c r="X107" s="110"/>
      <c r="Y107" s="110" t="str">
        <f t="shared" si="11"/>
        <v>Base</v>
      </c>
    </row>
    <row r="108" spans="1:25" ht="12" customHeight="1" thickBot="1">
      <c r="B108" s="3" t="s">
        <v>266</v>
      </c>
      <c r="E108" s="110" t="s">
        <v>3487</v>
      </c>
      <c r="F108" s="3005">
        <v>2</v>
      </c>
      <c r="G108" s="289" t="str">
        <f>VLOOKUP(F108,$C$119:$D$120,2,FALSE)</f>
        <v>CDD 추정치 준용</v>
      </c>
      <c r="J108" s="220">
        <f>Revenue!J62</f>
        <v>180.76269999999988</v>
      </c>
      <c r="K108" s="221">
        <f>Revenue!K62</f>
        <v>182.15029999999999</v>
      </c>
      <c r="L108" s="221">
        <f>Revenue!L62</f>
        <v>199.13170000000002</v>
      </c>
      <c r="M108" s="222">
        <f>Revenue!M62</f>
        <v>153.9744</v>
      </c>
      <c r="N108" s="105">
        <f>CHOOSE($F108,$M108/3,HLOOKUP(N$102,CDD추정치!$G$24:$M$36,MATCH($B108,CDD추정치!$C$24:$C$36,0),0))</f>
        <v>42.025599999999997</v>
      </c>
      <c r="O108" s="320">
        <f t="shared" si="12"/>
        <v>196</v>
      </c>
      <c r="P108" s="320">
        <f>CHOOSE($F108,$O$108,HLOOKUP(P$102,CDD추정치!$G$24:$M$36,MATCH($B108,CDD추정치!$C$24:$C$36,0),0))</f>
        <v>250</v>
      </c>
      <c r="Q108" s="320">
        <f>CHOOSE($F108,$O$108,HLOOKUP(Q$102,CDD추정치!$G$24:$M$36,MATCH($B108,CDD추정치!$C$24:$C$36,0),0))</f>
        <v>290</v>
      </c>
      <c r="R108" s="320">
        <f>CHOOSE($F108,$O$108,HLOOKUP(R$102,CDD추정치!$G$24:$M$36,MATCH($B108,CDD추정치!$C$24:$C$36,0),0))</f>
        <v>280</v>
      </c>
      <c r="S108" s="320">
        <f>CHOOSE($F108,$O$108,HLOOKUP(S$102,CDD추정치!$G$24:$M$36,MATCH($B108,CDD추정치!$C$24:$C$36,0),0))</f>
        <v>277.99084423222803</v>
      </c>
      <c r="T108" s="320">
        <f>CHOOSE($F108,$O$108,HLOOKUP(T$102,CDD추정치!$G$24:$M$36,MATCH($B108,CDD추정치!$C$24:$C$36,0),0))</f>
        <v>276.37964376590332</v>
      </c>
      <c r="U108" s="289"/>
      <c r="V108" s="110"/>
      <c r="W108" s="110">
        <v>2</v>
      </c>
      <c r="X108" s="110"/>
      <c r="Y108" s="110" t="str">
        <f t="shared" si="11"/>
        <v>Base</v>
      </c>
    </row>
    <row r="109" spans="1:25" ht="12" customHeight="1" thickBot="1">
      <c r="B109" s="3" t="s">
        <v>5587</v>
      </c>
      <c r="E109" s="110" t="s">
        <v>3486</v>
      </c>
      <c r="F109" s="3005">
        <v>2</v>
      </c>
      <c r="G109" s="289" t="str">
        <f>VLOOKUP(F109,$C$119:$D$120,2,FALSE)</f>
        <v>CDD 추정치 준용</v>
      </c>
      <c r="J109" s="220">
        <f>Revenue!J66</f>
        <v>4077.6499999999905</v>
      </c>
      <c r="K109" s="221">
        <f>Revenue!K66</f>
        <v>4303.5590000000002</v>
      </c>
      <c r="L109" s="221">
        <f>Revenue!L66</f>
        <v>4675.2550000000001</v>
      </c>
      <c r="M109" s="222">
        <f>Revenue!M66</f>
        <v>3185.777</v>
      </c>
      <c r="N109" s="105">
        <f>CHOOSE($F109,$M109/3,HLOOKUP(N$102,CDD추정치!$G$24:$M$36,MATCH($B109,CDD추정치!$C$24:$C$36,0),0))</f>
        <v>1414.223</v>
      </c>
      <c r="O109" s="320">
        <f t="shared" si="12"/>
        <v>4600</v>
      </c>
      <c r="P109" s="320">
        <f>CHOOSE($F109,$O$109,HLOOKUP(P$102,CDD추정치!$G$24:$M$36,MATCH($B109,CDD추정치!$C$24:$C$36,0),0))</f>
        <v>4500</v>
      </c>
      <c r="Q109" s="320">
        <f>CHOOSE($F109,$O$109,HLOOKUP(Q$102,CDD추정치!$G$24:$M$36,MATCH($B109,CDD추정치!$C$24:$C$36,0),0))</f>
        <v>4600</v>
      </c>
      <c r="R109" s="320">
        <f>CHOOSE($F109,$O$109,HLOOKUP(R$102,CDD추정치!$G$24:$M$36,MATCH($B109,CDD추정치!$C$24:$C$36,0),0))</f>
        <v>4600</v>
      </c>
      <c r="S109" s="320">
        <f>CHOOSE($F109,$O$109,HLOOKUP(S$102,CDD추정치!$G$24:$M$36,MATCH($B109,CDD추정치!$C$24:$C$36,0),0))</f>
        <v>4644.4811780262489</v>
      </c>
      <c r="T109" s="320">
        <f>CHOOSE($F109,$O$109,HLOOKUP(T$102,CDD추정치!$G$24:$M$36,MATCH($B109,CDD추정치!$C$24:$C$36,0),0))</f>
        <v>4617.5623409669215</v>
      </c>
      <c r="U109" s="289"/>
      <c r="V109" s="110"/>
      <c r="W109" s="110">
        <v>2</v>
      </c>
      <c r="X109" s="110"/>
      <c r="Y109" s="110" t="str">
        <f t="shared" si="11"/>
        <v>Base</v>
      </c>
    </row>
    <row r="110" spans="1:25" ht="12" customHeight="1" thickBot="1">
      <c r="B110" s="3" t="s">
        <v>244</v>
      </c>
      <c r="E110" s="110" t="s">
        <v>3486</v>
      </c>
      <c r="F110" s="4404">
        <f>IF(F13="Base",2,3)</f>
        <v>2</v>
      </c>
      <c r="G110" s="289" t="str">
        <f>VLOOKUP(F110,$C$129:$D$131,2,FALSE)</f>
        <v>CDD 추정치 준용</v>
      </c>
      <c r="J110" s="220">
        <f>Revenue!J70</f>
        <v>93190.22</v>
      </c>
      <c r="K110" s="221">
        <f>Revenue!K70</f>
        <v>102868.208</v>
      </c>
      <c r="L110" s="221">
        <f>Revenue!L70</f>
        <v>130519.17600000001</v>
      </c>
      <c r="M110" s="222">
        <f>Revenue!M70</f>
        <v>121394.99</v>
      </c>
      <c r="N110" s="105">
        <f>CHOOSE($F110,$M110/3,HLOOKUP(N$102,CDD추정치!$G$24:$M$36,MATCH($B110,CDD추정치!$C$24:$C$36,0),0),CDD추정치!F93)</f>
        <v>40605.009999999995</v>
      </c>
      <c r="O110" s="320">
        <f t="shared" si="12"/>
        <v>162000</v>
      </c>
      <c r="P110" s="320">
        <f>CHOOSE($F110,$M110/3*4,HLOOKUP(P$102,CDD추정치!$G$24:$M$36,MATCH($B110,CDD추정치!$C$24:$C$36,0),0),CDD추정치!H93)</f>
        <v>173000</v>
      </c>
      <c r="Q110" s="320">
        <f>CHOOSE($F110,$M110/3*4,HLOOKUP(Q$102,CDD추정치!$G$24:$M$36,MATCH($B110,CDD추정치!$C$24:$C$36,0),0),CDD추정치!I93)</f>
        <v>183000</v>
      </c>
      <c r="R110" s="320">
        <f>CHOOSE($F110,$M110/3*4,HLOOKUP(R$102,CDD추정치!$G$24:$M$36,MATCH($B110,CDD추정치!$C$24:$C$36,0),0),CDD추정치!J93)</f>
        <v>191000</v>
      </c>
      <c r="S110" s="320">
        <f>CHOOSE($F110,$M110/3*4,HLOOKUP(S$102,CDD추정치!$G$24:$M$36,MATCH($B110,CDD추정치!$C$24:$C$36,0),0),CDD추정치!K93)</f>
        <v>192200.52631165471</v>
      </c>
      <c r="T110" s="320">
        <f>CHOOSE($F110,$M110/3*4,HLOOKUP(T$102,CDD추정치!$G$24:$M$36,MATCH($B110,CDD추정치!$C$24:$C$36,0),0),CDD추정치!L93)</f>
        <v>191086.55589123865</v>
      </c>
      <c r="U110" s="289"/>
      <c r="V110" s="110">
        <v>3</v>
      </c>
      <c r="W110" s="110">
        <v>2</v>
      </c>
      <c r="X110" s="110"/>
      <c r="Y110" s="110" t="str">
        <f t="shared" si="11"/>
        <v>Base</v>
      </c>
    </row>
    <row r="111" spans="1:25" ht="12" customHeight="1" thickBot="1">
      <c r="B111" s="3" t="s">
        <v>242</v>
      </c>
      <c r="E111" s="110" t="s">
        <v>3486</v>
      </c>
      <c r="F111" s="4404">
        <f>IF(F13="Base",2,3)</f>
        <v>2</v>
      </c>
      <c r="G111" s="289" t="str">
        <f>VLOOKUP(F111,$C$129:$D$131,2,FALSE)</f>
        <v>CDD 추정치 준용</v>
      </c>
      <c r="J111" s="220">
        <f>Revenue!J74</f>
        <v>1525031.8219999985</v>
      </c>
      <c r="K111" s="221">
        <f>Revenue!K74</f>
        <v>1479118.5029999989</v>
      </c>
      <c r="L111" s="221">
        <f>Revenue!L74</f>
        <v>1509961.892</v>
      </c>
      <c r="M111" s="222">
        <f>Revenue!M74</f>
        <v>898230.92700000003</v>
      </c>
      <c r="N111" s="105">
        <f>CHOOSE($F111,$M111/3,HLOOKUP(N$102,CDD추정치!$G$24:$M$36,MATCH($B111,CDD추정치!$C$24:$C$36,0),0),CDD추정치!F94)</f>
        <v>388769.07299999997</v>
      </c>
      <c r="O111" s="320">
        <f t="shared" si="12"/>
        <v>1287000</v>
      </c>
      <c r="P111" s="320">
        <f>CHOOSE($F111,$M111/3*4,HLOOKUP(P$102,CDD추정치!$G$24:$M$36,MATCH($B111,CDD추정치!$C$24:$C$36,0),0),CDD추정치!H94)</f>
        <v>1436000</v>
      </c>
      <c r="Q111" s="320">
        <f>CHOOSE($F111,$M111/3*4,HLOOKUP(Q$102,CDD추정치!$G$24:$M$36,MATCH($B111,CDD추정치!$C$24:$C$36,0),0),CDD추정치!I94)</f>
        <v>1368000</v>
      </c>
      <c r="R111" s="320">
        <f>CHOOSE($F111,$M111/3*4,HLOOKUP(R$102,CDD추정치!$G$24:$M$36,MATCH($B111,CDD추정치!$C$24:$C$36,0),0),CDD추정치!J94)</f>
        <v>1354000</v>
      </c>
      <c r="S111" s="320">
        <f>CHOOSE($F111,$M111/3*4,HLOOKUP(S$102,CDD추정치!$G$24:$M$36,MATCH($B111,CDD추정치!$C$24:$C$36,0),0),CDD추정치!K94)</f>
        <v>1362510.5373087984</v>
      </c>
      <c r="T111" s="320">
        <f>CHOOSE($F111,$M111/3*4,HLOOKUP(T$102,CDD추정치!$G$24:$M$36,MATCH($B111,CDD추정치!$C$24:$C$36,0),0),CDD추정치!L94)</f>
        <v>1354613.5951661631</v>
      </c>
      <c r="U111" s="289"/>
      <c r="V111" s="110">
        <v>3</v>
      </c>
      <c r="W111" s="110">
        <v>2</v>
      </c>
      <c r="X111" s="110"/>
      <c r="Y111" s="110" t="str">
        <f t="shared" si="11"/>
        <v>Base</v>
      </c>
    </row>
    <row r="112" spans="1:25" ht="12" customHeight="1" thickBot="1">
      <c r="B112" s="3" t="s">
        <v>260</v>
      </c>
      <c r="E112" s="110" t="s">
        <v>3486</v>
      </c>
      <c r="F112" s="3005">
        <v>2</v>
      </c>
      <c r="G112" s="289" t="str">
        <f>VLOOKUP(F112,$C$119:$D$120,2,FALSE)</f>
        <v>CDD 추정치 준용</v>
      </c>
      <c r="J112" s="220">
        <f>Revenue!J78</f>
        <v>1255656.4199999988</v>
      </c>
      <c r="K112" s="221">
        <f>Revenue!K78</f>
        <v>1205404.7499999991</v>
      </c>
      <c r="L112" s="221">
        <f>Revenue!L78</f>
        <v>1199212.8400000001</v>
      </c>
      <c r="M112" s="222">
        <f>Revenue!M78</f>
        <v>844439.02</v>
      </c>
      <c r="N112" s="105">
        <f>CHOOSE($F112,$M112/3,HLOOKUP(N$102,CDD추정치!$G$24:$M$36,MATCH($B112,CDD추정치!$C$24:$C$36,0),0))</f>
        <v>349560.98</v>
      </c>
      <c r="O112" s="320">
        <f t="shared" si="12"/>
        <v>1194000</v>
      </c>
      <c r="P112" s="320">
        <f>CHOOSE($F112,$M112/3*4,HLOOKUP(P$102,CDD추정치!$G$24:$M$36,MATCH($B112,CDD추정치!$C$24:$C$36,0),0))</f>
        <v>1257000</v>
      </c>
      <c r="Q112" s="320">
        <f>CHOOSE($F112,$M112/3*4,HLOOKUP(Q$102,CDD추정치!$G$24:$M$36,MATCH($B112,CDD추정치!$C$24:$C$36,0),0))</f>
        <v>1246000</v>
      </c>
      <c r="R112" s="320">
        <f>CHOOSE($F112,$M112/3*4,HLOOKUP(R$102,CDD추정치!$G$24:$M$36,MATCH($B112,CDD추정치!$C$24:$C$36,0),0))</f>
        <v>1276000</v>
      </c>
      <c r="S112" s="320">
        <f>CHOOSE($F112,$M112/3*4,HLOOKUP(S$102,CDD추정치!$G$24:$M$36,MATCH($B112,CDD추정치!$C$24:$C$36,0),0))</f>
        <v>1281130.9760409629</v>
      </c>
      <c r="T112" s="320">
        <f>CHOOSE($F112,$M112/3*4,HLOOKUP(T$102,CDD추정치!$G$24:$M$36,MATCH($B112,CDD추정치!$C$24:$C$36,0),0))</f>
        <v>1273705.699745547</v>
      </c>
      <c r="U112" s="289"/>
      <c r="V112" s="110"/>
      <c r="W112" s="110">
        <v>2</v>
      </c>
      <c r="X112" s="110"/>
      <c r="Y112" s="110" t="str">
        <f t="shared" si="11"/>
        <v>Base</v>
      </c>
    </row>
    <row r="113" spans="2:25" ht="12" customHeight="1" thickBot="1">
      <c r="B113" s="3" t="s">
        <v>327</v>
      </c>
      <c r="E113" s="110" t="s">
        <v>3486</v>
      </c>
      <c r="F113" s="3005">
        <v>2</v>
      </c>
      <c r="G113" s="289" t="str">
        <f>VLOOKUP(F113,$C$119:$D$120,2,FALSE)</f>
        <v>CDD 추정치 준용</v>
      </c>
      <c r="J113" s="220">
        <f>Revenue!J82</f>
        <v>1808.117</v>
      </c>
      <c r="K113" s="221">
        <f>Revenue!K82</f>
        <v>1791.309</v>
      </c>
      <c r="L113" s="221">
        <f>Revenue!L82</f>
        <v>1881.585</v>
      </c>
      <c r="M113" s="222">
        <f>Revenue!M82</f>
        <v>1489.7560000000001</v>
      </c>
      <c r="N113" s="105">
        <f>CHOOSE($F113,$M113/3,HLOOKUP(N$102,CDD추정치!$G$24:$M$36,MATCH($B113,CDD추정치!$C$24:$C$36,0),0),$M113/3)</f>
        <v>550.87649067567099</v>
      </c>
      <c r="O113" s="320">
        <f t="shared" si="12"/>
        <v>2040.6324906756711</v>
      </c>
      <c r="P113" s="320">
        <f>CHOOSE($F113,$M113/3*4,HLOOKUP(P$102,CDD추정치!$G$24:$M$36,MATCH($B113,CDD추정치!$C$24:$C$36,0),0))</f>
        <v>1997.6677864251938</v>
      </c>
      <c r="Q113" s="320">
        <f>CHOOSE($F113,$M113/3*4,HLOOKUP(Q$102,CDD추정치!$G$24:$M$36,MATCH($B113,CDD추정치!$C$24:$C$36,0),0))</f>
        <v>2044.197315612116</v>
      </c>
      <c r="R113" s="320">
        <f>CHOOSE($F113,$M113/3*4,HLOOKUP(R$102,CDD추정치!$G$24:$M$36,MATCH($B113,CDD추정치!$C$24:$C$36,0),0))</f>
        <v>2053.5032214495004</v>
      </c>
      <c r="S113" s="320">
        <f>CHOOSE($F113,$M113/3*4,HLOOKUP(S$102,CDD추정치!$G$24:$M$36,MATCH($B113,CDD추정치!$C$24:$C$36,0),0))</f>
        <v>2066.4104709176568</v>
      </c>
      <c r="T113" s="320">
        <f>CHOOSE($F113,$M113/3*4,HLOOKUP(T$102,CDD추정치!$G$24:$M$36,MATCH($B113,CDD추정치!$C$24:$C$36,0),0))</f>
        <v>2054.4338120332386</v>
      </c>
      <c r="U113" s="289"/>
      <c r="V113" s="110"/>
      <c r="W113" s="110">
        <v>2</v>
      </c>
      <c r="X113" s="110"/>
      <c r="Y113" s="110" t="str">
        <f t="shared" si="11"/>
        <v>Base</v>
      </c>
    </row>
    <row r="114" spans="2:25" ht="12" customHeight="1" thickBot="1">
      <c r="B114" s="12" t="s">
        <v>252</v>
      </c>
      <c r="C114" s="12"/>
      <c r="D114" s="12"/>
      <c r="E114" s="1950" t="s">
        <v>3486</v>
      </c>
      <c r="F114" s="3005">
        <v>2</v>
      </c>
      <c r="G114" s="1954" t="str">
        <f>VLOOKUP(F114,$C$119:$D$120,2,FALSE)</f>
        <v>CDD 추정치 준용</v>
      </c>
      <c r="H114" s="12"/>
      <c r="I114" s="12"/>
      <c r="J114" s="223">
        <f>Revenue!J86</f>
        <v>547430</v>
      </c>
      <c r="K114" s="224">
        <f>Revenue!K86</f>
        <v>507088</v>
      </c>
      <c r="L114" s="224">
        <f>Revenue!L86</f>
        <v>481577</v>
      </c>
      <c r="M114" s="225">
        <f>Revenue!M86</f>
        <v>286940</v>
      </c>
      <c r="N114" s="107">
        <f>CHOOSE($F114,$M114/3,HLOOKUP(N$102,CDD추정치!$G$24:$M$36,MATCH($B114,CDD추정치!$C$24:$C$36,0),0))</f>
        <v>147460</v>
      </c>
      <c r="O114" s="355">
        <f t="shared" si="12"/>
        <v>434400</v>
      </c>
      <c r="P114" s="355">
        <f>CHOOSE($F114,$M114/3*4,HLOOKUP(P$102,CDD추정치!$G$24:$M$36,MATCH($B114,CDD추정치!$C$24:$C$36,0),0))</f>
        <v>420300</v>
      </c>
      <c r="Q114" s="355">
        <f>CHOOSE($F114,$M114/3*4,HLOOKUP(Q$102,CDD추정치!$G$24:$M$36,MATCH($B114,CDD추정치!$C$24:$C$36,0),0))</f>
        <v>323500</v>
      </c>
      <c r="R114" s="355">
        <f>CHOOSE($F114,$M114/3*4,HLOOKUP(R$102,CDD추정치!$G$24:$M$36,MATCH($B114,CDD추정치!$C$24:$C$36,0),0))</f>
        <v>224600</v>
      </c>
      <c r="S114" s="355">
        <f>CHOOSE($F114,$M114/3*4,HLOOKUP(S$102,CDD추정치!$G$24:$M$36,MATCH($B114,CDD추정치!$C$24:$C$36,0),0))</f>
        <v>226011.71837485681</v>
      </c>
      <c r="T114" s="355">
        <f>CHOOSE($F114,$M114/3*4,HLOOKUP(T$102,CDD추정치!$G$24:$M$36,MATCH($B114,CDD추정치!$C$24:$C$36,0),0))</f>
        <v>224701.78247734139</v>
      </c>
      <c r="U114" s="289"/>
      <c r="V114" s="1950"/>
      <c r="W114" s="1950">
        <v>2</v>
      </c>
      <c r="X114" s="1950"/>
      <c r="Y114" s="1950" t="str">
        <f t="shared" si="11"/>
        <v>Base</v>
      </c>
    </row>
    <row r="115" spans="2:25" ht="12" customHeight="1">
      <c r="B115" s="1953" t="s">
        <v>351</v>
      </c>
      <c r="J115" s="2637"/>
      <c r="K115" s="2637"/>
      <c r="L115" s="2637"/>
      <c r="M115" s="2637"/>
      <c r="N115" s="2637"/>
      <c r="O115" s="2637"/>
      <c r="P115" s="2637"/>
      <c r="Q115" s="2637"/>
      <c r="R115" s="2637"/>
      <c r="S115" s="2637"/>
      <c r="T115" s="2637"/>
    </row>
    <row r="116" spans="2:25" ht="12" customHeight="1">
      <c r="B116" s="3" t="s">
        <v>3485</v>
      </c>
      <c r="J116" s="221"/>
      <c r="K116" s="221"/>
      <c r="L116" s="221"/>
      <c r="M116" s="221"/>
      <c r="N116" s="105"/>
      <c r="O116" s="105"/>
      <c r="P116" s="105"/>
      <c r="Q116" s="105"/>
      <c r="R116" s="105"/>
      <c r="S116" s="105"/>
      <c r="T116" s="105"/>
    </row>
    <row r="117" spans="2:25" ht="12" customHeight="1">
      <c r="B117" s="3" t="s">
        <v>13546</v>
      </c>
      <c r="J117" s="221"/>
      <c r="K117" s="221"/>
      <c r="L117" s="221"/>
      <c r="M117" s="221"/>
      <c r="N117" s="105"/>
      <c r="O117" s="105"/>
      <c r="P117" s="105"/>
      <c r="Q117" s="105"/>
      <c r="R117" s="105"/>
      <c r="S117" s="105"/>
      <c r="T117" s="105"/>
    </row>
    <row r="118" spans="2:25" ht="12" customHeight="1">
      <c r="C118" s="1950" t="s">
        <v>3464</v>
      </c>
      <c r="D118" s="1957" t="s">
        <v>3469</v>
      </c>
      <c r="E118" s="1957"/>
      <c r="F118" s="1957"/>
      <c r="G118" s="1957"/>
      <c r="H118" s="1957"/>
      <c r="I118" s="1957"/>
      <c r="J118" s="1957"/>
      <c r="K118" s="1957"/>
      <c r="L118" s="1957"/>
      <c r="M118" s="1957"/>
      <c r="N118" s="1957"/>
      <c r="O118" s="1957"/>
      <c r="P118" s="1957"/>
      <c r="Q118" s="1957"/>
      <c r="R118" s="1957"/>
      <c r="S118" s="1957"/>
      <c r="T118" s="1957"/>
    </row>
    <row r="119" spans="2:25" ht="12" customHeight="1">
      <c r="C119" s="4149">
        <v>1</v>
      </c>
      <c r="D119" s="4150" t="s">
        <v>6506</v>
      </c>
      <c r="E119" s="4150"/>
      <c r="F119" s="4150"/>
      <c r="G119" s="4150"/>
      <c r="H119" s="4150"/>
      <c r="I119" s="4150"/>
      <c r="J119" s="4150"/>
      <c r="K119" s="4150"/>
      <c r="L119" s="4150"/>
      <c r="M119" s="4150"/>
      <c r="N119" s="4150"/>
      <c r="O119" s="4150"/>
      <c r="P119" s="4150"/>
      <c r="Q119" s="4150"/>
      <c r="R119" s="4150"/>
      <c r="S119" s="4150"/>
      <c r="T119" s="4150"/>
    </row>
    <row r="120" spans="2:25" ht="12" customHeight="1">
      <c r="C120" s="1950">
        <v>2</v>
      </c>
      <c r="D120" s="12" t="s">
        <v>5176</v>
      </c>
      <c r="E120" s="12"/>
      <c r="F120" s="12"/>
      <c r="G120" s="12"/>
      <c r="H120" s="12"/>
      <c r="I120" s="12"/>
      <c r="J120" s="12"/>
      <c r="K120" s="12"/>
      <c r="L120" s="12"/>
      <c r="M120" s="12"/>
      <c r="N120" s="12"/>
      <c r="O120" s="12"/>
      <c r="P120" s="12"/>
      <c r="Q120" s="12"/>
      <c r="R120" s="12"/>
      <c r="S120" s="12"/>
      <c r="T120" s="12"/>
    </row>
    <row r="121" spans="2:25" ht="12" customHeight="1">
      <c r="B121" s="3" t="s">
        <v>6723</v>
      </c>
      <c r="J121" s="221"/>
      <c r="K121" s="221"/>
      <c r="L121" s="221"/>
      <c r="M121" s="221"/>
      <c r="N121" s="105"/>
      <c r="O121" s="105"/>
      <c r="P121" s="105"/>
      <c r="Q121" s="105"/>
      <c r="R121" s="105"/>
      <c r="S121" s="105"/>
      <c r="T121" s="105"/>
    </row>
    <row r="122" spans="2:25" ht="12" customHeight="1">
      <c r="C122" s="1950" t="s">
        <v>3464</v>
      </c>
      <c r="D122" s="1957" t="s">
        <v>3469</v>
      </c>
      <c r="E122" s="1957"/>
      <c r="F122" s="1957"/>
      <c r="G122" s="1957"/>
      <c r="H122" s="1957"/>
      <c r="I122" s="1957"/>
      <c r="J122" s="1957"/>
      <c r="K122" s="1957"/>
      <c r="L122" s="1957"/>
      <c r="M122" s="1957"/>
      <c r="N122" s="1957"/>
      <c r="O122" s="1957"/>
      <c r="P122" s="1957"/>
      <c r="Q122" s="1957"/>
      <c r="R122" s="1957"/>
      <c r="S122" s="1957"/>
      <c r="T122" s="1957"/>
    </row>
    <row r="123" spans="2:25" ht="12" customHeight="1">
      <c r="C123" s="4149">
        <v>1</v>
      </c>
      <c r="D123" s="4150" t="s">
        <v>6506</v>
      </c>
      <c r="E123" s="4150"/>
      <c r="F123" s="4150"/>
      <c r="G123" s="4150"/>
      <c r="H123" s="4150"/>
      <c r="I123" s="4150"/>
      <c r="J123" s="4150"/>
      <c r="K123" s="4150"/>
      <c r="L123" s="4150"/>
      <c r="M123" s="4150"/>
      <c r="N123" s="4150"/>
      <c r="O123" s="4150"/>
      <c r="P123" s="4150"/>
      <c r="Q123" s="4150"/>
      <c r="R123" s="4150"/>
      <c r="S123" s="4150"/>
      <c r="T123" s="4150"/>
    </row>
    <row r="124" spans="2:25" ht="12" customHeight="1">
      <c r="C124" s="110">
        <v>2</v>
      </c>
      <c r="D124" s="3" t="s">
        <v>6724</v>
      </c>
    </row>
    <row r="125" spans="2:25" ht="12" customHeight="1">
      <c r="C125" s="1950">
        <v>3</v>
      </c>
      <c r="D125" s="12" t="s">
        <v>6778</v>
      </c>
      <c r="E125" s="12"/>
      <c r="F125" s="12"/>
      <c r="G125" s="12"/>
      <c r="H125" s="12"/>
      <c r="I125" s="12"/>
      <c r="J125" s="12"/>
      <c r="K125" s="12"/>
      <c r="L125" s="12"/>
      <c r="M125" s="12"/>
      <c r="N125" s="12"/>
      <c r="O125" s="12"/>
      <c r="P125" s="12"/>
      <c r="Q125" s="12"/>
      <c r="R125" s="12"/>
      <c r="S125" s="12"/>
      <c r="T125" s="12"/>
    </row>
    <row r="126" spans="2:25" ht="12" customHeight="1">
      <c r="C126" s="110"/>
    </row>
    <row r="127" spans="2:25" ht="12" customHeight="1">
      <c r="B127" s="3" t="s">
        <v>6776</v>
      </c>
      <c r="J127" s="221"/>
      <c r="K127" s="221"/>
      <c r="L127" s="221"/>
      <c r="M127" s="221"/>
      <c r="N127" s="105"/>
      <c r="O127" s="105"/>
      <c r="P127" s="105"/>
      <c r="Q127" s="105"/>
      <c r="R127" s="105"/>
      <c r="S127" s="105"/>
      <c r="T127" s="105"/>
    </row>
    <row r="128" spans="2:25" ht="12" customHeight="1">
      <c r="C128" s="1950" t="s">
        <v>3464</v>
      </c>
      <c r="D128" s="1957" t="s">
        <v>3469</v>
      </c>
      <c r="E128" s="1957"/>
      <c r="F128" s="1957"/>
      <c r="G128" s="1957"/>
      <c r="H128" s="1957"/>
      <c r="I128" s="1957"/>
      <c r="J128" s="1957"/>
      <c r="K128" s="1957"/>
      <c r="L128" s="1957"/>
      <c r="M128" s="1957"/>
      <c r="N128" s="1957"/>
      <c r="O128" s="1957"/>
      <c r="P128" s="1957"/>
      <c r="Q128" s="1957"/>
      <c r="R128" s="1957"/>
      <c r="S128" s="1957"/>
      <c r="T128" s="1957"/>
    </row>
    <row r="129" spans="1:25" ht="12" customHeight="1">
      <c r="C129" s="4149">
        <v>1</v>
      </c>
      <c r="D129" s="4150" t="s">
        <v>6506</v>
      </c>
      <c r="E129" s="4150"/>
      <c r="F129" s="4150"/>
      <c r="G129" s="4150"/>
      <c r="H129" s="4150"/>
      <c r="I129" s="4150"/>
      <c r="J129" s="4150"/>
      <c r="K129" s="4150"/>
      <c r="L129" s="4150"/>
      <c r="M129" s="4150"/>
      <c r="N129" s="4150"/>
      <c r="O129" s="4150"/>
      <c r="P129" s="4150"/>
      <c r="Q129" s="4150"/>
      <c r="R129" s="4150"/>
      <c r="S129" s="4150"/>
      <c r="T129" s="4150"/>
    </row>
    <row r="130" spans="1:25" ht="12" customHeight="1">
      <c r="C130" s="110">
        <v>2</v>
      </c>
      <c r="D130" s="3" t="s">
        <v>5176</v>
      </c>
    </row>
    <row r="131" spans="1:25" ht="12" customHeight="1">
      <c r="C131" s="1950">
        <v>3</v>
      </c>
      <c r="D131" s="12" t="s">
        <v>6860</v>
      </c>
      <c r="E131" s="12"/>
      <c r="F131" s="12"/>
      <c r="G131" s="12"/>
      <c r="H131" s="12"/>
      <c r="I131" s="12"/>
      <c r="J131" s="12"/>
      <c r="K131" s="12"/>
      <c r="L131" s="12"/>
      <c r="M131" s="12"/>
      <c r="N131" s="12"/>
      <c r="O131" s="12"/>
      <c r="P131" s="12"/>
      <c r="Q131" s="12"/>
      <c r="R131" s="12"/>
      <c r="S131" s="12"/>
      <c r="T131" s="12"/>
      <c r="V131"/>
    </row>
    <row r="132" spans="1:25" ht="12" customHeight="1">
      <c r="C132" s="110"/>
      <c r="V132"/>
      <c r="W132"/>
      <c r="X132"/>
      <c r="Y132"/>
    </row>
    <row r="133" spans="1:25" customFormat="1" ht="12" customHeight="1">
      <c r="A133" s="20" t="s">
        <v>68</v>
      </c>
      <c r="B133" s="21" t="s">
        <v>30</v>
      </c>
      <c r="C133" s="21"/>
      <c r="D133" s="102"/>
      <c r="E133" s="102"/>
      <c r="F133" s="102"/>
      <c r="G133" s="102"/>
      <c r="H133" s="102"/>
      <c r="I133" s="102"/>
      <c r="J133" s="102"/>
      <c r="K133" s="102"/>
      <c r="L133" s="102"/>
      <c r="M133" s="102"/>
      <c r="N133" s="102"/>
      <c r="O133" s="102"/>
      <c r="P133" s="102"/>
      <c r="Q133" s="102"/>
      <c r="R133" s="102"/>
      <c r="S133" s="102"/>
      <c r="T133" s="102"/>
      <c r="U133" s="102"/>
      <c r="V133" s="102"/>
      <c r="W133" s="102"/>
      <c r="X133" s="102"/>
      <c r="Y133" s="102"/>
    </row>
    <row r="134" spans="1:25" customFormat="1" ht="12" customHeight="1">
      <c r="A134" s="1918"/>
      <c r="B134" s="555" t="s">
        <v>3505</v>
      </c>
      <c r="C134" s="555"/>
      <c r="D134" s="1919"/>
      <c r="E134" s="1919"/>
      <c r="F134" s="1919"/>
      <c r="G134" s="1919"/>
      <c r="H134" s="1919"/>
      <c r="I134" s="1919"/>
      <c r="J134" s="1919"/>
      <c r="K134" s="1919"/>
      <c r="L134" s="1919"/>
      <c r="M134" s="1919"/>
      <c r="N134" s="1919"/>
      <c r="O134" s="1919"/>
      <c r="P134" s="1919"/>
      <c r="Q134" s="1919"/>
      <c r="R134" s="1919"/>
      <c r="S134" s="1919"/>
      <c r="T134" s="1919"/>
      <c r="U134" s="1919"/>
      <c r="V134" s="1919"/>
      <c r="W134" s="1919"/>
      <c r="X134" s="1919"/>
      <c r="Y134" s="1919"/>
    </row>
    <row r="135" spans="1:25" customFormat="1" ht="12" customHeight="1">
      <c r="A135" s="1963"/>
      <c r="B135" s="1964" t="s">
        <v>3506</v>
      </c>
      <c r="C135" s="1964"/>
      <c r="D135" s="1965"/>
      <c r="E135" s="1965"/>
      <c r="F135" s="1965"/>
      <c r="G135" s="1965"/>
      <c r="H135" s="1965"/>
      <c r="I135" s="1965"/>
      <c r="J135" s="1965"/>
      <c r="K135" s="1965"/>
      <c r="L135" s="1965"/>
      <c r="M135" s="1965"/>
      <c r="N135" s="1965"/>
      <c r="O135" s="1965"/>
      <c r="P135" s="1965"/>
      <c r="Q135" s="1965"/>
      <c r="R135" s="1965"/>
      <c r="S135" s="1965"/>
      <c r="T135" s="1965"/>
      <c r="U135" s="1965"/>
      <c r="V135" s="1965"/>
      <c r="W135" s="1965"/>
      <c r="X135" s="1965"/>
      <c r="Y135" s="1965"/>
    </row>
    <row r="136" spans="1:25" customFormat="1" ht="12" customHeight="1">
      <c r="A136" s="1962"/>
      <c r="B136" s="32"/>
      <c r="C136" s="32"/>
      <c r="D136" s="3"/>
      <c r="E136" s="3"/>
      <c r="F136" s="3"/>
      <c r="G136" s="3"/>
      <c r="H136" s="3"/>
      <c r="I136" s="3"/>
      <c r="J136" s="3"/>
      <c r="K136" s="3"/>
      <c r="L136" s="3"/>
      <c r="M136" s="3"/>
      <c r="N136" s="3"/>
      <c r="O136" s="3"/>
      <c r="P136" s="3"/>
      <c r="Q136" s="3"/>
      <c r="R136" s="3"/>
      <c r="S136" s="3"/>
      <c r="T136" s="3"/>
      <c r="V136" s="3"/>
      <c r="W136" s="3"/>
      <c r="X136" s="3"/>
      <c r="Y136" s="3"/>
    </row>
    <row r="137" spans="1:25" ht="12" customHeight="1">
      <c r="B137" s="203" t="s">
        <v>1350</v>
      </c>
      <c r="C137" s="203"/>
    </row>
    <row r="138" spans="1:25" ht="12" customHeight="1">
      <c r="B138" s="24"/>
      <c r="C138" s="24"/>
      <c r="D138" s="24"/>
      <c r="E138" s="24"/>
      <c r="F138" s="24"/>
      <c r="G138" s="24"/>
      <c r="H138" s="24"/>
      <c r="I138" s="24"/>
      <c r="J138" s="25" t="s">
        <v>23</v>
      </c>
      <c r="K138" s="26"/>
      <c r="L138" s="26"/>
      <c r="M138" s="27"/>
      <c r="N138" s="26" t="s">
        <v>24</v>
      </c>
      <c r="O138" s="26"/>
      <c r="P138" s="26"/>
      <c r="Q138" s="26"/>
      <c r="R138" s="26"/>
      <c r="S138" s="26"/>
      <c r="T138" s="26"/>
      <c r="V138" s="2041" t="s">
        <v>3650</v>
      </c>
      <c r="W138" s="2041"/>
      <c r="X138" s="2041"/>
      <c r="Y138" s="2041"/>
    </row>
    <row r="139" spans="1:25" ht="12" customHeight="1" thickBot="1">
      <c r="B139" s="28"/>
      <c r="C139" s="28"/>
      <c r="D139" s="28"/>
      <c r="E139" s="1949" t="s">
        <v>2889</v>
      </c>
      <c r="F139" s="1949" t="s">
        <v>3464</v>
      </c>
      <c r="G139" s="28"/>
      <c r="H139" s="28"/>
      <c r="I139" s="28"/>
      <c r="J139" s="29" t="s">
        <v>69</v>
      </c>
      <c r="K139" s="30" t="s">
        <v>27</v>
      </c>
      <c r="L139" s="30" t="s">
        <v>60</v>
      </c>
      <c r="M139" s="31" t="s">
        <v>5104</v>
      </c>
      <c r="N139" s="30" t="s">
        <v>5174</v>
      </c>
      <c r="O139" s="30" t="s">
        <v>70</v>
      </c>
      <c r="P139" s="30" t="s">
        <v>71</v>
      </c>
      <c r="Q139" s="30" t="s">
        <v>72</v>
      </c>
      <c r="R139" s="30" t="s">
        <v>73</v>
      </c>
      <c r="S139" s="30" t="s">
        <v>74</v>
      </c>
      <c r="T139" s="30" t="s">
        <v>5102</v>
      </c>
      <c r="V139" s="290" t="s">
        <v>3651</v>
      </c>
      <c r="W139" s="290" t="s">
        <v>3652</v>
      </c>
      <c r="X139" s="290" t="s">
        <v>3653</v>
      </c>
      <c r="Y139" s="290" t="s">
        <v>3740</v>
      </c>
    </row>
    <row r="140" spans="1:25" ht="12" customHeight="1" thickBot="1">
      <c r="B140" s="295" t="s">
        <v>1348</v>
      </c>
      <c r="C140" s="295"/>
      <c r="D140" s="295"/>
      <c r="E140" s="1960" t="s">
        <v>3462</v>
      </c>
      <c r="F140" s="4402">
        <f>IF(F9="Base",2,1)</f>
        <v>2</v>
      </c>
      <c r="G140" s="1961" t="str">
        <f>VLOOKUP(F140,$C$145:$D$148,2,FALSE)</f>
        <v>CDD 추정치 준용(2025년 82 USD/ton 수준 도달 후 2026년 77 USD/ton 수준으로 하락)</v>
      </c>
      <c r="H140" s="295"/>
      <c r="I140" s="295"/>
      <c r="J140" s="352">
        <f>원료지표!O48</f>
        <v>87</v>
      </c>
      <c r="K140" s="353">
        <f>원료지표!O47</f>
        <v>80.8</v>
      </c>
      <c r="L140" s="353">
        <f>원료지표!O46</f>
        <v>62</v>
      </c>
      <c r="M140" s="2099">
        <f>원료지표!O45</f>
        <v>59.5</v>
      </c>
      <c r="N140" s="2098">
        <f>M140</f>
        <v>59.5</v>
      </c>
      <c r="O140" s="2098">
        <f>N140</f>
        <v>59.5</v>
      </c>
      <c r="P140" s="2098">
        <f>CHOOSE($F$140,O140,CDD추정치!K56,O140+(AVERAGE($J$140)-$O$140)/5,P148)</f>
        <v>65</v>
      </c>
      <c r="Q140" s="2098">
        <f>CHOOSE($F$140,P140,CDD추정치!L56,P140+(AVERAGE($J$140)-$O$140)/5,Q148)</f>
        <v>69</v>
      </c>
      <c r="R140" s="2098">
        <f>CHOOSE($F$140,Q140,CDD추정치!M56,Q140+(AVERAGE($J$140)-$O$140)/5,R148)</f>
        <v>77</v>
      </c>
      <c r="S140" s="2098">
        <f>CHOOSE($F$140,R140,CDD추정치!N56,R140+(AVERAGE($J$140)-$O$140)/5,S148)</f>
        <v>82</v>
      </c>
      <c r="T140" s="2098">
        <f>CHOOSE($F$140,S140,CDD추정치!O56,S140+(AVERAGE($J$140)-$O$140)/5,T148)</f>
        <v>77.099999999999994</v>
      </c>
      <c r="U140" s="289"/>
      <c r="V140" s="1950">
        <v>3</v>
      </c>
      <c r="W140" s="1950">
        <v>2</v>
      </c>
      <c r="X140" s="1950">
        <v>1</v>
      </c>
      <c r="Y140" s="1960" t="str">
        <f>INDEX($V$139:$X$139,1,MATCH($F140,$V140:$X140,0))</f>
        <v>Base</v>
      </c>
    </row>
    <row r="141" spans="1:25" ht="12" customHeight="1">
      <c r="B141" s="1953" t="s">
        <v>351</v>
      </c>
      <c r="J141" s="221"/>
      <c r="K141" s="221"/>
      <c r="L141" s="221"/>
      <c r="M141" s="221"/>
      <c r="N141" s="105"/>
      <c r="O141" s="105"/>
      <c r="P141" s="105">
        <f>AVERAGE(P140:T140)</f>
        <v>74.02000000000001</v>
      </c>
      <c r="Q141" s="105"/>
      <c r="R141" s="105"/>
      <c r="S141" s="105"/>
      <c r="T141" s="105"/>
    </row>
    <row r="142" spans="1:25" ht="12" customHeight="1">
      <c r="B142" s="3" t="s">
        <v>3488</v>
      </c>
      <c r="J142" s="221"/>
      <c r="K142" s="221"/>
      <c r="L142" s="221"/>
      <c r="M142" s="221"/>
      <c r="N142" s="105"/>
      <c r="O142" s="105"/>
      <c r="P142" s="105"/>
      <c r="Q142" s="105"/>
      <c r="R142" s="105"/>
      <c r="S142" s="105"/>
      <c r="T142" s="105"/>
    </row>
    <row r="143" spans="1:25" ht="12" customHeight="1">
      <c r="B143" s="3" t="s">
        <v>3489</v>
      </c>
      <c r="J143" s="221"/>
      <c r="K143" s="221"/>
      <c r="L143" s="221"/>
      <c r="M143" s="221"/>
      <c r="N143" s="105"/>
      <c r="O143" s="105"/>
      <c r="P143" s="105"/>
      <c r="Q143" s="105"/>
      <c r="R143" s="105"/>
      <c r="S143" s="105"/>
      <c r="T143" s="105"/>
    </row>
    <row r="144" spans="1:25" ht="12" customHeight="1">
      <c r="C144" s="1950" t="s">
        <v>3464</v>
      </c>
      <c r="D144" s="1957" t="s">
        <v>3469</v>
      </c>
      <c r="E144" s="1957"/>
      <c r="F144" s="1957"/>
      <c r="G144" s="1957"/>
      <c r="H144" s="1957"/>
      <c r="I144" s="1957"/>
      <c r="J144" s="1957"/>
      <c r="K144" s="1957"/>
      <c r="L144" s="1957"/>
      <c r="M144" s="1957"/>
      <c r="N144" s="1957"/>
      <c r="O144" s="1957"/>
      <c r="P144" s="1957"/>
      <c r="Q144" s="1957"/>
      <c r="R144" s="1957"/>
      <c r="S144" s="1957"/>
      <c r="T144" s="1957"/>
    </row>
    <row r="145" spans="2:25" ht="12" customHeight="1">
      <c r="C145" s="1958">
        <v>1</v>
      </c>
      <c r="D145" s="302" t="s">
        <v>3490</v>
      </c>
      <c r="E145" s="302"/>
      <c r="F145" s="302"/>
      <c r="G145" s="302"/>
      <c r="H145" s="302"/>
      <c r="I145" s="302"/>
      <c r="J145" s="302"/>
      <c r="K145" s="302"/>
      <c r="L145" s="302"/>
      <c r="M145" s="302"/>
      <c r="N145" s="302"/>
      <c r="O145" s="302"/>
      <c r="P145" s="302"/>
      <c r="Q145" s="302"/>
      <c r="R145" s="302"/>
      <c r="S145" s="302"/>
      <c r="T145" s="302"/>
    </row>
    <row r="146" spans="2:25" ht="12" customHeight="1">
      <c r="C146" s="110">
        <v>2</v>
      </c>
      <c r="D146" s="3" t="s">
        <v>6725</v>
      </c>
    </row>
    <row r="147" spans="2:25" ht="12" customHeight="1">
      <c r="C147" s="110">
        <v>3</v>
      </c>
      <c r="D147" s="3" t="s">
        <v>6726</v>
      </c>
    </row>
    <row r="148" spans="2:25" ht="12" customHeight="1">
      <c r="C148" s="1950">
        <v>4</v>
      </c>
      <c r="D148" s="12" t="s">
        <v>10983</v>
      </c>
      <c r="E148" s="12"/>
      <c r="F148" s="12"/>
      <c r="G148" s="12"/>
      <c r="H148" s="12"/>
      <c r="I148" s="12"/>
      <c r="J148" s="12"/>
      <c r="K148" s="12"/>
      <c r="L148" s="12"/>
      <c r="M148" s="12"/>
      <c r="N148" s="4685"/>
      <c r="O148" s="4685"/>
      <c r="P148" s="4685">
        <v>65</v>
      </c>
      <c r="Q148" s="4685">
        <v>65.802463752316584</v>
      </c>
      <c r="R148" s="4685">
        <v>68.239997819688213</v>
      </c>
      <c r="S148" s="4685">
        <v>70.991551291834739</v>
      </c>
      <c r="T148" s="4685">
        <v>69.848920745666632</v>
      </c>
    </row>
    <row r="150" spans="2:25" ht="12" customHeight="1">
      <c r="B150" s="32" t="s">
        <v>1351</v>
      </c>
      <c r="C150" s="32"/>
    </row>
    <row r="151" spans="2:25" ht="12" customHeight="1">
      <c r="B151" s="24"/>
      <c r="C151" s="24"/>
      <c r="D151" s="24"/>
      <c r="E151" s="24"/>
      <c r="F151" s="24"/>
      <c r="G151" s="24"/>
      <c r="H151" s="24"/>
      <c r="I151" s="24"/>
      <c r="J151" s="25" t="s">
        <v>23</v>
      </c>
      <c r="K151" s="26"/>
      <c r="L151" s="26"/>
      <c r="M151" s="27"/>
      <c r="N151" s="26" t="s">
        <v>24</v>
      </c>
      <c r="O151" s="26"/>
      <c r="P151" s="26"/>
      <c r="Q151" s="26"/>
      <c r="R151" s="26"/>
      <c r="S151" s="26"/>
      <c r="T151" s="26"/>
      <c r="V151" s="2041" t="s">
        <v>3650</v>
      </c>
      <c r="W151" s="2041"/>
      <c r="X151" s="2041"/>
      <c r="Y151" s="2041"/>
    </row>
    <row r="152" spans="2:25" ht="12" customHeight="1" thickBot="1">
      <c r="B152" s="28"/>
      <c r="C152" s="28"/>
      <c r="D152" s="28"/>
      <c r="E152" s="1949" t="s">
        <v>2889</v>
      </c>
      <c r="F152" s="1949" t="s">
        <v>3464</v>
      </c>
      <c r="G152" s="28"/>
      <c r="H152" s="28"/>
      <c r="I152" s="28"/>
      <c r="J152" s="29" t="s">
        <v>69</v>
      </c>
      <c r="K152" s="30" t="s">
        <v>27</v>
      </c>
      <c r="L152" s="30" t="s">
        <v>60</v>
      </c>
      <c r="M152" s="31" t="s">
        <v>5104</v>
      </c>
      <c r="N152" s="30" t="s">
        <v>5174</v>
      </c>
      <c r="O152" s="30" t="s">
        <v>70</v>
      </c>
      <c r="P152" s="30" t="s">
        <v>71</v>
      </c>
      <c r="Q152" s="30" t="s">
        <v>72</v>
      </c>
      <c r="R152" s="30" t="s">
        <v>73</v>
      </c>
      <c r="S152" s="30" t="s">
        <v>74</v>
      </c>
      <c r="T152" s="30" t="s">
        <v>5102</v>
      </c>
      <c r="V152" s="290" t="s">
        <v>3651</v>
      </c>
      <c r="W152" s="290" t="s">
        <v>3652</v>
      </c>
      <c r="X152" s="290" t="s">
        <v>3653</v>
      </c>
      <c r="Y152" s="290" t="s">
        <v>3740</v>
      </c>
    </row>
    <row r="153" spans="2:25" ht="12" customHeight="1" thickBot="1">
      <c r="B153" s="3" t="s">
        <v>258</v>
      </c>
      <c r="E153" s="110" t="s">
        <v>3462</v>
      </c>
      <c r="F153" s="4404">
        <f>IF($D$5="Stress",1,IF(F9="Base",4,1))</f>
        <v>4</v>
      </c>
      <c r="G153" s="289" t="str">
        <f>VLOOKUP(F153,$C$162:$D$167,2,FALSE)</f>
        <v>CDD 추정치 준용</v>
      </c>
      <c r="J153" s="220">
        <f>HLOOKUP(J$152,주요지표_New!$O$43:$T$48,MATCH($B153,주요지표_New!$L$43:$L$48,0),0)</f>
        <v>489.77409205557143</v>
      </c>
      <c r="K153" s="221">
        <f>HLOOKUP(K$152,주요지표_New!$O$43:$T$48,MATCH($B153,주요지표_New!$L$43:$L$48,0),0)</f>
        <v>439.7734880380566</v>
      </c>
      <c r="L153" s="221">
        <f>HLOOKUP(L$152,주요지표_New!$O$43:$T$48,MATCH($B153,주요지표_New!$L$43:$L$48,0),0)</f>
        <v>408.48226674186498</v>
      </c>
      <c r="M153" s="222">
        <f>HLOOKUP(M$152,주요지표_New!$O$43:$T$48,MATCH($B153,주요지표_New!$L$43:$L$48,0),0)</f>
        <v>391.82277667618479</v>
      </c>
      <c r="N153" s="105">
        <f>CHOOSE($F153,$M153,N$140*$M153/$M$140,N$140*AVERAGE($J153/$J$140,$K153/$K$140,$L153/$L$140,$M153/$M$140),HLOOKUP(N$152,CDD추정치!$E$64:$K$69,MATCH($B153,CDD추정치!$C$64:$C$69,0),0),M153,N167)</f>
        <v>391.82277667618479</v>
      </c>
      <c r="O153" s="320">
        <f>(M153*3+N153)/4</f>
        <v>391.82277667618479</v>
      </c>
      <c r="P153" s="320">
        <f>CHOOSE($F153,$M153,P$140*$M153/$M$140,P$140*AVERAGE($J153/$J$140,$K153/$K$140,$L153/$L$140,$M153/$M$140),HLOOKUP(P$152,CDD추정치!$E$64:$K$69,MATCH($B153,CDD추정치!$C$64:$C$69,0),0),원료지표!R61,P167)</f>
        <v>428.04168880591618</v>
      </c>
      <c r="Q153" s="320">
        <f>CHOOSE($F153,$M153,Q$140*$M153/$M$140,Q$140*AVERAGE($J153/$J$140,$K153/$K$140,$L153/$L$140,$M153/$M$140),HLOOKUP(Q$152,CDD추정치!$E$64:$K$69,MATCH($B153,CDD추정치!$C$64:$C$69,0),0),원료지표!S61,Q167)</f>
        <v>454.38271580935714</v>
      </c>
      <c r="R153" s="320">
        <f>CHOOSE($F153,$M153,R$140*$M153/$M$140,R$140*AVERAGE($J153/$J$140,$K153/$K$140,$L153/$L$140,$M153/$M$140),HLOOKUP(R$152,CDD추정치!$E$64:$K$69,MATCH($B153,CDD추정치!$C$64:$C$69,0),0),원료지표!T61,R167)</f>
        <v>507.06476981623911</v>
      </c>
      <c r="S153" s="320">
        <f>CHOOSE($F153,$M153,S$140*$M153/$M$140,S$140*AVERAGE($J153/$J$140,$K153/$K$140,$L153/$L$140,$M153/$M$140),HLOOKUP(S$152,CDD추정치!$E$64:$K$69,MATCH($B153,CDD추정치!$C$64:$C$69,0),0),원료지표!U61,S167)</f>
        <v>539.99105357054032</v>
      </c>
      <c r="T153" s="320">
        <f>CHOOSE($F153,$M153,T$140*$M153/$M$140,T$140*AVERAGE($J153/$J$140,$K153/$K$140,$L153/$L$140,$M153/$M$140),HLOOKUP(T$152,CDD추정치!$E$64:$K$69,MATCH($B153,CDD추정치!$C$64:$C$69,0),0),원료지표!V61,T167)</f>
        <v>507.72329549132513</v>
      </c>
      <c r="U153" s="289"/>
      <c r="V153" s="110"/>
      <c r="W153" s="110">
        <v>4</v>
      </c>
      <c r="X153" s="110">
        <v>1</v>
      </c>
      <c r="Y153" s="110" t="str">
        <f t="shared" ref="Y153:Y157" si="13">INDEX($V$152:$X$152,1,MATCH($F153,$V153:$X153,0))</f>
        <v>Base</v>
      </c>
    </row>
    <row r="154" spans="2:25" ht="12" customHeight="1" thickBot="1">
      <c r="B154" s="3" t="s">
        <v>262</v>
      </c>
      <c r="E154" s="110" t="s">
        <v>3463</v>
      </c>
      <c r="F154" s="3005">
        <v>4</v>
      </c>
      <c r="G154" s="289" t="str">
        <f>VLOOKUP(F154,$C$162:$D$166,2,FALSE)</f>
        <v>CDD 추정치 준용</v>
      </c>
      <c r="J154" s="220">
        <f>HLOOKUP(J$152,주요지표_New!$O$43:$T$48,MATCH($B154,주요지표_New!$L$43:$L$48,0),0)</f>
        <v>492.67754937283081</v>
      </c>
      <c r="K154" s="221">
        <f>HLOOKUP(K$152,주요지표_New!$O$43:$T$48,MATCH($B154,주요지표_New!$L$43:$L$48,0),0)</f>
        <v>402.28597415294809</v>
      </c>
      <c r="L154" s="221">
        <f>HLOOKUP(L$152,주요지표_New!$O$43:$T$48,MATCH($B154,주요지표_New!$L$43:$L$48,0),0)</f>
        <v>506.75154900477162</v>
      </c>
      <c r="M154" s="222">
        <f>HLOOKUP(M$152,주요지표_New!$O$43:$T$48,MATCH($B154,주요지표_New!$L$43:$L$48,0),0)</f>
        <v>529.72101379416165</v>
      </c>
      <c r="N154" s="105">
        <f>CHOOSE($F154,$M154,N$140*$M154/$M$140,N$140*AVERAGE($J154/$J$140,$K154/$K$140,$L154/$L$140,$M154/$M$140),HLOOKUP(N$152,CDD추정치!$E$64:$K$69,MATCH($B154,CDD추정치!$C$64:$C$69,0),0),M154)</f>
        <v>529.72101379416165</v>
      </c>
      <c r="O154" s="320">
        <f t="shared" ref="O154:O157" si="14">(M154*3+N154)/4</f>
        <v>529.72101379416165</v>
      </c>
      <c r="P154" s="320">
        <f>CHOOSE($F154,$M154,P$140*$M154/$M$140,P$140*AVERAGE($J154/$J$140,$K154/$K$140,$L154/$L$140,$M154/$M$140),HLOOKUP(P$152,CDD추정치!$E$64:$K$69,MATCH($B154,CDD추정치!$C$64:$C$69,0),0),원료지표!R70)</f>
        <v>585.14358754902923</v>
      </c>
      <c r="Q154" s="320">
        <f>CHOOSE($F154,$M154,Q$140*$M154/$M$140,Q$140*AVERAGE($J154/$J$140,$K154/$K$140,$L154/$L$140,$M154/$M$140),HLOOKUP(Q$152,CDD추정치!$E$64:$K$69,MATCH($B154,CDD추정치!$C$64:$C$69,0),0),원료지표!S70)</f>
        <v>585.14358754902923</v>
      </c>
      <c r="R154" s="320">
        <f>CHOOSE($F154,$M154,R$140*$M154/$M$140,R$140*AVERAGE($J154/$J$140,$K154/$K$140,$L154/$L$140,$M154/$M$140),HLOOKUP(R$152,CDD추정치!$E$64:$K$69,MATCH($B154,CDD추정치!$C$64:$C$69,0),0),원료지표!T70)</f>
        <v>614.07925946079445</v>
      </c>
      <c r="S154" s="320">
        <f>CHOOSE($F154,$M154,S$140*$M154/$M$140,S$140*AVERAGE($J154/$J$140,$K154/$K$140,$L154/$L$140,$M154/$M$140),HLOOKUP(S$152,CDD추정치!$E$64:$K$69,MATCH($B154,CDD추정치!$C$64:$C$69,0),0),원료지표!U70)</f>
        <v>594.78881151961764</v>
      </c>
      <c r="T154" s="320">
        <f>CHOOSE($F154,$M154,T$140*$M154/$M$140,T$140*AVERAGE($J154/$J$140,$K154/$K$140,$L154/$L$140,$M154/$M$140),HLOOKUP(T$152,CDD추정치!$E$64:$K$69,MATCH($B154,CDD추정치!$C$64:$C$69,0),0),원료지표!V70)</f>
        <v>594.78881151961764</v>
      </c>
      <c r="U154" s="289"/>
      <c r="V154" s="110"/>
      <c r="W154" s="110">
        <v>4</v>
      </c>
      <c r="X154" s="110"/>
      <c r="Y154" s="110" t="str">
        <f t="shared" si="13"/>
        <v>Base</v>
      </c>
    </row>
    <row r="155" spans="2:25" ht="12" customHeight="1" thickBot="1">
      <c r="B155" s="3" t="s">
        <v>264</v>
      </c>
      <c r="E155" s="110" t="s">
        <v>3463</v>
      </c>
      <c r="F155" s="3005">
        <v>4</v>
      </c>
      <c r="G155" s="289" t="str">
        <f>VLOOKUP(F155,$C$162:$D$166,2,FALSE)</f>
        <v>CDD 추정치 준용</v>
      </c>
      <c r="J155" s="3597">
        <f>HLOOKUP(J$152,주요지표_New!$O$43:$T$48,MATCH($B155,주요지표_New!$L$43:$L$48,0),0)</f>
        <v>16.981757228173176</v>
      </c>
      <c r="K155" s="3598">
        <f>HLOOKUP(K$152,주요지표_New!$O$43:$T$48,MATCH($B155,주요지표_New!$L$43:$L$48,0),0)</f>
        <v>17.2113354489213</v>
      </c>
      <c r="L155" s="3598">
        <f>HLOOKUP(L$152,주요지표_New!$O$43:$T$48,MATCH($B155,주요지표_New!$L$43:$L$48,0),0)</f>
        <v>17.179643647915732</v>
      </c>
      <c r="M155" s="3599">
        <f>HLOOKUP(M$152,주요지표_New!$O$43:$T$48,MATCH($B155,주요지표_New!$L$43:$L$48,0),0)</f>
        <v>17.434539373440931</v>
      </c>
      <c r="N155" s="3021">
        <f>CHOOSE($F155,$M155,N$140*$M155/$M$140,N$140*AVERAGE($J155/$J$140,$K155/$K$140,$L155/$L$140,$M155/$M$140),HLOOKUP(N$152,CDD추정치!$E$64:$K$69,MATCH($B155,CDD추정치!$C$64:$C$69,0),0),M155)</f>
        <v>17.434539373440931</v>
      </c>
      <c r="O155" s="3022">
        <f t="shared" si="14"/>
        <v>17.434539373440931</v>
      </c>
      <c r="P155" s="3022">
        <f>CHOOSE($F155,$M155,P$140*$M155/$M$140,P$140*AVERAGE($J155/$J$140,$K155/$K$140,$L155/$L$140,$M155/$M$140),HLOOKUP(P$152,CDD추정치!$E$64:$K$69,MATCH($B155,CDD추정치!$C$64:$C$69,0),0),원료지표!R71)</f>
        <v>16.07537328431399</v>
      </c>
      <c r="Q155" s="3022">
        <f>CHOOSE($F155,$M155,Q$140*$M155/$M$140,Q$140*AVERAGE($J155/$J$140,$K155/$K$140,$L155/$L$140,$M155/$M$140),HLOOKUP(Q$152,CDD추정치!$E$64:$K$69,MATCH($B155,CDD추정치!$C$64:$C$69,0),0),원료지표!S71)</f>
        <v>16.07537328431399</v>
      </c>
      <c r="R155" s="3022">
        <f>CHOOSE($F155,$M155,R$140*$M155/$M$140,R$140*AVERAGE($J155/$J$140,$K155/$K$140,$L155/$L$140,$M155/$M$140),HLOOKUP(R$152,CDD추정치!$E$64:$K$69,MATCH($B155,CDD추정치!$C$64:$C$69,0),0),원료지표!T71)</f>
        <v>16.07537328431399</v>
      </c>
      <c r="S155" s="3022">
        <f>CHOOSE($F155,$M155,S$140*$M155/$M$140,S$140*AVERAGE($J155/$J$140,$K155/$K$140,$L155/$L$140,$M155/$M$140),HLOOKUP(S$152,CDD추정치!$E$64:$K$69,MATCH($B155,CDD추정치!$C$64:$C$69,0),0),원료지표!U71)</f>
        <v>16.07537328431399</v>
      </c>
      <c r="T155" s="3022">
        <f>CHOOSE($F155,$M155,T$140*$M155/$M$140,T$140*AVERAGE($J155/$J$140,$K155/$K$140,$L155/$L$140,$M155/$M$140),HLOOKUP(T$152,CDD추정치!$E$64:$K$69,MATCH($B155,CDD추정치!$C$64:$C$69,0),0),원료지표!V71)</f>
        <v>16.07537328431399</v>
      </c>
      <c r="U155" s="289"/>
      <c r="V155" s="110"/>
      <c r="W155" s="110">
        <v>4</v>
      </c>
      <c r="X155" s="110"/>
      <c r="Y155" s="110" t="str">
        <f t="shared" si="13"/>
        <v>Base</v>
      </c>
    </row>
    <row r="156" spans="2:25" ht="12" customHeight="1" thickBot="1">
      <c r="B156" s="3" t="s">
        <v>268</v>
      </c>
      <c r="E156" s="110" t="s">
        <v>3463</v>
      </c>
      <c r="F156" s="3005">
        <v>4</v>
      </c>
      <c r="G156" s="289" t="str">
        <f>VLOOKUP(F156,$C$162:$D$166,2,FALSE)</f>
        <v>CDD 추정치 준용</v>
      </c>
      <c r="J156" s="220">
        <f>HLOOKUP(J$152,주요지표_New!$O$43:$T$48,MATCH($B156,주요지표_New!$L$43:$L$48,0),0)</f>
        <v>903.10813016898214</v>
      </c>
      <c r="K156" s="221">
        <f>HLOOKUP(K$152,주요지표_New!$O$43:$T$48,MATCH($B156,주요지표_New!$L$43:$L$48,0),0)</f>
        <v>1232.1908351165391</v>
      </c>
      <c r="L156" s="221">
        <f>HLOOKUP(L$152,주요지표_New!$O$43:$T$48,MATCH($B156,주요지표_New!$L$43:$L$48,0),0)</f>
        <v>1499.1063625232896</v>
      </c>
      <c r="M156" s="222">
        <f>HLOOKUP(M$152,주요지표_New!$O$43:$T$48,MATCH($B156,주요지표_New!$L$43:$L$48,0),0)</f>
        <v>1742.4294357047231</v>
      </c>
      <c r="N156" s="105">
        <f>CHOOSE($F156,$M156,N$140*$M156/$M$140,N$140*AVERAGE($J156/$J$140,$K156/$K$140,$L156/$L$140,$M156/$M$140),HLOOKUP(N$152,CDD추정치!$E$64:$K$69,MATCH($B156,CDD추정치!$C$64:$C$69,0),0),M156)</f>
        <v>1742.4294357047231</v>
      </c>
      <c r="O156" s="320">
        <f t="shared" si="14"/>
        <v>1742.4294357047231</v>
      </c>
      <c r="P156" s="320">
        <f>CHOOSE($F156,$M156,P$140*$M156/$M$140,P$140*AVERAGE($J156/$J$140,$K156/$K$140,$L156/$L$140,$M156/$M$140),HLOOKUP(P$152,CDD추정치!$E$64:$K$69,MATCH($B156,CDD추정치!$C$64:$C$69,0),0))</f>
        <v>1404.6212188323987</v>
      </c>
      <c r="Q156" s="320">
        <f>CHOOSE($F156,$M156,Q$140*$M156/$M$140,Q$140*AVERAGE($J156/$J$140,$K156/$K$140,$L156/$L$140,$M156/$M$140),HLOOKUP(Q$152,CDD추정치!$E$64:$K$69,MATCH($B156,CDD추정치!$C$64:$C$69,0),0))</f>
        <v>1195.6875995977671</v>
      </c>
      <c r="R156" s="320">
        <f>CHOOSE($F156,$M156,R$140*$M156/$M$140,R$140*AVERAGE($J156/$J$140,$K156/$K$140,$L156/$L$140,$M156/$M$140),HLOOKUP(R$152,CDD추정치!$E$64:$K$69,MATCH($B156,CDD추정치!$C$64:$C$69,0),0))</f>
        <v>1159.7816285329188</v>
      </c>
      <c r="S156" s="320">
        <f>CHOOSE($F156,$M156,S$140*$M156/$M$140,S$140*AVERAGE($J156/$J$140,$K156/$K$140,$L156/$L$140,$M156/$M$140),HLOOKUP(S$152,CDD추정치!$E$64:$K$69,MATCH($B156,CDD추정치!$C$64:$C$69,0),0))</f>
        <v>1253.3634823210284</v>
      </c>
      <c r="T156" s="320">
        <f>CHOOSE($F156,$M156,T$140*$M156/$M$140,T$140*AVERAGE($J156/$J$140,$K156/$K$140,$L156/$L$140,$M156/$M$140),HLOOKUP(T$152,CDD추정치!$E$64:$K$69,MATCH($B156,CDD추정치!$C$64:$C$69,0),0))</f>
        <v>1253.3634823210284</v>
      </c>
      <c r="U156" s="289"/>
      <c r="V156" s="110"/>
      <c r="W156" s="110">
        <v>4</v>
      </c>
      <c r="X156" s="110"/>
      <c r="Y156" s="110" t="str">
        <f t="shared" si="13"/>
        <v>Base</v>
      </c>
    </row>
    <row r="157" spans="2:25" ht="12" customHeight="1" thickBot="1">
      <c r="B157" s="12" t="s">
        <v>266</v>
      </c>
      <c r="C157" s="12"/>
      <c r="D157" s="12"/>
      <c r="E157" s="1950" t="s">
        <v>3463</v>
      </c>
      <c r="F157" s="3005">
        <v>4</v>
      </c>
      <c r="G157" s="1954" t="str">
        <f>VLOOKUP(F157,$C$162:$D$166,2,FALSE)</f>
        <v>CDD 추정치 준용</v>
      </c>
      <c r="H157" s="12"/>
      <c r="I157" s="12"/>
      <c r="J157" s="223">
        <f>HLOOKUP(J$152,주요지표_New!$O$43:$T$48,MATCH($B157,주요지표_New!$L$43:$L$48,0),0)</f>
        <v>581.40935816448189</v>
      </c>
      <c r="K157" s="224">
        <f>HLOOKUP(K$152,주요지표_New!$O$43:$T$48,MATCH($B157,주요지표_New!$L$43:$L$48,0),0)</f>
        <v>510.7399398850697</v>
      </c>
      <c r="L157" s="224">
        <f>HLOOKUP(L$152,주요지표_New!$O$43:$T$48,MATCH($B157,주요지표_New!$L$43:$L$48,0),0)</f>
        <v>469.50766734194735</v>
      </c>
      <c r="M157" s="225">
        <f>HLOOKUP(M$152,주요지표_New!$O$43:$T$48,MATCH($B157,주요지표_New!$L$43:$L$48,0),0)</f>
        <v>440.69189672908044</v>
      </c>
      <c r="N157" s="107">
        <f>CHOOSE($F157,$M157,N$140*$M157/$M$140,N$140*AVERAGE($J157/$J$140,$K157/$K$140,$L157/$L$140,$M157/$M$140),HLOOKUP(N$152,CDD추정치!$E$64:$K$69,MATCH($B157,CDD추정치!$C$64:$C$69,0),0),M157)</f>
        <v>440.69189672908044</v>
      </c>
      <c r="O157" s="355">
        <f t="shared" si="14"/>
        <v>440.69189672908044</v>
      </c>
      <c r="P157" s="355">
        <f>CHOOSE($F157,$M157,P$140*$M157/$M$140,P$140*AVERAGE($J157/$J$140,$K157/$K$140,$L157/$L$140,$M157/$M$140),HLOOKUP(P$152,CDD추정치!$E$64:$K$69,MATCH($B157,CDD추정치!$C$64:$C$69,0),0))</f>
        <v>507.82720443603205</v>
      </c>
      <c r="Q157" s="355">
        <f>CHOOSE($F157,$M157,Q$140*$M157/$M$140,Q$140*AVERAGE($J157/$J$140,$K157/$K$140,$L157/$L$140,$M157/$M$140),HLOOKUP(Q$152,CDD추정치!$E$64:$K$69,MATCH($B157,CDD추정치!$C$64:$C$69,0),0))</f>
        <v>505.95767600552432</v>
      </c>
      <c r="R157" s="355">
        <f>CHOOSE($F157,$M157,R$140*$M157/$M$140,R$140*AVERAGE($J157/$J$140,$K157/$K$140,$L157/$L$140,$M157/$M$140),HLOOKUP(R$152,CDD추정치!$E$64:$K$69,MATCH($B157,CDD추정치!$C$64:$C$69,0),0))</f>
        <v>507.79399534427552</v>
      </c>
      <c r="S157" s="355">
        <f>CHOOSE($F157,$M157,S$140*$M157/$M$140,S$140*AVERAGE($J157/$J$140,$K157/$K$140,$L157/$L$140,$M157/$M$140),HLOOKUP(S$152,CDD추정치!$E$64:$K$69,MATCH($B157,CDD추정치!$C$64:$C$69,0),0))</f>
        <v>507.19295859527733</v>
      </c>
      <c r="T157" s="355">
        <f>CHOOSE($F157,$M157,T$140*$M157/$M$140,T$140*AVERAGE($J157/$J$140,$K157/$K$140,$L157/$L$140,$M157/$M$140),HLOOKUP(T$152,CDD추정치!$E$64:$K$69,MATCH($B157,CDD추정치!$C$64:$C$69,0),0))</f>
        <v>507.19295859527733</v>
      </c>
      <c r="U157" s="289"/>
      <c r="V157" s="1950"/>
      <c r="W157" s="1950">
        <v>4</v>
      </c>
      <c r="X157" s="1950"/>
      <c r="Y157" s="1950" t="str">
        <f t="shared" si="13"/>
        <v>Base</v>
      </c>
    </row>
    <row r="158" spans="2:25" ht="12" customHeight="1">
      <c r="B158" s="1953" t="s">
        <v>351</v>
      </c>
      <c r="J158" s="221"/>
      <c r="K158" s="221"/>
      <c r="L158" s="221"/>
      <c r="M158" s="221"/>
      <c r="N158" s="105"/>
      <c r="O158" s="105"/>
      <c r="P158" s="105"/>
      <c r="Q158" s="105"/>
      <c r="R158" s="105"/>
      <c r="S158" s="105"/>
      <c r="T158" s="105"/>
    </row>
    <row r="159" spans="2:25" ht="12" customHeight="1">
      <c r="B159" s="3" t="s">
        <v>3491</v>
      </c>
      <c r="J159" s="221"/>
      <c r="K159" s="221"/>
      <c r="L159" s="221"/>
      <c r="M159" s="221"/>
      <c r="N159" s="105"/>
      <c r="O159" s="105"/>
      <c r="P159" s="105"/>
      <c r="Q159" s="105"/>
      <c r="R159" s="105"/>
      <c r="S159" s="105"/>
      <c r="T159" s="105"/>
    </row>
    <row r="160" spans="2:25" ht="12" customHeight="1">
      <c r="B160" s="3" t="s">
        <v>3492</v>
      </c>
      <c r="J160" s="221"/>
      <c r="K160" s="221"/>
      <c r="L160" s="221"/>
      <c r="M160" s="221"/>
      <c r="N160" s="105"/>
      <c r="O160" s="105"/>
      <c r="P160" s="105"/>
      <c r="Q160" s="105"/>
      <c r="R160" s="105"/>
      <c r="S160" s="105"/>
      <c r="T160" s="105"/>
    </row>
    <row r="161" spans="2:25" ht="12" customHeight="1">
      <c r="C161" s="1950" t="s">
        <v>3464</v>
      </c>
      <c r="D161" s="1957" t="s">
        <v>3469</v>
      </c>
      <c r="E161" s="1957"/>
      <c r="F161" s="1957"/>
      <c r="G161" s="1957"/>
      <c r="H161" s="1957"/>
      <c r="I161" s="1957"/>
      <c r="J161" s="1957"/>
      <c r="K161" s="1957"/>
      <c r="L161" s="1957"/>
      <c r="M161" s="1957"/>
      <c r="N161" s="1957"/>
      <c r="O161" s="1957"/>
      <c r="P161" s="1957"/>
      <c r="Q161" s="1957"/>
      <c r="R161" s="1957"/>
      <c r="S161" s="1957"/>
      <c r="T161" s="1957"/>
    </row>
    <row r="162" spans="2:25" ht="12" customHeight="1">
      <c r="C162" s="1958">
        <v>1</v>
      </c>
      <c r="D162" s="302" t="s">
        <v>3493</v>
      </c>
      <c r="E162" s="302"/>
      <c r="F162" s="302"/>
      <c r="G162" s="302"/>
      <c r="H162" s="302"/>
      <c r="I162" s="302"/>
      <c r="J162" s="302"/>
      <c r="K162" s="302"/>
      <c r="L162" s="302"/>
      <c r="M162" s="302"/>
      <c r="N162" s="302"/>
      <c r="O162" s="302"/>
      <c r="P162" s="302"/>
      <c r="Q162" s="302"/>
      <c r="R162" s="302"/>
      <c r="S162" s="302"/>
      <c r="T162" s="302"/>
    </row>
    <row r="163" spans="2:25" ht="12" customHeight="1">
      <c r="C163" s="110">
        <v>2</v>
      </c>
      <c r="D163" s="3" t="s">
        <v>3494</v>
      </c>
    </row>
    <row r="164" spans="2:25" ht="12" customHeight="1">
      <c r="C164" s="110">
        <v>3</v>
      </c>
      <c r="D164" s="3" t="s">
        <v>3495</v>
      </c>
    </row>
    <row r="165" spans="2:25" ht="12" customHeight="1">
      <c r="C165" s="110">
        <v>4</v>
      </c>
      <c r="D165" s="3" t="s">
        <v>5176</v>
      </c>
    </row>
    <row r="166" spans="2:25" ht="12" customHeight="1">
      <c r="C166" s="110">
        <v>5</v>
      </c>
      <c r="D166" s="3" t="s">
        <v>6294</v>
      </c>
    </row>
    <row r="167" spans="2:25" ht="12" customHeight="1">
      <c r="C167" s="1950">
        <v>6</v>
      </c>
      <c r="D167" s="12" t="s">
        <v>10984</v>
      </c>
      <c r="E167" s="12"/>
      <c r="F167" s="12"/>
      <c r="G167" s="12"/>
      <c r="H167" s="12"/>
      <c r="I167" s="12"/>
      <c r="J167" s="12"/>
      <c r="K167" s="12"/>
      <c r="L167" s="12"/>
      <c r="M167" s="12"/>
      <c r="N167" s="107">
        <v>391.82277667618479</v>
      </c>
      <c r="O167" s="107">
        <v>391.82277667618479</v>
      </c>
      <c r="P167" s="107">
        <v>428.04168880591618</v>
      </c>
      <c r="Q167" s="107">
        <v>433.3261186481796</v>
      </c>
      <c r="R167" s="107">
        <v>449.37790632079049</v>
      </c>
      <c r="S167" s="107">
        <v>467.49759239859634</v>
      </c>
      <c r="T167" s="107">
        <v>459.97307688070367</v>
      </c>
    </row>
    <row r="169" spans="2:25" ht="12" customHeight="1">
      <c r="B169" s="32" t="s">
        <v>1365</v>
      </c>
      <c r="C169" s="32"/>
    </row>
    <row r="170" spans="2:25" ht="12" customHeight="1">
      <c r="B170" s="24"/>
      <c r="C170" s="24"/>
      <c r="D170" s="24"/>
      <c r="E170" s="24"/>
      <c r="F170" s="24"/>
      <c r="G170" s="24"/>
      <c r="H170" s="24"/>
      <c r="I170" s="24"/>
      <c r="J170" s="25" t="s">
        <v>23</v>
      </c>
      <c r="K170" s="26"/>
      <c r="L170" s="26"/>
      <c r="M170" s="27"/>
      <c r="N170" s="26" t="s">
        <v>24</v>
      </c>
      <c r="O170" s="26"/>
      <c r="P170" s="26"/>
      <c r="Q170" s="26"/>
      <c r="R170" s="26"/>
      <c r="S170" s="26"/>
      <c r="T170" s="26"/>
      <c r="V170" s="2041" t="s">
        <v>3650</v>
      </c>
      <c r="W170" s="2041"/>
      <c r="X170" s="2041"/>
      <c r="Y170" s="2041"/>
    </row>
    <row r="171" spans="2:25" ht="12" customHeight="1" thickBot="1">
      <c r="B171" s="28"/>
      <c r="C171" s="28"/>
      <c r="D171" s="28"/>
      <c r="E171" s="1949" t="s">
        <v>2889</v>
      </c>
      <c r="F171" s="1949" t="s">
        <v>3464</v>
      </c>
      <c r="G171" s="28"/>
      <c r="H171" s="28"/>
      <c r="I171" s="28"/>
      <c r="J171" s="29" t="s">
        <v>69</v>
      </c>
      <c r="K171" s="30" t="s">
        <v>27</v>
      </c>
      <c r="L171" s="30" t="s">
        <v>60</v>
      </c>
      <c r="M171" s="31" t="s">
        <v>5104</v>
      </c>
      <c r="N171" s="30" t="s">
        <v>5174</v>
      </c>
      <c r="O171" s="30" t="s">
        <v>70</v>
      </c>
      <c r="P171" s="30" t="s">
        <v>71</v>
      </c>
      <c r="Q171" s="30" t="s">
        <v>72</v>
      </c>
      <c r="R171" s="30" t="s">
        <v>73</v>
      </c>
      <c r="S171" s="30" t="s">
        <v>74</v>
      </c>
      <c r="T171" s="30" t="s">
        <v>5102</v>
      </c>
      <c r="V171" s="290" t="s">
        <v>3651</v>
      </c>
      <c r="W171" s="290" t="s">
        <v>3652</v>
      </c>
      <c r="X171" s="290" t="s">
        <v>3653</v>
      </c>
      <c r="Y171" s="290" t="s">
        <v>3740</v>
      </c>
    </row>
    <row r="172" spans="2:25" ht="12" customHeight="1" thickBot="1">
      <c r="B172" s="3" t="s">
        <v>5587</v>
      </c>
      <c r="E172" s="110" t="s">
        <v>2702</v>
      </c>
      <c r="F172" s="291">
        <v>1</v>
      </c>
      <c r="G172" s="289" t="str">
        <f>VLOOKUP(F172,$C$183:$D$184,2,FALSE)</f>
        <v>현재 수준의 재료비율 유지 가정</v>
      </c>
      <c r="J172" s="284">
        <f>COGS!J98</f>
        <v>3.3015809444772656E-2</v>
      </c>
      <c r="K172" s="285">
        <f>COGS!K98</f>
        <v>8.5759752590821289E-2</v>
      </c>
      <c r="L172" s="2483">
        <f>COGS!L98</f>
        <v>6.8853904107728084E-2</v>
      </c>
      <c r="M172" s="2484">
        <f>COGS!M98</f>
        <v>0.10902154229884148</v>
      </c>
      <c r="N172" s="373">
        <f>CHOOSE($F$172,M172,M172)</f>
        <v>0.10902154229884148</v>
      </c>
      <c r="O172" s="373">
        <f>COGS!O98</f>
        <v>0.10902154229884148</v>
      </c>
      <c r="P172" s="373">
        <f>CHOOSE($F$172,$M$172,AVERAGE($J$172:$M$172))</f>
        <v>0.10902154229884148</v>
      </c>
      <c r="Q172" s="373">
        <f t="shared" ref="Q172:T172" si="15">CHOOSE($F$172,$M$172,AVERAGE($J$172:$M$172))</f>
        <v>0.10902154229884148</v>
      </c>
      <c r="R172" s="373">
        <f t="shared" si="15"/>
        <v>0.10902154229884148</v>
      </c>
      <c r="S172" s="373">
        <f t="shared" si="15"/>
        <v>0.10902154229884148</v>
      </c>
      <c r="T172" s="373">
        <f t="shared" si="15"/>
        <v>0.10902154229884148</v>
      </c>
      <c r="U172" s="289"/>
      <c r="V172" s="110"/>
      <c r="W172" s="110">
        <v>1</v>
      </c>
      <c r="X172" s="110"/>
      <c r="Y172" s="110" t="str">
        <f>INDEX($V$171:$X$171,1,MATCH($F172,$V172:$X172,0))</f>
        <v>Base</v>
      </c>
    </row>
    <row r="173" spans="2:25" ht="12" customHeight="1">
      <c r="B173" s="3" t="s">
        <v>244</v>
      </c>
      <c r="E173" s="110" t="s">
        <v>360</v>
      </c>
      <c r="G173" s="289" t="s">
        <v>4734</v>
      </c>
      <c r="J173" s="286">
        <f>COGS!J100</f>
        <v>-1.6664945342890037E-7</v>
      </c>
      <c r="K173" s="246">
        <f>COGS!K100</f>
        <v>0</v>
      </c>
      <c r="L173" s="2485">
        <f>COGS!L100</f>
        <v>0</v>
      </c>
      <c r="M173" s="2486">
        <f>COGS!M100</f>
        <v>1.3188934633681138E-2</v>
      </c>
      <c r="N173" s="373">
        <v>0</v>
      </c>
      <c r="O173" s="373">
        <f>COGS!O100</f>
        <v>9.8831517775702198E-3</v>
      </c>
      <c r="P173" s="373">
        <v>0</v>
      </c>
      <c r="Q173" s="373">
        <v>0</v>
      </c>
      <c r="R173" s="373">
        <v>0</v>
      </c>
      <c r="S173" s="373">
        <v>0</v>
      </c>
      <c r="T173" s="373">
        <v>0</v>
      </c>
      <c r="U173" s="289"/>
      <c r="V173" s="110"/>
      <c r="W173" s="110"/>
      <c r="X173" s="110"/>
      <c r="Y173" s="110"/>
    </row>
    <row r="174" spans="2:25" ht="12" customHeight="1">
      <c r="B174" s="3" t="s">
        <v>1366</v>
      </c>
      <c r="E174" s="110" t="s">
        <v>2702</v>
      </c>
      <c r="G174" s="289" t="s">
        <v>4734</v>
      </c>
      <c r="J174" s="286">
        <f>COGS!J102</f>
        <v>2.913183060898485E-2</v>
      </c>
      <c r="K174" s="246">
        <f>COGS!K102</f>
        <v>1.4892360683935076E-2</v>
      </c>
      <c r="L174" s="2485">
        <f>COGS!L102</f>
        <v>6.4060330794592007E-3</v>
      </c>
      <c r="M174" s="2486">
        <f>COGS!M102</f>
        <v>3.662498461534421E-4</v>
      </c>
      <c r="N174" s="2489">
        <v>0</v>
      </c>
      <c r="O174" s="373">
        <f>COGS!O102</f>
        <v>2.5561533708159576E-4</v>
      </c>
      <c r="P174" s="2489">
        <v>0</v>
      </c>
      <c r="Q174" s="2489">
        <v>0</v>
      </c>
      <c r="R174" s="2489">
        <v>0</v>
      </c>
      <c r="S174" s="2489">
        <v>0</v>
      </c>
      <c r="T174" s="2489">
        <v>0</v>
      </c>
      <c r="U174" s="289"/>
      <c r="V174" s="110"/>
      <c r="W174" s="110"/>
      <c r="X174" s="110"/>
      <c r="Y174" s="110"/>
    </row>
    <row r="175" spans="2:25" ht="12" customHeight="1" thickBot="1">
      <c r="B175" s="3" t="s">
        <v>260</v>
      </c>
      <c r="E175" s="110" t="s">
        <v>2702</v>
      </c>
      <c r="G175" s="289" t="s">
        <v>4734</v>
      </c>
      <c r="J175" s="286">
        <f>COGS!J104</f>
        <v>0</v>
      </c>
      <c r="K175" s="246">
        <f>COGS!K104</f>
        <v>0</v>
      </c>
      <c r="L175" s="2485">
        <f>COGS!L104</f>
        <v>0</v>
      </c>
      <c r="M175" s="2486">
        <f>COGS!M104</f>
        <v>0</v>
      </c>
      <c r="N175" s="2489">
        <v>0</v>
      </c>
      <c r="O175" s="2489">
        <f>COGS!O104</f>
        <v>0</v>
      </c>
      <c r="P175" s="2489">
        <v>0</v>
      </c>
      <c r="Q175" s="2489">
        <v>0</v>
      </c>
      <c r="R175" s="2489">
        <v>0</v>
      </c>
      <c r="S175" s="2489">
        <v>0</v>
      </c>
      <c r="T175" s="2489">
        <v>0</v>
      </c>
      <c r="U175" s="289"/>
      <c r="V175" s="110"/>
      <c r="W175" s="110"/>
      <c r="X175" s="110"/>
      <c r="Y175" s="110"/>
    </row>
    <row r="176" spans="2:25" ht="12" customHeight="1" thickBot="1">
      <c r="B176" s="3" t="s">
        <v>327</v>
      </c>
      <c r="E176" s="110" t="s">
        <v>2702</v>
      </c>
      <c r="F176" s="291">
        <v>1</v>
      </c>
      <c r="G176" s="289" t="str">
        <f>VLOOKUP(F176,$C$183:$D$184,2,FALSE)</f>
        <v>현재 수준의 재료비율 유지 가정</v>
      </c>
      <c r="J176" s="286">
        <f>COGS!J106</f>
        <v>1.0301592860193052</v>
      </c>
      <c r="K176" s="246">
        <f>COGS!K106</f>
        <v>0.90498900500462842</v>
      </c>
      <c r="L176" s="2485">
        <f>COGS!L106</f>
        <v>0.91782564549397838</v>
      </c>
      <c r="M176" s="2486">
        <f>COGS!M106</f>
        <v>0.94230752442504107</v>
      </c>
      <c r="N176" s="373">
        <f t="shared" ref="N176:N178" si="16">M176</f>
        <v>0.94230752442504107</v>
      </c>
      <c r="O176" s="373">
        <f>COGS!O106</f>
        <v>0.94230752442504107</v>
      </c>
      <c r="P176" s="373">
        <f t="shared" ref="P176:T178" si="17">CHOOSE($F176,$M176,AVERAGE($J176:$K176,$L176:$M176))</f>
        <v>0.94230752442504107</v>
      </c>
      <c r="Q176" s="373">
        <f t="shared" si="17"/>
        <v>0.94230752442504107</v>
      </c>
      <c r="R176" s="373">
        <f t="shared" si="17"/>
        <v>0.94230752442504107</v>
      </c>
      <c r="S176" s="373">
        <f t="shared" si="17"/>
        <v>0.94230752442504107</v>
      </c>
      <c r="T176" s="373">
        <f t="shared" si="17"/>
        <v>0.94230752442504107</v>
      </c>
      <c r="U176" s="289"/>
      <c r="V176" s="110"/>
      <c r="W176" s="110">
        <v>1</v>
      </c>
      <c r="X176" s="110"/>
      <c r="Y176" s="110" t="str">
        <f>INDEX($V$171:$X$171,1,MATCH($F176,$V176:$X176,0))</f>
        <v>Base</v>
      </c>
    </row>
    <row r="177" spans="2:25" ht="12" customHeight="1" thickBot="1">
      <c r="B177" s="3" t="s">
        <v>252</v>
      </c>
      <c r="E177" s="110" t="s">
        <v>2702</v>
      </c>
      <c r="G177" s="289" t="s">
        <v>4734</v>
      </c>
      <c r="J177" s="286">
        <f>COGS!J108</f>
        <v>0</v>
      </c>
      <c r="K177" s="246">
        <f>COGS!K108</f>
        <v>0</v>
      </c>
      <c r="L177" s="2485">
        <f>COGS!L108</f>
        <v>0</v>
      </c>
      <c r="M177" s="2486">
        <f>COGS!M108</f>
        <v>0</v>
      </c>
      <c r="N177" s="2489">
        <v>0</v>
      </c>
      <c r="O177" s="2489">
        <f>COGS!O108</f>
        <v>0</v>
      </c>
      <c r="P177" s="2489">
        <v>0</v>
      </c>
      <c r="Q177" s="2489">
        <v>0</v>
      </c>
      <c r="R177" s="2489">
        <v>0</v>
      </c>
      <c r="S177" s="2489">
        <v>0</v>
      </c>
      <c r="T177" s="2489">
        <v>0</v>
      </c>
      <c r="U177" s="289"/>
      <c r="V177" s="110"/>
      <c r="W177" s="110"/>
      <c r="X177" s="110"/>
      <c r="Y177" s="110"/>
    </row>
    <row r="178" spans="2:25" ht="12" customHeight="1" thickBot="1">
      <c r="B178" s="12" t="s">
        <v>320</v>
      </c>
      <c r="C178" s="12"/>
      <c r="D178" s="12"/>
      <c r="E178" s="1950" t="s">
        <v>2702</v>
      </c>
      <c r="F178" s="291">
        <v>2</v>
      </c>
      <c r="G178" s="1954" t="str">
        <f>VLOOKUP(F178,$C$183:$D$184,2,FALSE)</f>
        <v>2021 4Q는 2021 9개월 재료비율 유지 및 2022년 이후 과거 평균 수준의 재료비율 유지 가정</v>
      </c>
      <c r="H178" s="12"/>
      <c r="I178" s="12"/>
      <c r="J178" s="287">
        <f>COGS!J110</f>
        <v>0.87062195346713211</v>
      </c>
      <c r="K178" s="288">
        <f>COGS!K110</f>
        <v>0.89939712354025536</v>
      </c>
      <c r="L178" s="2487">
        <f>COGS!L110</f>
        <v>0.87270423959548682</v>
      </c>
      <c r="M178" s="2488">
        <f>COGS!M110</f>
        <v>0.86299087859231771</v>
      </c>
      <c r="N178" s="378">
        <f t="shared" si="16"/>
        <v>0.86299087859231771</v>
      </c>
      <c r="O178" s="378">
        <f>COGS!O110</f>
        <v>0.86299087859231782</v>
      </c>
      <c r="P178" s="378">
        <f t="shared" si="17"/>
        <v>0.87642854879879795</v>
      </c>
      <c r="Q178" s="378">
        <f t="shared" si="17"/>
        <v>0.87642854879879795</v>
      </c>
      <c r="R178" s="378">
        <f t="shared" si="17"/>
        <v>0.87642854879879795</v>
      </c>
      <c r="S178" s="378">
        <f t="shared" si="17"/>
        <v>0.87642854879879795</v>
      </c>
      <c r="T178" s="378">
        <f t="shared" si="17"/>
        <v>0.87642854879879795</v>
      </c>
      <c r="U178" s="289"/>
      <c r="V178" s="1950"/>
      <c r="W178" s="1950">
        <v>2</v>
      </c>
      <c r="X178" s="1950"/>
      <c r="Y178" s="1950" t="str">
        <f>INDEX($V$171:$X$171,1,MATCH($F178,$V178:$X178,0))</f>
        <v>Base</v>
      </c>
    </row>
    <row r="179" spans="2:25" ht="12" customHeight="1">
      <c r="B179" s="1953" t="s">
        <v>351</v>
      </c>
      <c r="J179" s="221"/>
      <c r="K179" s="221"/>
      <c r="L179" s="221"/>
      <c r="M179" s="221"/>
      <c r="N179" s="105"/>
      <c r="O179" s="105"/>
      <c r="P179" s="105"/>
      <c r="Q179" s="105"/>
      <c r="R179" s="105"/>
      <c r="S179" s="105"/>
      <c r="T179" s="105"/>
    </row>
    <row r="180" spans="2:25" ht="12" customHeight="1">
      <c r="B180" s="3" t="s">
        <v>3501</v>
      </c>
      <c r="J180" s="221"/>
      <c r="K180" s="221"/>
      <c r="L180" s="221"/>
      <c r="M180" s="221"/>
      <c r="N180" s="105"/>
      <c r="O180" s="105"/>
      <c r="P180" s="105"/>
      <c r="Q180" s="105"/>
      <c r="R180" s="105"/>
      <c r="S180" s="105"/>
      <c r="T180" s="105"/>
    </row>
    <row r="181" spans="2:25" ht="12" customHeight="1">
      <c r="B181" s="3" t="s">
        <v>3499</v>
      </c>
      <c r="J181" s="221"/>
      <c r="K181" s="221"/>
      <c r="L181" s="221"/>
      <c r="M181" s="221"/>
      <c r="N181" s="105"/>
      <c r="O181" s="105"/>
      <c r="P181" s="105"/>
      <c r="Q181" s="105"/>
      <c r="R181" s="105"/>
      <c r="S181" s="105"/>
      <c r="T181" s="105"/>
    </row>
    <row r="182" spans="2:25" ht="12" customHeight="1">
      <c r="C182" s="1950" t="s">
        <v>3464</v>
      </c>
      <c r="D182" s="1957" t="s">
        <v>3469</v>
      </c>
      <c r="E182" s="1957"/>
      <c r="F182" s="1957"/>
      <c r="G182" s="1957"/>
      <c r="H182" s="1957"/>
      <c r="I182" s="1957"/>
      <c r="J182" s="1957"/>
      <c r="K182" s="1957"/>
      <c r="L182" s="1957"/>
      <c r="M182" s="1957"/>
      <c r="N182" s="1957"/>
      <c r="O182" s="1957"/>
      <c r="P182" s="1957"/>
      <c r="Q182" s="1957"/>
      <c r="R182" s="1957"/>
      <c r="S182" s="1957"/>
      <c r="T182" s="1957"/>
    </row>
    <row r="183" spans="2:25" ht="12" customHeight="1">
      <c r="C183" s="1958">
        <v>1</v>
      </c>
      <c r="D183" s="302" t="s">
        <v>1367</v>
      </c>
      <c r="E183" s="302"/>
      <c r="F183" s="302"/>
      <c r="G183" s="302"/>
      <c r="H183" s="302"/>
      <c r="I183" s="302"/>
      <c r="J183" s="302"/>
      <c r="K183" s="302"/>
      <c r="L183" s="302"/>
      <c r="M183" s="302"/>
      <c r="N183" s="302"/>
      <c r="O183" s="302"/>
      <c r="P183" s="302"/>
      <c r="Q183" s="302"/>
      <c r="R183" s="302"/>
      <c r="S183" s="302"/>
      <c r="T183" s="302"/>
    </row>
    <row r="184" spans="2:25" ht="12" customHeight="1">
      <c r="C184" s="1950">
        <v>2</v>
      </c>
      <c r="D184" s="12" t="s">
        <v>5211</v>
      </c>
      <c r="E184" s="12"/>
      <c r="F184" s="12"/>
      <c r="G184" s="12"/>
      <c r="H184" s="12"/>
      <c r="I184" s="12"/>
      <c r="J184" s="12"/>
      <c r="K184" s="12"/>
      <c r="L184" s="12"/>
      <c r="M184" s="12"/>
      <c r="N184" s="12"/>
      <c r="O184" s="12"/>
      <c r="P184" s="12"/>
      <c r="Q184" s="12"/>
      <c r="R184" s="12"/>
      <c r="S184" s="12"/>
      <c r="T184" s="12"/>
    </row>
    <row r="186" spans="2:25" ht="12" customHeight="1">
      <c r="B186" s="32" t="s">
        <v>1368</v>
      </c>
      <c r="C186" s="32"/>
    </row>
    <row r="187" spans="2:25" ht="12" customHeight="1">
      <c r="B187" s="24"/>
      <c r="C187" s="24"/>
      <c r="D187" s="24"/>
      <c r="E187" s="24"/>
      <c r="F187" s="24"/>
      <c r="G187" s="24"/>
      <c r="H187" s="24"/>
      <c r="I187" s="24"/>
      <c r="J187" s="25" t="s">
        <v>23</v>
      </c>
      <c r="K187" s="26"/>
      <c r="L187" s="26"/>
      <c r="M187" s="27"/>
      <c r="N187" s="26" t="s">
        <v>24</v>
      </c>
      <c r="O187" s="26"/>
      <c r="P187" s="26"/>
      <c r="Q187" s="26"/>
      <c r="R187" s="26"/>
      <c r="S187" s="26"/>
      <c r="T187" s="26"/>
      <c r="V187" s="2041" t="s">
        <v>3650</v>
      </c>
      <c r="W187" s="2041"/>
      <c r="X187" s="2041"/>
      <c r="Y187" s="2041"/>
    </row>
    <row r="188" spans="2:25" ht="12" customHeight="1" thickBot="1">
      <c r="B188" s="28"/>
      <c r="C188" s="28"/>
      <c r="D188" s="28"/>
      <c r="E188" s="1949" t="s">
        <v>2889</v>
      </c>
      <c r="F188" s="1949" t="s">
        <v>3464</v>
      </c>
      <c r="G188" s="28"/>
      <c r="H188" s="28"/>
      <c r="I188" s="28"/>
      <c r="J188" s="29" t="s">
        <v>69</v>
      </c>
      <c r="K188" s="30" t="s">
        <v>27</v>
      </c>
      <c r="L188" s="30" t="s">
        <v>60</v>
      </c>
      <c r="M188" s="31" t="s">
        <v>5104</v>
      </c>
      <c r="N188" s="30" t="s">
        <v>5174</v>
      </c>
      <c r="O188" s="30" t="s">
        <v>70</v>
      </c>
      <c r="P188" s="30" t="s">
        <v>71</v>
      </c>
      <c r="Q188" s="30" t="s">
        <v>72</v>
      </c>
      <c r="R188" s="30" t="s">
        <v>73</v>
      </c>
      <c r="S188" s="30" t="s">
        <v>74</v>
      </c>
      <c r="T188" s="30" t="s">
        <v>5102</v>
      </c>
      <c r="V188" s="290" t="s">
        <v>3651</v>
      </c>
      <c r="W188" s="290" t="s">
        <v>3652</v>
      </c>
      <c r="X188" s="290" t="s">
        <v>3653</v>
      </c>
      <c r="Y188" s="290" t="s">
        <v>3740</v>
      </c>
    </row>
    <row r="189" spans="2:25" ht="12" customHeight="1" thickBot="1">
      <c r="B189" s="302" t="s">
        <v>6847</v>
      </c>
      <c r="C189" s="302"/>
      <c r="D189" s="302"/>
      <c r="E189" s="1958" t="s">
        <v>6754</v>
      </c>
      <c r="F189" s="3008">
        <v>3</v>
      </c>
      <c r="G189" s="3010" t="str">
        <f>VLOOKUP(F189,$C$195:$D$197,2,FALSE)</f>
        <v>2021 3m은 2021 9mA 수준의 단위당 보조재료비 유지 및 2022년 이후 과거 평균 수준의 보조재료비 유지 가정</v>
      </c>
      <c r="H189" s="302"/>
      <c r="I189" s="302"/>
      <c r="J189" s="217">
        <f>COGS!J115</f>
        <v>40844.84194000483</v>
      </c>
      <c r="K189" s="218">
        <f>COGS!K115</f>
        <v>40314.866759259261</v>
      </c>
      <c r="L189" s="218">
        <f>COGS!L115</f>
        <v>42437.360582520356</v>
      </c>
      <c r="M189" s="219">
        <f>COGS!M115</f>
        <v>40239.860521647148</v>
      </c>
      <c r="N189" s="304">
        <f>M189</f>
        <v>40239.860521647148</v>
      </c>
      <c r="O189" s="218">
        <f>COGS!O115</f>
        <v>40239.860521647141</v>
      </c>
      <c r="P189" s="3009">
        <f>CHOOSE($F$189,O189,O189*(1+General!J$12),AVERAGE(Assumption!$J$189:$M$189))</f>
        <v>40959.232450857904</v>
      </c>
      <c r="Q189" s="3009">
        <f>CHOOSE($F$189,P189,P189*(1+General!K$12),AVERAGE(Assumption!$J$189:$M$189))</f>
        <v>40959.232450857904</v>
      </c>
      <c r="R189" s="3009">
        <f>CHOOSE($F$189,Q189,Q189*(1+General!L$12),AVERAGE(Assumption!$J$189:$M$189))</f>
        <v>40959.232450857904</v>
      </c>
      <c r="S189" s="3009">
        <f>CHOOSE($F$189,R189,R189*(1+General!M$12),AVERAGE(Assumption!$J$189:$M$189))</f>
        <v>40959.232450857904</v>
      </c>
      <c r="T189" s="3009">
        <f>CHOOSE($F$189,S189,S189*(1+General!N$12),AVERAGE(Assumption!$J$189:$M$189))</f>
        <v>40959.232450857904</v>
      </c>
      <c r="U189" s="289"/>
      <c r="V189" s="110"/>
      <c r="W189" s="110">
        <v>3</v>
      </c>
      <c r="X189" s="110"/>
      <c r="Y189" s="1958" t="str">
        <f>INDEX($V$188:$X$188,1,MATCH($F189,$V189:$X189,0))</f>
        <v>Base</v>
      </c>
    </row>
    <row r="190" spans="2:25" ht="12" customHeight="1" thickBot="1">
      <c r="B190" s="12" t="s">
        <v>6856</v>
      </c>
      <c r="C190" s="12"/>
      <c r="D190" s="12"/>
      <c r="E190" s="1950" t="s">
        <v>360</v>
      </c>
      <c r="F190" s="3005">
        <v>1</v>
      </c>
      <c r="G190" s="1954" t="str">
        <f>VLOOKUP(F190,$C$200:$D$201,2,FALSE)</f>
        <v>현재 수준의 비율 유지 가정</v>
      </c>
      <c r="H190" s="12"/>
      <c r="I190" s="12"/>
      <c r="J190" s="287">
        <f>COGS!J118</f>
        <v>4.7481000915672734E-4</v>
      </c>
      <c r="K190" s="288">
        <f>COGS!K118</f>
        <v>9.3553223862950135E-4</v>
      </c>
      <c r="L190" s="288">
        <f>COGS!L118</f>
        <v>1.0208247976612455E-3</v>
      </c>
      <c r="M190" s="2359">
        <f>COGS!M118</f>
        <v>1.0527597894320088E-3</v>
      </c>
      <c r="N190" s="247">
        <f>CHOOSE($F$190,M190,M190)</f>
        <v>1.0527597894320088E-3</v>
      </c>
      <c r="O190" s="288">
        <f>COGS!O118</f>
        <v>1.0527597894320092E-3</v>
      </c>
      <c r="P190" s="378">
        <f>CHOOSE($F$190,O190,AVERAGE($J$190:$M$190))</f>
        <v>1.0527597894320092E-3</v>
      </c>
      <c r="Q190" s="378">
        <f t="shared" ref="Q190:T190" si="18">CHOOSE($F$190,P190,AVERAGE($J$190:$M$190))</f>
        <v>1.0527597894320092E-3</v>
      </c>
      <c r="R190" s="378">
        <f t="shared" si="18"/>
        <v>1.0527597894320092E-3</v>
      </c>
      <c r="S190" s="378">
        <f t="shared" si="18"/>
        <v>1.0527597894320092E-3</v>
      </c>
      <c r="T190" s="378">
        <f t="shared" si="18"/>
        <v>1.0527597894320092E-3</v>
      </c>
      <c r="U190" s="289"/>
      <c r="V190" s="1950"/>
      <c r="W190" s="1950">
        <v>1</v>
      </c>
      <c r="X190" s="1950"/>
      <c r="Y190" s="1950" t="str">
        <f>INDEX($V$188:$X$188,1,MATCH($F190,$V190:$X190,0))</f>
        <v>Base</v>
      </c>
    </row>
    <row r="191" spans="2:25" ht="12" customHeight="1">
      <c r="B191" s="1953" t="s">
        <v>351</v>
      </c>
      <c r="J191" s="221"/>
      <c r="K191" s="221"/>
      <c r="L191" s="221"/>
      <c r="M191" s="221"/>
      <c r="N191" s="105"/>
      <c r="O191" s="105"/>
      <c r="P191" s="105"/>
      <c r="Q191" s="105"/>
      <c r="R191" s="105"/>
      <c r="S191" s="105"/>
      <c r="T191" s="105"/>
    </row>
    <row r="192" spans="2:25" ht="12" customHeight="1">
      <c r="B192" s="3" t="s">
        <v>3502</v>
      </c>
      <c r="J192" s="221"/>
      <c r="K192" s="221"/>
      <c r="L192" s="221"/>
      <c r="M192" s="221"/>
      <c r="N192" s="105"/>
      <c r="O192" s="105"/>
      <c r="P192" s="105"/>
      <c r="Q192" s="105"/>
      <c r="R192" s="105"/>
      <c r="S192" s="105"/>
      <c r="T192" s="105"/>
    </row>
    <row r="193" spans="1:25" ht="12" customHeight="1">
      <c r="B193" s="3" t="s">
        <v>6848</v>
      </c>
      <c r="J193" s="221"/>
      <c r="K193" s="221"/>
      <c r="L193" s="221"/>
      <c r="M193" s="221"/>
      <c r="N193" s="105"/>
      <c r="O193" s="105"/>
      <c r="P193" s="105"/>
      <c r="Q193" s="105"/>
      <c r="R193" s="105"/>
      <c r="S193" s="105"/>
      <c r="T193" s="105"/>
    </row>
    <row r="194" spans="1:25" ht="12" customHeight="1">
      <c r="C194" s="1950" t="s">
        <v>3464</v>
      </c>
      <c r="D194" s="1957" t="s">
        <v>3469</v>
      </c>
      <c r="E194" s="1957"/>
      <c r="F194" s="1957"/>
      <c r="G194" s="1957"/>
      <c r="H194" s="1957"/>
      <c r="I194" s="1957"/>
      <c r="J194" s="1957"/>
      <c r="K194" s="1957"/>
      <c r="L194" s="1957"/>
      <c r="M194" s="1957"/>
      <c r="N194" s="1957"/>
      <c r="O194" s="1957"/>
      <c r="P194" s="1957"/>
      <c r="Q194" s="1957"/>
      <c r="R194" s="1957"/>
      <c r="S194" s="1957"/>
      <c r="T194" s="1957"/>
    </row>
    <row r="195" spans="1:25" ht="12" customHeight="1">
      <c r="C195" s="1958">
        <v>1</v>
      </c>
      <c r="D195" s="302" t="s">
        <v>5578</v>
      </c>
      <c r="E195" s="302"/>
      <c r="F195" s="302"/>
      <c r="G195" s="302"/>
      <c r="H195" s="302"/>
      <c r="I195" s="302"/>
      <c r="J195" s="302"/>
      <c r="K195" s="302"/>
      <c r="L195" s="302"/>
      <c r="M195" s="302"/>
      <c r="N195" s="302"/>
      <c r="O195" s="302"/>
      <c r="P195" s="302"/>
      <c r="Q195" s="302"/>
      <c r="R195" s="302"/>
      <c r="S195" s="302"/>
      <c r="T195" s="302"/>
    </row>
    <row r="196" spans="1:25" ht="12" customHeight="1">
      <c r="C196" s="110">
        <v>2</v>
      </c>
      <c r="D196" s="3" t="s">
        <v>5579</v>
      </c>
    </row>
    <row r="197" spans="1:25" ht="12" customHeight="1">
      <c r="C197" s="1950">
        <v>3</v>
      </c>
      <c r="D197" s="12" t="s">
        <v>5580</v>
      </c>
      <c r="E197" s="12"/>
      <c r="F197" s="12"/>
      <c r="G197" s="12"/>
      <c r="H197" s="12"/>
      <c r="I197" s="12"/>
      <c r="J197" s="12"/>
      <c r="K197" s="12"/>
      <c r="L197" s="12"/>
      <c r="M197" s="12"/>
      <c r="N197" s="12"/>
      <c r="O197" s="12"/>
      <c r="P197" s="12"/>
      <c r="Q197" s="12"/>
      <c r="R197" s="12"/>
      <c r="S197" s="12"/>
      <c r="T197" s="12"/>
    </row>
    <row r="198" spans="1:25" ht="12" customHeight="1">
      <c r="B198" s="3" t="s">
        <v>6849</v>
      </c>
      <c r="V198"/>
      <c r="W198"/>
      <c r="X198"/>
      <c r="Y198"/>
    </row>
    <row r="199" spans="1:25" ht="12" customHeight="1">
      <c r="C199" s="1950" t="s">
        <v>3464</v>
      </c>
      <c r="D199" s="1957" t="s">
        <v>3469</v>
      </c>
      <c r="E199" s="1957"/>
      <c r="F199" s="1957"/>
      <c r="G199" s="1957"/>
      <c r="H199" s="1957"/>
      <c r="I199" s="1957"/>
      <c r="J199" s="1957"/>
      <c r="K199" s="1957"/>
      <c r="L199" s="1957"/>
      <c r="M199" s="1957"/>
      <c r="N199" s="1957"/>
      <c r="O199" s="1957"/>
      <c r="P199" s="1957"/>
      <c r="Q199" s="1957"/>
      <c r="R199" s="1957"/>
      <c r="S199" s="1957"/>
      <c r="T199" s="1957"/>
      <c r="V199"/>
      <c r="W199"/>
      <c r="X199"/>
      <c r="Y199"/>
    </row>
    <row r="200" spans="1:25" ht="12" customHeight="1">
      <c r="C200" s="1958">
        <v>1</v>
      </c>
      <c r="D200" s="302" t="s">
        <v>1369</v>
      </c>
      <c r="E200" s="302"/>
      <c r="F200" s="302"/>
      <c r="G200" s="302"/>
      <c r="H200" s="302"/>
      <c r="I200" s="302"/>
      <c r="J200" s="302"/>
      <c r="K200" s="302"/>
      <c r="L200" s="302"/>
      <c r="M200" s="302"/>
      <c r="N200" s="302"/>
      <c r="O200" s="302"/>
      <c r="P200" s="302"/>
      <c r="Q200" s="302"/>
      <c r="R200" s="302"/>
      <c r="S200" s="302"/>
      <c r="T200" s="302"/>
      <c r="V200"/>
      <c r="W200"/>
      <c r="X200"/>
      <c r="Y200"/>
    </row>
    <row r="201" spans="1:25" ht="12" customHeight="1">
      <c r="C201" s="1950">
        <v>2</v>
      </c>
      <c r="D201" s="12" t="s">
        <v>5581</v>
      </c>
      <c r="E201" s="12"/>
      <c r="F201" s="12"/>
      <c r="G201" s="12"/>
      <c r="H201" s="12"/>
      <c r="I201" s="12"/>
      <c r="J201" s="12"/>
      <c r="K201" s="12"/>
      <c r="L201" s="12"/>
      <c r="M201" s="12"/>
      <c r="N201" s="12"/>
      <c r="O201" s="12"/>
      <c r="P201" s="12"/>
      <c r="Q201" s="12"/>
      <c r="R201" s="12"/>
      <c r="S201" s="12"/>
      <c r="T201" s="12"/>
      <c r="V201"/>
      <c r="W201"/>
      <c r="X201"/>
      <c r="Y201"/>
    </row>
    <row r="202" spans="1:25" ht="12" customHeight="1">
      <c r="V202"/>
      <c r="W202"/>
      <c r="X202"/>
      <c r="Y202"/>
    </row>
    <row r="203" spans="1:25" customFormat="1" ht="12" customHeight="1">
      <c r="A203" s="1963"/>
      <c r="B203" s="1964" t="s">
        <v>3507</v>
      </c>
      <c r="C203" s="1964"/>
      <c r="D203" s="1965"/>
      <c r="E203" s="1965"/>
      <c r="F203" s="1965"/>
      <c r="G203" s="1965"/>
      <c r="H203" s="1965"/>
      <c r="I203" s="1965"/>
      <c r="J203" s="1965"/>
      <c r="K203" s="1965"/>
      <c r="L203" s="1965"/>
      <c r="M203" s="1965"/>
      <c r="N203" s="1965"/>
      <c r="O203" s="1965"/>
      <c r="P203" s="1965"/>
      <c r="Q203" s="1965"/>
      <c r="R203" s="1965"/>
      <c r="S203" s="1965"/>
      <c r="T203" s="1965"/>
      <c r="U203" s="1965"/>
      <c r="V203" s="1965"/>
      <c r="W203" s="1965"/>
      <c r="X203" s="1965"/>
      <c r="Y203" s="1965"/>
    </row>
    <row r="205" spans="1:25" ht="12" customHeight="1">
      <c r="B205" s="32" t="s">
        <v>1360</v>
      </c>
      <c r="C205" s="32"/>
    </row>
    <row r="206" spans="1:25" ht="12" customHeight="1">
      <c r="B206" s="24"/>
      <c r="C206" s="24"/>
      <c r="D206" s="24"/>
      <c r="E206" s="24"/>
      <c r="F206" s="24"/>
      <c r="G206" s="24"/>
      <c r="H206" s="24"/>
      <c r="I206" s="24"/>
      <c r="J206" s="25" t="s">
        <v>23</v>
      </c>
      <c r="K206" s="26"/>
      <c r="L206" s="26"/>
      <c r="M206" s="27"/>
      <c r="N206" s="26" t="s">
        <v>24</v>
      </c>
      <c r="O206" s="26"/>
      <c r="P206" s="26"/>
      <c r="Q206" s="26"/>
      <c r="R206" s="26"/>
      <c r="S206" s="26"/>
      <c r="T206" s="26"/>
      <c r="V206" s="2041" t="s">
        <v>3650</v>
      </c>
      <c r="W206" s="2041"/>
      <c r="X206" s="2041"/>
      <c r="Y206" s="2041"/>
    </row>
    <row r="207" spans="1:25" ht="12" customHeight="1">
      <c r="B207" s="28"/>
      <c r="C207" s="28"/>
      <c r="D207" s="28"/>
      <c r="E207" s="1949" t="s">
        <v>2889</v>
      </c>
      <c r="F207" s="1949" t="s">
        <v>3464</v>
      </c>
      <c r="G207" s="28"/>
      <c r="H207" s="28"/>
      <c r="I207" s="28"/>
      <c r="J207" s="29" t="s">
        <v>69</v>
      </c>
      <c r="K207" s="30" t="s">
        <v>27</v>
      </c>
      <c r="L207" s="30" t="s">
        <v>60</v>
      </c>
      <c r="M207" s="31" t="s">
        <v>5104</v>
      </c>
      <c r="N207" s="30" t="s">
        <v>5174</v>
      </c>
      <c r="O207" s="30" t="s">
        <v>70</v>
      </c>
      <c r="P207" s="30" t="s">
        <v>71</v>
      </c>
      <c r="Q207" s="30" t="s">
        <v>72</v>
      </c>
      <c r="R207" s="30" t="s">
        <v>73</v>
      </c>
      <c r="S207" s="30" t="s">
        <v>74</v>
      </c>
      <c r="T207" s="30" t="s">
        <v>5102</v>
      </c>
      <c r="V207" s="290" t="s">
        <v>3651</v>
      </c>
      <c r="W207" s="290" t="s">
        <v>3652</v>
      </c>
      <c r="X207" s="290" t="s">
        <v>3653</v>
      </c>
      <c r="Y207" s="290" t="s">
        <v>3740</v>
      </c>
    </row>
    <row r="208" spans="1:25" ht="12" customHeight="1" thickBot="1">
      <c r="B208" s="3" t="s">
        <v>258</v>
      </c>
      <c r="E208" s="110" t="s">
        <v>360</v>
      </c>
      <c r="J208" s="284">
        <f>HLOOKUP(J$207,주요지표_New!$O$19:$T$24,MATCH($B208,주요지표_New!$L$19:$L$24,0),0)</f>
        <v>0.97925722877706234</v>
      </c>
      <c r="K208" s="285">
        <f>HLOOKUP(K$207,주요지표_New!$O$19:$T$24,MATCH($B208,주요지표_New!$L$19:$L$24,0),0)</f>
        <v>0.97929762298174883</v>
      </c>
      <c r="L208" s="285">
        <f>HLOOKUP(L$207,주요지표_New!$O$19:$T$24,MATCH($B208,주요지표_New!$L$19:$L$24,0),0)</f>
        <v>0.9812149048983968</v>
      </c>
      <c r="M208" s="2493">
        <f>HLOOKUP(M$207,주요지표_New!$O$19:$T$24,MATCH($B208,주요지표_New!$L$19:$L$24,0),0)</f>
        <v>0.98120640448046559</v>
      </c>
      <c r="N208" s="245">
        <f>N209+N210</f>
        <v>0.98120640448046559</v>
      </c>
      <c r="O208" s="246">
        <f>COGS!O39</f>
        <v>0.98120640448046559</v>
      </c>
      <c r="P208" s="245">
        <f t="shared" ref="P208:T208" si="19">P209+P210</f>
        <v>0.9818861643004263</v>
      </c>
      <c r="Q208" s="245">
        <f t="shared" si="19"/>
        <v>0.9818861643004263</v>
      </c>
      <c r="R208" s="245">
        <f t="shared" si="19"/>
        <v>0.9818861643004263</v>
      </c>
      <c r="S208" s="245">
        <f t="shared" si="19"/>
        <v>0.9818861643004263</v>
      </c>
      <c r="T208" s="245">
        <f t="shared" si="19"/>
        <v>0.9818861643004263</v>
      </c>
      <c r="U208" s="289"/>
      <c r="V208" s="110"/>
      <c r="W208" s="110"/>
      <c r="X208" s="110"/>
      <c r="Y208" s="1958"/>
    </row>
    <row r="209" spans="2:25" ht="12" customHeight="1" thickBot="1">
      <c r="C209" s="3" t="s">
        <v>5570</v>
      </c>
      <c r="E209" s="110" t="s">
        <v>2702</v>
      </c>
      <c r="F209" s="3005">
        <v>1</v>
      </c>
      <c r="G209" s="289" t="str">
        <f>VLOOKUP(F209,$C$230:$D$231,2,FALSE)</f>
        <v>현재 수준의 채취율 유지 가정</v>
      </c>
      <c r="J209" s="286">
        <f>HLOOKUP(J$207,주요지표_New!$O$27:$T$32,MATCH($B208,주요지표_New!$L$27:$L$32,0),FALSE)</f>
        <v>0.97644203311044908</v>
      </c>
      <c r="K209" s="246">
        <f>HLOOKUP(K$207,주요지표_New!$O$27:$T$32,MATCH($B208,주요지표_New!$L$27:$L$32,0),FALSE)</f>
        <v>0.97715507970265369</v>
      </c>
      <c r="L209" s="246">
        <f>HLOOKUP(L$207,주요지표_New!$O$27:$T$32,MATCH($B208,주요지표_New!$L$27:$L$32,0),FALSE)</f>
        <v>0.98051844870260685</v>
      </c>
      <c r="M209" s="2634">
        <f>HLOOKUP(M$207,주요지표_New!$O$27:$T$32,MATCH($B208,주요지표_New!$L$27:$L$32,0),FALSE)</f>
        <v>0.98022801919324709</v>
      </c>
      <c r="N209" s="245">
        <f>M209</f>
        <v>0.98022801919324709</v>
      </c>
      <c r="O209" s="245">
        <f>(M209*3+N209)/4</f>
        <v>0.98022801919324709</v>
      </c>
      <c r="P209" s="245">
        <f>CHOOSE($F$209,N209,AVERAGE($J$209:$M$209))</f>
        <v>0.98022801919324709</v>
      </c>
      <c r="Q209" s="245">
        <f t="shared" ref="Q209:T209" si="20">CHOOSE($F$209,P209,AVERAGE($J$209:$M$209))</f>
        <v>0.98022801919324709</v>
      </c>
      <c r="R209" s="245">
        <f t="shared" si="20"/>
        <v>0.98022801919324709</v>
      </c>
      <c r="S209" s="245">
        <f t="shared" si="20"/>
        <v>0.98022801919324709</v>
      </c>
      <c r="T209" s="245">
        <f t="shared" si="20"/>
        <v>0.98022801919324709</v>
      </c>
      <c r="U209" s="289"/>
      <c r="V209" s="110"/>
      <c r="W209" s="110">
        <v>1</v>
      </c>
      <c r="X209" s="110"/>
      <c r="Y209" s="110" t="str">
        <f t="shared" ref="Y209:Y222" si="21">INDEX($V$207:$X$207,1,MATCH($F209,$V209:$X209,0))</f>
        <v>Base</v>
      </c>
    </row>
    <row r="210" spans="2:25" ht="12" customHeight="1" thickBot="1">
      <c r="C210" s="3" t="s">
        <v>3079</v>
      </c>
      <c r="E210" s="110" t="s">
        <v>2702</v>
      </c>
      <c r="F210" s="4404">
        <f>IF(F10="Base",2,3)</f>
        <v>2</v>
      </c>
      <c r="G210" s="289" t="str">
        <f>VLOOKUP(F210,$C$230:$D$232,2,FALSE)</f>
        <v>2021년 3m은 현재 수준 유지, 이후 과거 평균 수준의 채취율 유지 가정</v>
      </c>
      <c r="J210" s="3006">
        <f>J208-J209</f>
        <v>2.8151956666132572E-3</v>
      </c>
      <c r="K210" s="373">
        <f t="shared" ref="K210:M210" si="22">K208-K209</f>
        <v>2.1425432790951326E-3</v>
      </c>
      <c r="L210" s="373">
        <f t="shared" si="22"/>
        <v>6.9645619578995177E-4</v>
      </c>
      <c r="M210" s="3007">
        <f t="shared" si="22"/>
        <v>9.7838528721849727E-4</v>
      </c>
      <c r="N210" s="245">
        <f>CHOOSE($F210,$M210,$M210,)</f>
        <v>9.7838528721849727E-4</v>
      </c>
      <c r="O210" s="245">
        <f>O208-O209</f>
        <v>9.7838528721849727E-4</v>
      </c>
      <c r="P210" s="245">
        <f>CHOOSE($F$210,N210,AVERAGE($J210:$M210),)</f>
        <v>1.6581451071792097E-3</v>
      </c>
      <c r="Q210" s="245">
        <f>CHOOSE($F$210,O210,AVERAGE($J210:$M210),)</f>
        <v>1.6581451071792097E-3</v>
      </c>
      <c r="R210" s="245">
        <f>CHOOSE($F$210,P210,AVERAGE($J210:$M210),)</f>
        <v>1.6581451071792097E-3</v>
      </c>
      <c r="S210" s="245">
        <f>CHOOSE($F$210,Q210,AVERAGE($J210:$M210),)</f>
        <v>1.6581451071792097E-3</v>
      </c>
      <c r="T210" s="245">
        <f>CHOOSE($F$210,R210,AVERAGE($J210:$M210),)</f>
        <v>1.6581451071792097E-3</v>
      </c>
      <c r="U210" s="289"/>
      <c r="V210" s="110"/>
      <c r="W210" s="110">
        <v>2</v>
      </c>
      <c r="X210" s="110">
        <v>3</v>
      </c>
      <c r="Y210" s="110" t="str">
        <f t="shared" si="21"/>
        <v>Base</v>
      </c>
    </row>
    <row r="211" spans="2:25" ht="12" customHeight="1" thickBot="1">
      <c r="B211" s="3" t="s">
        <v>262</v>
      </c>
      <c r="E211" s="110" t="s">
        <v>2702</v>
      </c>
      <c r="J211" s="286">
        <f>HLOOKUP(J$207,주요지표_New!$O$19:$T$24,MATCH($B211,주요지표_New!$L$19:$L$24,0),0)</f>
        <v>1.0057855263444029</v>
      </c>
      <c r="K211" s="246">
        <f>HLOOKUP(K$207,주요지표_New!$O$19:$T$24,MATCH($B211,주요지표_New!$L$19:$L$24,0),0)</f>
        <v>1.0081965118811307</v>
      </c>
      <c r="L211" s="246">
        <f>HLOOKUP(L$207,주요지표_New!$O$19:$T$24,MATCH($B211,주요지표_New!$L$19:$L$24,0),0)</f>
        <v>0.99990826592597748</v>
      </c>
      <c r="M211" s="2634">
        <f>HLOOKUP(M$207,주요지표_New!$O$19:$T$24,MATCH($B211,주요지표_New!$L$19:$L$24,0),0)</f>
        <v>1.0020071727189237</v>
      </c>
      <c r="N211" s="245">
        <f>N212+N213</f>
        <v>1.0020071727189237</v>
      </c>
      <c r="O211" s="246">
        <f>COGS!O50</f>
        <v>1.0020071727189237</v>
      </c>
      <c r="P211" s="245">
        <f t="shared" ref="P211" si="23">P212+P213</f>
        <v>1.0060422340152311</v>
      </c>
      <c r="Q211" s="245">
        <f t="shared" ref="Q211" si="24">Q212+Q213</f>
        <v>1.0060422340152311</v>
      </c>
      <c r="R211" s="245">
        <f t="shared" ref="R211" si="25">R212+R213</f>
        <v>1.0060422340152311</v>
      </c>
      <c r="S211" s="245">
        <f t="shared" ref="S211" si="26">S212+S213</f>
        <v>1.0060422340152311</v>
      </c>
      <c r="T211" s="245">
        <f t="shared" ref="T211" si="27">T212+T213</f>
        <v>1.0060422340152311</v>
      </c>
      <c r="U211" s="289"/>
      <c r="V211" s="110"/>
      <c r="W211" s="110"/>
      <c r="X211" s="110"/>
      <c r="Y211" s="110"/>
    </row>
    <row r="212" spans="2:25" ht="12" customHeight="1" thickBot="1">
      <c r="C212" s="3" t="s">
        <v>5570</v>
      </c>
      <c r="E212" s="110" t="s">
        <v>2702</v>
      </c>
      <c r="F212" s="3005">
        <v>1</v>
      </c>
      <c r="G212" s="289" t="str">
        <f>VLOOKUP(F212,$C$230:$D$231,2,FALSE)</f>
        <v>현재 수준의 채취율 유지 가정</v>
      </c>
      <c r="J212" s="286">
        <f>HLOOKUP(J$207,주요지표_New!$O$27:$T$32,MATCH($B211,주요지표_New!$L$27:$L$32,0),FALSE)</f>
        <v>0.99291080192680481</v>
      </c>
      <c r="K212" s="246">
        <f>HLOOKUP(K$207,주요지표_New!$O$27:$T$32,MATCH($B211,주요지표_New!$L$27:$L$32,0),FALSE)</f>
        <v>0.99381051077250637</v>
      </c>
      <c r="L212" s="246">
        <f>HLOOKUP(L$207,주요지표_New!$O$27:$T$32,MATCH($B211,주요지표_New!$L$27:$L$32,0),FALSE)</f>
        <v>0.99328135416789287</v>
      </c>
      <c r="M212" s="2634">
        <f>HLOOKUP(M$207,주요지표_New!$O$27:$T$32,MATCH($B211,주요지표_New!$L$27:$L$32,0),FALSE)</f>
        <v>0.99609137535256465</v>
      </c>
      <c r="N212" s="245">
        <f>M212</f>
        <v>0.99609137535256465</v>
      </c>
      <c r="O212" s="245">
        <f>(M212*3+N212)/4</f>
        <v>0.99609137535256465</v>
      </c>
      <c r="P212" s="245">
        <f t="shared" ref="P212:T212" si="28">CHOOSE($F$212,O212,AVERAGE($J$212:$M$212))</f>
        <v>0.99609137535256465</v>
      </c>
      <c r="Q212" s="245">
        <f t="shared" si="28"/>
        <v>0.99609137535256465</v>
      </c>
      <c r="R212" s="245">
        <f t="shared" si="28"/>
        <v>0.99609137535256465</v>
      </c>
      <c r="S212" s="245">
        <f t="shared" si="28"/>
        <v>0.99609137535256465</v>
      </c>
      <c r="T212" s="245">
        <f t="shared" si="28"/>
        <v>0.99609137535256465</v>
      </c>
      <c r="U212" s="289"/>
      <c r="V212" s="110"/>
      <c r="W212" s="110">
        <v>1</v>
      </c>
      <c r="X212" s="110"/>
      <c r="Y212" s="110" t="str">
        <f t="shared" si="21"/>
        <v>Base</v>
      </c>
    </row>
    <row r="213" spans="2:25" ht="12" customHeight="1" thickBot="1">
      <c r="C213" s="3" t="s">
        <v>3079</v>
      </c>
      <c r="E213" s="110" t="s">
        <v>2702</v>
      </c>
      <c r="F213" s="4404">
        <f>IF(F10="Base",2,3)</f>
        <v>2</v>
      </c>
      <c r="G213" s="289" t="str">
        <f>VLOOKUP(F213,$C$230:$D$232,2,FALSE)</f>
        <v>2021년 3m은 현재 수준 유지, 이후 과거 평균 수준의 채취율 유지 가정</v>
      </c>
      <c r="J213" s="3006">
        <f>J211-J212</f>
        <v>1.2874724417598071E-2</v>
      </c>
      <c r="K213" s="373">
        <f t="shared" ref="K213" si="29">K211-K212</f>
        <v>1.4386001108624313E-2</v>
      </c>
      <c r="L213" s="373">
        <f t="shared" ref="L213" si="30">L211-L212</f>
        <v>6.6269117580846082E-3</v>
      </c>
      <c r="M213" s="3007">
        <f t="shared" ref="M213" si="31">M211-M212</f>
        <v>5.9157973663590546E-3</v>
      </c>
      <c r="N213" s="245">
        <f>CHOOSE($F213,$M213,$M213,)</f>
        <v>5.9157973663590546E-3</v>
      </c>
      <c r="O213" s="245">
        <f>O211-O212</f>
        <v>5.9157973663590546E-3</v>
      </c>
      <c r="P213" s="245">
        <f>CHOOSE($F$210,N213,AVERAGE($J213:$M213),)</f>
        <v>9.9508586626665119E-3</v>
      </c>
      <c r="Q213" s="245">
        <f>CHOOSE($F$210,O213,AVERAGE($J213:$M213),)</f>
        <v>9.9508586626665119E-3</v>
      </c>
      <c r="R213" s="245">
        <f>CHOOSE($F$210,P213,AVERAGE($J213:$M213),)</f>
        <v>9.9508586626665119E-3</v>
      </c>
      <c r="S213" s="245">
        <f>CHOOSE($F$210,Q213,AVERAGE($J213:$M213),)</f>
        <v>9.9508586626665119E-3</v>
      </c>
      <c r="T213" s="245">
        <f>CHOOSE($F$210,R213,AVERAGE($J213:$M213),)</f>
        <v>9.9508586626665119E-3</v>
      </c>
      <c r="U213" s="289"/>
      <c r="V213" s="110"/>
      <c r="W213" s="110">
        <v>2</v>
      </c>
      <c r="X213" s="110">
        <v>3</v>
      </c>
      <c r="Y213" s="110" t="str">
        <f t="shared" si="21"/>
        <v>Base</v>
      </c>
    </row>
    <row r="214" spans="2:25" ht="12" customHeight="1" thickBot="1">
      <c r="B214" s="3" t="s">
        <v>264</v>
      </c>
      <c r="E214" s="110" t="s">
        <v>2702</v>
      </c>
      <c r="J214" s="286">
        <f>HLOOKUP(J$207,주요지표_New!$O$19:$T$24,MATCH($B214,주요지표_New!$L$19:$L$24,0),0)</f>
        <v>1.0063956494192896</v>
      </c>
      <c r="K214" s="246">
        <f>HLOOKUP(K$207,주요지표_New!$O$19:$T$24,MATCH($B214,주요지표_New!$L$19:$L$24,0),0)</f>
        <v>0.95782576720870982</v>
      </c>
      <c r="L214" s="246">
        <f>HLOOKUP(L$207,주요지표_New!$O$19:$T$24,MATCH($B214,주요지표_New!$L$19:$L$24,0),0)</f>
        <v>0.94044442670663464</v>
      </c>
      <c r="M214" s="2634">
        <f>HLOOKUP(M$207,주요지표_New!$O$19:$T$24,MATCH($B214,주요지표_New!$L$19:$L$24,0),0)</f>
        <v>0.97845639976232779</v>
      </c>
      <c r="N214" s="245">
        <f>N215+N216</f>
        <v>0.97845639976232779</v>
      </c>
      <c r="O214" s="246">
        <f>COGS!O61</f>
        <v>0.97845639976232768</v>
      </c>
      <c r="P214" s="245">
        <f t="shared" ref="P214" si="32">P215+P216</f>
        <v>0.97510892978365427</v>
      </c>
      <c r="Q214" s="245">
        <f t="shared" ref="Q214" si="33">Q215+Q216</f>
        <v>0.97510892978365427</v>
      </c>
      <c r="R214" s="245">
        <f t="shared" ref="R214" si="34">R215+R216</f>
        <v>0.97510892978365427</v>
      </c>
      <c r="S214" s="245">
        <f t="shared" ref="S214" si="35">S215+S216</f>
        <v>0.97510892978365427</v>
      </c>
      <c r="T214" s="245">
        <f t="shared" ref="T214" si="36">T215+T216</f>
        <v>0.97510892978365427</v>
      </c>
      <c r="U214" s="289"/>
      <c r="V214" s="110"/>
      <c r="W214" s="110"/>
      <c r="X214" s="110"/>
      <c r="Y214" s="110"/>
    </row>
    <row r="215" spans="2:25" ht="12" customHeight="1" thickBot="1">
      <c r="C215" s="3" t="s">
        <v>5570</v>
      </c>
      <c r="E215" s="110" t="s">
        <v>2702</v>
      </c>
      <c r="F215" s="3005">
        <v>1</v>
      </c>
      <c r="G215" s="289" t="str">
        <f>VLOOKUP(F215,$C$236:$D$237,2,FALSE)</f>
        <v>현재 수준의 채취율 유지 가정</v>
      </c>
      <c r="J215" s="286">
        <f>HLOOKUP(J$207,주요지표_New!$O$27:$T$32,MATCH($B214,주요지표_New!$L$27:$L$32,0),FALSE)</f>
        <v>0.98186378542850627</v>
      </c>
      <c r="K215" s="246">
        <f>HLOOKUP(K$207,주요지표_New!$O$27:$T$32,MATCH($B214,주요지표_New!$L$27:$L$32,0),FALSE)</f>
        <v>0.98349716663253484</v>
      </c>
      <c r="L215" s="246">
        <f>HLOOKUP(L$207,주요지표_New!$O$27:$T$32,MATCH($B214,주요지표_New!$L$27:$L$32,0),FALSE)</f>
        <v>0.98250784755206721</v>
      </c>
      <c r="M215" s="2634">
        <f>HLOOKUP(M$207,주요지표_New!$O$27:$T$32,MATCH($B214,주요지표_New!$L$27:$L$32,0),FALSE)</f>
        <v>0.98839409188358784</v>
      </c>
      <c r="N215" s="245">
        <f t="shared" ref="N215" si="37">M215</f>
        <v>0.98839409188358784</v>
      </c>
      <c r="O215" s="245">
        <f>(M215*3+N215)/4</f>
        <v>0.98839409188358784</v>
      </c>
      <c r="P215" s="245">
        <f t="shared" ref="P215:T215" si="38">CHOOSE($F$215,O215,AVERAGE($J$215:$M$215))</f>
        <v>0.98839409188358784</v>
      </c>
      <c r="Q215" s="245">
        <f t="shared" si="38"/>
        <v>0.98839409188358784</v>
      </c>
      <c r="R215" s="245">
        <f t="shared" si="38"/>
        <v>0.98839409188358784</v>
      </c>
      <c r="S215" s="245">
        <f t="shared" si="38"/>
        <v>0.98839409188358784</v>
      </c>
      <c r="T215" s="245">
        <f t="shared" si="38"/>
        <v>0.98839409188358784</v>
      </c>
      <c r="U215" s="289"/>
      <c r="V215" s="110"/>
      <c r="W215" s="110">
        <v>1</v>
      </c>
      <c r="X215" s="110"/>
      <c r="Y215" s="110" t="str">
        <f t="shared" si="21"/>
        <v>Base</v>
      </c>
    </row>
    <row r="216" spans="2:25" ht="12" customHeight="1" thickBot="1">
      <c r="C216" s="3" t="s">
        <v>3079</v>
      </c>
      <c r="E216" s="110" t="s">
        <v>2702</v>
      </c>
      <c r="F216" s="4404">
        <f>IF(F10="Wosrt",5,IF(F12="Base",2,4))</f>
        <v>2</v>
      </c>
      <c r="G216" s="289" t="str">
        <f>VLOOKUP(F216,$C$236:$D$240,2,FALSE)</f>
        <v>2021년 3m은 현재 수준 유지, 이후 과거 평균 수준의 채취율 유지 가정</v>
      </c>
      <c r="J216" s="3006">
        <f>J214-J215</f>
        <v>2.4531863990783331E-2</v>
      </c>
      <c r="K216" s="373">
        <f t="shared" ref="K216" si="39">K214-K215</f>
        <v>-2.5671399423825014E-2</v>
      </c>
      <c r="L216" s="373">
        <f t="shared" ref="L216" si="40">L214-L215</f>
        <v>-4.2063420845432575E-2</v>
      </c>
      <c r="M216" s="3007">
        <f t="shared" ref="M216" si="41">M214-M215</f>
        <v>-9.9376921212600555E-3</v>
      </c>
      <c r="N216" s="245">
        <f>CHOOSE($F$216,M216,M216,J216,M216,)</f>
        <v>-9.9376921212600555E-3</v>
      </c>
      <c r="O216" s="245">
        <f>O214-O215</f>
        <v>-9.9376921212601665E-3</v>
      </c>
      <c r="P216" s="245">
        <f>CHOOSE($F$216,O216,AVERAGE($J$216:$M$216),$J$216,O216+($J$216-$O$216)/5,)</f>
        <v>-1.3285162099933578E-2</v>
      </c>
      <c r="Q216" s="245">
        <f>CHOOSE($F$216,P216,AVERAGE($J$216:$M$216),$J$216,P216+($J$216-$O$216)/5,)</f>
        <v>-1.3285162099933578E-2</v>
      </c>
      <c r="R216" s="245">
        <f>CHOOSE($F$216,Q216,AVERAGE($J$216:$M$216),$J$216,Q216+($J$216-$O$216)/5,)</f>
        <v>-1.3285162099933578E-2</v>
      </c>
      <c r="S216" s="245">
        <f>CHOOSE($F$216,R216,AVERAGE($J$216:$M$216),$J$216,R216+($J$216-$O$216)/5,)</f>
        <v>-1.3285162099933578E-2</v>
      </c>
      <c r="T216" s="245">
        <f>CHOOSE($F$216,S216,AVERAGE($J$216:$M$216),$J$216,$J$216,)</f>
        <v>-1.3285162099933578E-2</v>
      </c>
      <c r="U216" s="289"/>
      <c r="V216" s="110">
        <v>4</v>
      </c>
      <c r="W216" s="110">
        <v>2</v>
      </c>
      <c r="X216" s="110">
        <v>5</v>
      </c>
      <c r="Y216" s="110" t="str">
        <f t="shared" si="21"/>
        <v>Base</v>
      </c>
    </row>
    <row r="217" spans="2:25" ht="12" customHeight="1" thickBot="1">
      <c r="B217" s="3" t="s">
        <v>268</v>
      </c>
      <c r="E217" s="110" t="s">
        <v>2702</v>
      </c>
      <c r="J217" s="286">
        <f>HLOOKUP(J$207,주요지표_New!$O$19:$T$24,MATCH($B217,주요지표_New!$L$19:$L$24,0),0)</f>
        <v>0.97556075008700915</v>
      </c>
      <c r="K217" s="246">
        <f>HLOOKUP(K$207,주요지표_New!$O$19:$T$24,MATCH($B217,주요지표_New!$L$19:$L$24,0),0)</f>
        <v>1.0686253115286473</v>
      </c>
      <c r="L217" s="246">
        <f>HLOOKUP(L$207,주요지표_New!$O$19:$T$24,MATCH($B217,주요지표_New!$L$19:$L$24,0),0)</f>
        <v>1.2756017269116773</v>
      </c>
      <c r="M217" s="2634">
        <f>HLOOKUP(M$207,주요지표_New!$O$19:$T$24,MATCH($B217,주요지표_New!$L$19:$L$24,0),0)</f>
        <v>1.412295522841964</v>
      </c>
      <c r="N217" s="245">
        <f>N218+N219</f>
        <v>1.412295522841964</v>
      </c>
      <c r="O217" s="246">
        <f>COGS!O83</f>
        <v>1.412295522841964</v>
      </c>
      <c r="P217" s="245">
        <f t="shared" ref="P217" si="42">P218+P219</f>
        <v>1.1974354999882706</v>
      </c>
      <c r="Q217" s="245">
        <f t="shared" ref="Q217" si="43">Q218+Q219</f>
        <v>1.1974354999882706</v>
      </c>
      <c r="R217" s="245">
        <f t="shared" ref="R217" si="44">R218+R219</f>
        <v>1.1974354999882706</v>
      </c>
      <c r="S217" s="245">
        <f t="shared" ref="S217" si="45">S218+S219</f>
        <v>1.1974354999882706</v>
      </c>
      <c r="T217" s="245">
        <f t="shared" ref="T217" si="46">T218+T219</f>
        <v>1.1974354999882706</v>
      </c>
      <c r="U217" s="289"/>
      <c r="V217" s="110"/>
      <c r="W217" s="110"/>
      <c r="X217" s="110"/>
      <c r="Y217" s="110"/>
    </row>
    <row r="218" spans="2:25" ht="12" customHeight="1" thickBot="1">
      <c r="C218" s="3" t="s">
        <v>5569</v>
      </c>
      <c r="E218" s="110" t="s">
        <v>2702</v>
      </c>
      <c r="F218" s="3005">
        <v>1</v>
      </c>
      <c r="G218" s="289" t="str">
        <f>VLOOKUP(F218,$C$230:$D$231,2,FALSE)</f>
        <v>현재 수준의 채취율 유지 가정</v>
      </c>
      <c r="J218" s="286">
        <f>HLOOKUP(J$207,주요지표_New!$O$27:$T$32,MATCH($B217,주요지표_New!$L$27:$L$32,0),FALSE)</f>
        <v>0.94010247111239797</v>
      </c>
      <c r="K218" s="246">
        <f>HLOOKUP(K$207,주요지표_New!$O$27:$T$32,MATCH($B217,주요지표_New!$L$27:$L$32,0),FALSE)</f>
        <v>0.93999994157901123</v>
      </c>
      <c r="L218" s="246">
        <f>HLOOKUP(L$207,주요지표_New!$O$27:$T$32,MATCH($B217,주요지표_New!$L$27:$L$32,0),FALSE)</f>
        <v>0.94032364657659973</v>
      </c>
      <c r="M218" s="2634">
        <f>HLOOKUP(M$207,주요지표_New!$O$27:$T$32,MATCH($B217,주요지표_New!$L$27:$L$32,0),FALSE)</f>
        <v>0.95936158261726456</v>
      </c>
      <c r="N218" s="245">
        <f t="shared" ref="N218" si="47">M218</f>
        <v>0.95936158261726456</v>
      </c>
      <c r="O218" s="245">
        <f>(M218*3+N218)/4</f>
        <v>0.95936158261726456</v>
      </c>
      <c r="P218" s="245">
        <f t="shared" ref="P218:T218" si="48">CHOOSE($F$218,O218,AVERAGE($J$218:$M$218))</f>
        <v>0.95936158261726456</v>
      </c>
      <c r="Q218" s="245">
        <f t="shared" si="48"/>
        <v>0.95936158261726456</v>
      </c>
      <c r="R218" s="245">
        <f t="shared" si="48"/>
        <v>0.95936158261726456</v>
      </c>
      <c r="S218" s="245">
        <f t="shared" si="48"/>
        <v>0.95936158261726456</v>
      </c>
      <c r="T218" s="245">
        <f t="shared" si="48"/>
        <v>0.95936158261726456</v>
      </c>
      <c r="U218" s="289"/>
      <c r="V218" s="110"/>
      <c r="W218" s="110">
        <v>1</v>
      </c>
      <c r="X218" s="110"/>
      <c r="Y218" s="110" t="str">
        <f t="shared" si="21"/>
        <v>Base</v>
      </c>
    </row>
    <row r="219" spans="2:25" ht="12" customHeight="1" thickBot="1">
      <c r="C219" s="3" t="s">
        <v>5571</v>
      </c>
      <c r="E219" s="110" t="s">
        <v>2702</v>
      </c>
      <c r="F219" s="4404">
        <f>IF(F10="Base",2,3)</f>
        <v>2</v>
      </c>
      <c r="G219" s="289" t="str">
        <f>VLOOKUP(F219,$C$230:$D$232,2,FALSE)</f>
        <v>2021년 3m은 현재 수준 유지, 이후 과거 평균 수준의 채취율 유지 가정</v>
      </c>
      <c r="J219" s="3006">
        <f>J217-J218</f>
        <v>3.5458278974611179E-2</v>
      </c>
      <c r="K219" s="373">
        <f t="shared" ref="K219" si="49">K217-K218</f>
        <v>0.12862536994963603</v>
      </c>
      <c r="L219" s="373">
        <f t="shared" ref="L219" si="50">L217-L218</f>
        <v>0.33527808033507756</v>
      </c>
      <c r="M219" s="3007">
        <f t="shared" ref="M219" si="51">M217-M218</f>
        <v>0.45293394022469946</v>
      </c>
      <c r="N219" s="245">
        <f>CHOOSE($F219,$M219,$M219,)</f>
        <v>0.45293394022469946</v>
      </c>
      <c r="O219" s="245">
        <f>O217-O218</f>
        <v>0.45293394022469946</v>
      </c>
      <c r="P219" s="245">
        <f>CHOOSE($F$210,N219,AVERAGE($J219:$M219),)</f>
        <v>0.23807391737100606</v>
      </c>
      <c r="Q219" s="245">
        <f>CHOOSE($F$210,O219,AVERAGE($J219:$M219),)</f>
        <v>0.23807391737100606</v>
      </c>
      <c r="R219" s="245">
        <f>CHOOSE($F$210,P219,AVERAGE($J219:$M219),)</f>
        <v>0.23807391737100606</v>
      </c>
      <c r="S219" s="245">
        <f>CHOOSE($F$210,Q219,AVERAGE($J219:$M219),)</f>
        <v>0.23807391737100606</v>
      </c>
      <c r="T219" s="245">
        <f>CHOOSE($F$210,R219,AVERAGE($J219:$M219),)</f>
        <v>0.23807391737100606</v>
      </c>
      <c r="U219" s="289"/>
      <c r="V219" s="110"/>
      <c r="W219" s="110">
        <v>2</v>
      </c>
      <c r="X219" s="110">
        <v>3</v>
      </c>
      <c r="Y219" s="110" t="str">
        <f t="shared" si="21"/>
        <v>Base</v>
      </c>
    </row>
    <row r="220" spans="2:25" ht="12" customHeight="1" thickBot="1">
      <c r="B220" s="3" t="s">
        <v>266</v>
      </c>
      <c r="E220" s="110" t="s">
        <v>2702</v>
      </c>
      <c r="J220" s="286">
        <f>HLOOKUP(J$207,주요지표_New!$O$19:$T$24,MATCH($B220,주요지표_New!$L$19:$L$24,0),0)</f>
        <v>1.7202051916437062</v>
      </c>
      <c r="K220" s="246">
        <f>HLOOKUP(K$207,주요지표_New!$O$19:$T$24,MATCH($B220,주요지표_New!$L$19:$L$24,0),0)</f>
        <v>1.1196802658224145</v>
      </c>
      <c r="L220" s="246">
        <f>HLOOKUP(L$207,주요지표_New!$O$19:$T$24,MATCH($B220,주요지표_New!$L$19:$L$24,0),0)</f>
        <v>1.4461873404268122</v>
      </c>
      <c r="M220" s="2634">
        <f>HLOOKUP(M$207,주요지표_New!$O$19:$T$24,MATCH($B220,주요지표_New!$L$19:$L$24,0),0)</f>
        <v>1.1122726982693676</v>
      </c>
      <c r="N220" s="245">
        <f>N221+N222</f>
        <v>1.1122726982693676</v>
      </c>
      <c r="O220" s="246">
        <f>COGS!O94</f>
        <v>1.1122726982693678</v>
      </c>
      <c r="P220" s="245">
        <f t="shared" ref="P220" si="52">P221+P222</f>
        <v>1.3529808385197797</v>
      </c>
      <c r="Q220" s="245">
        <f t="shared" ref="Q220" si="53">Q221+Q222</f>
        <v>1.3529808385197797</v>
      </c>
      <c r="R220" s="245">
        <f t="shared" ref="R220" si="54">R221+R222</f>
        <v>1.3529808385197797</v>
      </c>
      <c r="S220" s="245">
        <f t="shared" ref="S220" si="55">S221+S222</f>
        <v>1.3529808385197797</v>
      </c>
      <c r="T220" s="245">
        <f t="shared" ref="T220" si="56">T221+T222</f>
        <v>1.3529808385197797</v>
      </c>
      <c r="U220" s="289"/>
      <c r="V220" s="110"/>
      <c r="W220" s="110"/>
      <c r="X220" s="110"/>
      <c r="Y220" s="110"/>
    </row>
    <row r="221" spans="2:25" ht="12" customHeight="1" thickBot="1">
      <c r="C221" s="3" t="s">
        <v>5569</v>
      </c>
      <c r="E221" s="110" t="s">
        <v>2702</v>
      </c>
      <c r="F221" s="3005">
        <v>1</v>
      </c>
      <c r="G221" s="289" t="str">
        <f>VLOOKUP(F221,$C$230:$D$231,2,FALSE)</f>
        <v>현재 수준의 채취율 유지 가정</v>
      </c>
      <c r="J221" s="286">
        <f>HLOOKUP(J$207,주요지표_New!$O$27:$T$32,MATCH($B220,주요지표_New!$L$27:$L$32,0),FALSE)</f>
        <v>0.88999857511354197</v>
      </c>
      <c r="K221" s="246">
        <f>HLOOKUP(K$207,주요지표_New!$O$27:$T$32,MATCH($B220,주요지표_New!$L$27:$L$32,0),FALSE)</f>
        <v>0.89000142721348319</v>
      </c>
      <c r="L221" s="246">
        <f>HLOOKUP(L$207,주요지표_New!$O$27:$T$32,MATCH($B220,주요지표_New!$L$27:$L$32,0),FALSE)</f>
        <v>0.89011293811129955</v>
      </c>
      <c r="M221" s="2634">
        <f>HLOOKUP(M$207,주요지표_New!$O$27:$T$32,MATCH($B220,주요지표_New!$L$27:$L$32,0),FALSE)</f>
        <v>0.89456359945171426</v>
      </c>
      <c r="N221" s="245">
        <f t="shared" ref="N221" si="57">M221</f>
        <v>0.89456359945171426</v>
      </c>
      <c r="O221" s="245">
        <f>(M221*3+N221)/4</f>
        <v>0.89456359945171426</v>
      </c>
      <c r="P221" s="245">
        <f t="shared" ref="P221:T221" si="58">CHOOSE($F$221,O221,AVERAGE($J$221:$M$221))</f>
        <v>0.89456359945171426</v>
      </c>
      <c r="Q221" s="245">
        <f t="shared" si="58"/>
        <v>0.89456359945171426</v>
      </c>
      <c r="R221" s="245">
        <f t="shared" si="58"/>
        <v>0.89456359945171426</v>
      </c>
      <c r="S221" s="245">
        <f t="shared" si="58"/>
        <v>0.89456359945171426</v>
      </c>
      <c r="T221" s="245">
        <f t="shared" si="58"/>
        <v>0.89456359945171426</v>
      </c>
      <c r="U221" s="289"/>
      <c r="V221" s="110"/>
      <c r="W221" s="110">
        <v>1</v>
      </c>
      <c r="X221" s="110"/>
      <c r="Y221" s="110" t="str">
        <f t="shared" si="21"/>
        <v>Base</v>
      </c>
    </row>
    <row r="222" spans="2:25" ht="12" customHeight="1" thickBot="1">
      <c r="B222" s="12"/>
      <c r="C222" s="12" t="s">
        <v>5571</v>
      </c>
      <c r="D222" s="12"/>
      <c r="E222" s="1950" t="s">
        <v>2702</v>
      </c>
      <c r="F222" s="4404">
        <f>IF(F10="Base",2,3)</f>
        <v>2</v>
      </c>
      <c r="G222" s="1954" t="str">
        <f>VLOOKUP(F222,$C$230:$D$232,2,FALSE)</f>
        <v>2021년 3m은 현재 수준 유지, 이후 과거 평균 수준의 채취율 유지 가정</v>
      </c>
      <c r="H222" s="12"/>
      <c r="I222" s="12"/>
      <c r="J222" s="3030">
        <f>J220-J221</f>
        <v>0.83020661653016425</v>
      </c>
      <c r="K222" s="378">
        <f t="shared" ref="K222" si="59">K220-K221</f>
        <v>0.22967883860893135</v>
      </c>
      <c r="L222" s="378">
        <f t="shared" ref="L222" si="60">L220-L221</f>
        <v>0.55607440231551264</v>
      </c>
      <c r="M222" s="3031">
        <f t="shared" ref="M222" si="61">M220-M221</f>
        <v>0.21770909881765332</v>
      </c>
      <c r="N222" s="247">
        <f>CHOOSE($F222,$M222,$M222,)</f>
        <v>0.21770909881765332</v>
      </c>
      <c r="O222" s="247">
        <f>O220-O221</f>
        <v>0.21770909881765355</v>
      </c>
      <c r="P222" s="247">
        <f>CHOOSE($F$210,N222,AVERAGE($J222:$M222),)</f>
        <v>0.45841723906806542</v>
      </c>
      <c r="Q222" s="247">
        <f>CHOOSE($F$210,O222,AVERAGE($J222:$M222),)</f>
        <v>0.45841723906806542</v>
      </c>
      <c r="R222" s="247">
        <f>CHOOSE($F$210,P222,AVERAGE($J222:$M222),)</f>
        <v>0.45841723906806542</v>
      </c>
      <c r="S222" s="247">
        <f>CHOOSE($F$210,Q222,AVERAGE($J222:$M222),)</f>
        <v>0.45841723906806542</v>
      </c>
      <c r="T222" s="247">
        <f>CHOOSE($F$210,R222,AVERAGE($J222:$M222),)</f>
        <v>0.45841723906806542</v>
      </c>
      <c r="U222" s="289"/>
      <c r="V222" s="1950"/>
      <c r="W222" s="1950">
        <v>2</v>
      </c>
      <c r="X222" s="1950">
        <v>3</v>
      </c>
      <c r="Y222" s="1950" t="str">
        <f t="shared" si="21"/>
        <v>Base</v>
      </c>
    </row>
    <row r="223" spans="2:25" ht="12" customHeight="1">
      <c r="B223" s="1953" t="s">
        <v>351</v>
      </c>
      <c r="J223" s="278"/>
      <c r="K223" s="278"/>
      <c r="L223" s="278"/>
      <c r="M223" s="278"/>
      <c r="N223" s="278"/>
      <c r="O223" s="278"/>
      <c r="P223" s="278"/>
      <c r="Q223" s="278"/>
      <c r="R223" s="278"/>
      <c r="S223" s="278"/>
      <c r="T223" s="278"/>
    </row>
    <row r="224" spans="2:25" ht="12" customHeight="1">
      <c r="B224" s="3" t="s">
        <v>3465</v>
      </c>
      <c r="J224" s="221"/>
      <c r="K224" s="221"/>
      <c r="L224" s="221"/>
      <c r="M224" s="221"/>
      <c r="N224" s="105"/>
      <c r="O224" s="105"/>
      <c r="P224" s="105"/>
      <c r="Q224" s="105"/>
      <c r="R224" s="105"/>
      <c r="S224" s="105"/>
      <c r="T224" s="105"/>
    </row>
    <row r="225" spans="2:20" ht="12" customHeight="1">
      <c r="B225" s="1956"/>
      <c r="C225" s="1956" t="s">
        <v>3496</v>
      </c>
      <c r="J225" s="221"/>
      <c r="K225" s="221"/>
      <c r="L225" s="221"/>
      <c r="M225" s="221"/>
      <c r="N225" s="105"/>
      <c r="O225" s="105"/>
      <c r="P225" s="105"/>
      <c r="Q225" s="105"/>
      <c r="R225" s="105"/>
      <c r="S225" s="105"/>
      <c r="T225" s="105"/>
    </row>
    <row r="226" spans="2:20" ht="12" customHeight="1">
      <c r="B226" s="1956"/>
      <c r="C226" s="1956" t="s">
        <v>3497</v>
      </c>
      <c r="J226" s="221"/>
      <c r="K226" s="221"/>
      <c r="L226" s="221"/>
      <c r="M226" s="221"/>
      <c r="N226" s="105"/>
      <c r="O226" s="105"/>
      <c r="P226" s="105"/>
      <c r="Q226" s="105"/>
      <c r="R226" s="105"/>
      <c r="S226" s="105"/>
      <c r="T226" s="105"/>
    </row>
    <row r="227" spans="2:20" ht="12" customHeight="1">
      <c r="B227" s="1956"/>
      <c r="C227" s="1956" t="s">
        <v>3498</v>
      </c>
      <c r="J227" s="221"/>
      <c r="K227" s="221"/>
      <c r="L227" s="221"/>
      <c r="M227" s="221"/>
      <c r="N227" s="105"/>
      <c r="O227" s="105"/>
      <c r="P227" s="105"/>
      <c r="Q227" s="105"/>
      <c r="R227" s="105"/>
      <c r="S227" s="105"/>
      <c r="T227" s="105"/>
    </row>
    <row r="228" spans="2:20" ht="12" customHeight="1">
      <c r="B228" s="3" t="s">
        <v>6018</v>
      </c>
      <c r="J228" s="221"/>
      <c r="K228" s="221"/>
      <c r="L228" s="221"/>
      <c r="M228" s="221"/>
      <c r="N228" s="105"/>
      <c r="O228" s="105"/>
      <c r="P228" s="105"/>
      <c r="Q228" s="105"/>
      <c r="R228" s="105"/>
      <c r="S228" s="105"/>
      <c r="T228" s="105"/>
    </row>
    <row r="229" spans="2:20" ht="12" customHeight="1">
      <c r="C229" s="1950" t="s">
        <v>3464</v>
      </c>
      <c r="D229" s="1957" t="s">
        <v>3469</v>
      </c>
      <c r="E229" s="1957"/>
      <c r="F229" s="1957"/>
      <c r="G229" s="1957"/>
      <c r="H229" s="1957"/>
      <c r="I229" s="1957"/>
      <c r="J229" s="1957"/>
      <c r="K229" s="1957"/>
      <c r="L229" s="1957"/>
      <c r="M229" s="1957"/>
      <c r="N229" s="1957"/>
      <c r="O229" s="1957"/>
      <c r="P229" s="1957"/>
      <c r="Q229" s="1957"/>
      <c r="R229" s="1957"/>
      <c r="S229" s="1957"/>
      <c r="T229" s="1957"/>
    </row>
    <row r="230" spans="2:20" ht="12" customHeight="1">
      <c r="C230" s="1958">
        <v>1</v>
      </c>
      <c r="D230" s="302" t="s">
        <v>3500</v>
      </c>
      <c r="E230" s="302"/>
      <c r="F230" s="302"/>
      <c r="G230" s="302"/>
      <c r="H230" s="302"/>
      <c r="I230" s="302"/>
      <c r="J230" s="302"/>
      <c r="K230" s="302"/>
      <c r="L230" s="302"/>
      <c r="M230" s="302"/>
      <c r="N230" s="302"/>
      <c r="O230" s="302"/>
      <c r="P230" s="302"/>
      <c r="Q230" s="302"/>
      <c r="R230" s="302"/>
      <c r="S230" s="302"/>
      <c r="T230" s="302"/>
    </row>
    <row r="231" spans="2:20" ht="12" customHeight="1">
      <c r="C231" s="110">
        <v>2</v>
      </c>
      <c r="D231" s="3" t="s">
        <v>6686</v>
      </c>
    </row>
    <row r="232" spans="2:20" ht="12" customHeight="1">
      <c r="C232" s="1950">
        <v>3</v>
      </c>
      <c r="D232" s="12" t="s">
        <v>6727</v>
      </c>
      <c r="E232" s="12"/>
      <c r="F232" s="12"/>
      <c r="G232" s="12"/>
      <c r="H232" s="12"/>
      <c r="I232" s="12"/>
      <c r="J232" s="12"/>
      <c r="K232" s="12"/>
      <c r="L232" s="12"/>
      <c r="M232" s="12"/>
      <c r="N232" s="12"/>
      <c r="O232" s="361" t="s">
        <v>10690</v>
      </c>
      <c r="P232" s="12"/>
      <c r="Q232" s="12"/>
      <c r="R232" s="12"/>
      <c r="S232" s="12"/>
      <c r="T232" s="12"/>
    </row>
    <row r="234" spans="2:20" ht="12" customHeight="1">
      <c r="B234" s="3" t="s">
        <v>6019</v>
      </c>
      <c r="J234" s="221"/>
      <c r="K234" s="221"/>
      <c r="L234" s="221"/>
      <c r="M234" s="221"/>
      <c r="N234" s="105"/>
      <c r="O234" s="105"/>
      <c r="P234" s="105"/>
      <c r="Q234" s="105"/>
      <c r="R234" s="105"/>
      <c r="S234" s="105"/>
      <c r="T234" s="105"/>
    </row>
    <row r="235" spans="2:20" ht="12" customHeight="1">
      <c r="C235" s="1950" t="s">
        <v>3464</v>
      </c>
      <c r="D235" s="1957" t="s">
        <v>3469</v>
      </c>
      <c r="E235" s="1957"/>
      <c r="F235" s="1957"/>
      <c r="G235" s="1957"/>
      <c r="H235" s="1957"/>
      <c r="I235" s="1957"/>
      <c r="J235" s="1957"/>
      <c r="K235" s="1957"/>
      <c r="L235" s="1957"/>
      <c r="M235" s="1957"/>
      <c r="N235" s="1957"/>
      <c r="O235" s="1957"/>
      <c r="P235" s="1957"/>
      <c r="Q235" s="1957"/>
      <c r="R235" s="1957"/>
      <c r="S235" s="1957"/>
      <c r="T235" s="1957"/>
    </row>
    <row r="236" spans="2:20" ht="12" customHeight="1">
      <c r="C236" s="1958">
        <v>1</v>
      </c>
      <c r="D236" s="302" t="s">
        <v>3500</v>
      </c>
      <c r="E236" s="302"/>
      <c r="F236" s="302"/>
      <c r="G236" s="302"/>
      <c r="H236" s="302"/>
      <c r="I236" s="302"/>
      <c r="J236" s="302"/>
      <c r="K236" s="302"/>
      <c r="L236" s="302"/>
      <c r="M236" s="302"/>
      <c r="N236" s="302"/>
      <c r="O236" s="302"/>
      <c r="P236" s="302"/>
      <c r="Q236" s="302"/>
      <c r="R236" s="302"/>
      <c r="S236" s="302"/>
      <c r="T236" s="302"/>
    </row>
    <row r="237" spans="2:20" ht="12" customHeight="1">
      <c r="C237" s="110">
        <v>2</v>
      </c>
      <c r="D237" s="3" t="s">
        <v>6685</v>
      </c>
    </row>
    <row r="238" spans="2:20" ht="12" customHeight="1">
      <c r="C238" s="110">
        <v>3</v>
      </c>
      <c r="D238" s="3" t="s">
        <v>6687</v>
      </c>
      <c r="O238" s="45" t="s">
        <v>10691</v>
      </c>
    </row>
    <row r="239" spans="2:20" ht="12" customHeight="1">
      <c r="C239" s="110">
        <v>4</v>
      </c>
      <c r="D239" s="3" t="s">
        <v>6706</v>
      </c>
      <c r="O239" s="45" t="s">
        <v>10690</v>
      </c>
    </row>
    <row r="240" spans="2:20" ht="12" customHeight="1">
      <c r="C240" s="1950">
        <v>5</v>
      </c>
      <c r="D240" s="12" t="s">
        <v>6727</v>
      </c>
      <c r="E240" s="12"/>
      <c r="F240" s="12"/>
      <c r="G240" s="12"/>
      <c r="H240" s="12"/>
      <c r="I240" s="12"/>
      <c r="J240" s="12"/>
      <c r="K240" s="12"/>
      <c r="L240" s="12"/>
      <c r="M240" s="12"/>
      <c r="N240" s="12"/>
      <c r="O240" s="361" t="s">
        <v>10690</v>
      </c>
      <c r="P240" s="12"/>
      <c r="Q240" s="12"/>
      <c r="R240" s="12"/>
      <c r="S240" s="12"/>
      <c r="T240" s="12"/>
    </row>
    <row r="242" spans="2:25" ht="12" customHeight="1">
      <c r="B242" s="32" t="s">
        <v>6295</v>
      </c>
      <c r="C242" s="32"/>
      <c r="J242" s="1981"/>
      <c r="K242" s="1981"/>
      <c r="L242" s="1981"/>
      <c r="M242" s="1981"/>
      <c r="N242" s="1981"/>
      <c r="O242" s="1981"/>
      <c r="P242" s="1981"/>
      <c r="Q242" s="1981"/>
      <c r="R242" s="1981"/>
      <c r="S242" s="1981"/>
      <c r="T242" s="1981"/>
    </row>
    <row r="243" spans="2:25" ht="12" customHeight="1">
      <c r="B243" s="24"/>
      <c r="C243" s="24"/>
      <c r="D243" s="24"/>
      <c r="E243" s="24"/>
      <c r="F243" s="24"/>
      <c r="G243" s="24"/>
      <c r="H243" s="24"/>
      <c r="I243" s="24"/>
      <c r="J243" s="25" t="s">
        <v>23</v>
      </c>
      <c r="K243" s="26"/>
      <c r="L243" s="26"/>
      <c r="M243" s="27"/>
      <c r="N243" s="26" t="s">
        <v>24</v>
      </c>
      <c r="O243" s="26"/>
      <c r="P243" s="26"/>
      <c r="Q243" s="26"/>
      <c r="R243" s="26"/>
      <c r="S243" s="26"/>
      <c r="T243" s="26"/>
      <c r="V243" s="2041" t="s">
        <v>3650</v>
      </c>
      <c r="W243" s="2041"/>
      <c r="X243" s="2041"/>
      <c r="Y243" s="2041"/>
    </row>
    <row r="244" spans="2:25" ht="12" customHeight="1" thickBot="1">
      <c r="B244" s="28"/>
      <c r="C244" s="28"/>
      <c r="D244" s="28"/>
      <c r="E244" s="1949" t="s">
        <v>2889</v>
      </c>
      <c r="F244" s="1949" t="s">
        <v>3464</v>
      </c>
      <c r="G244" s="28"/>
      <c r="H244" s="28"/>
      <c r="I244" s="28"/>
      <c r="J244" s="29" t="s">
        <v>69</v>
      </c>
      <c r="K244" s="30" t="s">
        <v>27</v>
      </c>
      <c r="L244" s="30" t="s">
        <v>60</v>
      </c>
      <c r="M244" s="31" t="s">
        <v>5104</v>
      </c>
      <c r="N244" s="30" t="s">
        <v>5174</v>
      </c>
      <c r="O244" s="30" t="s">
        <v>70</v>
      </c>
      <c r="P244" s="30" t="s">
        <v>71</v>
      </c>
      <c r="Q244" s="30" t="s">
        <v>72</v>
      </c>
      <c r="R244" s="30" t="s">
        <v>73</v>
      </c>
      <c r="S244" s="30" t="s">
        <v>74</v>
      </c>
      <c r="T244" s="30" t="s">
        <v>5102</v>
      </c>
      <c r="V244" s="290" t="s">
        <v>3651</v>
      </c>
      <c r="W244" s="290" t="s">
        <v>3652</v>
      </c>
      <c r="X244" s="290" t="s">
        <v>3653</v>
      </c>
      <c r="Y244" s="290" t="s">
        <v>3740</v>
      </c>
    </row>
    <row r="245" spans="2:25" ht="12" customHeight="1" thickBot="1">
      <c r="B245" s="3" t="s">
        <v>258</v>
      </c>
      <c r="E245" s="110" t="s">
        <v>360</v>
      </c>
      <c r="F245" s="3005">
        <v>1</v>
      </c>
      <c r="G245" s="289" t="str">
        <f>VLOOKUP(F245,$C$254:$D$255,2,FALSE)</f>
        <v>현재 수준의 지불율 유지 가정</v>
      </c>
      <c r="J245" s="284">
        <f>HLOOKUP(J$244,주요지표_New!$O$11:$T$16,MATCH($B245,주요지표_New!$L$11:$L$16,0),0)</f>
        <v>0.97149629764256584</v>
      </c>
      <c r="K245" s="285">
        <f>HLOOKUP(K$244,주요지표_New!$O$11:$T$16,MATCH($B245,주요지표_New!$L$11:$L$16,0),0)</f>
        <v>0.97160333965011725</v>
      </c>
      <c r="L245" s="2635">
        <f>HLOOKUP(L$244,주요지표_New!$O$11:$T$16,MATCH($B245,주요지표_New!$L$11:$L$16,0),0)</f>
        <v>0.97009855272302226</v>
      </c>
      <c r="M245" s="2636">
        <f>HLOOKUP(M$244,주요지표_New!$O$11:$T$16,MATCH($B245,주요지표_New!$L$11:$L$16,0),0)</f>
        <v>0.9717579521793327</v>
      </c>
      <c r="N245" s="245">
        <f>O245</f>
        <v>0.9717579521793327</v>
      </c>
      <c r="O245" s="245">
        <f t="shared" ref="O245:T249" si="62">CHOOSE($F245,$M245,AVERAGE($J245:$K245,$L245:$M245))</f>
        <v>0.9717579521793327</v>
      </c>
      <c r="P245" s="245">
        <f t="shared" si="62"/>
        <v>0.9717579521793327</v>
      </c>
      <c r="Q245" s="245">
        <f t="shared" si="62"/>
        <v>0.9717579521793327</v>
      </c>
      <c r="R245" s="245">
        <f t="shared" si="62"/>
        <v>0.9717579521793327</v>
      </c>
      <c r="S245" s="245">
        <f t="shared" si="62"/>
        <v>0.9717579521793327</v>
      </c>
      <c r="T245" s="245">
        <f t="shared" si="62"/>
        <v>0.9717579521793327</v>
      </c>
      <c r="U245" s="289"/>
      <c r="V245" s="110"/>
      <c r="W245" s="110">
        <v>1</v>
      </c>
      <c r="X245" s="110"/>
      <c r="Y245" s="1958" t="str">
        <f t="shared" ref="Y245:Y249" si="63">INDEX($V$244:$X$244,1,MATCH($F245,$V245:$X245,0))</f>
        <v>Base</v>
      </c>
    </row>
    <row r="246" spans="2:25" ht="12" customHeight="1" thickBot="1">
      <c r="B246" s="3" t="s">
        <v>262</v>
      </c>
      <c r="E246" s="110" t="s">
        <v>2702</v>
      </c>
      <c r="F246" s="3005">
        <v>1</v>
      </c>
      <c r="G246" s="289" t="str">
        <f>VLOOKUP(F246,$C$254:$D$255,2,FALSE)</f>
        <v>현재 수준의 지불율 유지 가정</v>
      </c>
      <c r="J246" s="286">
        <f>HLOOKUP(J$244,주요지표_New!$O$11:$T$16,MATCH($B246,주요지표_New!$L$11:$L$16,0),0)</f>
        <v>0.97305294931399333</v>
      </c>
      <c r="K246" s="246">
        <f>HLOOKUP(K$244,주요지표_New!$O$11:$T$16,MATCH($B246,주요지표_New!$L$11:$L$16,0),0)</f>
        <v>0.97632315588533281</v>
      </c>
      <c r="L246" s="2637">
        <f>HLOOKUP(L$244,주요지표_New!$O$11:$T$16,MATCH($B246,주요지표_New!$L$11:$L$16,0),0)</f>
        <v>0.97203871568690026</v>
      </c>
      <c r="M246" s="2638">
        <f>HLOOKUP(M$244,주요지표_New!$O$11:$T$16,MATCH($B246,주요지표_New!$L$11:$L$16,0),0)</f>
        <v>0.97249756723368674</v>
      </c>
      <c r="N246" s="245">
        <f t="shared" ref="N246:N249" si="64">O246</f>
        <v>0.97249756723368674</v>
      </c>
      <c r="O246" s="245">
        <f t="shared" si="62"/>
        <v>0.97249756723368674</v>
      </c>
      <c r="P246" s="245">
        <f t="shared" si="62"/>
        <v>0.97249756723368674</v>
      </c>
      <c r="Q246" s="245">
        <f t="shared" si="62"/>
        <v>0.97249756723368674</v>
      </c>
      <c r="R246" s="245">
        <f t="shared" si="62"/>
        <v>0.97249756723368674</v>
      </c>
      <c r="S246" s="245">
        <f t="shared" si="62"/>
        <v>0.97249756723368674</v>
      </c>
      <c r="T246" s="245">
        <f t="shared" si="62"/>
        <v>0.97249756723368674</v>
      </c>
      <c r="U246" s="289"/>
      <c r="V246" s="110"/>
      <c r="W246" s="110">
        <v>1</v>
      </c>
      <c r="X246" s="110"/>
      <c r="Y246" s="110" t="str">
        <f t="shared" si="63"/>
        <v>Base</v>
      </c>
    </row>
    <row r="247" spans="2:25" ht="12" customHeight="1" thickBot="1">
      <c r="B247" s="3" t="s">
        <v>264</v>
      </c>
      <c r="E247" s="110" t="s">
        <v>2702</v>
      </c>
      <c r="F247" s="3005">
        <v>1</v>
      </c>
      <c r="G247" s="289" t="str">
        <f>VLOOKUP(F247,$C$254:$D$255,2,FALSE)</f>
        <v>현재 수준의 지불율 유지 가정</v>
      </c>
      <c r="J247" s="286">
        <f>HLOOKUP(J$244,주요지표_New!$O$11:$T$16,MATCH($B247,주요지표_New!$L$11:$L$16,0),0)</f>
        <v>0.94721534547376085</v>
      </c>
      <c r="K247" s="246">
        <f>HLOOKUP(K$244,주요지표_New!$O$11:$T$16,MATCH($B247,주요지표_New!$L$11:$L$16,0),0)</f>
        <v>0.94839201541030282</v>
      </c>
      <c r="L247" s="2637">
        <f>HLOOKUP(L$244,주요지표_New!$O$11:$T$16,MATCH($B247,주요지표_New!$L$11:$L$16,0),0)</f>
        <v>0.94473222106692811</v>
      </c>
      <c r="M247" s="2638">
        <f>HLOOKUP(M$244,주요지표_New!$O$11:$T$16,MATCH($B247,주요지표_New!$L$11:$L$16,0),0)</f>
        <v>0.95161319189172999</v>
      </c>
      <c r="N247" s="245">
        <f t="shared" si="64"/>
        <v>0.95161319189172999</v>
      </c>
      <c r="O247" s="245">
        <f t="shared" si="62"/>
        <v>0.95161319189172999</v>
      </c>
      <c r="P247" s="245">
        <f t="shared" si="62"/>
        <v>0.95161319189172999</v>
      </c>
      <c r="Q247" s="245">
        <f t="shared" si="62"/>
        <v>0.95161319189172999</v>
      </c>
      <c r="R247" s="245">
        <f t="shared" si="62"/>
        <v>0.95161319189172999</v>
      </c>
      <c r="S247" s="245">
        <f t="shared" si="62"/>
        <v>0.95161319189172999</v>
      </c>
      <c r="T247" s="245">
        <f t="shared" si="62"/>
        <v>0.95161319189172999</v>
      </c>
      <c r="U247" s="289"/>
      <c r="V247" s="110"/>
      <c r="W247" s="110">
        <v>1</v>
      </c>
      <c r="X247" s="110"/>
      <c r="Y247" s="110" t="str">
        <f t="shared" si="63"/>
        <v>Base</v>
      </c>
    </row>
    <row r="248" spans="2:25" ht="12" customHeight="1" thickBot="1">
      <c r="B248" s="3" t="s">
        <v>268</v>
      </c>
      <c r="E248" s="110" t="s">
        <v>2702</v>
      </c>
      <c r="F248" s="3005">
        <v>1</v>
      </c>
      <c r="G248" s="289" t="str">
        <f>VLOOKUP(F248,$C$254:$D$255,2,FALSE)</f>
        <v>현재 수준의 지불율 유지 가정</v>
      </c>
      <c r="J248" s="286">
        <f>HLOOKUP(J$244,주요지표_New!$O$11:$T$16,MATCH($B248,주요지표_New!$L$11:$L$16,0),0)</f>
        <v>0.83001951657829587</v>
      </c>
      <c r="K248" s="246">
        <f>HLOOKUP(K$244,주요지표_New!$O$11:$T$16,MATCH($B248,주요지표_New!$L$11:$L$16,0),0)</f>
        <v>0.82320037269019286</v>
      </c>
      <c r="L248" s="2637">
        <f>HLOOKUP(L$244,주요지표_New!$O$11:$T$16,MATCH($B248,주요지표_New!$L$11:$L$16,0),0)</f>
        <v>0.81449508979270446</v>
      </c>
      <c r="M248" s="2638">
        <f>HLOOKUP(M$244,주요지표_New!$O$11:$T$16,MATCH($B248,주요지표_New!$L$11:$L$16,0),0)</f>
        <v>0.81761506544942675</v>
      </c>
      <c r="N248" s="245">
        <f t="shared" si="64"/>
        <v>0.81761506544942675</v>
      </c>
      <c r="O248" s="245">
        <f t="shared" si="62"/>
        <v>0.81761506544942675</v>
      </c>
      <c r="P248" s="245">
        <f t="shared" si="62"/>
        <v>0.81761506544942675</v>
      </c>
      <c r="Q248" s="245">
        <f t="shared" si="62"/>
        <v>0.81761506544942675</v>
      </c>
      <c r="R248" s="245">
        <f t="shared" si="62"/>
        <v>0.81761506544942675</v>
      </c>
      <c r="S248" s="245">
        <f t="shared" si="62"/>
        <v>0.81761506544942675</v>
      </c>
      <c r="T248" s="245">
        <f t="shared" si="62"/>
        <v>0.81761506544942675</v>
      </c>
      <c r="U248" s="289"/>
      <c r="V248" s="110"/>
      <c r="W248" s="110">
        <v>1</v>
      </c>
      <c r="X248" s="110"/>
      <c r="Y248" s="110" t="str">
        <f t="shared" si="63"/>
        <v>Base</v>
      </c>
    </row>
    <row r="249" spans="2:25" ht="12" customHeight="1">
      <c r="B249" s="12" t="s">
        <v>266</v>
      </c>
      <c r="C249" s="12"/>
      <c r="D249" s="12"/>
      <c r="E249" s="1950" t="s">
        <v>2702</v>
      </c>
      <c r="F249" s="3023">
        <v>1</v>
      </c>
      <c r="G249" s="1954" t="str">
        <f>VLOOKUP(F249,$C$254:$D$255,2,FALSE)</f>
        <v>현재 수준의 지불율 유지 가정</v>
      </c>
      <c r="H249" s="12"/>
      <c r="I249" s="12"/>
      <c r="J249" s="287">
        <f>HLOOKUP(J$244,주요지표_New!$O$11:$T$16,MATCH($B249,주요지표_New!$L$11:$L$16,0),0)</f>
        <v>0.74421565615145879</v>
      </c>
      <c r="K249" s="288">
        <f>HLOOKUP(K$244,주요지표_New!$O$11:$T$16,MATCH($B249,주요지표_New!$L$11:$L$16,0),0)</f>
        <v>0.69571813456989284</v>
      </c>
      <c r="L249" s="3066">
        <f>HLOOKUP(L$244,주요지표_New!$O$11:$T$16,MATCH($B249,주요지표_New!$L$11:$L$16,0),0)</f>
        <v>0.73457374908931383</v>
      </c>
      <c r="M249" s="3067">
        <f>HLOOKUP(M$244,주요지표_New!$O$11:$T$16,MATCH($B249,주요지표_New!$L$11:$L$16,0),0)</f>
        <v>0.74323403091096418</v>
      </c>
      <c r="N249" s="247">
        <f t="shared" si="64"/>
        <v>0.74323403091096418</v>
      </c>
      <c r="O249" s="247">
        <f t="shared" si="62"/>
        <v>0.74323403091096418</v>
      </c>
      <c r="P249" s="247">
        <f t="shared" si="62"/>
        <v>0.74323403091096418</v>
      </c>
      <c r="Q249" s="247">
        <f t="shared" si="62"/>
        <v>0.74323403091096418</v>
      </c>
      <c r="R249" s="247">
        <f t="shared" si="62"/>
        <v>0.74323403091096418</v>
      </c>
      <c r="S249" s="247">
        <f t="shared" si="62"/>
        <v>0.74323403091096418</v>
      </c>
      <c r="T249" s="247">
        <f t="shared" si="62"/>
        <v>0.74323403091096418</v>
      </c>
      <c r="U249" s="289"/>
      <c r="V249" s="1950"/>
      <c r="W249" s="1950">
        <v>1</v>
      </c>
      <c r="X249" s="1950"/>
      <c r="Y249" s="1950" t="str">
        <f t="shared" si="63"/>
        <v>Base</v>
      </c>
    </row>
    <row r="250" spans="2:25" ht="12" customHeight="1">
      <c r="B250" s="1953" t="s">
        <v>351</v>
      </c>
      <c r="J250" s="221"/>
      <c r="K250" s="221"/>
      <c r="L250" s="221"/>
      <c r="M250" s="221"/>
      <c r="N250" s="105"/>
      <c r="O250" s="105"/>
      <c r="P250" s="105"/>
      <c r="Q250" s="105"/>
      <c r="R250" s="105"/>
      <c r="S250" s="105"/>
      <c r="T250" s="105"/>
    </row>
    <row r="251" spans="2:25" ht="12" customHeight="1">
      <c r="B251" s="3" t="s">
        <v>3503</v>
      </c>
      <c r="J251" s="221"/>
      <c r="K251" s="221"/>
      <c r="L251" s="221"/>
      <c r="M251" s="221"/>
      <c r="N251" s="105"/>
      <c r="O251" s="105"/>
      <c r="P251" s="105"/>
      <c r="Q251" s="105"/>
      <c r="R251" s="105"/>
      <c r="S251" s="105"/>
      <c r="T251" s="105"/>
    </row>
    <row r="252" spans="2:25" ht="12" customHeight="1">
      <c r="B252" s="3" t="s">
        <v>3499</v>
      </c>
      <c r="J252" s="221"/>
      <c r="K252" s="221"/>
      <c r="L252" s="221"/>
      <c r="M252" s="221"/>
      <c r="N252" s="105"/>
      <c r="O252" s="105"/>
      <c r="P252" s="105"/>
      <c r="Q252" s="105"/>
      <c r="R252" s="105"/>
      <c r="S252" s="105"/>
      <c r="T252" s="105"/>
    </row>
    <row r="253" spans="2:25" ht="12" customHeight="1">
      <c r="C253" s="1950" t="s">
        <v>3464</v>
      </c>
      <c r="D253" s="1957" t="s">
        <v>3469</v>
      </c>
      <c r="E253" s="1957"/>
      <c r="F253" s="1957"/>
      <c r="G253" s="1957"/>
      <c r="H253" s="1957"/>
      <c r="I253" s="1957"/>
      <c r="J253" s="1957"/>
      <c r="K253" s="1957"/>
      <c r="L253" s="1957"/>
      <c r="M253" s="1957"/>
      <c r="N253" s="1957"/>
      <c r="O253" s="1957"/>
      <c r="P253" s="1957"/>
      <c r="Q253" s="1957"/>
      <c r="R253" s="1957"/>
      <c r="S253" s="1957"/>
      <c r="T253" s="1957"/>
    </row>
    <row r="254" spans="2:25" ht="12" customHeight="1">
      <c r="C254" s="1958">
        <v>1</v>
      </c>
      <c r="D254" s="302" t="s">
        <v>1361</v>
      </c>
      <c r="E254" s="302"/>
      <c r="F254" s="302"/>
      <c r="G254" s="302"/>
      <c r="H254" s="302"/>
      <c r="I254" s="302"/>
      <c r="J254" s="302"/>
      <c r="K254" s="302"/>
      <c r="L254" s="302"/>
      <c r="M254" s="302"/>
      <c r="N254" s="302"/>
      <c r="O254" s="302"/>
      <c r="P254" s="302"/>
      <c r="Q254" s="302"/>
      <c r="R254" s="302"/>
      <c r="S254" s="302"/>
      <c r="T254" s="302"/>
    </row>
    <row r="255" spans="2:25" ht="12" customHeight="1">
      <c r="C255" s="1950">
        <v>2</v>
      </c>
      <c r="D255" s="12" t="s">
        <v>3504</v>
      </c>
      <c r="E255" s="12"/>
      <c r="F255" s="12"/>
      <c r="G255" s="12"/>
      <c r="H255" s="12"/>
      <c r="I255" s="12"/>
      <c r="J255" s="12"/>
      <c r="K255" s="12"/>
      <c r="L255" s="12"/>
      <c r="M255" s="12"/>
      <c r="N255" s="12"/>
      <c r="O255" s="12"/>
      <c r="P255" s="12"/>
      <c r="Q255" s="12"/>
      <c r="R255" s="12"/>
      <c r="S255" s="12"/>
      <c r="T255" s="12"/>
    </row>
    <row r="256" spans="2:25" ht="12" customHeight="1">
      <c r="V256"/>
      <c r="W256"/>
      <c r="X256"/>
      <c r="Y256"/>
    </row>
    <row r="257" spans="1:25" customFormat="1" ht="12" customHeight="1">
      <c r="A257" s="1918"/>
      <c r="B257" s="555" t="s">
        <v>3508</v>
      </c>
      <c r="C257" s="555"/>
      <c r="D257" s="1919"/>
      <c r="E257" s="1919"/>
      <c r="F257" s="1919"/>
      <c r="G257" s="1919"/>
      <c r="H257" s="1919"/>
      <c r="I257" s="1919"/>
      <c r="J257" s="1919"/>
      <c r="K257" s="1919"/>
      <c r="L257" s="1919"/>
      <c r="M257" s="1919"/>
      <c r="N257" s="1919"/>
      <c r="O257" s="1919"/>
      <c r="P257" s="1919"/>
      <c r="Q257" s="1919"/>
      <c r="R257" s="1919"/>
      <c r="S257" s="1919"/>
      <c r="T257" s="1919"/>
      <c r="U257" s="1919"/>
      <c r="V257" s="1919"/>
      <c r="W257" s="1919"/>
      <c r="X257" s="1919"/>
      <c r="Y257" s="1919"/>
    </row>
    <row r="259" spans="1:25" ht="12" customHeight="1">
      <c r="B259" s="32" t="s">
        <v>5604</v>
      </c>
    </row>
    <row r="260" spans="1:25" ht="12" customHeight="1">
      <c r="B260" s="24"/>
      <c r="C260" s="24"/>
      <c r="D260" s="24"/>
      <c r="E260" s="24"/>
      <c r="F260" s="24"/>
      <c r="G260" s="24"/>
      <c r="H260" s="24"/>
      <c r="I260" s="24"/>
      <c r="J260" s="25" t="s">
        <v>23</v>
      </c>
      <c r="K260" s="26"/>
      <c r="L260" s="26"/>
      <c r="M260" s="27"/>
      <c r="N260" s="26" t="s">
        <v>24</v>
      </c>
      <c r="O260" s="26"/>
      <c r="P260" s="26"/>
      <c r="Q260" s="26"/>
      <c r="R260" s="26"/>
      <c r="S260" s="26"/>
      <c r="T260" s="26"/>
      <c r="V260" s="2041" t="s">
        <v>3650</v>
      </c>
      <c r="W260" s="2041"/>
      <c r="X260" s="2041"/>
      <c r="Y260" s="2041"/>
    </row>
    <row r="261" spans="1:25" ht="12" customHeight="1" thickBot="1">
      <c r="B261" s="28"/>
      <c r="C261" s="28"/>
      <c r="D261" s="28"/>
      <c r="E261" s="1949" t="s">
        <v>2889</v>
      </c>
      <c r="F261" s="1949" t="s">
        <v>3464</v>
      </c>
      <c r="G261" s="28"/>
      <c r="H261" s="28"/>
      <c r="I261" s="28"/>
      <c r="J261" s="29" t="s">
        <v>69</v>
      </c>
      <c r="K261" s="30" t="s">
        <v>27</v>
      </c>
      <c r="L261" s="30" t="s">
        <v>60</v>
      </c>
      <c r="M261" s="31" t="s">
        <v>5104</v>
      </c>
      <c r="N261" s="30" t="s">
        <v>5174</v>
      </c>
      <c r="O261" s="30" t="s">
        <v>70</v>
      </c>
      <c r="P261" s="30" t="s">
        <v>71</v>
      </c>
      <c r="Q261" s="30" t="s">
        <v>72</v>
      </c>
      <c r="R261" s="30" t="s">
        <v>73</v>
      </c>
      <c r="S261" s="30" t="s">
        <v>74</v>
      </c>
      <c r="T261" s="30" t="s">
        <v>5102</v>
      </c>
      <c r="V261" s="290" t="s">
        <v>3651</v>
      </c>
      <c r="W261" s="290" t="s">
        <v>3652</v>
      </c>
      <c r="X261" s="290" t="s">
        <v>3653</v>
      </c>
      <c r="Y261" s="290" t="s">
        <v>3740</v>
      </c>
    </row>
    <row r="262" spans="1:25" ht="12" customHeight="1" thickBot="1">
      <c r="B262" s="3" t="s">
        <v>5605</v>
      </c>
      <c r="E262" s="110" t="s">
        <v>5607</v>
      </c>
      <c r="F262" s="291">
        <v>2</v>
      </c>
      <c r="J262" s="4461">
        <f>COGS!J125</f>
        <v>583</v>
      </c>
      <c r="K262" s="304">
        <f>COGS!K125</f>
        <v>586</v>
      </c>
      <c r="L262" s="304">
        <f>COGS!L125</f>
        <v>607</v>
      </c>
      <c r="M262" s="4462">
        <f>COGS!M125</f>
        <v>616</v>
      </c>
      <c r="N262" s="105">
        <f>CHOOSE($F262,$M262,인력data!S3)+IF(F12="Base",CHOOSE($F263,$M263,-인력data!S10-인력data!$O$91),)</f>
        <v>628</v>
      </c>
      <c r="O262" s="105">
        <f>(M262*3+N262)/4</f>
        <v>619</v>
      </c>
      <c r="P262" s="105">
        <f>CHOOSE($F262,$M262,인력data!T3)+IF(F12="Base",CHOOSE($F263,$M263,-인력data!T10-인력data!$O$91),)</f>
        <v>616</v>
      </c>
      <c r="Q262" s="105">
        <f>CHOOSE($F262,$M262,인력data!U3)+IF(F12="Base",CHOOSE($F263,$M263,-인력data!U10-인력data!$O$91),)</f>
        <v>615</v>
      </c>
      <c r="R262" s="105">
        <f>CHOOSE($F262,$M262,인력data!V3)+IF(F12="Base",CHOOSE($F263,$M263,-인력data!V10-인력data!$O$91),)</f>
        <v>611</v>
      </c>
      <c r="S262" s="105">
        <f>CHOOSE($F262,$M262,인력data!W3)+IF(F12="Base",CHOOSE($F263,$M263,-인력data!W10-인력data!$O$91),)</f>
        <v>611</v>
      </c>
      <c r="T262" s="105">
        <f>CHOOSE($F262,$M262,인력data!X3)+IF(F12="Base",CHOOSE($F263,$M263,-인력data!X10-인력data!$O$91),)</f>
        <v>611</v>
      </c>
      <c r="V262" s="110"/>
      <c r="W262" s="110">
        <v>2</v>
      </c>
      <c r="X262" s="110"/>
      <c r="Y262" s="110" t="str">
        <f t="shared" ref="Y262" si="65">INDEX($V$261:$X$261,1,MATCH($F262,$V262:$X262,0))</f>
        <v>Base</v>
      </c>
    </row>
    <row r="263" spans="1:25" ht="12" customHeight="1" thickBot="1">
      <c r="B263" s="3" t="s">
        <v>4913</v>
      </c>
      <c r="E263" s="110" t="s">
        <v>5606</v>
      </c>
      <c r="F263" s="291">
        <v>2</v>
      </c>
      <c r="J263" s="216">
        <f>COGS!J126</f>
        <v>12</v>
      </c>
      <c r="K263" s="105">
        <f>COGS!K126</f>
        <v>12</v>
      </c>
      <c r="L263" s="105">
        <f>COGS!L126</f>
        <v>13</v>
      </c>
      <c r="M263" s="106">
        <f>COGS!M126</f>
        <v>13</v>
      </c>
      <c r="N263" s="105">
        <f>IF(F12="Best",CHOOSE($F263,$M263,-인력data!S10-인력data!$O$91),)</f>
        <v>0</v>
      </c>
      <c r="O263" s="105">
        <f t="shared" ref="O263:O264" si="66">(M263*3+N263)/4</f>
        <v>9.75</v>
      </c>
      <c r="P263" s="105">
        <f>IF(F12="Best",CHOOSE($F263,$M263,-인력data!T10-인력data!$O$91),)</f>
        <v>0</v>
      </c>
      <c r="Q263" s="105">
        <f>IF(F12="Best",CHOOSE($F263,$M263,-인력data!U10-인력data!$O$91),)</f>
        <v>0</v>
      </c>
      <c r="R263" s="105">
        <f>IF(F12="Best",CHOOSE($F263,$M263,-인력data!V10-인력data!$O$91),)</f>
        <v>0</v>
      </c>
      <c r="S263" s="105">
        <f>IF(F12="Best",CHOOSE($F263,$M263,-인력data!W10-인력data!$O$91),)</f>
        <v>0</v>
      </c>
      <c r="T263" s="105">
        <f>IF(F12="Best",CHOOSE($F263,$M263,-인력data!X10-인력data!$O$91),)</f>
        <v>0</v>
      </c>
      <c r="V263" s="110"/>
      <c r="W263" s="110">
        <v>2</v>
      </c>
      <c r="X263" s="110"/>
      <c r="Y263" s="110" t="str">
        <f>INDEX($V$261:$X$261,1,MATCH($F263,$V263:$X263,0))</f>
        <v>Base</v>
      </c>
    </row>
    <row r="264" spans="1:25" ht="12" customHeight="1" thickBot="1">
      <c r="B264" s="12" t="s">
        <v>320</v>
      </c>
      <c r="C264" s="12"/>
      <c r="D264" s="12"/>
      <c r="E264" s="1950" t="s">
        <v>5606</v>
      </c>
      <c r="F264" s="291">
        <v>2</v>
      </c>
      <c r="G264" s="12"/>
      <c r="H264" s="12"/>
      <c r="I264" s="12"/>
      <c r="J264" s="397">
        <f>COGS!J127</f>
        <v>48</v>
      </c>
      <c r="K264" s="107">
        <f>COGS!K127</f>
        <v>52</v>
      </c>
      <c r="L264" s="107">
        <f>COGS!L127</f>
        <v>52</v>
      </c>
      <c r="M264" s="2164">
        <f>COGS!M127</f>
        <v>49</v>
      </c>
      <c r="N264" s="107">
        <f>CHOOSE($F264,$M264,$M264)</f>
        <v>49</v>
      </c>
      <c r="O264" s="107">
        <f t="shared" si="66"/>
        <v>49</v>
      </c>
      <c r="P264" s="107">
        <f>CHOOSE($F264,$M264,$M264)</f>
        <v>49</v>
      </c>
      <c r="Q264" s="107">
        <f t="shared" ref="Q264:T264" si="67">CHOOSE($F264,$M264,$M264)</f>
        <v>49</v>
      </c>
      <c r="R264" s="107">
        <f t="shared" si="67"/>
        <v>49</v>
      </c>
      <c r="S264" s="107">
        <f t="shared" si="67"/>
        <v>49</v>
      </c>
      <c r="T264" s="107">
        <f t="shared" si="67"/>
        <v>49</v>
      </c>
      <c r="V264" s="1950"/>
      <c r="W264" s="1950">
        <v>2</v>
      </c>
      <c r="X264" s="1950"/>
      <c r="Y264" s="1950" t="str">
        <f t="shared" ref="Y264" si="68">INDEX($V$261:$X$261,1,MATCH($F264,$V264:$X264,0))</f>
        <v>Base</v>
      </c>
    </row>
    <row r="265" spans="1:25" ht="12" customHeight="1">
      <c r="B265" s="1953" t="s">
        <v>351</v>
      </c>
    </row>
    <row r="266" spans="1:25" ht="12" customHeight="1">
      <c r="B266" s="3" t="s">
        <v>5639</v>
      </c>
    </row>
    <row r="267" spans="1:25" ht="12" customHeight="1">
      <c r="B267" s="3" t="s">
        <v>3499</v>
      </c>
    </row>
    <row r="268" spans="1:25" ht="12" customHeight="1">
      <c r="C268" s="1950" t="s">
        <v>3464</v>
      </c>
      <c r="D268" s="1957" t="s">
        <v>3469</v>
      </c>
      <c r="E268" s="1957"/>
      <c r="F268" s="1957"/>
      <c r="G268" s="1957"/>
      <c r="H268" s="1957"/>
      <c r="I268" s="1957"/>
      <c r="J268" s="1957"/>
      <c r="K268" s="1957"/>
      <c r="L268" s="1957"/>
      <c r="M268" s="1957"/>
      <c r="N268" s="1957"/>
      <c r="O268" s="1957"/>
      <c r="P268" s="1957"/>
      <c r="Q268" s="1957"/>
      <c r="R268" s="1957"/>
      <c r="S268" s="1957"/>
      <c r="T268" s="1957"/>
    </row>
    <row r="269" spans="1:25" ht="12" customHeight="1">
      <c r="C269" s="1958">
        <v>1</v>
      </c>
      <c r="D269" s="302" t="s">
        <v>5608</v>
      </c>
      <c r="E269" s="302"/>
      <c r="F269" s="302"/>
      <c r="G269" s="302"/>
      <c r="H269" s="302"/>
      <c r="I269" s="302"/>
      <c r="J269" s="302"/>
      <c r="K269" s="302"/>
      <c r="L269" s="302"/>
      <c r="M269" s="302"/>
      <c r="N269" s="302"/>
      <c r="O269" s="302"/>
      <c r="P269" s="302"/>
      <c r="Q269" s="302"/>
      <c r="R269" s="302"/>
      <c r="S269" s="302"/>
      <c r="T269" s="302"/>
    </row>
    <row r="270" spans="1:25" ht="12" customHeight="1">
      <c r="C270" s="1950">
        <v>2</v>
      </c>
      <c r="D270" s="12" t="s">
        <v>6867</v>
      </c>
      <c r="E270" s="12"/>
      <c r="F270" s="12"/>
      <c r="G270" s="12"/>
      <c r="H270" s="12"/>
      <c r="I270" s="12"/>
      <c r="J270" s="12"/>
      <c r="K270" s="12"/>
      <c r="L270" s="12"/>
      <c r="M270" s="12"/>
      <c r="N270" s="12"/>
      <c r="O270" s="12"/>
      <c r="P270" s="12"/>
      <c r="Q270" s="12"/>
      <c r="R270" s="12"/>
      <c r="S270" s="12"/>
      <c r="T270" s="12"/>
    </row>
    <row r="272" spans="1:25" ht="12" customHeight="1">
      <c r="B272" s="32" t="s">
        <v>1370</v>
      </c>
      <c r="C272" s="32"/>
    </row>
    <row r="273" spans="1:25" ht="12" customHeight="1">
      <c r="B273" s="24"/>
      <c r="C273" s="24"/>
      <c r="D273" s="24"/>
      <c r="E273" s="24"/>
      <c r="F273" s="24"/>
      <c r="G273" s="24"/>
      <c r="H273" s="24"/>
      <c r="I273" s="24"/>
      <c r="J273" s="25" t="s">
        <v>23</v>
      </c>
      <c r="K273" s="26"/>
      <c r="L273" s="26"/>
      <c r="M273" s="27"/>
      <c r="N273" s="26" t="s">
        <v>24</v>
      </c>
      <c r="O273" s="26"/>
      <c r="P273" s="26"/>
      <c r="Q273" s="26"/>
      <c r="R273" s="26"/>
      <c r="S273" s="26"/>
      <c r="T273" s="26"/>
      <c r="V273" s="2041" t="s">
        <v>3650</v>
      </c>
      <c r="W273" s="2041"/>
      <c r="X273" s="2041"/>
      <c r="Y273" s="2041"/>
    </row>
    <row r="274" spans="1:25" ht="12" customHeight="1" thickBot="1">
      <c r="B274" s="28"/>
      <c r="C274" s="28"/>
      <c r="D274" s="28"/>
      <c r="E274" s="1949" t="s">
        <v>2889</v>
      </c>
      <c r="F274" s="1949" t="s">
        <v>3464</v>
      </c>
      <c r="G274" s="28"/>
      <c r="H274" s="28"/>
      <c r="I274" s="28"/>
      <c r="J274" s="29" t="s">
        <v>69</v>
      </c>
      <c r="K274" s="30" t="s">
        <v>27</v>
      </c>
      <c r="L274" s="30" t="s">
        <v>60</v>
      </c>
      <c r="M274" s="31" t="s">
        <v>5104</v>
      </c>
      <c r="N274" s="30" t="s">
        <v>5174</v>
      </c>
      <c r="O274" s="30">
        <v>2021</v>
      </c>
      <c r="P274" s="30" t="s">
        <v>71</v>
      </c>
      <c r="Q274" s="30" t="s">
        <v>72</v>
      </c>
      <c r="R274" s="30" t="s">
        <v>73</v>
      </c>
      <c r="S274" s="30" t="s">
        <v>74</v>
      </c>
      <c r="T274" s="30" t="s">
        <v>5102</v>
      </c>
      <c r="V274" s="290" t="s">
        <v>3651</v>
      </c>
      <c r="W274" s="290" t="s">
        <v>3652</v>
      </c>
      <c r="X274" s="290" t="s">
        <v>3653</v>
      </c>
      <c r="Y274" s="290" t="s">
        <v>3740</v>
      </c>
    </row>
    <row r="275" spans="1:25" ht="12" customHeight="1" thickBot="1">
      <c r="B275" s="295" t="s">
        <v>3509</v>
      </c>
      <c r="C275" s="295"/>
      <c r="D275" s="295"/>
      <c r="E275" s="1960" t="s">
        <v>360</v>
      </c>
      <c r="F275" s="291">
        <v>3</v>
      </c>
      <c r="G275" s="1961" t="str">
        <f>VLOOKUP(F275,$C$280:$D$282,2,FALSE)</f>
        <v>전년도 영업이익과의 상관계수 활용(2021년 4Q는 유지)</v>
      </c>
      <c r="H275" s="295"/>
      <c r="I275" s="295"/>
      <c r="J275" s="312">
        <f>COGS!J130</f>
        <v>7.5153691461698063E-2</v>
      </c>
      <c r="K275" s="313">
        <f>COGS!K130</f>
        <v>9.8814590174732944E-2</v>
      </c>
      <c r="L275" s="313">
        <f>COGS!L130</f>
        <v>9.5349803314765919E-2</v>
      </c>
      <c r="M275" s="2482">
        <f>COGS!M130</f>
        <v>7.6219350714472903E-2</v>
      </c>
      <c r="N275" s="376">
        <f>M275</f>
        <v>7.6219350714472903E-2</v>
      </c>
      <c r="O275" s="314">
        <f>COGS!O130</f>
        <v>7.6219350714472889E-2</v>
      </c>
      <c r="P275" s="314">
        <f>CHOOSE($F$275,$M$275,AVERAGE($J275:$K275,$L275:$M275),_xlfn.FORECAST.LINEAR(DCF!O13,$J$275:$M$275,DCF!$I$13:$L$13))</f>
        <v>0.10605270868886645</v>
      </c>
      <c r="Q275" s="314">
        <f>CHOOSE($F$275,$M$275,AVERAGE($J275:$K275,$L275:$M275),_xlfn.FORECAST.LINEAR(DCF!P13,$J$275:$M$275,DCF!$I$13:$L$13))</f>
        <v>0.10607135863158715</v>
      </c>
      <c r="R275" s="314">
        <f>CHOOSE($F$275,$M$275,AVERAGE($J275:$K275,$L275:$M275),_xlfn.FORECAST.LINEAR(DCF!Q13,$J$275:$M$275,DCF!$I$13:$L$13))</f>
        <v>0.10854106178069703</v>
      </c>
      <c r="S275" s="314">
        <f>CHOOSE($F$275,$M$275,AVERAGE($J275:$K275,$L275:$M275),_xlfn.FORECAST.LINEAR(DCF!R13,$J$275:$M$275,DCF!$I$13:$L$13))</f>
        <v>0.1114828163786992</v>
      </c>
      <c r="T275" s="314">
        <f>CHOOSE($F$275,$M$275,AVERAGE($J275:$K275,$L275:$M275),_xlfn.FORECAST.LINEAR(DCF!S13,$J$275:$M$275,DCF!$I$13:$L$13))</f>
        <v>0.11186889250799287</v>
      </c>
      <c r="U275" s="289"/>
      <c r="V275" s="1950" t="s">
        <v>125</v>
      </c>
      <c r="W275" s="1950">
        <v>3</v>
      </c>
      <c r="X275" s="1950"/>
      <c r="Y275" s="1950" t="str">
        <f>INDEX($V$274:$X$274,1,MATCH($F275,$V275:$X275,0))</f>
        <v>Base</v>
      </c>
    </row>
    <row r="276" spans="1:25" ht="12" customHeight="1">
      <c r="B276" s="1953" t="s">
        <v>351</v>
      </c>
      <c r="J276" s="221"/>
      <c r="K276" s="221"/>
      <c r="L276" s="221"/>
      <c r="M276" s="221"/>
      <c r="N276" s="105"/>
      <c r="O276" s="105"/>
      <c r="P276" s="105"/>
      <c r="Q276" s="105"/>
      <c r="R276" s="105"/>
      <c r="S276" s="105"/>
      <c r="T276" s="105"/>
    </row>
    <row r="277" spans="1:25" ht="12" customHeight="1">
      <c r="B277" s="3" t="s">
        <v>6146</v>
      </c>
      <c r="J277" s="221"/>
      <c r="K277" s="221"/>
      <c r="L277" s="221"/>
      <c r="M277" s="221"/>
      <c r="N277" s="105"/>
      <c r="O277" s="105"/>
      <c r="P277" s="105"/>
      <c r="Q277" s="105"/>
      <c r="R277" s="105"/>
      <c r="S277" s="105"/>
      <c r="T277" s="105"/>
    </row>
    <row r="278" spans="1:25" ht="12" customHeight="1">
      <c r="B278" s="3" t="s">
        <v>3499</v>
      </c>
      <c r="J278" s="221"/>
      <c r="K278" s="221"/>
      <c r="L278" s="221"/>
      <c r="M278" s="221"/>
      <c r="N278" s="105"/>
      <c r="O278" s="105"/>
      <c r="P278" s="105"/>
      <c r="Q278" s="105"/>
      <c r="R278" s="105"/>
      <c r="S278" s="105"/>
      <c r="T278" s="105"/>
    </row>
    <row r="279" spans="1:25" ht="12" customHeight="1">
      <c r="C279" s="1950" t="s">
        <v>3464</v>
      </c>
      <c r="D279" s="1957" t="s">
        <v>3469</v>
      </c>
      <c r="E279" s="1957"/>
      <c r="F279" s="1957"/>
      <c r="G279" s="1957"/>
      <c r="H279" s="1957"/>
      <c r="I279" s="1957"/>
      <c r="J279" s="1957"/>
      <c r="K279" s="1957"/>
      <c r="L279" s="1957"/>
      <c r="M279" s="1957"/>
      <c r="N279" s="1957"/>
      <c r="O279" s="1957"/>
      <c r="P279" s="1957"/>
      <c r="Q279" s="1957"/>
      <c r="R279" s="1957"/>
      <c r="S279" s="1957"/>
      <c r="T279" s="1957"/>
    </row>
    <row r="280" spans="1:25" ht="12" customHeight="1">
      <c r="C280" s="4149">
        <v>1</v>
      </c>
      <c r="D280" s="4150" t="s">
        <v>1369</v>
      </c>
      <c r="E280" s="4150"/>
      <c r="F280" s="4150"/>
      <c r="G280" s="4150"/>
      <c r="H280" s="4150"/>
      <c r="I280" s="4150"/>
      <c r="J280" s="4150"/>
      <c r="K280" s="4150"/>
      <c r="L280" s="4150"/>
      <c r="M280" s="4150"/>
      <c r="N280" s="4150"/>
      <c r="O280" s="4150"/>
      <c r="P280" s="4150"/>
      <c r="Q280" s="4150"/>
      <c r="R280" s="4150"/>
      <c r="S280" s="4150"/>
      <c r="T280" s="4150"/>
    </row>
    <row r="281" spans="1:25" ht="12" customHeight="1">
      <c r="C281" s="110">
        <v>2</v>
      </c>
      <c r="D281" s="3" t="s">
        <v>5350</v>
      </c>
    </row>
    <row r="282" spans="1:25" ht="12" customHeight="1">
      <c r="C282" s="1950">
        <v>3</v>
      </c>
      <c r="D282" s="12" t="s">
        <v>6871</v>
      </c>
      <c r="E282" s="12"/>
      <c r="F282" s="12"/>
      <c r="G282" s="12"/>
      <c r="H282" s="12"/>
      <c r="I282" s="12"/>
      <c r="J282" s="12"/>
      <c r="K282" s="12"/>
      <c r="L282" s="12"/>
      <c r="M282" s="12"/>
      <c r="N282" s="12"/>
      <c r="O282" s="12"/>
      <c r="P282" s="12"/>
      <c r="Q282" s="12"/>
      <c r="R282" s="12"/>
      <c r="S282" s="12"/>
      <c r="T282" s="12"/>
    </row>
    <row r="283" spans="1:25" ht="12" customHeight="1">
      <c r="V283"/>
      <c r="W283"/>
      <c r="X283"/>
      <c r="Y283"/>
    </row>
    <row r="284" spans="1:25" customFormat="1" ht="12" customHeight="1">
      <c r="A284" s="1918"/>
      <c r="B284" s="555" t="s">
        <v>3510</v>
      </c>
      <c r="C284" s="555"/>
      <c r="D284" s="1919"/>
      <c r="E284" s="1919"/>
      <c r="F284" s="1919"/>
      <c r="G284" s="1919"/>
      <c r="H284" s="1919"/>
      <c r="I284" s="1919"/>
      <c r="J284" s="1919"/>
      <c r="K284" s="1919"/>
      <c r="L284" s="1919"/>
      <c r="M284" s="1919"/>
      <c r="N284" s="1919"/>
      <c r="O284" s="1919"/>
      <c r="P284" s="1919"/>
      <c r="Q284" s="1919"/>
      <c r="R284" s="1919"/>
      <c r="S284" s="1919"/>
      <c r="T284" s="1919"/>
      <c r="U284" s="1919"/>
      <c r="V284" s="1919"/>
      <c r="W284" s="1919"/>
      <c r="X284" s="1919"/>
      <c r="Y284" s="1919"/>
    </row>
    <row r="286" spans="1:25" ht="12" customHeight="1">
      <c r="B286" s="32" t="s">
        <v>1372</v>
      </c>
      <c r="C286" s="32"/>
    </row>
    <row r="287" spans="1:25" ht="12" customHeight="1">
      <c r="B287" s="24"/>
      <c r="C287" s="24"/>
      <c r="D287" s="24"/>
      <c r="E287" s="24"/>
      <c r="F287" s="24"/>
      <c r="G287" s="24"/>
      <c r="H287" s="24"/>
      <c r="I287" s="24"/>
      <c r="J287" s="25" t="s">
        <v>23</v>
      </c>
      <c r="K287" s="26"/>
      <c r="L287" s="26"/>
      <c r="M287" s="27"/>
      <c r="N287" s="26" t="s">
        <v>24</v>
      </c>
      <c r="O287" s="26"/>
      <c r="P287" s="26"/>
      <c r="Q287" s="26"/>
      <c r="R287" s="26"/>
      <c r="S287" s="26"/>
      <c r="T287" s="26"/>
      <c r="V287" s="2041" t="s">
        <v>3650</v>
      </c>
      <c r="W287" s="2041"/>
      <c r="X287" s="2041"/>
      <c r="Y287" s="2041"/>
    </row>
    <row r="288" spans="1:25" ht="12" customHeight="1" thickBot="1">
      <c r="B288" s="28"/>
      <c r="C288" s="28"/>
      <c r="D288" s="28"/>
      <c r="E288" s="1949" t="s">
        <v>2889</v>
      </c>
      <c r="F288" s="1949" t="s">
        <v>3464</v>
      </c>
      <c r="G288" s="28"/>
      <c r="H288" s="28"/>
      <c r="I288" s="28"/>
      <c r="J288" s="29" t="s">
        <v>69</v>
      </c>
      <c r="K288" s="30" t="s">
        <v>27</v>
      </c>
      <c r="L288" s="30" t="s">
        <v>60</v>
      </c>
      <c r="M288" s="31" t="s">
        <v>5104</v>
      </c>
      <c r="N288" s="30" t="s">
        <v>5174</v>
      </c>
      <c r="O288" s="30" t="s">
        <v>70</v>
      </c>
      <c r="P288" s="30" t="s">
        <v>71</v>
      </c>
      <c r="Q288" s="30" t="s">
        <v>72</v>
      </c>
      <c r="R288" s="30" t="s">
        <v>73</v>
      </c>
      <c r="S288" s="30" t="s">
        <v>74</v>
      </c>
      <c r="T288" s="30" t="s">
        <v>5102</v>
      </c>
      <c r="V288" s="290" t="s">
        <v>3651</v>
      </c>
      <c r="W288" s="290" t="s">
        <v>3652</v>
      </c>
      <c r="X288" s="290" t="s">
        <v>3653</v>
      </c>
      <c r="Y288" s="290" t="s">
        <v>3740</v>
      </c>
    </row>
    <row r="289" spans="2:25" ht="12" customHeight="1" thickBot="1">
      <c r="B289" s="379" t="s">
        <v>6802</v>
      </c>
      <c r="C289" s="379"/>
      <c r="D289" s="45"/>
      <c r="E289" s="110" t="s">
        <v>6803</v>
      </c>
      <c r="F289" s="291">
        <v>1</v>
      </c>
      <c r="G289" s="289" t="str">
        <f>VLOOKUP(F289,$C$297:$D$298,2,FALSE)</f>
        <v>2021 3m은 2020 4Q 전력단가 및 2020년 대비 2021년 전련단가 상승률 고려 및 이후 Woodmac 예측 한국 전력요금 상승률 적용(2030년까지 30% 상승)</v>
      </c>
      <c r="H289" s="45"/>
      <c r="J289" s="220">
        <f>COGS!J139</f>
        <v>92.661870503597115</v>
      </c>
      <c r="K289" s="221">
        <f>COGS!K139</f>
        <v>92.148148148148152</v>
      </c>
      <c r="L289" s="221">
        <f>COGS!L139</f>
        <v>93.45661450924608</v>
      </c>
      <c r="M289" s="222">
        <f>COGS!M139</f>
        <v>98.189134808853112</v>
      </c>
      <c r="N289" s="320">
        <f>AVERAGE(에너지비!L38:N38)</f>
        <v>101.10335925857919</v>
      </c>
      <c r="O289" s="320">
        <f>M289*0.75+N289*0.25</f>
        <v>98.917690921284631</v>
      </c>
      <c r="P289" s="320">
        <f>CHOOSE($F289,에너지비!O49,$O$289)</f>
        <v>100.67316468431073</v>
      </c>
      <c r="Q289" s="320">
        <f>CHOOSE($F289,에너지비!P49,$O$289)</f>
        <v>102.45979251193309</v>
      </c>
      <c r="R289" s="320">
        <f>CHOOSE($F289,에너지비!Q49,$O$289)</f>
        <v>104.27812728951022</v>
      </c>
      <c r="S289" s="320">
        <f>CHOOSE($F289,에너지비!R49,$O$289)</f>
        <v>106.12873171435373</v>
      </c>
      <c r="T289" s="320">
        <f>CHOOSE($F289,에너지비!S49,$O$289)</f>
        <v>108.01217846985918</v>
      </c>
      <c r="U289" s="289"/>
      <c r="V289" s="110"/>
      <c r="W289" s="110">
        <v>1</v>
      </c>
      <c r="X289" s="110"/>
      <c r="Y289" s="1958" t="str">
        <f>INDEX($V$315:$X$315,1,MATCH($F289,$V289:$X289,0))</f>
        <v>Base</v>
      </c>
    </row>
    <row r="290" spans="2:25" ht="12" customHeight="1" thickBot="1">
      <c r="B290" s="379" t="s">
        <v>6804</v>
      </c>
      <c r="C290" s="379"/>
      <c r="D290" s="45"/>
      <c r="E290" s="110" t="s">
        <v>6801</v>
      </c>
      <c r="F290" s="3005">
        <v>1</v>
      </c>
      <c r="G290" s="289" t="str">
        <f>VLOOKUP(F290,$C$301:$D$302,2,FALSE)</f>
        <v>2021 3m은 2021 9mA 수준 전력사용량 유지 및 이후 전련공장 가동률 예상치 변동에 따라 변동 가정</v>
      </c>
      <c r="H290" s="45"/>
      <c r="J290" s="220">
        <f>COGS!J138</f>
        <v>712.51149838858692</v>
      </c>
      <c r="K290" s="221">
        <f>COGS!K138</f>
        <v>672.17678246045591</v>
      </c>
      <c r="L290" s="221">
        <f>COGS!L138</f>
        <v>689.09118609013535</v>
      </c>
      <c r="M290" s="222">
        <f>COGS!M138</f>
        <v>469.30492118412121</v>
      </c>
      <c r="N290" s="320">
        <f>M290/3</f>
        <v>156.4349737280404</v>
      </c>
      <c r="O290" s="320">
        <f>N290+M290</f>
        <v>625.73989491216162</v>
      </c>
      <c r="P290" s="320">
        <f>$O$290/COGS!$O$140*COGS!P140</f>
        <v>644.31969503222535</v>
      </c>
      <c r="Q290" s="320">
        <f>$O$290/COGS!$O$140*COGS!Q140</f>
        <v>656.74504823812663</v>
      </c>
      <c r="R290" s="320">
        <f>$O$290/COGS!$O$140*COGS!R140</f>
        <v>652.15586807965792</v>
      </c>
      <c r="S290" s="320">
        <f>$O$290/COGS!$O$140*COGS!S140</f>
        <v>656.25497948766667</v>
      </c>
      <c r="T290" s="320">
        <f>$O$290/COGS!$O$140*COGS!T140</f>
        <v>652.45140699268495</v>
      </c>
      <c r="U290" s="289"/>
      <c r="V290" s="110"/>
      <c r="W290" s="110">
        <v>1</v>
      </c>
      <c r="X290" s="110"/>
      <c r="Y290" s="110" t="str">
        <f>INDEX($V$315:$X$315,1,MATCH($F290,$V290:$X290,0))</f>
        <v>Base</v>
      </c>
    </row>
    <row r="291" spans="2:25" ht="12" customHeight="1" thickBot="1">
      <c r="B291" s="379" t="s">
        <v>6924</v>
      </c>
      <c r="C291" s="379"/>
      <c r="D291" s="45"/>
      <c r="E291" s="110" t="s">
        <v>6695</v>
      </c>
      <c r="F291" s="3008">
        <v>1</v>
      </c>
      <c r="G291" s="289" t="str">
        <f>VLOOKUP(F291,$C$305:$D$306,2,FALSE)</f>
        <v>2021 3m은 2021 온기 추정치에 따른 단가 산출 및 이후 Worldbank 국제유가 전망치에 따라 선형회귀분석을 통해 산출한 향후 BC유 단가 추정치 적용</v>
      </c>
      <c r="H291" s="45"/>
      <c r="J291" s="4488">
        <f>COGS!J151</f>
        <v>22.257061801322948</v>
      </c>
      <c r="K291" s="4489">
        <f>COGS!K151</f>
        <v>22.319908206300056</v>
      </c>
      <c r="L291" s="4489">
        <f>COGS!L151</f>
        <v>19.066871887035155</v>
      </c>
      <c r="M291" s="4490">
        <f>COGS!M151</f>
        <v>22.542273780138949</v>
      </c>
      <c r="N291" s="4491">
        <f>O291</f>
        <v>22.38736080349743</v>
      </c>
      <c r="O291" s="4491">
        <f>CHOOSE($F$291,_xlfn.FORECAST.LINEAR(에너지비!H45,Assumption!$J$291:$M$291,에너지비!$D$45:$G$45),$M$291)</f>
        <v>22.38736080349743</v>
      </c>
      <c r="P291" s="4491">
        <f>CHOOSE($F$291,_xlfn.FORECAST.LINEAR(에너지비!I45,Assumption!$J$291:$M$291,에너지비!$D$45:$G$45),$M$291)</f>
        <v>21.64333879935521</v>
      </c>
      <c r="Q291" s="4491">
        <f>CHOOSE($F$291,_xlfn.FORECAST.LINEAR(에너지비!J45,Assumption!$J$291:$M$291,에너지비!$D$45:$G$45),$M$291)</f>
        <v>21.773868975520511</v>
      </c>
      <c r="R291" s="4491">
        <f>CHOOSE($F$291,_xlfn.FORECAST.LINEAR(에너지비!K45,Assumption!$J$291:$M$291,에너지비!$D$45:$G$45),$M$291)</f>
        <v>21.891346134069281</v>
      </c>
      <c r="S291" s="4491">
        <f>CHOOSE($F$291,_xlfn.FORECAST.LINEAR(에너지비!L45,Assumption!$J$291:$M$291,에너지비!$D$45:$G$45),$M$291)</f>
        <v>22.021876310234582</v>
      </c>
      <c r="T291" s="4491">
        <f>CHOOSE($F$291,_xlfn.FORECAST.LINEAR(에너지비!M45,Assumption!$J$291:$M$291,에너지비!$D$45:$G$45),$M$291)</f>
        <v>22.126300451166827</v>
      </c>
      <c r="U291" s="289"/>
      <c r="V291" s="110"/>
      <c r="W291" s="110">
        <v>1</v>
      </c>
      <c r="X291" s="110"/>
      <c r="Y291" s="110" t="str">
        <f>INDEX($V$315:$X$315,1,MATCH($F291,$V291:$X291,0))</f>
        <v>Base</v>
      </c>
    </row>
    <row r="292" spans="2:25" ht="12" customHeight="1" thickBot="1">
      <c r="B292" s="380" t="s">
        <v>10649</v>
      </c>
      <c r="C292" s="380"/>
      <c r="D292" s="361"/>
      <c r="E292" s="1950" t="s">
        <v>3373</v>
      </c>
      <c r="F292" s="3005">
        <v>1</v>
      </c>
      <c r="G292" s="4487" t="str">
        <f>VLOOKUP(F292,$C$309:$D$310,2,FALSE)</f>
        <v>2021 3m은 2021 9mA 수준 유지 및 이후 CIQ 추정 LNG 가격 전망치에 따른 변동 가정</v>
      </c>
      <c r="H292" s="361"/>
      <c r="I292" s="12"/>
      <c r="J292" s="4503">
        <f>COGS!J146</f>
        <v>4.3739913189973088</v>
      </c>
      <c r="K292" s="4504">
        <f>COGS!K146</f>
        <v>4.9030748920057503</v>
      </c>
      <c r="L292" s="4504">
        <f>COGS!L146</f>
        <v>4.2997291230194818</v>
      </c>
      <c r="M292" s="4505">
        <f>COGS!M146</f>
        <v>6.9884746540552385</v>
      </c>
      <c r="N292" s="4506">
        <f>M292</f>
        <v>6.9884746540552385</v>
      </c>
      <c r="O292" s="4506">
        <f>COGS!O146</f>
        <v>7.0174804053288735</v>
      </c>
      <c r="P292" s="4506">
        <f>CHOOSE($F$292,$M$292*에너지비!J232/에너지비!$H$232,$M$292)</f>
        <v>7.6903789561870433</v>
      </c>
      <c r="Q292" s="4506">
        <f>CHOOSE($F$292,$M$292*에너지비!K232/에너지비!$H$232,$M$292)</f>
        <v>6.9735297911866736</v>
      </c>
      <c r="R292" s="4506">
        <f>CHOOSE($F$292,$M$292*에너지비!L232/에너지비!$H$232,$M$292)</f>
        <v>6.5357209862495411</v>
      </c>
      <c r="S292" s="4506">
        <f>CHOOSE($F$292,$M$292*에너지비!M232/에너지비!$H$232,$M$292)</f>
        <v>6.4061366295241866</v>
      </c>
      <c r="T292" s="4506">
        <f>CHOOSE($F$292,$M$292*에너지비!N232/에너지비!$H$232,$M$292)</f>
        <v>6.3281895951521498</v>
      </c>
      <c r="U292" s="289"/>
      <c r="V292" s="1950"/>
      <c r="W292" s="1950">
        <v>1</v>
      </c>
      <c r="X292" s="1950"/>
      <c r="Y292" s="1950" t="str">
        <f>INDEX($V$288:$X$288,1,MATCH($F292,$V292:$X292,0))</f>
        <v>Base</v>
      </c>
    </row>
    <row r="293" spans="2:25" ht="12" customHeight="1">
      <c r="B293" s="1953" t="s">
        <v>351</v>
      </c>
      <c r="J293" s="221"/>
      <c r="K293" s="221"/>
      <c r="L293" s="221"/>
      <c r="M293" s="221"/>
      <c r="N293" s="105"/>
      <c r="O293" s="306"/>
      <c r="P293" s="105"/>
      <c r="Q293" s="105"/>
      <c r="R293" s="105"/>
      <c r="S293" s="105"/>
      <c r="T293" s="105"/>
    </row>
    <row r="294" spans="2:25" ht="12" customHeight="1">
      <c r="B294" s="3" t="s">
        <v>6846</v>
      </c>
      <c r="J294" s="221"/>
      <c r="K294" s="221"/>
      <c r="L294" s="221"/>
      <c r="M294" s="221"/>
      <c r="N294" s="105"/>
      <c r="O294" s="105"/>
      <c r="P294" s="105"/>
      <c r="Q294" s="105"/>
      <c r="R294" s="105"/>
      <c r="S294" s="105"/>
      <c r="T294" s="105"/>
    </row>
    <row r="295" spans="2:25" ht="12" customHeight="1">
      <c r="B295" s="3" t="s">
        <v>6843</v>
      </c>
      <c r="J295" s="221"/>
      <c r="K295" s="221"/>
      <c r="L295" s="221"/>
      <c r="M295" s="221"/>
      <c r="N295" s="105"/>
      <c r="O295" s="105"/>
      <c r="P295" s="105"/>
      <c r="Q295" s="105"/>
      <c r="R295" s="105"/>
      <c r="S295" s="105"/>
      <c r="T295" s="105"/>
    </row>
    <row r="296" spans="2:25" ht="12" customHeight="1">
      <c r="C296" s="1950" t="s">
        <v>3464</v>
      </c>
      <c r="D296" s="1957" t="s">
        <v>3469</v>
      </c>
      <c r="E296" s="1957"/>
      <c r="F296" s="1957"/>
      <c r="G296" s="1957"/>
      <c r="H296" s="1957"/>
      <c r="I296" s="1957"/>
      <c r="J296" s="1957"/>
      <c r="K296" s="1957"/>
      <c r="L296" s="1957"/>
      <c r="M296" s="1957"/>
      <c r="N296" s="1957"/>
      <c r="O296" s="1957"/>
      <c r="P296" s="1957"/>
      <c r="Q296" s="1957"/>
      <c r="R296" s="1957"/>
      <c r="S296" s="1957"/>
      <c r="T296" s="1957"/>
    </row>
    <row r="297" spans="2:25" ht="12" customHeight="1">
      <c r="C297" s="1958">
        <v>1</v>
      </c>
      <c r="D297" s="302" t="s">
        <v>6840</v>
      </c>
      <c r="E297" s="302"/>
      <c r="F297" s="302"/>
      <c r="G297" s="302"/>
      <c r="H297" s="302"/>
      <c r="I297" s="302"/>
      <c r="J297" s="302"/>
      <c r="K297" s="302"/>
      <c r="L297" s="302"/>
      <c r="M297" s="302"/>
      <c r="N297" s="302"/>
      <c r="O297" s="302"/>
      <c r="P297" s="302"/>
      <c r="Q297" s="302"/>
      <c r="R297" s="302"/>
      <c r="S297" s="302"/>
      <c r="T297" s="302"/>
    </row>
    <row r="298" spans="2:25" ht="12" customHeight="1">
      <c r="C298" s="1950">
        <v>2</v>
      </c>
      <c r="D298" s="12" t="s">
        <v>6842</v>
      </c>
      <c r="E298" s="12"/>
      <c r="F298" s="12"/>
      <c r="G298" s="12"/>
      <c r="H298" s="12"/>
      <c r="I298" s="12"/>
      <c r="J298" s="12"/>
      <c r="K298" s="12"/>
      <c r="L298" s="12"/>
      <c r="M298" s="12"/>
      <c r="N298" s="12"/>
      <c r="O298" s="12"/>
      <c r="P298" s="12"/>
      <c r="Q298" s="12"/>
      <c r="R298" s="12"/>
      <c r="S298" s="12"/>
      <c r="T298" s="12"/>
    </row>
    <row r="299" spans="2:25" ht="12" customHeight="1">
      <c r="C299" s="379" t="s">
        <v>6844</v>
      </c>
    </row>
    <row r="300" spans="2:25" ht="12" customHeight="1">
      <c r="C300" s="1950" t="s">
        <v>3464</v>
      </c>
      <c r="D300" s="1957" t="s">
        <v>3469</v>
      </c>
      <c r="E300" s="1957"/>
      <c r="F300" s="1957"/>
      <c r="G300" s="1957"/>
      <c r="H300" s="1957"/>
      <c r="I300" s="1957"/>
      <c r="J300" s="1957"/>
      <c r="K300" s="1957"/>
      <c r="L300" s="1957"/>
      <c r="M300" s="1957"/>
      <c r="N300" s="1957"/>
      <c r="O300" s="1957"/>
      <c r="P300" s="1957"/>
      <c r="Q300" s="1957"/>
      <c r="R300" s="1957"/>
      <c r="S300" s="1957"/>
      <c r="T300" s="1957"/>
    </row>
    <row r="301" spans="2:25" ht="12" customHeight="1">
      <c r="C301" s="1958">
        <v>1</v>
      </c>
      <c r="D301" s="302" t="s">
        <v>10696</v>
      </c>
      <c r="E301" s="302"/>
      <c r="F301" s="302"/>
      <c r="G301" s="302"/>
      <c r="H301" s="302"/>
      <c r="I301" s="302"/>
      <c r="J301" s="302"/>
      <c r="K301" s="302"/>
      <c r="L301" s="302"/>
      <c r="M301" s="302"/>
      <c r="N301" s="302"/>
      <c r="O301" s="302"/>
      <c r="P301" s="302"/>
      <c r="Q301" s="302"/>
      <c r="R301" s="302"/>
      <c r="S301" s="302"/>
      <c r="T301" s="302"/>
    </row>
    <row r="302" spans="2:25" ht="12" customHeight="1">
      <c r="C302" s="1950">
        <v>2</v>
      </c>
      <c r="D302" s="12" t="s">
        <v>6845</v>
      </c>
      <c r="E302" s="12"/>
      <c r="F302" s="12"/>
      <c r="G302" s="12"/>
      <c r="H302" s="12"/>
      <c r="I302" s="12"/>
      <c r="J302" s="12"/>
      <c r="K302" s="12"/>
      <c r="L302" s="12"/>
      <c r="M302" s="12"/>
      <c r="N302" s="12"/>
      <c r="O302" s="12"/>
      <c r="P302" s="12"/>
      <c r="Q302" s="12"/>
      <c r="R302" s="12"/>
      <c r="S302" s="12"/>
      <c r="T302" s="12"/>
    </row>
    <row r="303" spans="2:25" ht="12" customHeight="1">
      <c r="C303" s="3" t="s">
        <v>6925</v>
      </c>
      <c r="J303" s="221"/>
      <c r="K303" s="221"/>
      <c r="L303" s="221"/>
      <c r="M303" s="221"/>
      <c r="N303" s="105"/>
      <c r="O303" s="105"/>
      <c r="P303" s="105"/>
      <c r="Q303" s="105"/>
      <c r="R303" s="105"/>
      <c r="S303" s="105"/>
      <c r="T303" s="105"/>
    </row>
    <row r="304" spans="2:25" ht="12" customHeight="1">
      <c r="C304" s="1950" t="s">
        <v>3464</v>
      </c>
      <c r="D304" s="1957" t="s">
        <v>3469</v>
      </c>
      <c r="E304" s="1957"/>
      <c r="F304" s="1957"/>
      <c r="G304" s="1957"/>
      <c r="H304" s="1957"/>
      <c r="I304" s="1957"/>
      <c r="J304" s="1957"/>
      <c r="K304" s="1957"/>
      <c r="L304" s="1957"/>
      <c r="M304" s="1957"/>
      <c r="N304" s="1957"/>
      <c r="O304" s="1957"/>
      <c r="P304" s="1957"/>
      <c r="Q304" s="1957"/>
      <c r="R304" s="1957"/>
      <c r="S304" s="1957"/>
      <c r="T304" s="1957"/>
    </row>
    <row r="305" spans="2:25" ht="12" customHeight="1">
      <c r="C305" s="1958">
        <v>1</v>
      </c>
      <c r="D305" s="302" t="s">
        <v>6926</v>
      </c>
      <c r="E305" s="302"/>
      <c r="F305" s="302"/>
      <c r="G305" s="302"/>
      <c r="H305" s="302"/>
      <c r="I305" s="302"/>
      <c r="J305" s="302"/>
      <c r="K305" s="302"/>
      <c r="L305" s="302"/>
      <c r="M305" s="302"/>
      <c r="N305" s="302"/>
      <c r="O305" s="302"/>
      <c r="P305" s="302"/>
      <c r="Q305" s="302"/>
      <c r="R305" s="302"/>
      <c r="S305" s="302"/>
      <c r="T305" s="302"/>
    </row>
    <row r="306" spans="2:25" ht="12" customHeight="1">
      <c r="C306" s="1950">
        <v>2</v>
      </c>
      <c r="D306" s="12" t="s">
        <v>6841</v>
      </c>
      <c r="E306" s="12"/>
      <c r="F306" s="12"/>
      <c r="G306" s="12"/>
      <c r="H306" s="12"/>
      <c r="I306" s="12"/>
      <c r="J306" s="12"/>
      <c r="K306" s="12"/>
      <c r="L306" s="12"/>
      <c r="M306" s="12"/>
      <c r="N306" s="12"/>
      <c r="O306" s="12"/>
      <c r="P306" s="12"/>
      <c r="Q306" s="12"/>
      <c r="R306" s="12"/>
      <c r="S306" s="12"/>
      <c r="T306" s="12"/>
    </row>
    <row r="307" spans="2:25" ht="12" customHeight="1">
      <c r="C307" s="3" t="s">
        <v>10650</v>
      </c>
      <c r="J307" s="221"/>
      <c r="K307" s="221"/>
      <c r="L307" s="221"/>
      <c r="M307" s="221"/>
      <c r="N307" s="105"/>
      <c r="O307" s="105"/>
      <c r="P307" s="105"/>
      <c r="Q307" s="105"/>
      <c r="R307" s="105"/>
      <c r="S307" s="105"/>
      <c r="T307" s="105"/>
    </row>
    <row r="308" spans="2:25" ht="12" customHeight="1">
      <c r="C308" s="1950" t="s">
        <v>3464</v>
      </c>
      <c r="D308" s="1957" t="s">
        <v>3469</v>
      </c>
      <c r="E308" s="1957"/>
      <c r="F308" s="1957"/>
      <c r="G308" s="1957"/>
      <c r="H308" s="1957"/>
      <c r="I308" s="1957"/>
      <c r="J308" s="1957"/>
      <c r="K308" s="1957"/>
      <c r="L308" s="1957"/>
      <c r="M308" s="1957"/>
      <c r="N308" s="1957"/>
      <c r="O308" s="1957"/>
      <c r="P308" s="1957"/>
      <c r="Q308" s="1957"/>
      <c r="R308" s="1957"/>
      <c r="S308" s="1957"/>
      <c r="T308" s="1957"/>
    </row>
    <row r="309" spans="2:25" ht="12" customHeight="1">
      <c r="C309" s="1958">
        <v>1</v>
      </c>
      <c r="D309" s="302" t="s">
        <v>10651</v>
      </c>
      <c r="E309" s="302"/>
      <c r="F309" s="302"/>
      <c r="G309" s="302"/>
      <c r="H309" s="302"/>
      <c r="I309" s="302"/>
      <c r="J309" s="302"/>
      <c r="K309" s="302"/>
      <c r="L309" s="302"/>
      <c r="M309" s="302"/>
      <c r="N309" s="302"/>
      <c r="O309" s="302"/>
      <c r="P309" s="302"/>
      <c r="Q309" s="302"/>
      <c r="R309" s="302"/>
      <c r="S309" s="302"/>
      <c r="T309" s="302"/>
    </row>
    <row r="310" spans="2:25" ht="12" customHeight="1">
      <c r="C310" s="1950">
        <v>2</v>
      </c>
      <c r="D310" s="12" t="s">
        <v>6841</v>
      </c>
      <c r="E310" s="12"/>
      <c r="F310" s="12"/>
      <c r="G310" s="12"/>
      <c r="H310" s="12"/>
      <c r="I310" s="12"/>
      <c r="J310" s="12"/>
      <c r="K310" s="12"/>
      <c r="L310" s="12"/>
      <c r="M310" s="12"/>
      <c r="N310" s="12"/>
      <c r="O310" s="12"/>
      <c r="P310" s="12"/>
      <c r="Q310" s="12"/>
      <c r="R310" s="12"/>
      <c r="S310" s="12"/>
      <c r="T310" s="12"/>
    </row>
    <row r="313" spans="2:25" ht="12" customHeight="1">
      <c r="B313" s="32" t="s">
        <v>1373</v>
      </c>
      <c r="C313" s="32"/>
    </row>
    <row r="314" spans="2:25" ht="12" customHeight="1">
      <c r="B314" s="24"/>
      <c r="C314" s="24"/>
      <c r="D314" s="24"/>
      <c r="E314" s="24"/>
      <c r="F314" s="24"/>
      <c r="G314" s="24"/>
      <c r="H314" s="24"/>
      <c r="I314" s="24"/>
      <c r="J314" s="25" t="s">
        <v>23</v>
      </c>
      <c r="K314" s="26"/>
      <c r="L314" s="26"/>
      <c r="M314" s="27"/>
      <c r="N314" s="26" t="s">
        <v>24</v>
      </c>
      <c r="O314" s="26"/>
      <c r="P314" s="26"/>
      <c r="Q314" s="26"/>
      <c r="R314" s="26"/>
      <c r="S314" s="26"/>
      <c r="T314" s="26"/>
      <c r="V314" s="2041" t="s">
        <v>3650</v>
      </c>
      <c r="W314" s="2041"/>
      <c r="X314" s="2041"/>
      <c r="Y314" s="2041"/>
    </row>
    <row r="315" spans="2:25" ht="12" customHeight="1" thickBot="1">
      <c r="B315" s="28"/>
      <c r="C315" s="28"/>
      <c r="D315" s="28"/>
      <c r="E315" s="1949" t="s">
        <v>2889</v>
      </c>
      <c r="F315" s="1949" t="s">
        <v>3464</v>
      </c>
      <c r="G315" s="28"/>
      <c r="H315" s="28"/>
      <c r="I315" s="28"/>
      <c r="J315" s="29" t="s">
        <v>69</v>
      </c>
      <c r="K315" s="30" t="s">
        <v>27</v>
      </c>
      <c r="L315" s="30" t="s">
        <v>60</v>
      </c>
      <c r="M315" s="31" t="s">
        <v>5104</v>
      </c>
      <c r="N315" s="30" t="s">
        <v>5174</v>
      </c>
      <c r="O315" s="30" t="s">
        <v>70</v>
      </c>
      <c r="P315" s="30" t="s">
        <v>71</v>
      </c>
      <c r="Q315" s="30" t="s">
        <v>72</v>
      </c>
      <c r="R315" s="30" t="s">
        <v>73</v>
      </c>
      <c r="S315" s="30" t="s">
        <v>74</v>
      </c>
      <c r="T315" s="30" t="s">
        <v>5102</v>
      </c>
      <c r="V315" s="290" t="s">
        <v>3651</v>
      </c>
      <c r="W315" s="290" t="s">
        <v>3652</v>
      </c>
      <c r="X315" s="290" t="s">
        <v>3653</v>
      </c>
      <c r="Y315" s="290" t="s">
        <v>3740</v>
      </c>
    </row>
    <row r="316" spans="2:25" ht="12" customHeight="1" thickBot="1">
      <c r="B316" s="379" t="s">
        <v>5613</v>
      </c>
      <c r="C316" s="379"/>
      <c r="D316" s="45"/>
      <c r="E316" s="110" t="s">
        <v>6753</v>
      </c>
      <c r="F316" s="291">
        <v>1</v>
      </c>
      <c r="G316" s="289" t="str">
        <f>VLOOKUP(F316,$C$322:$D$324,2,FALSE)</f>
        <v>현재 수준의 단위당 소모품비 가정</v>
      </c>
      <c r="H316" s="45"/>
      <c r="J316" s="220">
        <f>COGS!J155</f>
        <v>28365.492070133485</v>
      </c>
      <c r="K316" s="221">
        <f>COGS!K155</f>
        <v>25515.982836547057</v>
      </c>
      <c r="L316" s="221">
        <f>COGS!L155</f>
        <v>24908.118830971845</v>
      </c>
      <c r="M316" s="222">
        <f>COGS!M155</f>
        <v>26781.228011022515</v>
      </c>
      <c r="N316" s="320">
        <f>CHOOSE($F$316,$M316,$M316,$M316)</f>
        <v>26781.228011022515</v>
      </c>
      <c r="O316" s="221">
        <f>COGS!O155</f>
        <v>26781.228011022511</v>
      </c>
      <c r="P316" s="320">
        <f>CHOOSE($F$316,$M316,AVERAGE($J$316:$M$316),$M316*(1+General!J12))</f>
        <v>26781.228011022515</v>
      </c>
      <c r="Q316" s="320">
        <f>CHOOSE($F$316,$M$316,AVERAGE($J$316:$M$316),P316*(1+General!K12))</f>
        <v>26781.228011022515</v>
      </c>
      <c r="R316" s="320">
        <f>CHOOSE($F$316,$M$316,AVERAGE($J$316:$M$316),Q316*(1+General!L12))</f>
        <v>26781.228011022515</v>
      </c>
      <c r="S316" s="320">
        <f>CHOOSE($F$316,$M$316,AVERAGE($J$316:$M$316),R316*(1+General!M12))</f>
        <v>26781.228011022515</v>
      </c>
      <c r="T316" s="320">
        <f>CHOOSE($F$316,$M$316,AVERAGE($J$316:$M$316),S316*(1+General!N12))</f>
        <v>26781.228011022515</v>
      </c>
      <c r="U316" s="289"/>
      <c r="V316" s="110"/>
      <c r="W316" s="110">
        <v>1</v>
      </c>
      <c r="X316" s="110"/>
      <c r="Y316" s="1958" t="str">
        <f>INDEX($V$315:$X$315,1,MATCH($F316,$V316:$X316,0))</f>
        <v>Base</v>
      </c>
    </row>
    <row r="317" spans="2:25" ht="12" customHeight="1" thickBot="1">
      <c r="B317" s="380" t="s">
        <v>5614</v>
      </c>
      <c r="C317" s="380"/>
      <c r="D317" s="361"/>
      <c r="E317" s="1950" t="s">
        <v>360</v>
      </c>
      <c r="F317" s="291">
        <v>1</v>
      </c>
      <c r="G317" s="1954" t="str">
        <f>VLOOKUP(F317,$C$328:$D$329,2,FALSE)</f>
        <v>현재 수준의 제련/전련공정 대비 비율 유지 가정</v>
      </c>
      <c r="H317" s="361"/>
      <c r="I317" s="12"/>
      <c r="J317" s="403">
        <f>COGS!J157</f>
        <v>0.50663377592815884</v>
      </c>
      <c r="K317" s="404">
        <f>COGS!K157</f>
        <v>0.55190977650436879</v>
      </c>
      <c r="L317" s="404">
        <f>COGS!L157</f>
        <v>0.50379102609119031</v>
      </c>
      <c r="M317" s="2491">
        <f>COGS!M157</f>
        <v>0.57252773138358326</v>
      </c>
      <c r="N317" s="3065">
        <f>CHOOSE($F317,$M317,AVERAGE($J317:$M317))</f>
        <v>0.57252773138358326</v>
      </c>
      <c r="O317" s="404">
        <f>COGS!O157</f>
        <v>0.57252773138358326</v>
      </c>
      <c r="P317" s="3065">
        <f t="shared" ref="P317:T317" si="69">CHOOSE($F317,$M317,AVERAGE($J317:$M317))</f>
        <v>0.57252773138358326</v>
      </c>
      <c r="Q317" s="3065">
        <f t="shared" si="69"/>
        <v>0.57252773138358326</v>
      </c>
      <c r="R317" s="3065">
        <f t="shared" si="69"/>
        <v>0.57252773138358326</v>
      </c>
      <c r="S317" s="3065">
        <f t="shared" si="69"/>
        <v>0.57252773138358326</v>
      </c>
      <c r="T317" s="3065">
        <f t="shared" si="69"/>
        <v>0.57252773138358326</v>
      </c>
      <c r="U317" s="289"/>
      <c r="V317" s="1950"/>
      <c r="W317" s="1950">
        <v>1</v>
      </c>
      <c r="X317" s="1950"/>
      <c r="Y317" s="1950" t="str">
        <f>INDEX($V$315:$X$315,1,MATCH($F317,$V317:$X317,0))</f>
        <v>Base</v>
      </c>
    </row>
    <row r="318" spans="2:25" ht="12" customHeight="1">
      <c r="B318" s="1953" t="s">
        <v>351</v>
      </c>
      <c r="J318" s="221"/>
      <c r="K318" s="221"/>
      <c r="L318" s="221"/>
      <c r="M318" s="221"/>
      <c r="N318" s="105"/>
      <c r="O318" s="105"/>
      <c r="P318" s="105"/>
      <c r="Q318" s="105"/>
      <c r="R318" s="105"/>
      <c r="S318" s="105"/>
      <c r="T318" s="105"/>
    </row>
    <row r="319" spans="2:25" ht="12" customHeight="1">
      <c r="B319" s="3" t="s">
        <v>3512</v>
      </c>
      <c r="J319" s="221"/>
      <c r="K319" s="221"/>
      <c r="L319" s="221"/>
      <c r="M319" s="221"/>
      <c r="N319" s="105"/>
      <c r="O319" s="105"/>
      <c r="P319" s="105"/>
      <c r="Q319" s="105"/>
      <c r="R319" s="105"/>
      <c r="S319" s="105"/>
      <c r="T319" s="105"/>
    </row>
    <row r="320" spans="2:25" ht="12" customHeight="1">
      <c r="B320" s="3" t="s">
        <v>5577</v>
      </c>
      <c r="J320" s="221"/>
      <c r="K320" s="221"/>
      <c r="L320" s="221"/>
      <c r="M320" s="221"/>
      <c r="N320" s="105"/>
      <c r="O320" s="105"/>
      <c r="P320" s="105"/>
      <c r="Q320" s="105"/>
      <c r="R320" s="105"/>
      <c r="S320" s="105"/>
      <c r="T320" s="105"/>
    </row>
    <row r="321" spans="2:25" ht="12" customHeight="1">
      <c r="C321" s="1950" t="s">
        <v>3464</v>
      </c>
      <c r="D321" s="1957" t="s">
        <v>3469</v>
      </c>
      <c r="E321" s="1957"/>
      <c r="F321" s="1957"/>
      <c r="G321" s="1957"/>
      <c r="H321" s="1957"/>
      <c r="I321" s="1957"/>
      <c r="J321" s="1957"/>
      <c r="K321" s="1957"/>
      <c r="L321" s="1957"/>
      <c r="M321" s="1957"/>
      <c r="N321" s="1957"/>
      <c r="O321" s="1957"/>
      <c r="P321" s="1957"/>
      <c r="Q321" s="1957"/>
      <c r="R321" s="1957"/>
      <c r="S321" s="1957"/>
      <c r="T321" s="1957"/>
    </row>
    <row r="322" spans="2:25" ht="12" customHeight="1">
      <c r="C322" s="1958">
        <v>1</v>
      </c>
      <c r="D322" s="302" t="s">
        <v>3513</v>
      </c>
      <c r="E322" s="302"/>
      <c r="F322" s="302"/>
      <c r="G322" s="302"/>
      <c r="H322" s="302"/>
      <c r="I322" s="302"/>
      <c r="J322" s="302"/>
      <c r="K322" s="302"/>
      <c r="L322" s="302"/>
      <c r="M322" s="302"/>
      <c r="N322" s="302"/>
      <c r="O322" s="302"/>
      <c r="P322" s="302"/>
      <c r="Q322" s="302"/>
      <c r="R322" s="302"/>
      <c r="S322" s="302"/>
      <c r="T322" s="302"/>
    </row>
    <row r="323" spans="2:25" ht="12" customHeight="1">
      <c r="C323" s="110">
        <v>2</v>
      </c>
      <c r="D323" s="3" t="s">
        <v>5615</v>
      </c>
    </row>
    <row r="324" spans="2:25" ht="12" customHeight="1">
      <c r="C324" s="1950">
        <v>3</v>
      </c>
      <c r="D324" s="12" t="s">
        <v>5616</v>
      </c>
      <c r="E324" s="12"/>
      <c r="F324" s="12"/>
      <c r="G324" s="12"/>
      <c r="H324" s="12"/>
      <c r="I324" s="12"/>
      <c r="J324" s="12"/>
      <c r="K324" s="12"/>
      <c r="L324" s="12"/>
      <c r="M324" s="12"/>
      <c r="N324" s="12"/>
      <c r="O324" s="12"/>
      <c r="P324" s="12"/>
      <c r="Q324" s="12"/>
      <c r="R324" s="12"/>
      <c r="S324" s="12"/>
      <c r="T324" s="12"/>
    </row>
    <row r="326" spans="2:25" ht="12" customHeight="1">
      <c r="B326" s="3" t="s">
        <v>5577</v>
      </c>
      <c r="J326" s="221"/>
      <c r="K326" s="221"/>
      <c r="L326" s="221"/>
      <c r="M326" s="221"/>
      <c r="N326" s="105"/>
      <c r="O326" s="105"/>
      <c r="P326" s="105"/>
      <c r="Q326" s="105"/>
      <c r="R326" s="105"/>
      <c r="S326" s="105"/>
      <c r="T326" s="105"/>
    </row>
    <row r="327" spans="2:25" ht="12" customHeight="1">
      <c r="C327" s="1950" t="s">
        <v>3464</v>
      </c>
      <c r="D327" s="1957" t="s">
        <v>3469</v>
      </c>
      <c r="E327" s="1957"/>
      <c r="F327" s="1957"/>
      <c r="G327" s="1957"/>
      <c r="H327" s="1957"/>
      <c r="I327" s="1957"/>
      <c r="J327" s="1957"/>
      <c r="K327" s="1957"/>
      <c r="L327" s="1957"/>
      <c r="M327" s="1957"/>
      <c r="N327" s="1957"/>
      <c r="O327" s="1957"/>
      <c r="P327" s="1957"/>
      <c r="Q327" s="1957"/>
      <c r="R327" s="1957"/>
      <c r="S327" s="1957"/>
      <c r="T327" s="1957"/>
    </row>
    <row r="328" spans="2:25" ht="12" customHeight="1">
      <c r="C328" s="1958">
        <v>1</v>
      </c>
      <c r="D328" s="302" t="s">
        <v>5617</v>
      </c>
      <c r="E328" s="302"/>
      <c r="F328" s="302"/>
      <c r="G328" s="302"/>
      <c r="H328" s="302"/>
      <c r="I328" s="302"/>
      <c r="J328" s="302"/>
      <c r="K328" s="302"/>
      <c r="L328" s="302"/>
      <c r="M328" s="302"/>
      <c r="N328" s="302"/>
      <c r="O328" s="302"/>
      <c r="P328" s="302"/>
      <c r="Q328" s="302"/>
      <c r="R328" s="302"/>
      <c r="S328" s="302"/>
      <c r="T328" s="302"/>
    </row>
    <row r="329" spans="2:25" ht="12" customHeight="1">
      <c r="C329" s="1950">
        <v>2</v>
      </c>
      <c r="D329" s="12" t="s">
        <v>5618</v>
      </c>
      <c r="E329" s="12"/>
      <c r="F329" s="12"/>
      <c r="G329" s="12"/>
      <c r="H329" s="12"/>
      <c r="I329" s="12"/>
      <c r="J329" s="12"/>
      <c r="K329" s="12"/>
      <c r="L329" s="12"/>
      <c r="M329" s="12"/>
      <c r="N329" s="12"/>
      <c r="O329" s="12"/>
      <c r="P329" s="12"/>
      <c r="Q329" s="12"/>
      <c r="R329" s="12"/>
      <c r="S329" s="12"/>
      <c r="T329" s="12"/>
    </row>
    <row r="331" spans="2:25" ht="12" customHeight="1">
      <c r="B331" s="32" t="s">
        <v>1359</v>
      </c>
      <c r="C331" s="32"/>
    </row>
    <row r="332" spans="2:25" ht="12" customHeight="1">
      <c r="B332" s="24"/>
      <c r="C332" s="24"/>
      <c r="D332" s="24"/>
      <c r="E332" s="24"/>
      <c r="F332" s="24"/>
      <c r="G332" s="24"/>
      <c r="H332" s="24"/>
      <c r="I332" s="24"/>
      <c r="J332" s="25" t="s">
        <v>23</v>
      </c>
      <c r="K332" s="26"/>
      <c r="L332" s="26"/>
      <c r="M332" s="27"/>
      <c r="N332" s="26" t="s">
        <v>24</v>
      </c>
      <c r="O332" s="26"/>
      <c r="P332" s="26"/>
      <c r="Q332" s="26"/>
      <c r="R332" s="26"/>
      <c r="S332" s="26"/>
      <c r="T332" s="26"/>
      <c r="V332" s="2041" t="s">
        <v>3650</v>
      </c>
      <c r="W332" s="2041"/>
      <c r="X332" s="2041"/>
      <c r="Y332" s="2041"/>
    </row>
    <row r="333" spans="2:25" ht="12" customHeight="1" thickBot="1">
      <c r="B333" s="28"/>
      <c r="C333" s="28"/>
      <c r="D333" s="28"/>
      <c r="E333" s="1949" t="s">
        <v>2889</v>
      </c>
      <c r="F333" s="1949" t="s">
        <v>3464</v>
      </c>
      <c r="G333" s="28"/>
      <c r="H333" s="28"/>
      <c r="I333" s="28"/>
      <c r="J333" s="29" t="s">
        <v>69</v>
      </c>
      <c r="K333" s="30" t="s">
        <v>27</v>
      </c>
      <c r="L333" s="30" t="s">
        <v>60</v>
      </c>
      <c r="M333" s="31" t="s">
        <v>5104</v>
      </c>
      <c r="N333" s="30" t="s">
        <v>5174</v>
      </c>
      <c r="O333" s="30" t="s">
        <v>70</v>
      </c>
      <c r="P333" s="30" t="s">
        <v>71</v>
      </c>
      <c r="Q333" s="30" t="s">
        <v>72</v>
      </c>
      <c r="R333" s="30" t="s">
        <v>73</v>
      </c>
      <c r="S333" s="30" t="s">
        <v>74</v>
      </c>
      <c r="T333" s="30" t="s">
        <v>5102</v>
      </c>
      <c r="V333" s="290" t="s">
        <v>3651</v>
      </c>
      <c r="W333" s="290" t="s">
        <v>3652</v>
      </c>
      <c r="X333" s="290" t="s">
        <v>3653</v>
      </c>
      <c r="Y333" s="290" t="s">
        <v>3740</v>
      </c>
    </row>
    <row r="334" spans="2:25" ht="12" customHeight="1" thickBot="1">
      <c r="B334" s="3" t="s">
        <v>5622</v>
      </c>
      <c r="E334" s="110" t="s">
        <v>3471</v>
      </c>
      <c r="F334" s="291">
        <v>2</v>
      </c>
      <c r="G334" s="289" t="str">
        <f>VLOOKUP(F334,$C$343:$D$344,2,FALSE)</f>
        <v>2021 3m은 2021 9mA 수준 유지, 이후 생산자 물가상승율 수준 상승 가정</v>
      </c>
      <c r="J334" s="367"/>
      <c r="K334" s="221">
        <f>COGS!K163</f>
        <v>13442.429941033755</v>
      </c>
      <c r="L334" s="221">
        <f>COGS!L163</f>
        <v>9260.3109576710085</v>
      </c>
      <c r="M334" s="219">
        <f>COGS!M163</f>
        <v>12443.123834616918</v>
      </c>
      <c r="N334" s="105">
        <f>CHOOSE($F334,$M334,$M334)</f>
        <v>12443.123834616918</v>
      </c>
      <c r="O334" s="221">
        <f>COGS!O163</f>
        <v>12443.123834616919</v>
      </c>
      <c r="P334" s="105">
        <f>CHOOSE($F334,$M334,$M334*(1+General!J12))</f>
        <v>12741.758806647724</v>
      </c>
      <c r="Q334" s="105">
        <f>CHOOSE($F334,$M334,$P334*(1+General!K12))</f>
        <v>12869.176394714201</v>
      </c>
      <c r="R334" s="105">
        <f>CHOOSE($F334,$M334,$P334*(1+General!L12))</f>
        <v>12920.143429940792</v>
      </c>
      <c r="S334" s="105">
        <f>CHOOSE($F334,$M334,$P334*(1+General!M12))</f>
        <v>12996.593982780678</v>
      </c>
      <c r="T334" s="105">
        <f>CHOOSE($F334,$M334,$P334*(1+General!N12))</f>
        <v>12958.368706360734</v>
      </c>
      <c r="U334" s="289"/>
      <c r="V334" s="110"/>
      <c r="W334" s="110">
        <v>2</v>
      </c>
      <c r="X334" s="110"/>
      <c r="Y334" s="1958" t="str">
        <f>INDEX($V$333:$X$333,1,MATCH($F334,$V334:$X334,0))</f>
        <v>Base</v>
      </c>
    </row>
    <row r="335" spans="2:25" ht="12" customHeight="1" thickBot="1">
      <c r="B335" s="3" t="s">
        <v>10703</v>
      </c>
      <c r="E335" s="110"/>
      <c r="F335" s="289"/>
      <c r="G335" s="289" t="s">
        <v>6841</v>
      </c>
      <c r="J335" s="367"/>
      <c r="K335" s="405">
        <f>COGS!K162</f>
        <v>0.54703806243981568</v>
      </c>
      <c r="L335" s="405">
        <f>COGS!L162</f>
        <v>0.49402378692614046</v>
      </c>
      <c r="M335" s="2498">
        <f>COGS!M162</f>
        <v>0.49692778948369476</v>
      </c>
      <c r="N335" s="1912">
        <f>M335</f>
        <v>0.49692778948369476</v>
      </c>
      <c r="O335" s="405">
        <f>COGS!O162</f>
        <v>0.4969277894836947</v>
      </c>
      <c r="P335" s="1912">
        <f t="shared" ref="P335:T335" si="70">O335</f>
        <v>0.4969277894836947</v>
      </c>
      <c r="Q335" s="1912">
        <f t="shared" si="70"/>
        <v>0.4969277894836947</v>
      </c>
      <c r="R335" s="1912">
        <f t="shared" si="70"/>
        <v>0.4969277894836947</v>
      </c>
      <c r="S335" s="1912">
        <f t="shared" si="70"/>
        <v>0.4969277894836947</v>
      </c>
      <c r="T335" s="1912">
        <f t="shared" si="70"/>
        <v>0.4969277894836947</v>
      </c>
      <c r="U335" s="289"/>
      <c r="V335" s="110"/>
      <c r="W335" s="110"/>
      <c r="X335" s="110"/>
      <c r="Y335" s="110"/>
    </row>
    <row r="336" spans="2:25" ht="12" customHeight="1" thickBot="1">
      <c r="B336" s="3" t="s">
        <v>5623</v>
      </c>
      <c r="E336" s="110" t="s">
        <v>3470</v>
      </c>
      <c r="F336" s="291">
        <v>2</v>
      </c>
      <c r="G336" s="289" t="str">
        <f>VLOOKUP(F336,$C$343:$D$344,2,FALSE)</f>
        <v>2021 3m은 2021 9mA 수준 유지, 이후 생산자 물가상승율 수준 상승 가정</v>
      </c>
      <c r="J336" s="367"/>
      <c r="K336" s="221">
        <f>COGS!K168</f>
        <v>14820.72806077016</v>
      </c>
      <c r="L336" s="221">
        <f>COGS!L168</f>
        <v>16323.207444053505</v>
      </c>
      <c r="M336" s="222">
        <f>COGS!M168</f>
        <v>24345.414479292602</v>
      </c>
      <c r="N336" s="105">
        <f>CHOOSE($F336,$M336,$M336)</f>
        <v>24345.414479292602</v>
      </c>
      <c r="O336" s="221">
        <f>COGS!O168</f>
        <v>24345.414479292602</v>
      </c>
      <c r="P336" s="105">
        <f>CHOOSE($F336,$M336,$M336*(1+General!J13))</f>
        <v>25075.77691367138</v>
      </c>
      <c r="Q336" s="105">
        <f>CHOOSE($F336,$M336,$P336*(1+General!K13))</f>
        <v>25552.216675031133</v>
      </c>
      <c r="R336" s="105">
        <f>CHOOSE($F336,$M336,$P336*(1+General!L13))</f>
        <v>26053.73221330456</v>
      </c>
      <c r="S336" s="105">
        <f>CHOOSE($F336,$M336,$P336*(1+General!M13))</f>
        <v>25903.277551822532</v>
      </c>
      <c r="T336" s="105">
        <f>CHOOSE($F336,$M336,$P336*(1+General!N13))</f>
        <v>26103.883767131905</v>
      </c>
      <c r="U336" s="289"/>
      <c r="V336" s="110"/>
      <c r="W336" s="110">
        <v>2</v>
      </c>
      <c r="X336" s="110"/>
      <c r="Y336" s="110" t="str">
        <f t="shared" ref="Y336:Y338" si="71">INDEX($V$333:$X$333,1,MATCH($F336,$V336:$X336,0))</f>
        <v>Base</v>
      </c>
    </row>
    <row r="337" spans="1:25" ht="12" customHeight="1" thickBot="1">
      <c r="B337" s="3" t="s">
        <v>10704</v>
      </c>
      <c r="E337" s="110"/>
      <c r="F337" s="289"/>
      <c r="G337" s="289" t="s">
        <v>6841</v>
      </c>
      <c r="J337" s="367"/>
      <c r="K337" s="405">
        <f>COGS!K167</f>
        <v>0.37703709948571218</v>
      </c>
      <c r="L337" s="405">
        <f>COGS!L167</f>
        <v>0.37036805633543773</v>
      </c>
      <c r="M337" s="2498">
        <f>COGS!M167</f>
        <v>0.51471960313758724</v>
      </c>
      <c r="N337" s="399">
        <f>M337</f>
        <v>0.51471960313758724</v>
      </c>
      <c r="O337" s="405">
        <f>COGS!O167</f>
        <v>0.51471960313758724</v>
      </c>
      <c r="P337" s="399">
        <f>O337</f>
        <v>0.51471960313758724</v>
      </c>
      <c r="Q337" s="399">
        <f t="shared" ref="Q337:T337" si="72">P337</f>
        <v>0.51471960313758724</v>
      </c>
      <c r="R337" s="399">
        <f t="shared" si="72"/>
        <v>0.51471960313758724</v>
      </c>
      <c r="S337" s="399">
        <f t="shared" si="72"/>
        <v>0.51471960313758724</v>
      </c>
      <c r="T337" s="399">
        <f t="shared" si="72"/>
        <v>0.51471960313758724</v>
      </c>
      <c r="U337" s="289"/>
      <c r="V337" s="110"/>
      <c r="W337" s="110"/>
      <c r="X337" s="110"/>
      <c r="Y337" s="110"/>
    </row>
    <row r="338" spans="1:25" ht="12" customHeight="1" thickBot="1">
      <c r="B338" s="12" t="s">
        <v>5619</v>
      </c>
      <c r="C338" s="12"/>
      <c r="D338" s="12"/>
      <c r="E338" s="1950" t="s">
        <v>360</v>
      </c>
      <c r="F338" s="291">
        <v>1</v>
      </c>
      <c r="G338" s="1954" t="str">
        <f>VLOOKUP(F338,$C$347:$D$348,2,FALSE)</f>
        <v>현재 수준의 황산/전기동 대비 비율 유지 가정</v>
      </c>
      <c r="H338" s="12"/>
      <c r="I338" s="12"/>
      <c r="J338" s="4334"/>
      <c r="K338" s="404">
        <f>COGS!K170</f>
        <v>1.1437956490436224E-2</v>
      </c>
      <c r="L338" s="404">
        <f>COGS!L170</f>
        <v>2.615004770367323E-2</v>
      </c>
      <c r="M338" s="2491">
        <f>COGS!M170</f>
        <v>1.8035248666058323E-2</v>
      </c>
      <c r="N338" s="229">
        <f>CHOOSE($F$338,$M338,AVERAGE($K$338:$M$338))</f>
        <v>1.8035248666058323E-2</v>
      </c>
      <c r="O338" s="404">
        <f>COGS!O170</f>
        <v>1.8035248666058323E-2</v>
      </c>
      <c r="P338" s="229">
        <f t="shared" ref="P338:T338" si="73">CHOOSE($F$338,$M338,AVERAGE($K$338:$M$338))</f>
        <v>1.8035248666058323E-2</v>
      </c>
      <c r="Q338" s="229">
        <f t="shared" si="73"/>
        <v>1.8035248666058323E-2</v>
      </c>
      <c r="R338" s="229">
        <f t="shared" si="73"/>
        <v>1.8035248666058323E-2</v>
      </c>
      <c r="S338" s="229">
        <f t="shared" si="73"/>
        <v>1.8035248666058323E-2</v>
      </c>
      <c r="T338" s="229">
        <f t="shared" si="73"/>
        <v>1.8035248666058323E-2</v>
      </c>
      <c r="U338" s="289"/>
      <c r="V338" s="1950"/>
      <c r="W338" s="1950">
        <v>1</v>
      </c>
      <c r="X338" s="1950"/>
      <c r="Y338" s="1950" t="str">
        <f t="shared" si="71"/>
        <v>Base</v>
      </c>
    </row>
    <row r="339" spans="1:25" ht="12" customHeight="1">
      <c r="B339" s="1953" t="s">
        <v>351</v>
      </c>
      <c r="J339" s="221"/>
      <c r="K339" s="221"/>
      <c r="L339" s="221"/>
      <c r="M339" s="221"/>
      <c r="N339" s="105"/>
      <c r="O339" s="105"/>
      <c r="P339" s="105"/>
      <c r="Q339" s="105"/>
      <c r="R339" s="105"/>
      <c r="S339" s="105"/>
      <c r="T339" s="105"/>
    </row>
    <row r="340" spans="1:25" ht="12" customHeight="1">
      <c r="B340" s="3" t="s">
        <v>5625</v>
      </c>
      <c r="J340" s="221"/>
      <c r="K340" s="221"/>
      <c r="L340" s="221"/>
      <c r="M340" s="221"/>
      <c r="N340" s="105"/>
      <c r="O340" s="105"/>
      <c r="P340" s="105"/>
      <c r="Q340" s="105"/>
      <c r="R340" s="105"/>
      <c r="S340" s="105"/>
      <c r="T340" s="105"/>
    </row>
    <row r="341" spans="1:25" ht="12" customHeight="1">
      <c r="B341" s="3" t="s">
        <v>5624</v>
      </c>
      <c r="J341" s="221"/>
      <c r="K341" s="221"/>
      <c r="L341" s="221"/>
      <c r="M341" s="221"/>
      <c r="N341" s="105"/>
      <c r="O341" s="105"/>
      <c r="P341" s="105"/>
      <c r="Q341" s="105"/>
      <c r="R341" s="105"/>
      <c r="S341" s="105"/>
      <c r="T341" s="105"/>
    </row>
    <row r="342" spans="1:25" ht="12" customHeight="1">
      <c r="C342" s="1950" t="s">
        <v>3464</v>
      </c>
      <c r="D342" s="1957" t="s">
        <v>3469</v>
      </c>
      <c r="E342" s="1957"/>
      <c r="F342" s="1957"/>
      <c r="G342" s="1957"/>
      <c r="H342" s="1957"/>
      <c r="I342" s="1957"/>
      <c r="J342" s="1957"/>
      <c r="K342" s="1957"/>
      <c r="L342" s="1957"/>
      <c r="M342" s="1957"/>
      <c r="N342" s="1957"/>
      <c r="O342" s="1957"/>
      <c r="P342" s="1957"/>
      <c r="Q342" s="1957"/>
      <c r="R342" s="1957"/>
      <c r="S342" s="1957"/>
      <c r="T342" s="1957"/>
    </row>
    <row r="343" spans="1:25" ht="12" customHeight="1">
      <c r="C343" s="1958">
        <v>1</v>
      </c>
      <c r="D343" s="302" t="s">
        <v>3514</v>
      </c>
      <c r="E343" s="302"/>
      <c r="F343" s="302"/>
      <c r="G343" s="302"/>
      <c r="H343" s="302"/>
      <c r="I343" s="302"/>
      <c r="J343" s="302"/>
      <c r="K343" s="302"/>
      <c r="L343" s="302"/>
      <c r="M343" s="302"/>
      <c r="N343" s="302"/>
      <c r="O343" s="302"/>
      <c r="P343" s="302"/>
      <c r="Q343" s="302"/>
      <c r="R343" s="302"/>
      <c r="S343" s="302"/>
      <c r="T343" s="302"/>
    </row>
    <row r="344" spans="1:25" ht="12" customHeight="1">
      <c r="C344" s="1950">
        <v>2</v>
      </c>
      <c r="D344" s="12" t="s">
        <v>5626</v>
      </c>
      <c r="E344" s="12"/>
      <c r="F344" s="12"/>
      <c r="G344" s="12"/>
      <c r="H344" s="12"/>
      <c r="I344" s="12"/>
      <c r="J344" s="12"/>
      <c r="K344" s="12"/>
      <c r="L344" s="12"/>
      <c r="M344" s="12"/>
      <c r="N344" s="12"/>
      <c r="O344" s="12"/>
      <c r="P344" s="12"/>
      <c r="Q344" s="12"/>
      <c r="R344" s="12"/>
      <c r="S344" s="12"/>
      <c r="T344" s="12"/>
    </row>
    <row r="345" spans="1:25" ht="12" customHeight="1">
      <c r="B345" s="3" t="s">
        <v>5627</v>
      </c>
      <c r="J345" s="221"/>
      <c r="K345" s="221"/>
      <c r="L345" s="221"/>
      <c r="M345" s="221"/>
      <c r="N345" s="105"/>
      <c r="O345" s="105"/>
      <c r="P345" s="105"/>
      <c r="Q345" s="105"/>
      <c r="R345" s="105"/>
      <c r="S345" s="105"/>
      <c r="T345" s="105"/>
    </row>
    <row r="346" spans="1:25" ht="12" customHeight="1">
      <c r="C346" s="1950" t="s">
        <v>3464</v>
      </c>
      <c r="D346" s="1957" t="s">
        <v>3469</v>
      </c>
      <c r="E346" s="1957"/>
      <c r="F346" s="1957"/>
      <c r="G346" s="1957"/>
      <c r="H346" s="1957"/>
      <c r="I346" s="1957"/>
      <c r="J346" s="1957"/>
      <c r="K346" s="1957"/>
      <c r="L346" s="1957"/>
      <c r="M346" s="1957"/>
      <c r="N346" s="1957"/>
      <c r="O346" s="1957"/>
      <c r="P346" s="1957"/>
      <c r="Q346" s="1957"/>
      <c r="R346" s="1957"/>
      <c r="S346" s="1957"/>
      <c r="T346" s="1957"/>
    </row>
    <row r="347" spans="1:25" ht="12" customHeight="1">
      <c r="C347" s="1958">
        <v>1</v>
      </c>
      <c r="D347" s="302" t="s">
        <v>5628</v>
      </c>
      <c r="E347" s="302"/>
      <c r="F347" s="302"/>
      <c r="G347" s="302"/>
      <c r="H347" s="302"/>
      <c r="I347" s="302"/>
      <c r="J347" s="302"/>
      <c r="K347" s="302"/>
      <c r="L347" s="302"/>
      <c r="M347" s="302"/>
      <c r="N347" s="302"/>
      <c r="O347" s="302"/>
      <c r="P347" s="302"/>
      <c r="Q347" s="302"/>
      <c r="R347" s="302"/>
      <c r="S347" s="302"/>
      <c r="T347" s="302"/>
    </row>
    <row r="348" spans="1:25" ht="12" customHeight="1">
      <c r="C348" s="1950">
        <v>2</v>
      </c>
      <c r="D348" s="12" t="s">
        <v>5629</v>
      </c>
      <c r="E348" s="12"/>
      <c r="F348" s="12"/>
      <c r="G348" s="12"/>
      <c r="H348" s="12"/>
      <c r="I348" s="12"/>
      <c r="J348" s="12"/>
      <c r="K348" s="12"/>
      <c r="L348" s="12"/>
      <c r="M348" s="12"/>
      <c r="N348" s="12"/>
      <c r="O348" s="12"/>
      <c r="P348" s="12"/>
      <c r="Q348" s="12"/>
      <c r="R348" s="12"/>
      <c r="S348" s="12"/>
      <c r="T348" s="12"/>
    </row>
    <row r="350" spans="1:25" ht="12" customHeight="1">
      <c r="V350"/>
      <c r="W350"/>
      <c r="X350"/>
      <c r="Y350"/>
    </row>
    <row r="351" spans="1:25" customFormat="1" ht="12" customHeight="1">
      <c r="A351" s="20" t="s">
        <v>77</v>
      </c>
      <c r="B351" s="21" t="s">
        <v>33</v>
      </c>
      <c r="C351" s="21"/>
      <c r="D351" s="102"/>
      <c r="E351" s="102"/>
      <c r="F351" s="102"/>
      <c r="G351" s="102"/>
      <c r="H351" s="102"/>
      <c r="I351" s="102"/>
      <c r="J351" s="102"/>
      <c r="K351" s="102"/>
      <c r="L351" s="102"/>
      <c r="M351" s="102"/>
      <c r="N351" s="102"/>
      <c r="O351" s="102"/>
      <c r="P351" s="102"/>
      <c r="Q351" s="102"/>
      <c r="R351" s="102"/>
      <c r="S351" s="102"/>
      <c r="T351" s="102"/>
      <c r="U351" s="102"/>
      <c r="V351" s="102"/>
      <c r="W351" s="102"/>
      <c r="X351" s="102"/>
      <c r="Y351" s="102"/>
    </row>
    <row r="353" spans="2:25" ht="12" customHeight="1">
      <c r="B353" s="32" t="s">
        <v>4910</v>
      </c>
      <c r="C353" s="32"/>
    </row>
    <row r="354" spans="2:25" ht="12" customHeight="1">
      <c r="B354" s="24"/>
      <c r="C354" s="24"/>
      <c r="D354" s="24"/>
      <c r="E354" s="24"/>
      <c r="F354" s="24"/>
      <c r="G354" s="24"/>
      <c r="H354" s="24"/>
      <c r="I354" s="24"/>
      <c r="J354" s="25" t="s">
        <v>23</v>
      </c>
      <c r="K354" s="26"/>
      <c r="L354" s="26"/>
      <c r="M354" s="27"/>
      <c r="N354" s="26" t="s">
        <v>24</v>
      </c>
      <c r="O354" s="26"/>
      <c r="P354" s="26"/>
      <c r="Q354" s="26"/>
      <c r="R354" s="26"/>
      <c r="S354" s="26"/>
      <c r="T354" s="26"/>
      <c r="V354" s="2041" t="s">
        <v>3650</v>
      </c>
      <c r="W354" s="2041"/>
      <c r="X354" s="2041"/>
      <c r="Y354" s="2041"/>
    </row>
    <row r="355" spans="2:25" ht="12" customHeight="1">
      <c r="B355" s="28"/>
      <c r="C355" s="28"/>
      <c r="D355" s="28"/>
      <c r="E355" s="1949" t="s">
        <v>2889</v>
      </c>
      <c r="F355" s="1949" t="s">
        <v>3464</v>
      </c>
      <c r="G355" s="28"/>
      <c r="H355" s="28"/>
      <c r="I355" s="28"/>
      <c r="J355" s="29" t="s">
        <v>69</v>
      </c>
      <c r="K355" s="30" t="s">
        <v>27</v>
      </c>
      <c r="L355" s="30" t="s">
        <v>60</v>
      </c>
      <c r="M355" s="31" t="s">
        <v>5104</v>
      </c>
      <c r="N355" s="30" t="s">
        <v>5174</v>
      </c>
      <c r="O355" s="30" t="s">
        <v>70</v>
      </c>
      <c r="P355" s="30" t="s">
        <v>71</v>
      </c>
      <c r="Q355" s="30" t="s">
        <v>72</v>
      </c>
      <c r="R355" s="30" t="s">
        <v>73</v>
      </c>
      <c r="S355" s="30" t="s">
        <v>74</v>
      </c>
      <c r="T355" s="30" t="s">
        <v>5102</v>
      </c>
      <c r="V355" s="290" t="s">
        <v>3651</v>
      </c>
      <c r="W355" s="290" t="s">
        <v>3652</v>
      </c>
      <c r="X355" s="290" t="s">
        <v>3653</v>
      </c>
      <c r="Y355" s="290" t="s">
        <v>3740</v>
      </c>
    </row>
    <row r="356" spans="2:25" s="45" customFormat="1" ht="12" customHeight="1" thickBot="1">
      <c r="B356" s="3" t="s">
        <v>6161</v>
      </c>
      <c r="E356" s="110" t="s">
        <v>2702</v>
      </c>
      <c r="F356" s="2515">
        <v>1</v>
      </c>
      <c r="G356" s="289" t="str">
        <f>VLOOKUP(F356,$C$365:$D$366,2,FALSE)</f>
        <v>2021 4Q는 2021 9개월 금액 유지 및 2022년 이후 미발생 가정</v>
      </c>
      <c r="J356" s="3719">
        <f>'SG&amp;A'!J29</f>
        <v>1558.9386300000001</v>
      </c>
      <c r="K356" s="3720">
        <f>'SG&amp;A'!K29</f>
        <v>1488.7940960000001</v>
      </c>
      <c r="L356" s="3720">
        <f>'SG&amp;A'!L29</f>
        <v>1488.3181999999999</v>
      </c>
      <c r="M356" s="3721">
        <f>'SG&amp;A'!M29</f>
        <v>1116.4157</v>
      </c>
      <c r="N356" s="3722">
        <f>M356/3</f>
        <v>372.13856666666669</v>
      </c>
      <c r="O356" s="3724">
        <f t="shared" ref="O356" si="74">SUM(M356:N356)</f>
        <v>1488.5542666666668</v>
      </c>
      <c r="P356" s="3722">
        <f>CHOOSE($F$356,0,O356*(1+General!J13))</f>
        <v>0</v>
      </c>
      <c r="Q356" s="3722">
        <f>CHOOSE($F$356,0,P356*(1+General!K13))</f>
        <v>0</v>
      </c>
      <c r="R356" s="3722">
        <f>CHOOSE($F$356,0,Q356*(1+General!L13))</f>
        <v>0</v>
      </c>
      <c r="S356" s="3722">
        <f>CHOOSE($F$356,0,R356*(1+General!M13))</f>
        <v>0</v>
      </c>
      <c r="T356" s="3722">
        <f>CHOOSE($F$356,0,S356*(1+General!N13))</f>
        <v>0</v>
      </c>
      <c r="U356" s="289"/>
      <c r="V356" s="110"/>
      <c r="W356" s="110">
        <v>1</v>
      </c>
      <c r="X356" s="110"/>
      <c r="Y356" s="110" t="str">
        <f>INDEX($V$355:$X$355,1,MATCH($F356,$V356:$X356,0))</f>
        <v>Base</v>
      </c>
    </row>
    <row r="357" spans="2:25" ht="12" customHeight="1" thickBot="1">
      <c r="B357" s="3" t="s">
        <v>4907</v>
      </c>
      <c r="C357" s="45"/>
      <c r="D357" s="45"/>
      <c r="E357" s="110" t="s">
        <v>2702</v>
      </c>
      <c r="F357" s="2515">
        <v>1</v>
      </c>
      <c r="G357" s="289" t="str">
        <f>VLOOKUP(F357,$C$369:$D$370,2,FALSE)</f>
        <v>현재 수준의 비율 유지 가정</v>
      </c>
      <c r="H357" s="45"/>
      <c r="I357" s="45"/>
      <c r="J357" s="1913">
        <f>'SG&amp;A'!J31</f>
        <v>0.74050381316165093</v>
      </c>
      <c r="K357" s="405">
        <f>'SG&amp;A'!K31</f>
        <v>0.83282167986243816</v>
      </c>
      <c r="L357" s="405">
        <f>'SG&amp;A'!L31</f>
        <v>0.8330879780950069</v>
      </c>
      <c r="M357" s="2498">
        <f>'SG&amp;A'!M31</f>
        <v>0.83307678313732059</v>
      </c>
      <c r="N357" s="1912">
        <f>CHOOSE($F357,$M357,AVERAGE($J357:$K357,$L357:$M357))</f>
        <v>0.83307678313732059</v>
      </c>
      <c r="O357" s="405">
        <f>'SG&amp;A'!O31</f>
        <v>0.83307678313732048</v>
      </c>
      <c r="P357" s="1912">
        <f t="shared" ref="P357:T357" si="75">CHOOSE($F357,$M357,AVERAGE($J357:$K357,$L357:$M357))</f>
        <v>0.83307678313732059</v>
      </c>
      <c r="Q357" s="1912">
        <f t="shared" si="75"/>
        <v>0.83307678313732059</v>
      </c>
      <c r="R357" s="1912">
        <f t="shared" si="75"/>
        <v>0.83307678313732059</v>
      </c>
      <c r="S357" s="1912">
        <f t="shared" si="75"/>
        <v>0.83307678313732059</v>
      </c>
      <c r="T357" s="1912">
        <f t="shared" si="75"/>
        <v>0.83307678313732059</v>
      </c>
      <c r="V357" s="110"/>
      <c r="W357" s="110">
        <v>1</v>
      </c>
      <c r="X357" s="110"/>
      <c r="Y357" s="110" t="str">
        <f t="shared" ref="Y357:Y359" si="76">INDEX($V$355:$X$355,1,MATCH($F357,$V357:$X357,0))</f>
        <v>Base</v>
      </c>
    </row>
    <row r="358" spans="2:25" ht="12" customHeight="1" thickBot="1">
      <c r="B358" s="3" t="s">
        <v>6147</v>
      </c>
      <c r="C358" s="45"/>
      <c r="D358" s="45"/>
      <c r="E358" s="110" t="s">
        <v>2702</v>
      </c>
      <c r="F358" s="2515">
        <v>3</v>
      </c>
      <c r="G358" s="289" t="str">
        <f>VLOOKUP(F358,$C$373:$D$375,2,FALSE)</f>
        <v>전년도 영업이익과의 상관계수 활용(2021년 4Q는 유지)</v>
      </c>
      <c r="H358" s="45"/>
      <c r="I358" s="45"/>
      <c r="J358" s="1913">
        <f>'SG&amp;A'!J33</f>
        <v>0.57824598265295413</v>
      </c>
      <c r="K358" s="405">
        <f>'SG&amp;A'!K33</f>
        <v>1.0055117789773933</v>
      </c>
      <c r="L358" s="405">
        <f>'SG&amp;A'!L33</f>
        <v>2.4112350436889103</v>
      </c>
      <c r="M358" s="2498">
        <f>'SG&amp;A'!M33</f>
        <v>1.0343611255198222</v>
      </c>
      <c r="N358" s="405">
        <f>M358</f>
        <v>1.0343611255198222</v>
      </c>
      <c r="O358" s="1912">
        <f>(M358*3+N358)/4</f>
        <v>1.0343611255198222</v>
      </c>
      <c r="P358" s="1912">
        <f>CHOOSE($F$358,$M358,AVERAGE($J358:$M358),_xlfn.FORECAST.LINEAR(DCF!O13,$J$358:$M$358,DCF!$I$13:$L$13))</f>
        <v>2.5874892796520035</v>
      </c>
      <c r="Q358" s="1912">
        <f>CHOOSE($F$358,$M358,AVERAGE($J358:$M358),_xlfn.FORECAST.LINEAR(DCF!P13,$J$358:$M$358,DCF!$I$13:$L$13))</f>
        <v>2.5887505565999875</v>
      </c>
      <c r="R358" s="1912">
        <f>CHOOSE($F$358,$M358,AVERAGE($J358:$M358),_xlfn.FORECAST.LINEAR(DCF!Q13,$J$358:$M$358,DCF!$I$13:$L$13))</f>
        <v>2.7557741071268804</v>
      </c>
      <c r="S358" s="1912">
        <f>CHOOSE($F$358,$M358,AVERAGE($J358:$M358),_xlfn.FORECAST.LINEAR(DCF!R13,$J$358:$M$358,DCF!$I$13:$L$13))</f>
        <v>2.9547220243752443</v>
      </c>
      <c r="T358" s="1912">
        <f>CHOOSE($F$358,$M358,AVERAGE($J358:$M358),_xlfn.FORECAST.LINEAR(DCF!S13,$J$358:$M$358,DCF!$I$13:$L$13))</f>
        <v>2.9808319663379255</v>
      </c>
      <c r="V358" s="110"/>
      <c r="W358" s="110">
        <v>3</v>
      </c>
      <c r="X358" s="110"/>
      <c r="Y358" s="110" t="str">
        <f t="shared" si="76"/>
        <v>Base</v>
      </c>
    </row>
    <row r="359" spans="2:25" ht="12" customHeight="1">
      <c r="B359" s="12" t="s">
        <v>3516</v>
      </c>
      <c r="C359" s="361"/>
      <c r="D359" s="361"/>
      <c r="E359" s="1950" t="s">
        <v>2702</v>
      </c>
      <c r="F359" s="3727">
        <v>1</v>
      </c>
      <c r="G359" s="1954" t="str">
        <f>VLOOKUP(F359,$C$369:$D$370,2,FALSE)</f>
        <v>현재 수준의 비율 유지 가정</v>
      </c>
      <c r="H359" s="361"/>
      <c r="I359" s="361"/>
      <c r="J359" s="403">
        <f>'SG&amp;A'!J35</f>
        <v>1.0507125314908172</v>
      </c>
      <c r="K359" s="404">
        <f>'SG&amp;A'!K35</f>
        <v>0.20082739102365146</v>
      </c>
      <c r="L359" s="404">
        <f>'SG&amp;A'!L35</f>
        <v>0.14699357972765617</v>
      </c>
      <c r="M359" s="2491">
        <f>'SG&amp;A'!M35</f>
        <v>0.20083756301335506</v>
      </c>
      <c r="N359" s="229">
        <f>CHOOSE($F$359,$M$359,$M$359)</f>
        <v>0.20083756301335506</v>
      </c>
      <c r="O359" s="404">
        <f>'SG&amp;A'!O35</f>
        <v>0.20083756301335506</v>
      </c>
      <c r="P359" s="229">
        <f>CHOOSE($F359,$M359,AVERAGE($K359,$L359:$M359))</f>
        <v>0.20083756301335506</v>
      </c>
      <c r="Q359" s="229">
        <f t="shared" ref="Q359:T359" si="77">CHOOSE($F359,$M359,AVERAGE($K359,$L359:$M359))</f>
        <v>0.20083756301335506</v>
      </c>
      <c r="R359" s="229">
        <f t="shared" si="77"/>
        <v>0.20083756301335506</v>
      </c>
      <c r="S359" s="229">
        <f t="shared" si="77"/>
        <v>0.20083756301335506</v>
      </c>
      <c r="T359" s="229">
        <f t="shared" si="77"/>
        <v>0.20083756301335506</v>
      </c>
      <c r="V359" s="1950"/>
      <c r="W359" s="1950">
        <v>1</v>
      </c>
      <c r="X359" s="1950"/>
      <c r="Y359" s="1950" t="str">
        <f t="shared" si="76"/>
        <v>Base</v>
      </c>
    </row>
    <row r="361" spans="2:25" ht="12" customHeight="1">
      <c r="B361" s="1953" t="s">
        <v>351</v>
      </c>
      <c r="J361" s="221"/>
      <c r="K361" s="221"/>
      <c r="L361" s="221"/>
      <c r="M361" s="221"/>
      <c r="N361" s="105"/>
      <c r="O361" s="105"/>
      <c r="P361" s="105"/>
      <c r="Q361" s="105"/>
      <c r="R361" s="105"/>
      <c r="S361" s="105"/>
      <c r="T361" s="105"/>
    </row>
    <row r="362" spans="2:25" ht="12" customHeight="1">
      <c r="B362" s="3" t="s">
        <v>4911</v>
      </c>
      <c r="J362" s="221"/>
      <c r="K362" s="221"/>
      <c r="L362" s="221"/>
      <c r="M362" s="221"/>
      <c r="N362" s="105"/>
      <c r="O362" s="105"/>
      <c r="P362" s="105"/>
      <c r="Q362" s="105"/>
      <c r="R362" s="105"/>
      <c r="S362" s="105"/>
      <c r="T362" s="105"/>
    </row>
    <row r="363" spans="2:25" ht="12" customHeight="1">
      <c r="B363" s="3" t="s">
        <v>6162</v>
      </c>
      <c r="J363" s="221"/>
      <c r="K363" s="221"/>
      <c r="L363" s="221"/>
      <c r="M363" s="221"/>
      <c r="N363" s="105"/>
      <c r="O363" s="105"/>
      <c r="P363" s="105"/>
      <c r="Q363" s="105"/>
      <c r="R363" s="105"/>
      <c r="S363" s="105"/>
      <c r="T363" s="105"/>
    </row>
    <row r="364" spans="2:25" ht="12" customHeight="1">
      <c r="C364" s="1950" t="s">
        <v>3464</v>
      </c>
      <c r="D364" s="1957" t="s">
        <v>3469</v>
      </c>
      <c r="E364" s="1957"/>
      <c r="F364" s="1957"/>
      <c r="G364" s="1957"/>
      <c r="H364" s="1957"/>
      <c r="I364" s="1957"/>
      <c r="J364" s="1957"/>
      <c r="K364" s="1957"/>
      <c r="L364" s="1957"/>
      <c r="M364" s="1957"/>
      <c r="N364" s="1957"/>
      <c r="O364" s="1957"/>
      <c r="P364" s="1957"/>
      <c r="Q364" s="1957"/>
      <c r="R364" s="1957"/>
      <c r="S364" s="1957"/>
      <c r="T364" s="1957"/>
    </row>
    <row r="365" spans="2:25" ht="12" customHeight="1">
      <c r="C365" s="1958">
        <v>1</v>
      </c>
      <c r="D365" s="302" t="s">
        <v>5354</v>
      </c>
      <c r="E365" s="302"/>
      <c r="F365" s="302"/>
      <c r="G365" s="302"/>
      <c r="H365" s="302"/>
      <c r="I365" s="302"/>
      <c r="J365" s="302"/>
      <c r="K365" s="302"/>
      <c r="L365" s="302"/>
      <c r="M365" s="302"/>
      <c r="N365" s="302"/>
      <c r="O365" s="302"/>
      <c r="P365" s="302"/>
      <c r="Q365" s="302"/>
      <c r="R365" s="302"/>
      <c r="S365" s="302"/>
      <c r="T365" s="302"/>
    </row>
    <row r="366" spans="2:25" ht="12" customHeight="1">
      <c r="C366" s="1950">
        <v>2</v>
      </c>
      <c r="D366" s="12" t="s">
        <v>5355</v>
      </c>
      <c r="E366" s="12"/>
      <c r="F366" s="12"/>
      <c r="G366" s="12"/>
      <c r="H366" s="12"/>
      <c r="I366" s="12"/>
      <c r="J366" s="12"/>
      <c r="K366" s="12"/>
      <c r="L366" s="12"/>
      <c r="M366" s="12"/>
      <c r="N366" s="12"/>
      <c r="O366" s="12"/>
      <c r="P366" s="12"/>
      <c r="Q366" s="12"/>
      <c r="R366" s="12"/>
      <c r="S366" s="12"/>
      <c r="T366" s="12"/>
    </row>
    <row r="367" spans="2:25" ht="12" customHeight="1">
      <c r="B367" s="3" t="s">
        <v>6163</v>
      </c>
      <c r="J367" s="221"/>
      <c r="K367" s="221"/>
      <c r="L367" s="221"/>
      <c r="M367" s="221"/>
      <c r="N367" s="105"/>
      <c r="O367" s="105"/>
      <c r="P367" s="105"/>
      <c r="Q367" s="105"/>
      <c r="R367" s="105"/>
      <c r="S367" s="105"/>
      <c r="T367" s="105"/>
    </row>
    <row r="368" spans="2:25" ht="12" customHeight="1">
      <c r="C368" s="1950" t="s">
        <v>3464</v>
      </c>
      <c r="D368" s="1957" t="s">
        <v>3469</v>
      </c>
      <c r="E368" s="1957"/>
      <c r="F368" s="1957"/>
      <c r="G368" s="1957"/>
      <c r="H368" s="1957"/>
      <c r="I368" s="1957"/>
      <c r="J368" s="1957"/>
      <c r="K368" s="1957"/>
      <c r="L368" s="1957"/>
      <c r="M368" s="1957"/>
      <c r="N368" s="1957"/>
      <c r="O368" s="1957"/>
      <c r="P368" s="1957"/>
      <c r="Q368" s="1957"/>
      <c r="R368" s="1957"/>
      <c r="S368" s="1957"/>
      <c r="T368" s="1957"/>
    </row>
    <row r="369" spans="2:25" ht="12" customHeight="1">
      <c r="C369" s="1958">
        <v>1</v>
      </c>
      <c r="D369" s="302" t="s">
        <v>6164</v>
      </c>
      <c r="E369" s="302"/>
      <c r="F369" s="302"/>
      <c r="G369" s="302"/>
      <c r="H369" s="302"/>
      <c r="I369" s="302"/>
      <c r="J369" s="302"/>
      <c r="K369" s="302"/>
      <c r="L369" s="302"/>
      <c r="M369" s="302"/>
      <c r="N369" s="302"/>
      <c r="O369" s="302"/>
      <c r="P369" s="302"/>
      <c r="Q369" s="302"/>
      <c r="R369" s="302"/>
      <c r="S369" s="302"/>
      <c r="T369" s="302"/>
    </row>
    <row r="370" spans="2:25" ht="12" customHeight="1">
      <c r="C370" s="1950">
        <v>2</v>
      </c>
      <c r="D370" s="12" t="s">
        <v>6148</v>
      </c>
      <c r="E370" s="12"/>
      <c r="F370" s="12"/>
      <c r="G370" s="12"/>
      <c r="H370" s="12"/>
      <c r="I370" s="12"/>
      <c r="J370" s="12"/>
      <c r="K370" s="12"/>
      <c r="L370" s="12"/>
      <c r="M370" s="12"/>
      <c r="N370" s="12"/>
      <c r="O370" s="12"/>
      <c r="P370" s="12"/>
      <c r="Q370" s="12"/>
      <c r="R370" s="12"/>
      <c r="S370" s="12"/>
      <c r="T370" s="12"/>
    </row>
    <row r="371" spans="2:25" ht="12" customHeight="1">
      <c r="B371" s="3" t="s">
        <v>6165</v>
      </c>
    </row>
    <row r="372" spans="2:25" ht="12" customHeight="1">
      <c r="C372" s="1950" t="s">
        <v>3464</v>
      </c>
      <c r="D372" s="1957" t="s">
        <v>3469</v>
      </c>
      <c r="E372" s="1957"/>
      <c r="F372" s="1957"/>
      <c r="G372" s="1957"/>
      <c r="H372" s="1957"/>
      <c r="I372" s="1957"/>
      <c r="J372" s="1957"/>
      <c r="K372" s="1957"/>
      <c r="L372" s="1957"/>
      <c r="M372" s="1957"/>
      <c r="N372" s="1957"/>
      <c r="O372" s="1957"/>
      <c r="P372" s="1957"/>
      <c r="Q372" s="1957"/>
      <c r="R372" s="1957"/>
      <c r="S372" s="1957"/>
      <c r="T372" s="1957"/>
    </row>
    <row r="373" spans="2:25" ht="12" customHeight="1">
      <c r="C373" s="1958">
        <v>1</v>
      </c>
      <c r="D373" s="302" t="s">
        <v>6164</v>
      </c>
      <c r="E373" s="302"/>
      <c r="F373" s="302"/>
      <c r="G373" s="302"/>
      <c r="H373" s="302"/>
      <c r="I373" s="302"/>
      <c r="J373" s="302"/>
      <c r="K373" s="302"/>
      <c r="L373" s="302"/>
      <c r="M373" s="302"/>
      <c r="N373" s="302"/>
      <c r="O373" s="302"/>
      <c r="P373" s="302"/>
      <c r="Q373" s="302"/>
      <c r="R373" s="302"/>
      <c r="S373" s="302"/>
      <c r="T373" s="302"/>
    </row>
    <row r="374" spans="2:25" ht="12" customHeight="1">
      <c r="C374" s="110">
        <v>2</v>
      </c>
      <c r="D374" s="3" t="s">
        <v>6872</v>
      </c>
    </row>
    <row r="375" spans="2:25" ht="12" customHeight="1">
      <c r="C375" s="1950">
        <v>3</v>
      </c>
      <c r="D375" s="12" t="s">
        <v>6870</v>
      </c>
      <c r="E375" s="12"/>
      <c r="F375" s="12"/>
      <c r="G375" s="12"/>
      <c r="H375" s="12"/>
      <c r="I375" s="12"/>
      <c r="J375" s="12"/>
      <c r="K375" s="12"/>
      <c r="L375" s="12"/>
      <c r="M375" s="12"/>
      <c r="N375" s="12"/>
      <c r="O375" s="12"/>
      <c r="P375" s="12"/>
      <c r="Q375" s="12"/>
      <c r="R375" s="12"/>
      <c r="S375" s="12"/>
      <c r="T375" s="12"/>
    </row>
    <row r="377" spans="2:25" ht="12" customHeight="1">
      <c r="B377" s="32" t="s">
        <v>5634</v>
      </c>
      <c r="C377" s="32"/>
    </row>
    <row r="379" spans="2:25" ht="12" customHeight="1">
      <c r="B379" s="24"/>
      <c r="C379" s="24"/>
      <c r="D379" s="24"/>
      <c r="E379" s="24"/>
      <c r="F379" s="24"/>
      <c r="G379" s="24"/>
      <c r="H379" s="24"/>
      <c r="I379" s="24"/>
      <c r="J379" s="25" t="s">
        <v>23</v>
      </c>
      <c r="K379" s="26"/>
      <c r="L379" s="26"/>
      <c r="M379" s="27"/>
      <c r="N379" s="26" t="s">
        <v>24</v>
      </c>
      <c r="O379" s="26"/>
      <c r="P379" s="26"/>
      <c r="Q379" s="26"/>
      <c r="R379" s="26"/>
      <c r="S379" s="26"/>
      <c r="T379" s="26"/>
      <c r="V379" s="2041" t="s">
        <v>3650</v>
      </c>
      <c r="W379" s="2041"/>
      <c r="X379" s="2041"/>
      <c r="Y379" s="2041"/>
    </row>
    <row r="380" spans="2:25" ht="12" customHeight="1" thickBot="1">
      <c r="B380" s="28"/>
      <c r="C380" s="28"/>
      <c r="D380" s="28"/>
      <c r="E380" s="1949" t="s">
        <v>2889</v>
      </c>
      <c r="F380" s="1949" t="s">
        <v>3464</v>
      </c>
      <c r="G380" s="28"/>
      <c r="H380" s="28"/>
      <c r="I380" s="28"/>
      <c r="J380" s="29" t="s">
        <v>69</v>
      </c>
      <c r="K380" s="30" t="s">
        <v>27</v>
      </c>
      <c r="L380" s="30" t="s">
        <v>60</v>
      </c>
      <c r="M380" s="31" t="s">
        <v>5104</v>
      </c>
      <c r="N380" s="30" t="s">
        <v>5174</v>
      </c>
      <c r="O380" s="30" t="s">
        <v>70</v>
      </c>
      <c r="P380" s="30" t="s">
        <v>71</v>
      </c>
      <c r="Q380" s="30" t="s">
        <v>72</v>
      </c>
      <c r="R380" s="30" t="s">
        <v>73</v>
      </c>
      <c r="S380" s="30" t="s">
        <v>74</v>
      </c>
      <c r="T380" s="30" t="s">
        <v>5102</v>
      </c>
      <c r="V380" s="290" t="s">
        <v>3651</v>
      </c>
      <c r="W380" s="290" t="s">
        <v>3652</v>
      </c>
      <c r="X380" s="290" t="s">
        <v>3653</v>
      </c>
      <c r="Y380" s="290" t="s">
        <v>3740</v>
      </c>
    </row>
    <row r="381" spans="2:25" ht="12" customHeight="1" thickBot="1">
      <c r="B381" s="12" t="s">
        <v>5635</v>
      </c>
      <c r="C381" s="361"/>
      <c r="D381" s="361"/>
      <c r="E381" s="1950" t="s">
        <v>5607</v>
      </c>
      <c r="F381" s="291">
        <v>2</v>
      </c>
      <c r="G381" s="1954"/>
      <c r="H381" s="361"/>
      <c r="I381" s="361"/>
      <c r="J381" s="3068">
        <f>'SG&amp;A'!J38</f>
        <v>155</v>
      </c>
      <c r="K381" s="3069">
        <f>'SG&amp;A'!K38</f>
        <v>148</v>
      </c>
      <c r="L381" s="3069">
        <f>'SG&amp;A'!L38</f>
        <v>141</v>
      </c>
      <c r="M381" s="3070">
        <f>'SG&amp;A'!M38</f>
        <v>135</v>
      </c>
      <c r="N381" s="3071">
        <f>CHOOSE($F$381,$M381,$M381)</f>
        <v>135</v>
      </c>
      <c r="O381" s="3072">
        <f>'SG&amp;A'!O38</f>
        <v>135</v>
      </c>
      <c r="P381" s="3071">
        <f>CHOOSE($F$381,$M381,$M381+1)</f>
        <v>136</v>
      </c>
      <c r="Q381" s="3071">
        <f>CHOOSE($F$381,$M381,$M381+1)</f>
        <v>136</v>
      </c>
      <c r="R381" s="3071">
        <f>CHOOSE($F$381,$M381,$M381+1)</f>
        <v>136</v>
      </c>
      <c r="S381" s="3071">
        <f>CHOOSE($F$381,$M381,$M381+1)</f>
        <v>136</v>
      </c>
      <c r="T381" s="3071">
        <f>CHOOSE($F$381,$M381,$M381+1)</f>
        <v>136</v>
      </c>
      <c r="U381" s="289"/>
      <c r="V381" s="1950"/>
      <c r="W381" s="1950">
        <v>2</v>
      </c>
      <c r="X381" s="1950"/>
      <c r="Y381" s="1950" t="str">
        <f>INDEX($V$380:$X$380,1,MATCH($F381,$V381:$X381,0))</f>
        <v>Base</v>
      </c>
    </row>
    <row r="383" spans="2:25" ht="12" customHeight="1">
      <c r="B383" s="1953" t="s">
        <v>351</v>
      </c>
      <c r="J383" s="221"/>
      <c r="K383" s="221"/>
      <c r="L383" s="221"/>
      <c r="M383" s="221"/>
      <c r="N383" s="105"/>
      <c r="O383" s="105"/>
      <c r="P383" s="105"/>
      <c r="Q383" s="105"/>
      <c r="R383" s="105"/>
      <c r="S383" s="105"/>
      <c r="T383" s="105"/>
    </row>
    <row r="384" spans="2:25" ht="12" customHeight="1">
      <c r="B384" s="3" t="s">
        <v>5636</v>
      </c>
      <c r="J384" s="221"/>
      <c r="K384" s="221"/>
      <c r="L384" s="221"/>
      <c r="M384" s="221"/>
      <c r="N384" s="105"/>
      <c r="O384" s="105"/>
      <c r="P384" s="105"/>
      <c r="Q384" s="105"/>
      <c r="R384" s="105"/>
      <c r="S384" s="105"/>
      <c r="T384" s="105"/>
    </row>
    <row r="385" spans="2:25" ht="12" customHeight="1">
      <c r="B385" s="3" t="s">
        <v>3499</v>
      </c>
      <c r="J385" s="221"/>
      <c r="K385" s="221"/>
      <c r="L385" s="221"/>
      <c r="M385" s="221"/>
      <c r="N385" s="105"/>
      <c r="O385" s="105"/>
      <c r="P385" s="105"/>
      <c r="Q385" s="105"/>
      <c r="R385" s="105"/>
      <c r="S385" s="105"/>
      <c r="T385" s="105"/>
    </row>
    <row r="386" spans="2:25" ht="12" customHeight="1">
      <c r="C386" s="1950" t="s">
        <v>3464</v>
      </c>
      <c r="D386" s="1957" t="s">
        <v>3469</v>
      </c>
      <c r="E386" s="1957"/>
      <c r="F386" s="1957"/>
      <c r="G386" s="1957"/>
      <c r="H386" s="1957"/>
      <c r="I386" s="1957"/>
      <c r="J386" s="1957"/>
      <c r="K386" s="1957"/>
      <c r="L386" s="1957"/>
      <c r="M386" s="1957"/>
      <c r="N386" s="1957"/>
      <c r="O386" s="1957"/>
      <c r="P386" s="1957"/>
      <c r="Q386" s="1957"/>
      <c r="R386" s="1957"/>
      <c r="S386" s="1957"/>
      <c r="T386" s="1957"/>
    </row>
    <row r="387" spans="2:25" ht="12" customHeight="1">
      <c r="C387" s="1958">
        <v>1</v>
      </c>
      <c r="D387" s="302" t="s">
        <v>5637</v>
      </c>
      <c r="E387" s="302"/>
      <c r="F387" s="302"/>
      <c r="G387" s="302"/>
      <c r="H387" s="302"/>
      <c r="I387" s="302"/>
      <c r="J387" s="302"/>
      <c r="K387" s="302"/>
      <c r="L387" s="302"/>
      <c r="M387" s="302"/>
      <c r="N387" s="302"/>
      <c r="O387" s="302"/>
      <c r="P387" s="302"/>
      <c r="Q387" s="302"/>
      <c r="R387" s="302"/>
      <c r="S387" s="302"/>
      <c r="T387" s="302"/>
    </row>
    <row r="388" spans="2:25" ht="12" customHeight="1">
      <c r="C388" s="1950">
        <v>2</v>
      </c>
      <c r="D388" s="12" t="s">
        <v>5638</v>
      </c>
      <c r="E388" s="12"/>
      <c r="F388" s="12"/>
      <c r="G388" s="12"/>
      <c r="H388" s="12"/>
      <c r="I388" s="12"/>
      <c r="J388" s="12"/>
      <c r="K388" s="12"/>
      <c r="L388" s="12"/>
      <c r="M388" s="12"/>
      <c r="N388" s="12"/>
      <c r="O388" s="12"/>
      <c r="P388" s="12"/>
      <c r="Q388" s="12"/>
      <c r="R388" s="12"/>
      <c r="S388" s="12"/>
      <c r="T388" s="12"/>
    </row>
    <row r="390" spans="2:25" ht="12" customHeight="1">
      <c r="B390" s="32" t="s">
        <v>4909</v>
      </c>
      <c r="C390" s="32"/>
    </row>
    <row r="391" spans="2:25" ht="12" customHeight="1">
      <c r="B391" s="24"/>
      <c r="C391" s="24"/>
      <c r="D391" s="24"/>
      <c r="E391" s="24"/>
      <c r="F391" s="24"/>
      <c r="G391" s="24"/>
      <c r="H391" s="24"/>
      <c r="I391" s="24"/>
      <c r="J391" s="25" t="s">
        <v>23</v>
      </c>
      <c r="K391" s="26"/>
      <c r="L391" s="26"/>
      <c r="M391" s="27"/>
      <c r="N391" s="26" t="s">
        <v>24</v>
      </c>
      <c r="O391" s="26"/>
      <c r="P391" s="26"/>
      <c r="Q391" s="26"/>
      <c r="R391" s="26"/>
      <c r="S391" s="26"/>
      <c r="T391" s="26"/>
      <c r="V391" s="2041" t="s">
        <v>3650</v>
      </c>
      <c r="W391" s="2041"/>
      <c r="X391" s="2041"/>
      <c r="Y391" s="2041"/>
    </row>
    <row r="392" spans="2:25" ht="12" customHeight="1">
      <c r="B392" s="28"/>
      <c r="C392" s="28"/>
      <c r="D392" s="28"/>
      <c r="E392" s="1949" t="s">
        <v>2889</v>
      </c>
      <c r="F392" s="1949" t="s">
        <v>3464</v>
      </c>
      <c r="G392" s="28"/>
      <c r="H392" s="28"/>
      <c r="I392" s="28"/>
      <c r="J392" s="29" t="s">
        <v>69</v>
      </c>
      <c r="K392" s="30" t="s">
        <v>27</v>
      </c>
      <c r="L392" s="30" t="s">
        <v>60</v>
      </c>
      <c r="M392" s="31" t="s">
        <v>5104</v>
      </c>
      <c r="N392" s="30" t="s">
        <v>5174</v>
      </c>
      <c r="O392" s="30" t="s">
        <v>70</v>
      </c>
      <c r="P392" s="30" t="s">
        <v>71</v>
      </c>
      <c r="Q392" s="30" t="s">
        <v>72</v>
      </c>
      <c r="R392" s="30" t="s">
        <v>73</v>
      </c>
      <c r="S392" s="30" t="s">
        <v>74</v>
      </c>
      <c r="T392" s="30" t="s">
        <v>5175</v>
      </c>
      <c r="V392" s="290" t="s">
        <v>3651</v>
      </c>
      <c r="W392" s="290" t="s">
        <v>3652</v>
      </c>
      <c r="X392" s="290" t="s">
        <v>3653</v>
      </c>
      <c r="Y392" s="290" t="s">
        <v>3740</v>
      </c>
    </row>
    <row r="393" spans="2:25" s="45" customFormat="1" ht="12" customHeight="1" thickBot="1">
      <c r="B393" s="3" t="s">
        <v>4907</v>
      </c>
      <c r="E393" s="110" t="s">
        <v>2702</v>
      </c>
      <c r="F393" s="2515">
        <v>1</v>
      </c>
      <c r="G393" s="289" t="str">
        <f>VLOOKUP(F393,$C$402:$D$403,2,FALSE)</f>
        <v>현재 수준의 비율 유지 가정</v>
      </c>
      <c r="J393" s="401">
        <f>'SG&amp;A'!J41</f>
        <v>0.71533009589404672</v>
      </c>
      <c r="K393" s="402">
        <f>'SG&amp;A'!K41</f>
        <v>0.67300707032237328</v>
      </c>
      <c r="L393" s="402">
        <f>'SG&amp;A'!L41</f>
        <v>0.63358608123797822</v>
      </c>
      <c r="M393" s="2490">
        <f>'SG&amp;A'!M41</f>
        <v>0.62353217860175703</v>
      </c>
      <c r="N393" s="399">
        <f>CHOOSE($F393,$M393,AVERAGE($J393:$K393,$L393:$M393))</f>
        <v>0.62353217860175703</v>
      </c>
      <c r="O393" s="405">
        <f>'SG&amp;A'!O41</f>
        <v>0.62353217860175703</v>
      </c>
      <c r="P393" s="399">
        <f t="shared" ref="P393:T396" si="78">CHOOSE($F393,$M393,AVERAGE($J393:$K393,$L393:$M393))</f>
        <v>0.62353217860175703</v>
      </c>
      <c r="Q393" s="399">
        <f t="shared" si="78"/>
        <v>0.62353217860175703</v>
      </c>
      <c r="R393" s="399">
        <f t="shared" si="78"/>
        <v>0.62353217860175703</v>
      </c>
      <c r="S393" s="399">
        <f t="shared" si="78"/>
        <v>0.62353217860175703</v>
      </c>
      <c r="T393" s="399">
        <f t="shared" si="78"/>
        <v>0.62353217860175703</v>
      </c>
      <c r="U393" s="289"/>
      <c r="V393" s="110"/>
      <c r="W393" s="110">
        <v>1</v>
      </c>
      <c r="X393" s="110"/>
      <c r="Y393" s="110" t="str">
        <f>INDEX($V$392:$X$392,1,MATCH($F393,$V393:$X393,0))</f>
        <v>Base</v>
      </c>
    </row>
    <row r="394" spans="2:25" s="45" customFormat="1" ht="12" customHeight="1" thickBot="1">
      <c r="B394" s="3" t="s">
        <v>6147</v>
      </c>
      <c r="E394" s="110" t="s">
        <v>2702</v>
      </c>
      <c r="F394" s="2515">
        <v>3</v>
      </c>
      <c r="G394" s="289" t="str">
        <f>VLOOKUP(F394,$C$406:$D$408,2,FALSE)</f>
        <v>전년도 영업이익과의 상관계수 활용(2021년 4Q는 유지)</v>
      </c>
      <c r="J394" s="1913">
        <f>'SG&amp;A'!J43</f>
        <v>0.63728260544181958</v>
      </c>
      <c r="K394" s="405">
        <f>'SG&amp;A'!K43</f>
        <v>0.73801033715518272</v>
      </c>
      <c r="L394" s="405">
        <f>'SG&amp;A'!L43</f>
        <v>0.48385607775808059</v>
      </c>
      <c r="M394" s="2498">
        <f>'SG&amp;A'!M43</f>
        <v>0.19143056631957117</v>
      </c>
      <c r="N394" s="405">
        <f>M394</f>
        <v>0.19143056631957117</v>
      </c>
      <c r="O394" s="1912">
        <f>(M394*3+N394)/4</f>
        <v>0.19143056631957117</v>
      </c>
      <c r="P394" s="1912">
        <f>CHOOSE($F$394,$M$394,AVERAGE($J$394:$M$394),_xlfn.FORECAST.LINEAR(DCF!O13,$J$394:$M$394,DCF!$I$13:$L$13))</f>
        <v>0.51011715270375013</v>
      </c>
      <c r="Q394" s="1912">
        <f>CHOOSE($F$394,$M$394,AVERAGE($J$394:$M$394),_xlfn.FORECAST.LINEAR(DCF!P13,$J$394:$M$394,DCF!$I$13:$L$13))</f>
        <v>0.51011475584378452</v>
      </c>
      <c r="R394" s="1912">
        <f>CHOOSE($F$394,$M$394,AVERAGE($J$394:$M$394),_xlfn.FORECAST.LINEAR(DCF!Q13,$J$394:$M$394,DCF!$I$13:$L$13))</f>
        <v>0.50979735365689471</v>
      </c>
      <c r="S394" s="1912">
        <f>CHOOSE($F$394,$M$394,AVERAGE($J$394:$M$394),_xlfn.FORECAST.LINEAR(DCF!R13,$J$394:$M$394,DCF!$I$13:$L$13))</f>
        <v>0.50941928419415961</v>
      </c>
      <c r="T394" s="1912">
        <f>CHOOSE($F$394,$M$394,AVERAGE($J$394:$M$394),_xlfn.FORECAST.LINEAR(DCF!S13,$J$394:$M$394,DCF!$I$13:$L$13))</f>
        <v>0.50936966632498859</v>
      </c>
      <c r="U394" s="289"/>
      <c r="V394" s="110"/>
      <c r="W394" s="110">
        <v>3</v>
      </c>
      <c r="X394" s="110"/>
      <c r="Y394" s="110" t="str">
        <f>INDEX($V$392:$X$392,1,MATCH($F394,$V394:$X394,0))</f>
        <v>Base</v>
      </c>
    </row>
    <row r="395" spans="2:25" s="45" customFormat="1" ht="12" customHeight="1" thickBot="1">
      <c r="B395" s="3" t="s">
        <v>3516</v>
      </c>
      <c r="E395" s="110" t="s">
        <v>2702</v>
      </c>
      <c r="F395" s="2515">
        <v>1</v>
      </c>
      <c r="G395" s="289" t="str">
        <f>VLOOKUP(F395,$C$402:$D$403,2,FALSE)</f>
        <v>현재 수준의 비율 유지 가정</v>
      </c>
      <c r="J395" s="1913">
        <f>'SG&amp;A'!J45</f>
        <v>4.2437818329080952E-2</v>
      </c>
      <c r="K395" s="405">
        <f>'SG&amp;A'!K45</f>
        <v>0.20082739102365146</v>
      </c>
      <c r="L395" s="405">
        <f>'SG&amp;A'!L45</f>
        <v>0.20463511573524049</v>
      </c>
      <c r="M395" s="2498">
        <f>'SG&amp;A'!M45</f>
        <v>0.20083756301335504</v>
      </c>
      <c r="N395" s="399">
        <f>M395</f>
        <v>0.20083756301335504</v>
      </c>
      <c r="O395" s="405">
        <f>'SG&amp;A'!O45</f>
        <v>0.20083756301335501</v>
      </c>
      <c r="P395" s="399">
        <f t="shared" si="78"/>
        <v>0.20083756301335504</v>
      </c>
      <c r="Q395" s="399">
        <f t="shared" si="78"/>
        <v>0.20083756301335504</v>
      </c>
      <c r="R395" s="399">
        <f t="shared" si="78"/>
        <v>0.20083756301335504</v>
      </c>
      <c r="S395" s="399">
        <f t="shared" si="78"/>
        <v>0.20083756301335504</v>
      </c>
      <c r="T395" s="399">
        <f t="shared" si="78"/>
        <v>0.20083756301335504</v>
      </c>
      <c r="U395" s="289"/>
      <c r="V395" s="110"/>
      <c r="W395" s="110">
        <v>1</v>
      </c>
      <c r="X395" s="110"/>
      <c r="Y395" s="110" t="str">
        <f>INDEX($V$392:$X$392,1,MATCH($F395,$V395:$X395,0))</f>
        <v>Base</v>
      </c>
    </row>
    <row r="396" spans="2:25" s="45" customFormat="1" ht="12" customHeight="1" thickBot="1">
      <c r="B396" s="12" t="s">
        <v>3517</v>
      </c>
      <c r="C396" s="361"/>
      <c r="D396" s="361"/>
      <c r="E396" s="1950" t="s">
        <v>2702</v>
      </c>
      <c r="F396" s="291">
        <v>1</v>
      </c>
      <c r="G396" s="1954" t="str">
        <f>VLOOKUP(F396,$C$402:$D$403,2,FALSE)</f>
        <v>현재 수준의 비율 유지 가정</v>
      </c>
      <c r="H396" s="361"/>
      <c r="I396" s="361"/>
      <c r="J396" s="403">
        <f>'SG&amp;A'!J47</f>
        <v>0.37075481957820022</v>
      </c>
      <c r="K396" s="404">
        <f>'SG&amp;A'!K47</f>
        <v>0.34431317695543473</v>
      </c>
      <c r="L396" s="404">
        <f>'SG&amp;A'!L47</f>
        <v>0.40892415209045563</v>
      </c>
      <c r="M396" s="2491">
        <f>'SG&amp;A'!M47</f>
        <v>0.31197248909891145</v>
      </c>
      <c r="N396" s="229">
        <f>M396</f>
        <v>0.31197248909891145</v>
      </c>
      <c r="O396" s="404">
        <f>'SG&amp;A'!O47</f>
        <v>0.31197248909891145</v>
      </c>
      <c r="P396" s="229">
        <f t="shared" si="78"/>
        <v>0.31197248909891145</v>
      </c>
      <c r="Q396" s="229">
        <f t="shared" si="78"/>
        <v>0.31197248909891145</v>
      </c>
      <c r="R396" s="229">
        <f t="shared" si="78"/>
        <v>0.31197248909891145</v>
      </c>
      <c r="S396" s="229">
        <f t="shared" si="78"/>
        <v>0.31197248909891145</v>
      </c>
      <c r="T396" s="229">
        <f t="shared" si="78"/>
        <v>0.31197248909891145</v>
      </c>
      <c r="U396" s="289"/>
      <c r="V396" s="1950"/>
      <c r="W396" s="1950">
        <v>1</v>
      </c>
      <c r="X396" s="1950"/>
      <c r="Y396" s="1950" t="str">
        <f>INDEX($V$392:$X$392,1,MATCH($F396,$V396:$X396,0))</f>
        <v>Base</v>
      </c>
    </row>
    <row r="398" spans="2:25" ht="12" customHeight="1">
      <c r="B398" s="1953" t="s">
        <v>351</v>
      </c>
      <c r="J398" s="221"/>
      <c r="K398" s="221"/>
      <c r="L398" s="221"/>
      <c r="M398" s="221"/>
      <c r="N398" s="105"/>
      <c r="O398" s="105"/>
      <c r="P398" s="278"/>
      <c r="Q398" s="278"/>
      <c r="R398" s="278"/>
      <c r="S398" s="278"/>
      <c r="T398" s="278"/>
    </row>
    <row r="399" spans="2:25" ht="12" customHeight="1">
      <c r="B399" s="3" t="s">
        <v>5358</v>
      </c>
      <c r="J399" s="221"/>
      <c r="K399" s="221"/>
      <c r="L399" s="221"/>
      <c r="M399" s="221"/>
      <c r="N399" s="105"/>
      <c r="O399" s="105"/>
      <c r="P399" s="105"/>
      <c r="Q399" s="105"/>
      <c r="R399" s="105"/>
      <c r="S399" s="105"/>
      <c r="T399" s="105"/>
    </row>
    <row r="400" spans="2:25" ht="12" customHeight="1">
      <c r="B400" s="3" t="s">
        <v>6149</v>
      </c>
      <c r="J400" s="221"/>
      <c r="K400" s="221"/>
      <c r="L400" s="221"/>
      <c r="M400" s="221"/>
      <c r="N400" s="105"/>
      <c r="O400" s="105"/>
      <c r="P400" s="105"/>
      <c r="Q400" s="105"/>
      <c r="R400" s="105"/>
      <c r="S400" s="105"/>
      <c r="T400" s="105"/>
    </row>
    <row r="401" spans="2:25" ht="12" customHeight="1">
      <c r="C401" s="1950" t="s">
        <v>3464</v>
      </c>
      <c r="D401" s="1957" t="s">
        <v>3469</v>
      </c>
      <c r="E401" s="1957"/>
      <c r="F401" s="1957"/>
      <c r="G401" s="1957"/>
      <c r="H401" s="1957"/>
      <c r="I401" s="1957"/>
      <c r="J401" s="1957"/>
      <c r="K401" s="1957"/>
      <c r="L401" s="1957"/>
      <c r="M401" s="1957"/>
      <c r="N401" s="1957"/>
      <c r="O401" s="1957"/>
      <c r="P401" s="1957"/>
      <c r="Q401" s="1957"/>
      <c r="R401" s="1957"/>
      <c r="S401" s="1957"/>
      <c r="T401" s="1957"/>
    </row>
    <row r="402" spans="2:25" ht="12" customHeight="1">
      <c r="C402" s="1958">
        <v>1</v>
      </c>
      <c r="D402" s="302" t="s">
        <v>1369</v>
      </c>
      <c r="E402" s="302"/>
      <c r="F402" s="302"/>
      <c r="G402" s="302"/>
      <c r="H402" s="302"/>
      <c r="I402" s="302"/>
      <c r="J402" s="302"/>
      <c r="K402" s="302"/>
      <c r="L402" s="302"/>
      <c r="M402" s="302"/>
      <c r="N402" s="302"/>
      <c r="O402" s="302"/>
      <c r="P402" s="302"/>
      <c r="Q402" s="302"/>
      <c r="R402" s="302"/>
      <c r="S402" s="302"/>
      <c r="T402" s="302"/>
    </row>
    <row r="403" spans="2:25" ht="12" customHeight="1">
      <c r="C403" s="1950">
        <v>2</v>
      </c>
      <c r="D403" s="12" t="s">
        <v>5357</v>
      </c>
      <c r="E403" s="12"/>
      <c r="F403" s="12"/>
      <c r="G403" s="12"/>
      <c r="H403" s="12"/>
      <c r="I403" s="12"/>
      <c r="J403" s="12"/>
      <c r="K403" s="12"/>
      <c r="L403" s="12"/>
      <c r="M403" s="12"/>
      <c r="N403" s="12"/>
      <c r="O403" s="12"/>
      <c r="P403" s="12"/>
      <c r="Q403" s="12"/>
      <c r="R403" s="12"/>
      <c r="S403" s="12"/>
      <c r="T403" s="12"/>
    </row>
    <row r="404" spans="2:25" ht="12" customHeight="1">
      <c r="B404" s="3" t="s">
        <v>6150</v>
      </c>
    </row>
    <row r="405" spans="2:25" ht="12" customHeight="1">
      <c r="C405" s="1950" t="s">
        <v>3464</v>
      </c>
      <c r="D405" s="1957" t="s">
        <v>3469</v>
      </c>
      <c r="E405" s="1957"/>
      <c r="F405" s="1957"/>
      <c r="G405" s="1957"/>
      <c r="H405" s="1957"/>
      <c r="I405" s="1957"/>
      <c r="J405" s="1957"/>
      <c r="K405" s="1957"/>
      <c r="L405" s="1957"/>
      <c r="M405" s="1957"/>
      <c r="N405" s="1957"/>
      <c r="O405" s="1957"/>
      <c r="P405" s="1957"/>
      <c r="Q405" s="1957"/>
      <c r="R405" s="1957"/>
      <c r="S405" s="1957"/>
      <c r="T405" s="1957"/>
    </row>
    <row r="406" spans="2:25" ht="12" customHeight="1">
      <c r="C406" s="1958">
        <v>1</v>
      </c>
      <c r="D406" s="302" t="s">
        <v>6164</v>
      </c>
      <c r="E406" s="302"/>
      <c r="F406" s="302"/>
      <c r="G406" s="302"/>
      <c r="H406" s="302"/>
      <c r="I406" s="302"/>
      <c r="J406" s="302"/>
      <c r="K406" s="302"/>
      <c r="L406" s="302"/>
      <c r="M406" s="302"/>
      <c r="N406" s="302"/>
      <c r="O406" s="302"/>
      <c r="P406" s="302"/>
      <c r="Q406" s="302"/>
      <c r="R406" s="302"/>
      <c r="S406" s="302"/>
      <c r="T406" s="302"/>
    </row>
    <row r="407" spans="2:25" ht="12" customHeight="1">
      <c r="C407" s="110">
        <v>2</v>
      </c>
      <c r="D407" s="3" t="s">
        <v>6872</v>
      </c>
    </row>
    <row r="408" spans="2:25" ht="12" customHeight="1">
      <c r="C408" s="1950">
        <v>3</v>
      </c>
      <c r="D408" s="12" t="s">
        <v>6870</v>
      </c>
      <c r="E408" s="12"/>
      <c r="F408" s="12"/>
      <c r="G408" s="12"/>
      <c r="H408" s="12"/>
      <c r="I408" s="12"/>
      <c r="J408" s="12"/>
      <c r="K408" s="12"/>
      <c r="L408" s="12"/>
      <c r="M408" s="12"/>
      <c r="N408" s="12"/>
      <c r="O408" s="12"/>
      <c r="P408" s="12"/>
      <c r="Q408" s="12"/>
      <c r="R408" s="12"/>
      <c r="S408" s="12"/>
      <c r="T408" s="12"/>
    </row>
    <row r="410" spans="2:25" ht="12" customHeight="1">
      <c r="B410" s="32" t="s">
        <v>1421</v>
      </c>
      <c r="C410" s="32"/>
    </row>
    <row r="411" spans="2:25" ht="12" customHeight="1">
      <c r="B411" s="24"/>
      <c r="C411" s="24"/>
      <c r="D411" s="24"/>
      <c r="E411" s="24"/>
      <c r="F411" s="24"/>
      <c r="G411" s="24"/>
      <c r="H411" s="24"/>
      <c r="I411" s="24"/>
      <c r="J411" s="25" t="s">
        <v>23</v>
      </c>
      <c r="K411" s="26"/>
      <c r="L411" s="26"/>
      <c r="M411" s="27"/>
      <c r="N411" s="26" t="s">
        <v>24</v>
      </c>
      <c r="O411" s="26"/>
      <c r="P411" s="26"/>
      <c r="Q411" s="26"/>
      <c r="R411" s="26"/>
      <c r="S411" s="26"/>
      <c r="T411" s="26"/>
      <c r="V411" s="2041" t="s">
        <v>3650</v>
      </c>
      <c r="W411" s="2041"/>
      <c r="X411" s="2041"/>
      <c r="Y411" s="2041"/>
    </row>
    <row r="412" spans="2:25" ht="12" customHeight="1" thickBot="1">
      <c r="B412" s="28"/>
      <c r="C412" s="28"/>
      <c r="D412" s="28"/>
      <c r="E412" s="1949" t="s">
        <v>2889</v>
      </c>
      <c r="F412" s="1949" t="s">
        <v>3464</v>
      </c>
      <c r="G412" s="28"/>
      <c r="H412" s="28"/>
      <c r="I412" s="28"/>
      <c r="J412" s="29" t="s">
        <v>69</v>
      </c>
      <c r="K412" s="30" t="s">
        <v>27</v>
      </c>
      <c r="L412" s="30" t="s">
        <v>60</v>
      </c>
      <c r="M412" s="31" t="s">
        <v>5104</v>
      </c>
      <c r="N412" s="30" t="s">
        <v>5174</v>
      </c>
      <c r="O412" s="30" t="s">
        <v>70</v>
      </c>
      <c r="P412" s="30" t="s">
        <v>71</v>
      </c>
      <c r="Q412" s="30" t="s">
        <v>72</v>
      </c>
      <c r="R412" s="30" t="s">
        <v>73</v>
      </c>
      <c r="S412" s="30" t="s">
        <v>74</v>
      </c>
      <c r="T412" s="30" t="s">
        <v>5175</v>
      </c>
      <c r="V412" s="290" t="s">
        <v>3651</v>
      </c>
      <c r="W412" s="290" t="s">
        <v>3652</v>
      </c>
      <c r="X412" s="290" t="s">
        <v>3653</v>
      </c>
      <c r="Y412" s="290" t="s">
        <v>3740</v>
      </c>
    </row>
    <row r="413" spans="2:25" ht="12" customHeight="1" thickBot="1">
      <c r="B413" s="3" t="s">
        <v>3518</v>
      </c>
      <c r="C413" s="45"/>
      <c r="D413" s="45"/>
      <c r="E413" s="110" t="s">
        <v>2702</v>
      </c>
      <c r="F413" s="291">
        <v>2</v>
      </c>
      <c r="G413" s="289" t="str">
        <f>VLOOKUP(F413,$C$422:$D$423,2,FALSE)</f>
        <v>2021 4Q는 2021 9개월 비율 유지 및 2022년 이후 과거 평균 수준의 비율 유지 가정</v>
      </c>
      <c r="H413" s="45"/>
      <c r="I413" s="45"/>
      <c r="J413" s="284">
        <f>'SG&amp;A'!J53</f>
        <v>2.4484456768081174E-3</v>
      </c>
      <c r="K413" s="285">
        <f>'SG&amp;A'!K53</f>
        <v>2.1859776841723273E-3</v>
      </c>
      <c r="L413" s="285">
        <f>'SG&amp;A'!L53</f>
        <v>2.1413813260321023E-3</v>
      </c>
      <c r="M413" s="2493">
        <f>'SG&amp;A'!M53</f>
        <v>1.5467764967550639E-3</v>
      </c>
      <c r="N413" s="245">
        <f>O413</f>
        <v>2.0806452959419028E-3</v>
      </c>
      <c r="O413" s="245">
        <f t="shared" ref="O413:T413" si="79">CHOOSE($F$413,$M$413,AVERAGE($J413:$K413,$L413:$M413))</f>
        <v>2.0806452959419028E-3</v>
      </c>
      <c r="P413" s="245">
        <f t="shared" si="79"/>
        <v>2.0806452959419028E-3</v>
      </c>
      <c r="Q413" s="245">
        <f t="shared" si="79"/>
        <v>2.0806452959419028E-3</v>
      </c>
      <c r="R413" s="245">
        <f t="shared" si="79"/>
        <v>2.0806452959419028E-3</v>
      </c>
      <c r="S413" s="245">
        <f t="shared" si="79"/>
        <v>2.0806452959419028E-3</v>
      </c>
      <c r="T413" s="245">
        <f t="shared" si="79"/>
        <v>2.0806452959419028E-3</v>
      </c>
      <c r="U413" s="289"/>
      <c r="V413" s="110"/>
      <c r="W413" s="110">
        <v>2</v>
      </c>
      <c r="X413" s="110"/>
      <c r="Y413" s="1958" t="str">
        <f>INDEX($V$412:$X$412,1,MATCH($F413,$V413:$X413,0))</f>
        <v>Base</v>
      </c>
    </row>
    <row r="414" spans="2:25" ht="12" customHeight="1" thickBot="1">
      <c r="B414" s="12" t="s">
        <v>3519</v>
      </c>
      <c r="C414" s="361"/>
      <c r="D414" s="361"/>
      <c r="E414" s="1950" t="s">
        <v>2702</v>
      </c>
      <c r="F414" s="291">
        <v>1</v>
      </c>
      <c r="G414" s="1954" t="str">
        <f>VLOOKUP(F414,$C$426:$D$427,2,FALSE)</f>
        <v>현재 수준의 비율(0.2%) 유지 가정</v>
      </c>
      <c r="H414" s="361"/>
      <c r="I414" s="361"/>
      <c r="J414" s="406">
        <v>2E-3</v>
      </c>
      <c r="K414" s="407">
        <v>2E-3</v>
      </c>
      <c r="L414" s="407">
        <v>2E-3</v>
      </c>
      <c r="M414" s="2492">
        <v>2E-3</v>
      </c>
      <c r="N414" s="1966">
        <f>CHOOSE($F$414,$M$414,$M$414)</f>
        <v>2E-3</v>
      </c>
      <c r="O414" s="1966">
        <f t="shared" ref="O414" si="80">N414</f>
        <v>2E-3</v>
      </c>
      <c r="P414" s="1966">
        <f>CHOOSE($F$414,$O$414,0.1%)</f>
        <v>2E-3</v>
      </c>
      <c r="Q414" s="1966">
        <f t="shared" ref="Q414:T414" si="81">CHOOSE($F$414,$O$414,0.1%)</f>
        <v>2E-3</v>
      </c>
      <c r="R414" s="1966">
        <f t="shared" si="81"/>
        <v>2E-3</v>
      </c>
      <c r="S414" s="1966">
        <f t="shared" si="81"/>
        <v>2E-3</v>
      </c>
      <c r="T414" s="1966">
        <f t="shared" si="81"/>
        <v>2E-3</v>
      </c>
      <c r="U414" s="289"/>
      <c r="V414" s="1950">
        <v>2</v>
      </c>
      <c r="W414" s="1950">
        <v>1</v>
      </c>
      <c r="X414" s="1950"/>
      <c r="Y414" s="1950" t="str">
        <f>INDEX($V$412:$X$412,1,MATCH($F414,$V414:$X414,0))</f>
        <v>Base</v>
      </c>
    </row>
    <row r="416" spans="2:25" ht="12" customHeight="1">
      <c r="B416" s="1953" t="s">
        <v>351</v>
      </c>
      <c r="J416" s="221"/>
      <c r="K416" s="221"/>
      <c r="L416" s="221"/>
      <c r="M416" s="221"/>
      <c r="N416" s="105"/>
      <c r="O416" s="105"/>
      <c r="P416" s="105"/>
      <c r="Q416" s="105"/>
      <c r="R416" s="105"/>
      <c r="S416" s="105"/>
      <c r="T416" s="105"/>
    </row>
    <row r="417" spans="1:25" ht="12" customHeight="1">
      <c r="B417" s="3" t="s">
        <v>3465</v>
      </c>
      <c r="J417" s="221"/>
      <c r="K417" s="221"/>
      <c r="L417" s="221"/>
      <c r="M417" s="221"/>
      <c r="N417" s="105"/>
      <c r="O417" s="105"/>
      <c r="P417" s="105"/>
      <c r="Q417" s="105"/>
      <c r="R417" s="105"/>
      <c r="S417" s="105"/>
      <c r="T417" s="105"/>
    </row>
    <row r="418" spans="1:25" ht="12" customHeight="1">
      <c r="C418" s="1956" t="s">
        <v>3515</v>
      </c>
      <c r="J418" s="221"/>
      <c r="K418" s="221"/>
      <c r="L418" s="221"/>
      <c r="M418" s="221"/>
      <c r="N418" s="105"/>
      <c r="O418" s="105"/>
      <c r="P418" s="105"/>
      <c r="Q418" s="105"/>
      <c r="R418" s="105"/>
      <c r="S418" s="105"/>
      <c r="T418" s="105"/>
    </row>
    <row r="419" spans="1:25" ht="12" customHeight="1">
      <c r="C419" s="1956" t="s">
        <v>3648</v>
      </c>
      <c r="J419" s="221"/>
      <c r="K419" s="221"/>
      <c r="L419" s="221"/>
      <c r="M419" s="221"/>
      <c r="N419" s="105"/>
      <c r="O419" s="105"/>
      <c r="P419" s="105"/>
      <c r="Q419" s="105"/>
      <c r="R419" s="105"/>
      <c r="S419" s="105"/>
      <c r="T419" s="105"/>
    </row>
    <row r="420" spans="1:25" ht="12" customHeight="1">
      <c r="B420" s="3" t="s">
        <v>6728</v>
      </c>
      <c r="J420" s="221"/>
      <c r="K420" s="221"/>
      <c r="L420" s="221"/>
      <c r="M420" s="221"/>
      <c r="N420" s="105"/>
      <c r="O420" s="105"/>
      <c r="P420" s="105"/>
      <c r="Q420" s="105"/>
      <c r="R420" s="105"/>
      <c r="S420" s="105"/>
      <c r="T420" s="105"/>
    </row>
    <row r="421" spans="1:25" ht="12" customHeight="1">
      <c r="C421" s="1950" t="s">
        <v>3464</v>
      </c>
      <c r="D421" s="1957" t="s">
        <v>3469</v>
      </c>
      <c r="E421" s="1957"/>
      <c r="F421" s="1957"/>
      <c r="G421" s="1957"/>
      <c r="H421" s="1957"/>
      <c r="I421" s="1957"/>
      <c r="J421" s="1957"/>
      <c r="K421" s="1957"/>
      <c r="L421" s="1957"/>
      <c r="M421" s="1957"/>
      <c r="N421" s="1957"/>
      <c r="O421" s="1957"/>
      <c r="P421" s="1957"/>
      <c r="Q421" s="1957"/>
      <c r="R421" s="1957"/>
      <c r="S421" s="1957"/>
      <c r="T421" s="1957"/>
    </row>
    <row r="422" spans="1:25" ht="12" customHeight="1">
      <c r="C422" s="1958">
        <v>1</v>
      </c>
      <c r="D422" s="302" t="s">
        <v>1369</v>
      </c>
      <c r="E422" s="302"/>
      <c r="F422" s="302"/>
      <c r="G422" s="302"/>
      <c r="H422" s="302"/>
      <c r="I422" s="302"/>
      <c r="J422" s="302"/>
      <c r="K422" s="302"/>
      <c r="L422" s="302"/>
      <c r="M422" s="302"/>
      <c r="N422" s="302"/>
      <c r="O422" s="302"/>
      <c r="P422" s="302"/>
      <c r="Q422" s="302"/>
      <c r="R422" s="302"/>
      <c r="S422" s="302"/>
      <c r="T422" s="302"/>
    </row>
    <row r="423" spans="1:25" ht="12" customHeight="1">
      <c r="C423" s="1950">
        <v>2</v>
      </c>
      <c r="D423" s="12" t="s">
        <v>5357</v>
      </c>
      <c r="E423" s="12"/>
      <c r="F423" s="12"/>
      <c r="G423" s="12"/>
      <c r="H423" s="12"/>
      <c r="I423" s="12"/>
      <c r="J423" s="12"/>
      <c r="K423" s="12"/>
      <c r="L423" s="12"/>
      <c r="M423" s="12"/>
      <c r="N423" s="12"/>
      <c r="O423" s="12"/>
      <c r="P423" s="12"/>
      <c r="Q423" s="12"/>
      <c r="R423" s="12"/>
      <c r="S423" s="12"/>
      <c r="T423" s="12"/>
    </row>
    <row r="424" spans="1:25" ht="12" customHeight="1">
      <c r="B424" s="3" t="s">
        <v>6729</v>
      </c>
      <c r="J424" s="221"/>
      <c r="K424" s="221"/>
      <c r="L424" s="221"/>
      <c r="M424" s="221"/>
      <c r="N424" s="105"/>
      <c r="O424" s="105"/>
      <c r="P424" s="105"/>
      <c r="Q424" s="105"/>
      <c r="R424" s="105"/>
      <c r="S424" s="105"/>
      <c r="T424" s="105"/>
    </row>
    <row r="425" spans="1:25" ht="12" customHeight="1">
      <c r="C425" s="1950" t="s">
        <v>3464</v>
      </c>
      <c r="D425" s="1957" t="s">
        <v>3469</v>
      </c>
      <c r="E425" s="1957"/>
      <c r="F425" s="1957"/>
      <c r="G425" s="1957"/>
      <c r="H425" s="1957"/>
      <c r="I425" s="1957"/>
      <c r="J425" s="1957"/>
      <c r="K425" s="1957"/>
      <c r="L425" s="1957"/>
      <c r="M425" s="1957"/>
      <c r="N425" s="1957"/>
      <c r="O425" s="1957"/>
      <c r="P425" s="1957"/>
      <c r="Q425" s="1957"/>
      <c r="R425" s="1957"/>
      <c r="S425" s="1957"/>
      <c r="T425" s="1957"/>
    </row>
    <row r="426" spans="1:25" ht="12" customHeight="1">
      <c r="C426" s="1958">
        <v>1</v>
      </c>
      <c r="D426" s="302" t="s">
        <v>6731</v>
      </c>
      <c r="E426" s="302"/>
      <c r="F426" s="302"/>
      <c r="G426" s="302"/>
      <c r="H426" s="302"/>
      <c r="I426" s="302"/>
      <c r="J426" s="302"/>
      <c r="K426" s="302"/>
      <c r="L426" s="302"/>
      <c r="M426" s="302"/>
      <c r="N426" s="302"/>
      <c r="O426" s="302"/>
      <c r="P426" s="302"/>
      <c r="Q426" s="302"/>
      <c r="R426" s="302"/>
      <c r="S426" s="302"/>
      <c r="T426" s="302"/>
    </row>
    <row r="427" spans="1:25" ht="12" customHeight="1">
      <c r="C427" s="1950">
        <v>2</v>
      </c>
      <c r="D427" s="12" t="s">
        <v>6730</v>
      </c>
      <c r="E427" s="12"/>
      <c r="F427" s="12"/>
      <c r="G427" s="12"/>
      <c r="H427" s="12"/>
      <c r="I427" s="12"/>
      <c r="J427" s="12"/>
      <c r="K427" s="12"/>
      <c r="L427" s="12"/>
      <c r="M427" s="12"/>
      <c r="N427" s="12"/>
      <c r="O427" s="12"/>
      <c r="P427" s="12"/>
      <c r="Q427" s="12"/>
      <c r="R427" s="12"/>
      <c r="S427" s="12"/>
      <c r="T427" s="12"/>
    </row>
    <row r="429" spans="1:25" customFormat="1" ht="12" customHeight="1">
      <c r="A429" s="20" t="s">
        <v>78</v>
      </c>
      <c r="B429" s="21" t="s">
        <v>75</v>
      </c>
      <c r="C429" s="21"/>
      <c r="D429" s="102"/>
      <c r="E429" s="102"/>
      <c r="F429" s="102"/>
      <c r="G429" s="102"/>
      <c r="H429" s="102"/>
      <c r="I429" s="102"/>
      <c r="J429" s="102"/>
      <c r="K429" s="102"/>
      <c r="L429" s="102"/>
      <c r="M429" s="102"/>
      <c r="N429" s="102"/>
      <c r="O429" s="102"/>
      <c r="P429" s="102"/>
      <c r="Q429" s="102"/>
      <c r="R429" s="102"/>
      <c r="S429" s="102"/>
      <c r="T429" s="102"/>
      <c r="U429" s="102"/>
      <c r="V429" s="102"/>
      <c r="W429" s="102"/>
      <c r="X429" s="102"/>
      <c r="Y429" s="102"/>
    </row>
    <row r="431" spans="1:25" ht="12" customHeight="1">
      <c r="B431" s="32" t="s">
        <v>6852</v>
      </c>
      <c r="C431" s="32"/>
    </row>
    <row r="432" spans="1:25" ht="12" customHeight="1">
      <c r="B432" s="24"/>
      <c r="C432" s="24"/>
      <c r="D432" s="24"/>
      <c r="E432" s="24"/>
      <c r="F432" s="24"/>
      <c r="G432" s="24"/>
      <c r="H432" s="24"/>
      <c r="I432" s="24"/>
      <c r="J432" s="25" t="s">
        <v>23</v>
      </c>
      <c r="K432" s="26"/>
      <c r="L432" s="26"/>
      <c r="M432" s="27"/>
      <c r="N432" s="26" t="s">
        <v>24</v>
      </c>
      <c r="O432" s="26"/>
      <c r="P432" s="26"/>
      <c r="Q432" s="26"/>
      <c r="R432" s="26"/>
      <c r="S432" s="26"/>
      <c r="T432" s="26"/>
      <c r="V432" s="2041" t="s">
        <v>3650</v>
      </c>
      <c r="W432" s="2041"/>
      <c r="X432" s="2041"/>
      <c r="Y432" s="2041"/>
    </row>
    <row r="433" spans="1:25" ht="12" customHeight="1" thickBot="1">
      <c r="B433" s="28"/>
      <c r="C433" s="28"/>
      <c r="D433" s="28"/>
      <c r="E433" s="1949" t="s">
        <v>2889</v>
      </c>
      <c r="F433" s="1949" t="s">
        <v>3464</v>
      </c>
      <c r="G433" s="28"/>
      <c r="H433" s="28"/>
      <c r="I433" s="28"/>
      <c r="J433" s="29" t="s">
        <v>69</v>
      </c>
      <c r="K433" s="30" t="s">
        <v>27</v>
      </c>
      <c r="L433" s="30" t="s">
        <v>60</v>
      </c>
      <c r="M433" s="31" t="s">
        <v>5104</v>
      </c>
      <c r="N433" s="30" t="s">
        <v>5174</v>
      </c>
      <c r="O433" s="30" t="s">
        <v>70</v>
      </c>
      <c r="P433" s="30" t="s">
        <v>71</v>
      </c>
      <c r="Q433" s="30" t="s">
        <v>72</v>
      </c>
      <c r="R433" s="30" t="s">
        <v>73</v>
      </c>
      <c r="S433" s="30" t="s">
        <v>74</v>
      </c>
      <c r="T433" s="30" t="s">
        <v>5175</v>
      </c>
      <c r="V433" s="290" t="s">
        <v>3651</v>
      </c>
      <c r="W433" s="290" t="s">
        <v>3652</v>
      </c>
      <c r="X433" s="290" t="s">
        <v>3653</v>
      </c>
      <c r="Y433" s="290" t="s">
        <v>3740</v>
      </c>
    </row>
    <row r="434" spans="1:25" ht="12" customHeight="1" thickBot="1">
      <c r="B434" s="3" t="s">
        <v>75</v>
      </c>
      <c r="C434" s="45"/>
      <c r="D434" s="45"/>
      <c r="E434" s="110" t="s">
        <v>3529</v>
      </c>
      <c r="F434" s="4402">
        <f>IF(F13="Base",1,2)</f>
        <v>1</v>
      </c>
      <c r="G434" s="289" t="str">
        <f>VLOOKUP(F434,$C$440:$D$441,2,FALSE)</f>
        <v>Base Case(2025년 이후 2024년 수준 PSA 판매량 유지에 따른 추가 CAPEX 미지출)</v>
      </c>
      <c r="H434" s="45"/>
      <c r="I434" s="45"/>
      <c r="J434" s="4443"/>
      <c r="K434" s="4444"/>
      <c r="L434" s="4444"/>
      <c r="M434" s="4445"/>
      <c r="N434" s="4446"/>
      <c r="O434" s="4446"/>
      <c r="P434" s="4446"/>
      <c r="Q434" s="4446"/>
      <c r="R434" s="14">
        <f>CHOOSE($F$434,0,CAPEX계획!P34)</f>
        <v>0</v>
      </c>
      <c r="S434" s="14">
        <v>0</v>
      </c>
      <c r="T434" s="14">
        <v>0</v>
      </c>
      <c r="U434" s="289"/>
      <c r="V434" s="110">
        <v>2</v>
      </c>
      <c r="W434" s="110">
        <v>1</v>
      </c>
      <c r="X434" s="110"/>
      <c r="Y434" s="1958" t="str">
        <f>INDEX($V$412:$X$412,1,MATCH($F434,$V434:$X434,0))</f>
        <v>Base</v>
      </c>
    </row>
    <row r="435" spans="1:25" ht="12" customHeight="1" thickBot="1">
      <c r="B435" s="12" t="s">
        <v>76</v>
      </c>
      <c r="C435" s="361"/>
      <c r="D435" s="361"/>
      <c r="E435" s="1950" t="s">
        <v>3529</v>
      </c>
      <c r="F435" s="4402">
        <f>IF(F13="Base",1,2)</f>
        <v>1</v>
      </c>
      <c r="G435" s="1954" t="str">
        <f>VLOOKUP(F435,$C$440:$D$441,2,FALSE)</f>
        <v>Base Case(2025년 이후 2024년 수준 PSA 판매량 유지에 따른 추가 CAPEX 미지출)</v>
      </c>
      <c r="H435" s="361"/>
      <c r="I435" s="361"/>
      <c r="J435" s="4447"/>
      <c r="K435" s="4448"/>
      <c r="L435" s="4448"/>
      <c r="M435" s="4449"/>
      <c r="N435" s="4450"/>
      <c r="O435" s="4450"/>
      <c r="P435" s="4450"/>
      <c r="Q435" s="4450"/>
      <c r="R435" s="4451">
        <f>CHOOSE($F$435,0,$R$434/12/2)</f>
        <v>0</v>
      </c>
      <c r="S435" s="4451">
        <f>CHOOSE($F$435,0,$R$434/12)</f>
        <v>0</v>
      </c>
      <c r="T435" s="4451">
        <f>CHOOSE($F$435,0,$R$434/12)</f>
        <v>0</v>
      </c>
      <c r="U435" s="289"/>
      <c r="V435" s="1950">
        <v>2</v>
      </c>
      <c r="W435" s="1950">
        <v>1</v>
      </c>
      <c r="X435" s="1950"/>
      <c r="Y435" s="1950" t="str">
        <f>INDEX($V$412:$X$412,1,MATCH($F435,$V435:$X435,0))</f>
        <v>Base</v>
      </c>
    </row>
    <row r="436" spans="1:25" ht="12" customHeight="1">
      <c r="B436" s="1953" t="s">
        <v>351</v>
      </c>
      <c r="J436" s="221"/>
      <c r="K436" s="221"/>
      <c r="L436" s="221"/>
      <c r="M436" s="221"/>
      <c r="N436" s="105"/>
      <c r="O436" s="105"/>
      <c r="P436" s="105"/>
      <c r="Q436" s="105"/>
      <c r="R436" s="105"/>
      <c r="S436" s="105"/>
      <c r="T436" s="105"/>
    </row>
    <row r="437" spans="1:25" ht="12" customHeight="1">
      <c r="B437" s="3" t="s">
        <v>6853</v>
      </c>
      <c r="J437" s="221"/>
      <c r="K437" s="221"/>
      <c r="L437" s="221"/>
      <c r="M437" s="221"/>
      <c r="N437" s="105"/>
      <c r="O437" s="105"/>
      <c r="P437" s="105"/>
      <c r="Q437" s="105"/>
      <c r="R437" s="105"/>
      <c r="S437" s="105"/>
      <c r="T437" s="105"/>
    </row>
    <row r="438" spans="1:25" ht="12" customHeight="1">
      <c r="B438" s="3" t="s">
        <v>3499</v>
      </c>
      <c r="J438" s="221"/>
      <c r="K438" s="221"/>
      <c r="L438" s="221"/>
      <c r="M438" s="221"/>
      <c r="N438" s="105"/>
      <c r="O438" s="105"/>
      <c r="P438" s="105"/>
      <c r="Q438" s="105"/>
      <c r="R438" s="105"/>
      <c r="S438" s="105"/>
      <c r="T438" s="105"/>
    </row>
    <row r="439" spans="1:25" ht="12" customHeight="1">
      <c r="C439" s="1950" t="s">
        <v>3464</v>
      </c>
      <c r="D439" s="1957" t="s">
        <v>3469</v>
      </c>
      <c r="E439" s="1957"/>
      <c r="F439" s="1957"/>
      <c r="G439" s="1957"/>
      <c r="H439" s="1957"/>
      <c r="I439" s="1957"/>
      <c r="J439" s="1957"/>
      <c r="K439" s="1957"/>
      <c r="L439" s="1957"/>
      <c r="M439" s="1957"/>
      <c r="N439" s="1957"/>
      <c r="O439" s="1957"/>
      <c r="P439" s="1957"/>
      <c r="Q439" s="1957"/>
      <c r="R439" s="1957"/>
      <c r="S439" s="1957"/>
      <c r="T439" s="1957"/>
    </row>
    <row r="440" spans="1:25" ht="12" customHeight="1">
      <c r="C440" s="1958">
        <v>1</v>
      </c>
      <c r="D440" s="302" t="s">
        <v>6854</v>
      </c>
      <c r="E440" s="302"/>
      <c r="F440" s="302"/>
      <c r="G440" s="302"/>
      <c r="H440" s="302"/>
      <c r="I440" s="302"/>
      <c r="J440" s="302"/>
      <c r="K440" s="302"/>
      <c r="L440" s="302"/>
      <c r="M440" s="302"/>
      <c r="N440" s="302"/>
      <c r="O440" s="302"/>
      <c r="P440" s="302"/>
      <c r="Q440" s="302"/>
      <c r="R440" s="302"/>
      <c r="S440" s="302"/>
      <c r="T440" s="302"/>
    </row>
    <row r="441" spans="1:25" ht="12" customHeight="1">
      <c r="C441" s="1950">
        <v>2</v>
      </c>
      <c r="D441" s="12" t="s">
        <v>6855</v>
      </c>
      <c r="E441" s="12"/>
      <c r="F441" s="12"/>
      <c r="G441" s="12"/>
      <c r="H441" s="12"/>
      <c r="I441" s="12"/>
      <c r="J441" s="12"/>
      <c r="K441" s="12"/>
      <c r="L441" s="12"/>
      <c r="M441" s="12"/>
      <c r="N441" s="12"/>
      <c r="O441" s="12"/>
      <c r="P441" s="12"/>
      <c r="Q441" s="12"/>
      <c r="R441" s="12"/>
      <c r="S441" s="12"/>
      <c r="T441" s="12"/>
      <c r="V441"/>
      <c r="W441"/>
      <c r="X441"/>
      <c r="Y441"/>
    </row>
    <row r="442" spans="1:25" ht="12" customHeight="1">
      <c r="C442" s="110"/>
      <c r="V442"/>
      <c r="W442"/>
      <c r="X442"/>
      <c r="Y442"/>
    </row>
    <row r="443" spans="1:25" customFormat="1" ht="12" customHeight="1">
      <c r="A443" s="20" t="s">
        <v>79</v>
      </c>
      <c r="B443" s="21" t="s">
        <v>80</v>
      </c>
      <c r="C443" s="21"/>
      <c r="D443" s="102"/>
      <c r="E443" s="102"/>
      <c r="F443" s="102"/>
      <c r="G443" s="102"/>
      <c r="H443" s="102"/>
      <c r="I443" s="102"/>
      <c r="J443" s="102"/>
      <c r="K443" s="102"/>
      <c r="L443" s="102"/>
      <c r="M443" s="102"/>
      <c r="N443" s="102"/>
      <c r="O443" s="102"/>
      <c r="P443" s="102"/>
      <c r="Q443" s="102"/>
      <c r="R443" s="102"/>
      <c r="S443" s="102"/>
      <c r="T443" s="102"/>
      <c r="U443" s="102"/>
      <c r="V443" s="102"/>
      <c r="W443" s="102"/>
      <c r="X443" s="102"/>
      <c r="Y443" s="102"/>
    </row>
    <row r="445" spans="1:25" ht="12" customHeight="1">
      <c r="B445" s="32" t="s">
        <v>1602</v>
      </c>
      <c r="C445" s="32"/>
    </row>
    <row r="446" spans="1:25" ht="12" customHeight="1">
      <c r="B446" s="24"/>
      <c r="C446" s="24"/>
      <c r="D446" s="24"/>
      <c r="E446" s="24"/>
      <c r="F446" s="24"/>
      <c r="G446" s="24"/>
      <c r="H446" s="24"/>
      <c r="I446" s="24"/>
      <c r="J446" s="25" t="s">
        <v>23</v>
      </c>
      <c r="K446" s="26"/>
      <c r="L446" s="26"/>
      <c r="M446" s="27"/>
      <c r="N446" s="26" t="s">
        <v>24</v>
      </c>
      <c r="O446" s="26"/>
      <c r="P446" s="26"/>
      <c r="Q446" s="26"/>
      <c r="R446" s="26"/>
      <c r="S446" s="26"/>
      <c r="T446" s="26"/>
      <c r="V446" s="2041" t="s">
        <v>3650</v>
      </c>
      <c r="W446" s="2041"/>
      <c r="X446" s="2041"/>
      <c r="Y446" s="2041"/>
    </row>
    <row r="447" spans="1:25" ht="12" customHeight="1">
      <c r="B447" s="28"/>
      <c r="C447" s="28"/>
      <c r="D447" s="28"/>
      <c r="E447" s="1949" t="s">
        <v>2889</v>
      </c>
      <c r="F447" s="1949" t="s">
        <v>3464</v>
      </c>
      <c r="G447" s="28"/>
      <c r="H447" s="28"/>
      <c r="I447" s="28"/>
      <c r="J447" s="29" t="s">
        <v>69</v>
      </c>
      <c r="K447" s="30" t="s">
        <v>27</v>
      </c>
      <c r="L447" s="30" t="s">
        <v>60</v>
      </c>
      <c r="M447" s="31" t="s">
        <v>5104</v>
      </c>
      <c r="N447" s="30" t="s">
        <v>5174</v>
      </c>
      <c r="O447" s="30" t="s">
        <v>70</v>
      </c>
      <c r="P447" s="30" t="s">
        <v>71</v>
      </c>
      <c r="Q447" s="30" t="s">
        <v>72</v>
      </c>
      <c r="R447" s="30" t="s">
        <v>73</v>
      </c>
      <c r="S447" s="30" t="s">
        <v>74</v>
      </c>
      <c r="T447" s="30" t="s">
        <v>5175</v>
      </c>
      <c r="V447" s="290" t="s">
        <v>3651</v>
      </c>
      <c r="W447" s="290" t="s">
        <v>3652</v>
      </c>
      <c r="X447" s="290" t="s">
        <v>3653</v>
      </c>
      <c r="Y447" s="290" t="s">
        <v>3740</v>
      </c>
    </row>
    <row r="448" spans="1:25" ht="12" customHeight="1" thickBot="1">
      <c r="B448" s="3" t="s">
        <v>1585</v>
      </c>
      <c r="E448" s="110" t="s">
        <v>3521</v>
      </c>
      <c r="G448" s="289" t="s">
        <v>4966</v>
      </c>
      <c r="J448" s="1968">
        <f>NWC!J14</f>
        <v>73.034650445399194</v>
      </c>
      <c r="K448" s="1967">
        <f>NWC!K14</f>
        <v>100.78403971201141</v>
      </c>
      <c r="L448" s="1967">
        <f>NWC!L14</f>
        <v>116.49829991021957</v>
      </c>
      <c r="M448" s="2529"/>
      <c r="N448" s="2508"/>
      <c r="O448" s="2508"/>
      <c r="P448" s="2508"/>
      <c r="Q448" s="2508"/>
      <c r="R448" s="2508"/>
      <c r="S448" s="2508"/>
      <c r="T448" s="2508"/>
      <c r="U448" s="289"/>
      <c r="V448" s="110"/>
      <c r="W448" s="110"/>
      <c r="X448" s="110"/>
      <c r="Y448" s="1958"/>
    </row>
    <row r="449" spans="2:25" ht="12" customHeight="1" thickBot="1">
      <c r="B449" s="3" t="s">
        <v>1587</v>
      </c>
      <c r="E449" s="110" t="s">
        <v>3520</v>
      </c>
      <c r="F449" s="291">
        <v>1</v>
      </c>
      <c r="G449" s="289" t="str">
        <f>VLOOKUP(F449,$C$457:$D$458,2,FALSE)</f>
        <v>현재 수준의 회전기일 유지 가정</v>
      </c>
      <c r="J449" s="1969">
        <f>NWC!J17</f>
        <v>13.286652675816542</v>
      </c>
      <c r="K449" s="551">
        <f>NWC!K17</f>
        <v>9.8156588472201189</v>
      </c>
      <c r="L449" s="551">
        <f>NWC!L17</f>
        <v>9.0238760064222721</v>
      </c>
      <c r="M449" s="2527">
        <f>NWC!M17</f>
        <v>16.349258293694103</v>
      </c>
      <c r="N449" s="2453"/>
      <c r="O449" s="548">
        <f t="shared" ref="O449:T452" si="82">CHOOSE($F449,$M449,AVERAGE($J449:$K449,$L449:$M449))</f>
        <v>16.349258293694103</v>
      </c>
      <c r="P449" s="548">
        <f t="shared" si="82"/>
        <v>16.349258293694103</v>
      </c>
      <c r="Q449" s="548">
        <f t="shared" si="82"/>
        <v>16.349258293694103</v>
      </c>
      <c r="R449" s="548">
        <f t="shared" si="82"/>
        <v>16.349258293694103</v>
      </c>
      <c r="S449" s="548">
        <f t="shared" si="82"/>
        <v>16.349258293694103</v>
      </c>
      <c r="T449" s="548">
        <f t="shared" si="82"/>
        <v>16.349258293694103</v>
      </c>
      <c r="U449" s="289"/>
      <c r="V449" s="110"/>
      <c r="W449" s="110">
        <v>1</v>
      </c>
      <c r="X449" s="110"/>
      <c r="Y449" s="110" t="str">
        <f>INDEX($V$447:$X$447,1,MATCH($F449,$V449:$X449,0))</f>
        <v>Base</v>
      </c>
    </row>
    <row r="450" spans="2:25" ht="12" customHeight="1" thickBot="1">
      <c r="B450" s="3" t="s">
        <v>1589</v>
      </c>
      <c r="E450" s="110" t="s">
        <v>3520</v>
      </c>
      <c r="F450" s="291">
        <v>1</v>
      </c>
      <c r="G450" s="289" t="str">
        <f>VLOOKUP(F450,$C$457:$D$458,2,FALSE)</f>
        <v>현재 수준의 회전기일 유지 가정</v>
      </c>
      <c r="J450" s="1969">
        <f>NWC!J20</f>
        <v>72.703910858119443</v>
      </c>
      <c r="K450" s="551">
        <f>NWC!K20</f>
        <v>67.887882854092325</v>
      </c>
      <c r="L450" s="551">
        <f>NWC!L20</f>
        <v>69.185005443509695</v>
      </c>
      <c r="M450" s="2527">
        <f>NWC!M20</f>
        <v>65.917968372403749</v>
      </c>
      <c r="N450" s="2453"/>
      <c r="O450" s="548">
        <f t="shared" si="82"/>
        <v>65.917968372403749</v>
      </c>
      <c r="P450" s="548">
        <f t="shared" si="82"/>
        <v>65.917968372403749</v>
      </c>
      <c r="Q450" s="548">
        <f t="shared" si="82"/>
        <v>65.917968372403749</v>
      </c>
      <c r="R450" s="548">
        <f t="shared" si="82"/>
        <v>65.917968372403749</v>
      </c>
      <c r="S450" s="548">
        <f t="shared" si="82"/>
        <v>65.917968372403749</v>
      </c>
      <c r="T450" s="548">
        <f t="shared" si="82"/>
        <v>65.917968372403749</v>
      </c>
      <c r="U450" s="289"/>
      <c r="V450" s="110"/>
      <c r="W450" s="110">
        <v>1</v>
      </c>
      <c r="X450" s="110"/>
      <c r="Y450" s="110" t="str">
        <f>INDEX($V$447:$X$447,1,MATCH($F450,$V450:$X450,0))</f>
        <v>Base</v>
      </c>
    </row>
    <row r="451" spans="2:25" ht="12" customHeight="1" thickBot="1">
      <c r="B451" s="3" t="s">
        <v>1592</v>
      </c>
      <c r="E451" s="110" t="s">
        <v>3520</v>
      </c>
      <c r="F451" s="291">
        <v>1</v>
      </c>
      <c r="G451" s="289" t="str">
        <f>VLOOKUP(F451,$C$457:$D$458,2,FALSE)</f>
        <v>현재 수준의 회전기일 유지 가정</v>
      </c>
      <c r="J451" s="1969">
        <f>NWC!J24</f>
        <v>11.731480311581167</v>
      </c>
      <c r="K451" s="551">
        <f>NWC!K24</f>
        <v>11.473417994487312</v>
      </c>
      <c r="L451" s="551">
        <f>NWC!L24</f>
        <v>15.038715332832375</v>
      </c>
      <c r="M451" s="2527">
        <f>NWC!M24</f>
        <v>12.104415519627821</v>
      </c>
      <c r="N451" s="2453"/>
      <c r="O451" s="548">
        <f t="shared" si="82"/>
        <v>12.104415519627821</v>
      </c>
      <c r="P451" s="548">
        <f t="shared" si="82"/>
        <v>12.104415519627821</v>
      </c>
      <c r="Q451" s="548">
        <f t="shared" si="82"/>
        <v>12.104415519627821</v>
      </c>
      <c r="R451" s="548">
        <f t="shared" si="82"/>
        <v>12.104415519627821</v>
      </c>
      <c r="S451" s="548">
        <f t="shared" si="82"/>
        <v>12.104415519627821</v>
      </c>
      <c r="T451" s="548">
        <f t="shared" si="82"/>
        <v>12.104415519627821</v>
      </c>
      <c r="U451" s="289"/>
      <c r="V451" s="110"/>
      <c r="W451" s="110">
        <v>1</v>
      </c>
      <c r="X451" s="110"/>
      <c r="Y451" s="110" t="str">
        <f>INDEX($V$447:$X$447,1,MATCH($F451,$V451:$X451,0))</f>
        <v>Base</v>
      </c>
    </row>
    <row r="452" spans="2:25" ht="12" customHeight="1" thickBot="1">
      <c r="B452" s="12" t="s">
        <v>1593</v>
      </c>
      <c r="C452" s="12"/>
      <c r="D452" s="12"/>
      <c r="E452" s="1950" t="s">
        <v>3520</v>
      </c>
      <c r="F452" s="291">
        <v>1</v>
      </c>
      <c r="G452" s="1954" t="str">
        <f>VLOOKUP(F452,$C$457:$D$458,2,FALSE)</f>
        <v>현재 수준의 회전기일 유지 가정</v>
      </c>
      <c r="H452" s="12"/>
      <c r="I452" s="12"/>
      <c r="J452" s="1970">
        <f>NWC!J27</f>
        <v>56.523736723060033</v>
      </c>
      <c r="K452" s="552">
        <f>NWC!K27</f>
        <v>47.503881835307908</v>
      </c>
      <c r="L452" s="552">
        <f>NWC!L27</f>
        <v>45.675639299774588</v>
      </c>
      <c r="M452" s="2528">
        <f>NWC!M27</f>
        <v>46.938279790426201</v>
      </c>
      <c r="N452" s="2454"/>
      <c r="O452" s="550">
        <f t="shared" si="82"/>
        <v>46.938279790426201</v>
      </c>
      <c r="P452" s="550">
        <f t="shared" si="82"/>
        <v>46.938279790426201</v>
      </c>
      <c r="Q452" s="550">
        <f t="shared" si="82"/>
        <v>46.938279790426201</v>
      </c>
      <c r="R452" s="550">
        <f t="shared" si="82"/>
        <v>46.938279790426201</v>
      </c>
      <c r="S452" s="550">
        <f t="shared" si="82"/>
        <v>46.938279790426201</v>
      </c>
      <c r="T452" s="550">
        <f t="shared" si="82"/>
        <v>46.938279790426201</v>
      </c>
      <c r="U452" s="289"/>
      <c r="V452" s="1950"/>
      <c r="W452" s="1950">
        <v>1</v>
      </c>
      <c r="X452" s="1950"/>
      <c r="Y452" s="1950" t="str">
        <f>INDEX($V$447:$X$447,1,MATCH($F452,$V452:$X452,0))</f>
        <v>Base</v>
      </c>
    </row>
    <row r="453" spans="2:25" ht="12" customHeight="1">
      <c r="B453" s="1953" t="s">
        <v>351</v>
      </c>
      <c r="J453" s="221"/>
      <c r="K453" s="221"/>
      <c r="L453" s="221"/>
      <c r="M453" s="221"/>
      <c r="N453" s="105"/>
      <c r="O453" s="105"/>
      <c r="P453" s="105"/>
      <c r="Q453" s="105"/>
      <c r="R453" s="105"/>
      <c r="S453" s="105"/>
      <c r="T453" s="105"/>
    </row>
    <row r="454" spans="2:25" ht="12" customHeight="1">
      <c r="B454" s="3" t="s">
        <v>3524</v>
      </c>
      <c r="J454" s="221"/>
      <c r="K454" s="221"/>
      <c r="L454" s="221"/>
      <c r="M454" s="221"/>
      <c r="N454" s="105"/>
      <c r="O454" s="105"/>
      <c r="P454" s="105"/>
      <c r="Q454" s="105"/>
      <c r="R454" s="105"/>
      <c r="S454" s="105"/>
      <c r="T454" s="105"/>
    </row>
    <row r="455" spans="2:25" ht="12" customHeight="1">
      <c r="B455" s="3" t="s">
        <v>4968</v>
      </c>
      <c r="J455" s="221"/>
      <c r="K455" s="221"/>
      <c r="L455" s="221"/>
      <c r="M455" s="221"/>
      <c r="N455" s="105"/>
      <c r="O455" s="105"/>
      <c r="P455" s="105"/>
      <c r="Q455" s="105"/>
      <c r="R455" s="105"/>
      <c r="S455" s="105"/>
      <c r="T455" s="105"/>
    </row>
    <row r="456" spans="2:25" ht="12" customHeight="1">
      <c r="C456" s="1950" t="s">
        <v>3464</v>
      </c>
      <c r="D456" s="1957" t="s">
        <v>3469</v>
      </c>
      <c r="E456" s="1957"/>
      <c r="F456" s="1957"/>
      <c r="G456" s="1957"/>
      <c r="H456" s="1957"/>
      <c r="I456" s="1957"/>
      <c r="J456" s="1957"/>
      <c r="K456" s="1957"/>
      <c r="L456" s="1957"/>
      <c r="M456" s="1957"/>
      <c r="N456" s="1957"/>
      <c r="O456" s="1957"/>
      <c r="P456" s="1957"/>
      <c r="Q456" s="1957"/>
      <c r="R456" s="1957"/>
      <c r="S456" s="1957"/>
      <c r="T456" s="1957"/>
    </row>
    <row r="457" spans="2:25" ht="12" customHeight="1">
      <c r="C457" s="1958">
        <v>1</v>
      </c>
      <c r="D457" s="302" t="s">
        <v>3522</v>
      </c>
      <c r="E457" s="302"/>
      <c r="F457" s="302"/>
      <c r="G457" s="302"/>
      <c r="H457" s="302"/>
      <c r="I457" s="302"/>
      <c r="J457" s="302"/>
      <c r="K457" s="302"/>
      <c r="L457" s="302"/>
      <c r="M457" s="302"/>
      <c r="N457" s="302"/>
      <c r="O457" s="302"/>
      <c r="P457" s="302"/>
      <c r="Q457" s="302"/>
      <c r="R457" s="302"/>
      <c r="S457" s="302"/>
      <c r="T457" s="302"/>
    </row>
    <row r="458" spans="2:25" ht="12" customHeight="1">
      <c r="C458" s="1950">
        <v>2</v>
      </c>
      <c r="D458" s="12" t="s">
        <v>3523</v>
      </c>
      <c r="E458" s="12"/>
      <c r="F458" s="12"/>
      <c r="G458" s="12"/>
      <c r="H458" s="12"/>
      <c r="I458" s="12"/>
      <c r="J458" s="12"/>
      <c r="K458" s="12"/>
      <c r="L458" s="12"/>
      <c r="M458" s="12"/>
      <c r="N458" s="12"/>
      <c r="O458" s="12"/>
      <c r="P458" s="12"/>
      <c r="Q458" s="12"/>
      <c r="R458" s="12"/>
      <c r="S458" s="12"/>
      <c r="T458" s="12"/>
    </row>
    <row r="460" spans="2:25" ht="12" customHeight="1">
      <c r="B460" s="32" t="s">
        <v>1603</v>
      </c>
      <c r="C460" s="32"/>
    </row>
    <row r="461" spans="2:25" ht="12" customHeight="1">
      <c r="B461" s="24"/>
      <c r="C461" s="24"/>
      <c r="D461" s="24"/>
      <c r="E461" s="24"/>
      <c r="F461" s="24"/>
      <c r="G461" s="24"/>
      <c r="H461" s="24"/>
      <c r="I461" s="24"/>
      <c r="J461" s="25" t="s">
        <v>23</v>
      </c>
      <c r="K461" s="26"/>
      <c r="L461" s="26"/>
      <c r="M461" s="27"/>
      <c r="N461" s="26" t="s">
        <v>24</v>
      </c>
      <c r="O461" s="26"/>
      <c r="P461" s="26"/>
      <c r="Q461" s="26"/>
      <c r="R461" s="26"/>
      <c r="S461" s="26"/>
      <c r="T461" s="26"/>
    </row>
    <row r="462" spans="2:25" ht="12" customHeight="1">
      <c r="B462" s="28"/>
      <c r="C462" s="28"/>
      <c r="D462" s="28"/>
      <c r="E462" s="1949" t="s">
        <v>2889</v>
      </c>
      <c r="F462" s="1949" t="s">
        <v>3464</v>
      </c>
      <c r="G462" s="28"/>
      <c r="H462" s="28"/>
      <c r="I462" s="28"/>
      <c r="J462" s="29" t="s">
        <v>69</v>
      </c>
      <c r="K462" s="30" t="s">
        <v>27</v>
      </c>
      <c r="L462" s="30" t="s">
        <v>60</v>
      </c>
      <c r="M462" s="31" t="s">
        <v>5104</v>
      </c>
      <c r="N462" s="30" t="s">
        <v>5174</v>
      </c>
      <c r="O462" s="30" t="s">
        <v>70</v>
      </c>
      <c r="P462" s="30" t="s">
        <v>71</v>
      </c>
      <c r="Q462" s="30" t="s">
        <v>72</v>
      </c>
      <c r="R462" s="30" t="s">
        <v>73</v>
      </c>
      <c r="S462" s="30" t="s">
        <v>74</v>
      </c>
      <c r="T462" s="30" t="s">
        <v>5175</v>
      </c>
    </row>
    <row r="463" spans="2:25" ht="12" customHeight="1">
      <c r="B463" s="295" t="s">
        <v>1604</v>
      </c>
      <c r="C463" s="295"/>
      <c r="D463" s="295"/>
      <c r="E463" s="1960" t="s">
        <v>360</v>
      </c>
      <c r="F463" s="295"/>
      <c r="G463" s="1961" t="s">
        <v>4965</v>
      </c>
      <c r="H463" s="295"/>
      <c r="I463" s="295"/>
      <c r="J463" s="312">
        <f>NWC!J32/NWC!J31</f>
        <v>0.1899184303426826</v>
      </c>
      <c r="K463" s="313">
        <f>NWC!K32/NWC!K31</f>
        <v>0.16099982124726608</v>
      </c>
      <c r="L463" s="313">
        <f>NWC!L32/NWC!L31</f>
        <v>0.17252184883047592</v>
      </c>
      <c r="M463" s="2530"/>
      <c r="N463" s="2531"/>
      <c r="O463" s="2531"/>
      <c r="P463" s="2531"/>
      <c r="Q463" s="2531"/>
      <c r="R463" s="2531"/>
      <c r="S463" s="2531"/>
      <c r="T463" s="2531"/>
      <c r="U463" s="289"/>
    </row>
    <row r="464" spans="2:25" ht="12" customHeight="1">
      <c r="B464" s="1953" t="s">
        <v>351</v>
      </c>
      <c r="J464" s="221"/>
      <c r="K464" s="221"/>
      <c r="L464" s="221"/>
      <c r="M464" s="221"/>
      <c r="N464" s="105"/>
      <c r="O464" s="105"/>
      <c r="P464" s="105"/>
      <c r="Q464" s="105"/>
      <c r="R464" s="105"/>
      <c r="S464" s="105"/>
      <c r="T464" s="105"/>
    </row>
    <row r="465" spans="2:25" ht="12" customHeight="1">
      <c r="B465" s="3" t="s">
        <v>3525</v>
      </c>
      <c r="J465" s="221"/>
      <c r="K465" s="221"/>
      <c r="L465" s="221"/>
      <c r="M465" s="221"/>
      <c r="N465" s="105"/>
      <c r="O465" s="105"/>
      <c r="P465" s="105"/>
      <c r="Q465" s="105"/>
      <c r="R465" s="105"/>
      <c r="S465" s="105"/>
      <c r="T465" s="105"/>
    </row>
    <row r="466" spans="2:25" ht="12" customHeight="1">
      <c r="B466" s="3" t="s">
        <v>4967</v>
      </c>
      <c r="J466" s="221"/>
      <c r="K466" s="221"/>
      <c r="L466" s="221"/>
      <c r="M466" s="221"/>
      <c r="N466" s="105"/>
      <c r="O466" s="105"/>
      <c r="P466" s="105"/>
      <c r="Q466" s="105"/>
      <c r="R466" s="105"/>
      <c r="S466" s="105"/>
      <c r="T466" s="105"/>
    </row>
    <row r="467" spans="2:25" ht="12" customHeight="1" thickBot="1"/>
    <row r="468" spans="2:25" ht="12" customHeight="1" thickBot="1">
      <c r="B468" s="32" t="s">
        <v>3559</v>
      </c>
      <c r="F468" s="291">
        <v>1</v>
      </c>
      <c r="G468" s="289" t="str">
        <f>VLOOKUP(F468,$C$470:$D$471,2,FALSE)</f>
        <v>NWC로 분류하고 향후에도 지속 사용 가정</v>
      </c>
    </row>
    <row r="469" spans="2:25" ht="12" customHeight="1">
      <c r="C469" s="1950" t="s">
        <v>3464</v>
      </c>
      <c r="D469" s="1957" t="s">
        <v>3469</v>
      </c>
      <c r="E469" s="1957"/>
      <c r="F469" s="1957"/>
      <c r="G469" s="1957"/>
      <c r="H469" s="1957"/>
      <c r="I469" s="1957"/>
      <c r="J469" s="1957"/>
      <c r="K469" s="1957"/>
      <c r="L469" s="1957"/>
      <c r="M469" s="1957"/>
      <c r="N469" s="1957"/>
      <c r="O469" s="1957"/>
      <c r="P469" s="1957"/>
      <c r="Q469" s="1957"/>
      <c r="R469" s="1957"/>
      <c r="S469" s="1957"/>
      <c r="T469" s="1957"/>
    </row>
    <row r="470" spans="2:25" ht="12" customHeight="1">
      <c r="C470" s="1958">
        <v>1</v>
      </c>
      <c r="D470" s="302" t="s">
        <v>3560</v>
      </c>
      <c r="E470" s="302"/>
      <c r="F470" s="302"/>
      <c r="G470" s="302"/>
      <c r="H470" s="302"/>
      <c r="I470" s="302"/>
      <c r="J470" s="302"/>
      <c r="K470" s="302"/>
      <c r="L470" s="302"/>
      <c r="M470" s="302"/>
      <c r="N470" s="302"/>
      <c r="O470" s="302"/>
      <c r="P470" s="302"/>
      <c r="Q470" s="302"/>
      <c r="R470" s="302"/>
      <c r="S470" s="302"/>
      <c r="T470" s="302"/>
    </row>
    <row r="471" spans="2:25" ht="12" customHeight="1">
      <c r="C471" s="1950">
        <v>2</v>
      </c>
      <c r="D471" s="12" t="s">
        <v>3561</v>
      </c>
      <c r="E471" s="12"/>
      <c r="F471" s="12"/>
      <c r="G471" s="12"/>
      <c r="H471" s="12"/>
      <c r="I471" s="12"/>
      <c r="J471" s="12"/>
      <c r="K471" s="12"/>
      <c r="L471" s="12"/>
      <c r="M471" s="12"/>
      <c r="N471" s="12"/>
      <c r="O471" s="12"/>
      <c r="P471" s="12"/>
      <c r="Q471" s="12"/>
      <c r="R471" s="12"/>
      <c r="S471" s="12"/>
      <c r="T471" s="12"/>
    </row>
    <row r="472" spans="2:25" ht="12" customHeight="1">
      <c r="N472" s="2631">
        <f ca="1">IRR!E172</f>
        <v>0.29520279765129098</v>
      </c>
    </row>
    <row r="473" spans="2:25" ht="12" customHeight="1">
      <c r="B473" s="32" t="s">
        <v>3562</v>
      </c>
      <c r="C473" s="32"/>
    </row>
    <row r="474" spans="2:25" ht="12" customHeight="1">
      <c r="B474" s="24"/>
      <c r="C474" s="24"/>
      <c r="D474" s="24"/>
      <c r="E474" s="24"/>
      <c r="F474" s="24"/>
      <c r="G474" s="24"/>
      <c r="H474" s="24"/>
      <c r="I474" s="24"/>
      <c r="J474" s="25" t="s">
        <v>23</v>
      </c>
      <c r="K474" s="26"/>
      <c r="L474" s="26"/>
      <c r="M474" s="27"/>
      <c r="N474" s="26" t="s">
        <v>24</v>
      </c>
      <c r="O474" s="26"/>
      <c r="P474" s="26"/>
      <c r="Q474" s="26"/>
      <c r="R474" s="26"/>
      <c r="S474" s="26"/>
      <c r="T474" s="26"/>
      <c r="V474" s="2041" t="s">
        <v>3650</v>
      </c>
      <c r="W474" s="2041"/>
      <c r="X474" s="2041"/>
      <c r="Y474" s="2041"/>
    </row>
    <row r="475" spans="2:25" ht="12" customHeight="1" thickBot="1">
      <c r="B475" s="28"/>
      <c r="C475" s="28"/>
      <c r="D475" s="28"/>
      <c r="E475" s="1949" t="s">
        <v>2889</v>
      </c>
      <c r="F475" s="1949" t="s">
        <v>3464</v>
      </c>
      <c r="G475" s="28"/>
      <c r="H475" s="28"/>
      <c r="I475" s="28"/>
      <c r="J475" s="29" t="s">
        <v>69</v>
      </c>
      <c r="K475" s="30" t="s">
        <v>27</v>
      </c>
      <c r="L475" s="30" t="s">
        <v>60</v>
      </c>
      <c r="M475" s="31" t="s">
        <v>5104</v>
      </c>
      <c r="N475" s="30" t="s">
        <v>5174</v>
      </c>
      <c r="O475" s="30" t="s">
        <v>70</v>
      </c>
      <c r="P475" s="30" t="s">
        <v>71</v>
      </c>
      <c r="Q475" s="30" t="s">
        <v>72</v>
      </c>
      <c r="R475" s="30" t="s">
        <v>73</v>
      </c>
      <c r="S475" s="30" t="s">
        <v>74</v>
      </c>
      <c r="T475" s="30" t="s">
        <v>5175</v>
      </c>
      <c r="V475" s="290" t="s">
        <v>3651</v>
      </c>
      <c r="W475" s="290" t="s">
        <v>3652</v>
      </c>
      <c r="X475" s="290" t="s">
        <v>3653</v>
      </c>
      <c r="Y475" s="290" t="s">
        <v>3740</v>
      </c>
    </row>
    <row r="476" spans="2:25" ht="12" customHeight="1" thickBot="1">
      <c r="B476" s="295" t="s">
        <v>3563</v>
      </c>
      <c r="C476" s="295"/>
      <c r="D476" s="295"/>
      <c r="E476" s="1960" t="s">
        <v>360</v>
      </c>
      <c r="F476" s="291">
        <v>3</v>
      </c>
      <c r="G476" s="1961" t="str">
        <f>VLOOKUP(F476,$C$481:$D$483,2,FALSE)</f>
        <v>Libor 금리 향후 변동 예상치(~23년까지의 금융기관 예측치를 사용하였으며, 2024년 이후에는 2023년 변동폭과 동일하게 지속 상승하는 것으로 가정)에 따른 선형회귀분석을 통한 대상회사 금리 추정치 적용</v>
      </c>
      <c r="H476" s="295"/>
      <c r="I476" s="295"/>
      <c r="J476" s="312">
        <f>NWC!J46</f>
        <v>2.1242351435171711E-2</v>
      </c>
      <c r="K476" s="313">
        <f>NWC!K46</f>
        <v>2.5378051438325278E-2</v>
      </c>
      <c r="L476" s="313">
        <f>NWC!L46</f>
        <v>1.2172897543120252E-2</v>
      </c>
      <c r="M476" s="2494">
        <f>NWC!M46</f>
        <v>2.5242051092055316E-3</v>
      </c>
      <c r="N476" s="1971">
        <f>CHOOSE($F$476,$M$476,$M$476,Libor!L3)+DCF!$G$66</f>
        <v>5.295114130341257E-3</v>
      </c>
      <c r="O476" s="376">
        <f>M476*0.75+N476*0.25</f>
        <v>3.216932364489463E-3</v>
      </c>
      <c r="P476" s="376">
        <f>CHOOSE($F$476,$O$476,AVERAGE($J$476:$K$476,$L$476,$O$476),Libor!M3)+DCF!$G$66</f>
        <v>6.2367458937610028E-3</v>
      </c>
      <c r="Q476" s="376">
        <f>CHOOSE($F$476,P476,AVERAGE($J$476:$K$476,$L$476,$O$476),Libor!N3)+DCF!$G$66</f>
        <v>9.959476121234415E-3</v>
      </c>
      <c r="R476" s="376">
        <f>CHOOSE($F$476,Q476,AVERAGE($J$476:$K$476,$L$476,$O$476),Libor!O3)+DCF!$G$66</f>
        <v>1.3682206348707829E-2</v>
      </c>
      <c r="S476" s="376">
        <f>CHOOSE($F$476,R476,AVERAGE($J$476:$K$476,$L$476,$O$476),Libor!P3)+DCF!$G$66</f>
        <v>1.7404936576181241E-2</v>
      </c>
      <c r="T476" s="376">
        <f>CHOOSE($F$476,S476,AVERAGE($J$476:$K$476,$L$476,$O$476),Libor!Q3)+DCF!$G$66</f>
        <v>2.1127666803654653E-2</v>
      </c>
      <c r="U476" s="289"/>
      <c r="V476" s="1950"/>
      <c r="W476" s="1950">
        <v>3</v>
      </c>
      <c r="X476" s="1950"/>
      <c r="Y476" s="1950" t="str">
        <f>INDEX($V$475:$X$475,1,MATCH($F476,$V476:$X476,0))</f>
        <v>Base</v>
      </c>
    </row>
    <row r="477" spans="2:25" ht="12" customHeight="1">
      <c r="B477" s="1953" t="s">
        <v>351</v>
      </c>
      <c r="J477" s="221"/>
      <c r="K477" s="221"/>
      <c r="L477" s="221"/>
      <c r="M477" s="221"/>
      <c r="N477" s="1981">
        <v>5.295114130341257E-3</v>
      </c>
      <c r="O477" s="278"/>
      <c r="P477" s="1981">
        <f>$N$477+($T$477-$N$477)/5</f>
        <v>1.8236091304273006E-2</v>
      </c>
      <c r="Q477" s="1981">
        <f>P477+($T$477-$N$477)/5</f>
        <v>3.1177068478204756E-2</v>
      </c>
      <c r="R477" s="1981">
        <f t="shared" ref="R477:S477" si="83">Q477+($T$477-$N$477)/5</f>
        <v>4.4118045652136506E-2</v>
      </c>
      <c r="S477" s="1981">
        <f t="shared" si="83"/>
        <v>5.7059022826068256E-2</v>
      </c>
      <c r="T477" s="1981">
        <v>7.0000000000000007E-2</v>
      </c>
    </row>
    <row r="478" spans="2:25" ht="12" customHeight="1">
      <c r="B478" s="3" t="s">
        <v>3564</v>
      </c>
      <c r="J478" s="221"/>
      <c r="K478" s="221"/>
      <c r="L478" s="221"/>
      <c r="M478" s="221"/>
      <c r="N478" s="105"/>
      <c r="O478" s="105"/>
      <c r="P478" s="105"/>
      <c r="Q478" s="105"/>
      <c r="R478" s="105"/>
      <c r="S478" s="105"/>
      <c r="T478" s="105"/>
    </row>
    <row r="479" spans="2:25" ht="12" customHeight="1">
      <c r="B479" s="3" t="s">
        <v>3499</v>
      </c>
      <c r="J479" s="221"/>
      <c r="K479" s="221"/>
      <c r="L479" s="221"/>
      <c r="M479" s="221"/>
      <c r="N479" s="105"/>
      <c r="O479" s="105"/>
      <c r="P479" s="105"/>
      <c r="Q479" s="105"/>
      <c r="R479" s="105"/>
      <c r="S479" s="105"/>
      <c r="T479" s="105"/>
    </row>
    <row r="480" spans="2:25" ht="12" customHeight="1">
      <c r="C480" s="1950" t="s">
        <v>3464</v>
      </c>
      <c r="D480" s="1957" t="s">
        <v>3469</v>
      </c>
      <c r="E480" s="1957"/>
      <c r="F480" s="1957"/>
      <c r="G480" s="1957"/>
      <c r="H480" s="1957"/>
      <c r="I480" s="1957"/>
      <c r="J480" s="1957"/>
      <c r="K480" s="1957"/>
      <c r="L480" s="1957"/>
      <c r="M480" s="1957"/>
      <c r="N480" s="1957"/>
      <c r="O480" s="1957"/>
      <c r="P480" s="1957"/>
      <c r="Q480" s="1957"/>
      <c r="R480" s="1957"/>
      <c r="S480" s="1957"/>
      <c r="T480" s="1957"/>
    </row>
    <row r="481" spans="1:25" ht="12" customHeight="1">
      <c r="C481" s="1958">
        <v>1</v>
      </c>
      <c r="D481" s="302" t="s">
        <v>3565</v>
      </c>
      <c r="E481" s="302"/>
      <c r="F481" s="302"/>
      <c r="G481" s="302"/>
      <c r="H481" s="302"/>
      <c r="I481" s="302"/>
      <c r="J481" s="302"/>
      <c r="K481" s="302"/>
      <c r="L481" s="302"/>
      <c r="M481" s="302"/>
      <c r="N481" s="302"/>
      <c r="O481" s="302"/>
      <c r="P481" s="302"/>
      <c r="Q481" s="302"/>
      <c r="R481" s="302"/>
      <c r="S481" s="302"/>
      <c r="T481" s="302"/>
    </row>
    <row r="482" spans="1:25" ht="12" customHeight="1">
      <c r="C482" s="110">
        <v>2</v>
      </c>
      <c r="D482" s="3" t="s">
        <v>5359</v>
      </c>
    </row>
    <row r="483" spans="1:25" ht="12" customHeight="1">
      <c r="C483" s="1950">
        <v>3</v>
      </c>
      <c r="D483" s="12" t="s">
        <v>4737</v>
      </c>
      <c r="E483" s="12"/>
      <c r="F483" s="12"/>
      <c r="G483" s="12"/>
      <c r="H483" s="12"/>
      <c r="I483" s="12"/>
      <c r="J483" s="12"/>
      <c r="K483" s="12"/>
      <c r="L483" s="12"/>
      <c r="M483" s="12"/>
      <c r="N483" s="12"/>
      <c r="O483" s="12"/>
      <c r="P483" s="12"/>
      <c r="Q483" s="12"/>
      <c r="R483" s="12"/>
      <c r="S483" s="12"/>
      <c r="T483" s="12"/>
    </row>
    <row r="485" spans="1:25" ht="12" customHeight="1">
      <c r="V485"/>
      <c r="W485"/>
      <c r="X485"/>
      <c r="Y485"/>
    </row>
    <row r="486" spans="1:25" customFormat="1" ht="12" customHeight="1">
      <c r="A486" s="20" t="s">
        <v>6851</v>
      </c>
      <c r="B486" s="21" t="s">
        <v>3461</v>
      </c>
      <c r="C486" s="21"/>
      <c r="D486" s="102"/>
      <c r="E486" s="102"/>
      <c r="F486" s="102"/>
      <c r="G486" s="102"/>
      <c r="H486" s="102"/>
      <c r="I486" s="102"/>
      <c r="J486" s="102"/>
      <c r="K486" s="102"/>
      <c r="L486" s="102"/>
      <c r="M486" s="102"/>
      <c r="N486" s="102"/>
      <c r="O486" s="102"/>
      <c r="P486" s="102"/>
      <c r="Q486" s="102"/>
      <c r="R486" s="102"/>
      <c r="S486" s="102"/>
      <c r="T486" s="102"/>
      <c r="U486" s="102"/>
      <c r="V486" s="102"/>
      <c r="W486" s="102"/>
      <c r="X486" s="102"/>
      <c r="Y486" s="102"/>
    </row>
    <row r="487" spans="1:25" customFormat="1" ht="12" customHeight="1">
      <c r="A487" s="1918"/>
      <c r="B487" s="555" t="s">
        <v>6143</v>
      </c>
      <c r="C487" s="555"/>
      <c r="D487" s="1919"/>
      <c r="E487" s="1919"/>
      <c r="F487" s="1919"/>
      <c r="G487" s="1919"/>
      <c r="H487" s="1919"/>
      <c r="I487" s="1919"/>
      <c r="J487" s="1919"/>
      <c r="K487" s="1919"/>
      <c r="L487" s="1919"/>
      <c r="M487" s="1919"/>
      <c r="N487" s="1919"/>
      <c r="O487" s="1919"/>
      <c r="P487" s="1919"/>
      <c r="Q487" s="1919"/>
      <c r="R487" s="1919"/>
      <c r="S487" s="1919"/>
      <c r="T487" s="1919"/>
      <c r="U487" s="1919"/>
      <c r="V487" s="1919"/>
      <c r="W487" s="1919"/>
      <c r="X487" s="1919"/>
      <c r="Y487" s="1919"/>
    </row>
    <row r="488" spans="1:25" ht="12" customHeight="1">
      <c r="A488" s="1965"/>
      <c r="B488" s="1965"/>
      <c r="C488" s="1964" t="s">
        <v>6656</v>
      </c>
      <c r="D488" s="1965"/>
      <c r="E488" s="1965"/>
      <c r="F488" s="1965"/>
      <c r="G488" s="1965"/>
      <c r="H488" s="1965"/>
      <c r="I488" s="1965"/>
      <c r="J488" s="1965"/>
      <c r="K488" s="1965"/>
      <c r="L488" s="1965"/>
      <c r="M488" s="1965"/>
      <c r="N488" s="1965"/>
      <c r="O488" s="1965"/>
      <c r="P488" s="1965"/>
      <c r="Q488" s="1965"/>
      <c r="R488" s="1965"/>
      <c r="S488" s="1965"/>
      <c r="T488" s="1965"/>
      <c r="U488" s="1965"/>
      <c r="V488" s="1965"/>
      <c r="W488" s="1965"/>
      <c r="X488" s="1965"/>
      <c r="Y488" s="1965"/>
    </row>
    <row r="490" spans="1:25" ht="12" customHeight="1">
      <c r="B490" s="203" t="s">
        <v>6704</v>
      </c>
      <c r="C490" s="203"/>
    </row>
    <row r="491" spans="1:25" ht="12" customHeight="1">
      <c r="B491" s="4027"/>
      <c r="C491" s="4027"/>
      <c r="D491" s="4027"/>
      <c r="E491" s="4027"/>
      <c r="F491" s="4027"/>
      <c r="G491" s="4027"/>
      <c r="H491" s="4027"/>
      <c r="I491" s="4027"/>
      <c r="J491" s="25" t="s">
        <v>23</v>
      </c>
      <c r="K491" s="26"/>
      <c r="L491" s="26"/>
      <c r="M491" s="27"/>
      <c r="N491" s="26" t="s">
        <v>24</v>
      </c>
      <c r="O491" s="26"/>
      <c r="P491" s="26"/>
      <c r="Q491" s="26"/>
      <c r="R491" s="26"/>
      <c r="S491" s="26"/>
      <c r="T491" s="26"/>
    </row>
    <row r="492" spans="1:25" ht="12" customHeight="1">
      <c r="B492" s="28"/>
      <c r="C492" s="28"/>
      <c r="D492" s="28"/>
      <c r="E492" s="1949" t="s">
        <v>2889</v>
      </c>
      <c r="F492" s="1949"/>
      <c r="G492" s="1949"/>
      <c r="H492" s="28"/>
      <c r="I492" s="28"/>
      <c r="J492" s="29" t="s">
        <v>69</v>
      </c>
      <c r="K492" s="30" t="s">
        <v>27</v>
      </c>
      <c r="L492" s="30" t="s">
        <v>60</v>
      </c>
      <c r="M492" s="31" t="s">
        <v>5104</v>
      </c>
      <c r="N492" s="30" t="s">
        <v>5174</v>
      </c>
      <c r="O492" s="30" t="s">
        <v>70</v>
      </c>
      <c r="P492" s="30" t="s">
        <v>71</v>
      </c>
      <c r="Q492" s="30" t="s">
        <v>72</v>
      </c>
      <c r="R492" s="30" t="s">
        <v>73</v>
      </c>
      <c r="S492" s="30" t="s">
        <v>74</v>
      </c>
      <c r="T492" s="30" t="s">
        <v>5102</v>
      </c>
    </row>
    <row r="493" spans="1:25" ht="12" customHeight="1">
      <c r="B493" s="3" t="s">
        <v>330</v>
      </c>
      <c r="E493" s="110" t="s">
        <v>3463</v>
      </c>
      <c r="G493" s="289" t="s">
        <v>6697</v>
      </c>
      <c r="J493" s="220">
        <f>Revenue!J118</f>
        <v>33658.061277482986</v>
      </c>
      <c r="K493" s="221">
        <f>Revenue!K118</f>
        <v>40208.193303543063</v>
      </c>
      <c r="L493" s="221">
        <f>Revenue!L118</f>
        <v>51720.404821451186</v>
      </c>
      <c r="M493" s="222">
        <f>Revenue!M118</f>
        <v>50477.815895703672</v>
      </c>
      <c r="N493" s="105">
        <f>_xlfn.FORECAST.LINEAR(N22,$J493:$M493,$J22:$M22)</f>
        <v>51708.721663519958</v>
      </c>
      <c r="O493" s="105">
        <f>(M493*3+N493)/4</f>
        <v>50785.542337657738</v>
      </c>
      <c r="P493" s="105">
        <f t="shared" ref="P493:T496" si="84">_xlfn.FORECAST.LINEAR(P22,$J493:$M493,$J22:$M22)</f>
        <v>51105.688424457054</v>
      </c>
      <c r="Q493" s="105">
        <f t="shared" si="84"/>
        <v>49819.644845366318</v>
      </c>
      <c r="R493" s="105">
        <f t="shared" si="84"/>
        <v>49644.651285618689</v>
      </c>
      <c r="S493" s="105">
        <f t="shared" si="84"/>
        <v>49071.945090081012</v>
      </c>
      <c r="T493" s="105">
        <f t="shared" si="84"/>
        <v>48715.596210972537</v>
      </c>
    </row>
    <row r="494" spans="1:25" ht="12" customHeight="1">
      <c r="B494" s="3" t="s">
        <v>331</v>
      </c>
      <c r="E494" s="110" t="s">
        <v>3463</v>
      </c>
      <c r="G494" s="289" t="s">
        <v>6696</v>
      </c>
      <c r="J494" s="220">
        <f>Revenue!J123</f>
        <v>515.51507335883662</v>
      </c>
      <c r="K494" s="221">
        <f>Revenue!K123</f>
        <v>516.07354427213011</v>
      </c>
      <c r="L494" s="221">
        <f>Revenue!L123</f>
        <v>633.08834620877838</v>
      </c>
      <c r="M494" s="222">
        <f>Revenue!M123</f>
        <v>837.8856329295453</v>
      </c>
      <c r="N494" s="105">
        <f>_xlfn.FORECAST.LINEAR(N23,$J494:$M494,$J23:$M23)</f>
        <v>764.05398321045254</v>
      </c>
      <c r="O494" s="105">
        <f>(M494*3+N494)/4</f>
        <v>819.42772049977202</v>
      </c>
      <c r="P494" s="105">
        <f t="shared" si="84"/>
        <v>789.7683243846717</v>
      </c>
      <c r="Q494" s="105">
        <f t="shared" si="84"/>
        <v>773.27981866084247</v>
      </c>
      <c r="R494" s="105">
        <f t="shared" si="84"/>
        <v>755.33644478491101</v>
      </c>
      <c r="S494" s="105">
        <f t="shared" si="84"/>
        <v>726.23908174285998</v>
      </c>
      <c r="T494" s="105">
        <f t="shared" si="84"/>
        <v>714.04084742977705</v>
      </c>
    </row>
    <row r="495" spans="1:25" ht="12" customHeight="1">
      <c r="B495" s="3" t="s">
        <v>332</v>
      </c>
      <c r="E495" s="110" t="s">
        <v>3463</v>
      </c>
      <c r="G495" s="289" t="s">
        <v>6696</v>
      </c>
      <c r="J495" s="220">
        <f>Revenue!J133</f>
        <v>33384.762538441239</v>
      </c>
      <c r="K495" s="221">
        <f>Revenue!K133</f>
        <v>48851.872631713799</v>
      </c>
      <c r="L495" s="221">
        <f>Revenue!L133</f>
        <v>68581.912079545975</v>
      </c>
      <c r="M495" s="222">
        <f>Revenue!M133</f>
        <v>79510.381154681352</v>
      </c>
      <c r="N495" s="105">
        <f>_xlfn.FORECAST.LINEAR(N24,$J495:$M495,$J24:$M24)</f>
        <v>63685.990576521945</v>
      </c>
      <c r="O495" s="105">
        <f>(M495*3+N495)/4</f>
        <v>75554.283510141497</v>
      </c>
      <c r="P495" s="105">
        <f t="shared" si="84"/>
        <v>65353.037143210102</v>
      </c>
      <c r="Q495" s="105">
        <f t="shared" si="84"/>
        <v>60577.308994752995</v>
      </c>
      <c r="R495" s="105">
        <f t="shared" si="84"/>
        <v>53395.292827148543</v>
      </c>
      <c r="S495" s="105">
        <f t="shared" si="84"/>
        <v>47149.877531563157</v>
      </c>
      <c r="T495" s="105">
        <f t="shared" si="84"/>
        <v>44524.616396577738</v>
      </c>
    </row>
    <row r="496" spans="1:25" ht="12" customHeight="1">
      <c r="B496" s="12" t="s">
        <v>333</v>
      </c>
      <c r="C496" s="12"/>
      <c r="D496" s="12"/>
      <c r="E496" s="1950" t="s">
        <v>3463</v>
      </c>
      <c r="F496" s="12"/>
      <c r="G496" s="1954" t="s">
        <v>6696</v>
      </c>
      <c r="H496" s="12"/>
      <c r="I496" s="12"/>
      <c r="J496" s="223">
        <f>Revenue!J128</f>
        <v>25221.629140103956</v>
      </c>
      <c r="K496" s="224">
        <f>Revenue!K128</f>
        <v>29838.18254362368</v>
      </c>
      <c r="L496" s="224">
        <f>Revenue!L128</f>
        <v>30214.71399794141</v>
      </c>
      <c r="M496" s="225">
        <f>Revenue!M128</f>
        <v>34644.851068216965</v>
      </c>
      <c r="N496" s="107">
        <f>_xlfn.FORECAST.LINEAR(N25,$J496:$M496,$J25:$M25)</f>
        <v>32297.753544286388</v>
      </c>
      <c r="O496" s="107">
        <f>(M496*3+N496)/4</f>
        <v>34058.076687234323</v>
      </c>
      <c r="P496" s="107">
        <f t="shared" si="84"/>
        <v>31524.56883518667</v>
      </c>
      <c r="Q496" s="107">
        <f t="shared" si="84"/>
        <v>31913.692072581372</v>
      </c>
      <c r="R496" s="107">
        <f t="shared" si="84"/>
        <v>32380.639957455016</v>
      </c>
      <c r="S496" s="107">
        <f t="shared" si="84"/>
        <v>32847.587842328663</v>
      </c>
      <c r="T496" s="107">
        <f t="shared" si="84"/>
        <v>33323.56561169905</v>
      </c>
    </row>
    <row r="497" spans="2:25" ht="12" customHeight="1">
      <c r="B497" s="1953" t="s">
        <v>351</v>
      </c>
      <c r="J497" s="221"/>
      <c r="K497" s="221"/>
      <c r="L497" s="221"/>
      <c r="M497" s="221"/>
      <c r="N497" s="105"/>
      <c r="O497" s="105"/>
      <c r="P497" s="105"/>
      <c r="Q497" s="105"/>
      <c r="R497" s="105"/>
      <c r="S497" s="105"/>
      <c r="T497" s="105"/>
    </row>
    <row r="498" spans="2:25" ht="12" customHeight="1">
      <c r="B498" s="3" t="s">
        <v>6504</v>
      </c>
      <c r="J498" s="221"/>
      <c r="K498" s="221"/>
      <c r="L498" s="221"/>
      <c r="M498" s="221"/>
      <c r="N498" s="105"/>
      <c r="O498" s="105"/>
      <c r="P498" s="105"/>
      <c r="Q498" s="105"/>
      <c r="R498" s="105"/>
      <c r="S498" s="105"/>
      <c r="T498" s="105"/>
    </row>
    <row r="499" spans="2:25" ht="12" customHeight="1">
      <c r="C499" s="110"/>
      <c r="I499" s="221"/>
      <c r="J499" s="221"/>
      <c r="K499" s="221"/>
      <c r="L499" s="221"/>
      <c r="M499" s="105"/>
      <c r="N499" s="105"/>
      <c r="O499" s="105"/>
      <c r="P499" s="105"/>
      <c r="Q499" s="105"/>
      <c r="R499" s="105"/>
    </row>
    <row r="500" spans="2:25" ht="12" customHeight="1">
      <c r="B500" s="203" t="s">
        <v>6677</v>
      </c>
      <c r="C500" s="203"/>
    </row>
    <row r="501" spans="2:25" ht="12" customHeight="1">
      <c r="B501" s="24"/>
      <c r="C501" s="24"/>
      <c r="D501" s="24"/>
      <c r="E501" s="24"/>
      <c r="F501" s="24"/>
      <c r="G501" s="24"/>
      <c r="H501" s="24"/>
      <c r="I501" s="24"/>
      <c r="J501" s="25" t="s">
        <v>23</v>
      </c>
      <c r="K501" s="26"/>
      <c r="L501" s="26"/>
      <c r="M501" s="27"/>
      <c r="N501" s="26" t="s">
        <v>24</v>
      </c>
      <c r="O501" s="26"/>
      <c r="P501" s="26"/>
      <c r="Q501" s="26"/>
      <c r="R501" s="26"/>
      <c r="S501" s="26"/>
      <c r="T501" s="26"/>
      <c r="V501" s="2041" t="s">
        <v>3650</v>
      </c>
      <c r="W501" s="2041"/>
      <c r="X501" s="2041"/>
      <c r="Y501" s="2041"/>
    </row>
    <row r="502" spans="2:25" ht="12" customHeight="1" thickBot="1">
      <c r="B502" s="28"/>
      <c r="C502" s="28"/>
      <c r="D502" s="28"/>
      <c r="E502" s="1949" t="s">
        <v>2889</v>
      </c>
      <c r="F502" s="1949" t="s">
        <v>3464</v>
      </c>
      <c r="G502" s="1949"/>
      <c r="H502" s="28"/>
      <c r="I502" s="28"/>
      <c r="J502" s="29" t="s">
        <v>69</v>
      </c>
      <c r="K502" s="30" t="s">
        <v>27</v>
      </c>
      <c r="L502" s="30" t="s">
        <v>60</v>
      </c>
      <c r="M502" s="31" t="s">
        <v>5104</v>
      </c>
      <c r="N502" s="30" t="s">
        <v>5174</v>
      </c>
      <c r="O502" s="30" t="s">
        <v>70</v>
      </c>
      <c r="P502" s="30" t="s">
        <v>71</v>
      </c>
      <c r="Q502" s="30" t="s">
        <v>72</v>
      </c>
      <c r="R502" s="30" t="s">
        <v>73</v>
      </c>
      <c r="S502" s="30" t="s">
        <v>74</v>
      </c>
      <c r="T502" s="30" t="s">
        <v>5102</v>
      </c>
      <c r="V502" s="290" t="s">
        <v>3651</v>
      </c>
      <c r="W502" s="290" t="s">
        <v>3652</v>
      </c>
      <c r="X502" s="290" t="s">
        <v>3653</v>
      </c>
      <c r="Y502" s="290" t="s">
        <v>3740</v>
      </c>
    </row>
    <row r="503" spans="2:25" ht="12" customHeight="1" thickBot="1">
      <c r="B503" s="12" t="s">
        <v>334</v>
      </c>
      <c r="C503" s="12"/>
      <c r="D503" s="12"/>
      <c r="E503" s="1950" t="s">
        <v>3462</v>
      </c>
      <c r="F503" s="291">
        <v>2</v>
      </c>
      <c r="G503" s="1954"/>
      <c r="H503" s="12"/>
      <c r="I503" s="12"/>
      <c r="J503" s="223">
        <f>HLOOKUP($B503,금속가격!$O$2:$X$9,MATCH(J$20,금속가격!$M$3:$M$9,0)+1,FALSE)</f>
        <v>13122.272727272728</v>
      </c>
      <c r="K503" s="224">
        <f>HLOOKUP($B503,금속가격!$O$2:$X$9,MATCH(K$20,금속가격!$M$3:$M$9,0)+1,FALSE)</f>
        <v>13936.442687747036</v>
      </c>
      <c r="L503" s="224">
        <f>HLOOKUP($B503,금속가격!$O$2:$X$9,MATCH(L$20,금속가격!$M$3:$M$9,0)+1,FALSE)</f>
        <v>13789.311023622047</v>
      </c>
      <c r="M503" s="225">
        <f>HLOOKUP($B503,금속가격!$O$2:$X$9,MATCH(M$20,금속가격!$M$3:$M$9,0)+1,FALSE)</f>
        <v>18036.4708994709</v>
      </c>
      <c r="N503" s="107">
        <f>O503*4-M503*3</f>
        <v>17518.5873015873</v>
      </c>
      <c r="O503" s="107">
        <f>CHOOSE($F503,$M503,HLOOKUP(N$20,금속가격!$P$57:$W$65,MATCH($B503,금속가격!$M$57:$M$65,0),0))</f>
        <v>17907</v>
      </c>
      <c r="P503" s="107">
        <f>CHOOSE($F503,$M503,HLOOKUP(P$20,금속가격!$P$57:$W$65,MATCH($B503,금속가격!$M$57:$M$65,0),0))</f>
        <v>18000</v>
      </c>
      <c r="Q503" s="107">
        <f>CHOOSE($F503,$M503,HLOOKUP(Q$20,금속가격!$P$57:$W$65,MATCH($B503,금속가격!$M$57:$M$65,0),0))</f>
        <v>19000</v>
      </c>
      <c r="R503" s="107">
        <f>CHOOSE($F503,$M503,HLOOKUP(R$20,금속가격!$P$57:$W$65,MATCH($B503,금속가격!$M$57:$M$65,0),0))</f>
        <v>20000</v>
      </c>
      <c r="S503" s="107">
        <f>CHOOSE($F503,$M503,HLOOKUP(S$20,금속가격!$P$57:$W$65,MATCH($B503,금속가격!$M$57:$M$65,0),0))</f>
        <v>20096.013113986301</v>
      </c>
      <c r="T503" s="107">
        <f>CHOOSE($F503,$M503,HLOOKUP(T$20,금속가격!$P$57:$W$65,MATCH($B503,금속가격!$M$57:$M$65,0),0))</f>
        <v>20191.811058672651</v>
      </c>
      <c r="V503" s="1950"/>
      <c r="W503" s="1950">
        <v>2</v>
      </c>
      <c r="X503" s="1950"/>
      <c r="Y503" s="1950" t="str">
        <f>INDEX($V$20:$X$20,1,MATCH($F503,$V503:$X503,0))</f>
        <v>Base</v>
      </c>
    </row>
    <row r="504" spans="2:25" ht="12" customHeight="1">
      <c r="C504" s="110"/>
      <c r="I504" s="221"/>
      <c r="J504" s="221"/>
      <c r="K504" s="221"/>
      <c r="L504" s="221"/>
      <c r="M504" s="105"/>
      <c r="N504" s="105"/>
      <c r="O504" s="105"/>
      <c r="P504" s="105"/>
      <c r="Q504" s="105"/>
      <c r="R504" s="105"/>
    </row>
    <row r="505" spans="2:25" ht="12" customHeight="1">
      <c r="C505" s="1950" t="s">
        <v>3464</v>
      </c>
      <c r="D505" s="1957" t="s">
        <v>3469</v>
      </c>
      <c r="E505" s="1957"/>
      <c r="F505" s="1957"/>
      <c r="G505" s="1957"/>
      <c r="H505" s="1957"/>
      <c r="I505" s="1957"/>
      <c r="J505" s="1957"/>
      <c r="K505" s="1957"/>
      <c r="L505" s="1957"/>
      <c r="M505" s="1957"/>
      <c r="N505" s="1957"/>
      <c r="O505" s="1957"/>
      <c r="P505" s="1957"/>
      <c r="Q505" s="1957"/>
      <c r="R505" s="1957"/>
      <c r="S505" s="1957"/>
      <c r="T505" s="1957"/>
    </row>
    <row r="506" spans="2:25" ht="12" customHeight="1">
      <c r="C506" s="1958">
        <v>1</v>
      </c>
      <c r="D506" s="302" t="s">
        <v>5192</v>
      </c>
      <c r="E506" s="302"/>
      <c r="F506" s="302"/>
      <c r="G506" s="302"/>
      <c r="H506" s="302"/>
      <c r="I506" s="218"/>
      <c r="J506" s="218"/>
      <c r="K506" s="218"/>
      <c r="L506" s="218"/>
      <c r="M506" s="304"/>
      <c r="N506" s="304"/>
      <c r="O506" s="304"/>
      <c r="P506" s="304"/>
      <c r="Q506" s="304"/>
      <c r="R506" s="304"/>
      <c r="S506" s="302"/>
      <c r="T506" s="302"/>
    </row>
    <row r="507" spans="2:25" ht="12" customHeight="1">
      <c r="C507" s="1950">
        <v>2</v>
      </c>
      <c r="D507" s="12" t="s">
        <v>6702</v>
      </c>
      <c r="E507" s="12"/>
      <c r="F507" s="12"/>
      <c r="G507" s="12"/>
      <c r="H507" s="12"/>
      <c r="I507" s="224"/>
      <c r="J507" s="224"/>
      <c r="K507" s="224"/>
      <c r="L507" s="224"/>
      <c r="M507" s="107"/>
      <c r="N507" s="107"/>
      <c r="O507" s="107"/>
      <c r="P507" s="107"/>
      <c r="Q507" s="107"/>
      <c r="R507" s="107"/>
      <c r="S507" s="12"/>
      <c r="T507" s="12"/>
    </row>
    <row r="508" spans="2:25" ht="12" customHeight="1">
      <c r="C508" s="110"/>
      <c r="I508" s="221"/>
      <c r="J508" s="221"/>
      <c r="K508" s="221"/>
      <c r="L508" s="221"/>
      <c r="M508" s="105"/>
      <c r="N508" s="105"/>
      <c r="O508" s="105"/>
      <c r="P508" s="105"/>
      <c r="Q508" s="105"/>
      <c r="R508" s="105"/>
    </row>
    <row r="509" spans="2:25" ht="12" customHeight="1">
      <c r="B509" s="32" t="s">
        <v>6678</v>
      </c>
      <c r="C509" s="110"/>
      <c r="I509" s="221"/>
      <c r="J509" s="221"/>
      <c r="K509" s="221"/>
      <c r="L509" s="221"/>
      <c r="M509" s="105"/>
      <c r="N509" s="105"/>
      <c r="O509" s="105"/>
      <c r="P509" s="105"/>
      <c r="Q509" s="105"/>
      <c r="R509" s="105"/>
    </row>
    <row r="510" spans="2:25" ht="12" customHeight="1">
      <c r="B510" s="24"/>
      <c r="C510" s="24"/>
      <c r="D510" s="24"/>
      <c r="E510" s="24"/>
      <c r="F510" s="24"/>
      <c r="G510" s="24"/>
      <c r="H510" s="24"/>
      <c r="I510" s="24"/>
      <c r="J510" s="25" t="s">
        <v>23</v>
      </c>
      <c r="K510" s="26"/>
      <c r="L510" s="26"/>
      <c r="M510" s="27"/>
      <c r="N510" s="26" t="s">
        <v>24</v>
      </c>
      <c r="O510" s="26"/>
      <c r="P510" s="26"/>
      <c r="Q510" s="26"/>
      <c r="R510" s="26"/>
      <c r="S510" s="26"/>
      <c r="T510" s="26"/>
    </row>
    <row r="511" spans="2:25" ht="12" customHeight="1">
      <c r="B511" s="28"/>
      <c r="C511" s="28"/>
      <c r="D511" s="28"/>
      <c r="E511" s="1949" t="s">
        <v>2889</v>
      </c>
      <c r="F511" s="1949" t="s">
        <v>3464</v>
      </c>
      <c r="G511" s="1949"/>
      <c r="H511" s="28"/>
      <c r="I511" s="28"/>
      <c r="J511" s="29" t="s">
        <v>69</v>
      </c>
      <c r="K511" s="30" t="s">
        <v>27</v>
      </c>
      <c r="L511" s="30" t="s">
        <v>60</v>
      </c>
      <c r="M511" s="31" t="s">
        <v>5104</v>
      </c>
      <c r="N511" s="30" t="s">
        <v>5174</v>
      </c>
      <c r="O511" s="30" t="s">
        <v>70</v>
      </c>
      <c r="P511" s="30" t="s">
        <v>71</v>
      </c>
      <c r="Q511" s="30" t="s">
        <v>72</v>
      </c>
      <c r="R511" s="30" t="s">
        <v>73</v>
      </c>
      <c r="S511" s="30" t="s">
        <v>74</v>
      </c>
      <c r="T511" s="30" t="s">
        <v>5102</v>
      </c>
    </row>
    <row r="512" spans="2:25" ht="12" customHeight="1">
      <c r="B512" s="12" t="s">
        <v>6678</v>
      </c>
      <c r="C512" s="12"/>
      <c r="D512" s="12"/>
      <c r="E512" s="1950" t="s">
        <v>3462</v>
      </c>
      <c r="F512" s="1954"/>
      <c r="G512" s="1954" t="s">
        <v>5176</v>
      </c>
      <c r="H512" s="12"/>
      <c r="I512" s="12"/>
      <c r="J512" s="4334"/>
      <c r="K512" s="4332"/>
      <c r="L512" s="4332"/>
      <c r="M512" s="4333"/>
      <c r="N512" s="3773"/>
      <c r="O512" s="3773"/>
      <c r="P512" s="3773"/>
      <c r="Q512" s="224">
        <f>CDD추정치!I82</f>
        <v>1793.7219730941704</v>
      </c>
      <c r="R512" s="224">
        <f>CDD추정치!J82</f>
        <v>1793.7219730941704</v>
      </c>
      <c r="S512" s="224">
        <f>CDD추정치!K82</f>
        <v>2191.8064840941825</v>
      </c>
      <c r="T512" s="224">
        <f>CDD추정치!L82</f>
        <v>2669.5078972941965</v>
      </c>
    </row>
    <row r="513" spans="2:25" ht="12" customHeight="1">
      <c r="C513" s="110"/>
      <c r="I513" s="221"/>
      <c r="J513" s="221"/>
      <c r="K513" s="221"/>
      <c r="L513" s="221"/>
      <c r="M513" s="105"/>
      <c r="N513" s="105"/>
      <c r="O513" s="105"/>
      <c r="P513" s="105"/>
      <c r="Q513" s="105"/>
      <c r="R513" s="105"/>
    </row>
    <row r="514" spans="2:25" ht="12" customHeight="1">
      <c r="C514" s="110"/>
      <c r="I514" s="221"/>
      <c r="J514" s="221"/>
      <c r="K514" s="221"/>
      <c r="L514" s="221"/>
      <c r="M514" s="105"/>
      <c r="N514" s="105"/>
      <c r="O514" s="105"/>
      <c r="P514" s="105"/>
      <c r="Q514" s="105"/>
      <c r="R514" s="105"/>
    </row>
    <row r="515" spans="2:25" ht="12" customHeight="1">
      <c r="B515" s="203" t="s">
        <v>6703</v>
      </c>
      <c r="C515" s="203"/>
    </row>
    <row r="516" spans="2:25" ht="12" customHeight="1">
      <c r="B516" s="4027"/>
      <c r="C516" s="4027"/>
      <c r="D516" s="4027"/>
      <c r="E516" s="4027"/>
      <c r="F516" s="4027"/>
      <c r="G516" s="4027"/>
      <c r="H516" s="4027"/>
      <c r="I516" s="4027"/>
      <c r="J516" s="25" t="s">
        <v>23</v>
      </c>
      <c r="K516" s="26"/>
      <c r="L516" s="26"/>
      <c r="M516" s="27"/>
      <c r="N516" s="26" t="s">
        <v>24</v>
      </c>
      <c r="O516" s="26"/>
      <c r="P516" s="26"/>
      <c r="Q516" s="26"/>
      <c r="R516" s="26"/>
      <c r="S516" s="26"/>
      <c r="T516" s="26"/>
      <c r="V516" s="2041" t="s">
        <v>3650</v>
      </c>
      <c r="W516" s="2041"/>
      <c r="X516" s="2041"/>
      <c r="Y516" s="2041"/>
    </row>
    <row r="517" spans="2:25" ht="12" customHeight="1" thickBot="1">
      <c r="B517" s="28"/>
      <c r="C517" s="28"/>
      <c r="D517" s="28"/>
      <c r="E517" s="1949" t="s">
        <v>2889</v>
      </c>
      <c r="F517" s="1949" t="s">
        <v>3464</v>
      </c>
      <c r="G517" s="28"/>
      <c r="H517" s="28"/>
      <c r="I517" s="28"/>
      <c r="J517" s="29" t="s">
        <v>69</v>
      </c>
      <c r="K517" s="30" t="s">
        <v>27</v>
      </c>
      <c r="L517" s="30" t="s">
        <v>60</v>
      </c>
      <c r="M517" s="31" t="s">
        <v>5104</v>
      </c>
      <c r="N517" s="30" t="s">
        <v>5174</v>
      </c>
      <c r="O517" s="30" t="s">
        <v>70</v>
      </c>
      <c r="P517" s="30" t="s">
        <v>71</v>
      </c>
      <c r="Q517" s="30" t="s">
        <v>72</v>
      </c>
      <c r="R517" s="30" t="s">
        <v>73</v>
      </c>
      <c r="S517" s="30" t="s">
        <v>74</v>
      </c>
      <c r="T517" s="30" t="s">
        <v>5102</v>
      </c>
      <c r="V517" s="290" t="s">
        <v>3651</v>
      </c>
      <c r="W517" s="290" t="s">
        <v>3652</v>
      </c>
      <c r="X517" s="290" t="s">
        <v>3653</v>
      </c>
      <c r="Y517" s="290" t="s">
        <v>3740</v>
      </c>
    </row>
    <row r="518" spans="2:25" ht="12" customHeight="1" thickBot="1">
      <c r="B518" s="3" t="s">
        <v>6689</v>
      </c>
      <c r="E518" s="110" t="s">
        <v>5558</v>
      </c>
      <c r="F518" s="3005">
        <v>1</v>
      </c>
      <c r="G518" s="289" t="str">
        <f>VLOOKUP(F518,$C$526:$D$528,2,FALSE)</f>
        <v>현재 수준의 판매량 유지 가정</v>
      </c>
      <c r="J518" s="220">
        <f>Revenue!J120</f>
        <v>4806.1524500000005</v>
      </c>
      <c r="K518" s="221">
        <f>Revenue!K120</f>
        <v>3675.9918299999999</v>
      </c>
      <c r="L518" s="221">
        <f>Revenue!L120</f>
        <v>4022.5472099999997</v>
      </c>
      <c r="M518" s="222">
        <f>Revenue!M120</f>
        <v>2821.6441899999995</v>
      </c>
      <c r="N518" s="105">
        <f>O518-M518</f>
        <v>940.54806333333318</v>
      </c>
      <c r="O518" s="320">
        <f>CHOOSE($F$518,M518/3*4,M518/3*4,Torecom_판매추정!D7)</f>
        <v>3762.1922533333327</v>
      </c>
      <c r="P518" s="320">
        <f>CHOOSE($F$518,$O$518,AVERAGE($J$518:$L$518,$O$518),Torecom_판매추정!E7)</f>
        <v>3762.1922533333327</v>
      </c>
      <c r="Q518" s="320">
        <f>CHOOSE($F$518,$O$518,AVERAGE($J$518:$L$518,$O$518),Torecom_판매추정!F7)</f>
        <v>3762.1922533333327</v>
      </c>
      <c r="R518" s="320">
        <f>CHOOSE($F$518,$O$518,AVERAGE($J$518:$L$518,$O$518),Torecom_판매추정!G7)</f>
        <v>3762.1922533333327</v>
      </c>
      <c r="S518" s="320">
        <f>CHOOSE($F$518,$O$518,AVERAGE($J$518:$L$518,$O$518),R518)</f>
        <v>3762.1922533333327</v>
      </c>
      <c r="T518" s="320">
        <f>CHOOSE($F$518,$O$518,AVERAGE($J$518:$L$518,$O$518),S518)</f>
        <v>3762.1922533333327</v>
      </c>
      <c r="U518" s="289"/>
      <c r="V518" s="110"/>
      <c r="W518" s="110">
        <v>1</v>
      </c>
      <c r="X518" s="110"/>
      <c r="Y518" s="110" t="str">
        <f>INDEX($V$517:$X$517,1,MATCH($F518,$V518:$X518,0))</f>
        <v>Base</v>
      </c>
    </row>
    <row r="519" spans="2:25" ht="12" customHeight="1" thickBot="1">
      <c r="B519" s="3" t="s">
        <v>6690</v>
      </c>
      <c r="E519" s="110" t="s">
        <v>5213</v>
      </c>
      <c r="F519" s="3005">
        <v>1</v>
      </c>
      <c r="G519" s="289" t="str">
        <f>VLOOKUP(F519,$C$526:$D$528,2,FALSE)</f>
        <v>현재 수준의 판매량 유지 가정</v>
      </c>
      <c r="J519" s="3719">
        <f>Revenue!J125</f>
        <v>41742.287420805995</v>
      </c>
      <c r="K519" s="3720">
        <f>Revenue!K125</f>
        <v>34441.033873799999</v>
      </c>
      <c r="L519" s="3720">
        <f>Revenue!L125</f>
        <v>24116.595909</v>
      </c>
      <c r="M519" s="3721">
        <f>Revenue!M125</f>
        <v>13811.254300000001</v>
      </c>
      <c r="N519" s="105">
        <f>O519-M519</f>
        <v>4603.7514333333347</v>
      </c>
      <c r="O519" s="320">
        <f>CHOOSE($F$519,M519/3*4,M519/3*4,Torecom_판매추정!D10)</f>
        <v>18415.005733333335</v>
      </c>
      <c r="P519" s="320">
        <f>CHOOSE($F$519,$O519,AVERAGE($J519:$L519,$O519),Torecom_판매추정!E10)</f>
        <v>18415.005733333335</v>
      </c>
      <c r="Q519" s="320">
        <f>CHOOSE($F$519,$O519,AVERAGE($J519:$L519,$O519),Torecom_판매추정!F10)</f>
        <v>18415.005733333335</v>
      </c>
      <c r="R519" s="320">
        <f>CHOOSE($F$519,$O519,AVERAGE($J519:$L519,$O519),Torecom_판매추정!G10)</f>
        <v>18415.005733333335</v>
      </c>
      <c r="S519" s="320">
        <f>CHOOSE($F$519,$O519,AVERAGE($J519:$L519,$O519),R519)</f>
        <v>18415.005733333335</v>
      </c>
      <c r="T519" s="320">
        <f>CHOOSE($F$519,$O519,AVERAGE($J519:$L519,$O519),S519)</f>
        <v>18415.005733333335</v>
      </c>
      <c r="U519" s="289"/>
      <c r="V519" s="110"/>
      <c r="W519" s="110">
        <v>1</v>
      </c>
      <c r="X519" s="110"/>
      <c r="Y519" s="110" t="str">
        <f t="shared" ref="Y519:Y521" si="85">INDEX($V$517:$X$517,1,MATCH($F519,$V519:$X519,0))</f>
        <v>Base</v>
      </c>
    </row>
    <row r="520" spans="2:25" ht="12" customHeight="1" thickBot="1">
      <c r="B520" s="3" t="s">
        <v>6691</v>
      </c>
      <c r="E520" s="110" t="s">
        <v>5213</v>
      </c>
      <c r="F520" s="3005">
        <v>1</v>
      </c>
      <c r="G520" s="289" t="str">
        <f>VLOOKUP(F520,$C$526:$D$528,2,FALSE)</f>
        <v>현재 수준의 판매량 유지 가정</v>
      </c>
      <c r="J520" s="220">
        <f>Revenue!J130</f>
        <v>71.564340000000016</v>
      </c>
      <c r="K520" s="221">
        <f>Revenue!K130</f>
        <v>105.95996000000001</v>
      </c>
      <c r="L520" s="221">
        <f>Revenue!L130</f>
        <v>192.99786</v>
      </c>
      <c r="M520" s="222">
        <f>Revenue!M130</f>
        <v>227.06869999999998</v>
      </c>
      <c r="N520" s="105">
        <f>O520-M520</f>
        <v>75.689566666666678</v>
      </c>
      <c r="O520" s="320">
        <f>CHOOSE($F$520,M520/3*4,M520/3*4,Torecom_판매추정!D13)</f>
        <v>302.75826666666666</v>
      </c>
      <c r="P520" s="320">
        <f>CHOOSE($F$520,$O520,AVERAGE($J520:$L520,$O520),Torecom_판매추정!E13)</f>
        <v>302.75826666666666</v>
      </c>
      <c r="Q520" s="320">
        <f>CHOOSE($F$520,$O520,AVERAGE($J520:$L520,$O520),Torecom_판매추정!F13)</f>
        <v>302.75826666666666</v>
      </c>
      <c r="R520" s="320">
        <f>CHOOSE($F$520,$O520,AVERAGE($J520:$L520,$O520),Torecom_판매추정!G13)</f>
        <v>302.75826666666666</v>
      </c>
      <c r="S520" s="320">
        <f>CHOOSE($F$520,$O520,AVERAGE($J520:$L520,$O520),R520)</f>
        <v>302.75826666666666</v>
      </c>
      <c r="T520" s="320">
        <f>CHOOSE($F$518,$O520,AVERAGE($J520:$L520,$O520),S520)</f>
        <v>302.75826666666666</v>
      </c>
      <c r="U520" s="289"/>
      <c r="V520" s="110"/>
      <c r="W520" s="110">
        <v>1</v>
      </c>
      <c r="X520" s="110"/>
      <c r="Y520" s="110" t="str">
        <f t="shared" si="85"/>
        <v>Base</v>
      </c>
    </row>
    <row r="521" spans="2:25" ht="12" customHeight="1">
      <c r="B521" s="12" t="s">
        <v>6692</v>
      </c>
      <c r="C521" s="12"/>
      <c r="D521" s="12"/>
      <c r="E521" s="1950" t="s">
        <v>5213</v>
      </c>
      <c r="F521" s="3023">
        <v>1</v>
      </c>
      <c r="G521" s="1954" t="str">
        <f>VLOOKUP(F521,$C$526:$D$528,2,FALSE)</f>
        <v>현재 수준의 판매량 유지 가정</v>
      </c>
      <c r="H521" s="12"/>
      <c r="I521" s="12"/>
      <c r="J521" s="223">
        <f>Revenue!J135</f>
        <v>386.76641999999998</v>
      </c>
      <c r="K521" s="224">
        <f>Revenue!K135</f>
        <v>428.51927999999998</v>
      </c>
      <c r="L521" s="224">
        <f>Revenue!L135</f>
        <v>305.11879999999996</v>
      </c>
      <c r="M521" s="225">
        <f>Revenue!M135</f>
        <v>231.18619999999999</v>
      </c>
      <c r="N521" s="107">
        <f>O521-M521</f>
        <v>77.062066666666681</v>
      </c>
      <c r="O521" s="355">
        <f>CHOOSE($F$521,M521/3*4,M521/3*4,Torecom_판매추정!D16)</f>
        <v>308.24826666666667</v>
      </c>
      <c r="P521" s="355">
        <f>CHOOSE($F$521,$O521,AVERAGE($J521:$L521,$O521),Torecom_판매추정!E16)</f>
        <v>308.24826666666667</v>
      </c>
      <c r="Q521" s="355">
        <f>CHOOSE($F$521,$O521,AVERAGE($J521:$L521,$O521),Torecom_판매추정!F16)</f>
        <v>308.24826666666667</v>
      </c>
      <c r="R521" s="355">
        <f>CHOOSE($F$521,$O521,AVERAGE($J521:$L521,$O521),Torecom_판매추정!G16)</f>
        <v>308.24826666666667</v>
      </c>
      <c r="S521" s="355">
        <f>CHOOSE($F$521,$O521,AVERAGE($J521:$L521,$O521),R521)</f>
        <v>308.24826666666667</v>
      </c>
      <c r="T521" s="355">
        <f>CHOOSE($F$521,$O521,AVERAGE($J521:$L521,$O521),S521)</f>
        <v>308.24826666666667</v>
      </c>
      <c r="U521" s="289"/>
      <c r="V521" s="1950"/>
      <c r="W521" s="1950">
        <v>1</v>
      </c>
      <c r="X521" s="1950"/>
      <c r="Y521" s="1950" t="str">
        <f t="shared" si="85"/>
        <v>Base</v>
      </c>
    </row>
    <row r="522" spans="2:25" ht="12" customHeight="1">
      <c r="B522" s="1953" t="s">
        <v>351</v>
      </c>
      <c r="J522" s="2637"/>
      <c r="K522" s="2637"/>
      <c r="L522" s="2637"/>
      <c r="M522" s="2637"/>
      <c r="N522" s="2637"/>
      <c r="O522" s="2637"/>
      <c r="P522" s="2637"/>
      <c r="Q522" s="2637"/>
      <c r="R522" s="2637"/>
      <c r="S522" s="2637"/>
      <c r="T522" s="2637"/>
    </row>
    <row r="523" spans="2:25" ht="12" customHeight="1">
      <c r="B523" s="3" t="s">
        <v>6698</v>
      </c>
      <c r="J523" s="2637"/>
      <c r="K523" s="2637"/>
      <c r="L523" s="2637"/>
      <c r="M523" s="2637"/>
      <c r="N523" s="2637"/>
      <c r="O523" s="2637"/>
      <c r="P523" s="2637"/>
      <c r="Q523" s="2637"/>
      <c r="R523" s="2637"/>
      <c r="S523" s="2637"/>
      <c r="T523" s="2637"/>
    </row>
    <row r="524" spans="2:25" ht="12" customHeight="1">
      <c r="B524" s="3" t="s">
        <v>6699</v>
      </c>
      <c r="J524" s="2637"/>
      <c r="K524" s="2637"/>
      <c r="L524" s="2637"/>
      <c r="M524" s="2637"/>
      <c r="N524" s="2637"/>
      <c r="O524" s="2637"/>
      <c r="P524" s="2637"/>
      <c r="Q524" s="2637"/>
      <c r="R524" s="2637"/>
      <c r="S524" s="2637"/>
      <c r="T524" s="2637"/>
    </row>
    <row r="525" spans="2:25" ht="12" customHeight="1">
      <c r="C525" s="1950" t="s">
        <v>3464</v>
      </c>
      <c r="D525" s="1957" t="s">
        <v>3469</v>
      </c>
      <c r="E525" s="1957"/>
      <c r="F525" s="1957"/>
      <c r="G525" s="1957"/>
      <c r="H525" s="1957"/>
      <c r="I525" s="1957"/>
      <c r="J525" s="1957"/>
      <c r="K525" s="1957"/>
      <c r="L525" s="1957"/>
      <c r="M525" s="1957"/>
      <c r="N525" s="1957"/>
      <c r="O525" s="1957"/>
      <c r="P525" s="1957"/>
      <c r="Q525" s="1957"/>
      <c r="R525" s="1957"/>
      <c r="S525" s="1957"/>
      <c r="T525" s="1957"/>
    </row>
    <row r="526" spans="2:25" ht="12" customHeight="1">
      <c r="C526" s="1958">
        <v>1</v>
      </c>
      <c r="D526" s="302" t="s">
        <v>6506</v>
      </c>
      <c r="E526" s="302"/>
      <c r="F526" s="302"/>
      <c r="G526" s="302"/>
      <c r="H526" s="302"/>
      <c r="I526" s="302"/>
      <c r="J526" s="302"/>
      <c r="K526" s="302"/>
      <c r="L526" s="302"/>
      <c r="M526" s="302"/>
      <c r="N526" s="302"/>
      <c r="O526" s="302"/>
      <c r="P526" s="302"/>
      <c r="Q526" s="302"/>
      <c r="R526" s="302"/>
      <c r="S526" s="302"/>
      <c r="T526" s="302"/>
    </row>
    <row r="527" spans="2:25" ht="12" customHeight="1">
      <c r="C527" s="110">
        <v>2</v>
      </c>
      <c r="D527" s="3" t="s">
        <v>6507</v>
      </c>
    </row>
    <row r="528" spans="2:25" ht="12" customHeight="1">
      <c r="C528" s="1950">
        <v>3</v>
      </c>
      <c r="D528" s="12" t="s">
        <v>5609</v>
      </c>
      <c r="E528" s="12"/>
      <c r="F528" s="12"/>
      <c r="G528" s="12"/>
      <c r="H528" s="12"/>
      <c r="I528" s="12"/>
      <c r="J528" s="12"/>
      <c r="K528" s="12"/>
      <c r="L528" s="12"/>
      <c r="M528" s="12"/>
      <c r="N528" s="12"/>
      <c r="O528" s="12"/>
      <c r="P528" s="12"/>
      <c r="Q528" s="12"/>
      <c r="R528" s="12"/>
      <c r="S528" s="12"/>
      <c r="T528" s="12"/>
    </row>
    <row r="530" spans="1:25" ht="12" customHeight="1">
      <c r="B530" s="32" t="s">
        <v>6680</v>
      </c>
    </row>
    <row r="531" spans="1:25" ht="12" customHeight="1">
      <c r="B531" s="24"/>
      <c r="C531" s="24"/>
      <c r="D531" s="24"/>
      <c r="E531" s="24"/>
      <c r="F531" s="24"/>
      <c r="G531" s="24"/>
      <c r="H531" s="24"/>
      <c r="I531" s="24"/>
      <c r="J531" s="25" t="s">
        <v>23</v>
      </c>
      <c r="K531" s="26"/>
      <c r="L531" s="26"/>
      <c r="M531" s="27"/>
      <c r="N531" s="26" t="s">
        <v>24</v>
      </c>
      <c r="O531" s="26"/>
      <c r="P531" s="26"/>
      <c r="Q531" s="26"/>
      <c r="R531" s="26"/>
      <c r="S531" s="26"/>
      <c r="T531" s="26"/>
      <c r="V531" s="2041" t="s">
        <v>3650</v>
      </c>
      <c r="W531" s="2041"/>
      <c r="X531" s="2041"/>
      <c r="Y531" s="2041"/>
    </row>
    <row r="532" spans="1:25" ht="12" customHeight="1" thickBot="1">
      <c r="B532" s="28"/>
      <c r="C532" s="28"/>
      <c r="D532" s="28"/>
      <c r="E532" s="1949" t="s">
        <v>2889</v>
      </c>
      <c r="F532" s="1949" t="s">
        <v>3464</v>
      </c>
      <c r="G532" s="28"/>
      <c r="H532" s="28"/>
      <c r="I532" s="28"/>
      <c r="J532" s="29" t="s">
        <v>69</v>
      </c>
      <c r="K532" s="30" t="s">
        <v>27</v>
      </c>
      <c r="L532" s="30" t="s">
        <v>60</v>
      </c>
      <c r="M532" s="31" t="s">
        <v>5104</v>
      </c>
      <c r="N532" s="30" t="s">
        <v>5174</v>
      </c>
      <c r="O532" s="30" t="s">
        <v>70</v>
      </c>
      <c r="P532" s="30" t="s">
        <v>71</v>
      </c>
      <c r="Q532" s="30" t="s">
        <v>72</v>
      </c>
      <c r="R532" s="30" t="s">
        <v>73</v>
      </c>
      <c r="S532" s="30" t="s">
        <v>74</v>
      </c>
      <c r="T532" s="30" t="s">
        <v>5102</v>
      </c>
      <c r="V532" s="290" t="s">
        <v>3651</v>
      </c>
      <c r="W532" s="290" t="s">
        <v>3652</v>
      </c>
      <c r="X532" s="290" t="s">
        <v>3653</v>
      </c>
      <c r="Y532" s="290" t="s">
        <v>3740</v>
      </c>
    </row>
    <row r="533" spans="1:25" ht="12" customHeight="1">
      <c r="B533" s="3604" t="s">
        <v>6667</v>
      </c>
      <c r="C533" s="295"/>
      <c r="D533" s="295"/>
      <c r="E533" s="1960" t="s">
        <v>6679</v>
      </c>
      <c r="F533" s="3023">
        <v>1</v>
      </c>
      <c r="G533" s="1961" t="str">
        <f>VLOOKUP(F533,C536:D537,2,FALSE)</f>
        <v>CDD 추정치 준용(사업계획 수준 발생)</v>
      </c>
      <c r="H533" s="295"/>
      <c r="I533" s="295"/>
      <c r="J533" s="4335"/>
      <c r="K533" s="4335"/>
      <c r="L533" s="4335"/>
      <c r="M533" s="4335"/>
      <c r="N533" s="4335"/>
      <c r="O533" s="4335"/>
      <c r="P533" s="4335"/>
      <c r="Q533" s="295">
        <f>CHOOSE($F$533,CDD추정치!I$81,0)</f>
        <v>960.4</v>
      </c>
      <c r="R533" s="295">
        <f>CHOOSE($F$533,CDD추정치!J$81,0)</f>
        <v>1122.0999999999999</v>
      </c>
      <c r="S533" s="295">
        <f>CHOOSE($F$533,CDD추정치!K$81,0)</f>
        <v>1122.0999999999999</v>
      </c>
      <c r="T533" s="295">
        <f>CHOOSE($F$533,CDD추정치!L$81,0)</f>
        <v>1122.0999999999999</v>
      </c>
      <c r="V533" s="295"/>
      <c r="W533" s="1960">
        <v>1</v>
      </c>
      <c r="X533" s="1960">
        <v>2</v>
      </c>
      <c r="Y533" s="1960" t="str">
        <f>INDEX($V$77:$X$77,1,MATCH($F533,$V533:$X533,0))</f>
        <v>Base</v>
      </c>
    </row>
    <row r="534" spans="1:25" ht="12" customHeight="1">
      <c r="B534" s="1953"/>
      <c r="J534" s="2637"/>
      <c r="K534" s="2637"/>
      <c r="L534" s="2637"/>
      <c r="M534" s="2637"/>
      <c r="N534" s="2637"/>
      <c r="O534" s="2637"/>
      <c r="P534" s="2637"/>
      <c r="Q534" s="2637"/>
      <c r="R534" s="2637"/>
      <c r="S534" s="2637"/>
      <c r="T534" s="2637"/>
    </row>
    <row r="535" spans="1:25" ht="12" customHeight="1">
      <c r="C535" s="1950" t="s">
        <v>3464</v>
      </c>
      <c r="D535" s="1957" t="s">
        <v>3469</v>
      </c>
      <c r="E535" s="1957"/>
      <c r="F535" s="1957"/>
      <c r="G535" s="1957"/>
      <c r="H535" s="1957"/>
      <c r="I535" s="1957"/>
      <c r="J535" s="1957"/>
      <c r="K535" s="1957"/>
      <c r="L535" s="1957"/>
      <c r="M535" s="1957"/>
      <c r="N535" s="1957"/>
      <c r="O535" s="1957"/>
      <c r="P535" s="1957"/>
      <c r="Q535" s="1957"/>
      <c r="R535" s="1957"/>
      <c r="S535" s="1957"/>
      <c r="T535" s="1957"/>
    </row>
    <row r="536" spans="1:25" ht="12" customHeight="1">
      <c r="C536" s="1958">
        <v>1</v>
      </c>
      <c r="D536" s="302" t="s">
        <v>6732</v>
      </c>
      <c r="E536" s="302"/>
      <c r="F536" s="302"/>
      <c r="G536" s="302"/>
      <c r="H536" s="302"/>
      <c r="I536" s="302"/>
      <c r="J536" s="302"/>
      <c r="K536" s="302"/>
      <c r="L536" s="302"/>
      <c r="M536" s="302"/>
      <c r="N536" s="302"/>
      <c r="O536" s="302"/>
      <c r="P536" s="302"/>
      <c r="Q536" s="302"/>
      <c r="R536" s="302"/>
      <c r="S536" s="302"/>
      <c r="T536" s="302"/>
    </row>
    <row r="537" spans="1:25" ht="12" customHeight="1">
      <c r="C537" s="1950">
        <v>2</v>
      </c>
      <c r="D537" s="12" t="s">
        <v>6733</v>
      </c>
      <c r="E537" s="12"/>
      <c r="F537" s="12"/>
      <c r="G537" s="12"/>
      <c r="H537" s="12"/>
      <c r="I537" s="12"/>
      <c r="J537" s="12"/>
      <c r="K537" s="12"/>
      <c r="L537" s="12"/>
      <c r="M537" s="12"/>
      <c r="N537" s="12"/>
      <c r="O537" s="12"/>
      <c r="P537" s="12"/>
      <c r="Q537" s="12"/>
      <c r="R537" s="12"/>
      <c r="S537" s="12"/>
      <c r="T537" s="12"/>
    </row>
    <row r="539" spans="1:25" ht="12" customHeight="1">
      <c r="A539" s="1965"/>
      <c r="B539" s="1965"/>
      <c r="C539" s="1964" t="s">
        <v>6657</v>
      </c>
      <c r="D539" s="1965"/>
      <c r="E539" s="1965"/>
      <c r="F539" s="1965"/>
      <c r="G539" s="1965"/>
      <c r="H539" s="1965"/>
      <c r="I539" s="1965"/>
      <c r="J539" s="1965"/>
      <c r="K539" s="1965"/>
      <c r="L539" s="1965"/>
      <c r="M539" s="1965"/>
      <c r="N539" s="1965"/>
      <c r="O539" s="1965"/>
      <c r="P539" s="1965"/>
      <c r="Q539" s="1965"/>
      <c r="R539" s="1965"/>
      <c r="S539" s="1965"/>
      <c r="T539" s="1965"/>
      <c r="U539" s="1965"/>
      <c r="V539" s="1965"/>
      <c r="W539" s="1965"/>
      <c r="X539" s="1965"/>
      <c r="Y539" s="1965"/>
    </row>
    <row r="541" spans="1:25" ht="12" customHeight="1">
      <c r="B541" s="203" t="s">
        <v>1282</v>
      </c>
      <c r="C541" s="203"/>
    </row>
    <row r="542" spans="1:25" ht="12" customHeight="1">
      <c r="B542" s="24"/>
      <c r="C542" s="24"/>
      <c r="D542" s="24"/>
      <c r="E542" s="24"/>
      <c r="F542" s="24"/>
      <c r="G542" s="24"/>
      <c r="H542" s="24"/>
      <c r="I542" s="24"/>
      <c r="J542" s="25" t="s">
        <v>23</v>
      </c>
      <c r="K542" s="26"/>
      <c r="L542" s="26"/>
      <c r="M542" s="27"/>
      <c r="N542" s="26" t="s">
        <v>24</v>
      </c>
      <c r="O542" s="26"/>
      <c r="P542" s="26"/>
      <c r="Q542" s="26"/>
      <c r="R542" s="26"/>
      <c r="S542" s="26"/>
      <c r="T542" s="26"/>
      <c r="V542" s="2041" t="s">
        <v>3650</v>
      </c>
      <c r="W542" s="2041"/>
      <c r="X542" s="2041"/>
      <c r="Y542" s="2041"/>
    </row>
    <row r="543" spans="1:25" ht="12" customHeight="1" thickBot="1">
      <c r="B543" s="28"/>
      <c r="C543" s="28"/>
      <c r="D543" s="28"/>
      <c r="E543" s="1949" t="s">
        <v>2889</v>
      </c>
      <c r="F543" s="1949" t="s">
        <v>3464</v>
      </c>
      <c r="G543" s="28"/>
      <c r="H543" s="28"/>
      <c r="I543" s="28"/>
      <c r="J543" s="29" t="s">
        <v>69</v>
      </c>
      <c r="K543" s="30" t="s">
        <v>27</v>
      </c>
      <c r="L543" s="30" t="s">
        <v>60</v>
      </c>
      <c r="M543" s="31" t="s">
        <v>5104</v>
      </c>
      <c r="N543" s="30" t="s">
        <v>5174</v>
      </c>
      <c r="O543" s="30" t="s">
        <v>70</v>
      </c>
      <c r="P543" s="30" t="s">
        <v>71</v>
      </c>
      <c r="Q543" s="30" t="s">
        <v>72</v>
      </c>
      <c r="R543" s="30" t="s">
        <v>73</v>
      </c>
      <c r="S543" s="30" t="s">
        <v>74</v>
      </c>
      <c r="T543" s="30" t="s">
        <v>5175</v>
      </c>
      <c r="V543" s="290" t="s">
        <v>3651</v>
      </c>
      <c r="W543" s="290" t="s">
        <v>3652</v>
      </c>
      <c r="X543" s="290" t="s">
        <v>3653</v>
      </c>
      <c r="Y543" s="290" t="s">
        <v>3740</v>
      </c>
    </row>
    <row r="544" spans="1:25" ht="12" customHeight="1" thickBot="1">
      <c r="B544" s="3" t="s">
        <v>3238</v>
      </c>
      <c r="E544" s="110" t="s">
        <v>3528</v>
      </c>
      <c r="F544" s="291">
        <v>2</v>
      </c>
      <c r="G544" s="289" t="str">
        <f t="shared" ref="G544:G546" si="86">VLOOKUP(F544,$C$551:$D$553,2,FALSE)</f>
        <v>CDD 추정치 준용</v>
      </c>
      <c r="J544" s="220">
        <f>Revenue!J166</f>
        <v>206730.24632599999</v>
      </c>
      <c r="K544" s="1119">
        <f>Revenue!K166</f>
        <v>218428.86077999999</v>
      </c>
      <c r="L544" s="1119">
        <f>Revenue!L166</f>
        <v>241137.59458800001</v>
      </c>
      <c r="M544" s="2495">
        <f>Revenue!M166</f>
        <v>229834.826179</v>
      </c>
      <c r="N544" s="105">
        <f>CHOOSE($F544,$M544/3,HLOOKUP(N$543,CDD추정치!$E$72:$L$76,MATCH($B544,CDD추정치!$C$72:$C$76,0),0),$M544/3)</f>
        <v>90565.173821000004</v>
      </c>
      <c r="O544" s="1122">
        <f t="shared" ref="O544:O546" si="87">SUM(M544:N544)</f>
        <v>320400</v>
      </c>
      <c r="P544" s="1122">
        <f>CHOOSE($F$544,$O$544,HLOOKUP(P$543,CDD추정치!$E$72:$L$76,MATCH($B544,CDD추정치!$C$72:$C$76,0),0),종속회사BP_New!E4*100)</f>
        <v>302200</v>
      </c>
      <c r="Q544" s="1122">
        <f>CHOOSE($F$544,$O$544,HLOOKUP(Q$543,CDD추정치!$E$72:$L$76,MATCH($B544,CDD추정치!$C$72:$C$76,0),0),종속회사BP_New!F4*100)</f>
        <v>323200</v>
      </c>
      <c r="R544" s="1122">
        <f>CHOOSE($F$544,$O$544,HLOOKUP(R$543,CDD추정치!$E$72:$L$76,MATCH($B544,CDD추정치!$C$72:$C$76,0),0),종속회사BP_New!G4*100)</f>
        <v>304900</v>
      </c>
      <c r="S544" s="1122">
        <f>CHOOSE($F$544,$O$544,HLOOKUP(S$543,CDD추정치!$E$72:$L$76,MATCH($B544,CDD추정치!$C$72:$C$76,0),0),$R544)</f>
        <v>323200</v>
      </c>
      <c r="T544" s="1122">
        <f>CHOOSE($F$544,$O$544,HLOOKUP(T$543,CDD추정치!$E$72:$L$76,MATCH($B544,CDD추정치!$C$72:$C$76,0),0),$R544)</f>
        <v>304900</v>
      </c>
      <c r="U544" s="289"/>
      <c r="V544" s="110"/>
      <c r="W544" s="110">
        <v>2</v>
      </c>
      <c r="X544" s="110"/>
      <c r="Y544" s="110" t="str">
        <f>INDEX($V$543:$X$543,1,MATCH($F544,$V544:$X544,0))</f>
        <v>Base</v>
      </c>
    </row>
    <row r="545" spans="2:25" ht="12" customHeight="1" thickBot="1">
      <c r="B545" s="3" t="s">
        <v>1481</v>
      </c>
      <c r="E545" s="110" t="s">
        <v>3528</v>
      </c>
      <c r="F545" s="291">
        <v>2</v>
      </c>
      <c r="G545" s="289" t="str">
        <f t="shared" si="86"/>
        <v>CDD 추정치 준용</v>
      </c>
      <c r="J545" s="220">
        <f>Revenue!J168</f>
        <v>27468.885761000001</v>
      </c>
      <c r="K545" s="1119">
        <f>Revenue!K168</f>
        <v>47317.186511</v>
      </c>
      <c r="L545" s="1119">
        <f>Revenue!L168</f>
        <v>39738.078680999999</v>
      </c>
      <c r="M545" s="2495">
        <f>Revenue!M168</f>
        <v>48552.445700999997</v>
      </c>
      <c r="N545" s="105">
        <f>CHOOSE($F545,$M545/3,HLOOKUP(N$543,CDD추정치!$E$72:$L$76,MATCH($B545,CDD추정치!$C$72:$C$76,0),0),$M545/3)</f>
        <v>18247.554299000003</v>
      </c>
      <c r="O545" s="1122">
        <f t="shared" si="87"/>
        <v>66800</v>
      </c>
      <c r="P545" s="1122">
        <f>CHOOSE($F$545,$O$545,HLOOKUP(P$543,CDD추정치!$E$72:$L$76,MATCH($B545,CDD추정치!$C$72:$C$76,0),0),종속회사BP_New!E6*100)</f>
        <v>50900</v>
      </c>
      <c r="Q545" s="1122">
        <f>CHOOSE($F$545,$O$545,HLOOKUP(Q$543,CDD추정치!$E$72:$L$76,MATCH($B545,CDD추정치!$C$72:$C$76,0),0),종속회사BP_New!F6*100)</f>
        <v>41000</v>
      </c>
      <c r="R545" s="1122">
        <f>CHOOSE($F$545,$O$545,HLOOKUP(R$543,CDD추정치!$E$72:$L$76,MATCH($B545,CDD추정치!$C$72:$C$76,0),0),종속회사BP_New!G6*100)</f>
        <v>41900</v>
      </c>
      <c r="S545" s="1122">
        <f>CHOOSE($F$544,$O$545,HLOOKUP(S$543,CDD추정치!$E$72:$L$76,MATCH($B545,CDD추정치!$C$72:$C$76,0),0),$R545)</f>
        <v>41900</v>
      </c>
      <c r="T545" s="1122">
        <f>CHOOSE($F$544,$O$545,HLOOKUP(T$543,CDD추정치!$E$72:$L$76,MATCH($B545,CDD추정치!$C$72:$C$76,0),0),$R545)</f>
        <v>41900</v>
      </c>
      <c r="U545" s="289"/>
      <c r="V545" s="110"/>
      <c r="W545" s="110">
        <v>2</v>
      </c>
      <c r="X545" s="110"/>
      <c r="Y545" s="110" t="str">
        <f>INDEX($V$543:$X$543,1,MATCH($F545,$V545:$X545,0))</f>
        <v>Base</v>
      </c>
    </row>
    <row r="546" spans="2:25" ht="12" customHeight="1" thickBot="1">
      <c r="B546" s="12" t="s">
        <v>1560</v>
      </c>
      <c r="C546" s="12"/>
      <c r="D546" s="12"/>
      <c r="E546" s="1950" t="s">
        <v>3528</v>
      </c>
      <c r="F546" s="291">
        <v>2</v>
      </c>
      <c r="G546" s="1954" t="str">
        <f t="shared" si="86"/>
        <v>CDD 추정치 준용</v>
      </c>
      <c r="H546" s="12"/>
      <c r="I546" s="303"/>
      <c r="J546" s="223">
        <f>Revenue!J170</f>
        <v>14945.153695999999</v>
      </c>
      <c r="K546" s="1120">
        <f>Revenue!K170</f>
        <v>10163.775382</v>
      </c>
      <c r="L546" s="1120">
        <f>Revenue!L170</f>
        <v>8487.5723560000006</v>
      </c>
      <c r="M546" s="2496">
        <f>Revenue!M170</f>
        <v>7381.7472749999997</v>
      </c>
      <c r="N546" s="107">
        <f>CHOOSE($F546,$M546/3,HLOOKUP(N$543,CDD추정치!$E$72:$L$76,MATCH($B546,CDD추정치!$C$72:$C$76,0),0),$M546/3)</f>
        <v>3118.2527250000003</v>
      </c>
      <c r="O546" s="1972">
        <f t="shared" si="87"/>
        <v>10500</v>
      </c>
      <c r="P546" s="1972">
        <f>CHOOSE($F$546,$O$546,HLOOKUP(P$543,CDD추정치!$E$72:$L$76,MATCH($B546,CDD추정치!$C$72:$C$76,0),0),종속회사BP_New!E7*100)</f>
        <v>14700</v>
      </c>
      <c r="Q546" s="1972">
        <f>CHOOSE($F$546,$O$546,HLOOKUP(Q$543,CDD추정치!$E$72:$L$76,MATCH($B546,CDD추정치!$C$72:$C$76,0),0),종속회사BP_New!F7*100)</f>
        <v>13800</v>
      </c>
      <c r="R546" s="1972">
        <f>CHOOSE($F$546,$O$546,HLOOKUP(R$543,CDD추정치!$E$72:$L$76,MATCH($B546,CDD추정치!$C$72:$C$76,0),0),종속회사BP_New!G7*100)</f>
        <v>14400</v>
      </c>
      <c r="S546" s="1972">
        <f>CHOOSE($F$544,$O$546,HLOOKUP(S$543,CDD추정치!$E$72:$L$76,MATCH($B546,CDD추정치!$C$72:$C$76,0),0),$R546)</f>
        <v>14400</v>
      </c>
      <c r="T546" s="1972">
        <f>CHOOSE($F$544,$O$546,HLOOKUP(T$543,CDD추정치!$E$72:$L$76,MATCH($B546,CDD추정치!$C$72:$C$76,0),0),$R546)</f>
        <v>14400</v>
      </c>
      <c r="U546" s="289"/>
      <c r="V546" s="1950"/>
      <c r="W546" s="1950">
        <v>2</v>
      </c>
      <c r="X546" s="1950"/>
      <c r="Y546" s="1950" t="str">
        <f>INDEX($V$543:$X$543,1,MATCH($F546,$V546:$X546,0))</f>
        <v>Base</v>
      </c>
    </row>
    <row r="547" spans="2:25" ht="12" customHeight="1">
      <c r="B547" s="1953" t="s">
        <v>351</v>
      </c>
      <c r="J547" s="221"/>
      <c r="K547" s="221"/>
      <c r="L547" s="221"/>
      <c r="M547" s="221"/>
      <c r="N547" s="105"/>
      <c r="O547" s="105"/>
      <c r="P547" s="105"/>
      <c r="Q547" s="105"/>
      <c r="R547" s="105"/>
      <c r="S547" s="105"/>
      <c r="T547" s="105"/>
    </row>
    <row r="548" spans="2:25" ht="12" customHeight="1">
      <c r="B548" s="3" t="s">
        <v>3526</v>
      </c>
      <c r="J548" s="221"/>
      <c r="K548" s="221"/>
      <c r="L548" s="221"/>
      <c r="M548" s="221"/>
      <c r="N548" s="105"/>
      <c r="O548" s="105"/>
      <c r="P548" s="105"/>
      <c r="Q548" s="105"/>
      <c r="R548" s="105"/>
      <c r="S548" s="105"/>
      <c r="T548" s="105"/>
    </row>
    <row r="549" spans="2:25" ht="12" customHeight="1">
      <c r="B549" s="3" t="s">
        <v>3499</v>
      </c>
      <c r="J549" s="221"/>
      <c r="K549" s="221"/>
      <c r="L549" s="221"/>
      <c r="M549" s="221"/>
      <c r="N549" s="105"/>
      <c r="O549" s="105"/>
      <c r="P549" s="105"/>
      <c r="Q549" s="105"/>
      <c r="R549" s="105"/>
      <c r="S549" s="105"/>
      <c r="T549" s="105"/>
    </row>
    <row r="550" spans="2:25" ht="12" customHeight="1">
      <c r="C550" s="1950" t="s">
        <v>3464</v>
      </c>
      <c r="D550" s="1957" t="s">
        <v>3469</v>
      </c>
      <c r="E550" s="1957"/>
      <c r="F550" s="1957"/>
      <c r="G550" s="1957"/>
      <c r="H550" s="1957"/>
      <c r="I550" s="1957"/>
      <c r="J550" s="1957"/>
      <c r="K550" s="1957"/>
      <c r="L550" s="1957"/>
      <c r="M550" s="1957"/>
      <c r="N550" s="1957"/>
      <c r="O550" s="1957"/>
      <c r="P550" s="1957"/>
      <c r="Q550" s="1957"/>
      <c r="R550" s="1957"/>
      <c r="S550" s="1957"/>
      <c r="T550" s="1957"/>
    </row>
    <row r="551" spans="2:25" ht="12" customHeight="1">
      <c r="C551" s="1958">
        <v>1</v>
      </c>
      <c r="D551" s="302" t="s">
        <v>3527</v>
      </c>
      <c r="E551" s="302"/>
      <c r="F551" s="302"/>
      <c r="G551" s="302"/>
      <c r="H551" s="302"/>
      <c r="I551" s="302"/>
      <c r="J551" s="302"/>
      <c r="K551" s="302"/>
      <c r="L551" s="302"/>
      <c r="M551" s="302"/>
      <c r="N551" s="302"/>
      <c r="O551" s="302"/>
      <c r="P551" s="302"/>
      <c r="Q551" s="302"/>
      <c r="R551" s="302"/>
      <c r="S551" s="302"/>
      <c r="T551" s="302"/>
    </row>
    <row r="552" spans="2:25" ht="12" customHeight="1">
      <c r="C552" s="110">
        <v>2</v>
      </c>
      <c r="D552" s="3" t="s">
        <v>5176</v>
      </c>
    </row>
    <row r="553" spans="2:25" ht="12" customHeight="1">
      <c r="C553" s="1950">
        <v>3</v>
      </c>
      <c r="D553" s="12" t="s">
        <v>6442</v>
      </c>
      <c r="E553" s="12"/>
      <c r="F553" s="12"/>
      <c r="G553" s="12"/>
      <c r="H553" s="12"/>
      <c r="I553" s="12"/>
      <c r="J553" s="12"/>
      <c r="K553" s="12"/>
      <c r="L553" s="12"/>
      <c r="M553" s="12"/>
      <c r="N553" s="12"/>
      <c r="O553" s="12"/>
      <c r="P553" s="12"/>
      <c r="Q553" s="12"/>
      <c r="R553" s="12"/>
      <c r="S553" s="12"/>
      <c r="T553" s="12"/>
    </row>
    <row r="555" spans="2:25" ht="12" customHeight="1">
      <c r="B555" s="203" t="s">
        <v>3239</v>
      </c>
      <c r="C555" s="203"/>
    </row>
    <row r="556" spans="2:25" ht="12" customHeight="1">
      <c r="B556" s="24"/>
      <c r="C556" s="24"/>
      <c r="D556" s="24"/>
      <c r="E556" s="24"/>
      <c r="F556" s="24"/>
      <c r="G556" s="24"/>
      <c r="H556" s="24"/>
      <c r="I556" s="24"/>
      <c r="J556" s="25" t="s">
        <v>23</v>
      </c>
      <c r="K556" s="26"/>
      <c r="L556" s="26"/>
      <c r="M556" s="27"/>
      <c r="N556" s="26" t="s">
        <v>24</v>
      </c>
      <c r="O556" s="26"/>
      <c r="P556" s="26"/>
      <c r="Q556" s="26"/>
      <c r="R556" s="26"/>
      <c r="S556" s="26"/>
      <c r="T556" s="26"/>
      <c r="V556" s="2041" t="s">
        <v>3650</v>
      </c>
      <c r="W556" s="2041"/>
      <c r="X556" s="2041"/>
      <c r="Y556" s="2041"/>
    </row>
    <row r="557" spans="2:25" ht="12" customHeight="1" thickBot="1">
      <c r="B557" s="28"/>
      <c r="C557" s="28"/>
      <c r="D557" s="28"/>
      <c r="E557" s="1949" t="s">
        <v>2889</v>
      </c>
      <c r="F557" s="1949" t="s">
        <v>3464</v>
      </c>
      <c r="G557" s="28"/>
      <c r="H557" s="28"/>
      <c r="I557" s="28"/>
      <c r="J557" s="29" t="s">
        <v>69</v>
      </c>
      <c r="K557" s="30" t="s">
        <v>27</v>
      </c>
      <c r="L557" s="30" t="s">
        <v>60</v>
      </c>
      <c r="M557" s="31" t="s">
        <v>5104</v>
      </c>
      <c r="N557" s="30" t="s">
        <v>5174</v>
      </c>
      <c r="O557" s="30" t="s">
        <v>70</v>
      </c>
      <c r="P557" s="30" t="s">
        <v>71</v>
      </c>
      <c r="Q557" s="30" t="s">
        <v>72</v>
      </c>
      <c r="R557" s="30" t="s">
        <v>73</v>
      </c>
      <c r="S557" s="30" t="s">
        <v>74</v>
      </c>
      <c r="T557" s="30" t="s">
        <v>5175</v>
      </c>
      <c r="V557" s="290" t="s">
        <v>3651</v>
      </c>
      <c r="W557" s="290" t="s">
        <v>3652</v>
      </c>
      <c r="X557" s="290" t="s">
        <v>3653</v>
      </c>
      <c r="Y557" s="290" t="s">
        <v>3740</v>
      </c>
    </row>
    <row r="558" spans="2:25" ht="12" customHeight="1" thickBot="1">
      <c r="B558" s="1938" t="s">
        <v>1505</v>
      </c>
      <c r="C558" s="1938"/>
      <c r="E558" s="110" t="s">
        <v>2702</v>
      </c>
      <c r="F558" s="291">
        <v>2</v>
      </c>
      <c r="G558" s="289" t="str">
        <f>VLOOKUP(F558,$C$569:$D$570,2,FALSE)</f>
        <v>2021 4Q는 2021 9개월 수준 유지 및 2022년 이후 과거 평균 수준의 비율 유지 가정</v>
      </c>
      <c r="J558" s="1913">
        <f>Revenue!J182</f>
        <v>8.8206637466938377E-4</v>
      </c>
      <c r="K558" s="405">
        <f>Revenue!K182</f>
        <v>1.0093447583605221E-3</v>
      </c>
      <c r="L558" s="405">
        <f>Revenue!L182</f>
        <v>2.1356242764171106E-4</v>
      </c>
      <c r="M558" s="2498">
        <f>Revenue!M182</f>
        <v>2.1813655039082996E-4</v>
      </c>
      <c r="N558" s="399">
        <f t="shared" ref="N558:N561" si="88">M558</f>
        <v>2.1813655039082996E-4</v>
      </c>
      <c r="O558" s="399">
        <f t="shared" ref="O558:O561" si="89">N558</f>
        <v>2.1813655039082996E-4</v>
      </c>
      <c r="P558" s="399">
        <f t="shared" ref="P558:P561" si="90">CHOOSE($F558,$M558,AVERAGE($J558:$K558,$L558:$M558))</f>
        <v>5.8077752776561169E-4</v>
      </c>
      <c r="Q558" s="399">
        <f t="shared" ref="Q558:T561" si="91">CHOOSE($F558,$M558,AVERAGE($J558:$K558,$L558:$M558))</f>
        <v>5.8077752776561169E-4</v>
      </c>
      <c r="R558" s="399">
        <f t="shared" si="91"/>
        <v>5.8077752776561169E-4</v>
      </c>
      <c r="S558" s="399">
        <f t="shared" si="91"/>
        <v>5.8077752776561169E-4</v>
      </c>
      <c r="T558" s="399">
        <f t="shared" si="91"/>
        <v>5.8077752776561169E-4</v>
      </c>
      <c r="U558" s="289"/>
      <c r="V558" s="110"/>
      <c r="W558" s="110">
        <v>2</v>
      </c>
      <c r="X558" s="110"/>
      <c r="Y558" s="110" t="str">
        <f>INDEX($V$557:$X$557,1,MATCH($F558,$V558:$X558,0))</f>
        <v>Base</v>
      </c>
    </row>
    <row r="559" spans="2:25" ht="12" customHeight="1" thickBot="1">
      <c r="B559" s="1938" t="s">
        <v>1506</v>
      </c>
      <c r="C559" s="1938"/>
      <c r="E559" s="110" t="s">
        <v>2702</v>
      </c>
      <c r="F559" s="291">
        <v>2</v>
      </c>
      <c r="G559" s="289" t="str">
        <f t="shared" ref="G559:G561" si="92">VLOOKUP(F559,$C$569:$D$570,2,FALSE)</f>
        <v>2021 4Q는 2021 9개월 수준 유지 및 2022년 이후 과거 평균 수준의 비율 유지 가정</v>
      </c>
      <c r="J559" s="1913">
        <f>Revenue!J184</f>
        <v>0.99975172319042738</v>
      </c>
      <c r="K559" s="405">
        <f>Revenue!K184</f>
        <v>0.99711075369002811</v>
      </c>
      <c r="L559" s="405">
        <f>Revenue!L184</f>
        <v>0.99869248679975142</v>
      </c>
      <c r="M559" s="2498">
        <f>Revenue!M184</f>
        <v>0.99889745351819459</v>
      </c>
      <c r="N559" s="399">
        <f t="shared" si="88"/>
        <v>0.99889745351819459</v>
      </c>
      <c r="O559" s="399">
        <f t="shared" si="89"/>
        <v>0.99889745351819459</v>
      </c>
      <c r="P559" s="399">
        <f t="shared" si="90"/>
        <v>0.99861310429960037</v>
      </c>
      <c r="Q559" s="399">
        <f t="shared" si="91"/>
        <v>0.99861310429960037</v>
      </c>
      <c r="R559" s="399">
        <f t="shared" si="91"/>
        <v>0.99861310429960037</v>
      </c>
      <c r="S559" s="399">
        <f t="shared" si="91"/>
        <v>0.99861310429960037</v>
      </c>
      <c r="T559" s="399">
        <f t="shared" si="91"/>
        <v>0.99861310429960037</v>
      </c>
      <c r="U559" s="289"/>
      <c r="V559" s="110"/>
      <c r="W559" s="110">
        <v>2</v>
      </c>
      <c r="X559" s="110"/>
      <c r="Y559" s="110" t="str">
        <f>INDEX($V$557:$X$557,1,MATCH($F559,$V559:$X559,0))</f>
        <v>Base</v>
      </c>
    </row>
    <row r="560" spans="2:25" ht="12" customHeight="1" thickBot="1">
      <c r="B560" s="1938" t="s">
        <v>1507</v>
      </c>
      <c r="C560" s="1938"/>
      <c r="E560" s="110" t="s">
        <v>2702</v>
      </c>
      <c r="F560" s="291">
        <v>2</v>
      </c>
      <c r="G560" s="289" t="str">
        <f t="shared" si="92"/>
        <v>2021 4Q는 2021 9개월 수준 유지 및 2022년 이후 과거 평균 수준의 비율 유지 가정</v>
      </c>
      <c r="J560" s="1913">
        <f>Revenue!J186</f>
        <v>0.95880008490891189</v>
      </c>
      <c r="K560" s="405">
        <f>Revenue!K186</f>
        <v>0.96902752215287991</v>
      </c>
      <c r="L560" s="405">
        <f>Revenue!L186</f>
        <v>0.9664339916454554</v>
      </c>
      <c r="M560" s="2498">
        <f>Revenue!M186</f>
        <v>0.9674005528630375</v>
      </c>
      <c r="N560" s="399">
        <f t="shared" si="88"/>
        <v>0.9674005528630375</v>
      </c>
      <c r="O560" s="399">
        <f t="shared" si="89"/>
        <v>0.9674005528630375</v>
      </c>
      <c r="P560" s="399">
        <f t="shared" si="90"/>
        <v>0.96541553789257117</v>
      </c>
      <c r="Q560" s="399">
        <f t="shared" si="91"/>
        <v>0.96541553789257117</v>
      </c>
      <c r="R560" s="399">
        <f t="shared" si="91"/>
        <v>0.96541553789257117</v>
      </c>
      <c r="S560" s="399">
        <f t="shared" si="91"/>
        <v>0.96541553789257117</v>
      </c>
      <c r="T560" s="399">
        <f t="shared" si="91"/>
        <v>0.96541553789257117</v>
      </c>
      <c r="U560" s="289"/>
      <c r="V560" s="110"/>
      <c r="W560" s="110">
        <v>2</v>
      </c>
      <c r="X560" s="110"/>
      <c r="Y560" s="110" t="str">
        <f>INDEX($V$557:$X$557,1,MATCH($F560,$V560:$X560,0))</f>
        <v>Base</v>
      </c>
    </row>
    <row r="561" spans="1:25" ht="12" customHeight="1" thickBot="1">
      <c r="B561" s="1938" t="s">
        <v>1561</v>
      </c>
      <c r="C561" s="1938"/>
      <c r="E561" s="110" t="s">
        <v>2702</v>
      </c>
      <c r="F561" s="291">
        <v>2</v>
      </c>
      <c r="G561" s="289" t="str">
        <f t="shared" si="92"/>
        <v>2021 4Q는 2021 9개월 수준 유지 및 2022년 이후 과거 평균 수준의 비율 유지 가정</v>
      </c>
      <c r="J561" s="1913">
        <f>Revenue!J188</f>
        <v>0.70576711451439067</v>
      </c>
      <c r="K561" s="405">
        <f>Revenue!K188</f>
        <v>0.61511994952900662</v>
      </c>
      <c r="L561" s="405">
        <f>Revenue!L188</f>
        <v>0.76222949609691659</v>
      </c>
      <c r="M561" s="2498">
        <f>Revenue!M188</f>
        <v>0.75129356348765008</v>
      </c>
      <c r="N561" s="399">
        <f t="shared" si="88"/>
        <v>0.75129356348765008</v>
      </c>
      <c r="O561" s="399">
        <f t="shared" si="89"/>
        <v>0.75129356348765008</v>
      </c>
      <c r="P561" s="399">
        <f t="shared" si="90"/>
        <v>0.70860253090699099</v>
      </c>
      <c r="Q561" s="399">
        <f t="shared" si="91"/>
        <v>0.70860253090699099</v>
      </c>
      <c r="R561" s="399">
        <f t="shared" si="91"/>
        <v>0.70860253090699099</v>
      </c>
      <c r="S561" s="399">
        <f t="shared" si="91"/>
        <v>0.70860253090699099</v>
      </c>
      <c r="T561" s="399">
        <f t="shared" si="91"/>
        <v>0.70860253090699099</v>
      </c>
      <c r="U561" s="289"/>
      <c r="V561" s="1950"/>
      <c r="W561" s="1950">
        <v>2</v>
      </c>
      <c r="X561" s="1950"/>
      <c r="Y561" s="1950" t="str">
        <f>INDEX($V$557:$X$557,1,MATCH($F561,$V561:$X561,0))</f>
        <v>Base</v>
      </c>
    </row>
    <row r="562" spans="1:25" ht="12" customHeight="1">
      <c r="B562" s="1939" t="s">
        <v>3450</v>
      </c>
      <c r="C562" s="1939"/>
      <c r="D562" s="12"/>
      <c r="E562" s="1950" t="s">
        <v>3529</v>
      </c>
      <c r="F562" s="12"/>
      <c r="G562" s="1954" t="s">
        <v>3530</v>
      </c>
      <c r="H562" s="12"/>
      <c r="I562" s="12"/>
      <c r="J562" s="223">
        <f>Revenue!J189</f>
        <v>1090.9782109983989</v>
      </c>
      <c r="K562" s="1942">
        <f>Revenue!K189</f>
        <v>984.33192500094356</v>
      </c>
      <c r="L562" s="2501">
        <f>Revenue!L189</f>
        <v>33.944700001312412</v>
      </c>
      <c r="M562" s="2499">
        <f>Revenue!M189</f>
        <v>4.2564352042973042E-10</v>
      </c>
      <c r="N562" s="1940">
        <v>0</v>
      </c>
      <c r="O562" s="4354">
        <f>N562+M562</f>
        <v>4.2564352042973042E-10</v>
      </c>
      <c r="P562" s="1940">
        <v>0</v>
      </c>
      <c r="Q562" s="1940">
        <v>0</v>
      </c>
      <c r="R562" s="1940">
        <v>0</v>
      </c>
      <c r="S562" s="1940">
        <v>0</v>
      </c>
      <c r="T562" s="1940">
        <v>0</v>
      </c>
      <c r="U562" s="289"/>
    </row>
    <row r="563" spans="1:25" ht="12" customHeight="1">
      <c r="B563" s="1953" t="s">
        <v>351</v>
      </c>
      <c r="J563" s="221"/>
      <c r="K563" s="221"/>
      <c r="L563" s="221"/>
      <c r="M563" s="221"/>
      <c r="N563" s="105"/>
      <c r="O563" s="105"/>
      <c r="P563" s="105"/>
      <c r="Q563" s="105"/>
      <c r="R563" s="105"/>
      <c r="S563" s="105"/>
      <c r="T563" s="105"/>
    </row>
    <row r="564" spans="1:25" ht="12" customHeight="1">
      <c r="B564" s="3" t="s">
        <v>3465</v>
      </c>
      <c r="J564" s="221"/>
      <c r="K564" s="221"/>
      <c r="L564" s="221"/>
      <c r="M564" s="221"/>
      <c r="N564" s="105"/>
      <c r="O564" s="105"/>
      <c r="P564" s="105"/>
      <c r="Q564" s="105"/>
      <c r="R564" s="105"/>
      <c r="S564" s="105"/>
      <c r="T564" s="105"/>
    </row>
    <row r="565" spans="1:25" ht="12" customHeight="1">
      <c r="C565" s="1956" t="s">
        <v>3531</v>
      </c>
      <c r="J565" s="221"/>
      <c r="K565" s="221"/>
      <c r="L565" s="221"/>
      <c r="M565" s="221"/>
      <c r="N565" s="105"/>
      <c r="O565" s="105"/>
      <c r="P565" s="105"/>
      <c r="Q565" s="105"/>
      <c r="R565" s="105"/>
      <c r="S565" s="105"/>
      <c r="T565" s="105"/>
    </row>
    <row r="566" spans="1:25" ht="12" customHeight="1">
      <c r="C566" s="1956" t="s">
        <v>3532</v>
      </c>
      <c r="J566" s="221"/>
      <c r="K566" s="221"/>
      <c r="L566" s="221"/>
      <c r="M566" s="221"/>
      <c r="N566" s="105"/>
      <c r="O566" s="105"/>
      <c r="P566" s="105"/>
      <c r="Q566" s="105"/>
      <c r="R566" s="105"/>
      <c r="S566" s="105"/>
      <c r="T566" s="105"/>
    </row>
    <row r="567" spans="1:25" ht="12" customHeight="1">
      <c r="B567" s="3" t="s">
        <v>3499</v>
      </c>
      <c r="J567" s="221"/>
      <c r="K567" s="221"/>
      <c r="L567" s="221"/>
      <c r="M567" s="221"/>
      <c r="N567" s="105"/>
      <c r="O567" s="105"/>
      <c r="P567" s="105"/>
      <c r="Q567" s="105"/>
      <c r="R567" s="105"/>
      <c r="S567" s="105"/>
      <c r="T567" s="105"/>
    </row>
    <row r="568" spans="1:25" ht="12" customHeight="1">
      <c r="C568" s="1950" t="s">
        <v>3464</v>
      </c>
      <c r="D568" s="1957" t="s">
        <v>3469</v>
      </c>
      <c r="E568" s="1957"/>
      <c r="F568" s="1957"/>
      <c r="G568" s="1957"/>
      <c r="H568" s="1957"/>
      <c r="I568" s="1957"/>
      <c r="J568" s="1957"/>
      <c r="K568" s="1957"/>
      <c r="L568" s="1957"/>
      <c r="M568" s="1957"/>
      <c r="N568" s="1957"/>
      <c r="O568" s="1957"/>
      <c r="P568" s="1957"/>
      <c r="Q568" s="1957"/>
      <c r="R568" s="1957"/>
      <c r="S568" s="1957"/>
      <c r="T568" s="1957"/>
    </row>
    <row r="569" spans="1:25" ht="12" customHeight="1">
      <c r="C569" s="1958">
        <v>1</v>
      </c>
      <c r="D569" s="302" t="s">
        <v>1369</v>
      </c>
      <c r="E569" s="302"/>
      <c r="F569" s="302"/>
      <c r="G569" s="302"/>
      <c r="H569" s="302"/>
      <c r="I569" s="302"/>
      <c r="J569" s="302"/>
      <c r="K569" s="302"/>
      <c r="L569" s="302"/>
      <c r="M569" s="302"/>
      <c r="N569" s="302"/>
      <c r="O569" s="302"/>
      <c r="P569" s="302"/>
      <c r="Q569" s="302"/>
      <c r="R569" s="302"/>
      <c r="S569" s="302"/>
      <c r="T569" s="302"/>
    </row>
    <row r="570" spans="1:25" ht="12" customHeight="1">
      <c r="C570" s="1950">
        <v>2</v>
      </c>
      <c r="D570" s="12" t="s">
        <v>5369</v>
      </c>
      <c r="E570" s="12"/>
      <c r="F570" s="12"/>
      <c r="G570" s="12"/>
      <c r="H570" s="12"/>
      <c r="I570" s="12"/>
      <c r="J570" s="12"/>
      <c r="K570" s="12"/>
      <c r="L570" s="12"/>
      <c r="M570" s="12"/>
      <c r="N570" s="12"/>
      <c r="O570" s="12"/>
      <c r="P570" s="12"/>
      <c r="Q570" s="12"/>
      <c r="R570" s="12"/>
      <c r="S570" s="12"/>
      <c r="T570" s="12"/>
      <c r="V570"/>
      <c r="W570"/>
      <c r="X570"/>
      <c r="Y570"/>
    </row>
    <row r="572" spans="1:25" customFormat="1" ht="12" customHeight="1">
      <c r="A572" s="1918"/>
      <c r="B572" s="555" t="s">
        <v>6145</v>
      </c>
      <c r="C572" s="555"/>
      <c r="D572" s="1919"/>
      <c r="E572" s="1919"/>
      <c r="F572" s="1919"/>
      <c r="G572" s="1919"/>
      <c r="H572" s="1919"/>
      <c r="I572" s="1919"/>
      <c r="J572" s="1919"/>
      <c r="K572" s="1919"/>
      <c r="L572" s="1919"/>
      <c r="M572" s="1919"/>
      <c r="N572" s="1919"/>
      <c r="O572" s="1919"/>
      <c r="P572" s="1919"/>
      <c r="Q572" s="1919"/>
      <c r="R572" s="1919"/>
      <c r="S572" s="1919"/>
      <c r="T572" s="1919"/>
      <c r="U572" s="1919"/>
      <c r="V572" s="1919"/>
      <c r="W572" s="1919"/>
      <c r="X572" s="1919"/>
      <c r="Y572" s="1919"/>
    </row>
    <row r="573" spans="1:25" ht="12" customHeight="1">
      <c r="A573" s="1965"/>
      <c r="B573" s="1965"/>
      <c r="C573" s="1964" t="s">
        <v>6658</v>
      </c>
      <c r="D573" s="1965"/>
      <c r="E573" s="1965"/>
      <c r="F573" s="1965"/>
      <c r="G573" s="1965"/>
      <c r="H573" s="1965"/>
      <c r="I573" s="1965"/>
      <c r="J573" s="1965"/>
      <c r="K573" s="1965"/>
      <c r="L573" s="1965"/>
      <c r="M573" s="1965"/>
      <c r="N573" s="1965"/>
      <c r="O573" s="1965"/>
      <c r="P573" s="1965"/>
      <c r="Q573" s="1965"/>
      <c r="R573" s="1965"/>
      <c r="S573" s="1965"/>
      <c r="T573" s="1965"/>
      <c r="U573" s="1965"/>
      <c r="V573" s="1965"/>
      <c r="W573" s="1965"/>
      <c r="X573" s="1965"/>
      <c r="Y573" s="1965"/>
    </row>
    <row r="575" spans="1:25" ht="12" customHeight="1">
      <c r="B575" s="203" t="s">
        <v>6586</v>
      </c>
      <c r="C575" s="203"/>
    </row>
    <row r="576" spans="1:25" ht="12" customHeight="1">
      <c r="B576" s="4027"/>
      <c r="C576" s="4027"/>
      <c r="D576" s="4027"/>
      <c r="E576" s="4027"/>
      <c r="F576" s="4027"/>
      <c r="G576" s="4027"/>
      <c r="H576" s="4027"/>
      <c r="I576" s="4027"/>
      <c r="J576" s="25" t="s">
        <v>23</v>
      </c>
      <c r="K576" s="26"/>
      <c r="L576" s="26"/>
      <c r="M576" s="27"/>
      <c r="N576" s="26" t="s">
        <v>24</v>
      </c>
      <c r="O576" s="26"/>
      <c r="P576" s="26"/>
      <c r="Q576" s="26"/>
      <c r="R576" s="26"/>
      <c r="S576" s="26"/>
      <c r="T576" s="26"/>
    </row>
    <row r="577" spans="2:25" ht="12" customHeight="1">
      <c r="B577" s="28"/>
      <c r="C577" s="28"/>
      <c r="D577" s="28"/>
      <c r="E577" s="1949" t="s">
        <v>2889</v>
      </c>
      <c r="F577" s="1949"/>
      <c r="G577" s="1949"/>
      <c r="H577" s="28"/>
      <c r="I577" s="28"/>
      <c r="J577" s="29" t="s">
        <v>69</v>
      </c>
      <c r="K577" s="30" t="s">
        <v>27</v>
      </c>
      <c r="L577" s="30" t="s">
        <v>60</v>
      </c>
      <c r="M577" s="31" t="s">
        <v>5104</v>
      </c>
      <c r="N577" s="30" t="s">
        <v>5174</v>
      </c>
      <c r="O577" s="30" t="s">
        <v>70</v>
      </c>
      <c r="P577" s="30" t="s">
        <v>71</v>
      </c>
      <c r="Q577" s="30" t="s">
        <v>72</v>
      </c>
      <c r="R577" s="30" t="s">
        <v>73</v>
      </c>
      <c r="S577" s="30" t="s">
        <v>74</v>
      </c>
      <c r="T577" s="30" t="s">
        <v>5102</v>
      </c>
    </row>
    <row r="578" spans="2:25" ht="12" customHeight="1">
      <c r="B578" s="3" t="s">
        <v>6689</v>
      </c>
      <c r="E578" s="110" t="s">
        <v>3463</v>
      </c>
      <c r="F578" s="289"/>
      <c r="G578" s="289" t="s">
        <v>6697</v>
      </c>
      <c r="J578" s="220">
        <f>COGS!J213</f>
        <v>32079.283192100116</v>
      </c>
      <c r="K578" s="221">
        <f>COGS!K213</f>
        <v>38405.787253700022</v>
      </c>
      <c r="L578" s="221">
        <f>COGS!L213</f>
        <v>50171.183449687807</v>
      </c>
      <c r="M578" s="222">
        <f>COGS!M213</f>
        <v>48549.347282044677</v>
      </c>
      <c r="N578" s="105">
        <f>_xlfn.FORECAST.LINEAR(N22,$J$578:$M$578,$J$22:$M$22)</f>
        <v>49947.196041935909</v>
      </c>
      <c r="O578" s="105">
        <f>(M578*3+N578)/4</f>
        <v>48898.809472017485</v>
      </c>
      <c r="P578" s="105">
        <f>_xlfn.FORECAST.LINEAR(P22,$J$578:$M$578,$J$22:$M$22)</f>
        <v>49347.832072240235</v>
      </c>
      <c r="Q578" s="105">
        <f>_xlfn.FORECAST.LINEAR(Q22,$J$578:$M$578,$J$22:$M$22)</f>
        <v>48069.613667624144</v>
      </c>
      <c r="R578" s="105">
        <f>_xlfn.FORECAST.LINEAR(R22,$J$578:$M$578,$J$22:$M$22)</f>
        <v>47895.684889163269</v>
      </c>
      <c r="S578" s="105">
        <f>_xlfn.FORECAST.LINEAR(S22,$J$578:$M$578,$J$22:$M$22)</f>
        <v>47326.463432382239</v>
      </c>
      <c r="T578" s="105">
        <f>_xlfn.FORECAST.LINEAR(T22,$J$578:$M$578,$J$22:$M$22)</f>
        <v>46972.282825172326</v>
      </c>
    </row>
    <row r="579" spans="2:25" ht="12" customHeight="1">
      <c r="B579" s="3" t="s">
        <v>6690</v>
      </c>
      <c r="E579" s="110" t="s">
        <v>3463</v>
      </c>
      <c r="F579" s="289"/>
      <c r="G579" s="289" t="s">
        <v>6696</v>
      </c>
      <c r="J579" s="220">
        <f>COGS!J218</f>
        <v>484.20057113539377</v>
      </c>
      <c r="K579" s="221">
        <f>COGS!K218</f>
        <v>493.88011132440238</v>
      </c>
      <c r="L579" s="221">
        <f>COGS!L218</f>
        <v>631.96769862888925</v>
      </c>
      <c r="M579" s="222">
        <f>COGS!M218</f>
        <v>804.30939191591369</v>
      </c>
      <c r="N579" s="105">
        <f>_xlfn.FORECAST.LINEAR(N23,$J$579:$M$579,$J$23:$M$23)</f>
        <v>741.05256565390266</v>
      </c>
      <c r="O579" s="105">
        <f>(M579*3+N579)/4</f>
        <v>788.49518535041091</v>
      </c>
      <c r="P579" s="105">
        <f>_xlfn.FORECAST.LINEAR(P23,$J$579:$M$579,$J$23:$M$23)</f>
        <v>766.59037711847463</v>
      </c>
      <c r="Q579" s="105">
        <f>_xlfn.FORECAST.LINEAR(Q23,$J$579:$M$579,$J$23:$M$23)</f>
        <v>750.21506547215347</v>
      </c>
      <c r="R579" s="105">
        <f>_xlfn.FORECAST.LINEAR(R23,$J$579:$M$579,$J$23:$M$23)</f>
        <v>732.39487338645131</v>
      </c>
      <c r="S579" s="105">
        <f>_xlfn.FORECAST.LINEAR(S23,$J$579:$M$579,$J$23:$M$23)</f>
        <v>703.49726459882618</v>
      </c>
      <c r="T579" s="105">
        <f>_xlfn.FORECAST.LINEAR(T23,$J$579:$M$579,$J$23:$M$23)</f>
        <v>691.38277152363491</v>
      </c>
    </row>
    <row r="580" spans="2:25" ht="12" customHeight="1">
      <c r="B580" s="3" t="s">
        <v>6691</v>
      </c>
      <c r="E580" s="110" t="s">
        <v>3463</v>
      </c>
      <c r="F580" s="289"/>
      <c r="G580" s="289" t="s">
        <v>6696</v>
      </c>
      <c r="J580" s="220">
        <f>COGS!J223</f>
        <v>21676.127252701572</v>
      </c>
      <c r="K580" s="221">
        <f>COGS!K223</f>
        <v>23019.393198518905</v>
      </c>
      <c r="L580" s="221">
        <f>COGS!L223</f>
        <v>25261.5192039963</v>
      </c>
      <c r="M580" s="222">
        <f>COGS!M223</f>
        <v>31891.784771979736</v>
      </c>
      <c r="N580" s="105">
        <f>_xlfn.FORECAST.LINEAR(N25,$J$580:$M$580,$J$25:$M$25)</f>
        <v>28709.015209017933</v>
      </c>
      <c r="O580" s="105">
        <f>(M580*3+N580)/4</f>
        <v>31096.092381239287</v>
      </c>
      <c r="P580" s="105">
        <f>_xlfn.FORECAST.LINEAR(P25,$J$580:$M$580,$J$25:$M$25)</f>
        <v>27625.977538100997</v>
      </c>
      <c r="Q580" s="105">
        <f>_xlfn.FORECAST.LINEAR(Q25,$J$580:$M$580,$J$25:$M$25)</f>
        <v>28171.041505051828</v>
      </c>
      <c r="R580" s="105">
        <f>_xlfn.FORECAST.LINEAR(R25,$J$580:$M$580,$J$25:$M$25)</f>
        <v>28825.118265392826</v>
      </c>
      <c r="S580" s="105">
        <f>_xlfn.FORECAST.LINEAR(S25,$J$580:$M$580,$J$25:$M$25)</f>
        <v>29479.195025733818</v>
      </c>
      <c r="T580" s="105">
        <f>_xlfn.FORECAST.LINEAR(T25,$J$580:$M$580,$J$25:$M$25)</f>
        <v>30145.920387319653</v>
      </c>
    </row>
    <row r="581" spans="2:25" ht="12" customHeight="1">
      <c r="B581" s="12" t="s">
        <v>6692</v>
      </c>
      <c r="C581" s="12"/>
      <c r="D581" s="12"/>
      <c r="E581" s="1950" t="s">
        <v>3463</v>
      </c>
      <c r="F581" s="1954"/>
      <c r="G581" s="1954" t="s">
        <v>6696</v>
      </c>
      <c r="H581" s="12"/>
      <c r="I581" s="12"/>
      <c r="J581" s="223">
        <f>COGS!J228</f>
        <v>31467.925415583391</v>
      </c>
      <c r="K581" s="224">
        <f>COGS!K228</f>
        <v>45630.906905049349</v>
      </c>
      <c r="L581" s="224">
        <f>COGS!L228</f>
        <v>65088.971944654273</v>
      </c>
      <c r="M581" s="225">
        <f>COGS!M228</f>
        <v>76079.24985080128</v>
      </c>
      <c r="N581" s="107">
        <f>_xlfn.FORECAST.LINEAR(N24,$J$581:$M$581,$J$24:$M$24)</f>
        <v>60481.945294002624</v>
      </c>
      <c r="O581" s="107">
        <f>(M581*3+N581)/4</f>
        <v>72179.923711601616</v>
      </c>
      <c r="P581" s="107">
        <f>_xlfn.FORECAST.LINEAR(P24,$J$581:$M$581,$J$24:$M$24)</f>
        <v>62097.488158673135</v>
      </c>
      <c r="Q581" s="107">
        <f>_xlfn.FORECAST.LINEAR(Q24,$J$581:$M$581,$J$24:$M$24)</f>
        <v>57469.306986041702</v>
      </c>
      <c r="R581" s="107">
        <f>_xlfn.FORECAST.LINEAR(R24,$J$581:$M$581,$J$24:$M$24)</f>
        <v>50509.180493251231</v>
      </c>
      <c r="S581" s="107">
        <f>_xlfn.FORECAST.LINEAR(S24,$J$581:$M$581,$J$24:$M$24)</f>
        <v>44456.718420921803</v>
      </c>
      <c r="T581" s="107">
        <f>_xlfn.FORECAST.LINEAR(T24,$J$581:$M$581,$J$24:$M$24)</f>
        <v>41912.565198526616</v>
      </c>
    </row>
    <row r="582" spans="2:25" ht="12" customHeight="1">
      <c r="B582" s="1953" t="s">
        <v>351</v>
      </c>
      <c r="J582" s="221"/>
      <c r="K582" s="221"/>
      <c r="L582" s="221"/>
      <c r="M582" s="221"/>
      <c r="N582" s="105"/>
      <c r="O582" s="105"/>
      <c r="P582" s="105"/>
      <c r="Q582" s="105"/>
      <c r="R582" s="105"/>
      <c r="S582" s="105"/>
      <c r="T582" s="105"/>
    </row>
    <row r="583" spans="2:25" ht="12" customHeight="1">
      <c r="B583" s="3" t="s">
        <v>6585</v>
      </c>
      <c r="J583" s="221"/>
      <c r="K583" s="221"/>
      <c r="L583" s="221"/>
      <c r="M583" s="221"/>
      <c r="N583" s="105"/>
      <c r="O583" s="105"/>
      <c r="P583" s="105"/>
      <c r="Q583" s="105"/>
      <c r="R583" s="105"/>
      <c r="S583" s="105"/>
      <c r="T583" s="105"/>
    </row>
    <row r="585" spans="2:25" ht="12" customHeight="1">
      <c r="B585" s="32" t="s">
        <v>6649</v>
      </c>
    </row>
    <row r="586" spans="2:25" ht="12" customHeight="1">
      <c r="B586" s="4027"/>
      <c r="C586" s="4027"/>
      <c r="D586" s="4027"/>
      <c r="E586" s="4027"/>
      <c r="F586" s="4027"/>
      <c r="G586" s="4027"/>
      <c r="H586" s="4027"/>
      <c r="I586" s="4027"/>
      <c r="J586" s="25" t="s">
        <v>23</v>
      </c>
      <c r="K586" s="26"/>
      <c r="L586" s="26"/>
      <c r="M586" s="27"/>
      <c r="N586" s="26" t="s">
        <v>24</v>
      </c>
      <c r="O586" s="26"/>
      <c r="P586" s="26"/>
      <c r="Q586" s="26"/>
      <c r="R586" s="26"/>
      <c r="S586" s="26"/>
      <c r="T586" s="26"/>
      <c r="V586" s="2041" t="s">
        <v>3650</v>
      </c>
      <c r="W586" s="2041"/>
      <c r="X586" s="2041"/>
      <c r="Y586" s="2041"/>
    </row>
    <row r="587" spans="2:25" ht="12" customHeight="1" thickBot="1">
      <c r="B587" s="28"/>
      <c r="C587" s="28"/>
      <c r="D587" s="28"/>
      <c r="E587" s="1949" t="s">
        <v>2889</v>
      </c>
      <c r="F587" s="1949" t="s">
        <v>3464</v>
      </c>
      <c r="G587" s="28"/>
      <c r="H587" s="28"/>
      <c r="I587" s="28"/>
      <c r="J587" s="29" t="s">
        <v>69</v>
      </c>
      <c r="K587" s="30" t="s">
        <v>27</v>
      </c>
      <c r="L587" s="30" t="s">
        <v>60</v>
      </c>
      <c r="M587" s="31" t="s">
        <v>5104</v>
      </c>
      <c r="N587" s="30" t="s">
        <v>5174</v>
      </c>
      <c r="O587" s="30" t="s">
        <v>70</v>
      </c>
      <c r="P587" s="30" t="s">
        <v>71</v>
      </c>
      <c r="Q587" s="30" t="s">
        <v>72</v>
      </c>
      <c r="R587" s="30" t="s">
        <v>73</v>
      </c>
      <c r="S587" s="30" t="s">
        <v>74</v>
      </c>
      <c r="T587" s="30" t="s">
        <v>5102</v>
      </c>
      <c r="V587" s="290" t="s">
        <v>3651</v>
      </c>
      <c r="W587" s="290" t="s">
        <v>3652</v>
      </c>
      <c r="X587" s="290" t="s">
        <v>3653</v>
      </c>
      <c r="Y587" s="290" t="s">
        <v>3740</v>
      </c>
    </row>
    <row r="588" spans="2:25" ht="12" customHeight="1" thickBot="1">
      <c r="B588" s="12" t="s">
        <v>6587</v>
      </c>
      <c r="C588" s="12"/>
      <c r="D588" s="12"/>
      <c r="E588" s="1950" t="s">
        <v>5607</v>
      </c>
      <c r="F588" s="3005">
        <v>2</v>
      </c>
      <c r="G588" s="1954" t="str">
        <f>VLOOKUP(F588,$C$591:$D$592,2,FALSE)</f>
        <v>회사 사업계획 준용</v>
      </c>
      <c r="H588" s="12"/>
      <c r="I588" s="12"/>
      <c r="J588" s="4273">
        <f>COGS!J253</f>
        <v>34</v>
      </c>
      <c r="K588" s="4274">
        <f>COGS!K253</f>
        <v>37</v>
      </c>
      <c r="L588" s="4274">
        <f>COGS!L253</f>
        <v>37</v>
      </c>
      <c r="M588" s="4275">
        <f>COGS!M253</f>
        <v>37</v>
      </c>
      <c r="N588" s="12">
        <f>M588</f>
        <v>37</v>
      </c>
      <c r="O588" s="12">
        <f>N588</f>
        <v>37</v>
      </c>
      <c r="P588" s="12">
        <f>CHOOSE($F588,O588,SUM(Torecom_인건비!Q4:Q5))</f>
        <v>37</v>
      </c>
      <c r="Q588" s="12">
        <f>CHOOSE($F588,P588,SUM(Torecom_인건비!R4:R5))</f>
        <v>37</v>
      </c>
      <c r="R588" s="12">
        <f>CHOOSE($F588,Q588,SUM(Torecom_인건비!S4:S5))</f>
        <v>37</v>
      </c>
      <c r="S588" s="12">
        <f>CHOOSE($F588,R588,R588)</f>
        <v>37</v>
      </c>
      <c r="T588" s="12">
        <f>CHOOSE($F588,S588,S588)</f>
        <v>37</v>
      </c>
      <c r="V588" s="1960"/>
      <c r="W588" s="1960">
        <v>2</v>
      </c>
      <c r="X588" s="1960"/>
      <c r="Y588" s="1960" t="str">
        <f>INDEX($V$587:$X$587,1,MATCH($F588,$V588:$X588,0))</f>
        <v>Base</v>
      </c>
    </row>
    <row r="589" spans="2:25" ht="12" customHeight="1">
      <c r="B589" s="1953"/>
    </row>
    <row r="590" spans="2:25" ht="12" customHeight="1">
      <c r="C590" s="1950" t="s">
        <v>3464</v>
      </c>
      <c r="D590" s="1957" t="s">
        <v>3469</v>
      </c>
      <c r="E590" s="1957"/>
      <c r="F590" s="1957"/>
      <c r="G590" s="1957"/>
      <c r="H590" s="1957"/>
      <c r="I590" s="1957"/>
      <c r="J590" s="1957"/>
      <c r="K590" s="1957"/>
      <c r="L590" s="1957"/>
      <c r="M590" s="1957"/>
      <c r="N590" s="1957"/>
      <c r="O590" s="1957"/>
      <c r="P590" s="1957"/>
      <c r="Q590" s="1957"/>
      <c r="R590" s="1957"/>
      <c r="S590" s="1957"/>
      <c r="T590" s="1957"/>
    </row>
    <row r="591" spans="2:25" ht="12" customHeight="1">
      <c r="C591" s="4149">
        <v>1</v>
      </c>
      <c r="D591" s="4150" t="s">
        <v>6641</v>
      </c>
      <c r="E591" s="4150"/>
      <c r="F591" s="4150"/>
      <c r="G591" s="4150"/>
      <c r="H591" s="4150"/>
      <c r="I591" s="4150"/>
      <c r="J591" s="4150"/>
      <c r="K591" s="4150"/>
      <c r="L591" s="4150"/>
      <c r="M591" s="4150"/>
      <c r="N591" s="4150"/>
      <c r="O591" s="4150"/>
      <c r="P591" s="4150"/>
      <c r="Q591" s="4150"/>
      <c r="R591" s="4150"/>
      <c r="S591" s="4150"/>
      <c r="T591" s="4150"/>
    </row>
    <row r="592" spans="2:25" ht="12" customHeight="1">
      <c r="C592" s="1950">
        <v>2</v>
      </c>
      <c r="D592" s="12" t="s">
        <v>6642</v>
      </c>
      <c r="E592" s="12"/>
      <c r="F592" s="12"/>
      <c r="G592" s="12"/>
      <c r="H592" s="12"/>
      <c r="I592" s="12"/>
      <c r="J592" s="12"/>
      <c r="K592" s="12"/>
      <c r="L592" s="12"/>
      <c r="M592" s="12"/>
      <c r="N592" s="12"/>
      <c r="O592" s="12"/>
      <c r="P592" s="12"/>
      <c r="Q592" s="12"/>
      <c r="R592" s="12"/>
      <c r="S592" s="12"/>
      <c r="T592" s="12"/>
    </row>
    <row r="593" spans="2:25" ht="12" customHeight="1">
      <c r="E593" s="110"/>
      <c r="J593" s="246"/>
      <c r="K593" s="246"/>
      <c r="L593" s="246"/>
      <c r="M593" s="246"/>
      <c r="N593" s="245"/>
      <c r="O593" s="246"/>
      <c r="P593" s="245"/>
      <c r="Q593" s="245"/>
      <c r="R593" s="245"/>
      <c r="S593" s="245"/>
      <c r="T593" s="245"/>
      <c r="U593" s="289"/>
      <c r="V593" s="110"/>
      <c r="W593" s="110"/>
      <c r="X593" s="110"/>
      <c r="Y593" s="110"/>
    </row>
    <row r="594" spans="2:25" ht="12" customHeight="1">
      <c r="E594" s="110"/>
      <c r="F594" s="4276"/>
      <c r="G594" s="289"/>
      <c r="J594" s="246"/>
      <c r="K594" s="246"/>
      <c r="L594" s="246"/>
      <c r="M594" s="246"/>
      <c r="N594" s="245"/>
      <c r="O594" s="245"/>
      <c r="P594" s="245"/>
      <c r="Q594" s="245"/>
      <c r="R594" s="245"/>
      <c r="S594" s="245"/>
      <c r="T594" s="245"/>
      <c r="U594" s="289"/>
      <c r="V594" s="110"/>
      <c r="W594" s="110"/>
      <c r="X594" s="110"/>
      <c r="Y594" s="110"/>
    </row>
    <row r="595" spans="2:25" ht="12" customHeight="1">
      <c r="B595" s="32" t="s">
        <v>6650</v>
      </c>
    </row>
    <row r="596" spans="2:25" ht="12" customHeight="1">
      <c r="B596" s="4027"/>
      <c r="C596" s="4027"/>
      <c r="D596" s="4027"/>
      <c r="E596" s="4027"/>
      <c r="F596" s="4027"/>
      <c r="G596" s="4027"/>
      <c r="H596" s="4027"/>
      <c r="I596" s="4027"/>
      <c r="J596" s="25" t="s">
        <v>23</v>
      </c>
      <c r="K596" s="26"/>
      <c r="L596" s="26"/>
      <c r="M596" s="27"/>
      <c r="N596" s="26" t="s">
        <v>24</v>
      </c>
      <c r="O596" s="26"/>
      <c r="P596" s="26"/>
      <c r="Q596" s="26"/>
      <c r="R596" s="26"/>
      <c r="S596" s="26"/>
      <c r="T596" s="26"/>
      <c r="V596" s="2041" t="s">
        <v>3650</v>
      </c>
      <c r="W596" s="2041"/>
      <c r="X596" s="2041"/>
      <c r="Y596" s="2041"/>
    </row>
    <row r="597" spans="2:25" ht="12" customHeight="1" thickBot="1">
      <c r="B597" s="28"/>
      <c r="C597" s="28"/>
      <c r="D597" s="28"/>
      <c r="E597" s="1949" t="s">
        <v>2889</v>
      </c>
      <c r="F597" s="1949" t="s">
        <v>3464</v>
      </c>
      <c r="G597" s="28"/>
      <c r="H597" s="28"/>
      <c r="I597" s="28"/>
      <c r="J597" s="29" t="s">
        <v>69</v>
      </c>
      <c r="K597" s="30" t="s">
        <v>27</v>
      </c>
      <c r="L597" s="30" t="s">
        <v>60</v>
      </c>
      <c r="M597" s="31" t="s">
        <v>5104</v>
      </c>
      <c r="N597" s="30" t="s">
        <v>5174</v>
      </c>
      <c r="O597" s="30" t="s">
        <v>70</v>
      </c>
      <c r="P597" s="30" t="s">
        <v>71</v>
      </c>
      <c r="Q597" s="30" t="s">
        <v>72</v>
      </c>
      <c r="R597" s="30" t="s">
        <v>73</v>
      </c>
      <c r="S597" s="30" t="s">
        <v>74</v>
      </c>
      <c r="T597" s="30" t="s">
        <v>5102</v>
      </c>
      <c r="V597" s="290" t="s">
        <v>3651</v>
      </c>
      <c r="W597" s="290" t="s">
        <v>3652</v>
      </c>
      <c r="X597" s="290" t="s">
        <v>3653</v>
      </c>
      <c r="Y597" s="290" t="s">
        <v>3740</v>
      </c>
    </row>
    <row r="598" spans="2:25" ht="12" customHeight="1" thickBot="1">
      <c r="B598" s="12" t="s">
        <v>6588</v>
      </c>
      <c r="C598" s="12"/>
      <c r="D598" s="12"/>
      <c r="E598" s="1950" t="s">
        <v>6589</v>
      </c>
      <c r="F598" s="3005">
        <v>2</v>
      </c>
      <c r="G598" s="1954" t="str">
        <f>VLOOKUP(F598,$C$601:$D$602,2,FALSE)</f>
        <v>2021 3m(E)는 2021 9m(A) 수준 유지, 이후 명목임금상승률 수준의 성장 가정</v>
      </c>
      <c r="H598" s="12"/>
      <c r="I598" s="12"/>
      <c r="J598" s="3068">
        <f>COGS!J254</f>
        <v>52.389345352941177</v>
      </c>
      <c r="K598" s="3069">
        <f>COGS!K254</f>
        <v>49.463391864864867</v>
      </c>
      <c r="L598" s="3069">
        <f>COGS!L254</f>
        <v>50.608257810810812</v>
      </c>
      <c r="M598" s="3070">
        <f>COGS!M254</f>
        <v>52.6028390990991</v>
      </c>
      <c r="N598" s="3849">
        <f>M598</f>
        <v>52.6028390990991</v>
      </c>
      <c r="O598" s="3849">
        <f>N598</f>
        <v>52.6028390990991</v>
      </c>
      <c r="P598" s="3849">
        <f>CHOOSE($F598,O$598,O$598*(1+General!J13))</f>
        <v>54.180924272072076</v>
      </c>
      <c r="Q598" s="3849">
        <f>CHOOSE($F598,P$598,P$598*(1+General!K13))</f>
        <v>55.210361833241443</v>
      </c>
      <c r="R598" s="3849">
        <f>CHOOSE($F598,Q$598,Q$598*(1+General!L13))</f>
        <v>57.363565944737857</v>
      </c>
      <c r="S598" s="3849">
        <f>CHOOSE($F598,R$598,R$598*(1+General!M13))</f>
        <v>59.2565636209142</v>
      </c>
      <c r="T598" s="3849">
        <f>CHOOSE($F598,S$598,S$598*(1+General!N13))</f>
        <v>61.686082729371677</v>
      </c>
      <c r="V598" s="1950"/>
      <c r="W598" s="1950">
        <v>2</v>
      </c>
      <c r="X598" s="1950"/>
      <c r="Y598" s="1960" t="str">
        <f>INDEX($V$597:$X$597,1,MATCH($F598,$V598:$X598,0))</f>
        <v>Base</v>
      </c>
    </row>
    <row r="599" spans="2:25" ht="12" customHeight="1">
      <c r="B599" s="1953"/>
    </row>
    <row r="600" spans="2:25" ht="12" customHeight="1">
      <c r="C600" s="1950" t="s">
        <v>3464</v>
      </c>
      <c r="D600" s="1957" t="s">
        <v>3469</v>
      </c>
      <c r="E600" s="1957"/>
      <c r="F600" s="1957"/>
      <c r="G600" s="1957"/>
      <c r="H600" s="1957"/>
      <c r="I600" s="1957"/>
      <c r="J600" s="1957"/>
      <c r="K600" s="1957"/>
      <c r="L600" s="1957"/>
      <c r="M600" s="1957"/>
      <c r="N600" s="1957"/>
      <c r="O600" s="1957"/>
      <c r="P600" s="1957"/>
      <c r="Q600" s="1957"/>
      <c r="R600" s="1957"/>
      <c r="S600" s="1957"/>
      <c r="T600" s="1957"/>
    </row>
    <row r="601" spans="2:25" ht="12" customHeight="1">
      <c r="C601" s="4149">
        <v>1</v>
      </c>
      <c r="D601" s="4150" t="s">
        <v>6641</v>
      </c>
      <c r="E601" s="4150"/>
      <c r="F601" s="4150"/>
      <c r="G601" s="4150"/>
      <c r="H601" s="4150"/>
      <c r="I601" s="4150"/>
      <c r="J601" s="4150"/>
      <c r="K601" s="4150"/>
      <c r="L601" s="4150"/>
      <c r="M601" s="4150"/>
      <c r="N601" s="4150"/>
      <c r="O601" s="4150"/>
      <c r="P601" s="4150"/>
      <c r="Q601" s="4150"/>
      <c r="R601" s="4150"/>
      <c r="S601" s="4150"/>
      <c r="T601" s="4150"/>
    </row>
    <row r="602" spans="2:25" ht="12" customHeight="1">
      <c r="C602" s="1950">
        <v>2</v>
      </c>
      <c r="D602" s="12" t="s">
        <v>6644</v>
      </c>
      <c r="E602" s="12"/>
      <c r="F602" s="12"/>
      <c r="G602" s="12"/>
      <c r="H602" s="12"/>
      <c r="I602" s="12"/>
      <c r="J602" s="12"/>
      <c r="K602" s="12"/>
      <c r="L602" s="12"/>
      <c r="M602" s="12"/>
      <c r="N602" s="12"/>
      <c r="O602" s="12"/>
      <c r="P602" s="12"/>
      <c r="Q602" s="12"/>
      <c r="R602" s="12"/>
      <c r="S602" s="12"/>
      <c r="T602" s="12"/>
    </row>
    <row r="603" spans="2:25" ht="12" customHeight="1">
      <c r="E603" s="110"/>
      <c r="J603" s="246"/>
      <c r="K603" s="246"/>
      <c r="L603" s="246"/>
      <c r="M603" s="246"/>
      <c r="N603" s="245"/>
      <c r="O603" s="246"/>
      <c r="P603" s="245"/>
      <c r="Q603" s="245"/>
      <c r="R603" s="245"/>
      <c r="S603" s="245"/>
      <c r="T603" s="245"/>
      <c r="U603" s="289"/>
      <c r="V603" s="110"/>
      <c r="W603" s="110"/>
      <c r="X603" s="110"/>
      <c r="Y603" s="110"/>
    </row>
    <row r="604" spans="2:25" ht="12" customHeight="1">
      <c r="B604" s="32" t="s">
        <v>6651</v>
      </c>
    </row>
    <row r="605" spans="2:25" ht="12" customHeight="1">
      <c r="B605" s="4027"/>
      <c r="C605" s="4027"/>
      <c r="D605" s="4027"/>
      <c r="E605" s="4027"/>
      <c r="F605" s="4027"/>
      <c r="G605" s="4027"/>
      <c r="H605" s="4027"/>
      <c r="I605" s="4027"/>
      <c r="J605" s="25" t="s">
        <v>23</v>
      </c>
      <c r="K605" s="26"/>
      <c r="L605" s="26"/>
      <c r="M605" s="27"/>
      <c r="N605" s="26" t="s">
        <v>24</v>
      </c>
      <c r="O605" s="26"/>
      <c r="P605" s="26"/>
      <c r="Q605" s="26"/>
      <c r="R605" s="26"/>
      <c r="S605" s="26"/>
      <c r="T605" s="26"/>
      <c r="V605" s="2041" t="s">
        <v>3650</v>
      </c>
      <c r="W605" s="2041"/>
      <c r="X605" s="2041"/>
      <c r="Y605" s="2041"/>
    </row>
    <row r="606" spans="2:25" ht="12" customHeight="1" thickBot="1">
      <c r="B606" s="28"/>
      <c r="C606" s="28"/>
      <c r="D606" s="28"/>
      <c r="E606" s="1949" t="s">
        <v>2889</v>
      </c>
      <c r="F606" s="1949" t="s">
        <v>3464</v>
      </c>
      <c r="G606" s="28"/>
      <c r="H606" s="28"/>
      <c r="I606" s="28"/>
      <c r="J606" s="29" t="s">
        <v>69</v>
      </c>
      <c r="K606" s="30" t="s">
        <v>27</v>
      </c>
      <c r="L606" s="30" t="s">
        <v>60</v>
      </c>
      <c r="M606" s="31" t="s">
        <v>5104</v>
      </c>
      <c r="N606" s="30" t="s">
        <v>5174</v>
      </c>
      <c r="O606" s="30" t="s">
        <v>70</v>
      </c>
      <c r="P606" s="30" t="s">
        <v>71</v>
      </c>
      <c r="Q606" s="30" t="s">
        <v>72</v>
      </c>
      <c r="R606" s="30" t="s">
        <v>73</v>
      </c>
      <c r="S606" s="30" t="s">
        <v>74</v>
      </c>
      <c r="T606" s="30" t="s">
        <v>5102</v>
      </c>
      <c r="V606" s="290" t="s">
        <v>3651</v>
      </c>
      <c r="W606" s="290" t="s">
        <v>3652</v>
      </c>
      <c r="X606" s="290" t="s">
        <v>3653</v>
      </c>
      <c r="Y606" s="290" t="s">
        <v>3740</v>
      </c>
    </row>
    <row r="607" spans="2:25" ht="12" customHeight="1" thickBot="1">
      <c r="B607" s="3" t="s">
        <v>6645</v>
      </c>
      <c r="E607" s="110" t="s">
        <v>360</v>
      </c>
      <c r="F607" s="3005">
        <v>2</v>
      </c>
      <c r="G607" s="289" t="str">
        <f>VLOOKUP(F607,$C$612:$D$613,2,FALSE)</f>
        <v>2021 3m(E)는 2021 9m(A) 수준 유지, 이후 과거 평균 비율 유지 가정</v>
      </c>
      <c r="J607" s="4277">
        <f>COGS!J256</f>
        <v>0.12760542550866297</v>
      </c>
      <c r="K607" s="4278">
        <f>COGS!K256</f>
        <v>0.10903545215887779</v>
      </c>
      <c r="L607" s="4278">
        <f>COGS!L256</f>
        <v>0.11432056970807176</v>
      </c>
      <c r="M607" s="4279">
        <f>COGS!M256</f>
        <v>7.5317982442882361E-2</v>
      </c>
      <c r="N607" s="2631">
        <f t="shared" ref="N607:O609" si="93">M607</f>
        <v>7.5317982442882361E-2</v>
      </c>
      <c r="O607" s="2631">
        <f t="shared" si="93"/>
        <v>7.5317982442882361E-2</v>
      </c>
      <c r="P607" s="2631">
        <f>CHOOSE($F607,O607,AVERAGE($J607:$M607))</f>
        <v>0.10656985745462372</v>
      </c>
      <c r="Q607" s="2631">
        <f t="shared" ref="Q607:T607" si="94">CHOOSE($F607,P607,AVERAGE($J607:$M607))</f>
        <v>0.10656985745462372</v>
      </c>
      <c r="R607" s="2631">
        <f t="shared" si="94"/>
        <v>0.10656985745462372</v>
      </c>
      <c r="S607" s="2631">
        <f t="shared" si="94"/>
        <v>0.10656985745462372</v>
      </c>
      <c r="T607" s="2631">
        <f t="shared" si="94"/>
        <v>0.10656985745462372</v>
      </c>
      <c r="V607" s="4149"/>
      <c r="W607" s="4149">
        <v>2</v>
      </c>
      <c r="X607" s="4149"/>
      <c r="Y607" s="110" t="str">
        <f>INDEX($V$606:$X$606,1,MATCH($F607,$V607:$X607,0))</f>
        <v>Base</v>
      </c>
    </row>
    <row r="608" spans="2:25" ht="12" customHeight="1" thickBot="1">
      <c r="B608" s="3" t="s">
        <v>6646</v>
      </c>
      <c r="E608" s="110" t="s">
        <v>360</v>
      </c>
      <c r="F608" s="3005">
        <v>2</v>
      </c>
      <c r="G608" s="289" t="str">
        <f t="shared" ref="G608:G609" si="95">VLOOKUP(F608,$C$612:$D$613,2,FALSE)</f>
        <v>2021 3m(E)는 2021 9m(A) 수준 유지, 이후 과거 평균 비율 유지 가정</v>
      </c>
      <c r="J608" s="4280">
        <f>COGS!J258</f>
        <v>0.10637991916072931</v>
      </c>
      <c r="K608" s="4278">
        <f>COGS!K258</f>
        <v>0.11827193800617052</v>
      </c>
      <c r="L608" s="4278">
        <f>COGS!L258</f>
        <v>9.8099758945492763E-2</v>
      </c>
      <c r="M608" s="4279">
        <f>COGS!M258</f>
        <v>9.9485414340171413E-2</v>
      </c>
      <c r="N608" s="2631">
        <f t="shared" si="93"/>
        <v>9.9485414340171413E-2</v>
      </c>
      <c r="O608" s="2631">
        <f t="shared" si="93"/>
        <v>9.9485414340171413E-2</v>
      </c>
      <c r="P608" s="2631">
        <f t="shared" ref="P608:T609" si="96">CHOOSE($F608,O608,AVERAGE($J608:$M608))</f>
        <v>0.105559257613141</v>
      </c>
      <c r="Q608" s="2631">
        <f t="shared" si="96"/>
        <v>0.105559257613141</v>
      </c>
      <c r="R608" s="2631">
        <f t="shared" si="96"/>
        <v>0.105559257613141</v>
      </c>
      <c r="S608" s="2631">
        <f t="shared" si="96"/>
        <v>0.105559257613141</v>
      </c>
      <c r="T608" s="2631">
        <f t="shared" si="96"/>
        <v>0.105559257613141</v>
      </c>
      <c r="V608" s="110"/>
      <c r="W608" s="110">
        <v>2</v>
      </c>
      <c r="X608" s="110"/>
      <c r="Y608" s="110" t="str">
        <f t="shared" ref="Y608:Y609" si="97">INDEX($V$606:$X$606,1,MATCH($F608,$V608:$X608,0))</f>
        <v>Base</v>
      </c>
    </row>
    <row r="609" spans="2:25" ht="12" customHeight="1" thickBot="1">
      <c r="B609" s="12" t="s">
        <v>6647</v>
      </c>
      <c r="C609" s="12"/>
      <c r="D609" s="12"/>
      <c r="E609" s="1950" t="s">
        <v>360</v>
      </c>
      <c r="F609" s="3005">
        <v>2</v>
      </c>
      <c r="G609" s="1954" t="str">
        <f t="shared" si="95"/>
        <v>2021 3m(E)는 2021 9m(A) 수준 유지, 이후 과거 평균 비율 유지 가정</v>
      </c>
      <c r="H609" s="12"/>
      <c r="I609" s="12"/>
      <c r="J609" s="4281">
        <f>COGS!J260</f>
        <v>2.2321557118679107E-2</v>
      </c>
      <c r="K609" s="4282">
        <f>COGS!K260</f>
        <v>1.7452164331990087E-2</v>
      </c>
      <c r="L609" s="4282">
        <f>COGS!L260</f>
        <v>3.8063438807269666E-2</v>
      </c>
      <c r="M609" s="4283">
        <f>COGS!M260</f>
        <v>1.8777460773303858E-2</v>
      </c>
      <c r="N609" s="2632">
        <f t="shared" si="93"/>
        <v>1.8777460773303858E-2</v>
      </c>
      <c r="O609" s="2991">
        <f>N609</f>
        <v>1.8777460773303858E-2</v>
      </c>
      <c r="P609" s="2991">
        <f t="shared" si="96"/>
        <v>2.4153655257810679E-2</v>
      </c>
      <c r="Q609" s="2991">
        <f t="shared" si="96"/>
        <v>2.4153655257810679E-2</v>
      </c>
      <c r="R609" s="2991">
        <f t="shared" si="96"/>
        <v>2.4153655257810679E-2</v>
      </c>
      <c r="S609" s="2991">
        <f t="shared" si="96"/>
        <v>2.4153655257810679E-2</v>
      </c>
      <c r="T609" s="2991">
        <f t="shared" si="96"/>
        <v>2.4153655257810679E-2</v>
      </c>
      <c r="V609" s="1950"/>
      <c r="W609" s="1950">
        <v>2</v>
      </c>
      <c r="X609" s="1950"/>
      <c r="Y609" s="1950" t="str">
        <f t="shared" si="97"/>
        <v>Base</v>
      </c>
    </row>
    <row r="610" spans="2:25" ht="12" customHeight="1">
      <c r="B610" s="1953"/>
    </row>
    <row r="611" spans="2:25" ht="12" customHeight="1">
      <c r="C611" s="1950" t="s">
        <v>3464</v>
      </c>
      <c r="D611" s="1957" t="s">
        <v>3469</v>
      </c>
      <c r="E611" s="1957"/>
      <c r="F611" s="1957"/>
      <c r="G611" s="1957"/>
      <c r="H611" s="1957"/>
      <c r="I611" s="1957"/>
      <c r="J611" s="1957"/>
      <c r="K611" s="1957"/>
      <c r="L611" s="1957"/>
      <c r="M611" s="1957"/>
      <c r="N611" s="1957"/>
      <c r="O611" s="1957"/>
      <c r="P611" s="1957"/>
      <c r="Q611" s="1957"/>
      <c r="R611" s="1957"/>
      <c r="S611" s="1957"/>
      <c r="T611" s="1957"/>
    </row>
    <row r="612" spans="2:25" ht="12" customHeight="1">
      <c r="C612" s="4149">
        <v>1</v>
      </c>
      <c r="D612" s="4150" t="s">
        <v>6641</v>
      </c>
      <c r="E612" s="4150"/>
      <c r="F612" s="4150"/>
      <c r="G612" s="4150"/>
      <c r="H612" s="4150"/>
      <c r="I612" s="4150"/>
      <c r="J612" s="4150"/>
      <c r="K612" s="4150"/>
      <c r="L612" s="4150"/>
      <c r="M612" s="4150"/>
      <c r="N612" s="4150"/>
      <c r="O612" s="4150"/>
      <c r="P612" s="4150"/>
      <c r="Q612" s="4150"/>
      <c r="R612" s="4150"/>
      <c r="S612" s="4150"/>
      <c r="T612" s="4150"/>
    </row>
    <row r="613" spans="2:25" ht="12" customHeight="1">
      <c r="C613" s="1950">
        <v>2</v>
      </c>
      <c r="D613" s="12" t="s">
        <v>6648</v>
      </c>
      <c r="E613" s="12"/>
      <c r="F613" s="12"/>
      <c r="G613" s="12"/>
      <c r="H613" s="12"/>
      <c r="I613" s="12"/>
      <c r="J613" s="12"/>
      <c r="K613" s="12"/>
      <c r="L613" s="12"/>
      <c r="M613" s="12"/>
      <c r="N613" s="12"/>
      <c r="O613" s="12"/>
      <c r="P613" s="12"/>
      <c r="Q613" s="12"/>
      <c r="R613" s="12"/>
      <c r="S613" s="12"/>
      <c r="T613" s="12"/>
    </row>
    <row r="615" spans="2:25" ht="12" customHeight="1">
      <c r="B615" s="32" t="s">
        <v>6718</v>
      </c>
    </row>
    <row r="616" spans="2:25" ht="12" customHeight="1">
      <c r="B616" s="4027"/>
      <c r="C616" s="4027"/>
      <c r="D616" s="4027"/>
      <c r="E616" s="4027"/>
      <c r="F616" s="4027"/>
      <c r="G616" s="4027"/>
      <c r="H616" s="4027"/>
      <c r="I616" s="4027"/>
      <c r="J616" s="25" t="s">
        <v>23</v>
      </c>
      <c r="K616" s="26"/>
      <c r="L616" s="26"/>
      <c r="M616" s="27"/>
      <c r="N616" s="26" t="s">
        <v>24</v>
      </c>
      <c r="O616" s="26"/>
      <c r="P616" s="26"/>
      <c r="Q616" s="26"/>
      <c r="R616" s="26"/>
      <c r="S616" s="26"/>
      <c r="T616" s="26"/>
      <c r="V616" s="2041" t="s">
        <v>3650</v>
      </c>
      <c r="W616" s="2041"/>
      <c r="X616" s="2041"/>
      <c r="Y616" s="2041"/>
    </row>
    <row r="617" spans="2:25" ht="12" customHeight="1" thickBot="1">
      <c r="B617" s="28"/>
      <c r="C617" s="28"/>
      <c r="D617" s="28"/>
      <c r="E617" s="1949" t="s">
        <v>2889</v>
      </c>
      <c r="F617" s="1949" t="s">
        <v>3464</v>
      </c>
      <c r="G617" s="28"/>
      <c r="H617" s="28"/>
      <c r="I617" s="28"/>
      <c r="J617" s="29" t="s">
        <v>69</v>
      </c>
      <c r="K617" s="30" t="s">
        <v>27</v>
      </c>
      <c r="L617" s="30" t="s">
        <v>60</v>
      </c>
      <c r="M617" s="31" t="s">
        <v>5104</v>
      </c>
      <c r="N617" s="30" t="s">
        <v>5174</v>
      </c>
      <c r="O617" s="30" t="s">
        <v>70</v>
      </c>
      <c r="P617" s="30" t="s">
        <v>71</v>
      </c>
      <c r="Q617" s="30" t="s">
        <v>72</v>
      </c>
      <c r="R617" s="30" t="s">
        <v>73</v>
      </c>
      <c r="S617" s="30" t="s">
        <v>74</v>
      </c>
      <c r="T617" s="30" t="s">
        <v>5102</v>
      </c>
      <c r="V617" s="290" t="s">
        <v>3651</v>
      </c>
      <c r="W617" s="290" t="s">
        <v>3652</v>
      </c>
      <c r="X617" s="290" t="s">
        <v>3653</v>
      </c>
      <c r="Y617" s="290" t="s">
        <v>3740</v>
      </c>
    </row>
    <row r="618" spans="2:25" ht="12" customHeight="1" thickBot="1">
      <c r="B618" s="12" t="s">
        <v>6717</v>
      </c>
      <c r="C618" s="12"/>
      <c r="D618" s="12"/>
      <c r="E618" s="1950" t="s">
        <v>360</v>
      </c>
      <c r="F618" s="3005">
        <v>1</v>
      </c>
      <c r="G618" s="1954" t="str">
        <f>VLOOKUP(F618,$C$623:$D$624,2,FALSE)</f>
        <v>현재 수준 유지 가정</v>
      </c>
      <c r="H618" s="12"/>
      <c r="I618" s="303"/>
      <c r="J618" s="4394">
        <f>COGS!J267</f>
        <v>1.1594545513185518E-2</v>
      </c>
      <c r="K618" s="2517">
        <f>COGS!K267</f>
        <v>9.6689914755914014E-3</v>
      </c>
      <c r="L618" s="2517">
        <f>COGS!L267</f>
        <v>8.2116075978971668E-3</v>
      </c>
      <c r="M618" s="4395">
        <f>COGS!M267</f>
        <v>9.2060987102268559E-3</v>
      </c>
      <c r="N618" s="13">
        <f>CHOOSE($F$618,$M$618,$M$618)</f>
        <v>9.2060987102268559E-3</v>
      </c>
      <c r="O618" s="2517">
        <f>COGS!O267</f>
        <v>9.2060987102268559E-3</v>
      </c>
      <c r="P618" s="1966">
        <f>CHOOSE($F$618,$M$618,AVERAGE($J$618:$M$618))</f>
        <v>9.2060987102268559E-3</v>
      </c>
      <c r="Q618" s="1966">
        <f t="shared" ref="Q618:T618" si="98">CHOOSE($F$618,$M$618,AVERAGE($J$618:$M$618))</f>
        <v>9.2060987102268559E-3</v>
      </c>
      <c r="R618" s="1966">
        <f t="shared" si="98"/>
        <v>9.2060987102268559E-3</v>
      </c>
      <c r="S618" s="1966">
        <f t="shared" si="98"/>
        <v>9.2060987102268559E-3</v>
      </c>
      <c r="T618" s="1966">
        <f t="shared" si="98"/>
        <v>9.2060987102268559E-3</v>
      </c>
      <c r="U618" s="289"/>
      <c r="V618" s="1950"/>
      <c r="W618" s="1950">
        <v>1</v>
      </c>
      <c r="X618" s="1950"/>
      <c r="Y618" s="1960" t="str">
        <f>INDEX($V$617:$X$617,1,MATCH($F618,$V618:$X618,0))</f>
        <v>Base</v>
      </c>
    </row>
    <row r="619" spans="2:25" ht="12" customHeight="1">
      <c r="B619" s="1953" t="s">
        <v>351</v>
      </c>
    </row>
    <row r="620" spans="2:25" ht="12" customHeight="1">
      <c r="B620" s="3" t="s">
        <v>6719</v>
      </c>
    </row>
    <row r="621" spans="2:25" ht="12" customHeight="1">
      <c r="B621" s="3" t="s">
        <v>3499</v>
      </c>
      <c r="C621" s="110"/>
    </row>
    <row r="622" spans="2:25" ht="12" customHeight="1">
      <c r="C622" s="1950" t="s">
        <v>3464</v>
      </c>
      <c r="D622" s="1957" t="s">
        <v>3469</v>
      </c>
      <c r="E622" s="1957"/>
      <c r="F622" s="1957"/>
      <c r="G622" s="1957"/>
      <c r="H622" s="1957"/>
      <c r="I622" s="1957"/>
      <c r="J622" s="1957"/>
      <c r="K622" s="1957"/>
      <c r="L622" s="1957"/>
      <c r="M622" s="1957"/>
      <c r="N622" s="1957"/>
      <c r="O622" s="1957"/>
      <c r="P622" s="1957"/>
      <c r="Q622" s="1957"/>
      <c r="R622" s="1957"/>
      <c r="S622" s="1957"/>
      <c r="T622" s="1957"/>
    </row>
    <row r="623" spans="2:25" ht="12" customHeight="1">
      <c r="C623" s="4149">
        <v>1</v>
      </c>
      <c r="D623" s="4150" t="s">
        <v>6641</v>
      </c>
      <c r="E623" s="4150"/>
      <c r="F623" s="4150"/>
      <c r="G623" s="4150"/>
      <c r="H623" s="4150"/>
      <c r="I623" s="4150"/>
      <c r="J623" s="4150"/>
      <c r="K623" s="4150"/>
      <c r="L623" s="4150"/>
      <c r="M623" s="4150"/>
      <c r="N623" s="4150"/>
      <c r="O623" s="4150"/>
      <c r="P623" s="4150"/>
      <c r="Q623" s="4150"/>
      <c r="R623" s="4150"/>
      <c r="S623" s="4150"/>
      <c r="T623" s="4150"/>
    </row>
    <row r="624" spans="2:25" ht="12" customHeight="1">
      <c r="C624" s="1950">
        <v>2</v>
      </c>
      <c r="D624" s="12" t="s">
        <v>6648</v>
      </c>
      <c r="E624" s="12"/>
      <c r="F624" s="12"/>
      <c r="G624" s="12"/>
      <c r="H624" s="12"/>
      <c r="I624" s="12"/>
      <c r="J624" s="12"/>
      <c r="K624" s="12"/>
      <c r="L624" s="12"/>
      <c r="M624" s="12"/>
      <c r="N624" s="12"/>
      <c r="O624" s="12"/>
      <c r="P624" s="12"/>
      <c r="Q624" s="12"/>
      <c r="R624" s="12"/>
      <c r="S624" s="12"/>
      <c r="T624" s="12"/>
    </row>
    <row r="626" spans="1:25" ht="12" customHeight="1">
      <c r="A626" s="1965"/>
      <c r="B626" s="1965"/>
      <c r="C626" s="1964" t="s">
        <v>6659</v>
      </c>
      <c r="D626" s="1965"/>
      <c r="E626" s="1965"/>
      <c r="F626" s="1965"/>
      <c r="G626" s="1965"/>
      <c r="H626" s="1965"/>
      <c r="I626" s="1965"/>
      <c r="J626" s="1965"/>
      <c r="K626" s="1965"/>
      <c r="L626" s="1965"/>
      <c r="M626" s="1965"/>
      <c r="N626" s="1965"/>
      <c r="O626" s="1965"/>
      <c r="P626" s="1965"/>
      <c r="Q626" s="1965"/>
      <c r="R626" s="1965"/>
      <c r="S626" s="1965"/>
      <c r="T626" s="1965"/>
      <c r="U626" s="1965"/>
      <c r="V626" s="1965"/>
      <c r="W626" s="1965"/>
      <c r="X626" s="1965"/>
      <c r="Y626" s="1965"/>
    </row>
    <row r="628" spans="1:25" ht="12" customHeight="1">
      <c r="B628" s="32" t="s">
        <v>3452</v>
      </c>
      <c r="C628" s="32"/>
    </row>
    <row r="629" spans="1:25" ht="12" customHeight="1">
      <c r="B629" s="24"/>
      <c r="C629" s="24"/>
      <c r="D629" s="24"/>
      <c r="E629" s="24"/>
      <c r="F629" s="24"/>
      <c r="G629" s="24"/>
      <c r="H629" s="24"/>
      <c r="I629" s="24"/>
      <c r="J629" s="25" t="s">
        <v>23</v>
      </c>
      <c r="K629" s="26"/>
      <c r="L629" s="26"/>
      <c r="M629" s="27"/>
      <c r="N629" s="26" t="s">
        <v>24</v>
      </c>
      <c r="O629" s="26"/>
      <c r="P629" s="26"/>
      <c r="Q629" s="26"/>
      <c r="R629" s="26"/>
      <c r="S629" s="26"/>
      <c r="T629" s="26"/>
      <c r="V629" s="2041" t="s">
        <v>3650</v>
      </c>
      <c r="W629" s="2041"/>
      <c r="X629" s="2041"/>
      <c r="Y629" s="2041"/>
    </row>
    <row r="630" spans="1:25" ht="12" customHeight="1" thickBot="1">
      <c r="B630" s="28"/>
      <c r="C630" s="28"/>
      <c r="D630" s="28"/>
      <c r="E630" s="1949" t="s">
        <v>2889</v>
      </c>
      <c r="F630" s="1949" t="s">
        <v>3464</v>
      </c>
      <c r="G630" s="28"/>
      <c r="H630" s="28"/>
      <c r="I630" s="28"/>
      <c r="J630" s="29" t="s">
        <v>69</v>
      </c>
      <c r="K630" s="30" t="s">
        <v>27</v>
      </c>
      <c r="L630" s="30" t="s">
        <v>60</v>
      </c>
      <c r="M630" s="31" t="s">
        <v>5104</v>
      </c>
      <c r="N630" s="30" t="s">
        <v>5174</v>
      </c>
      <c r="O630" s="30" t="s">
        <v>70</v>
      </c>
      <c r="P630" s="30" t="s">
        <v>71</v>
      </c>
      <c r="Q630" s="30" t="s">
        <v>72</v>
      </c>
      <c r="R630" s="30" t="s">
        <v>73</v>
      </c>
      <c r="S630" s="30" t="s">
        <v>74</v>
      </c>
      <c r="T630" s="30" t="s">
        <v>5175</v>
      </c>
      <c r="V630" s="290" t="s">
        <v>3651</v>
      </c>
      <c r="W630" s="290" t="s">
        <v>3652</v>
      </c>
      <c r="X630" s="290" t="s">
        <v>3653</v>
      </c>
      <c r="Y630" s="290" t="s">
        <v>3740</v>
      </c>
    </row>
    <row r="631" spans="1:25" ht="12" customHeight="1" thickBot="1">
      <c r="B631" s="3" t="s">
        <v>3238</v>
      </c>
      <c r="E631" s="110" t="s">
        <v>2702</v>
      </c>
      <c r="F631" s="291">
        <v>1</v>
      </c>
      <c r="G631" s="289" t="str">
        <f>VLOOKUP(F631,$C$636:$D$637,2,FALSE)</f>
        <v>현재 수준의 비율 유지 가정</v>
      </c>
      <c r="J631" s="1913">
        <f>COGS!J279</f>
        <v>0.90669605020649513</v>
      </c>
      <c r="K631" s="405">
        <f>COGS!K279</f>
        <v>0.89055308860911786</v>
      </c>
      <c r="L631" s="405">
        <f>COGS!L279</f>
        <v>0.86268665386841448</v>
      </c>
      <c r="M631" s="2498">
        <f>COGS!M279</f>
        <v>0.91031160309036119</v>
      </c>
      <c r="N631" s="399">
        <f t="shared" ref="N631:N633" si="99">M631</f>
        <v>0.91031160309036119</v>
      </c>
      <c r="O631" s="399">
        <f t="shared" ref="O631:T633" si="100">CHOOSE($F631,$M631,AVERAGE($J631:$K631,$L631:$M631))</f>
        <v>0.91031160309036119</v>
      </c>
      <c r="P631" s="399">
        <f t="shared" si="100"/>
        <v>0.91031160309036119</v>
      </c>
      <c r="Q631" s="399">
        <f t="shared" si="100"/>
        <v>0.91031160309036119</v>
      </c>
      <c r="R631" s="399">
        <f t="shared" si="100"/>
        <v>0.91031160309036119</v>
      </c>
      <c r="S631" s="399">
        <f t="shared" si="100"/>
        <v>0.91031160309036119</v>
      </c>
      <c r="T631" s="399">
        <f t="shared" si="100"/>
        <v>0.91031160309036119</v>
      </c>
      <c r="U631" s="289"/>
      <c r="V631" s="110"/>
      <c r="W631" s="110">
        <v>1</v>
      </c>
      <c r="X631" s="110"/>
      <c r="Y631" s="110" t="str">
        <f>INDEX($V$630:$X$630,1,MATCH($F631,$V631:$X631,0))</f>
        <v>Base</v>
      </c>
    </row>
    <row r="632" spans="1:25" ht="12" customHeight="1" thickBot="1">
      <c r="B632" s="3" t="s">
        <v>1481</v>
      </c>
      <c r="E632" s="110" t="s">
        <v>2702</v>
      </c>
      <c r="F632" s="291">
        <v>1</v>
      </c>
      <c r="G632" s="289" t="str">
        <f>VLOOKUP(F632,$C$636:$D$637,2,FALSE)</f>
        <v>현재 수준의 비율 유지 가정</v>
      </c>
      <c r="J632" s="1913">
        <f>COGS!J281</f>
        <v>0.90921693134198611</v>
      </c>
      <c r="K632" s="405">
        <f>COGS!K281</f>
        <v>0.9170395665835408</v>
      </c>
      <c r="L632" s="405">
        <f>COGS!L281</f>
        <v>0.90069611986835252</v>
      </c>
      <c r="M632" s="2498">
        <f>COGS!M281</f>
        <v>0.92299168608260262</v>
      </c>
      <c r="N632" s="399">
        <f t="shared" si="99"/>
        <v>0.92299168608260262</v>
      </c>
      <c r="O632" s="399">
        <f t="shared" si="100"/>
        <v>0.92299168608260262</v>
      </c>
      <c r="P632" s="399">
        <f t="shared" si="100"/>
        <v>0.92299168608260262</v>
      </c>
      <c r="Q632" s="399">
        <f t="shared" si="100"/>
        <v>0.92299168608260262</v>
      </c>
      <c r="R632" s="399">
        <f t="shared" si="100"/>
        <v>0.92299168608260262</v>
      </c>
      <c r="S632" s="399">
        <f t="shared" si="100"/>
        <v>0.92299168608260262</v>
      </c>
      <c r="T632" s="399">
        <f t="shared" si="100"/>
        <v>0.92299168608260262</v>
      </c>
      <c r="U632" s="289"/>
      <c r="V632" s="110"/>
      <c r="W632" s="110">
        <v>1</v>
      </c>
      <c r="X632" s="110"/>
      <c r="Y632" s="110" t="str">
        <f>INDEX($V$630:$X$630,1,MATCH($F632,$V632:$X632,0))</f>
        <v>Base</v>
      </c>
    </row>
    <row r="633" spans="1:25" ht="12" customHeight="1" thickBot="1">
      <c r="B633" s="12" t="s">
        <v>1560</v>
      </c>
      <c r="C633" s="12"/>
      <c r="D633" s="12"/>
      <c r="E633" s="1973" t="s">
        <v>2702</v>
      </c>
      <c r="F633" s="291">
        <v>1</v>
      </c>
      <c r="G633" s="1954" t="str">
        <f>VLOOKUP(F633,$C$636:$D$637,2,FALSE)</f>
        <v>현재 수준의 비율 유지 가정</v>
      </c>
      <c r="H633" s="12"/>
      <c r="I633" s="12"/>
      <c r="J633" s="403">
        <f>COGS!J283</f>
        <v>0.77379455081115545</v>
      </c>
      <c r="K633" s="404">
        <f>COGS!K283</f>
        <v>0.66245841815082329</v>
      </c>
      <c r="L633" s="404">
        <f>COGS!L283</f>
        <v>0.793563187268574</v>
      </c>
      <c r="M633" s="2491">
        <f>COGS!M283</f>
        <v>0.60212111691401682</v>
      </c>
      <c r="N633" s="229">
        <f t="shared" si="99"/>
        <v>0.60212111691401682</v>
      </c>
      <c r="O633" s="229">
        <f t="shared" si="100"/>
        <v>0.60212111691401682</v>
      </c>
      <c r="P633" s="229">
        <f t="shared" si="100"/>
        <v>0.60212111691401682</v>
      </c>
      <c r="Q633" s="229">
        <f t="shared" si="100"/>
        <v>0.60212111691401682</v>
      </c>
      <c r="R633" s="229">
        <f t="shared" si="100"/>
        <v>0.60212111691401682</v>
      </c>
      <c r="S633" s="229">
        <f t="shared" si="100"/>
        <v>0.60212111691401682</v>
      </c>
      <c r="T633" s="229">
        <f t="shared" si="100"/>
        <v>0.60212111691401682</v>
      </c>
      <c r="U633" s="289"/>
      <c r="V633" s="1950"/>
      <c r="W633" s="1950">
        <v>1</v>
      </c>
      <c r="X633" s="1950"/>
      <c r="Y633" s="1950" t="str">
        <f>INDEX($V$630:$X$630,1,MATCH($F633,$V633:$X633,0))</f>
        <v>Base</v>
      </c>
    </row>
    <row r="634" spans="1:25" ht="12" customHeight="1">
      <c r="B634" s="1953"/>
      <c r="J634" s="221"/>
      <c r="K634" s="221"/>
      <c r="L634" s="221"/>
      <c r="M634" s="221"/>
      <c r="N634" s="105"/>
      <c r="O634" s="105"/>
      <c r="P634" s="105"/>
      <c r="Q634" s="105"/>
      <c r="R634" s="105"/>
      <c r="S634" s="105"/>
      <c r="T634" s="105"/>
    </row>
    <row r="635" spans="1:25" ht="12" customHeight="1">
      <c r="C635" s="1950" t="s">
        <v>3464</v>
      </c>
      <c r="D635" s="1957" t="s">
        <v>3469</v>
      </c>
      <c r="E635" s="1957"/>
      <c r="F635" s="1957"/>
      <c r="G635" s="1957"/>
      <c r="H635" s="1957"/>
      <c r="I635" s="1957"/>
      <c r="J635" s="1957"/>
      <c r="K635" s="1957"/>
      <c r="L635" s="1957"/>
      <c r="M635" s="1957"/>
      <c r="N635" s="1957"/>
      <c r="O635" s="1957"/>
      <c r="P635" s="1957"/>
      <c r="Q635" s="1957"/>
      <c r="R635" s="1957"/>
      <c r="S635" s="1957"/>
      <c r="T635" s="1957"/>
    </row>
    <row r="636" spans="1:25" ht="12" customHeight="1">
      <c r="C636" s="1958">
        <v>1</v>
      </c>
      <c r="D636" s="302" t="s">
        <v>1369</v>
      </c>
      <c r="E636" s="302"/>
      <c r="F636" s="302"/>
      <c r="G636" s="302"/>
      <c r="H636" s="302"/>
      <c r="I636" s="302"/>
      <c r="J636" s="302"/>
      <c r="K636" s="302"/>
      <c r="L636" s="302"/>
      <c r="M636" s="302"/>
      <c r="N636" s="302"/>
      <c r="O636" s="302"/>
      <c r="P636" s="302"/>
      <c r="Q636" s="302"/>
      <c r="R636" s="302"/>
      <c r="S636" s="302"/>
      <c r="T636" s="302"/>
    </row>
    <row r="637" spans="1:25" ht="12" customHeight="1">
      <c r="C637" s="1950">
        <v>2</v>
      </c>
      <c r="D637" s="12" t="s">
        <v>5357</v>
      </c>
      <c r="E637" s="12"/>
      <c r="F637" s="12"/>
      <c r="G637" s="12"/>
      <c r="H637" s="12"/>
      <c r="I637" s="12"/>
      <c r="J637" s="12"/>
      <c r="K637" s="12"/>
      <c r="L637" s="12"/>
      <c r="M637" s="12"/>
      <c r="N637" s="12"/>
      <c r="O637" s="12"/>
      <c r="P637" s="12"/>
      <c r="Q637" s="12"/>
      <c r="R637" s="12"/>
      <c r="S637" s="12"/>
      <c r="T637" s="12"/>
    </row>
    <row r="639" spans="1:25" ht="12" customHeight="1">
      <c r="B639" s="32" t="s">
        <v>3454</v>
      </c>
    </row>
    <row r="640" spans="1:25" ht="12" customHeight="1">
      <c r="B640" s="24"/>
      <c r="C640" s="24"/>
      <c r="D640" s="24"/>
      <c r="E640" s="24"/>
      <c r="F640" s="24"/>
      <c r="G640" s="24"/>
      <c r="H640" s="24"/>
      <c r="I640" s="24"/>
      <c r="J640" s="25" t="s">
        <v>23</v>
      </c>
      <c r="K640" s="26"/>
      <c r="L640" s="26"/>
      <c r="M640" s="27"/>
      <c r="N640" s="26" t="s">
        <v>24</v>
      </c>
      <c r="O640" s="26"/>
      <c r="P640" s="26"/>
      <c r="Q640" s="26"/>
      <c r="R640" s="26"/>
      <c r="S640" s="26"/>
      <c r="T640" s="26"/>
    </row>
    <row r="641" spans="1:25" ht="12" customHeight="1">
      <c r="B641" s="28"/>
      <c r="C641" s="28"/>
      <c r="D641" s="28"/>
      <c r="E641" s="1949" t="s">
        <v>2889</v>
      </c>
      <c r="F641" s="1949"/>
      <c r="G641" s="28"/>
      <c r="H641" s="28"/>
      <c r="I641" s="28"/>
      <c r="J641" s="29" t="s">
        <v>69</v>
      </c>
      <c r="K641" s="30" t="s">
        <v>27</v>
      </c>
      <c r="L641" s="30" t="s">
        <v>60</v>
      </c>
      <c r="M641" s="31" t="s">
        <v>5104</v>
      </c>
      <c r="N641" s="30" t="s">
        <v>5174</v>
      </c>
      <c r="O641" s="30" t="s">
        <v>70</v>
      </c>
      <c r="P641" s="30" t="s">
        <v>71</v>
      </c>
      <c r="Q641" s="30" t="s">
        <v>72</v>
      </c>
      <c r="R641" s="30" t="s">
        <v>73</v>
      </c>
      <c r="S641" s="30" t="s">
        <v>74</v>
      </c>
      <c r="T641" s="30" t="s">
        <v>5175</v>
      </c>
    </row>
    <row r="642" spans="1:25" s="45" customFormat="1" ht="12" customHeight="1">
      <c r="B642" s="295" t="s">
        <v>3533</v>
      </c>
      <c r="C642" s="1943"/>
      <c r="D642" s="1943"/>
      <c r="E642" s="1960" t="s">
        <v>360</v>
      </c>
      <c r="F642" s="1961"/>
      <c r="G642" s="1961" t="s">
        <v>3534</v>
      </c>
      <c r="H642" s="1943"/>
      <c r="I642" s="1943"/>
      <c r="J642" s="1944">
        <f>COGS!J291</f>
        <v>0.96082300673627452</v>
      </c>
      <c r="K642" s="1945">
        <f>COGS!K291</f>
        <v>0.98904108424779713</v>
      </c>
      <c r="L642" s="1945">
        <f>COGS!L291</f>
        <v>0.9991699513094332</v>
      </c>
      <c r="M642" s="3765">
        <f>COGS!M291</f>
        <v>0.99203945839171515</v>
      </c>
      <c r="N642" s="4400">
        <v>1</v>
      </c>
      <c r="O642" s="4401">
        <f>COGS!O291</f>
        <v>0.99426872127699195</v>
      </c>
      <c r="P642" s="4400">
        <v>1</v>
      </c>
      <c r="Q642" s="4400">
        <v>1</v>
      </c>
      <c r="R642" s="4400">
        <v>1</v>
      </c>
      <c r="S642" s="4400">
        <v>1</v>
      </c>
      <c r="T642" s="4400">
        <v>1</v>
      </c>
      <c r="U642" s="289"/>
      <c r="V642" s="3"/>
      <c r="W642" s="3"/>
      <c r="X642" s="3"/>
      <c r="Y642" s="3"/>
    </row>
    <row r="645" spans="1:25" customFormat="1" ht="12" customHeight="1">
      <c r="A645" s="1918"/>
      <c r="B645" s="555" t="s">
        <v>6144</v>
      </c>
      <c r="C645" s="555"/>
      <c r="D645" s="1919"/>
      <c r="E645" s="1919"/>
      <c r="F645" s="1919"/>
      <c r="G645" s="1919"/>
      <c r="H645" s="1919"/>
      <c r="I645" s="1919"/>
      <c r="J645" s="1919"/>
      <c r="K645" s="1919"/>
      <c r="L645" s="1919"/>
      <c r="M645" s="1919"/>
      <c r="N645" s="1919"/>
      <c r="O645" s="1919"/>
      <c r="P645" s="1919"/>
      <c r="Q645" s="1919"/>
      <c r="R645" s="1919"/>
      <c r="S645" s="1919"/>
      <c r="T645" s="1919"/>
      <c r="U645" s="1919"/>
      <c r="V645" s="1919"/>
      <c r="W645" s="1919"/>
      <c r="X645" s="1919"/>
      <c r="Y645" s="1919"/>
    </row>
    <row r="646" spans="1:25" ht="12" customHeight="1">
      <c r="A646" s="1965"/>
      <c r="B646" s="1965"/>
      <c r="C646" s="1964" t="s">
        <v>6660</v>
      </c>
      <c r="D646" s="1965"/>
      <c r="E646" s="1965"/>
      <c r="F646" s="1965"/>
      <c r="G646" s="1965"/>
      <c r="H646" s="1965"/>
      <c r="I646" s="1965"/>
      <c r="J646" s="1965"/>
      <c r="K646" s="1965"/>
      <c r="L646" s="1965"/>
      <c r="M646" s="1965"/>
      <c r="N646" s="1965"/>
      <c r="O646" s="1965"/>
      <c r="P646" s="1965"/>
      <c r="Q646" s="1965"/>
      <c r="R646" s="1965"/>
      <c r="S646" s="1965"/>
      <c r="T646" s="1965"/>
      <c r="U646" s="1965"/>
      <c r="V646" s="1965"/>
      <c r="W646" s="1965"/>
      <c r="X646" s="1965"/>
      <c r="Y646" s="1965"/>
    </row>
    <row r="648" spans="1:25" ht="12" customHeight="1">
      <c r="B648" s="32" t="s">
        <v>6640</v>
      </c>
    </row>
    <row r="649" spans="1:25" ht="12" customHeight="1">
      <c r="B649" s="4027"/>
      <c r="C649" s="4027"/>
      <c r="D649" s="4027"/>
      <c r="E649" s="4027"/>
      <c r="F649" s="4027"/>
      <c r="G649" s="4027"/>
      <c r="H649" s="4027"/>
      <c r="I649" s="4027"/>
      <c r="J649" s="25" t="s">
        <v>23</v>
      </c>
      <c r="K649" s="26"/>
      <c r="L649" s="26"/>
      <c r="M649" s="27"/>
      <c r="N649" s="26" t="s">
        <v>24</v>
      </c>
      <c r="O649" s="26"/>
      <c r="P649" s="26"/>
      <c r="Q649" s="26"/>
      <c r="R649" s="26"/>
      <c r="S649" s="26"/>
      <c r="T649" s="26"/>
      <c r="V649" s="2041" t="s">
        <v>3650</v>
      </c>
      <c r="W649" s="2041"/>
      <c r="X649" s="2041"/>
      <c r="Y649" s="2041"/>
    </row>
    <row r="650" spans="1:25" ht="12" customHeight="1" thickBot="1">
      <c r="B650" s="28"/>
      <c r="C650" s="28"/>
      <c r="D650" s="28"/>
      <c r="E650" s="1949" t="s">
        <v>2889</v>
      </c>
      <c r="F650" s="1949" t="s">
        <v>3464</v>
      </c>
      <c r="G650" s="28"/>
      <c r="H650" s="28"/>
      <c r="I650" s="28"/>
      <c r="J650" s="29" t="s">
        <v>69</v>
      </c>
      <c r="K650" s="30" t="s">
        <v>27</v>
      </c>
      <c r="L650" s="30" t="s">
        <v>60</v>
      </c>
      <c r="M650" s="31" t="s">
        <v>5104</v>
      </c>
      <c r="N650" s="30" t="s">
        <v>5174</v>
      </c>
      <c r="O650" s="30" t="s">
        <v>70</v>
      </c>
      <c r="P650" s="30" t="s">
        <v>71</v>
      </c>
      <c r="Q650" s="30" t="s">
        <v>72</v>
      </c>
      <c r="R650" s="30" t="s">
        <v>73</v>
      </c>
      <c r="S650" s="30" t="s">
        <v>74</v>
      </c>
      <c r="T650" s="30" t="s">
        <v>5102</v>
      </c>
      <c r="V650" s="290" t="s">
        <v>3651</v>
      </c>
      <c r="W650" s="290" t="s">
        <v>3652</v>
      </c>
      <c r="X650" s="290" t="s">
        <v>3653</v>
      </c>
      <c r="Y650" s="290" t="s">
        <v>3740</v>
      </c>
    </row>
    <row r="651" spans="1:25" ht="12" customHeight="1" thickBot="1">
      <c r="B651" s="12" t="s">
        <v>6587</v>
      </c>
      <c r="C651" s="12"/>
      <c r="D651" s="12"/>
      <c r="E651" s="1950" t="s">
        <v>5607</v>
      </c>
      <c r="F651" s="3005">
        <v>2</v>
      </c>
      <c r="G651" s="1954" t="str">
        <f>VLOOKUP(F651,$C$654:$D$655,2,FALSE)</f>
        <v>회사 사업계획 준용</v>
      </c>
      <c r="H651" s="12"/>
      <c r="I651" s="12"/>
      <c r="J651" s="4273">
        <f>'SG&amp;A'!J94</f>
        <v>31</v>
      </c>
      <c r="K651" s="4274">
        <f>'SG&amp;A'!K94</f>
        <v>29</v>
      </c>
      <c r="L651" s="4274">
        <f>'SG&amp;A'!L94</f>
        <v>30</v>
      </c>
      <c r="M651" s="4275">
        <f>'SG&amp;A'!M94</f>
        <v>32</v>
      </c>
      <c r="N651" s="12">
        <f>M651</f>
        <v>32</v>
      </c>
      <c r="O651" s="12">
        <f>N651</f>
        <v>32</v>
      </c>
      <c r="P651" s="12">
        <f>CHOOSE($F651,O651,SUM(Torecom_인건비!Q6:Q7))</f>
        <v>32</v>
      </c>
      <c r="Q651" s="12">
        <f>CHOOSE($F651,P651,SUM(Torecom_인건비!R6:R7))</f>
        <v>32</v>
      </c>
      <c r="R651" s="12">
        <f>CHOOSE($F651,Q651,SUM(Torecom_인건비!S6:S7))</f>
        <v>32</v>
      </c>
      <c r="S651" s="12">
        <f>CHOOSE($F651,R651,R651)</f>
        <v>32</v>
      </c>
      <c r="T651" s="12">
        <f>CHOOSE($F651,S651,S651)</f>
        <v>32</v>
      </c>
      <c r="V651" s="1960"/>
      <c r="W651" s="1960">
        <v>2</v>
      </c>
      <c r="X651" s="1960"/>
      <c r="Y651" s="1950" t="str">
        <f>INDEX($V$650:$X$650,1,MATCH($F651,$V651:$X651,0))</f>
        <v>Base</v>
      </c>
    </row>
    <row r="652" spans="1:25" ht="12" customHeight="1">
      <c r="B652" s="1953"/>
    </row>
    <row r="653" spans="1:25" ht="12" customHeight="1">
      <c r="C653" s="1950" t="s">
        <v>3464</v>
      </c>
      <c r="D653" s="1957" t="s">
        <v>3469</v>
      </c>
      <c r="E653" s="1957"/>
      <c r="F653" s="1957"/>
      <c r="G653" s="1957"/>
      <c r="H653" s="1957"/>
      <c r="I653" s="1957"/>
      <c r="J653" s="1957"/>
      <c r="K653" s="1957"/>
      <c r="L653" s="1957"/>
      <c r="M653" s="1957"/>
      <c r="N653" s="1957"/>
      <c r="O653" s="1957"/>
      <c r="P653" s="1957"/>
      <c r="Q653" s="1957"/>
      <c r="R653" s="1957"/>
      <c r="S653" s="1957"/>
      <c r="T653" s="1957"/>
    </row>
    <row r="654" spans="1:25" ht="12" customHeight="1">
      <c r="C654" s="4149">
        <v>1</v>
      </c>
      <c r="D654" s="4150" t="s">
        <v>6641</v>
      </c>
      <c r="E654" s="4150"/>
      <c r="F654" s="4150"/>
      <c r="G654" s="4150"/>
      <c r="H654" s="4150"/>
      <c r="I654" s="4150"/>
      <c r="J654" s="4150"/>
      <c r="K654" s="4150"/>
      <c r="L654" s="4150"/>
      <c r="M654" s="4150"/>
      <c r="N654" s="4150"/>
      <c r="O654" s="4150"/>
      <c r="P654" s="4150"/>
      <c r="Q654" s="4150"/>
      <c r="R654" s="4150"/>
      <c r="S654" s="4150"/>
      <c r="T654" s="4150"/>
    </row>
    <row r="655" spans="1:25" ht="12" customHeight="1">
      <c r="C655" s="1950">
        <v>2</v>
      </c>
      <c r="D655" s="12" t="s">
        <v>6642</v>
      </c>
      <c r="E655" s="12"/>
      <c r="F655" s="12"/>
      <c r="G655" s="12"/>
      <c r="H655" s="12"/>
      <c r="I655" s="12"/>
      <c r="J655" s="12"/>
      <c r="K655" s="12"/>
      <c r="L655" s="12"/>
      <c r="M655" s="12"/>
      <c r="N655" s="12"/>
      <c r="O655" s="12"/>
      <c r="P655" s="12"/>
      <c r="Q655" s="12"/>
      <c r="R655" s="12"/>
      <c r="S655" s="12"/>
      <c r="T655" s="12"/>
    </row>
    <row r="656" spans="1:25" ht="12" customHeight="1">
      <c r="E656" s="110"/>
      <c r="J656" s="246"/>
      <c r="K656" s="246"/>
      <c r="L656" s="246"/>
      <c r="M656" s="246"/>
      <c r="N656" s="245"/>
      <c r="O656" s="246"/>
      <c r="P656" s="245"/>
      <c r="Q656" s="245"/>
      <c r="R656" s="245"/>
      <c r="S656" s="245"/>
      <c r="T656" s="245"/>
      <c r="U656" s="289"/>
      <c r="V656" s="110"/>
      <c r="W656" s="110"/>
      <c r="X656" s="110"/>
      <c r="Y656" s="110"/>
    </row>
    <row r="657" spans="2:25" ht="12" customHeight="1">
      <c r="E657" s="110"/>
      <c r="F657" s="4276"/>
      <c r="G657" s="289"/>
      <c r="J657" s="246"/>
      <c r="K657" s="246"/>
      <c r="L657" s="246"/>
      <c r="M657" s="246"/>
      <c r="N657" s="245"/>
      <c r="O657" s="245"/>
      <c r="P657" s="245"/>
      <c r="Q657" s="245"/>
      <c r="R657" s="245"/>
      <c r="S657" s="245"/>
      <c r="T657" s="245"/>
      <c r="U657" s="289"/>
      <c r="V657" s="110"/>
      <c r="W657" s="110"/>
      <c r="X657" s="110"/>
      <c r="Y657" s="110"/>
    </row>
    <row r="658" spans="2:25" ht="12" customHeight="1">
      <c r="B658" s="32" t="s">
        <v>6643</v>
      </c>
    </row>
    <row r="659" spans="2:25" ht="12" customHeight="1">
      <c r="B659" s="4027"/>
      <c r="C659" s="4027"/>
      <c r="D659" s="4027"/>
      <c r="E659" s="4027"/>
      <c r="F659" s="4027"/>
      <c r="G659" s="4027"/>
      <c r="H659" s="4027"/>
      <c r="I659" s="4027"/>
      <c r="J659" s="25" t="s">
        <v>23</v>
      </c>
      <c r="K659" s="26"/>
      <c r="L659" s="26"/>
      <c r="M659" s="27"/>
      <c r="N659" s="26" t="s">
        <v>24</v>
      </c>
      <c r="O659" s="26"/>
      <c r="P659" s="26"/>
      <c r="Q659" s="26"/>
      <c r="R659" s="26"/>
      <c r="S659" s="26"/>
      <c r="T659" s="26"/>
      <c r="V659" s="2041" t="s">
        <v>3650</v>
      </c>
      <c r="W659" s="2041"/>
      <c r="X659" s="2041"/>
      <c r="Y659" s="2041"/>
    </row>
    <row r="660" spans="2:25" ht="12" customHeight="1" thickBot="1">
      <c r="B660" s="28"/>
      <c r="C660" s="28"/>
      <c r="D660" s="28"/>
      <c r="E660" s="1949" t="s">
        <v>2889</v>
      </c>
      <c r="F660" s="1949" t="s">
        <v>3464</v>
      </c>
      <c r="G660" s="28"/>
      <c r="H660" s="28"/>
      <c r="I660" s="28"/>
      <c r="J660" s="29" t="s">
        <v>69</v>
      </c>
      <c r="K660" s="30" t="s">
        <v>27</v>
      </c>
      <c r="L660" s="30" t="s">
        <v>60</v>
      </c>
      <c r="M660" s="31" t="s">
        <v>5104</v>
      </c>
      <c r="N660" s="30" t="s">
        <v>5174</v>
      </c>
      <c r="O660" s="30" t="s">
        <v>70</v>
      </c>
      <c r="P660" s="30" t="s">
        <v>71</v>
      </c>
      <c r="Q660" s="30" t="s">
        <v>72</v>
      </c>
      <c r="R660" s="30" t="s">
        <v>73</v>
      </c>
      <c r="S660" s="30" t="s">
        <v>74</v>
      </c>
      <c r="T660" s="30" t="s">
        <v>5102</v>
      </c>
      <c r="V660" s="290" t="s">
        <v>3651</v>
      </c>
      <c r="W660" s="290" t="s">
        <v>3652</v>
      </c>
      <c r="X660" s="290" t="s">
        <v>3653</v>
      </c>
      <c r="Y660" s="290" t="s">
        <v>3740</v>
      </c>
    </row>
    <row r="661" spans="2:25" ht="12" customHeight="1" thickBot="1">
      <c r="B661" s="12" t="s">
        <v>6588</v>
      </c>
      <c r="C661" s="12"/>
      <c r="D661" s="12"/>
      <c r="E661" s="1950" t="s">
        <v>6589</v>
      </c>
      <c r="F661" s="3005">
        <v>2</v>
      </c>
      <c r="G661" s="1954" t="str">
        <f>VLOOKUP(F661,$C$664:$D$665,2,FALSE)</f>
        <v>2021 3m(E)는 2021 9m(A) 수준 유지, 이후 명목임금상승률 수준의 성장 가정</v>
      </c>
      <c r="H661" s="12"/>
      <c r="I661" s="12"/>
      <c r="J661" s="3068">
        <f>'SG&amp;A'!J95</f>
        <v>34.775975387096778</v>
      </c>
      <c r="K661" s="3069">
        <f>'SG&amp;A'!K95</f>
        <v>37.837176655172414</v>
      </c>
      <c r="L661" s="3069">
        <f>'SG&amp;A'!L95</f>
        <v>45.9296601</v>
      </c>
      <c r="M661" s="3070">
        <f>'SG&amp;A'!M95</f>
        <v>39.487351958333335</v>
      </c>
      <c r="N661" s="3849">
        <f>M661</f>
        <v>39.487351958333335</v>
      </c>
      <c r="O661" s="3849">
        <f>N661</f>
        <v>39.487351958333335</v>
      </c>
      <c r="P661" s="3849">
        <f>CHOOSE($F661,O661,O661*(1+General!J$13))</f>
        <v>40.671972517083333</v>
      </c>
      <c r="Q661" s="3849">
        <f>CHOOSE($F661,P661,P661*(1+General!K$13))</f>
        <v>41.444739994907913</v>
      </c>
      <c r="R661" s="3849">
        <f>CHOOSE($F661,Q661,Q661*(1+General!L$13))</f>
        <v>43.061084854709321</v>
      </c>
      <c r="S661" s="3849">
        <f>CHOOSE($F661,R661,R661*(1+General!M$13))</f>
        <v>44.482100654914724</v>
      </c>
      <c r="T661" s="3849">
        <f>CHOOSE($F661,S661,S661*(1+General!N$13))</f>
        <v>46.305866781766227</v>
      </c>
      <c r="V661" s="1950"/>
      <c r="W661" s="1950">
        <v>2</v>
      </c>
      <c r="X661" s="1950"/>
      <c r="Y661" s="1950" t="str">
        <f>INDEX($V$660:$X$660,1,MATCH($F661,$V661:$X661,0))</f>
        <v>Base</v>
      </c>
    </row>
    <row r="662" spans="2:25" ht="12" customHeight="1">
      <c r="B662" s="1953"/>
    </row>
    <row r="663" spans="2:25" ht="12" customHeight="1">
      <c r="C663" s="1950" t="s">
        <v>3464</v>
      </c>
      <c r="D663" s="1957" t="s">
        <v>3469</v>
      </c>
      <c r="E663" s="1957"/>
      <c r="F663" s="1957"/>
      <c r="G663" s="1957"/>
      <c r="H663" s="1957"/>
      <c r="I663" s="1957"/>
      <c r="J663" s="1957"/>
      <c r="K663" s="1957"/>
      <c r="L663" s="1957"/>
      <c r="M663" s="1957"/>
      <c r="N663" s="1957"/>
      <c r="O663" s="1957"/>
      <c r="P663" s="1957"/>
      <c r="Q663" s="1957"/>
      <c r="R663" s="1957"/>
      <c r="S663" s="1957"/>
      <c r="T663" s="1957"/>
    </row>
    <row r="664" spans="2:25" ht="12" customHeight="1">
      <c r="C664" s="4149">
        <v>1</v>
      </c>
      <c r="D664" s="4150" t="s">
        <v>6641</v>
      </c>
      <c r="E664" s="4150"/>
      <c r="F664" s="4150"/>
      <c r="G664" s="4150"/>
      <c r="H664" s="4150"/>
      <c r="I664" s="4150"/>
      <c r="J664" s="4150"/>
      <c r="K664" s="4150"/>
      <c r="L664" s="4150"/>
      <c r="M664" s="4150"/>
      <c r="N664" s="4150"/>
      <c r="O664" s="4150"/>
      <c r="P664" s="4150"/>
      <c r="Q664" s="4150"/>
      <c r="R664" s="4150"/>
      <c r="S664" s="4150"/>
      <c r="T664" s="4150"/>
    </row>
    <row r="665" spans="2:25" ht="12" customHeight="1">
      <c r="C665" s="1950">
        <v>2</v>
      </c>
      <c r="D665" s="12" t="s">
        <v>6644</v>
      </c>
      <c r="E665" s="12"/>
      <c r="F665" s="12"/>
      <c r="G665" s="12"/>
      <c r="H665" s="12"/>
      <c r="I665" s="12"/>
      <c r="J665" s="12"/>
      <c r="K665" s="12"/>
      <c r="L665" s="12"/>
      <c r="M665" s="12"/>
      <c r="N665" s="12"/>
      <c r="O665" s="12"/>
      <c r="P665" s="12"/>
      <c r="Q665" s="12"/>
      <c r="R665" s="12"/>
      <c r="S665" s="12"/>
      <c r="T665" s="12"/>
    </row>
    <row r="666" spans="2:25" ht="12" customHeight="1">
      <c r="E666" s="110"/>
      <c r="J666" s="246"/>
      <c r="K666" s="246"/>
      <c r="L666" s="246"/>
      <c r="M666" s="246"/>
      <c r="N666" s="245"/>
      <c r="O666" s="246"/>
      <c r="P666" s="245"/>
      <c r="Q666" s="245"/>
      <c r="R666" s="245"/>
      <c r="S666" s="245"/>
      <c r="T666" s="245"/>
      <c r="U666" s="289"/>
      <c r="V666" s="110"/>
      <c r="W666" s="110"/>
      <c r="X666" s="110"/>
      <c r="Y666" s="110"/>
    </row>
    <row r="667" spans="2:25" ht="12" customHeight="1">
      <c r="E667" s="110"/>
      <c r="F667" s="4276"/>
      <c r="G667" s="289"/>
      <c r="J667" s="246"/>
      <c r="K667" s="246"/>
      <c r="L667" s="246"/>
      <c r="M667" s="246"/>
      <c r="N667" s="245"/>
      <c r="O667" s="245"/>
      <c r="P667" s="245"/>
      <c r="Q667" s="245"/>
      <c r="R667" s="245"/>
      <c r="S667" s="245"/>
      <c r="T667" s="245"/>
      <c r="U667" s="289"/>
      <c r="V667" s="110"/>
      <c r="W667" s="110"/>
      <c r="X667" s="110"/>
      <c r="Y667" s="110"/>
    </row>
    <row r="668" spans="2:25" ht="12" customHeight="1">
      <c r="B668" s="32" t="s">
        <v>6661</v>
      </c>
    </row>
    <row r="669" spans="2:25" ht="12" customHeight="1">
      <c r="B669" s="4027"/>
      <c r="C669" s="4027"/>
      <c r="D669" s="4027"/>
      <c r="E669" s="4027"/>
      <c r="F669" s="4027"/>
      <c r="G669" s="4027"/>
      <c r="H669" s="4027"/>
      <c r="I669" s="4027"/>
      <c r="J669" s="25" t="s">
        <v>23</v>
      </c>
      <c r="K669" s="26"/>
      <c r="L669" s="26"/>
      <c r="M669" s="27"/>
      <c r="N669" s="26" t="s">
        <v>24</v>
      </c>
      <c r="O669" s="26"/>
      <c r="P669" s="26"/>
      <c r="Q669" s="26"/>
      <c r="R669" s="26"/>
      <c r="S669" s="26"/>
      <c r="T669" s="26"/>
      <c r="V669" s="2041" t="s">
        <v>3650</v>
      </c>
      <c r="W669" s="2041"/>
      <c r="X669" s="2041"/>
      <c r="Y669" s="2041"/>
    </row>
    <row r="670" spans="2:25" ht="12" customHeight="1" thickBot="1">
      <c r="B670" s="28"/>
      <c r="C670" s="28"/>
      <c r="D670" s="28"/>
      <c r="E670" s="1949" t="s">
        <v>2889</v>
      </c>
      <c r="F670" s="1949" t="s">
        <v>3464</v>
      </c>
      <c r="G670" s="28"/>
      <c r="H670" s="28"/>
      <c r="I670" s="28"/>
      <c r="J670" s="29" t="s">
        <v>69</v>
      </c>
      <c r="K670" s="30" t="s">
        <v>27</v>
      </c>
      <c r="L670" s="30" t="s">
        <v>60</v>
      </c>
      <c r="M670" s="31" t="s">
        <v>5104</v>
      </c>
      <c r="N670" s="30" t="s">
        <v>5174</v>
      </c>
      <c r="O670" s="30" t="s">
        <v>70</v>
      </c>
      <c r="P670" s="30" t="s">
        <v>71</v>
      </c>
      <c r="Q670" s="30" t="s">
        <v>72</v>
      </c>
      <c r="R670" s="30" t="s">
        <v>73</v>
      </c>
      <c r="S670" s="30" t="s">
        <v>74</v>
      </c>
      <c r="T670" s="30" t="s">
        <v>5102</v>
      </c>
      <c r="V670" s="290" t="s">
        <v>3651</v>
      </c>
      <c r="W670" s="290" t="s">
        <v>3652</v>
      </c>
      <c r="X670" s="290" t="s">
        <v>3653</v>
      </c>
      <c r="Y670" s="290" t="s">
        <v>3740</v>
      </c>
    </row>
    <row r="671" spans="2:25" ht="12" customHeight="1" thickBot="1">
      <c r="B671" s="3" t="s">
        <v>6645</v>
      </c>
      <c r="E671" s="110" t="s">
        <v>360</v>
      </c>
      <c r="F671" s="3005">
        <v>2</v>
      </c>
      <c r="G671" s="4319" t="str">
        <f>VLOOKUP(F671,$C$676:$D$677,2,FALSE)</f>
        <v>2021 3m(E)는 2021 9m(A) 수준 유지, 이후 과거 평균 비율 유지 가정</v>
      </c>
      <c r="J671" s="4277">
        <f>'SG&amp;A'!J97</f>
        <v>0.21900816850259408</v>
      </c>
      <c r="K671" s="4278">
        <f>'SG&amp;A'!K97</f>
        <v>0.29898694881753329</v>
      </c>
      <c r="L671" s="4278">
        <f>'SG&amp;A'!L97</f>
        <v>0.25503512054076793</v>
      </c>
      <c r="M671" s="4279">
        <f>'SG&amp;A'!M97</f>
        <v>0.24539201738718769</v>
      </c>
      <c r="N671" s="2631">
        <f>M671</f>
        <v>0.24539201738718769</v>
      </c>
      <c r="O671" s="2631">
        <f t="shared" ref="O671:O673" si="101">N671</f>
        <v>0.24539201738718769</v>
      </c>
      <c r="P671" s="2631">
        <f>CHOOSE($F671,O671,AVERAGE($J671:$M671))</f>
        <v>0.25460556381202076</v>
      </c>
      <c r="Q671" s="2631">
        <f t="shared" ref="Q671:T671" si="102">CHOOSE($F671,P671,AVERAGE($J671:$M671))</f>
        <v>0.25460556381202076</v>
      </c>
      <c r="R671" s="2631">
        <f t="shared" si="102"/>
        <v>0.25460556381202076</v>
      </c>
      <c r="S671" s="2631">
        <f t="shared" si="102"/>
        <v>0.25460556381202076</v>
      </c>
      <c r="T671" s="2631">
        <f t="shared" si="102"/>
        <v>0.25460556381202076</v>
      </c>
      <c r="V671" s="4149"/>
      <c r="W671" s="4149">
        <v>2</v>
      </c>
      <c r="X671" s="4149"/>
      <c r="Y671" s="110" t="str">
        <f>INDEX($V$670:$X$670,1,MATCH($F671,$V671:$X671,0))</f>
        <v>Base</v>
      </c>
    </row>
    <row r="672" spans="2:25" ht="12" customHeight="1" thickBot="1">
      <c r="B672" s="3" t="s">
        <v>6646</v>
      </c>
      <c r="E672" s="110" t="s">
        <v>360</v>
      </c>
      <c r="F672" s="3005">
        <v>2</v>
      </c>
      <c r="G672" s="289" t="str">
        <f t="shared" ref="G672:G673" si="103">VLOOKUP(F672,$C$676:$D$677,2,FALSE)</f>
        <v>2021 3m(E)는 2021 9m(A) 수준 유지, 이후 과거 평균 비율 유지 가정</v>
      </c>
      <c r="J672" s="4280">
        <f>'SG&amp;A'!J99</f>
        <v>0.12156423391132785</v>
      </c>
      <c r="K672" s="4278">
        <f>'SG&amp;A'!K99</f>
        <v>0.13267670606789267</v>
      </c>
      <c r="L672" s="4278">
        <f>'SG&amp;A'!L99</f>
        <v>9.9712777248849402E-2</v>
      </c>
      <c r="M672" s="4279">
        <f>'SG&amp;A'!M99</f>
        <v>0.11506583499937928</v>
      </c>
      <c r="N672" s="2631">
        <f>M672</f>
        <v>0.11506583499937928</v>
      </c>
      <c r="O672" s="2631">
        <f t="shared" si="101"/>
        <v>0.11506583499937928</v>
      </c>
      <c r="P672" s="2631">
        <f t="shared" ref="P672:T673" si="104">CHOOSE($F672,O672,AVERAGE($J672:$M672))</f>
        <v>0.11725488805686231</v>
      </c>
      <c r="Q672" s="2631">
        <f t="shared" si="104"/>
        <v>0.11725488805686231</v>
      </c>
      <c r="R672" s="2631">
        <f t="shared" si="104"/>
        <v>0.11725488805686231</v>
      </c>
      <c r="S672" s="2631">
        <f t="shared" si="104"/>
        <v>0.11725488805686231</v>
      </c>
      <c r="T672" s="2631">
        <f t="shared" si="104"/>
        <v>0.11725488805686231</v>
      </c>
      <c r="V672" s="110"/>
      <c r="W672" s="110">
        <v>2</v>
      </c>
      <c r="X672" s="110"/>
      <c r="Y672" s="110" t="str">
        <f t="shared" ref="Y672:Y673" si="105">INDEX($V$670:$X$670,1,MATCH($F672,$V672:$X672,0))</f>
        <v>Base</v>
      </c>
    </row>
    <row r="673" spans="2:25" ht="12" customHeight="1" thickBot="1">
      <c r="B673" s="12" t="s">
        <v>6662</v>
      </c>
      <c r="C673" s="12"/>
      <c r="D673" s="12"/>
      <c r="E673" s="1950" t="s">
        <v>360</v>
      </c>
      <c r="F673" s="3005">
        <v>2</v>
      </c>
      <c r="G673" s="1954" t="str">
        <f t="shared" si="103"/>
        <v>2021 3m(E)는 2021 9m(A) 수준 유지, 이후 과거 평균 비율 유지 가정</v>
      </c>
      <c r="H673" s="12"/>
      <c r="I673" s="12"/>
      <c r="J673" s="4281">
        <f>'SG&amp;A'!J101</f>
        <v>0.24063086017919877</v>
      </c>
      <c r="K673" s="4282">
        <f>'SG&amp;A'!K101</f>
        <v>0.23754328600607669</v>
      </c>
      <c r="L673" s="4282">
        <f>'SG&amp;A'!L101</f>
        <v>0.25316828402423408</v>
      </c>
      <c r="M673" s="4283">
        <f>'SG&amp;A'!M101</f>
        <v>0.26426679533599645</v>
      </c>
      <c r="N673" s="2632">
        <f>M673</f>
        <v>0.26426679533599645</v>
      </c>
      <c r="O673" s="2991">
        <f t="shared" si="101"/>
        <v>0.26426679533599645</v>
      </c>
      <c r="P673" s="2991">
        <f t="shared" si="104"/>
        <v>0.2489023063863765</v>
      </c>
      <c r="Q673" s="2991">
        <f t="shared" si="104"/>
        <v>0.2489023063863765</v>
      </c>
      <c r="R673" s="2991">
        <f t="shared" si="104"/>
        <v>0.2489023063863765</v>
      </c>
      <c r="S673" s="2991">
        <f t="shared" si="104"/>
        <v>0.2489023063863765</v>
      </c>
      <c r="T673" s="2991">
        <f t="shared" si="104"/>
        <v>0.2489023063863765</v>
      </c>
      <c r="V673" s="1950"/>
      <c r="W673" s="1950">
        <v>2</v>
      </c>
      <c r="X673" s="1950"/>
      <c r="Y673" s="1950" t="str">
        <f t="shared" si="105"/>
        <v>Base</v>
      </c>
    </row>
    <row r="674" spans="2:25" ht="12" customHeight="1">
      <c r="B674" s="1953"/>
    </row>
    <row r="675" spans="2:25" ht="12" customHeight="1">
      <c r="C675" s="1950" t="s">
        <v>3464</v>
      </c>
      <c r="D675" s="1957" t="s">
        <v>3469</v>
      </c>
      <c r="E675" s="1957"/>
      <c r="F675" s="1957"/>
      <c r="G675" s="1957"/>
      <c r="H675" s="1957"/>
      <c r="I675" s="1957"/>
      <c r="J675" s="1957"/>
      <c r="K675" s="1957"/>
      <c r="L675" s="1957"/>
      <c r="M675" s="1957"/>
      <c r="N675" s="1957"/>
      <c r="O675" s="1957"/>
      <c r="P675" s="1957"/>
      <c r="Q675" s="1957"/>
      <c r="R675" s="1957"/>
      <c r="S675" s="1957"/>
      <c r="T675" s="1957"/>
    </row>
    <row r="676" spans="2:25" ht="12" customHeight="1">
      <c r="C676" s="4149">
        <v>1</v>
      </c>
      <c r="D676" s="4150" t="s">
        <v>6641</v>
      </c>
      <c r="E676" s="4150"/>
      <c r="F676" s="4150"/>
      <c r="G676" s="4150"/>
      <c r="H676" s="4150"/>
      <c r="I676" s="4150"/>
      <c r="J676" s="4150"/>
      <c r="K676" s="4150"/>
      <c r="L676" s="4150"/>
      <c r="M676" s="4150"/>
      <c r="N676" s="4150"/>
      <c r="O676" s="4150"/>
      <c r="P676" s="4150"/>
      <c r="Q676" s="4150"/>
      <c r="R676" s="4150"/>
      <c r="S676" s="4150"/>
      <c r="T676" s="4150"/>
    </row>
    <row r="677" spans="2:25" ht="12" customHeight="1">
      <c r="C677" s="1950">
        <v>2</v>
      </c>
      <c r="D677" s="12" t="s">
        <v>6648</v>
      </c>
      <c r="E677" s="12"/>
      <c r="F677" s="12"/>
      <c r="G677" s="12"/>
      <c r="H677" s="12"/>
      <c r="I677" s="12"/>
      <c r="J677" s="12"/>
      <c r="K677" s="12"/>
      <c r="L677" s="12"/>
      <c r="M677" s="12"/>
      <c r="N677" s="12"/>
      <c r="O677" s="12"/>
      <c r="P677" s="12"/>
      <c r="Q677" s="12"/>
      <c r="R677" s="12"/>
      <c r="S677" s="12"/>
      <c r="T677" s="12"/>
    </row>
    <row r="679" spans="2:25" ht="12" customHeight="1">
      <c r="B679" s="32" t="s">
        <v>6664</v>
      </c>
    </row>
    <row r="680" spans="2:25" ht="12" customHeight="1">
      <c r="B680" s="4027"/>
      <c r="C680" s="4027"/>
      <c r="D680" s="4027"/>
      <c r="E680" s="4027"/>
      <c r="F680" s="4027"/>
      <c r="G680" s="4027"/>
      <c r="H680" s="4027"/>
      <c r="I680" s="4027"/>
      <c r="J680" s="25" t="s">
        <v>23</v>
      </c>
      <c r="K680" s="26"/>
      <c r="L680" s="26"/>
      <c r="M680" s="27"/>
      <c r="N680" s="26" t="s">
        <v>24</v>
      </c>
      <c r="O680" s="26"/>
      <c r="P680" s="26"/>
      <c r="Q680" s="26"/>
      <c r="R680" s="26"/>
      <c r="S680" s="26"/>
      <c r="T680" s="26"/>
      <c r="V680" s="2041" t="s">
        <v>3650</v>
      </c>
      <c r="W680" s="2041"/>
      <c r="X680" s="2041"/>
      <c r="Y680" s="2041"/>
    </row>
    <row r="681" spans="2:25" ht="12" customHeight="1" thickBot="1">
      <c r="B681" s="28"/>
      <c r="C681" s="28"/>
      <c r="D681" s="28"/>
      <c r="E681" s="1949" t="s">
        <v>2889</v>
      </c>
      <c r="F681" s="1949" t="s">
        <v>3464</v>
      </c>
      <c r="G681" s="28"/>
      <c r="H681" s="28"/>
      <c r="I681" s="28"/>
      <c r="J681" s="29" t="s">
        <v>69</v>
      </c>
      <c r="K681" s="30" t="s">
        <v>27</v>
      </c>
      <c r="L681" s="30" t="s">
        <v>60</v>
      </c>
      <c r="M681" s="31" t="s">
        <v>5104</v>
      </c>
      <c r="N681" s="30" t="s">
        <v>5174</v>
      </c>
      <c r="O681" s="30" t="s">
        <v>70</v>
      </c>
      <c r="P681" s="30" t="s">
        <v>71</v>
      </c>
      <c r="Q681" s="30" t="s">
        <v>72</v>
      </c>
      <c r="R681" s="30" t="s">
        <v>73</v>
      </c>
      <c r="S681" s="30" t="s">
        <v>74</v>
      </c>
      <c r="T681" s="30" t="s">
        <v>5102</v>
      </c>
      <c r="V681" s="290" t="s">
        <v>3651</v>
      </c>
      <c r="W681" s="290" t="s">
        <v>3652</v>
      </c>
      <c r="X681" s="290" t="s">
        <v>3653</v>
      </c>
      <c r="Y681" s="290" t="s">
        <v>3740</v>
      </c>
    </row>
    <row r="682" spans="2:25" ht="12" customHeight="1" thickBot="1">
      <c r="B682" s="12" t="s">
        <v>6720</v>
      </c>
      <c r="C682" s="12"/>
      <c r="D682" s="12"/>
      <c r="E682" s="1950" t="s">
        <v>360</v>
      </c>
      <c r="F682" s="3005">
        <v>1</v>
      </c>
      <c r="G682" s="1954" t="str">
        <f>VLOOKUP(F682,$C$687:$D$688,2,FALSE)</f>
        <v>현재 수준 유지 가정</v>
      </c>
      <c r="H682" s="12"/>
      <c r="I682" s="303"/>
      <c r="J682" s="3066">
        <f>'SG&amp;A'!J106</f>
        <v>2.1558183341015036E-4</v>
      </c>
      <c r="K682" s="3066">
        <f>'SG&amp;A'!K106</f>
        <v>5.3058495020409218E-5</v>
      </c>
      <c r="L682" s="3066">
        <f>'SG&amp;A'!L106</f>
        <v>1.6035828827983342E-4</v>
      </c>
      <c r="M682" s="3067">
        <f>'SG&amp;A'!M106</f>
        <v>1.5333723345052662E-4</v>
      </c>
      <c r="N682" s="1980">
        <f>CHOOSE($F$682,$M$682,$M$682)</f>
        <v>1.5333723345052662E-4</v>
      </c>
      <c r="O682" s="4330">
        <f>'SG&amp;A'!O106</f>
        <v>1.5333723345052665E-4</v>
      </c>
      <c r="P682" s="4330">
        <f>CHOOSE($F$682,$M$682,AVERAGE($J$682:$M$682))</f>
        <v>1.5333723345052662E-4</v>
      </c>
      <c r="Q682" s="4330">
        <f t="shared" ref="Q682:T682" si="106">CHOOSE($F$682,$M$682,AVERAGE($J$682:$M$682))</f>
        <v>1.5333723345052662E-4</v>
      </c>
      <c r="R682" s="4330">
        <f t="shared" si="106"/>
        <v>1.5333723345052662E-4</v>
      </c>
      <c r="S682" s="4330">
        <f t="shared" si="106"/>
        <v>1.5333723345052662E-4</v>
      </c>
      <c r="T682" s="4330">
        <f t="shared" si="106"/>
        <v>1.5333723345052662E-4</v>
      </c>
      <c r="U682" s="289"/>
      <c r="V682" s="1950"/>
      <c r="W682" s="1950">
        <v>1</v>
      </c>
      <c r="X682" s="1950"/>
      <c r="Y682" s="1950" t="str">
        <f>INDEX($V$681:$X$681,1,MATCH($F682,$V682:$X682,0))</f>
        <v>Base</v>
      </c>
    </row>
    <row r="683" spans="2:25" ht="12" customHeight="1">
      <c r="B683" s="1953" t="s">
        <v>351</v>
      </c>
      <c r="G683" s="289"/>
      <c r="J683" s="221"/>
      <c r="K683" s="221"/>
      <c r="L683" s="221"/>
      <c r="M683" s="221"/>
      <c r="N683" s="105"/>
      <c r="O683" s="4331"/>
      <c r="P683" s="320"/>
      <c r="Q683" s="320"/>
      <c r="R683" s="320"/>
      <c r="S683" s="320"/>
      <c r="T683" s="320"/>
      <c r="U683" s="289"/>
      <c r="V683" s="110"/>
      <c r="W683" s="110"/>
      <c r="X683" s="110"/>
      <c r="Y683" s="110"/>
    </row>
    <row r="684" spans="2:25" ht="12" customHeight="1">
      <c r="B684" s="3" t="s">
        <v>6721</v>
      </c>
      <c r="G684" s="289"/>
      <c r="J684" s="221"/>
      <c r="K684" s="221"/>
      <c r="L684" s="221"/>
      <c r="M684" s="221"/>
      <c r="N684" s="105"/>
      <c r="O684" s="4331"/>
      <c r="P684" s="320"/>
      <c r="Q684" s="320"/>
      <c r="R684" s="320"/>
      <c r="S684" s="320"/>
      <c r="T684" s="320"/>
      <c r="U684" s="289"/>
      <c r="V684" s="110"/>
      <c r="W684" s="110"/>
      <c r="X684" s="110"/>
      <c r="Y684" s="110"/>
    </row>
    <row r="685" spans="2:25" ht="12" customHeight="1">
      <c r="B685" s="3" t="s">
        <v>3499</v>
      </c>
      <c r="G685" s="289"/>
      <c r="J685" s="221"/>
      <c r="K685" s="221"/>
      <c r="L685" s="221"/>
      <c r="M685" s="221"/>
      <c r="N685" s="105"/>
      <c r="O685" s="4331"/>
      <c r="P685" s="320"/>
      <c r="Q685" s="320"/>
      <c r="R685" s="320"/>
      <c r="S685" s="320"/>
      <c r="T685" s="320"/>
      <c r="U685" s="289"/>
      <c r="V685" s="110"/>
      <c r="W685" s="110"/>
      <c r="X685" s="110"/>
      <c r="Y685" s="110"/>
    </row>
    <row r="686" spans="2:25" ht="12" customHeight="1">
      <c r="C686" s="1950" t="s">
        <v>3464</v>
      </c>
      <c r="D686" s="1957" t="s">
        <v>3469</v>
      </c>
      <c r="E686" s="1957"/>
      <c r="F686" s="1957"/>
      <c r="G686" s="1957"/>
      <c r="H686" s="1957"/>
      <c r="I686" s="1957"/>
      <c r="J686" s="1957"/>
      <c r="K686" s="1957"/>
      <c r="L686" s="1957"/>
      <c r="M686" s="1957"/>
      <c r="N686" s="1957"/>
      <c r="O686" s="1957"/>
      <c r="P686" s="1957"/>
      <c r="Q686" s="1957"/>
      <c r="R686" s="1957"/>
      <c r="S686" s="1957"/>
      <c r="T686" s="1957"/>
    </row>
    <row r="687" spans="2:25" ht="12" customHeight="1">
      <c r="C687" s="4149">
        <v>1</v>
      </c>
      <c r="D687" s="4150" t="s">
        <v>6641</v>
      </c>
      <c r="E687" s="4150"/>
      <c r="F687" s="4150"/>
      <c r="G687" s="4150"/>
      <c r="H687" s="4150"/>
      <c r="I687" s="4150"/>
      <c r="J687" s="4150"/>
      <c r="K687" s="4150"/>
      <c r="L687" s="4150"/>
      <c r="M687" s="4150"/>
      <c r="N687" s="4150"/>
      <c r="O687" s="4150"/>
      <c r="P687" s="4150"/>
      <c r="Q687" s="4150"/>
      <c r="R687" s="4150"/>
      <c r="S687" s="4150"/>
      <c r="T687" s="4150"/>
    </row>
    <row r="688" spans="2:25" ht="12" customHeight="1">
      <c r="C688" s="1950">
        <v>2</v>
      </c>
      <c r="D688" s="12" t="s">
        <v>6505</v>
      </c>
      <c r="E688" s="12"/>
      <c r="F688" s="12"/>
      <c r="G688" s="12"/>
      <c r="H688" s="12"/>
      <c r="I688" s="12"/>
      <c r="J688" s="12"/>
      <c r="K688" s="12"/>
      <c r="L688" s="12"/>
      <c r="M688" s="12"/>
      <c r="N688" s="12"/>
      <c r="O688" s="12"/>
      <c r="P688" s="12"/>
      <c r="Q688" s="12"/>
      <c r="R688" s="12"/>
      <c r="S688" s="12"/>
      <c r="T688" s="12"/>
    </row>
    <row r="690" spans="1:25" ht="12" customHeight="1">
      <c r="A690" s="1965"/>
      <c r="B690" s="1965"/>
      <c r="C690" s="1964" t="s">
        <v>6666</v>
      </c>
      <c r="D690" s="1965"/>
      <c r="E690" s="1965"/>
      <c r="F690" s="1965"/>
      <c r="G690" s="1965"/>
      <c r="H690" s="1965"/>
      <c r="I690" s="1965"/>
      <c r="J690" s="1965"/>
      <c r="K690" s="1965"/>
      <c r="L690" s="1965"/>
      <c r="M690" s="1965"/>
      <c r="N690" s="1965"/>
      <c r="O690" s="1965"/>
      <c r="P690" s="1965"/>
      <c r="Q690" s="1965"/>
      <c r="R690" s="1965"/>
      <c r="S690" s="1965"/>
      <c r="T690" s="1965"/>
      <c r="U690" s="1965"/>
      <c r="V690" s="1965"/>
      <c r="W690" s="1965"/>
      <c r="X690" s="1965"/>
      <c r="Y690" s="1965"/>
    </row>
    <row r="692" spans="1:25" ht="12" customHeight="1">
      <c r="B692" s="32" t="s">
        <v>3455</v>
      </c>
      <c r="C692" s="32"/>
    </row>
    <row r="693" spans="1:25" ht="12" customHeight="1">
      <c r="B693" s="24"/>
      <c r="C693" s="24"/>
      <c r="D693" s="24"/>
      <c r="E693" s="24"/>
      <c r="F693" s="24"/>
      <c r="G693" s="24"/>
      <c r="H693" s="24"/>
      <c r="I693" s="24"/>
      <c r="J693" s="25" t="s">
        <v>23</v>
      </c>
      <c r="K693" s="26"/>
      <c r="L693" s="26"/>
      <c r="M693" s="27"/>
      <c r="N693" s="26" t="s">
        <v>24</v>
      </c>
      <c r="O693" s="26"/>
      <c r="P693" s="26"/>
      <c r="Q693" s="26"/>
      <c r="R693" s="26"/>
      <c r="S693" s="26"/>
      <c r="T693" s="26"/>
      <c r="V693" s="2041" t="s">
        <v>3650</v>
      </c>
      <c r="W693" s="2041"/>
      <c r="X693" s="2041"/>
      <c r="Y693" s="2041"/>
    </row>
    <row r="694" spans="1:25" ht="12" customHeight="1" thickBot="1">
      <c r="B694" s="28"/>
      <c r="C694" s="28"/>
      <c r="D694" s="28"/>
      <c r="E694" s="1949" t="s">
        <v>2889</v>
      </c>
      <c r="F694" s="1949" t="s">
        <v>3464</v>
      </c>
      <c r="G694" s="28"/>
      <c r="H694" s="28"/>
      <c r="I694" s="28"/>
      <c r="J694" s="29" t="s">
        <v>69</v>
      </c>
      <c r="K694" s="30" t="s">
        <v>27</v>
      </c>
      <c r="L694" s="30" t="s">
        <v>60</v>
      </c>
      <c r="M694" s="31" t="s">
        <v>5104</v>
      </c>
      <c r="N694" s="30" t="s">
        <v>5174</v>
      </c>
      <c r="O694" s="30" t="s">
        <v>70</v>
      </c>
      <c r="P694" s="30" t="s">
        <v>71</v>
      </c>
      <c r="Q694" s="30" t="s">
        <v>72</v>
      </c>
      <c r="R694" s="30" t="s">
        <v>73</v>
      </c>
      <c r="S694" s="30" t="s">
        <v>74</v>
      </c>
      <c r="T694" s="30" t="s">
        <v>5175</v>
      </c>
      <c r="V694" s="290" t="s">
        <v>3651</v>
      </c>
      <c r="W694" s="290" t="s">
        <v>3652</v>
      </c>
      <c r="X694" s="290" t="s">
        <v>3653</v>
      </c>
      <c r="Y694" s="290" t="s">
        <v>3740</v>
      </c>
    </row>
    <row r="695" spans="1:25" ht="12" customHeight="1" thickBot="1">
      <c r="B695" s="3" t="s">
        <v>3238</v>
      </c>
      <c r="E695" s="110" t="s">
        <v>2702</v>
      </c>
      <c r="F695" s="291">
        <v>1</v>
      </c>
      <c r="G695" s="289" t="str">
        <f>VLOOKUP(F695,$C$700:$D$701,2,FALSE)</f>
        <v>현재 수준의 비율 유지 가정</v>
      </c>
      <c r="J695" s="1913">
        <f>'SG&amp;A'!J136</f>
        <v>-1.0462374594133005E-2</v>
      </c>
      <c r="K695" s="405">
        <f>'SG&amp;A'!K136</f>
        <v>1.2720340664132636E-2</v>
      </c>
      <c r="L695" s="405">
        <f>'SG&amp;A'!L136</f>
        <v>1.1348065948303926E-2</v>
      </c>
      <c r="M695" s="2498">
        <f>'SG&amp;A'!M136</f>
        <v>8.6905844262452434E-3</v>
      </c>
      <c r="N695" s="399">
        <f t="shared" ref="N695:N697" si="107">M695</f>
        <v>8.6905844262452434E-3</v>
      </c>
      <c r="O695" s="399">
        <f t="shared" ref="O695:T697" si="108">CHOOSE($F695,$M695,AVERAGE($J695:$K695,$L695:$M695))</f>
        <v>8.6905844262452434E-3</v>
      </c>
      <c r="P695" s="399">
        <f t="shared" si="108"/>
        <v>8.6905844262452434E-3</v>
      </c>
      <c r="Q695" s="399">
        <f t="shared" si="108"/>
        <v>8.6905844262452434E-3</v>
      </c>
      <c r="R695" s="399">
        <f t="shared" si="108"/>
        <v>8.6905844262452434E-3</v>
      </c>
      <c r="S695" s="399">
        <f t="shared" si="108"/>
        <v>8.6905844262452434E-3</v>
      </c>
      <c r="T695" s="399">
        <f t="shared" si="108"/>
        <v>8.6905844262452434E-3</v>
      </c>
      <c r="U695" s="289"/>
      <c r="V695" s="110"/>
      <c r="W695" s="110">
        <v>1</v>
      </c>
      <c r="X695" s="110"/>
      <c r="Y695" s="110" t="str">
        <f>INDEX($V$694:$X$694,1,MATCH($F695,$V695:$X695,0))</f>
        <v>Base</v>
      </c>
    </row>
    <row r="696" spans="1:25" ht="12" customHeight="1" thickBot="1">
      <c r="B696" s="3" t="s">
        <v>1481</v>
      </c>
      <c r="E696" s="110" t="s">
        <v>2702</v>
      </c>
      <c r="F696" s="291">
        <v>1</v>
      </c>
      <c r="G696" s="289" t="str">
        <f>VLOOKUP(F696,$C$700:$D$701,2,FALSE)</f>
        <v>현재 수준의 비율 유지 가정</v>
      </c>
      <c r="J696" s="1913">
        <f>'SG&amp;A'!J138</f>
        <v>7.0412606278558679E-2</v>
      </c>
      <c r="K696" s="405">
        <f>'SG&amp;A'!K138</f>
        <v>4.3668039170495727E-2</v>
      </c>
      <c r="L696" s="405">
        <f>'SG&amp;A'!L138</f>
        <v>5.4223083664843581E-2</v>
      </c>
      <c r="M696" s="2498">
        <f>'SG&amp;A'!M138</f>
        <v>3.4992473715181098E-2</v>
      </c>
      <c r="N696" s="399">
        <f t="shared" si="107"/>
        <v>3.4992473715181098E-2</v>
      </c>
      <c r="O696" s="399">
        <f t="shared" si="108"/>
        <v>3.4992473715181098E-2</v>
      </c>
      <c r="P696" s="399">
        <f t="shared" si="108"/>
        <v>3.4992473715181098E-2</v>
      </c>
      <c r="Q696" s="399">
        <f t="shared" si="108"/>
        <v>3.4992473715181098E-2</v>
      </c>
      <c r="R696" s="399">
        <f t="shared" si="108"/>
        <v>3.4992473715181098E-2</v>
      </c>
      <c r="S696" s="399">
        <f t="shared" si="108"/>
        <v>3.4992473715181098E-2</v>
      </c>
      <c r="T696" s="399">
        <f t="shared" si="108"/>
        <v>3.4992473715181098E-2</v>
      </c>
      <c r="U696" s="289"/>
      <c r="V696" s="110"/>
      <c r="W696" s="110">
        <v>1</v>
      </c>
      <c r="X696" s="110"/>
      <c r="Y696" s="110" t="str">
        <f>INDEX($V$694:$X$694,1,MATCH($F696,$V696:$X696,0))</f>
        <v>Base</v>
      </c>
    </row>
    <row r="697" spans="1:25" ht="12" customHeight="1" thickBot="1">
      <c r="B697" s="12" t="s">
        <v>1560</v>
      </c>
      <c r="C697" s="12"/>
      <c r="D697" s="12"/>
      <c r="E697" s="1973" t="s">
        <v>2702</v>
      </c>
      <c r="F697" s="291">
        <v>1</v>
      </c>
      <c r="G697" s="1954" t="str">
        <f>VLOOKUP(F697,$C$700:$D$701,2,FALSE)</f>
        <v>현재 수준의 비율 유지 가정</v>
      </c>
      <c r="H697" s="12"/>
      <c r="I697" s="12"/>
      <c r="J697" s="403">
        <f>'SG&amp;A'!J140</f>
        <v>3.9992662849628019E-2</v>
      </c>
      <c r="K697" s="404">
        <f>'SG&amp;A'!K140</f>
        <v>5.9234261027277003E-2</v>
      </c>
      <c r="L697" s="404">
        <f>'SG&amp;A'!L140</f>
        <v>6.3232863236871578E-2</v>
      </c>
      <c r="M697" s="2491">
        <f>'SG&amp;A'!M140</f>
        <v>5.1757332345139115E-2</v>
      </c>
      <c r="N697" s="229">
        <f t="shared" si="107"/>
        <v>5.1757332345139115E-2</v>
      </c>
      <c r="O697" s="229">
        <f t="shared" si="108"/>
        <v>5.1757332345139115E-2</v>
      </c>
      <c r="P697" s="229">
        <f t="shared" si="108"/>
        <v>5.1757332345139115E-2</v>
      </c>
      <c r="Q697" s="229">
        <f t="shared" si="108"/>
        <v>5.1757332345139115E-2</v>
      </c>
      <c r="R697" s="229">
        <f t="shared" si="108"/>
        <v>5.1757332345139115E-2</v>
      </c>
      <c r="S697" s="229">
        <f t="shared" si="108"/>
        <v>5.1757332345139115E-2</v>
      </c>
      <c r="T697" s="229">
        <f t="shared" si="108"/>
        <v>5.1757332345139115E-2</v>
      </c>
      <c r="U697" s="289"/>
      <c r="V697" s="1950"/>
      <c r="W697" s="1950">
        <v>1</v>
      </c>
      <c r="X697" s="1950"/>
      <c r="Y697" s="1950" t="str">
        <f>INDEX($V$694:$X$694,1,MATCH($F697,$V697:$X697,0))</f>
        <v>Base</v>
      </c>
    </row>
    <row r="698" spans="1:25" ht="12" customHeight="1">
      <c r="J698" s="221"/>
      <c r="K698" s="221"/>
      <c r="L698" s="221"/>
      <c r="M698" s="221"/>
      <c r="N698" s="105"/>
      <c r="O698" s="105"/>
      <c r="P698" s="105"/>
      <c r="Q698" s="105"/>
      <c r="R698" s="105"/>
      <c r="S698" s="105"/>
      <c r="T698" s="105"/>
    </row>
    <row r="699" spans="1:25" ht="12" customHeight="1">
      <c r="C699" s="1950" t="s">
        <v>3464</v>
      </c>
      <c r="D699" s="1957" t="s">
        <v>3469</v>
      </c>
      <c r="E699" s="1957"/>
      <c r="F699" s="1957"/>
      <c r="G699" s="1957"/>
      <c r="H699" s="1957"/>
      <c r="I699" s="1957"/>
      <c r="J699" s="1957"/>
      <c r="K699" s="1957"/>
      <c r="L699" s="1957"/>
      <c r="M699" s="1957"/>
      <c r="N699" s="1957"/>
      <c r="O699" s="1957"/>
      <c r="P699" s="1957"/>
      <c r="Q699" s="1957"/>
      <c r="R699" s="1957"/>
      <c r="S699" s="1957"/>
      <c r="T699" s="1957"/>
    </row>
    <row r="700" spans="1:25" ht="12" customHeight="1">
      <c r="C700" s="1958">
        <v>1</v>
      </c>
      <c r="D700" s="302" t="s">
        <v>1369</v>
      </c>
      <c r="E700" s="302"/>
      <c r="F700" s="302"/>
      <c r="G700" s="302"/>
      <c r="H700" s="302"/>
      <c r="I700" s="302"/>
      <c r="J700" s="302"/>
      <c r="K700" s="302"/>
      <c r="L700" s="302"/>
      <c r="M700" s="302"/>
      <c r="N700" s="302"/>
      <c r="O700" s="302"/>
      <c r="P700" s="302"/>
      <c r="Q700" s="302"/>
      <c r="R700" s="302"/>
      <c r="S700" s="302"/>
      <c r="T700" s="302"/>
    </row>
    <row r="701" spans="1:25" ht="12" customHeight="1">
      <c r="C701" s="1950">
        <v>2</v>
      </c>
      <c r="D701" s="12" t="s">
        <v>4735</v>
      </c>
      <c r="E701" s="12"/>
      <c r="F701" s="12"/>
      <c r="G701" s="12"/>
      <c r="H701" s="12"/>
      <c r="I701" s="12"/>
      <c r="J701" s="12"/>
      <c r="K701" s="12"/>
      <c r="L701" s="12"/>
      <c r="M701" s="12"/>
      <c r="N701" s="12"/>
      <c r="O701" s="12"/>
      <c r="P701" s="12"/>
      <c r="Q701" s="12"/>
      <c r="R701" s="12"/>
      <c r="S701" s="12"/>
      <c r="T701" s="12"/>
    </row>
    <row r="703" spans="1:25" ht="12" customHeight="1">
      <c r="B703" s="32" t="s">
        <v>3460</v>
      </c>
    </row>
    <row r="704" spans="1:25" ht="12" customHeight="1">
      <c r="B704" s="24"/>
      <c r="C704" s="24"/>
      <c r="D704" s="24"/>
      <c r="E704" s="24"/>
      <c r="F704" s="24"/>
      <c r="G704" s="24"/>
      <c r="H704" s="24"/>
      <c r="I704" s="24"/>
      <c r="J704" s="25" t="s">
        <v>23</v>
      </c>
      <c r="K704" s="26"/>
      <c r="L704" s="26"/>
      <c r="M704" s="27"/>
      <c r="N704" s="26" t="s">
        <v>24</v>
      </c>
      <c r="O704" s="26"/>
      <c r="P704" s="26"/>
      <c r="Q704" s="26"/>
      <c r="R704" s="26"/>
      <c r="S704" s="26"/>
      <c r="T704" s="26"/>
    </row>
    <row r="705" spans="2:25" ht="12" customHeight="1">
      <c r="B705" s="28"/>
      <c r="C705" s="28"/>
      <c r="D705" s="28"/>
      <c r="E705" s="1949" t="s">
        <v>2889</v>
      </c>
      <c r="F705" s="28"/>
      <c r="G705" s="28"/>
      <c r="H705" s="28"/>
      <c r="I705" s="28"/>
      <c r="J705" s="29" t="s">
        <v>69</v>
      </c>
      <c r="K705" s="30" t="s">
        <v>27</v>
      </c>
      <c r="L705" s="30" t="s">
        <v>60</v>
      </c>
      <c r="M705" s="31" t="s">
        <v>5104</v>
      </c>
      <c r="N705" s="30" t="s">
        <v>5174</v>
      </c>
      <c r="O705" s="30" t="s">
        <v>70</v>
      </c>
      <c r="P705" s="30" t="s">
        <v>71</v>
      </c>
      <c r="Q705" s="30" t="s">
        <v>72</v>
      </c>
      <c r="R705" s="30" t="s">
        <v>73</v>
      </c>
      <c r="S705" s="30" t="s">
        <v>74</v>
      </c>
      <c r="T705" s="30" t="s">
        <v>5175</v>
      </c>
    </row>
    <row r="706" spans="2:25" ht="12" customHeight="1">
      <c r="B706" s="295" t="s">
        <v>3535</v>
      </c>
      <c r="C706" s="295"/>
      <c r="D706" s="295"/>
      <c r="E706" s="1960" t="s">
        <v>3529</v>
      </c>
      <c r="F706" s="295"/>
      <c r="G706" s="1961" t="s">
        <v>3536</v>
      </c>
      <c r="H706" s="295"/>
      <c r="I706" s="295"/>
      <c r="J706" s="300">
        <f>'SG&amp;A'!J147</f>
        <v>10556.012011000013</v>
      </c>
      <c r="K706" s="296">
        <f>'SG&amp;A'!K147</f>
        <v>-12.956883000006201</v>
      </c>
      <c r="L706" s="296">
        <f>'SG&amp;A'!L147</f>
        <v>105.50901900000463</v>
      </c>
      <c r="M706" s="2500">
        <f>'SG&amp;A'!M147</f>
        <v>37.905409999995754</v>
      </c>
      <c r="N706" s="298">
        <v>0</v>
      </c>
      <c r="O706" s="298">
        <v>0</v>
      </c>
      <c r="P706" s="298">
        <v>0</v>
      </c>
      <c r="Q706" s="298">
        <v>0</v>
      </c>
      <c r="R706" s="298">
        <v>0</v>
      </c>
      <c r="S706" s="298">
        <v>0</v>
      </c>
      <c r="T706" s="298">
        <v>0</v>
      </c>
      <c r="U706" s="289"/>
    </row>
    <row r="707" spans="2:25" ht="12" customHeight="1">
      <c r="V707"/>
      <c r="W707"/>
      <c r="X707"/>
      <c r="Y707"/>
    </row>
  </sheetData>
  <phoneticPr fontId="1" type="noConversion"/>
  <conditionalFormatting sqref="K20:P20 K59:M59 K77:M77 K102:M102 K40:M40 K89:M89 K139:L139 K152:L152 K207:L207 K244:L244 K171:L171 K188:L188 K274:L274 K315:L315 K333:L333 K392:L392 K412:L412 K447:L447 K462:L462 K543:L543 K557:L557 K630:L630 K641:L641 K694:L694 K705:L705 K475:L475 K355:L355">
    <cfRule type="cellIs" dxfId="1899" priority="1384" operator="equal">
      <formula>"X"</formula>
    </cfRule>
    <cfRule type="cellIs" dxfId="1898" priority="1385" operator="equal">
      <formula>"O"</formula>
    </cfRule>
    <cfRule type="cellIs" dxfId="1897" priority="1386" operator="equal">
      <formula>"미정"</formula>
    </cfRule>
    <cfRule type="cellIs" dxfId="1896" priority="1387" operator="equal">
      <formula>"예정"</formula>
    </cfRule>
    <cfRule type="cellIs" dxfId="1895" priority="1388" operator="equal">
      <formula>"확정"</formula>
    </cfRule>
  </conditionalFormatting>
  <conditionalFormatting sqref="N59:P59">
    <cfRule type="cellIs" dxfId="1894" priority="1374" operator="equal">
      <formula>"X"</formula>
    </cfRule>
    <cfRule type="cellIs" dxfId="1893" priority="1375" operator="equal">
      <formula>"O"</formula>
    </cfRule>
    <cfRule type="cellIs" dxfId="1892" priority="1376" operator="equal">
      <formula>"미정"</formula>
    </cfRule>
    <cfRule type="cellIs" dxfId="1891" priority="1377" operator="equal">
      <formula>"예정"</formula>
    </cfRule>
    <cfRule type="cellIs" dxfId="1890" priority="1378" operator="equal">
      <formula>"확정"</formula>
    </cfRule>
  </conditionalFormatting>
  <conditionalFormatting sqref="N77:P77">
    <cfRule type="cellIs" dxfId="1889" priority="1364" operator="equal">
      <formula>"X"</formula>
    </cfRule>
    <cfRule type="cellIs" dxfId="1888" priority="1365" operator="equal">
      <formula>"O"</formula>
    </cfRule>
    <cfRule type="cellIs" dxfId="1887" priority="1366" operator="equal">
      <formula>"미정"</formula>
    </cfRule>
    <cfRule type="cellIs" dxfId="1886" priority="1367" operator="equal">
      <formula>"예정"</formula>
    </cfRule>
    <cfRule type="cellIs" dxfId="1885" priority="1368" operator="equal">
      <formula>"확정"</formula>
    </cfRule>
  </conditionalFormatting>
  <conditionalFormatting sqref="N102:P102">
    <cfRule type="cellIs" dxfId="1884" priority="1354" operator="equal">
      <formula>"X"</formula>
    </cfRule>
    <cfRule type="cellIs" dxfId="1883" priority="1355" operator="equal">
      <formula>"O"</formula>
    </cfRule>
    <cfRule type="cellIs" dxfId="1882" priority="1356" operator="equal">
      <formula>"미정"</formula>
    </cfRule>
    <cfRule type="cellIs" dxfId="1881" priority="1357" operator="equal">
      <formula>"예정"</formula>
    </cfRule>
    <cfRule type="cellIs" dxfId="1880" priority="1358" operator="equal">
      <formula>"확정"</formula>
    </cfRule>
  </conditionalFormatting>
  <conditionalFormatting sqref="N40:P40">
    <cfRule type="cellIs" dxfId="1879" priority="1344" operator="equal">
      <formula>"X"</formula>
    </cfRule>
    <cfRule type="cellIs" dxfId="1878" priority="1345" operator="equal">
      <formula>"O"</formula>
    </cfRule>
    <cfRule type="cellIs" dxfId="1877" priority="1346" operator="equal">
      <formula>"미정"</formula>
    </cfRule>
    <cfRule type="cellIs" dxfId="1876" priority="1347" operator="equal">
      <formula>"예정"</formula>
    </cfRule>
    <cfRule type="cellIs" dxfId="1875" priority="1348" operator="equal">
      <formula>"확정"</formula>
    </cfRule>
  </conditionalFormatting>
  <conditionalFormatting sqref="N89:P89">
    <cfRule type="cellIs" dxfId="1874" priority="1334" operator="equal">
      <formula>"X"</formula>
    </cfRule>
    <cfRule type="cellIs" dxfId="1873" priority="1335" operator="equal">
      <formula>"O"</formula>
    </cfRule>
    <cfRule type="cellIs" dxfId="1872" priority="1336" operator="equal">
      <formula>"미정"</formula>
    </cfRule>
    <cfRule type="cellIs" dxfId="1871" priority="1337" operator="equal">
      <formula>"예정"</formula>
    </cfRule>
    <cfRule type="cellIs" dxfId="1870" priority="1338" operator="equal">
      <formula>"확정"</formula>
    </cfRule>
  </conditionalFormatting>
  <conditionalFormatting sqref="O139:P139">
    <cfRule type="cellIs" dxfId="1869" priority="1314" operator="equal">
      <formula>"X"</formula>
    </cfRule>
    <cfRule type="cellIs" dxfId="1868" priority="1315" operator="equal">
      <formula>"O"</formula>
    </cfRule>
    <cfRule type="cellIs" dxfId="1867" priority="1316" operator="equal">
      <formula>"미정"</formula>
    </cfRule>
    <cfRule type="cellIs" dxfId="1866" priority="1317" operator="equal">
      <formula>"예정"</formula>
    </cfRule>
    <cfRule type="cellIs" dxfId="1865" priority="1318" operator="equal">
      <formula>"확정"</formula>
    </cfRule>
  </conditionalFormatting>
  <conditionalFormatting sqref="O152:P152">
    <cfRule type="cellIs" dxfId="1864" priority="1304" operator="equal">
      <formula>"X"</formula>
    </cfRule>
    <cfRule type="cellIs" dxfId="1863" priority="1305" operator="equal">
      <formula>"O"</formula>
    </cfRule>
    <cfRule type="cellIs" dxfId="1862" priority="1306" operator="equal">
      <formula>"미정"</formula>
    </cfRule>
    <cfRule type="cellIs" dxfId="1861" priority="1307" operator="equal">
      <formula>"예정"</formula>
    </cfRule>
    <cfRule type="cellIs" dxfId="1860" priority="1308" operator="equal">
      <formula>"확정"</formula>
    </cfRule>
  </conditionalFormatting>
  <conditionalFormatting sqref="O207:P207">
    <cfRule type="cellIs" dxfId="1859" priority="1294" operator="equal">
      <formula>"X"</formula>
    </cfRule>
    <cfRule type="cellIs" dxfId="1858" priority="1295" operator="equal">
      <formula>"O"</formula>
    </cfRule>
    <cfRule type="cellIs" dxfId="1857" priority="1296" operator="equal">
      <formula>"미정"</formula>
    </cfRule>
    <cfRule type="cellIs" dxfId="1856" priority="1297" operator="equal">
      <formula>"예정"</formula>
    </cfRule>
    <cfRule type="cellIs" dxfId="1855" priority="1298" operator="equal">
      <formula>"확정"</formula>
    </cfRule>
  </conditionalFormatting>
  <conditionalFormatting sqref="O244:P244">
    <cfRule type="cellIs" dxfId="1854" priority="1284" operator="equal">
      <formula>"X"</formula>
    </cfRule>
    <cfRule type="cellIs" dxfId="1853" priority="1285" operator="equal">
      <formula>"O"</formula>
    </cfRule>
    <cfRule type="cellIs" dxfId="1852" priority="1286" operator="equal">
      <formula>"미정"</formula>
    </cfRule>
    <cfRule type="cellIs" dxfId="1851" priority="1287" operator="equal">
      <formula>"예정"</formula>
    </cfRule>
    <cfRule type="cellIs" dxfId="1850" priority="1288" operator="equal">
      <formula>"확정"</formula>
    </cfRule>
  </conditionalFormatting>
  <conditionalFormatting sqref="O171:P171">
    <cfRule type="cellIs" dxfId="1849" priority="1274" operator="equal">
      <formula>"X"</formula>
    </cfRule>
    <cfRule type="cellIs" dxfId="1848" priority="1275" operator="equal">
      <formula>"O"</formula>
    </cfRule>
    <cfRule type="cellIs" dxfId="1847" priority="1276" operator="equal">
      <formula>"미정"</formula>
    </cfRule>
    <cfRule type="cellIs" dxfId="1846" priority="1277" operator="equal">
      <formula>"예정"</formula>
    </cfRule>
    <cfRule type="cellIs" dxfId="1845" priority="1278" operator="equal">
      <formula>"확정"</formula>
    </cfRule>
  </conditionalFormatting>
  <conditionalFormatting sqref="O188:P188">
    <cfRule type="cellIs" dxfId="1844" priority="1264" operator="equal">
      <formula>"X"</formula>
    </cfRule>
    <cfRule type="cellIs" dxfId="1843" priority="1265" operator="equal">
      <formula>"O"</formula>
    </cfRule>
    <cfRule type="cellIs" dxfId="1842" priority="1266" operator="equal">
      <formula>"미정"</formula>
    </cfRule>
    <cfRule type="cellIs" dxfId="1841" priority="1267" operator="equal">
      <formula>"예정"</formula>
    </cfRule>
    <cfRule type="cellIs" dxfId="1840" priority="1268" operator="equal">
      <formula>"확정"</formula>
    </cfRule>
  </conditionalFormatting>
  <conditionalFormatting sqref="O274:P274">
    <cfRule type="cellIs" dxfId="1839" priority="1244" operator="equal">
      <formula>"X"</formula>
    </cfRule>
    <cfRule type="cellIs" dxfId="1838" priority="1245" operator="equal">
      <formula>"O"</formula>
    </cfRule>
    <cfRule type="cellIs" dxfId="1837" priority="1246" operator="equal">
      <formula>"미정"</formula>
    </cfRule>
    <cfRule type="cellIs" dxfId="1836" priority="1247" operator="equal">
      <formula>"예정"</formula>
    </cfRule>
    <cfRule type="cellIs" dxfId="1835" priority="1248" operator="equal">
      <formula>"확정"</formula>
    </cfRule>
  </conditionalFormatting>
  <conditionalFormatting sqref="O315:P315">
    <cfRule type="cellIs" dxfId="1834" priority="1224" operator="equal">
      <formula>"X"</formula>
    </cfRule>
    <cfRule type="cellIs" dxfId="1833" priority="1225" operator="equal">
      <formula>"O"</formula>
    </cfRule>
    <cfRule type="cellIs" dxfId="1832" priority="1226" operator="equal">
      <formula>"미정"</formula>
    </cfRule>
    <cfRule type="cellIs" dxfId="1831" priority="1227" operator="equal">
      <formula>"예정"</formula>
    </cfRule>
    <cfRule type="cellIs" dxfId="1830" priority="1228" operator="equal">
      <formula>"확정"</formula>
    </cfRule>
  </conditionalFormatting>
  <conditionalFormatting sqref="O333:P333">
    <cfRule type="cellIs" dxfId="1829" priority="1214" operator="equal">
      <formula>"X"</formula>
    </cfRule>
    <cfRule type="cellIs" dxfId="1828" priority="1215" operator="equal">
      <formula>"O"</formula>
    </cfRule>
    <cfRule type="cellIs" dxfId="1827" priority="1216" operator="equal">
      <formula>"미정"</formula>
    </cfRule>
    <cfRule type="cellIs" dxfId="1826" priority="1217" operator="equal">
      <formula>"예정"</formula>
    </cfRule>
    <cfRule type="cellIs" dxfId="1825" priority="1218" operator="equal">
      <formula>"확정"</formula>
    </cfRule>
  </conditionalFormatting>
  <conditionalFormatting sqref="O392:P392">
    <cfRule type="cellIs" dxfId="1824" priority="1204" operator="equal">
      <formula>"X"</formula>
    </cfRule>
    <cfRule type="cellIs" dxfId="1823" priority="1205" operator="equal">
      <formula>"O"</formula>
    </cfRule>
    <cfRule type="cellIs" dxfId="1822" priority="1206" operator="equal">
      <formula>"미정"</formula>
    </cfRule>
    <cfRule type="cellIs" dxfId="1821" priority="1207" operator="equal">
      <formula>"예정"</formula>
    </cfRule>
    <cfRule type="cellIs" dxfId="1820" priority="1208" operator="equal">
      <formula>"확정"</formula>
    </cfRule>
  </conditionalFormatting>
  <conditionalFormatting sqref="O412:P412">
    <cfRule type="cellIs" dxfId="1819" priority="1194" operator="equal">
      <formula>"X"</formula>
    </cfRule>
    <cfRule type="cellIs" dxfId="1818" priority="1195" operator="equal">
      <formula>"O"</formula>
    </cfRule>
    <cfRule type="cellIs" dxfId="1817" priority="1196" operator="equal">
      <formula>"미정"</formula>
    </cfRule>
    <cfRule type="cellIs" dxfId="1816" priority="1197" operator="equal">
      <formula>"예정"</formula>
    </cfRule>
    <cfRule type="cellIs" dxfId="1815" priority="1198" operator="equal">
      <formula>"확정"</formula>
    </cfRule>
  </conditionalFormatting>
  <conditionalFormatting sqref="O447:P447">
    <cfRule type="cellIs" dxfId="1814" priority="1184" operator="equal">
      <formula>"X"</formula>
    </cfRule>
    <cfRule type="cellIs" dxfId="1813" priority="1185" operator="equal">
      <formula>"O"</formula>
    </cfRule>
    <cfRule type="cellIs" dxfId="1812" priority="1186" operator="equal">
      <formula>"미정"</formula>
    </cfRule>
    <cfRule type="cellIs" dxfId="1811" priority="1187" operator="equal">
      <formula>"예정"</formula>
    </cfRule>
    <cfRule type="cellIs" dxfId="1810" priority="1188" operator="equal">
      <formula>"확정"</formula>
    </cfRule>
  </conditionalFormatting>
  <conditionalFormatting sqref="O462:P462">
    <cfRule type="cellIs" dxfId="1809" priority="1174" operator="equal">
      <formula>"X"</formula>
    </cfRule>
    <cfRule type="cellIs" dxfId="1808" priority="1175" operator="equal">
      <formula>"O"</formula>
    </cfRule>
    <cfRule type="cellIs" dxfId="1807" priority="1176" operator="equal">
      <formula>"미정"</formula>
    </cfRule>
    <cfRule type="cellIs" dxfId="1806" priority="1177" operator="equal">
      <formula>"예정"</formula>
    </cfRule>
    <cfRule type="cellIs" dxfId="1805" priority="1178" operator="equal">
      <formula>"확정"</formula>
    </cfRule>
  </conditionalFormatting>
  <conditionalFormatting sqref="O543:P543">
    <cfRule type="cellIs" dxfId="1804" priority="1164" operator="equal">
      <formula>"X"</formula>
    </cfRule>
    <cfRule type="cellIs" dxfId="1803" priority="1165" operator="equal">
      <formula>"O"</formula>
    </cfRule>
    <cfRule type="cellIs" dxfId="1802" priority="1166" operator="equal">
      <formula>"미정"</formula>
    </cfRule>
    <cfRule type="cellIs" dxfId="1801" priority="1167" operator="equal">
      <formula>"예정"</formula>
    </cfRule>
    <cfRule type="cellIs" dxfId="1800" priority="1168" operator="equal">
      <formula>"확정"</formula>
    </cfRule>
  </conditionalFormatting>
  <conditionalFormatting sqref="O557:P557">
    <cfRule type="cellIs" dxfId="1799" priority="1089" operator="equal">
      <formula>"X"</formula>
    </cfRule>
    <cfRule type="cellIs" dxfId="1798" priority="1090" operator="equal">
      <formula>"O"</formula>
    </cfRule>
    <cfRule type="cellIs" dxfId="1797" priority="1091" operator="equal">
      <formula>"미정"</formula>
    </cfRule>
    <cfRule type="cellIs" dxfId="1796" priority="1092" operator="equal">
      <formula>"예정"</formula>
    </cfRule>
    <cfRule type="cellIs" dxfId="1795" priority="1093" operator="equal">
      <formula>"확정"</formula>
    </cfRule>
  </conditionalFormatting>
  <conditionalFormatting sqref="O630:P630">
    <cfRule type="cellIs" dxfId="1794" priority="1079" operator="equal">
      <formula>"X"</formula>
    </cfRule>
    <cfRule type="cellIs" dxfId="1793" priority="1080" operator="equal">
      <formula>"O"</formula>
    </cfRule>
    <cfRule type="cellIs" dxfId="1792" priority="1081" operator="equal">
      <formula>"미정"</formula>
    </cfRule>
    <cfRule type="cellIs" dxfId="1791" priority="1082" operator="equal">
      <formula>"예정"</formula>
    </cfRule>
    <cfRule type="cellIs" dxfId="1790" priority="1083" operator="equal">
      <formula>"확정"</formula>
    </cfRule>
  </conditionalFormatting>
  <conditionalFormatting sqref="O641:P641">
    <cfRule type="cellIs" dxfId="1789" priority="1069" operator="equal">
      <formula>"X"</formula>
    </cfRule>
    <cfRule type="cellIs" dxfId="1788" priority="1070" operator="equal">
      <formula>"O"</formula>
    </cfRule>
    <cfRule type="cellIs" dxfId="1787" priority="1071" operator="equal">
      <formula>"미정"</formula>
    </cfRule>
    <cfRule type="cellIs" dxfId="1786" priority="1072" operator="equal">
      <formula>"예정"</formula>
    </cfRule>
    <cfRule type="cellIs" dxfId="1785" priority="1073" operator="equal">
      <formula>"확정"</formula>
    </cfRule>
  </conditionalFormatting>
  <conditionalFormatting sqref="O694:P694">
    <cfRule type="cellIs" dxfId="1784" priority="1059" operator="equal">
      <formula>"X"</formula>
    </cfRule>
    <cfRule type="cellIs" dxfId="1783" priority="1060" operator="equal">
      <formula>"O"</formula>
    </cfRule>
    <cfRule type="cellIs" dxfId="1782" priority="1061" operator="equal">
      <formula>"미정"</formula>
    </cfRule>
    <cfRule type="cellIs" dxfId="1781" priority="1062" operator="equal">
      <formula>"예정"</formula>
    </cfRule>
    <cfRule type="cellIs" dxfId="1780" priority="1063" operator="equal">
      <formula>"확정"</formula>
    </cfRule>
  </conditionalFormatting>
  <conditionalFormatting sqref="O705:P705">
    <cfRule type="cellIs" dxfId="1779" priority="1049" operator="equal">
      <formula>"X"</formula>
    </cfRule>
    <cfRule type="cellIs" dxfId="1778" priority="1050" operator="equal">
      <formula>"O"</formula>
    </cfRule>
    <cfRule type="cellIs" dxfId="1777" priority="1051" operator="equal">
      <formula>"미정"</formula>
    </cfRule>
    <cfRule type="cellIs" dxfId="1776" priority="1052" operator="equal">
      <formula>"예정"</formula>
    </cfRule>
    <cfRule type="cellIs" dxfId="1775" priority="1053" operator="equal">
      <formula>"확정"</formula>
    </cfRule>
  </conditionalFormatting>
  <conditionalFormatting sqref="O475:P475">
    <cfRule type="cellIs" dxfId="1774" priority="1039" operator="equal">
      <formula>"X"</formula>
    </cfRule>
    <cfRule type="cellIs" dxfId="1773" priority="1040" operator="equal">
      <formula>"O"</formula>
    </cfRule>
    <cfRule type="cellIs" dxfId="1772" priority="1041" operator="equal">
      <formula>"미정"</formula>
    </cfRule>
    <cfRule type="cellIs" dxfId="1771" priority="1042" operator="equal">
      <formula>"예정"</formula>
    </cfRule>
    <cfRule type="cellIs" dxfId="1770" priority="1043" operator="equal">
      <formula>"확정"</formula>
    </cfRule>
  </conditionalFormatting>
  <conditionalFormatting sqref="Y175:Y189 Y86:Y87 Y79:Y81 Y42:Y75 Y173 Y91:Y121 Y382:Y392 Y191:Y231 Y395:Y404 Y360:Y378 Y409:Y423 Y614 Y574 Y647 Y678 Y1:Y2 Y533:Y538 Y494:Y499 Y503:Y509 Y513:Y517 Y579:Y584 Y522:Y530 Y540:Y572 Y619:Y621 Y625 Y680:Y681 Y627:Y645 Y683:Y685 Y689 Y691:Y1048576 Y233:Y259 Y428 Y430 Y436:Y477 Y265:Y352 Y14:Y40 Y481:Y489 Z465 Z4:Z13 Y132:Y171">
    <cfRule type="containsText" dxfId="1769" priority="1035" operator="containsText" text="Optional">
      <formula>NOT(ISERROR(SEARCH("Optional",Y1)))</formula>
    </cfRule>
    <cfRule type="containsText" dxfId="1768" priority="1036" operator="containsText" text="Worst">
      <formula>NOT(ISERROR(SEARCH("Worst",Y1)))</formula>
    </cfRule>
    <cfRule type="containsText" dxfId="1767" priority="1037" operator="containsText" text="Best">
      <formula>NOT(ISERROR(SEARCH("Best",Y1)))</formula>
    </cfRule>
    <cfRule type="containsText" dxfId="1766" priority="1038" operator="containsText" text="Base">
      <formula>NOT(ISERROR(SEARCH("Base",Y1)))</formula>
    </cfRule>
  </conditionalFormatting>
  <conditionalFormatting sqref="Y174">
    <cfRule type="containsText" dxfId="1765" priority="1031" operator="containsText" text="Optional">
      <formula>NOT(ISERROR(SEARCH("Optional",Y174)))</formula>
    </cfRule>
    <cfRule type="containsText" dxfId="1764" priority="1032" operator="containsText" text="Worst">
      <formula>NOT(ISERROR(SEARCH("Worst",Y174)))</formula>
    </cfRule>
    <cfRule type="containsText" dxfId="1763" priority="1033" operator="containsText" text="Best">
      <formula>NOT(ISERROR(SEARCH("Best",Y174)))</formula>
    </cfRule>
    <cfRule type="containsText" dxfId="1762" priority="1034" operator="containsText" text="Base">
      <formula>NOT(ISERROR(SEARCH("Base",Y174)))</formula>
    </cfRule>
  </conditionalFormatting>
  <conditionalFormatting sqref="Y393">
    <cfRule type="containsText" dxfId="1761" priority="1023" operator="containsText" text="Optional">
      <formula>NOT(ISERROR(SEARCH("Optional",Y393)))</formula>
    </cfRule>
    <cfRule type="containsText" dxfId="1760" priority="1024" operator="containsText" text="Worst">
      <formula>NOT(ISERROR(SEARCH("Worst",Y393)))</formula>
    </cfRule>
    <cfRule type="containsText" dxfId="1759" priority="1025" operator="containsText" text="Best">
      <formula>NOT(ISERROR(SEARCH("Best",Y393)))</formula>
    </cfRule>
    <cfRule type="containsText" dxfId="1758" priority="1026" operator="containsText" text="Base">
      <formula>NOT(ISERROR(SEARCH("Base",Y393)))</formula>
    </cfRule>
  </conditionalFormatting>
  <conditionalFormatting sqref="O355:P355">
    <cfRule type="cellIs" dxfId="1757" priority="1013" operator="equal">
      <formula>"X"</formula>
    </cfRule>
    <cfRule type="cellIs" dxfId="1756" priority="1014" operator="equal">
      <formula>"O"</formula>
    </cfRule>
    <cfRule type="cellIs" dxfId="1755" priority="1015" operator="equal">
      <formula>"미정"</formula>
    </cfRule>
    <cfRule type="cellIs" dxfId="1754" priority="1016" operator="equal">
      <formula>"예정"</formula>
    </cfRule>
    <cfRule type="cellIs" dxfId="1753" priority="1017" operator="equal">
      <formula>"확정"</formula>
    </cfRule>
  </conditionalFormatting>
  <conditionalFormatting sqref="Y353:Y355">
    <cfRule type="containsText" dxfId="1752" priority="1009" operator="containsText" text="Optional">
      <formula>NOT(ISERROR(SEARCH("Optional",Y353)))</formula>
    </cfRule>
    <cfRule type="containsText" dxfId="1751" priority="1010" operator="containsText" text="Worst">
      <formula>NOT(ISERROR(SEARCH("Worst",Y353)))</formula>
    </cfRule>
    <cfRule type="containsText" dxfId="1750" priority="1011" operator="containsText" text="Best">
      <formula>NOT(ISERROR(SEARCH("Best",Y353)))</formula>
    </cfRule>
    <cfRule type="containsText" dxfId="1749" priority="1012" operator="containsText" text="Base">
      <formula>NOT(ISERROR(SEARCH("Base",Y353)))</formula>
    </cfRule>
  </conditionalFormatting>
  <conditionalFormatting sqref="Y82:Y85">
    <cfRule type="containsText" dxfId="1748" priority="991" operator="containsText" text="Optional">
      <formula>NOT(ISERROR(SEARCH("Optional",Y82)))</formula>
    </cfRule>
    <cfRule type="containsText" dxfId="1747" priority="992" operator="containsText" text="Worst">
      <formula>NOT(ISERROR(SEARCH("Worst",Y82)))</formula>
    </cfRule>
    <cfRule type="containsText" dxfId="1746" priority="993" operator="containsText" text="Best">
      <formula>NOT(ISERROR(SEARCH("Best",Y82)))</formula>
    </cfRule>
    <cfRule type="containsText" dxfId="1745" priority="994" operator="containsText" text="Base">
      <formula>NOT(ISERROR(SEARCH("Base",Y82)))</formula>
    </cfRule>
  </conditionalFormatting>
  <conditionalFormatting sqref="Y76:Y77">
    <cfRule type="containsText" dxfId="1744" priority="987" operator="containsText" text="Optional">
      <formula>NOT(ISERROR(SEARCH("Optional",Y76)))</formula>
    </cfRule>
    <cfRule type="containsText" dxfId="1743" priority="988" operator="containsText" text="Worst">
      <formula>NOT(ISERROR(SEARCH("Worst",Y76)))</formula>
    </cfRule>
    <cfRule type="containsText" dxfId="1742" priority="989" operator="containsText" text="Best">
      <formula>NOT(ISERROR(SEARCH("Best",Y76)))</formula>
    </cfRule>
    <cfRule type="containsText" dxfId="1741" priority="990" operator="containsText" text="Base">
      <formula>NOT(ISERROR(SEARCH("Base",Y76)))</formula>
    </cfRule>
  </conditionalFormatting>
  <conditionalFormatting sqref="Y78">
    <cfRule type="containsText" dxfId="1740" priority="983" operator="containsText" text="Optional">
      <formula>NOT(ISERROR(SEARCH("Optional",Y78)))</formula>
    </cfRule>
    <cfRule type="containsText" dxfId="1739" priority="984" operator="containsText" text="Worst">
      <formula>NOT(ISERROR(SEARCH("Worst",Y78)))</formula>
    </cfRule>
    <cfRule type="containsText" dxfId="1738" priority="985" operator="containsText" text="Best">
      <formula>NOT(ISERROR(SEARCH("Best",Y78)))</formula>
    </cfRule>
    <cfRule type="containsText" dxfId="1737" priority="986" operator="containsText" text="Base">
      <formula>NOT(ISERROR(SEARCH("Base",Y78)))</formula>
    </cfRule>
  </conditionalFormatting>
  <conditionalFormatting sqref="Y88:Y89">
    <cfRule type="containsText" dxfId="1736" priority="979" operator="containsText" text="Optional">
      <formula>NOT(ISERROR(SEARCH("Optional",Y88)))</formula>
    </cfRule>
    <cfRule type="containsText" dxfId="1735" priority="980" operator="containsText" text="Worst">
      <formula>NOT(ISERROR(SEARCH("Worst",Y88)))</formula>
    </cfRule>
    <cfRule type="containsText" dxfId="1734" priority="981" operator="containsText" text="Best">
      <formula>NOT(ISERROR(SEARCH("Best",Y88)))</formula>
    </cfRule>
    <cfRule type="containsText" dxfId="1733" priority="982" operator="containsText" text="Base">
      <formula>NOT(ISERROR(SEARCH("Base",Y88)))</formula>
    </cfRule>
  </conditionalFormatting>
  <conditionalFormatting sqref="Y90">
    <cfRule type="containsText" dxfId="1732" priority="975" operator="containsText" text="Optional">
      <formula>NOT(ISERROR(SEARCH("Optional",Y90)))</formula>
    </cfRule>
    <cfRule type="containsText" dxfId="1731" priority="976" operator="containsText" text="Worst">
      <formula>NOT(ISERROR(SEARCH("Worst",Y90)))</formula>
    </cfRule>
    <cfRule type="containsText" dxfId="1730" priority="977" operator="containsText" text="Best">
      <formula>NOT(ISERROR(SEARCH("Best",Y90)))</formula>
    </cfRule>
    <cfRule type="containsText" dxfId="1729" priority="978" operator="containsText" text="Base">
      <formula>NOT(ISERROR(SEARCH("Base",Y90)))</formula>
    </cfRule>
  </conditionalFormatting>
  <conditionalFormatting sqref="N139">
    <cfRule type="cellIs" dxfId="1728" priority="955" operator="equal">
      <formula>"X"</formula>
    </cfRule>
    <cfRule type="cellIs" dxfId="1727" priority="956" operator="equal">
      <formula>"O"</formula>
    </cfRule>
    <cfRule type="cellIs" dxfId="1726" priority="957" operator="equal">
      <formula>"미정"</formula>
    </cfRule>
    <cfRule type="cellIs" dxfId="1725" priority="958" operator="equal">
      <formula>"예정"</formula>
    </cfRule>
    <cfRule type="cellIs" dxfId="1724" priority="959" operator="equal">
      <formula>"확정"</formula>
    </cfRule>
  </conditionalFormatting>
  <conditionalFormatting sqref="M139">
    <cfRule type="cellIs" dxfId="1723" priority="960" operator="equal">
      <formula>"X"</formula>
    </cfRule>
    <cfRule type="cellIs" dxfId="1722" priority="961" operator="equal">
      <formula>"O"</formula>
    </cfRule>
    <cfRule type="cellIs" dxfId="1721" priority="962" operator="equal">
      <formula>"미정"</formula>
    </cfRule>
    <cfRule type="cellIs" dxfId="1720" priority="963" operator="equal">
      <formula>"예정"</formula>
    </cfRule>
    <cfRule type="cellIs" dxfId="1719" priority="964" operator="equal">
      <formula>"확정"</formula>
    </cfRule>
  </conditionalFormatting>
  <conditionalFormatting sqref="N152">
    <cfRule type="cellIs" dxfId="1718" priority="945" operator="equal">
      <formula>"X"</formula>
    </cfRule>
    <cfRule type="cellIs" dxfId="1717" priority="946" operator="equal">
      <formula>"O"</formula>
    </cfRule>
    <cfRule type="cellIs" dxfId="1716" priority="947" operator="equal">
      <formula>"미정"</formula>
    </cfRule>
    <cfRule type="cellIs" dxfId="1715" priority="948" operator="equal">
      <formula>"예정"</formula>
    </cfRule>
    <cfRule type="cellIs" dxfId="1714" priority="949" operator="equal">
      <formula>"확정"</formula>
    </cfRule>
  </conditionalFormatting>
  <conditionalFormatting sqref="M152">
    <cfRule type="cellIs" dxfId="1713" priority="950" operator="equal">
      <formula>"X"</formula>
    </cfRule>
    <cfRule type="cellIs" dxfId="1712" priority="951" operator="equal">
      <formula>"O"</formula>
    </cfRule>
    <cfRule type="cellIs" dxfId="1711" priority="952" operator="equal">
      <formula>"미정"</formula>
    </cfRule>
    <cfRule type="cellIs" dxfId="1710" priority="953" operator="equal">
      <formula>"예정"</formula>
    </cfRule>
    <cfRule type="cellIs" dxfId="1709" priority="954" operator="equal">
      <formula>"확정"</formula>
    </cfRule>
  </conditionalFormatting>
  <conditionalFormatting sqref="N171">
    <cfRule type="cellIs" dxfId="1708" priority="935" operator="equal">
      <formula>"X"</formula>
    </cfRule>
    <cfRule type="cellIs" dxfId="1707" priority="936" operator="equal">
      <formula>"O"</formula>
    </cfRule>
    <cfRule type="cellIs" dxfId="1706" priority="937" operator="equal">
      <formula>"미정"</formula>
    </cfRule>
    <cfRule type="cellIs" dxfId="1705" priority="938" operator="equal">
      <formula>"예정"</formula>
    </cfRule>
    <cfRule type="cellIs" dxfId="1704" priority="939" operator="equal">
      <formula>"확정"</formula>
    </cfRule>
  </conditionalFormatting>
  <conditionalFormatting sqref="M171">
    <cfRule type="cellIs" dxfId="1703" priority="940" operator="equal">
      <formula>"X"</formula>
    </cfRule>
    <cfRule type="cellIs" dxfId="1702" priority="941" operator="equal">
      <formula>"O"</formula>
    </cfRule>
    <cfRule type="cellIs" dxfId="1701" priority="942" operator="equal">
      <formula>"미정"</formula>
    </cfRule>
    <cfRule type="cellIs" dxfId="1700" priority="943" operator="equal">
      <formula>"예정"</formula>
    </cfRule>
    <cfRule type="cellIs" dxfId="1699" priority="944" operator="equal">
      <formula>"확정"</formula>
    </cfRule>
  </conditionalFormatting>
  <conditionalFormatting sqref="N188">
    <cfRule type="cellIs" dxfId="1698" priority="925" operator="equal">
      <formula>"X"</formula>
    </cfRule>
    <cfRule type="cellIs" dxfId="1697" priority="926" operator="equal">
      <formula>"O"</formula>
    </cfRule>
    <cfRule type="cellIs" dxfId="1696" priority="927" operator="equal">
      <formula>"미정"</formula>
    </cfRule>
    <cfRule type="cellIs" dxfId="1695" priority="928" operator="equal">
      <formula>"예정"</formula>
    </cfRule>
    <cfRule type="cellIs" dxfId="1694" priority="929" operator="equal">
      <formula>"확정"</formula>
    </cfRule>
  </conditionalFormatting>
  <conditionalFormatting sqref="M188">
    <cfRule type="cellIs" dxfId="1693" priority="930" operator="equal">
      <formula>"X"</formula>
    </cfRule>
    <cfRule type="cellIs" dxfId="1692" priority="931" operator="equal">
      <formula>"O"</formula>
    </cfRule>
    <cfRule type="cellIs" dxfId="1691" priority="932" operator="equal">
      <formula>"미정"</formula>
    </cfRule>
    <cfRule type="cellIs" dxfId="1690" priority="933" operator="equal">
      <formula>"예정"</formula>
    </cfRule>
    <cfRule type="cellIs" dxfId="1689" priority="934" operator="equal">
      <formula>"확정"</formula>
    </cfRule>
  </conditionalFormatting>
  <conditionalFormatting sqref="N207">
    <cfRule type="cellIs" dxfId="1688" priority="915" operator="equal">
      <formula>"X"</formula>
    </cfRule>
    <cfRule type="cellIs" dxfId="1687" priority="916" operator="equal">
      <formula>"O"</formula>
    </cfRule>
    <cfRule type="cellIs" dxfId="1686" priority="917" operator="equal">
      <formula>"미정"</formula>
    </cfRule>
    <cfRule type="cellIs" dxfId="1685" priority="918" operator="equal">
      <formula>"예정"</formula>
    </cfRule>
    <cfRule type="cellIs" dxfId="1684" priority="919" operator="equal">
      <formula>"확정"</formula>
    </cfRule>
  </conditionalFormatting>
  <conditionalFormatting sqref="M207">
    <cfRule type="cellIs" dxfId="1683" priority="920" operator="equal">
      <formula>"X"</formula>
    </cfRule>
    <cfRule type="cellIs" dxfId="1682" priority="921" operator="equal">
      <formula>"O"</formula>
    </cfRule>
    <cfRule type="cellIs" dxfId="1681" priority="922" operator="equal">
      <formula>"미정"</formula>
    </cfRule>
    <cfRule type="cellIs" dxfId="1680" priority="923" operator="equal">
      <formula>"예정"</formula>
    </cfRule>
    <cfRule type="cellIs" dxfId="1679" priority="924" operator="equal">
      <formula>"확정"</formula>
    </cfRule>
  </conditionalFormatting>
  <conditionalFormatting sqref="N244">
    <cfRule type="cellIs" dxfId="1678" priority="905" operator="equal">
      <formula>"X"</formula>
    </cfRule>
    <cfRule type="cellIs" dxfId="1677" priority="906" operator="equal">
      <formula>"O"</formula>
    </cfRule>
    <cfRule type="cellIs" dxfId="1676" priority="907" operator="equal">
      <formula>"미정"</formula>
    </cfRule>
    <cfRule type="cellIs" dxfId="1675" priority="908" operator="equal">
      <formula>"예정"</formula>
    </cfRule>
    <cfRule type="cellIs" dxfId="1674" priority="909" operator="equal">
      <formula>"확정"</formula>
    </cfRule>
  </conditionalFormatting>
  <conditionalFormatting sqref="M244">
    <cfRule type="cellIs" dxfId="1673" priority="910" operator="equal">
      <formula>"X"</formula>
    </cfRule>
    <cfRule type="cellIs" dxfId="1672" priority="911" operator="equal">
      <formula>"O"</formula>
    </cfRule>
    <cfRule type="cellIs" dxfId="1671" priority="912" operator="equal">
      <formula>"미정"</formula>
    </cfRule>
    <cfRule type="cellIs" dxfId="1670" priority="913" operator="equal">
      <formula>"예정"</formula>
    </cfRule>
    <cfRule type="cellIs" dxfId="1669" priority="914" operator="equal">
      <formula>"확정"</formula>
    </cfRule>
  </conditionalFormatting>
  <conditionalFormatting sqref="N274">
    <cfRule type="cellIs" dxfId="1668" priority="895" operator="equal">
      <formula>"X"</formula>
    </cfRule>
    <cfRule type="cellIs" dxfId="1667" priority="896" operator="equal">
      <formula>"O"</formula>
    </cfRule>
    <cfRule type="cellIs" dxfId="1666" priority="897" operator="equal">
      <formula>"미정"</formula>
    </cfRule>
    <cfRule type="cellIs" dxfId="1665" priority="898" operator="equal">
      <formula>"예정"</formula>
    </cfRule>
    <cfRule type="cellIs" dxfId="1664" priority="899" operator="equal">
      <formula>"확정"</formula>
    </cfRule>
  </conditionalFormatting>
  <conditionalFormatting sqref="M274">
    <cfRule type="cellIs" dxfId="1663" priority="900" operator="equal">
      <formula>"X"</formula>
    </cfRule>
    <cfRule type="cellIs" dxfId="1662" priority="901" operator="equal">
      <formula>"O"</formula>
    </cfRule>
    <cfRule type="cellIs" dxfId="1661" priority="902" operator="equal">
      <formula>"미정"</formula>
    </cfRule>
    <cfRule type="cellIs" dxfId="1660" priority="903" operator="equal">
      <formula>"예정"</formula>
    </cfRule>
    <cfRule type="cellIs" dxfId="1659" priority="904" operator="equal">
      <formula>"확정"</formula>
    </cfRule>
  </conditionalFormatting>
  <conditionalFormatting sqref="N315">
    <cfRule type="cellIs" dxfId="1658" priority="885" operator="equal">
      <formula>"X"</formula>
    </cfRule>
    <cfRule type="cellIs" dxfId="1657" priority="886" operator="equal">
      <formula>"O"</formula>
    </cfRule>
    <cfRule type="cellIs" dxfId="1656" priority="887" operator="equal">
      <formula>"미정"</formula>
    </cfRule>
    <cfRule type="cellIs" dxfId="1655" priority="888" operator="equal">
      <formula>"예정"</formula>
    </cfRule>
    <cfRule type="cellIs" dxfId="1654" priority="889" operator="equal">
      <formula>"확정"</formula>
    </cfRule>
  </conditionalFormatting>
  <conditionalFormatting sqref="M315">
    <cfRule type="cellIs" dxfId="1653" priority="890" operator="equal">
      <formula>"X"</formula>
    </cfRule>
    <cfRule type="cellIs" dxfId="1652" priority="891" operator="equal">
      <formula>"O"</formula>
    </cfRule>
    <cfRule type="cellIs" dxfId="1651" priority="892" operator="equal">
      <formula>"미정"</formula>
    </cfRule>
    <cfRule type="cellIs" dxfId="1650" priority="893" operator="equal">
      <formula>"예정"</formula>
    </cfRule>
    <cfRule type="cellIs" dxfId="1649" priority="894" operator="equal">
      <formula>"확정"</formula>
    </cfRule>
  </conditionalFormatting>
  <conditionalFormatting sqref="N333">
    <cfRule type="cellIs" dxfId="1648" priority="875" operator="equal">
      <formula>"X"</formula>
    </cfRule>
    <cfRule type="cellIs" dxfId="1647" priority="876" operator="equal">
      <formula>"O"</formula>
    </cfRule>
    <cfRule type="cellIs" dxfId="1646" priority="877" operator="equal">
      <formula>"미정"</formula>
    </cfRule>
    <cfRule type="cellIs" dxfId="1645" priority="878" operator="equal">
      <formula>"예정"</formula>
    </cfRule>
    <cfRule type="cellIs" dxfId="1644" priority="879" operator="equal">
      <formula>"확정"</formula>
    </cfRule>
  </conditionalFormatting>
  <conditionalFormatting sqref="M333">
    <cfRule type="cellIs" dxfId="1643" priority="880" operator="equal">
      <formula>"X"</formula>
    </cfRule>
    <cfRule type="cellIs" dxfId="1642" priority="881" operator="equal">
      <formula>"O"</formula>
    </cfRule>
    <cfRule type="cellIs" dxfId="1641" priority="882" operator="equal">
      <formula>"미정"</formula>
    </cfRule>
    <cfRule type="cellIs" dxfId="1640" priority="883" operator="equal">
      <formula>"예정"</formula>
    </cfRule>
    <cfRule type="cellIs" dxfId="1639" priority="884" operator="equal">
      <formula>"확정"</formula>
    </cfRule>
  </conditionalFormatting>
  <conditionalFormatting sqref="N355">
    <cfRule type="cellIs" dxfId="1638" priority="865" operator="equal">
      <formula>"X"</formula>
    </cfRule>
    <cfRule type="cellIs" dxfId="1637" priority="866" operator="equal">
      <formula>"O"</formula>
    </cfRule>
    <cfRule type="cellIs" dxfId="1636" priority="867" operator="equal">
      <formula>"미정"</formula>
    </cfRule>
    <cfRule type="cellIs" dxfId="1635" priority="868" operator="equal">
      <formula>"예정"</formula>
    </cfRule>
    <cfRule type="cellIs" dxfId="1634" priority="869" operator="equal">
      <formula>"확정"</formula>
    </cfRule>
  </conditionalFormatting>
  <conditionalFormatting sqref="M355">
    <cfRule type="cellIs" dxfId="1633" priority="870" operator="equal">
      <formula>"X"</formula>
    </cfRule>
    <cfRule type="cellIs" dxfId="1632" priority="871" operator="equal">
      <formula>"O"</formula>
    </cfRule>
    <cfRule type="cellIs" dxfId="1631" priority="872" operator="equal">
      <formula>"미정"</formula>
    </cfRule>
    <cfRule type="cellIs" dxfId="1630" priority="873" operator="equal">
      <formula>"예정"</formula>
    </cfRule>
    <cfRule type="cellIs" dxfId="1629" priority="874" operator="equal">
      <formula>"확정"</formula>
    </cfRule>
  </conditionalFormatting>
  <conditionalFormatting sqref="N392">
    <cfRule type="cellIs" dxfId="1628" priority="855" operator="equal">
      <formula>"X"</formula>
    </cfRule>
    <cfRule type="cellIs" dxfId="1627" priority="856" operator="equal">
      <formula>"O"</formula>
    </cfRule>
    <cfRule type="cellIs" dxfId="1626" priority="857" operator="equal">
      <formula>"미정"</formula>
    </cfRule>
    <cfRule type="cellIs" dxfId="1625" priority="858" operator="equal">
      <formula>"예정"</formula>
    </cfRule>
    <cfRule type="cellIs" dxfId="1624" priority="859" operator="equal">
      <formula>"확정"</formula>
    </cfRule>
  </conditionalFormatting>
  <conditionalFormatting sqref="M392">
    <cfRule type="cellIs" dxfId="1623" priority="860" operator="equal">
      <formula>"X"</formula>
    </cfRule>
    <cfRule type="cellIs" dxfId="1622" priority="861" operator="equal">
      <formula>"O"</formula>
    </cfRule>
    <cfRule type="cellIs" dxfId="1621" priority="862" operator="equal">
      <formula>"미정"</formula>
    </cfRule>
    <cfRule type="cellIs" dxfId="1620" priority="863" operator="equal">
      <formula>"예정"</formula>
    </cfRule>
    <cfRule type="cellIs" dxfId="1619" priority="864" operator="equal">
      <formula>"확정"</formula>
    </cfRule>
  </conditionalFormatting>
  <conditionalFormatting sqref="N412">
    <cfRule type="cellIs" dxfId="1618" priority="845" operator="equal">
      <formula>"X"</formula>
    </cfRule>
    <cfRule type="cellIs" dxfId="1617" priority="846" operator="equal">
      <formula>"O"</formula>
    </cfRule>
    <cfRule type="cellIs" dxfId="1616" priority="847" operator="equal">
      <formula>"미정"</formula>
    </cfRule>
    <cfRule type="cellIs" dxfId="1615" priority="848" operator="equal">
      <formula>"예정"</formula>
    </cfRule>
    <cfRule type="cellIs" dxfId="1614" priority="849" operator="equal">
      <formula>"확정"</formula>
    </cfRule>
  </conditionalFormatting>
  <conditionalFormatting sqref="M412">
    <cfRule type="cellIs" dxfId="1613" priority="850" operator="equal">
      <formula>"X"</formula>
    </cfRule>
    <cfRule type="cellIs" dxfId="1612" priority="851" operator="equal">
      <formula>"O"</formula>
    </cfRule>
    <cfRule type="cellIs" dxfId="1611" priority="852" operator="equal">
      <formula>"미정"</formula>
    </cfRule>
    <cfRule type="cellIs" dxfId="1610" priority="853" operator="equal">
      <formula>"예정"</formula>
    </cfRule>
    <cfRule type="cellIs" dxfId="1609" priority="854" operator="equal">
      <formula>"확정"</formula>
    </cfRule>
  </conditionalFormatting>
  <conditionalFormatting sqref="N447">
    <cfRule type="cellIs" dxfId="1608" priority="835" operator="equal">
      <formula>"X"</formula>
    </cfRule>
    <cfRule type="cellIs" dxfId="1607" priority="836" operator="equal">
      <formula>"O"</formula>
    </cfRule>
    <cfRule type="cellIs" dxfId="1606" priority="837" operator="equal">
      <formula>"미정"</formula>
    </cfRule>
    <cfRule type="cellIs" dxfId="1605" priority="838" operator="equal">
      <formula>"예정"</formula>
    </cfRule>
    <cfRule type="cellIs" dxfId="1604" priority="839" operator="equal">
      <formula>"확정"</formula>
    </cfRule>
  </conditionalFormatting>
  <conditionalFormatting sqref="M447">
    <cfRule type="cellIs" dxfId="1603" priority="840" operator="equal">
      <formula>"X"</formula>
    </cfRule>
    <cfRule type="cellIs" dxfId="1602" priority="841" operator="equal">
      <formula>"O"</formula>
    </cfRule>
    <cfRule type="cellIs" dxfId="1601" priority="842" operator="equal">
      <formula>"미정"</formula>
    </cfRule>
    <cfRule type="cellIs" dxfId="1600" priority="843" operator="equal">
      <formula>"예정"</formula>
    </cfRule>
    <cfRule type="cellIs" dxfId="1599" priority="844" operator="equal">
      <formula>"확정"</formula>
    </cfRule>
  </conditionalFormatting>
  <conditionalFormatting sqref="N462">
    <cfRule type="cellIs" dxfId="1598" priority="825" operator="equal">
      <formula>"X"</formula>
    </cfRule>
    <cfRule type="cellIs" dxfId="1597" priority="826" operator="equal">
      <formula>"O"</formula>
    </cfRule>
    <cfRule type="cellIs" dxfId="1596" priority="827" operator="equal">
      <formula>"미정"</formula>
    </cfRule>
    <cfRule type="cellIs" dxfId="1595" priority="828" operator="equal">
      <formula>"예정"</formula>
    </cfRule>
    <cfRule type="cellIs" dxfId="1594" priority="829" operator="equal">
      <formula>"확정"</formula>
    </cfRule>
  </conditionalFormatting>
  <conditionalFormatting sqref="M462">
    <cfRule type="cellIs" dxfId="1593" priority="830" operator="equal">
      <formula>"X"</formula>
    </cfRule>
    <cfRule type="cellIs" dxfId="1592" priority="831" operator="equal">
      <formula>"O"</formula>
    </cfRule>
    <cfRule type="cellIs" dxfId="1591" priority="832" operator="equal">
      <formula>"미정"</formula>
    </cfRule>
    <cfRule type="cellIs" dxfId="1590" priority="833" operator="equal">
      <formula>"예정"</formula>
    </cfRule>
    <cfRule type="cellIs" dxfId="1589" priority="834" operator="equal">
      <formula>"확정"</formula>
    </cfRule>
  </conditionalFormatting>
  <conditionalFormatting sqref="N475">
    <cfRule type="cellIs" dxfId="1588" priority="815" operator="equal">
      <formula>"X"</formula>
    </cfRule>
    <cfRule type="cellIs" dxfId="1587" priority="816" operator="equal">
      <formula>"O"</formula>
    </cfRule>
    <cfRule type="cellIs" dxfId="1586" priority="817" operator="equal">
      <formula>"미정"</formula>
    </cfRule>
    <cfRule type="cellIs" dxfId="1585" priority="818" operator="equal">
      <formula>"예정"</formula>
    </cfRule>
    <cfRule type="cellIs" dxfId="1584" priority="819" operator="equal">
      <formula>"확정"</formula>
    </cfRule>
  </conditionalFormatting>
  <conditionalFormatting sqref="M475">
    <cfRule type="cellIs" dxfId="1583" priority="820" operator="equal">
      <formula>"X"</formula>
    </cfRule>
    <cfRule type="cellIs" dxfId="1582" priority="821" operator="equal">
      <formula>"O"</formula>
    </cfRule>
    <cfRule type="cellIs" dxfId="1581" priority="822" operator="equal">
      <formula>"미정"</formula>
    </cfRule>
    <cfRule type="cellIs" dxfId="1580" priority="823" operator="equal">
      <formula>"예정"</formula>
    </cfRule>
    <cfRule type="cellIs" dxfId="1579" priority="824" operator="equal">
      <formula>"확정"</formula>
    </cfRule>
  </conditionalFormatting>
  <conditionalFormatting sqref="N543">
    <cfRule type="cellIs" dxfId="1578" priority="805" operator="equal">
      <formula>"X"</formula>
    </cfRule>
    <cfRule type="cellIs" dxfId="1577" priority="806" operator="equal">
      <formula>"O"</formula>
    </cfRule>
    <cfRule type="cellIs" dxfId="1576" priority="807" operator="equal">
      <formula>"미정"</formula>
    </cfRule>
    <cfRule type="cellIs" dxfId="1575" priority="808" operator="equal">
      <formula>"예정"</formula>
    </cfRule>
    <cfRule type="cellIs" dxfId="1574" priority="809" operator="equal">
      <formula>"확정"</formula>
    </cfRule>
  </conditionalFormatting>
  <conditionalFormatting sqref="M543">
    <cfRule type="cellIs" dxfId="1573" priority="810" operator="equal">
      <formula>"X"</formula>
    </cfRule>
    <cfRule type="cellIs" dxfId="1572" priority="811" operator="equal">
      <formula>"O"</formula>
    </cfRule>
    <cfRule type="cellIs" dxfId="1571" priority="812" operator="equal">
      <formula>"미정"</formula>
    </cfRule>
    <cfRule type="cellIs" dxfId="1570" priority="813" operator="equal">
      <formula>"예정"</formula>
    </cfRule>
    <cfRule type="cellIs" dxfId="1569" priority="814" operator="equal">
      <formula>"확정"</formula>
    </cfRule>
  </conditionalFormatting>
  <conditionalFormatting sqref="N557">
    <cfRule type="cellIs" dxfId="1568" priority="795" operator="equal">
      <formula>"X"</formula>
    </cfRule>
    <cfRule type="cellIs" dxfId="1567" priority="796" operator="equal">
      <formula>"O"</formula>
    </cfRule>
    <cfRule type="cellIs" dxfId="1566" priority="797" operator="equal">
      <formula>"미정"</formula>
    </cfRule>
    <cfRule type="cellIs" dxfId="1565" priority="798" operator="equal">
      <formula>"예정"</formula>
    </cfRule>
    <cfRule type="cellIs" dxfId="1564" priority="799" operator="equal">
      <formula>"확정"</formula>
    </cfRule>
  </conditionalFormatting>
  <conditionalFormatting sqref="M557">
    <cfRule type="cellIs" dxfId="1563" priority="800" operator="equal">
      <formula>"X"</formula>
    </cfRule>
    <cfRule type="cellIs" dxfId="1562" priority="801" operator="equal">
      <formula>"O"</formula>
    </cfRule>
    <cfRule type="cellIs" dxfId="1561" priority="802" operator="equal">
      <formula>"미정"</formula>
    </cfRule>
    <cfRule type="cellIs" dxfId="1560" priority="803" operator="equal">
      <formula>"예정"</formula>
    </cfRule>
    <cfRule type="cellIs" dxfId="1559" priority="804" operator="equal">
      <formula>"확정"</formula>
    </cfRule>
  </conditionalFormatting>
  <conditionalFormatting sqref="N630">
    <cfRule type="cellIs" dxfId="1558" priority="785" operator="equal">
      <formula>"X"</formula>
    </cfRule>
    <cfRule type="cellIs" dxfId="1557" priority="786" operator="equal">
      <formula>"O"</formula>
    </cfRule>
    <cfRule type="cellIs" dxfId="1556" priority="787" operator="equal">
      <formula>"미정"</formula>
    </cfRule>
    <cfRule type="cellIs" dxfId="1555" priority="788" operator="equal">
      <formula>"예정"</formula>
    </cfRule>
    <cfRule type="cellIs" dxfId="1554" priority="789" operator="equal">
      <formula>"확정"</formula>
    </cfRule>
  </conditionalFormatting>
  <conditionalFormatting sqref="M630">
    <cfRule type="cellIs" dxfId="1553" priority="790" operator="equal">
      <formula>"X"</formula>
    </cfRule>
    <cfRule type="cellIs" dxfId="1552" priority="791" operator="equal">
      <formula>"O"</formula>
    </cfRule>
    <cfRule type="cellIs" dxfId="1551" priority="792" operator="equal">
      <formula>"미정"</formula>
    </cfRule>
    <cfRule type="cellIs" dxfId="1550" priority="793" operator="equal">
      <formula>"예정"</formula>
    </cfRule>
    <cfRule type="cellIs" dxfId="1549" priority="794" operator="equal">
      <formula>"확정"</formula>
    </cfRule>
  </conditionalFormatting>
  <conditionalFormatting sqref="N641">
    <cfRule type="cellIs" dxfId="1548" priority="775" operator="equal">
      <formula>"X"</formula>
    </cfRule>
    <cfRule type="cellIs" dxfId="1547" priority="776" operator="equal">
      <formula>"O"</formula>
    </cfRule>
    <cfRule type="cellIs" dxfId="1546" priority="777" operator="equal">
      <formula>"미정"</formula>
    </cfRule>
    <cfRule type="cellIs" dxfId="1545" priority="778" operator="equal">
      <formula>"예정"</formula>
    </cfRule>
    <cfRule type="cellIs" dxfId="1544" priority="779" operator="equal">
      <formula>"확정"</formula>
    </cfRule>
  </conditionalFormatting>
  <conditionalFormatting sqref="M641">
    <cfRule type="cellIs" dxfId="1543" priority="780" operator="equal">
      <formula>"X"</formula>
    </cfRule>
    <cfRule type="cellIs" dxfId="1542" priority="781" operator="equal">
      <formula>"O"</formula>
    </cfRule>
    <cfRule type="cellIs" dxfId="1541" priority="782" operator="equal">
      <formula>"미정"</formula>
    </cfRule>
    <cfRule type="cellIs" dxfId="1540" priority="783" operator="equal">
      <formula>"예정"</formula>
    </cfRule>
    <cfRule type="cellIs" dxfId="1539" priority="784" operator="equal">
      <formula>"확정"</formula>
    </cfRule>
  </conditionalFormatting>
  <conditionalFormatting sqref="N694">
    <cfRule type="cellIs" dxfId="1538" priority="765" operator="equal">
      <formula>"X"</formula>
    </cfRule>
    <cfRule type="cellIs" dxfId="1537" priority="766" operator="equal">
      <formula>"O"</formula>
    </cfRule>
    <cfRule type="cellIs" dxfId="1536" priority="767" operator="equal">
      <formula>"미정"</formula>
    </cfRule>
    <cfRule type="cellIs" dxfId="1535" priority="768" operator="equal">
      <formula>"예정"</formula>
    </cfRule>
    <cfRule type="cellIs" dxfId="1534" priority="769" operator="equal">
      <formula>"확정"</formula>
    </cfRule>
  </conditionalFormatting>
  <conditionalFormatting sqref="M694">
    <cfRule type="cellIs" dxfId="1533" priority="770" operator="equal">
      <formula>"X"</formula>
    </cfRule>
    <cfRule type="cellIs" dxfId="1532" priority="771" operator="equal">
      <formula>"O"</formula>
    </cfRule>
    <cfRule type="cellIs" dxfId="1531" priority="772" operator="equal">
      <formula>"미정"</formula>
    </cfRule>
    <cfRule type="cellIs" dxfId="1530" priority="773" operator="equal">
      <formula>"예정"</formula>
    </cfRule>
    <cfRule type="cellIs" dxfId="1529" priority="774" operator="equal">
      <formula>"확정"</formula>
    </cfRule>
  </conditionalFormatting>
  <conditionalFormatting sqref="N705">
    <cfRule type="cellIs" dxfId="1528" priority="755" operator="equal">
      <formula>"X"</formula>
    </cfRule>
    <cfRule type="cellIs" dxfId="1527" priority="756" operator="equal">
      <formula>"O"</formula>
    </cfRule>
    <cfRule type="cellIs" dxfId="1526" priority="757" operator="equal">
      <formula>"미정"</formula>
    </cfRule>
    <cfRule type="cellIs" dxfId="1525" priority="758" operator="equal">
      <formula>"예정"</formula>
    </cfRule>
    <cfRule type="cellIs" dxfId="1524" priority="759" operator="equal">
      <formula>"확정"</formula>
    </cfRule>
  </conditionalFormatting>
  <conditionalFormatting sqref="M705">
    <cfRule type="cellIs" dxfId="1523" priority="760" operator="equal">
      <formula>"X"</formula>
    </cfRule>
    <cfRule type="cellIs" dxfId="1522" priority="761" operator="equal">
      <formula>"O"</formula>
    </cfRule>
    <cfRule type="cellIs" dxfId="1521" priority="762" operator="equal">
      <formula>"미정"</formula>
    </cfRule>
    <cfRule type="cellIs" dxfId="1520" priority="763" operator="equal">
      <formula>"예정"</formula>
    </cfRule>
    <cfRule type="cellIs" dxfId="1519" priority="764" operator="equal">
      <formula>"확정"</formula>
    </cfRule>
  </conditionalFormatting>
  <conditionalFormatting sqref="Y190">
    <cfRule type="containsText" dxfId="1518" priority="751" operator="containsText" text="Optional">
      <formula>NOT(ISERROR(SEARCH("Optional",Y190)))</formula>
    </cfRule>
    <cfRule type="containsText" dxfId="1517" priority="752" operator="containsText" text="Worst">
      <formula>NOT(ISERROR(SEARCH("Worst",Y190)))</formula>
    </cfRule>
    <cfRule type="containsText" dxfId="1516" priority="753" operator="containsText" text="Best">
      <formula>NOT(ISERROR(SEARCH("Best",Y190)))</formula>
    </cfRule>
    <cfRule type="containsText" dxfId="1515" priority="754" operator="containsText" text="Base">
      <formula>NOT(ISERROR(SEARCH("Base",Y190)))</formula>
    </cfRule>
  </conditionalFormatting>
  <conditionalFormatting sqref="Y41">
    <cfRule type="containsText" dxfId="1514" priority="747" operator="containsText" text="Optional">
      <formula>NOT(ISERROR(SEARCH("Optional",Y41)))</formula>
    </cfRule>
    <cfRule type="containsText" dxfId="1513" priority="748" operator="containsText" text="Worst">
      <formula>NOT(ISERROR(SEARCH("Worst",Y41)))</formula>
    </cfRule>
    <cfRule type="containsText" dxfId="1512" priority="749" operator="containsText" text="Best">
      <formula>NOT(ISERROR(SEARCH("Best",Y41)))</formula>
    </cfRule>
    <cfRule type="containsText" dxfId="1511" priority="750" operator="containsText" text="Base">
      <formula>NOT(ISERROR(SEARCH("Base",Y41)))</formula>
    </cfRule>
  </conditionalFormatting>
  <conditionalFormatting sqref="Y172">
    <cfRule type="containsText" dxfId="1510" priority="743" operator="containsText" text="Optional">
      <formula>NOT(ISERROR(SEARCH("Optional",Y172)))</formula>
    </cfRule>
    <cfRule type="containsText" dxfId="1509" priority="744" operator="containsText" text="Worst">
      <formula>NOT(ISERROR(SEARCH("Worst",Y172)))</formula>
    </cfRule>
    <cfRule type="containsText" dxfId="1508" priority="745" operator="containsText" text="Best">
      <formula>NOT(ISERROR(SEARCH("Best",Y172)))</formula>
    </cfRule>
    <cfRule type="containsText" dxfId="1507" priority="746" operator="containsText" text="Base">
      <formula>NOT(ISERROR(SEARCH("Base",Y172)))</formula>
    </cfRule>
  </conditionalFormatting>
  <conditionalFormatting sqref="K261:L261">
    <cfRule type="cellIs" dxfId="1506" priority="738" operator="equal">
      <formula>"X"</formula>
    </cfRule>
    <cfRule type="cellIs" dxfId="1505" priority="739" operator="equal">
      <formula>"O"</formula>
    </cfRule>
    <cfRule type="cellIs" dxfId="1504" priority="740" operator="equal">
      <formula>"미정"</formula>
    </cfRule>
    <cfRule type="cellIs" dxfId="1503" priority="741" operator="equal">
      <formula>"예정"</formula>
    </cfRule>
    <cfRule type="cellIs" dxfId="1502" priority="742" operator="equal">
      <formula>"확정"</formula>
    </cfRule>
  </conditionalFormatting>
  <conditionalFormatting sqref="O261:P261">
    <cfRule type="cellIs" dxfId="1501" priority="733" operator="equal">
      <formula>"X"</formula>
    </cfRule>
    <cfRule type="cellIs" dxfId="1500" priority="734" operator="equal">
      <formula>"O"</formula>
    </cfRule>
    <cfRule type="cellIs" dxfId="1499" priority="735" operator="equal">
      <formula>"미정"</formula>
    </cfRule>
    <cfRule type="cellIs" dxfId="1498" priority="736" operator="equal">
      <formula>"예정"</formula>
    </cfRule>
    <cfRule type="cellIs" dxfId="1497" priority="737" operator="equal">
      <formula>"확정"</formula>
    </cfRule>
  </conditionalFormatting>
  <conditionalFormatting sqref="N261">
    <cfRule type="cellIs" dxfId="1496" priority="723" operator="equal">
      <formula>"X"</formula>
    </cfRule>
    <cfRule type="cellIs" dxfId="1495" priority="724" operator="equal">
      <formula>"O"</formula>
    </cfRule>
    <cfRule type="cellIs" dxfId="1494" priority="725" operator="equal">
      <formula>"미정"</formula>
    </cfRule>
    <cfRule type="cellIs" dxfId="1493" priority="726" operator="equal">
      <formula>"예정"</formula>
    </cfRule>
    <cfRule type="cellIs" dxfId="1492" priority="727" operator="equal">
      <formula>"확정"</formula>
    </cfRule>
  </conditionalFormatting>
  <conditionalFormatting sqref="M261">
    <cfRule type="cellIs" dxfId="1491" priority="728" operator="equal">
      <formula>"X"</formula>
    </cfRule>
    <cfRule type="cellIs" dxfId="1490" priority="729" operator="equal">
      <formula>"O"</formula>
    </cfRule>
    <cfRule type="cellIs" dxfId="1489" priority="730" operator="equal">
      <formula>"미정"</formula>
    </cfRule>
    <cfRule type="cellIs" dxfId="1488" priority="731" operator="equal">
      <formula>"예정"</formula>
    </cfRule>
    <cfRule type="cellIs" dxfId="1487" priority="732" operator="equal">
      <formula>"확정"</formula>
    </cfRule>
  </conditionalFormatting>
  <conditionalFormatting sqref="Y260:Y262">
    <cfRule type="containsText" dxfId="1486" priority="719" operator="containsText" text="Optional">
      <formula>NOT(ISERROR(SEARCH("Optional",Y260)))</formula>
    </cfRule>
    <cfRule type="containsText" dxfId="1485" priority="720" operator="containsText" text="Worst">
      <formula>NOT(ISERROR(SEARCH("Worst",Y260)))</formula>
    </cfRule>
    <cfRule type="containsText" dxfId="1484" priority="721" operator="containsText" text="Best">
      <formula>NOT(ISERROR(SEARCH("Best",Y260)))</formula>
    </cfRule>
    <cfRule type="containsText" dxfId="1483" priority="722" operator="containsText" text="Base">
      <formula>NOT(ISERROR(SEARCH("Base",Y260)))</formula>
    </cfRule>
  </conditionalFormatting>
  <conditionalFormatting sqref="Y263">
    <cfRule type="containsText" dxfId="1482" priority="715" operator="containsText" text="Optional">
      <formula>NOT(ISERROR(SEARCH("Optional",Y263)))</formula>
    </cfRule>
    <cfRule type="containsText" dxfId="1481" priority="716" operator="containsText" text="Worst">
      <formula>NOT(ISERROR(SEARCH("Worst",Y263)))</formula>
    </cfRule>
    <cfRule type="containsText" dxfId="1480" priority="717" operator="containsText" text="Best">
      <formula>NOT(ISERROR(SEARCH("Best",Y263)))</formula>
    </cfRule>
    <cfRule type="containsText" dxfId="1479" priority="718" operator="containsText" text="Base">
      <formula>NOT(ISERROR(SEARCH("Base",Y263)))</formula>
    </cfRule>
  </conditionalFormatting>
  <conditionalFormatting sqref="Y264">
    <cfRule type="containsText" dxfId="1478" priority="711" operator="containsText" text="Optional">
      <formula>NOT(ISERROR(SEARCH("Optional",Y264)))</formula>
    </cfRule>
    <cfRule type="containsText" dxfId="1477" priority="712" operator="containsText" text="Worst">
      <formula>NOT(ISERROR(SEARCH("Worst",Y264)))</formula>
    </cfRule>
    <cfRule type="containsText" dxfId="1476" priority="713" operator="containsText" text="Best">
      <formula>NOT(ISERROR(SEARCH("Best",Y264)))</formula>
    </cfRule>
    <cfRule type="containsText" dxfId="1475" priority="714" operator="containsText" text="Base">
      <formula>NOT(ISERROR(SEARCH("Base",Y264)))</formula>
    </cfRule>
  </conditionalFormatting>
  <conditionalFormatting sqref="K380:L380">
    <cfRule type="cellIs" dxfId="1474" priority="706" operator="equal">
      <formula>"X"</formula>
    </cfRule>
    <cfRule type="cellIs" dxfId="1473" priority="707" operator="equal">
      <formula>"O"</formula>
    </cfRule>
    <cfRule type="cellIs" dxfId="1472" priority="708" operator="equal">
      <formula>"미정"</formula>
    </cfRule>
    <cfRule type="cellIs" dxfId="1471" priority="709" operator="equal">
      <formula>"예정"</formula>
    </cfRule>
    <cfRule type="cellIs" dxfId="1470" priority="710" operator="equal">
      <formula>"확정"</formula>
    </cfRule>
  </conditionalFormatting>
  <conditionalFormatting sqref="O380:P380">
    <cfRule type="cellIs" dxfId="1469" priority="697" operator="equal">
      <formula>"X"</formula>
    </cfRule>
    <cfRule type="cellIs" dxfId="1468" priority="698" operator="equal">
      <formula>"O"</formula>
    </cfRule>
    <cfRule type="cellIs" dxfId="1467" priority="699" operator="equal">
      <formula>"미정"</formula>
    </cfRule>
    <cfRule type="cellIs" dxfId="1466" priority="700" operator="equal">
      <formula>"예정"</formula>
    </cfRule>
    <cfRule type="cellIs" dxfId="1465" priority="701" operator="equal">
      <formula>"확정"</formula>
    </cfRule>
  </conditionalFormatting>
  <conditionalFormatting sqref="Y379:Y380">
    <cfRule type="containsText" dxfId="1464" priority="693" operator="containsText" text="Optional">
      <formula>NOT(ISERROR(SEARCH("Optional",Y379)))</formula>
    </cfRule>
    <cfRule type="containsText" dxfId="1463" priority="694" operator="containsText" text="Worst">
      <formula>NOT(ISERROR(SEARCH("Worst",Y379)))</formula>
    </cfRule>
    <cfRule type="containsText" dxfId="1462" priority="695" operator="containsText" text="Best">
      <formula>NOT(ISERROR(SEARCH("Best",Y379)))</formula>
    </cfRule>
    <cfRule type="containsText" dxfId="1461" priority="696" operator="containsText" text="Base">
      <formula>NOT(ISERROR(SEARCH("Base",Y379)))</formula>
    </cfRule>
  </conditionalFormatting>
  <conditionalFormatting sqref="N380">
    <cfRule type="cellIs" dxfId="1460" priority="683" operator="equal">
      <formula>"X"</formula>
    </cfRule>
    <cfRule type="cellIs" dxfId="1459" priority="684" operator="equal">
      <formula>"O"</formula>
    </cfRule>
    <cfRule type="cellIs" dxfId="1458" priority="685" operator="equal">
      <formula>"미정"</formula>
    </cfRule>
    <cfRule type="cellIs" dxfId="1457" priority="686" operator="equal">
      <formula>"예정"</formula>
    </cfRule>
    <cfRule type="cellIs" dxfId="1456" priority="687" operator="equal">
      <formula>"확정"</formula>
    </cfRule>
  </conditionalFormatting>
  <conditionalFormatting sqref="M380">
    <cfRule type="cellIs" dxfId="1455" priority="688" operator="equal">
      <formula>"X"</formula>
    </cfRule>
    <cfRule type="cellIs" dxfId="1454" priority="689" operator="equal">
      <formula>"O"</formula>
    </cfRule>
    <cfRule type="cellIs" dxfId="1453" priority="690" operator="equal">
      <formula>"미정"</formula>
    </cfRule>
    <cfRule type="cellIs" dxfId="1452" priority="691" operator="equal">
      <formula>"예정"</formula>
    </cfRule>
    <cfRule type="cellIs" dxfId="1451" priority="692" operator="equal">
      <formula>"확정"</formula>
    </cfRule>
  </conditionalFormatting>
  <conditionalFormatting sqref="Y381">
    <cfRule type="containsText" dxfId="1450" priority="679" operator="containsText" text="Optional">
      <formula>NOT(ISERROR(SEARCH("Optional",Y381)))</formula>
    </cfRule>
    <cfRule type="containsText" dxfId="1449" priority="680" operator="containsText" text="Worst">
      <formula>NOT(ISERROR(SEARCH("Worst",Y381)))</formula>
    </cfRule>
    <cfRule type="containsText" dxfId="1448" priority="681" operator="containsText" text="Best">
      <formula>NOT(ISERROR(SEARCH("Best",Y381)))</formula>
    </cfRule>
    <cfRule type="containsText" dxfId="1447" priority="682" operator="containsText" text="Base">
      <formula>NOT(ISERROR(SEARCH("Base",Y381)))</formula>
    </cfRule>
  </conditionalFormatting>
  <conditionalFormatting sqref="Y405:Y408">
    <cfRule type="containsText" dxfId="1446" priority="675" operator="containsText" text="Optional">
      <formula>NOT(ISERROR(SEARCH("Optional",Y405)))</formula>
    </cfRule>
    <cfRule type="containsText" dxfId="1445" priority="676" operator="containsText" text="Worst">
      <formula>NOT(ISERROR(SEARCH("Worst",Y405)))</formula>
    </cfRule>
    <cfRule type="containsText" dxfId="1444" priority="677" operator="containsText" text="Best">
      <formula>NOT(ISERROR(SEARCH("Best",Y405)))</formula>
    </cfRule>
    <cfRule type="containsText" dxfId="1443" priority="678" operator="containsText" text="Base">
      <formula>NOT(ISERROR(SEARCH("Base",Y405)))</formula>
    </cfRule>
  </conditionalFormatting>
  <conditionalFormatting sqref="Y394">
    <cfRule type="containsText" dxfId="1442" priority="671" operator="containsText" text="Optional">
      <formula>NOT(ISERROR(SEARCH("Optional",Y394)))</formula>
    </cfRule>
    <cfRule type="containsText" dxfId="1441" priority="672" operator="containsText" text="Worst">
      <formula>NOT(ISERROR(SEARCH("Worst",Y394)))</formula>
    </cfRule>
    <cfRule type="containsText" dxfId="1440" priority="673" operator="containsText" text="Best">
      <formula>NOT(ISERROR(SEARCH("Best",Y394)))</formula>
    </cfRule>
    <cfRule type="containsText" dxfId="1439" priority="674" operator="containsText" text="Base">
      <formula>NOT(ISERROR(SEARCH("Base",Y394)))</formula>
    </cfRule>
  </conditionalFormatting>
  <conditionalFormatting sqref="Y358:Y359">
    <cfRule type="containsText" dxfId="1438" priority="667" operator="containsText" text="Optional">
      <formula>NOT(ISERROR(SEARCH("Optional",Y358)))</formula>
    </cfRule>
    <cfRule type="containsText" dxfId="1437" priority="668" operator="containsText" text="Worst">
      <formula>NOT(ISERROR(SEARCH("Worst",Y358)))</formula>
    </cfRule>
    <cfRule type="containsText" dxfId="1436" priority="669" operator="containsText" text="Best">
      <formula>NOT(ISERROR(SEARCH("Best",Y358)))</formula>
    </cfRule>
    <cfRule type="containsText" dxfId="1435" priority="670" operator="containsText" text="Base">
      <formula>NOT(ISERROR(SEARCH("Base",Y358)))</formula>
    </cfRule>
  </conditionalFormatting>
  <conditionalFormatting sqref="Y356">
    <cfRule type="containsText" dxfId="1434" priority="663" operator="containsText" text="Optional">
      <formula>NOT(ISERROR(SEARCH("Optional",Y356)))</formula>
    </cfRule>
    <cfRule type="containsText" dxfId="1433" priority="664" operator="containsText" text="Worst">
      <formula>NOT(ISERROR(SEARCH("Worst",Y356)))</formula>
    </cfRule>
    <cfRule type="containsText" dxfId="1432" priority="665" operator="containsText" text="Best">
      <formula>NOT(ISERROR(SEARCH("Best",Y356)))</formula>
    </cfRule>
    <cfRule type="containsText" dxfId="1431" priority="666" operator="containsText" text="Base">
      <formula>NOT(ISERROR(SEARCH("Base",Y356)))</formula>
    </cfRule>
  </conditionalFormatting>
  <conditionalFormatting sqref="Y357">
    <cfRule type="containsText" dxfId="1430" priority="659" operator="containsText" text="Optional">
      <formula>NOT(ISERROR(SEARCH("Optional",Y357)))</formula>
    </cfRule>
    <cfRule type="containsText" dxfId="1429" priority="660" operator="containsText" text="Worst">
      <formula>NOT(ISERROR(SEARCH("Worst",Y357)))</formula>
    </cfRule>
    <cfRule type="containsText" dxfId="1428" priority="661" operator="containsText" text="Best">
      <formula>NOT(ISERROR(SEARCH("Best",Y357)))</formula>
    </cfRule>
    <cfRule type="containsText" dxfId="1427" priority="662" operator="containsText" text="Base">
      <formula>NOT(ISERROR(SEARCH("Base",Y357)))</formula>
    </cfRule>
  </conditionalFormatting>
  <conditionalFormatting sqref="K492:P492">
    <cfRule type="cellIs" dxfId="1426" priority="650" operator="equal">
      <formula>"X"</formula>
    </cfRule>
    <cfRule type="cellIs" dxfId="1425" priority="651" operator="equal">
      <formula>"O"</formula>
    </cfRule>
    <cfRule type="cellIs" dxfId="1424" priority="652" operator="equal">
      <formula>"미정"</formula>
    </cfRule>
    <cfRule type="cellIs" dxfId="1423" priority="653" operator="equal">
      <formula>"예정"</formula>
    </cfRule>
    <cfRule type="cellIs" dxfId="1422" priority="654" operator="equal">
      <formula>"확정"</formula>
    </cfRule>
  </conditionalFormatting>
  <conditionalFormatting sqref="Y490:Y492">
    <cfRule type="containsText" dxfId="1421" priority="646" operator="containsText" text="Optional">
      <formula>NOT(ISERROR(SEARCH("Optional",Y490)))</formula>
    </cfRule>
    <cfRule type="containsText" dxfId="1420" priority="647" operator="containsText" text="Worst">
      <formula>NOT(ISERROR(SEARCH("Worst",Y490)))</formula>
    </cfRule>
    <cfRule type="containsText" dxfId="1419" priority="648" operator="containsText" text="Best">
      <formula>NOT(ISERROR(SEARCH("Best",Y490)))</formula>
    </cfRule>
    <cfRule type="containsText" dxfId="1418" priority="649" operator="containsText" text="Base">
      <formula>NOT(ISERROR(SEARCH("Base",Y490)))</formula>
    </cfRule>
  </conditionalFormatting>
  <conditionalFormatting sqref="Y493">
    <cfRule type="containsText" dxfId="1417" priority="642" operator="containsText" text="Optional">
      <formula>NOT(ISERROR(SEARCH("Optional",Y493)))</formula>
    </cfRule>
    <cfRule type="containsText" dxfId="1416" priority="643" operator="containsText" text="Worst">
      <formula>NOT(ISERROR(SEARCH("Worst",Y493)))</formula>
    </cfRule>
    <cfRule type="containsText" dxfId="1415" priority="644" operator="containsText" text="Best">
      <formula>NOT(ISERROR(SEARCH("Best",Y493)))</formula>
    </cfRule>
    <cfRule type="containsText" dxfId="1414" priority="645" operator="containsText" text="Base">
      <formula>NOT(ISERROR(SEARCH("Base",Y493)))</formula>
    </cfRule>
  </conditionalFormatting>
  <conditionalFormatting sqref="K517:M517">
    <cfRule type="cellIs" dxfId="1413" priority="607" operator="equal">
      <formula>"X"</formula>
    </cfRule>
    <cfRule type="cellIs" dxfId="1412" priority="608" operator="equal">
      <formula>"O"</formula>
    </cfRule>
    <cfRule type="cellIs" dxfId="1411" priority="609" operator="equal">
      <formula>"미정"</formula>
    </cfRule>
    <cfRule type="cellIs" dxfId="1410" priority="610" operator="equal">
      <formula>"예정"</formula>
    </cfRule>
    <cfRule type="cellIs" dxfId="1409" priority="611" operator="equal">
      <formula>"확정"</formula>
    </cfRule>
  </conditionalFormatting>
  <conditionalFormatting sqref="N517:P517">
    <cfRule type="cellIs" dxfId="1408" priority="602" operator="equal">
      <formula>"X"</formula>
    </cfRule>
    <cfRule type="cellIs" dxfId="1407" priority="603" operator="equal">
      <formula>"O"</formula>
    </cfRule>
    <cfRule type="cellIs" dxfId="1406" priority="604" operator="equal">
      <formula>"미정"</formula>
    </cfRule>
    <cfRule type="cellIs" dxfId="1405" priority="605" operator="equal">
      <formula>"예정"</formula>
    </cfRule>
    <cfRule type="cellIs" dxfId="1404" priority="606" operator="equal">
      <formula>"확정"</formula>
    </cfRule>
  </conditionalFormatting>
  <conditionalFormatting sqref="K577:P577">
    <cfRule type="cellIs" dxfId="1403" priority="579" operator="equal">
      <formula>"X"</formula>
    </cfRule>
    <cfRule type="cellIs" dxfId="1402" priority="580" operator="equal">
      <formula>"O"</formula>
    </cfRule>
    <cfRule type="cellIs" dxfId="1401" priority="581" operator="equal">
      <formula>"미정"</formula>
    </cfRule>
    <cfRule type="cellIs" dxfId="1400" priority="582" operator="equal">
      <formula>"예정"</formula>
    </cfRule>
    <cfRule type="cellIs" dxfId="1399" priority="583" operator="equal">
      <formula>"확정"</formula>
    </cfRule>
  </conditionalFormatting>
  <conditionalFormatting sqref="Y575:Y577">
    <cfRule type="containsText" dxfId="1398" priority="575" operator="containsText" text="Optional">
      <formula>NOT(ISERROR(SEARCH("Optional",Y575)))</formula>
    </cfRule>
    <cfRule type="containsText" dxfId="1397" priority="576" operator="containsText" text="Worst">
      <formula>NOT(ISERROR(SEARCH("Worst",Y575)))</formula>
    </cfRule>
    <cfRule type="containsText" dxfId="1396" priority="577" operator="containsText" text="Best">
      <formula>NOT(ISERROR(SEARCH("Best",Y575)))</formula>
    </cfRule>
    <cfRule type="containsText" dxfId="1395" priority="578" operator="containsText" text="Base">
      <formula>NOT(ISERROR(SEARCH("Base",Y575)))</formula>
    </cfRule>
  </conditionalFormatting>
  <conditionalFormatting sqref="Y578">
    <cfRule type="containsText" dxfId="1394" priority="571" operator="containsText" text="Optional">
      <formula>NOT(ISERROR(SEARCH("Optional",Y578)))</formula>
    </cfRule>
    <cfRule type="containsText" dxfId="1393" priority="572" operator="containsText" text="Worst">
      <formula>NOT(ISERROR(SEARCH("Worst",Y578)))</formula>
    </cfRule>
    <cfRule type="containsText" dxfId="1392" priority="573" operator="containsText" text="Best">
      <formula>NOT(ISERROR(SEARCH("Best",Y578)))</formula>
    </cfRule>
    <cfRule type="containsText" dxfId="1391" priority="574" operator="containsText" text="Base">
      <formula>NOT(ISERROR(SEARCH("Base",Y578)))</formula>
    </cfRule>
  </conditionalFormatting>
  <conditionalFormatting sqref="Y589:Y592 Y599:Y602">
    <cfRule type="containsText" dxfId="1390" priority="567" operator="containsText" text="Optional">
      <formula>NOT(ISERROR(SEARCH("Optional",Y589)))</formula>
    </cfRule>
    <cfRule type="containsText" dxfId="1389" priority="568" operator="containsText" text="Worst">
      <formula>NOT(ISERROR(SEARCH("Worst",Y589)))</formula>
    </cfRule>
    <cfRule type="containsText" dxfId="1388" priority="569" operator="containsText" text="Best">
      <formula>NOT(ISERROR(SEARCH("Best",Y589)))</formula>
    </cfRule>
    <cfRule type="containsText" dxfId="1387" priority="570" operator="containsText" text="Base">
      <formula>NOT(ISERROR(SEARCH("Base",Y589)))</formula>
    </cfRule>
  </conditionalFormatting>
  <conditionalFormatting sqref="Y593:Y594 Y603">
    <cfRule type="containsText" dxfId="1386" priority="563" operator="containsText" text="Optional">
      <formula>NOT(ISERROR(SEARCH("Optional",Y593)))</formula>
    </cfRule>
    <cfRule type="containsText" dxfId="1385" priority="564" operator="containsText" text="Worst">
      <formula>NOT(ISERROR(SEARCH("Worst",Y593)))</formula>
    </cfRule>
    <cfRule type="containsText" dxfId="1384" priority="565" operator="containsText" text="Best">
      <formula>NOT(ISERROR(SEARCH("Best",Y593)))</formula>
    </cfRule>
    <cfRule type="containsText" dxfId="1383" priority="566" operator="containsText" text="Base">
      <formula>NOT(ISERROR(SEARCH("Base",Y593)))</formula>
    </cfRule>
  </conditionalFormatting>
  <conditionalFormatting sqref="Y585">
    <cfRule type="containsText" dxfId="1382" priority="559" operator="containsText" text="Optional">
      <formula>NOT(ISERROR(SEARCH("Optional",Y585)))</formula>
    </cfRule>
    <cfRule type="containsText" dxfId="1381" priority="560" operator="containsText" text="Worst">
      <formula>NOT(ISERROR(SEARCH("Worst",Y585)))</formula>
    </cfRule>
    <cfRule type="containsText" dxfId="1380" priority="561" operator="containsText" text="Best">
      <formula>NOT(ISERROR(SEARCH("Best",Y585)))</formula>
    </cfRule>
    <cfRule type="containsText" dxfId="1379" priority="562" operator="containsText" text="Base">
      <formula>NOT(ISERROR(SEARCH("Base",Y585)))</formula>
    </cfRule>
  </conditionalFormatting>
  <conditionalFormatting sqref="K587:L587">
    <cfRule type="cellIs" dxfId="1378" priority="554" operator="equal">
      <formula>"X"</formula>
    </cfRule>
    <cfRule type="cellIs" dxfId="1377" priority="555" operator="equal">
      <formula>"O"</formula>
    </cfRule>
    <cfRule type="cellIs" dxfId="1376" priority="556" operator="equal">
      <formula>"미정"</formula>
    </cfRule>
    <cfRule type="cellIs" dxfId="1375" priority="557" operator="equal">
      <formula>"예정"</formula>
    </cfRule>
    <cfRule type="cellIs" dxfId="1374" priority="558" operator="equal">
      <formula>"확정"</formula>
    </cfRule>
  </conditionalFormatting>
  <conditionalFormatting sqref="O587:P587">
    <cfRule type="cellIs" dxfId="1373" priority="549" operator="equal">
      <formula>"X"</formula>
    </cfRule>
    <cfRule type="cellIs" dxfId="1372" priority="550" operator="equal">
      <formula>"O"</formula>
    </cfRule>
    <cfRule type="cellIs" dxfId="1371" priority="551" operator="equal">
      <formula>"미정"</formula>
    </cfRule>
    <cfRule type="cellIs" dxfId="1370" priority="552" operator="equal">
      <formula>"예정"</formula>
    </cfRule>
    <cfRule type="cellIs" dxfId="1369" priority="553" operator="equal">
      <formula>"확정"</formula>
    </cfRule>
  </conditionalFormatting>
  <conditionalFormatting sqref="N587">
    <cfRule type="cellIs" dxfId="1368" priority="539" operator="equal">
      <formula>"X"</formula>
    </cfRule>
    <cfRule type="cellIs" dxfId="1367" priority="540" operator="equal">
      <formula>"O"</formula>
    </cfRule>
    <cfRule type="cellIs" dxfId="1366" priority="541" operator="equal">
      <formula>"미정"</formula>
    </cfRule>
    <cfRule type="cellIs" dxfId="1365" priority="542" operator="equal">
      <formula>"예정"</formula>
    </cfRule>
    <cfRule type="cellIs" dxfId="1364" priority="543" operator="equal">
      <formula>"확정"</formula>
    </cfRule>
  </conditionalFormatting>
  <conditionalFormatting sqref="M587">
    <cfRule type="cellIs" dxfId="1363" priority="544" operator="equal">
      <formula>"X"</formula>
    </cfRule>
    <cfRule type="cellIs" dxfId="1362" priority="545" operator="equal">
      <formula>"O"</formula>
    </cfRule>
    <cfRule type="cellIs" dxfId="1361" priority="546" operator="equal">
      <formula>"미정"</formula>
    </cfRule>
    <cfRule type="cellIs" dxfId="1360" priority="547" operator="equal">
      <formula>"예정"</formula>
    </cfRule>
    <cfRule type="cellIs" dxfId="1359" priority="548" operator="equal">
      <formula>"확정"</formula>
    </cfRule>
  </conditionalFormatting>
  <conditionalFormatting sqref="Y586:Y587">
    <cfRule type="containsText" dxfId="1358" priority="535" operator="containsText" text="Optional">
      <formula>NOT(ISERROR(SEARCH("Optional",Y586)))</formula>
    </cfRule>
    <cfRule type="containsText" dxfId="1357" priority="536" operator="containsText" text="Worst">
      <formula>NOT(ISERROR(SEARCH("Worst",Y586)))</formula>
    </cfRule>
    <cfRule type="containsText" dxfId="1356" priority="537" operator="containsText" text="Best">
      <formula>NOT(ISERROR(SEARCH("Best",Y586)))</formula>
    </cfRule>
    <cfRule type="containsText" dxfId="1355" priority="538" operator="containsText" text="Base">
      <formula>NOT(ISERROR(SEARCH("Base",Y586)))</formula>
    </cfRule>
  </conditionalFormatting>
  <conditionalFormatting sqref="Y595">
    <cfRule type="containsText" dxfId="1354" priority="531" operator="containsText" text="Optional">
      <formula>NOT(ISERROR(SEARCH("Optional",Y595)))</formula>
    </cfRule>
    <cfRule type="containsText" dxfId="1353" priority="532" operator="containsText" text="Worst">
      <formula>NOT(ISERROR(SEARCH("Worst",Y595)))</formula>
    </cfRule>
    <cfRule type="containsText" dxfId="1352" priority="533" operator="containsText" text="Best">
      <formula>NOT(ISERROR(SEARCH("Best",Y595)))</formula>
    </cfRule>
    <cfRule type="containsText" dxfId="1351" priority="534" operator="containsText" text="Base">
      <formula>NOT(ISERROR(SEARCH("Base",Y595)))</formula>
    </cfRule>
  </conditionalFormatting>
  <conditionalFormatting sqref="K597:L597">
    <cfRule type="cellIs" dxfId="1350" priority="526" operator="equal">
      <formula>"X"</formula>
    </cfRule>
    <cfRule type="cellIs" dxfId="1349" priority="527" operator="equal">
      <formula>"O"</formula>
    </cfRule>
    <cfRule type="cellIs" dxfId="1348" priority="528" operator="equal">
      <formula>"미정"</formula>
    </cfRule>
    <cfRule type="cellIs" dxfId="1347" priority="529" operator="equal">
      <formula>"예정"</formula>
    </cfRule>
    <cfRule type="cellIs" dxfId="1346" priority="530" operator="equal">
      <formula>"확정"</formula>
    </cfRule>
  </conditionalFormatting>
  <conditionalFormatting sqref="O597:P597">
    <cfRule type="cellIs" dxfId="1345" priority="521" operator="equal">
      <formula>"X"</formula>
    </cfRule>
    <cfRule type="cellIs" dxfId="1344" priority="522" operator="equal">
      <formula>"O"</formula>
    </cfRule>
    <cfRule type="cellIs" dxfId="1343" priority="523" operator="equal">
      <formula>"미정"</formula>
    </cfRule>
    <cfRule type="cellIs" dxfId="1342" priority="524" operator="equal">
      <formula>"예정"</formula>
    </cfRule>
    <cfRule type="cellIs" dxfId="1341" priority="525" operator="equal">
      <formula>"확정"</formula>
    </cfRule>
  </conditionalFormatting>
  <conditionalFormatting sqref="N597">
    <cfRule type="cellIs" dxfId="1340" priority="511" operator="equal">
      <formula>"X"</formula>
    </cfRule>
    <cfRule type="cellIs" dxfId="1339" priority="512" operator="equal">
      <formula>"O"</formula>
    </cfRule>
    <cfRule type="cellIs" dxfId="1338" priority="513" operator="equal">
      <formula>"미정"</formula>
    </cfRule>
    <cfRule type="cellIs" dxfId="1337" priority="514" operator="equal">
      <formula>"예정"</formula>
    </cfRule>
    <cfRule type="cellIs" dxfId="1336" priority="515" operator="equal">
      <formula>"확정"</formula>
    </cfRule>
  </conditionalFormatting>
  <conditionalFormatting sqref="M597">
    <cfRule type="cellIs" dxfId="1335" priority="516" operator="equal">
      <formula>"X"</formula>
    </cfRule>
    <cfRule type="cellIs" dxfId="1334" priority="517" operator="equal">
      <formula>"O"</formula>
    </cfRule>
    <cfRule type="cellIs" dxfId="1333" priority="518" operator="equal">
      <formula>"미정"</formula>
    </cfRule>
    <cfRule type="cellIs" dxfId="1332" priority="519" operator="equal">
      <formula>"예정"</formula>
    </cfRule>
    <cfRule type="cellIs" dxfId="1331" priority="520" operator="equal">
      <formula>"확정"</formula>
    </cfRule>
  </conditionalFormatting>
  <conditionalFormatting sqref="Y596:Y597">
    <cfRule type="containsText" dxfId="1330" priority="507" operator="containsText" text="Optional">
      <formula>NOT(ISERROR(SEARCH("Optional",Y596)))</formula>
    </cfRule>
    <cfRule type="containsText" dxfId="1329" priority="508" operator="containsText" text="Worst">
      <formula>NOT(ISERROR(SEARCH("Worst",Y596)))</formula>
    </cfRule>
    <cfRule type="containsText" dxfId="1328" priority="509" operator="containsText" text="Best">
      <formula>NOT(ISERROR(SEARCH("Best",Y596)))</formula>
    </cfRule>
    <cfRule type="containsText" dxfId="1327" priority="510" operator="containsText" text="Base">
      <formula>NOT(ISERROR(SEARCH("Base",Y596)))</formula>
    </cfRule>
  </conditionalFormatting>
  <conditionalFormatting sqref="Y610:Y613">
    <cfRule type="containsText" dxfId="1326" priority="499" operator="containsText" text="Optional">
      <formula>NOT(ISERROR(SEARCH("Optional",Y610)))</formula>
    </cfRule>
    <cfRule type="containsText" dxfId="1325" priority="500" operator="containsText" text="Worst">
      <formula>NOT(ISERROR(SEARCH("Worst",Y610)))</formula>
    </cfRule>
    <cfRule type="containsText" dxfId="1324" priority="501" operator="containsText" text="Best">
      <formula>NOT(ISERROR(SEARCH("Best",Y610)))</formula>
    </cfRule>
    <cfRule type="containsText" dxfId="1323" priority="502" operator="containsText" text="Base">
      <formula>NOT(ISERROR(SEARCH("Base",Y610)))</formula>
    </cfRule>
  </conditionalFormatting>
  <conditionalFormatting sqref="Y608:Y609">
    <cfRule type="containsText" dxfId="1322" priority="467" operator="containsText" text="Optional">
      <formula>NOT(ISERROR(SEARCH("Optional",Y608)))</formula>
    </cfRule>
    <cfRule type="containsText" dxfId="1321" priority="468" operator="containsText" text="Worst">
      <formula>NOT(ISERROR(SEARCH("Worst",Y608)))</formula>
    </cfRule>
    <cfRule type="containsText" dxfId="1320" priority="469" operator="containsText" text="Best">
      <formula>NOT(ISERROR(SEARCH("Best",Y608)))</formula>
    </cfRule>
    <cfRule type="containsText" dxfId="1319" priority="470" operator="containsText" text="Base">
      <formula>NOT(ISERROR(SEARCH("Base",Y608)))</formula>
    </cfRule>
  </conditionalFormatting>
  <conditionalFormatting sqref="Y604">
    <cfRule type="containsText" dxfId="1318" priority="495" operator="containsText" text="Optional">
      <formula>NOT(ISERROR(SEARCH("Optional",Y604)))</formula>
    </cfRule>
    <cfRule type="containsText" dxfId="1317" priority="496" operator="containsText" text="Worst">
      <formula>NOT(ISERROR(SEARCH("Worst",Y604)))</formula>
    </cfRule>
    <cfRule type="containsText" dxfId="1316" priority="497" operator="containsText" text="Best">
      <formula>NOT(ISERROR(SEARCH("Best",Y604)))</formula>
    </cfRule>
    <cfRule type="containsText" dxfId="1315" priority="498" operator="containsText" text="Base">
      <formula>NOT(ISERROR(SEARCH("Base",Y604)))</formula>
    </cfRule>
  </conditionalFormatting>
  <conditionalFormatting sqref="K606:L606">
    <cfRule type="cellIs" dxfId="1314" priority="490" operator="equal">
      <formula>"X"</formula>
    </cfRule>
    <cfRule type="cellIs" dxfId="1313" priority="491" operator="equal">
      <formula>"O"</formula>
    </cfRule>
    <cfRule type="cellIs" dxfId="1312" priority="492" operator="equal">
      <formula>"미정"</formula>
    </cfRule>
    <cfRule type="cellIs" dxfId="1311" priority="493" operator="equal">
      <formula>"예정"</formula>
    </cfRule>
    <cfRule type="cellIs" dxfId="1310" priority="494" operator="equal">
      <formula>"확정"</formula>
    </cfRule>
  </conditionalFormatting>
  <conditionalFormatting sqref="O606:P606">
    <cfRule type="cellIs" dxfId="1309" priority="485" operator="equal">
      <formula>"X"</formula>
    </cfRule>
    <cfRule type="cellIs" dxfId="1308" priority="486" operator="equal">
      <formula>"O"</formula>
    </cfRule>
    <cfRule type="cellIs" dxfId="1307" priority="487" operator="equal">
      <formula>"미정"</formula>
    </cfRule>
    <cfRule type="cellIs" dxfId="1306" priority="488" operator="equal">
      <formula>"예정"</formula>
    </cfRule>
    <cfRule type="cellIs" dxfId="1305" priority="489" operator="equal">
      <formula>"확정"</formula>
    </cfRule>
  </conditionalFormatting>
  <conditionalFormatting sqref="N606">
    <cfRule type="cellIs" dxfId="1304" priority="475" operator="equal">
      <formula>"X"</formula>
    </cfRule>
    <cfRule type="cellIs" dxfId="1303" priority="476" operator="equal">
      <formula>"O"</formula>
    </cfRule>
    <cfRule type="cellIs" dxfId="1302" priority="477" operator="equal">
      <formula>"미정"</formula>
    </cfRule>
    <cfRule type="cellIs" dxfId="1301" priority="478" operator="equal">
      <formula>"예정"</formula>
    </cfRule>
    <cfRule type="cellIs" dxfId="1300" priority="479" operator="equal">
      <formula>"확정"</formula>
    </cfRule>
  </conditionalFormatting>
  <conditionalFormatting sqref="M606">
    <cfRule type="cellIs" dxfId="1299" priority="480" operator="equal">
      <formula>"X"</formula>
    </cfRule>
    <cfRule type="cellIs" dxfId="1298" priority="481" operator="equal">
      <formula>"O"</formula>
    </cfRule>
    <cfRule type="cellIs" dxfId="1297" priority="482" operator="equal">
      <formula>"미정"</formula>
    </cfRule>
    <cfRule type="cellIs" dxfId="1296" priority="483" operator="equal">
      <formula>"예정"</formula>
    </cfRule>
    <cfRule type="cellIs" dxfId="1295" priority="484" operator="equal">
      <formula>"확정"</formula>
    </cfRule>
  </conditionalFormatting>
  <conditionalFormatting sqref="Y605:Y606">
    <cfRule type="containsText" dxfId="1294" priority="471" operator="containsText" text="Optional">
      <formula>NOT(ISERROR(SEARCH("Optional",Y605)))</formula>
    </cfRule>
    <cfRule type="containsText" dxfId="1293" priority="472" operator="containsText" text="Worst">
      <formula>NOT(ISERROR(SEARCH("Worst",Y605)))</formula>
    </cfRule>
    <cfRule type="containsText" dxfId="1292" priority="473" operator="containsText" text="Best">
      <formula>NOT(ISERROR(SEARCH("Best",Y605)))</formula>
    </cfRule>
    <cfRule type="containsText" dxfId="1291" priority="474" operator="containsText" text="Base">
      <formula>NOT(ISERROR(SEARCH("Base",Y605)))</formula>
    </cfRule>
  </conditionalFormatting>
  <conditionalFormatting sqref="Y622:Y624">
    <cfRule type="containsText" dxfId="1290" priority="459" operator="containsText" text="Optional">
      <formula>NOT(ISERROR(SEARCH("Optional",Y622)))</formula>
    </cfRule>
    <cfRule type="containsText" dxfId="1289" priority="460" operator="containsText" text="Worst">
      <formula>NOT(ISERROR(SEARCH("Worst",Y622)))</formula>
    </cfRule>
    <cfRule type="containsText" dxfId="1288" priority="461" operator="containsText" text="Best">
      <formula>NOT(ISERROR(SEARCH("Best",Y622)))</formula>
    </cfRule>
    <cfRule type="containsText" dxfId="1287" priority="462" operator="containsText" text="Base">
      <formula>NOT(ISERROR(SEARCH("Base",Y622)))</formula>
    </cfRule>
  </conditionalFormatting>
  <conditionalFormatting sqref="Y615">
    <cfRule type="containsText" dxfId="1286" priority="455" operator="containsText" text="Optional">
      <formula>NOT(ISERROR(SEARCH("Optional",Y615)))</formula>
    </cfRule>
    <cfRule type="containsText" dxfId="1285" priority="456" operator="containsText" text="Worst">
      <formula>NOT(ISERROR(SEARCH("Worst",Y615)))</formula>
    </cfRule>
    <cfRule type="containsText" dxfId="1284" priority="457" operator="containsText" text="Best">
      <formula>NOT(ISERROR(SEARCH("Best",Y615)))</formula>
    </cfRule>
    <cfRule type="containsText" dxfId="1283" priority="458" operator="containsText" text="Base">
      <formula>NOT(ISERROR(SEARCH("Base",Y615)))</formula>
    </cfRule>
  </conditionalFormatting>
  <conditionalFormatting sqref="K617:M617">
    <cfRule type="cellIs" dxfId="1282" priority="418" operator="equal">
      <formula>"X"</formula>
    </cfRule>
    <cfRule type="cellIs" dxfId="1281" priority="419" operator="equal">
      <formula>"O"</formula>
    </cfRule>
    <cfRule type="cellIs" dxfId="1280" priority="420" operator="equal">
      <formula>"미정"</formula>
    </cfRule>
    <cfRule type="cellIs" dxfId="1279" priority="421" operator="equal">
      <formula>"예정"</formula>
    </cfRule>
    <cfRule type="cellIs" dxfId="1278" priority="422" operator="equal">
      <formula>"확정"</formula>
    </cfRule>
  </conditionalFormatting>
  <conditionalFormatting sqref="N617:P617">
    <cfRule type="cellIs" dxfId="1277" priority="413" operator="equal">
      <formula>"X"</formula>
    </cfRule>
    <cfRule type="cellIs" dxfId="1276" priority="414" operator="equal">
      <formula>"O"</formula>
    </cfRule>
    <cfRule type="cellIs" dxfId="1275" priority="415" operator="equal">
      <formula>"미정"</formula>
    </cfRule>
    <cfRule type="cellIs" dxfId="1274" priority="416" operator="equal">
      <formula>"예정"</formula>
    </cfRule>
    <cfRule type="cellIs" dxfId="1273" priority="417" operator="equal">
      <formula>"확정"</formula>
    </cfRule>
  </conditionalFormatting>
  <conditionalFormatting sqref="Y539">
    <cfRule type="containsText" dxfId="1272" priority="405" operator="containsText" text="Optional">
      <formula>NOT(ISERROR(SEARCH("Optional",Y539)))</formula>
    </cfRule>
    <cfRule type="containsText" dxfId="1271" priority="406" operator="containsText" text="Worst">
      <formula>NOT(ISERROR(SEARCH("Worst",Y539)))</formula>
    </cfRule>
    <cfRule type="containsText" dxfId="1270" priority="407" operator="containsText" text="Best">
      <formula>NOT(ISERROR(SEARCH("Best",Y539)))</formula>
    </cfRule>
    <cfRule type="containsText" dxfId="1269" priority="408" operator="containsText" text="Base">
      <formula>NOT(ISERROR(SEARCH("Base",Y539)))</formula>
    </cfRule>
  </conditionalFormatting>
  <conditionalFormatting sqref="Y573">
    <cfRule type="containsText" dxfId="1268" priority="401" operator="containsText" text="Optional">
      <formula>NOT(ISERROR(SEARCH("Optional",Y573)))</formula>
    </cfRule>
    <cfRule type="containsText" dxfId="1267" priority="402" operator="containsText" text="Worst">
      <formula>NOT(ISERROR(SEARCH("Worst",Y573)))</formula>
    </cfRule>
    <cfRule type="containsText" dxfId="1266" priority="403" operator="containsText" text="Best">
      <formula>NOT(ISERROR(SEARCH("Best",Y573)))</formula>
    </cfRule>
    <cfRule type="containsText" dxfId="1265" priority="404" operator="containsText" text="Base">
      <formula>NOT(ISERROR(SEARCH("Base",Y573)))</formula>
    </cfRule>
  </conditionalFormatting>
  <conditionalFormatting sqref="Y626">
    <cfRule type="containsText" dxfId="1264" priority="397" operator="containsText" text="Optional">
      <formula>NOT(ISERROR(SEARCH("Optional",Y626)))</formula>
    </cfRule>
    <cfRule type="containsText" dxfId="1263" priority="398" operator="containsText" text="Worst">
      <formula>NOT(ISERROR(SEARCH("Worst",Y626)))</formula>
    </cfRule>
    <cfRule type="containsText" dxfId="1262" priority="399" operator="containsText" text="Best">
      <formula>NOT(ISERROR(SEARCH("Best",Y626)))</formula>
    </cfRule>
    <cfRule type="containsText" dxfId="1261" priority="400" operator="containsText" text="Base">
      <formula>NOT(ISERROR(SEARCH("Base",Y626)))</formula>
    </cfRule>
  </conditionalFormatting>
  <conditionalFormatting sqref="Y646">
    <cfRule type="containsText" dxfId="1260" priority="393" operator="containsText" text="Optional">
      <formula>NOT(ISERROR(SEARCH("Optional",Y646)))</formula>
    </cfRule>
    <cfRule type="containsText" dxfId="1259" priority="394" operator="containsText" text="Worst">
      <formula>NOT(ISERROR(SEARCH("Worst",Y646)))</formula>
    </cfRule>
    <cfRule type="containsText" dxfId="1258" priority="395" operator="containsText" text="Best">
      <formula>NOT(ISERROR(SEARCH("Best",Y646)))</formula>
    </cfRule>
    <cfRule type="containsText" dxfId="1257" priority="396" operator="containsText" text="Base">
      <formula>NOT(ISERROR(SEARCH("Base",Y646)))</formula>
    </cfRule>
  </conditionalFormatting>
  <conditionalFormatting sqref="N670">
    <cfRule type="cellIs" dxfId="1256" priority="297" operator="equal">
      <formula>"X"</formula>
    </cfRule>
    <cfRule type="cellIs" dxfId="1255" priority="298" operator="equal">
      <formula>"O"</formula>
    </cfRule>
    <cfRule type="cellIs" dxfId="1254" priority="299" operator="equal">
      <formula>"미정"</formula>
    </cfRule>
    <cfRule type="cellIs" dxfId="1253" priority="300" operator="equal">
      <formula>"예정"</formula>
    </cfRule>
    <cfRule type="cellIs" dxfId="1252" priority="301" operator="equal">
      <formula>"확정"</formula>
    </cfRule>
  </conditionalFormatting>
  <conditionalFormatting sqref="Y669:Y670">
    <cfRule type="containsText" dxfId="1251" priority="293" operator="containsText" text="Optional">
      <formula>NOT(ISERROR(SEARCH("Optional",Y669)))</formula>
    </cfRule>
    <cfRule type="containsText" dxfId="1250" priority="294" operator="containsText" text="Worst">
      <formula>NOT(ISERROR(SEARCH("Worst",Y669)))</formula>
    </cfRule>
    <cfRule type="containsText" dxfId="1249" priority="295" operator="containsText" text="Best">
      <formula>NOT(ISERROR(SEARCH("Best",Y669)))</formula>
    </cfRule>
    <cfRule type="containsText" dxfId="1248" priority="296" operator="containsText" text="Base">
      <formula>NOT(ISERROR(SEARCH("Base",Y669)))</formula>
    </cfRule>
  </conditionalFormatting>
  <conditionalFormatting sqref="Y672:Y673">
    <cfRule type="containsText" dxfId="1247" priority="289" operator="containsText" text="Optional">
      <formula>NOT(ISERROR(SEARCH("Optional",Y672)))</formula>
    </cfRule>
    <cfRule type="containsText" dxfId="1246" priority="290" operator="containsText" text="Worst">
      <formula>NOT(ISERROR(SEARCH("Worst",Y672)))</formula>
    </cfRule>
    <cfRule type="containsText" dxfId="1245" priority="291" operator="containsText" text="Best">
      <formula>NOT(ISERROR(SEARCH("Best",Y672)))</formula>
    </cfRule>
    <cfRule type="containsText" dxfId="1244" priority="292" operator="containsText" text="Base">
      <formula>NOT(ISERROR(SEARCH("Base",Y672)))</formula>
    </cfRule>
  </conditionalFormatting>
  <conditionalFormatting sqref="Y652:Y655 Y662:Y665">
    <cfRule type="containsText" dxfId="1243" priority="389" operator="containsText" text="Optional">
      <formula>NOT(ISERROR(SEARCH("Optional",Y652)))</formula>
    </cfRule>
    <cfRule type="containsText" dxfId="1242" priority="390" operator="containsText" text="Worst">
      <formula>NOT(ISERROR(SEARCH("Worst",Y652)))</formula>
    </cfRule>
    <cfRule type="containsText" dxfId="1241" priority="391" operator="containsText" text="Best">
      <formula>NOT(ISERROR(SEARCH("Best",Y652)))</formula>
    </cfRule>
    <cfRule type="containsText" dxfId="1240" priority="392" operator="containsText" text="Base">
      <formula>NOT(ISERROR(SEARCH("Base",Y652)))</formula>
    </cfRule>
  </conditionalFormatting>
  <conditionalFormatting sqref="Y656:Y657 Y666:Y667">
    <cfRule type="containsText" dxfId="1239" priority="385" operator="containsText" text="Optional">
      <formula>NOT(ISERROR(SEARCH("Optional",Y656)))</formula>
    </cfRule>
    <cfRule type="containsText" dxfId="1238" priority="386" operator="containsText" text="Worst">
      <formula>NOT(ISERROR(SEARCH("Worst",Y656)))</formula>
    </cfRule>
    <cfRule type="containsText" dxfId="1237" priority="387" operator="containsText" text="Best">
      <formula>NOT(ISERROR(SEARCH("Best",Y656)))</formula>
    </cfRule>
    <cfRule type="containsText" dxfId="1236" priority="388" operator="containsText" text="Base">
      <formula>NOT(ISERROR(SEARCH("Base",Y656)))</formula>
    </cfRule>
  </conditionalFormatting>
  <conditionalFormatting sqref="Y648">
    <cfRule type="containsText" dxfId="1235" priority="381" operator="containsText" text="Optional">
      <formula>NOT(ISERROR(SEARCH("Optional",Y648)))</formula>
    </cfRule>
    <cfRule type="containsText" dxfId="1234" priority="382" operator="containsText" text="Worst">
      <formula>NOT(ISERROR(SEARCH("Worst",Y648)))</formula>
    </cfRule>
    <cfRule type="containsText" dxfId="1233" priority="383" operator="containsText" text="Best">
      <formula>NOT(ISERROR(SEARCH("Best",Y648)))</formula>
    </cfRule>
    <cfRule type="containsText" dxfId="1232" priority="384" operator="containsText" text="Base">
      <formula>NOT(ISERROR(SEARCH("Base",Y648)))</formula>
    </cfRule>
  </conditionalFormatting>
  <conditionalFormatting sqref="K650:L650">
    <cfRule type="cellIs" dxfId="1231" priority="376" operator="equal">
      <formula>"X"</formula>
    </cfRule>
    <cfRule type="cellIs" dxfId="1230" priority="377" operator="equal">
      <formula>"O"</formula>
    </cfRule>
    <cfRule type="cellIs" dxfId="1229" priority="378" operator="equal">
      <formula>"미정"</formula>
    </cfRule>
    <cfRule type="cellIs" dxfId="1228" priority="379" operator="equal">
      <formula>"예정"</formula>
    </cfRule>
    <cfRule type="cellIs" dxfId="1227" priority="380" operator="equal">
      <formula>"확정"</formula>
    </cfRule>
  </conditionalFormatting>
  <conditionalFormatting sqref="O650:P650">
    <cfRule type="cellIs" dxfId="1226" priority="371" operator="equal">
      <formula>"X"</formula>
    </cfRule>
    <cfRule type="cellIs" dxfId="1225" priority="372" operator="equal">
      <formula>"O"</formula>
    </cfRule>
    <cfRule type="cellIs" dxfId="1224" priority="373" operator="equal">
      <formula>"미정"</formula>
    </cfRule>
    <cfRule type="cellIs" dxfId="1223" priority="374" operator="equal">
      <formula>"예정"</formula>
    </cfRule>
    <cfRule type="cellIs" dxfId="1222" priority="375" operator="equal">
      <formula>"확정"</formula>
    </cfRule>
  </conditionalFormatting>
  <conditionalFormatting sqref="N650">
    <cfRule type="cellIs" dxfId="1221" priority="361" operator="equal">
      <formula>"X"</formula>
    </cfRule>
    <cfRule type="cellIs" dxfId="1220" priority="362" operator="equal">
      <formula>"O"</formula>
    </cfRule>
    <cfRule type="cellIs" dxfId="1219" priority="363" operator="equal">
      <formula>"미정"</formula>
    </cfRule>
    <cfRule type="cellIs" dxfId="1218" priority="364" operator="equal">
      <formula>"예정"</formula>
    </cfRule>
    <cfRule type="cellIs" dxfId="1217" priority="365" operator="equal">
      <formula>"확정"</formula>
    </cfRule>
  </conditionalFormatting>
  <conditionalFormatting sqref="M650">
    <cfRule type="cellIs" dxfId="1216" priority="366" operator="equal">
      <formula>"X"</formula>
    </cfRule>
    <cfRule type="cellIs" dxfId="1215" priority="367" operator="equal">
      <formula>"O"</formula>
    </cfRule>
    <cfRule type="cellIs" dxfId="1214" priority="368" operator="equal">
      <formula>"미정"</formula>
    </cfRule>
    <cfRule type="cellIs" dxfId="1213" priority="369" operator="equal">
      <formula>"예정"</formula>
    </cfRule>
    <cfRule type="cellIs" dxfId="1212" priority="370" operator="equal">
      <formula>"확정"</formula>
    </cfRule>
  </conditionalFormatting>
  <conditionalFormatting sqref="Y649:Y650">
    <cfRule type="containsText" dxfId="1211" priority="357" operator="containsText" text="Optional">
      <formula>NOT(ISERROR(SEARCH("Optional",Y649)))</formula>
    </cfRule>
    <cfRule type="containsText" dxfId="1210" priority="358" operator="containsText" text="Worst">
      <formula>NOT(ISERROR(SEARCH("Worst",Y649)))</formula>
    </cfRule>
    <cfRule type="containsText" dxfId="1209" priority="359" operator="containsText" text="Best">
      <formula>NOT(ISERROR(SEARCH("Best",Y649)))</formula>
    </cfRule>
    <cfRule type="containsText" dxfId="1208" priority="360" operator="containsText" text="Base">
      <formula>NOT(ISERROR(SEARCH("Base",Y649)))</formula>
    </cfRule>
  </conditionalFormatting>
  <conditionalFormatting sqref="Y658">
    <cfRule type="containsText" dxfId="1207" priority="353" operator="containsText" text="Optional">
      <formula>NOT(ISERROR(SEARCH("Optional",Y658)))</formula>
    </cfRule>
    <cfRule type="containsText" dxfId="1206" priority="354" operator="containsText" text="Worst">
      <formula>NOT(ISERROR(SEARCH("Worst",Y658)))</formula>
    </cfRule>
    <cfRule type="containsText" dxfId="1205" priority="355" operator="containsText" text="Best">
      <formula>NOT(ISERROR(SEARCH("Best",Y658)))</formula>
    </cfRule>
    <cfRule type="containsText" dxfId="1204" priority="356" operator="containsText" text="Base">
      <formula>NOT(ISERROR(SEARCH("Base",Y658)))</formula>
    </cfRule>
  </conditionalFormatting>
  <conditionalFormatting sqref="K660:L660">
    <cfRule type="cellIs" dxfId="1203" priority="348" operator="equal">
      <formula>"X"</formula>
    </cfRule>
    <cfRule type="cellIs" dxfId="1202" priority="349" operator="equal">
      <formula>"O"</formula>
    </cfRule>
    <cfRule type="cellIs" dxfId="1201" priority="350" operator="equal">
      <formula>"미정"</formula>
    </cfRule>
    <cfRule type="cellIs" dxfId="1200" priority="351" operator="equal">
      <formula>"예정"</formula>
    </cfRule>
    <cfRule type="cellIs" dxfId="1199" priority="352" operator="equal">
      <formula>"확정"</formula>
    </cfRule>
  </conditionalFormatting>
  <conditionalFormatting sqref="O660:P660">
    <cfRule type="cellIs" dxfId="1198" priority="343" operator="equal">
      <formula>"X"</formula>
    </cfRule>
    <cfRule type="cellIs" dxfId="1197" priority="344" operator="equal">
      <formula>"O"</formula>
    </cfRule>
    <cfRule type="cellIs" dxfId="1196" priority="345" operator="equal">
      <formula>"미정"</formula>
    </cfRule>
    <cfRule type="cellIs" dxfId="1195" priority="346" operator="equal">
      <formula>"예정"</formula>
    </cfRule>
    <cfRule type="cellIs" dxfId="1194" priority="347" operator="equal">
      <formula>"확정"</formula>
    </cfRule>
  </conditionalFormatting>
  <conditionalFormatting sqref="N660">
    <cfRule type="cellIs" dxfId="1193" priority="333" operator="equal">
      <formula>"X"</formula>
    </cfRule>
    <cfRule type="cellIs" dxfId="1192" priority="334" operator="equal">
      <formula>"O"</formula>
    </cfRule>
    <cfRule type="cellIs" dxfId="1191" priority="335" operator="equal">
      <formula>"미정"</formula>
    </cfRule>
    <cfRule type="cellIs" dxfId="1190" priority="336" operator="equal">
      <formula>"예정"</formula>
    </cfRule>
    <cfRule type="cellIs" dxfId="1189" priority="337" operator="equal">
      <formula>"확정"</formula>
    </cfRule>
  </conditionalFormatting>
  <conditionalFormatting sqref="M660">
    <cfRule type="cellIs" dxfId="1188" priority="338" operator="equal">
      <formula>"X"</formula>
    </cfRule>
    <cfRule type="cellIs" dxfId="1187" priority="339" operator="equal">
      <formula>"O"</formula>
    </cfRule>
    <cfRule type="cellIs" dxfId="1186" priority="340" operator="equal">
      <formula>"미정"</formula>
    </cfRule>
    <cfRule type="cellIs" dxfId="1185" priority="341" operator="equal">
      <formula>"예정"</formula>
    </cfRule>
    <cfRule type="cellIs" dxfId="1184" priority="342" operator="equal">
      <formula>"확정"</formula>
    </cfRule>
  </conditionalFormatting>
  <conditionalFormatting sqref="Y659:Y660">
    <cfRule type="containsText" dxfId="1183" priority="329" operator="containsText" text="Optional">
      <formula>NOT(ISERROR(SEARCH("Optional",Y659)))</formula>
    </cfRule>
    <cfRule type="containsText" dxfId="1182" priority="330" operator="containsText" text="Worst">
      <formula>NOT(ISERROR(SEARCH("Worst",Y659)))</formula>
    </cfRule>
    <cfRule type="containsText" dxfId="1181" priority="331" operator="containsText" text="Best">
      <formula>NOT(ISERROR(SEARCH("Best",Y659)))</formula>
    </cfRule>
    <cfRule type="containsText" dxfId="1180" priority="332" operator="containsText" text="Base">
      <formula>NOT(ISERROR(SEARCH("Base",Y659)))</formula>
    </cfRule>
  </conditionalFormatting>
  <conditionalFormatting sqref="Y674:Y677">
    <cfRule type="containsText" dxfId="1179" priority="321" operator="containsText" text="Optional">
      <formula>NOT(ISERROR(SEARCH("Optional",Y674)))</formula>
    </cfRule>
    <cfRule type="containsText" dxfId="1178" priority="322" operator="containsText" text="Worst">
      <formula>NOT(ISERROR(SEARCH("Worst",Y674)))</formula>
    </cfRule>
    <cfRule type="containsText" dxfId="1177" priority="323" operator="containsText" text="Best">
      <formula>NOT(ISERROR(SEARCH("Best",Y674)))</formula>
    </cfRule>
    <cfRule type="containsText" dxfId="1176" priority="324" operator="containsText" text="Base">
      <formula>NOT(ISERROR(SEARCH("Base",Y674)))</formula>
    </cfRule>
  </conditionalFormatting>
  <conditionalFormatting sqref="Y668">
    <cfRule type="containsText" dxfId="1175" priority="317" operator="containsText" text="Optional">
      <formula>NOT(ISERROR(SEARCH("Optional",Y668)))</formula>
    </cfRule>
    <cfRule type="containsText" dxfId="1174" priority="318" operator="containsText" text="Worst">
      <formula>NOT(ISERROR(SEARCH("Worst",Y668)))</formula>
    </cfRule>
    <cfRule type="containsText" dxfId="1173" priority="319" operator="containsText" text="Best">
      <formula>NOT(ISERROR(SEARCH("Best",Y668)))</formula>
    </cfRule>
    <cfRule type="containsText" dxfId="1172" priority="320" operator="containsText" text="Base">
      <formula>NOT(ISERROR(SEARCH("Base",Y668)))</formula>
    </cfRule>
  </conditionalFormatting>
  <conditionalFormatting sqref="K670:L670">
    <cfRule type="cellIs" dxfId="1171" priority="312" operator="equal">
      <formula>"X"</formula>
    </cfRule>
    <cfRule type="cellIs" dxfId="1170" priority="313" operator="equal">
      <formula>"O"</formula>
    </cfRule>
    <cfRule type="cellIs" dxfId="1169" priority="314" operator="equal">
      <formula>"미정"</formula>
    </cfRule>
    <cfRule type="cellIs" dxfId="1168" priority="315" operator="equal">
      <formula>"예정"</formula>
    </cfRule>
    <cfRule type="cellIs" dxfId="1167" priority="316" operator="equal">
      <formula>"확정"</formula>
    </cfRule>
  </conditionalFormatting>
  <conditionalFormatting sqref="O670:P670">
    <cfRule type="cellIs" dxfId="1166" priority="307" operator="equal">
      <formula>"X"</formula>
    </cfRule>
    <cfRule type="cellIs" dxfId="1165" priority="308" operator="equal">
      <formula>"O"</formula>
    </cfRule>
    <cfRule type="cellIs" dxfId="1164" priority="309" operator="equal">
      <formula>"미정"</formula>
    </cfRule>
    <cfRule type="cellIs" dxfId="1163" priority="310" operator="equal">
      <formula>"예정"</formula>
    </cfRule>
    <cfRule type="cellIs" dxfId="1162" priority="311" operator="equal">
      <formula>"확정"</formula>
    </cfRule>
  </conditionalFormatting>
  <conditionalFormatting sqref="M670">
    <cfRule type="cellIs" dxfId="1161" priority="302" operator="equal">
      <formula>"X"</formula>
    </cfRule>
    <cfRule type="cellIs" dxfId="1160" priority="303" operator="equal">
      <formula>"O"</formula>
    </cfRule>
    <cfRule type="cellIs" dxfId="1159" priority="304" operator="equal">
      <formula>"미정"</formula>
    </cfRule>
    <cfRule type="cellIs" dxfId="1158" priority="305" operator="equal">
      <formula>"예정"</formula>
    </cfRule>
    <cfRule type="cellIs" dxfId="1157" priority="306" operator="equal">
      <formula>"확정"</formula>
    </cfRule>
  </conditionalFormatting>
  <conditionalFormatting sqref="Y686:Y688">
    <cfRule type="containsText" dxfId="1156" priority="281" operator="containsText" text="Optional">
      <formula>NOT(ISERROR(SEARCH("Optional",Y686)))</formula>
    </cfRule>
    <cfRule type="containsText" dxfId="1155" priority="282" operator="containsText" text="Worst">
      <formula>NOT(ISERROR(SEARCH("Worst",Y686)))</formula>
    </cfRule>
    <cfRule type="containsText" dxfId="1154" priority="283" operator="containsText" text="Best">
      <formula>NOT(ISERROR(SEARCH("Best",Y686)))</formula>
    </cfRule>
    <cfRule type="containsText" dxfId="1153" priority="284" operator="containsText" text="Base">
      <formula>NOT(ISERROR(SEARCH("Base",Y686)))</formula>
    </cfRule>
  </conditionalFormatting>
  <conditionalFormatting sqref="Y679">
    <cfRule type="containsText" dxfId="1152" priority="277" operator="containsText" text="Optional">
      <formula>NOT(ISERROR(SEARCH("Optional",Y679)))</formula>
    </cfRule>
    <cfRule type="containsText" dxfId="1151" priority="278" operator="containsText" text="Worst">
      <formula>NOT(ISERROR(SEARCH("Worst",Y679)))</formula>
    </cfRule>
    <cfRule type="containsText" dxfId="1150" priority="279" operator="containsText" text="Best">
      <formula>NOT(ISERROR(SEARCH("Best",Y679)))</formula>
    </cfRule>
    <cfRule type="containsText" dxfId="1149" priority="280" operator="containsText" text="Base">
      <formula>NOT(ISERROR(SEARCH("Base",Y679)))</formula>
    </cfRule>
  </conditionalFormatting>
  <conditionalFormatting sqref="K681:M681">
    <cfRule type="cellIs" dxfId="1148" priority="272" operator="equal">
      <formula>"X"</formula>
    </cfRule>
    <cfRule type="cellIs" dxfId="1147" priority="273" operator="equal">
      <formula>"O"</formula>
    </cfRule>
    <cfRule type="cellIs" dxfId="1146" priority="274" operator="equal">
      <formula>"미정"</formula>
    </cfRule>
    <cfRule type="cellIs" dxfId="1145" priority="275" operator="equal">
      <formula>"예정"</formula>
    </cfRule>
    <cfRule type="cellIs" dxfId="1144" priority="276" operator="equal">
      <formula>"확정"</formula>
    </cfRule>
  </conditionalFormatting>
  <conditionalFormatting sqref="N681:P681">
    <cfRule type="cellIs" dxfId="1143" priority="267" operator="equal">
      <formula>"X"</formula>
    </cfRule>
    <cfRule type="cellIs" dxfId="1142" priority="268" operator="equal">
      <formula>"O"</formula>
    </cfRule>
    <cfRule type="cellIs" dxfId="1141" priority="269" operator="equal">
      <formula>"미정"</formula>
    </cfRule>
    <cfRule type="cellIs" dxfId="1140" priority="270" operator="equal">
      <formula>"예정"</formula>
    </cfRule>
    <cfRule type="cellIs" dxfId="1139" priority="271" operator="equal">
      <formula>"확정"</formula>
    </cfRule>
  </conditionalFormatting>
  <conditionalFormatting sqref="Y690">
    <cfRule type="containsText" dxfId="1138" priority="231" operator="containsText" text="Optional">
      <formula>NOT(ISERROR(SEARCH("Optional",Y690)))</formula>
    </cfRule>
    <cfRule type="containsText" dxfId="1137" priority="232" operator="containsText" text="Worst">
      <formula>NOT(ISERROR(SEARCH("Worst",Y690)))</formula>
    </cfRule>
    <cfRule type="containsText" dxfId="1136" priority="233" operator="containsText" text="Best">
      <formula>NOT(ISERROR(SEARCH("Best",Y690)))</formula>
    </cfRule>
    <cfRule type="containsText" dxfId="1135" priority="234" operator="containsText" text="Base">
      <formula>NOT(ISERROR(SEARCH("Base",Y690)))</formula>
    </cfRule>
  </conditionalFormatting>
  <conditionalFormatting sqref="K502:P503">
    <cfRule type="cellIs" dxfId="1134" priority="200" operator="equal">
      <formula>"X"</formula>
    </cfRule>
    <cfRule type="cellIs" dxfId="1133" priority="201" operator="equal">
      <formula>"O"</formula>
    </cfRule>
    <cfRule type="cellIs" dxfId="1132" priority="202" operator="equal">
      <formula>"미정"</formula>
    </cfRule>
    <cfRule type="cellIs" dxfId="1131" priority="203" operator="equal">
      <formula>"예정"</formula>
    </cfRule>
    <cfRule type="cellIs" dxfId="1130" priority="204" operator="equal">
      <formula>"확정"</formula>
    </cfRule>
  </conditionalFormatting>
  <conditionalFormatting sqref="Y500:Y503">
    <cfRule type="containsText" dxfId="1129" priority="196" operator="containsText" text="Optional">
      <formula>NOT(ISERROR(SEARCH("Optional",Y500)))</formula>
    </cfRule>
    <cfRule type="containsText" dxfId="1128" priority="197" operator="containsText" text="Worst">
      <formula>NOT(ISERROR(SEARCH("Worst",Y500)))</formula>
    </cfRule>
    <cfRule type="containsText" dxfId="1127" priority="198" operator="containsText" text="Best">
      <formula>NOT(ISERROR(SEARCH("Best",Y500)))</formula>
    </cfRule>
    <cfRule type="containsText" dxfId="1126" priority="199" operator="containsText" text="Base">
      <formula>NOT(ISERROR(SEARCH("Base",Y500)))</formula>
    </cfRule>
  </conditionalFormatting>
  <conditionalFormatting sqref="Y512">
    <cfRule type="containsText" dxfId="1125" priority="192" operator="containsText" text="Optional">
      <formula>NOT(ISERROR(SEARCH("Optional",Y512)))</formula>
    </cfRule>
    <cfRule type="containsText" dxfId="1124" priority="193" operator="containsText" text="Worst">
      <formula>NOT(ISERROR(SEARCH("Worst",Y512)))</formula>
    </cfRule>
    <cfRule type="containsText" dxfId="1123" priority="194" operator="containsText" text="Best">
      <formula>NOT(ISERROR(SEARCH("Best",Y512)))</formula>
    </cfRule>
    <cfRule type="containsText" dxfId="1122" priority="195" operator="containsText" text="Base">
      <formula>NOT(ISERROR(SEARCH("Base",Y512)))</formula>
    </cfRule>
  </conditionalFormatting>
  <conditionalFormatting sqref="K511:P512">
    <cfRule type="cellIs" dxfId="1121" priority="187" operator="equal">
      <formula>"X"</formula>
    </cfRule>
    <cfRule type="cellIs" dxfId="1120" priority="188" operator="equal">
      <formula>"O"</formula>
    </cfRule>
    <cfRule type="cellIs" dxfId="1119" priority="189" operator="equal">
      <formula>"미정"</formula>
    </cfRule>
    <cfRule type="cellIs" dxfId="1118" priority="190" operator="equal">
      <formula>"예정"</formula>
    </cfRule>
    <cfRule type="cellIs" dxfId="1117" priority="191" operator="equal">
      <formula>"확정"</formula>
    </cfRule>
  </conditionalFormatting>
  <conditionalFormatting sqref="Y510:Y512">
    <cfRule type="containsText" dxfId="1116" priority="183" operator="containsText" text="Optional">
      <formula>NOT(ISERROR(SEARCH("Optional",Y510)))</formula>
    </cfRule>
    <cfRule type="containsText" dxfId="1115" priority="184" operator="containsText" text="Worst">
      <formula>NOT(ISERROR(SEARCH("Worst",Y510)))</formula>
    </cfRule>
    <cfRule type="containsText" dxfId="1114" priority="185" operator="containsText" text="Best">
      <formula>NOT(ISERROR(SEARCH("Best",Y510)))</formula>
    </cfRule>
    <cfRule type="containsText" dxfId="1113" priority="186" operator="containsText" text="Base">
      <formula>NOT(ISERROR(SEARCH("Base",Y510)))</formula>
    </cfRule>
  </conditionalFormatting>
  <conditionalFormatting sqref="N532:P532">
    <cfRule type="cellIs" dxfId="1112" priority="169" operator="equal">
      <formula>"X"</formula>
    </cfRule>
    <cfRule type="cellIs" dxfId="1111" priority="170" operator="equal">
      <formula>"O"</formula>
    </cfRule>
    <cfRule type="cellIs" dxfId="1110" priority="171" operator="equal">
      <formula>"미정"</formula>
    </cfRule>
    <cfRule type="cellIs" dxfId="1109" priority="172" operator="equal">
      <formula>"예정"</formula>
    </cfRule>
    <cfRule type="cellIs" dxfId="1108" priority="173" operator="equal">
      <formula>"확정"</formula>
    </cfRule>
  </conditionalFormatting>
  <conditionalFormatting sqref="Y531:Y532">
    <cfRule type="containsText" dxfId="1107" priority="179" operator="containsText" text="Optional">
      <formula>NOT(ISERROR(SEARCH("Optional",Y531)))</formula>
    </cfRule>
    <cfRule type="containsText" dxfId="1106" priority="180" operator="containsText" text="Worst">
      <formula>NOT(ISERROR(SEARCH("Worst",Y531)))</formula>
    </cfRule>
    <cfRule type="containsText" dxfId="1105" priority="181" operator="containsText" text="Best">
      <formula>NOT(ISERROR(SEARCH("Best",Y531)))</formula>
    </cfRule>
    <cfRule type="containsText" dxfId="1104" priority="182" operator="containsText" text="Base">
      <formula>NOT(ISERROR(SEARCH("Base",Y531)))</formula>
    </cfRule>
  </conditionalFormatting>
  <conditionalFormatting sqref="K532:M532">
    <cfRule type="cellIs" dxfId="1103" priority="174" operator="equal">
      <formula>"X"</formula>
    </cfRule>
    <cfRule type="cellIs" dxfId="1102" priority="175" operator="equal">
      <formula>"O"</formula>
    </cfRule>
    <cfRule type="cellIs" dxfId="1101" priority="176" operator="equal">
      <formula>"미정"</formula>
    </cfRule>
    <cfRule type="cellIs" dxfId="1100" priority="177" operator="equal">
      <formula>"예정"</formula>
    </cfRule>
    <cfRule type="cellIs" dxfId="1099" priority="178" operator="equal">
      <formula>"확정"</formula>
    </cfRule>
  </conditionalFormatting>
  <conditionalFormatting sqref="Y518:Y519">
    <cfRule type="containsText" dxfId="1098" priority="137" operator="containsText" text="Optional">
      <formula>NOT(ISERROR(SEARCH("Optional",Y518)))</formula>
    </cfRule>
    <cfRule type="containsText" dxfId="1097" priority="138" operator="containsText" text="Worst">
      <formula>NOT(ISERROR(SEARCH("Worst",Y518)))</formula>
    </cfRule>
    <cfRule type="containsText" dxfId="1096" priority="139" operator="containsText" text="Best">
      <formula>NOT(ISERROR(SEARCH("Best",Y518)))</formula>
    </cfRule>
    <cfRule type="containsText" dxfId="1095" priority="140" operator="containsText" text="Base">
      <formula>NOT(ISERROR(SEARCH("Base",Y518)))</formula>
    </cfRule>
  </conditionalFormatting>
  <conditionalFormatting sqref="Y520">
    <cfRule type="containsText" dxfId="1094" priority="133" operator="containsText" text="Optional">
      <formula>NOT(ISERROR(SEARCH("Optional",Y520)))</formula>
    </cfRule>
    <cfRule type="containsText" dxfId="1093" priority="134" operator="containsText" text="Worst">
      <formula>NOT(ISERROR(SEARCH("Worst",Y520)))</formula>
    </cfRule>
    <cfRule type="containsText" dxfId="1092" priority="135" operator="containsText" text="Best">
      <formula>NOT(ISERROR(SEARCH("Best",Y520)))</formula>
    </cfRule>
    <cfRule type="containsText" dxfId="1091" priority="136" operator="containsText" text="Base">
      <formula>NOT(ISERROR(SEARCH("Base",Y520)))</formula>
    </cfRule>
  </conditionalFormatting>
  <conditionalFormatting sqref="Y521">
    <cfRule type="containsText" dxfId="1090" priority="129" operator="containsText" text="Optional">
      <formula>NOT(ISERROR(SEARCH("Optional",Y521)))</formula>
    </cfRule>
    <cfRule type="containsText" dxfId="1089" priority="130" operator="containsText" text="Worst">
      <formula>NOT(ISERROR(SEARCH("Worst",Y521)))</formula>
    </cfRule>
    <cfRule type="containsText" dxfId="1088" priority="131" operator="containsText" text="Best">
      <formula>NOT(ISERROR(SEARCH("Best",Y521)))</formula>
    </cfRule>
    <cfRule type="containsText" dxfId="1087" priority="132" operator="containsText" text="Base">
      <formula>NOT(ISERROR(SEARCH("Base",Y521)))</formula>
    </cfRule>
  </conditionalFormatting>
  <conditionalFormatting sqref="Y3">
    <cfRule type="containsText" dxfId="1086" priority="121" operator="containsText" text="Optional">
      <formula>NOT(ISERROR(SEARCH("Optional",Y3)))</formula>
    </cfRule>
    <cfRule type="containsText" dxfId="1085" priority="122" operator="containsText" text="Worst">
      <formula>NOT(ISERROR(SEARCH("Worst",Y3)))</formula>
    </cfRule>
    <cfRule type="containsText" dxfId="1084" priority="123" operator="containsText" text="Best">
      <formula>NOT(ISERROR(SEARCH("Best",Y3)))</formula>
    </cfRule>
    <cfRule type="containsText" dxfId="1083" priority="124" operator="containsText" text="Base">
      <formula>NOT(ISERROR(SEARCH("Base",Y3)))</formula>
    </cfRule>
  </conditionalFormatting>
  <conditionalFormatting sqref="Y618">
    <cfRule type="containsText" dxfId="1082" priority="109" operator="containsText" text="Optional">
      <formula>NOT(ISERROR(SEARCH("Optional",Y618)))</formula>
    </cfRule>
    <cfRule type="containsText" dxfId="1081" priority="110" operator="containsText" text="Worst">
      <formula>NOT(ISERROR(SEARCH("Worst",Y618)))</formula>
    </cfRule>
    <cfRule type="containsText" dxfId="1080" priority="111" operator="containsText" text="Best">
      <formula>NOT(ISERROR(SEARCH("Best",Y618)))</formula>
    </cfRule>
    <cfRule type="containsText" dxfId="1079" priority="112" operator="containsText" text="Base">
      <formula>NOT(ISERROR(SEARCH("Base",Y618)))</formula>
    </cfRule>
  </conditionalFormatting>
  <conditionalFormatting sqref="Y616:Y617">
    <cfRule type="containsText" dxfId="1078" priority="117" operator="containsText" text="Optional">
      <formula>NOT(ISERROR(SEARCH("Optional",Y616)))</formula>
    </cfRule>
    <cfRule type="containsText" dxfId="1077" priority="118" operator="containsText" text="Worst">
      <formula>NOT(ISERROR(SEARCH("Worst",Y616)))</formula>
    </cfRule>
    <cfRule type="containsText" dxfId="1076" priority="119" operator="containsText" text="Best">
      <formula>NOT(ISERROR(SEARCH("Best",Y616)))</formula>
    </cfRule>
    <cfRule type="containsText" dxfId="1075" priority="120" operator="containsText" text="Base">
      <formula>NOT(ISERROR(SEARCH("Base",Y616)))</formula>
    </cfRule>
  </conditionalFormatting>
  <conditionalFormatting sqref="Y682">
    <cfRule type="containsText" dxfId="1074" priority="105" operator="containsText" text="Optional">
      <formula>NOT(ISERROR(SEARCH("Optional",Y682)))</formula>
    </cfRule>
    <cfRule type="containsText" dxfId="1073" priority="106" operator="containsText" text="Worst">
      <formula>NOT(ISERROR(SEARCH("Worst",Y682)))</formula>
    </cfRule>
    <cfRule type="containsText" dxfId="1072" priority="107" operator="containsText" text="Best">
      <formula>NOT(ISERROR(SEARCH("Best",Y682)))</formula>
    </cfRule>
    <cfRule type="containsText" dxfId="1071" priority="108" operator="containsText" text="Base">
      <formula>NOT(ISERROR(SEARCH("Base",Y682)))</formula>
    </cfRule>
  </conditionalFormatting>
  <conditionalFormatting sqref="Y661">
    <cfRule type="containsText" dxfId="1070" priority="101" operator="containsText" text="Optional">
      <formula>NOT(ISERROR(SEARCH("Optional",Y661)))</formula>
    </cfRule>
    <cfRule type="containsText" dxfId="1069" priority="102" operator="containsText" text="Worst">
      <formula>NOT(ISERROR(SEARCH("Worst",Y661)))</formula>
    </cfRule>
    <cfRule type="containsText" dxfId="1068" priority="103" operator="containsText" text="Best">
      <formula>NOT(ISERROR(SEARCH("Best",Y661)))</formula>
    </cfRule>
    <cfRule type="containsText" dxfId="1067" priority="104" operator="containsText" text="Base">
      <formula>NOT(ISERROR(SEARCH("Base",Y661)))</formula>
    </cfRule>
  </conditionalFormatting>
  <conditionalFormatting sqref="Y671">
    <cfRule type="containsText" dxfId="1066" priority="97" operator="containsText" text="Optional">
      <formula>NOT(ISERROR(SEARCH("Optional",Y671)))</formula>
    </cfRule>
    <cfRule type="containsText" dxfId="1065" priority="98" operator="containsText" text="Worst">
      <formula>NOT(ISERROR(SEARCH("Worst",Y671)))</formula>
    </cfRule>
    <cfRule type="containsText" dxfId="1064" priority="99" operator="containsText" text="Best">
      <formula>NOT(ISERROR(SEARCH("Best",Y671)))</formula>
    </cfRule>
    <cfRule type="containsText" dxfId="1063" priority="100" operator="containsText" text="Base">
      <formula>NOT(ISERROR(SEARCH("Base",Y671)))</formula>
    </cfRule>
  </conditionalFormatting>
  <conditionalFormatting sqref="Y651">
    <cfRule type="containsText" dxfId="1062" priority="93" operator="containsText" text="Optional">
      <formula>NOT(ISERROR(SEARCH("Optional",Y651)))</formula>
    </cfRule>
    <cfRule type="containsText" dxfId="1061" priority="94" operator="containsText" text="Worst">
      <formula>NOT(ISERROR(SEARCH("Worst",Y651)))</formula>
    </cfRule>
    <cfRule type="containsText" dxfId="1060" priority="95" operator="containsText" text="Best">
      <formula>NOT(ISERROR(SEARCH("Best",Y651)))</formula>
    </cfRule>
    <cfRule type="containsText" dxfId="1059" priority="96" operator="containsText" text="Base">
      <formula>NOT(ISERROR(SEARCH("Base",Y651)))</formula>
    </cfRule>
  </conditionalFormatting>
  <conditionalFormatting sqref="Y607">
    <cfRule type="containsText" dxfId="1058" priority="89" operator="containsText" text="Optional">
      <formula>NOT(ISERROR(SEARCH("Optional",Y607)))</formula>
    </cfRule>
    <cfRule type="containsText" dxfId="1057" priority="90" operator="containsText" text="Worst">
      <formula>NOT(ISERROR(SEARCH("Worst",Y607)))</formula>
    </cfRule>
    <cfRule type="containsText" dxfId="1056" priority="91" operator="containsText" text="Best">
      <formula>NOT(ISERROR(SEARCH("Best",Y607)))</formula>
    </cfRule>
    <cfRule type="containsText" dxfId="1055" priority="92" operator="containsText" text="Base">
      <formula>NOT(ISERROR(SEARCH("Base",Y607)))</formula>
    </cfRule>
  </conditionalFormatting>
  <conditionalFormatting sqref="Y588">
    <cfRule type="containsText" dxfId="1054" priority="77" operator="containsText" text="Optional">
      <formula>NOT(ISERROR(SEARCH("Optional",Y588)))</formula>
    </cfRule>
    <cfRule type="containsText" dxfId="1053" priority="78" operator="containsText" text="Worst">
      <formula>NOT(ISERROR(SEARCH("Worst",Y588)))</formula>
    </cfRule>
    <cfRule type="containsText" dxfId="1052" priority="79" operator="containsText" text="Best">
      <formula>NOT(ISERROR(SEARCH("Best",Y588)))</formula>
    </cfRule>
    <cfRule type="containsText" dxfId="1051" priority="80" operator="containsText" text="Base">
      <formula>NOT(ISERROR(SEARCH("Base",Y588)))</formula>
    </cfRule>
  </conditionalFormatting>
  <conditionalFormatting sqref="Y598">
    <cfRule type="containsText" dxfId="1050" priority="81" operator="containsText" text="Optional">
      <formula>NOT(ISERROR(SEARCH("Optional",Y598)))</formula>
    </cfRule>
    <cfRule type="containsText" dxfId="1049" priority="82" operator="containsText" text="Worst">
      <formula>NOT(ISERROR(SEARCH("Worst",Y598)))</formula>
    </cfRule>
    <cfRule type="containsText" dxfId="1048" priority="83" operator="containsText" text="Best">
      <formula>NOT(ISERROR(SEARCH("Best",Y598)))</formula>
    </cfRule>
    <cfRule type="containsText" dxfId="1047" priority="84" operator="containsText" text="Base">
      <formula>NOT(ISERROR(SEARCH("Base",Y598)))</formula>
    </cfRule>
  </conditionalFormatting>
  <conditionalFormatting sqref="Y122:Y131">
    <cfRule type="containsText" dxfId="1046" priority="73" operator="containsText" text="Optional">
      <formula>NOT(ISERROR(SEARCH("Optional",Y122)))</formula>
    </cfRule>
    <cfRule type="containsText" dxfId="1045" priority="74" operator="containsText" text="Worst">
      <formula>NOT(ISERROR(SEARCH("Worst",Y122)))</formula>
    </cfRule>
    <cfRule type="containsText" dxfId="1044" priority="75" operator="containsText" text="Best">
      <formula>NOT(ISERROR(SEARCH("Best",Y122)))</formula>
    </cfRule>
    <cfRule type="containsText" dxfId="1043" priority="76" operator="containsText" text="Base">
      <formula>NOT(ISERROR(SEARCH("Base",Y122)))</formula>
    </cfRule>
  </conditionalFormatting>
  <conditionalFormatting sqref="Y232">
    <cfRule type="containsText" dxfId="1042" priority="69" operator="containsText" text="Optional">
      <formula>NOT(ISERROR(SEARCH("Optional",Y232)))</formula>
    </cfRule>
    <cfRule type="containsText" dxfId="1041" priority="70" operator="containsText" text="Worst">
      <formula>NOT(ISERROR(SEARCH("Worst",Y232)))</formula>
    </cfRule>
    <cfRule type="containsText" dxfId="1040" priority="71" operator="containsText" text="Best">
      <formula>NOT(ISERROR(SEARCH("Best",Y232)))</formula>
    </cfRule>
    <cfRule type="containsText" dxfId="1039" priority="72" operator="containsText" text="Base">
      <formula>NOT(ISERROR(SEARCH("Base",Y232)))</formula>
    </cfRule>
  </conditionalFormatting>
  <conditionalFormatting sqref="Y424:Y427">
    <cfRule type="containsText" dxfId="1038" priority="65" operator="containsText" text="Optional">
      <formula>NOT(ISERROR(SEARCH("Optional",Y424)))</formula>
    </cfRule>
    <cfRule type="containsText" dxfId="1037" priority="66" operator="containsText" text="Worst">
      <formula>NOT(ISERROR(SEARCH("Worst",Y424)))</formula>
    </cfRule>
    <cfRule type="containsText" dxfId="1036" priority="67" operator="containsText" text="Best">
      <formula>NOT(ISERROR(SEARCH("Best",Y424)))</formula>
    </cfRule>
    <cfRule type="containsText" dxfId="1035" priority="68" operator="containsText" text="Base">
      <formula>NOT(ISERROR(SEARCH("Base",Y424)))</formula>
    </cfRule>
  </conditionalFormatting>
  <conditionalFormatting sqref="K288:L288">
    <cfRule type="cellIs" dxfId="1034" priority="60" operator="equal">
      <formula>"X"</formula>
    </cfRule>
    <cfRule type="cellIs" dxfId="1033" priority="61" operator="equal">
      <formula>"O"</formula>
    </cfRule>
    <cfRule type="cellIs" dxfId="1032" priority="62" operator="equal">
      <formula>"미정"</formula>
    </cfRule>
    <cfRule type="cellIs" dxfId="1031" priority="63" operator="equal">
      <formula>"예정"</formula>
    </cfRule>
    <cfRule type="cellIs" dxfId="1030" priority="64" operator="equal">
      <formula>"확정"</formula>
    </cfRule>
  </conditionalFormatting>
  <conditionalFormatting sqref="O288:P288">
    <cfRule type="cellIs" dxfId="1029" priority="55" operator="equal">
      <formula>"X"</formula>
    </cfRule>
    <cfRule type="cellIs" dxfId="1028" priority="56" operator="equal">
      <formula>"O"</formula>
    </cfRule>
    <cfRule type="cellIs" dxfId="1027" priority="57" operator="equal">
      <formula>"미정"</formula>
    </cfRule>
    <cfRule type="cellIs" dxfId="1026" priority="58" operator="equal">
      <formula>"예정"</formula>
    </cfRule>
    <cfRule type="cellIs" dxfId="1025" priority="59" operator="equal">
      <formula>"확정"</formula>
    </cfRule>
  </conditionalFormatting>
  <conditionalFormatting sqref="N288">
    <cfRule type="cellIs" dxfId="1024" priority="41" operator="equal">
      <formula>"X"</formula>
    </cfRule>
    <cfRule type="cellIs" dxfId="1023" priority="42" operator="equal">
      <formula>"O"</formula>
    </cfRule>
    <cfRule type="cellIs" dxfId="1022" priority="43" operator="equal">
      <formula>"미정"</formula>
    </cfRule>
    <cfRule type="cellIs" dxfId="1021" priority="44" operator="equal">
      <formula>"예정"</formula>
    </cfRule>
    <cfRule type="cellIs" dxfId="1020" priority="45" operator="equal">
      <formula>"확정"</formula>
    </cfRule>
  </conditionalFormatting>
  <conditionalFormatting sqref="M288">
    <cfRule type="cellIs" dxfId="1019" priority="46" operator="equal">
      <formula>"X"</formula>
    </cfRule>
    <cfRule type="cellIs" dxfId="1018" priority="47" operator="equal">
      <formula>"O"</formula>
    </cfRule>
    <cfRule type="cellIs" dxfId="1017" priority="48" operator="equal">
      <formula>"미정"</formula>
    </cfRule>
    <cfRule type="cellIs" dxfId="1016" priority="49" operator="equal">
      <formula>"예정"</formula>
    </cfRule>
    <cfRule type="cellIs" dxfId="1015" priority="50" operator="equal">
      <formula>"확정"</formula>
    </cfRule>
  </conditionalFormatting>
  <conditionalFormatting sqref="Y429">
    <cfRule type="containsText" dxfId="1014" priority="37" operator="containsText" text="Optional">
      <formula>NOT(ISERROR(SEARCH("Optional",Y429)))</formula>
    </cfRule>
    <cfRule type="containsText" dxfId="1013" priority="38" operator="containsText" text="Worst">
      <formula>NOT(ISERROR(SEARCH("Worst",Y429)))</formula>
    </cfRule>
    <cfRule type="containsText" dxfId="1012" priority="39" operator="containsText" text="Best">
      <formula>NOT(ISERROR(SEARCH("Best",Y429)))</formula>
    </cfRule>
    <cfRule type="containsText" dxfId="1011" priority="40" operator="containsText" text="Base">
      <formula>NOT(ISERROR(SEARCH("Base",Y429)))</formula>
    </cfRule>
  </conditionalFormatting>
  <conditionalFormatting sqref="K433:L433">
    <cfRule type="cellIs" dxfId="1010" priority="32" operator="equal">
      <formula>"X"</formula>
    </cfRule>
    <cfRule type="cellIs" dxfId="1009" priority="33" operator="equal">
      <formula>"O"</formula>
    </cfRule>
    <cfRule type="cellIs" dxfId="1008" priority="34" operator="equal">
      <formula>"미정"</formula>
    </cfRule>
    <cfRule type="cellIs" dxfId="1007" priority="35" operator="equal">
      <formula>"예정"</formula>
    </cfRule>
    <cfRule type="cellIs" dxfId="1006" priority="36" operator="equal">
      <formula>"확정"</formula>
    </cfRule>
  </conditionalFormatting>
  <conditionalFormatting sqref="O433:P433">
    <cfRule type="cellIs" dxfId="1005" priority="27" operator="equal">
      <formula>"X"</formula>
    </cfRule>
    <cfRule type="cellIs" dxfId="1004" priority="28" operator="equal">
      <formula>"O"</formula>
    </cfRule>
    <cfRule type="cellIs" dxfId="1003" priority="29" operator="equal">
      <formula>"미정"</formula>
    </cfRule>
    <cfRule type="cellIs" dxfId="1002" priority="30" operator="equal">
      <formula>"예정"</formula>
    </cfRule>
    <cfRule type="cellIs" dxfId="1001" priority="31" operator="equal">
      <formula>"확정"</formula>
    </cfRule>
  </conditionalFormatting>
  <conditionalFormatting sqref="Y431:Y435">
    <cfRule type="containsText" dxfId="1000" priority="23" operator="containsText" text="Optional">
      <formula>NOT(ISERROR(SEARCH("Optional",Y431)))</formula>
    </cfRule>
    <cfRule type="containsText" dxfId="999" priority="24" operator="containsText" text="Worst">
      <formula>NOT(ISERROR(SEARCH("Worst",Y431)))</formula>
    </cfRule>
    <cfRule type="containsText" dxfId="998" priority="25" operator="containsText" text="Best">
      <formula>NOT(ISERROR(SEARCH("Best",Y431)))</formula>
    </cfRule>
    <cfRule type="containsText" dxfId="997" priority="26" operator="containsText" text="Base">
      <formula>NOT(ISERROR(SEARCH("Base",Y431)))</formula>
    </cfRule>
  </conditionalFormatting>
  <conditionalFormatting sqref="N433">
    <cfRule type="cellIs" dxfId="996" priority="13" operator="equal">
      <formula>"X"</formula>
    </cfRule>
    <cfRule type="cellIs" dxfId="995" priority="14" operator="equal">
      <formula>"O"</formula>
    </cfRule>
    <cfRule type="cellIs" dxfId="994" priority="15" operator="equal">
      <formula>"미정"</formula>
    </cfRule>
    <cfRule type="cellIs" dxfId="993" priority="16" operator="equal">
      <formula>"예정"</formula>
    </cfRule>
    <cfRule type="cellIs" dxfId="992" priority="17" operator="equal">
      <formula>"확정"</formula>
    </cfRule>
  </conditionalFormatting>
  <conditionalFormatting sqref="M433">
    <cfRule type="cellIs" dxfId="991" priority="18" operator="equal">
      <formula>"X"</formula>
    </cfRule>
    <cfRule type="cellIs" dxfId="990" priority="19" operator="equal">
      <formula>"O"</formula>
    </cfRule>
    <cfRule type="cellIs" dxfId="989" priority="20" operator="equal">
      <formula>"미정"</formula>
    </cfRule>
    <cfRule type="cellIs" dxfId="988" priority="21" operator="equal">
      <formula>"예정"</formula>
    </cfRule>
    <cfRule type="cellIs" dxfId="987" priority="22" operator="equal">
      <formula>"확정"</formula>
    </cfRule>
  </conditionalFormatting>
  <conditionalFormatting sqref="Z463:Z464">
    <cfRule type="containsText" dxfId="986" priority="9" operator="containsText" text="Optional">
      <formula>NOT(ISERROR(SEARCH("Optional",Z463)))</formula>
    </cfRule>
    <cfRule type="containsText" dxfId="985" priority="10" operator="containsText" text="Worst">
      <formula>NOT(ISERROR(SEARCH("Worst",Z463)))</formula>
    </cfRule>
    <cfRule type="containsText" dxfId="984" priority="11" operator="containsText" text="Best">
      <formula>NOT(ISERROR(SEARCH("Best",Z463)))</formula>
    </cfRule>
    <cfRule type="containsText" dxfId="983" priority="12" operator="containsText" text="Base">
      <formula>NOT(ISERROR(SEARCH("Base",Z463)))</formula>
    </cfRule>
  </conditionalFormatting>
  <conditionalFormatting sqref="AA463:AA464">
    <cfRule type="containsText" dxfId="982" priority="5" operator="containsText" text="Optional">
      <formula>NOT(ISERROR(SEARCH("Optional",AA463)))</formula>
    </cfRule>
    <cfRule type="containsText" dxfId="981" priority="6" operator="containsText" text="Worst">
      <formula>NOT(ISERROR(SEARCH("Worst",AA463)))</formula>
    </cfRule>
    <cfRule type="containsText" dxfId="980" priority="7" operator="containsText" text="Best">
      <formula>NOT(ISERROR(SEARCH("Best",AA463)))</formula>
    </cfRule>
    <cfRule type="containsText" dxfId="979" priority="8" operator="containsText" text="Base">
      <formula>NOT(ISERROR(SEARCH("Base",AA463)))</formula>
    </cfRule>
  </conditionalFormatting>
  <conditionalFormatting sqref="AB463:AB464">
    <cfRule type="containsText" dxfId="978" priority="1" operator="containsText" text="Optional">
      <formula>NOT(ISERROR(SEARCH("Optional",AB463)))</formula>
    </cfRule>
    <cfRule type="containsText" dxfId="977" priority="2" operator="containsText" text="Worst">
      <formula>NOT(ISERROR(SEARCH("Worst",AB463)))</formula>
    </cfRule>
    <cfRule type="containsText" dxfId="976" priority="3" operator="containsText" text="Best">
      <formula>NOT(ISERROR(SEARCH("Best",AB463)))</formula>
    </cfRule>
    <cfRule type="containsText" dxfId="975" priority="4" operator="containsText" text="Base">
      <formula>NOT(ISERROR(SEARCH("Base",AB463)))</formula>
    </cfRule>
  </conditionalFormatting>
  <dataValidations count="11">
    <dataValidation type="list" allowBlank="1" showInputMessage="1" showErrorMessage="1" sqref="F78 F518:F521 F41:F44 F46 F222 F316 F275 F22:F25 F210 F213 F219 F358 F394 F533" xr:uid="{00000000-0002-0000-0200-000001000000}">
      <formula1>"1,2,3"</formula1>
    </dataValidation>
    <dataValidation type="list" allowBlank="1" showInputMessage="1" showErrorMessage="1" sqref="F45 F90 F317 F221 F218 F245:F249 F434:F435 F262:F264 F468 F178 F359 F558:F561 F449:F452 F215 F695:F697 F209 F381 F212 F190 F176 F172 F289:F292 F503 F413:F414 F544:F546 F631:F633 F682 F356:F357 F393 F395:F396 F334 F336 F338 F103:F104 F107:F109 F112:F114" xr:uid="{00000000-0002-0000-0200-000002000000}">
      <formula1>"1,2"</formula1>
    </dataValidation>
    <dataValidation type="list" allowBlank="1" showInputMessage="1" showErrorMessage="1" sqref="F60:F65 F140 F216 F156:F157 F110:F111 F105:F106" xr:uid="{EB3F1B99-B214-4DDA-A207-930AFB81F96C}">
      <formula1>"1,2,3,4"</formula1>
    </dataValidation>
    <dataValidation type="list" allowBlank="1" showInputMessage="1" showErrorMessage="1" sqref="F189" xr:uid="{C077D7F1-E427-4AC2-8137-B3DDCD7D8D0E}">
      <formula1>$C$195:$C$197</formula1>
    </dataValidation>
    <dataValidation type="list" allowBlank="1" showInputMessage="1" showErrorMessage="1" sqref="F476" xr:uid="{00000000-0002-0000-0200-000006000000}">
      <formula1>$C$481:$C$483</formula1>
    </dataValidation>
    <dataValidation type="list" allowBlank="1" showInputMessage="1" showErrorMessage="1" sqref="F588 F598 F607:F609 F671:F673 F661 F651 F618" xr:uid="{5B0ED8FE-425F-431A-BD86-C9FCAC351CB0}">
      <formula1>"1, 2"</formula1>
    </dataValidation>
    <dataValidation type="list" allowBlank="1" showInputMessage="1" showErrorMessage="1" sqref="F11:F13" xr:uid="{AF9650D3-BC35-4A69-AB77-A6133F0BECE8}">
      <formula1>"Best,Base"</formula1>
    </dataValidation>
    <dataValidation type="list" allowBlank="1" showInputMessage="1" showErrorMessage="1" sqref="F8:F11" xr:uid="{ED3129EA-471F-45FC-834C-2596D77CA6F5}">
      <formula1>"Base,Worst"</formula1>
    </dataValidation>
    <dataValidation type="list" allowBlank="1" showInputMessage="1" showErrorMessage="1" sqref="F153" xr:uid="{40BC554D-BBE9-4654-A0DC-0BE1B9A79062}">
      <formula1>"1,2,3,4,5,6"</formula1>
    </dataValidation>
    <dataValidation type="list" allowBlank="1" showInputMessage="1" showErrorMessage="1" sqref="F154:F155 F21" xr:uid="{59464A80-436D-4014-AAF1-5ABFAE0FAD0E}">
      <formula1>"1,2,3,4,5"</formula1>
    </dataValidation>
    <dataValidation type="list" allowBlank="1" showInputMessage="1" showErrorMessage="1" sqref="D5" xr:uid="{F7CFED93-0FDB-453E-BD26-A26D6D0B5DC3}">
      <formula1>"Stress,적용X"</formula1>
    </dataValidation>
  </dataValidations>
  <pageMargins left="0.7" right="0.7" top="0.75" bottom="0.75" header="0.3" footer="0.3"/>
  <pageSetup paperSize="9" orientation="portrait" verticalDpi="0" r:id="rId1"/>
  <ignoredErrors>
    <ignoredError sqref="O21:O25 O42:O45 O46 N45 P45:T45 J63:M63 O493:O496 O578:O581"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sheetPr>
  <dimension ref="A1:AM112"/>
  <sheetViews>
    <sheetView showGridLines="0" topLeftCell="A4" zoomScaleNormal="100" workbookViewId="0">
      <selection activeCell="M9" sqref="M9"/>
    </sheetView>
  </sheetViews>
  <sheetFormatPr defaultColWidth="9" defaultRowHeight="12"/>
  <cols>
    <col min="1" max="1" width="4.625" style="1" customWidth="1"/>
    <col min="2" max="5" width="1.625" style="1" customWidth="1"/>
    <col min="6" max="6" width="9" style="1" customWidth="1"/>
    <col min="7" max="25" width="8.875" style="1" customWidth="1"/>
    <col min="26" max="26" width="9" style="1"/>
    <col min="27" max="34" width="8.875" style="1" customWidth="1"/>
    <col min="35" max="16384" width="9" style="1"/>
  </cols>
  <sheetData>
    <row r="1" spans="1:39">
      <c r="A1" s="2" t="str">
        <f ca="1">MID(CELL("filename",A1),FIND("]",CELL("filename",A1))+1,255)</f>
        <v>DCF</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row>
    <row r="2" spans="1:39">
      <c r="O2" s="19"/>
      <c r="P2" s="19"/>
      <c r="Q2" s="19"/>
      <c r="R2" s="19"/>
      <c r="S2" s="19"/>
      <c r="T2" s="19"/>
      <c r="U2" s="19"/>
      <c r="V2" s="19"/>
      <c r="W2" s="19"/>
      <c r="X2" s="19"/>
      <c r="Y2" s="19"/>
      <c r="Z2" s="19"/>
      <c r="AA2" s="19"/>
      <c r="AB2" s="19"/>
      <c r="AC2" s="19"/>
      <c r="AD2" s="19"/>
      <c r="AE2" s="19"/>
      <c r="AF2" s="19"/>
      <c r="AG2" s="19"/>
      <c r="AH2" s="19"/>
      <c r="AI2" s="19"/>
      <c r="AJ2" s="19"/>
      <c r="AK2" s="19"/>
      <c r="AL2" s="19"/>
      <c r="AM2" s="19"/>
    </row>
    <row r="3" spans="1:39">
      <c r="O3" s="19"/>
      <c r="P3" s="19"/>
      <c r="Q3" s="19"/>
      <c r="R3" s="19"/>
      <c r="S3" s="19"/>
      <c r="T3" s="19"/>
      <c r="U3" s="19"/>
      <c r="V3" s="19"/>
      <c r="W3" s="19"/>
      <c r="X3" s="19"/>
      <c r="Y3" s="19"/>
      <c r="Z3" s="19"/>
      <c r="AA3" s="19"/>
      <c r="AB3" s="19"/>
      <c r="AC3" s="19"/>
      <c r="AD3" s="19"/>
      <c r="AE3" s="19"/>
      <c r="AF3" s="19"/>
      <c r="AG3" s="19"/>
      <c r="AH3" s="19"/>
      <c r="AI3" s="19"/>
      <c r="AJ3" s="19"/>
      <c r="AK3" s="19"/>
      <c r="AL3" s="19"/>
      <c r="AM3" s="19"/>
    </row>
    <row r="4" spans="1:39">
      <c r="A4" s="20" t="s">
        <v>21</v>
      </c>
      <c r="B4" s="21" t="s">
        <v>22</v>
      </c>
      <c r="C4" s="22"/>
      <c r="D4" s="22"/>
      <c r="E4" s="22"/>
      <c r="F4" s="22"/>
      <c r="G4" s="22"/>
      <c r="H4" s="22"/>
      <c r="I4" s="22"/>
      <c r="J4" s="22"/>
      <c r="K4" s="22"/>
      <c r="L4" s="22"/>
      <c r="M4" s="22"/>
      <c r="N4" s="22"/>
      <c r="O4" s="23"/>
      <c r="P4" s="23"/>
      <c r="Q4" s="23"/>
      <c r="R4" s="23"/>
      <c r="S4" s="23"/>
      <c r="T4" s="23"/>
      <c r="U4" s="22"/>
      <c r="V4" s="22"/>
      <c r="W4" s="22"/>
      <c r="X4" s="22"/>
      <c r="Y4" s="22"/>
      <c r="Z4" s="22"/>
      <c r="AA4" s="22"/>
      <c r="AB4" s="22"/>
      <c r="AC4" s="22"/>
      <c r="AD4" s="22"/>
      <c r="AE4" s="22"/>
      <c r="AF4" s="22"/>
      <c r="AG4" s="22"/>
      <c r="AH4" s="22"/>
      <c r="AI4" s="22"/>
      <c r="AJ4" s="22"/>
      <c r="AK4" s="22"/>
      <c r="AL4" s="22"/>
      <c r="AM4" s="22"/>
    </row>
    <row r="5" spans="1:39">
      <c r="J5" s="1">
        <v>0.63728260544181958</v>
      </c>
      <c r="K5" s="1">
        <v>0.73801033715518272</v>
      </c>
      <c r="L5" s="1">
        <v>0.48385607775808059</v>
      </c>
      <c r="M5" s="1">
        <v>0.19143056631957117</v>
      </c>
      <c r="P5" s="1">
        <f t="shared" ref="P5:T5" si="0">_xlfn.FORECAST.LINEAR(O13,$J$5:$M$5,$I$13:$L$13)</f>
        <v>0.51011715270375013</v>
      </c>
      <c r="Q5" s="1">
        <f t="shared" si="0"/>
        <v>0.51011475584378452</v>
      </c>
      <c r="R5" s="1">
        <f t="shared" si="0"/>
        <v>0.50979735365689471</v>
      </c>
      <c r="S5" s="1">
        <f t="shared" si="0"/>
        <v>0.50941928419415961</v>
      </c>
      <c r="T5" s="1">
        <f t="shared" si="0"/>
        <v>0.50936966632498859</v>
      </c>
      <c r="U5" s="1">
        <f>_xlfn.FORECAST.LINEAR(T13,$J$5:$M$5,$I$13:$L$13)</f>
        <v>0.51023277595154382</v>
      </c>
    </row>
    <row r="6" spans="1:39">
      <c r="B6" s="24"/>
      <c r="C6" s="24"/>
      <c r="D6" s="24"/>
      <c r="E6" s="24"/>
      <c r="F6" s="24"/>
      <c r="G6" s="24"/>
      <c r="H6" s="24"/>
      <c r="I6" s="24"/>
      <c r="J6" s="25" t="s">
        <v>23</v>
      </c>
      <c r="K6" s="26"/>
      <c r="L6" s="26"/>
      <c r="M6" s="27"/>
      <c r="N6" s="26" t="s">
        <v>24</v>
      </c>
      <c r="O6" s="26"/>
      <c r="P6" s="26"/>
      <c r="Q6" s="26"/>
      <c r="R6" s="26"/>
      <c r="S6" s="26"/>
      <c r="T6" s="26"/>
      <c r="U6" s="26"/>
    </row>
    <row r="7" spans="1:39">
      <c r="B7" s="28"/>
      <c r="C7" s="28"/>
      <c r="D7" s="28"/>
      <c r="E7" s="28"/>
      <c r="F7" s="28"/>
      <c r="G7" s="28"/>
      <c r="H7" s="28"/>
      <c r="I7" s="28"/>
      <c r="J7" s="29" t="s">
        <v>26</v>
      </c>
      <c r="K7" s="30" t="s">
        <v>27</v>
      </c>
      <c r="L7" s="30" t="s">
        <v>61</v>
      </c>
      <c r="M7" s="31" t="s">
        <v>5104</v>
      </c>
      <c r="N7" s="30" t="s">
        <v>5174</v>
      </c>
      <c r="O7" s="30" t="s">
        <v>5</v>
      </c>
      <c r="P7" s="30" t="s">
        <v>6</v>
      </c>
      <c r="Q7" s="30" t="s">
        <v>7</v>
      </c>
      <c r="R7" s="30" t="s">
        <v>8</v>
      </c>
      <c r="S7" s="30" t="s">
        <v>9</v>
      </c>
      <c r="T7" s="30" t="s">
        <v>5102</v>
      </c>
      <c r="U7" s="30" t="s">
        <v>28</v>
      </c>
    </row>
    <row r="8" spans="1:39" s="32" customFormat="1">
      <c r="B8" s="33" t="s">
        <v>29</v>
      </c>
      <c r="C8" s="33"/>
      <c r="D8" s="33"/>
      <c r="E8" s="33"/>
      <c r="F8" s="33"/>
      <c r="G8" s="33"/>
      <c r="H8" s="33"/>
      <c r="I8" s="33"/>
      <c r="J8" s="34">
        <f>Revenue!J8</f>
        <v>7448913.7123100003</v>
      </c>
      <c r="K8" s="35">
        <f>Revenue!K8</f>
        <v>7874716.8175600003</v>
      </c>
      <c r="L8" s="35">
        <f>Revenue!L8</f>
        <v>7979812.4662619997</v>
      </c>
      <c r="M8" s="2502">
        <f>Revenue!M8</f>
        <v>7254338.9507989995</v>
      </c>
      <c r="N8" s="35">
        <f>Revenue!N8</f>
        <v>2872141.3366922112</v>
      </c>
      <c r="O8" s="35">
        <f>Revenue!O8</f>
        <v>10126480.28749121</v>
      </c>
      <c r="P8" s="4972">
        <f>Revenue!P8</f>
        <v>10286901.021661209</v>
      </c>
      <c r="Q8" s="4972">
        <f>Revenue!Q8</f>
        <v>10096907.578534821</v>
      </c>
      <c r="R8" s="4972">
        <f>Revenue!R8</f>
        <v>9589583.8718248643</v>
      </c>
      <c r="S8" s="4972">
        <f>Revenue!S8</f>
        <v>9552109.3177432083</v>
      </c>
      <c r="T8" s="4972">
        <f>Revenue!T8</f>
        <v>9747424.2306819931</v>
      </c>
      <c r="U8" s="4972">
        <f>T8*(1+$G$28)</f>
        <v>9844898.4729888123</v>
      </c>
      <c r="V8" s="36"/>
      <c r="W8" s="37"/>
    </row>
    <row r="9" spans="1:39">
      <c r="B9" s="38" t="s">
        <v>30</v>
      </c>
      <c r="C9" s="38"/>
      <c r="D9" s="38"/>
      <c r="E9" s="38"/>
      <c r="F9" s="38"/>
      <c r="G9" s="38"/>
      <c r="H9" s="38"/>
      <c r="I9" s="38"/>
      <c r="J9" s="39">
        <f>COGS!J8</f>
        <v>7100110.9138679998</v>
      </c>
      <c r="K9" s="40">
        <f>COGS!K8</f>
        <v>7463355.757518</v>
      </c>
      <c r="L9" s="40">
        <f>COGS!L8</f>
        <v>7656346.202509</v>
      </c>
      <c r="M9" s="2503">
        <f>COGS!M8</f>
        <v>6921270.8885239996</v>
      </c>
      <c r="N9" s="40">
        <f>COGS!N8</f>
        <v>2751391.7650225833</v>
      </c>
      <c r="O9" s="40">
        <f>COGS!O8</f>
        <v>9672662.6535465829</v>
      </c>
      <c r="P9" s="4973">
        <f>COGS!P8</f>
        <v>9828437.0148736238</v>
      </c>
      <c r="Q9" s="4973">
        <f>COGS!Q8</f>
        <v>9624161.4571046568</v>
      </c>
      <c r="R9" s="4973">
        <f>COGS!R8</f>
        <v>9101397.5078193452</v>
      </c>
      <c r="S9" s="4973">
        <f>COGS!S8</f>
        <v>9057842.3207514491</v>
      </c>
      <c r="T9" s="4973">
        <f>COGS!T8</f>
        <v>9291986.336998418</v>
      </c>
      <c r="U9" s="4973">
        <f>T9*(1+$G$28)</f>
        <v>9384906.2003684025</v>
      </c>
      <c r="V9" s="19"/>
      <c r="W9" s="37"/>
    </row>
    <row r="10" spans="1:39">
      <c r="B10" s="41" t="s">
        <v>31</v>
      </c>
      <c r="C10" s="42"/>
      <c r="D10" s="42"/>
      <c r="E10" s="42"/>
      <c r="F10" s="42"/>
      <c r="G10" s="42"/>
      <c r="H10" s="42"/>
      <c r="I10" s="42"/>
      <c r="J10" s="43">
        <f>J8-J9</f>
        <v>348802.79844200052</v>
      </c>
      <c r="K10" s="44">
        <f t="shared" ref="K10:U10" si="1">K8-K9</f>
        <v>411361.06004200038</v>
      </c>
      <c r="L10" s="44">
        <f t="shared" si="1"/>
        <v>323466.26375299972</v>
      </c>
      <c r="M10" s="2504">
        <f t="shared" si="1"/>
        <v>333068.06227499992</v>
      </c>
      <c r="N10" s="44">
        <f t="shared" si="1"/>
        <v>120749.57166962791</v>
      </c>
      <c r="O10" s="44">
        <f>O8-O9</f>
        <v>453817.6339446269</v>
      </c>
      <c r="P10" s="4974">
        <f t="shared" si="1"/>
        <v>458464.00678758509</v>
      </c>
      <c r="Q10" s="4974">
        <f t="shared" si="1"/>
        <v>472746.1214301642</v>
      </c>
      <c r="R10" s="4974">
        <f t="shared" si="1"/>
        <v>488186.36400551908</v>
      </c>
      <c r="S10" s="4974">
        <f t="shared" si="1"/>
        <v>494266.99699175917</v>
      </c>
      <c r="T10" s="4974">
        <f t="shared" ref="T10" si="2">T8-T9</f>
        <v>455437.89368357509</v>
      </c>
      <c r="U10" s="4974">
        <f t="shared" si="1"/>
        <v>459992.27262040973</v>
      </c>
      <c r="V10" s="19"/>
      <c r="W10" s="37"/>
    </row>
    <row r="11" spans="1:39" s="45" customFormat="1">
      <c r="B11" s="46" t="s">
        <v>32</v>
      </c>
      <c r="C11" s="46"/>
      <c r="D11" s="46"/>
      <c r="E11" s="46"/>
      <c r="F11" s="46"/>
      <c r="G11" s="46"/>
      <c r="H11" s="46"/>
      <c r="I11" s="46"/>
      <c r="J11" s="47">
        <f>J10/J8</f>
        <v>4.6825995294531672E-2</v>
      </c>
      <c r="K11" s="48">
        <f t="shared" ref="K11:S11" si="3">K10/K8</f>
        <v>5.2238203553516681E-2</v>
      </c>
      <c r="L11" s="48">
        <f t="shared" si="3"/>
        <v>4.0535572122852366E-2</v>
      </c>
      <c r="M11" s="2505">
        <f t="shared" si="3"/>
        <v>4.5912944588605897E-2</v>
      </c>
      <c r="N11" s="48">
        <f t="shared" si="3"/>
        <v>4.2041653774842716E-2</v>
      </c>
      <c r="O11" s="48">
        <f t="shared" si="3"/>
        <v>4.4814942710667952E-2</v>
      </c>
      <c r="P11" s="4975">
        <f t="shared" si="3"/>
        <v>4.4567747451073343E-2</v>
      </c>
      <c r="Q11" s="4975">
        <f t="shared" si="3"/>
        <v>4.6820882310063212E-2</v>
      </c>
      <c r="R11" s="4975">
        <f t="shared" si="3"/>
        <v>5.0907982090845294E-2</v>
      </c>
      <c r="S11" s="4975">
        <f t="shared" si="3"/>
        <v>5.1744277682589927E-2</v>
      </c>
      <c r="T11" s="4975">
        <f t="shared" ref="T11" si="4">T10/T8</f>
        <v>4.6723922433784308E-2</v>
      </c>
      <c r="U11" s="4975">
        <f>U10/U8</f>
        <v>4.6723922433784197E-2</v>
      </c>
      <c r="V11" s="49"/>
    </row>
    <row r="12" spans="1:39">
      <c r="B12" s="1" t="s">
        <v>33</v>
      </c>
      <c r="I12" s="4507"/>
      <c r="J12" s="50">
        <f>'SG&amp;A'!J8</f>
        <v>80621.196293999994</v>
      </c>
      <c r="K12" s="19">
        <f>'SG&amp;A'!K8</f>
        <v>95923.831160000002</v>
      </c>
      <c r="L12" s="19">
        <f>'SG&amp;A'!L8</f>
        <v>94880.853170999995</v>
      </c>
      <c r="M12" s="2506">
        <f>'SG&amp;A'!M8</f>
        <v>68903.419282000003</v>
      </c>
      <c r="N12" s="19">
        <f>'SG&amp;A'!N8</f>
        <v>26272.531844391091</v>
      </c>
      <c r="O12" s="19">
        <f>'SG&amp;A'!O8</f>
        <v>95175.951126391083</v>
      </c>
      <c r="P12" s="4976">
        <f>'SG&amp;A'!P8</f>
        <v>99716.302896505018</v>
      </c>
      <c r="Q12" s="4976">
        <f>'SG&amp;A'!Q8</f>
        <v>99958.665171112458</v>
      </c>
      <c r="R12" s="4976">
        <f>'SG&amp;A'!R8</f>
        <v>98675.640378007141</v>
      </c>
      <c r="S12" s="4976">
        <f>'SG&amp;A'!S8</f>
        <v>102561.51030034552</v>
      </c>
      <c r="T12" s="4976">
        <f>'SG&amp;A'!T8</f>
        <v>101910.61093583106</v>
      </c>
      <c r="U12" s="4976">
        <f>T12*(1+$G$28)</f>
        <v>102929.71704518938</v>
      </c>
      <c r="V12" s="19"/>
    </row>
    <row r="13" spans="1:39" s="32" customFormat="1">
      <c r="B13" s="32" t="s">
        <v>34</v>
      </c>
      <c r="I13" s="4508">
        <f>별도FS_본체!I7/10^6</f>
        <v>175120.46319899999</v>
      </c>
      <c r="J13" s="51">
        <f>J10-J12</f>
        <v>268181.6021480005</v>
      </c>
      <c r="K13" s="36">
        <f t="shared" ref="K13:S13" si="5">K10-K12</f>
        <v>315437.22888200037</v>
      </c>
      <c r="L13" s="36">
        <f t="shared" si="5"/>
        <v>228585.41058199972</v>
      </c>
      <c r="M13" s="2507">
        <f t="shared" si="5"/>
        <v>264164.64299299993</v>
      </c>
      <c r="N13" s="36">
        <f t="shared" si="5"/>
        <v>94477.039825236818</v>
      </c>
      <c r="O13" s="36">
        <f t="shared" si="5"/>
        <v>358641.68281823583</v>
      </c>
      <c r="P13" s="4957">
        <f t="shared" si="5"/>
        <v>358747.70389108011</v>
      </c>
      <c r="Q13" s="4957">
        <f t="shared" si="5"/>
        <v>372787.45625905175</v>
      </c>
      <c r="R13" s="4957">
        <f t="shared" si="5"/>
        <v>389510.72362751194</v>
      </c>
      <c r="S13" s="4957">
        <f t="shared" si="5"/>
        <v>391705.48669141368</v>
      </c>
      <c r="T13" s="4957">
        <f t="shared" ref="T13:U13" si="6">T10-T12</f>
        <v>353527.282747744</v>
      </c>
      <c r="U13" s="4957">
        <f t="shared" si="6"/>
        <v>357062.55557522038</v>
      </c>
      <c r="V13" s="36"/>
      <c r="W13" s="37"/>
    </row>
    <row r="14" spans="1:39" s="45" customFormat="1">
      <c r="B14" s="46" t="s">
        <v>32</v>
      </c>
      <c r="C14" s="46"/>
      <c r="D14" s="46"/>
      <c r="E14" s="46"/>
      <c r="F14" s="46"/>
      <c r="G14" s="46"/>
      <c r="H14" s="46"/>
      <c r="I14" s="4509"/>
      <c r="J14" s="47">
        <f>J13/J8</f>
        <v>3.6002780070442525E-2</v>
      </c>
      <c r="K14" s="48">
        <f t="shared" ref="K14:U14" si="7">K13/K8</f>
        <v>4.0056961563189185E-2</v>
      </c>
      <c r="L14" s="48">
        <f t="shared" si="7"/>
        <v>2.8645461475246482E-2</v>
      </c>
      <c r="M14" s="2505">
        <f t="shared" si="7"/>
        <v>3.6414709153327417E-2</v>
      </c>
      <c r="N14" s="48">
        <f t="shared" si="7"/>
        <v>3.2894286439971707E-2</v>
      </c>
      <c r="O14" s="48">
        <f t="shared" si="7"/>
        <v>3.5416222876693881E-2</v>
      </c>
      <c r="P14" s="4975">
        <f t="shared" si="7"/>
        <v>3.4874225302222915E-2</v>
      </c>
      <c r="Q14" s="4975">
        <f t="shared" si="7"/>
        <v>3.6920953604801396E-2</v>
      </c>
      <c r="R14" s="4975">
        <f t="shared" si="7"/>
        <v>4.0618104897328498E-2</v>
      </c>
      <c r="S14" s="4975">
        <f t="shared" si="7"/>
        <v>4.1007224023683855E-2</v>
      </c>
      <c r="T14" s="4975">
        <f t="shared" ref="T14" si="8">T13/T8</f>
        <v>3.6268790029159212E-2</v>
      </c>
      <c r="U14" s="4975">
        <f t="shared" si="7"/>
        <v>3.6268790029159108E-2</v>
      </c>
      <c r="V14" s="49"/>
    </row>
    <row r="15" spans="1:39">
      <c r="B15" s="1" t="s">
        <v>35</v>
      </c>
      <c r="I15" s="4507"/>
      <c r="J15" s="52"/>
      <c r="K15" s="53"/>
      <c r="L15" s="53"/>
      <c r="M15" s="54"/>
      <c r="N15" s="55">
        <f t="shared" ref="N15:U15" si="9">IF(N13&lt;0,0,IF(N13&lt;200,N13*10%*1.1,IF(N13&lt;20000,(200*10%*1.1+(N13-200)*20%*1.1),(200*10%*1.1+(20000-200)*20%*1.1+(N13-20000)*22%*1.1))))</f>
        <v>22401.443637707311</v>
      </c>
      <c r="O15" s="55">
        <f t="shared" si="9"/>
        <v>86329.287242013088</v>
      </c>
      <c r="P15" s="4977">
        <f t="shared" si="9"/>
        <v>86354.944341641385</v>
      </c>
      <c r="Q15" s="4977">
        <f t="shared" si="9"/>
        <v>89752.564414690525</v>
      </c>
      <c r="R15" s="4977">
        <f t="shared" si="9"/>
        <v>93799.595117857898</v>
      </c>
      <c r="S15" s="4977">
        <f t="shared" si="9"/>
        <v>94330.727779322115</v>
      </c>
      <c r="T15" s="4977">
        <f t="shared" ref="T15" si="10">IF(T13&lt;0,0,IF(T13&lt;200,T13*10%*1.1,IF(T13&lt;20000,(200*10%*1.1+(T13-200)*20%*1.1),(200*10%*1.1+(20000-200)*20%*1.1+(T13-20000)*22%*1.1))))</f>
        <v>85091.60242495405</v>
      </c>
      <c r="U15" s="4977">
        <f t="shared" si="9"/>
        <v>85947.138449203339</v>
      </c>
    </row>
    <row r="16" spans="1:39">
      <c r="B16" s="56" t="s">
        <v>36</v>
      </c>
      <c r="C16" s="38"/>
      <c r="D16" s="38"/>
      <c r="E16" s="38"/>
      <c r="F16" s="38"/>
      <c r="G16" s="38"/>
      <c r="H16" s="38"/>
      <c r="I16" s="38"/>
      <c r="J16" s="57"/>
      <c r="K16" s="58"/>
      <c r="L16" s="58"/>
      <c r="M16" s="59"/>
      <c r="N16" s="60">
        <f>N13-N15</f>
        <v>72075.596187529503</v>
      </c>
      <c r="O16" s="60">
        <f t="shared" ref="O16:U16" si="11">O13-O15</f>
        <v>272312.39557622274</v>
      </c>
      <c r="P16" s="4978">
        <f t="shared" si="11"/>
        <v>272392.75954943872</v>
      </c>
      <c r="Q16" s="4978">
        <f t="shared" si="11"/>
        <v>283034.89184436121</v>
      </c>
      <c r="R16" s="4978">
        <f t="shared" si="11"/>
        <v>295711.12850965402</v>
      </c>
      <c r="S16" s="4978">
        <f t="shared" si="11"/>
        <v>297374.75891209155</v>
      </c>
      <c r="T16" s="4978">
        <f t="shared" ref="T16" si="12">T13-T15</f>
        <v>268435.68032278994</v>
      </c>
      <c r="U16" s="4978">
        <f t="shared" si="11"/>
        <v>271115.41712601704</v>
      </c>
    </row>
    <row r="17" spans="2:25">
      <c r="B17" s="1" t="s">
        <v>37</v>
      </c>
      <c r="J17" s="52"/>
      <c r="K17" s="53"/>
      <c r="L17" s="53"/>
      <c r="M17" s="54"/>
      <c r="N17" s="55">
        <f>CAPEX!N37</f>
        <v>19181.567016572782</v>
      </c>
      <c r="O17" s="53"/>
      <c r="P17" s="4977">
        <f>CAPEX!P37</f>
        <v>85220.087366622538</v>
      </c>
      <c r="Q17" s="4977">
        <f>CAPEX!Q37</f>
        <v>87997.323220096703</v>
      </c>
      <c r="R17" s="4977">
        <f>CAPEX!R37</f>
        <v>91609.730217154691</v>
      </c>
      <c r="S17" s="4977">
        <f>CAPEX!S37</f>
        <v>97532.661934210308</v>
      </c>
      <c r="T17" s="4977">
        <f>CAPEX!T37</f>
        <v>100487.55710237243</v>
      </c>
      <c r="U17" s="4979" t="s">
        <v>38</v>
      </c>
    </row>
    <row r="18" spans="2:25">
      <c r="B18" s="1" t="s">
        <v>39</v>
      </c>
      <c r="J18" s="52"/>
      <c r="K18" s="53"/>
      <c r="L18" s="53"/>
      <c r="M18" s="54"/>
      <c r="N18" s="55">
        <f>-CAPEX!N8</f>
        <v>-40188.821793092677</v>
      </c>
      <c r="O18" s="53"/>
      <c r="P18" s="4977">
        <f>-CAPEX!P8</f>
        <v>-147645.87447191557</v>
      </c>
      <c r="Q18" s="4977">
        <f>-CAPEX!Q8</f>
        <v>-129308.46591432448</v>
      </c>
      <c r="R18" s="4977">
        <f>-CAPEX!R8</f>
        <v>-109872.55149023533</v>
      </c>
      <c r="S18" s="4977">
        <f>-CAPEX!S8</f>
        <v>-130980.62907014199</v>
      </c>
      <c r="T18" s="4977">
        <f>-CAPEX!T8</f>
        <v>-130980.62907014199</v>
      </c>
      <c r="U18" s="4979" t="s">
        <v>40</v>
      </c>
    </row>
    <row r="19" spans="2:25">
      <c r="B19" s="1" t="s">
        <v>41</v>
      </c>
      <c r="J19" s="52"/>
      <c r="K19" s="53"/>
      <c r="L19" s="53"/>
      <c r="M19" s="54"/>
      <c r="N19" s="55">
        <f>CHOOSE(Assumption!$F$468,-NWC!N8-NWC!N44,-NWC!N8)</f>
        <v>-28610.034654802443</v>
      </c>
      <c r="O19" s="53"/>
      <c r="P19" s="4977">
        <f>CHOOSE(Assumption!$F$468,-NWC!P8-NWC!P44,-NWC!P8)</f>
        <v>-17940.131383495795</v>
      </c>
      <c r="Q19" s="4977">
        <f>CHOOSE(Assumption!$F$468,-NWC!Q8-NWC!Q44,-NWC!Q8)</f>
        <v>-99.054338776437362</v>
      </c>
      <c r="R19" s="4977">
        <f>CHOOSE(Assumption!$F$468,-NWC!R8-NWC!R44,-NWC!R8)</f>
        <v>16097.408741085063</v>
      </c>
      <c r="S19" s="4977">
        <f>CHOOSE(Assumption!$F$468,-NWC!S8-NWC!S44,-NWC!S8)</f>
        <v>-17823.3731092286</v>
      </c>
      <c r="T19" s="4977">
        <f>CHOOSE(Assumption!$F$468,-NWC!T8-NWC!T44,-NWC!T8)</f>
        <v>-38087.087475656161</v>
      </c>
      <c r="U19" s="4980">
        <f>CHOOSE(Assumption!$F$468,-NWC!U8-NWC!U44,-NWC!U8)</f>
        <v>-44393.654748369212</v>
      </c>
    </row>
    <row r="20" spans="2:25" s="32" customFormat="1">
      <c r="B20" s="61" t="s">
        <v>42</v>
      </c>
      <c r="C20" s="61"/>
      <c r="D20" s="61"/>
      <c r="E20" s="61"/>
      <c r="F20" s="61"/>
      <c r="G20" s="61"/>
      <c r="H20" s="61"/>
      <c r="I20" s="61"/>
      <c r="J20" s="63"/>
      <c r="K20" s="64"/>
      <c r="L20" s="64"/>
      <c r="M20" s="65"/>
      <c r="N20" s="2707">
        <f>SUM(N16:N19)</f>
        <v>22458.306756207163</v>
      </c>
      <c r="O20" s="2708"/>
      <c r="P20" s="4981">
        <f t="shared" ref="P20:U20" si="13">SUM(P16:P19)</f>
        <v>192026.84106064989</v>
      </c>
      <c r="Q20" s="4981">
        <f t="shared" si="13"/>
        <v>241624.69481135698</v>
      </c>
      <c r="R20" s="4981">
        <f t="shared" si="13"/>
        <v>293545.7159776584</v>
      </c>
      <c r="S20" s="4981">
        <f t="shared" si="13"/>
        <v>246103.41866693125</v>
      </c>
      <c r="T20" s="4981">
        <f t="shared" si="13"/>
        <v>199855.52087936419</v>
      </c>
      <c r="U20" s="4981">
        <f t="shared" si="13"/>
        <v>226721.76237764783</v>
      </c>
    </row>
    <row r="21" spans="2:25">
      <c r="B21" s="1" t="s">
        <v>43</v>
      </c>
      <c r="J21" s="52"/>
      <c r="K21" s="53"/>
      <c r="L21" s="53"/>
      <c r="M21" s="54"/>
      <c r="N21" s="62">
        <f>General!H7/2</f>
        <v>0.12602739726027398</v>
      </c>
      <c r="O21" s="53"/>
      <c r="P21" s="4982">
        <f>General!H7+0.5</f>
        <v>0.75205479452054802</v>
      </c>
      <c r="Q21" s="4982">
        <f>P21+1</f>
        <v>1.752054794520548</v>
      </c>
      <c r="R21" s="4982">
        <f>Q21+1</f>
        <v>2.7520547945205482</v>
      </c>
      <c r="S21" s="4982">
        <f>R21+1</f>
        <v>3.7520547945205482</v>
      </c>
      <c r="T21" s="4982">
        <f>S21+1</f>
        <v>4.7520547945205482</v>
      </c>
      <c r="U21" s="4982">
        <f>T21</f>
        <v>4.7520547945205482</v>
      </c>
    </row>
    <row r="22" spans="2:25">
      <c r="B22" s="1" t="s">
        <v>44</v>
      </c>
      <c r="J22" s="52"/>
      <c r="K22" s="53"/>
      <c r="L22" s="53"/>
      <c r="M22" s="54"/>
      <c r="N22" s="62">
        <f>1/(1+$G$29)^N21</f>
        <v>0.98760827355281344</v>
      </c>
      <c r="O22" s="53"/>
      <c r="P22" s="4982">
        <f t="shared" ref="P22:U22" si="14">1/(1+$G$29)^P21</f>
        <v>0.92829262971933235</v>
      </c>
      <c r="Q22" s="4982">
        <f t="shared" si="14"/>
        <v>0.84084477329649665</v>
      </c>
      <c r="R22" s="4982">
        <f t="shared" si="14"/>
        <v>0.76163475842073958</v>
      </c>
      <c r="S22" s="4982">
        <f>1/(1+$G$29)^S21</f>
        <v>0.689886556540525</v>
      </c>
      <c r="T22" s="4982">
        <f t="shared" si="14"/>
        <v>0.62489724324322904</v>
      </c>
      <c r="U22" s="4982">
        <f t="shared" si="14"/>
        <v>0.62489724324322904</v>
      </c>
    </row>
    <row r="23" spans="2:25" s="32" customFormat="1">
      <c r="B23" s="61" t="s">
        <v>45</v>
      </c>
      <c r="C23" s="61"/>
      <c r="D23" s="61"/>
      <c r="E23" s="61"/>
      <c r="F23" s="61"/>
      <c r="G23" s="61"/>
      <c r="H23" s="61"/>
      <c r="I23" s="61"/>
      <c r="J23" s="63"/>
      <c r="K23" s="64"/>
      <c r="L23" s="64"/>
      <c r="M23" s="65"/>
      <c r="N23" s="66">
        <f>N22*N20</f>
        <v>22180.009562417243</v>
      </c>
      <c r="O23" s="64"/>
      <c r="P23" s="4983">
        <f>P22*P20</f>
        <v>178257.10126488697</v>
      </c>
      <c r="Q23" s="4983">
        <f>Q22*Q20</f>
        <v>203168.86173149064</v>
      </c>
      <c r="R23" s="4983">
        <f>R22*R20</f>
        <v>223574.6204740869</v>
      </c>
      <c r="S23" s="4983">
        <f>S22*S20</f>
        <v>169783.44005698035</v>
      </c>
      <c r="T23" s="4983">
        <f>T22*T20</f>
        <v>124889.16404445429</v>
      </c>
      <c r="U23" s="4983">
        <f>U20*U22/(G29-G28)</f>
        <v>1507210.6839684953</v>
      </c>
      <c r="W23" s="37"/>
    </row>
    <row r="24" spans="2:25">
      <c r="B24" s="1" t="s">
        <v>46</v>
      </c>
      <c r="J24" s="52"/>
      <c r="K24" s="53"/>
      <c r="L24" s="53"/>
      <c r="M24" s="54"/>
      <c r="N24" s="55">
        <f>SUM(N23:T23)</f>
        <v>921853.19713431643</v>
      </c>
      <c r="O24" s="53"/>
    </row>
    <row r="25" spans="2:25">
      <c r="B25" s="1" t="s">
        <v>47</v>
      </c>
      <c r="J25" s="52"/>
      <c r="K25" s="53"/>
      <c r="L25" s="53"/>
      <c r="M25" s="54"/>
      <c r="N25" s="55">
        <f>U23</f>
        <v>1507210.6839684953</v>
      </c>
      <c r="O25" s="53"/>
    </row>
    <row r="26" spans="2:25">
      <c r="B26" s="67" t="s">
        <v>48</v>
      </c>
      <c r="C26" s="68"/>
      <c r="D26" s="68"/>
      <c r="E26" s="68"/>
      <c r="F26" s="68"/>
      <c r="G26" s="68"/>
      <c r="H26" s="68"/>
      <c r="I26" s="68"/>
      <c r="J26" s="69"/>
      <c r="K26" s="70"/>
      <c r="L26" s="70"/>
      <c r="M26" s="71"/>
      <c r="N26" s="72">
        <f>N25+N24</f>
        <v>2429063.8811028115</v>
      </c>
      <c r="O26" s="70"/>
      <c r="P26" s="68"/>
      <c r="Q26" s="68"/>
      <c r="R26" s="68"/>
      <c r="S26" s="68"/>
      <c r="T26" s="68"/>
      <c r="U26" s="68"/>
    </row>
    <row r="27" spans="2:25">
      <c r="N27" s="3601"/>
      <c r="O27" s="73"/>
      <c r="P27" s="73"/>
      <c r="Q27" s="73"/>
      <c r="R27" s="73"/>
      <c r="S27" s="73"/>
      <c r="T27" s="73"/>
      <c r="U27" s="73"/>
      <c r="X27" s="19"/>
    </row>
    <row r="28" spans="2:25">
      <c r="B28" s="74" t="s">
        <v>49</v>
      </c>
      <c r="C28" s="74"/>
      <c r="D28" s="74"/>
      <c r="E28" s="74"/>
      <c r="F28" s="74"/>
      <c r="G28" s="75">
        <v>0.01</v>
      </c>
      <c r="J28" s="76"/>
      <c r="K28" s="76"/>
      <c r="L28" s="76"/>
      <c r="M28" s="76"/>
      <c r="N28" s="73"/>
      <c r="O28" s="73"/>
      <c r="P28" s="73"/>
      <c r="Q28" s="73"/>
      <c r="R28" s="73"/>
      <c r="S28" s="73"/>
      <c r="T28" s="73"/>
      <c r="U28" s="73"/>
      <c r="X28" s="19"/>
    </row>
    <row r="29" spans="2:25">
      <c r="B29" s="77" t="s">
        <v>50</v>
      </c>
      <c r="C29" s="77"/>
      <c r="D29" s="77"/>
      <c r="E29" s="77"/>
      <c r="F29" s="77"/>
      <c r="G29" s="2991">
        <f>WACC!U2</f>
        <v>0.104</v>
      </c>
      <c r="J29" s="78"/>
      <c r="M29" s="19"/>
      <c r="N29" s="73"/>
      <c r="O29" s="73"/>
      <c r="P29" s="73"/>
      <c r="Q29" s="73"/>
      <c r="R29" s="73"/>
      <c r="S29" s="73"/>
      <c r="T29" s="73"/>
      <c r="U29" s="73"/>
      <c r="X29" s="19"/>
    </row>
    <row r="30" spans="2:25">
      <c r="J30" s="76"/>
      <c r="O30" s="73"/>
      <c r="P30" s="73"/>
      <c r="Q30" s="73"/>
      <c r="R30" s="73"/>
      <c r="S30" s="73"/>
      <c r="T30" s="73"/>
      <c r="X30" s="19"/>
      <c r="Y30" s="19"/>
    </row>
    <row r="31" spans="2:25">
      <c r="B31" s="79" t="s">
        <v>51</v>
      </c>
      <c r="C31" s="79"/>
      <c r="D31" s="79"/>
      <c r="E31" s="79"/>
      <c r="F31" s="79"/>
      <c r="G31" s="79"/>
      <c r="N31" s="80"/>
      <c r="O31" s="81"/>
      <c r="P31" s="82"/>
      <c r="Q31" s="82"/>
      <c r="R31" s="83" t="s">
        <v>49</v>
      </c>
      <c r="S31" s="81"/>
      <c r="T31" s="84"/>
      <c r="X31" s="19"/>
      <c r="Y31" s="19"/>
    </row>
    <row r="32" spans="2:25">
      <c r="B32" s="1" t="s">
        <v>48</v>
      </c>
      <c r="G32" s="19">
        <f>N26</f>
        <v>2429063.8811028115</v>
      </c>
      <c r="N32" s="85"/>
      <c r="O32" s="86">
        <f>$G$36</f>
        <v>2430895.4833918116</v>
      </c>
      <c r="P32" s="87">
        <v>0</v>
      </c>
      <c r="Q32" s="87">
        <v>5.0000000000000001E-3</v>
      </c>
      <c r="R32" s="87">
        <v>0.01</v>
      </c>
      <c r="S32" s="88">
        <v>1.4999999999999999E-2</v>
      </c>
      <c r="T32" s="89">
        <v>0.02</v>
      </c>
      <c r="X32" s="19"/>
      <c r="Y32" s="19"/>
    </row>
    <row r="33" spans="2:21">
      <c r="B33" s="38" t="s">
        <v>52</v>
      </c>
      <c r="C33" s="38"/>
      <c r="D33" s="38"/>
      <c r="E33" s="38"/>
      <c r="F33" s="38"/>
      <c r="G33" s="40">
        <f>G42</f>
        <v>15861.602289</v>
      </c>
      <c r="N33" s="85"/>
      <c r="O33" s="88">
        <f>O34-0.5%</f>
        <v>9.3999999999999986E-2</v>
      </c>
      <c r="P33" s="90">
        <f t="dataTable" ref="P33:T37" dt2D="1" dtr="1" r1="G28" r2="G29"/>
        <v>2543536.0886471746</v>
      </c>
      <c r="Q33" s="91">
        <v>2620419.0139388889</v>
      </c>
      <c r="R33" s="91">
        <v>2706454.6684319996</v>
      </c>
      <c r="S33" s="91">
        <v>2803380.9121014629</v>
      </c>
      <c r="T33" s="92">
        <v>2913405.2968073324</v>
      </c>
    </row>
    <row r="34" spans="2:21">
      <c r="B34" s="32" t="s">
        <v>53</v>
      </c>
      <c r="C34" s="32"/>
      <c r="D34" s="32"/>
      <c r="E34" s="32"/>
      <c r="F34" s="32"/>
      <c r="G34" s="36">
        <f>G33+G32</f>
        <v>2444925.4833918116</v>
      </c>
      <c r="N34" s="85"/>
      <c r="O34" s="88">
        <f>O35-0.5%</f>
        <v>9.8999999999999991E-2</v>
      </c>
      <c r="P34" s="93">
        <v>2419381.834006587</v>
      </c>
      <c r="Q34" s="2031">
        <v>2486413.2636643224</v>
      </c>
      <c r="R34" s="2031">
        <v>2560976.314631917</v>
      </c>
      <c r="S34" s="2030">
        <v>2644415.9192861388</v>
      </c>
      <c r="T34" s="94">
        <v>2738417.4992130394</v>
      </c>
    </row>
    <row r="35" spans="2:21">
      <c r="B35" s="38" t="s">
        <v>56</v>
      </c>
      <c r="C35" s="38"/>
      <c r="D35" s="38"/>
      <c r="E35" s="38"/>
      <c r="F35" s="38"/>
      <c r="G35" s="40">
        <f>G47</f>
        <v>14030</v>
      </c>
      <c r="N35" s="95" t="s">
        <v>50</v>
      </c>
      <c r="O35" s="88">
        <v>0.104</v>
      </c>
      <c r="P35" s="93">
        <v>2307126.5734090367</v>
      </c>
      <c r="Q35" s="2031">
        <v>2365885.5508756065</v>
      </c>
      <c r="R35" s="2032">
        <v>2430895.4833918116</v>
      </c>
      <c r="S35" s="2031">
        <v>2503209.9027075991</v>
      </c>
      <c r="T35" s="94">
        <v>2584133.1814657357</v>
      </c>
    </row>
    <row r="36" spans="2:21">
      <c r="B36" s="67" t="s">
        <v>54</v>
      </c>
      <c r="C36" s="67"/>
      <c r="D36" s="67"/>
      <c r="E36" s="67"/>
      <c r="F36" s="67"/>
      <c r="G36" s="96">
        <f>G34-G35</f>
        <v>2430895.4833918116</v>
      </c>
      <c r="N36" s="85"/>
      <c r="O36" s="88">
        <f>O35+0.5%</f>
        <v>0.109</v>
      </c>
      <c r="P36" s="93">
        <v>2205133.3930691299</v>
      </c>
      <c r="Q36" s="2030">
        <v>2256892.9549117056</v>
      </c>
      <c r="R36" s="2031">
        <v>2313880.7553242398</v>
      </c>
      <c r="S36" s="2031">
        <v>2376931.0876955613</v>
      </c>
      <c r="T36" s="94">
        <v>2447065.7270748904</v>
      </c>
    </row>
    <row r="37" spans="2:21">
      <c r="N37" s="97"/>
      <c r="O37" s="98">
        <f>O36+0.5%</f>
        <v>0.114</v>
      </c>
      <c r="P37" s="99">
        <v>2112052.5535591999</v>
      </c>
      <c r="Q37" s="100">
        <v>2157849.037257107</v>
      </c>
      <c r="R37" s="100">
        <v>2208049.0290028909</v>
      </c>
      <c r="S37" s="100">
        <v>2263319.7269856296</v>
      </c>
      <c r="T37" s="101">
        <v>2324470.2864558888</v>
      </c>
    </row>
    <row r="38" spans="2:21">
      <c r="B38" s="79" t="s">
        <v>52</v>
      </c>
      <c r="C38" s="79"/>
      <c r="D38" s="79"/>
      <c r="E38" s="79"/>
      <c r="F38" s="79"/>
      <c r="G38" s="79"/>
    </row>
    <row r="39" spans="2:21">
      <c r="B39" s="1" t="s">
        <v>3580</v>
      </c>
      <c r="G39" s="19">
        <f>SUMIF(연결정산표!$Y:$Y,$B39,연결정산표!$L:$L)/10^6</f>
        <v>13230.6</v>
      </c>
    </row>
    <row r="40" spans="2:21">
      <c r="B40" s="1" t="s">
        <v>3581</v>
      </c>
      <c r="G40" s="19">
        <f>SUMIF(연결정산표!$Y:$Y,$B40,연결정산표!$L:$L)/10^6</f>
        <v>423.73023599999999</v>
      </c>
    </row>
    <row r="41" spans="2:21">
      <c r="B41" s="68" t="s">
        <v>3582</v>
      </c>
      <c r="C41" s="68"/>
      <c r="D41" s="68"/>
      <c r="E41" s="68"/>
      <c r="F41" s="68"/>
      <c r="G41" s="100">
        <f>SUMIF(연결정산표!$Y:$Y,$B41,연결정산표!$L:$L)/10^6</f>
        <v>2207.2720530000001</v>
      </c>
      <c r="N41" s="55"/>
      <c r="P41" s="55"/>
      <c r="Q41" s="55"/>
      <c r="R41" s="55"/>
      <c r="S41" s="55"/>
      <c r="T41" s="55"/>
      <c r="U41" s="55"/>
    </row>
    <row r="42" spans="2:21">
      <c r="B42" s="67" t="s">
        <v>55</v>
      </c>
      <c r="C42" s="67"/>
      <c r="D42" s="67"/>
      <c r="E42" s="67"/>
      <c r="F42" s="67"/>
      <c r="G42" s="96">
        <f>SUM(G39:G41)</f>
        <v>15861.602289</v>
      </c>
    </row>
    <row r="44" spans="2:21">
      <c r="B44" s="79" t="s">
        <v>56</v>
      </c>
      <c r="C44" s="79"/>
      <c r="D44" s="79"/>
      <c r="E44" s="79"/>
      <c r="F44" s="79"/>
      <c r="G44" s="79"/>
    </row>
    <row r="45" spans="2:21">
      <c r="B45" s="1" t="s">
        <v>3583</v>
      </c>
      <c r="G45" s="19">
        <f>SUM(연결정산표!L639)/10^6-G46+연결정산표!L735/10^6</f>
        <v>14030</v>
      </c>
    </row>
    <row r="46" spans="2:21">
      <c r="B46" s="38" t="s">
        <v>1593</v>
      </c>
      <c r="C46" s="38"/>
      <c r="D46" s="38"/>
      <c r="E46" s="38"/>
      <c r="F46" s="38"/>
      <c r="G46" s="40">
        <f>NWC!M25</f>
        <v>1285706.0783259999</v>
      </c>
    </row>
    <row r="47" spans="2:21">
      <c r="B47" s="67" t="s">
        <v>55</v>
      </c>
      <c r="C47" s="67"/>
      <c r="D47" s="67"/>
      <c r="E47" s="67"/>
      <c r="F47" s="67"/>
      <c r="G47" s="96">
        <f>CHOOSE(Assumption!$F$468,G45,SUM(G45:G46))</f>
        <v>14030</v>
      </c>
    </row>
    <row r="50" spans="1:39">
      <c r="A50" s="20" t="s">
        <v>68</v>
      </c>
      <c r="B50" s="21" t="s">
        <v>4912</v>
      </c>
      <c r="C50" s="22"/>
      <c r="D50" s="22"/>
      <c r="E50" s="22"/>
      <c r="F50" s="22"/>
      <c r="G50" s="22"/>
      <c r="H50" s="22"/>
      <c r="I50" s="22"/>
      <c r="J50" s="22"/>
      <c r="K50" s="22"/>
      <c r="L50" s="22"/>
      <c r="M50" s="22"/>
      <c r="N50" s="22"/>
      <c r="O50" s="22"/>
      <c r="P50" s="22"/>
      <c r="Q50" s="23"/>
      <c r="R50" s="23"/>
      <c r="S50" s="23"/>
      <c r="T50" s="23"/>
      <c r="U50" s="23"/>
      <c r="V50" s="22"/>
      <c r="W50" s="22"/>
      <c r="X50" s="22"/>
      <c r="Y50" s="22"/>
      <c r="Z50" s="22"/>
      <c r="AA50" s="22"/>
      <c r="AB50" s="22"/>
      <c r="AC50" s="22"/>
      <c r="AD50" s="22"/>
      <c r="AE50" s="22"/>
      <c r="AF50" s="22"/>
      <c r="AG50" s="22"/>
      <c r="AH50" s="22"/>
      <c r="AI50" s="22"/>
      <c r="AJ50" s="22"/>
      <c r="AK50" s="22"/>
      <c r="AL50" s="22"/>
      <c r="AM50" s="22"/>
    </row>
    <row r="52" spans="1:39" ht="15" customHeight="1">
      <c r="B52" s="79" t="s">
        <v>6737</v>
      </c>
      <c r="C52" s="79"/>
      <c r="D52" s="79"/>
      <c r="E52" s="79"/>
      <c r="F52" s="79"/>
      <c r="G52" s="79"/>
      <c r="I52" s="4772" t="s">
        <v>13502</v>
      </c>
      <c r="R52" s="4772" t="s">
        <v>6747</v>
      </c>
      <c r="AA52" s="4772" t="s">
        <v>6750</v>
      </c>
    </row>
    <row r="53" spans="1:39" ht="15" customHeight="1">
      <c r="B53" s="1" t="s">
        <v>6738</v>
      </c>
      <c r="G53" s="4766"/>
      <c r="I53" s="4821">
        <f ca="1">+IRR!$F$2</f>
        <v>0.29520279765129098</v>
      </c>
      <c r="J53" s="4820">
        <f>-표준편차!AH3*0.5*3</f>
        <v>-0.33749223157383029</v>
      </c>
      <c r="K53" s="4820">
        <f>-표준편차!$AH$3*0.5*1</f>
        <v>-0.1124974105246101</v>
      </c>
      <c r="L53" s="4820">
        <f>-표준편차!$AH$3*0.5</f>
        <v>-0.1124974105246101</v>
      </c>
      <c r="M53" s="4820">
        <v>0</v>
      </c>
      <c r="N53" s="4820">
        <f>표준편차!$AH$3*0.5</f>
        <v>0.1124974105246101</v>
      </c>
      <c r="O53" s="4820">
        <f>표준편차!$AH$3*0.5*2</f>
        <v>0.22499482104922019</v>
      </c>
      <c r="P53" s="4820">
        <f>표준편차!$AH$3*0.5*3</f>
        <v>0.33749223157383029</v>
      </c>
      <c r="R53" s="4796">
        <f ca="1">+IRR!$F$2</f>
        <v>0.29520279765129098</v>
      </c>
      <c r="S53" s="4797">
        <f>T53-10%</f>
        <v>-0.30000000000000004</v>
      </c>
      <c r="T53" s="4797">
        <f>U53-10%</f>
        <v>-0.2</v>
      </c>
      <c r="U53" s="4797">
        <f>V53-10%</f>
        <v>-0.1</v>
      </c>
      <c r="V53" s="4797">
        <v>0</v>
      </c>
      <c r="W53" s="4797">
        <f>V53+10%</f>
        <v>0.1</v>
      </c>
      <c r="X53" s="4797">
        <f>W53+10%</f>
        <v>0.2</v>
      </c>
      <c r="Y53" s="4797">
        <f>X53+10%</f>
        <v>0.30000000000000004</v>
      </c>
      <c r="AA53" s="4796">
        <f ca="1">+IRR!$F$2</f>
        <v>0.29520279765129098</v>
      </c>
      <c r="AB53" s="4797">
        <f>AC53-10%</f>
        <v>-0.30000000000000004</v>
      </c>
      <c r="AC53" s="4797">
        <f>AD53-10%</f>
        <v>-0.2</v>
      </c>
      <c r="AD53" s="4797">
        <f>AE53-10%</f>
        <v>-0.1</v>
      </c>
      <c r="AE53" s="4797">
        <v>0</v>
      </c>
      <c r="AF53" s="4797">
        <f>AE53+10%</f>
        <v>0.1</v>
      </c>
      <c r="AG53" s="4797">
        <f>AF53+10%</f>
        <v>0.2</v>
      </c>
      <c r="AH53" s="4797">
        <f>AG53+10%</f>
        <v>0.30000000000000004</v>
      </c>
    </row>
    <row r="54" spans="1:39" ht="15" customHeight="1">
      <c r="B54" s="1" t="s">
        <v>6739</v>
      </c>
      <c r="G54" s="4766"/>
      <c r="I54" s="212" t="s">
        <v>11017</v>
      </c>
      <c r="J54" s="2632">
        <f t="dataTable" ref="J54:P54" dt2D="1" dtr="1" r1="G53" r2="I51" ca="1"/>
        <v>0.29520279765129098</v>
      </c>
      <c r="K54" s="4822">
        <v>0.29520279765129098</v>
      </c>
      <c r="L54" s="4823">
        <v>0.29520279765129098</v>
      </c>
      <c r="M54" s="4824">
        <v>0.29520279765129098</v>
      </c>
      <c r="N54" s="4823">
        <v>0.29520279765129098</v>
      </c>
      <c r="O54" s="4822">
        <v>0.29520279765129098</v>
      </c>
      <c r="P54" s="2632">
        <v>0.29520279765129098</v>
      </c>
      <c r="R54" s="212" t="s">
        <v>11017</v>
      </c>
      <c r="S54" s="4686">
        <f t="dataTable" ref="S54:Y54" dt2D="1" dtr="1" r1="G57" r2="R51" ca="1"/>
        <v>0.29520279765129098</v>
      </c>
      <c r="T54" s="4686">
        <v>0.29520279765129098</v>
      </c>
      <c r="U54" s="4686">
        <v>0.29520279765129098</v>
      </c>
      <c r="V54" s="4686">
        <v>0.29520279765129098</v>
      </c>
      <c r="W54" s="4686">
        <v>0.29520279765129098</v>
      </c>
      <c r="X54" s="4686">
        <v>0.29520279765129098</v>
      </c>
      <c r="Y54" s="4686">
        <v>0.29520279765129098</v>
      </c>
      <c r="AA54" s="212" t="s">
        <v>11017</v>
      </c>
      <c r="AB54" s="4686">
        <f t="dataTable" ref="AB54:AH54" dt2D="1" dtr="1" r1="G61" r2="AA51" ca="1"/>
        <v>0.29520279765129098</v>
      </c>
      <c r="AC54" s="4686">
        <v>0.29520279765129098</v>
      </c>
      <c r="AD54" s="4686">
        <v>0.29520279765129098</v>
      </c>
      <c r="AE54" s="4686">
        <v>0.29520279765129098</v>
      </c>
      <c r="AF54" s="4686">
        <v>0.29520279765129098</v>
      </c>
      <c r="AG54" s="4686">
        <v>0.29520279765129098</v>
      </c>
      <c r="AH54" s="4686">
        <v>0.29520279765129098</v>
      </c>
    </row>
    <row r="55" spans="1:39" ht="15" customHeight="1">
      <c r="B55" s="1" t="s">
        <v>6740</v>
      </c>
      <c r="G55" s="4766"/>
    </row>
    <row r="56" spans="1:39" ht="15" customHeight="1">
      <c r="B56" s="1" t="s">
        <v>11052</v>
      </c>
      <c r="I56" s="4772" t="s">
        <v>13503</v>
      </c>
      <c r="R56" s="4772" t="s">
        <v>6749</v>
      </c>
      <c r="AA56" s="4772" t="s">
        <v>6751</v>
      </c>
    </row>
    <row r="57" spans="1:39" ht="15" customHeight="1">
      <c r="B57" s="1" t="s">
        <v>6741</v>
      </c>
      <c r="G57" s="4766"/>
      <c r="I57" s="4821">
        <f ca="1">+IRR!$F$2</f>
        <v>0.29520279765129098</v>
      </c>
      <c r="J57" s="4820">
        <f>-표준편차!$AQ$3*3</f>
        <v>-0.6135895979186845</v>
      </c>
      <c r="K57" s="4820">
        <f>-표준편차!$AQ$3*2</f>
        <v>-0.40905973194578965</v>
      </c>
      <c r="L57" s="4820">
        <f>-표준편차!$AQ$3</f>
        <v>-0.20452986597289483</v>
      </c>
      <c r="M57" s="4820">
        <v>0</v>
      </c>
      <c r="N57" s="4820">
        <f>표준편차!$AQ$3</f>
        <v>0.20452986597289483</v>
      </c>
      <c r="O57" s="4820">
        <f>표준편차!$AQ$3*2</f>
        <v>0.40905973194578965</v>
      </c>
      <c r="P57" s="4820">
        <f>표준편차!$AQ$3*3</f>
        <v>0.6135895979186845</v>
      </c>
      <c r="R57" s="4796">
        <f ca="1">+IRR!$F$2</f>
        <v>0.29520279765129098</v>
      </c>
      <c r="S57" s="4842">
        <f>T57-0.1%</f>
        <v>-3.0000000000000001E-3</v>
      </c>
      <c r="T57" s="4842">
        <f>U57-0.1%</f>
        <v>-2E-3</v>
      </c>
      <c r="U57" s="4842">
        <f>V57-0.1%</f>
        <v>-1E-3</v>
      </c>
      <c r="V57" s="4842">
        <v>0</v>
      </c>
      <c r="W57" s="4842">
        <f>V57+0.1%</f>
        <v>1E-3</v>
      </c>
      <c r="X57" s="4842">
        <f>W57+0.1%</f>
        <v>2E-3</v>
      </c>
      <c r="Y57" s="4842">
        <f>X57+0.1%</f>
        <v>3.0000000000000001E-3</v>
      </c>
      <c r="AA57" s="4796">
        <f ca="1">+IRR!$F$2</f>
        <v>0.29520279765129098</v>
      </c>
      <c r="AB57" s="4798">
        <f>AC57-0.1%</f>
        <v>-3.0000000000000001E-3</v>
      </c>
      <c r="AC57" s="4798">
        <f>AD57-0.1%</f>
        <v>-2E-3</v>
      </c>
      <c r="AD57" s="4798">
        <f>AE57-0.1%</f>
        <v>-1E-3</v>
      </c>
      <c r="AE57" s="4798">
        <v>0</v>
      </c>
      <c r="AF57" s="4798">
        <f>AE57+0.1%</f>
        <v>1E-3</v>
      </c>
      <c r="AG57" s="4798">
        <f>AF57+0.1%</f>
        <v>2E-3</v>
      </c>
      <c r="AH57" s="4798">
        <f>AG57+0.1%</f>
        <v>3.0000000000000001E-3</v>
      </c>
    </row>
    <row r="58" spans="1:39" ht="15" customHeight="1">
      <c r="B58" s="1" t="s">
        <v>6742</v>
      </c>
      <c r="G58" s="4766"/>
      <c r="I58" s="212" t="s">
        <v>11017</v>
      </c>
      <c r="J58" s="2632">
        <f t="dataTable" ref="J58:P58" dt2D="1" dtr="1" r1="G54" r2="I55" ca="1"/>
        <v>0.29520279765129098</v>
      </c>
      <c r="K58" s="4822">
        <v>0.29520279765129098</v>
      </c>
      <c r="L58" s="4823">
        <v>0.29520279765129098</v>
      </c>
      <c r="M58" s="4824">
        <v>0.29520279765129098</v>
      </c>
      <c r="N58" s="4823">
        <v>0.29520279765129098</v>
      </c>
      <c r="O58" s="4822">
        <v>0.29520279765129098</v>
      </c>
      <c r="P58" s="2632">
        <v>0.29520279765129098</v>
      </c>
      <c r="R58" s="212" t="s">
        <v>11017</v>
      </c>
      <c r="S58" s="4686">
        <f t="dataTable" ref="S58:Y58" dt2D="1" dtr="1" r1="G58" r2="R55" ca="1"/>
        <v>0.29520279765129098</v>
      </c>
      <c r="T58" s="4686">
        <v>0.29520279765129098</v>
      </c>
      <c r="U58" s="4686">
        <v>0.29520279765129098</v>
      </c>
      <c r="V58" s="4686">
        <v>0.29520279765129098</v>
      </c>
      <c r="W58" s="4686">
        <v>0.29520279765129098</v>
      </c>
      <c r="X58" s="4686">
        <v>0.29520279765129098</v>
      </c>
      <c r="Y58" s="4686">
        <v>0.29520279765129098</v>
      </c>
      <c r="AA58" s="212" t="s">
        <v>11017</v>
      </c>
      <c r="AB58" s="4686">
        <f t="dataTable" ref="AB58:AH58" dt2D="1" dtr="1" r1="G62" r2="AA55" ca="1"/>
        <v>0.29520279765129098</v>
      </c>
      <c r="AC58" s="4686">
        <v>0.29520279765129098</v>
      </c>
      <c r="AD58" s="4686">
        <v>0.29520279765129098</v>
      </c>
      <c r="AE58" s="4686">
        <v>0.29520279765129098</v>
      </c>
      <c r="AF58" s="4686">
        <v>0.29520279765129098</v>
      </c>
      <c r="AG58" s="4686">
        <v>0.29520279765129098</v>
      </c>
      <c r="AH58" s="4686">
        <v>0.29520279765129098</v>
      </c>
    </row>
    <row r="59" spans="1:39" ht="15" customHeight="1">
      <c r="B59" s="1" t="s">
        <v>6743</v>
      </c>
      <c r="G59" s="4766"/>
    </row>
    <row r="60" spans="1:39" ht="15" customHeight="1">
      <c r="B60" s="1" t="s">
        <v>11053</v>
      </c>
      <c r="I60" s="4772" t="s">
        <v>11051</v>
      </c>
      <c r="R60" s="4772" t="s">
        <v>6748</v>
      </c>
      <c r="AA60" s="4772" t="s">
        <v>6752</v>
      </c>
    </row>
    <row r="61" spans="1:39" ht="15" customHeight="1">
      <c r="B61" s="1" t="s">
        <v>6744</v>
      </c>
      <c r="G61" s="4766"/>
      <c r="I61" s="4821">
        <f ca="1">+IRR!$F$2</f>
        <v>0.29520279765129098</v>
      </c>
      <c r="J61" s="4843">
        <f>K61-0.1%</f>
        <v>-3.0000000000000001E-3</v>
      </c>
      <c r="K61" s="4843">
        <f>L61-0.1%</f>
        <v>-2E-3</v>
      </c>
      <c r="L61" s="4843">
        <f>M61-0.1%</f>
        <v>-1E-3</v>
      </c>
      <c r="M61" s="4843">
        <v>0</v>
      </c>
      <c r="N61" s="4843">
        <f>M61+0.1%</f>
        <v>1E-3</v>
      </c>
      <c r="O61" s="4843">
        <f>N61+0.1%</f>
        <v>2E-3</v>
      </c>
      <c r="P61" s="4843">
        <f>O61+0.1%</f>
        <v>3.0000000000000001E-3</v>
      </c>
      <c r="R61" s="4796">
        <f ca="1">+IRR!$F$2</f>
        <v>0.29520279765129098</v>
      </c>
      <c r="S61" s="4842">
        <f>T61-0.1%</f>
        <v>-3.0000000000000001E-3</v>
      </c>
      <c r="T61" s="4842">
        <f>U61-0.1%</f>
        <v>-2E-3</v>
      </c>
      <c r="U61" s="4842">
        <f>V61-0.1%</f>
        <v>-1E-3</v>
      </c>
      <c r="V61" s="4842">
        <v>0</v>
      </c>
      <c r="W61" s="4842">
        <f>V61+0.1%</f>
        <v>1E-3</v>
      </c>
      <c r="X61" s="4842">
        <f>W61+0.1%</f>
        <v>2E-3</v>
      </c>
      <c r="Y61" s="4842">
        <f>X61+0.1%</f>
        <v>3.0000000000000001E-3</v>
      </c>
      <c r="AA61" s="4796">
        <f ca="1">+IRR!$F$2</f>
        <v>0.29520279765129098</v>
      </c>
      <c r="AB61" s="4842">
        <f>AC61-0.1%</f>
        <v>-3.0000000000000001E-3</v>
      </c>
      <c r="AC61" s="4842">
        <f>AD61-0.1%</f>
        <v>-2E-3</v>
      </c>
      <c r="AD61" s="4842">
        <f>AE61-0.1%</f>
        <v>-1E-3</v>
      </c>
      <c r="AE61" s="4842">
        <v>0</v>
      </c>
      <c r="AF61" s="4842">
        <f>AE61+0.1%</f>
        <v>1E-3</v>
      </c>
      <c r="AG61" s="4842">
        <f>AF61+0.1%</f>
        <v>2E-3</v>
      </c>
      <c r="AH61" s="4842">
        <f>AG61+0.1%</f>
        <v>3.0000000000000001E-3</v>
      </c>
    </row>
    <row r="62" spans="1:39" ht="15" customHeight="1">
      <c r="B62" s="1" t="s">
        <v>6745</v>
      </c>
      <c r="G62" s="4766"/>
      <c r="I62" s="212" t="s">
        <v>11017</v>
      </c>
      <c r="J62" s="2632">
        <f t="dataTable" ref="J62:P62" dt2D="1" dtr="1" r1="G55" r2="I59" ca="1"/>
        <v>0.29520279765129098</v>
      </c>
      <c r="K62" s="4822">
        <v>0.29520279765129098</v>
      </c>
      <c r="L62" s="4823">
        <v>0.29520279765129098</v>
      </c>
      <c r="M62" s="4824">
        <v>0.29520279765129098</v>
      </c>
      <c r="N62" s="4823">
        <v>0.29520279765129098</v>
      </c>
      <c r="O62" s="4822">
        <v>0.29520279765129098</v>
      </c>
      <c r="P62" s="2632">
        <v>0.29520279765129098</v>
      </c>
      <c r="R62" s="212" t="s">
        <v>11017</v>
      </c>
      <c r="S62" s="4686">
        <f t="dataTable" ref="S62:Y62" dt2D="1" dtr="1" r1="G59" r2="R59" ca="1"/>
        <v>0.29520279765129098</v>
      </c>
      <c r="T62" s="4686">
        <v>0.29520279765129098</v>
      </c>
      <c r="U62" s="4686">
        <v>0.29520279765129098</v>
      </c>
      <c r="V62" s="4686">
        <v>0.29520279765129098</v>
      </c>
      <c r="W62" s="4686">
        <v>0.29520279765129098</v>
      </c>
      <c r="X62" s="4686">
        <v>0.29520279765129098</v>
      </c>
      <c r="Y62" s="4686">
        <v>0.29520279765129098</v>
      </c>
      <c r="AA62" s="212" t="s">
        <v>11017</v>
      </c>
      <c r="AB62" s="4686">
        <f t="dataTable" ref="AB62:AH62" dt2D="1" dtr="1" r1="G63" r2="AA59" ca="1"/>
        <v>0.29520279765129098</v>
      </c>
      <c r="AC62" s="4686">
        <v>0.29520279765129098</v>
      </c>
      <c r="AD62" s="4686">
        <v>0.29520279765129098</v>
      </c>
      <c r="AE62" s="4686">
        <v>0.29520279765129098</v>
      </c>
      <c r="AF62" s="4686">
        <v>0.29520279765129098</v>
      </c>
      <c r="AG62" s="4686">
        <v>0.29520279765129098</v>
      </c>
      <c r="AH62" s="4686">
        <v>0.29520279765129098</v>
      </c>
    </row>
    <row r="63" spans="1:39" ht="15" customHeight="1">
      <c r="B63" s="1" t="s">
        <v>6746</v>
      </c>
      <c r="G63" s="4766"/>
    </row>
    <row r="64" spans="1:39" ht="15" customHeight="1">
      <c r="B64" s="1" t="s">
        <v>11054</v>
      </c>
      <c r="I64" s="4772" t="s">
        <v>13504</v>
      </c>
      <c r="R64" s="4772" t="s">
        <v>13505</v>
      </c>
      <c r="AA64" s="4772" t="s">
        <v>13506</v>
      </c>
    </row>
    <row r="65" spans="2:34" ht="15" customHeight="1">
      <c r="B65" s="1" t="s">
        <v>3001</v>
      </c>
      <c r="I65" s="4821">
        <f ca="1">+IRR!$F$2</f>
        <v>0.29520279765129098</v>
      </c>
      <c r="J65" s="4820">
        <f>-표준편차!$G$3*3</f>
        <v>-0.5572740677117265</v>
      </c>
      <c r="K65" s="4820">
        <f>-표준편차!$G$3*2</f>
        <v>-0.371516045141151</v>
      </c>
      <c r="L65" s="4820">
        <f>-표준편차!$G$3</f>
        <v>-0.1857580225705755</v>
      </c>
      <c r="M65" s="4820">
        <v>0</v>
      </c>
      <c r="N65" s="4820">
        <f>표준편차!$G$3</f>
        <v>0.1857580225705755</v>
      </c>
      <c r="O65" s="4820">
        <f>표준편차!$G$3*2</f>
        <v>0.371516045141151</v>
      </c>
      <c r="P65" s="4820">
        <f>표준편차!$G$3*3</f>
        <v>0.5572740677117265</v>
      </c>
      <c r="R65" s="4821">
        <f ca="1">+IRR!$F$2</f>
        <v>0.29520279765129098</v>
      </c>
      <c r="S65" s="4820">
        <f>-표준편차!$P$3*3</f>
        <v>-0.49702008923586383</v>
      </c>
      <c r="T65" s="4820">
        <f>-표준편차!$P$3*2</f>
        <v>-0.33134672615724253</v>
      </c>
      <c r="U65" s="4820">
        <f>-표준편차!$P$3</f>
        <v>-0.16567336307862127</v>
      </c>
      <c r="V65" s="4820">
        <v>0</v>
      </c>
      <c r="W65" s="4820">
        <f>표준편차!$P$3</f>
        <v>0.16567336307862127</v>
      </c>
      <c r="X65" s="4820">
        <f>표준편차!$P$3*2</f>
        <v>0.33134672615724253</v>
      </c>
      <c r="Y65" s="4820">
        <f>표준편차!$P$3*3</f>
        <v>0.49702008923586383</v>
      </c>
      <c r="AA65" s="4821">
        <f ca="1">+IRR!$F$2</f>
        <v>0.29520279765129098</v>
      </c>
      <c r="AB65" s="4820">
        <f>-표준편차!$Y$3*3</f>
        <v>-0.81041467679704615</v>
      </c>
      <c r="AC65" s="4820">
        <f>-표준편차!$Y$3*2</f>
        <v>-0.5402764511980308</v>
      </c>
      <c r="AD65" s="4820">
        <f>-표준편차!$Y$3</f>
        <v>-0.2701382255990154</v>
      </c>
      <c r="AE65" s="4820">
        <v>0</v>
      </c>
      <c r="AF65" s="4820">
        <f>표준편차!$Y$3</f>
        <v>0.2701382255990154</v>
      </c>
      <c r="AG65" s="4820">
        <f>표준편차!$Y$3*2</f>
        <v>0.5402764511980308</v>
      </c>
      <c r="AH65" s="4820">
        <f>표준편차!$Y$3*3</f>
        <v>0.81041467679704615</v>
      </c>
    </row>
    <row r="66" spans="2:34" ht="15" customHeight="1">
      <c r="B66" s="1" t="s">
        <v>11057</v>
      </c>
      <c r="G66" s="78"/>
      <c r="I66" s="212" t="s">
        <v>11017</v>
      </c>
      <c r="J66" s="2632">
        <f t="dataTable" ref="J66:P66" dt2D="1" dtr="1" r1="G56" r2="P64" ca="1"/>
        <v>0.29520279765129098</v>
      </c>
      <c r="K66" s="4822">
        <v>0.29520279765129098</v>
      </c>
      <c r="L66" s="4823">
        <v>0.29520279765129098</v>
      </c>
      <c r="M66" s="4824">
        <v>0.29520279765129098</v>
      </c>
      <c r="N66" s="4823">
        <v>0.29520279765129098</v>
      </c>
      <c r="O66" s="4822">
        <v>0.29520279765129098</v>
      </c>
      <c r="P66" s="2632">
        <v>0.29520279765129098</v>
      </c>
      <c r="R66" s="212" t="s">
        <v>11017</v>
      </c>
      <c r="S66" s="2632">
        <f t="dataTable" ref="S66:Y66" dt2D="1" dtr="1" r1="G60" r2="Y64" ca="1"/>
        <v>0.29520279765129098</v>
      </c>
      <c r="T66" s="4822">
        <v>0.29520279765129098</v>
      </c>
      <c r="U66" s="4823">
        <v>0.29520279765129098</v>
      </c>
      <c r="V66" s="4824">
        <v>0.29520279765129098</v>
      </c>
      <c r="W66" s="4823">
        <v>0.29520279765129098</v>
      </c>
      <c r="X66" s="4822">
        <v>0.29520279765129098</v>
      </c>
      <c r="Y66" s="2632">
        <v>0.29520279765129098</v>
      </c>
      <c r="AA66" s="212" t="s">
        <v>11017</v>
      </c>
      <c r="AB66" s="2632">
        <f t="dataTable" ref="AB66:AH66" dt2D="1" dtr="1" r1="G64" r2="AH64" ca="1"/>
        <v>0.29520279765129098</v>
      </c>
      <c r="AC66" s="4822">
        <v>0.29520279765129098</v>
      </c>
      <c r="AD66" s="4823">
        <v>0.29520279765129098</v>
      </c>
      <c r="AE66" s="4824">
        <v>0.29520279765129098</v>
      </c>
      <c r="AF66" s="4823">
        <v>0.29520279765129098</v>
      </c>
      <c r="AG66" s="4822">
        <v>0.29520279765129098</v>
      </c>
      <c r="AH66" s="2632">
        <v>0.29520279765129098</v>
      </c>
    </row>
    <row r="67" spans="2:34" ht="15" customHeight="1">
      <c r="B67" s="1" t="s">
        <v>13508</v>
      </c>
      <c r="G67" s="205"/>
    </row>
    <row r="68" spans="2:34" ht="15" customHeight="1">
      <c r="B68" s="1" t="s">
        <v>13511</v>
      </c>
      <c r="I68" s="4772" t="s">
        <v>13507</v>
      </c>
      <c r="R68" s="4772" t="s">
        <v>13509</v>
      </c>
      <c r="AA68" s="4772" t="s">
        <v>13510</v>
      </c>
    </row>
    <row r="69" spans="2:34" ht="15" customHeight="1">
      <c r="B69" s="68" t="s">
        <v>13512</v>
      </c>
      <c r="C69" s="68"/>
      <c r="D69" s="68"/>
      <c r="E69" s="68"/>
      <c r="F69" s="68"/>
      <c r="G69" s="68"/>
      <c r="I69" s="4796">
        <f ca="1">+IRR!$F$2</f>
        <v>0.29520279765129098</v>
      </c>
      <c r="J69" s="4844">
        <f>K69-표준편차!$F$3</f>
        <v>2916.9200104258662</v>
      </c>
      <c r="K69" s="4844">
        <f>L69-표준편차!$F$3</f>
        <v>4140.7952199323217</v>
      </c>
      <c r="L69" s="4844">
        <f>M69-표준편차!$F$3</f>
        <v>5364.6704294387773</v>
      </c>
      <c r="M69" s="4844">
        <f>표준편차!$F$4</f>
        <v>6588.5456389452329</v>
      </c>
      <c r="N69" s="4844">
        <f>M69+표준편차!$F$3</f>
        <v>7812.4208484516885</v>
      </c>
      <c r="O69" s="4844">
        <f>N69+표준편차!$F$3</f>
        <v>9036.2960579581431</v>
      </c>
      <c r="P69" s="4844">
        <f>O69+표준편차!$F$3</f>
        <v>10260.171267464599</v>
      </c>
      <c r="R69" s="4796">
        <f ca="1">+IRR!$F$2</f>
        <v>0.29520279765129098</v>
      </c>
      <c r="S69" s="4844">
        <f>U69-표준편차!$O$3*3</f>
        <v>15337.094104377338</v>
      </c>
      <c r="T69" s="4844">
        <f>V69-표준편차!$O$3*2</f>
        <v>30403.199269311874</v>
      </c>
      <c r="U69" s="4844">
        <f>V69-표준편차!$O$3</f>
        <v>37936.251851779147</v>
      </c>
      <c r="V69" s="4844">
        <f>표준편차!$O$4</f>
        <v>45469.304434246413</v>
      </c>
      <c r="W69" s="4844">
        <f>V69+표준편차!$O$3</f>
        <v>53002.357016713679</v>
      </c>
      <c r="X69" s="4844">
        <f>W69+표준편차!$O$3</f>
        <v>60535.409599180944</v>
      </c>
      <c r="Y69" s="4844">
        <f>X69+표준편차!$O$3</f>
        <v>68068.46218164821</v>
      </c>
      <c r="AA69" s="4796">
        <f ca="1">+IRR!$F$2</f>
        <v>0.29520279765129098</v>
      </c>
      <c r="AB69" s="4844">
        <f>AC69-표준편차!$X$3</f>
        <v>122.28471578011954</v>
      </c>
      <c r="AC69" s="4844">
        <f>AD69-표준편차!$X$3</f>
        <v>296.52698084912106</v>
      </c>
      <c r="AD69" s="4844">
        <f>AE69-표준편차!$X$3</f>
        <v>470.76924591812258</v>
      </c>
      <c r="AE69" s="4844">
        <f>표준편차!$X$4</f>
        <v>645.0115109871241</v>
      </c>
      <c r="AF69" s="4844">
        <f>AE69+표준편차!$X$3</f>
        <v>819.25377605612562</v>
      </c>
      <c r="AG69" s="4844">
        <f>AF69+표준편차!$X$3</f>
        <v>993.49604112512714</v>
      </c>
      <c r="AH69" s="4844">
        <f>AG69+표준편차!$X$3</f>
        <v>1167.7383061941287</v>
      </c>
    </row>
    <row r="70" spans="2:34" ht="15" customHeight="1">
      <c r="I70" s="212" t="s">
        <v>11017</v>
      </c>
      <c r="J70" s="2632">
        <f t="dataTable" ref="J70:P70" dt2D="1" dtr="1" r1="G67" r2="P68" ca="1"/>
        <v>0.29520279765129098</v>
      </c>
      <c r="K70" s="2632">
        <v>0.29520279765129098</v>
      </c>
      <c r="L70" s="2632">
        <v>0.29520279765129098</v>
      </c>
      <c r="M70" s="2632">
        <v>0.29520279765129098</v>
      </c>
      <c r="N70" s="2632">
        <v>0.29520279765129098</v>
      </c>
      <c r="O70" s="2632">
        <v>0.29520279765129098</v>
      </c>
      <c r="P70" s="2632">
        <v>0.29520279765129098</v>
      </c>
      <c r="R70" s="212" t="s">
        <v>11017</v>
      </c>
      <c r="S70" s="2632">
        <f t="dataTable" ref="S70:Y70" dt2D="1" dtr="1" r1="G68" r2="Y68" ca="1"/>
        <v>0.29520279765129098</v>
      </c>
      <c r="T70" s="2632">
        <v>0.29520279765129098</v>
      </c>
      <c r="U70" s="2632">
        <v>0.29520279765129098</v>
      </c>
      <c r="V70" s="2632">
        <v>0.29520279765129098</v>
      </c>
      <c r="W70" s="2632">
        <v>0.29520279765129098</v>
      </c>
      <c r="X70" s="2632">
        <v>0.29520279765129098</v>
      </c>
      <c r="Y70" s="2632">
        <v>0.29520279765129098</v>
      </c>
      <c r="AA70" s="212" t="s">
        <v>11017</v>
      </c>
      <c r="AB70" s="2632">
        <f t="dataTable" ref="AB70:AH70" dt2D="1" dtr="1" r1="G69" r2="AH68" ca="1"/>
        <v>0.29520279765129098</v>
      </c>
      <c r="AC70" s="2632">
        <v>0.29520279765129098</v>
      </c>
      <c r="AD70" s="2632">
        <v>0.29520279765129098</v>
      </c>
      <c r="AE70" s="2632">
        <v>0.29520279765129098</v>
      </c>
      <c r="AF70" s="2632">
        <v>0.29520279765129098</v>
      </c>
      <c r="AG70" s="2632">
        <v>0.29520279765129098</v>
      </c>
      <c r="AH70" s="2632">
        <v>0.29520279765129098</v>
      </c>
    </row>
    <row r="71" spans="2:34" ht="15" customHeight="1"/>
    <row r="72" spans="2:34" ht="15" customHeight="1">
      <c r="I72" s="4772" t="s">
        <v>11055</v>
      </c>
    </row>
    <row r="73" spans="2:34" ht="15" customHeight="1">
      <c r="I73" s="4796">
        <f ca="1">+IRR!$F$2</f>
        <v>0.29520279765129098</v>
      </c>
      <c r="J73" s="4797">
        <f>K73-10%</f>
        <v>-0.30000000000000004</v>
      </c>
      <c r="K73" s="4797">
        <f>L73-10%</f>
        <v>-0.2</v>
      </c>
      <c r="L73" s="4797">
        <f>M73-10%</f>
        <v>-0.1</v>
      </c>
      <c r="M73" s="4797">
        <v>0</v>
      </c>
      <c r="N73" s="4797">
        <f>M73+10%</f>
        <v>0.1</v>
      </c>
      <c r="O73" s="4797">
        <f>N73+10%</f>
        <v>0.2</v>
      </c>
      <c r="P73" s="4797">
        <f>O73+10%</f>
        <v>0.30000000000000004</v>
      </c>
    </row>
    <row r="74" spans="2:34" ht="15" customHeight="1">
      <c r="I74" s="212" t="s">
        <v>11017</v>
      </c>
      <c r="J74" s="4686">
        <f t="dataTable" ref="J74:P74" dt2D="1" dtr="1" r1="G65" r2="P72" ca="1"/>
        <v>0.29520279765129098</v>
      </c>
      <c r="K74" s="4686">
        <v>0.29520279765129098</v>
      </c>
      <c r="L74" s="4686">
        <v>0.29520279765129098</v>
      </c>
      <c r="M74" s="4686">
        <v>0.29520279765129098</v>
      </c>
      <c r="N74" s="4686">
        <v>0.29520279765129098</v>
      </c>
      <c r="O74" s="4686">
        <v>0.29520279765129098</v>
      </c>
      <c r="P74" s="4686">
        <v>0.29520279765129098</v>
      </c>
    </row>
    <row r="75" spans="2:34" ht="15" customHeight="1"/>
    <row r="76" spans="2:34" ht="15" customHeight="1">
      <c r="I76" s="4772" t="s">
        <v>11056</v>
      </c>
    </row>
    <row r="77" spans="2:34" ht="15" customHeight="1">
      <c r="I77" s="4796">
        <f ca="1">+IRR!$F$2</f>
        <v>0.29520279765129098</v>
      </c>
      <c r="J77" s="4797">
        <v>0</v>
      </c>
      <c r="K77" s="4797">
        <v>5.0000000000000001E-3</v>
      </c>
      <c r="L77" s="4797">
        <v>0.01</v>
      </c>
      <c r="M77" s="4797">
        <v>1.4999999999999999E-2</v>
      </c>
      <c r="N77" s="4797">
        <v>0.02</v>
      </c>
      <c r="O77" s="4797">
        <v>2.5000000000000001E-2</v>
      </c>
      <c r="P77" s="4797">
        <v>0.03</v>
      </c>
    </row>
    <row r="78" spans="2:34" ht="15" customHeight="1">
      <c r="I78" s="212" t="s">
        <v>11017</v>
      </c>
      <c r="J78" s="4686">
        <f t="dataTable" ref="J78:P78" dt2D="1" dtr="1" r1="G66" r2="P76" ca="1"/>
        <v>0.29520279765129098</v>
      </c>
      <c r="K78" s="4686">
        <v>0.29520279765129098</v>
      </c>
      <c r="L78" s="4686">
        <v>0.29520279765129098</v>
      </c>
      <c r="M78" s="4686">
        <v>0.29520279765129098</v>
      </c>
      <c r="N78" s="4686">
        <v>0.29520279765129098</v>
      </c>
      <c r="O78" s="4686">
        <v>0.29520279765129098</v>
      </c>
      <c r="P78" s="4686">
        <v>0.29520279765129098</v>
      </c>
    </row>
    <row r="81" spans="1:39">
      <c r="A81" s="20" t="s">
        <v>77</v>
      </c>
      <c r="B81" s="21" t="s">
        <v>4915</v>
      </c>
      <c r="C81" s="22"/>
      <c r="D81" s="22"/>
      <c r="E81" s="22"/>
      <c r="F81" s="22"/>
      <c r="G81" s="22"/>
      <c r="H81" s="22"/>
      <c r="I81" s="22"/>
      <c r="J81" s="22"/>
      <c r="K81" s="22"/>
      <c r="L81" s="22"/>
      <c r="M81" s="22"/>
      <c r="N81" s="22"/>
      <c r="O81" s="22"/>
      <c r="P81" s="22"/>
      <c r="Q81" s="23"/>
      <c r="R81" s="23"/>
      <c r="S81" s="23"/>
      <c r="T81" s="23"/>
      <c r="U81" s="23"/>
      <c r="V81" s="22"/>
      <c r="W81" s="22"/>
      <c r="X81" s="22"/>
      <c r="Y81" s="22"/>
      <c r="Z81" s="22"/>
      <c r="AA81" s="22"/>
      <c r="AB81" s="22"/>
      <c r="AC81" s="22"/>
      <c r="AD81" s="22"/>
      <c r="AE81" s="22"/>
      <c r="AF81" s="22"/>
      <c r="AG81" s="22"/>
      <c r="AH81" s="22"/>
      <c r="AI81" s="22"/>
      <c r="AJ81" s="22"/>
      <c r="AK81" s="22"/>
      <c r="AL81" s="22"/>
      <c r="AM81" s="22"/>
    </row>
    <row r="83" spans="1:39">
      <c r="B83" s="24"/>
      <c r="C83" s="24"/>
      <c r="D83" s="24"/>
      <c r="E83" s="24"/>
      <c r="F83" s="24"/>
      <c r="G83" s="24"/>
      <c r="H83" s="24"/>
      <c r="I83" s="24"/>
      <c r="J83" s="25" t="s">
        <v>23</v>
      </c>
      <c r="K83" s="26"/>
      <c r="L83" s="26"/>
      <c r="M83" s="27"/>
      <c r="N83" s="26" t="s">
        <v>24</v>
      </c>
      <c r="O83" s="26"/>
      <c r="P83" s="26"/>
      <c r="Q83" s="26"/>
      <c r="R83" s="26"/>
      <c r="S83" s="26"/>
    </row>
    <row r="84" spans="1:39">
      <c r="B84" s="28"/>
      <c r="C84" s="28"/>
      <c r="D84" s="28"/>
      <c r="E84" s="28"/>
      <c r="F84" s="28"/>
      <c r="G84" s="28"/>
      <c r="H84" s="28"/>
      <c r="I84" s="28"/>
      <c r="J84" s="29" t="s">
        <v>26</v>
      </c>
      <c r="K84" s="30" t="s">
        <v>27</v>
      </c>
      <c r="L84" s="30" t="s">
        <v>61</v>
      </c>
      <c r="M84" s="31" t="s">
        <v>5104</v>
      </c>
      <c r="N84" s="30" t="s">
        <v>5174</v>
      </c>
      <c r="O84" s="30" t="s">
        <v>5</v>
      </c>
      <c r="P84" s="30" t="s">
        <v>6</v>
      </c>
      <c r="Q84" s="30" t="s">
        <v>7</v>
      </c>
      <c r="R84" s="30" t="s">
        <v>8</v>
      </c>
      <c r="S84" s="30" t="s">
        <v>9</v>
      </c>
    </row>
    <row r="85" spans="1:39">
      <c r="B85" s="32" t="s">
        <v>6166</v>
      </c>
      <c r="C85" s="32"/>
      <c r="D85" s="32"/>
      <c r="E85" s="32"/>
      <c r="F85" s="32"/>
      <c r="G85" s="32"/>
      <c r="H85" s="32"/>
      <c r="I85" s="32"/>
      <c r="J85" s="3731">
        <f>SUM(J87:J92)</f>
        <v>55039.931809827838</v>
      </c>
      <c r="K85" s="103">
        <f t="shared" ref="K85:M85" si="15">SUM(K87:K92)</f>
        <v>65770.012219384211</v>
      </c>
      <c r="L85" s="1932">
        <f t="shared" si="15"/>
        <v>60977.248099961042</v>
      </c>
      <c r="M85" s="3732">
        <f t="shared" si="15"/>
        <v>41595.027061046079</v>
      </c>
      <c r="N85" s="112">
        <f t="shared" ref="N85:S85" si="16">SUM(N87:N92)</f>
        <v>15520.241906937588</v>
      </c>
      <c r="O85" s="1933">
        <f>SUM(M85:N85)</f>
        <v>57115.268967983669</v>
      </c>
      <c r="P85" s="5020">
        <f t="shared" si="16"/>
        <v>67897.490016786352</v>
      </c>
      <c r="Q85" s="5020">
        <f t="shared" si="16"/>
        <v>64764.976127175149</v>
      </c>
      <c r="R85" s="5020">
        <f t="shared" si="16"/>
        <v>62545.107543497848</v>
      </c>
      <c r="S85" s="5020">
        <f t="shared" si="16"/>
        <v>62232.590602244331</v>
      </c>
      <c r="T85" s="205"/>
    </row>
    <row r="86" spans="1:39" s="45" customFormat="1">
      <c r="B86" s="1930" t="s">
        <v>4914</v>
      </c>
      <c r="C86" s="1930"/>
      <c r="D86" s="1930"/>
      <c r="E86" s="1930"/>
      <c r="F86" s="1930"/>
      <c r="G86" s="1930"/>
      <c r="H86" s="1930"/>
      <c r="I86" s="2993">
        <f>AVERAGE(J86:M86)</f>
        <v>8.241577095136278E-2</v>
      </c>
      <c r="J86" s="398">
        <f>J85/SUM(J$111,J$109,J$101,J$93,J$85)</f>
        <v>7.9683586644639329E-2</v>
      </c>
      <c r="K86" s="399">
        <f>K85/SUM(K$111,K$109,K$101,K$93,K$85)</f>
        <v>8.7937665389570652E-2</v>
      </c>
      <c r="L86" s="399">
        <f>L85/SUM(L$111,L$109,L$101,L$93,L$85)</f>
        <v>9.1418649835033075E-2</v>
      </c>
      <c r="M86" s="2037">
        <f>M85/SUM(M$111,M$109,M$101,M$93,M$85)</f>
        <v>7.0623181936208076E-2</v>
      </c>
      <c r="N86" s="2993">
        <f t="shared" ref="N86:S86" si="17">N85/SUM(N$111,N$109,N$101,N$93,N$85)</f>
        <v>7.4672803441176924E-2</v>
      </c>
      <c r="O86" s="2993">
        <f t="shared" si="17"/>
        <v>7.1679496292553893E-2</v>
      </c>
      <c r="P86" s="5022">
        <f t="shared" si="17"/>
        <v>8.245709564645004E-2</v>
      </c>
      <c r="Q86" s="5022">
        <f t="shared" si="17"/>
        <v>7.7431980499956601E-2</v>
      </c>
      <c r="R86" s="5022">
        <f t="shared" si="17"/>
        <v>7.256949677264439E-2</v>
      </c>
      <c r="S86" s="5022">
        <f t="shared" si="17"/>
        <v>7.0973635321897127E-2</v>
      </c>
      <c r="T86" s="2033"/>
    </row>
    <row r="87" spans="1:39">
      <c r="C87" s="1" t="s">
        <v>325</v>
      </c>
      <c r="J87" s="299">
        <f>Revenue!J25*Revenue!J27*Revenue!J26/10^6</f>
        <v>44516.362714361152</v>
      </c>
      <c r="K87" s="207">
        <f>Revenue!K25*Revenue!K27*Revenue!K26/10^6</f>
        <v>54961.579491278542</v>
      </c>
      <c r="L87" s="207">
        <f>Revenue!L25*Revenue!L27*Revenue!L26/10^6</f>
        <v>54063.369751134873</v>
      </c>
      <c r="M87" s="2994">
        <f>Revenue!M25*Revenue!M27*Revenue!M26/10^6</f>
        <v>35589.536409514891</v>
      </c>
      <c r="N87" s="207">
        <f>Revenue!N25*Revenue!N27*Revenue!N26/10^6</f>
        <v>13722.325866480001</v>
      </c>
      <c r="O87" s="207">
        <f t="shared" ref="O87:O92" si="18">SUM(M87:N87)</f>
        <v>49311.862275994892</v>
      </c>
      <c r="P87" s="5023">
        <f>Revenue!P25*Revenue!P27*Revenue!P26/10^6</f>
        <v>60577.266541193181</v>
      </c>
      <c r="Q87" s="5023">
        <f>Revenue!Q25*Revenue!Q27*Revenue!Q26/10^6</f>
        <v>57487.303989357933</v>
      </c>
      <c r="R87" s="5023">
        <f>Revenue!R25*Revenue!R27*Revenue!R26/10^6</f>
        <v>55322.755957247406</v>
      </c>
      <c r="S87" s="5023">
        <f>Revenue!S25*Revenue!S27*Revenue!S26/10^6</f>
        <v>55054.905955132963</v>
      </c>
      <c r="T87" s="205"/>
    </row>
    <row r="88" spans="1:39">
      <c r="C88" s="1" t="s">
        <v>330</v>
      </c>
      <c r="J88" s="299">
        <f>Revenue!J32*Revenue!J31*Revenue!J34*Revenue!J33/10^6</f>
        <v>7597.0508364662965</v>
      </c>
      <c r="K88" s="207">
        <f>Revenue!K32*Revenue!K31*Revenue!K34*Revenue!K33/10^6</f>
        <v>7666.0611311619632</v>
      </c>
      <c r="L88" s="207">
        <f>Revenue!L32*Revenue!L31*Revenue!L34*Revenue!L33/10^6</f>
        <v>4287.152816187624</v>
      </c>
      <c r="M88" s="2994">
        <f>Revenue!M32*Revenue!M31*Revenue!M34*Revenue!M33/10^6</f>
        <v>3567.8618577585312</v>
      </c>
      <c r="N88" s="207">
        <f>Revenue!N32*Revenue!N31*Revenue!N34*Revenue!N33/10^6</f>
        <v>1203.2875288724842</v>
      </c>
      <c r="O88" s="207">
        <f t="shared" si="18"/>
        <v>4771.1493866310157</v>
      </c>
      <c r="P88" s="5023">
        <f>Revenue!P32*Revenue!P31*Revenue!P34*Revenue!P33/10^6</f>
        <v>4748.0822606260863</v>
      </c>
      <c r="Q88" s="5023">
        <f>Revenue!Q32*Revenue!Q31*Revenue!Q34*Revenue!Q33/10^6</f>
        <v>4625.7439554153007</v>
      </c>
      <c r="R88" s="5023">
        <f>Revenue!R32*Revenue!R31*Revenue!R34*Revenue!R33/10^6</f>
        <v>4513.6437518779239</v>
      </c>
      <c r="S88" s="5023">
        <f>Revenue!S32*Revenue!S31*Revenue!S34*Revenue!S33/10^6</f>
        <v>4627.0471748485315</v>
      </c>
      <c r="T88" s="205"/>
    </row>
    <row r="89" spans="1:39">
      <c r="C89" s="1" t="s">
        <v>331</v>
      </c>
      <c r="J89" s="299">
        <f>Revenue!J39*Revenue!J38*Revenue!J40*Revenue!J41/10^6</f>
        <v>2531.199682546177</v>
      </c>
      <c r="K89" s="207">
        <f>Revenue!K39*Revenue!K38*Revenue!K40*Revenue!K41/10^6</f>
        <v>2489.5792945870494</v>
      </c>
      <c r="L89" s="207">
        <f>Revenue!L39*Revenue!L38*Revenue!L40*Revenue!L41/10^6</f>
        <v>1805.807560349926</v>
      </c>
      <c r="M89" s="2994">
        <f>Revenue!M39*Revenue!M38*Revenue!M40*Revenue!M41/10^6</f>
        <v>1811.1780206222245</v>
      </c>
      <c r="N89" s="207">
        <f>Revenue!N39*Revenue!N38*Revenue!N40*Revenue!N41/10^6</f>
        <v>452.39811326330135</v>
      </c>
      <c r="O89" s="207">
        <f t="shared" si="18"/>
        <v>2263.5761338855259</v>
      </c>
      <c r="P89" s="5023">
        <f>Revenue!P39*Revenue!P38*Revenue!P40*Revenue!P41/10^6</f>
        <v>1957.8563224722841</v>
      </c>
      <c r="Q89" s="5023">
        <f>Revenue!Q39*Revenue!Q38*Revenue!Q40*Revenue!Q41/10^6</f>
        <v>2043.9671596713586</v>
      </c>
      <c r="R89" s="5023">
        <f>Revenue!R39*Revenue!R38*Revenue!R40*Revenue!R41/10^6</f>
        <v>2172.0062207064902</v>
      </c>
      <c r="S89" s="5023">
        <f>Revenue!S39*Revenue!S38*Revenue!S40*Revenue!S41/10^6</f>
        <v>2082.7397633560308</v>
      </c>
      <c r="T89" s="205"/>
    </row>
    <row r="90" spans="1:39">
      <c r="C90" s="1" t="s">
        <v>4913</v>
      </c>
      <c r="J90" s="3728"/>
      <c r="K90" s="3729"/>
      <c r="L90" s="3729"/>
      <c r="M90" s="3730"/>
      <c r="N90" s="207">
        <f>IFERROR(Revenue!N46*Revenue!N47*Revenue!N48/10^6,)</f>
        <v>0</v>
      </c>
      <c r="O90" s="207">
        <f t="shared" si="18"/>
        <v>0</v>
      </c>
      <c r="P90" s="5023">
        <f>IFERROR(Revenue!P46*Revenue!P47*Revenue!P48/10^6,)</f>
        <v>0</v>
      </c>
      <c r="Q90" s="5023">
        <f>IFERROR(Revenue!Q46*Revenue!Q47*Revenue!Q48/10^6,)</f>
        <v>0</v>
      </c>
      <c r="R90" s="5023">
        <f>IFERROR(Revenue!R46*Revenue!R47*Revenue!R48/10^6,)</f>
        <v>0</v>
      </c>
      <c r="S90" s="5023">
        <f>IFERROR(Revenue!S46*Revenue!S47*Revenue!S48/10^6,)</f>
        <v>0</v>
      </c>
      <c r="T90" s="205"/>
    </row>
    <row r="91" spans="1:39">
      <c r="C91" s="1" t="s">
        <v>332</v>
      </c>
      <c r="J91" s="299">
        <f>Revenue!J52*Revenue!J53*Revenue!J55*Revenue!J54/10^6</f>
        <v>344.77690843538772</v>
      </c>
      <c r="K91" s="207">
        <f>Revenue!K52*Revenue!K53*Revenue!K55*Revenue!K54/10^6</f>
        <v>582.17344077956659</v>
      </c>
      <c r="L91" s="207">
        <f>Revenue!L52*Revenue!L53*Revenue!L55*Revenue!L54/10^6</f>
        <v>747.15610796220801</v>
      </c>
      <c r="M91" s="2994">
        <f>Revenue!M52*Revenue!M53*Revenue!M55*Revenue!M54/10^6</f>
        <v>551.2159354626865</v>
      </c>
      <c r="N91" s="207">
        <f>Revenue!N52*Revenue!N53*Revenue!N55*Revenue!N54/10^6</f>
        <v>127.4221534218587</v>
      </c>
      <c r="O91" s="207">
        <f t="shared" si="18"/>
        <v>678.63808888454514</v>
      </c>
      <c r="P91" s="5023">
        <f>Revenue!P52*Revenue!P53*Revenue!P55*Revenue!P54/10^6</f>
        <v>537.14510389727945</v>
      </c>
      <c r="Q91" s="5023">
        <f>Revenue!Q52*Revenue!Q53*Revenue!Q55*Revenue!Q54/10^6</f>
        <v>521.73273779489512</v>
      </c>
      <c r="R91" s="5023">
        <f>Revenue!R52*Revenue!R53*Revenue!R55*Revenue!R54/10^6</f>
        <v>451.19360033679584</v>
      </c>
      <c r="S91" s="5023">
        <f>Revenue!S52*Revenue!S53*Revenue!S55*Revenue!S54/10^6</f>
        <v>380.35918767484543</v>
      </c>
      <c r="T91" s="205"/>
    </row>
    <row r="92" spans="1:39">
      <c r="C92" s="1" t="s">
        <v>333</v>
      </c>
      <c r="J92" s="299">
        <f>Revenue!J59*Revenue!J60*Revenue!J61*Revenue!J62/10^6</f>
        <v>50.541668018830528</v>
      </c>
      <c r="K92" s="207">
        <f>Revenue!K59*Revenue!K60*Revenue!K61*Revenue!K62/10^6</f>
        <v>70.618861577075108</v>
      </c>
      <c r="L92" s="207">
        <f>Revenue!L59*Revenue!L60*Revenue!L61*Revenue!L62/10^6</f>
        <v>73.761864326409508</v>
      </c>
      <c r="M92" s="2994">
        <f>Revenue!M59*Revenue!M60*Revenue!M61*Revenue!M62/10^6</f>
        <v>75.234837687747046</v>
      </c>
      <c r="N92" s="207">
        <f>Revenue!N59*Revenue!N60*Revenue!N61*Revenue!N62/10^6</f>
        <v>14.808244899941503</v>
      </c>
      <c r="O92" s="207">
        <f t="shared" si="18"/>
        <v>90.043082587688545</v>
      </c>
      <c r="P92" s="5023">
        <f>Revenue!P59*Revenue!P60*Revenue!P61*Revenue!P62/10^6</f>
        <v>77.139788597524245</v>
      </c>
      <c r="Q92" s="5023">
        <f>Revenue!Q59*Revenue!Q60*Revenue!Q61*Revenue!Q62/10^6</f>
        <v>86.228284935657115</v>
      </c>
      <c r="R92" s="5023">
        <f>Revenue!R59*Revenue!R60*Revenue!R61*Revenue!R62/10^6</f>
        <v>85.508013329236576</v>
      </c>
      <c r="S92" s="5023">
        <f>Revenue!S59*Revenue!S60*Revenue!S61*Revenue!S62/10^6</f>
        <v>87.538521231956935</v>
      </c>
      <c r="T92" s="205"/>
    </row>
    <row r="93" spans="1:39">
      <c r="B93" s="32" t="s">
        <v>6167</v>
      </c>
      <c r="J93" s="396">
        <f>SUM(J95:J100)</f>
        <v>382778.41781120782</v>
      </c>
      <c r="K93" s="112">
        <f t="shared" ref="K93:M93" si="19">SUM(K95:K100)</f>
        <v>360518.87578104762</v>
      </c>
      <c r="L93" s="112">
        <f t="shared" si="19"/>
        <v>336496.41787551332</v>
      </c>
      <c r="M93" s="2995">
        <f t="shared" si="19"/>
        <v>224696.20559214236</v>
      </c>
      <c r="N93" s="112">
        <f t="shared" ref="N93:S93" si="20">SUM(N95:N100)</f>
        <v>85596.572781154391</v>
      </c>
      <c r="O93" s="1933">
        <f>SUM(M93:N93)</f>
        <v>310292.77837329672</v>
      </c>
      <c r="P93" s="5020">
        <f t="shared" si="20"/>
        <v>344839.05730271485</v>
      </c>
      <c r="Q93" s="5020">
        <f t="shared" si="20"/>
        <v>370546.30023644422</v>
      </c>
      <c r="R93" s="5020">
        <f t="shared" si="20"/>
        <v>409630.99911235232</v>
      </c>
      <c r="S93" s="5020">
        <f t="shared" si="20"/>
        <v>428172.32970458869</v>
      </c>
      <c r="T93" s="205"/>
    </row>
    <row r="94" spans="1:39">
      <c r="B94" s="1930" t="s">
        <v>4914</v>
      </c>
      <c r="I94" s="2993">
        <f>AVERAGE(J94:M94)</f>
        <v>0.48054636235675435</v>
      </c>
      <c r="J94" s="398">
        <f>J93/SUM(J$111,J$109,J$101,J$93,J$85)</f>
        <v>0.55416415352300807</v>
      </c>
      <c r="K94" s="399">
        <f>K93/SUM(K$111,K$109,K$101,K$93,K$85)</f>
        <v>0.48203105329079082</v>
      </c>
      <c r="L94" s="399">
        <f>L93/SUM(L$111,L$109,L$101,L$93,L$85)</f>
        <v>0.50448403552216348</v>
      </c>
      <c r="M94" s="2037">
        <f>M93/SUM(M$111,M$109,M$101,M$93,M$85)</f>
        <v>0.38150620709105509</v>
      </c>
      <c r="N94" s="2993">
        <f t="shared" ref="N94:S94" si="21">N93/SUM(N$111,N$109,N$101,N$93,N$85)</f>
        <v>0.41183224416549941</v>
      </c>
      <c r="O94" s="2993">
        <f t="shared" si="21"/>
        <v>0.38941653359774347</v>
      </c>
      <c r="P94" s="5022">
        <f t="shared" si="21"/>
        <v>0.41878465792493597</v>
      </c>
      <c r="Q94" s="5022">
        <f t="shared" si="21"/>
        <v>0.44301929237028309</v>
      </c>
      <c r="R94" s="5022">
        <f t="shared" si="21"/>
        <v>0.47528442488303496</v>
      </c>
      <c r="S94" s="5022">
        <f t="shared" si="21"/>
        <v>0.48831241780708778</v>
      </c>
      <c r="T94" s="205"/>
    </row>
    <row r="95" spans="1:39">
      <c r="C95" s="1" t="s">
        <v>325</v>
      </c>
      <c r="J95" s="299">
        <f>COGS!J35*COGS!J37*COGS!J36/10^6</f>
        <v>348648.70393081318</v>
      </c>
      <c r="K95" s="207">
        <f>COGS!K35*COGS!K37*COGS!K36/10^6</f>
        <v>326046.7463346016</v>
      </c>
      <c r="L95" s="207">
        <f>COGS!L35*COGS!L37*COGS!L36/10^6</f>
        <v>304897.85243053723</v>
      </c>
      <c r="M95" s="2994">
        <f>COGS!M35*COGS!M37*COGS!M36/10^6</f>
        <v>200094.33025962394</v>
      </c>
      <c r="N95" s="207">
        <f>COGS!N35*COGS!N37*COGS!N36/10^6</f>
        <v>77173.117531035867</v>
      </c>
      <c r="O95" s="207">
        <f t="shared" ref="O95:O111" si="22">SUM(M95:N95)</f>
        <v>277267.44779065979</v>
      </c>
      <c r="P95" s="5023">
        <f>COGS!P35*COGS!P37*COGS!P36/10^6</f>
        <v>311700.13227718213</v>
      </c>
      <c r="Q95" s="5023">
        <f>COGS!Q35*COGS!Q37*COGS!Q36/10^6</f>
        <v>337527.2486795446</v>
      </c>
      <c r="R95" s="5023">
        <f>COGS!R35*COGS!R37*COGS!R36/10^6</f>
        <v>377129.73167073494</v>
      </c>
      <c r="S95" s="5023">
        <f>COGS!S35*COGS!S37*COGS!S36/10^6</f>
        <v>395527.58824510704</v>
      </c>
      <c r="T95" s="205"/>
    </row>
    <row r="96" spans="1:39">
      <c r="C96" s="1" t="s">
        <v>330</v>
      </c>
      <c r="J96" s="299">
        <f>COGS!J46*COGS!J48*COGS!J47/10^6</f>
        <v>21146.2243655319</v>
      </c>
      <c r="K96" s="207">
        <f>COGS!K46*COGS!K48*COGS!K47/10^6</f>
        <v>20523.712782416078</v>
      </c>
      <c r="L96" s="207">
        <f>COGS!L46*COGS!L48*COGS!L47/10^6</f>
        <v>19103.062681350395</v>
      </c>
      <c r="M96" s="2994">
        <f>COGS!M46*COGS!M48*COGS!M47/10^6</f>
        <v>14618.171439135776</v>
      </c>
      <c r="N96" s="207">
        <f>COGS!N46*COGS!N48*COGS!N47/10^6</f>
        <v>5092.167876185038</v>
      </c>
      <c r="O96" s="207">
        <f t="shared" si="22"/>
        <v>19710.339315320816</v>
      </c>
      <c r="P96" s="5023">
        <f>COGS!P46*COGS!P48*COGS!P47/10^6</f>
        <v>21326.36255667072</v>
      </c>
      <c r="Q96" s="5023">
        <f>COGS!Q46*COGS!Q48*COGS!Q47/10^6</f>
        <v>21259.515338350804</v>
      </c>
      <c r="R96" s="5023">
        <f>COGS!R46*COGS!R48*COGS!R47/10^6</f>
        <v>20889.633294171097</v>
      </c>
      <c r="S96" s="5023">
        <f>COGS!S46*COGS!S48*COGS!S47/10^6</f>
        <v>21005.718172760302</v>
      </c>
      <c r="T96" s="205"/>
    </row>
    <row r="97" spans="2:20">
      <c r="C97" s="1" t="s">
        <v>331</v>
      </c>
      <c r="J97" s="299">
        <f>COGS!J57*COGS!J59*COGS!J58/10^6</f>
        <v>11622.913331745394</v>
      </c>
      <c r="K97" s="207">
        <f>COGS!K57*COGS!K59*COGS!K58/10^6</f>
        <v>12082.05605146884</v>
      </c>
      <c r="L97" s="207">
        <f>COGS!L57*COGS!L59*COGS!L58/10^6</f>
        <v>10672.962813039669</v>
      </c>
      <c r="M97" s="2994">
        <f>COGS!M57*COGS!M59*COGS!M58/10^6</f>
        <v>8583.2316611435963</v>
      </c>
      <c r="N97" s="207">
        <f>COGS!N57*COGS!N59*COGS!N58/10^6</f>
        <v>2780.6613257570261</v>
      </c>
      <c r="O97" s="207">
        <f t="shared" si="22"/>
        <v>11363.892986900622</v>
      </c>
      <c r="P97" s="5023">
        <f>COGS!P57*COGS!P59*COGS!P58/10^6</f>
        <v>9696.9183622626188</v>
      </c>
      <c r="Q97" s="5023">
        <f>COGS!Q57*COGS!Q59*COGS!Q58/10^6</f>
        <v>9845.2022998204538</v>
      </c>
      <c r="R97" s="5023">
        <f>COGS!R57*COGS!R59*COGS!R58/10^6</f>
        <v>9777.1688083535737</v>
      </c>
      <c r="S97" s="5023">
        <f>COGS!S57*COGS!S59*COGS!S58/10^6</f>
        <v>9696.3362316902694</v>
      </c>
      <c r="T97" s="205"/>
    </row>
    <row r="98" spans="2:20">
      <c r="C98" s="1" t="s">
        <v>6171</v>
      </c>
      <c r="J98" s="3728"/>
      <c r="K98" s="3729"/>
      <c r="L98" s="3729"/>
      <c r="M98" s="3730"/>
      <c r="N98" s="207">
        <f>(COGS!N68*COGS!N70*COGS!N69/10^6)</f>
        <v>0</v>
      </c>
      <c r="O98" s="207">
        <f t="shared" si="22"/>
        <v>0</v>
      </c>
      <c r="P98" s="5023">
        <f>(COGS!P68*COGS!P70*COGS!P69/10^6)</f>
        <v>0</v>
      </c>
      <c r="Q98" s="5023">
        <f>(COGS!Q68*COGS!Q70*COGS!Q69/10^6)</f>
        <v>0</v>
      </c>
      <c r="R98" s="5023">
        <f>(COGS!R68*COGS!R70*COGS!R69/10^6)</f>
        <v>0</v>
      </c>
      <c r="S98" s="5023">
        <f>(COGS!S68*COGS!S70*COGS!S69/10^6)</f>
        <v>0</v>
      </c>
      <c r="T98" s="205"/>
    </row>
    <row r="99" spans="2:20">
      <c r="C99" s="1" t="s">
        <v>332</v>
      </c>
      <c r="J99" s="299">
        <f>COGS!J79*COGS!J81*COGS!J80/10^6</f>
        <v>1311.8568246301656</v>
      </c>
      <c r="K99" s="207">
        <f>COGS!K79*COGS!K81*COGS!K80/10^6</f>
        <v>1798.9796547990779</v>
      </c>
      <c r="L99" s="207">
        <f>COGS!L79*COGS!L81*COGS!L80/10^6</f>
        <v>1766.50043813105</v>
      </c>
      <c r="M99" s="2994">
        <f>COGS!M79*COGS!M81*COGS!M80/10^6</f>
        <v>1349.1954435391076</v>
      </c>
      <c r="N99" s="207">
        <f>COGS!N79*COGS!N81*COGS!N80/10^6</f>
        <v>535.99200114399514</v>
      </c>
      <c r="O99" s="207">
        <f t="shared" si="22"/>
        <v>1885.1874446831027</v>
      </c>
      <c r="P99" s="5023">
        <f>COGS!P79*COGS!P81*COGS!P80/10^6</f>
        <v>2035.9625151677794</v>
      </c>
      <c r="Q99" s="5023">
        <f>COGS!Q79*COGS!Q81*COGS!Q80/10^6</f>
        <v>1822.5322053980947</v>
      </c>
      <c r="R99" s="5023">
        <f>COGS!R79*COGS!R81*COGS!R80/10^6</f>
        <v>1745.8004009126339</v>
      </c>
      <c r="S99" s="5023">
        <f>COGS!S79*COGS!S81*COGS!S80/10^6</f>
        <v>1856.6368899709685</v>
      </c>
      <c r="T99" s="205"/>
    </row>
    <row r="100" spans="2:20">
      <c r="C100" s="1" t="s">
        <v>333</v>
      </c>
      <c r="J100" s="299">
        <f>COGS!J90*COGS!J92*COGS!J91/10^6</f>
        <v>48.719358487207522</v>
      </c>
      <c r="K100" s="207">
        <f>COGS!K90*COGS!K92*COGS!K91/10^6</f>
        <v>67.380957762000023</v>
      </c>
      <c r="L100" s="207">
        <f>COGS!L90*COGS!L92*COGS!L91/10^6</f>
        <v>56.039512455000008</v>
      </c>
      <c r="M100" s="2994">
        <f>COGS!M90*COGS!M92*COGS!M91/10^6</f>
        <v>51.276788699966652</v>
      </c>
      <c r="N100" s="207">
        <f>COGS!N90*COGS!N92*COGS!N91/10^6</f>
        <v>14.634047032462016</v>
      </c>
      <c r="O100" s="207">
        <f t="shared" si="22"/>
        <v>65.910835732428666</v>
      </c>
      <c r="P100" s="5023">
        <f>COGS!P90*COGS!P92*COGS!P91/10^6</f>
        <v>79.681591431589496</v>
      </c>
      <c r="Q100" s="5023">
        <f>COGS!Q90*COGS!Q92*COGS!Q91/10^6</f>
        <v>91.801713330302832</v>
      </c>
      <c r="R100" s="5023">
        <f>COGS!R90*COGS!R92*COGS!R91/10^6</f>
        <v>88.664938180068958</v>
      </c>
      <c r="S100" s="5023">
        <f>COGS!S90*COGS!S92*COGS!S91/10^6</f>
        <v>86.05016506013142</v>
      </c>
      <c r="T100" s="205"/>
    </row>
    <row r="101" spans="2:20">
      <c r="B101" s="32" t="s">
        <v>6168</v>
      </c>
      <c r="J101" s="2519">
        <f>SUM(J103:J108)</f>
        <v>127636.20210480996</v>
      </c>
      <c r="K101" s="1933">
        <f t="shared" ref="K101:M101" si="23">SUM(K103:K108)</f>
        <v>132189.20777861596</v>
      </c>
      <c r="L101" s="1933">
        <f t="shared" si="23"/>
        <v>159435.33743439429</v>
      </c>
      <c r="M101" s="2995">
        <f t="shared" si="23"/>
        <v>147156.17559467407</v>
      </c>
      <c r="N101" s="1933">
        <f t="shared" ref="N101:S101" si="24">SUM(N103:N108)</f>
        <v>54106.333789733158</v>
      </c>
      <c r="O101" s="1933">
        <f t="shared" si="22"/>
        <v>201262.50938440723</v>
      </c>
      <c r="P101" s="5024">
        <f t="shared" si="24"/>
        <v>202351.68700060158</v>
      </c>
      <c r="Q101" s="5024">
        <f t="shared" si="24"/>
        <v>198643.78781812801</v>
      </c>
      <c r="R101" s="5024">
        <f t="shared" si="24"/>
        <v>184300.01270268857</v>
      </c>
      <c r="S101" s="5024">
        <f t="shared" si="24"/>
        <v>179894.20467930465</v>
      </c>
      <c r="T101" s="205"/>
    </row>
    <row r="102" spans="2:20">
      <c r="B102" s="1930" t="s">
        <v>4914</v>
      </c>
      <c r="I102" s="2993">
        <f>AVERAGE(J102:M102)</f>
        <v>0.21260248695283654</v>
      </c>
      <c r="J102" s="398">
        <f>J101/SUM(J$111,J$109,J$101,J$93,J$85)</f>
        <v>0.1847842109352921</v>
      </c>
      <c r="K102" s="399">
        <f>K101/SUM(K$111,K$109,K$101,K$93,K$85)</f>
        <v>0.17674332008596361</v>
      </c>
      <c r="L102" s="399">
        <f>L101/SUM(L$111,L$109,L$101,L$93,L$85)</f>
        <v>0.23902953541543218</v>
      </c>
      <c r="M102" s="2037">
        <f>M101/SUM(M$111,M$109,M$101,M$93,M$85)</f>
        <v>0.24985288137465836</v>
      </c>
      <c r="N102" s="2992">
        <f t="shared" ref="N102:S102" si="25">N101/SUM(N$111,N$109,N$101,N$93,N$85)</f>
        <v>0.26032272255997774</v>
      </c>
      <c r="O102" s="2992">
        <f t="shared" si="25"/>
        <v>0.25258386340326117</v>
      </c>
      <c r="P102" s="5025">
        <f t="shared" si="25"/>
        <v>0.24574299293101995</v>
      </c>
      <c r="Q102" s="5025">
        <f t="shared" si="25"/>
        <v>0.23749536901808307</v>
      </c>
      <c r="R102" s="5025">
        <f t="shared" si="25"/>
        <v>0.21383861507831861</v>
      </c>
      <c r="S102" s="5025">
        <f t="shared" si="25"/>
        <v>0.20516172564687091</v>
      </c>
      <c r="T102" s="205"/>
    </row>
    <row r="103" spans="2:20">
      <c r="C103" s="1" t="s">
        <v>325</v>
      </c>
      <c r="J103" s="299">
        <f>(COGS!J38-COGS!J37)*COGS!J34*COGS!J36/10^6</f>
        <v>36948.03497679533</v>
      </c>
      <c r="K103" s="207">
        <f>(COGS!K38-COGS!K37)*COGS!K34*COGS!K36/10^6</f>
        <v>35178.143048168356</v>
      </c>
      <c r="L103" s="207">
        <f>(COGS!L38-COGS!L37)*COGS!L34*COGS!L36/10^6</f>
        <v>53240.284600298022</v>
      </c>
      <c r="M103" s="2994">
        <f>(COGS!M38-COGS!M37)*COGS!M34*COGS!M36/10^6</f>
        <v>44493.224291744133</v>
      </c>
      <c r="N103" s="207">
        <f>(COGS!N38-COGS!N37)*COGS!N34*COGS!N36/10^6</f>
        <v>18736.798330248446</v>
      </c>
      <c r="O103" s="207">
        <f t="shared" si="22"/>
        <v>63230.022621992583</v>
      </c>
      <c r="P103" s="5023">
        <f>(COGS!P38-COGS!P37)*COGS!P34*COGS!P36/10^6</f>
        <v>69620.477304707994</v>
      </c>
      <c r="Q103" s="5023">
        <f>(COGS!Q38-COGS!Q37)*COGS!Q34*COGS!Q36/10^6</f>
        <v>68401.917338055151</v>
      </c>
      <c r="R103" s="5023">
        <f>(COGS!R38-COGS!R37)*COGS!R34*COGS!R36/10^6</f>
        <v>65068.528398699083</v>
      </c>
      <c r="S103" s="5023">
        <f>(COGS!S38-COGS!S37)*COGS!S34*COGS!S36/10^6</f>
        <v>64623.706612411195</v>
      </c>
      <c r="T103" s="205"/>
    </row>
    <row r="104" spans="2:20">
      <c r="C104" s="1" t="s">
        <v>330</v>
      </c>
      <c r="J104" s="299">
        <f>(COGS!J49-COGS!J48)*COGS!J45*COGS!J47/10^6</f>
        <v>57998.999736331396</v>
      </c>
      <c r="K104" s="207">
        <f>(COGS!K49-COGS!K48)*COGS!K45*COGS!K47/10^6</f>
        <v>73057.505644542631</v>
      </c>
      <c r="L104" s="207">
        <f>(COGS!L49-COGS!L48)*COGS!L45*COGS!L47/10^6</f>
        <v>60046.498744287797</v>
      </c>
      <c r="M104" s="2994">
        <f>(COGS!M49-COGS!M48)*COGS!M45*COGS!M47/10^6</f>
        <v>47453.382684657903</v>
      </c>
      <c r="N104" s="207">
        <f>(COGS!N49-COGS!N48)*COGS!N45*COGS!N47/10^6</f>
        <v>16874.957741537084</v>
      </c>
      <c r="O104" s="207">
        <f t="shared" si="22"/>
        <v>64328.340426194991</v>
      </c>
      <c r="P104" s="5023">
        <f>(COGS!P49-COGS!P48)*COGS!P45*COGS!P47/10^6</f>
        <v>71961.933378368165</v>
      </c>
      <c r="Q104" s="5023">
        <f>(COGS!Q49-COGS!Q48)*COGS!Q45*COGS!Q47/10^6</f>
        <v>70107.774059729854</v>
      </c>
      <c r="R104" s="5023">
        <f>(COGS!R49-COGS!R48)*COGS!R45*COGS!R47/10^6</f>
        <v>65434.488476369414</v>
      </c>
      <c r="S104" s="5023">
        <f>(COGS!S49-COGS!S48)*COGS!S45*COGS!S47/10^6</f>
        <v>67227.130180008229</v>
      </c>
      <c r="T104" s="205"/>
    </row>
    <row r="105" spans="2:20">
      <c r="C105" s="1" t="s">
        <v>331</v>
      </c>
      <c r="J105" s="299">
        <f>(COGS!J60-COGS!J59)*COGS!J56*COGS!J58/10^6</f>
        <v>21497.579702812713</v>
      </c>
      <c r="K105" s="207">
        <f>(COGS!K60-COGS!K59)*COGS!K56*COGS!K58/10^6</f>
        <v>3405.8285994105563</v>
      </c>
      <c r="L105" s="207">
        <f>(COGS!L60-COGS!L59)*COGS!L56*COGS!L58/10^6</f>
        <v>-1752.4217312189869</v>
      </c>
      <c r="M105" s="2994">
        <f>(COGS!M60-COGS!M59)*COGS!M56*COGS!M58/10^6</f>
        <v>11178.288278762879</v>
      </c>
      <c r="N105" s="207">
        <f>(COGS!N60-COGS!N59)*COGS!N56*COGS!N58/10^6</f>
        <v>3447.5551370570465</v>
      </c>
      <c r="O105" s="207">
        <f t="shared" si="22"/>
        <v>14625.843415819925</v>
      </c>
      <c r="P105" s="5023">
        <f>(COGS!P60-COGS!P59)*COGS!P56*COGS!P58/10^6</f>
        <v>11793.882093014376</v>
      </c>
      <c r="Q105" s="5023">
        <f>(COGS!Q60-COGS!Q59)*COGS!Q56*COGS!Q58/10^6</f>
        <v>11726.288597461085</v>
      </c>
      <c r="R105" s="5023">
        <f>(COGS!R60-COGS!R59)*COGS!R56*COGS!R58/10^6</f>
        <v>11377.299433272252</v>
      </c>
      <c r="S105" s="5023">
        <f>(COGS!S60-COGS!S59)*COGS!S56*COGS!S58/10^6</f>
        <v>10852.305742653272</v>
      </c>
    </row>
    <row r="106" spans="2:20">
      <c r="C106" s="1" t="s">
        <v>4913</v>
      </c>
      <c r="J106" s="299">
        <f>(COGS!J71-COGS!J70)*COGS!J67*COGS!J69/10^6</f>
        <v>0</v>
      </c>
      <c r="K106" s="207">
        <f>(COGS!K71-COGS!K70)*COGS!K67*COGS!K69/10^6</f>
        <v>0</v>
      </c>
      <c r="L106" s="207">
        <f>(COGS!L71-COGS!L70)*COGS!L67*COGS!L69/10^6</f>
        <v>0</v>
      </c>
      <c r="M106" s="2994">
        <f>(COGS!M71-COGS!M70)*COGS!M67*COGS!M69/10^6</f>
        <v>0</v>
      </c>
      <c r="N106" s="207">
        <f>(COGS!N71-COGS!N70)*COGS!N67*COGS!N69/10^6</f>
        <v>0</v>
      </c>
      <c r="O106" s="207">
        <f t="shared" si="22"/>
        <v>0</v>
      </c>
      <c r="P106" s="5023">
        <f>(COGS!P71-COGS!P70)*COGS!P67*COGS!P69/10^6</f>
        <v>0</v>
      </c>
      <c r="Q106" s="5023">
        <f>(COGS!Q71-COGS!Q70)*COGS!Q67*COGS!Q69/10^6</f>
        <v>0</v>
      </c>
      <c r="R106" s="5023">
        <f>(COGS!R71-COGS!R70)*COGS!R67*COGS!R69/10^6</f>
        <v>0</v>
      </c>
      <c r="S106" s="5023">
        <f>(COGS!S71-COGS!S70)*COGS!S67*COGS!S69/10^6</f>
        <v>0</v>
      </c>
    </row>
    <row r="107" spans="2:20">
      <c r="C107" s="1" t="s">
        <v>332</v>
      </c>
      <c r="J107" s="299">
        <f>(COGS!J82-COGS!J81)*COGS!J78*COGS!J80/10^6</f>
        <v>7785.592305008473</v>
      </c>
      <c r="K107" s="207">
        <f>(COGS!K82-COGS!K81)*COGS!K78*COGS!K80/10^6</f>
        <v>18403.21974869362</v>
      </c>
      <c r="L107" s="207">
        <f>(COGS!L82-COGS!L81)*COGS!L78*COGS!L80/10^6</f>
        <v>44669.916903841775</v>
      </c>
      <c r="M107" s="2994">
        <f>(COGS!M82-COGS!M81)*COGS!M78*COGS!M80/10^6</f>
        <v>42217.676860017789</v>
      </c>
      <c r="N107" s="207">
        <f>(COGS!N82-COGS!N81)*COGS!N78*COGS!N80/10^6</f>
        <v>14501.111795173872</v>
      </c>
      <c r="O107" s="207">
        <f t="shared" si="22"/>
        <v>56718.78865519166</v>
      </c>
      <c r="P107" s="5023">
        <f>(COGS!P82-COGS!P81)*COGS!P78*COGS!P80/10^6</f>
        <v>44836.759974628141</v>
      </c>
      <c r="Q107" s="5023">
        <f>(COGS!Q82-COGS!Q81)*COGS!Q78*COGS!Q80/10^6</f>
        <v>43550.253675753149</v>
      </c>
      <c r="R107" s="5023">
        <f>(COGS!R82-COGS!R81)*COGS!R78*COGS!R80/10^6</f>
        <v>37662.186648652576</v>
      </c>
      <c r="S107" s="5023">
        <f>(COGS!S82-COGS!S81)*COGS!S78*COGS!S80/10^6</f>
        <v>32487.832129796592</v>
      </c>
    </row>
    <row r="108" spans="2:20">
      <c r="C108" s="1" t="s">
        <v>333</v>
      </c>
      <c r="J108" s="299">
        <f>(COGS!J93-COGS!J92)*COGS!J91*COGS!J89/10^6</f>
        <v>3405.9953838620559</v>
      </c>
      <c r="K108" s="207">
        <f>(COGS!K93-COGS!K92)*COGS!K91*COGS!K89/10^6</f>
        <v>2144.5107378008083</v>
      </c>
      <c r="L108" s="207">
        <f>(COGS!L93-COGS!L92)*COGS!L91*COGS!L89/10^6</f>
        <v>3231.0589171856595</v>
      </c>
      <c r="M108" s="2994">
        <f>(COGS!M93-COGS!M92)*COGS!M91*COGS!M89/10^6</f>
        <v>1813.6034794913576</v>
      </c>
      <c r="N108" s="207">
        <f>(COGS!N93-COGS!N92)*COGS!N91*COGS!N89/10^6</f>
        <v>545.91078571671062</v>
      </c>
      <c r="O108" s="207">
        <f t="shared" si="22"/>
        <v>2359.5142652080681</v>
      </c>
      <c r="P108" s="5023">
        <f>(COGS!P93-COGS!P92)*COGS!P91*COGS!P89/10^6</f>
        <v>4138.6342498829054</v>
      </c>
      <c r="Q108" s="5023">
        <f>(COGS!Q93-COGS!Q92)*COGS!Q91*COGS!Q89/10^6</f>
        <v>4857.5541471287806</v>
      </c>
      <c r="R108" s="5023">
        <f>(COGS!R93-COGS!R92)*COGS!R91*COGS!R89/10^6</f>
        <v>4757.509745695259</v>
      </c>
      <c r="S108" s="5023">
        <f>(COGS!S93-COGS!S92)*COGS!S91*COGS!S89/10^6</f>
        <v>4703.2300144353521</v>
      </c>
    </row>
    <row r="109" spans="2:20">
      <c r="B109" s="32" t="s">
        <v>6170</v>
      </c>
      <c r="J109" s="2519">
        <f>SUM(Revenue!J21,Revenue!J28,Revenue!J35,Revenue!J42,Revenue!J49,Revenue!J56)-SUM(COGS!J31,COGS!J42,COGS!J53,COGS!J64,COGS!J75,COGS!J86)-J85-J93-J101</f>
        <v>-15900.717593847628</v>
      </c>
      <c r="K109" s="1933">
        <f>SUM(Revenue!K21,Revenue!K28,Revenue!K35,Revenue!K42,Revenue!K49,Revenue!K56)-SUM(COGS!K31,COGS!K42,COGS!K53,COGS!K64,COGS!K75,COGS!K86)-K85-K93-K101</f>
        <v>35598.974801952514</v>
      </c>
      <c r="L109" s="1933">
        <f>SUM(Revenue!L21,Revenue!L28,Revenue!L35,Revenue!L42,Revenue!L49,Revenue!L56)-SUM(COGS!L31,COGS!L42,COGS!L53,COGS!L64,COGS!L75,COGS!L86)-L85-L93-L101</f>
        <v>-15078.107010867039</v>
      </c>
      <c r="M109" s="2995">
        <f>SUM(Revenue!M21,Revenue!M28,Revenue!M35,Revenue!M42,Revenue!M49,Revenue!M56)-SUM(COGS!M31,COGS!M42,COGS!M53,COGS!M64,COGS!M75,COGS!M86)-M85-M93-M101</f>
        <v>48853.749188137648</v>
      </c>
      <c r="N109" s="1933">
        <f>SUM(Revenue!N21,Revenue!N28,Revenue!N35,Revenue!N42,Revenue!N49,Revenue!N56)-SUM(COGS!N31,COGS!N42,COGS!N53,COGS!N64,COGS!N75,COGS!N86)-N85-N93-N101</f>
        <v>-2.6921043172478676E-10</v>
      </c>
      <c r="O109" s="1933">
        <f t="shared" si="22"/>
        <v>48853.749188137379</v>
      </c>
      <c r="P109" s="5024">
        <f>SUM(Revenue!P21,Revenue!P28,Revenue!P35,Revenue!P42,Revenue!P49,Revenue!P56)-SUM(COGS!P31,COGS!P42,COGS!P53,COGS!P64,COGS!P75,COGS!P86)-P85-P93-P101</f>
        <v>-2.4156179279088974E-9</v>
      </c>
      <c r="Q109" s="5024">
        <f>SUM(Revenue!Q21,Revenue!Q28,Revenue!Q35,Revenue!Q42,Revenue!Q49,Revenue!Q56)-SUM(COGS!Q31,COGS!Q42,COGS!Q53,COGS!Q64,COGS!Q75,COGS!Q86)-Q85-Q93-Q101</f>
        <v>1.3969838619232178E-9</v>
      </c>
      <c r="R109" s="5024">
        <f>SUM(Revenue!R21,Revenue!R28,Revenue!R35,Revenue!R42,Revenue!R49,Revenue!R56)-SUM(COGS!R31,COGS!R42,COGS!R53,COGS!R64,COGS!R75,COGS!R86)-R85-R93-R101</f>
        <v>-1.9208528101444244E-9</v>
      </c>
      <c r="S109" s="5024">
        <f>SUM(Revenue!S21,Revenue!S28,Revenue!S35,Revenue!S42,Revenue!S49,Revenue!S56)-SUM(COGS!S31,COGS!S42,COGS!S53,COGS!S64,COGS!S75,COGS!S86)-S85-S93-S101</f>
        <v>1.4260876923799515E-9</v>
      </c>
    </row>
    <row r="110" spans="2:20">
      <c r="B110" s="32" t="s">
        <v>2702</v>
      </c>
      <c r="J110" s="398">
        <f>J109/SUM(J$111,J$109,J$101,J$93,J$85)</f>
        <v>-2.3020126777756299E-2</v>
      </c>
      <c r="K110" s="399">
        <f>K109/SUM(K$111,K$109,K$101,K$93,K$85)</f>
        <v>4.7597539193146396E-2</v>
      </c>
      <c r="L110" s="399">
        <f>L109/SUM(L$111,L$109,L$101,L$93,L$85)</f>
        <v>-2.2605483650917527E-2</v>
      </c>
      <c r="M110" s="2037">
        <f>M109/SUM(M$111,M$109,M$101,M$93,M$85)</f>
        <v>8.2947589194162508E-2</v>
      </c>
      <c r="N110" s="399">
        <f t="shared" ref="N110:S110" si="26">N109/SUM(N$111,N$109,N$101,N$93,N$85)</f>
        <v>-1.295256721708276E-15</v>
      </c>
      <c r="O110" s="399">
        <f t="shared" si="26"/>
        <v>6.1311313018090029E-2</v>
      </c>
      <c r="P110" s="4912">
        <f t="shared" si="26"/>
        <v>-2.9336112200556866E-15</v>
      </c>
      <c r="Q110" s="4912">
        <f t="shared" si="26"/>
        <v>1.670211796925289E-15</v>
      </c>
      <c r="R110" s="4912">
        <f t="shared" si="26"/>
        <v>-2.2287166379809376E-15</v>
      </c>
      <c r="S110" s="4912">
        <f t="shared" si="26"/>
        <v>1.6263926479122071E-15</v>
      </c>
    </row>
    <row r="111" spans="2:20">
      <c r="B111" s="32" t="s">
        <v>6169</v>
      </c>
      <c r="J111" s="2519">
        <f>Revenue!J20-COGS!J30-J85-J93-J101-J109</f>
        <v>141177.27032099949</v>
      </c>
      <c r="K111" s="1933">
        <f>Revenue!K20-COGS!K30-K85-K93-K101-K109</f>
        <v>153839.21680300031</v>
      </c>
      <c r="L111" s="1933">
        <f>Revenue!L20-COGS!L30-L85-L93-L101-L109</f>
        <v>125180.13701700041</v>
      </c>
      <c r="M111" s="2995">
        <f>Revenue!M20-COGS!M30-M85-M93-M101-M109</f>
        <v>126670.13953299914</v>
      </c>
      <c r="N111" s="1933">
        <f>Revenue!N20-COGS!N30-N85-N93-N101-N109</f>
        <v>52620.151782939676</v>
      </c>
      <c r="O111" s="1933">
        <f t="shared" si="22"/>
        <v>179290.29131593881</v>
      </c>
      <c r="P111" s="5024">
        <f>Revenue!P20-COGS!P30-P85-P93-P101-P109</f>
        <v>208339.87073842995</v>
      </c>
      <c r="Q111" s="5024">
        <f>Revenue!Q20-COGS!Q30-Q85-Q93-Q101-Q109</f>
        <v>202456.1409689635</v>
      </c>
      <c r="R111" s="5024">
        <f>Revenue!R20-COGS!R30-R85-R93-R101-R109</f>
        <v>205388.85594159085</v>
      </c>
      <c r="S111" s="5024">
        <f>Revenue!S20-COGS!S30-S85-S93-S101-S109</f>
        <v>206541.83602694329</v>
      </c>
    </row>
    <row r="112" spans="2:20">
      <c r="B112" s="67" t="s">
        <v>360</v>
      </c>
      <c r="C112" s="68"/>
      <c r="D112" s="68"/>
      <c r="E112" s="68"/>
      <c r="F112" s="68"/>
      <c r="G112" s="68"/>
      <c r="H112" s="68"/>
      <c r="I112" s="68"/>
      <c r="J112" s="228">
        <f>J111/SUM(J$111,J$109,J$101,J$93,J$85)</f>
        <v>0.20438817567481682</v>
      </c>
      <c r="K112" s="229">
        <f>K111/SUM(K$111,K$109,K$101,K$93,K$85)</f>
        <v>0.20569042204052854</v>
      </c>
      <c r="L112" s="229">
        <f>L111/SUM(L$111,L$109,L$101,L$93,L$85)</f>
        <v>0.18767326287828878</v>
      </c>
      <c r="M112" s="2165">
        <f>M111/SUM(M$111,M$109,M$101,M$93,M$85)</f>
        <v>0.21507014040391592</v>
      </c>
      <c r="N112" s="229">
        <f t="shared" ref="N112:S112" si="27">N111/SUM(N$111,N$109,N$101,N$93,N$85)</f>
        <v>0.2531722298333472</v>
      </c>
      <c r="O112" s="229">
        <f t="shared" si="27"/>
        <v>0.2250087936883515</v>
      </c>
      <c r="P112" s="4913">
        <f t="shared" si="27"/>
        <v>0.25301525349759696</v>
      </c>
      <c r="Q112" s="4913">
        <f t="shared" si="27"/>
        <v>0.24205335811167558</v>
      </c>
      <c r="R112" s="4913">
        <f t="shared" si="27"/>
        <v>0.23830746326600427</v>
      </c>
      <c r="S112" s="4913">
        <f t="shared" si="27"/>
        <v>0.23555222122414249</v>
      </c>
    </row>
  </sheetData>
  <phoneticPr fontId="1" type="noConversion"/>
  <conditionalFormatting sqref="K7:O7 K84:O84">
    <cfRule type="cellIs" dxfId="974" priority="11" operator="equal">
      <formula>"X"</formula>
    </cfRule>
    <cfRule type="cellIs" dxfId="973" priority="12" operator="equal">
      <formula>"O"</formula>
    </cfRule>
    <cfRule type="cellIs" dxfId="972" priority="13" operator="equal">
      <formula>"미정"</formula>
    </cfRule>
    <cfRule type="cellIs" dxfId="971" priority="14" operator="equal">
      <formula>"예정"</formula>
    </cfRule>
    <cfRule type="cellIs" dxfId="970" priority="15" operator="equal">
      <formula>"확정"</formula>
    </cfRule>
  </conditionalFormatting>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AB189"/>
  <sheetViews>
    <sheetView workbookViewId="0">
      <pane xSplit="9" ySplit="7" topLeftCell="J150" activePane="bottomRight" state="frozen"/>
      <selection pane="topRight" activeCell="J1" sqref="J1"/>
      <selection pane="bottomLeft" activeCell="A8" sqref="A8"/>
      <selection pane="bottomRight" activeCell="Q132" sqref="Q132"/>
    </sheetView>
  </sheetViews>
  <sheetFormatPr defaultRowHeight="12" customHeight="1" outlineLevelCol="1"/>
  <cols>
    <col min="1" max="1" width="4.625" style="3" customWidth="1"/>
    <col min="2" max="5" width="1.625" style="3" customWidth="1"/>
    <col min="6" max="9" width="9" style="3"/>
    <col min="10" max="12" width="9" style="3" customWidth="1"/>
    <col min="13" max="14" width="9" style="3" customWidth="1" outlineLevel="1"/>
    <col min="15" max="19" width="9" style="3" customWidth="1"/>
    <col min="20" max="20" width="9" style="3"/>
  </cols>
  <sheetData>
    <row r="1" spans="1:25" ht="12" customHeight="1">
      <c r="A1" s="2" t="str">
        <f ca="1">MID(CELL("filename",A1),FIND("]",CELL("filename",A1))+1,255)</f>
        <v>Revenue</v>
      </c>
      <c r="B1" s="2"/>
      <c r="C1" s="2"/>
      <c r="D1" s="2"/>
      <c r="E1" s="2"/>
      <c r="F1" s="2"/>
      <c r="G1" s="2"/>
      <c r="H1" s="2"/>
      <c r="I1" s="2"/>
      <c r="J1" s="2"/>
      <c r="K1" s="2"/>
      <c r="L1" s="2"/>
      <c r="M1" s="2"/>
      <c r="N1" s="2"/>
      <c r="O1" s="2"/>
      <c r="P1" s="2"/>
      <c r="Q1" s="2"/>
      <c r="R1" s="2"/>
      <c r="S1" s="2"/>
      <c r="T1" s="2"/>
    </row>
    <row r="4" spans="1:25" ht="12" customHeight="1">
      <c r="A4" s="20" t="s">
        <v>21</v>
      </c>
      <c r="B4" s="21" t="s">
        <v>22</v>
      </c>
      <c r="C4" s="102"/>
      <c r="D4" s="102"/>
      <c r="E4" s="102"/>
      <c r="F4" s="102"/>
      <c r="G4" s="102"/>
      <c r="H4" s="102"/>
      <c r="I4" s="102"/>
      <c r="J4" s="102"/>
      <c r="K4" s="102"/>
      <c r="L4" s="102"/>
      <c r="M4" s="102"/>
      <c r="N4" s="102"/>
      <c r="O4" s="102"/>
      <c r="P4" s="102"/>
      <c r="Q4" s="102"/>
      <c r="R4" s="102"/>
      <c r="S4" s="102"/>
      <c r="T4" s="102"/>
    </row>
    <row r="5" spans="1:25" ht="12" customHeight="1">
      <c r="J5" s="268"/>
      <c r="K5" s="268"/>
      <c r="O5" s="105"/>
    </row>
    <row r="6" spans="1:25" ht="12" customHeight="1">
      <c r="B6" s="24"/>
      <c r="C6" s="24"/>
      <c r="D6" s="24"/>
      <c r="E6" s="24"/>
      <c r="F6" s="24"/>
      <c r="G6" s="24"/>
      <c r="H6" s="24"/>
      <c r="I6" s="24"/>
      <c r="J6" s="25" t="s">
        <v>23</v>
      </c>
      <c r="K6" s="26"/>
      <c r="L6" s="26"/>
      <c r="M6" s="27"/>
      <c r="N6" s="26" t="s">
        <v>24</v>
      </c>
      <c r="O6" s="26"/>
      <c r="P6" s="26"/>
      <c r="Q6" s="26"/>
      <c r="R6" s="26"/>
      <c r="S6" s="26"/>
      <c r="T6" s="26"/>
    </row>
    <row r="7" spans="1:25" ht="12" customHeight="1">
      <c r="B7" s="28"/>
      <c r="C7" s="28"/>
      <c r="D7" s="28"/>
      <c r="E7" s="28"/>
      <c r="F7" s="28"/>
      <c r="G7" s="28"/>
      <c r="H7" s="1949" t="s">
        <v>2889</v>
      </c>
      <c r="I7" s="28"/>
      <c r="J7" s="29" t="s">
        <v>69</v>
      </c>
      <c r="K7" s="30" t="s">
        <v>27</v>
      </c>
      <c r="L7" s="108" t="s">
        <v>60</v>
      </c>
      <c r="M7" s="5073" t="s">
        <v>5103</v>
      </c>
      <c r="N7" s="5074" t="s">
        <v>5173</v>
      </c>
      <c r="O7" s="30" t="s">
        <v>70</v>
      </c>
      <c r="P7" s="30" t="s">
        <v>71</v>
      </c>
      <c r="Q7" s="30" t="s">
        <v>72</v>
      </c>
      <c r="R7" s="30" t="s">
        <v>73</v>
      </c>
      <c r="S7" s="30" t="s">
        <v>74</v>
      </c>
      <c r="T7" s="30" t="s">
        <v>5102</v>
      </c>
    </row>
    <row r="8" spans="1:25" ht="12" customHeight="1">
      <c r="A8" s="32"/>
      <c r="B8" s="33" t="s">
        <v>29</v>
      </c>
      <c r="C8" s="33"/>
      <c r="D8" s="33"/>
      <c r="E8" s="33"/>
      <c r="F8" s="33"/>
      <c r="G8" s="33"/>
      <c r="H8" s="33"/>
      <c r="I8" s="33"/>
      <c r="J8" s="396">
        <f t="shared" ref="J8:S8" si="0">J9+J11-J13</f>
        <v>7448913.7123100003</v>
      </c>
      <c r="K8" s="103">
        <f t="shared" si="0"/>
        <v>7874716.8175600003</v>
      </c>
      <c r="L8" s="103">
        <f t="shared" si="0"/>
        <v>7979812.4662619997</v>
      </c>
      <c r="M8" s="5047">
        <f t="shared" si="0"/>
        <v>7254338.9507989995</v>
      </c>
      <c r="N8" s="5048">
        <f>N9+N11-N13</f>
        <v>2872141.3366922112</v>
      </c>
      <c r="O8" s="103">
        <f t="shared" si="0"/>
        <v>10126480.28749121</v>
      </c>
      <c r="P8" s="4878">
        <f t="shared" si="0"/>
        <v>10286901.021661209</v>
      </c>
      <c r="Q8" s="4878">
        <f t="shared" si="0"/>
        <v>10096907.578534821</v>
      </c>
      <c r="R8" s="4878">
        <f t="shared" si="0"/>
        <v>9589583.8718248643</v>
      </c>
      <c r="S8" s="4878">
        <f t="shared" si="0"/>
        <v>9552109.3177432083</v>
      </c>
      <c r="T8" s="4878">
        <f t="shared" ref="T8" si="1">T9+T11-T13</f>
        <v>9747424.2306819931</v>
      </c>
      <c r="V8" s="112"/>
      <c r="W8" s="2084"/>
    </row>
    <row r="9" spans="1:25" ht="12" customHeight="1">
      <c r="C9" s="3" t="s">
        <v>65</v>
      </c>
      <c r="J9" s="226">
        <f>J20</f>
        <v>7224134.5268719988</v>
      </c>
      <c r="K9" s="205">
        <f t="shared" ref="K9:S9" si="2">K20</f>
        <v>7642856.6105540013</v>
      </c>
      <c r="L9" s="205">
        <f t="shared" si="2"/>
        <v>7672617.576452001</v>
      </c>
      <c r="M9" s="5049">
        <f>M20</f>
        <v>7041381.8608240001</v>
      </c>
      <c r="N9" s="5050">
        <f t="shared" si="2"/>
        <v>2798646.1793369399</v>
      </c>
      <c r="O9" s="105">
        <f>SUM(M9:N9)</f>
        <v>9840028.0401609391</v>
      </c>
      <c r="P9" s="4879">
        <f t="shared" si="2"/>
        <v>10005125.554962059</v>
      </c>
      <c r="Q9" s="4879">
        <f t="shared" si="2"/>
        <v>9814535.1819991823</v>
      </c>
      <c r="R9" s="4879">
        <f t="shared" si="2"/>
        <v>9311324.0591411162</v>
      </c>
      <c r="S9" s="4879">
        <f t="shared" si="2"/>
        <v>9284344.6265905052</v>
      </c>
      <c r="T9" s="4879">
        <f t="shared" ref="T9" si="3">T20</f>
        <v>9481534.5301258098</v>
      </c>
      <c r="V9" s="2351"/>
      <c r="W9" s="2351"/>
      <c r="X9" s="2351"/>
      <c r="Y9" s="2351"/>
    </row>
    <row r="10" spans="1:25" s="400" customFormat="1" ht="12" customHeight="1">
      <c r="A10" s="45"/>
      <c r="B10" s="45"/>
      <c r="C10" s="45" t="s">
        <v>3649</v>
      </c>
      <c r="D10" s="45"/>
      <c r="E10" s="45"/>
      <c r="F10" s="45"/>
      <c r="G10" s="45"/>
      <c r="H10" s="110" t="s">
        <v>360</v>
      </c>
      <c r="I10" s="45"/>
      <c r="J10" s="2034" t="str">
        <f>IFERROR(J9/I9-1,"n.p")</f>
        <v>n.p</v>
      </c>
      <c r="K10" s="1936">
        <f t="shared" ref="K10" si="4">IFERROR(K9/J9-1,"n.p")</f>
        <v>5.796155679610604E-2</v>
      </c>
      <c r="L10" s="1936">
        <f>IFERROR(L9/K9-1,"n.p")</f>
        <v>3.8939584260815341E-3</v>
      </c>
      <c r="M10" s="5051"/>
      <c r="N10" s="5052"/>
      <c r="O10" s="1936">
        <f>IFERROR(O9/L9-1,"n.p")</f>
        <v>0.28248644509025556</v>
      </c>
      <c r="P10" s="4880">
        <f>IFERROR(P9/O9-1,"n.p")</f>
        <v>1.6778154912495458E-2</v>
      </c>
      <c r="Q10" s="4880">
        <f t="shared" ref="Q10:T10" si="5">IFERROR(Q9/P9-1,"n.p")</f>
        <v>-1.9049273486463458E-2</v>
      </c>
      <c r="R10" s="4880">
        <f t="shared" si="5"/>
        <v>-5.1272028020339144E-2</v>
      </c>
      <c r="S10" s="4880">
        <f t="shared" si="5"/>
        <v>-2.8974861554866838E-3</v>
      </c>
      <c r="T10" s="4880">
        <f t="shared" si="5"/>
        <v>2.1238968550407966E-2</v>
      </c>
      <c r="V10" s="2511">
        <f>+T10-O10</f>
        <v>-0.26124747653984759</v>
      </c>
    </row>
    <row r="11" spans="1:25" ht="12" customHeight="1">
      <c r="C11" s="3" t="s">
        <v>66</v>
      </c>
      <c r="J11" s="226">
        <f>J97</f>
        <v>473983.37464899995</v>
      </c>
      <c r="K11" s="205">
        <f t="shared" ref="K11:T11" si="6">K97</f>
        <v>507597.754931</v>
      </c>
      <c r="L11" s="105">
        <f t="shared" si="6"/>
        <v>597502.65350999997</v>
      </c>
      <c r="M11" s="5049">
        <f t="shared" si="6"/>
        <v>499367.38181599992</v>
      </c>
      <c r="N11" s="5050">
        <f t="shared" si="6"/>
        <v>184898.53946600269</v>
      </c>
      <c r="O11" s="105">
        <f t="shared" si="6"/>
        <v>684265.9212820027</v>
      </c>
      <c r="P11" s="4879">
        <f t="shared" si="6"/>
        <v>643272.44310602709</v>
      </c>
      <c r="Q11" s="4879">
        <f t="shared" si="6"/>
        <v>667353.67677307362</v>
      </c>
      <c r="R11" s="4879">
        <f t="shared" si="6"/>
        <v>651849.88504583086</v>
      </c>
      <c r="S11" s="4879">
        <f t="shared" si="6"/>
        <v>659711.12157953274</v>
      </c>
      <c r="T11" s="4879">
        <f t="shared" si="6"/>
        <v>639648.09133599605</v>
      </c>
      <c r="V11" s="2351"/>
      <c r="W11" s="2351"/>
      <c r="X11" s="2351"/>
      <c r="Y11" s="2351"/>
    </row>
    <row r="12" spans="1:25" s="400" customFormat="1" ht="12" customHeight="1">
      <c r="A12" s="45"/>
      <c r="B12" s="45"/>
      <c r="C12" s="45" t="s">
        <v>3649</v>
      </c>
      <c r="D12" s="45"/>
      <c r="E12" s="45"/>
      <c r="F12" s="45"/>
      <c r="G12" s="45"/>
      <c r="H12" s="110" t="s">
        <v>360</v>
      </c>
      <c r="I12" s="45"/>
      <c r="J12" s="2034" t="str">
        <f>IFERROR(J11/I11-1,"n.p")</f>
        <v>n.p</v>
      </c>
      <c r="K12" s="1936">
        <f t="shared" ref="K12" si="7">IFERROR(K11/J11-1,"n.p")</f>
        <v>7.0918901547744273E-2</v>
      </c>
      <c r="L12" s="1936">
        <f>IFERROR(L11/K11-1,"n.p")</f>
        <v>0.1771183928723663</v>
      </c>
      <c r="M12" s="5051"/>
      <c r="N12" s="5052"/>
      <c r="O12" s="1936">
        <f>IFERROR(O11/L11-1,"n.p")</f>
        <v>0.14520984511502366</v>
      </c>
      <c r="P12" s="4880">
        <f>IFERROR(P11/O11-1,"n.p")</f>
        <v>-5.9908694706251819E-2</v>
      </c>
      <c r="Q12" s="4880">
        <f t="shared" ref="Q12" si="8">IFERROR(Q11/P11-1,"n.p")</f>
        <v>3.7435512627854495E-2</v>
      </c>
      <c r="R12" s="4880">
        <f t="shared" ref="R12" si="9">IFERROR(R11/Q11-1,"n.p")</f>
        <v>-2.3231746923475294E-2</v>
      </c>
      <c r="S12" s="4880">
        <f t="shared" ref="S12:T12" si="10">IFERROR(S11/R11-1,"n.p")</f>
        <v>1.2059887888373533E-2</v>
      </c>
      <c r="T12" s="4880">
        <f t="shared" si="10"/>
        <v>-3.0411841770228487E-2</v>
      </c>
      <c r="V12" s="2511">
        <f>+T12-O12</f>
        <v>-0.17562168688525215</v>
      </c>
    </row>
    <row r="13" spans="1:25" ht="12" customHeight="1">
      <c r="B13" s="12"/>
      <c r="C13" s="12" t="s">
        <v>67</v>
      </c>
      <c r="D13" s="12"/>
      <c r="E13" s="12"/>
      <c r="F13" s="12"/>
      <c r="G13" s="12"/>
      <c r="H13" s="12"/>
      <c r="I13" s="12"/>
      <c r="J13" s="315">
        <f>J178</f>
        <v>249204.18921099845</v>
      </c>
      <c r="K13" s="208">
        <f t="shared" ref="K13:S13" si="11">K178</f>
        <v>275737.54792500095</v>
      </c>
      <c r="L13" s="107">
        <f t="shared" si="11"/>
        <v>290307.76370000135</v>
      </c>
      <c r="M13" s="5053">
        <f t="shared" si="11"/>
        <v>286410.29184100038</v>
      </c>
      <c r="N13" s="5054">
        <f t="shared" si="11"/>
        <v>111403.38211073118</v>
      </c>
      <c r="O13" s="107">
        <f t="shared" ref="O13" si="12">SUM(M13:N13)</f>
        <v>397813.67395173153</v>
      </c>
      <c r="P13" s="4881">
        <f t="shared" si="11"/>
        <v>361496.9764068785</v>
      </c>
      <c r="Q13" s="4881">
        <f t="shared" si="11"/>
        <v>384981.28023743455</v>
      </c>
      <c r="R13" s="4881">
        <f t="shared" si="11"/>
        <v>373590.07236208278</v>
      </c>
      <c r="S13" s="4881">
        <f t="shared" si="11"/>
        <v>391946.4304268306</v>
      </c>
      <c r="T13" s="4881">
        <f t="shared" ref="T13" si="13">T178</f>
        <v>373758.39077981212</v>
      </c>
    </row>
    <row r="16" spans="1:25" ht="12" customHeight="1">
      <c r="A16" s="20" t="s">
        <v>68</v>
      </c>
      <c r="B16" s="21" t="s">
        <v>65</v>
      </c>
      <c r="C16" s="102"/>
      <c r="D16" s="102"/>
      <c r="E16" s="102"/>
      <c r="F16" s="102"/>
      <c r="G16" s="102"/>
      <c r="H16" s="102"/>
      <c r="I16" s="102"/>
      <c r="J16" s="102"/>
      <c r="K16" s="102"/>
      <c r="L16" s="102"/>
      <c r="M16" s="102"/>
      <c r="N16" s="2085"/>
      <c r="O16" s="2085"/>
      <c r="P16" s="2085"/>
      <c r="Q16" s="2085"/>
      <c r="R16" s="2085"/>
      <c r="S16" s="2085"/>
      <c r="T16" s="2085"/>
      <c r="U16" s="2084"/>
    </row>
    <row r="17" spans="1:22" ht="12" customHeight="1">
      <c r="B17" s="1930"/>
      <c r="I17" s="1930"/>
      <c r="J17" s="112"/>
      <c r="K17" s="112"/>
      <c r="L17" s="112"/>
      <c r="M17" s="112"/>
      <c r="N17" s="112"/>
      <c r="O17" s="112"/>
      <c r="P17" s="32"/>
      <c r="Q17" s="32"/>
      <c r="R17" s="32"/>
      <c r="S17" s="32"/>
      <c r="T17" s="32"/>
    </row>
    <row r="18" spans="1:22" ht="12" customHeight="1">
      <c r="B18" s="24"/>
      <c r="C18" s="24"/>
      <c r="D18" s="24"/>
      <c r="E18" s="24"/>
      <c r="F18" s="24"/>
      <c r="G18" s="24"/>
      <c r="H18" s="24"/>
      <c r="I18" s="24"/>
      <c r="J18" s="25" t="s">
        <v>23</v>
      </c>
      <c r="K18" s="26"/>
      <c r="L18" s="26"/>
      <c r="M18" s="27"/>
      <c r="N18" s="26" t="s">
        <v>24</v>
      </c>
      <c r="O18" s="26"/>
      <c r="P18" s="26"/>
      <c r="Q18" s="26"/>
      <c r="R18" s="26"/>
      <c r="S18" s="26"/>
      <c r="T18" s="26"/>
    </row>
    <row r="19" spans="1:22" ht="12" customHeight="1">
      <c r="B19" s="28"/>
      <c r="C19" s="28"/>
      <c r="D19" s="28"/>
      <c r="E19" s="28"/>
      <c r="F19" s="28"/>
      <c r="G19" s="28"/>
      <c r="H19" s="1949" t="s">
        <v>2889</v>
      </c>
      <c r="I19" s="28"/>
      <c r="J19" s="29" t="s">
        <v>69</v>
      </c>
      <c r="K19" s="30" t="s">
        <v>27</v>
      </c>
      <c r="L19" s="108" t="s">
        <v>60</v>
      </c>
      <c r="M19" s="5073" t="s">
        <v>5104</v>
      </c>
      <c r="N19" s="5074" t="s">
        <v>5174</v>
      </c>
      <c r="O19" s="30" t="s">
        <v>70</v>
      </c>
      <c r="P19" s="30" t="s">
        <v>71</v>
      </c>
      <c r="Q19" s="30" t="s">
        <v>72</v>
      </c>
      <c r="R19" s="30" t="s">
        <v>73</v>
      </c>
      <c r="S19" s="30" t="s">
        <v>74</v>
      </c>
      <c r="T19" s="30" t="s">
        <v>5102</v>
      </c>
    </row>
    <row r="20" spans="1:22" s="113" customFormat="1" ht="12" customHeight="1">
      <c r="A20" s="32"/>
      <c r="B20" s="33" t="s">
        <v>1299</v>
      </c>
      <c r="C20" s="33"/>
      <c r="D20" s="33"/>
      <c r="E20" s="33"/>
      <c r="F20" s="33"/>
      <c r="G20" s="33"/>
      <c r="H20" s="1974"/>
      <c r="I20" s="33"/>
      <c r="J20" s="227">
        <f t="shared" ref="J20:T20" si="14">J21+J28+J35+J42+J49+J56+J63+J67+J71+J75+J79+J83+J87</f>
        <v>7224134.5268719988</v>
      </c>
      <c r="K20" s="103">
        <f t="shared" si="14"/>
        <v>7642856.6105540013</v>
      </c>
      <c r="L20" s="318">
        <f t="shared" si="14"/>
        <v>7672617.576452001</v>
      </c>
      <c r="M20" s="5047">
        <f t="shared" si="14"/>
        <v>7041381.8608240001</v>
      </c>
      <c r="N20" s="5048">
        <f t="shared" si="14"/>
        <v>2798646.1793369399</v>
      </c>
      <c r="O20" s="318">
        <f t="shared" si="14"/>
        <v>9840028.0401609391</v>
      </c>
      <c r="P20" s="4878">
        <f t="shared" si="14"/>
        <v>10005125.554962059</v>
      </c>
      <c r="Q20" s="4878">
        <f t="shared" si="14"/>
        <v>9814535.1819991823</v>
      </c>
      <c r="R20" s="4878">
        <f t="shared" si="14"/>
        <v>9311324.0591411162</v>
      </c>
      <c r="S20" s="4878">
        <f t="shared" si="14"/>
        <v>9284344.6265905052</v>
      </c>
      <c r="T20" s="4878">
        <f t="shared" si="14"/>
        <v>9481534.5301258098</v>
      </c>
    </row>
    <row r="21" spans="1:22" ht="12" customHeight="1">
      <c r="C21" s="4884" t="s">
        <v>325</v>
      </c>
      <c r="D21" s="4150"/>
      <c r="E21" s="4150"/>
      <c r="F21" s="4150"/>
      <c r="G21" s="4150"/>
      <c r="H21" s="4149"/>
      <c r="I21" s="4150"/>
      <c r="J21" s="4885">
        <f>SUMIFS('과거손익(Summary)'!$F$3:$F$54,'과거손익(Summary)'!$E$3:$E$54,J$19,'과거손익(Summary)'!$B$3:$B$54,$C21)</f>
        <v>4705127.5894449996</v>
      </c>
      <c r="K21" s="4886">
        <f>SUMIFS('과거손익(Summary)'!$F$3:$F$54,'과거손익(Summary)'!$E$3:$E$54,K$19,'과거손익(Summary)'!$B$3:$B$54,$C21)</f>
        <v>4525733.8217209997</v>
      </c>
      <c r="L21" s="4886">
        <f>SUMIFS('과거손익(Summary)'!$F$3:$F$54,'과거손익(Summary)'!$E$3:$E$54,L$19,'과거손익(Summary)'!$B$3:$B$54,$C21)</f>
        <v>4719730.2486990001</v>
      </c>
      <c r="M21" s="5055">
        <f>SUMIFS('과거손익(Summary)'!$F$3:$F$54,'과거손익(Summary)'!$E$3:$E$54,M$19,'과거손익(Summary)'!$B$3:$B$54,$C21)</f>
        <v>4669103.0703840004</v>
      </c>
      <c r="N21" s="5056">
        <f>N23*N27</f>
        <v>1959508.3588757601</v>
      </c>
      <c r="O21" s="4887">
        <f>SUM(M21:N21)</f>
        <v>6628611.4292597603</v>
      </c>
      <c r="P21" s="4888">
        <f t="shared" ref="P21:S21" si="15">P23*P27</f>
        <v>6809980.0831661923</v>
      </c>
      <c r="Q21" s="4888">
        <f t="shared" si="15"/>
        <v>6688756.0257393587</v>
      </c>
      <c r="R21" s="4888">
        <f t="shared" si="15"/>
        <v>6363433.9015572462</v>
      </c>
      <c r="S21" s="4888">
        <f t="shared" si="15"/>
        <v>6320042.5118510267</v>
      </c>
      <c r="T21" s="4889">
        <f t="shared" ref="T21" si="16">T23*T27</f>
        <v>6556270.0686832266</v>
      </c>
    </row>
    <row r="22" spans="1:22" s="400" customFormat="1" ht="12" customHeight="1">
      <c r="A22" s="45"/>
      <c r="B22" s="45"/>
      <c r="C22" s="4890" t="s">
        <v>3649</v>
      </c>
      <c r="D22" s="45"/>
      <c r="E22" s="45"/>
      <c r="F22" s="45"/>
      <c r="G22" s="45"/>
      <c r="H22" s="110" t="s">
        <v>360</v>
      </c>
      <c r="I22" s="45"/>
      <c r="J22" s="2034" t="str">
        <f>IFERROR(J21/I21-1,"n.p")</f>
        <v>n.p</v>
      </c>
      <c r="K22" s="1936">
        <f t="shared" ref="K22" si="17">IFERROR(K21/J21-1,"n.p")</f>
        <v>-3.8127290772397626E-2</v>
      </c>
      <c r="L22" s="1936">
        <f>IFERROR(L21/K21-1,"n.p")</f>
        <v>4.2865187087876455E-2</v>
      </c>
      <c r="M22" s="5051"/>
      <c r="N22" s="5052"/>
      <c r="O22" s="1936">
        <f>O21/L21-1</f>
        <v>0.40444709336660623</v>
      </c>
      <c r="P22" s="4880">
        <f>P21/O21-1</f>
        <v>2.7361485258562857E-2</v>
      </c>
      <c r="Q22" s="4880">
        <f t="shared" ref="Q22:T22" si="18">Q21/P21-1</f>
        <v>-1.7800941551428529E-2</v>
      </c>
      <c r="R22" s="4880">
        <f t="shared" si="18"/>
        <v>-4.8637164060136628E-2</v>
      </c>
      <c r="S22" s="4880">
        <f t="shared" si="18"/>
        <v>-6.8188638991913963E-3</v>
      </c>
      <c r="T22" s="4891">
        <f t="shared" si="18"/>
        <v>3.7377526557651697E-2</v>
      </c>
      <c r="V22" s="2511">
        <f>+T22-O22</f>
        <v>-0.36706956680895453</v>
      </c>
    </row>
    <row r="23" spans="1:22" ht="12" customHeight="1">
      <c r="C23" s="4892"/>
      <c r="D23" s="3" t="s">
        <v>3540</v>
      </c>
      <c r="H23" s="110" t="s">
        <v>3471</v>
      </c>
      <c r="J23" s="232">
        <f>J21/J27</f>
        <v>7.2208610292063993</v>
      </c>
      <c r="K23" s="233">
        <f t="shared" ref="K23:M23" si="19">K21/K27</f>
        <v>7.0663062686202673</v>
      </c>
      <c r="L23" s="233">
        <f t="shared" si="19"/>
        <v>7.3456496123047259</v>
      </c>
      <c r="M23" s="5057">
        <f t="shared" si="19"/>
        <v>10.265853642456422</v>
      </c>
      <c r="N23" s="5058">
        <f>(N24+N25)*N26/10^6</f>
        <v>11.651172499999999</v>
      </c>
      <c r="O23" s="357">
        <f>O21/O27</f>
        <v>10.639825729148892</v>
      </c>
      <c r="P23" s="4893">
        <f t="shared" ref="P23:S23" si="20">(P24+P25)*P26/10^6</f>
        <v>10.574503234730113</v>
      </c>
      <c r="Q23" s="4893">
        <f t="shared" si="20"/>
        <v>10.149857398694019</v>
      </c>
      <c r="R23" s="4893">
        <f t="shared" si="20"/>
        <v>9.6124379177601913</v>
      </c>
      <c r="S23" s="4893">
        <f t="shared" si="20"/>
        <v>9.4872600468763846</v>
      </c>
      <c r="T23" s="4894">
        <f t="shared" ref="T23" si="21">(T24+T25)*T26/10^6</f>
        <v>9.8992451588150789</v>
      </c>
    </row>
    <row r="24" spans="1:22" ht="12" customHeight="1">
      <c r="C24" s="4892"/>
      <c r="E24" s="3" t="s">
        <v>3542</v>
      </c>
      <c r="H24" s="110" t="s">
        <v>3462</v>
      </c>
      <c r="J24" s="3615">
        <f>J23*10^6/J26-J25</f>
        <v>6495.236871926415</v>
      </c>
      <c r="K24" s="3616">
        <f>K23*10^6/K26-K25</f>
        <v>5982.8211172165256</v>
      </c>
      <c r="L24" s="3616">
        <f t="shared" ref="L24:M24" si="22">L23*10^6/L26-L25</f>
        <v>6179.9404428438011</v>
      </c>
      <c r="M24" s="5059">
        <f t="shared" si="22"/>
        <v>8985.9305958652167</v>
      </c>
      <c r="N24" s="5060">
        <f>Assumption!N21</f>
        <v>9784</v>
      </c>
      <c r="O24" s="370"/>
      <c r="P24" s="4882">
        <f>Assumption!P21</f>
        <v>9173</v>
      </c>
      <c r="Q24" s="4882">
        <f>Assumption!Q21</f>
        <v>8835</v>
      </c>
      <c r="R24" s="4882">
        <f>Assumption!R21</f>
        <v>8394</v>
      </c>
      <c r="S24" s="4882">
        <f>Assumption!S21</f>
        <v>8465</v>
      </c>
      <c r="T24" s="4895">
        <f>Assumption!T21</f>
        <v>8834</v>
      </c>
    </row>
    <row r="25" spans="1:22" ht="12" customHeight="1">
      <c r="C25" s="4892"/>
      <c r="E25" s="3" t="s">
        <v>3544</v>
      </c>
      <c r="H25" s="110" t="s">
        <v>3462</v>
      </c>
      <c r="J25" s="2709">
        <f>Assumption!J60</f>
        <v>62.04</v>
      </c>
      <c r="K25" s="2710">
        <f>Assumption!K60</f>
        <v>73.55</v>
      </c>
      <c r="L25" s="2710">
        <f>Assumption!L60</f>
        <v>71.61</v>
      </c>
      <c r="M25" s="5061">
        <f>Assumption!M60</f>
        <v>69.02</v>
      </c>
      <c r="N25" s="5062">
        <f>Assumption!N60*(1+DCF!$G$54)</f>
        <v>69</v>
      </c>
      <c r="O25" s="370"/>
      <c r="P25" s="4896">
        <f>Assumption!P60*(1+DCF!$G$54)</f>
        <v>82.329545454545453</v>
      </c>
      <c r="Q25" s="4896">
        <f>Assumption!Q60*(1+DCF!$G$54)</f>
        <v>76.591728077631245</v>
      </c>
      <c r="R25" s="4896">
        <f>Assumption!R60*(1+DCF!$G$54)</f>
        <v>73.616206624552902</v>
      </c>
      <c r="S25" s="4896">
        <f>Assumption!S60*(1+DCF!$G$54)</f>
        <v>74.387980986844568</v>
      </c>
      <c r="T25" s="4897">
        <f>Assumption!T60*(1+DCF!$G$54)</f>
        <v>76.211664099981064</v>
      </c>
    </row>
    <row r="26" spans="1:22" ht="12" customHeight="1">
      <c r="C26" s="4892"/>
      <c r="E26" s="3" t="s">
        <v>326</v>
      </c>
      <c r="H26" s="110" t="s">
        <v>408</v>
      </c>
      <c r="J26" s="220">
        <f>HLOOKUP(J$19,FDD_매출MASTER!$J$2:$N$9,MATCH($C21,FDD_매출MASTER!$H$2:$H$9,0),FALSE)</f>
        <v>1101.198129992189</v>
      </c>
      <c r="K26" s="221">
        <f>HLOOKUP(K$19,FDD_매출MASTER!$J$2:$N$9,MATCH($C21,FDD_매출MASTER!$H$2:$H$9,0),FALSE)</f>
        <v>1166.7558232243705</v>
      </c>
      <c r="L26" s="221">
        <f>HLOOKUP(L$19,FDD_매출MASTER!$J$2:$N$9,MATCH($C21,FDD_매출MASTER!$H$2:$H$9,0),FALSE)</f>
        <v>1175.0124516252363</v>
      </c>
      <c r="M26" s="5063">
        <f>HLOOKUP(M$19,FDD_매출MASTER!$J$2:$N$9,MATCH($C21,FDD_매출MASTER!$H$2:$H$9,0),FALSE)</f>
        <v>1133.7282886053672</v>
      </c>
      <c r="N26" s="5060">
        <f>Assumption!N$78</f>
        <v>1182.5</v>
      </c>
      <c r="O26" s="370"/>
      <c r="P26" s="4882">
        <f>Assumption!P$78</f>
        <v>1142.53125</v>
      </c>
      <c r="Q26" s="4882">
        <f>Assumption!Q$78</f>
        <v>1138.95</v>
      </c>
      <c r="R26" s="4882">
        <f>Assumption!R$78</f>
        <v>1135.2</v>
      </c>
      <c r="S26" s="4882">
        <f>Assumption!S$78</f>
        <v>1111</v>
      </c>
      <c r="T26" s="4895">
        <f>Assumption!T$78</f>
        <v>1111</v>
      </c>
    </row>
    <row r="27" spans="1:22" ht="12" customHeight="1">
      <c r="C27" s="4898"/>
      <c r="D27" s="12" t="s">
        <v>1353</v>
      </c>
      <c r="E27" s="12"/>
      <c r="F27" s="12"/>
      <c r="G27" s="12"/>
      <c r="H27" s="1950" t="s">
        <v>3486</v>
      </c>
      <c r="I27" s="12"/>
      <c r="J27" s="4899">
        <f>SUMIFS('과거손익(Summary)'!$G$3:$G$54,'과거손익(Summary)'!$E$3:$E$54,J$19,'과거손익(Summary)'!$B$3:$B$54,$C21)</f>
        <v>651602.01399999962</v>
      </c>
      <c r="K27" s="4900">
        <f>SUMIFS('과거손익(Summary)'!$G$3:$G$54,'과거손익(Summary)'!$E$3:$E$54,K$19,'과거손익(Summary)'!$B$3:$B$54,$C21)</f>
        <v>640466.69499999925</v>
      </c>
      <c r="L27" s="4900">
        <f>SUMIFS('과거손익(Summary)'!$G$3:$G$54,'과거손익(Summary)'!$E$3:$E$54,L$19,'과거손익(Summary)'!$B$3:$B$54,$C21)</f>
        <v>642520.47100000002</v>
      </c>
      <c r="M27" s="5064">
        <f>SUMIFS('과거손익(Summary)'!$G$3:$G$54,'과거손익(Summary)'!$E$3:$E$54,M$19,'과거손익(Summary)'!$B$3:$B$54,$C21)</f>
        <v>454818.78399999999</v>
      </c>
      <c r="N27" s="5065">
        <f>SUMIFS(Assumption!N$103:N$114,Assumption!$B$103:$B$114,$C21)</f>
        <v>168181.21600000001</v>
      </c>
      <c r="O27" s="355">
        <f>SUM(M27:N27)</f>
        <v>623000</v>
      </c>
      <c r="P27" s="4901">
        <f>SUMIFS(Assumption!P$103:P$114,Assumption!$B$103:$B$114,$C21)</f>
        <v>644000</v>
      </c>
      <c r="Q27" s="4901">
        <f>SUMIFS(Assumption!Q$103:Q$114,Assumption!$B$103:$B$114,$C21)</f>
        <v>659000</v>
      </c>
      <c r="R27" s="4901">
        <f>SUMIFS(Assumption!R$103:R$114,Assumption!$B$103:$B$114,$C21)</f>
        <v>662000</v>
      </c>
      <c r="S27" s="4901">
        <f>SUMIFS(Assumption!S$103:S$114,Assumption!$B$103:$B$114,$C21)</f>
        <v>666160.98648332688</v>
      </c>
      <c r="T27" s="4902">
        <f>SUMIFS(Assumption!T$103:T$114,Assumption!$B$103:$B$114,$C21)</f>
        <v>662300</v>
      </c>
    </row>
    <row r="28" spans="1:22" ht="12" customHeight="1">
      <c r="C28" s="4892" t="s">
        <v>262</v>
      </c>
      <c r="H28" s="110"/>
      <c r="J28" s="230">
        <f>SUMIFS('과거손익(Summary)'!$F$3:$F$54,'과거손익(Summary)'!$E$3:$E$54,J$19,'과거손익(Summary)'!$B$3:$B$54,$C28)</f>
        <v>1774353.059317</v>
      </c>
      <c r="K28" s="231">
        <f>SUMIFS('과거손익(Summary)'!$F$3:$F$54,'과거손익(Summary)'!$E$3:$E$54,K$19,'과거손익(Summary)'!$B$3:$B$54,$C28)</f>
        <v>2330714.888756</v>
      </c>
      <c r="L28" s="231">
        <f>SUMIFS('과거손익(Summary)'!$F$3:$F$54,'과거손익(Summary)'!$E$3:$E$54,L$19,'과거손익(Summary)'!$B$3:$B$54,$C28)</f>
        <v>2147863.56091</v>
      </c>
      <c r="M28" s="5066">
        <f>SUMIFS('과거손익(Summary)'!$F$3:$F$54,'과거손익(Summary)'!$E$3:$E$54,M$19,'과거손익(Summary)'!$B$3:$B$54,$C28)</f>
        <v>1625323.251748</v>
      </c>
      <c r="N28" s="5050">
        <f>N30*N34</f>
        <v>574197.34889672208</v>
      </c>
      <c r="O28" s="320">
        <f>SUM(M28:N28)</f>
        <v>2199520.6006447221</v>
      </c>
      <c r="P28" s="4879">
        <f t="shared" ref="P28" si="23">P30*P34</f>
        <v>2162967.2916361201</v>
      </c>
      <c r="Q28" s="4879">
        <f t="shared" ref="Q28" si="24">Q30*Q34</f>
        <v>2107236.6327805514</v>
      </c>
      <c r="R28" s="4879">
        <f t="shared" ref="R28" si="25">R30*R34</f>
        <v>1966967.4489161931</v>
      </c>
      <c r="S28" s="4879">
        <f t="shared" ref="S28:T28" si="26">S30*S34</f>
        <v>2020844.1905193464</v>
      </c>
      <c r="T28" s="4903">
        <f t="shared" si="26"/>
        <v>1996012.1909629535</v>
      </c>
    </row>
    <row r="29" spans="1:22" s="400" customFormat="1" ht="12" customHeight="1">
      <c r="A29" s="45"/>
      <c r="B29" s="45"/>
      <c r="C29" s="4890" t="s">
        <v>3649</v>
      </c>
      <c r="D29" s="45"/>
      <c r="E29" s="45"/>
      <c r="F29" s="45"/>
      <c r="G29" s="45"/>
      <c r="H29" s="110" t="s">
        <v>360</v>
      </c>
      <c r="I29" s="45"/>
      <c r="J29" s="2034" t="str">
        <f>IFERROR(J28/I28-1,"n.p")</f>
        <v>n.p</v>
      </c>
      <c r="K29" s="1936">
        <f t="shared" ref="K29" si="27">IFERROR(K28/J28-1,"n.p")</f>
        <v>0.31355756765407206</v>
      </c>
      <c r="L29" s="1936">
        <f>IFERROR(L28/K28-1,"n.p")</f>
        <v>-7.8452893885959329E-2</v>
      </c>
      <c r="M29" s="5051"/>
      <c r="N29" s="5052"/>
      <c r="O29" s="1936">
        <f>O28/L28-1</f>
        <v>2.4050428842340432E-2</v>
      </c>
      <c r="P29" s="4880">
        <f>P28/O28-1</f>
        <v>-1.6618761832868256E-2</v>
      </c>
      <c r="Q29" s="4880">
        <f t="shared" ref="Q29" si="28">Q28/P28-1</f>
        <v>-2.576583523526732E-2</v>
      </c>
      <c r="R29" s="4880">
        <f t="shared" ref="R29" si="29">R28/Q28-1</f>
        <v>-6.6565463831781302E-2</v>
      </c>
      <c r="S29" s="4880">
        <f t="shared" ref="S29" si="30">S28/R28-1</f>
        <v>2.7390764210581953E-2</v>
      </c>
      <c r="T29" s="4891">
        <f t="shared" ref="T29" si="31">T28/S28-1</f>
        <v>-1.2287933761984449E-2</v>
      </c>
      <c r="V29" s="2511">
        <f>+T29-O29</f>
        <v>-3.6338362604324881E-2</v>
      </c>
    </row>
    <row r="30" spans="1:22" ht="12" customHeight="1">
      <c r="C30" s="4892"/>
      <c r="D30" s="3" t="s">
        <v>3539</v>
      </c>
      <c r="H30" s="110" t="s">
        <v>3511</v>
      </c>
      <c r="J30" s="232">
        <f>J28/J34</f>
        <v>44.98096860532808</v>
      </c>
      <c r="K30" s="233">
        <f t="shared" ref="K30" si="32">K28/K34</f>
        <v>50.766693360290176</v>
      </c>
      <c r="L30" s="306">
        <f t="shared" ref="L30:M30" si="33">L28/L34</f>
        <v>66.517917649736759</v>
      </c>
      <c r="M30" s="5057">
        <f t="shared" si="33"/>
        <v>66.005655122969458</v>
      </c>
      <c r="N30" s="5058">
        <f>N31*(1+N32)*N33/10^6</f>
        <v>68.55269208413587</v>
      </c>
      <c r="O30" s="357">
        <f>O28/O34</f>
        <v>66.652139413476434</v>
      </c>
      <c r="P30" s="4893">
        <f t="shared" ref="P30" si="34">P31*(1+P32)*P33/10^6</f>
        <v>65.544463382912724</v>
      </c>
      <c r="Q30" s="4893">
        <f t="shared" ref="Q30" si="35">Q31*(1+Q32)*Q33/10^6</f>
        <v>63.855655538804591</v>
      </c>
      <c r="R30" s="4893">
        <f t="shared" ref="R30" si="36">R31*(1+R32)*R33/10^6</f>
        <v>63.450562868264292</v>
      </c>
      <c r="S30" s="4893">
        <f t="shared" ref="S30:T30" si="37">S31*(1+S32)*S33/10^6</f>
        <v>61.453193406108753</v>
      </c>
      <c r="T30" s="4894">
        <f t="shared" si="37"/>
        <v>61.051909936509972</v>
      </c>
    </row>
    <row r="31" spans="1:22" ht="12" customHeight="1">
      <c r="C31" s="4892"/>
      <c r="E31" s="3" t="s">
        <v>3541</v>
      </c>
      <c r="H31" s="110" t="s">
        <v>3463</v>
      </c>
      <c r="J31" s="3615">
        <f>J30*10^6/J33/(1+J32)</f>
        <v>39823.332998598322</v>
      </c>
      <c r="K31" s="3616">
        <f t="shared" ref="K31:M31" si="38">K30*10^6/K33/(1+K32)</f>
        <v>44094.629733357629</v>
      </c>
      <c r="L31" s="3616">
        <f t="shared" si="38"/>
        <v>55278.271828401623</v>
      </c>
      <c r="M31" s="5059">
        <f t="shared" si="38"/>
        <v>57037.068182917043</v>
      </c>
      <c r="N31" s="5060">
        <f>Assumption!N22</f>
        <v>57851.190794583701</v>
      </c>
      <c r="O31" s="370"/>
      <c r="P31" s="4882">
        <f>Assumption!P22</f>
        <v>57241.832205716637</v>
      </c>
      <c r="Q31" s="4882">
        <f>Assumption!Q22</f>
        <v>55942.299029412687</v>
      </c>
      <c r="R31" s="4882">
        <f>Assumption!R22</f>
        <v>55765.469923285229</v>
      </c>
      <c r="S31" s="4882">
        <f>Assumption!S22</f>
        <v>55186.756485049926</v>
      </c>
      <c r="T31" s="4895">
        <f>Assumption!T22</f>
        <v>54826.669783269877</v>
      </c>
    </row>
    <row r="32" spans="1:22" ht="12" customHeight="1">
      <c r="C32" s="4892"/>
      <c r="E32" s="3" t="s">
        <v>3543</v>
      </c>
      <c r="H32" s="110" t="s">
        <v>2702</v>
      </c>
      <c r="J32" s="286">
        <f>Assumption!J61</f>
        <v>4.3E-3</v>
      </c>
      <c r="K32" s="246">
        <f>Assumption!K61</f>
        <v>3.3E-3</v>
      </c>
      <c r="L32" s="246">
        <f>Assumption!L61</f>
        <v>2E-3</v>
      </c>
      <c r="M32" s="5067">
        <f>Assumption!M61</f>
        <v>2.2000000000000001E-3</v>
      </c>
      <c r="N32" s="5068">
        <f>Assumption!N61+DCF!$G$58</f>
        <v>2.0999999999999999E-3</v>
      </c>
      <c r="O32" s="4904"/>
      <c r="P32" s="4905">
        <f>Assumption!P61+DCF!$G$58</f>
        <v>2.2000000000000001E-3</v>
      </c>
      <c r="Q32" s="4905">
        <f>Assumption!Q61+DCF!$G$58</f>
        <v>2.2000000000000001E-3</v>
      </c>
      <c r="R32" s="4905">
        <f>Assumption!R61+DCF!$G$58</f>
        <v>2.3E-3</v>
      </c>
      <c r="S32" s="4905">
        <f>Assumption!S61+DCF!$G$58</f>
        <v>2.294915103823189E-3</v>
      </c>
      <c r="T32" s="4906">
        <f>Assumption!T61+DCF!$G$58</f>
        <v>2.2898414494590428E-3</v>
      </c>
      <c r="V32" s="2511">
        <f>+T32-O32</f>
        <v>2.2898414494590428E-3</v>
      </c>
    </row>
    <row r="33" spans="1:28" ht="12" customHeight="1">
      <c r="C33" s="4892"/>
      <c r="E33" s="3" t="s">
        <v>326</v>
      </c>
      <c r="H33" s="110" t="s">
        <v>3549</v>
      </c>
      <c r="J33" s="220">
        <f>HLOOKUP(J$19,FDD_매출MASTER!$J$2:$N$9,MATCH($C28,FDD_매출MASTER!$H$2:$H$9,0),FALSE)</f>
        <v>1124.6767963651237</v>
      </c>
      <c r="K33" s="221">
        <f>HLOOKUP(K$19,FDD_매출MASTER!$J$2:$N$9,MATCH($C28,FDD_매출MASTER!$H$2:$H$9,0),FALSE)</f>
        <v>1147.5255515029587</v>
      </c>
      <c r="L33" s="221">
        <f>HLOOKUP(L$19,FDD_매출MASTER!$J$2:$N$9,MATCH($C28,FDD_매출MASTER!$H$2:$H$9,0),FALSE)</f>
        <v>1200.9266056852096</v>
      </c>
      <c r="M33" s="5063">
        <f>HLOOKUP(M$19,FDD_매출MASTER!$J$2:$N$9,MATCH($C28,FDD_매출MASTER!$H$2:$H$9,0),FALSE)</f>
        <v>1154.701031206054</v>
      </c>
      <c r="N33" s="5060">
        <f>Assumption!N$78</f>
        <v>1182.5</v>
      </c>
      <c r="O33" s="370"/>
      <c r="P33" s="4882">
        <f>Assumption!P$78</f>
        <v>1142.53125</v>
      </c>
      <c r="Q33" s="4882">
        <f>Assumption!Q$78</f>
        <v>1138.95</v>
      </c>
      <c r="R33" s="4882">
        <f>Assumption!R$78</f>
        <v>1135.2</v>
      </c>
      <c r="S33" s="4882">
        <f>Assumption!S$78</f>
        <v>1111</v>
      </c>
      <c r="T33" s="4895">
        <f>Assumption!T$78</f>
        <v>1111</v>
      </c>
    </row>
    <row r="34" spans="1:28" ht="12" customHeight="1">
      <c r="C34" s="4898"/>
      <c r="D34" s="12" t="s">
        <v>1352</v>
      </c>
      <c r="E34" s="12"/>
      <c r="F34" s="12"/>
      <c r="G34" s="12"/>
      <c r="H34" s="1950" t="s">
        <v>3487</v>
      </c>
      <c r="I34" s="12"/>
      <c r="J34" s="4899">
        <f>SUMIFS('과거손익(Summary)'!$G$3:$G$54,'과거손익(Summary)'!$E$3:$E$54,J$19,'과거손익(Summary)'!$B$3:$B$54,$C28)</f>
        <v>39446.750799999994</v>
      </c>
      <c r="K34" s="4900">
        <f>SUMIFS('과거손익(Summary)'!$G$3:$G$54,'과거손익(Summary)'!$E$3:$E$54,K$19,'과거손익(Summary)'!$B$3:$B$54,$C28)</f>
        <v>45910.3151</v>
      </c>
      <c r="L34" s="4900">
        <f>SUMIFS('과거손익(Summary)'!$G$3:$G$54,'과거손익(Summary)'!$E$3:$E$54,L$19,'과거손익(Summary)'!$B$3:$B$54,$C28)</f>
        <v>32290</v>
      </c>
      <c r="M34" s="5064">
        <f>SUMIFS('과거손익(Summary)'!$G$3:$G$54,'과거손익(Summary)'!$E$3:$E$54,M$19,'과거손익(Summary)'!$B$3:$B$54,$C28)</f>
        <v>24624</v>
      </c>
      <c r="N34" s="5065">
        <f>SUMIFS(Assumption!N$103:N$114,Assumption!$B$103:$B$114,$C28)</f>
        <v>8376</v>
      </c>
      <c r="O34" s="355">
        <f>SUM(M34:N34)</f>
        <v>33000</v>
      </c>
      <c r="P34" s="4901">
        <f>SUMIFS(Assumption!P$103:P$114,Assumption!$B$103:$B$114,$C28)</f>
        <v>33000</v>
      </c>
      <c r="Q34" s="4901">
        <f>SUMIFS(Assumption!Q$103:Q$114,Assumption!$B$103:$B$114,$C28)</f>
        <v>33000</v>
      </c>
      <c r="R34" s="4901">
        <f>SUMIFS(Assumption!R$103:R$114,Assumption!$B$103:$B$114,$C28)</f>
        <v>31000</v>
      </c>
      <c r="S34" s="4901">
        <f>SUMIFS(Assumption!S$103:S$114,Assumption!$B$103:$B$114,$C28)</f>
        <v>32884.282793324528</v>
      </c>
      <c r="T34" s="4902">
        <f>SUMIFS(Assumption!T$103:T$114,Assumption!$B$103:$B$114,$C28)</f>
        <v>32693.689567430025</v>
      </c>
    </row>
    <row r="35" spans="1:28" ht="12" customHeight="1">
      <c r="C35" s="4892" t="s">
        <v>264</v>
      </c>
      <c r="H35" s="110"/>
      <c r="J35" s="230">
        <f>SUMIFS('과거손익(Summary)'!$F$3:$F$54,'과거손익(Summary)'!$E$3:$E$54,J$19,'과거손익(Summary)'!$B$3:$B$54,$C35)</f>
        <v>364131.15433200001</v>
      </c>
      <c r="K35" s="231">
        <f>SUMIFS('과거손익(Summary)'!$F$3:$F$54,'과거손익(Summary)'!$E$3:$E$54,K$19,'과거손익(Summary)'!$B$3:$B$54,$C35)</f>
        <v>363298.17271299998</v>
      </c>
      <c r="L35" s="231">
        <f>SUMIFS('과거손익(Summary)'!$F$3:$F$54,'과거손익(Summary)'!$E$3:$E$54,L$19,'과거손익(Summary)'!$B$3:$B$54,$C35)</f>
        <v>403096.37652699999</v>
      </c>
      <c r="M35" s="5066">
        <f>SUMIFS('과거손익(Summary)'!$F$3:$F$54,'과거손익(Summary)'!$E$3:$E$54,M$19,'과거손익(Summary)'!$B$3:$B$54,$C35)</f>
        <v>423015.36886300001</v>
      </c>
      <c r="N35" s="5050">
        <f>N37*N41</f>
        <v>126118.54068640259</v>
      </c>
      <c r="O35" s="320">
        <f>SUM(M35:N35)</f>
        <v>549133.90954940254</v>
      </c>
      <c r="P35" s="4879">
        <f t="shared" ref="P35" si="39">P37*P41</f>
        <v>491421.93694054335</v>
      </c>
      <c r="Q35" s="4879">
        <f t="shared" ref="Q35" si="40">Q37*Q41</f>
        <v>488702.81470047106</v>
      </c>
      <c r="R35" s="4879">
        <f t="shared" ref="R35" si="41">R37*R41</f>
        <v>474347.27159168263</v>
      </c>
      <c r="S35" s="4879">
        <f t="shared" ref="S35:T35" si="42">S37*S41</f>
        <v>452469.96688852925</v>
      </c>
      <c r="T35" s="4903">
        <f t="shared" si="42"/>
        <v>442369.76687160548</v>
      </c>
      <c r="U35" s="2084"/>
      <c r="V35" s="2084"/>
      <c r="W35" s="2084"/>
      <c r="X35" s="2084"/>
      <c r="Y35" s="2084"/>
      <c r="Z35" s="2084"/>
      <c r="AA35" s="2084"/>
      <c r="AB35" s="4403"/>
    </row>
    <row r="36" spans="1:28" s="400" customFormat="1" ht="12" customHeight="1">
      <c r="A36" s="45"/>
      <c r="B36" s="45"/>
      <c r="C36" s="4890" t="s">
        <v>3649</v>
      </c>
      <c r="D36" s="45"/>
      <c r="E36" s="45"/>
      <c r="F36" s="45"/>
      <c r="G36" s="45"/>
      <c r="H36" s="110" t="s">
        <v>360</v>
      </c>
      <c r="I36" s="45"/>
      <c r="J36" s="2034" t="str">
        <f>IFERROR(J35/I35-1,"n.p")</f>
        <v>n.p</v>
      </c>
      <c r="K36" s="1936">
        <f t="shared" ref="K36" si="43">IFERROR(K35/J35-1,"n.p")</f>
        <v>-2.2875867914354808E-3</v>
      </c>
      <c r="L36" s="1936">
        <f>IFERROR(L35/K35-1,"n.p")</f>
        <v>0.10954694188742864</v>
      </c>
      <c r="M36" s="5051"/>
      <c r="N36" s="5052"/>
      <c r="O36" s="1936">
        <f>O35/L35-1</f>
        <v>0.36228937178903364</v>
      </c>
      <c r="P36" s="4880">
        <f>P35/O35-1</f>
        <v>-0.10509635556146102</v>
      </c>
      <c r="Q36" s="4880">
        <f t="shared" ref="Q36" si="44">Q35/P35-1</f>
        <v>-5.5331722816461815E-3</v>
      </c>
      <c r="R36" s="4880">
        <f t="shared" ref="R36" si="45">R35/Q35-1</f>
        <v>-2.9374791134745171E-2</v>
      </c>
      <c r="S36" s="4880">
        <f t="shared" ref="S36" si="46">S35/R35-1</f>
        <v>-4.6120861262137325E-2</v>
      </c>
      <c r="T36" s="4891">
        <f t="shared" ref="T36" si="47">T35/S35-1</f>
        <v>-2.2322365584569459E-2</v>
      </c>
      <c r="V36" s="2511">
        <f>+T36-O36</f>
        <v>-0.3846117373736031</v>
      </c>
    </row>
    <row r="37" spans="1:28" ht="12" customHeight="1">
      <c r="C37" s="4892"/>
      <c r="D37" s="3" t="s">
        <v>3539</v>
      </c>
      <c r="H37" s="110" t="s">
        <v>3546</v>
      </c>
      <c r="J37" s="232">
        <f>J35/J41</f>
        <v>0.55223537786268595</v>
      </c>
      <c r="K37" s="233">
        <f t="shared" ref="K37" si="48">K35/K41</f>
        <v>0.59657305287576556</v>
      </c>
      <c r="L37" s="306">
        <f t="shared" ref="L37:M37" si="49">L35/L41</f>
        <v>0.76223505674281178</v>
      </c>
      <c r="M37" s="5057">
        <f t="shared" si="49"/>
        <v>0.94566859149956062</v>
      </c>
      <c r="N37" s="5058">
        <f>N38*(1+N39)*N40/10^6</f>
        <v>0.90941359663908361</v>
      </c>
      <c r="O37" s="357">
        <f>O35/O41</f>
        <v>0.9370885828488098</v>
      </c>
      <c r="P37" s="4893">
        <f t="shared" ref="P37" si="50">P38*(1+P39)*P40/10^6</f>
        <v>0.90835847863316699</v>
      </c>
      <c r="Q37" s="4893">
        <f t="shared" ref="Q37" si="51">Q38*(1+Q39)*Q40/10^6</f>
        <v>0.88693795771410355</v>
      </c>
      <c r="R37" s="4893">
        <f t="shared" ref="R37" si="52">R38*(1+R39)*R40/10^6</f>
        <v>0.86402053113239097</v>
      </c>
      <c r="S37" s="4893">
        <f t="shared" ref="S37:T37" si="53">S38*(1+S39)*S40/10^6</f>
        <v>0.81332577686704222</v>
      </c>
      <c r="T37" s="4894">
        <f t="shared" si="53"/>
        <v>0.79980599793612039</v>
      </c>
    </row>
    <row r="38" spans="1:28" ht="12" customHeight="1">
      <c r="C38" s="4892"/>
      <c r="E38" s="3" t="s">
        <v>3541</v>
      </c>
      <c r="H38" s="110" t="s">
        <v>3547</v>
      </c>
      <c r="J38" s="3615">
        <f>J37*10^6/J40/(1+J39)</f>
        <v>497.25134946320503</v>
      </c>
      <c r="K38" s="3616">
        <f t="shared" ref="K38" si="54">K37*10^6/K40/(1+K39)</f>
        <v>508.9228707906326</v>
      </c>
      <c r="L38" s="3616">
        <f t="shared" ref="L38" si="55">L37*10^6/L40/(1+L39)</f>
        <v>648.8789695004175</v>
      </c>
      <c r="M38" s="5059">
        <f t="shared" ref="M38" si="56">M37*10^6/M40/(1+M39)</f>
        <v>832.09191595327502</v>
      </c>
      <c r="N38" s="5060">
        <f>Assumption!N23</f>
        <v>766.30143882790117</v>
      </c>
      <c r="O38" s="370"/>
      <c r="P38" s="4882">
        <f>Assumption!P23</f>
        <v>791.87288798530733</v>
      </c>
      <c r="Q38" s="4882">
        <f>Assumption!Q23</f>
        <v>775.47600723530684</v>
      </c>
      <c r="R38" s="4882">
        <f>Assumption!R23</f>
        <v>757.6323428897183</v>
      </c>
      <c r="S38" s="4882">
        <f>Assumption!S23</f>
        <v>728.6966709779532</v>
      </c>
      <c r="T38" s="4895">
        <f>Assumption!T23</f>
        <v>716.5662210304406</v>
      </c>
    </row>
    <row r="39" spans="1:28" ht="12" customHeight="1">
      <c r="C39" s="4892"/>
      <c r="E39" s="3" t="s">
        <v>3543</v>
      </c>
      <c r="H39" s="110" t="s">
        <v>2702</v>
      </c>
      <c r="J39" s="286">
        <f>Assumption!J62</f>
        <v>6.9999999999999993E-3</v>
      </c>
      <c r="K39" s="246">
        <f>Assumption!K62</f>
        <v>6.8999999999999999E-3</v>
      </c>
      <c r="L39" s="246">
        <f>Assumption!L62</f>
        <v>4.5000000000000005E-3</v>
      </c>
      <c r="M39" s="5067">
        <f>Assumption!M62</f>
        <v>4.3E-3</v>
      </c>
      <c r="N39" s="5068">
        <f>Assumption!N62+DCF!$G$62</f>
        <v>3.5999999999999999E-3</v>
      </c>
      <c r="O39" s="4904"/>
      <c r="P39" s="4905">
        <f>Assumption!P62+DCF!$G$62</f>
        <v>4.0000000000000001E-3</v>
      </c>
      <c r="Q39" s="4905">
        <f>Assumption!Q62+DCF!$G$62</f>
        <v>4.1999999999999997E-3</v>
      </c>
      <c r="R39" s="4905">
        <f>Assumption!R62+DCF!$G$62</f>
        <v>4.5999999999999999E-3</v>
      </c>
      <c r="S39" s="4905">
        <f>Assumption!S62+DCF!$G$62</f>
        <v>4.6243313262904501E-3</v>
      </c>
      <c r="T39" s="4906">
        <f>Assumption!T62+DCF!$G$62</f>
        <v>4.6487913511546073E-3</v>
      </c>
      <c r="V39" s="2511">
        <f>+T39-O39</f>
        <v>4.6487913511546073E-3</v>
      </c>
    </row>
    <row r="40" spans="1:28" ht="12" customHeight="1">
      <c r="C40" s="4892"/>
      <c r="E40" s="3" t="s">
        <v>326</v>
      </c>
      <c r="H40" s="110" t="s">
        <v>3549</v>
      </c>
      <c r="J40" s="220">
        <f>HLOOKUP(J$19,FDD_매출MASTER!$J$2:$N$9,MATCH($C35,FDD_매출MASTER!$H$2:$H$9,0),FALSE)</f>
        <v>1102.8559344145283</v>
      </c>
      <c r="K40" s="221">
        <f>HLOOKUP(K$19,FDD_매출MASTER!$J$2:$N$9,MATCH($C35,FDD_매출MASTER!$H$2:$H$9,0),FALSE)</f>
        <v>1164.1939103599261</v>
      </c>
      <c r="L40" s="221">
        <f>HLOOKUP(L$19,FDD_매출MASTER!$J$2:$N$9,MATCH($C35,FDD_매출MASTER!$H$2:$H$9,0),FALSE)</f>
        <v>1169.4328230179669</v>
      </c>
      <c r="M40" s="5063">
        <f>HLOOKUP(M$19,FDD_매출MASTER!$J$2:$N$9,MATCH($C35,FDD_매출MASTER!$H$2:$H$9,0),FALSE)</f>
        <v>1131.6293417227394</v>
      </c>
      <c r="N40" s="5060">
        <f>Assumption!N$78</f>
        <v>1182.5</v>
      </c>
      <c r="O40" s="370"/>
      <c r="P40" s="4882">
        <f>Assumption!P$78</f>
        <v>1142.53125</v>
      </c>
      <c r="Q40" s="4882">
        <f>Assumption!Q$78</f>
        <v>1138.95</v>
      </c>
      <c r="R40" s="4882">
        <f>Assumption!R$78</f>
        <v>1135.2</v>
      </c>
      <c r="S40" s="4882">
        <f>Assumption!S$78</f>
        <v>1111</v>
      </c>
      <c r="T40" s="4895">
        <f>Assumption!T$78</f>
        <v>1111</v>
      </c>
    </row>
    <row r="41" spans="1:28" ht="12" customHeight="1">
      <c r="C41" s="4898"/>
      <c r="D41" s="12" t="s">
        <v>1352</v>
      </c>
      <c r="E41" s="12"/>
      <c r="F41" s="12"/>
      <c r="G41" s="12"/>
      <c r="H41" s="1950" t="s">
        <v>3548</v>
      </c>
      <c r="I41" s="12"/>
      <c r="J41" s="4899">
        <f>SUMIFS('과거손익(Summary)'!$G$3:$G$54,'과거손익(Summary)'!$E$3:$E$54,J$19,'과거손익(Summary)'!$B$3:$B$54,$C35)</f>
        <v>659376.72400000005</v>
      </c>
      <c r="K41" s="4900">
        <f>SUMIFS('과거손익(Summary)'!$G$3:$G$54,'과거손익(Summary)'!$E$3:$E$54,K$19,'과거손익(Summary)'!$B$3:$B$54,$C35)</f>
        <v>608975.16399999999</v>
      </c>
      <c r="L41" s="4900">
        <f>SUMIFS('과거손익(Summary)'!$G$3:$G$54,'과거손익(Summary)'!$E$3:$E$54,L$19,'과거손익(Summary)'!$B$3:$B$54,$C35)</f>
        <v>528834.73800000001</v>
      </c>
      <c r="M41" s="5064">
        <f>SUMIFS('과거손익(Summary)'!$G$3:$G$54,'과거손익(Summary)'!$E$3:$E$54,M$19,'과거손익(Summary)'!$B$3:$B$54,$C35)</f>
        <v>447318.83100000001</v>
      </c>
      <c r="N41" s="5065">
        <f>SUMIFS(Assumption!N$103:N$114,Assumption!$B$103:$B$114,$C35)</f>
        <v>138681.16899999999</v>
      </c>
      <c r="O41" s="355">
        <f>SUM(M41:N41)</f>
        <v>586000</v>
      </c>
      <c r="P41" s="4901">
        <f>SUMIFS(Assumption!P$103:P$114,Assumption!$B$103:$B$114,$C35)</f>
        <v>541000</v>
      </c>
      <c r="Q41" s="4901">
        <f>SUMIFS(Assumption!Q$103:Q$114,Assumption!$B$103:$B$114,$C35)</f>
        <v>551000</v>
      </c>
      <c r="R41" s="4901">
        <f>SUMIFS(Assumption!R$103:R$114,Assumption!$B$103:$B$114,$C35)</f>
        <v>549000</v>
      </c>
      <c r="S41" s="4901">
        <f>SUMIFS(Assumption!S$103:S$114,Assumption!$B$103:$B$114,$C35)</f>
        <v>556320.70168912946</v>
      </c>
      <c r="T41" s="4902">
        <f>SUMIFS(Assumption!T$103:T$114,Assumption!$B$103:$B$114,$C35)</f>
        <v>553096.33587786253</v>
      </c>
    </row>
    <row r="42" spans="1:28" ht="12" customHeight="1">
      <c r="C42" s="4884" t="s">
        <v>316</v>
      </c>
      <c r="D42" s="4150"/>
      <c r="E42" s="4150"/>
      <c r="F42" s="4150"/>
      <c r="G42" s="4150"/>
      <c r="H42" s="4149"/>
      <c r="I42" s="4150"/>
      <c r="J42" s="4885">
        <f>SUMIFS('과거손익(Summary)'!$F$3:$F$54,'과거손익(Summary)'!$E$3:$E$54,J$19,'과거손익(Summary)'!$B$3:$B$54,$C42)</f>
        <v>0</v>
      </c>
      <c r="K42" s="4886">
        <f>SUMIFS('과거손익(Summary)'!$F$3:$F$54,'과거손익(Summary)'!$E$3:$E$54,K$19,'과거손익(Summary)'!$B$3:$B$54,$C42)</f>
        <v>3473.861429</v>
      </c>
      <c r="L42" s="4886">
        <f>SUMIFS('과거손익(Summary)'!$F$3:$F$54,'과거손익(Summary)'!$E$3:$E$54,L$19,'과거손익(Summary)'!$B$3:$B$54,$C42)</f>
        <v>199.31267500000001</v>
      </c>
      <c r="M42" s="5055">
        <f>SUMIFS('과거손익(Summary)'!$F$3:$F$54,'과거손익(Summary)'!$E$3:$E$54,M$19,'과거손익(Summary)'!$B$3:$B$54,$C42)</f>
        <v>1824.777666</v>
      </c>
      <c r="N42" s="5056">
        <f>N44*N48</f>
        <v>0</v>
      </c>
      <c r="O42" s="4887">
        <f>SUM(M42:N42)</f>
        <v>1824.777666</v>
      </c>
      <c r="P42" s="4888">
        <f t="shared" ref="P42" si="57">P44*P48</f>
        <v>0</v>
      </c>
      <c r="Q42" s="4888">
        <f t="shared" ref="Q42" si="58">Q44*Q48</f>
        <v>0</v>
      </c>
      <c r="R42" s="4888">
        <f t="shared" ref="R42" si="59">R44*R48</f>
        <v>0</v>
      </c>
      <c r="S42" s="4888">
        <f t="shared" ref="S42:T42" si="60">S44*S48</f>
        <v>0</v>
      </c>
      <c r="T42" s="4889">
        <f t="shared" si="60"/>
        <v>0</v>
      </c>
      <c r="V42" s="2084"/>
      <c r="W42" s="2084"/>
      <c r="X42" s="2084"/>
      <c r="Y42" s="2084"/>
      <c r="Z42" s="2084"/>
      <c r="AA42" s="2084"/>
      <c r="AB42" s="4403"/>
    </row>
    <row r="43" spans="1:28" s="400" customFormat="1" ht="12" customHeight="1">
      <c r="A43" s="45"/>
      <c r="B43" s="45"/>
      <c r="C43" s="4890" t="s">
        <v>3649</v>
      </c>
      <c r="D43" s="45"/>
      <c r="E43" s="45"/>
      <c r="F43" s="45"/>
      <c r="G43" s="45"/>
      <c r="H43" s="110" t="s">
        <v>360</v>
      </c>
      <c r="I43" s="45"/>
      <c r="J43" s="2034" t="str">
        <f>IFERROR(J42/I42-1,"n.p")</f>
        <v>n.p</v>
      </c>
      <c r="K43" s="1936" t="str">
        <f t="shared" ref="K43" si="61">IFERROR(K42/J42-1,"n.p")</f>
        <v>n.p</v>
      </c>
      <c r="L43" s="1936">
        <f>IFERROR(L42/K42-1,"n.p")</f>
        <v>-0.9426250358358782</v>
      </c>
      <c r="M43" s="5051"/>
      <c r="N43" s="5052"/>
      <c r="O43" s="1936">
        <f>O42/L42-1</f>
        <v>8.1553518410206465</v>
      </c>
      <c r="P43" s="4880">
        <f>P42/O42-1</f>
        <v>-1</v>
      </c>
      <c r="Q43" s="4880" t="e">
        <f t="shared" ref="Q43" si="62">Q42/P42-1</f>
        <v>#DIV/0!</v>
      </c>
      <c r="R43" s="4880" t="e">
        <f t="shared" ref="R43" si="63">R42/Q42-1</f>
        <v>#DIV/0!</v>
      </c>
      <c r="S43" s="4880" t="e">
        <f t="shared" ref="S43" si="64">S42/R42-1</f>
        <v>#DIV/0!</v>
      </c>
      <c r="T43" s="4891" t="e">
        <f t="shared" ref="T43" si="65">T42/S42-1</f>
        <v>#DIV/0!</v>
      </c>
    </row>
    <row r="44" spans="1:28" ht="12" customHeight="1">
      <c r="C44" s="4892"/>
      <c r="D44" s="3" t="s">
        <v>3539</v>
      </c>
      <c r="H44" s="110" t="s">
        <v>3546</v>
      </c>
      <c r="J44" s="292" t="str">
        <f>IFERROR(J42/J48,"n.a")</f>
        <v>n.a</v>
      </c>
      <c r="K44" s="233">
        <f t="shared" ref="K44" si="66">IFERROR(K42/K48,"n.a")</f>
        <v>0.66753678497309765</v>
      </c>
      <c r="L44" s="306">
        <f t="shared" ref="L44:M44" si="67">IFERROR(L42/L48,"n.a")</f>
        <v>0.97702291666666674</v>
      </c>
      <c r="M44" s="5057">
        <f t="shared" si="67"/>
        <v>1.0026250912087913</v>
      </c>
      <c r="N44" s="5058">
        <f>(N45+N46)*N47/10^6</f>
        <v>1.079978951413993</v>
      </c>
      <c r="O44" s="357">
        <f>O42/O48</f>
        <v>1.0026250912087913</v>
      </c>
      <c r="P44" s="4893">
        <f t="shared" ref="P44:T44" si="68">(P45+P46)*P47/10^6</f>
        <v>1.0464133955509631</v>
      </c>
      <c r="Q44" s="4893">
        <f t="shared" si="68"/>
        <v>1.0187634484406527</v>
      </c>
      <c r="R44" s="4893">
        <f t="shared" si="68"/>
        <v>0.99174743564840828</v>
      </c>
      <c r="S44" s="4893">
        <f t="shared" si="68"/>
        <v>0.93845800145650593</v>
      </c>
      <c r="T44" s="4894">
        <f t="shared" si="68"/>
        <v>0.92498107156481957</v>
      </c>
    </row>
    <row r="45" spans="1:28" ht="12" customHeight="1">
      <c r="C45" s="4892"/>
      <c r="E45" s="3" t="s">
        <v>3541</v>
      </c>
      <c r="H45" s="110" t="s">
        <v>3547</v>
      </c>
      <c r="J45" s="230">
        <f>Assumption!J23</f>
        <v>505.03866815377108</v>
      </c>
      <c r="K45" s="231">
        <f>Assumption!K23</f>
        <v>521.16106031646598</v>
      </c>
      <c r="L45" s="231">
        <f>Assumption!L23</f>
        <v>660.61050334305128</v>
      </c>
      <c r="M45" s="5066">
        <f>Assumption!M23</f>
        <v>827.8187835271948</v>
      </c>
      <c r="N45" s="5060">
        <f>Assumption!N23</f>
        <v>766.30143882790117</v>
      </c>
      <c r="O45" s="370"/>
      <c r="P45" s="4882">
        <f>Assumption!P23</f>
        <v>791.87288798530733</v>
      </c>
      <c r="Q45" s="4882">
        <f>Assumption!Q23</f>
        <v>775.47600723530684</v>
      </c>
      <c r="R45" s="4882">
        <f>Assumption!R23</f>
        <v>757.6323428897183</v>
      </c>
      <c r="S45" s="4882">
        <f>Assumption!S23</f>
        <v>728.6966709779532</v>
      </c>
      <c r="T45" s="4895">
        <f>Assumption!T23</f>
        <v>716.5662210304406</v>
      </c>
    </row>
    <row r="46" spans="1:28" ht="12" customHeight="1">
      <c r="C46" s="4892"/>
      <c r="E46" s="3" t="s">
        <v>3543</v>
      </c>
      <c r="H46" s="110" t="s">
        <v>3547</v>
      </c>
      <c r="J46" s="299" t="str">
        <f>IFERROR((J44/J47*10^6)-J45,"n.a")</f>
        <v>n.a</v>
      </c>
      <c r="K46" s="205">
        <f>(K44/K47*10^6)-K45</f>
        <v>68.984376788550207</v>
      </c>
      <c r="L46" s="205">
        <f>(L44/L47*10^6)-L45</f>
        <v>212.3288642236015</v>
      </c>
      <c r="M46" s="5069">
        <f>(M44/M47*10^6)-M45</f>
        <v>68.471238450827173</v>
      </c>
      <c r="N46" s="5060">
        <f>Assumption!N63</f>
        <v>147</v>
      </c>
      <c r="O46" s="370"/>
      <c r="P46" s="4882">
        <f>Assumption!P63</f>
        <v>124</v>
      </c>
      <c r="Q46" s="4882">
        <f>Assumption!Q63</f>
        <v>119</v>
      </c>
      <c r="R46" s="4882">
        <f>Assumption!R63</f>
        <v>116</v>
      </c>
      <c r="S46" s="4882">
        <f>Assumption!S63</f>
        <v>116</v>
      </c>
      <c r="T46" s="4895">
        <f>Assumption!T63</f>
        <v>116</v>
      </c>
    </row>
    <row r="47" spans="1:28" ht="12" customHeight="1">
      <c r="C47" s="4892"/>
      <c r="E47" s="3" t="s">
        <v>326</v>
      </c>
      <c r="H47" s="110" t="s">
        <v>3549</v>
      </c>
      <c r="J47" s="220">
        <f>HLOOKUP(J$19,FDD_매출MASTER!$J$2:$N$9,MATCH($C42,FDD_매출MASTER!$H$2:$H$9,0),FALSE)</f>
        <v>1077.6354087459788</v>
      </c>
      <c r="K47" s="221">
        <f>HLOOKUP(K$19,FDD_매출MASTER!$J$2:$N$9,MATCH($C42,FDD_매출MASTER!$H$2:$H$9,0),FALSE)</f>
        <v>1131.1394497053609</v>
      </c>
      <c r="L47" s="221">
        <f>HLOOKUP(L$19,FDD_매출MASTER!$J$2:$N$9,MATCH($C42,FDD_매출MASTER!$H$2:$H$9,0),FALSE)</f>
        <v>1119.2334232675864</v>
      </c>
      <c r="M47" s="5063">
        <f>HLOOKUP(M$19,FDD_매출MASTER!$J$2:$N$9,MATCH($C42,FDD_매출MASTER!$H$2:$H$9,0),FALSE)</f>
        <v>1118.6391308876769</v>
      </c>
      <c r="N47" s="5060">
        <f>Assumption!N$78</f>
        <v>1182.5</v>
      </c>
      <c r="O47" s="370"/>
      <c r="P47" s="4882">
        <f>Assumption!P$78</f>
        <v>1142.53125</v>
      </c>
      <c r="Q47" s="4882">
        <f>Assumption!Q$78</f>
        <v>1138.95</v>
      </c>
      <c r="R47" s="4882">
        <f>Assumption!R$78</f>
        <v>1135.2</v>
      </c>
      <c r="S47" s="4882">
        <f>Assumption!S$78</f>
        <v>1111</v>
      </c>
      <c r="T47" s="4895">
        <f>Assumption!T$78</f>
        <v>1111</v>
      </c>
    </row>
    <row r="48" spans="1:28" ht="12" customHeight="1">
      <c r="C48" s="4898"/>
      <c r="D48" s="12" t="s">
        <v>1352</v>
      </c>
      <c r="E48" s="12"/>
      <c r="F48" s="12"/>
      <c r="G48" s="12"/>
      <c r="H48" s="1950" t="s">
        <v>3548</v>
      </c>
      <c r="I48" s="12"/>
      <c r="J48" s="4899">
        <f>SUMIFS('과거손익(Summary)'!$G$3:$G$54,'과거손익(Summary)'!$E$3:$E$54,J$19,'과거손익(Summary)'!$B$3:$B$54,$C42)</f>
        <v>0</v>
      </c>
      <c r="K48" s="4900">
        <f>SUMIFS('과거손익(Summary)'!$G$3:$G$54,'과거손익(Summary)'!$E$3:$E$54,K$19,'과거손익(Summary)'!$B$3:$B$54,$C42)</f>
        <v>5204</v>
      </c>
      <c r="L48" s="4900">
        <f>SUMIFS('과거손익(Summary)'!$G$3:$G$54,'과거손익(Summary)'!$E$3:$E$54,L$19,'과거손익(Summary)'!$B$3:$B$54,$C42)</f>
        <v>204</v>
      </c>
      <c r="M48" s="5064">
        <f>SUMIFS('과거손익(Summary)'!$G$3:$G$54,'과거손익(Summary)'!$E$3:$E$54,M$19,'과거손익(Summary)'!$B$3:$B$54,$C42)</f>
        <v>1820</v>
      </c>
      <c r="N48" s="5065">
        <f>SUMIFS(Assumption!N$103:N$114,Assumption!$B$103:$B$114,$C42)</f>
        <v>0</v>
      </c>
      <c r="O48" s="355">
        <f>SUM(M48:N48)</f>
        <v>1820</v>
      </c>
      <c r="P48" s="4901">
        <f>SUMIFS(Assumption!P$103:P$114,Assumption!$B$103:$B$114,$C42)</f>
        <v>0</v>
      </c>
      <c r="Q48" s="4901">
        <f>SUMIFS(Assumption!Q$103:Q$114,Assumption!$B$103:$B$114,$C42)</f>
        <v>0</v>
      </c>
      <c r="R48" s="4901">
        <f>SUMIFS(Assumption!R$103:R$114,Assumption!$B$103:$B$114,$C42)</f>
        <v>0</v>
      </c>
      <c r="S48" s="4901">
        <f>SUMIFS(Assumption!S$103:S$114,Assumption!$B$103:$B$114,$C42)</f>
        <v>0</v>
      </c>
      <c r="T48" s="4902">
        <f>SUMIFS(Assumption!T$103:T$114,Assumption!$B$103:$B$114,$C42)</f>
        <v>0</v>
      </c>
    </row>
    <row r="49" spans="1:22" ht="12" customHeight="1">
      <c r="C49" s="4892" t="s">
        <v>268</v>
      </c>
      <c r="H49" s="110"/>
      <c r="J49" s="230">
        <f>SUMIFS('과거손익(Summary)'!$F$3:$F$54,'과거손익(Summary)'!$E$3:$E$54,J$19,'과거손익(Summary)'!$B$3:$B$54,$C49)</f>
        <v>57807.594981000002</v>
      </c>
      <c r="K49" s="231">
        <f>SUMIFS('과거손익(Summary)'!$F$3:$F$54,'과거손익(Summary)'!$E$3:$E$54,K$19,'과거손익(Summary)'!$B$3:$B$54,$C49)</f>
        <v>94481.115502000001</v>
      </c>
      <c r="L49" s="231">
        <f>SUMIFS('과거손익(Summary)'!$F$3:$F$54,'과거손익(Summary)'!$E$3:$E$54,L$19,'과거손익(Summary)'!$B$3:$B$54,$C49)</f>
        <v>136593.721192</v>
      </c>
      <c r="M49" s="5066">
        <f>SUMIFS('과거손익(Summary)'!$F$3:$F$54,'과거손익(Summary)'!$E$3:$E$54,M$19,'과거손익(Summary)'!$B$3:$B$54,$C49)</f>
        <v>110794.403028</v>
      </c>
      <c r="N49" s="5050">
        <f>N51*N55</f>
        <v>34565.841997167452</v>
      </c>
      <c r="O49" s="320">
        <f>SUM(M49:N49)</f>
        <v>145360.24502516745</v>
      </c>
      <c r="P49" s="4879">
        <f t="shared" ref="P49" si="69">P51*P55</f>
        <v>141891.11981370769</v>
      </c>
      <c r="Q49" s="4879">
        <f t="shared" ref="Q49" si="70">Q51*Q55</f>
        <v>137819.8216311883</v>
      </c>
      <c r="R49" s="4879">
        <f t="shared" ref="R49" si="71">R51*R55</f>
        <v>119186.35158370412</v>
      </c>
      <c r="S49" s="4879">
        <f t="shared" ref="S49:T49" si="72">S51*S55</f>
        <v>102802.66186633579</v>
      </c>
      <c r="T49" s="4903">
        <f t="shared" si="72"/>
        <v>96150.295365937651</v>
      </c>
    </row>
    <row r="50" spans="1:22" s="400" customFormat="1" ht="12" customHeight="1">
      <c r="A50" s="45"/>
      <c r="B50" s="45"/>
      <c r="C50" s="4890" t="s">
        <v>3649</v>
      </c>
      <c r="D50" s="45"/>
      <c r="E50" s="45"/>
      <c r="F50" s="45"/>
      <c r="G50" s="45"/>
      <c r="H50" s="110" t="s">
        <v>360</v>
      </c>
      <c r="I50" s="45"/>
      <c r="J50" s="2034" t="str">
        <f>IFERROR(J49/I49-1,"n.p")</f>
        <v>n.p</v>
      </c>
      <c r="K50" s="1936">
        <f t="shared" ref="K50" si="73">IFERROR(K49/J49-1,"n.p")</f>
        <v>0.63440661271332455</v>
      </c>
      <c r="L50" s="1936">
        <f>IFERROR(L49/K49-1,"n.p")</f>
        <v>0.44572511095202461</v>
      </c>
      <c r="M50" s="5051"/>
      <c r="N50" s="5052"/>
      <c r="O50" s="1936">
        <f>O49/L49-1</f>
        <v>6.4179552007701535E-2</v>
      </c>
      <c r="P50" s="4880">
        <f>P49/O49-1</f>
        <v>-2.3865708336272551E-2</v>
      </c>
      <c r="Q50" s="4880">
        <f t="shared" ref="Q50" si="74">Q49/P49-1</f>
        <v>-2.8693114747876391E-2</v>
      </c>
      <c r="R50" s="4880">
        <f t="shared" ref="R50" si="75">R49/Q49-1</f>
        <v>-0.13520167002790162</v>
      </c>
      <c r="S50" s="4880">
        <f t="shared" ref="S50" si="76">S49/R49-1</f>
        <v>-0.1374628008968134</v>
      </c>
      <c r="T50" s="4891">
        <f t="shared" ref="T50" si="77">T49/S49-1</f>
        <v>-6.4710060806086545E-2</v>
      </c>
      <c r="V50" s="2511">
        <f>+T50-O50</f>
        <v>-0.12888961281378808</v>
      </c>
    </row>
    <row r="51" spans="1:22" ht="12" customHeight="1">
      <c r="C51" s="4892"/>
      <c r="D51" s="3" t="s">
        <v>3539</v>
      </c>
      <c r="H51" s="110" t="s">
        <v>3546</v>
      </c>
      <c r="J51" s="292">
        <f>IFERROR(J49/J55,"n.a")</f>
        <v>36.487495352716103</v>
      </c>
      <c r="K51" s="233">
        <f t="shared" ref="K51" si="78">IFERROR(K49/K55,"n.a")</f>
        <v>56.388817254344644</v>
      </c>
      <c r="L51" s="306">
        <f t="shared" ref="L51:M51" si="79">IFERROR(L49/L55,"n.a")</f>
        <v>82.84064608000179</v>
      </c>
      <c r="M51" s="5057">
        <f t="shared" si="79"/>
        <v>92.664090029885671</v>
      </c>
      <c r="N51" s="5058">
        <f>N52*(1+N53)*N54/10^6</f>
        <v>76.925173307576046</v>
      </c>
      <c r="O51" s="357">
        <f>O49/O55</f>
        <v>88.364890592806958</v>
      </c>
      <c r="P51" s="4893">
        <f t="shared" ref="P51" si="80">P52*(1+P53)*P54/10^6</f>
        <v>76.367664054740416</v>
      </c>
      <c r="Q51" s="4893">
        <f t="shared" ref="Q51" si="81">Q52*(1+Q53)*Q54/10^6</f>
        <v>70.316235526116486</v>
      </c>
      <c r="R51" s="4893">
        <f t="shared" ref="R51" si="82">R52*(1+R53)*R54/10^6</f>
        <v>61.37299257657267</v>
      </c>
      <c r="S51" s="4893">
        <f t="shared" ref="S51:T51" si="83">S52*(1+S53)*S54/10^6</f>
        <v>52.645982672168671</v>
      </c>
      <c r="T51" s="4894">
        <f t="shared" si="83"/>
        <v>49.526306262809811</v>
      </c>
    </row>
    <row r="52" spans="1:22" ht="12" customHeight="1">
      <c r="C52" s="4892"/>
      <c r="E52" s="3" t="s">
        <v>3541</v>
      </c>
      <c r="H52" s="110" t="s">
        <v>3547</v>
      </c>
      <c r="J52" s="3615">
        <f>J51*10^6/J54/(1+J53)</f>
        <v>32963.624553430222</v>
      </c>
      <c r="K52" s="3616">
        <f t="shared" ref="K52" si="84">K51*10^6/K54/(1+K53)</f>
        <v>48386.600602168597</v>
      </c>
      <c r="L52" s="3616">
        <f t="shared" ref="L52" si="85">L51*10^6/L54/(1+L53)</f>
        <v>69816.969407129305</v>
      </c>
      <c r="M52" s="5059">
        <f t="shared" ref="M52" si="86">M51*10^6/M54/(1+M53)</f>
        <v>77815.068487501703</v>
      </c>
      <c r="N52" s="5060">
        <f>Assumption!N24</f>
        <v>64813.191873009433</v>
      </c>
      <c r="O52" s="370"/>
      <c r="P52" s="4882">
        <f>Assumption!P24</f>
        <v>66587.732725751091</v>
      </c>
      <c r="Q52" s="4882">
        <f>Assumption!Q24</f>
        <v>61504.056678319641</v>
      </c>
      <c r="R52" s="4882">
        <f>Assumption!R24</f>
        <v>53858.9306517656</v>
      </c>
      <c r="S52" s="4882">
        <f>Assumption!S24</f>
        <v>47210.799276304708</v>
      </c>
      <c r="T52" s="4895">
        <f>Assumption!T24</f>
        <v>44416.25638455955</v>
      </c>
    </row>
    <row r="53" spans="1:22" ht="12" customHeight="1">
      <c r="C53" s="4892"/>
      <c r="E53" s="3" t="s">
        <v>3543</v>
      </c>
      <c r="H53" s="110" t="s">
        <v>2702</v>
      </c>
      <c r="J53" s="286">
        <f>Assumption!J64</f>
        <v>6.0000000000000001E-3</v>
      </c>
      <c r="K53" s="246">
        <f>Assumption!K64</f>
        <v>6.1999999999999998E-3</v>
      </c>
      <c r="L53" s="246">
        <f>Assumption!L64</f>
        <v>5.5000000000000005E-3</v>
      </c>
      <c r="M53" s="5067">
        <f>Assumption!M64</f>
        <v>5.0000000000000001E-3</v>
      </c>
      <c r="N53" s="5068">
        <f>Assumption!N64</f>
        <v>3.7000000000000002E-3</v>
      </c>
      <c r="O53" s="4904"/>
      <c r="P53" s="4905">
        <f>Assumption!P64</f>
        <v>3.8E-3</v>
      </c>
      <c r="Q53" s="4905">
        <f>Assumption!Q64</f>
        <v>3.8E-3</v>
      </c>
      <c r="R53" s="4905">
        <f>Assumption!R64</f>
        <v>3.8E-3</v>
      </c>
      <c r="S53" s="4905">
        <f>Assumption!S64</f>
        <v>3.7136363636363638E-3</v>
      </c>
      <c r="T53" s="4906">
        <f>Assumption!T64</f>
        <v>3.6445454545454546E-3</v>
      </c>
      <c r="V53" s="2511">
        <f>+T53-O53</f>
        <v>3.6445454545454546E-3</v>
      </c>
    </row>
    <row r="54" spans="1:22" ht="12" customHeight="1">
      <c r="C54" s="4892"/>
      <c r="E54" s="3" t="s">
        <v>326</v>
      </c>
      <c r="H54" s="110" t="s">
        <v>3549</v>
      </c>
      <c r="J54" s="220">
        <f>HLOOKUP(J$19,FDD_매출MASTER!$J$2:$N$9,MATCH($C49,FDD_매출MASTER!$H$2:$H$9,0),FALSE)</f>
        <v>1100.3</v>
      </c>
      <c r="K54" s="221">
        <f>HLOOKUP(K$19,FDD_매출MASTER!$J$2:$N$9,MATCH($C49,FDD_매출MASTER!$H$2:$H$9,0),FALSE)</f>
        <v>1158.1999999968143</v>
      </c>
      <c r="L54" s="221">
        <f>HLOOKUP(L$19,FDD_매출MASTER!$J$2:$N$9,MATCH($C49,FDD_매출MASTER!$H$2:$H$9,0),FALSE)</f>
        <v>1180.05</v>
      </c>
      <c r="M54" s="5063">
        <f>HLOOKUP(M$19,FDD_매출MASTER!$J$2:$N$9,MATCH($C49,FDD_매출MASTER!$H$2:$H$9,0),FALSE)</f>
        <v>1184.9000000740459</v>
      </c>
      <c r="N54" s="5060">
        <f>Assumption!N$78</f>
        <v>1182.5</v>
      </c>
      <c r="O54" s="370"/>
      <c r="P54" s="4882">
        <f>Assumption!P$78</f>
        <v>1142.53125</v>
      </c>
      <c r="Q54" s="4882">
        <f>Assumption!Q$78</f>
        <v>1138.95</v>
      </c>
      <c r="R54" s="4882">
        <f>Assumption!R$78</f>
        <v>1135.2</v>
      </c>
      <c r="S54" s="4882">
        <f>Assumption!S$78</f>
        <v>1111</v>
      </c>
      <c r="T54" s="4895">
        <f>Assumption!T$78</f>
        <v>1111</v>
      </c>
    </row>
    <row r="55" spans="1:22" ht="12" customHeight="1">
      <c r="C55" s="4898"/>
      <c r="D55" s="12" t="s">
        <v>1352</v>
      </c>
      <c r="E55" s="12"/>
      <c r="F55" s="12"/>
      <c r="G55" s="12"/>
      <c r="H55" s="1950" t="s">
        <v>3548</v>
      </c>
      <c r="I55" s="12"/>
      <c r="J55" s="4899">
        <f>SUMIFS('과거손익(Summary)'!$G$3:$G$54,'과거손익(Summary)'!$E$3:$E$54,J$19,'과거손익(Summary)'!$B$3:$B$54,$C49)</f>
        <v>1584.3124999999991</v>
      </c>
      <c r="K55" s="4900">
        <f>SUMIFS('과거손익(Summary)'!$G$3:$G$54,'과거손익(Summary)'!$E$3:$E$54,K$19,'과거손익(Summary)'!$B$3:$B$54,$C49)</f>
        <v>1675.5292999999999</v>
      </c>
      <c r="L55" s="4900">
        <f>SUMIFS('과거손익(Summary)'!$G$3:$G$54,'과거손익(Summary)'!$E$3:$E$54,L$19,'과거손익(Summary)'!$B$3:$B$54,$C49)</f>
        <v>1648.8732</v>
      </c>
      <c r="M55" s="5064">
        <f>SUMIFS('과거손익(Summary)'!$G$3:$G$54,'과거손익(Summary)'!$E$3:$E$54,M$19,'과거손익(Summary)'!$B$3:$B$54,$C49)</f>
        <v>1195.6563000000001</v>
      </c>
      <c r="N55" s="5065">
        <f>SUMIFS(Assumption!N$103:N$114,Assumption!$B$103:$B$114,$C49)</f>
        <v>449.3436999999999</v>
      </c>
      <c r="O55" s="355">
        <f>SUM(M55:N55)</f>
        <v>1645</v>
      </c>
      <c r="P55" s="4901">
        <f>SUMIFS(Assumption!P$103:P$114,Assumption!$B$103:$B$114,$C49)</f>
        <v>1858</v>
      </c>
      <c r="Q55" s="4901">
        <f>SUMIFS(Assumption!Q$103:Q$114,Assumption!$B$103:$B$114,$C49)</f>
        <v>1960</v>
      </c>
      <c r="R55" s="4901">
        <f>SUMIFS(Assumption!R$103:R$114,Assumption!$B$103:$B$114,$C49)</f>
        <v>1942</v>
      </c>
      <c r="S55" s="4901">
        <f>SUMIFS(Assumption!S$103:S$114,Assumption!$B$103:$B$114,$C49)</f>
        <v>1952.7161741190648</v>
      </c>
      <c r="T55" s="4902">
        <f>SUMIFS(Assumption!T$103:T$114,Assumption!$B$103:$B$114,$C49)</f>
        <v>1941.3984732824426</v>
      </c>
    </row>
    <row r="56" spans="1:22" ht="12" customHeight="1">
      <c r="C56" s="4892" t="s">
        <v>266</v>
      </c>
      <c r="H56" s="110"/>
      <c r="J56" s="230">
        <f>SUMIFS('과거손익(Summary)'!$F$3:$F$54,'과거손익(Summary)'!$E$3:$E$54,J$19,'과거손익(Summary)'!$B$3:$B$54,$C56)</f>
        <v>5666.2825590000002</v>
      </c>
      <c r="K56" s="231">
        <f>SUMIFS('과거손익(Summary)'!$F$3:$F$54,'과거손익(Summary)'!$E$3:$E$54,K$19,'과거손익(Summary)'!$B$3:$B$54,$C56)</f>
        <v>5955.5239929999998</v>
      </c>
      <c r="L56" s="231">
        <f>SUMIFS('과거손익(Summary)'!$F$3:$F$54,'과거손익(Summary)'!$E$3:$E$54,L$19,'과거손익(Summary)'!$B$3:$B$54,$C56)</f>
        <v>6779.385894</v>
      </c>
      <c r="M56" s="5066">
        <f>SUMIFS('과거손익(Summary)'!$F$3:$F$54,'과거손익(Summary)'!$E$3:$E$54,M$19,'과거손익(Summary)'!$B$3:$B$54,$C56)</f>
        <v>6344.8046450000002</v>
      </c>
      <c r="N56" s="5050">
        <f>N58*N62</f>
        <v>1660.168789337886</v>
      </c>
      <c r="O56" s="320">
        <f>SUM(M56:N56)</f>
        <v>8004.9734343378859</v>
      </c>
      <c r="P56" s="4879">
        <f t="shared" ref="P56" si="87">P58*P62</f>
        <v>9260.4479549694588</v>
      </c>
      <c r="Q56" s="4879">
        <f t="shared" ref="Q56" si="88">Q58*Q62</f>
        <v>10864.763901892797</v>
      </c>
      <c r="R56" s="4879">
        <f t="shared" ref="R56" si="89">R58*R62</f>
        <v>10642.052868790541</v>
      </c>
      <c r="S56" s="4879">
        <f t="shared" ref="S56:T56" si="90">S58*S62</f>
        <v>10523.640866132759</v>
      </c>
      <c r="T56" s="4903">
        <f t="shared" si="90"/>
        <v>10648.45031391775</v>
      </c>
    </row>
    <row r="57" spans="1:22" s="400" customFormat="1" ht="12" customHeight="1">
      <c r="A57" s="45"/>
      <c r="B57" s="45"/>
      <c r="C57" s="4890" t="s">
        <v>3649</v>
      </c>
      <c r="D57" s="45"/>
      <c r="E57" s="45"/>
      <c r="F57" s="45"/>
      <c r="G57" s="45"/>
      <c r="H57" s="110" t="s">
        <v>360</v>
      </c>
      <c r="I57" s="45"/>
      <c r="J57" s="2034" t="str">
        <f>IFERROR(J56/I56-1,"n.p")</f>
        <v>n.p</v>
      </c>
      <c r="K57" s="1936">
        <f t="shared" ref="K57" si="91">IFERROR(K56/J56-1,"n.p")</f>
        <v>5.1046066091530395E-2</v>
      </c>
      <c r="L57" s="1936">
        <f>IFERROR(L56/K56-1,"n.p")</f>
        <v>0.13833575382591867</v>
      </c>
      <c r="M57" s="5051"/>
      <c r="N57" s="5052"/>
      <c r="O57" s="1936">
        <f>O56/L56-1</f>
        <v>0.18078149842784064</v>
      </c>
      <c r="P57" s="4880">
        <f>P56/O56-1</f>
        <v>0.15683681288011875</v>
      </c>
      <c r="Q57" s="4880">
        <f t="shared" ref="Q57" si="92">Q56/P56-1</f>
        <v>0.17324388136779167</v>
      </c>
      <c r="R57" s="4880">
        <f t="shared" ref="R57" si="93">R56/Q56-1</f>
        <v>-2.0498469650450102E-2</v>
      </c>
      <c r="S57" s="4880">
        <f t="shared" ref="S57" si="94">S56/R56-1</f>
        <v>-1.1126800826656624E-2</v>
      </c>
      <c r="T57" s="4891">
        <f t="shared" ref="T57" si="95">T56/S56-1</f>
        <v>1.1859911353175656E-2</v>
      </c>
      <c r="V57" s="2511">
        <f>+T57-O57</f>
        <v>-0.16892158707466498</v>
      </c>
    </row>
    <row r="58" spans="1:22" ht="12" customHeight="1">
      <c r="C58" s="4892"/>
      <c r="D58" s="3" t="s">
        <v>3539</v>
      </c>
      <c r="H58" s="110" t="s">
        <v>3546</v>
      </c>
      <c r="J58" s="292">
        <f>IFERROR(J56/J62,"n.a")</f>
        <v>31.346525356171401</v>
      </c>
      <c r="K58" s="233">
        <f t="shared" ref="K58" si="96">IFERROR(K56/K62,"n.a")</f>
        <v>32.695658437016029</v>
      </c>
      <c r="L58" s="306">
        <f t="shared" ref="L58:M58" si="97">IFERROR(L56/L62,"n.a")</f>
        <v>34.044734685637692</v>
      </c>
      <c r="M58" s="5057">
        <f t="shared" si="97"/>
        <v>41.206880137217617</v>
      </c>
      <c r="N58" s="5058">
        <f>N59*(1+N60)*N61/10^6</f>
        <v>39.503749841474864</v>
      </c>
      <c r="O58" s="357">
        <f>O56/O62</f>
        <v>40.841701195601459</v>
      </c>
      <c r="P58" s="4893">
        <f t="shared" ref="P58" si="98">P59*(1+P60)*P61/10^6</f>
        <v>37.041791819877837</v>
      </c>
      <c r="Q58" s="4893">
        <f t="shared" ref="Q58" si="99">Q59*(1+Q60)*Q61/10^6</f>
        <v>37.464703109975162</v>
      </c>
      <c r="R58" s="4893">
        <f t="shared" ref="R58" si="100">R59*(1+R60)*R61/10^6</f>
        <v>38.00733167425193</v>
      </c>
      <c r="S58" s="4893">
        <f t="shared" ref="S58:T58" si="101">S59*(1+S60)*S61/10^6</f>
        <v>37.856070027045632</v>
      </c>
      <c r="T58" s="4894">
        <f t="shared" si="101"/>
        <v>38.528345173413378</v>
      </c>
    </row>
    <row r="59" spans="1:22" ht="12" customHeight="1">
      <c r="C59" s="4892"/>
      <c r="E59" s="3" t="s">
        <v>3541</v>
      </c>
      <c r="H59" s="110" t="s">
        <v>3547</v>
      </c>
      <c r="J59" s="3615">
        <f>J58*10^6/J61/(1+J60)</f>
        <v>28993.861902188517</v>
      </c>
      <c r="K59" s="3616">
        <f t="shared" ref="K59" si="102">K58*10^6/K61/(1+K60)</f>
        <v>27716.692731460476</v>
      </c>
      <c r="L59" s="3616">
        <f t="shared" ref="L59" si="103">L58*10^6/L61/(1+L60)</f>
        <v>28536.347778887721</v>
      </c>
      <c r="M59" s="5059">
        <f t="shared" ref="M59" si="104">M58*10^6/M61/(1+M60)</f>
        <v>36005.288728256121</v>
      </c>
      <c r="N59" s="5060">
        <f>Assumption!N25</f>
        <v>33108.995649283184</v>
      </c>
      <c r="O59" s="370"/>
      <c r="P59" s="4882">
        <f>Assumption!P25</f>
        <v>32150.746568627979</v>
      </c>
      <c r="Q59" s="4882">
        <f>Assumption!Q25</f>
        <v>32633.0077671574</v>
      </c>
      <c r="R59" s="4882">
        <f>Assumption!R25</f>
        <v>33211.721205392707</v>
      </c>
      <c r="S59" s="4882">
        <f>Assumption!S25</f>
        <v>33790.43464362801</v>
      </c>
      <c r="T59" s="4895">
        <f>Assumption!T25</f>
        <v>34380.33929971281</v>
      </c>
    </row>
    <row r="60" spans="1:22" ht="12" customHeight="1">
      <c r="C60" s="4892"/>
      <c r="E60" s="3" t="s">
        <v>3543</v>
      </c>
      <c r="H60" s="110" t="s">
        <v>2702</v>
      </c>
      <c r="J60" s="286">
        <f>Assumption!J65</f>
        <v>8.9999999999999993E-3</v>
      </c>
      <c r="K60" s="246">
        <f>Assumption!K65</f>
        <v>1.2E-2</v>
      </c>
      <c r="L60" s="246">
        <f>Assumption!L65</f>
        <v>1.1000000000000001E-2</v>
      </c>
      <c r="M60" s="5067">
        <f>Assumption!M65</f>
        <v>1.2E-2</v>
      </c>
      <c r="N60" s="5068">
        <f>Assumption!N65</f>
        <v>9.0000000000000011E-3</v>
      </c>
      <c r="O60" s="4904"/>
      <c r="P60" s="4905">
        <f>Assumption!P65</f>
        <v>8.3999999999999995E-3</v>
      </c>
      <c r="Q60" s="4905">
        <f>Assumption!Q65</f>
        <v>8.0000000000000002E-3</v>
      </c>
      <c r="R60" s="4905">
        <f>Assumption!R65</f>
        <v>8.1000000000000013E-3</v>
      </c>
      <c r="S60" s="4905">
        <f>Assumption!S65</f>
        <v>8.3880474087846841E-3</v>
      </c>
      <c r="T60" s="4906">
        <f>Assumption!T65</f>
        <v>8.6863381891382034E-3</v>
      </c>
      <c r="V60" s="2511">
        <f>+T60-O60</f>
        <v>8.6863381891382034E-3</v>
      </c>
    </row>
    <row r="61" spans="1:22" ht="12" customHeight="1">
      <c r="C61" s="4892"/>
      <c r="E61" s="3" t="s">
        <v>326</v>
      </c>
      <c r="H61" s="110" t="s">
        <v>3549</v>
      </c>
      <c r="J61" s="220">
        <f>HLOOKUP(J$19,FDD_매출MASTER!$J$2:$N$9,MATCH($C56,FDD_매출MASTER!$H$2:$H$9,0),FALSE)</f>
        <v>1071.5000007083504</v>
      </c>
      <c r="K61" s="221">
        <f>HLOOKUP(K$19,FDD_매출MASTER!$J$2:$N$9,MATCH($C56,FDD_매출MASTER!$H$2:$H$9,0),FALSE)</f>
        <v>1165.6500000000001</v>
      </c>
      <c r="L61" s="221">
        <f>HLOOKUP(L$19,FDD_매출MASTER!$J$2:$N$9,MATCH($C56,FDD_매출MASTER!$H$2:$H$9,0),FALSE)</f>
        <v>1180.05</v>
      </c>
      <c r="M61" s="5063">
        <f>HLOOKUP(M$19,FDD_매출MASTER!$J$2:$N$9,MATCH($C56,FDD_매출MASTER!$H$2:$H$9,0),FALSE)</f>
        <v>1130.8966666666665</v>
      </c>
      <c r="N61" s="5060">
        <f>Assumption!N$78</f>
        <v>1182.5</v>
      </c>
      <c r="O61" s="370"/>
      <c r="P61" s="4882">
        <f>Assumption!P$78</f>
        <v>1142.53125</v>
      </c>
      <c r="Q61" s="4882">
        <f>Assumption!Q$78</f>
        <v>1138.95</v>
      </c>
      <c r="R61" s="4882">
        <f>Assumption!R$78</f>
        <v>1135.2</v>
      </c>
      <c r="S61" s="4882">
        <f>Assumption!S$78</f>
        <v>1111</v>
      </c>
      <c r="T61" s="4895">
        <f>Assumption!T$78</f>
        <v>1111</v>
      </c>
    </row>
    <row r="62" spans="1:22" ht="12" customHeight="1">
      <c r="C62" s="4898"/>
      <c r="D62" s="12" t="s">
        <v>1352</v>
      </c>
      <c r="E62" s="12"/>
      <c r="F62" s="12"/>
      <c r="G62" s="12"/>
      <c r="H62" s="1950" t="s">
        <v>3548</v>
      </c>
      <c r="I62" s="12"/>
      <c r="J62" s="4899">
        <f>SUMIFS('과거손익(Summary)'!$G$3:$G$54,'과거손익(Summary)'!$E$3:$E$54,J$19,'과거손익(Summary)'!$B$3:$B$54,$C56)</f>
        <v>180.76269999999988</v>
      </c>
      <c r="K62" s="4900">
        <f>SUMIFS('과거손익(Summary)'!$G$3:$G$54,'과거손익(Summary)'!$E$3:$E$54,K$19,'과거손익(Summary)'!$B$3:$B$54,$C56)</f>
        <v>182.15029999999999</v>
      </c>
      <c r="L62" s="4900">
        <f>SUMIFS('과거손익(Summary)'!$G$3:$G$54,'과거손익(Summary)'!$E$3:$E$54,L$19,'과거손익(Summary)'!$B$3:$B$54,$C56)</f>
        <v>199.13170000000002</v>
      </c>
      <c r="M62" s="5064">
        <f>SUMIFS('과거손익(Summary)'!$G$3:$G$54,'과거손익(Summary)'!$E$3:$E$54,M$19,'과거손익(Summary)'!$B$3:$B$54,$C56)</f>
        <v>153.9744</v>
      </c>
      <c r="N62" s="5065">
        <f>SUMIFS(Assumption!N$103:N$114,Assumption!$B$103:$B$114,$C56)</f>
        <v>42.025599999999997</v>
      </c>
      <c r="O62" s="355">
        <f>SUM(M62:N62)</f>
        <v>196</v>
      </c>
      <c r="P62" s="4901">
        <f>SUMIFS(Assumption!P$103:P$114,Assumption!$B$103:$B$114,$C56)</f>
        <v>250</v>
      </c>
      <c r="Q62" s="4901">
        <f>SUMIFS(Assumption!Q$103:Q$114,Assumption!$B$103:$B$114,$C56)</f>
        <v>290</v>
      </c>
      <c r="R62" s="4901">
        <f>SUMIFS(Assumption!R$103:R$114,Assumption!$B$103:$B$114,$C56)</f>
        <v>280</v>
      </c>
      <c r="S62" s="4901">
        <f>SUMIFS(Assumption!S$103:S$114,Assumption!$B$103:$B$114,$C56)</f>
        <v>277.99084423222803</v>
      </c>
      <c r="T62" s="4902">
        <f>SUMIFS(Assumption!T$103:T$114,Assumption!$B$103:$B$114,$C56)</f>
        <v>276.37964376590332</v>
      </c>
    </row>
    <row r="63" spans="1:22" ht="12" customHeight="1">
      <c r="C63" s="4892" t="s">
        <v>5587</v>
      </c>
      <c r="H63" s="110"/>
      <c r="J63" s="230">
        <f>SUMIFS('과거손익(Summary)'!$F$3:$F$54,'과거손익(Summary)'!$E$3:$E$54,J$19,'과거손익(Summary)'!$B$3:$B$54,$C63)</f>
        <v>10930.6432</v>
      </c>
      <c r="K63" s="231">
        <f>SUMIFS('과거손익(Summary)'!$F$3:$F$54,'과거손익(Summary)'!$E$3:$E$54,K$19,'과거손익(Summary)'!$B$3:$B$54,$C63)</f>
        <v>13391.442376000001</v>
      </c>
      <c r="L63" s="231">
        <f>SUMIFS('과거손익(Summary)'!$F$3:$F$54,'과거손익(Summary)'!$E$3:$E$54,L$19,'과거손익(Summary)'!$B$3:$B$54,$C63)</f>
        <v>13284.762438</v>
      </c>
      <c r="M63" s="5066">
        <f>SUMIFS('과거손익(Summary)'!$F$3:$F$54,'과거손익(Summary)'!$E$3:$E$54,M$19,'과거손익(Summary)'!$B$3:$B$54,$C63)</f>
        <v>11215.691314</v>
      </c>
      <c r="N63" s="5050">
        <f>N65*N66</f>
        <v>5002.1067509999993</v>
      </c>
      <c r="O63" s="320">
        <f>SUM(M63:N63)</f>
        <v>16217.798064999999</v>
      </c>
      <c r="P63" s="4879">
        <f>P65*P66</f>
        <v>16767</v>
      </c>
      <c r="Q63" s="4879">
        <f>Q65*Q66</f>
        <v>15451.4</v>
      </c>
      <c r="R63" s="4879">
        <f>R65*R66</f>
        <v>19044</v>
      </c>
      <c r="S63" s="4879">
        <f>S65*S66</f>
        <v>19320.459814884536</v>
      </c>
      <c r="T63" s="4903">
        <f>T65*T66</f>
        <v>19300.047892472383</v>
      </c>
    </row>
    <row r="64" spans="1:22" s="400" customFormat="1" ht="12" customHeight="1">
      <c r="A64" s="45"/>
      <c r="B64" s="45"/>
      <c r="C64" s="4890" t="s">
        <v>3649</v>
      </c>
      <c r="D64" s="45"/>
      <c r="E64" s="45"/>
      <c r="F64" s="45"/>
      <c r="G64" s="45"/>
      <c r="H64" s="110" t="s">
        <v>360</v>
      </c>
      <c r="I64" s="45"/>
      <c r="J64" s="2034" t="str">
        <f>IFERROR(J63/I63-1,"n.p")</f>
        <v>n.p</v>
      </c>
      <c r="K64" s="1936">
        <f t="shared" ref="K64" si="105">IFERROR(K63/J63-1,"n.p")</f>
        <v>0.22512848795576823</v>
      </c>
      <c r="L64" s="1936">
        <f>IFERROR(L63/K63-1,"n.p")</f>
        <v>-7.9662768956980656E-3</v>
      </c>
      <c r="M64" s="5051"/>
      <c r="N64" s="5052"/>
      <c r="O64" s="1936">
        <f>O63/L63-1</f>
        <v>0.2207819402634017</v>
      </c>
      <c r="P64" s="4880">
        <f>P63/O63-1</f>
        <v>3.386414930059134E-2</v>
      </c>
      <c r="Q64" s="4880">
        <f t="shared" ref="Q64" si="106">Q63/P63-1</f>
        <v>-7.846364883401924E-2</v>
      </c>
      <c r="R64" s="4880">
        <f t="shared" ref="R64" si="107">R63/Q63-1</f>
        <v>0.23250967549866042</v>
      </c>
      <c r="S64" s="4880">
        <f t="shared" ref="S64" si="108">S63/R63-1</f>
        <v>1.4516898492151764E-2</v>
      </c>
      <c r="T64" s="4891">
        <f t="shared" ref="T64" si="109">T63/S63-1</f>
        <v>-1.0564925787339696E-3</v>
      </c>
      <c r="V64" s="2511">
        <f>+T64-O64</f>
        <v>-0.22183843284213567</v>
      </c>
    </row>
    <row r="65" spans="1:23" ht="12" customHeight="1">
      <c r="C65" s="4892"/>
      <c r="D65" s="3" t="s">
        <v>3539</v>
      </c>
      <c r="H65" s="110" t="s">
        <v>3471</v>
      </c>
      <c r="J65" s="232">
        <f>J63/J66</f>
        <v>2.6806232020894449</v>
      </c>
      <c r="K65" s="233">
        <f>K63/K66</f>
        <v>3.1117134390396415</v>
      </c>
      <c r="L65" s="306">
        <f>L63/L66</f>
        <v>2.841505423340545</v>
      </c>
      <c r="M65" s="5057">
        <f>M63/M66</f>
        <v>3.5205512859186312</v>
      </c>
      <c r="N65" s="5058">
        <f>Assumption!N41</f>
        <v>3.5369999999999999</v>
      </c>
      <c r="O65" s="357">
        <f>O63/O66</f>
        <v>3.5256082749999997</v>
      </c>
      <c r="P65" s="4893">
        <f>Assumption!P41</f>
        <v>3.726</v>
      </c>
      <c r="Q65" s="4893">
        <f>Assumption!Q41</f>
        <v>3.359</v>
      </c>
      <c r="R65" s="4893">
        <f>Assumption!R41</f>
        <v>4.1399999999999997</v>
      </c>
      <c r="S65" s="4893">
        <f>Assumption!S41</f>
        <v>4.1598747145951602</v>
      </c>
      <c r="T65" s="4894">
        <f>Assumption!T41</f>
        <v>4.1797048891452402</v>
      </c>
    </row>
    <row r="66" spans="1:23" ht="12" customHeight="1">
      <c r="C66" s="4898"/>
      <c r="D66" s="12" t="s">
        <v>1352</v>
      </c>
      <c r="E66" s="12"/>
      <c r="F66" s="12"/>
      <c r="G66" s="12"/>
      <c r="H66" s="1950" t="s">
        <v>3486</v>
      </c>
      <c r="I66" s="12"/>
      <c r="J66" s="4899">
        <f>SUMIFS('과거손익(Summary)'!$G$3:$G$54,'과거손익(Summary)'!$E$3:$E$54,J$19,'과거손익(Summary)'!$B$3:$B$54,$C63)</f>
        <v>4077.6499999999905</v>
      </c>
      <c r="K66" s="4900">
        <f>SUMIFS('과거손익(Summary)'!$G$3:$G$54,'과거손익(Summary)'!$E$3:$E$54,K$19,'과거손익(Summary)'!$B$3:$B$54,$C63)</f>
        <v>4303.5590000000002</v>
      </c>
      <c r="L66" s="4900">
        <f>SUMIFS('과거손익(Summary)'!$G$3:$G$54,'과거손익(Summary)'!$E$3:$E$54,L$19,'과거손익(Summary)'!$B$3:$B$54,$C63)</f>
        <v>4675.2550000000001</v>
      </c>
      <c r="M66" s="5064">
        <f>SUMIFS('과거손익(Summary)'!$G$3:$G$54,'과거손익(Summary)'!$E$3:$E$54,M$19,'과거손익(Summary)'!$B$3:$B$54,$C63)</f>
        <v>3185.777</v>
      </c>
      <c r="N66" s="5065">
        <f>SUMIFS(Assumption!N$103:N$114,Assumption!$B$103:$B$114,$C63)</f>
        <v>1414.223</v>
      </c>
      <c r="O66" s="355">
        <f>SUM(M66:N66)</f>
        <v>4600</v>
      </c>
      <c r="P66" s="4901">
        <f>SUMIFS(Assumption!P$103:P$114,Assumption!$B$103:$B$114,$C63)</f>
        <v>4500</v>
      </c>
      <c r="Q66" s="4901">
        <f>SUMIFS(Assumption!Q$103:Q$114,Assumption!$B$103:$B$114,$C63)</f>
        <v>4600</v>
      </c>
      <c r="R66" s="4901">
        <f>SUMIFS(Assumption!R$103:R$114,Assumption!$B$103:$B$114,$C63)</f>
        <v>4600</v>
      </c>
      <c r="S66" s="4901">
        <f>SUMIFS(Assumption!S$103:S$114,Assumption!$B$103:$B$114,$C63)</f>
        <v>4644.4811780262489</v>
      </c>
      <c r="T66" s="4902">
        <f>SUMIFS(Assumption!T$103:T$114,Assumption!$B$103:$B$114,$C63)</f>
        <v>4617.5623409669215</v>
      </c>
    </row>
    <row r="67" spans="1:23" ht="12" customHeight="1">
      <c r="C67" s="4892" t="s">
        <v>244</v>
      </c>
      <c r="H67" s="110"/>
      <c r="J67" s="230">
        <f>SUMIFS('과거손익(Summary)'!$F$3:$F$54,'과거손익(Summary)'!$E$3:$E$54,J$19,'과거손익(Summary)'!$B$3:$B$54,$C67)</f>
        <v>44524.598474999999</v>
      </c>
      <c r="K67" s="231">
        <f>SUMIFS('과거손익(Summary)'!$F$3:$F$54,'과거손익(Summary)'!$E$3:$E$54,K$19,'과거손익(Summary)'!$B$3:$B$54,$C67)</f>
        <v>48329.020396</v>
      </c>
      <c r="L67" s="231">
        <f>SUMIFS('과거손익(Summary)'!$F$3:$F$54,'과거손익(Summary)'!$E$3:$E$54,L$19,'과거손익(Summary)'!$B$3:$B$54,$C67)</f>
        <v>65454.036650000002</v>
      </c>
      <c r="M67" s="5066">
        <f>SUMIFS('과거손익(Summary)'!$F$3:$F$54,'과거손익(Summary)'!$E$3:$E$54,M$19,'과거손익(Summary)'!$B$3:$B$54,$C67)</f>
        <v>62521.190900000001</v>
      </c>
      <c r="N67" s="5050">
        <f>N69*N70</f>
        <v>20912.507029379121</v>
      </c>
      <c r="O67" s="320">
        <f>SUM(M67:N67)</f>
        <v>83433.697929379123</v>
      </c>
      <c r="P67" s="4879">
        <f t="shared" ref="P67:S67" si="110">P69*P70</f>
        <v>93593</v>
      </c>
      <c r="Q67" s="4879">
        <f t="shared" si="110"/>
        <v>101565.00000000001</v>
      </c>
      <c r="R67" s="4879">
        <f t="shared" si="110"/>
        <v>106196.00000000001</v>
      </c>
      <c r="S67" s="4879">
        <f t="shared" si="110"/>
        <v>107056.0394628463</v>
      </c>
      <c r="T67" s="4903">
        <f t="shared" ref="T67" si="111">T69*T70</f>
        <v>106627.33170797383</v>
      </c>
    </row>
    <row r="68" spans="1:23" s="400" customFormat="1" ht="12" customHeight="1">
      <c r="A68" s="45"/>
      <c r="B68" s="45"/>
      <c r="C68" s="4890" t="s">
        <v>3649</v>
      </c>
      <c r="D68" s="45"/>
      <c r="E68" s="45"/>
      <c r="F68" s="45"/>
      <c r="G68" s="45"/>
      <c r="H68" s="110" t="s">
        <v>360</v>
      </c>
      <c r="I68" s="45"/>
      <c r="J68" s="2034" t="str">
        <f>IFERROR(J67/I67-1,"n.p")</f>
        <v>n.p</v>
      </c>
      <c r="K68" s="1936">
        <f t="shared" ref="K68" si="112">IFERROR(K67/J67-1,"n.p")</f>
        <v>8.5445395383770606E-2</v>
      </c>
      <c r="L68" s="1936">
        <f>IFERROR(L67/K67-1,"n.p")</f>
        <v>0.35434230020969704</v>
      </c>
      <c r="M68" s="5051"/>
      <c r="N68" s="5052"/>
      <c r="O68" s="1936">
        <f>O67/L67-1</f>
        <v>0.27469140483299936</v>
      </c>
      <c r="P68" s="4880">
        <f>P67/O67-1</f>
        <v>0.12176497413814769</v>
      </c>
      <c r="Q68" s="4880">
        <f t="shared" ref="Q68" si="113">Q67/P67-1</f>
        <v>8.5177310268930606E-2</v>
      </c>
      <c r="R68" s="4880">
        <f t="shared" ref="R68" si="114">R67/Q67-1</f>
        <v>4.5596416088219405E-2</v>
      </c>
      <c r="S68" s="4880">
        <f t="shared" ref="S68" si="115">S67/R67-1</f>
        <v>8.0986050590068359E-3</v>
      </c>
      <c r="T68" s="4891">
        <f t="shared" ref="T68" si="116">T67/S67-1</f>
        <v>-4.0045172325027245E-3</v>
      </c>
      <c r="V68" s="2511">
        <f>+T68-O68</f>
        <v>-0.27869592206550209</v>
      </c>
    </row>
    <row r="69" spans="1:23" ht="12" customHeight="1">
      <c r="C69" s="4892"/>
      <c r="D69" s="3" t="s">
        <v>3540</v>
      </c>
      <c r="H69" s="110" t="s">
        <v>3470</v>
      </c>
      <c r="J69" s="232">
        <f>J67/J70</f>
        <v>0.47778187963286273</v>
      </c>
      <c r="K69" s="233">
        <f t="shared" ref="K69" si="117">K67/K70</f>
        <v>0.4698149344256099</v>
      </c>
      <c r="L69" s="306">
        <f t="shared" ref="L69:M69" si="118">L67/L70</f>
        <v>0.50148980905303908</v>
      </c>
      <c r="M69" s="5057">
        <f t="shared" si="118"/>
        <v>0.51502282672456257</v>
      </c>
      <c r="N69" s="5070">
        <f>Assumption!N42</f>
        <v>0.51502282672456245</v>
      </c>
      <c r="O69" s="357">
        <f>O67/O70</f>
        <v>0.51502282672456245</v>
      </c>
      <c r="P69" s="4907">
        <f>Assumption!P42</f>
        <v>0.54100000000000004</v>
      </c>
      <c r="Q69" s="4907">
        <f>Assumption!Q42</f>
        <v>0.55500000000000005</v>
      </c>
      <c r="R69" s="4907">
        <f>Assumption!R42</f>
        <v>0.55600000000000005</v>
      </c>
      <c r="S69" s="4907">
        <f>Assumption!S42</f>
        <v>0.55700180180180181</v>
      </c>
      <c r="T69" s="4908">
        <f>Assumption!T42</f>
        <v>0.55800540865189519</v>
      </c>
    </row>
    <row r="70" spans="1:23" ht="12" customHeight="1">
      <c r="C70" s="4898"/>
      <c r="D70" s="12" t="s">
        <v>1353</v>
      </c>
      <c r="E70" s="12"/>
      <c r="F70" s="12"/>
      <c r="G70" s="12"/>
      <c r="H70" s="1950" t="s">
        <v>3545</v>
      </c>
      <c r="I70" s="12"/>
      <c r="J70" s="4899">
        <f>SUMIFS('과거손익(Summary)'!$G$3:$G$54,'과거손익(Summary)'!$E$3:$E$54,J$19,'과거손익(Summary)'!$B$3:$B$54,$C67)</f>
        <v>93190.22</v>
      </c>
      <c r="K70" s="4900">
        <f>SUMIFS('과거손익(Summary)'!$G$3:$G$54,'과거손익(Summary)'!$E$3:$E$54,K$19,'과거손익(Summary)'!$B$3:$B$54,$C67)</f>
        <v>102868.208</v>
      </c>
      <c r="L70" s="4900">
        <f>SUMIFS('과거손익(Summary)'!$G$3:$G$54,'과거손익(Summary)'!$E$3:$E$54,L$19,'과거손익(Summary)'!$B$3:$B$54,$C67)</f>
        <v>130519.17600000001</v>
      </c>
      <c r="M70" s="5064">
        <f>SUMIFS('과거손익(Summary)'!$G$3:$G$54,'과거손익(Summary)'!$E$3:$E$54,M$19,'과거손익(Summary)'!$B$3:$B$54,$C67)</f>
        <v>121394.99</v>
      </c>
      <c r="N70" s="5065">
        <f>SUMIFS(Assumption!N$103:N$114,Assumption!$B$103:$B$114,$C67)</f>
        <v>40605.009999999995</v>
      </c>
      <c r="O70" s="355">
        <f>SUM(M70:N70)</f>
        <v>162000</v>
      </c>
      <c r="P70" s="4901">
        <f>SUMIFS(Assumption!P$103:P$114,Assumption!$B$103:$B$114,$C67)</f>
        <v>173000</v>
      </c>
      <c r="Q70" s="4901">
        <f>SUMIFS(Assumption!Q$103:Q$114,Assumption!$B$103:$B$114,$C67)</f>
        <v>183000</v>
      </c>
      <c r="R70" s="4901">
        <f>SUMIFS(Assumption!R$103:R$114,Assumption!$B$103:$B$114,$C67)</f>
        <v>191000</v>
      </c>
      <c r="S70" s="4901">
        <f>SUMIFS(Assumption!S$103:S$114,Assumption!$B$103:$B$114,$C67)</f>
        <v>192200.52631165471</v>
      </c>
      <c r="T70" s="4902">
        <f>SUMIFS(Assumption!T$103:T$114,Assumption!$B$103:$B$114,$C67)</f>
        <v>191086.55589123865</v>
      </c>
    </row>
    <row r="71" spans="1:23" ht="12" customHeight="1">
      <c r="C71" s="4892" t="s">
        <v>242</v>
      </c>
      <c r="H71" s="110"/>
      <c r="J71" s="230">
        <f>SUMIFS('과거손익(Summary)'!$F$3:$F$54,'과거손익(Summary)'!$E$3:$E$54,J$19,'과거손익(Summary)'!$B$3:$B$54,$C71)</f>
        <v>45074.526232999997</v>
      </c>
      <c r="K71" s="231">
        <f>SUMIFS('과거손익(Summary)'!$F$3:$F$54,'과거손익(Summary)'!$E$3:$E$54,K$19,'과거손익(Summary)'!$B$3:$B$54,$C71)</f>
        <v>57170.859078000001</v>
      </c>
      <c r="L71" s="231">
        <f>SUMIFS('과거손익(Summary)'!$F$3:$F$54,'과거손익(Summary)'!$E$3:$E$54,L$19,'과거손익(Summary)'!$B$3:$B$54,$C71)</f>
        <v>13408.01303</v>
      </c>
      <c r="M71" s="5066">
        <f>SUMIFS('과거손익(Summary)'!$F$3:$F$54,'과거손익(Summary)'!$E$3:$E$54,M$19,'과거손익(Summary)'!$B$3:$B$54,$C71)</f>
        <v>32874.086164</v>
      </c>
      <c r="N71" s="5050">
        <f>N73*N74</f>
        <v>14228.443509939851</v>
      </c>
      <c r="O71" s="320">
        <f>SUM(M71:N71)</f>
        <v>47102.529673939847</v>
      </c>
      <c r="P71" s="4879">
        <f t="shared" ref="P71:S71" si="119">P73*P74</f>
        <v>57440</v>
      </c>
      <c r="Q71" s="4879">
        <f t="shared" si="119"/>
        <v>47880.000000000007</v>
      </c>
      <c r="R71" s="4879">
        <f t="shared" si="119"/>
        <v>47390.000000000007</v>
      </c>
      <c r="S71" s="4879">
        <f t="shared" si="119"/>
        <v>47415.366698346181</v>
      </c>
      <c r="T71" s="4903">
        <f t="shared" ref="T71" si="120">T73*T74</f>
        <v>47005.091752265864</v>
      </c>
    </row>
    <row r="72" spans="1:23" s="400" customFormat="1" ht="12" customHeight="1">
      <c r="A72" s="45"/>
      <c r="B72" s="45"/>
      <c r="C72" s="4890" t="s">
        <v>3649</v>
      </c>
      <c r="D72" s="45"/>
      <c r="E72" s="45"/>
      <c r="F72" s="45"/>
      <c r="G72" s="45"/>
      <c r="H72" s="110" t="s">
        <v>360</v>
      </c>
      <c r="I72" s="45"/>
      <c r="J72" s="2034" t="str">
        <f>IFERROR(J71/I71-1,"n.p")</f>
        <v>n.p</v>
      </c>
      <c r="K72" s="1936">
        <f t="shared" ref="K72" si="121">IFERROR(K71/J71-1,"n.p")</f>
        <v>0.26836295033854451</v>
      </c>
      <c r="L72" s="1936">
        <f>IFERROR(L71/K71-1,"n.p")</f>
        <v>-0.76547469731551476</v>
      </c>
      <c r="M72" s="5051"/>
      <c r="N72" s="5052"/>
      <c r="O72" s="1936">
        <f>O71/L71-1</f>
        <v>2.5130134173161558</v>
      </c>
      <c r="P72" s="4880">
        <f>P71/O71-1</f>
        <v>0.21946741284639559</v>
      </c>
      <c r="Q72" s="4880">
        <f t="shared" ref="Q72" si="122">Q71/P71-1</f>
        <v>-0.16643454038997196</v>
      </c>
      <c r="R72" s="4880">
        <f t="shared" ref="R72" si="123">R71/Q71-1</f>
        <v>-1.0233918128654929E-2</v>
      </c>
      <c r="S72" s="4880">
        <f t="shared" ref="S72" si="124">S71/R71-1</f>
        <v>5.3527533965347374E-4</v>
      </c>
      <c r="T72" s="4891">
        <f t="shared" ref="T72" si="125">T71/S71-1</f>
        <v>-8.6527844167157975E-3</v>
      </c>
      <c r="V72" s="2511">
        <f>+T72-O72</f>
        <v>-2.5216662017328715</v>
      </c>
    </row>
    <row r="73" spans="1:23" ht="12" customHeight="1">
      <c r="C73" s="4892"/>
      <c r="D73" s="3" t="s">
        <v>3539</v>
      </c>
      <c r="H73" s="110" t="s">
        <v>3470</v>
      </c>
      <c r="J73" s="232">
        <f>J71/J74</f>
        <v>2.9556449631252375E-2</v>
      </c>
      <c r="K73" s="233">
        <f t="shared" ref="K73" si="126">K71/K74</f>
        <v>3.8651980190934063E-2</v>
      </c>
      <c r="L73" s="306">
        <f t="shared" ref="L73:M73" si="127">L71/L74</f>
        <v>8.8797029256417817E-3</v>
      </c>
      <c r="M73" s="5057">
        <f t="shared" si="127"/>
        <v>3.6598702155353421E-2</v>
      </c>
      <c r="N73" s="5070">
        <f>Assumption!N43</f>
        <v>3.6598702155353421E-2</v>
      </c>
      <c r="O73" s="357">
        <f>O71/O74</f>
        <v>3.6598702155353414E-2</v>
      </c>
      <c r="P73" s="4907">
        <f>Assumption!P43</f>
        <v>0.04</v>
      </c>
      <c r="Q73" s="4907">
        <f>Assumption!Q43</f>
        <v>3.5000000000000003E-2</v>
      </c>
      <c r="R73" s="4907">
        <f>Assumption!R43</f>
        <v>3.5000000000000003E-2</v>
      </c>
      <c r="S73" s="4907">
        <f>Assumption!S43</f>
        <v>3.4799999999999998E-2</v>
      </c>
      <c r="T73" s="4908">
        <f>Assumption!T43</f>
        <v>3.4700000000000002E-2</v>
      </c>
      <c r="W73" s="5206">
        <f>M73*10^6</f>
        <v>36598.702155353421</v>
      </c>
    </row>
    <row r="74" spans="1:23" ht="12" customHeight="1">
      <c r="C74" s="4898"/>
      <c r="D74" s="12" t="s">
        <v>1352</v>
      </c>
      <c r="E74" s="12"/>
      <c r="F74" s="12"/>
      <c r="G74" s="12"/>
      <c r="H74" s="1950" t="s">
        <v>3545</v>
      </c>
      <c r="I74" s="12"/>
      <c r="J74" s="4899">
        <f>SUMIFS('과거손익(Summary)'!$G$3:$G$54,'과거손익(Summary)'!$E$3:$E$54,J$19,'과거손익(Summary)'!$B$3:$B$54,$C71)</f>
        <v>1525031.8219999985</v>
      </c>
      <c r="K74" s="4900">
        <f>SUMIFS('과거손익(Summary)'!$G$3:$G$54,'과거손익(Summary)'!$E$3:$E$54,K$19,'과거손익(Summary)'!$B$3:$B$54,$C71)</f>
        <v>1479118.5029999989</v>
      </c>
      <c r="L74" s="4900">
        <f>SUMIFS('과거손익(Summary)'!$G$3:$G$54,'과거손익(Summary)'!$E$3:$E$54,L$19,'과거손익(Summary)'!$B$3:$B$54,$C71)</f>
        <v>1509961.892</v>
      </c>
      <c r="M74" s="5064">
        <f>SUMIFS('과거손익(Summary)'!$G$3:$G$54,'과거손익(Summary)'!$E$3:$E$54,M$19,'과거손익(Summary)'!$B$3:$B$54,$C71)</f>
        <v>898230.92700000003</v>
      </c>
      <c r="N74" s="5065">
        <f>SUMIFS(Assumption!N$103:N$114,Assumption!$B$103:$B$114,$C71)</f>
        <v>388769.07299999997</v>
      </c>
      <c r="O74" s="355">
        <f>SUM(M74:N74)</f>
        <v>1287000</v>
      </c>
      <c r="P74" s="4901">
        <f>SUMIFS(Assumption!P$103:P$114,Assumption!$B$103:$B$114,$C71)</f>
        <v>1436000</v>
      </c>
      <c r="Q74" s="4901">
        <f>SUMIFS(Assumption!Q$103:Q$114,Assumption!$B$103:$B$114,$C71)</f>
        <v>1368000</v>
      </c>
      <c r="R74" s="4901">
        <f>SUMIFS(Assumption!R$103:R$114,Assumption!$B$103:$B$114,$C71)</f>
        <v>1354000</v>
      </c>
      <c r="S74" s="4901">
        <f>SUMIFS(Assumption!S$103:S$114,Assumption!$B$103:$B$114,$C71)</f>
        <v>1362510.5373087984</v>
      </c>
      <c r="T74" s="4902">
        <f>SUMIFS(Assumption!T$103:T$114,Assumption!$B$103:$B$114,$C71)</f>
        <v>1354613.5951661631</v>
      </c>
    </row>
    <row r="75" spans="1:23" ht="12" customHeight="1">
      <c r="C75" s="4892" t="s">
        <v>260</v>
      </c>
      <c r="H75" s="110"/>
      <c r="J75" s="230">
        <f>SUMIFS('과거손익(Summary)'!$F$3:$F$54,'과거손익(Summary)'!$E$3:$E$54,J$19,'과거손익(Summary)'!$B$3:$B$54,$C75)</f>
        <v>1694.562338</v>
      </c>
      <c r="K75" s="231">
        <f>SUMIFS('과거손익(Summary)'!$F$3:$F$54,'과거손익(Summary)'!$E$3:$E$54,K$19,'과거손익(Summary)'!$B$3:$B$54,$C75)</f>
        <v>1657.3720020000001</v>
      </c>
      <c r="L75" s="231">
        <f>SUMIFS('과거손익(Summary)'!$F$3:$F$54,'과거손익(Summary)'!$E$3:$E$54,L$19,'과거손익(Summary)'!$B$3:$B$54,$C75)</f>
        <v>2055.6219759999999</v>
      </c>
      <c r="M75" s="5066">
        <f>SUMIFS('과거손익(Summary)'!$F$3:$F$54,'과거손익(Summary)'!$E$3:$E$54,M$19,'과거손익(Summary)'!$B$3:$B$54,$C75)</f>
        <v>2178.6547690000002</v>
      </c>
      <c r="N75" s="5050">
        <f>N77*N78</f>
        <v>901.86819663226072</v>
      </c>
      <c r="O75" s="320">
        <f>SUM(M75:N75)</f>
        <v>3080.5229656322608</v>
      </c>
      <c r="P75" s="4879">
        <f t="shared" ref="P75:S75" si="128">P77*P78</f>
        <v>3645.2999999999997</v>
      </c>
      <c r="Q75" s="4879">
        <f t="shared" si="128"/>
        <v>4236.3999999999996</v>
      </c>
      <c r="R75" s="4879">
        <f t="shared" si="128"/>
        <v>4338.3999999999996</v>
      </c>
      <c r="S75" s="4879">
        <f t="shared" si="128"/>
        <v>4355.8453185392736</v>
      </c>
      <c r="T75" s="4903">
        <f t="shared" ref="T75" si="129">T77*T78</f>
        <v>4330.5993791348601</v>
      </c>
    </row>
    <row r="76" spans="1:23" s="400" customFormat="1" ht="12" customHeight="1">
      <c r="A76" s="45"/>
      <c r="B76" s="45"/>
      <c r="C76" s="4890" t="s">
        <v>3649</v>
      </c>
      <c r="D76" s="45"/>
      <c r="E76" s="45"/>
      <c r="F76" s="45"/>
      <c r="G76" s="45"/>
      <c r="H76" s="110" t="s">
        <v>360</v>
      </c>
      <c r="I76" s="45"/>
      <c r="J76" s="2034" t="str">
        <f>IFERROR(J75/I75-1,"n.p")</f>
        <v>n.p</v>
      </c>
      <c r="K76" s="1936">
        <f t="shared" ref="K76" si="130">IFERROR(K75/J75-1,"n.p")</f>
        <v>-2.1946868029590227E-2</v>
      </c>
      <c r="L76" s="1936">
        <f>IFERROR(L75/K75-1,"n.p")</f>
        <v>0.24029003357086998</v>
      </c>
      <c r="M76" s="5051"/>
      <c r="N76" s="5052"/>
      <c r="O76" s="1936">
        <f>O75/L75-1</f>
        <v>0.49858437086112417</v>
      </c>
      <c r="P76" s="4880">
        <f>P75/O75-1</f>
        <v>0.18333803729712539</v>
      </c>
      <c r="Q76" s="4880">
        <f t="shared" ref="Q76" si="131">Q75/P75-1</f>
        <v>0.16215400652895506</v>
      </c>
      <c r="R76" s="4880">
        <f t="shared" ref="R76" si="132">R75/Q75-1</f>
        <v>2.4077046548956593E-2</v>
      </c>
      <c r="S76" s="4880">
        <f t="shared" ref="S76" si="133">S75/R75-1</f>
        <v>4.0211410979333895E-3</v>
      </c>
      <c r="T76" s="4891">
        <f t="shared" ref="T76" si="134">T75/S75-1</f>
        <v>-5.7958760144586341E-3</v>
      </c>
      <c r="V76" s="2511">
        <f>+T76-O76</f>
        <v>-0.50438024687558281</v>
      </c>
    </row>
    <row r="77" spans="1:23" ht="12" customHeight="1">
      <c r="C77" s="4892"/>
      <c r="D77" s="3" t="s">
        <v>3539</v>
      </c>
      <c r="H77" s="110" t="s">
        <v>3470</v>
      </c>
      <c r="J77" s="232">
        <f>J75/J78</f>
        <v>1.3495430047655885E-3</v>
      </c>
      <c r="K77" s="233">
        <f t="shared" ref="K77" si="135">K75/K78</f>
        <v>1.3749506147209072E-3</v>
      </c>
      <c r="L77" s="306">
        <f t="shared" ref="L77:M77" si="136">L75/L78</f>
        <v>1.7141427338286336E-3</v>
      </c>
      <c r="M77" s="5057">
        <f t="shared" si="136"/>
        <v>2.5800024837791132E-3</v>
      </c>
      <c r="N77" s="5070">
        <f>Assumption!N44</f>
        <v>2.5800024837791128E-3</v>
      </c>
      <c r="O77" s="357">
        <f>O75/O78</f>
        <v>2.5800024837791128E-3</v>
      </c>
      <c r="P77" s="4907">
        <f>Assumption!P44</f>
        <v>2.8999999999999998E-3</v>
      </c>
      <c r="Q77" s="4907">
        <f>Assumption!Q44</f>
        <v>3.3999999999999998E-3</v>
      </c>
      <c r="R77" s="4907">
        <f>Assumption!R44</f>
        <v>3.3999999999999998E-3</v>
      </c>
      <c r="S77" s="4907">
        <f>Assumption!S44</f>
        <v>3.3999999999999998E-3</v>
      </c>
      <c r="T77" s="4908">
        <f>Assumption!T44</f>
        <v>3.3999999999999998E-3</v>
      </c>
    </row>
    <row r="78" spans="1:23" ht="12" customHeight="1">
      <c r="C78" s="4898"/>
      <c r="D78" s="12" t="s">
        <v>1352</v>
      </c>
      <c r="E78" s="12"/>
      <c r="F78" s="12"/>
      <c r="G78" s="12"/>
      <c r="H78" s="1950" t="s">
        <v>3545</v>
      </c>
      <c r="I78" s="12"/>
      <c r="J78" s="4899">
        <f>SUMIFS('과거손익(Summary)'!$G$3:$G$54,'과거손익(Summary)'!$E$3:$E$54,J$19,'과거손익(Summary)'!$B$3:$B$54,$C75)</f>
        <v>1255656.4199999988</v>
      </c>
      <c r="K78" s="4900">
        <f>SUMIFS('과거손익(Summary)'!$G$3:$G$54,'과거손익(Summary)'!$E$3:$E$54,K$19,'과거손익(Summary)'!$B$3:$B$54,$C75)</f>
        <v>1205404.7499999991</v>
      </c>
      <c r="L78" s="4900">
        <f>SUMIFS('과거손익(Summary)'!$G$3:$G$54,'과거손익(Summary)'!$E$3:$E$54,L$19,'과거손익(Summary)'!$B$3:$B$54,$C75)</f>
        <v>1199212.8400000001</v>
      </c>
      <c r="M78" s="5064">
        <f>SUMIFS('과거손익(Summary)'!$G$3:$G$54,'과거손익(Summary)'!$E$3:$E$54,M$19,'과거손익(Summary)'!$B$3:$B$54,$C75)</f>
        <v>844439.02</v>
      </c>
      <c r="N78" s="5065">
        <f>SUMIFS(Assumption!N$103:N$114,Assumption!$B$103:$B$114,$C75)</f>
        <v>349560.98</v>
      </c>
      <c r="O78" s="355">
        <f>SUM(M78:N78)</f>
        <v>1194000</v>
      </c>
      <c r="P78" s="4901">
        <f>SUMIFS(Assumption!P$103:P$114,Assumption!$B$103:$B$114,$C75)</f>
        <v>1257000</v>
      </c>
      <c r="Q78" s="4901">
        <f>SUMIFS(Assumption!Q$103:Q$114,Assumption!$B$103:$B$114,$C75)</f>
        <v>1246000</v>
      </c>
      <c r="R78" s="4901">
        <f>SUMIFS(Assumption!R$103:R$114,Assumption!$B$103:$B$114,$C75)</f>
        <v>1276000</v>
      </c>
      <c r="S78" s="4901">
        <f>SUMIFS(Assumption!S$103:S$114,Assumption!$B$103:$B$114,$C75)</f>
        <v>1281130.9760409629</v>
      </c>
      <c r="T78" s="4902">
        <f>SUMIFS(Assumption!T$103:T$114,Assumption!$B$103:$B$114,$C75)</f>
        <v>1273705.699745547</v>
      </c>
    </row>
    <row r="79" spans="1:23" ht="12" customHeight="1">
      <c r="C79" s="4892" t="s">
        <v>327</v>
      </c>
      <c r="H79" s="110"/>
      <c r="J79" s="230">
        <f>SUMIFS('과거손익(Summary)'!$F$3:$F$54,'과거손익(Summary)'!$E$3:$E$54,J$19,'과거손익(Summary)'!$B$3:$B$54,$C79)</f>
        <v>17978.38638</v>
      </c>
      <c r="K79" s="231">
        <f>SUMIFS('과거손익(Summary)'!$F$3:$F$54,'과거손익(Summary)'!$E$3:$E$54,K$19,'과거손익(Summary)'!$B$3:$B$54,$C79)</f>
        <v>23521.976705000001</v>
      </c>
      <c r="L79" s="231">
        <f>SUMIFS('과거손익(Summary)'!$F$3:$F$54,'과거손익(Summary)'!$E$3:$E$54,L$19,'과거손익(Summary)'!$B$3:$B$54,$C79)</f>
        <v>27902.289416</v>
      </c>
      <c r="M79" s="5066">
        <f>SUMIFS('과거손익(Summary)'!$F$3:$F$54,'과거손익(Summary)'!$E$3:$E$54,M$19,'과거손익(Summary)'!$B$3:$B$54,$C79)</f>
        <v>18611.672498</v>
      </c>
      <c r="N79" s="5050">
        <f>N81*N82</f>
        <v>6882.1557565823787</v>
      </c>
      <c r="O79" s="320">
        <f>SUM(M79:N79)</f>
        <v>25493.828254582379</v>
      </c>
      <c r="P79" s="4879">
        <f t="shared" ref="P79:S79" si="137">P81*P82</f>
        <v>24957.065855583274</v>
      </c>
      <c r="Q79" s="4879">
        <f t="shared" si="137"/>
        <v>25538.363973337542</v>
      </c>
      <c r="R79" s="4879">
        <f t="shared" si="137"/>
        <v>25654.623596888396</v>
      </c>
      <c r="S79" s="4879">
        <f t="shared" si="137"/>
        <v>25815.875170938984</v>
      </c>
      <c r="T79" s="4903">
        <f t="shared" ref="T79" si="138">T81*T82</f>
        <v>25666.249559243479</v>
      </c>
    </row>
    <row r="80" spans="1:23" s="400" customFormat="1" ht="12" customHeight="1">
      <c r="A80" s="45"/>
      <c r="B80" s="45"/>
      <c r="C80" s="4890" t="s">
        <v>3649</v>
      </c>
      <c r="D80" s="45"/>
      <c r="E80" s="45"/>
      <c r="F80" s="45"/>
      <c r="G80" s="45"/>
      <c r="H80" s="110" t="s">
        <v>360</v>
      </c>
      <c r="I80" s="45"/>
      <c r="J80" s="2034" t="str">
        <f>IFERROR(J79/I79-1,"n.p")</f>
        <v>n.p</v>
      </c>
      <c r="K80" s="1936">
        <f t="shared" ref="K80" si="139">IFERROR(K79/J79-1,"n.p")</f>
        <v>0.30834749058274502</v>
      </c>
      <c r="L80" s="1936">
        <f>IFERROR(L79/K79-1,"n.p")</f>
        <v>0.18622213455678183</v>
      </c>
      <c r="M80" s="5051"/>
      <c r="N80" s="5052"/>
      <c r="O80" s="1936">
        <f>O79/L79-1</f>
        <v>-8.6317689760487482E-2</v>
      </c>
      <c r="P80" s="4880">
        <f>P79/O79-1</f>
        <v>-2.105460167217621E-2</v>
      </c>
      <c r="Q80" s="4880">
        <f t="shared" ref="Q80" si="140">Q79/P79-1</f>
        <v>2.3291925465838581E-2</v>
      </c>
      <c r="R80" s="4880">
        <f t="shared" ref="R80" si="141">R79/Q79-1</f>
        <v>4.5523520485584168E-3</v>
      </c>
      <c r="S80" s="4880">
        <f t="shared" ref="S80" si="142">S79/R79-1</f>
        <v>6.2854780714907132E-3</v>
      </c>
      <c r="T80" s="4891">
        <f t="shared" ref="T80" si="143">T79/S79-1</f>
        <v>-5.7958760144586341E-3</v>
      </c>
      <c r="V80" s="2511">
        <f>+T80-O80</f>
        <v>8.0521813746028847E-2</v>
      </c>
    </row>
    <row r="81" spans="1:23" ht="12" customHeight="1">
      <c r="C81" s="4892"/>
      <c r="D81" s="3" t="s">
        <v>3539</v>
      </c>
      <c r="H81" s="110" t="s">
        <v>3470</v>
      </c>
      <c r="J81" s="232">
        <f>J79/J82</f>
        <v>9.9431543312739166</v>
      </c>
      <c r="K81" s="233">
        <f t="shared" ref="K81" si="144">K79/K82</f>
        <v>13.131166484955974</v>
      </c>
      <c r="L81" s="306">
        <f t="shared" ref="L81:M81" si="145">L79/L82</f>
        <v>14.829141078399328</v>
      </c>
      <c r="M81" s="5057">
        <f t="shared" si="145"/>
        <v>12.493101217917564</v>
      </c>
      <c r="N81" s="5070">
        <f>Assumption!N45</f>
        <v>12.493101217917564</v>
      </c>
      <c r="O81" s="357">
        <f>O79/O82</f>
        <v>12.493101217917564</v>
      </c>
      <c r="P81" s="4907">
        <f>Assumption!P45</f>
        <v>12.493101217917564</v>
      </c>
      <c r="Q81" s="4907">
        <f>Assumption!Q45</f>
        <v>12.493101217917564</v>
      </c>
      <c r="R81" s="4907">
        <f>Assumption!R45</f>
        <v>12.493101217917564</v>
      </c>
      <c r="S81" s="4907">
        <f>Assumption!S45</f>
        <v>12.493101217917564</v>
      </c>
      <c r="T81" s="4908">
        <f>Assumption!T45</f>
        <v>12.493101217917564</v>
      </c>
    </row>
    <row r="82" spans="1:23" ht="12" customHeight="1">
      <c r="C82" s="4898"/>
      <c r="D82" s="12" t="s">
        <v>1352</v>
      </c>
      <c r="E82" s="12"/>
      <c r="F82" s="12"/>
      <c r="G82" s="12"/>
      <c r="H82" s="1950" t="s">
        <v>3545</v>
      </c>
      <c r="I82" s="12"/>
      <c r="J82" s="4899">
        <f>SUMIFS('과거손익(Summary)'!$G$3:$G$54,'과거손익(Summary)'!$E$3:$E$54,J$19,'과거손익(Summary)'!$B$3:$B$54,$C79)</f>
        <v>1808.117</v>
      </c>
      <c r="K82" s="4900">
        <f>SUMIFS('과거손익(Summary)'!$G$3:$G$54,'과거손익(Summary)'!$E$3:$E$54,K$19,'과거손익(Summary)'!$B$3:$B$54,$C79)</f>
        <v>1791.309</v>
      </c>
      <c r="L82" s="4900">
        <f>SUMIFS('과거손익(Summary)'!$G$3:$G$54,'과거손익(Summary)'!$E$3:$E$54,L$19,'과거손익(Summary)'!$B$3:$B$54,$C79)</f>
        <v>1881.585</v>
      </c>
      <c r="M82" s="5064">
        <f>SUMIFS('과거손익(Summary)'!$G$3:$G$54,'과거손익(Summary)'!$E$3:$E$54,M$19,'과거손익(Summary)'!$B$3:$B$54,$C79)</f>
        <v>1489.7560000000001</v>
      </c>
      <c r="N82" s="5065">
        <f>SUMIFS(Assumption!N$103:N$114,Assumption!$B$103:$B$114,$C79)</f>
        <v>550.87649067567099</v>
      </c>
      <c r="O82" s="355">
        <f>SUM(M82:N82)</f>
        <v>2040.6324906756711</v>
      </c>
      <c r="P82" s="4901">
        <f>SUMIFS(Assumption!P$103:P$114,Assumption!$B$103:$B$114,$C79)</f>
        <v>1997.6677864251938</v>
      </c>
      <c r="Q82" s="4901">
        <f>SUMIFS(Assumption!Q$103:Q$114,Assumption!$B$103:$B$114,$C79)</f>
        <v>2044.197315612116</v>
      </c>
      <c r="R82" s="4901">
        <f>SUMIFS(Assumption!R$103:R$114,Assumption!$B$103:$B$114,$C79)</f>
        <v>2053.5032214495004</v>
      </c>
      <c r="S82" s="4901">
        <f>SUMIFS(Assumption!S$103:S$114,Assumption!$B$103:$B$114,$C79)</f>
        <v>2066.4104709176568</v>
      </c>
      <c r="T82" s="4902">
        <f>SUMIFS(Assumption!T$103:T$114,Assumption!$B$103:$B$114,$C79)</f>
        <v>2054.4338120332386</v>
      </c>
    </row>
    <row r="83" spans="1:23" ht="12" customHeight="1">
      <c r="C83" s="4892" t="s">
        <v>252</v>
      </c>
      <c r="H83" s="110"/>
      <c r="J83" s="230">
        <f>SUMIFS('과거손익(Summary)'!$F$3:$F$54,'과거손익(Summary)'!$E$3:$E$54,J$19,'과거손익(Summary)'!$B$3:$B$54,$C83)</f>
        <v>18034.886059</v>
      </c>
      <c r="K83" s="231">
        <f>SUMIFS('과거손익(Summary)'!$F$3:$F$54,'과거손익(Summary)'!$E$3:$E$54,K$19,'과거손익(Summary)'!$B$3:$B$54,$C83)</f>
        <v>17163.826193000001</v>
      </c>
      <c r="L83" s="231">
        <f>SUMIFS('과거손익(Summary)'!$F$3:$F$54,'과거손익(Summary)'!$E$3:$E$54,L$19,'과거손익(Summary)'!$B$3:$B$54,$C83)</f>
        <v>14141.527991000001</v>
      </c>
      <c r="M83" s="5066">
        <f>SUMIFS('과거손익(Summary)'!$F$3:$F$54,'과거손익(Summary)'!$E$3:$E$54,M$19,'과거손익(Summary)'!$B$3:$B$54,$C83)</f>
        <v>9545.495508</v>
      </c>
      <c r="N83" s="5050">
        <f>N85*N86</f>
        <v>4905.4811724042656</v>
      </c>
      <c r="O83" s="320">
        <f>SUM(M83:N83)</f>
        <v>14450.976680404267</v>
      </c>
      <c r="P83" s="4879">
        <f t="shared" ref="P83" si="146">P85*P86</f>
        <v>15298.92</v>
      </c>
      <c r="Q83" s="4879">
        <f t="shared" ref="Q83" si="147">Q85*Q86</f>
        <v>11969.5</v>
      </c>
      <c r="R83" s="4879">
        <f t="shared" ref="R83" si="148">R85*R86</f>
        <v>8557.26</v>
      </c>
      <c r="S83" s="4879">
        <f t="shared" ref="S83:T83" si="149">S85*S86</f>
        <v>8611.0464700820448</v>
      </c>
      <c r="T83" s="4903">
        <f t="shared" si="149"/>
        <v>8561.1379123867082</v>
      </c>
    </row>
    <row r="84" spans="1:23" s="400" customFormat="1" ht="12" customHeight="1">
      <c r="A84" s="45"/>
      <c r="B84" s="45"/>
      <c r="C84" s="4890" t="s">
        <v>3649</v>
      </c>
      <c r="D84" s="45"/>
      <c r="E84" s="45"/>
      <c r="F84" s="45"/>
      <c r="G84" s="45"/>
      <c r="H84" s="110" t="s">
        <v>360</v>
      </c>
      <c r="I84" s="45"/>
      <c r="J84" s="2034" t="str">
        <f>IFERROR(J83/I83-1,"n.p")</f>
        <v>n.p</v>
      </c>
      <c r="K84" s="1936">
        <f t="shared" ref="K84" si="150">IFERROR(K83/J83-1,"n.p")</f>
        <v>-4.8298606553453194E-2</v>
      </c>
      <c r="L84" s="1936">
        <f>IFERROR(L83/K83-1,"n.p")</f>
        <v>-0.17608534181222346</v>
      </c>
      <c r="M84" s="5051"/>
      <c r="N84" s="5052"/>
      <c r="O84" s="1936">
        <f>O83/L83-1</f>
        <v>2.1882266866862343E-2</v>
      </c>
      <c r="P84" s="4880">
        <f>P83/O83-1</f>
        <v>5.8677232573875582E-2</v>
      </c>
      <c r="Q84" s="4880">
        <f t="shared" ref="Q84" si="151">Q83/P83-1</f>
        <v>-0.21762451205706024</v>
      </c>
      <c r="R84" s="4880">
        <f t="shared" ref="R84" si="152">R83/Q83-1</f>
        <v>-0.28507790634529429</v>
      </c>
      <c r="S84" s="4880">
        <f t="shared" ref="S84" si="153">S83/R83-1</f>
        <v>6.2854780714907132E-3</v>
      </c>
      <c r="T84" s="4891">
        <f t="shared" ref="T84" si="154">T83/S83-1</f>
        <v>-5.7958760144585231E-3</v>
      </c>
      <c r="V84" s="2511">
        <f>+T84-O84</f>
        <v>-2.7678142881320866E-2</v>
      </c>
    </row>
    <row r="85" spans="1:23" ht="12" customHeight="1">
      <c r="C85" s="4892"/>
      <c r="D85" s="3" t="s">
        <v>3539</v>
      </c>
      <c r="H85" s="110" t="s">
        <v>3470</v>
      </c>
      <c r="J85" s="232">
        <f>J83/J86</f>
        <v>3.2944643258498801E-2</v>
      </c>
      <c r="K85" s="233">
        <f t="shared" ref="K85:M85" si="155">K83/K86</f>
        <v>3.3847825610150505E-2</v>
      </c>
      <c r="L85" s="306">
        <f t="shared" si="155"/>
        <v>2.9365040255244751E-2</v>
      </c>
      <c r="M85" s="5057">
        <f t="shared" si="155"/>
        <v>3.3266520903324735E-2</v>
      </c>
      <c r="N85" s="5070">
        <f>Assumption!N46</f>
        <v>3.3266520903324735E-2</v>
      </c>
      <c r="O85" s="357">
        <f>O83/O86</f>
        <v>3.3266520903324742E-2</v>
      </c>
      <c r="P85" s="5205">
        <f>Assumption!P46</f>
        <v>3.6400000000000002E-2</v>
      </c>
      <c r="Q85" s="4907">
        <f>Assumption!Q46</f>
        <v>3.6999999999999998E-2</v>
      </c>
      <c r="R85" s="4907">
        <f>Assumption!R46</f>
        <v>3.8100000000000002E-2</v>
      </c>
      <c r="S85" s="4907">
        <f>Assumption!S46</f>
        <v>3.8100000000000002E-2</v>
      </c>
      <c r="T85" s="4908">
        <f>Assumption!T46</f>
        <v>3.8100000000000002E-2</v>
      </c>
      <c r="W85" s="5206">
        <f>M85*10^6</f>
        <v>33266.520903324737</v>
      </c>
    </row>
    <row r="86" spans="1:23" ht="12" customHeight="1">
      <c r="C86" s="4898"/>
      <c r="D86" s="12" t="s">
        <v>1352</v>
      </c>
      <c r="E86" s="12"/>
      <c r="F86" s="12"/>
      <c r="G86" s="12"/>
      <c r="H86" s="1950" t="s">
        <v>3545</v>
      </c>
      <c r="I86" s="12"/>
      <c r="J86" s="4899">
        <f>SUMIFS('과거손익(Summary)'!$G$3:$G$54,'과거손익(Summary)'!$E$3:$E$54,J$19,'과거손익(Summary)'!$B$3:$B$54,$C83)</f>
        <v>547430</v>
      </c>
      <c r="K86" s="4900">
        <f>SUMIFS('과거손익(Summary)'!$G$3:$G$54,'과거손익(Summary)'!$E$3:$E$54,K$19,'과거손익(Summary)'!$B$3:$B$54,$C83)</f>
        <v>507088</v>
      </c>
      <c r="L86" s="4900">
        <f>SUMIFS('과거손익(Summary)'!$G$3:$G$54,'과거손익(Summary)'!$E$3:$E$54,L$19,'과거손익(Summary)'!$B$3:$B$54,$C83)</f>
        <v>481577</v>
      </c>
      <c r="M86" s="5064">
        <f>SUMIFS('과거손익(Summary)'!$G$3:$G$54,'과거손익(Summary)'!$E$3:$E$54,M$19,'과거손익(Summary)'!$B$3:$B$54,$C83)</f>
        <v>286940</v>
      </c>
      <c r="N86" s="5065">
        <f>SUMIFS(Assumption!N$103:N$114,Assumption!$B$103:$B$114,$C83)</f>
        <v>147460</v>
      </c>
      <c r="O86" s="355">
        <f>SUM(M86:N86)</f>
        <v>434400</v>
      </c>
      <c r="P86" s="4901">
        <f>SUMIFS(Assumption!P$103:P$114,Assumption!$B$103:$B$114,$C83)</f>
        <v>420300</v>
      </c>
      <c r="Q86" s="4901">
        <f>SUMIFS(Assumption!Q$103:Q$114,Assumption!$B$103:$B$114,$C83)</f>
        <v>323500</v>
      </c>
      <c r="R86" s="4901">
        <f>SUMIFS(Assumption!R$103:R$114,Assumption!$B$103:$B$114,$C83)</f>
        <v>224600</v>
      </c>
      <c r="S86" s="4901">
        <f>SUMIFS(Assumption!S$103:S$114,Assumption!$B$103:$B$114,$C83)</f>
        <v>226011.71837485681</v>
      </c>
      <c r="T86" s="4902">
        <f>SUMIFS(Assumption!T$103:T$114,Assumption!$B$103:$B$114,$C83)</f>
        <v>224701.78247734139</v>
      </c>
    </row>
    <row r="87" spans="1:23" ht="12" customHeight="1">
      <c r="C87" s="4892" t="s">
        <v>246</v>
      </c>
      <c r="H87" s="110"/>
      <c r="J87" s="230">
        <f>SUMIFS('과거손익(Summary)'!$F$3:$F$54,'과거손익(Summary)'!$E$3:$E$54,J$19,'과거손익(Summary)'!$B$3:$B$54,$C87)</f>
        <v>178811.24355300001</v>
      </c>
      <c r="K87" s="231">
        <f>SUMIFS('과거손익(Summary)'!$F$3:$F$54,'과거손익(Summary)'!$E$3:$E$54,K$19,'과거손익(Summary)'!$B$3:$B$54,$C87)</f>
        <v>157964.72969000001</v>
      </c>
      <c r="L87" s="231">
        <f>SUMIFS('과거손익(Summary)'!$F$3:$F$54,'과거손익(Summary)'!$E$3:$E$54,L$19,'과거손익(Summary)'!$B$3:$B$54,$C87)</f>
        <v>122108.719054</v>
      </c>
      <c r="M87" s="5066">
        <f>SUMIFS('과거손익(Summary)'!$F$3:$F$54,'과거손익(Summary)'!$E$3:$E$54,M$19,'과거손익(Summary)'!$B$3:$B$54,$C87)</f>
        <v>68029.393337000001</v>
      </c>
      <c r="N87" s="5050">
        <f>SUM(N21,N28,N35,N42,N49,N56,N63,N67,N71,N75,N79,N83)*N89</f>
        <v>49763.357675611529</v>
      </c>
      <c r="O87" s="105">
        <f>SUM(M87:N87)</f>
        <v>117792.75101261152</v>
      </c>
      <c r="P87" s="4879">
        <f>SUM(P21,P28,P35,P42,P49,P56,P63,P67,P71,P75,P79,P83)*P89</f>
        <v>177903.38959494297</v>
      </c>
      <c r="Q87" s="4879">
        <f>SUM(Q21,Q28,Q35,Q42,Q49,Q56,Q63,Q67,Q71,Q75,Q79,Q83)*Q89</f>
        <v>174514.45927238002</v>
      </c>
      <c r="R87" s="4879">
        <f>SUM(R21,R28,R35,R42,R49,R56,R63,R67,R71,R75,R79,R83)*R89</f>
        <v>165566.74902661226</v>
      </c>
      <c r="S87" s="4879">
        <f>SUM(S21,S28,S35,S42,S49,S56,S63,S67,S71,S75,S79,S83)*S89</f>
        <v>165087.02166349872</v>
      </c>
      <c r="T87" s="4903">
        <f>SUM(T21,T28,T35,T42,T49,T56,T63,T67,T71,T75,T79,T83)*T89</f>
        <v>168593.29972469024</v>
      </c>
    </row>
    <row r="88" spans="1:23" s="400" customFormat="1" ht="12" customHeight="1">
      <c r="A88" s="45"/>
      <c r="B88" s="45"/>
      <c r="C88" s="4890" t="s">
        <v>3649</v>
      </c>
      <c r="D88" s="45"/>
      <c r="E88" s="45"/>
      <c r="F88" s="45"/>
      <c r="G88" s="45"/>
      <c r="H88" s="45"/>
      <c r="I88" s="45"/>
      <c r="J88" s="2034" t="str">
        <f>IFERROR(J87/I87-1,"n.p")</f>
        <v>n.p</v>
      </c>
      <c r="K88" s="1936">
        <f t="shared" ref="K88" si="156">IFERROR(K87/J87-1,"n.p")</f>
        <v>-0.1165839096511907</v>
      </c>
      <c r="L88" s="1936">
        <f>IFERROR(L87/K87-1,"n.p")</f>
        <v>-0.22698744654180791</v>
      </c>
      <c r="M88" s="5051"/>
      <c r="N88" s="5052"/>
      <c r="O88" s="1936">
        <f>O87/L87-1</f>
        <v>-3.5345289630626886E-2</v>
      </c>
      <c r="P88" s="4880">
        <f>P87/O87-1</f>
        <v>0.51030847030557669</v>
      </c>
      <c r="Q88" s="4880">
        <f t="shared" ref="Q88" si="157">Q87/P87-1</f>
        <v>-1.9049273486463569E-2</v>
      </c>
      <c r="R88" s="4880">
        <f t="shared" ref="R88" si="158">R87/Q87-1</f>
        <v>-5.1272028020338811E-2</v>
      </c>
      <c r="S88" s="4880">
        <f t="shared" ref="S88" si="159">S87/R87-1</f>
        <v>-2.8974861554866838E-3</v>
      </c>
      <c r="T88" s="4891">
        <f t="shared" ref="T88" si="160">T87/S87-1</f>
        <v>2.1238968550407744E-2</v>
      </c>
      <c r="V88" s="2511">
        <f>+T88-O88</f>
        <v>5.658425818103463E-2</v>
      </c>
    </row>
    <row r="89" spans="1:23" s="400" customFormat="1" ht="12" customHeight="1">
      <c r="A89" s="45"/>
      <c r="B89" s="361"/>
      <c r="C89" s="4909"/>
      <c r="D89" s="361" t="s">
        <v>328</v>
      </c>
      <c r="E89" s="361"/>
      <c r="F89" s="361"/>
      <c r="G89" s="361"/>
      <c r="H89" s="1952" t="s">
        <v>360</v>
      </c>
      <c r="I89" s="361"/>
      <c r="J89" s="2166">
        <f>J87/(J20-J87)</f>
        <v>2.5380133226301487E-2</v>
      </c>
      <c r="K89" s="13">
        <f>K87/(K20-K87)</f>
        <v>2.1104477152683428E-2</v>
      </c>
      <c r="L89" s="13">
        <f>L87/(L20-L87)</f>
        <v>1.6172250289377209E-2</v>
      </c>
      <c r="M89" s="5071">
        <f>M87/(M20-M87)</f>
        <v>9.7556223716188956E-3</v>
      </c>
      <c r="N89" s="5072">
        <f>Assumption!N90</f>
        <v>1.8103120759995255E-2</v>
      </c>
      <c r="O89" s="288">
        <f>Assumption!O90</f>
        <v>1.1842496968712986E-2</v>
      </c>
      <c r="P89" s="4883">
        <f>Assumption!P90</f>
        <v>1.8103120759995255E-2</v>
      </c>
      <c r="Q89" s="4883">
        <f>Assumption!Q90</f>
        <v>1.8103120759995255E-2</v>
      </c>
      <c r="R89" s="4883">
        <f>Assumption!R90</f>
        <v>1.8103120759995255E-2</v>
      </c>
      <c r="S89" s="4883">
        <f>Assumption!S90</f>
        <v>1.8103120759995255E-2</v>
      </c>
      <c r="T89" s="4910">
        <f>Assumption!T90</f>
        <v>1.8103120759995255E-2</v>
      </c>
    </row>
    <row r="90" spans="1:23" ht="12" customHeight="1">
      <c r="J90" s="1981"/>
      <c r="K90" s="1981"/>
      <c r="L90" s="1981"/>
      <c r="M90" s="1981"/>
      <c r="N90" s="1981"/>
      <c r="O90" s="1981"/>
      <c r="P90" s="1981"/>
      <c r="Q90" s="1981"/>
      <c r="R90" s="1981"/>
      <c r="S90" s="1981"/>
      <c r="T90" s="1981"/>
    </row>
    <row r="91" spans="1:23" ht="12" customHeight="1">
      <c r="J91" s="1981"/>
      <c r="K91" s="1981"/>
      <c r="L91" s="1981"/>
      <c r="M91" s="1981"/>
      <c r="N91" s="1981"/>
      <c r="O91" s="1981"/>
      <c r="P91" s="1981"/>
      <c r="Q91" s="1981"/>
      <c r="R91" s="1981"/>
      <c r="S91" s="1981"/>
      <c r="T91" s="1981"/>
    </row>
    <row r="92" spans="1:23" ht="12" customHeight="1">
      <c r="A92" s="20" t="s">
        <v>77</v>
      </c>
      <c r="B92" s="21" t="s">
        <v>66</v>
      </c>
      <c r="C92" s="102"/>
      <c r="D92" s="102"/>
      <c r="E92" s="102"/>
      <c r="F92" s="102"/>
      <c r="G92" s="102"/>
      <c r="H92" s="102"/>
      <c r="I92" s="102"/>
      <c r="J92" s="102"/>
      <c r="K92" s="102"/>
      <c r="L92" s="102"/>
      <c r="M92" s="102"/>
      <c r="N92" s="102"/>
      <c r="O92" s="109"/>
      <c r="P92" s="109"/>
      <c r="Q92" s="109"/>
      <c r="R92" s="109"/>
      <c r="S92" s="109"/>
      <c r="T92" s="109"/>
    </row>
    <row r="93" spans="1:23" ht="12" customHeight="1">
      <c r="A93" s="1965"/>
      <c r="B93" s="1964" t="s">
        <v>6466</v>
      </c>
      <c r="C93" s="1965"/>
      <c r="D93" s="1965"/>
      <c r="E93" s="1965"/>
      <c r="F93" s="1965"/>
      <c r="G93" s="1965"/>
      <c r="H93" s="1965"/>
      <c r="I93" s="1965"/>
      <c r="J93" s="1965"/>
      <c r="K93" s="1965"/>
      <c r="L93" s="1965"/>
      <c r="M93" s="1965"/>
      <c r="N93" s="1965"/>
      <c r="O93" s="1965"/>
      <c r="P93" s="1965"/>
      <c r="Q93" s="1965"/>
      <c r="R93" s="1965"/>
      <c r="S93" s="1965"/>
      <c r="T93" s="1965"/>
    </row>
    <row r="95" spans="1:23" ht="12" customHeight="1">
      <c r="B95" s="24"/>
      <c r="C95" s="24"/>
      <c r="D95" s="24"/>
      <c r="E95" s="24"/>
      <c r="F95" s="24"/>
      <c r="G95" s="24"/>
      <c r="H95" s="24"/>
      <c r="I95" s="24"/>
      <c r="J95" s="25" t="s">
        <v>23</v>
      </c>
      <c r="K95" s="26"/>
      <c r="L95" s="26"/>
      <c r="M95" s="27"/>
      <c r="N95" s="26" t="s">
        <v>24</v>
      </c>
      <c r="O95" s="26"/>
      <c r="P95" s="26"/>
      <c r="Q95" s="26"/>
      <c r="R95" s="26"/>
      <c r="S95" s="26"/>
      <c r="T95" s="26"/>
    </row>
    <row r="96" spans="1:23" ht="12" customHeight="1">
      <c r="B96" s="28"/>
      <c r="C96" s="28"/>
      <c r="D96" s="28"/>
      <c r="E96" s="28"/>
      <c r="F96" s="28"/>
      <c r="G96" s="28"/>
      <c r="H96" s="1949" t="s">
        <v>2889</v>
      </c>
      <c r="I96" s="28"/>
      <c r="J96" s="29" t="s">
        <v>69</v>
      </c>
      <c r="K96" s="30" t="s">
        <v>27</v>
      </c>
      <c r="L96" s="10" t="s">
        <v>60</v>
      </c>
      <c r="M96" s="31" t="s">
        <v>5104</v>
      </c>
      <c r="N96" s="30" t="s">
        <v>5174</v>
      </c>
      <c r="O96" s="30" t="s">
        <v>70</v>
      </c>
      <c r="P96" s="30" t="s">
        <v>71</v>
      </c>
      <c r="Q96" s="30" t="s">
        <v>72</v>
      </c>
      <c r="R96" s="30" t="s">
        <v>73</v>
      </c>
      <c r="S96" s="30" t="s">
        <v>74</v>
      </c>
      <c r="T96" s="30" t="s">
        <v>5102</v>
      </c>
    </row>
    <row r="97" spans="1:20" s="113" customFormat="1" ht="12" customHeight="1">
      <c r="A97" s="32"/>
      <c r="B97" s="32" t="s">
        <v>29</v>
      </c>
      <c r="C97" s="32"/>
      <c r="D97" s="32"/>
      <c r="E97" s="32"/>
      <c r="F97" s="32"/>
      <c r="G97" s="32"/>
      <c r="H97" s="32"/>
      <c r="I97" s="32"/>
      <c r="J97" s="3731">
        <f>J98+J99+J100+J101</f>
        <v>473983.37464899995</v>
      </c>
      <c r="K97" s="4023">
        <f t="shared" ref="K97:T97" si="161">K98+K99+K100+K101</f>
        <v>507597.754931</v>
      </c>
      <c r="L97" s="4023">
        <f t="shared" si="161"/>
        <v>597502.65350999997</v>
      </c>
      <c r="M97" s="3772">
        <f t="shared" si="161"/>
        <v>499367.38181599992</v>
      </c>
      <c r="N97" s="112">
        <f t="shared" si="161"/>
        <v>184898.53946600269</v>
      </c>
      <c r="O97" s="112">
        <f t="shared" si="161"/>
        <v>684265.9212820027</v>
      </c>
      <c r="P97" s="112">
        <f t="shared" si="161"/>
        <v>643272.44310602709</v>
      </c>
      <c r="Q97" s="112">
        <f t="shared" si="161"/>
        <v>667353.67677307362</v>
      </c>
      <c r="R97" s="112">
        <f t="shared" si="161"/>
        <v>651849.88504583086</v>
      </c>
      <c r="S97" s="112">
        <f t="shared" si="161"/>
        <v>659711.12157953274</v>
      </c>
      <c r="T97" s="112">
        <f t="shared" si="161"/>
        <v>639648.09133599605</v>
      </c>
    </row>
    <row r="98" spans="1:20" ht="12" customHeight="1">
      <c r="C98" s="3" t="s">
        <v>1505</v>
      </c>
      <c r="J98" s="216">
        <f>J107</f>
        <v>224839.08886599998</v>
      </c>
      <c r="K98" s="105">
        <f t="shared" ref="K98:T98" si="162">K107</f>
        <v>231687.93225799999</v>
      </c>
      <c r="L98" s="105">
        <f t="shared" si="162"/>
        <v>308139.40788499999</v>
      </c>
      <c r="M98" s="106">
        <f t="shared" si="162"/>
        <v>213598.36266099999</v>
      </c>
      <c r="N98" s="105">
        <f t="shared" si="162"/>
        <v>72967.558621002681</v>
      </c>
      <c r="O98" s="105">
        <f t="shared" si="162"/>
        <v>286565.92128200264</v>
      </c>
      <c r="P98" s="105">
        <f t="shared" si="162"/>
        <v>275472.44310602709</v>
      </c>
      <c r="Q98" s="105">
        <f t="shared" si="162"/>
        <v>289353.67677307368</v>
      </c>
      <c r="R98" s="105">
        <f t="shared" si="162"/>
        <v>290649.8850458308</v>
      </c>
      <c r="S98" s="105">
        <f t="shared" si="162"/>
        <v>280211.12157953274</v>
      </c>
      <c r="T98" s="105">
        <f t="shared" si="162"/>
        <v>278448.09133599605</v>
      </c>
    </row>
    <row r="99" spans="1:20" ht="12" customHeight="1">
      <c r="C99" s="3" t="s">
        <v>1506</v>
      </c>
      <c r="J99" s="4024">
        <f>J166</f>
        <v>206730.24632599999</v>
      </c>
      <c r="K99" s="4021">
        <f t="shared" ref="K99:T99" si="163">K166</f>
        <v>218428.86077999999</v>
      </c>
      <c r="L99" s="4021">
        <f t="shared" si="163"/>
        <v>241137.59458800001</v>
      </c>
      <c r="M99" s="2185">
        <f t="shared" si="163"/>
        <v>229834.826179</v>
      </c>
      <c r="N99" s="4021">
        <f t="shared" si="163"/>
        <v>90565.173821000004</v>
      </c>
      <c r="O99" s="4021">
        <f t="shared" si="163"/>
        <v>320400</v>
      </c>
      <c r="P99" s="4021">
        <f t="shared" si="163"/>
        <v>302200</v>
      </c>
      <c r="Q99" s="4021">
        <f t="shared" si="163"/>
        <v>323200</v>
      </c>
      <c r="R99" s="4021">
        <f t="shared" si="163"/>
        <v>304900</v>
      </c>
      <c r="S99" s="4021">
        <f t="shared" si="163"/>
        <v>323200</v>
      </c>
      <c r="T99" s="4021">
        <f t="shared" si="163"/>
        <v>304900</v>
      </c>
    </row>
    <row r="100" spans="1:20" ht="12" customHeight="1">
      <c r="C100" s="3" t="s">
        <v>1507</v>
      </c>
      <c r="J100" s="4024">
        <f>J168</f>
        <v>27468.885761000001</v>
      </c>
      <c r="K100" s="4021">
        <f t="shared" ref="K100:T100" si="164">K168</f>
        <v>47317.186511</v>
      </c>
      <c r="L100" s="4021">
        <f t="shared" si="164"/>
        <v>39738.078680999999</v>
      </c>
      <c r="M100" s="2185">
        <f t="shared" si="164"/>
        <v>48552.445700999997</v>
      </c>
      <c r="N100" s="4021">
        <f t="shared" si="164"/>
        <v>18247.554299000003</v>
      </c>
      <c r="O100" s="4021">
        <f t="shared" si="164"/>
        <v>66800</v>
      </c>
      <c r="P100" s="4021">
        <f t="shared" si="164"/>
        <v>50900</v>
      </c>
      <c r="Q100" s="4021">
        <f t="shared" si="164"/>
        <v>41000</v>
      </c>
      <c r="R100" s="4021">
        <f t="shared" si="164"/>
        <v>41900</v>
      </c>
      <c r="S100" s="4021">
        <f t="shared" si="164"/>
        <v>41900</v>
      </c>
      <c r="T100" s="4021">
        <f t="shared" si="164"/>
        <v>41900</v>
      </c>
    </row>
    <row r="101" spans="1:20" ht="12" customHeight="1">
      <c r="B101" s="12"/>
      <c r="C101" s="12" t="s">
        <v>1561</v>
      </c>
      <c r="D101" s="12"/>
      <c r="E101" s="12"/>
      <c r="F101" s="12"/>
      <c r="G101" s="12"/>
      <c r="H101" s="12"/>
      <c r="I101" s="12"/>
      <c r="J101" s="4025">
        <f>J170</f>
        <v>14945.153695999999</v>
      </c>
      <c r="K101" s="4022">
        <f t="shared" ref="K101:T101" si="165">K170</f>
        <v>10163.775382</v>
      </c>
      <c r="L101" s="4022">
        <f t="shared" si="165"/>
        <v>8487.5723560000006</v>
      </c>
      <c r="M101" s="4026">
        <f t="shared" si="165"/>
        <v>7381.7472749999997</v>
      </c>
      <c r="N101" s="4022">
        <f t="shared" si="165"/>
        <v>3118.2527250000003</v>
      </c>
      <c r="O101" s="4022">
        <f t="shared" si="165"/>
        <v>10500</v>
      </c>
      <c r="P101" s="4022">
        <f t="shared" si="165"/>
        <v>14700</v>
      </c>
      <c r="Q101" s="4022">
        <f t="shared" si="165"/>
        <v>13800</v>
      </c>
      <c r="R101" s="4022">
        <f t="shared" si="165"/>
        <v>14400</v>
      </c>
      <c r="S101" s="4022">
        <f t="shared" si="165"/>
        <v>14400</v>
      </c>
      <c r="T101" s="4022">
        <f t="shared" si="165"/>
        <v>14400</v>
      </c>
    </row>
    <row r="103" spans="1:20" ht="12" customHeight="1">
      <c r="A103" s="1965"/>
      <c r="B103" s="1964" t="s">
        <v>6467</v>
      </c>
      <c r="C103" s="1965"/>
      <c r="D103" s="1965"/>
      <c r="E103" s="1965"/>
      <c r="F103" s="1965"/>
      <c r="G103" s="1965"/>
      <c r="H103" s="1965"/>
      <c r="I103" s="1965"/>
      <c r="J103" s="1965"/>
      <c r="K103" s="1965"/>
      <c r="L103" s="1965"/>
      <c r="M103" s="1965"/>
      <c r="N103" s="1965"/>
      <c r="O103" s="1965"/>
      <c r="P103" s="1965"/>
      <c r="Q103" s="1965"/>
      <c r="R103" s="1965"/>
      <c r="S103" s="1965"/>
      <c r="T103" s="1965"/>
    </row>
    <row r="105" spans="1:20" ht="12" customHeight="1">
      <c r="B105" s="24"/>
      <c r="C105" s="24"/>
      <c r="D105" s="24"/>
      <c r="E105" s="24"/>
      <c r="F105" s="24"/>
      <c r="G105" s="24"/>
      <c r="H105" s="24"/>
      <c r="I105" s="24"/>
      <c r="J105" s="25" t="s">
        <v>23</v>
      </c>
      <c r="K105" s="26"/>
      <c r="L105" s="26"/>
      <c r="M105" s="27"/>
      <c r="N105" s="26" t="s">
        <v>24</v>
      </c>
      <c r="O105" s="26"/>
      <c r="P105" s="26"/>
      <c r="Q105" s="26"/>
      <c r="R105" s="26"/>
      <c r="S105" s="26"/>
      <c r="T105" s="26"/>
    </row>
    <row r="106" spans="1:20" ht="12" customHeight="1">
      <c r="B106" s="28"/>
      <c r="C106" s="28"/>
      <c r="D106" s="28"/>
      <c r="E106" s="28"/>
      <c r="F106" s="28"/>
      <c r="G106" s="28"/>
      <c r="H106" s="1949" t="s">
        <v>2889</v>
      </c>
      <c r="I106" s="28"/>
      <c r="J106" s="29" t="s">
        <v>69</v>
      </c>
      <c r="K106" s="30" t="s">
        <v>27</v>
      </c>
      <c r="L106" s="108" t="s">
        <v>60</v>
      </c>
      <c r="M106" s="31" t="s">
        <v>5104</v>
      </c>
      <c r="N106" s="30" t="s">
        <v>5174</v>
      </c>
      <c r="O106" s="30" t="s">
        <v>70</v>
      </c>
      <c r="P106" s="30" t="s">
        <v>71</v>
      </c>
      <c r="Q106" s="30" t="s">
        <v>72</v>
      </c>
      <c r="R106" s="30" t="s">
        <v>73</v>
      </c>
      <c r="S106" s="30" t="s">
        <v>74</v>
      </c>
      <c r="T106" s="30" t="s">
        <v>5102</v>
      </c>
    </row>
    <row r="107" spans="1:20" ht="12" customHeight="1">
      <c r="B107" s="33" t="s">
        <v>29</v>
      </c>
      <c r="C107" s="33"/>
      <c r="D107" s="33"/>
      <c r="E107" s="33"/>
      <c r="F107" s="33"/>
      <c r="G107" s="33"/>
      <c r="H107" s="33"/>
      <c r="I107" s="33"/>
      <c r="J107" s="396">
        <f t="shared" ref="J107:T107" si="166">SUM(J108:J111)</f>
        <v>224839.08886599998</v>
      </c>
      <c r="K107" s="103">
        <f t="shared" si="166"/>
        <v>231687.93225799999</v>
      </c>
      <c r="L107" s="103">
        <f t="shared" si="166"/>
        <v>308139.40788499999</v>
      </c>
      <c r="M107" s="3772">
        <f t="shared" si="166"/>
        <v>213598.36266099999</v>
      </c>
      <c r="N107" s="103">
        <f t="shared" si="166"/>
        <v>72967.558621002681</v>
      </c>
      <c r="O107" s="103">
        <f t="shared" si="166"/>
        <v>286565.92128200264</v>
      </c>
      <c r="P107" s="103">
        <f t="shared" si="166"/>
        <v>275472.44310602709</v>
      </c>
      <c r="Q107" s="103">
        <f t="shared" si="166"/>
        <v>289353.67677307368</v>
      </c>
      <c r="R107" s="103">
        <f t="shared" si="166"/>
        <v>290649.8850458308</v>
      </c>
      <c r="S107" s="103">
        <f t="shared" si="166"/>
        <v>280211.12157953274</v>
      </c>
      <c r="T107" s="103">
        <f t="shared" si="166"/>
        <v>278448.09133599605</v>
      </c>
    </row>
    <row r="108" spans="1:20" ht="12" customHeight="1">
      <c r="C108" s="3" t="s">
        <v>6688</v>
      </c>
      <c r="H108" s="110"/>
      <c r="J108" s="216">
        <f>J115</f>
        <v>218823.60861399997</v>
      </c>
      <c r="K108" s="105">
        <f t="shared" ref="K108:M108" si="167">K115</f>
        <v>221531.50084099997</v>
      </c>
      <c r="L108" s="105">
        <f t="shared" si="167"/>
        <v>295327.91969000001</v>
      </c>
      <c r="M108" s="106">
        <f t="shared" si="167"/>
        <v>204254.85548399997</v>
      </c>
      <c r="N108" s="105">
        <f>N115</f>
        <v>70363.988072985128</v>
      </c>
      <c r="O108" s="105">
        <f t="shared" ref="O108:T108" si="168">O115</f>
        <v>274618.84355698508</v>
      </c>
      <c r="P108" s="105">
        <f t="shared" si="168"/>
        <v>270211.26565002708</v>
      </c>
      <c r="Q108" s="105">
        <f t="shared" si="168"/>
        <v>261965.35509740538</v>
      </c>
      <c r="R108" s="105">
        <f t="shared" si="168"/>
        <v>257627.69193422544</v>
      </c>
      <c r="S108" s="105">
        <f t="shared" si="168"/>
        <v>247164.76472934493</v>
      </c>
      <c r="T108" s="105">
        <f t="shared" si="168"/>
        <v>244686.7797334512</v>
      </c>
    </row>
    <row r="109" spans="1:20" ht="12" customHeight="1">
      <c r="C109" s="3" t="s">
        <v>6468</v>
      </c>
      <c r="H109" s="110"/>
      <c r="J109" s="216">
        <f>J140</f>
        <v>0</v>
      </c>
      <c r="K109" s="105">
        <f t="shared" ref="K109:M109" si="169">K140</f>
        <v>3926.3191999999999</v>
      </c>
      <c r="L109" s="105">
        <f t="shared" si="169"/>
        <v>6625.5459770000007</v>
      </c>
      <c r="M109" s="106">
        <f t="shared" si="169"/>
        <v>3945.8830920000005</v>
      </c>
      <c r="N109" s="105">
        <f t="shared" ref="N109:T109" si="170">N140</f>
        <v>1315.2943640000001</v>
      </c>
      <c r="O109" s="105">
        <f t="shared" si="170"/>
        <v>5261.1774560000003</v>
      </c>
      <c r="P109" s="105">
        <f t="shared" si="170"/>
        <v>5261.1774560000003</v>
      </c>
      <c r="Q109" s="105">
        <f t="shared" si="170"/>
        <v>5261.1774560000003</v>
      </c>
      <c r="R109" s="105">
        <f t="shared" si="170"/>
        <v>5261.1774560000003</v>
      </c>
      <c r="S109" s="105">
        <f t="shared" si="170"/>
        <v>5261.1774560000003</v>
      </c>
      <c r="T109" s="105">
        <f t="shared" si="170"/>
        <v>5261.1774560000003</v>
      </c>
    </row>
    <row r="110" spans="1:20" ht="12" customHeight="1">
      <c r="C110" s="3" t="s">
        <v>334</v>
      </c>
      <c r="H110" s="110"/>
      <c r="J110" s="216">
        <f>J146</f>
        <v>5964.7344779999985</v>
      </c>
      <c r="K110" s="105">
        <f t="shared" ref="K110:T110" si="171">K146</f>
        <v>6181.4502169999996</v>
      </c>
      <c r="L110" s="105">
        <f t="shared" si="171"/>
        <v>6183.5422180000005</v>
      </c>
      <c r="M110" s="106">
        <f t="shared" si="171"/>
        <v>5396.6740850000006</v>
      </c>
      <c r="N110" s="105">
        <f t="shared" si="171"/>
        <v>1288.2761840175517</v>
      </c>
      <c r="O110" s="105">
        <f t="shared" si="171"/>
        <v>6684.9502690175523</v>
      </c>
      <c r="P110" s="105">
        <f t="shared" si="171"/>
        <v>0</v>
      </c>
      <c r="Q110" s="105">
        <f t="shared" si="171"/>
        <v>22127.144219668284</v>
      </c>
      <c r="R110" s="105">
        <f t="shared" si="171"/>
        <v>27761.015655605377</v>
      </c>
      <c r="S110" s="105">
        <f t="shared" si="171"/>
        <v>27785.179394187784</v>
      </c>
      <c r="T110" s="105">
        <f t="shared" si="171"/>
        <v>28500.134146544831</v>
      </c>
    </row>
    <row r="111" spans="1:20" ht="12" customHeight="1">
      <c r="B111" s="361"/>
      <c r="C111" s="12" t="s">
        <v>320</v>
      </c>
      <c r="D111" s="361"/>
      <c r="E111" s="361"/>
      <c r="F111" s="361"/>
      <c r="G111" s="361"/>
      <c r="H111" s="1950"/>
      <c r="I111" s="361"/>
      <c r="J111" s="397">
        <f>Torecom_BSPL!AF12/10^6</f>
        <v>50.745773999999997</v>
      </c>
      <c r="K111" s="1935">
        <f>Torecom_BSPL!X12/10^6</f>
        <v>48.661999999999999</v>
      </c>
      <c r="L111" s="1935">
        <f>Torecom_BSPL!P12/10^6</f>
        <v>2.4</v>
      </c>
      <c r="M111" s="2164">
        <f>Torecom_BSPL!H12/10^6</f>
        <v>0.95</v>
      </c>
      <c r="N111" s="107">
        <v>0</v>
      </c>
      <c r="O111" s="1935">
        <f>SUM(M111:N111)</f>
        <v>0.95</v>
      </c>
      <c r="P111" s="1935">
        <v>0</v>
      </c>
      <c r="Q111" s="1935">
        <v>0</v>
      </c>
      <c r="R111" s="1935">
        <v>0</v>
      </c>
      <c r="S111" s="1935">
        <v>0</v>
      </c>
      <c r="T111" s="1935">
        <v>0</v>
      </c>
    </row>
    <row r="113" spans="2:20" ht="12" customHeight="1">
      <c r="B113" s="4027"/>
      <c r="C113" s="4027"/>
      <c r="D113" s="4027"/>
      <c r="E113" s="4027"/>
      <c r="F113" s="4027"/>
      <c r="G113" s="4027"/>
      <c r="H113" s="4027"/>
      <c r="I113" s="4027"/>
      <c r="J113" s="25" t="s">
        <v>23</v>
      </c>
      <c r="K113" s="26"/>
      <c r="L113" s="26"/>
      <c r="M113" s="27"/>
      <c r="N113" s="26" t="s">
        <v>24</v>
      </c>
      <c r="O113" s="26"/>
      <c r="P113" s="26"/>
      <c r="Q113" s="26"/>
      <c r="R113" s="26"/>
      <c r="S113" s="26"/>
      <c r="T113" s="26"/>
    </row>
    <row r="114" spans="2:20" ht="12" customHeight="1">
      <c r="B114" s="28"/>
      <c r="C114" s="28"/>
      <c r="D114" s="28"/>
      <c r="E114" s="28"/>
      <c r="F114" s="28"/>
      <c r="G114" s="28"/>
      <c r="H114" s="1949" t="s">
        <v>2889</v>
      </c>
      <c r="I114" s="28"/>
      <c r="J114" s="29" t="s">
        <v>69</v>
      </c>
      <c r="K114" s="30" t="s">
        <v>27</v>
      </c>
      <c r="L114" s="30" t="s">
        <v>60</v>
      </c>
      <c r="M114" s="31" t="s">
        <v>5104</v>
      </c>
      <c r="N114" s="30" t="s">
        <v>5174</v>
      </c>
      <c r="O114" s="30" t="s">
        <v>70</v>
      </c>
      <c r="P114" s="30" t="s">
        <v>71</v>
      </c>
      <c r="Q114" s="30" t="s">
        <v>72</v>
      </c>
      <c r="R114" s="30" t="s">
        <v>73</v>
      </c>
      <c r="S114" s="30" t="s">
        <v>74</v>
      </c>
      <c r="T114" s="30" t="s">
        <v>5102</v>
      </c>
    </row>
    <row r="115" spans="2:20" ht="12" customHeight="1">
      <c r="B115" s="4028" t="s">
        <v>6688</v>
      </c>
      <c r="J115" s="3731">
        <f>J116+J121+J126+J131+J136</f>
        <v>218823.60861399997</v>
      </c>
      <c r="K115" s="4023">
        <f t="shared" ref="K115:M115" si="172">K116+K121+K126+K131+K136</f>
        <v>221531.50084099997</v>
      </c>
      <c r="L115" s="4023">
        <f t="shared" si="172"/>
        <v>295327.91969000001</v>
      </c>
      <c r="M115" s="3772">
        <f t="shared" si="172"/>
        <v>204254.85548399997</v>
      </c>
      <c r="N115" s="112">
        <f t="shared" ref="N115" si="173">N116+N121+N126+N131+N136</f>
        <v>70363.988072985128</v>
      </c>
      <c r="O115" s="112">
        <f t="shared" ref="O115" si="174">O116+O121+O126+O131+O136</f>
        <v>274618.84355698508</v>
      </c>
      <c r="P115" s="112">
        <f t="shared" ref="P115" si="175">P116+P121+P126+P131+P136</f>
        <v>270211.26565002708</v>
      </c>
      <c r="Q115" s="112">
        <f t="shared" ref="Q115" si="176">Q116+Q121+Q126+Q131+Q136</f>
        <v>261965.35509740538</v>
      </c>
      <c r="R115" s="112">
        <f t="shared" ref="R115" si="177">R116+R121+R126+R131+R136</f>
        <v>257627.69193422544</v>
      </c>
      <c r="S115" s="112">
        <f t="shared" ref="S115" si="178">S116+S121+S126+S131+S136</f>
        <v>247164.76472934493</v>
      </c>
      <c r="T115" s="112">
        <f t="shared" ref="T115" si="179">T116+T121+T126+T131+T136</f>
        <v>244686.7797334512</v>
      </c>
    </row>
    <row r="116" spans="2:20" ht="12" customHeight="1">
      <c r="C116" s="3" t="s">
        <v>6689</v>
      </c>
      <c r="J116" s="220">
        <f>SUMIFS('Torecom_제품별 PQ'!$G:$G,'Torecom_제품별 PQ'!$P:$P,J$114,'Torecom_제품별 PQ'!$Q:$Q,$C116)</f>
        <v>177991.40898499999</v>
      </c>
      <c r="K116" s="221">
        <f>SUMIFS('Torecom_제품별 PQ'!$G:$G,'Torecom_제품별 PQ'!$P:$P,K$114,'Torecom_제품별 PQ'!$Q:$Q,$C116)</f>
        <v>172289.57485099998</v>
      </c>
      <c r="L116" s="221">
        <f>SUMIFS('Torecom_제품별 PQ'!$G:$G,'Torecom_제품별 PQ'!$P:$P,L$114,'Torecom_제품별 PQ'!$Q:$Q,$C116)</f>
        <v>245507.230667</v>
      </c>
      <c r="M116" s="222">
        <f>SUMIFS('Torecom_제품별 PQ'!$G:$G,'Torecom_제품별 PQ'!$P:$P,M$114,'Torecom_제품별 PQ'!$Q:$Q,$C116)</f>
        <v>161090.28585399996</v>
      </c>
      <c r="N116" s="105">
        <f>N117*N120</f>
        <v>57510.341206363126</v>
      </c>
      <c r="O116" s="105">
        <f>SUM(M116:N116)</f>
        <v>218600.62706036307</v>
      </c>
      <c r="P116" s="105">
        <f t="shared" ref="P116" si="180">P117*P120</f>
        <v>219673.82658686914</v>
      </c>
      <c r="Q116" s="105">
        <f t="shared" ref="Q116" si="181">Q117*Q120</f>
        <v>213474.63073120668</v>
      </c>
      <c r="R116" s="105">
        <f t="shared" ref="R116" si="182">R117*R120</f>
        <v>212024.39456632209</v>
      </c>
      <c r="S116" s="105">
        <f t="shared" ref="S116" si="183">S117*S120</f>
        <v>205110.69984970451</v>
      </c>
      <c r="T116" s="105">
        <f t="shared" ref="T116" si="184">T117*T120</f>
        <v>203621.23437507486</v>
      </c>
    </row>
    <row r="117" spans="2:20" ht="12" customHeight="1">
      <c r="D117" s="3" t="s">
        <v>3540</v>
      </c>
      <c r="H117" s="110" t="s">
        <v>6694</v>
      </c>
      <c r="J117" s="216">
        <f>J116/J120</f>
        <v>37.03407472748809</v>
      </c>
      <c r="K117" s="105">
        <f>K116/K120</f>
        <v>46.868867728413854</v>
      </c>
      <c r="L117" s="105">
        <f>L116/L120</f>
        <v>61.032777951411539</v>
      </c>
      <c r="M117" s="106">
        <f>M116/M120</f>
        <v>57.090928198852737</v>
      </c>
      <c r="N117" s="105">
        <f>N118*N119/10^6</f>
        <v>61.145563367112352</v>
      </c>
      <c r="O117" s="105">
        <f>O116/O120</f>
        <v>58.104586990917639</v>
      </c>
      <c r="P117" s="105">
        <f t="shared" ref="P117" si="185">P118*P119/10^6</f>
        <v>58.38984607770545</v>
      </c>
      <c r="Q117" s="105">
        <f t="shared" ref="Q117" si="186">Q118*Q119/10^6</f>
        <v>56.742084496629971</v>
      </c>
      <c r="R117" s="105">
        <f t="shared" ref="R117" si="187">R118*R119/10^6</f>
        <v>56.356608139434336</v>
      </c>
      <c r="S117" s="105">
        <f t="shared" ref="S117" si="188">S118*S119/10^6</f>
        <v>54.518930995080005</v>
      </c>
      <c r="T117" s="105">
        <f t="shared" ref="T117" si="189">T118*T119/10^6</f>
        <v>54.123027390390483</v>
      </c>
    </row>
    <row r="118" spans="2:20" ht="12" customHeight="1">
      <c r="E118" s="3" t="s">
        <v>3540</v>
      </c>
      <c r="H118" s="110" t="s">
        <v>6695</v>
      </c>
      <c r="J118" s="216">
        <f>J117*10^6/J119</f>
        <v>33658.061277482986</v>
      </c>
      <c r="K118" s="105">
        <f>K117*10^6/K119</f>
        <v>40208.193303543063</v>
      </c>
      <c r="L118" s="105">
        <f>L117*10^6/L119</f>
        <v>51720.404821451186</v>
      </c>
      <c r="M118" s="106">
        <f>M117*10^6/M119</f>
        <v>50477.815895703672</v>
      </c>
      <c r="N118" s="221">
        <f>Assumption!N493</f>
        <v>51708.721663519958</v>
      </c>
      <c r="O118" s="368"/>
      <c r="P118" s="221">
        <f>Assumption!P493</f>
        <v>51105.688424457054</v>
      </c>
      <c r="Q118" s="221">
        <f>Assumption!Q493</f>
        <v>49819.644845366318</v>
      </c>
      <c r="R118" s="221">
        <f>Assumption!R493</f>
        <v>49644.651285618689</v>
      </c>
      <c r="S118" s="221">
        <f>Assumption!S493</f>
        <v>49071.945090081012</v>
      </c>
      <c r="T118" s="221">
        <f>Assumption!T493</f>
        <v>48715.596210972537</v>
      </c>
    </row>
    <row r="119" spans="2:20" ht="12" customHeight="1">
      <c r="E119" s="3" t="s">
        <v>3001</v>
      </c>
      <c r="H119" s="110" t="s">
        <v>3549</v>
      </c>
      <c r="J119" s="220">
        <f>Assumption!J$78</f>
        <v>1100.3032653061225</v>
      </c>
      <c r="K119" s="221">
        <f>Assumption!K$78</f>
        <v>1165.6546558704458</v>
      </c>
      <c r="L119" s="221">
        <f>Assumption!L$78</f>
        <v>1180.0522088353418</v>
      </c>
      <c r="M119" s="222">
        <f>Assumption!M$78</f>
        <v>1131.01027027027</v>
      </c>
      <c r="N119" s="221">
        <f>Assumption!N$78</f>
        <v>1182.5</v>
      </c>
      <c r="O119" s="368"/>
      <c r="P119" s="221">
        <f>Assumption!P$78</f>
        <v>1142.53125</v>
      </c>
      <c r="Q119" s="221">
        <f>Assumption!Q$78</f>
        <v>1138.95</v>
      </c>
      <c r="R119" s="221">
        <f>Assumption!R$78</f>
        <v>1135.2</v>
      </c>
      <c r="S119" s="221">
        <f>Assumption!S$78</f>
        <v>1111</v>
      </c>
      <c r="T119" s="221">
        <f>Assumption!T$78</f>
        <v>1111</v>
      </c>
    </row>
    <row r="120" spans="2:20" ht="12" customHeight="1">
      <c r="D120" s="3" t="s">
        <v>1353</v>
      </c>
      <c r="H120" s="110" t="s">
        <v>5558</v>
      </c>
      <c r="J120" s="220">
        <f>SUMIFS('Torecom_제품별 PQ'!$F:$F,'Torecom_제품별 PQ'!$P:$P,J$114,'Torecom_제품별 PQ'!$Q:$Q,$C116)</f>
        <v>4806.1524500000005</v>
      </c>
      <c r="K120" s="221">
        <f>SUMIFS('Torecom_제품별 PQ'!$F:$F,'Torecom_제품별 PQ'!$P:$P,K$114,'Torecom_제품별 PQ'!$Q:$Q,$C116)</f>
        <v>3675.9918299999999</v>
      </c>
      <c r="L120" s="221">
        <f>SUMIFS('Torecom_제품별 PQ'!$F:$F,'Torecom_제품별 PQ'!$P:$P,L$114,'Torecom_제품별 PQ'!$Q:$Q,$C116)</f>
        <v>4022.5472099999997</v>
      </c>
      <c r="M120" s="222">
        <f>SUMIFS('Torecom_제품별 PQ'!$F:$F,'Torecom_제품별 PQ'!$P:$P,M$114,'Torecom_제품별 PQ'!$Q:$Q,$C116)</f>
        <v>2821.6441899999995</v>
      </c>
      <c r="N120" s="221">
        <f>Assumption!N518</f>
        <v>940.54806333333318</v>
      </c>
      <c r="O120" s="221">
        <f>Assumption!O518</f>
        <v>3762.1922533333327</v>
      </c>
      <c r="P120" s="221">
        <f>Assumption!P518</f>
        <v>3762.1922533333327</v>
      </c>
      <c r="Q120" s="221">
        <f>Assumption!Q518</f>
        <v>3762.1922533333327</v>
      </c>
      <c r="R120" s="221">
        <f>Assumption!R518</f>
        <v>3762.1922533333327</v>
      </c>
      <c r="S120" s="221">
        <f>Assumption!S518</f>
        <v>3762.1922533333327</v>
      </c>
      <c r="T120" s="221">
        <f>Assumption!T518</f>
        <v>3762.1922533333327</v>
      </c>
    </row>
    <row r="121" spans="2:20" ht="12" customHeight="1">
      <c r="C121" s="3" t="s">
        <v>6690</v>
      </c>
      <c r="J121" s="220">
        <f>SUMIFS('Torecom_제품별 PQ'!$G:$G,'Torecom_제품별 PQ'!$P:$P,J$114,'Torecom_제품별 PQ'!$Q:$Q,$C121)</f>
        <v>23677.182096999997</v>
      </c>
      <c r="K121" s="221">
        <f>SUMIFS('Torecom_제품별 PQ'!$G:$G,'Torecom_제품별 PQ'!$P:$P,K$114,'Torecom_제품별 PQ'!$Q:$Q,$C121)</f>
        <v>20718.469902000001</v>
      </c>
      <c r="L121" s="221">
        <f>SUMIFS('Torecom_제품별 PQ'!$G:$G,'Torecom_제품별 PQ'!$P:$P,L$114,'Torecom_제품별 PQ'!$Q:$Q,$C121)</f>
        <v>18016.961389000004</v>
      </c>
      <c r="M121" s="222">
        <f>SUMIFS('Torecom_제품별 PQ'!$G:$G,'Torecom_제품별 PQ'!$P:$P,M$114,'Torecom_제품별 PQ'!$Q:$Q,$C121)</f>
        <v>13088.335354000001</v>
      </c>
      <c r="N121" s="105">
        <f>N122*N125</f>
        <v>4159.4610385628866</v>
      </c>
      <c r="O121" s="105">
        <f>SUM(M121:N121)</f>
        <v>17247.796392562886</v>
      </c>
      <c r="P121" s="105">
        <f t="shared" ref="P121" si="190">P122*P125</f>
        <v>16616.504030251417</v>
      </c>
      <c r="Q121" s="105">
        <f t="shared" ref="Q121" si="191">Q122*Q125</f>
        <v>16218.593665377013</v>
      </c>
      <c r="R121" s="105">
        <f t="shared" ref="R121" si="192">R122*R125</f>
        <v>15790.092736078834</v>
      </c>
      <c r="S121" s="105">
        <f t="shared" ref="S121" si="193">S122*S125</f>
        <v>14858.177204866775</v>
      </c>
      <c r="T121" s="105">
        <f t="shared" ref="T121" si="194">T122*T125</f>
        <v>14608.61265847068</v>
      </c>
    </row>
    <row r="122" spans="2:20" ht="12" customHeight="1">
      <c r="D122" s="3" t="s">
        <v>3540</v>
      </c>
      <c r="H122" s="110" t="s">
        <v>6694</v>
      </c>
      <c r="J122" s="4343">
        <f>J121/J125</f>
        <v>0.56722291853125328</v>
      </c>
      <c r="K122" s="306">
        <f>K121/K125</f>
        <v>0.60156352965237103</v>
      </c>
      <c r="L122" s="306">
        <f>L121/L125</f>
        <v>0.74707730133158257</v>
      </c>
      <c r="M122" s="3847">
        <f>M121/M125</f>
        <v>0.94765725615522123</v>
      </c>
      <c r="N122" s="306">
        <f>N123*N124/10^6</f>
        <v>0.90349383514636006</v>
      </c>
      <c r="O122" s="306">
        <f>O121/O125</f>
        <v>0.93661640090300591</v>
      </c>
      <c r="P122" s="306">
        <f t="shared" ref="P122" si="195">P123*P124/10^6</f>
        <v>0.90233499086962443</v>
      </c>
      <c r="Q122" s="306">
        <f t="shared" ref="Q122" si="196">Q123*Q124/10^6</f>
        <v>0.88072704946376656</v>
      </c>
      <c r="R122" s="306">
        <f t="shared" ref="R122" si="197">R123*R124/10^6</f>
        <v>0.85745793211983101</v>
      </c>
      <c r="S122" s="306">
        <f t="shared" ref="S122" si="198">S123*S124/10^6</f>
        <v>0.80685161981631748</v>
      </c>
      <c r="T122" s="306">
        <f t="shared" ref="T122" si="199">T123*T124/10^6</f>
        <v>0.79329938149448231</v>
      </c>
    </row>
    <row r="123" spans="2:20" ht="12" customHeight="1">
      <c r="E123" s="3" t="s">
        <v>3540</v>
      </c>
      <c r="H123" s="110" t="s">
        <v>6695</v>
      </c>
      <c r="J123" s="216">
        <f>J122*10^6/J124</f>
        <v>515.51507335883662</v>
      </c>
      <c r="K123" s="105">
        <f>K122*10^6/K124</f>
        <v>516.07354427213011</v>
      </c>
      <c r="L123" s="105">
        <f>L122*10^6/L124</f>
        <v>633.08834620877838</v>
      </c>
      <c r="M123" s="106">
        <f>M122*10^6/M124</f>
        <v>837.8856329295453</v>
      </c>
      <c r="N123" s="221">
        <f>Assumption!N494</f>
        <v>764.05398321045254</v>
      </c>
      <c r="O123" s="368"/>
      <c r="P123" s="221">
        <f>Assumption!P494</f>
        <v>789.7683243846717</v>
      </c>
      <c r="Q123" s="221">
        <f>Assumption!Q494</f>
        <v>773.27981866084247</v>
      </c>
      <c r="R123" s="221">
        <f>Assumption!R494</f>
        <v>755.33644478491101</v>
      </c>
      <c r="S123" s="221">
        <f>Assumption!S494</f>
        <v>726.23908174285998</v>
      </c>
      <c r="T123" s="221">
        <f>Assumption!T494</f>
        <v>714.04084742977705</v>
      </c>
    </row>
    <row r="124" spans="2:20" ht="12" customHeight="1">
      <c r="E124" s="3" t="s">
        <v>3001</v>
      </c>
      <c r="H124" s="110" t="s">
        <v>3549</v>
      </c>
      <c r="J124" s="220">
        <f>Assumption!J$78</f>
        <v>1100.3032653061225</v>
      </c>
      <c r="K124" s="221">
        <f>Assumption!K$78</f>
        <v>1165.6546558704458</v>
      </c>
      <c r="L124" s="221">
        <f>Assumption!L$78</f>
        <v>1180.0522088353418</v>
      </c>
      <c r="M124" s="222">
        <f>Assumption!M$78</f>
        <v>1131.01027027027</v>
      </c>
      <c r="N124" s="221">
        <f>Assumption!N$78</f>
        <v>1182.5</v>
      </c>
      <c r="O124" s="368"/>
      <c r="P124" s="221">
        <f>Assumption!P$78</f>
        <v>1142.53125</v>
      </c>
      <c r="Q124" s="221">
        <f>Assumption!Q$78</f>
        <v>1138.95</v>
      </c>
      <c r="R124" s="221">
        <f>Assumption!R$78</f>
        <v>1135.2</v>
      </c>
      <c r="S124" s="221">
        <f>Assumption!S$78</f>
        <v>1111</v>
      </c>
      <c r="T124" s="221">
        <f>Assumption!T$78</f>
        <v>1111</v>
      </c>
    </row>
    <row r="125" spans="2:20" ht="12" customHeight="1">
      <c r="D125" s="3" t="s">
        <v>1353</v>
      </c>
      <c r="H125" s="110" t="s">
        <v>5558</v>
      </c>
      <c r="J125" s="220">
        <f>SUMIFS('Torecom_제품별 PQ'!$F:$F,'Torecom_제품별 PQ'!$P:$P,J$114,'Torecom_제품별 PQ'!$Q:$Q,$C121)</f>
        <v>41742.287420805995</v>
      </c>
      <c r="K125" s="221">
        <f>SUMIFS('Torecom_제품별 PQ'!$F:$F,'Torecom_제품별 PQ'!$P:$P,K$114,'Torecom_제품별 PQ'!$Q:$Q,$C121)</f>
        <v>34441.033873799999</v>
      </c>
      <c r="L125" s="221">
        <f>SUMIFS('Torecom_제품별 PQ'!$F:$F,'Torecom_제품별 PQ'!$P:$P,L$114,'Torecom_제품별 PQ'!$Q:$Q,$C121)</f>
        <v>24116.595909</v>
      </c>
      <c r="M125" s="222">
        <f>SUMIFS('Torecom_제품별 PQ'!$F:$F,'Torecom_제품별 PQ'!$P:$P,M$114,'Torecom_제품별 PQ'!$Q:$Q,$C121)</f>
        <v>13811.254300000001</v>
      </c>
      <c r="N125" s="221">
        <f>Assumption!N519</f>
        <v>4603.7514333333347</v>
      </c>
      <c r="O125" s="221">
        <f>Assumption!O519</f>
        <v>18415.005733333335</v>
      </c>
      <c r="P125" s="221">
        <f>Assumption!P519</f>
        <v>18415.005733333335</v>
      </c>
      <c r="Q125" s="221">
        <f>Assumption!Q519</f>
        <v>18415.005733333335</v>
      </c>
      <c r="R125" s="221">
        <f>Assumption!R519</f>
        <v>18415.005733333335</v>
      </c>
      <c r="S125" s="221">
        <f>Assumption!S519</f>
        <v>18415.005733333335</v>
      </c>
      <c r="T125" s="221">
        <f>Assumption!T519</f>
        <v>18415.005733333335</v>
      </c>
    </row>
    <row r="126" spans="2:20" ht="12" customHeight="1">
      <c r="C126" s="3" t="s">
        <v>6691</v>
      </c>
      <c r="J126" s="220">
        <f>SUMIFS('Torecom_제품별 PQ'!$G:$G,'Torecom_제품별 PQ'!$P:$P,J$114,'Torecom_제품별 PQ'!$Q:$Q,$C126)</f>
        <v>1986.0135519999999</v>
      </c>
      <c r="K126" s="221">
        <f>SUMIFS('Torecom_제품별 PQ'!$G:$G,'Torecom_제품별 PQ'!$P:$P,K$114,'Torecom_제품별 PQ'!$Q:$Q,$C126)</f>
        <v>3685.3951069999998</v>
      </c>
      <c r="L126" s="221">
        <f>SUMIFS('Torecom_제품별 PQ'!$G:$G,'Torecom_제품별 PQ'!$P:$P,L$114,'Torecom_제품별 PQ'!$Q:$Q,$C126)</f>
        <v>6881.3271169999998</v>
      </c>
      <c r="M126" s="222">
        <f>SUMIFS('Torecom_제품별 PQ'!$G:$G,'Torecom_제품별 PQ'!$P:$P,M$114,'Torecom_제품별 PQ'!$Q:$Q,$C126)</f>
        <v>8897.3878169999989</v>
      </c>
      <c r="N126" s="105">
        <f>N127*N130</f>
        <v>2890.7430121123098</v>
      </c>
      <c r="O126" s="105">
        <f>SUM(M126:N126)</f>
        <v>11788.13082911231</v>
      </c>
      <c r="P126" s="105">
        <f t="shared" ref="P126" si="200">P127*P130</f>
        <v>10904.688222133054</v>
      </c>
      <c r="Q126" s="105">
        <f t="shared" ref="Q126" si="201">Q127*Q130</f>
        <v>11004.687627304895</v>
      </c>
      <c r="R126" s="105">
        <f t="shared" ref="R126" si="202">R127*R130</f>
        <v>11128.940496017229</v>
      </c>
      <c r="S126" s="105">
        <f t="shared" ref="S126" si="203">S127*S130</f>
        <v>11048.760301609516</v>
      </c>
      <c r="T126" s="105">
        <f t="shared" ref="T126" si="204">T127*T130</f>
        <v>11208.862294727298</v>
      </c>
    </row>
    <row r="127" spans="2:20" ht="12" customHeight="1">
      <c r="D127" s="3" t="s">
        <v>3540</v>
      </c>
      <c r="H127" s="110" t="s">
        <v>6694</v>
      </c>
      <c r="J127" s="216">
        <f>J126/J130</f>
        <v>27.751440899196435</v>
      </c>
      <c r="K127" s="105">
        <f>K126/K130</f>
        <v>34.7810164046872</v>
      </c>
      <c r="L127" s="105">
        <f>L126/L130</f>
        <v>35.654939992598884</v>
      </c>
      <c r="M127" s="106">
        <f>M126/M130</f>
        <v>39.183682370137319</v>
      </c>
      <c r="N127" s="105">
        <f>N128*N129/10^6</f>
        <v>38.192093566118658</v>
      </c>
      <c r="O127" s="105">
        <f>O126/O130</f>
        <v>38.935785169132657</v>
      </c>
      <c r="P127" s="105">
        <f t="shared" ref="P127" si="205">P128*P129/10^6</f>
        <v>36.017805036976874</v>
      </c>
      <c r="Q127" s="105">
        <f t="shared" ref="Q127" si="206">Q128*Q129/10^6</f>
        <v>36.34809958606656</v>
      </c>
      <c r="R127" s="105">
        <f t="shared" ref="R127" si="207">R128*R129/10^6</f>
        <v>36.758502479702933</v>
      </c>
      <c r="S127" s="105">
        <f t="shared" ref="S127" si="208">S128*S129/10^6</f>
        <v>36.493670092827138</v>
      </c>
      <c r="T127" s="105">
        <f t="shared" ref="T127" si="209">T128*T129/10^6</f>
        <v>37.022481394597641</v>
      </c>
    </row>
    <row r="128" spans="2:20" ht="12" customHeight="1">
      <c r="E128" s="3" t="s">
        <v>3540</v>
      </c>
      <c r="H128" s="110" t="s">
        <v>6695</v>
      </c>
      <c r="J128" s="216">
        <f>J127*10^6/J129</f>
        <v>25221.629140103956</v>
      </c>
      <c r="K128" s="105">
        <f>K127*10^6/K129</f>
        <v>29838.18254362368</v>
      </c>
      <c r="L128" s="105">
        <f>L127*10^6/L129</f>
        <v>30214.71399794141</v>
      </c>
      <c r="M128" s="106">
        <f>M127*10^6/M129</f>
        <v>34644.851068216965</v>
      </c>
      <c r="N128" s="221">
        <f>Assumption!N496</f>
        <v>32297.753544286388</v>
      </c>
      <c r="O128" s="368"/>
      <c r="P128" s="221">
        <f>Assumption!P496</f>
        <v>31524.56883518667</v>
      </c>
      <c r="Q128" s="221">
        <f>Assumption!Q496</f>
        <v>31913.692072581372</v>
      </c>
      <c r="R128" s="221">
        <f>Assumption!R496</f>
        <v>32380.639957455016</v>
      </c>
      <c r="S128" s="221">
        <f>Assumption!S496</f>
        <v>32847.587842328663</v>
      </c>
      <c r="T128" s="221">
        <f>Assumption!T496</f>
        <v>33323.56561169905</v>
      </c>
    </row>
    <row r="129" spans="2:20" ht="12" customHeight="1">
      <c r="E129" s="3" t="s">
        <v>3001</v>
      </c>
      <c r="H129" s="110" t="s">
        <v>3549</v>
      </c>
      <c r="J129" s="220">
        <f>Assumption!J$78</f>
        <v>1100.3032653061225</v>
      </c>
      <c r="K129" s="221">
        <f>Assumption!K$78</f>
        <v>1165.6546558704458</v>
      </c>
      <c r="L129" s="221">
        <f>Assumption!L$78</f>
        <v>1180.0522088353418</v>
      </c>
      <c r="M129" s="222">
        <f>Assumption!M$78</f>
        <v>1131.01027027027</v>
      </c>
      <c r="N129" s="221">
        <f>Assumption!N$78</f>
        <v>1182.5</v>
      </c>
      <c r="O129" s="368"/>
      <c r="P129" s="221">
        <f>Assumption!P$78</f>
        <v>1142.53125</v>
      </c>
      <c r="Q129" s="221">
        <f>Assumption!Q$78</f>
        <v>1138.95</v>
      </c>
      <c r="R129" s="221">
        <f>Assumption!R$78</f>
        <v>1135.2</v>
      </c>
      <c r="S129" s="221">
        <f>Assumption!S$78</f>
        <v>1111</v>
      </c>
      <c r="T129" s="221">
        <f>Assumption!T$78</f>
        <v>1111</v>
      </c>
    </row>
    <row r="130" spans="2:20" ht="12" customHeight="1">
      <c r="D130" s="3" t="s">
        <v>1353</v>
      </c>
      <c r="H130" s="110" t="s">
        <v>5558</v>
      </c>
      <c r="J130" s="220">
        <f>SUMIFS('Torecom_제품별 PQ'!$F:$F,'Torecom_제품별 PQ'!$P:$P,J$114,'Torecom_제품별 PQ'!$Q:$Q,$C126)</f>
        <v>71.564340000000016</v>
      </c>
      <c r="K130" s="221">
        <f>SUMIFS('Torecom_제품별 PQ'!$F:$F,'Torecom_제품별 PQ'!$P:$P,K$114,'Torecom_제품별 PQ'!$Q:$Q,$C126)</f>
        <v>105.95996000000001</v>
      </c>
      <c r="L130" s="221">
        <f>SUMIFS('Torecom_제품별 PQ'!$F:$F,'Torecom_제품별 PQ'!$P:$P,L$114,'Torecom_제품별 PQ'!$Q:$Q,$C126)</f>
        <v>192.99786</v>
      </c>
      <c r="M130" s="222">
        <f>SUMIFS('Torecom_제품별 PQ'!$F:$F,'Torecom_제품별 PQ'!$P:$P,M$114,'Torecom_제품별 PQ'!$Q:$Q,$C126)</f>
        <v>227.06869999999998</v>
      </c>
      <c r="N130" s="221">
        <f>Assumption!N520</f>
        <v>75.689566666666678</v>
      </c>
      <c r="O130" s="221">
        <f>Assumption!O520</f>
        <v>302.75826666666666</v>
      </c>
      <c r="P130" s="221">
        <f>Assumption!P520</f>
        <v>302.75826666666666</v>
      </c>
      <c r="Q130" s="221">
        <f>Assumption!Q520</f>
        <v>302.75826666666666</v>
      </c>
      <c r="R130" s="221">
        <f>Assumption!R520</f>
        <v>302.75826666666666</v>
      </c>
      <c r="S130" s="221">
        <f>Assumption!S520</f>
        <v>302.75826666666666</v>
      </c>
      <c r="T130" s="221">
        <f>Assumption!T520</f>
        <v>302.75826666666666</v>
      </c>
    </row>
    <row r="131" spans="2:20" ht="12" customHeight="1">
      <c r="C131" s="3" t="s">
        <v>6692</v>
      </c>
      <c r="J131" s="220">
        <f>SUMIFS('Torecom_제품별 PQ'!$G:$G,'Torecom_제품별 PQ'!$P:$P,J$114,'Torecom_제품별 PQ'!$Q:$Q,$C131)</f>
        <v>14207.231392</v>
      </c>
      <c r="K131" s="221">
        <f>SUMIFS('Torecom_제품별 PQ'!$G:$G,'Torecom_제품별 PQ'!$P:$P,K$114,'Torecom_제품별 PQ'!$Q:$Q,$C131)</f>
        <v>24401.778764999995</v>
      </c>
      <c r="L131" s="221">
        <f>SUMIFS('Torecom_제품별 PQ'!$G:$G,'Torecom_제품별 PQ'!$P:$P,L$114,'Torecom_제품별 PQ'!$Q:$Q,$C131)</f>
        <v>24693.336746999998</v>
      </c>
      <c r="M131" s="222">
        <f>SUMIFS('Torecom_제품별 PQ'!$G:$G,'Torecom_제품별 PQ'!$P:$P,M$114,'Torecom_제품별 PQ'!$Q:$Q,$C131)</f>
        <v>20789.894742000004</v>
      </c>
      <c r="N131" s="105">
        <f>N132*N135</f>
        <v>5803.4428159468061</v>
      </c>
      <c r="O131" s="105">
        <f>SUM(M131:N131)</f>
        <v>26593.337557946812</v>
      </c>
      <c r="P131" s="105">
        <f t="shared" ref="P131:T131" si="210">P132*P135</f>
        <v>23016.246810773493</v>
      </c>
      <c r="Q131" s="105">
        <f t="shared" si="210"/>
        <v>21267.443073516792</v>
      </c>
      <c r="R131" s="105">
        <f t="shared" si="210"/>
        <v>18684.264135807294</v>
      </c>
      <c r="S131" s="105">
        <f t="shared" si="210"/>
        <v>16147.127373164101</v>
      </c>
      <c r="T131" s="105">
        <f t="shared" si="210"/>
        <v>15248.070405178343</v>
      </c>
    </row>
    <row r="132" spans="2:20" ht="12" customHeight="1">
      <c r="D132" s="3" t="s">
        <v>3540</v>
      </c>
      <c r="H132" s="110" t="s">
        <v>6694</v>
      </c>
      <c r="J132" s="216">
        <f>J131/J135</f>
        <v>36.73336323251641</v>
      </c>
      <c r="K132" s="105">
        <f>K131/K135</f>
        <v>56.9444127811472</v>
      </c>
      <c r="L132" s="105">
        <f>L131/L135</f>
        <v>80.930236835619439</v>
      </c>
      <c r="M132" s="106">
        <f>M131/M135</f>
        <v>89.927057679048346</v>
      </c>
      <c r="N132" s="105">
        <f>N133*N134/10^6</f>
        <v>75.30868385673719</v>
      </c>
      <c r="O132" s="105">
        <f>O131/O135</f>
        <v>86.272464223470564</v>
      </c>
      <c r="P132" s="105">
        <f t="shared" ref="P132:T132" si="211">P133*P134/10^6</f>
        <v>74.667887218528264</v>
      </c>
      <c r="Q132" s="105">
        <f t="shared" si="211"/>
        <v>68.99452607957393</v>
      </c>
      <c r="R132" s="105">
        <f t="shared" si="211"/>
        <v>60.614336417379029</v>
      </c>
      <c r="S132" s="105">
        <f t="shared" si="211"/>
        <v>52.383513937566669</v>
      </c>
      <c r="T132" s="105">
        <f t="shared" si="211"/>
        <v>49.466848816597867</v>
      </c>
    </row>
    <row r="133" spans="2:20" ht="12" customHeight="1">
      <c r="E133" s="3" t="s">
        <v>3540</v>
      </c>
      <c r="H133" s="110" t="s">
        <v>6695</v>
      </c>
      <c r="J133" s="216">
        <f>J132*10^6/J134</f>
        <v>33384.762538441239</v>
      </c>
      <c r="K133" s="105">
        <f>K132*10^6/K134</f>
        <v>48851.872631713799</v>
      </c>
      <c r="L133" s="105">
        <f>L132*10^6/L134</f>
        <v>68581.912079545975</v>
      </c>
      <c r="M133" s="106">
        <f>M132*10^6/M134</f>
        <v>79510.381154681352</v>
      </c>
      <c r="N133" s="221">
        <f>Assumption!N495</f>
        <v>63685.990576521945</v>
      </c>
      <c r="O133" s="368"/>
      <c r="P133" s="221">
        <f>Assumption!P495</f>
        <v>65353.037143210102</v>
      </c>
      <c r="Q133" s="221">
        <f>Assumption!Q495</f>
        <v>60577.308994752995</v>
      </c>
      <c r="R133" s="221">
        <f>Assumption!R495</f>
        <v>53395.292827148543</v>
      </c>
      <c r="S133" s="221">
        <f>Assumption!S495</f>
        <v>47149.877531563157</v>
      </c>
      <c r="T133" s="221">
        <f>Assumption!T495</f>
        <v>44524.616396577738</v>
      </c>
    </row>
    <row r="134" spans="2:20" ht="12" customHeight="1">
      <c r="E134" s="3" t="s">
        <v>3001</v>
      </c>
      <c r="H134" s="110" t="s">
        <v>3549</v>
      </c>
      <c r="J134" s="220">
        <f>Assumption!J$78</f>
        <v>1100.3032653061225</v>
      </c>
      <c r="K134" s="221">
        <f>Assumption!K$78</f>
        <v>1165.6546558704458</v>
      </c>
      <c r="L134" s="221">
        <f>Assumption!L$78</f>
        <v>1180.0522088353418</v>
      </c>
      <c r="M134" s="222">
        <f>Assumption!M$78</f>
        <v>1131.01027027027</v>
      </c>
      <c r="N134" s="221">
        <f>Assumption!N$78</f>
        <v>1182.5</v>
      </c>
      <c r="O134" s="368"/>
      <c r="P134" s="221">
        <f>Assumption!P$78</f>
        <v>1142.53125</v>
      </c>
      <c r="Q134" s="221">
        <f>Assumption!Q$78</f>
        <v>1138.95</v>
      </c>
      <c r="R134" s="221">
        <f>Assumption!R$78</f>
        <v>1135.2</v>
      </c>
      <c r="S134" s="221">
        <f>Assumption!S$78</f>
        <v>1111</v>
      </c>
      <c r="T134" s="221">
        <f>Assumption!T$78</f>
        <v>1111</v>
      </c>
    </row>
    <row r="135" spans="2:20" ht="12" customHeight="1">
      <c r="D135" s="3" t="s">
        <v>1353</v>
      </c>
      <c r="H135" s="110" t="s">
        <v>5558</v>
      </c>
      <c r="J135" s="220">
        <f>SUMIFS('Torecom_제품별 PQ'!$F:$F,'Torecom_제품별 PQ'!$P:$P,J$114,'Torecom_제품별 PQ'!$Q:$Q,$C131)</f>
        <v>386.76641999999998</v>
      </c>
      <c r="K135" s="221">
        <f>SUMIFS('Torecom_제품별 PQ'!$F:$F,'Torecom_제품별 PQ'!$P:$P,K$114,'Torecom_제품별 PQ'!$Q:$Q,$C131)</f>
        <v>428.51927999999998</v>
      </c>
      <c r="L135" s="221">
        <f>SUMIFS('Torecom_제품별 PQ'!$F:$F,'Torecom_제품별 PQ'!$P:$P,L$114,'Torecom_제품별 PQ'!$Q:$Q,$C131)</f>
        <v>305.11879999999996</v>
      </c>
      <c r="M135" s="222">
        <f>SUMIFS('Torecom_제품별 PQ'!$F:$F,'Torecom_제품별 PQ'!$P:$P,M$114,'Torecom_제품별 PQ'!$Q:$Q,$C131)</f>
        <v>231.18619999999999</v>
      </c>
      <c r="N135" s="221">
        <f>Assumption!N521</f>
        <v>77.062066666666681</v>
      </c>
      <c r="O135" s="221">
        <f>Assumption!O521</f>
        <v>308.24826666666667</v>
      </c>
      <c r="P135" s="221">
        <f>Assumption!P521</f>
        <v>308.24826666666667</v>
      </c>
      <c r="Q135" s="221">
        <f>Assumption!Q521</f>
        <v>308.24826666666667</v>
      </c>
      <c r="R135" s="221">
        <f>Assumption!R521</f>
        <v>308.24826666666667</v>
      </c>
      <c r="S135" s="221">
        <f>Assumption!S521</f>
        <v>308.24826666666667</v>
      </c>
      <c r="T135" s="221">
        <f>Assumption!T521</f>
        <v>308.24826666666667</v>
      </c>
    </row>
    <row r="136" spans="2:20" ht="12" customHeight="1">
      <c r="B136" s="12"/>
      <c r="C136" s="12" t="s">
        <v>6693</v>
      </c>
      <c r="D136" s="12"/>
      <c r="E136" s="12"/>
      <c r="F136" s="12"/>
      <c r="G136" s="12"/>
      <c r="H136" s="12"/>
      <c r="I136" s="12"/>
      <c r="J136" s="223">
        <f>SUMIFS('Torecom_제품별 PQ'!$G:$G,'Torecom_제품별 PQ'!$P:$P,J$114,'Torecom_제품별 PQ'!$Q:$Q,$C136)</f>
        <v>961.77258800000004</v>
      </c>
      <c r="K136" s="224">
        <f>SUMIFS('Torecom_제품별 PQ'!$G:$G,'Torecom_제품별 PQ'!$P:$P,K$114,'Torecom_제품별 PQ'!$Q:$Q,$C136)</f>
        <v>436.28221599999989</v>
      </c>
      <c r="L136" s="224">
        <f>SUMIFS('Torecom_제품별 PQ'!$G:$G,'Torecom_제품별 PQ'!$P:$P,L$114,'Torecom_제품별 PQ'!$Q:$Q,$C136)</f>
        <v>229.06377000000001</v>
      </c>
      <c r="M136" s="225">
        <f>SUMIFS('Torecom_제품별 PQ'!$G:$G,'Torecom_제품별 PQ'!$P:$P,M$114,'Torecom_제품별 PQ'!$Q:$Q,$C136)</f>
        <v>388.95171699999997</v>
      </c>
      <c r="N136" s="4344">
        <v>0</v>
      </c>
      <c r="O136" s="107">
        <f>SUM(M136:N136)</f>
        <v>388.95171699999997</v>
      </c>
      <c r="P136" s="4344">
        <v>0</v>
      </c>
      <c r="Q136" s="4344">
        <v>0</v>
      </c>
      <c r="R136" s="4344">
        <v>0</v>
      </c>
      <c r="S136" s="4344">
        <v>0</v>
      </c>
      <c r="T136" s="4344">
        <v>0</v>
      </c>
    </row>
    <row r="138" spans="2:20" ht="12" customHeight="1">
      <c r="B138" s="24"/>
      <c r="C138" s="24"/>
      <c r="D138" s="24"/>
      <c r="E138" s="24"/>
      <c r="F138" s="24"/>
      <c r="G138" s="24"/>
      <c r="H138" s="24"/>
      <c r="I138" s="24"/>
      <c r="J138" s="25" t="s">
        <v>23</v>
      </c>
      <c r="K138" s="26"/>
      <c r="L138" s="26"/>
      <c r="M138" s="27"/>
      <c r="N138" s="26" t="s">
        <v>24</v>
      </c>
      <c r="O138" s="26"/>
      <c r="P138" s="26"/>
      <c r="Q138" s="26"/>
      <c r="R138" s="26"/>
      <c r="S138" s="26"/>
      <c r="T138" s="26"/>
    </row>
    <row r="139" spans="2:20" ht="12" customHeight="1">
      <c r="B139" s="28"/>
      <c r="C139" s="28"/>
      <c r="D139" s="28"/>
      <c r="E139" s="28"/>
      <c r="F139" s="28"/>
      <c r="G139" s="28"/>
      <c r="H139" s="1949" t="s">
        <v>2889</v>
      </c>
      <c r="I139" s="28"/>
      <c r="J139" s="29" t="s">
        <v>69</v>
      </c>
      <c r="K139" s="30" t="s">
        <v>27</v>
      </c>
      <c r="L139" s="108" t="s">
        <v>60</v>
      </c>
      <c r="M139" s="31" t="s">
        <v>5104</v>
      </c>
      <c r="N139" s="30" t="s">
        <v>5174</v>
      </c>
      <c r="O139" s="30" t="s">
        <v>70</v>
      </c>
      <c r="P139" s="30" t="s">
        <v>71</v>
      </c>
      <c r="Q139" s="30" t="s">
        <v>72</v>
      </c>
      <c r="R139" s="30" t="s">
        <v>73</v>
      </c>
      <c r="S139" s="30" t="s">
        <v>74</v>
      </c>
      <c r="T139" s="30" t="s">
        <v>5102</v>
      </c>
    </row>
    <row r="140" spans="2:20" ht="12" customHeight="1">
      <c r="B140" s="32" t="s">
        <v>6468</v>
      </c>
      <c r="C140" s="33"/>
      <c r="D140" s="33"/>
      <c r="E140" s="33"/>
      <c r="F140" s="33"/>
      <c r="G140" s="33"/>
      <c r="H140" s="1974"/>
      <c r="I140" s="33"/>
      <c r="J140" s="3845"/>
      <c r="K140" s="4345">
        <f>SUMIFS('Torecom_제품별 PQ'!$G:$G,'Torecom_제품별 PQ'!$A:$A,K$139,'Torecom_제품별 PQ'!$B:$B,$B140)</f>
        <v>3926.3191999999999</v>
      </c>
      <c r="L140" s="4345">
        <f>SUMIFS('Torecom_제품별 PQ'!$G:$G,'Torecom_제품별 PQ'!$A:$A,L$139,'Torecom_제품별 PQ'!$B:$B,$B140)</f>
        <v>6625.5459770000007</v>
      </c>
      <c r="M140" s="4346">
        <f>SUMIFS('Torecom_제품별 PQ'!$G:$G,'Torecom_제품별 PQ'!$A:$A,M$139,'Torecom_제품별 PQ'!$B:$B,$B140)</f>
        <v>3945.8830920000005</v>
      </c>
      <c r="N140" s="103">
        <f>N141*N142</f>
        <v>1315.2943640000001</v>
      </c>
      <c r="O140" s="318">
        <f>SUM(M140:N140)</f>
        <v>5261.1774560000003</v>
      </c>
      <c r="P140" s="103">
        <f>P141*P142</f>
        <v>5261.1774560000003</v>
      </c>
      <c r="Q140" s="103">
        <f t="shared" ref="Q140:T140" si="212">Q141*Q142</f>
        <v>5261.1774560000003</v>
      </c>
      <c r="R140" s="103">
        <f t="shared" si="212"/>
        <v>5261.1774560000003</v>
      </c>
      <c r="S140" s="103">
        <f t="shared" si="212"/>
        <v>5261.1774560000003</v>
      </c>
      <c r="T140" s="103">
        <f t="shared" si="212"/>
        <v>5261.1774560000003</v>
      </c>
    </row>
    <row r="141" spans="2:20" ht="12" customHeight="1">
      <c r="C141" s="3" t="s">
        <v>3540</v>
      </c>
      <c r="H141" s="110" t="s">
        <v>3546</v>
      </c>
      <c r="J141" s="3846"/>
      <c r="K141" s="306">
        <f>K140/K142</f>
        <v>2.0763189918012025E-2</v>
      </c>
      <c r="L141" s="357">
        <f t="shared" ref="L141:M141" si="213">L140/L142</f>
        <v>3.380763190096224E-2</v>
      </c>
      <c r="M141" s="3847">
        <f t="shared" si="213"/>
        <v>2.756975381290528E-2</v>
      </c>
      <c r="N141" s="306">
        <f>M141</f>
        <v>2.756975381290528E-2</v>
      </c>
      <c r="O141" s="357">
        <f>O140/O142</f>
        <v>2.756975381290528E-2</v>
      </c>
      <c r="P141" s="306">
        <f>O141</f>
        <v>2.756975381290528E-2</v>
      </c>
      <c r="Q141" s="306">
        <f t="shared" ref="Q141:T141" si="214">P141</f>
        <v>2.756975381290528E-2</v>
      </c>
      <c r="R141" s="306">
        <f t="shared" si="214"/>
        <v>2.756975381290528E-2</v>
      </c>
      <c r="S141" s="306">
        <f t="shared" si="214"/>
        <v>2.756975381290528E-2</v>
      </c>
      <c r="T141" s="306">
        <f t="shared" si="214"/>
        <v>2.756975381290528E-2</v>
      </c>
    </row>
    <row r="142" spans="2:20" ht="12" customHeight="1">
      <c r="B142" s="12"/>
      <c r="C142" s="12" t="s">
        <v>1353</v>
      </c>
      <c r="D142" s="12"/>
      <c r="E142" s="12"/>
      <c r="F142" s="12"/>
      <c r="G142" s="12"/>
      <c r="H142" s="1950" t="s">
        <v>3548</v>
      </c>
      <c r="I142" s="12"/>
      <c r="J142" s="3848"/>
      <c r="K142" s="3069">
        <f>SUMIFS('Torecom_제품별 PQ'!$F:$F,'Torecom_제품별 PQ'!$A:$A,K$139,'Torecom_제품별 PQ'!$B:$B,$B140)</f>
        <v>189099.99934999997</v>
      </c>
      <c r="L142" s="3069">
        <f>SUMIFS('Torecom_제품별 PQ'!$F:$F,'Torecom_제품별 PQ'!$A:$A,L$139,'Torecom_제품별 PQ'!$B:$B,$B140)</f>
        <v>195977.81934000005</v>
      </c>
      <c r="M142" s="3070">
        <f>SUMIFS('Torecom_제품별 PQ'!$F:$F,'Torecom_제품별 PQ'!$A:$A,M$139,'Torecom_제품별 PQ'!$B:$B,$B140)</f>
        <v>143123.62448999999</v>
      </c>
      <c r="N142" s="107">
        <f>M142/3</f>
        <v>47707.874829999993</v>
      </c>
      <c r="O142" s="355">
        <f>SUM(M142:N142)</f>
        <v>190831.49931999997</v>
      </c>
      <c r="P142" s="107">
        <f>O142</f>
        <v>190831.49931999997</v>
      </c>
      <c r="Q142" s="107">
        <f t="shared" ref="Q142:T142" si="215">P142</f>
        <v>190831.49931999997</v>
      </c>
      <c r="R142" s="107">
        <f t="shared" si="215"/>
        <v>190831.49931999997</v>
      </c>
      <c r="S142" s="107">
        <f t="shared" si="215"/>
        <v>190831.49931999997</v>
      </c>
      <c r="T142" s="107">
        <f t="shared" si="215"/>
        <v>190831.49931999997</v>
      </c>
    </row>
    <row r="144" spans="2:20" ht="12" customHeight="1">
      <c r="B144" s="4027"/>
      <c r="C144" s="4027"/>
      <c r="D144" s="4027"/>
      <c r="E144" s="4027"/>
      <c r="F144" s="4027"/>
      <c r="G144" s="4027"/>
      <c r="H144" s="4027"/>
      <c r="I144" s="4027"/>
      <c r="J144" s="25" t="s">
        <v>23</v>
      </c>
      <c r="K144" s="26"/>
      <c r="L144" s="26"/>
      <c r="M144" s="27"/>
      <c r="N144" s="26" t="s">
        <v>24</v>
      </c>
      <c r="O144" s="26"/>
      <c r="P144" s="26"/>
      <c r="Q144" s="26"/>
      <c r="R144" s="26"/>
      <c r="S144" s="26"/>
      <c r="T144" s="26"/>
    </row>
    <row r="145" spans="2:21" ht="12" customHeight="1">
      <c r="B145" s="28"/>
      <c r="C145" s="28"/>
      <c r="D145" s="28"/>
      <c r="E145" s="28"/>
      <c r="F145" s="28"/>
      <c r="G145" s="28"/>
      <c r="H145" s="1949" t="s">
        <v>2889</v>
      </c>
      <c r="I145" s="28"/>
      <c r="J145" s="29" t="s">
        <v>69</v>
      </c>
      <c r="K145" s="30" t="s">
        <v>27</v>
      </c>
      <c r="L145" s="10" t="s">
        <v>60</v>
      </c>
      <c r="M145" s="31" t="s">
        <v>5104</v>
      </c>
      <c r="N145" s="30" t="s">
        <v>5174</v>
      </c>
      <c r="O145" s="30" t="s">
        <v>70</v>
      </c>
      <c r="P145" s="30" t="s">
        <v>71</v>
      </c>
      <c r="Q145" s="30" t="s">
        <v>72</v>
      </c>
      <c r="R145" s="30" t="s">
        <v>73</v>
      </c>
      <c r="S145" s="30" t="s">
        <v>74</v>
      </c>
      <c r="T145" s="30" t="s">
        <v>5102</v>
      </c>
    </row>
    <row r="146" spans="2:21" ht="12" customHeight="1">
      <c r="B146" s="32" t="s">
        <v>334</v>
      </c>
      <c r="J146" s="3731">
        <f>J147+J152</f>
        <v>5964.7344779999985</v>
      </c>
      <c r="K146" s="4023">
        <f t="shared" ref="K146:T146" si="216">K147+K152</f>
        <v>6181.4502169999996</v>
      </c>
      <c r="L146" s="4023">
        <f t="shared" si="216"/>
        <v>6183.5422180000005</v>
      </c>
      <c r="M146" s="3772">
        <f t="shared" si="216"/>
        <v>5396.6740850000006</v>
      </c>
      <c r="N146" s="112">
        <f t="shared" si="216"/>
        <v>1288.2761840175517</v>
      </c>
      <c r="O146" s="112">
        <f t="shared" si="216"/>
        <v>6684.9502690175523</v>
      </c>
      <c r="P146" s="112">
        <f t="shared" si="216"/>
        <v>0</v>
      </c>
      <c r="Q146" s="112">
        <f t="shared" si="216"/>
        <v>22127.144219668284</v>
      </c>
      <c r="R146" s="112">
        <f t="shared" si="216"/>
        <v>27761.015655605377</v>
      </c>
      <c r="S146" s="112">
        <f t="shared" si="216"/>
        <v>27785.179394187784</v>
      </c>
      <c r="T146" s="112">
        <f t="shared" si="216"/>
        <v>28500.134146544831</v>
      </c>
    </row>
    <row r="147" spans="2:21" ht="12" customHeight="1">
      <c r="C147" s="3" t="s">
        <v>6700</v>
      </c>
      <c r="J147" s="220">
        <f>SUMIFS('Torecom_제품별 PQ'!$G:$G,'Torecom_제품별 PQ'!$A:$A,J$145,'Torecom_제품별 PQ'!$B:$B,"니켈(Ni)")</f>
        <v>5964.7344779999985</v>
      </c>
      <c r="K147" s="221">
        <f>SUMIFS('Torecom_제품별 PQ'!$G:$G,'Torecom_제품별 PQ'!$A:$A,K$145,'Torecom_제품별 PQ'!$B:$B,"니켈(Ni)")</f>
        <v>6181.4502169999996</v>
      </c>
      <c r="L147" s="221">
        <f>SUMIFS('Torecom_제품별 PQ'!$G:$G,'Torecom_제품별 PQ'!$A:$A,L$145,'Torecom_제품별 PQ'!$B:$B,"니켈(Ni)")</f>
        <v>6183.5422180000005</v>
      </c>
      <c r="M147" s="222">
        <f>SUMIFS('Torecom_제품별 PQ'!$G:$G,'Torecom_제품별 PQ'!$A:$A,M$145,'Torecom_제품별 PQ'!$B:$B,"니켈(Ni)")</f>
        <v>5396.6740850000006</v>
      </c>
      <c r="N147" s="105">
        <f>N148*N151</f>
        <v>1288.2761840175517</v>
      </c>
      <c r="O147" s="105">
        <f>SUM(M147:N147)</f>
        <v>6684.9502690175523</v>
      </c>
      <c r="P147" s="105">
        <v>0</v>
      </c>
      <c r="Q147" s="105">
        <v>0</v>
      </c>
      <c r="R147" s="105">
        <v>0</v>
      </c>
      <c r="S147" s="105">
        <v>0</v>
      </c>
      <c r="T147" s="105">
        <v>0</v>
      </c>
    </row>
    <row r="148" spans="2:21" ht="12" customHeight="1">
      <c r="D148" s="3" t="s">
        <v>3540</v>
      </c>
      <c r="H148" s="110" t="s">
        <v>3471</v>
      </c>
      <c r="J148" s="216">
        <f>J147/J151</f>
        <v>15.064343846011052</v>
      </c>
      <c r="K148" s="105">
        <f t="shared" ref="K148:M148" si="217">K147/K151</f>
        <v>16.090256660076761</v>
      </c>
      <c r="L148" s="105">
        <f t="shared" si="217"/>
        <v>15.868297285714654</v>
      </c>
      <c r="M148" s="106">
        <f t="shared" si="217"/>
        <v>19.28434667552197</v>
      </c>
      <c r="N148" s="105">
        <f>N149*N150/10^6</f>
        <v>20.715729484126982</v>
      </c>
      <c r="O148" s="105">
        <f>O147/O151</f>
        <v>19.544598095268334</v>
      </c>
      <c r="P148" s="105">
        <v>0</v>
      </c>
      <c r="Q148" s="105">
        <v>0</v>
      </c>
      <c r="R148" s="105">
        <v>0</v>
      </c>
      <c r="S148" s="105">
        <v>0</v>
      </c>
      <c r="T148" s="105">
        <v>0</v>
      </c>
    </row>
    <row r="149" spans="2:21" ht="12" customHeight="1">
      <c r="E149" s="3" t="s">
        <v>3540</v>
      </c>
      <c r="H149" s="110" t="s">
        <v>6695</v>
      </c>
      <c r="J149" s="216">
        <f>J148*10^6/J150</f>
        <v>13691.083468538016</v>
      </c>
      <c r="K149" s="105">
        <f t="shared" ref="K149:M149" si="218">K148*10^6/K150</f>
        <v>13803.622349933014</v>
      </c>
      <c r="L149" s="105">
        <f t="shared" si="218"/>
        <v>13447.114599595508</v>
      </c>
      <c r="M149" s="106">
        <f t="shared" si="218"/>
        <v>17050.549568319762</v>
      </c>
      <c r="N149" s="221">
        <f>Assumption!N503</f>
        <v>17518.5873015873</v>
      </c>
      <c r="O149" s="221">
        <f>Assumption!O503</f>
        <v>17907</v>
      </c>
      <c r="P149" s="105">
        <v>0</v>
      </c>
      <c r="Q149" s="105">
        <v>0</v>
      </c>
      <c r="R149" s="105">
        <v>0</v>
      </c>
      <c r="S149" s="105">
        <v>0</v>
      </c>
      <c r="T149" s="105">
        <v>0</v>
      </c>
    </row>
    <row r="150" spans="2:21" ht="12" customHeight="1">
      <c r="E150" s="3" t="s">
        <v>3001</v>
      </c>
      <c r="H150" s="110" t="s">
        <v>3549</v>
      </c>
      <c r="J150" s="220">
        <f>Assumption!J$78</f>
        <v>1100.3032653061225</v>
      </c>
      <c r="K150" s="221">
        <f>Assumption!K$78</f>
        <v>1165.6546558704458</v>
      </c>
      <c r="L150" s="221">
        <f>Assumption!L$78</f>
        <v>1180.0522088353418</v>
      </c>
      <c r="M150" s="222">
        <f>Assumption!M$78</f>
        <v>1131.01027027027</v>
      </c>
      <c r="N150" s="221">
        <f>Assumption!N$78</f>
        <v>1182.5</v>
      </c>
      <c r="O150" s="221">
        <f>Assumption!O$78</f>
        <v>1141.53</v>
      </c>
      <c r="P150" s="105">
        <v>0</v>
      </c>
      <c r="Q150" s="105">
        <v>0</v>
      </c>
      <c r="R150" s="105">
        <v>0</v>
      </c>
      <c r="S150" s="105">
        <v>0</v>
      </c>
      <c r="T150" s="105">
        <v>0</v>
      </c>
    </row>
    <row r="151" spans="2:21" ht="12" customHeight="1">
      <c r="D151" s="3" t="s">
        <v>1353</v>
      </c>
      <c r="H151" s="110" t="s">
        <v>6701</v>
      </c>
      <c r="J151" s="220">
        <f>SUMIFS('Torecom_제품별 PQ'!$F:$F,'Torecom_제품별 PQ'!$A:$A,J$145,'Torecom_제품별 PQ'!$B:$B,"니켈(Ni)")/10^3</f>
        <v>395.95049999999998</v>
      </c>
      <c r="K151" s="221">
        <f>SUMIFS('Torecom_제품별 PQ'!$F:$F,'Torecom_제품별 PQ'!$A:$A,K$145,'Torecom_제품별 PQ'!$B:$B,"니켈(Ni)")/10^3</f>
        <v>384.17349999999999</v>
      </c>
      <c r="L151" s="221">
        <f>SUMIFS('Torecom_제품별 PQ'!$F:$F,'Torecom_제품별 PQ'!$A:$A,L$145,'Torecom_제품별 PQ'!$B:$B,"니켈(Ni)")/10^3</f>
        <v>389.67899999999997</v>
      </c>
      <c r="M151" s="222">
        <f>SUMIFS('Torecom_제품별 PQ'!$F:$F,'Torecom_제품별 PQ'!$A:$A,M$145,'Torecom_제품별 PQ'!$B:$B,"니켈(Ni)")/10^3</f>
        <v>279.84739000000002</v>
      </c>
      <c r="N151" s="105">
        <f>M151/9*2</f>
        <v>62.188308888888891</v>
      </c>
      <c r="O151" s="105">
        <f>SUM(M151:N151)</f>
        <v>342.03569888888893</v>
      </c>
      <c r="P151" s="105">
        <v>0</v>
      </c>
      <c r="Q151" s="105">
        <v>0</v>
      </c>
      <c r="R151" s="105">
        <v>0</v>
      </c>
      <c r="S151" s="105">
        <v>0</v>
      </c>
      <c r="T151" s="105">
        <v>0</v>
      </c>
    </row>
    <row r="152" spans="2:21" ht="12" customHeight="1">
      <c r="C152" s="3" t="s">
        <v>6667</v>
      </c>
      <c r="J152" s="216">
        <v>0</v>
      </c>
      <c r="K152" s="105">
        <v>0</v>
      </c>
      <c r="L152" s="105">
        <v>0</v>
      </c>
      <c r="M152" s="106">
        <v>0</v>
      </c>
      <c r="N152" s="105">
        <v>0</v>
      </c>
      <c r="O152" s="105">
        <v>0</v>
      </c>
      <c r="P152" s="105">
        <v>0</v>
      </c>
      <c r="Q152" s="105">
        <f>((Q154*Q156*Q159)+((Q154+Q155)*Q156*Q158))/10^6</f>
        <v>22127.144219668284</v>
      </c>
      <c r="R152" s="105">
        <f>((R154*R156*R159)+((R154+R155)*R156*R158))/10^6</f>
        <v>27761.015655605377</v>
      </c>
      <c r="S152" s="105">
        <f>((S154*S156*S159)+((S154+S155)*S156*S158))/10^6</f>
        <v>27785.179394187784</v>
      </c>
      <c r="T152" s="105">
        <f>((T154*T156*T159)+((T154+T155)*T156*T158))/10^6</f>
        <v>28500.134146544831</v>
      </c>
    </row>
    <row r="153" spans="2:21" ht="12" customHeight="1">
      <c r="D153" s="3" t="s">
        <v>3540</v>
      </c>
      <c r="H153" s="110" t="s">
        <v>3471</v>
      </c>
      <c r="J153" s="216">
        <v>0</v>
      </c>
      <c r="K153" s="105">
        <v>0</v>
      </c>
      <c r="L153" s="105">
        <v>0</v>
      </c>
      <c r="M153" s="106">
        <v>0</v>
      </c>
      <c r="N153" s="105">
        <v>0</v>
      </c>
      <c r="O153" s="105">
        <v>0</v>
      </c>
      <c r="P153" s="105">
        <v>0</v>
      </c>
      <c r="Q153" s="105">
        <f>Q152/Q157</f>
        <v>23.039508766834949</v>
      </c>
      <c r="R153" s="105">
        <f t="shared" ref="R153:T153" si="219">R152/R157</f>
        <v>24.7402331838565</v>
      </c>
      <c r="S153" s="105">
        <f t="shared" si="219"/>
        <v>24.761767573467417</v>
      </c>
      <c r="T153" s="105">
        <f t="shared" si="219"/>
        <v>25.398925360079168</v>
      </c>
    </row>
    <row r="154" spans="2:21" ht="12" customHeight="1">
      <c r="E154" s="3" t="s">
        <v>3542</v>
      </c>
      <c r="H154" s="110" t="s">
        <v>3462</v>
      </c>
      <c r="J154" s="216">
        <v>0</v>
      </c>
      <c r="K154" s="105">
        <v>0</v>
      </c>
      <c r="L154" s="105">
        <v>0</v>
      </c>
      <c r="M154" s="106">
        <v>0</v>
      </c>
      <c r="N154" s="105">
        <v>0</v>
      </c>
      <c r="O154" s="105">
        <v>0</v>
      </c>
      <c r="P154" s="105">
        <v>0</v>
      </c>
      <c r="Q154" s="221">
        <f>Assumption!Q503</f>
        <v>19000</v>
      </c>
      <c r="R154" s="221">
        <f>Assumption!R503</f>
        <v>20000</v>
      </c>
      <c r="S154" s="221">
        <f>Assumption!S503</f>
        <v>20096.013113986301</v>
      </c>
      <c r="T154" s="221">
        <f>Assumption!T503</f>
        <v>20191.811058672651</v>
      </c>
    </row>
    <row r="155" spans="2:21" ht="12" customHeight="1">
      <c r="E155" s="3" t="s">
        <v>5226</v>
      </c>
      <c r="H155" s="110" t="s">
        <v>3462</v>
      </c>
      <c r="J155" s="216">
        <v>0</v>
      </c>
      <c r="K155" s="105">
        <v>0</v>
      </c>
      <c r="L155" s="105">
        <v>0</v>
      </c>
      <c r="M155" s="106">
        <v>0</v>
      </c>
      <c r="N155" s="105">
        <v>0</v>
      </c>
      <c r="O155" s="105">
        <v>0</v>
      </c>
      <c r="P155" s="105">
        <v>0</v>
      </c>
      <c r="Q155" s="221">
        <f>Assumption!Q512</f>
        <v>1793.7219730941704</v>
      </c>
      <c r="R155" s="221">
        <f>Assumption!R512</f>
        <v>1793.7219730941704</v>
      </c>
      <c r="S155" s="221">
        <f>Assumption!S512</f>
        <v>2191.8064840941825</v>
      </c>
      <c r="T155" s="221">
        <f>Assumption!T512</f>
        <v>2669.5078972941965</v>
      </c>
    </row>
    <row r="156" spans="2:21" ht="12" customHeight="1">
      <c r="E156" s="3" t="s">
        <v>3001</v>
      </c>
      <c r="H156" s="110" t="s">
        <v>408</v>
      </c>
      <c r="J156" s="216">
        <v>0</v>
      </c>
      <c r="K156" s="105">
        <v>0</v>
      </c>
      <c r="L156" s="105">
        <v>0</v>
      </c>
      <c r="M156" s="106">
        <v>0</v>
      </c>
      <c r="N156" s="105">
        <v>0</v>
      </c>
      <c r="O156" s="105">
        <v>0</v>
      </c>
      <c r="P156" s="105">
        <v>0</v>
      </c>
      <c r="Q156" s="221">
        <f>Assumption!Q$78</f>
        <v>1138.95</v>
      </c>
      <c r="R156" s="221">
        <f>Assumption!R$78</f>
        <v>1135.2</v>
      </c>
      <c r="S156" s="221">
        <f>Assumption!S$78</f>
        <v>1111</v>
      </c>
      <c r="T156" s="221">
        <f>Assumption!T$78</f>
        <v>1111</v>
      </c>
    </row>
    <row r="157" spans="2:21" ht="12" customHeight="1">
      <c r="D157" s="3" t="s">
        <v>1353</v>
      </c>
      <c r="J157" s="216">
        <v>0</v>
      </c>
      <c r="K157" s="105">
        <v>0</v>
      </c>
      <c r="L157" s="105">
        <v>0</v>
      </c>
      <c r="M157" s="106">
        <v>0</v>
      </c>
      <c r="N157" s="105">
        <v>0</v>
      </c>
      <c r="O157" s="105">
        <v>0</v>
      </c>
      <c r="P157" s="105">
        <v>0</v>
      </c>
      <c r="Q157" s="221">
        <f>Assumption!Q533</f>
        <v>960.4</v>
      </c>
      <c r="R157" s="221">
        <f>Assumption!R533</f>
        <v>1122.0999999999999</v>
      </c>
      <c r="S157" s="221">
        <f>Assumption!S533</f>
        <v>1122.0999999999999</v>
      </c>
      <c r="T157" s="221">
        <f>Assumption!T533</f>
        <v>1122.0999999999999</v>
      </c>
    </row>
    <row r="158" spans="2:21" ht="12" customHeight="1">
      <c r="E158" s="3" t="s">
        <v>6682</v>
      </c>
      <c r="H158" s="110" t="s">
        <v>3545</v>
      </c>
      <c r="J158" s="216">
        <v>0</v>
      </c>
      <c r="K158" s="105">
        <v>0</v>
      </c>
      <c r="L158" s="105">
        <v>0</v>
      </c>
      <c r="M158" s="106">
        <v>0</v>
      </c>
      <c r="N158" s="105">
        <v>0</v>
      </c>
      <c r="O158" s="105">
        <v>0</v>
      </c>
      <c r="P158" s="105">
        <v>0</v>
      </c>
      <c r="Q158" s="105">
        <f>Q157-Q159</f>
        <v>657.88876712328761</v>
      </c>
      <c r="R158" s="105">
        <f>R157-R159</f>
        <v>1122.0999999999999</v>
      </c>
      <c r="S158" s="105">
        <f t="shared" ref="S158:T158" si="220">S157-S159</f>
        <v>1122.0999999999999</v>
      </c>
      <c r="T158" s="105">
        <f t="shared" si="220"/>
        <v>1122.0999999999999</v>
      </c>
    </row>
    <row r="159" spans="2:21" ht="12" customHeight="1">
      <c r="B159" s="12"/>
      <c r="C159" s="12"/>
      <c r="D159" s="12"/>
      <c r="E159" s="12" t="s">
        <v>6683</v>
      </c>
      <c r="F159" s="12"/>
      <c r="G159" s="12"/>
      <c r="H159" s="1950" t="s">
        <v>3545</v>
      </c>
      <c r="I159" s="12"/>
      <c r="J159" s="397">
        <v>0</v>
      </c>
      <c r="K159" s="107">
        <v>0</v>
      </c>
      <c r="L159" s="107">
        <v>0</v>
      </c>
      <c r="M159" s="2164">
        <v>0</v>
      </c>
      <c r="N159" s="107">
        <v>0</v>
      </c>
      <c r="O159" s="107">
        <v>0</v>
      </c>
      <c r="P159" s="107">
        <v>0</v>
      </c>
      <c r="Q159" s="107">
        <f>0.314984623986581*Q157</f>
        <v>302.51123287671237</v>
      </c>
      <c r="R159" s="107">
        <v>0</v>
      </c>
      <c r="S159" s="107">
        <v>0</v>
      </c>
      <c r="T159" s="107">
        <v>0</v>
      </c>
      <c r="U159" s="289" t="s">
        <v>6684</v>
      </c>
    </row>
    <row r="161" spans="1:20" ht="12" customHeight="1">
      <c r="A161" s="1965"/>
      <c r="B161" s="1964" t="s">
        <v>6556</v>
      </c>
      <c r="C161" s="1965"/>
      <c r="D161" s="1965"/>
      <c r="E161" s="1965"/>
      <c r="F161" s="1965"/>
      <c r="G161" s="1965"/>
      <c r="H161" s="1965"/>
      <c r="I161" s="1965"/>
      <c r="J161" s="1965"/>
      <c r="K161" s="1965"/>
      <c r="L161" s="1965"/>
      <c r="M161" s="1965"/>
      <c r="N161" s="1965"/>
      <c r="O161" s="1965"/>
      <c r="P161" s="1965"/>
      <c r="Q161" s="1965"/>
      <c r="R161" s="1965"/>
      <c r="S161" s="1965"/>
      <c r="T161" s="1965"/>
    </row>
    <row r="163" spans="1:20" ht="12" customHeight="1">
      <c r="B163" s="24"/>
      <c r="C163" s="24"/>
      <c r="D163" s="24"/>
      <c r="E163" s="24"/>
      <c r="F163" s="24"/>
      <c r="G163" s="24"/>
      <c r="H163" s="24"/>
      <c r="I163" s="24"/>
      <c r="J163" s="25" t="s">
        <v>23</v>
      </c>
      <c r="K163" s="26"/>
      <c r="L163" s="26"/>
      <c r="M163" s="27"/>
      <c r="N163" s="26" t="s">
        <v>24</v>
      </c>
      <c r="O163" s="26"/>
      <c r="P163" s="26"/>
      <c r="Q163" s="26"/>
      <c r="R163" s="26"/>
      <c r="S163" s="26"/>
      <c r="T163" s="26"/>
    </row>
    <row r="164" spans="1:20" ht="12" customHeight="1">
      <c r="B164" s="28"/>
      <c r="C164" s="28"/>
      <c r="D164" s="28"/>
      <c r="E164" s="28"/>
      <c r="F164" s="28"/>
      <c r="G164" s="28"/>
      <c r="H164" s="1949" t="s">
        <v>2889</v>
      </c>
      <c r="I164" s="28"/>
      <c r="J164" s="29" t="s">
        <v>69</v>
      </c>
      <c r="K164" s="30" t="s">
        <v>27</v>
      </c>
      <c r="L164" s="108" t="s">
        <v>60</v>
      </c>
      <c r="M164" s="31" t="s">
        <v>5104</v>
      </c>
      <c r="N164" s="30" t="s">
        <v>5174</v>
      </c>
      <c r="O164" s="30" t="s">
        <v>70</v>
      </c>
      <c r="P164" s="30" t="s">
        <v>71</v>
      </c>
      <c r="Q164" s="30" t="s">
        <v>72</v>
      </c>
      <c r="R164" s="30" t="s">
        <v>73</v>
      </c>
      <c r="S164" s="30" t="s">
        <v>74</v>
      </c>
      <c r="T164" s="30" t="s">
        <v>5102</v>
      </c>
    </row>
    <row r="165" spans="1:20" ht="12" customHeight="1">
      <c r="A165" s="32"/>
      <c r="B165" s="33" t="s">
        <v>1299</v>
      </c>
      <c r="C165" s="33"/>
      <c r="D165" s="33"/>
      <c r="E165" s="33"/>
      <c r="F165" s="33"/>
      <c r="G165" s="33"/>
      <c r="H165" s="33"/>
      <c r="I165" s="33"/>
      <c r="J165" s="736">
        <f>J166+J168+J170</f>
        <v>249144.285783</v>
      </c>
      <c r="K165" s="735">
        <f t="shared" ref="K165:T165" si="221">K166+K168+K170</f>
        <v>275909.82267299999</v>
      </c>
      <c r="L165" s="735">
        <f t="shared" si="221"/>
        <v>289363.24562500004</v>
      </c>
      <c r="M165" s="2184">
        <f t="shared" si="221"/>
        <v>285769.01915499999</v>
      </c>
      <c r="N165" s="735">
        <f t="shared" si="221"/>
        <v>111930.98084500001</v>
      </c>
      <c r="O165" s="735">
        <f t="shared" si="221"/>
        <v>397700</v>
      </c>
      <c r="P165" s="735">
        <f t="shared" si="221"/>
        <v>367800</v>
      </c>
      <c r="Q165" s="735">
        <f t="shared" si="221"/>
        <v>378000</v>
      </c>
      <c r="R165" s="735">
        <f t="shared" si="221"/>
        <v>361200</v>
      </c>
      <c r="S165" s="735">
        <f t="shared" si="221"/>
        <v>379500</v>
      </c>
      <c r="T165" s="735">
        <f t="shared" si="221"/>
        <v>361200</v>
      </c>
    </row>
    <row r="166" spans="1:20" ht="12" customHeight="1">
      <c r="C166" s="3" t="s">
        <v>1506</v>
      </c>
      <c r="J166" s="1117">
        <f>Backdata_GRM!D8/10^6</f>
        <v>206730.24632599999</v>
      </c>
      <c r="K166" s="1118">
        <f>Backdata_GRM!E8/10^6</f>
        <v>218428.86077999999</v>
      </c>
      <c r="L166" s="1119">
        <f>Backdata_GRM!G8/10^6</f>
        <v>241137.59458800001</v>
      </c>
      <c r="M166" s="2185">
        <f>연결정산표!F6/10^6</f>
        <v>229834.826179</v>
      </c>
      <c r="N166" s="221">
        <f>Assumption!N544</f>
        <v>90565.173821000004</v>
      </c>
      <c r="O166" s="221">
        <f>Assumption!O544</f>
        <v>320400</v>
      </c>
      <c r="P166" s="221">
        <f>Assumption!P544</f>
        <v>302200</v>
      </c>
      <c r="Q166" s="221">
        <f>Assumption!Q544</f>
        <v>323200</v>
      </c>
      <c r="R166" s="221">
        <f>Assumption!R544</f>
        <v>304900</v>
      </c>
      <c r="S166" s="221">
        <f>Assumption!S544</f>
        <v>323200</v>
      </c>
      <c r="T166" s="221">
        <f>Assumption!T544</f>
        <v>304900</v>
      </c>
    </row>
    <row r="167" spans="1:20" s="400" customFormat="1" ht="12" customHeight="1">
      <c r="A167" s="45"/>
      <c r="B167" s="45"/>
      <c r="C167" s="45" t="s">
        <v>3649</v>
      </c>
      <c r="D167" s="45"/>
      <c r="E167" s="45"/>
      <c r="F167" s="45"/>
      <c r="G167" s="45"/>
      <c r="H167" s="110" t="s">
        <v>360</v>
      </c>
      <c r="I167" s="45"/>
      <c r="J167" s="2034" t="str">
        <f>IFERROR(J166/I166-1,"n.p")</f>
        <v>n.p</v>
      </c>
      <c r="K167" s="1936">
        <f t="shared" ref="K167" si="222">IFERROR(K166/J166-1,"n.p")</f>
        <v>5.6588789796883754E-2</v>
      </c>
      <c r="L167" s="1936">
        <f>IFERROR(L166/K166-1,"n.p")</f>
        <v>0.10396398043238486</v>
      </c>
      <c r="M167" s="3002"/>
      <c r="N167" s="3003"/>
      <c r="O167" s="1936">
        <f>IFERROR(O166/L166-1,"n.p")</f>
        <v>0.32870198256487226</v>
      </c>
      <c r="P167" s="1936">
        <f>IFERROR(P166/O166-1,"n.p")</f>
        <v>-5.6803995006242225E-2</v>
      </c>
      <c r="Q167" s="1936">
        <f t="shared" ref="Q167" si="223">IFERROR(Q166/P166-1,"n.p")</f>
        <v>6.949040370615478E-2</v>
      </c>
      <c r="R167" s="1936">
        <f t="shared" ref="R167" si="224">IFERROR(R166/Q166-1,"n.p")</f>
        <v>-5.6621287128712838E-2</v>
      </c>
      <c r="S167" s="1936">
        <f t="shared" ref="S167:T167" si="225">IFERROR(S166/R166-1,"n.p")</f>
        <v>6.0019678583141944E-2</v>
      </c>
      <c r="T167" s="1936">
        <f t="shared" si="225"/>
        <v>-5.6621287128712838E-2</v>
      </c>
    </row>
    <row r="168" spans="1:20" ht="12" customHeight="1">
      <c r="C168" s="3" t="s">
        <v>1507</v>
      </c>
      <c r="J168" s="1117">
        <f>'Backdata_CS,선우'!N91/10^6</f>
        <v>27468.885761000001</v>
      </c>
      <c r="K168" s="1118">
        <f>'Backdata_CS,선우'!O91/10^6</f>
        <v>47317.186511</v>
      </c>
      <c r="L168" s="1119">
        <f>'Backdata_CS,선우'!P91/10^6</f>
        <v>39738.078680999999</v>
      </c>
      <c r="M168" s="2185">
        <f>연결정산표!G6/10^6</f>
        <v>48552.445700999997</v>
      </c>
      <c r="N168" s="221">
        <f>Assumption!N545</f>
        <v>18247.554299000003</v>
      </c>
      <c r="O168" s="221">
        <f>Assumption!O545</f>
        <v>66800</v>
      </c>
      <c r="P168" s="221">
        <f>Assumption!P545</f>
        <v>50900</v>
      </c>
      <c r="Q168" s="221">
        <f>Assumption!Q545</f>
        <v>41000</v>
      </c>
      <c r="R168" s="221">
        <f>Assumption!R545</f>
        <v>41900</v>
      </c>
      <c r="S168" s="221">
        <f>Assumption!S545</f>
        <v>41900</v>
      </c>
      <c r="T168" s="221">
        <f>Assumption!T545</f>
        <v>41900</v>
      </c>
    </row>
    <row r="169" spans="1:20" s="400" customFormat="1" ht="12" customHeight="1">
      <c r="A169" s="45"/>
      <c r="B169" s="45"/>
      <c r="C169" s="45" t="s">
        <v>3649</v>
      </c>
      <c r="D169" s="45"/>
      <c r="E169" s="45"/>
      <c r="F169" s="45"/>
      <c r="G169" s="45"/>
      <c r="H169" s="110" t="s">
        <v>360</v>
      </c>
      <c r="I169" s="45"/>
      <c r="J169" s="2034" t="str">
        <f>IFERROR(J168/I168-1,"n.p")</f>
        <v>n.p</v>
      </c>
      <c r="K169" s="1936">
        <f t="shared" ref="K169" si="226">IFERROR(K168/J168-1,"n.p")</f>
        <v>0.7225739304715586</v>
      </c>
      <c r="L169" s="1936">
        <f>IFERROR(L168/K168-1,"n.p")</f>
        <v>-0.16017663747268784</v>
      </c>
      <c r="M169" s="3002"/>
      <c r="N169" s="3003"/>
      <c r="O169" s="1936">
        <f>IFERROR(O168/L168-1,"n.p")</f>
        <v>0.68100729117382164</v>
      </c>
      <c r="P169" s="1936">
        <f>IFERROR(P168/O168-1,"n.p")</f>
        <v>-0.2380239520958084</v>
      </c>
      <c r="Q169" s="1936">
        <f t="shared" ref="Q169" si="227">IFERROR(Q168/P168-1,"n.p")</f>
        <v>-0.19449901768172884</v>
      </c>
      <c r="R169" s="1936">
        <f t="shared" ref="R169" si="228">IFERROR(R168/Q168-1,"n.p")</f>
        <v>2.1951219512195141E-2</v>
      </c>
      <c r="S169" s="1936">
        <f t="shared" ref="S169:T169" si="229">IFERROR(S168/R168-1,"n.p")</f>
        <v>0</v>
      </c>
      <c r="T169" s="1936">
        <f t="shared" si="229"/>
        <v>0</v>
      </c>
    </row>
    <row r="170" spans="1:20" ht="12" customHeight="1">
      <c r="C170" s="3" t="s">
        <v>1561</v>
      </c>
      <c r="J170" s="1117">
        <f>'Backdata_CS,선우'!E91/10^6</f>
        <v>14945.153695999999</v>
      </c>
      <c r="K170" s="1118">
        <f>'Backdata_CS,선우'!F91/10^6</f>
        <v>10163.775382</v>
      </c>
      <c r="L170" s="1119">
        <f>'Backdata_CS,선우'!G91/10^6</f>
        <v>8487.5723560000006</v>
      </c>
      <c r="M170" s="2185">
        <f>연결정산표!H6/10^6</f>
        <v>7381.7472749999997</v>
      </c>
      <c r="N170" s="1119">
        <f>Assumption!N546</f>
        <v>3118.2527250000003</v>
      </c>
      <c r="O170" s="1119">
        <f>Assumption!O546</f>
        <v>10500</v>
      </c>
      <c r="P170" s="1119">
        <f>Assumption!P546</f>
        <v>14700</v>
      </c>
      <c r="Q170" s="1119">
        <f>Assumption!Q546</f>
        <v>13800</v>
      </c>
      <c r="R170" s="1119">
        <f>Assumption!R546</f>
        <v>14400</v>
      </c>
      <c r="S170" s="1119">
        <f>Assumption!S546</f>
        <v>14400</v>
      </c>
      <c r="T170" s="1119">
        <f>Assumption!T546</f>
        <v>14400</v>
      </c>
    </row>
    <row r="171" spans="1:20" s="400" customFormat="1" ht="12" customHeight="1">
      <c r="A171" s="45"/>
      <c r="B171" s="361"/>
      <c r="C171" s="361" t="s">
        <v>3649</v>
      </c>
      <c r="D171" s="361"/>
      <c r="E171" s="361"/>
      <c r="F171" s="361"/>
      <c r="G171" s="361"/>
      <c r="H171" s="1950" t="s">
        <v>2702</v>
      </c>
      <c r="I171" s="361"/>
      <c r="J171" s="2035" t="str">
        <f>IFERROR(J170/I170-1,"n.p")</f>
        <v>n.p</v>
      </c>
      <c r="K171" s="2036">
        <f t="shared" ref="K171" si="230">IFERROR(K170/J170-1,"n.p")</f>
        <v>-0.31992834675763238</v>
      </c>
      <c r="L171" s="2036">
        <f>IFERROR(L170/K170-1,"n.p")</f>
        <v>-0.1649193299734415</v>
      </c>
      <c r="M171" s="3024"/>
      <c r="N171" s="3025"/>
      <c r="O171" s="2036">
        <f>IFERROR(O170/L170-1,"n.p")</f>
        <v>0.23710285575090051</v>
      </c>
      <c r="P171" s="2036">
        <f>IFERROR(P170/O170-1,"n.p")</f>
        <v>0.39999999999999991</v>
      </c>
      <c r="Q171" s="2036">
        <f t="shared" ref="Q171" si="231">IFERROR(Q170/P170-1,"n.p")</f>
        <v>-6.1224489795918324E-2</v>
      </c>
      <c r="R171" s="2036">
        <f t="shared" ref="R171" si="232">IFERROR(R170/Q170-1,"n.p")</f>
        <v>4.3478260869565188E-2</v>
      </c>
      <c r="S171" s="2036">
        <f t="shared" ref="S171:T171" si="233">IFERROR(S170/R170-1,"n.p")</f>
        <v>0</v>
      </c>
      <c r="T171" s="2036">
        <f t="shared" si="233"/>
        <v>0</v>
      </c>
    </row>
    <row r="174" spans="1:20" ht="12" customHeight="1">
      <c r="A174" s="20" t="s">
        <v>78</v>
      </c>
      <c r="B174" s="21" t="s">
        <v>67</v>
      </c>
      <c r="C174" s="102"/>
      <c r="D174" s="102"/>
      <c r="E174" s="102"/>
      <c r="F174" s="102"/>
      <c r="G174" s="102"/>
      <c r="H174" s="102"/>
      <c r="I174" s="102"/>
      <c r="J174" s="1929"/>
      <c r="K174" s="102"/>
      <c r="L174" s="102"/>
      <c r="M174" s="102"/>
      <c r="N174" s="102"/>
      <c r="O174" s="109"/>
      <c r="P174" s="109"/>
      <c r="Q174" s="109"/>
      <c r="R174" s="109"/>
      <c r="S174" s="109"/>
      <c r="T174" s="109"/>
    </row>
    <row r="175" spans="1:20" ht="12" customHeight="1">
      <c r="J175" s="268"/>
    </row>
    <row r="176" spans="1:20" ht="12" customHeight="1">
      <c r="B176" s="24"/>
      <c r="C176" s="24"/>
      <c r="D176" s="24"/>
      <c r="E176" s="24"/>
      <c r="F176" s="24"/>
      <c r="G176" s="24"/>
      <c r="H176" s="24"/>
      <c r="I176" s="24"/>
      <c r="J176" s="25" t="s">
        <v>23</v>
      </c>
      <c r="K176" s="26"/>
      <c r="L176" s="26"/>
      <c r="M176" s="27"/>
      <c r="N176" s="26" t="s">
        <v>24</v>
      </c>
      <c r="O176" s="26"/>
      <c r="P176" s="26"/>
      <c r="Q176" s="26"/>
      <c r="R176" s="26"/>
      <c r="S176" s="26"/>
      <c r="T176" s="26"/>
    </row>
    <row r="177" spans="1:20" ht="12" customHeight="1">
      <c r="B177" s="28"/>
      <c r="C177" s="28"/>
      <c r="D177" s="28"/>
      <c r="E177" s="28"/>
      <c r="F177" s="28"/>
      <c r="G177" s="28"/>
      <c r="H177" s="1949" t="s">
        <v>3537</v>
      </c>
      <c r="I177" s="28"/>
      <c r="J177" s="29" t="s">
        <v>69</v>
      </c>
      <c r="K177" s="30" t="s">
        <v>27</v>
      </c>
      <c r="L177" s="30" t="s">
        <v>60</v>
      </c>
      <c r="M177" s="31" t="s">
        <v>62</v>
      </c>
      <c r="N177" s="30" t="s">
        <v>64</v>
      </c>
      <c r="O177" s="30" t="s">
        <v>70</v>
      </c>
      <c r="P177" s="30" t="s">
        <v>71</v>
      </c>
      <c r="Q177" s="30" t="s">
        <v>72</v>
      </c>
      <c r="R177" s="30" t="s">
        <v>73</v>
      </c>
      <c r="S177" s="30" t="s">
        <v>74</v>
      </c>
      <c r="T177" s="30" t="s">
        <v>5102</v>
      </c>
    </row>
    <row r="178" spans="1:20" s="113" customFormat="1" ht="12" customHeight="1">
      <c r="A178" s="32"/>
      <c r="B178" s="32" t="s">
        <v>67</v>
      </c>
      <c r="C178" s="32"/>
      <c r="D178" s="32"/>
      <c r="E178" s="32"/>
      <c r="F178" s="32"/>
      <c r="G178" s="32"/>
      <c r="H178" s="32"/>
      <c r="I178" s="32"/>
      <c r="J178" s="227">
        <f t="shared" ref="J178:M178" si="234">J179+J181+J183+J185+J187+J189</f>
        <v>249204.18921099845</v>
      </c>
      <c r="K178" s="1932">
        <f t="shared" si="234"/>
        <v>275737.54792500095</v>
      </c>
      <c r="L178" s="1932">
        <f t="shared" si="234"/>
        <v>290307.76370000135</v>
      </c>
      <c r="M178" s="2188">
        <f t="shared" si="234"/>
        <v>286410.29184100038</v>
      </c>
      <c r="N178" s="1933">
        <f t="shared" ref="N178:S178" si="235">N179+N181+N183+N185+N187+N189</f>
        <v>111403.38211073118</v>
      </c>
      <c r="O178" s="1933">
        <f t="shared" si="235"/>
        <v>397813.67395173153</v>
      </c>
      <c r="P178" s="1933">
        <f t="shared" si="235"/>
        <v>361496.9764068785</v>
      </c>
      <c r="Q178" s="1933">
        <f t="shared" si="235"/>
        <v>384981.28023743455</v>
      </c>
      <c r="R178" s="1933">
        <f t="shared" si="235"/>
        <v>373590.07236208278</v>
      </c>
      <c r="S178" s="1933">
        <f t="shared" si="235"/>
        <v>391946.4304268306</v>
      </c>
      <c r="T178" s="1933">
        <f t="shared" ref="T178" si="236">T179+T181+T183+T185+T187+T189</f>
        <v>373758.39077981212</v>
      </c>
    </row>
    <row r="179" spans="1:20" s="113" customFormat="1" ht="12" customHeight="1">
      <c r="A179" s="32"/>
      <c r="B179" s="32"/>
      <c r="C179" s="3" t="s">
        <v>65</v>
      </c>
      <c r="D179" s="32"/>
      <c r="E179" s="32"/>
      <c r="F179" s="32"/>
      <c r="G179" s="32"/>
      <c r="H179" s="32"/>
      <c r="I179" s="32"/>
      <c r="J179" s="220">
        <f>별도FS_본체!AJ6</f>
        <v>4351</v>
      </c>
      <c r="K179" s="1937">
        <f>별도FS_본체!AU5</f>
        <v>4618</v>
      </c>
      <c r="L179" s="1937">
        <f>별도FS_본체!AS5</f>
        <v>4512</v>
      </c>
      <c r="M179" s="2186">
        <f>(SUMIF(연결조정_3Q!$D$149:$D$153,$C179,연결조정_3Q!$E$149:$E$153)-SUMIF(연결조정_3Q!$D$149:$D$153,$C179,연결조정_3Q!$F$149:$F$153))/10^6</f>
        <v>4266.7536019999998</v>
      </c>
      <c r="N179" s="1934">
        <f>COGS!N242</f>
        <v>926.72639310236218</v>
      </c>
      <c r="O179" s="1934">
        <f>SUM(M179:N179)</f>
        <v>5193.4799951023615</v>
      </c>
      <c r="P179" s="1934">
        <f>COGS!P242</f>
        <v>0</v>
      </c>
      <c r="Q179" s="1934">
        <f>COGS!Q242</f>
        <v>12700.722834645669</v>
      </c>
      <c r="R179" s="1934">
        <f>COGS!R242</f>
        <v>18289.346456692911</v>
      </c>
      <c r="S179" s="1934">
        <f>COGS!S242</f>
        <v>18377.147311996963</v>
      </c>
      <c r="T179" s="1934">
        <f>COGS!T242</f>
        <v>18464.751402007376</v>
      </c>
    </row>
    <row r="180" spans="1:20" s="1931" customFormat="1" ht="12" customHeight="1">
      <c r="A180" s="1930"/>
      <c r="B180" s="1930"/>
      <c r="C180" s="1930"/>
      <c r="D180" s="45" t="s">
        <v>3451</v>
      </c>
      <c r="E180" s="1930"/>
      <c r="F180" s="1930"/>
      <c r="G180" s="1930"/>
      <c r="H180" s="110" t="s">
        <v>2702</v>
      </c>
      <c r="I180" s="1930"/>
      <c r="J180" s="398">
        <f>IFERROR(J179/J63,"n.p")</f>
        <v>0.39805525808398906</v>
      </c>
      <c r="K180" s="1936">
        <f>IFERROR(K179/K63,"n.p")</f>
        <v>0.34484709490863585</v>
      </c>
      <c r="L180" s="1936">
        <f>IFERROR(L179/L63,"n.p")</f>
        <v>0.33963723634935206</v>
      </c>
      <c r="M180" s="2497">
        <f>IFERROR(M179/M63,"n.p")</f>
        <v>0.38042716071135263</v>
      </c>
      <c r="N180" s="1941">
        <f>IFERROR(N179/N63,"n.p")</f>
        <v>0.18526721624185552</v>
      </c>
      <c r="O180" s="1941">
        <f t="shared" ref="O180:T180" si="237">IFERROR(O179/O63,"n.p")</f>
        <v>0.32023336178482387</v>
      </c>
      <c r="P180" s="1941">
        <f t="shared" si="237"/>
        <v>0</v>
      </c>
      <c r="Q180" s="1941">
        <f t="shared" si="237"/>
        <v>0.82197877439233136</v>
      </c>
      <c r="R180" s="1941">
        <f t="shared" si="237"/>
        <v>0.96037315987675442</v>
      </c>
      <c r="S180" s="1941">
        <f t="shared" si="237"/>
        <v>0.95117546311393464</v>
      </c>
      <c r="T180" s="1941">
        <f t="shared" si="237"/>
        <v>0.95672049649209423</v>
      </c>
    </row>
    <row r="181" spans="1:20" ht="12" customHeight="1">
      <c r="C181" s="3" t="s">
        <v>1505</v>
      </c>
      <c r="H181" s="110"/>
      <c r="J181" s="220">
        <f>Backdata_Torecom!AA128/1000+Backdata_Torecom!AA130/1000</f>
        <v>198.32300000000001</v>
      </c>
      <c r="K181" s="1937">
        <f>SUM(Backdata_Torecom!AH117,Backdata_Torecom!AH119)/1000</f>
        <v>233.85300000000001</v>
      </c>
      <c r="L181" s="1937">
        <f>SUM(Backdata_Torecom!AA117,Backdata_Torecom!AA119)/1000</f>
        <v>65.807000000000002</v>
      </c>
      <c r="M181" s="2186">
        <f>(SUMIF(연결조정_3Q!$D$149:$D$153,$C181,연결조정_3Q!$E$149:$E$153)-SUMIF(연결조정_3Q!$D$149:$D$153,$C181,연결조정_3Q!$F$149:$F$153))/10^6</f>
        <v>46.593609999999998</v>
      </c>
      <c r="N181" s="1934">
        <f>N182*N98</f>
        <v>15.91689152802619</v>
      </c>
      <c r="O181" s="1934">
        <f>N181+M181</f>
        <v>62.51050152802619</v>
      </c>
      <c r="P181" s="1934">
        <f>P182*P98</f>
        <v>159.98820447467153</v>
      </c>
      <c r="Q181" s="1934">
        <f>Q182*Q98</f>
        <v>168.05011304615562</v>
      </c>
      <c r="R181" s="1934">
        <f>R182*R98</f>
        <v>168.80292168227683</v>
      </c>
      <c r="S181" s="1934">
        <f>S182*S98</f>
        <v>162.74032244339028</v>
      </c>
      <c r="T181" s="1934">
        <f>T182*T98</f>
        <v>161.71639409717304</v>
      </c>
    </row>
    <row r="182" spans="1:20" s="400" customFormat="1" ht="12" customHeight="1">
      <c r="A182" s="45"/>
      <c r="B182" s="45"/>
      <c r="C182" s="45"/>
      <c r="D182" s="45" t="s">
        <v>1371</v>
      </c>
      <c r="E182" s="45"/>
      <c r="F182" s="45"/>
      <c r="G182" s="45"/>
      <c r="H182" s="110" t="s">
        <v>2702</v>
      </c>
      <c r="I182" s="45"/>
      <c r="J182" s="398">
        <f>J181/J98</f>
        <v>8.8206637466938377E-4</v>
      </c>
      <c r="K182" s="1936">
        <f>K181/K98</f>
        <v>1.0093447583605221E-3</v>
      </c>
      <c r="L182" s="1936">
        <f>L181/L98</f>
        <v>2.1356242764171106E-4</v>
      </c>
      <c r="M182" s="2497">
        <f>M181/M98</f>
        <v>2.1813655039082996E-4</v>
      </c>
      <c r="N182" s="1941">
        <f>Assumption!N558</f>
        <v>2.1813655039082996E-4</v>
      </c>
      <c r="O182" s="1941">
        <f>Assumption!O558</f>
        <v>2.1813655039082996E-4</v>
      </c>
      <c r="P182" s="1941">
        <f>Assumption!P558</f>
        <v>5.8077752776561169E-4</v>
      </c>
      <c r="Q182" s="1941">
        <f>Assumption!Q558</f>
        <v>5.8077752776561169E-4</v>
      </c>
      <c r="R182" s="1941">
        <f>Assumption!R558</f>
        <v>5.8077752776561169E-4</v>
      </c>
      <c r="S182" s="1941">
        <f>Assumption!S558</f>
        <v>5.8077752776561169E-4</v>
      </c>
      <c r="T182" s="1941">
        <f>Assumption!T558</f>
        <v>5.8077752776561169E-4</v>
      </c>
    </row>
    <row r="183" spans="1:20" ht="12" customHeight="1">
      <c r="C183" s="3" t="s">
        <v>1506</v>
      </c>
      <c r="H183" s="110"/>
      <c r="J183" s="220">
        <f>Backdata_GRM!Q30/1000</f>
        <v>206678.92</v>
      </c>
      <c r="K183" s="1937">
        <f>Backdata_GRM!Q19/1000</f>
        <v>217797.766</v>
      </c>
      <c r="L183" s="1937">
        <f>Backdata_GRM!Q54/1000</f>
        <v>240822.304</v>
      </c>
      <c r="M183" s="2186">
        <f>(SUMIF(연결조정_3Q!$D$149:$D$153,$C183,연결조정_3Q!$E$149:$E$153)-SUMIF(연결조정_3Q!$D$149:$D$153,$C183,연결조정_3Q!$F$149:$F$153))/10^6</f>
        <v>229581.42259999999</v>
      </c>
      <c r="N183" s="1934">
        <f t="shared" ref="N183:T183" si="238">N166*N184</f>
        <v>90465.321507229572</v>
      </c>
      <c r="O183" s="1934">
        <f t="shared" si="238"/>
        <v>320046.74410722952</v>
      </c>
      <c r="P183" s="1934">
        <f t="shared" si="238"/>
        <v>301780.88011933921</v>
      </c>
      <c r="Q183" s="1934">
        <f t="shared" si="238"/>
        <v>322751.75530963083</v>
      </c>
      <c r="R183" s="1934">
        <f t="shared" si="238"/>
        <v>304477.13550094818</v>
      </c>
      <c r="S183" s="1934">
        <f t="shared" si="238"/>
        <v>322751.75530963083</v>
      </c>
      <c r="T183" s="1934">
        <f t="shared" si="238"/>
        <v>304477.13550094818</v>
      </c>
    </row>
    <row r="184" spans="1:20" s="400" customFormat="1" ht="12" customHeight="1">
      <c r="A184" s="45"/>
      <c r="B184" s="45"/>
      <c r="C184" s="45"/>
      <c r="D184" s="45" t="s">
        <v>1371</v>
      </c>
      <c r="E184" s="45"/>
      <c r="F184" s="45"/>
      <c r="G184" s="45"/>
      <c r="H184" s="110" t="s">
        <v>2702</v>
      </c>
      <c r="I184" s="45"/>
      <c r="J184" s="398">
        <f>J183/J166</f>
        <v>0.99975172319042738</v>
      </c>
      <c r="K184" s="1936">
        <f>K183/K166</f>
        <v>0.99711075369002811</v>
      </c>
      <c r="L184" s="1936">
        <f>L183/L166</f>
        <v>0.99869248679975142</v>
      </c>
      <c r="M184" s="2497">
        <f>M183/M166</f>
        <v>0.99889745351819459</v>
      </c>
      <c r="N184" s="1941">
        <f>Assumption!N559</f>
        <v>0.99889745351819459</v>
      </c>
      <c r="O184" s="1941">
        <f>Assumption!O559</f>
        <v>0.99889745351819459</v>
      </c>
      <c r="P184" s="1941">
        <f>Assumption!P559</f>
        <v>0.99861310429960037</v>
      </c>
      <c r="Q184" s="1941">
        <f>Assumption!Q559</f>
        <v>0.99861310429960037</v>
      </c>
      <c r="R184" s="1941">
        <f>Assumption!R559</f>
        <v>0.99861310429960037</v>
      </c>
      <c r="S184" s="1941">
        <f>Assumption!S559</f>
        <v>0.99861310429960037</v>
      </c>
      <c r="T184" s="1941">
        <f>Assumption!T559</f>
        <v>0.99861310429960037</v>
      </c>
    </row>
    <row r="185" spans="1:20" ht="12" customHeight="1">
      <c r="C185" s="3" t="s">
        <v>1507</v>
      </c>
      <c r="H185" s="110"/>
      <c r="J185" s="220">
        <f>'Backdata_CS,선우'!P53/1000+'Backdata_CS,선우'!P54/1000</f>
        <v>26337.170000000002</v>
      </c>
      <c r="K185" s="1937">
        <f>SUM('Backdata_CS,선우'!N53:N54)/1000</f>
        <v>45851.656000000003</v>
      </c>
      <c r="L185" s="1937">
        <f>SUM('Backdata_CS,선우'!AB53:AB54)/1000</f>
        <v>38404.230000000003</v>
      </c>
      <c r="M185" s="2186">
        <f>(SUMIF(연결조정_3Q!$D$149:$D$153,$C185,연결조정_3Q!$E$149:$E$153)-SUMIF(연결조정_3Q!$D$149:$D$153,$C185,연결조정_3Q!$F$149:$F$153))/10^6</f>
        <v>46969.662814000003</v>
      </c>
      <c r="N185" s="1934">
        <f t="shared" ref="N185:T185" si="239">N168*N186</f>
        <v>17652.6941172509</v>
      </c>
      <c r="O185" s="1934">
        <f t="shared" si="239"/>
        <v>64622.356931250906</v>
      </c>
      <c r="P185" s="1934">
        <f t="shared" si="239"/>
        <v>49139.650878731874</v>
      </c>
      <c r="Q185" s="1934">
        <f t="shared" si="239"/>
        <v>39582.037053595421</v>
      </c>
      <c r="R185" s="1934">
        <f t="shared" si="239"/>
        <v>40450.91103769873</v>
      </c>
      <c r="S185" s="1934">
        <f t="shared" si="239"/>
        <v>40450.91103769873</v>
      </c>
      <c r="T185" s="1934">
        <f t="shared" si="239"/>
        <v>40450.91103769873</v>
      </c>
    </row>
    <row r="186" spans="1:20" s="400" customFormat="1" ht="12" customHeight="1">
      <c r="A186" s="45"/>
      <c r="B186" s="45"/>
      <c r="C186" s="45"/>
      <c r="D186" s="45" t="s">
        <v>1371</v>
      </c>
      <c r="E186" s="45"/>
      <c r="F186" s="45"/>
      <c r="G186" s="45"/>
      <c r="H186" s="110" t="s">
        <v>2702</v>
      </c>
      <c r="I186" s="45"/>
      <c r="J186" s="398">
        <f>IFERROR(J185/J168,"n.p")</f>
        <v>0.95880008490891189</v>
      </c>
      <c r="K186" s="1936">
        <f>IFERROR(K185/K168,"n.p")</f>
        <v>0.96902752215287991</v>
      </c>
      <c r="L186" s="1936">
        <f>IFERROR(L185/L168,"n.p")</f>
        <v>0.9664339916454554</v>
      </c>
      <c r="M186" s="2497">
        <f>IFERROR(M185/M168,"n.p")</f>
        <v>0.9674005528630375</v>
      </c>
      <c r="N186" s="1941">
        <f>Assumption!N560</f>
        <v>0.9674005528630375</v>
      </c>
      <c r="O186" s="1941">
        <f>Assumption!O560</f>
        <v>0.9674005528630375</v>
      </c>
      <c r="P186" s="1941">
        <f>Assumption!P560</f>
        <v>0.96541553789257117</v>
      </c>
      <c r="Q186" s="1941">
        <f>Assumption!Q560</f>
        <v>0.96541553789257117</v>
      </c>
      <c r="R186" s="1941">
        <f>Assumption!R560</f>
        <v>0.96541553789257117</v>
      </c>
      <c r="S186" s="1941">
        <f>Assumption!S560</f>
        <v>0.96541553789257117</v>
      </c>
      <c r="T186" s="1941">
        <f>Assumption!T560</f>
        <v>0.96541553789257117</v>
      </c>
    </row>
    <row r="187" spans="1:20" ht="12" customHeight="1">
      <c r="C187" s="3" t="s">
        <v>1561</v>
      </c>
      <c r="H187" s="110"/>
      <c r="J187" s="220">
        <f>'Backdata_CS,선우'!G53/1000</f>
        <v>10547.798000000001</v>
      </c>
      <c r="K187" s="1937">
        <f>'Backdata_CS,선우'!D53/1000</f>
        <v>6251.9409999999998</v>
      </c>
      <c r="L187" s="1937">
        <f>'Backdata_CS,선우'!D68/1000</f>
        <v>6469.4780000000001</v>
      </c>
      <c r="M187" s="2186">
        <f>(SUMIF(연결조정_3Q!$D$149:$D$153,$C187,연결조정_3Q!$E$149:$E$153)-SUMIF(연결조정_3Q!$D$149:$D$153,$C187,연결조정_3Q!$F$149:$F$153))/10^6</f>
        <v>5545.8592150000004</v>
      </c>
      <c r="N187" s="1934">
        <f t="shared" ref="N187:T187" si="240">N170*N188</f>
        <v>2342.7232016203257</v>
      </c>
      <c r="O187" s="1934">
        <f t="shared" si="240"/>
        <v>7888.5824166203256</v>
      </c>
      <c r="P187" s="1934">
        <f t="shared" si="240"/>
        <v>10416.457204332768</v>
      </c>
      <c r="Q187" s="1934">
        <f t="shared" si="240"/>
        <v>9778.7149265164753</v>
      </c>
      <c r="R187" s="1934">
        <f t="shared" si="240"/>
        <v>10203.87644506067</v>
      </c>
      <c r="S187" s="1934">
        <f t="shared" si="240"/>
        <v>10203.87644506067</v>
      </c>
      <c r="T187" s="1934">
        <f t="shared" si="240"/>
        <v>10203.87644506067</v>
      </c>
    </row>
    <row r="188" spans="1:20" s="400" customFormat="1" ht="12" customHeight="1">
      <c r="A188" s="45"/>
      <c r="B188" s="45"/>
      <c r="C188" s="45"/>
      <c r="D188" s="45" t="s">
        <v>1371</v>
      </c>
      <c r="E188" s="45"/>
      <c r="F188" s="45"/>
      <c r="G188" s="45"/>
      <c r="H188" s="110" t="s">
        <v>2702</v>
      </c>
      <c r="I188" s="45"/>
      <c r="J188" s="398">
        <f>J187/J170</f>
        <v>0.70576711451439067</v>
      </c>
      <c r="K188" s="1936">
        <f>K187/K170</f>
        <v>0.61511994952900662</v>
      </c>
      <c r="L188" s="1936">
        <f>L187/L170</f>
        <v>0.76222949609691659</v>
      </c>
      <c r="M188" s="2497">
        <f>M187/M170</f>
        <v>0.75129356348765008</v>
      </c>
      <c r="N188" s="1941">
        <f>Assumption!N561</f>
        <v>0.75129356348765008</v>
      </c>
      <c r="O188" s="1941">
        <f>Assumption!O561</f>
        <v>0.75129356348765008</v>
      </c>
      <c r="P188" s="1941">
        <f>Assumption!P561</f>
        <v>0.70860253090699099</v>
      </c>
      <c r="Q188" s="1941">
        <f>Assumption!Q561</f>
        <v>0.70860253090699099</v>
      </c>
      <c r="R188" s="1941">
        <f>Assumption!R561</f>
        <v>0.70860253090699099</v>
      </c>
      <c r="S188" s="1941">
        <f>Assumption!S561</f>
        <v>0.70860253090699099</v>
      </c>
      <c r="T188" s="1941">
        <f>Assumption!T561</f>
        <v>0.70860253090699099</v>
      </c>
    </row>
    <row r="189" spans="1:20" ht="12" customHeight="1">
      <c r="B189" s="12"/>
      <c r="C189" s="12" t="s">
        <v>3450</v>
      </c>
      <c r="D189" s="12"/>
      <c r="E189" s="12"/>
      <c r="F189" s="12"/>
      <c r="G189" s="12"/>
      <c r="H189" s="12"/>
      <c r="I189" s="12"/>
      <c r="J189" s="397">
        <f>-(연결FS!K3/10^6-J9-J11+J179+J181+J183+J185+J187)</f>
        <v>1090.9782109983989</v>
      </c>
      <c r="K189" s="1935">
        <f>-(연결FS!L3/10^6-K9-K11+K179+K181+K183+K185+K187)</f>
        <v>984.33192500094356</v>
      </c>
      <c r="L189" s="1935">
        <f>-(연결FS!M3/10^6-L9-L11+L179+L181+L183+L185+L187)</f>
        <v>33.944700001312412</v>
      </c>
      <c r="M189" s="2187">
        <f>연결정산표!L6/10^6-M9-M11+M179+M181+M183+M185+M187</f>
        <v>4.2564352042973042E-10</v>
      </c>
      <c r="N189" s="1942">
        <f>Assumption!N562</f>
        <v>0</v>
      </c>
      <c r="O189" s="1942">
        <f>Assumption!O562</f>
        <v>4.2564352042973042E-10</v>
      </c>
      <c r="P189" s="1942">
        <f>Assumption!P562</f>
        <v>0</v>
      </c>
      <c r="Q189" s="1942">
        <f>Assumption!Q562</f>
        <v>0</v>
      </c>
      <c r="R189" s="1942">
        <f>Assumption!R562</f>
        <v>0</v>
      </c>
      <c r="S189" s="1942">
        <f>Assumption!S562</f>
        <v>0</v>
      </c>
      <c r="T189" s="1942">
        <f>Assumption!T562</f>
        <v>0</v>
      </c>
    </row>
  </sheetData>
  <phoneticPr fontId="1" type="noConversion"/>
  <conditionalFormatting sqref="K7:M7 K19:P19 K164:M164 K177:M177">
    <cfRule type="cellIs" dxfId="969" priority="157" operator="equal">
      <formula>"X"</formula>
    </cfRule>
    <cfRule type="cellIs" dxfId="968" priority="158" operator="equal">
      <formula>"O"</formula>
    </cfRule>
    <cfRule type="cellIs" dxfId="967" priority="159" operator="equal">
      <formula>"미정"</formula>
    </cfRule>
    <cfRule type="cellIs" dxfId="966" priority="160" operator="equal">
      <formula>"예정"</formula>
    </cfRule>
    <cfRule type="cellIs" dxfId="965" priority="161" operator="equal">
      <formula>"확정"</formula>
    </cfRule>
  </conditionalFormatting>
  <conditionalFormatting sqref="N7:P7">
    <cfRule type="cellIs" dxfId="964" priority="167" operator="equal">
      <formula>"X"</formula>
    </cfRule>
    <cfRule type="cellIs" dxfId="963" priority="168" operator="equal">
      <formula>"O"</formula>
    </cfRule>
    <cfRule type="cellIs" dxfId="962" priority="169" operator="equal">
      <formula>"미정"</formula>
    </cfRule>
    <cfRule type="cellIs" dxfId="961" priority="170" operator="equal">
      <formula>"예정"</formula>
    </cfRule>
    <cfRule type="cellIs" dxfId="960" priority="171" operator="equal">
      <formula>"확정"</formula>
    </cfRule>
  </conditionalFormatting>
  <conditionalFormatting sqref="N164:P164">
    <cfRule type="cellIs" dxfId="959" priority="147" operator="equal">
      <formula>"X"</formula>
    </cfRule>
    <cfRule type="cellIs" dxfId="958" priority="148" operator="equal">
      <formula>"O"</formula>
    </cfRule>
    <cfRule type="cellIs" dxfId="957" priority="149" operator="equal">
      <formula>"미정"</formula>
    </cfRule>
    <cfRule type="cellIs" dxfId="956" priority="150" operator="equal">
      <formula>"예정"</formula>
    </cfRule>
    <cfRule type="cellIs" dxfId="955" priority="151" operator="equal">
      <formula>"확정"</formula>
    </cfRule>
  </conditionalFormatting>
  <conditionalFormatting sqref="N177:P177">
    <cfRule type="cellIs" dxfId="954" priority="117" operator="equal">
      <formula>"X"</formula>
    </cfRule>
    <cfRule type="cellIs" dxfId="953" priority="118" operator="equal">
      <formula>"O"</formula>
    </cfRule>
    <cfRule type="cellIs" dxfId="952" priority="119" operator="equal">
      <formula>"미정"</formula>
    </cfRule>
    <cfRule type="cellIs" dxfId="951" priority="120" operator="equal">
      <formula>"예정"</formula>
    </cfRule>
    <cfRule type="cellIs" dxfId="950" priority="121" operator="equal">
      <formula>"확정"</formula>
    </cfRule>
  </conditionalFormatting>
  <conditionalFormatting sqref="K106:M106">
    <cfRule type="cellIs" dxfId="949" priority="107" operator="equal">
      <formula>"X"</formula>
    </cfRule>
    <cfRule type="cellIs" dxfId="948" priority="108" operator="equal">
      <formula>"O"</formula>
    </cfRule>
    <cfRule type="cellIs" dxfId="947" priority="109" operator="equal">
      <formula>"미정"</formula>
    </cfRule>
    <cfRule type="cellIs" dxfId="946" priority="110" operator="equal">
      <formula>"예정"</formula>
    </cfRule>
    <cfRule type="cellIs" dxfId="945" priority="111" operator="equal">
      <formula>"확정"</formula>
    </cfRule>
  </conditionalFormatting>
  <conditionalFormatting sqref="N106:P106">
    <cfRule type="cellIs" dxfId="944" priority="112" operator="equal">
      <formula>"X"</formula>
    </cfRule>
    <cfRule type="cellIs" dxfId="943" priority="113" operator="equal">
      <formula>"O"</formula>
    </cfRule>
    <cfRule type="cellIs" dxfId="942" priority="114" operator="equal">
      <formula>"미정"</formula>
    </cfRule>
    <cfRule type="cellIs" dxfId="941" priority="115" operator="equal">
      <formula>"예정"</formula>
    </cfRule>
    <cfRule type="cellIs" dxfId="940" priority="116" operator="equal">
      <formula>"확정"</formula>
    </cfRule>
  </conditionalFormatting>
  <conditionalFormatting sqref="K139:M139">
    <cfRule type="cellIs" dxfId="939" priority="77" operator="equal">
      <formula>"X"</formula>
    </cfRule>
    <cfRule type="cellIs" dxfId="938" priority="78" operator="equal">
      <formula>"O"</formula>
    </cfRule>
    <cfRule type="cellIs" dxfId="937" priority="79" operator="equal">
      <formula>"미정"</formula>
    </cfRule>
    <cfRule type="cellIs" dxfId="936" priority="80" operator="equal">
      <formula>"예정"</formula>
    </cfRule>
    <cfRule type="cellIs" dxfId="935" priority="81" operator="equal">
      <formula>"확정"</formula>
    </cfRule>
  </conditionalFormatting>
  <conditionalFormatting sqref="N139:P139">
    <cfRule type="cellIs" dxfId="934" priority="82" operator="equal">
      <formula>"X"</formula>
    </cfRule>
    <cfRule type="cellIs" dxfId="933" priority="83" operator="equal">
      <formula>"O"</formula>
    </cfRule>
    <cfRule type="cellIs" dxfId="932" priority="84" operator="equal">
      <formula>"미정"</formula>
    </cfRule>
    <cfRule type="cellIs" dxfId="931" priority="85" operator="equal">
      <formula>"예정"</formula>
    </cfRule>
    <cfRule type="cellIs" dxfId="930" priority="86" operator="equal">
      <formula>"확정"</formula>
    </cfRule>
  </conditionalFormatting>
  <conditionalFormatting sqref="K96:M96">
    <cfRule type="cellIs" dxfId="929" priority="62" operator="equal">
      <formula>"X"</formula>
    </cfRule>
    <cfRule type="cellIs" dxfId="928" priority="63" operator="equal">
      <formula>"O"</formula>
    </cfRule>
    <cfRule type="cellIs" dxfId="927" priority="64" operator="equal">
      <formula>"미정"</formula>
    </cfRule>
    <cfRule type="cellIs" dxfId="926" priority="65" operator="equal">
      <formula>"예정"</formula>
    </cfRule>
    <cfRule type="cellIs" dxfId="925" priority="66" operator="equal">
      <formula>"확정"</formula>
    </cfRule>
  </conditionalFormatting>
  <conditionalFormatting sqref="N96:P96">
    <cfRule type="cellIs" dxfId="924" priority="57" operator="equal">
      <formula>"X"</formula>
    </cfRule>
    <cfRule type="cellIs" dxfId="923" priority="58" operator="equal">
      <formula>"O"</formula>
    </cfRule>
    <cfRule type="cellIs" dxfId="922" priority="59" operator="equal">
      <formula>"미정"</formula>
    </cfRule>
    <cfRule type="cellIs" dxfId="921" priority="60" operator="equal">
      <formula>"예정"</formula>
    </cfRule>
    <cfRule type="cellIs" dxfId="920" priority="61" operator="equal">
      <formula>"확정"</formula>
    </cfRule>
  </conditionalFormatting>
  <conditionalFormatting sqref="K114:M114">
    <cfRule type="cellIs" dxfId="919" priority="47" operator="equal">
      <formula>"X"</formula>
    </cfRule>
    <cfRule type="cellIs" dxfId="918" priority="48" operator="equal">
      <formula>"O"</formula>
    </cfRule>
    <cfRule type="cellIs" dxfId="917" priority="49" operator="equal">
      <formula>"미정"</formula>
    </cfRule>
    <cfRule type="cellIs" dxfId="916" priority="50" operator="equal">
      <formula>"예정"</formula>
    </cfRule>
    <cfRule type="cellIs" dxfId="915" priority="51" operator="equal">
      <formula>"확정"</formula>
    </cfRule>
  </conditionalFormatting>
  <conditionalFormatting sqref="N114:P114">
    <cfRule type="cellIs" dxfId="914" priority="52" operator="equal">
      <formula>"X"</formula>
    </cfRule>
    <cfRule type="cellIs" dxfId="913" priority="53" operator="equal">
      <formula>"O"</formula>
    </cfRule>
    <cfRule type="cellIs" dxfId="912" priority="54" operator="equal">
      <formula>"미정"</formula>
    </cfRule>
    <cfRule type="cellIs" dxfId="911" priority="55" operator="equal">
      <formula>"예정"</formula>
    </cfRule>
    <cfRule type="cellIs" dxfId="910" priority="56" operator="equal">
      <formula>"확정"</formula>
    </cfRule>
  </conditionalFormatting>
  <conditionalFormatting sqref="K145:M145">
    <cfRule type="cellIs" dxfId="909" priority="37" operator="equal">
      <formula>"X"</formula>
    </cfRule>
    <cfRule type="cellIs" dxfId="908" priority="38" operator="equal">
      <formula>"O"</formula>
    </cfRule>
    <cfRule type="cellIs" dxfId="907" priority="39" operator="equal">
      <formula>"미정"</formula>
    </cfRule>
    <cfRule type="cellIs" dxfId="906" priority="40" operator="equal">
      <formula>"예정"</formula>
    </cfRule>
    <cfRule type="cellIs" dxfId="905" priority="41" operator="equal">
      <formula>"확정"</formula>
    </cfRule>
  </conditionalFormatting>
  <conditionalFormatting sqref="N145:P145">
    <cfRule type="cellIs" dxfId="904" priority="42" operator="equal">
      <formula>"X"</formula>
    </cfRule>
    <cfRule type="cellIs" dxfId="903" priority="43" operator="equal">
      <formula>"O"</formula>
    </cfRule>
    <cfRule type="cellIs" dxfId="902" priority="44" operator="equal">
      <formula>"미정"</formula>
    </cfRule>
    <cfRule type="cellIs" dxfId="901" priority="45" operator="equal">
      <formula>"예정"</formula>
    </cfRule>
    <cfRule type="cellIs" dxfId="900" priority="46" operator="equal">
      <formula>"확정"</formula>
    </cfRule>
  </conditionalFormatting>
  <conditionalFormatting sqref="V10">
    <cfRule type="cellIs" dxfId="899" priority="35" operator="lessThan">
      <formula>0</formula>
    </cfRule>
    <cfRule type="cellIs" dxfId="898" priority="36" operator="greaterThan">
      <formula>0</formula>
    </cfRule>
  </conditionalFormatting>
  <conditionalFormatting sqref="V12">
    <cfRule type="cellIs" dxfId="897" priority="33" operator="lessThan">
      <formula>0</formula>
    </cfRule>
    <cfRule type="cellIs" dxfId="896" priority="34" operator="greaterThan">
      <formula>0</formula>
    </cfRule>
  </conditionalFormatting>
  <conditionalFormatting sqref="V22">
    <cfRule type="cellIs" dxfId="895" priority="31" operator="lessThan">
      <formula>0</formula>
    </cfRule>
    <cfRule type="cellIs" dxfId="894" priority="32" operator="greaterThan">
      <formula>0</formula>
    </cfRule>
  </conditionalFormatting>
  <conditionalFormatting sqref="V29">
    <cfRule type="cellIs" dxfId="893" priority="29" operator="lessThan">
      <formula>0</formula>
    </cfRule>
    <cfRule type="cellIs" dxfId="892" priority="30" operator="greaterThan">
      <formula>0</formula>
    </cfRule>
  </conditionalFormatting>
  <conditionalFormatting sqref="V32">
    <cfRule type="cellIs" dxfId="891" priority="27" operator="lessThan">
      <formula>0</formula>
    </cfRule>
    <cfRule type="cellIs" dxfId="890" priority="28" operator="greaterThan">
      <formula>0</formula>
    </cfRule>
  </conditionalFormatting>
  <conditionalFormatting sqref="V36">
    <cfRule type="cellIs" dxfId="889" priority="25" operator="lessThan">
      <formula>0</formula>
    </cfRule>
    <cfRule type="cellIs" dxfId="888" priority="26" operator="greaterThan">
      <formula>0</formula>
    </cfRule>
  </conditionalFormatting>
  <conditionalFormatting sqref="V39">
    <cfRule type="cellIs" dxfId="887" priority="23" operator="lessThan">
      <formula>0</formula>
    </cfRule>
    <cfRule type="cellIs" dxfId="886" priority="24" operator="greaterThan">
      <formula>0</formula>
    </cfRule>
  </conditionalFormatting>
  <conditionalFormatting sqref="V50">
    <cfRule type="cellIs" dxfId="885" priority="21" operator="lessThan">
      <formula>0</formula>
    </cfRule>
    <cfRule type="cellIs" dxfId="884" priority="22" operator="greaterThan">
      <formula>0</formula>
    </cfRule>
  </conditionalFormatting>
  <conditionalFormatting sqref="V53">
    <cfRule type="cellIs" dxfId="883" priority="19" operator="lessThan">
      <formula>0</formula>
    </cfRule>
    <cfRule type="cellIs" dxfId="882" priority="20" operator="greaterThan">
      <formula>0</formula>
    </cfRule>
  </conditionalFormatting>
  <conditionalFormatting sqref="V57">
    <cfRule type="cellIs" dxfId="881" priority="17" operator="lessThan">
      <formula>0</formula>
    </cfRule>
    <cfRule type="cellIs" dxfId="880" priority="18" operator="greaterThan">
      <formula>0</formula>
    </cfRule>
  </conditionalFormatting>
  <conditionalFormatting sqref="V60">
    <cfRule type="cellIs" dxfId="879" priority="15" operator="lessThan">
      <formula>0</formula>
    </cfRule>
    <cfRule type="cellIs" dxfId="878" priority="16" operator="greaterThan">
      <formula>0</formula>
    </cfRule>
  </conditionalFormatting>
  <conditionalFormatting sqref="V64">
    <cfRule type="cellIs" dxfId="877" priority="13" operator="lessThan">
      <formula>0</formula>
    </cfRule>
    <cfRule type="cellIs" dxfId="876" priority="14" operator="greaterThan">
      <formula>0</formula>
    </cfRule>
  </conditionalFormatting>
  <conditionalFormatting sqref="V68">
    <cfRule type="cellIs" dxfId="875" priority="11" operator="lessThan">
      <formula>0</formula>
    </cfRule>
    <cfRule type="cellIs" dxfId="874" priority="12" operator="greaterThan">
      <formula>0</formula>
    </cfRule>
  </conditionalFormatting>
  <conditionalFormatting sqref="V72">
    <cfRule type="cellIs" dxfId="873" priority="9" operator="lessThan">
      <formula>0</formula>
    </cfRule>
    <cfRule type="cellIs" dxfId="872" priority="10" operator="greaterThan">
      <formula>0</formula>
    </cfRule>
  </conditionalFormatting>
  <conditionalFormatting sqref="V76">
    <cfRule type="cellIs" dxfId="871" priority="7" operator="lessThan">
      <formula>0</formula>
    </cfRule>
    <cfRule type="cellIs" dxfId="870" priority="8" operator="greaterThan">
      <formula>0</formula>
    </cfRule>
  </conditionalFormatting>
  <conditionalFormatting sqref="V80">
    <cfRule type="cellIs" dxfId="869" priority="5" operator="lessThan">
      <formula>0</formula>
    </cfRule>
    <cfRule type="cellIs" dxfId="868" priority="6" operator="greaterThan">
      <formula>0</formula>
    </cfRule>
  </conditionalFormatting>
  <conditionalFormatting sqref="V84">
    <cfRule type="cellIs" dxfId="867" priority="3" operator="lessThan">
      <formula>0</formula>
    </cfRule>
    <cfRule type="cellIs" dxfId="866" priority="4" operator="greaterThan">
      <formula>0</formula>
    </cfRule>
  </conditionalFormatting>
  <conditionalFormatting sqref="V88">
    <cfRule type="cellIs" dxfId="865" priority="1" operator="lessThan">
      <formula>0</formula>
    </cfRule>
    <cfRule type="cellIs" dxfId="864" priority="2" operator="greaterThan">
      <formula>0</formula>
    </cfRule>
  </conditionalFormatting>
  <dataValidations disablePrompts="1" count="1">
    <dataValidation type="list" allowBlank="1" showInputMessage="1" showErrorMessage="1" sqref="I87 I170" xr:uid="{00000000-0002-0000-0400-000000000000}">
      <formula1>"1,2,3"</formula1>
    </dataValidation>
  </dataValidation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Z352"/>
  <sheetViews>
    <sheetView showGridLines="0" workbookViewId="0">
      <pane xSplit="9" ySplit="7" topLeftCell="J193" activePane="bottomRight" state="frozen"/>
      <selection pane="topRight" activeCell="J1" sqref="J1"/>
      <selection pane="bottomLeft" activeCell="A8" sqref="A8"/>
      <selection pane="bottomRight" activeCell="G227" sqref="G227"/>
    </sheetView>
  </sheetViews>
  <sheetFormatPr defaultRowHeight="12" customHeight="1" outlineLevelCol="1"/>
  <cols>
    <col min="1" max="1" width="4.625" style="3" customWidth="1"/>
    <col min="2" max="5" width="1.625" style="3" customWidth="1"/>
    <col min="6" max="9" width="9" style="3"/>
    <col min="10" max="10" width="9" style="3" customWidth="1"/>
    <col min="11" max="12" width="9.5" style="3" bestFit="1" customWidth="1"/>
    <col min="13" max="14" width="9.5" style="3" hidden="1" customWidth="1" outlineLevel="1"/>
    <col min="15" max="15" width="9.5" style="3" bestFit="1" customWidth="1" collapsed="1"/>
    <col min="16" max="16" width="9" style="3" customWidth="1"/>
    <col min="17" max="20" width="9.5" style="3" bestFit="1" customWidth="1"/>
    <col min="21" max="21" width="10.5" style="1953" bestFit="1" customWidth="1"/>
    <col min="22" max="22" width="10.5" bestFit="1" customWidth="1"/>
    <col min="23" max="23" width="11.5" bestFit="1" customWidth="1"/>
    <col min="24" max="24" width="10.5" bestFit="1" customWidth="1"/>
    <col min="25" max="25" width="13.75" bestFit="1" customWidth="1"/>
  </cols>
  <sheetData>
    <row r="1" spans="1:23" ht="12" customHeight="1">
      <c r="A1" s="2" t="str">
        <f ca="1">MID(CELL("filename",A1),FIND("]",CELL("filename",A1))+1,255)</f>
        <v>COGS</v>
      </c>
      <c r="B1" s="2"/>
      <c r="C1" s="2"/>
      <c r="D1" s="2"/>
      <c r="E1" s="2"/>
      <c r="F1" s="2"/>
      <c r="G1" s="2"/>
      <c r="H1" s="2"/>
      <c r="I1" s="2"/>
      <c r="J1" s="2"/>
      <c r="K1" s="2"/>
      <c r="L1" s="2"/>
      <c r="M1" s="2"/>
      <c r="N1" s="2"/>
      <c r="O1" s="2"/>
      <c r="P1" s="2"/>
      <c r="Q1" s="2"/>
      <c r="R1" s="2"/>
      <c r="S1" s="2"/>
      <c r="T1" s="2"/>
    </row>
    <row r="4" spans="1:23" ht="12" customHeight="1">
      <c r="A4" s="20" t="s">
        <v>21</v>
      </c>
      <c r="B4" s="21" t="s">
        <v>22</v>
      </c>
      <c r="C4" s="102"/>
      <c r="D4" s="102"/>
      <c r="E4" s="102"/>
      <c r="F4" s="102"/>
      <c r="G4" s="102"/>
      <c r="H4" s="102"/>
      <c r="I4" s="102"/>
      <c r="J4" s="102"/>
      <c r="K4" s="102"/>
      <c r="L4" s="102"/>
      <c r="M4" s="102"/>
      <c r="N4" s="102"/>
      <c r="O4" s="102"/>
      <c r="P4" s="102"/>
      <c r="Q4" s="102"/>
      <c r="R4" s="102"/>
      <c r="S4" s="102"/>
      <c r="T4" s="102"/>
    </row>
    <row r="5" spans="1:23" ht="12" customHeight="1">
      <c r="M5" s="248"/>
    </row>
    <row r="6" spans="1:23" ht="12" customHeight="1">
      <c r="B6" s="24"/>
      <c r="C6" s="24"/>
      <c r="D6" s="24"/>
      <c r="E6" s="24"/>
      <c r="F6" s="24"/>
      <c r="G6" s="24"/>
      <c r="H6" s="24"/>
      <c r="I6" s="24"/>
      <c r="J6" s="25" t="s">
        <v>23</v>
      </c>
      <c r="K6" s="26"/>
      <c r="L6" s="26"/>
      <c r="M6" s="27"/>
      <c r="N6" s="26" t="s">
        <v>24</v>
      </c>
      <c r="O6" s="26"/>
      <c r="P6" s="26"/>
      <c r="Q6" s="26"/>
      <c r="R6" s="26"/>
      <c r="S6" s="26"/>
      <c r="T6" s="26"/>
    </row>
    <row r="7" spans="1:23" ht="12" customHeight="1">
      <c r="B7" s="28"/>
      <c r="C7" s="28"/>
      <c r="D7" s="28"/>
      <c r="E7" s="28"/>
      <c r="F7" s="28"/>
      <c r="G7" s="28"/>
      <c r="H7" s="1949" t="s">
        <v>3537</v>
      </c>
      <c r="I7" s="28"/>
      <c r="J7" s="29" t="s">
        <v>69</v>
      </c>
      <c r="K7" s="30" t="s">
        <v>27</v>
      </c>
      <c r="L7" s="108" t="s">
        <v>60</v>
      </c>
      <c r="M7" s="5073" t="s">
        <v>5104</v>
      </c>
      <c r="N7" s="5074" t="s">
        <v>5174</v>
      </c>
      <c r="O7" s="30" t="s">
        <v>70</v>
      </c>
      <c r="P7" s="30" t="s">
        <v>71</v>
      </c>
      <c r="Q7" s="30" t="s">
        <v>72</v>
      </c>
      <c r="R7" s="30" t="s">
        <v>73</v>
      </c>
      <c r="S7" s="30" t="s">
        <v>74</v>
      </c>
      <c r="T7" s="30" t="s">
        <v>5102</v>
      </c>
    </row>
    <row r="8" spans="1:23" ht="12" customHeight="1">
      <c r="A8" s="32"/>
      <c r="B8" s="33" t="s">
        <v>30</v>
      </c>
      <c r="C8" s="33"/>
      <c r="D8" s="33"/>
      <c r="E8" s="33"/>
      <c r="F8" s="33"/>
      <c r="G8" s="33"/>
      <c r="H8" s="33"/>
      <c r="I8" s="33"/>
      <c r="J8" s="396">
        <f>J9+J11-J13</f>
        <v>7100110.9138679998</v>
      </c>
      <c r="K8" s="103">
        <f t="shared" ref="K8:S8" si="0">K9+K11-K13</f>
        <v>7463355.757518</v>
      </c>
      <c r="L8" s="103">
        <f t="shared" si="0"/>
        <v>7656346.202509</v>
      </c>
      <c r="M8" s="5047">
        <f t="shared" si="0"/>
        <v>6921270.8885239996</v>
      </c>
      <c r="N8" s="5048">
        <f t="shared" si="0"/>
        <v>2751391.7650225833</v>
      </c>
      <c r="O8" s="103">
        <f t="shared" si="0"/>
        <v>9672662.6535465829</v>
      </c>
      <c r="P8" s="4878">
        <f t="shared" si="0"/>
        <v>9828437.0148736238</v>
      </c>
      <c r="Q8" s="4878">
        <f t="shared" si="0"/>
        <v>9624161.4571046568</v>
      </c>
      <c r="R8" s="4878">
        <f t="shared" si="0"/>
        <v>9101397.5078193452</v>
      </c>
      <c r="S8" s="4878">
        <f t="shared" si="0"/>
        <v>9057842.3207514491</v>
      </c>
      <c r="T8" s="4878">
        <f t="shared" ref="T8" si="1">T9+T11-T13</f>
        <v>9291986.336998418</v>
      </c>
    </row>
    <row r="9" spans="1:23" ht="12" customHeight="1">
      <c r="C9" s="3" t="s">
        <v>65</v>
      </c>
      <c r="J9" s="226">
        <f>J19</f>
        <v>6897247.3599970015</v>
      </c>
      <c r="K9" s="205">
        <f t="shared" ref="K9:S9" si="2">K19</f>
        <v>7270011.4767530011</v>
      </c>
      <c r="L9" s="105">
        <f>L19</f>
        <v>7397477.8427069988</v>
      </c>
      <c r="M9" s="5049">
        <f t="shared" si="2"/>
        <v>6738826.7493550023</v>
      </c>
      <c r="N9" s="5050">
        <f t="shared" si="2"/>
        <v>2690105.9147916543</v>
      </c>
      <c r="O9" s="105">
        <f>SUM(M9:N9)</f>
        <v>9428932.6641466562</v>
      </c>
      <c r="P9" s="4879">
        <f t="shared" si="2"/>
        <v>9587368.7388499714</v>
      </c>
      <c r="Q9" s="4879">
        <f t="shared" si="2"/>
        <v>9389934.8589715157</v>
      </c>
      <c r="R9" s="4879">
        <f t="shared" si="2"/>
        <v>8869629.2054762878</v>
      </c>
      <c r="S9" s="4879">
        <f t="shared" si="2"/>
        <v>8837596.9227572642</v>
      </c>
      <c r="T9" s="4879">
        <f t="shared" ref="T9" si="3">T19</f>
        <v>9072224.2551314384</v>
      </c>
      <c r="V9" s="105"/>
      <c r="W9" s="2084"/>
    </row>
    <row r="10" spans="1:23" s="400" customFormat="1" ht="12" customHeight="1">
      <c r="A10" s="45"/>
      <c r="B10" s="45"/>
      <c r="C10" s="45" t="s">
        <v>32</v>
      </c>
      <c r="D10" s="45"/>
      <c r="E10" s="45"/>
      <c r="F10" s="45"/>
      <c r="G10" s="45"/>
      <c r="H10" s="110" t="s">
        <v>360</v>
      </c>
      <c r="I10" s="45"/>
      <c r="J10" s="3734">
        <f>J9/Revenue!J9</f>
        <v>0.95475068111494077</v>
      </c>
      <c r="K10" s="11">
        <f>K9/Revenue!K9</f>
        <v>0.95121652115177202</v>
      </c>
      <c r="L10" s="11">
        <f>L9/Revenue!L9</f>
        <v>0.96414004334199677</v>
      </c>
      <c r="M10" s="5075">
        <f>M9/Revenue!M9</f>
        <v>0.95703185575656424</v>
      </c>
      <c r="N10" s="5076">
        <f>N9/Revenue!N9</f>
        <v>0.96121686787466609</v>
      </c>
      <c r="O10" s="11">
        <f>O9/Revenue!O9</f>
        <v>0.95822213368331421</v>
      </c>
      <c r="P10" s="4911">
        <f>P9/Revenue!P9</f>
        <v>0.95824571977461082</v>
      </c>
      <c r="Q10" s="4911">
        <f>Q9/Revenue!Q9</f>
        <v>0.95673760242803707</v>
      </c>
      <c r="R10" s="4911">
        <f>R9/Revenue!R9</f>
        <v>0.95256369009827258</v>
      </c>
      <c r="S10" s="4911">
        <f>S9/Revenue!S9</f>
        <v>0.95188161127132775</v>
      </c>
      <c r="T10" s="4911">
        <f>T9/Revenue!T9</f>
        <v>0.95683079846475649</v>
      </c>
      <c r="U10" s="289"/>
      <c r="V10" s="2511">
        <f>+T10-O10</f>
        <v>-1.391335218557721E-3</v>
      </c>
    </row>
    <row r="11" spans="1:23" ht="12" customHeight="1">
      <c r="C11" s="3" t="s">
        <v>66</v>
      </c>
      <c r="J11" s="226">
        <f>J182</f>
        <v>442304.6722399852</v>
      </c>
      <c r="K11" s="205">
        <f t="shared" ref="K11:T11" si="4">K182</f>
        <v>466060.04413257039</v>
      </c>
      <c r="L11" s="105">
        <f t="shared" si="4"/>
        <v>548935.15392288216</v>
      </c>
      <c r="M11" s="5049">
        <f t="shared" si="4"/>
        <v>466574.44996475638</v>
      </c>
      <c r="N11" s="5050">
        <f t="shared" si="4"/>
        <v>172689.23234166036</v>
      </c>
      <c r="O11" s="105">
        <f t="shared" si="4"/>
        <v>639263.6823064168</v>
      </c>
      <c r="P11" s="4879">
        <f t="shared" si="4"/>
        <v>602565.25243053061</v>
      </c>
      <c r="Q11" s="4879">
        <f t="shared" si="4"/>
        <v>619207.87837057596</v>
      </c>
      <c r="R11" s="4879">
        <f t="shared" si="4"/>
        <v>605358.3747051392</v>
      </c>
      <c r="S11" s="4879">
        <f t="shared" si="4"/>
        <v>612191.82842101564</v>
      </c>
      <c r="T11" s="4879">
        <f t="shared" si="4"/>
        <v>593520.47264679184</v>
      </c>
    </row>
    <row r="12" spans="1:23" s="400" customFormat="1" ht="12" customHeight="1">
      <c r="A12" s="45"/>
      <c r="B12" s="45"/>
      <c r="C12" s="45" t="s">
        <v>32</v>
      </c>
      <c r="D12" s="45"/>
      <c r="E12" s="45"/>
      <c r="F12" s="45"/>
      <c r="G12" s="45"/>
      <c r="H12" s="110" t="s">
        <v>360</v>
      </c>
      <c r="I12" s="45"/>
      <c r="J12" s="398">
        <f>J11/Revenue!J11</f>
        <v>0.93316495028444013</v>
      </c>
      <c r="K12" s="399">
        <f>K11/Revenue!K11</f>
        <v>0.91816805650750755</v>
      </c>
      <c r="L12" s="399">
        <f>L11/Revenue!L11</f>
        <v>0.91871584284720675</v>
      </c>
      <c r="M12" s="5077">
        <f>M11/Revenue!M11</f>
        <v>0.93433104955315915</v>
      </c>
      <c r="N12" s="5078">
        <f>N11/Revenue!N11</f>
        <v>0.93396753073548611</v>
      </c>
      <c r="O12" s="399">
        <f>O11/Revenue!O11</f>
        <v>0.93423282151583376</v>
      </c>
      <c r="P12" s="4912">
        <f>P11/Revenue!P11</f>
        <v>0.93671858461876167</v>
      </c>
      <c r="Q12" s="4912">
        <f>Q11/Revenue!Q11</f>
        <v>0.92785564824441791</v>
      </c>
      <c r="R12" s="4912">
        <f>R11/Revenue!R11</f>
        <v>0.92867758143821277</v>
      </c>
      <c r="S12" s="4912">
        <f>S11/Revenue!S11</f>
        <v>0.92796954363185113</v>
      </c>
      <c r="T12" s="4912">
        <f>T11/Revenue!T11</f>
        <v>0.92788594335854246</v>
      </c>
      <c r="U12" s="289"/>
      <c r="V12" s="2511">
        <f>+T12-O12</f>
        <v>-6.3468781572912913E-3</v>
      </c>
    </row>
    <row r="13" spans="1:23" ht="12" customHeight="1">
      <c r="B13" s="12"/>
      <c r="C13" s="12" t="s">
        <v>67</v>
      </c>
      <c r="D13" s="12"/>
      <c r="E13" s="12"/>
      <c r="F13" s="12"/>
      <c r="G13" s="12"/>
      <c r="H13" s="12"/>
      <c r="I13" s="12"/>
      <c r="J13" s="315">
        <f>J290</f>
        <v>239441.11836898699</v>
      </c>
      <c r="K13" s="208">
        <f t="shared" ref="K13:S13" si="5">K290</f>
        <v>272715.76336757187</v>
      </c>
      <c r="L13" s="107">
        <f t="shared" si="5"/>
        <v>290066.79412088078</v>
      </c>
      <c r="M13" s="5053">
        <f t="shared" si="5"/>
        <v>284130.31079575908</v>
      </c>
      <c r="N13" s="5054">
        <f t="shared" si="5"/>
        <v>111403.38211073118</v>
      </c>
      <c r="O13" s="107">
        <f t="shared" ref="O13" si="6">SUM(M13:N13)</f>
        <v>395533.69290649029</v>
      </c>
      <c r="P13" s="4881">
        <f t="shared" si="5"/>
        <v>361496.9764068785</v>
      </c>
      <c r="Q13" s="4881">
        <f t="shared" si="5"/>
        <v>384981.28023743455</v>
      </c>
      <c r="R13" s="4881">
        <f t="shared" si="5"/>
        <v>373590.07236208278</v>
      </c>
      <c r="S13" s="4881">
        <f t="shared" si="5"/>
        <v>391946.4304268306</v>
      </c>
      <c r="T13" s="4881">
        <f t="shared" ref="T13" si="7">T290</f>
        <v>373758.39077981212</v>
      </c>
    </row>
    <row r="14" spans="1:23" ht="12" customHeight="1">
      <c r="J14" s="399"/>
      <c r="K14" s="399"/>
      <c r="L14" s="399"/>
      <c r="M14" s="49"/>
      <c r="N14" s="399"/>
      <c r="O14" s="399"/>
      <c r="P14" s="11">
        <f>1-P10</f>
        <v>4.1754280225389184E-2</v>
      </c>
      <c r="Q14" s="11">
        <f t="shared" ref="Q14:T14" si="8">1-Q10</f>
        <v>4.3262397571962929E-2</v>
      </c>
      <c r="R14" s="11">
        <f t="shared" si="8"/>
        <v>4.7436309901727425E-2</v>
      </c>
      <c r="S14" s="11">
        <f t="shared" si="8"/>
        <v>4.8118388728672246E-2</v>
      </c>
      <c r="T14" s="11">
        <f t="shared" si="8"/>
        <v>4.3169201535243507E-2</v>
      </c>
    </row>
    <row r="15" spans="1:23" ht="12" customHeight="1">
      <c r="A15" s="20" t="s">
        <v>68</v>
      </c>
      <c r="B15" s="21" t="s">
        <v>65</v>
      </c>
      <c r="C15" s="102"/>
      <c r="D15" s="102"/>
      <c r="E15" s="102"/>
      <c r="F15" s="102"/>
      <c r="G15" s="102"/>
      <c r="H15" s="102"/>
      <c r="I15" s="102"/>
      <c r="J15" s="1946"/>
      <c r="K15" s="1946"/>
      <c r="L15" s="1946"/>
      <c r="M15" s="1946"/>
      <c r="N15" s="1946"/>
      <c r="O15" s="1947"/>
      <c r="P15" s="1947"/>
      <c r="Q15" s="1947"/>
      <c r="R15" s="1947"/>
      <c r="S15" s="1947"/>
      <c r="T15" s="1947"/>
    </row>
    <row r="16" spans="1:23" ht="12" customHeight="1">
      <c r="J16" s="248"/>
      <c r="K16" s="248"/>
      <c r="L16" s="248"/>
      <c r="M16" s="248"/>
    </row>
    <row r="17" spans="1:22" ht="12" customHeight="1">
      <c r="B17" s="24"/>
      <c r="C17" s="24"/>
      <c r="D17" s="24"/>
      <c r="E17" s="24"/>
      <c r="F17" s="24"/>
      <c r="G17" s="24"/>
      <c r="H17" s="24"/>
      <c r="I17" s="24"/>
      <c r="J17" s="25" t="s">
        <v>23</v>
      </c>
      <c r="K17" s="26"/>
      <c r="L17" s="26"/>
      <c r="M17" s="27"/>
      <c r="N17" s="26" t="s">
        <v>24</v>
      </c>
      <c r="O17" s="26"/>
      <c r="P17" s="26"/>
      <c r="Q17" s="26"/>
      <c r="R17" s="26"/>
      <c r="S17" s="26"/>
      <c r="T17" s="26"/>
    </row>
    <row r="18" spans="1:22" ht="12" customHeight="1">
      <c r="B18" s="28"/>
      <c r="C18" s="28"/>
      <c r="D18" s="28"/>
      <c r="E18" s="28"/>
      <c r="F18" s="28"/>
      <c r="G18" s="28"/>
      <c r="H18" s="1949" t="s">
        <v>3537</v>
      </c>
      <c r="I18" s="28"/>
      <c r="J18" s="29" t="s">
        <v>69</v>
      </c>
      <c r="K18" s="30" t="s">
        <v>27</v>
      </c>
      <c r="L18" s="108" t="s">
        <v>60</v>
      </c>
      <c r="M18" s="5073" t="s">
        <v>5104</v>
      </c>
      <c r="N18" s="5074" t="s">
        <v>5174</v>
      </c>
      <c r="O18" s="30" t="s">
        <v>70</v>
      </c>
      <c r="P18" s="30" t="s">
        <v>71</v>
      </c>
      <c r="Q18" s="30" t="s">
        <v>72</v>
      </c>
      <c r="R18" s="30" t="s">
        <v>73</v>
      </c>
      <c r="S18" s="30" t="s">
        <v>74</v>
      </c>
      <c r="T18" s="30" t="s">
        <v>5102</v>
      </c>
    </row>
    <row r="19" spans="1:22" ht="12" customHeight="1">
      <c r="A19" s="32"/>
      <c r="B19" s="33" t="s">
        <v>30</v>
      </c>
      <c r="C19" s="33"/>
      <c r="D19" s="33"/>
      <c r="E19" s="33"/>
      <c r="F19" s="33"/>
      <c r="G19" s="33"/>
      <c r="H19" s="33"/>
      <c r="I19" s="33"/>
      <c r="J19" s="317">
        <f>J20+J22+J24</f>
        <v>6897247.3599970015</v>
      </c>
      <c r="K19" s="318">
        <f t="shared" ref="K19:N19" si="9">K20+K22+K24</f>
        <v>7270011.4767530011</v>
      </c>
      <c r="L19" s="318">
        <f t="shared" si="9"/>
        <v>7397477.8427069988</v>
      </c>
      <c r="M19" s="5047">
        <f t="shared" si="9"/>
        <v>6738826.7493550023</v>
      </c>
      <c r="N19" s="5048">
        <f t="shared" si="9"/>
        <v>2690105.9147916543</v>
      </c>
      <c r="O19" s="103">
        <f t="shared" ref="O19" si="10">O20+O22+O24</f>
        <v>9428932.6641466543</v>
      </c>
      <c r="P19" s="4878">
        <f t="shared" ref="P19" si="11">P20+P22+P24</f>
        <v>9587368.7388499714</v>
      </c>
      <c r="Q19" s="4878">
        <f t="shared" ref="Q19" si="12">Q20+Q22+Q24</f>
        <v>9389934.8589715157</v>
      </c>
      <c r="R19" s="4878">
        <f t="shared" ref="R19" si="13">R20+R22+R24</f>
        <v>8869629.2054762878</v>
      </c>
      <c r="S19" s="4878">
        <f t="shared" ref="S19" si="14">S20+S22+S24</f>
        <v>8837596.9227572642</v>
      </c>
      <c r="T19" s="4878">
        <f t="shared" ref="T19" si="15">T20+T22+T24</f>
        <v>9072224.2551314384</v>
      </c>
    </row>
    <row r="20" spans="1:22" ht="12" customHeight="1">
      <c r="C20" s="3" t="s">
        <v>1284</v>
      </c>
      <c r="J20" s="226">
        <f>J29</f>
        <v>6563947.1119010011</v>
      </c>
      <c r="K20" s="205">
        <f t="shared" ref="K20" si="16">K29</f>
        <v>6925791.1141410004</v>
      </c>
      <c r="L20" s="105">
        <f t="shared" ref="L20:S20" si="17">L29</f>
        <v>7035273.3240219988</v>
      </c>
      <c r="M20" s="5049">
        <f t="shared" si="17"/>
        <v>6470848.5913920011</v>
      </c>
      <c r="N20" s="5050">
        <f t="shared" si="17"/>
        <v>2598480.1090664505</v>
      </c>
      <c r="O20" s="105">
        <f t="shared" si="17"/>
        <v>9069328.7004584502</v>
      </c>
      <c r="P20" s="4879">
        <f t="shared" si="17"/>
        <v>9211523.8732381724</v>
      </c>
      <c r="Q20" s="4879">
        <f t="shared" si="17"/>
        <v>9008512.0826654267</v>
      </c>
      <c r="R20" s="4879">
        <f t="shared" si="17"/>
        <v>8479794.1670072209</v>
      </c>
      <c r="S20" s="4879">
        <f t="shared" si="17"/>
        <v>8438032.4536482412</v>
      </c>
      <c r="T20" s="4879">
        <f t="shared" ref="T20" si="18">T29</f>
        <v>8661306.7418212257</v>
      </c>
    </row>
    <row r="21" spans="1:22" s="400" customFormat="1" ht="12" customHeight="1">
      <c r="A21" s="45"/>
      <c r="B21" s="45"/>
      <c r="C21" s="45" t="s">
        <v>32</v>
      </c>
      <c r="D21" s="45"/>
      <c r="E21" s="45"/>
      <c r="F21" s="45"/>
      <c r="G21" s="45"/>
      <c r="H21" s="110" t="s">
        <v>360</v>
      </c>
      <c r="I21" s="45"/>
      <c r="J21" s="398">
        <f>J20/Revenue!J$9</f>
        <v>0.90861363219147384</v>
      </c>
      <c r="K21" s="399">
        <f>K20/Revenue!K$9</f>
        <v>0.90617833972930917</v>
      </c>
      <c r="L21" s="399">
        <f>L20/Revenue!L$9</f>
        <v>0.91693261835620832</v>
      </c>
      <c r="M21" s="5077">
        <f>M20/Revenue!M$9</f>
        <v>0.91897424671622141</v>
      </c>
      <c r="N21" s="5078">
        <f>N20/Revenue!N$9</f>
        <v>0.92847753612144246</v>
      </c>
      <c r="O21" s="1912">
        <f>O20/Revenue!O$9</f>
        <v>0.92167711956135001</v>
      </c>
      <c r="P21" s="4912">
        <f>P20/Revenue!P$9</f>
        <v>0.92068048747970999</v>
      </c>
      <c r="Q21" s="4912">
        <f>Q20/Revenue!Q$9</f>
        <v>0.91787455193883449</v>
      </c>
      <c r="R21" s="4912">
        <f>R20/Revenue!R$9</f>
        <v>0.9106969227091215</v>
      </c>
      <c r="S21" s="4912">
        <f>S20/Revenue!S$9</f>
        <v>0.90884524358150032</v>
      </c>
      <c r="T21" s="4912">
        <f>T20/Revenue!T$9</f>
        <v>0.91349208446180696</v>
      </c>
      <c r="U21" s="289"/>
      <c r="V21" s="2511">
        <f>+T21-O21</f>
        <v>-8.1850350995430476E-3</v>
      </c>
    </row>
    <row r="22" spans="1:22" ht="12" customHeight="1">
      <c r="C22" s="3" t="s">
        <v>1289</v>
      </c>
      <c r="J22" s="226">
        <f>J122</f>
        <v>70304.260147000008</v>
      </c>
      <c r="K22" s="205">
        <f t="shared" ref="K22:S22" si="19">K122</f>
        <v>73675.631281000009</v>
      </c>
      <c r="L22" s="105">
        <f t="shared" si="19"/>
        <v>72170.119340999998</v>
      </c>
      <c r="M22" s="5049">
        <f t="shared" si="19"/>
        <v>54969.859642999996</v>
      </c>
      <c r="N22" s="5050">
        <f t="shared" si="19"/>
        <v>18296.261051283673</v>
      </c>
      <c r="O22" s="105">
        <f t="shared" si="19"/>
        <v>73266.120694283672</v>
      </c>
      <c r="P22" s="4879">
        <f t="shared" si="19"/>
        <v>76097.005643725817</v>
      </c>
      <c r="Q22" s="4879">
        <f t="shared" si="19"/>
        <v>77427.548502405567</v>
      </c>
      <c r="R22" s="4879">
        <f t="shared" si="19"/>
        <v>80141.146410133078</v>
      </c>
      <c r="S22" s="4879">
        <f t="shared" si="19"/>
        <v>83005.494362921105</v>
      </c>
      <c r="T22" s="4879">
        <f t="shared" ref="T22" si="20">T122</f>
        <v>86438.733900596621</v>
      </c>
    </row>
    <row r="23" spans="1:22" s="400" customFormat="1" ht="12" customHeight="1">
      <c r="A23" s="45"/>
      <c r="B23" s="45"/>
      <c r="C23" s="45" t="s">
        <v>32</v>
      </c>
      <c r="D23" s="45"/>
      <c r="E23" s="45"/>
      <c r="F23" s="45"/>
      <c r="G23" s="45"/>
      <c r="H23" s="110" t="s">
        <v>360</v>
      </c>
      <c r="I23" s="45"/>
      <c r="J23" s="398">
        <f>J22/Revenue!J$9</f>
        <v>9.7318592124060674E-3</v>
      </c>
      <c r="K23" s="399">
        <f>K22/Revenue!K$9</f>
        <v>9.6398028950669453E-3</v>
      </c>
      <c r="L23" s="399">
        <f>L22/Revenue!L$9</f>
        <v>9.406192687420916E-3</v>
      </c>
      <c r="M23" s="5077">
        <f>M22/Revenue!M$9</f>
        <v>7.8066863478651457E-3</v>
      </c>
      <c r="N23" s="5078">
        <f>N22/Revenue!N$9</f>
        <v>6.5375398956714331E-3</v>
      </c>
      <c r="O23" s="399">
        <f>O22/Revenue!O$9</f>
        <v>7.4457227555913916E-3</v>
      </c>
      <c r="P23" s="4912">
        <f>P22/Revenue!P$9</f>
        <v>7.6058021686679755E-3</v>
      </c>
      <c r="Q23" s="4912">
        <f>Q22/Revenue!Q$9</f>
        <v>7.8890693310076729E-3</v>
      </c>
      <c r="R23" s="4912">
        <f>R22/Revenue!R$9</f>
        <v>8.6068475225558154E-3</v>
      </c>
      <c r="S23" s="4912">
        <f>S22/Revenue!S$9</f>
        <v>8.9403719596095228E-3</v>
      </c>
      <c r="T23" s="4912">
        <f>T22/Revenue!T$9</f>
        <v>9.1165342093047965E-3</v>
      </c>
      <c r="U23" s="289"/>
      <c r="V23" s="2511">
        <f>+T23-O23</f>
        <v>1.6708114537134049E-3</v>
      </c>
    </row>
    <row r="24" spans="1:22" ht="12" customHeight="1">
      <c r="C24" s="3" t="s">
        <v>1286</v>
      </c>
      <c r="J24" s="226">
        <f>J134</f>
        <v>262995.98794900079</v>
      </c>
      <c r="K24" s="205">
        <f t="shared" ref="K24:M24" si="21">K134</f>
        <v>270544.73133100086</v>
      </c>
      <c r="L24" s="105">
        <f t="shared" si="21"/>
        <v>290034.39934399963</v>
      </c>
      <c r="M24" s="5049">
        <f t="shared" si="21"/>
        <v>213008.29832000087</v>
      </c>
      <c r="N24" s="5050">
        <f>N134</f>
        <v>73329.54467392026</v>
      </c>
      <c r="O24" s="105">
        <f t="shared" ref="O24:S24" si="22">O134</f>
        <v>286337.84299392113</v>
      </c>
      <c r="P24" s="4879">
        <f t="shared" si="22"/>
        <v>299747.85996807332</v>
      </c>
      <c r="Q24" s="4879">
        <f t="shared" si="22"/>
        <v>303995.22780368233</v>
      </c>
      <c r="R24" s="4879">
        <f t="shared" si="22"/>
        <v>309693.89205893246</v>
      </c>
      <c r="S24" s="4879">
        <f t="shared" si="22"/>
        <v>316558.97474610235</v>
      </c>
      <c r="T24" s="4879">
        <f t="shared" ref="T24" si="23">T134</f>
        <v>324478.77940961602</v>
      </c>
    </row>
    <row r="25" spans="1:22" s="400" customFormat="1" ht="12" customHeight="1">
      <c r="A25" s="45"/>
      <c r="B25" s="361"/>
      <c r="C25" s="361" t="s">
        <v>32</v>
      </c>
      <c r="D25" s="361"/>
      <c r="E25" s="361"/>
      <c r="F25" s="361"/>
      <c r="G25" s="361"/>
      <c r="H25" s="1950" t="s">
        <v>2702</v>
      </c>
      <c r="I25" s="361"/>
      <c r="J25" s="228">
        <f>J24/Revenue!J$9</f>
        <v>3.6405189711060972E-2</v>
      </c>
      <c r="K25" s="229">
        <f>K24/Revenue!K$9</f>
        <v>3.5398378527395941E-2</v>
      </c>
      <c r="L25" s="229">
        <f>L24/Revenue!L$9</f>
        <v>3.7801232298367508E-2</v>
      </c>
      <c r="M25" s="5079">
        <f>M24/Revenue!M$9</f>
        <v>3.0250922692477596E-2</v>
      </c>
      <c r="N25" s="5080">
        <f>N24/Revenue!N$9</f>
        <v>2.6201791857552219E-2</v>
      </c>
      <c r="O25" s="229">
        <f>O24/Revenue!O$9</f>
        <v>2.9099291366372765E-2</v>
      </c>
      <c r="P25" s="4913">
        <f>P24/Revenue!P$9</f>
        <v>2.9959430126232933E-2</v>
      </c>
      <c r="Q25" s="4913">
        <f>Q24/Revenue!Q$9</f>
        <v>3.0973981158194767E-2</v>
      </c>
      <c r="R25" s="4913">
        <f>R24/Revenue!R$9</f>
        <v>3.3259919866595093E-2</v>
      </c>
      <c r="S25" s="4913">
        <f>S24/Revenue!S$9</f>
        <v>3.4095995730218008E-2</v>
      </c>
      <c r="T25" s="4913">
        <f>T24/Revenue!T$9</f>
        <v>3.4222179793644704E-2</v>
      </c>
      <c r="U25" s="289"/>
      <c r="V25" s="2511">
        <f>+T25-O25</f>
        <v>5.1228884272719391E-3</v>
      </c>
    </row>
    <row r="26" spans="1:22" ht="12" customHeight="1">
      <c r="B26" s="1930"/>
      <c r="C26" s="32"/>
      <c r="D26" s="32"/>
      <c r="E26" s="32"/>
      <c r="F26" s="32"/>
      <c r="G26" s="32"/>
      <c r="H26" s="32"/>
      <c r="I26" s="32"/>
      <c r="J26" s="112"/>
      <c r="K26" s="112"/>
      <c r="L26" s="112"/>
      <c r="M26" s="112"/>
      <c r="N26" s="32"/>
      <c r="O26" s="32"/>
      <c r="P26" s="32"/>
      <c r="Q26" s="32"/>
      <c r="R26" s="32"/>
      <c r="S26" s="32"/>
      <c r="T26" s="32"/>
      <c r="U26" s="4454"/>
      <c r="V26" s="2351"/>
    </row>
    <row r="27" spans="1:22" ht="12" customHeight="1">
      <c r="B27" s="24"/>
      <c r="C27" s="24"/>
      <c r="D27" s="24"/>
      <c r="E27" s="24"/>
      <c r="F27" s="24"/>
      <c r="G27" s="24"/>
      <c r="H27" s="24"/>
      <c r="I27" s="24"/>
      <c r="J27" s="25" t="s">
        <v>23</v>
      </c>
      <c r="K27" s="26"/>
      <c r="L27" s="26"/>
      <c r="M27" s="27"/>
      <c r="N27" s="26" t="s">
        <v>24</v>
      </c>
      <c r="O27" s="26"/>
      <c r="P27" s="26"/>
      <c r="Q27" s="26"/>
      <c r="R27" s="26"/>
      <c r="S27" s="26"/>
      <c r="T27" s="26"/>
    </row>
    <row r="28" spans="1:22" ht="12" customHeight="1">
      <c r="B28" s="28"/>
      <c r="C28" s="28"/>
      <c r="D28" s="28"/>
      <c r="E28" s="28"/>
      <c r="F28" s="28"/>
      <c r="G28" s="28"/>
      <c r="H28" s="1949" t="s">
        <v>3537</v>
      </c>
      <c r="I28" s="28"/>
      <c r="J28" s="29" t="s">
        <v>69</v>
      </c>
      <c r="K28" s="30" t="s">
        <v>27</v>
      </c>
      <c r="L28" s="108" t="s">
        <v>60</v>
      </c>
      <c r="M28" s="5073" t="s">
        <v>5104</v>
      </c>
      <c r="N28" s="5074" t="s">
        <v>5174</v>
      </c>
      <c r="O28" s="30" t="s">
        <v>70</v>
      </c>
      <c r="P28" s="30" t="s">
        <v>71</v>
      </c>
      <c r="Q28" s="30" t="s">
        <v>72</v>
      </c>
      <c r="R28" s="30" t="s">
        <v>73</v>
      </c>
      <c r="S28" s="30" t="s">
        <v>74</v>
      </c>
      <c r="T28" s="30" t="s">
        <v>5102</v>
      </c>
    </row>
    <row r="29" spans="1:22" ht="12" customHeight="1">
      <c r="B29" s="33" t="s">
        <v>1284</v>
      </c>
      <c r="C29" s="33"/>
      <c r="D29" s="33"/>
      <c r="E29" s="33"/>
      <c r="F29" s="33"/>
      <c r="G29" s="33"/>
      <c r="H29" s="33"/>
      <c r="I29" s="33"/>
      <c r="J29" s="227">
        <f>J30+J111</f>
        <v>6563947.1119010011</v>
      </c>
      <c r="K29" s="103">
        <f t="shared" ref="K29:T29" si="24">K30+K111</f>
        <v>6925791.1141410004</v>
      </c>
      <c r="L29" s="103">
        <f t="shared" si="24"/>
        <v>7035273.3240219988</v>
      </c>
      <c r="M29" s="5047">
        <f t="shared" si="24"/>
        <v>6470848.5913920011</v>
      </c>
      <c r="N29" s="5048">
        <f t="shared" si="24"/>
        <v>2598480.1090664505</v>
      </c>
      <c r="O29" s="103">
        <f t="shared" si="24"/>
        <v>9069328.7004584502</v>
      </c>
      <c r="P29" s="4878">
        <f t="shared" si="24"/>
        <v>9211523.8732381724</v>
      </c>
      <c r="Q29" s="4878">
        <f t="shared" si="24"/>
        <v>9008512.0826654267</v>
      </c>
      <c r="R29" s="4878">
        <f t="shared" si="24"/>
        <v>8479794.1670072209</v>
      </c>
      <c r="S29" s="4878">
        <f t="shared" si="24"/>
        <v>8438032.4536482412</v>
      </c>
      <c r="T29" s="4878">
        <f t="shared" si="24"/>
        <v>8661306.7418212257</v>
      </c>
    </row>
    <row r="30" spans="1:22" ht="12" customHeight="1">
      <c r="C30" s="4884" t="s">
        <v>1284</v>
      </c>
      <c r="D30" s="4150"/>
      <c r="E30" s="4150"/>
      <c r="F30" s="4150"/>
      <c r="G30" s="4150"/>
      <c r="H30" s="4150"/>
      <c r="I30" s="4150"/>
      <c r="J30" s="4915">
        <f t="shared" ref="J30:T30" si="25">J31+J42+J53+J64+J75+J86+J97+J99+J101+J103+J105+J107+J109</f>
        <v>6533403.4224190013</v>
      </c>
      <c r="K30" s="4887">
        <f t="shared" si="25"/>
        <v>6894940.3231700007</v>
      </c>
      <c r="L30" s="4887">
        <f t="shared" si="25"/>
        <v>7005606.5430359989</v>
      </c>
      <c r="M30" s="5081">
        <f t="shared" si="25"/>
        <v>6452410.5638550008</v>
      </c>
      <c r="N30" s="5082">
        <f t="shared" si="25"/>
        <v>2590802.8790761754</v>
      </c>
      <c r="O30" s="4887">
        <f t="shared" si="25"/>
        <v>9043213.4429311752</v>
      </c>
      <c r="P30" s="4916">
        <f t="shared" si="25"/>
        <v>9181697.4499035291</v>
      </c>
      <c r="Q30" s="4916">
        <f t="shared" si="25"/>
        <v>8978123.97684847</v>
      </c>
      <c r="R30" s="4916">
        <f t="shared" si="25"/>
        <v>8449459.0838409886</v>
      </c>
      <c r="S30" s="4916">
        <f t="shared" si="25"/>
        <v>8407503.6655774228</v>
      </c>
      <c r="T30" s="4917">
        <f t="shared" si="25"/>
        <v>8630975.9628568217</v>
      </c>
    </row>
    <row r="31" spans="1:22" ht="12" customHeight="1">
      <c r="C31" s="4892"/>
      <c r="D31" s="3" t="s">
        <v>258</v>
      </c>
      <c r="J31" s="220">
        <f>SUMIFS('과거손익(Summary)'!$H$3:$H$54,'과거손익(Summary)'!$E$3:$E$54,J$28,'과거손익(Summary)'!$B$3:$B$54,$D31)</f>
        <v>4276425.0872250004</v>
      </c>
      <c r="K31" s="221">
        <f>SUMIFS('과거손익(Summary)'!$H$3:$H$54,'과거손익(Summary)'!$E$3:$E$54,K$28,'과거손익(Summary)'!$B$3:$B$54,$D31)</f>
        <v>4116108.5259799999</v>
      </c>
      <c r="L31" s="221">
        <f>SUMIFS('과거손익(Summary)'!$H$3:$H$54,'과거손익(Summary)'!$E$3:$E$54,L$28,'과거손익(Summary)'!$B$3:$B$54,$D31)</f>
        <v>4341259.6480239993</v>
      </c>
      <c r="M31" s="5063">
        <f>SUMIFS('과거손익(Summary)'!$H$3:$H$54,'과거손익(Summary)'!$E$3:$E$54,M$28,'과거손익(Summary)'!$B$3:$B$54,$D31)</f>
        <v>4375961.4242279995</v>
      </c>
      <c r="N31" s="5050">
        <f>N33*N37</f>
        <v>1849876.1171479959</v>
      </c>
      <c r="O31" s="105">
        <f>SUM(M31:N31)</f>
        <v>6225837.5413759956</v>
      </c>
      <c r="P31" s="4879">
        <f t="shared" ref="P31:S31" si="26">P33*P37</f>
        <v>6368082.2070431104</v>
      </c>
      <c r="Q31" s="4879">
        <f t="shared" si="26"/>
        <v>6225339.5557324002</v>
      </c>
      <c r="R31" s="4879">
        <f t="shared" si="26"/>
        <v>5865912.8855305668</v>
      </c>
      <c r="S31" s="4879">
        <f t="shared" si="26"/>
        <v>5804836.3110383749</v>
      </c>
      <c r="T31" s="4903">
        <f t="shared" ref="T31" si="27">T33*T37</f>
        <v>6063405.5422170982</v>
      </c>
    </row>
    <row r="32" spans="1:22" s="4939" customFormat="1" ht="12" customHeight="1">
      <c r="A32" s="4772"/>
      <c r="B32" s="4772"/>
      <c r="C32" s="4934"/>
      <c r="D32" s="4772" t="s">
        <v>32</v>
      </c>
      <c r="E32" s="4772"/>
      <c r="F32" s="4772"/>
      <c r="G32" s="4772"/>
      <c r="H32" s="215" t="s">
        <v>360</v>
      </c>
      <c r="I32" s="4772"/>
      <c r="J32" s="4935">
        <f>J31/Revenue!J21</f>
        <v>0.90888610477180121</v>
      </c>
      <c r="K32" s="4936">
        <f>K31/Revenue!K21</f>
        <v>0.90948975086094841</v>
      </c>
      <c r="L32" s="4936">
        <f>L31/Revenue!L21</f>
        <v>0.91981096784518002</v>
      </c>
      <c r="M32" s="5083">
        <f>M31/Revenue!M21</f>
        <v>0.93721671127472195</v>
      </c>
      <c r="N32" s="5084">
        <f>N31/Revenue!N21</f>
        <v>0.94405114873270346</v>
      </c>
      <c r="O32" s="4936">
        <f>O31/Revenue!O21</f>
        <v>0.93923706462776568</v>
      </c>
      <c r="P32" s="4937">
        <f>P31/Revenue!P21</f>
        <v>0.93511025425530636</v>
      </c>
      <c r="Q32" s="4937">
        <f>Q31/Revenue!Q21</f>
        <v>0.93071709175463102</v>
      </c>
      <c r="R32" s="4937">
        <f>R31/Revenue!R21</f>
        <v>0.92181563858077831</v>
      </c>
      <c r="S32" s="4937">
        <f>S31/Revenue!S21</f>
        <v>0.91848057986215081</v>
      </c>
      <c r="T32" s="4938">
        <f>T31/Revenue!T21</f>
        <v>0.92482546916113906</v>
      </c>
      <c r="U32" s="3014"/>
      <c r="V32" s="2511">
        <f>+T32-O32</f>
        <v>-1.4411595466626625E-2</v>
      </c>
    </row>
    <row r="33" spans="1:26" ht="12" customHeight="1">
      <c r="C33" s="4892"/>
      <c r="E33" s="3" t="s">
        <v>1302</v>
      </c>
      <c r="H33" s="110" t="s">
        <v>3471</v>
      </c>
      <c r="J33" s="356">
        <f>J31/J37</f>
        <v>6.6153692003685869</v>
      </c>
      <c r="K33" s="357">
        <f t="shared" ref="K33:M33" si="28">K31/K37</f>
        <v>6.4776274624730661</v>
      </c>
      <c r="L33" s="364">
        <f t="shared" si="28"/>
        <v>6.8340330130546993</v>
      </c>
      <c r="M33" s="5085">
        <f t="shared" si="28"/>
        <v>9.714878269201634</v>
      </c>
      <c r="N33" s="5086">
        <f>(N34-N35)*N36/10^6</f>
        <v>11.106249566580411</v>
      </c>
      <c r="O33" s="357">
        <f>O31/O37</f>
        <v>10.090484235013289</v>
      </c>
      <c r="P33" s="4921">
        <f t="shared" ref="P33:S33" si="29">(P34-P35)*P36/10^6</f>
        <v>9.9913881504864666</v>
      </c>
      <c r="Q33" s="4921">
        <f t="shared" si="29"/>
        <v>9.5451040558289328</v>
      </c>
      <c r="R33" s="4921">
        <f t="shared" si="29"/>
        <v>8.9532488733046058</v>
      </c>
      <c r="S33" s="4921">
        <f t="shared" si="29"/>
        <v>8.8046849394831295</v>
      </c>
      <c r="T33" s="4922">
        <f t="shared" ref="T33" si="30">(T34-T35)*T36/10^6</f>
        <v>9.250493418709139</v>
      </c>
    </row>
    <row r="34" spans="1:26" ht="12" customHeight="1">
      <c r="C34" s="4892"/>
      <c r="F34" s="3" t="s">
        <v>3542</v>
      </c>
      <c r="H34" s="110" t="s">
        <v>3462</v>
      </c>
      <c r="J34" s="319">
        <f>J33*10^6/J36+J35</f>
        <v>6497.2027465298679</v>
      </c>
      <c r="K34" s="320">
        <f t="shared" ref="K34" si="31">K33*10^6/K36+K35</f>
        <v>5991.6013285642057</v>
      </c>
      <c r="L34" s="320">
        <f t="shared" ref="L34" si="32">L33*10^6/L36+L35</f>
        <v>6224.6189413805914</v>
      </c>
      <c r="M34" s="5069">
        <f t="shared" ref="M34" si="33">M33*10^6/M36+M35</f>
        <v>8960.7879924530571</v>
      </c>
      <c r="N34" s="5060">
        <f>Assumption!N21</f>
        <v>9784</v>
      </c>
      <c r="O34" s="368"/>
      <c r="P34" s="4882">
        <f>Assumption!P21</f>
        <v>9173</v>
      </c>
      <c r="Q34" s="4882">
        <f>Assumption!Q21</f>
        <v>8835</v>
      </c>
      <c r="R34" s="4882">
        <f>Assumption!R21</f>
        <v>8394</v>
      </c>
      <c r="S34" s="4882">
        <f>Assumption!S21</f>
        <v>8465</v>
      </c>
      <c r="T34" s="4895">
        <f>Assumption!T21</f>
        <v>8834</v>
      </c>
    </row>
    <row r="35" spans="1:26" ht="12" customHeight="1">
      <c r="C35" s="4892"/>
      <c r="F35" s="3" t="s">
        <v>3011</v>
      </c>
      <c r="H35" s="110" t="s">
        <v>3462</v>
      </c>
      <c r="J35" s="220">
        <f>Assumption!J153</f>
        <v>489.77409205557143</v>
      </c>
      <c r="K35" s="221">
        <f>Assumption!K153</f>
        <v>439.7734880380566</v>
      </c>
      <c r="L35" s="221">
        <f>Assumption!L153</f>
        <v>408.48226674186498</v>
      </c>
      <c r="M35" s="5063">
        <f>Assumption!M153</f>
        <v>391.82277667618479</v>
      </c>
      <c r="N35" s="5060">
        <f>Assumption!N153*(1+DCF!$G$53)</f>
        <v>391.82277667618479</v>
      </c>
      <c r="O35" s="368"/>
      <c r="P35" s="4882">
        <f>Assumption!P153*(1+DCF!$G$53)</f>
        <v>428.04168880591618</v>
      </c>
      <c r="Q35" s="4882">
        <f>Assumption!Q153*(1+DCF!$G$53)</f>
        <v>454.38271580935714</v>
      </c>
      <c r="R35" s="4882">
        <f>Assumption!R153*(1+DCF!$G$53)</f>
        <v>507.06476981623911</v>
      </c>
      <c r="S35" s="4882">
        <f>Assumption!S153*(1+DCF!$G$53)</f>
        <v>539.99105357054032</v>
      </c>
      <c r="T35" s="4895">
        <f>Assumption!T153*(1+DCF!$G$53)</f>
        <v>507.72329549132513</v>
      </c>
      <c r="V35" s="4776">
        <f>+P35*70%</f>
        <v>299.6291821641413</v>
      </c>
      <c r="W35" s="4777">
        <f>+Q35*70%</f>
        <v>318.06790106654995</v>
      </c>
      <c r="X35" s="4777">
        <f>+R35*70%</f>
        <v>354.94533887136737</v>
      </c>
      <c r="Y35" s="4777">
        <f>+S35*70%</f>
        <v>377.9937374993782</v>
      </c>
      <c r="Z35" s="4778">
        <f>+T35*70%</f>
        <v>355.40630684392755</v>
      </c>
    </row>
    <row r="36" spans="1:26" ht="12" customHeight="1">
      <c r="C36" s="4892"/>
      <c r="F36" s="3" t="s">
        <v>326</v>
      </c>
      <c r="H36" s="110" t="s">
        <v>408</v>
      </c>
      <c r="J36" s="220">
        <f>Revenue!J26</f>
        <v>1101.198129992189</v>
      </c>
      <c r="K36" s="221">
        <f>Revenue!K26</f>
        <v>1166.7558232243705</v>
      </c>
      <c r="L36" s="221">
        <f>Revenue!L26</f>
        <v>1175.0124516252363</v>
      </c>
      <c r="M36" s="5063">
        <f>Revenue!M26</f>
        <v>1133.7282886053672</v>
      </c>
      <c r="N36" s="5060">
        <f>Assumption!N$78</f>
        <v>1182.5</v>
      </c>
      <c r="O36" s="368"/>
      <c r="P36" s="4882">
        <f>Assumption!P$78</f>
        <v>1142.53125</v>
      </c>
      <c r="Q36" s="4882">
        <f>Assumption!Q$78</f>
        <v>1138.95</v>
      </c>
      <c r="R36" s="4882">
        <f>Assumption!R$78</f>
        <v>1135.2</v>
      </c>
      <c r="S36" s="4882">
        <f>Assumption!S$78</f>
        <v>1111</v>
      </c>
      <c r="T36" s="4895">
        <f>Assumption!T$78</f>
        <v>1111</v>
      </c>
      <c r="V36" s="4779">
        <f>+AVERAGE(V35:Z35)</f>
        <v>341.20849328907286</v>
      </c>
      <c r="W36" s="1055"/>
      <c r="X36" s="1055"/>
      <c r="Y36" s="1055"/>
      <c r="Z36" s="1055"/>
    </row>
    <row r="37" spans="1:26" ht="12" customHeight="1">
      <c r="C37" s="4892"/>
      <c r="E37" s="3" t="s">
        <v>1304</v>
      </c>
      <c r="H37" s="110" t="s">
        <v>3486</v>
      </c>
      <c r="J37" s="319">
        <f>J40*J41</f>
        <v>646437.85670899996</v>
      </c>
      <c r="K37" s="320">
        <f t="shared" ref="K37:S37" si="34">K40*K41</f>
        <v>635434.58617000002</v>
      </c>
      <c r="L37" s="2350">
        <f t="shared" ref="L37:M37" si="35">IFERROR(L40*L41,"n.p")</f>
        <v>635241.24623499997</v>
      </c>
      <c r="M37" s="5087">
        <f t="shared" si="35"/>
        <v>450439.14117800002</v>
      </c>
      <c r="N37" s="5088">
        <f t="shared" si="34"/>
        <v>166561.72779643096</v>
      </c>
      <c r="O37" s="320">
        <f>SUM(M37:N37)</f>
        <v>617000.86897443095</v>
      </c>
      <c r="P37" s="4923">
        <f t="shared" si="34"/>
        <v>637357.10305009596</v>
      </c>
      <c r="Q37" s="4923">
        <f t="shared" si="34"/>
        <v>652202.37718946149</v>
      </c>
      <c r="R37" s="4923">
        <f t="shared" si="34"/>
        <v>655171.43201733462</v>
      </c>
      <c r="S37" s="4923">
        <f t="shared" si="34"/>
        <v>659289.49768634676</v>
      </c>
      <c r="T37" s="4924">
        <f t="shared" ref="T37" si="36">T40*T41</f>
        <v>655468.33750012191</v>
      </c>
      <c r="V37" s="4780">
        <f>+V36/N35</f>
        <v>0.87082352941176455</v>
      </c>
      <c r="W37" s="1055"/>
      <c r="X37" s="1055"/>
      <c r="Y37" s="1055"/>
      <c r="Z37" s="1055"/>
    </row>
    <row r="38" spans="1:26" ht="12" customHeight="1">
      <c r="C38" s="4892"/>
      <c r="F38" s="3" t="s">
        <v>1353</v>
      </c>
      <c r="H38" s="110" t="s">
        <v>3486</v>
      </c>
      <c r="J38" s="220">
        <f>Revenue!J27</f>
        <v>651602.01399999962</v>
      </c>
      <c r="K38" s="221">
        <f>Revenue!K27</f>
        <v>640466.69499999925</v>
      </c>
      <c r="L38" s="221">
        <f>Revenue!L27</f>
        <v>642520.47100000002</v>
      </c>
      <c r="M38" s="5063">
        <f>Revenue!M27</f>
        <v>454818.78399999999</v>
      </c>
      <c r="N38" s="5060">
        <f>Revenue!N27</f>
        <v>168181.21600000001</v>
      </c>
      <c r="O38" s="320">
        <f>SUM(M38:N38)</f>
        <v>623000</v>
      </c>
      <c r="P38" s="4882">
        <f>Revenue!P27</f>
        <v>644000</v>
      </c>
      <c r="Q38" s="4882">
        <f>Revenue!Q27</f>
        <v>659000</v>
      </c>
      <c r="R38" s="4882">
        <f>Revenue!R27</f>
        <v>662000</v>
      </c>
      <c r="S38" s="4882">
        <f>Revenue!S27</f>
        <v>666160.98648332688</v>
      </c>
      <c r="T38" s="4895">
        <f>Revenue!T27</f>
        <v>662300</v>
      </c>
      <c r="V38" s="4781">
        <f>1-V37</f>
        <v>0.12917647058823545</v>
      </c>
      <c r="W38" s="1055"/>
      <c r="X38" s="1055"/>
      <c r="Y38" s="1055"/>
      <c r="Z38" s="1055"/>
    </row>
    <row r="39" spans="1:26" ht="12" customHeight="1">
      <c r="C39" s="4892"/>
      <c r="F39" s="3" t="s">
        <v>1355</v>
      </c>
      <c r="H39" s="110" t="s">
        <v>360</v>
      </c>
      <c r="J39" s="286">
        <f>Assumption!J208</f>
        <v>0.97925722877706234</v>
      </c>
      <c r="K39" s="246">
        <f>Assumption!K208</f>
        <v>0.97929762298174883</v>
      </c>
      <c r="L39" s="246">
        <f>Assumption!L208</f>
        <v>0.9812149048983968</v>
      </c>
      <c r="M39" s="5067">
        <f>Assumption!M208</f>
        <v>0.98120640448046559</v>
      </c>
      <c r="N39" s="5068">
        <f>Assumption!N208+DCF!$G$55</f>
        <v>0.98120640448046559</v>
      </c>
      <c r="O39" s="373">
        <f>O38/O40</f>
        <v>0.98120640448046559</v>
      </c>
      <c r="P39" s="4905">
        <f>Assumption!P208+DCF!$G$55</f>
        <v>0.9818861643004263</v>
      </c>
      <c r="Q39" s="4905">
        <f>Assumption!Q208+DCF!$G$55</f>
        <v>0.9818861643004263</v>
      </c>
      <c r="R39" s="4905">
        <f>Assumption!R208+DCF!$G$55</f>
        <v>0.9818861643004263</v>
      </c>
      <c r="S39" s="4905">
        <f>Assumption!S208+DCF!$G$55</f>
        <v>0.9818861643004263</v>
      </c>
      <c r="T39" s="4906">
        <f>Assumption!T208+DCF!$G$55</f>
        <v>0.9818861643004263</v>
      </c>
      <c r="V39" s="2511">
        <f>+T39-O39</f>
        <v>6.7975981996071244E-4</v>
      </c>
    </row>
    <row r="40" spans="1:26" ht="12" customHeight="1">
      <c r="C40" s="4892"/>
      <c r="F40" s="3" t="s">
        <v>1357</v>
      </c>
      <c r="H40" s="110" t="s">
        <v>3486</v>
      </c>
      <c r="J40" s="319">
        <f>J38/J39</f>
        <v>665404.34407999995</v>
      </c>
      <c r="K40" s="320">
        <f t="shared" ref="K40:S40" si="37">K38/K39</f>
        <v>654006.17745800002</v>
      </c>
      <c r="L40" s="320">
        <f t="shared" ref="L40:M40" si="38">IFERROR(L38/L39,"n.p")</f>
        <v>654821.35237899993</v>
      </c>
      <c r="M40" s="5087">
        <f t="shared" si="38"/>
        <v>463530.18276600004</v>
      </c>
      <c r="N40" s="5088">
        <f t="shared" si="37"/>
        <v>171402.48497363765</v>
      </c>
      <c r="O40" s="320">
        <f>SUM(M40:N40)</f>
        <v>634932.66773963766</v>
      </c>
      <c r="P40" s="4923">
        <f t="shared" si="37"/>
        <v>655880.51182983804</v>
      </c>
      <c r="Q40" s="4923">
        <f t="shared" si="37"/>
        <v>671157.23182587454</v>
      </c>
      <c r="R40" s="4923">
        <f t="shared" si="37"/>
        <v>674212.57582508191</v>
      </c>
      <c r="S40" s="4923">
        <f t="shared" si="37"/>
        <v>678450.32418595371</v>
      </c>
      <c r="T40" s="4924">
        <f t="shared" ref="T40" si="39">T38/T39</f>
        <v>674518.11022500263</v>
      </c>
    </row>
    <row r="41" spans="1:26" ht="12" customHeight="1">
      <c r="C41" s="4892"/>
      <c r="F41" s="3" t="s">
        <v>1316</v>
      </c>
      <c r="H41" s="110" t="s">
        <v>360</v>
      </c>
      <c r="J41" s="286">
        <f>Assumption!J245</f>
        <v>0.97149629764256584</v>
      </c>
      <c r="K41" s="246">
        <f>Assumption!K245</f>
        <v>0.97160333965011725</v>
      </c>
      <c r="L41" s="246">
        <f>Assumption!L245</f>
        <v>0.97009855272302226</v>
      </c>
      <c r="M41" s="5067">
        <f>Assumption!M245</f>
        <v>0.9717579521793327</v>
      </c>
      <c r="N41" s="5068">
        <f>Assumption!N245</f>
        <v>0.9717579521793327</v>
      </c>
      <c r="O41" s="373">
        <f>O37/O40</f>
        <v>0.9717579521793327</v>
      </c>
      <c r="P41" s="4905">
        <f>Assumption!P245</f>
        <v>0.9717579521793327</v>
      </c>
      <c r="Q41" s="4905">
        <f>Assumption!Q245</f>
        <v>0.9717579521793327</v>
      </c>
      <c r="R41" s="4905">
        <f>Assumption!R245</f>
        <v>0.9717579521793327</v>
      </c>
      <c r="S41" s="4905">
        <f>Assumption!S245</f>
        <v>0.9717579521793327</v>
      </c>
      <c r="T41" s="4906">
        <f>Assumption!T245</f>
        <v>0.9717579521793327</v>
      </c>
      <c r="V41" s="2511">
        <f>+T41-O41</f>
        <v>0</v>
      </c>
    </row>
    <row r="42" spans="1:26" ht="12" customHeight="1">
      <c r="C42" s="4892"/>
      <c r="D42" s="3" t="s">
        <v>262</v>
      </c>
      <c r="J42" s="220">
        <f>SUMIFS('과거손익(Summary)'!$H$3:$H$54,'과거손익(Summary)'!$E$3:$E$54,J$28,'과거손익(Summary)'!$B$3:$B$54,$D42)</f>
        <v>1703010.6514669999</v>
      </c>
      <c r="K42" s="221">
        <f>SUMIFS('과거손익(Summary)'!$H$3:$H$54,'과거손익(Summary)'!$E$3:$E$54,K$28,'과거손익(Summary)'!$B$3:$B$54,$D42)</f>
        <v>2217324.5540080001</v>
      </c>
      <c r="L42" s="221">
        <f>SUMIFS('과거손익(Summary)'!$H$3:$H$54,'과거손익(Summary)'!$E$3:$E$54,L$28,'과거손익(Summary)'!$B$3:$B$54,$D42)</f>
        <v>2075208.5074799999</v>
      </c>
      <c r="M42" s="5063">
        <f>SUMIFS('과거손익(Summary)'!$H$3:$H$54,'과거손익(Summary)'!$E$3:$E$54,M$28,'과거손익(Summary)'!$B$3:$B$54,$D42)</f>
        <v>1549221.7531890001</v>
      </c>
      <c r="N42" s="5050">
        <f>N44*N48</f>
        <v>551026.93575012754</v>
      </c>
      <c r="O42" s="105">
        <f>SUM(M42:N42)</f>
        <v>2100248.6889391276</v>
      </c>
      <c r="P42" s="4879">
        <f t="shared" ref="P42" si="40">P44*P48</f>
        <v>2064930.9134404548</v>
      </c>
      <c r="Q42" s="4879">
        <f t="shared" ref="Q42" si="41">Q44*Q48</f>
        <v>2011243.5994270556</v>
      </c>
      <c r="R42" s="4879">
        <f t="shared" ref="R42" si="42">R44*R48</f>
        <v>1876129.6833937748</v>
      </c>
      <c r="S42" s="4879">
        <f t="shared" ref="S42:T42" si="43">S44*S48</f>
        <v>1927984.2949917291</v>
      </c>
      <c r="T42" s="4903">
        <f t="shared" si="43"/>
        <v>1904166.726023982</v>
      </c>
    </row>
    <row r="43" spans="1:26" s="2040" customFormat="1" ht="12" customHeight="1">
      <c r="A43" s="2038"/>
      <c r="B43" s="2038"/>
      <c r="C43" s="4918"/>
      <c r="D43" s="2038" t="s">
        <v>32</v>
      </c>
      <c r="E43" s="2038"/>
      <c r="F43" s="2038"/>
      <c r="G43" s="2038"/>
      <c r="H43" s="110" t="s">
        <v>360</v>
      </c>
      <c r="I43" s="2038"/>
      <c r="J43" s="2039">
        <f>J42/Revenue!J28</f>
        <v>0.95979243957374427</v>
      </c>
      <c r="K43" s="1912">
        <f>K42/Revenue!K28</f>
        <v>0.95134954717326192</v>
      </c>
      <c r="L43" s="1912">
        <f>L42/Revenue!L28</f>
        <v>0.96617333858989729</v>
      </c>
      <c r="M43" s="5089">
        <f>M42/Revenue!M28</f>
        <v>0.95317762268080863</v>
      </c>
      <c r="N43" s="5090">
        <f>N42/Revenue!N28</f>
        <v>0.95964730037309509</v>
      </c>
      <c r="O43" s="1912">
        <f>O42/Revenue!O28</f>
        <v>0.95486656879844822</v>
      </c>
      <c r="P43" s="4919">
        <f>P42/Revenue!P28</f>
        <v>0.95467505284302834</v>
      </c>
      <c r="Q43" s="4919">
        <f>Q42/Revenue!Q28</f>
        <v>0.95444601149191743</v>
      </c>
      <c r="R43" s="4919">
        <f>R42/Revenue!R28</f>
        <v>0.9538183686911188</v>
      </c>
      <c r="S43" s="4919">
        <f>S42/Revenue!S28</f>
        <v>0.95404895836934722</v>
      </c>
      <c r="T43" s="4920">
        <f>T42/Revenue!T28</f>
        <v>0.95398551904902862</v>
      </c>
      <c r="U43" s="289"/>
      <c r="V43" s="2511">
        <f>+T43-O43</f>
        <v>-8.8104974941960457E-4</v>
      </c>
    </row>
    <row r="44" spans="1:26" ht="12" customHeight="1">
      <c r="C44" s="4892"/>
      <c r="E44" s="3" t="s">
        <v>1301</v>
      </c>
      <c r="H44" s="110" t="s">
        <v>3511</v>
      </c>
      <c r="J44" s="356">
        <f>J42/J48</f>
        <v>44.624671908336204</v>
      </c>
      <c r="K44" s="357">
        <f t="shared" ref="K44:M44" si="44">K42/K48</f>
        <v>49.873585729390342</v>
      </c>
      <c r="L44" s="364">
        <f t="shared" si="44"/>
        <v>66.110476860607264</v>
      </c>
      <c r="M44" s="5085">
        <f t="shared" si="44"/>
        <v>64.824218647885544</v>
      </c>
      <c r="N44" s="5086">
        <f>(N45-N46)*N47/10^6</f>
        <v>67.782638015783633</v>
      </c>
      <c r="O44" s="357">
        <f>O42/O48</f>
        <v>65.575119272901134</v>
      </c>
      <c r="P44" s="4921">
        <f t="shared" ref="P44" si="45">(P45-P46)*P47/10^6</f>
        <v>64.732037267775809</v>
      </c>
      <c r="Q44" s="4921">
        <f t="shared" ref="Q44" si="46">(Q45-Q46)*Q47/10^6</f>
        <v>63.049032190510616</v>
      </c>
      <c r="R44" s="4921">
        <f t="shared" ref="R44" si="47">(R45-R46)*R47/10^6</f>
        <v>62.607858681573504</v>
      </c>
      <c r="S44" s="4921">
        <f t="shared" ref="S44:T44" si="48">(S45-S46)*S47/10^6</f>
        <v>60.651676085292166</v>
      </c>
      <c r="T44" s="4922">
        <f t="shared" si="48"/>
        <v>60.251619759614535</v>
      </c>
    </row>
    <row r="45" spans="1:26" ht="12" customHeight="1">
      <c r="C45" s="4892"/>
      <c r="F45" s="3" t="s">
        <v>3542</v>
      </c>
      <c r="H45" s="110" t="s">
        <v>3463</v>
      </c>
      <c r="J45" s="319">
        <f>J44*10^6/J47+J46</f>
        <v>40170.451690850634</v>
      </c>
      <c r="K45" s="320">
        <f t="shared" ref="K45" si="49">K44*10^6/K47+K46</f>
        <v>43864.138012278789</v>
      </c>
      <c r="L45" s="320">
        <f t="shared" ref="L45" si="50">L44*10^6/L47+L46</f>
        <v>55556.307906270071</v>
      </c>
      <c r="M45" s="5069">
        <f t="shared" ref="M45" si="51">M44*10^6/M47+M46</f>
        <v>56669.1171830159</v>
      </c>
      <c r="N45" s="5060">
        <f>Assumption!N22</f>
        <v>57851.190794583701</v>
      </c>
      <c r="O45" s="368"/>
      <c r="P45" s="4882">
        <f>Assumption!P22</f>
        <v>57241.832205716637</v>
      </c>
      <c r="Q45" s="4882">
        <f>Assumption!Q22</f>
        <v>55942.299029412687</v>
      </c>
      <c r="R45" s="4882">
        <f>Assumption!R22</f>
        <v>55765.469923285229</v>
      </c>
      <c r="S45" s="4882">
        <f>Assumption!S22</f>
        <v>55186.756485049926</v>
      </c>
      <c r="T45" s="4895">
        <f>Assumption!T22</f>
        <v>54826.669783269877</v>
      </c>
    </row>
    <row r="46" spans="1:26" ht="12" customHeight="1">
      <c r="C46" s="4892"/>
      <c r="F46" s="3" t="s">
        <v>3011</v>
      </c>
      <c r="H46" s="110" t="s">
        <v>3463</v>
      </c>
      <c r="J46" s="220">
        <f>Assumption!J154</f>
        <v>492.67754937283081</v>
      </c>
      <c r="K46" s="221">
        <f>Assumption!K154</f>
        <v>402.28597415294809</v>
      </c>
      <c r="L46" s="221">
        <f>Assumption!L154</f>
        <v>506.75154900477162</v>
      </c>
      <c r="M46" s="5063">
        <f>Assumption!M154</f>
        <v>529.72101379416165</v>
      </c>
      <c r="N46" s="5060">
        <f>Assumption!N154*(1+DCF!$G$57)</f>
        <v>529.72101379416165</v>
      </c>
      <c r="O46" s="368"/>
      <c r="P46" s="4882">
        <f>Assumption!P154*(1+DCF!$G$57)</f>
        <v>585.14358754902923</v>
      </c>
      <c r="Q46" s="4882">
        <f>Assumption!Q154*(1+DCF!$G$57)</f>
        <v>585.14358754902923</v>
      </c>
      <c r="R46" s="4882">
        <f>Assumption!R154*(1+DCF!$G$57)</f>
        <v>614.07925946079445</v>
      </c>
      <c r="S46" s="4882">
        <f>Assumption!S154*(1+DCF!$G$57)</f>
        <v>594.78881151961764</v>
      </c>
      <c r="T46" s="4895">
        <f>Assumption!T154*(1+DCF!$G$57)</f>
        <v>594.78881151961764</v>
      </c>
    </row>
    <row r="47" spans="1:26" ht="12" customHeight="1">
      <c r="C47" s="4892"/>
      <c r="F47" s="3" t="s">
        <v>326</v>
      </c>
      <c r="H47" s="110" t="s">
        <v>3549</v>
      </c>
      <c r="J47" s="220">
        <f>Revenue!J33</f>
        <v>1124.6767963651237</v>
      </c>
      <c r="K47" s="221">
        <f>Revenue!K33</f>
        <v>1147.5255515029587</v>
      </c>
      <c r="L47" s="221">
        <f>Revenue!L33</f>
        <v>1200.9266056852096</v>
      </c>
      <c r="M47" s="5063">
        <f>Revenue!M33</f>
        <v>1154.701031206054</v>
      </c>
      <c r="N47" s="5060">
        <f>Assumption!N$78</f>
        <v>1182.5</v>
      </c>
      <c r="O47" s="368"/>
      <c r="P47" s="4882">
        <f>Assumption!P$78</f>
        <v>1142.53125</v>
      </c>
      <c r="Q47" s="4882">
        <f>Assumption!Q$78</f>
        <v>1138.95</v>
      </c>
      <c r="R47" s="4882">
        <f>Assumption!R$78</f>
        <v>1135.2</v>
      </c>
      <c r="S47" s="4882">
        <f>Assumption!S$78</f>
        <v>1111</v>
      </c>
      <c r="T47" s="4895">
        <f>Assumption!T$78</f>
        <v>1111</v>
      </c>
    </row>
    <row r="48" spans="1:26" ht="12" customHeight="1">
      <c r="C48" s="4892"/>
      <c r="E48" s="3" t="s">
        <v>1303</v>
      </c>
      <c r="H48" s="110" t="s">
        <v>3487</v>
      </c>
      <c r="J48" s="319">
        <f>J51*J52</f>
        <v>38162.984255999996</v>
      </c>
      <c r="K48" s="320">
        <f t="shared" ref="K48:S48" si="52">K51*K52</f>
        <v>44458.895857999996</v>
      </c>
      <c r="L48" s="2350">
        <f t="shared" ref="L48:M48" si="53">IFERROR(L51*L52,"n.p")</f>
        <v>31390.009663000001</v>
      </c>
      <c r="M48" s="5087">
        <f t="shared" si="53"/>
        <v>23898.811054000002</v>
      </c>
      <c r="N48" s="5088">
        <f t="shared" si="52"/>
        <v>8129.3226684658875</v>
      </c>
      <c r="O48" s="320">
        <f>SUM(M48:N48)</f>
        <v>32028.133722465889</v>
      </c>
      <c r="P48" s="4923">
        <f t="shared" si="52"/>
        <v>31899.674420851203</v>
      </c>
      <c r="Q48" s="4923">
        <f t="shared" si="52"/>
        <v>31899.674420851203</v>
      </c>
      <c r="R48" s="4923">
        <f t="shared" si="52"/>
        <v>29966.360819587491</v>
      </c>
      <c r="S48" s="4923">
        <f t="shared" si="52"/>
        <v>31787.815596068234</v>
      </c>
      <c r="T48" s="4924">
        <f t="shared" ref="T48" si="54">T51*T52</f>
        <v>31603.577358102946</v>
      </c>
    </row>
    <row r="49" spans="1:22" ht="12" customHeight="1">
      <c r="C49" s="4892"/>
      <c r="F49" s="3" t="s">
        <v>1352</v>
      </c>
      <c r="H49" s="110" t="s">
        <v>3487</v>
      </c>
      <c r="J49" s="220">
        <f>Revenue!J34</f>
        <v>39446.750799999994</v>
      </c>
      <c r="K49" s="221">
        <f>Revenue!K34</f>
        <v>45910.3151</v>
      </c>
      <c r="L49" s="221">
        <f>Revenue!L34</f>
        <v>32290</v>
      </c>
      <c r="M49" s="5063">
        <f>Revenue!M34</f>
        <v>24624</v>
      </c>
      <c r="N49" s="5060">
        <f>Revenue!N34</f>
        <v>8376</v>
      </c>
      <c r="O49" s="320">
        <f>SUM(M49:N49)</f>
        <v>33000</v>
      </c>
      <c r="P49" s="4882">
        <f>Revenue!P34</f>
        <v>33000</v>
      </c>
      <c r="Q49" s="4882">
        <f>Revenue!Q34</f>
        <v>33000</v>
      </c>
      <c r="R49" s="4882">
        <f>Revenue!R34</f>
        <v>31000</v>
      </c>
      <c r="S49" s="4882">
        <f>Revenue!S34</f>
        <v>32884.282793324528</v>
      </c>
      <c r="T49" s="4895">
        <f>Revenue!T34</f>
        <v>32693.689567430025</v>
      </c>
    </row>
    <row r="50" spans="1:22" ht="12" customHeight="1">
      <c r="C50" s="4892"/>
      <c r="F50" s="3" t="s">
        <v>1354</v>
      </c>
      <c r="H50" s="110" t="s">
        <v>2702</v>
      </c>
      <c r="J50" s="286">
        <f>Assumption!J211</f>
        <v>1.0057855263444029</v>
      </c>
      <c r="K50" s="246">
        <f>Assumption!K211</f>
        <v>1.0081965118811307</v>
      </c>
      <c r="L50" s="246">
        <f>Assumption!L211</f>
        <v>0.99990826592597748</v>
      </c>
      <c r="M50" s="5067">
        <f>Assumption!M211</f>
        <v>1.0020071727189237</v>
      </c>
      <c r="N50" s="5068">
        <f>Assumption!N211+DCF!$G$59</f>
        <v>1.0020071727189237</v>
      </c>
      <c r="O50" s="373">
        <f>O49/O51</f>
        <v>1.0020071727189237</v>
      </c>
      <c r="P50" s="4905">
        <f>Assumption!P211+DCF!$G$59</f>
        <v>1.0060422340152311</v>
      </c>
      <c r="Q50" s="4905">
        <f>Assumption!Q211+DCF!$G$59</f>
        <v>1.0060422340152311</v>
      </c>
      <c r="R50" s="4905">
        <f>Assumption!R211+DCF!$G$59</f>
        <v>1.0060422340152311</v>
      </c>
      <c r="S50" s="4905">
        <f>Assumption!S211+DCF!$G$59</f>
        <v>1.0060422340152311</v>
      </c>
      <c r="T50" s="4906">
        <f>Assumption!T211+DCF!$G$59</f>
        <v>1.0060422340152311</v>
      </c>
      <c r="V50" s="2511">
        <f>+T50-O50</f>
        <v>4.035061296307374E-3</v>
      </c>
    </row>
    <row r="51" spans="1:22" ht="12" customHeight="1">
      <c r="C51" s="4892"/>
      <c r="F51" s="3" t="s">
        <v>1356</v>
      </c>
      <c r="H51" s="110" t="s">
        <v>3487</v>
      </c>
      <c r="J51" s="319">
        <f>J49/J50</f>
        <v>39219.843363</v>
      </c>
      <c r="K51" s="320">
        <f t="shared" ref="K51" si="55">K49/K50</f>
        <v>45537.069964999995</v>
      </c>
      <c r="L51" s="320">
        <f t="shared" ref="L51" si="56">IFERROR(L49/L50,"n.p")</f>
        <v>32292.962364999996</v>
      </c>
      <c r="M51" s="5087">
        <f t="shared" ref="M51" si="57">IFERROR(M49/M50,"n.p")</f>
        <v>24574.674384000002</v>
      </c>
      <c r="N51" s="5088">
        <f t="shared" ref="N51" si="58">N49/N50</f>
        <v>8359.2215984561408</v>
      </c>
      <c r="O51" s="320">
        <f>SUM(M51:N51)</f>
        <v>32933.895982456146</v>
      </c>
      <c r="P51" s="4923">
        <f t="shared" ref="P51" si="59">P49/P50</f>
        <v>32801.803825166644</v>
      </c>
      <c r="Q51" s="4923">
        <f t="shared" ref="Q51" si="60">Q49/Q50</f>
        <v>32801.803825166644</v>
      </c>
      <c r="R51" s="4923">
        <f t="shared" ref="R51" si="61">R49/R50</f>
        <v>30813.815714550481</v>
      </c>
      <c r="S51" s="4923">
        <f t="shared" ref="S51:T51" si="62">S49/S50</f>
        <v>32686.781609634367</v>
      </c>
      <c r="T51" s="4924">
        <f t="shared" si="62"/>
        <v>32497.333076113238</v>
      </c>
    </row>
    <row r="52" spans="1:22" ht="12" customHeight="1">
      <c r="C52" s="4892"/>
      <c r="F52" s="3" t="s">
        <v>1315</v>
      </c>
      <c r="H52" s="110" t="s">
        <v>2702</v>
      </c>
      <c r="J52" s="286">
        <f>Assumption!J246</f>
        <v>0.97305294931399333</v>
      </c>
      <c r="K52" s="246">
        <f>Assumption!K246</f>
        <v>0.97632315588533281</v>
      </c>
      <c r="L52" s="246">
        <f>Assumption!L246</f>
        <v>0.97203871568690026</v>
      </c>
      <c r="M52" s="5067">
        <f>Assumption!M246</f>
        <v>0.97249756723368674</v>
      </c>
      <c r="N52" s="5068">
        <f>Assumption!N246</f>
        <v>0.97249756723368674</v>
      </c>
      <c r="O52" s="373">
        <f>O48/O51</f>
        <v>0.97249756723368663</v>
      </c>
      <c r="P52" s="4905">
        <f>Assumption!P246</f>
        <v>0.97249756723368674</v>
      </c>
      <c r="Q52" s="4905">
        <f>Assumption!Q246</f>
        <v>0.97249756723368674</v>
      </c>
      <c r="R52" s="4905">
        <f>Assumption!R246</f>
        <v>0.97249756723368674</v>
      </c>
      <c r="S52" s="4905">
        <f>Assumption!S246</f>
        <v>0.97249756723368674</v>
      </c>
      <c r="T52" s="4906">
        <f>Assumption!T246</f>
        <v>0.97249756723368674</v>
      </c>
      <c r="V52" s="2511">
        <f>+T52-O52</f>
        <v>0</v>
      </c>
    </row>
    <row r="53" spans="1:22" ht="12" customHeight="1">
      <c r="C53" s="4892"/>
      <c r="D53" s="3" t="s">
        <v>264</v>
      </c>
      <c r="J53" s="220">
        <f>SUMIFS('과거손익(Summary)'!$H$3:$H$54,'과거손익(Summary)'!$E$3:$E$54,J$28,'과거손익(Summary)'!$B$3:$B$54,$D53)</f>
        <v>332458.41149199998</v>
      </c>
      <c r="K53" s="221">
        <f>SUMIFS('과거손익(Summary)'!$H$3:$H$54,'과거손익(Summary)'!$E$3:$E$54,K$28,'과거손익(Summary)'!$B$3:$B$54,$D53)</f>
        <v>330312.01139499998</v>
      </c>
      <c r="L53" s="221">
        <f>SUMIFS('과거손익(Summary)'!$H$3:$H$54,'과거손익(Summary)'!$E$3:$E$54,L$28,'과거손익(Summary)'!$B$3:$B$54,$D53)</f>
        <v>375439.13475199998</v>
      </c>
      <c r="M53" s="5063">
        <f>SUMIFS('과거손익(Summary)'!$H$3:$H$54,'과거손익(Summary)'!$E$3:$E$54,M$28,'과거손익(Summary)'!$B$3:$B$54,$D53)</f>
        <v>387696.02974900004</v>
      </c>
      <c r="N53" s="5050">
        <f>N55*N59</f>
        <v>119437.92611032519</v>
      </c>
      <c r="O53" s="105">
        <f>SUM(M53:N53)</f>
        <v>507133.95585932524</v>
      </c>
      <c r="P53" s="4879">
        <f t="shared" ref="P53" si="63">P55*P59</f>
        <v>467973.28016279411</v>
      </c>
      <c r="Q53" s="4879">
        <f t="shared" ref="Q53" si="64">Q55*Q59</f>
        <v>465087.35664351814</v>
      </c>
      <c r="R53" s="4879">
        <f t="shared" ref="R53" si="65">R55*R59</f>
        <v>451020.79712935031</v>
      </c>
      <c r="S53" s="4879">
        <f t="shared" ref="S53:T53" si="66">S55*S59</f>
        <v>429838.58515082969</v>
      </c>
      <c r="T53" s="4903">
        <f t="shared" si="66"/>
        <v>420072.86230212433</v>
      </c>
    </row>
    <row r="54" spans="1:22" s="2040" customFormat="1" ht="12" customHeight="1">
      <c r="A54" s="2038"/>
      <c r="B54" s="2038"/>
      <c r="C54" s="4918"/>
      <c r="D54" s="2038" t="s">
        <v>32</v>
      </c>
      <c r="E54" s="2038"/>
      <c r="F54" s="2038"/>
      <c r="G54" s="2038"/>
      <c r="H54" s="110" t="s">
        <v>360</v>
      </c>
      <c r="I54" s="2038"/>
      <c r="J54" s="2039">
        <f>J53/Revenue!J35</f>
        <v>0.91301831094869157</v>
      </c>
      <c r="K54" s="1912">
        <f>K53/Revenue!K35</f>
        <v>0.90920361346254674</v>
      </c>
      <c r="L54" s="1912">
        <f>L53/Revenue!L35</f>
        <v>0.93138801689737472</v>
      </c>
      <c r="M54" s="5089">
        <f>M53/Revenue!M35</f>
        <v>0.91650577800770472</v>
      </c>
      <c r="N54" s="5090">
        <f>N53/Revenue!N35</f>
        <v>0.94702908438586408</v>
      </c>
      <c r="O54" s="1912">
        <f>O53/Revenue!O35</f>
        <v>0.92351600773563447</v>
      </c>
      <c r="P54" s="4919">
        <f>P53/Revenue!P35</f>
        <v>0.95228406586052283</v>
      </c>
      <c r="Q54" s="4919">
        <f>Q53/Revenue!Q35</f>
        <v>0.95167726203617842</v>
      </c>
      <c r="R54" s="4919">
        <f>R53/Revenue!R35</f>
        <v>0.95082405684750793</v>
      </c>
      <c r="S54" s="4919">
        <f>S53/Revenue!S35</f>
        <v>0.94998257698002075</v>
      </c>
      <c r="T54" s="4920">
        <f>T53/Revenue!T35</f>
        <v>0.94959668078774317</v>
      </c>
      <c r="U54" s="289"/>
      <c r="V54" s="2511">
        <f>+T54-O54</f>
        <v>2.6080673052108705E-2</v>
      </c>
    </row>
    <row r="55" spans="1:22" ht="12" customHeight="1">
      <c r="C55" s="4892"/>
      <c r="E55" s="3" t="s">
        <v>1301</v>
      </c>
      <c r="H55" s="110" t="s">
        <v>3511</v>
      </c>
      <c r="J55" s="363">
        <f>IFERROR(J53/J59,"n.p")</f>
        <v>0.53570258049159991</v>
      </c>
      <c r="K55" s="364">
        <f t="shared" ref="K55:M55" si="67">IFERROR(K53/K59,"n.p")</f>
        <v>0.54780174673019688</v>
      </c>
      <c r="L55" s="364">
        <f t="shared" si="67"/>
        <v>0.70671445509172881</v>
      </c>
      <c r="M55" s="5085">
        <f t="shared" si="67"/>
        <v>0.89115899817876754</v>
      </c>
      <c r="N55" s="5086">
        <f>(N56-N57)*N58/10^6</f>
        <v>0.88553510860489926</v>
      </c>
      <c r="O55" s="357">
        <f>O53/O59</f>
        <v>0.88982806374117207</v>
      </c>
      <c r="P55" s="4921">
        <f t="shared" ref="P55" si="68">(P56-P57)*P58/10^6</f>
        <v>0.88637290421821935</v>
      </c>
      <c r="Q55" s="4921">
        <f t="shared" ref="Q55" si="69">(Q56-Q57)*Q58/10^6</f>
        <v>0.86491935203848336</v>
      </c>
      <c r="R55" s="4921">
        <f t="shared" ref="R55" si="70">(R56-R57)*R58/10^6</f>
        <v>0.84181547189605499</v>
      </c>
      <c r="S55" s="4921">
        <f t="shared" ref="S55:T55" si="71">(S56-S57)*S58/10^6</f>
        <v>0.79172226173763316</v>
      </c>
      <c r="T55" s="4922">
        <f t="shared" si="71"/>
        <v>0.77824533184594669</v>
      </c>
    </row>
    <row r="56" spans="1:22" ht="12" customHeight="1">
      <c r="C56" s="4892"/>
      <c r="F56" s="3" t="s">
        <v>3541</v>
      </c>
      <c r="H56" s="110" t="s">
        <v>3463</v>
      </c>
      <c r="J56" s="319">
        <f>J55*10^6/J58+J57</f>
        <v>502.72297126624028</v>
      </c>
      <c r="K56" s="320">
        <f t="shared" ref="K56" si="72">K55*10^6/K58+K57</f>
        <v>487.75300540219968</v>
      </c>
      <c r="L56" s="320">
        <f t="shared" ref="L56" si="73">L55*10^6/L58+L57</f>
        <v>621.50204779243415</v>
      </c>
      <c r="M56" s="5069">
        <f t="shared" ref="M56" si="74">M55*10^6/M58+M57</f>
        <v>804.93532723928831</v>
      </c>
      <c r="N56" s="5060">
        <f>Assumption!N23</f>
        <v>766.30143882790117</v>
      </c>
      <c r="O56" s="368"/>
      <c r="P56" s="4882">
        <f>Assumption!P23</f>
        <v>791.87288798530733</v>
      </c>
      <c r="Q56" s="4882">
        <f>Assumption!Q23</f>
        <v>775.47600723530684</v>
      </c>
      <c r="R56" s="4882">
        <f>Assumption!R23</f>
        <v>757.6323428897183</v>
      </c>
      <c r="S56" s="4882">
        <f>Assumption!S23</f>
        <v>728.6966709779532</v>
      </c>
      <c r="T56" s="4895">
        <f>Assumption!T23</f>
        <v>716.5662210304406</v>
      </c>
    </row>
    <row r="57" spans="1:22" ht="12" customHeight="1">
      <c r="C57" s="4892"/>
      <c r="F57" s="3" t="s">
        <v>3550</v>
      </c>
      <c r="H57" s="110" t="s">
        <v>3463</v>
      </c>
      <c r="J57" s="220">
        <f>Assumption!J155</f>
        <v>16.981757228173176</v>
      </c>
      <c r="K57" s="221">
        <f>Assumption!K155</f>
        <v>17.2113354489213</v>
      </c>
      <c r="L57" s="221">
        <f>Assumption!L155</f>
        <v>17.179643647915732</v>
      </c>
      <c r="M57" s="5063">
        <f>Assumption!M155</f>
        <v>17.434539373440931</v>
      </c>
      <c r="N57" s="5060">
        <f>Assumption!N155*(1+DCF!$G$61)</f>
        <v>17.434539373440931</v>
      </c>
      <c r="O57" s="368"/>
      <c r="P57" s="4882">
        <f>Assumption!P155*(1+DCF!$G$61)</f>
        <v>16.07537328431399</v>
      </c>
      <c r="Q57" s="4882">
        <f>Assumption!Q155*(1+DCF!$G$61)</f>
        <v>16.07537328431399</v>
      </c>
      <c r="R57" s="4882">
        <f>Assumption!R155*(1+DCF!$G$61)</f>
        <v>16.07537328431399</v>
      </c>
      <c r="S57" s="4882">
        <f>Assumption!S155*(1+DCF!$G$61)</f>
        <v>16.07537328431399</v>
      </c>
      <c r="T57" s="4895">
        <f>Assumption!T155*(1+DCF!$G$61)</f>
        <v>16.07537328431399</v>
      </c>
    </row>
    <row r="58" spans="1:22" ht="12" customHeight="1">
      <c r="C58" s="4892"/>
      <c r="F58" s="3" t="s">
        <v>326</v>
      </c>
      <c r="H58" s="110" t="s">
        <v>3549</v>
      </c>
      <c r="J58" s="220">
        <f>Revenue!J40</f>
        <v>1102.8559344145283</v>
      </c>
      <c r="K58" s="221">
        <f>Revenue!K40</f>
        <v>1164.1939103599261</v>
      </c>
      <c r="L58" s="221">
        <f>Revenue!L40</f>
        <v>1169.4328230179669</v>
      </c>
      <c r="M58" s="5063">
        <f>Revenue!M40</f>
        <v>1131.6293417227394</v>
      </c>
      <c r="N58" s="5060">
        <f>Assumption!N$78</f>
        <v>1182.5</v>
      </c>
      <c r="O58" s="368"/>
      <c r="P58" s="4882">
        <f>Assumption!P$78</f>
        <v>1142.53125</v>
      </c>
      <c r="Q58" s="4882">
        <f>Assumption!Q$78</f>
        <v>1138.95</v>
      </c>
      <c r="R58" s="4882">
        <f>Assumption!R$78</f>
        <v>1135.2</v>
      </c>
      <c r="S58" s="4882">
        <f>Assumption!S$78</f>
        <v>1111</v>
      </c>
      <c r="T58" s="4895">
        <f>Assumption!T$78</f>
        <v>1111</v>
      </c>
    </row>
    <row r="59" spans="1:22" ht="12" customHeight="1">
      <c r="C59" s="4892"/>
      <c r="E59" s="3" t="s">
        <v>1303</v>
      </c>
      <c r="H59" s="110" t="s">
        <v>3487</v>
      </c>
      <c r="J59" s="319">
        <f>J62*J63</f>
        <v>620602.59479600005</v>
      </c>
      <c r="K59" s="320">
        <f t="shared" ref="K59:S59" si="75">K62*K63</f>
        <v>602977.28761658212</v>
      </c>
      <c r="L59" s="2350">
        <f t="shared" ref="L59:M59" si="76">IFERROR(L62*L63,"n.p")</f>
        <v>531245.86888953531</v>
      </c>
      <c r="M59" s="5087">
        <f t="shared" si="76"/>
        <v>435046.97875611618</v>
      </c>
      <c r="N59" s="5088">
        <f t="shared" si="75"/>
        <v>134876.55650208108</v>
      </c>
      <c r="O59" s="320">
        <f>SUM(M59:N59)</f>
        <v>569923.53525819723</v>
      </c>
      <c r="P59" s="4923">
        <f t="shared" si="75"/>
        <v>527964.33412587945</v>
      </c>
      <c r="Q59" s="4923">
        <f t="shared" si="75"/>
        <v>537723.37911896408</v>
      </c>
      <c r="R59" s="4923">
        <f t="shared" si="75"/>
        <v>535771.57012034708</v>
      </c>
      <c r="S59" s="4923">
        <f t="shared" si="75"/>
        <v>542915.87583686365</v>
      </c>
      <c r="T59" s="4924">
        <f t="shared" ref="T59" si="77">T62*T63</f>
        <v>539769.20273423183</v>
      </c>
    </row>
    <row r="60" spans="1:22" ht="12" customHeight="1">
      <c r="C60" s="4892"/>
      <c r="F60" s="3" t="s">
        <v>1352</v>
      </c>
      <c r="H60" s="110" t="s">
        <v>3487</v>
      </c>
      <c r="J60" s="220">
        <f>Revenue!J41</f>
        <v>659376.72400000005</v>
      </c>
      <c r="K60" s="221">
        <f>Revenue!K41</f>
        <v>608975.16399999999</v>
      </c>
      <c r="L60" s="221">
        <f>Revenue!L41</f>
        <v>528834.73800000001</v>
      </c>
      <c r="M60" s="5063">
        <f>Revenue!M41</f>
        <v>447318.83100000001</v>
      </c>
      <c r="N60" s="5060">
        <f>Revenue!N41</f>
        <v>138681.16899999999</v>
      </c>
      <c r="O60" s="320">
        <f>SUM(M60:N60)</f>
        <v>586000</v>
      </c>
      <c r="P60" s="4882">
        <f>Revenue!P41</f>
        <v>541000</v>
      </c>
      <c r="Q60" s="4882">
        <f>Revenue!Q41</f>
        <v>551000</v>
      </c>
      <c r="R60" s="4882">
        <f>Revenue!R41</f>
        <v>549000</v>
      </c>
      <c r="S60" s="4882">
        <f>Revenue!S41</f>
        <v>556320.70168912946</v>
      </c>
      <c r="T60" s="4895">
        <f>Revenue!T41</f>
        <v>553096.33587786253</v>
      </c>
    </row>
    <row r="61" spans="1:22" ht="12" customHeight="1">
      <c r="C61" s="4892"/>
      <c r="F61" s="3" t="s">
        <v>1354</v>
      </c>
      <c r="H61" s="110" t="s">
        <v>2702</v>
      </c>
      <c r="J61" s="286">
        <f>Assumption!J214</f>
        <v>1.0063956494192896</v>
      </c>
      <c r="K61" s="246">
        <f>Assumption!K214</f>
        <v>0.95782576720870982</v>
      </c>
      <c r="L61" s="246">
        <f>Assumption!L214</f>
        <v>0.94044442670663464</v>
      </c>
      <c r="M61" s="5067">
        <f>Assumption!M214</f>
        <v>0.97845639976232779</v>
      </c>
      <c r="N61" s="5068">
        <f>Assumption!N214+DCF!$G$63</f>
        <v>0.97845639976232779</v>
      </c>
      <c r="O61" s="373">
        <f>O60/O62</f>
        <v>0.97845639976232768</v>
      </c>
      <c r="P61" s="4905">
        <f>Assumption!P214+DCF!$G$63</f>
        <v>0.97510892978365427</v>
      </c>
      <c r="Q61" s="4905">
        <f>Assumption!Q214+DCF!$G$63</f>
        <v>0.97510892978365427</v>
      </c>
      <c r="R61" s="4905">
        <f>Assumption!R214+DCF!$G$63</f>
        <v>0.97510892978365427</v>
      </c>
      <c r="S61" s="4905">
        <f>Assumption!S214+DCF!$G$63</f>
        <v>0.97510892978365427</v>
      </c>
      <c r="T61" s="4906">
        <f>Assumption!T214+DCF!$G$63</f>
        <v>0.97510892978365427</v>
      </c>
      <c r="V61" s="2511">
        <f>+T61-O61</f>
        <v>-3.3474699786734119E-3</v>
      </c>
    </row>
    <row r="62" spans="1:22" ht="12" customHeight="1">
      <c r="C62" s="4892"/>
      <c r="F62" s="3" t="s">
        <v>1356</v>
      </c>
      <c r="H62" s="110" t="s">
        <v>3487</v>
      </c>
      <c r="J62" s="319">
        <f>J60/J61</f>
        <v>655186.38159899996</v>
      </c>
      <c r="K62" s="320">
        <f t="shared" ref="K62" si="78">K60/K61</f>
        <v>635789.08069540851</v>
      </c>
      <c r="L62" s="320">
        <f t="shared" ref="L62" si="79">IFERROR(L60/L61,"n.p")</f>
        <v>562324.28305406554</v>
      </c>
      <c r="M62" s="5087">
        <f t="shared" ref="M62" si="80">IFERROR(M60/M61,"n.p")</f>
        <v>457167.87289516028</v>
      </c>
      <c r="N62" s="5088">
        <f t="shared" ref="N62" si="81">N60/N61</f>
        <v>141734.64349937963</v>
      </c>
      <c r="O62" s="320">
        <f>SUM(M62:N62)</f>
        <v>598902.51639453997</v>
      </c>
      <c r="P62" s="4923">
        <f t="shared" ref="P62" si="82">P60/P61</f>
        <v>554809.80993583018</v>
      </c>
      <c r="Q62" s="4923">
        <f t="shared" ref="Q62" si="83">Q60/Q61</f>
        <v>565065.07444481039</v>
      </c>
      <c r="R62" s="4923">
        <f t="shared" ref="R62" si="84">R60/R61</f>
        <v>563014.02154301433</v>
      </c>
      <c r="S62" s="4923">
        <f t="shared" ref="S62:T62" si="85">S60/S61</f>
        <v>570521.59476435045</v>
      </c>
      <c r="T62" s="4924">
        <f t="shared" si="85"/>
        <v>567214.92233752494</v>
      </c>
    </row>
    <row r="63" spans="1:22" ht="12" customHeight="1">
      <c r="C63" s="4892"/>
      <c r="F63" s="3" t="s">
        <v>1315</v>
      </c>
      <c r="H63" s="110" t="s">
        <v>2702</v>
      </c>
      <c r="J63" s="286">
        <f>Assumption!J247</f>
        <v>0.94721534547376085</v>
      </c>
      <c r="K63" s="246">
        <f>Assumption!K247</f>
        <v>0.94839201541030282</v>
      </c>
      <c r="L63" s="246">
        <f>Assumption!L247</f>
        <v>0.94473222106692811</v>
      </c>
      <c r="M63" s="5067">
        <f>Assumption!M247</f>
        <v>0.95161319189172999</v>
      </c>
      <c r="N63" s="5068">
        <f>Assumption!N247</f>
        <v>0.95161319189172999</v>
      </c>
      <c r="O63" s="373">
        <f>O59/O62</f>
        <v>0.95161319189172977</v>
      </c>
      <c r="P63" s="4905">
        <f>Assumption!P247</f>
        <v>0.95161319189172999</v>
      </c>
      <c r="Q63" s="4905">
        <f>Assumption!Q247</f>
        <v>0.95161319189172999</v>
      </c>
      <c r="R63" s="4905">
        <f>Assumption!R247</f>
        <v>0.95161319189172999</v>
      </c>
      <c r="S63" s="4905">
        <f>Assumption!S247</f>
        <v>0.95161319189172999</v>
      </c>
      <c r="T63" s="4906">
        <f>Assumption!T247</f>
        <v>0.95161319189172999</v>
      </c>
      <c r="V63" s="2511">
        <f>+T63-O63</f>
        <v>0</v>
      </c>
    </row>
    <row r="64" spans="1:22" ht="12" customHeight="1">
      <c r="C64" s="4892"/>
      <c r="D64" s="3" t="s">
        <v>316</v>
      </c>
      <c r="J64" s="220">
        <f>SUMIFS('과거손익(Summary)'!$H$3:$H$54,'과거손익(Summary)'!$E$3:$E$54,J$28,'과거손익(Summary)'!$B$3:$B$54,$D64)</f>
        <v>0</v>
      </c>
      <c r="K64" s="221">
        <f>SUMIFS('과거손익(Summary)'!$H$3:$H$54,'과거손익(Summary)'!$E$3:$E$54,K$28,'과거손익(Summary)'!$B$3:$B$54,$D64)</f>
        <v>2454.67652</v>
      </c>
      <c r="L64" s="221">
        <f>SUMIFS('과거손익(Summary)'!$H$3:$H$54,'과거손익(Summary)'!$E$3:$E$54,L$28,'과거손익(Summary)'!$B$3:$B$54,$D64)</f>
        <v>107.065111</v>
      </c>
      <c r="M64" s="5063">
        <f>SUMIFS('과거손익(Summary)'!$H$3:$H$54,'과거손익(Summary)'!$E$3:$E$54,M$28,'과거손익(Summary)'!$B$3:$B$54,$D64)</f>
        <v>928.93871300000001</v>
      </c>
      <c r="N64" s="5050">
        <f>N66*N70</f>
        <v>0</v>
      </c>
      <c r="O64" s="105">
        <f>SUM(M64:N64)</f>
        <v>928.93871300000001</v>
      </c>
      <c r="P64" s="4879">
        <f t="shared" ref="P64" si="86">P66*P70</f>
        <v>0</v>
      </c>
      <c r="Q64" s="4879">
        <f t="shared" ref="Q64" si="87">Q66*Q70</f>
        <v>0</v>
      </c>
      <c r="R64" s="4879">
        <f t="shared" ref="R64" si="88">R66*R70</f>
        <v>0</v>
      </c>
      <c r="S64" s="4879">
        <f t="shared" ref="S64:T64" si="89">S66*S70</f>
        <v>0</v>
      </c>
      <c r="T64" s="4903">
        <f t="shared" si="89"/>
        <v>0</v>
      </c>
    </row>
    <row r="65" spans="1:24" s="2040" customFormat="1" ht="12" customHeight="1">
      <c r="A65" s="2038"/>
      <c r="B65" s="2038"/>
      <c r="C65" s="4918"/>
      <c r="D65" s="2038" t="s">
        <v>32</v>
      </c>
      <c r="E65" s="2038"/>
      <c r="F65" s="2038"/>
      <c r="G65" s="2038"/>
      <c r="H65" s="110" t="s">
        <v>360</v>
      </c>
      <c r="I65" s="2038"/>
      <c r="J65" s="3028" t="str">
        <f>IFERROR(J64/Revenue!J42,"n.a")</f>
        <v>n.a</v>
      </c>
      <c r="K65" s="3029">
        <f>IFERROR(K64/Revenue!K42,"n.a")</f>
        <v>0.70661325161338207</v>
      </c>
      <c r="L65" s="3029">
        <f>IFERROR(L64/Revenue!L42,"n.a")</f>
        <v>0.53717161239243816</v>
      </c>
      <c r="M65" s="5091">
        <f>IFERROR(M64/Revenue!M42,"n.a")</f>
        <v>0.50906953230980634</v>
      </c>
      <c r="N65" s="5092" t="str">
        <f>IFERROR(N64/Revenue!N42,"n.a")</f>
        <v>n.a</v>
      </c>
      <c r="O65" s="3029">
        <f>IFERROR(O64/Revenue!O42,"n.a")</f>
        <v>0.50906953230980634</v>
      </c>
      <c r="P65" s="4925" t="str">
        <f>IFERROR(P64/Revenue!P42,"n.a")</f>
        <v>n.a</v>
      </c>
      <c r="Q65" s="4925" t="str">
        <f>IFERROR(Q64/Revenue!Q42,"n.a")</f>
        <v>n.a</v>
      </c>
      <c r="R65" s="4925" t="str">
        <f>IFERROR(R64/Revenue!R42,"n.a")</f>
        <v>n.a</v>
      </c>
      <c r="S65" s="4925" t="str">
        <f>IFERROR(S64/Revenue!S42,"n.a")</f>
        <v>n.a</v>
      </c>
      <c r="T65" s="4926" t="str">
        <f>IFERROR(T64/Revenue!T42,"n.a")</f>
        <v>n.a</v>
      </c>
      <c r="U65" s="289"/>
    </row>
    <row r="66" spans="1:24" ht="12" customHeight="1">
      <c r="C66" s="4892"/>
      <c r="E66" s="3" t="s">
        <v>1301</v>
      </c>
      <c r="H66" s="110" t="s">
        <v>3511</v>
      </c>
      <c r="J66" s="365"/>
      <c r="K66" s="366"/>
      <c r="L66" s="366"/>
      <c r="M66" s="5093"/>
      <c r="N66" s="5094"/>
      <c r="O66" s="4927"/>
      <c r="P66" s="4921">
        <f t="shared" ref="P66:S66" si="90">(P67-P68)*P69/10^6</f>
        <v>0.88637290421821935</v>
      </c>
      <c r="Q66" s="4921">
        <f t="shared" si="90"/>
        <v>0.86491935203848336</v>
      </c>
      <c r="R66" s="4921">
        <f t="shared" si="90"/>
        <v>0.84181547189605499</v>
      </c>
      <c r="S66" s="4921">
        <f t="shared" si="90"/>
        <v>0.79172226173763316</v>
      </c>
      <c r="T66" s="4922">
        <f t="shared" ref="T66" si="91">(T67-T68)*T69/10^6</f>
        <v>0.77824533184594669</v>
      </c>
    </row>
    <row r="67" spans="1:24" ht="12" customHeight="1">
      <c r="C67" s="4892"/>
      <c r="F67" s="3" t="s">
        <v>3541</v>
      </c>
      <c r="H67" s="110" t="s">
        <v>3463</v>
      </c>
      <c r="J67" s="367"/>
      <c r="K67" s="368"/>
      <c r="L67" s="368"/>
      <c r="M67" s="5095"/>
      <c r="N67" s="5096"/>
      <c r="O67" s="368"/>
      <c r="P67" s="4882">
        <f>Assumption!P23</f>
        <v>791.87288798530733</v>
      </c>
      <c r="Q67" s="4882">
        <f>Assumption!Q23</f>
        <v>775.47600723530684</v>
      </c>
      <c r="R67" s="4882">
        <f>Assumption!R23</f>
        <v>757.6323428897183</v>
      </c>
      <c r="S67" s="4882">
        <f>Assumption!S23</f>
        <v>728.6966709779532</v>
      </c>
      <c r="T67" s="4895">
        <f>Assumption!T23</f>
        <v>716.5662210304406</v>
      </c>
    </row>
    <row r="68" spans="1:24" ht="12" customHeight="1">
      <c r="C68" s="4892"/>
      <c r="F68" s="3" t="s">
        <v>3550</v>
      </c>
      <c r="H68" s="110" t="s">
        <v>3463</v>
      </c>
      <c r="J68" s="367"/>
      <c r="K68" s="368"/>
      <c r="L68" s="368"/>
      <c r="M68" s="5095"/>
      <c r="N68" s="5096"/>
      <c r="O68" s="368"/>
      <c r="P68" s="4882">
        <f>Assumption!P155</f>
        <v>16.07537328431399</v>
      </c>
      <c r="Q68" s="4882">
        <f>Assumption!Q155</f>
        <v>16.07537328431399</v>
      </c>
      <c r="R68" s="4882">
        <f>Assumption!R155</f>
        <v>16.07537328431399</v>
      </c>
      <c r="S68" s="4882">
        <f>Assumption!S155</f>
        <v>16.07537328431399</v>
      </c>
      <c r="T68" s="4895">
        <f>Assumption!T155</f>
        <v>16.07537328431399</v>
      </c>
    </row>
    <row r="69" spans="1:24" ht="12" customHeight="1">
      <c r="C69" s="4892"/>
      <c r="F69" s="3" t="s">
        <v>326</v>
      </c>
      <c r="H69" s="110" t="s">
        <v>3549</v>
      </c>
      <c r="J69" s="369"/>
      <c r="K69" s="370"/>
      <c r="L69" s="2525"/>
      <c r="M69" s="5097"/>
      <c r="N69" s="5096"/>
      <c r="O69" s="368"/>
      <c r="P69" s="4882">
        <f>Assumption!P$78</f>
        <v>1142.53125</v>
      </c>
      <c r="Q69" s="4882">
        <f>Assumption!Q$78</f>
        <v>1138.95</v>
      </c>
      <c r="R69" s="4882">
        <f>Assumption!R$78</f>
        <v>1135.2</v>
      </c>
      <c r="S69" s="4882">
        <f>Assumption!S$78</f>
        <v>1111</v>
      </c>
      <c r="T69" s="4895">
        <f>Assumption!T$78</f>
        <v>1111</v>
      </c>
    </row>
    <row r="70" spans="1:24" ht="12" customHeight="1">
      <c r="C70" s="4892"/>
      <c r="E70" s="3" t="s">
        <v>1303</v>
      </c>
      <c r="H70" s="110" t="s">
        <v>3487</v>
      </c>
      <c r="J70" s="369"/>
      <c r="K70" s="370"/>
      <c r="L70" s="3026"/>
      <c r="M70" s="5098"/>
      <c r="N70" s="5099"/>
      <c r="O70" s="370"/>
      <c r="P70" s="4923">
        <f t="shared" ref="P70:S70" si="92">IFERROR(P73*P74,"n.p")</f>
        <v>0</v>
      </c>
      <c r="Q70" s="4923">
        <f t="shared" si="92"/>
        <v>0</v>
      </c>
      <c r="R70" s="4923">
        <f t="shared" si="92"/>
        <v>0</v>
      </c>
      <c r="S70" s="4923">
        <f t="shared" si="92"/>
        <v>0</v>
      </c>
      <c r="T70" s="4924">
        <f t="shared" ref="T70" si="93">IFERROR(T73*T74,"n.p")</f>
        <v>0</v>
      </c>
    </row>
    <row r="71" spans="1:24" ht="12" customHeight="1">
      <c r="C71" s="4892"/>
      <c r="F71" s="3" t="s">
        <v>1352</v>
      </c>
      <c r="H71" s="110" t="s">
        <v>3487</v>
      </c>
      <c r="J71" s="367"/>
      <c r="K71" s="368"/>
      <c r="L71" s="368"/>
      <c r="M71" s="5095"/>
      <c r="N71" s="5096"/>
      <c r="O71" s="370"/>
      <c r="P71" s="4882">
        <f>Revenue!P48</f>
        <v>0</v>
      </c>
      <c r="Q71" s="4882">
        <f>Revenue!Q48</f>
        <v>0</v>
      </c>
      <c r="R71" s="4882">
        <f>Revenue!R48</f>
        <v>0</v>
      </c>
      <c r="S71" s="4882">
        <f>Revenue!S48</f>
        <v>0</v>
      </c>
      <c r="T71" s="4895">
        <f>Revenue!T48</f>
        <v>0</v>
      </c>
    </row>
    <row r="72" spans="1:24" ht="12" customHeight="1">
      <c r="C72" s="4892"/>
      <c r="F72" s="3" t="s">
        <v>1354</v>
      </c>
      <c r="H72" s="110" t="s">
        <v>2702</v>
      </c>
      <c r="J72" s="371"/>
      <c r="K72" s="372"/>
      <c r="L72" s="372"/>
      <c r="M72" s="5100"/>
      <c r="N72" s="5101"/>
      <c r="O72" s="4904"/>
      <c r="P72" s="4905">
        <f>Assumption!P214+DCF!$G$63</f>
        <v>0.97510892978365427</v>
      </c>
      <c r="Q72" s="4905">
        <f>Assumption!Q214+DCF!$G$63</f>
        <v>0.97510892978365427</v>
      </c>
      <c r="R72" s="4905">
        <f>Assumption!R214+DCF!$G$63</f>
        <v>0.97510892978365427</v>
      </c>
      <c r="S72" s="4905">
        <f>Assumption!S214+DCF!$G$63</f>
        <v>0.97510892978365427</v>
      </c>
      <c r="T72" s="4906">
        <f>Assumption!T214+DCF!$G$63</f>
        <v>0.97510892978365427</v>
      </c>
      <c r="V72" s="2511">
        <f>+T72-O72</f>
        <v>0.97510892978365427</v>
      </c>
    </row>
    <row r="73" spans="1:24" ht="12" customHeight="1">
      <c r="C73" s="4892"/>
      <c r="F73" s="3" t="s">
        <v>1356</v>
      </c>
      <c r="H73" s="110" t="s">
        <v>3487</v>
      </c>
      <c r="J73" s="369"/>
      <c r="K73" s="370"/>
      <c r="L73" s="3027"/>
      <c r="M73" s="5098"/>
      <c r="N73" s="5099"/>
      <c r="O73" s="370"/>
      <c r="P73" s="4923">
        <f t="shared" ref="P73:S73" si="94">IFERROR(P71/P72,"n.p")</f>
        <v>0</v>
      </c>
      <c r="Q73" s="4923">
        <f t="shared" si="94"/>
        <v>0</v>
      </c>
      <c r="R73" s="4923">
        <f t="shared" si="94"/>
        <v>0</v>
      </c>
      <c r="S73" s="4923">
        <f t="shared" si="94"/>
        <v>0</v>
      </c>
      <c r="T73" s="4924">
        <f t="shared" ref="T73" si="95">IFERROR(T71/T72,"n.p")</f>
        <v>0</v>
      </c>
    </row>
    <row r="74" spans="1:24" ht="12" customHeight="1">
      <c r="C74" s="4892"/>
      <c r="F74" s="3" t="s">
        <v>1315</v>
      </c>
      <c r="H74" s="110" t="s">
        <v>2702</v>
      </c>
      <c r="J74" s="371"/>
      <c r="K74" s="372"/>
      <c r="L74" s="372"/>
      <c r="M74" s="5100"/>
      <c r="N74" s="5101"/>
      <c r="O74" s="4904"/>
      <c r="P74" s="4905">
        <f>Assumption!P247</f>
        <v>0.95161319189172999</v>
      </c>
      <c r="Q74" s="4905">
        <f>Assumption!Q247</f>
        <v>0.95161319189172999</v>
      </c>
      <c r="R74" s="4905">
        <f>Assumption!R247</f>
        <v>0.95161319189172999</v>
      </c>
      <c r="S74" s="4905">
        <f>Assumption!S247</f>
        <v>0.95161319189172999</v>
      </c>
      <c r="T74" s="4906">
        <f>Assumption!T247</f>
        <v>0.95161319189172999</v>
      </c>
      <c r="V74" s="2511">
        <f>+T74-O74</f>
        <v>0.95161319189172999</v>
      </c>
    </row>
    <row r="75" spans="1:24" ht="12" customHeight="1">
      <c r="C75" s="4892"/>
      <c r="D75" s="3" t="s">
        <v>268</v>
      </c>
      <c r="J75" s="220">
        <f>SUMIFS('과거손익(Summary)'!$H$3:$H$54,'과거손익(Summary)'!$E$3:$E$54,J$28,'과거손익(Summary)'!$B$3:$B$54,$D75)</f>
        <v>43089.261714</v>
      </c>
      <c r="K75" s="221">
        <f>SUMIFS('과거손익(Summary)'!$H$3:$H$54,'과거손익(Summary)'!$E$3:$E$54,K$28,'과거손익(Summary)'!$B$3:$B$54,$D75)</f>
        <v>59928.803297999999</v>
      </c>
      <c r="L75" s="221">
        <f>SUMIFS('과거손익(Summary)'!$H$3:$H$54,'과거손익(Summary)'!$E$3:$E$54,L$28,'과거손익(Summary)'!$B$3:$B$54,$D75)</f>
        <v>77138.084858999995</v>
      </c>
      <c r="M75" s="5063">
        <f>SUMIFS('과거손익(Summary)'!$H$3:$H$54,'과거손익(Summary)'!$E$3:$E$54,M$28,'과거손익(Summary)'!$B$3:$B$54,$D75)</f>
        <v>56695.100783000002</v>
      </c>
      <c r="N75" s="5050">
        <f>N77*N81</f>
        <v>19401.316047427721</v>
      </c>
      <c r="O75" s="105">
        <f>SUM(M75:N75)</f>
        <v>76096.416830427726</v>
      </c>
      <c r="P75" s="4879">
        <f>P77*P81</f>
        <v>94481.252220014474</v>
      </c>
      <c r="Q75" s="4879">
        <f t="shared" ref="Q75" si="96">Q77*Q81</f>
        <v>91925.303012242177</v>
      </c>
      <c r="R75" s="4879">
        <f t="shared" ref="R75" si="97">R77*R81</f>
        <v>79327.170933802117</v>
      </c>
      <c r="S75" s="4879">
        <f t="shared" ref="S75:T75" si="98">S77*S81</f>
        <v>68077.833658893374</v>
      </c>
      <c r="T75" s="4903">
        <f t="shared" si="98"/>
        <v>63567.633411685769</v>
      </c>
    </row>
    <row r="76" spans="1:24" s="400" customFormat="1" ht="12" customHeight="1">
      <c r="A76" s="45"/>
      <c r="B76" s="45"/>
      <c r="C76" s="4890"/>
      <c r="D76" s="45" t="s">
        <v>32</v>
      </c>
      <c r="E76" s="45"/>
      <c r="F76" s="45"/>
      <c r="G76" s="45"/>
      <c r="H76" s="110" t="s">
        <v>360</v>
      </c>
      <c r="I76" s="45"/>
      <c r="J76" s="2039">
        <f>J75/Revenue!J49</f>
        <v>0.74539101182400735</v>
      </c>
      <c r="K76" s="1912">
        <f>K75/Revenue!K49</f>
        <v>0.63429398541268711</v>
      </c>
      <c r="L76" s="1912">
        <f>L75/Revenue!L49</f>
        <v>0.56472643241465337</v>
      </c>
      <c r="M76" s="5089">
        <f>M75/Revenue!M49</f>
        <v>0.51171448406714193</v>
      </c>
      <c r="N76" s="5090">
        <f>N75/Revenue!N49</f>
        <v>0.5612857933279215</v>
      </c>
      <c r="O76" s="1912">
        <f>O75/Revenue!O49</f>
        <v>0.52350226031369518</v>
      </c>
      <c r="P76" s="4919">
        <f>P75/Revenue!P49</f>
        <v>0.66587149600384588</v>
      </c>
      <c r="Q76" s="4919">
        <f>Q75/Revenue!Q49</f>
        <v>0.66699624135516733</v>
      </c>
      <c r="R76" s="4919">
        <f>R75/Revenue!R49</f>
        <v>0.66557260860603618</v>
      </c>
      <c r="S76" s="4919">
        <f>S75/Revenue!S49</f>
        <v>0.66221858873078887</v>
      </c>
      <c r="T76" s="4920">
        <f>T75/Revenue!T49</f>
        <v>0.66112780173741759</v>
      </c>
      <c r="U76" s="289"/>
      <c r="V76" s="2511">
        <f>+T76-O76</f>
        <v>0.13762554142372241</v>
      </c>
    </row>
    <row r="77" spans="1:24" ht="12" customHeight="1">
      <c r="C77" s="4892"/>
      <c r="E77" s="3" t="s">
        <v>1301</v>
      </c>
      <c r="H77" s="110" t="s">
        <v>3511</v>
      </c>
      <c r="J77" s="3032">
        <f t="shared" ref="J77:M77" si="99">IFERROR(J75/J81,"n.p")</f>
        <v>31.966436024693568</v>
      </c>
      <c r="K77" s="2350">
        <f t="shared" si="99"/>
        <v>46.430512458429952</v>
      </c>
      <c r="L77" s="2350">
        <f t="shared" si="99"/>
        <v>73.266968249252173</v>
      </c>
      <c r="M77" s="5087">
        <f t="shared" si="99"/>
        <v>81.906029273476321</v>
      </c>
      <c r="N77" s="5088">
        <f>(N78-N79)*N80/10^6</f>
        <v>74.581176582112818</v>
      </c>
      <c r="O77" s="320">
        <f>O75/O81</f>
        <v>79.905192549894423</v>
      </c>
      <c r="P77" s="4923">
        <f t="shared" ref="P77" si="100">(P78-P79)*P80/10^6</f>
        <v>74.473741868889192</v>
      </c>
      <c r="Q77" s="4923">
        <f t="shared" ref="Q77" si="101">(Q78-Q79)*Q80/10^6</f>
        <v>68.688216962210277</v>
      </c>
      <c r="R77" s="4923">
        <f t="shared" ref="R77" si="102">(R78-R79)*R80/10^6</f>
        <v>59.824073971173739</v>
      </c>
      <c r="S77" s="4923">
        <f t="shared" ref="S77:T77" si="103">(S78-S79)*S80/10^6</f>
        <v>51.058711167115867</v>
      </c>
      <c r="T77" s="4924">
        <f t="shared" si="103"/>
        <v>47.953974014386993</v>
      </c>
      <c r="U77" s="3004"/>
      <c r="V77" s="3004"/>
      <c r="W77" s="3004"/>
      <c r="X77" s="3004"/>
    </row>
    <row r="78" spans="1:24" ht="12" customHeight="1">
      <c r="C78" s="4892"/>
      <c r="F78" s="3" t="s">
        <v>3541</v>
      </c>
      <c r="H78" s="110" t="s">
        <v>3463</v>
      </c>
      <c r="J78" s="319">
        <f>J77*10^6/J80+J79</f>
        <v>30566.606346037948</v>
      </c>
      <c r="K78" s="320">
        <f t="shared" ref="K78:M78" si="104">K77*10^6/K80+K79</f>
        <v>42279.749091991209</v>
      </c>
      <c r="L78" s="320">
        <f t="shared" si="104"/>
        <v>66960.84716307075</v>
      </c>
      <c r="M78" s="5069">
        <f t="shared" si="104"/>
        <v>74961.778743180839</v>
      </c>
      <c r="N78" s="5060">
        <f>Assumption!N24</f>
        <v>64813.191873009433</v>
      </c>
      <c r="O78" s="368"/>
      <c r="P78" s="4882">
        <f>Assumption!P24</f>
        <v>66587.732725751091</v>
      </c>
      <c r="Q78" s="4882">
        <f>Assumption!Q24</f>
        <v>61504.056678319641</v>
      </c>
      <c r="R78" s="4882">
        <f>Assumption!R24</f>
        <v>53858.9306517656</v>
      </c>
      <c r="S78" s="4882">
        <f>Assumption!S24</f>
        <v>47210.799276304708</v>
      </c>
      <c r="T78" s="4895">
        <f>Assumption!T24</f>
        <v>44416.25638455955</v>
      </c>
    </row>
    <row r="79" spans="1:24" ht="12" customHeight="1">
      <c r="C79" s="4892"/>
      <c r="F79" s="3" t="s">
        <v>3550</v>
      </c>
      <c r="H79" s="110" t="s">
        <v>3463</v>
      </c>
      <c r="J79" s="220">
        <f>Assumption!J156</f>
        <v>903.10813016898214</v>
      </c>
      <c r="K79" s="221">
        <f>Assumption!K156</f>
        <v>1232.1908351165391</v>
      </c>
      <c r="L79" s="221">
        <f>Assumption!L156</f>
        <v>1499.1063625232896</v>
      </c>
      <c r="M79" s="5063">
        <f>Assumption!M156</f>
        <v>1742.4294357047231</v>
      </c>
      <c r="N79" s="5060">
        <f>Assumption!N156</f>
        <v>1742.4294357047231</v>
      </c>
      <c r="O79" s="368"/>
      <c r="P79" s="4882">
        <f>Assumption!P156</f>
        <v>1404.6212188323987</v>
      </c>
      <c r="Q79" s="4882">
        <f>Assumption!Q156</f>
        <v>1195.6875995977671</v>
      </c>
      <c r="R79" s="4882">
        <f>Assumption!R156</f>
        <v>1159.7816285329188</v>
      </c>
      <c r="S79" s="4882">
        <f>Assumption!S156</f>
        <v>1253.3634823210284</v>
      </c>
      <c r="T79" s="4895">
        <f>Assumption!T156</f>
        <v>1253.3634823210284</v>
      </c>
    </row>
    <row r="80" spans="1:24" ht="12" customHeight="1">
      <c r="C80" s="4892"/>
      <c r="F80" s="3" t="s">
        <v>326</v>
      </c>
      <c r="H80" s="110" t="s">
        <v>3549</v>
      </c>
      <c r="J80" s="220">
        <f>Revenue!J47</f>
        <v>1077.6354087459788</v>
      </c>
      <c r="K80" s="221">
        <f>Revenue!K47</f>
        <v>1131.1394497053609</v>
      </c>
      <c r="L80" s="221">
        <f>Revenue!L47</f>
        <v>1119.2334232675864</v>
      </c>
      <c r="M80" s="5063">
        <f>Revenue!M47</f>
        <v>1118.6391308876769</v>
      </c>
      <c r="N80" s="5060">
        <f>Assumption!N$78</f>
        <v>1182.5</v>
      </c>
      <c r="O80" s="368"/>
      <c r="P80" s="4882">
        <f>Assumption!P$78</f>
        <v>1142.53125</v>
      </c>
      <c r="Q80" s="4882">
        <f>Assumption!Q$78</f>
        <v>1138.95</v>
      </c>
      <c r="R80" s="4882">
        <f>Assumption!R$78</f>
        <v>1135.2</v>
      </c>
      <c r="S80" s="4882">
        <f>Assumption!S$78</f>
        <v>1111</v>
      </c>
      <c r="T80" s="4895">
        <f>Assumption!T$78</f>
        <v>1111</v>
      </c>
    </row>
    <row r="81" spans="1:22" ht="12" customHeight="1">
      <c r="C81" s="4892"/>
      <c r="E81" s="3" t="s">
        <v>1303</v>
      </c>
      <c r="H81" s="110" t="s">
        <v>3487</v>
      </c>
      <c r="J81" s="319">
        <f t="shared" ref="J81:S81" si="105">IFERROR(J84*J85,"n.p")</f>
        <v>1347.9532619999998</v>
      </c>
      <c r="K81" s="320">
        <f t="shared" si="105"/>
        <v>1290.720264</v>
      </c>
      <c r="L81" s="2350">
        <f t="shared" si="105"/>
        <v>1052.835769</v>
      </c>
      <c r="M81" s="5087">
        <f t="shared" si="105"/>
        <v>692.19691499999999</v>
      </c>
      <c r="N81" s="5088">
        <f t="shared" si="105"/>
        <v>260.13689963803597</v>
      </c>
      <c r="O81" s="320">
        <f>SUM(M81:N81)</f>
        <v>952.33381463803596</v>
      </c>
      <c r="P81" s="4923">
        <f t="shared" si="105"/>
        <v>1268.6518744599734</v>
      </c>
      <c r="Q81" s="4923">
        <f t="shared" si="105"/>
        <v>1338.297994586409</v>
      </c>
      <c r="R81" s="4923">
        <f t="shared" si="105"/>
        <v>1326.0075027993907</v>
      </c>
      <c r="S81" s="4923">
        <f t="shared" si="105"/>
        <v>1333.3245611326477</v>
      </c>
      <c r="T81" s="4924">
        <f t="shared" ref="T81" si="106">IFERROR(T84*T85,"n.p")</f>
        <v>1325.5967772892902</v>
      </c>
    </row>
    <row r="82" spans="1:22" ht="12" customHeight="1">
      <c r="C82" s="4892"/>
      <c r="F82" s="3" t="s">
        <v>1352</v>
      </c>
      <c r="H82" s="110" t="s">
        <v>3487</v>
      </c>
      <c r="J82" s="220">
        <f>Revenue!J55</f>
        <v>1584.3124999999991</v>
      </c>
      <c r="K82" s="221">
        <f>Revenue!K55</f>
        <v>1675.5292999999999</v>
      </c>
      <c r="L82" s="221">
        <f>Revenue!L55</f>
        <v>1648.8732</v>
      </c>
      <c r="M82" s="5063">
        <f>Revenue!M55</f>
        <v>1195.6563000000001</v>
      </c>
      <c r="N82" s="5060">
        <f>Revenue!N55</f>
        <v>449.3436999999999</v>
      </c>
      <c r="O82" s="320">
        <f>SUM(M82:N82)</f>
        <v>1645</v>
      </c>
      <c r="P82" s="4882">
        <f>Revenue!P55</f>
        <v>1858</v>
      </c>
      <c r="Q82" s="4882">
        <f>Revenue!Q55</f>
        <v>1960</v>
      </c>
      <c r="R82" s="4882">
        <f>Revenue!R55</f>
        <v>1942</v>
      </c>
      <c r="S82" s="4882">
        <f>Revenue!S55</f>
        <v>1952.7161741190648</v>
      </c>
      <c r="T82" s="4895">
        <f>Revenue!T55</f>
        <v>1941.3984732824426</v>
      </c>
    </row>
    <row r="83" spans="1:22" ht="12" customHeight="1">
      <c r="C83" s="4892"/>
      <c r="F83" s="3" t="s">
        <v>1354</v>
      </c>
      <c r="H83" s="110" t="s">
        <v>2702</v>
      </c>
      <c r="J83" s="286">
        <f>Assumption!J217</f>
        <v>0.97556075008700915</v>
      </c>
      <c r="K83" s="246">
        <f>Assumption!K217</f>
        <v>1.0686253115286473</v>
      </c>
      <c r="L83" s="246">
        <f>Assumption!L217</f>
        <v>1.2756017269116773</v>
      </c>
      <c r="M83" s="5067">
        <f>Assumption!M217</f>
        <v>1.412295522841964</v>
      </c>
      <c r="N83" s="5068">
        <f>Assumption!N217</f>
        <v>1.412295522841964</v>
      </c>
      <c r="O83" s="373">
        <f>O82/O84</f>
        <v>1.412295522841964</v>
      </c>
      <c r="P83" s="4905">
        <f>Assumption!P217</f>
        <v>1.1974354999882706</v>
      </c>
      <c r="Q83" s="4905">
        <f>Assumption!Q217</f>
        <v>1.1974354999882706</v>
      </c>
      <c r="R83" s="4905">
        <f>Assumption!R217</f>
        <v>1.1974354999882706</v>
      </c>
      <c r="S83" s="4905">
        <f>Assumption!S217</f>
        <v>1.1974354999882706</v>
      </c>
      <c r="T83" s="4906">
        <f>Assumption!T217</f>
        <v>1.1974354999882706</v>
      </c>
      <c r="V83" s="2511">
        <f>+T83-O83</f>
        <v>-0.21486002285369343</v>
      </c>
    </row>
    <row r="84" spans="1:22" ht="12" customHeight="1">
      <c r="C84" s="4892"/>
      <c r="F84" s="3" t="s">
        <v>1356</v>
      </c>
      <c r="H84" s="110" t="s">
        <v>3487</v>
      </c>
      <c r="J84" s="319">
        <f>IFERROR(J82/J83,"n.p")</f>
        <v>1624.001888</v>
      </c>
      <c r="K84" s="320">
        <f t="shared" ref="K84:S84" si="107">IFERROR(K82/K83,"n.p")</f>
        <v>1567.9296400000001</v>
      </c>
      <c r="L84" s="616">
        <f t="shared" si="107"/>
        <v>1292.6238379999998</v>
      </c>
      <c r="M84" s="5102">
        <f t="shared" si="107"/>
        <v>846.60489300000006</v>
      </c>
      <c r="N84" s="5088">
        <f t="shared" si="107"/>
        <v>318.16549208892559</v>
      </c>
      <c r="O84" s="320">
        <f>SUM(M84:N84)</f>
        <v>1164.7703850889257</v>
      </c>
      <c r="P84" s="4923">
        <f t="shared" si="107"/>
        <v>1551.6493372863924</v>
      </c>
      <c r="Q84" s="4923">
        <f t="shared" si="107"/>
        <v>1636.8313784076045</v>
      </c>
      <c r="R84" s="4923">
        <f t="shared" si="107"/>
        <v>1621.7992535038611</v>
      </c>
      <c r="S84" s="4923">
        <f t="shared" si="107"/>
        <v>1630.7485239398636</v>
      </c>
      <c r="T84" s="4924">
        <f t="shared" ref="T84" si="108">IFERROR(T82/T83,"n.p")</f>
        <v>1621.2969076843467</v>
      </c>
    </row>
    <row r="85" spans="1:22" ht="12" customHeight="1">
      <c r="C85" s="4892"/>
      <c r="F85" s="3" t="s">
        <v>1315</v>
      </c>
      <c r="H85" s="110" t="s">
        <v>2702</v>
      </c>
      <c r="J85" s="286">
        <f>Assumption!J248</f>
        <v>0.83001951657829587</v>
      </c>
      <c r="K85" s="246">
        <f>Assumption!K248</f>
        <v>0.82320037269019286</v>
      </c>
      <c r="L85" s="246">
        <f>Assumption!L248</f>
        <v>0.81449508979270446</v>
      </c>
      <c r="M85" s="5067">
        <f>Assumption!M248</f>
        <v>0.81761506544942675</v>
      </c>
      <c r="N85" s="5068">
        <f>Assumption!N248</f>
        <v>0.81761506544942675</v>
      </c>
      <c r="O85" s="373">
        <f>O81/O84</f>
        <v>0.81761506544942675</v>
      </c>
      <c r="P85" s="4905">
        <f>Assumption!P248</f>
        <v>0.81761506544942675</v>
      </c>
      <c r="Q85" s="4905">
        <f>Assumption!Q248</f>
        <v>0.81761506544942675</v>
      </c>
      <c r="R85" s="4905">
        <f>Assumption!R248</f>
        <v>0.81761506544942675</v>
      </c>
      <c r="S85" s="4905">
        <f>Assumption!S248</f>
        <v>0.81761506544942675</v>
      </c>
      <c r="T85" s="4906">
        <f>Assumption!T248</f>
        <v>0.81761506544942675</v>
      </c>
      <c r="V85" s="2511">
        <f>+T85-O85</f>
        <v>0</v>
      </c>
    </row>
    <row r="86" spans="1:22" ht="12" customHeight="1">
      <c r="C86" s="4892"/>
      <c r="D86" s="3" t="s">
        <v>266</v>
      </c>
      <c r="J86" s="220">
        <f>SUMIFS('과거손익(Summary)'!$H$3:$H$54,'과거손익(Summary)'!$E$3:$E$54,J$28,'과거손익(Summary)'!$B$3:$B$54,$D86)</f>
        <v>2548.434604</v>
      </c>
      <c r="K86" s="221">
        <f>SUMIFS('과거손익(Summary)'!$H$3:$H$54,'과거손익(Summary)'!$E$3:$E$54,K$28,'과거손익(Summary)'!$B$3:$B$54,$D86)</f>
        <v>3451.7423319999998</v>
      </c>
      <c r="L86" s="221">
        <f>SUMIFS('과거손익(Summary)'!$H$3:$H$54,'과거손익(Summary)'!$E$3:$E$54,L$28,'과거손익(Summary)'!$B$3:$B$54,$D86)</f>
        <v>3279.269272</v>
      </c>
      <c r="M86" s="5063">
        <f>SUMIFS('과거손익(Summary)'!$H$3:$H$54,'과거손익(Summary)'!$E$3:$E$54,M$28,'과거손익(Summary)'!$B$3:$B$54,$D86)</f>
        <v>3601.2722359999998</v>
      </c>
      <c r="N86" s="5050">
        <f>N88*N92</f>
        <v>1084.8157116887719</v>
      </c>
      <c r="O86" s="105">
        <f>SUM(M86:N86)</f>
        <v>4686.0879476887712</v>
      </c>
      <c r="P86" s="4879">
        <f t="shared" ref="P86" si="109">P88*P92</f>
        <v>4964.9923250574393</v>
      </c>
      <c r="Q86" s="4879">
        <f t="shared" ref="Q86" si="110">Q88*Q92</f>
        <v>5829.1797564980543</v>
      </c>
      <c r="R86" s="4879">
        <f t="shared" ref="R86" si="111">R88*R92</f>
        <v>5710.370171585977</v>
      </c>
      <c r="S86" s="4879">
        <f t="shared" ref="S86:T86" si="112">S88*S92</f>
        <v>5646.8221654053177</v>
      </c>
      <c r="T86" s="4903">
        <f t="shared" si="112"/>
        <v>5713.5968158952701</v>
      </c>
    </row>
    <row r="87" spans="1:22" s="400" customFormat="1" ht="12" customHeight="1">
      <c r="A87" s="45"/>
      <c r="B87" s="45"/>
      <c r="C87" s="4890"/>
      <c r="D87" s="45" t="s">
        <v>32</v>
      </c>
      <c r="E87" s="45"/>
      <c r="F87" s="45"/>
      <c r="G87" s="45"/>
      <c r="H87" s="110" t="s">
        <v>360</v>
      </c>
      <c r="I87" s="45"/>
      <c r="J87" s="2039">
        <f>J86/Revenue!J56</f>
        <v>0.44975423965615902</v>
      </c>
      <c r="K87" s="1912">
        <f>K86/Revenue!K56</f>
        <v>0.57958667214792625</v>
      </c>
      <c r="L87" s="1912">
        <f>L86/Revenue!L56</f>
        <v>0.4837118469539064</v>
      </c>
      <c r="M87" s="5089">
        <f>M86/Revenue!M56</f>
        <v>0.56759387207263645</v>
      </c>
      <c r="N87" s="5078">
        <f>N86/Revenue!N56</f>
        <v>0.6534369990905694</v>
      </c>
      <c r="O87" s="399">
        <f>O86/Revenue!O56</f>
        <v>0.58539706422852988</v>
      </c>
      <c r="P87" s="4912">
        <f>P86/Revenue!P56</f>
        <v>0.53615034058833644</v>
      </c>
      <c r="Q87" s="4912">
        <f>Q86/Revenue!Q56</f>
        <v>0.53652153043864381</v>
      </c>
      <c r="R87" s="4912">
        <f>R86/Revenue!R56</f>
        <v>0.53658539776028713</v>
      </c>
      <c r="S87" s="4912">
        <f>S86/Revenue!S56</f>
        <v>0.53658446133200466</v>
      </c>
      <c r="T87" s="4928">
        <f>T86/Revenue!T56</f>
        <v>0.53656603988915441</v>
      </c>
      <c r="U87" s="289"/>
      <c r="V87" s="2511">
        <f>+T87-O87</f>
        <v>-4.8831024339375473E-2</v>
      </c>
    </row>
    <row r="88" spans="1:22" ht="12" customHeight="1">
      <c r="C88" s="4892"/>
      <c r="E88" s="3" t="s">
        <v>1301</v>
      </c>
      <c r="H88" s="110" t="s">
        <v>3511</v>
      </c>
      <c r="J88" s="3032">
        <f t="shared" ref="J88" si="113">IFERROR(J86/J92,"n.p")</f>
        <v>32.58713095357929</v>
      </c>
      <c r="K88" s="2350">
        <f t="shared" ref="K88" si="114">IFERROR(K86/K92,"n.p")</f>
        <v>30.497846763739872</v>
      </c>
      <c r="L88" s="2350">
        <f t="shared" ref="L88" si="115">IFERROR(L86/L92,"n.p")</f>
        <v>32.420956945548468</v>
      </c>
      <c r="M88" s="5087">
        <f t="shared" ref="M88" si="116">IFERROR(M86/M92,"n.p")</f>
        <v>35.002021148311712</v>
      </c>
      <c r="N88" s="5103">
        <f>(N89-N90)*N91/10^6</f>
        <v>38.630269187395228</v>
      </c>
      <c r="O88" s="2350">
        <f>O86/O92</f>
        <v>35.779976764593897</v>
      </c>
      <c r="P88" s="4929">
        <f t="shared" ref="P88" si="117">(P89-P90)*P91/10^6</f>
        <v>36.153024214819432</v>
      </c>
      <c r="Q88" s="4929">
        <f t="shared" ref="Q88" si="118">(Q89-Q90)*Q91/10^6</f>
        <v>36.591103701317429</v>
      </c>
      <c r="R88" s="4929">
        <f t="shared" ref="R88" si="119">(R89-R90)*R91/10^6</f>
        <v>37.125498168846981</v>
      </c>
      <c r="S88" s="4929">
        <f t="shared" ref="S88:T88" si="120">(S89-S90)*S91/10^6</f>
        <v>36.977681512071371</v>
      </c>
      <c r="T88" s="4930">
        <f t="shared" si="120"/>
        <v>37.63306558498158</v>
      </c>
    </row>
    <row r="89" spans="1:22" ht="12" customHeight="1">
      <c r="C89" s="4892"/>
      <c r="F89" s="3" t="s">
        <v>3541</v>
      </c>
      <c r="H89" s="110" t="s">
        <v>3463</v>
      </c>
      <c r="J89" s="319">
        <f>J88*10^6/J91+J90</f>
        <v>30994.037386196673</v>
      </c>
      <c r="K89" s="320">
        <f t="shared" ref="K89" si="121">K88*10^6/K91+K90</f>
        <v>26674.551344457512</v>
      </c>
      <c r="L89" s="320">
        <f t="shared" ref="L89" si="122">L88*10^6/L91+L90</f>
        <v>27943.73074733726</v>
      </c>
      <c r="M89" s="5069">
        <f t="shared" ref="M89" si="123">M88*10^6/M91+M90</f>
        <v>31391.372166643261</v>
      </c>
      <c r="N89" s="5060">
        <f>Assumption!N25</f>
        <v>33108.995649283184</v>
      </c>
      <c r="O89" s="368"/>
      <c r="P89" s="4882">
        <f>Assumption!P25</f>
        <v>32150.746568627979</v>
      </c>
      <c r="Q89" s="4882">
        <f>Assumption!Q25</f>
        <v>32633.0077671574</v>
      </c>
      <c r="R89" s="4882">
        <f>Assumption!R25</f>
        <v>33211.721205392707</v>
      </c>
      <c r="S89" s="4882">
        <f>Assumption!S25</f>
        <v>33790.43464362801</v>
      </c>
      <c r="T89" s="4895">
        <f>Assumption!T25</f>
        <v>34380.33929971281</v>
      </c>
    </row>
    <row r="90" spans="1:22" ht="12" customHeight="1">
      <c r="C90" s="4892"/>
      <c r="F90" s="3" t="s">
        <v>3550</v>
      </c>
      <c r="H90" s="110" t="s">
        <v>3463</v>
      </c>
      <c r="J90" s="220">
        <f>Assumption!J157</f>
        <v>581.40935816448189</v>
      </c>
      <c r="K90" s="221">
        <f>Assumption!K157</f>
        <v>510.7399398850697</v>
      </c>
      <c r="L90" s="221">
        <f>Assumption!L157</f>
        <v>469.50766734194735</v>
      </c>
      <c r="M90" s="5063">
        <f>Assumption!M157</f>
        <v>440.69189672908044</v>
      </c>
      <c r="N90" s="5060">
        <f>Assumption!N157</f>
        <v>440.69189672908044</v>
      </c>
      <c r="O90" s="368"/>
      <c r="P90" s="4882">
        <f>Assumption!P157</f>
        <v>507.82720443603205</v>
      </c>
      <c r="Q90" s="4882">
        <f>Assumption!Q157</f>
        <v>505.95767600552432</v>
      </c>
      <c r="R90" s="4882">
        <f>Assumption!R157</f>
        <v>507.79399534427552</v>
      </c>
      <c r="S90" s="4882">
        <f>Assumption!S157</f>
        <v>507.19295859527733</v>
      </c>
      <c r="T90" s="4895">
        <f>Assumption!T157</f>
        <v>507.19295859527733</v>
      </c>
    </row>
    <row r="91" spans="1:22" ht="12" customHeight="1">
      <c r="C91" s="4892"/>
      <c r="F91" s="3" t="s">
        <v>326</v>
      </c>
      <c r="H91" s="110" t="s">
        <v>3549</v>
      </c>
      <c r="J91" s="220">
        <f>Revenue!J61</f>
        <v>1071.5000007083504</v>
      </c>
      <c r="K91" s="221">
        <f>Revenue!K61</f>
        <v>1165.6500000000001</v>
      </c>
      <c r="L91" s="221">
        <f>Revenue!L61</f>
        <v>1180.05</v>
      </c>
      <c r="M91" s="5063">
        <f>Revenue!M61</f>
        <v>1130.8966666666665</v>
      </c>
      <c r="N91" s="5060">
        <f>Assumption!N$78</f>
        <v>1182.5</v>
      </c>
      <c r="O91" s="368"/>
      <c r="P91" s="4882">
        <f>Assumption!P$78</f>
        <v>1142.53125</v>
      </c>
      <c r="Q91" s="4882">
        <f>Assumption!Q$78</f>
        <v>1138.95</v>
      </c>
      <c r="R91" s="4882">
        <f>Assumption!R$78</f>
        <v>1135.2</v>
      </c>
      <c r="S91" s="4882">
        <f>Assumption!S$78</f>
        <v>1111</v>
      </c>
      <c r="T91" s="4895">
        <f>Assumption!T$78</f>
        <v>1111</v>
      </c>
    </row>
    <row r="92" spans="1:22" ht="12" customHeight="1">
      <c r="C92" s="4892"/>
      <c r="E92" s="3" t="s">
        <v>1303</v>
      </c>
      <c r="H92" s="110" t="s">
        <v>3487</v>
      </c>
      <c r="J92" s="319">
        <f>IFERROR(J95*J96,"n.p")</f>
        <v>78.203711999999996</v>
      </c>
      <c r="K92" s="320">
        <f t="shared" ref="K92:S92" si="124">IFERROR(K95*K96,"n.p")</f>
        <v>113.17987000000001</v>
      </c>
      <c r="L92" s="2350">
        <f t="shared" si="124"/>
        <v>101.146591</v>
      </c>
      <c r="M92" s="5087">
        <f t="shared" si="124"/>
        <v>102.88755099999999</v>
      </c>
      <c r="N92" s="5088">
        <f t="shared" si="124"/>
        <v>28.082012745661611</v>
      </c>
      <c r="O92" s="320">
        <f>SUM(M92:N92)</f>
        <v>130.96956374566159</v>
      </c>
      <c r="P92" s="4923">
        <f t="shared" si="124"/>
        <v>137.33269713636423</v>
      </c>
      <c r="Q92" s="4923">
        <f t="shared" si="124"/>
        <v>159.30592867818251</v>
      </c>
      <c r="R92" s="4923">
        <f t="shared" si="124"/>
        <v>153.81262079272796</v>
      </c>
      <c r="S92" s="4923">
        <f t="shared" si="124"/>
        <v>152.7089296705071</v>
      </c>
      <c r="T92" s="4924">
        <f t="shared" ref="T92" si="125">IFERROR(T95*T96,"n.p")</f>
        <v>151.82384764783617</v>
      </c>
    </row>
    <row r="93" spans="1:22" ht="12" customHeight="1">
      <c r="C93" s="4892"/>
      <c r="F93" s="3" t="s">
        <v>1352</v>
      </c>
      <c r="H93" s="110" t="s">
        <v>3487</v>
      </c>
      <c r="J93" s="220">
        <f>Revenue!J62</f>
        <v>180.76269999999988</v>
      </c>
      <c r="K93" s="221">
        <f>Revenue!K62</f>
        <v>182.15029999999999</v>
      </c>
      <c r="L93" s="221">
        <f>Revenue!L62</f>
        <v>199.13170000000002</v>
      </c>
      <c r="M93" s="5063">
        <f>Revenue!M62</f>
        <v>153.9744</v>
      </c>
      <c r="N93" s="5060">
        <f>Revenue!N62</f>
        <v>42.025599999999997</v>
      </c>
      <c r="O93" s="320">
        <f>SUM(M93:N93)</f>
        <v>196</v>
      </c>
      <c r="P93" s="4882">
        <f>Revenue!P62</f>
        <v>250</v>
      </c>
      <c r="Q93" s="4882">
        <f>Revenue!Q62</f>
        <v>290</v>
      </c>
      <c r="R93" s="4882">
        <f>Revenue!R62</f>
        <v>280</v>
      </c>
      <c r="S93" s="4882">
        <f>Revenue!S62</f>
        <v>277.99084423222803</v>
      </c>
      <c r="T93" s="4895">
        <f>Revenue!T62</f>
        <v>276.37964376590332</v>
      </c>
    </row>
    <row r="94" spans="1:22" ht="12" customHeight="1">
      <c r="C94" s="4892"/>
      <c r="F94" s="3" t="s">
        <v>1354</v>
      </c>
      <c r="H94" s="110" t="s">
        <v>2702</v>
      </c>
      <c r="J94" s="286">
        <f>Assumption!J220</f>
        <v>1.7202051916437062</v>
      </c>
      <c r="K94" s="246">
        <f>Assumption!K220</f>
        <v>1.1196802658224145</v>
      </c>
      <c r="L94" s="246">
        <f>Assumption!L220</f>
        <v>1.4461873404268122</v>
      </c>
      <c r="M94" s="5067">
        <f>Assumption!M220</f>
        <v>1.1122726982693676</v>
      </c>
      <c r="N94" s="5068">
        <f>Assumption!N220</f>
        <v>1.1122726982693676</v>
      </c>
      <c r="O94" s="373">
        <f>O93/O95</f>
        <v>1.1122726982693678</v>
      </c>
      <c r="P94" s="4905">
        <f>Assumption!P220</f>
        <v>1.3529808385197797</v>
      </c>
      <c r="Q94" s="4905">
        <f>Assumption!Q220</f>
        <v>1.3529808385197797</v>
      </c>
      <c r="R94" s="4905">
        <f>Assumption!R220</f>
        <v>1.3529808385197797</v>
      </c>
      <c r="S94" s="4905">
        <f>Assumption!S220</f>
        <v>1.3529808385197797</v>
      </c>
      <c r="T94" s="4906">
        <f>Assumption!T220</f>
        <v>1.3529808385197797</v>
      </c>
      <c r="V94" s="2511">
        <f>+T94-O94</f>
        <v>0.24070814025041187</v>
      </c>
    </row>
    <row r="95" spans="1:22" ht="12" customHeight="1">
      <c r="C95" s="4892"/>
      <c r="F95" s="3" t="s">
        <v>1356</v>
      </c>
      <c r="H95" s="110" t="s">
        <v>3487</v>
      </c>
      <c r="J95" s="319">
        <f>IFERROR(J93/J94,"n.p")</f>
        <v>105.08205700000001</v>
      </c>
      <c r="K95" s="320">
        <f t="shared" ref="K95" si="126">IFERROR(K93/K94,"n.p")</f>
        <v>162.68063799999999</v>
      </c>
      <c r="L95" s="616">
        <f t="shared" ref="L95" si="127">IFERROR(L93/L94,"n.p")</f>
        <v>137.69426300000001</v>
      </c>
      <c r="M95" s="5087">
        <f t="shared" ref="M95" si="128">IFERROR(M93/M94,"n.p")</f>
        <v>138.43223900000001</v>
      </c>
      <c r="N95" s="5088">
        <f t="shared" ref="N95" si="129">IFERROR(N93/N94,"n.p")</f>
        <v>37.783540012615084</v>
      </c>
      <c r="O95" s="320">
        <f>SUM(M95:N95)</f>
        <v>176.21577901261509</v>
      </c>
      <c r="P95" s="4923">
        <f t="shared" ref="P95" si="130">IFERROR(P93/P94,"n.p")</f>
        <v>184.77719187324999</v>
      </c>
      <c r="Q95" s="4923">
        <f t="shared" ref="Q95" si="131">IFERROR(Q93/Q94,"n.p")</f>
        <v>214.34154257296998</v>
      </c>
      <c r="R95" s="4923">
        <f t="shared" ref="R95" si="132">IFERROR(R93/R94,"n.p")</f>
        <v>206.95045489803999</v>
      </c>
      <c r="S95" s="4923">
        <f t="shared" ref="S95:T95" si="133">IFERROR(S93/S94,"n.p")</f>
        <v>205.46547025482059</v>
      </c>
      <c r="T95" s="4924">
        <f t="shared" si="133"/>
        <v>204.2746178639712</v>
      </c>
    </row>
    <row r="96" spans="1:22" ht="12" customHeight="1">
      <c r="C96" s="4892"/>
      <c r="F96" s="3" t="s">
        <v>1315</v>
      </c>
      <c r="H96" s="110" t="s">
        <v>2702</v>
      </c>
      <c r="J96" s="286">
        <f>Assumption!J249</f>
        <v>0.74421565615145879</v>
      </c>
      <c r="K96" s="246">
        <f>Assumption!K249</f>
        <v>0.69571813456989284</v>
      </c>
      <c r="L96" s="246">
        <f>Assumption!L249</f>
        <v>0.73457374908931383</v>
      </c>
      <c r="M96" s="5067">
        <f>Assumption!M249</f>
        <v>0.74323403091096418</v>
      </c>
      <c r="N96" s="5068">
        <f>Assumption!N249</f>
        <v>0.74323403091096418</v>
      </c>
      <c r="O96" s="373">
        <f>O92/O95</f>
        <v>0.74323403091096418</v>
      </c>
      <c r="P96" s="4905">
        <f>Assumption!P249</f>
        <v>0.74323403091096418</v>
      </c>
      <c r="Q96" s="4905">
        <f>Assumption!Q249</f>
        <v>0.74323403091096418</v>
      </c>
      <c r="R96" s="4905">
        <f>Assumption!R249</f>
        <v>0.74323403091096418</v>
      </c>
      <c r="S96" s="4905">
        <f>Assumption!S249</f>
        <v>0.74323403091096418</v>
      </c>
      <c r="T96" s="4906">
        <f>Assumption!T249</f>
        <v>0.74323403091096418</v>
      </c>
      <c r="V96" s="2511">
        <f>+T96-O96</f>
        <v>0</v>
      </c>
    </row>
    <row r="97" spans="1:25" ht="12" customHeight="1">
      <c r="C97" s="4892"/>
      <c r="D97" s="3" t="s">
        <v>5587</v>
      </c>
      <c r="J97" s="220">
        <f>SUMIFS('과거손익(Summary)'!$H$3:$H$54,'과거손익(Summary)'!$E$3:$E$54,J$28,'과거손익(Summary)'!$B$3:$B$54,$D97)</f>
        <v>360.88403299999999</v>
      </c>
      <c r="K97" s="221">
        <f>SUMIFS('과거손익(Summary)'!$H$3:$H$54,'과거손익(Summary)'!$E$3:$E$54,K$28,'과거손익(Summary)'!$B$3:$B$54,$D97)</f>
        <v>1148.4467850000001</v>
      </c>
      <c r="L97" s="221">
        <f>SUMIFS('과거손익(Summary)'!$H$3:$H$54,'과거손익(Summary)'!$E$3:$E$54,L$28,'과거손익(Summary)'!$B$3:$B$54,$D97)</f>
        <v>914.7077589999999</v>
      </c>
      <c r="M97" s="5063">
        <f>SUMIFS('과거손익(Summary)'!$H$3:$H$54,'과거손익(Summary)'!$E$3:$E$54,M$28,'과거손익(Summary)'!$B$3:$B$54,$D97)</f>
        <v>1222.7519649999999</v>
      </c>
      <c r="N97" s="5050">
        <f>Revenue!N63*Assumption!N172</f>
        <v>545.33739273746698</v>
      </c>
      <c r="O97" s="105">
        <f>SUM(M97:N97)</f>
        <v>1768.0893577374668</v>
      </c>
      <c r="P97" s="4879">
        <f>Revenue!P63*Assumption!P172</f>
        <v>1827.9641997246752</v>
      </c>
      <c r="Q97" s="4879">
        <f>Revenue!Q63*Assumption!Q172</f>
        <v>1684.5354586763192</v>
      </c>
      <c r="R97" s="4879">
        <f>Revenue!R63*Assumption!R172</f>
        <v>2076.2062515391372</v>
      </c>
      <c r="S97" s="4879">
        <f>Revenue!S63*Assumption!S172</f>
        <v>2106.3463269415015</v>
      </c>
      <c r="T97" s="4903">
        <f>Revenue!T63*Assumption!T172</f>
        <v>2104.1209876788444</v>
      </c>
    </row>
    <row r="98" spans="1:25" ht="12" customHeight="1">
      <c r="C98" s="4892"/>
      <c r="D98" s="3" t="s">
        <v>32</v>
      </c>
      <c r="H98" s="110" t="s">
        <v>360</v>
      </c>
      <c r="J98" s="2039">
        <f>J97/Revenue!J63</f>
        <v>3.3015809444772656E-2</v>
      </c>
      <c r="K98" s="1912">
        <f>K97/Revenue!K63</f>
        <v>8.5759752590821289E-2</v>
      </c>
      <c r="L98" s="1912">
        <f>L97/Revenue!L63</f>
        <v>6.8853904107728084E-2</v>
      </c>
      <c r="M98" s="5089">
        <f>M97/Revenue!M63</f>
        <v>0.10902154229884148</v>
      </c>
      <c r="N98" s="5090">
        <f>N97/Revenue!N63</f>
        <v>0.10902154229884149</v>
      </c>
      <c r="O98" s="1912">
        <f>O97/Revenue!O63</f>
        <v>0.10902154229884148</v>
      </c>
      <c r="P98" s="4919">
        <f>P97/Revenue!P63</f>
        <v>0.10902154229884148</v>
      </c>
      <c r="Q98" s="4919">
        <f>Q97/Revenue!Q63</f>
        <v>0.10902154229884148</v>
      </c>
      <c r="R98" s="4919">
        <f>R97/Revenue!R63</f>
        <v>0.10902154229884148</v>
      </c>
      <c r="S98" s="4919">
        <f>S97/Revenue!S63</f>
        <v>0.10902154229884148</v>
      </c>
      <c r="T98" s="4920">
        <f>T97/Revenue!T63</f>
        <v>0.10902154229884148</v>
      </c>
      <c r="V98" s="2511">
        <f>+T98-O98</f>
        <v>0</v>
      </c>
    </row>
    <row r="99" spans="1:25" ht="12" customHeight="1">
      <c r="C99" s="4892"/>
      <c r="D99" s="3" t="s">
        <v>244</v>
      </c>
      <c r="J99" s="220">
        <f>SUMIFS('과거손익(Summary)'!$H$3:$H$54,'과거손익(Summary)'!$E$3:$E$54,J$28,'과거손익(Summary)'!$B$3:$B$54,$D99)</f>
        <v>-7.4200000000000004E-3</v>
      </c>
      <c r="K99" s="221">
        <f>SUMIFS('과거손익(Summary)'!$H$3:$H$54,'과거손익(Summary)'!$E$3:$E$54,K$28,'과거손익(Summary)'!$B$3:$B$54,$D99)</f>
        <v>0</v>
      </c>
      <c r="L99" s="221">
        <f>SUMIFS('과거손익(Summary)'!$H$3:$H$54,'과거손익(Summary)'!$E$3:$E$54,L$28,'과거손익(Summary)'!$B$3:$B$54,$D99)</f>
        <v>0</v>
      </c>
      <c r="M99" s="5063">
        <f>SUMIFS('과거손익(Summary)'!$H$3:$H$54,'과거손익(Summary)'!$E$3:$E$54,M$28,'과거손익(Summary)'!$B$3:$B$54,$D99)</f>
        <v>824.58789999999999</v>
      </c>
      <c r="N99" s="5088">
        <f>Revenue!N67*Assumption!N173</f>
        <v>0</v>
      </c>
      <c r="O99" s="320">
        <f>SUM(M99:N99)</f>
        <v>824.58789999999999</v>
      </c>
      <c r="P99" s="4923">
        <f>Revenue!P67*Assumption!P173</f>
        <v>0</v>
      </c>
      <c r="Q99" s="4923">
        <f>Revenue!Q67*Assumption!Q173</f>
        <v>0</v>
      </c>
      <c r="R99" s="4923">
        <f>Revenue!R67*Assumption!R173</f>
        <v>0</v>
      </c>
      <c r="S99" s="4923">
        <f>Revenue!S67*Assumption!S173</f>
        <v>0</v>
      </c>
      <c r="T99" s="4924">
        <f>Revenue!T67*Assumption!T173</f>
        <v>0</v>
      </c>
    </row>
    <row r="100" spans="1:25" s="400" customFormat="1" ht="12" customHeight="1">
      <c r="A100" s="45"/>
      <c r="B100" s="45"/>
      <c r="C100" s="4890"/>
      <c r="D100" s="45" t="s">
        <v>32</v>
      </c>
      <c r="E100" s="45"/>
      <c r="F100" s="45"/>
      <c r="G100" s="45"/>
      <c r="H100" s="110" t="s">
        <v>360</v>
      </c>
      <c r="I100" s="45"/>
      <c r="J100" s="2039">
        <f>J99/Revenue!J67</f>
        <v>-1.6664945342890037E-7</v>
      </c>
      <c r="K100" s="1912">
        <f>K99/Revenue!K67</f>
        <v>0</v>
      </c>
      <c r="L100" s="1912">
        <f>L99/Revenue!L67</f>
        <v>0</v>
      </c>
      <c r="M100" s="5089">
        <f>M99/Revenue!M67</f>
        <v>1.3188934633681138E-2</v>
      </c>
      <c r="N100" s="5090">
        <f>N99/Revenue!N67</f>
        <v>0</v>
      </c>
      <c r="O100" s="1912">
        <f>O99/Revenue!O67</f>
        <v>9.8831517775702198E-3</v>
      </c>
      <c r="P100" s="4919">
        <f>P99/Revenue!P67</f>
        <v>0</v>
      </c>
      <c r="Q100" s="4919">
        <f>Q99/Revenue!Q67</f>
        <v>0</v>
      </c>
      <c r="R100" s="4919">
        <f>R99/Revenue!R67</f>
        <v>0</v>
      </c>
      <c r="S100" s="4919">
        <f>S99/Revenue!S67</f>
        <v>0</v>
      </c>
      <c r="T100" s="4920">
        <f>T99/Revenue!T67</f>
        <v>0</v>
      </c>
      <c r="U100" s="289"/>
      <c r="V100" s="2511">
        <f>+T100-O100</f>
        <v>-9.8831517775702198E-3</v>
      </c>
      <c r="W100"/>
      <c r="X100"/>
      <c r="Y100"/>
    </row>
    <row r="101" spans="1:25" ht="12" customHeight="1">
      <c r="C101" s="4892"/>
      <c r="D101" s="3" t="s">
        <v>242</v>
      </c>
      <c r="J101" s="220">
        <f>SUMIFS('과거손익(Summary)'!$H$3:$H$54,'과거손익(Summary)'!$E$3:$E$54,J$28,'과거손익(Summary)'!$B$3:$B$54,$D101)</f>
        <v>1313.1034629999999</v>
      </c>
      <c r="K101" s="221">
        <f>SUMIFS('과거손익(Summary)'!$H$3:$H$54,'과거손익(Summary)'!$E$3:$E$54,K$28,'과거손익(Summary)'!$B$3:$B$54,$D101)</f>
        <v>851.40905399999997</v>
      </c>
      <c r="L101" s="221">
        <f>SUMIFS('과거손익(Summary)'!$H$3:$H$54,'과거손익(Summary)'!$E$3:$E$54,L$28,'과거손익(Summary)'!$B$3:$B$54,$D101)</f>
        <v>85.892174999999995</v>
      </c>
      <c r="M101" s="5063">
        <f>SUMIFS('과거손익(Summary)'!$H$3:$H$54,'과거손익(Summary)'!$E$3:$E$54,M$28,'과거손익(Summary)'!$B$3:$B$54,$D101)</f>
        <v>12.040129</v>
      </c>
      <c r="N101" s="5050">
        <f>Revenue!N71*Assumption!N174</f>
        <v>0</v>
      </c>
      <c r="O101" s="320">
        <f t="shared" ref="O101:O109" si="134">SUM(M101:N101)</f>
        <v>12.040129</v>
      </c>
      <c r="P101" s="4879">
        <f>Revenue!P71*Assumption!P174</f>
        <v>0</v>
      </c>
      <c r="Q101" s="4879">
        <f>Revenue!Q71*Assumption!Q174</f>
        <v>0</v>
      </c>
      <c r="R101" s="4879">
        <f>Revenue!R71*Assumption!R174</f>
        <v>0</v>
      </c>
      <c r="S101" s="4879">
        <f>Revenue!S71*Assumption!S174</f>
        <v>0</v>
      </c>
      <c r="T101" s="4903">
        <f>Revenue!T71*Assumption!T174</f>
        <v>0</v>
      </c>
    </row>
    <row r="102" spans="1:25" s="400" customFormat="1" ht="12" customHeight="1">
      <c r="A102" s="45"/>
      <c r="B102" s="45"/>
      <c r="C102" s="4890"/>
      <c r="D102" s="45" t="s">
        <v>32</v>
      </c>
      <c r="E102" s="45"/>
      <c r="F102" s="45"/>
      <c r="G102" s="45"/>
      <c r="H102" s="110" t="s">
        <v>360</v>
      </c>
      <c r="I102" s="45"/>
      <c r="J102" s="374">
        <f>J101/Revenue!J71</f>
        <v>2.913183060898485E-2</v>
      </c>
      <c r="K102" s="375">
        <f>K101/Revenue!K71</f>
        <v>1.4892360683935076E-2</v>
      </c>
      <c r="L102" s="1912">
        <f>L101/Revenue!L71</f>
        <v>6.4060330794592007E-3</v>
      </c>
      <c r="M102" s="5089">
        <f>M101/Revenue!M71</f>
        <v>3.662498461534421E-4</v>
      </c>
      <c r="N102" s="5090">
        <f>N101/Revenue!N71</f>
        <v>0</v>
      </c>
      <c r="O102" s="1912">
        <f>O101/Revenue!O71</f>
        <v>2.5561533708159576E-4</v>
      </c>
      <c r="P102" s="4919">
        <f>P101/Revenue!P71</f>
        <v>0</v>
      </c>
      <c r="Q102" s="4919">
        <f>Q101/Revenue!Q71</f>
        <v>0</v>
      </c>
      <c r="R102" s="4919">
        <f>R101/Revenue!R71</f>
        <v>0</v>
      </c>
      <c r="S102" s="4919">
        <f>S101/Revenue!S71</f>
        <v>0</v>
      </c>
      <c r="T102" s="4920">
        <f>T101/Revenue!T71</f>
        <v>0</v>
      </c>
      <c r="U102" s="289"/>
      <c r="V102" s="2511">
        <f>+T102-O102</f>
        <v>-2.5561533708159576E-4</v>
      </c>
      <c r="W102"/>
      <c r="X102"/>
      <c r="Y102"/>
    </row>
    <row r="103" spans="1:25" ht="12" customHeight="1">
      <c r="C103" s="4892"/>
      <c r="D103" s="3" t="s">
        <v>260</v>
      </c>
      <c r="J103" s="220">
        <f>SUMIFS('과거손익(Summary)'!$H$3:$H$54,'과거손익(Summary)'!$E$3:$E$54,J$28,'과거손익(Summary)'!$B$3:$B$54,$D103)</f>
        <v>0</v>
      </c>
      <c r="K103" s="221">
        <f>SUMIFS('과거손익(Summary)'!$H$3:$H$54,'과거손익(Summary)'!$E$3:$E$54,K$28,'과거손익(Summary)'!$B$3:$B$54,$D103)</f>
        <v>0</v>
      </c>
      <c r="L103" s="221">
        <f>SUMIFS('과거손익(Summary)'!$H$3:$H$54,'과거손익(Summary)'!$E$3:$E$54,L$28,'과거손익(Summary)'!$B$3:$B$54,$D103)</f>
        <v>0</v>
      </c>
      <c r="M103" s="5063">
        <f>SUMIFS('과거손익(Summary)'!$H$3:$H$54,'과거손익(Summary)'!$E$3:$E$54,M$28,'과거손익(Summary)'!$B$3:$B$54,$D103)</f>
        <v>0</v>
      </c>
      <c r="N103" s="5050">
        <f>Revenue!N75*Assumption!N175</f>
        <v>0</v>
      </c>
      <c r="O103" s="320">
        <f t="shared" si="134"/>
        <v>0</v>
      </c>
      <c r="P103" s="4879">
        <f>Revenue!P75*Assumption!P175</f>
        <v>0</v>
      </c>
      <c r="Q103" s="4879">
        <f>Revenue!Q75*Assumption!Q175</f>
        <v>0</v>
      </c>
      <c r="R103" s="4879">
        <f>Revenue!R75*Assumption!R175</f>
        <v>0</v>
      </c>
      <c r="S103" s="4879">
        <f>Revenue!S75*Assumption!S175</f>
        <v>0</v>
      </c>
      <c r="T103" s="4903">
        <f>Revenue!T75*Assumption!T175</f>
        <v>0</v>
      </c>
    </row>
    <row r="104" spans="1:25" s="400" customFormat="1" ht="12" customHeight="1">
      <c r="A104" s="45"/>
      <c r="B104" s="45"/>
      <c r="C104" s="4890"/>
      <c r="D104" s="45" t="s">
        <v>32</v>
      </c>
      <c r="E104" s="45"/>
      <c r="F104" s="45"/>
      <c r="G104" s="45"/>
      <c r="H104" s="110" t="s">
        <v>360</v>
      </c>
      <c r="I104" s="45"/>
      <c r="J104" s="2039">
        <f>J103/Revenue!J75</f>
        <v>0</v>
      </c>
      <c r="K104" s="1912">
        <f>K103/Revenue!K75</f>
        <v>0</v>
      </c>
      <c r="L104" s="1912">
        <f>L103/Revenue!L75</f>
        <v>0</v>
      </c>
      <c r="M104" s="5089">
        <f>M103/Revenue!M75</f>
        <v>0</v>
      </c>
      <c r="N104" s="5090">
        <f>N103/Revenue!N75</f>
        <v>0</v>
      </c>
      <c r="O104" s="1912">
        <f>O103/Revenue!O75</f>
        <v>0</v>
      </c>
      <c r="P104" s="4919">
        <f>P103/Revenue!P75</f>
        <v>0</v>
      </c>
      <c r="Q104" s="4919">
        <f>Q103/Revenue!Q75</f>
        <v>0</v>
      </c>
      <c r="R104" s="4919">
        <f>R103/Revenue!R75</f>
        <v>0</v>
      </c>
      <c r="S104" s="4919">
        <f>S103/Revenue!S75</f>
        <v>0</v>
      </c>
      <c r="T104" s="4920">
        <f>T103/Revenue!T75</f>
        <v>0</v>
      </c>
      <c r="U104" s="289"/>
      <c r="V104" s="2511">
        <f>+T104-O104</f>
        <v>0</v>
      </c>
      <c r="W104"/>
      <c r="X104"/>
      <c r="Y104"/>
    </row>
    <row r="105" spans="1:25" ht="12" customHeight="1">
      <c r="C105" s="4892"/>
      <c r="D105" s="3" t="s">
        <v>327</v>
      </c>
      <c r="J105" s="220">
        <f>SUMIFS('과거손익(Summary)'!$H$3:$H$54,'과거손익(Summary)'!$E$3:$E$54,J$28,'과거손익(Summary)'!$B$3:$B$54,$D105)</f>
        <v>18520.601676999999</v>
      </c>
      <c r="K105" s="221">
        <f>SUMIFS('과거손익(Summary)'!$H$3:$H$54,'과거손익(Summary)'!$E$3:$E$54,K$28,'과거손익(Summary)'!$B$3:$B$54,$D105)</f>
        <v>21287.130293999999</v>
      </c>
      <c r="L105" s="221">
        <f>SUMIFS('과거손익(Summary)'!$H$3:$H$54,'과거손익(Summary)'!$E$3:$E$54,L$28,'과거손익(Summary)'!$B$3:$B$54,$D105)</f>
        <v>25609.436794000001</v>
      </c>
      <c r="M105" s="5063">
        <f>SUMIFS('과거손익(Summary)'!$H$3:$H$54,'과거손익(Summary)'!$E$3:$E$54,M$28,'과거손익(Summary)'!$B$3:$B$54,$D105)</f>
        <v>17537.919037</v>
      </c>
      <c r="N105" s="5050">
        <f>Revenue!N79*Assumption!N176</f>
        <v>6485.1071536926866</v>
      </c>
      <c r="O105" s="320">
        <f t="shared" si="134"/>
        <v>24023.026190692686</v>
      </c>
      <c r="P105" s="4879">
        <f>Revenue!P79*Assumption!P176</f>
        <v>23517.230943287395</v>
      </c>
      <c r="Q105" s="4879">
        <f>Revenue!Q79*Assumption!Q176</f>
        <v>24064.992533581353</v>
      </c>
      <c r="R105" s="4879">
        <f>Revenue!R79*Assumption!R176</f>
        <v>24174.544851640148</v>
      </c>
      <c r="S105" s="4879">
        <f>Revenue!S79*Assumption!S176</f>
        <v>24326.493423193398</v>
      </c>
      <c r="T105" s="4903">
        <f>Revenue!T79*Assumption!T176</f>
        <v>24185.500083446022</v>
      </c>
    </row>
    <row r="106" spans="1:25" s="400" customFormat="1" ht="12" customHeight="1">
      <c r="A106" s="45"/>
      <c r="B106" s="45"/>
      <c r="C106" s="4890"/>
      <c r="D106" s="45" t="s">
        <v>32</v>
      </c>
      <c r="E106" s="45"/>
      <c r="F106" s="45"/>
      <c r="G106" s="45"/>
      <c r="H106" s="110" t="s">
        <v>360</v>
      </c>
      <c r="I106" s="45"/>
      <c r="J106" s="2039">
        <f>J105/Revenue!J79</f>
        <v>1.0301592860193052</v>
      </c>
      <c r="K106" s="1912">
        <f>K105/Revenue!K79</f>
        <v>0.90498900500462842</v>
      </c>
      <c r="L106" s="1912">
        <f>L105/Revenue!L79</f>
        <v>0.91782564549397838</v>
      </c>
      <c r="M106" s="5089">
        <f>M105/Revenue!M79</f>
        <v>0.94230752442504107</v>
      </c>
      <c r="N106" s="5090">
        <f>N105/Revenue!N79</f>
        <v>0.94230752442504107</v>
      </c>
      <c r="O106" s="1912">
        <f>O105/Revenue!O79</f>
        <v>0.94230752442504107</v>
      </c>
      <c r="P106" s="4919">
        <f>P105/Revenue!P79</f>
        <v>0.94230752442504107</v>
      </c>
      <c r="Q106" s="4919">
        <f>Q105/Revenue!Q79</f>
        <v>0.94230752442504095</v>
      </c>
      <c r="R106" s="4919">
        <f>R105/Revenue!R79</f>
        <v>0.94230752442504118</v>
      </c>
      <c r="S106" s="4919">
        <f>S105/Revenue!S79</f>
        <v>0.94230752442504107</v>
      </c>
      <c r="T106" s="4920">
        <f>T105/Revenue!T79</f>
        <v>0.94230752442504095</v>
      </c>
      <c r="U106" s="289"/>
      <c r="V106" s="2511">
        <f>+T106-O106</f>
        <v>0</v>
      </c>
      <c r="W106"/>
      <c r="X106"/>
      <c r="Y106"/>
    </row>
    <row r="107" spans="1:25" ht="12" customHeight="1">
      <c r="C107" s="4892"/>
      <c r="D107" s="3" t="s">
        <v>252</v>
      </c>
      <c r="J107" s="220">
        <f>SUMIFS('과거손익(Summary)'!$H$3:$H$54,'과거손익(Summary)'!$E$3:$E$54,J$28,'과거손익(Summary)'!$B$3:$B$54,$D107)</f>
        <v>0</v>
      </c>
      <c r="K107" s="221">
        <f>SUMIFS('과거손익(Summary)'!$H$3:$H$54,'과거손익(Summary)'!$E$3:$E$54,K$28,'과거손익(Summary)'!$B$3:$B$54,$D107)</f>
        <v>0</v>
      </c>
      <c r="L107" s="221">
        <f>SUMIFS('과거손익(Summary)'!$H$3:$H$54,'과거손익(Summary)'!$E$3:$E$54,L$28,'과거손익(Summary)'!$B$3:$B$54,$D107)</f>
        <v>0</v>
      </c>
      <c r="M107" s="5063">
        <f>SUMIFS('과거손익(Summary)'!$H$3:$H$54,'과거손익(Summary)'!$E$3:$E$54,M$28,'과거손익(Summary)'!$B$3:$B$54,$D107)</f>
        <v>0</v>
      </c>
      <c r="N107" s="5050">
        <f>Revenue!N83*Assumption!N177</f>
        <v>0</v>
      </c>
      <c r="O107" s="320">
        <f t="shared" si="134"/>
        <v>0</v>
      </c>
      <c r="P107" s="4879">
        <f>Revenue!P83*Assumption!P177</f>
        <v>0</v>
      </c>
      <c r="Q107" s="4879">
        <f>Revenue!Q83*Assumption!Q177</f>
        <v>0</v>
      </c>
      <c r="R107" s="4879">
        <f>Revenue!R83*Assumption!R177</f>
        <v>0</v>
      </c>
      <c r="S107" s="4879">
        <f>Revenue!S83*Assumption!S177</f>
        <v>0</v>
      </c>
      <c r="T107" s="4903">
        <f>Revenue!T83*Assumption!T177</f>
        <v>0</v>
      </c>
    </row>
    <row r="108" spans="1:25" s="400" customFormat="1" ht="12" customHeight="1">
      <c r="A108" s="45"/>
      <c r="B108" s="45"/>
      <c r="C108" s="4890"/>
      <c r="D108" s="45" t="s">
        <v>32</v>
      </c>
      <c r="E108" s="45"/>
      <c r="F108" s="45"/>
      <c r="G108" s="45"/>
      <c r="H108" s="110" t="s">
        <v>360</v>
      </c>
      <c r="I108" s="45"/>
      <c r="J108" s="2039">
        <f>J107/Revenue!J83</f>
        <v>0</v>
      </c>
      <c r="K108" s="1912">
        <f>K107/Revenue!K83</f>
        <v>0</v>
      </c>
      <c r="L108" s="1912">
        <f>L107/Revenue!L83</f>
        <v>0</v>
      </c>
      <c r="M108" s="5089">
        <f>M107/Revenue!M83</f>
        <v>0</v>
      </c>
      <c r="N108" s="5090">
        <f>N107/Revenue!N83</f>
        <v>0</v>
      </c>
      <c r="O108" s="1912">
        <f>O107/Revenue!O83</f>
        <v>0</v>
      </c>
      <c r="P108" s="4919">
        <f>P107/Revenue!P83</f>
        <v>0</v>
      </c>
      <c r="Q108" s="4919">
        <f>Q107/Revenue!Q83</f>
        <v>0</v>
      </c>
      <c r="R108" s="4919">
        <f>R107/Revenue!R83</f>
        <v>0</v>
      </c>
      <c r="S108" s="4919">
        <f>S107/Revenue!S83</f>
        <v>0</v>
      </c>
      <c r="T108" s="4920">
        <f>T107/Revenue!T83</f>
        <v>0</v>
      </c>
      <c r="U108" s="289"/>
      <c r="V108" s="2511">
        <f>+T108-O108</f>
        <v>0</v>
      </c>
      <c r="W108"/>
      <c r="X108"/>
      <c r="Y108"/>
    </row>
    <row r="109" spans="1:25" ht="12" customHeight="1">
      <c r="C109" s="4892"/>
      <c r="D109" s="3" t="s">
        <v>246</v>
      </c>
      <c r="J109" s="220">
        <f>SUMIFS('과거손익(Summary)'!$H$3:$H$54,'과거손익(Summary)'!$E$3:$E$54,J$28,'과거손익(Summary)'!$B$3:$B$54,$D109)+과거손익_본체!Y69/10^6</f>
        <v>155676.994164</v>
      </c>
      <c r="K109" s="221">
        <f>SUMIFS('과거손익(Summary)'!$H$3:$H$54,'과거손익(Summary)'!$E$3:$E$54,K$28,'과거손익(Summary)'!$B$3:$B$54,$D109)+과거손익_본체!AL117/10^6</f>
        <v>142073.02350399998</v>
      </c>
      <c r="L109" s="221">
        <f>SUMIFS('과거손익(Summary)'!$H$3:$H$54,'과거손익(Summary)'!$E$3:$E$54,L$28,'과거손익(Summary)'!$B$3:$B$54,$D109)+과거손익_본체!AL196/10^6</f>
        <v>106564.79681</v>
      </c>
      <c r="M109" s="5063">
        <f>SUMIFS('과거손익(Summary)'!$H$3:$H$54,'과거손익(Summary)'!$E$3:$E$54,M$28,'과거손익(Summary)'!$B$3:$B$54,$D109)+과거손익_본체!AL298/10^6</f>
        <v>58708.745925999996</v>
      </c>
      <c r="N109" s="5050">
        <f>Revenue!N87*Assumption!N178</f>
        <v>42945.323762179753</v>
      </c>
      <c r="O109" s="320">
        <f t="shared" si="134"/>
        <v>101654.06968817975</v>
      </c>
      <c r="P109" s="4879">
        <f>Revenue!P87*Assumption!P178</f>
        <v>155919.60956908303</v>
      </c>
      <c r="Q109" s="4879">
        <f>Revenue!Q87*Assumption!Q178</f>
        <v>152949.45428449893</v>
      </c>
      <c r="R109" s="4879">
        <f>Revenue!R87*Assumption!R178</f>
        <v>145107.42557872858</v>
      </c>
      <c r="S109" s="4879">
        <f>Revenue!S87*Assumption!S178</f>
        <v>144686.97882205588</v>
      </c>
      <c r="T109" s="4903">
        <f>Revenue!T87*Assumption!T178</f>
        <v>147759.98101491106</v>
      </c>
    </row>
    <row r="110" spans="1:25" ht="12" customHeight="1">
      <c r="C110" s="4898"/>
      <c r="D110" s="361" t="s">
        <v>32</v>
      </c>
      <c r="E110" s="12"/>
      <c r="F110" s="12"/>
      <c r="G110" s="12"/>
      <c r="H110" s="1950" t="s">
        <v>360</v>
      </c>
      <c r="I110" s="12"/>
      <c r="J110" s="4931">
        <f>J109/Revenue!J87</f>
        <v>0.87062195346713211</v>
      </c>
      <c r="K110" s="3065">
        <f>K109/Revenue!K87</f>
        <v>0.89939712354025536</v>
      </c>
      <c r="L110" s="3065">
        <f>L109/Revenue!L87</f>
        <v>0.87270423959548682</v>
      </c>
      <c r="M110" s="5104">
        <f>M109/Revenue!M87</f>
        <v>0.86299087859231771</v>
      </c>
      <c r="N110" s="5105">
        <f>N109/Revenue!N87</f>
        <v>0.86299087859231771</v>
      </c>
      <c r="O110" s="3065">
        <f>O109/Revenue!O87</f>
        <v>0.86299087859231782</v>
      </c>
      <c r="P110" s="4932">
        <f>P109/Revenue!P87</f>
        <v>0.87642854879879784</v>
      </c>
      <c r="Q110" s="4932">
        <f>Q109/Revenue!Q87</f>
        <v>0.87642854879879784</v>
      </c>
      <c r="R110" s="4932">
        <f>R109/Revenue!R87</f>
        <v>0.87642854879879795</v>
      </c>
      <c r="S110" s="4932">
        <f>S109/Revenue!S87</f>
        <v>0.87642854879879784</v>
      </c>
      <c r="T110" s="4933">
        <f>T109/Revenue!T87</f>
        <v>0.87642854879879806</v>
      </c>
      <c r="V110" s="2511">
        <f>+T110-O110</f>
        <v>1.3437670206480234E-2</v>
      </c>
    </row>
    <row r="111" spans="1:25" ht="12" customHeight="1">
      <c r="C111" s="4884" t="s">
        <v>1288</v>
      </c>
      <c r="D111" s="4940"/>
      <c r="E111" s="4150"/>
      <c r="F111" s="4150"/>
      <c r="G111" s="4150"/>
      <c r="H111" s="4149"/>
      <c r="I111" s="4150"/>
      <c r="J111" s="4915">
        <f>SUMIFS('과거손익(Summary)'!$I$3:$I$54,'과거손익(Summary)'!$E$3:$E$54,J$28)</f>
        <v>30543.689481999998</v>
      </c>
      <c r="K111" s="4887">
        <f>SUMIFS('과거손익(Summary)'!$I$3:$I$54,'과거손익(Summary)'!$E$3:$E$54,K$28)</f>
        <v>30850.790971000002</v>
      </c>
      <c r="L111" s="4887">
        <f>SUMIFS('과거손익(Summary)'!$I$3:$I$54,'과거손익(Summary)'!$E$3:$E$54,L$28)</f>
        <v>29666.780985999994</v>
      </c>
      <c r="M111" s="5081">
        <f>SUMIFS('과거손익(Summary)'!$I$3:$I$54,'과거손익(Summary)'!$E$3:$E$54,M$28)</f>
        <v>18438.027536999998</v>
      </c>
      <c r="N111" s="5082">
        <f t="shared" ref="N111:T111" si="135">N112+N117</f>
        <v>7677.2299902749501</v>
      </c>
      <c r="O111" s="4887">
        <f t="shared" si="135"/>
        <v>26115.257527274945</v>
      </c>
      <c r="P111" s="4916">
        <f t="shared" si="135"/>
        <v>29826.423334642419</v>
      </c>
      <c r="Q111" s="4916">
        <f t="shared" si="135"/>
        <v>30388.105816956187</v>
      </c>
      <c r="R111" s="4916">
        <f t="shared" si="135"/>
        <v>30335.083166232333</v>
      </c>
      <c r="S111" s="4916">
        <f t="shared" si="135"/>
        <v>30528.788070818471</v>
      </c>
      <c r="T111" s="4917">
        <f t="shared" si="135"/>
        <v>30330.778964403806</v>
      </c>
    </row>
    <row r="112" spans="1:25" s="1055" customFormat="1" ht="12" customHeight="1">
      <c r="A112" s="3"/>
      <c r="B112" s="3"/>
      <c r="C112" s="4892"/>
      <c r="D112" s="3" t="s">
        <v>325</v>
      </c>
      <c r="E112" s="3"/>
      <c r="F112" s="3"/>
      <c r="G112" s="3"/>
      <c r="H112" s="110"/>
      <c r="I112" s="3"/>
      <c r="J112" s="319">
        <f>SUMIFS('과거손익(Summary)'!$I$3:$I$54,'과거손익(Summary)'!$E$3:$E$54,J$28,'과거손익(Summary)'!$B$3:$B$54,"전기동")</f>
        <v>29472.053577999999</v>
      </c>
      <c r="K112" s="320">
        <f>SUMIFS('과거손익(Summary)'!$I$3:$I$54,'과거손익(Summary)'!$E$3:$E$54,K$28,'과거손익(Summary)'!$B$3:$B$54,"전기동")</f>
        <v>28251.104239</v>
      </c>
      <c r="L112" s="320">
        <f>SUMIFS('과거손익(Summary)'!$I$3:$I$54,'과거손익(Summary)'!$E$3:$E$54,L$28,'과거손익(Summary)'!$B$3:$B$54,"전기동")</f>
        <v>26946.949606000002</v>
      </c>
      <c r="M112" s="5069">
        <f>SUMIFS('과거손익(Summary)'!$I$3:$I$54,'과거손익(Summary)'!$E$3:$E$54,M$28,'과거손익(Summary)'!$B$3:$B$54,"전기동")</f>
        <v>16252.025378</v>
      </c>
      <c r="N112" s="5088">
        <f>N113+N116</f>
        <v>6897.2120884029</v>
      </c>
      <c r="O112" s="320">
        <f>O113+O116</f>
        <v>23149.237466402898</v>
      </c>
      <c r="P112" s="4923">
        <f t="shared" ref="P112:T112" si="136">P113+P116</f>
        <v>26864.362344025994</v>
      </c>
      <c r="Q112" s="4923">
        <f t="shared" si="136"/>
        <v>27490.085069430319</v>
      </c>
      <c r="R112" s="4923">
        <f t="shared" si="136"/>
        <v>27615.229614511187</v>
      </c>
      <c r="S112" s="4923">
        <f t="shared" si="136"/>
        <v>27788.804534692379</v>
      </c>
      <c r="T112" s="4924">
        <f t="shared" si="136"/>
        <v>27627.744069019274</v>
      </c>
      <c r="U112" s="1953"/>
    </row>
    <row r="113" spans="1:22" s="1055" customFormat="1" ht="12" customHeight="1">
      <c r="A113" s="3"/>
      <c r="B113" s="3"/>
      <c r="C113" s="4892"/>
      <c r="D113" s="3"/>
      <c r="E113" s="3" t="s">
        <v>6905</v>
      </c>
      <c r="F113" s="3"/>
      <c r="G113" s="3"/>
      <c r="H113" s="110"/>
      <c r="I113" s="3"/>
      <c r="J113" s="319">
        <f>에너지비!L122/10^6</f>
        <v>26549.923312999999</v>
      </c>
      <c r="K113" s="320">
        <f>에너지비!M122/10^6</f>
        <v>25688.633098999999</v>
      </c>
      <c r="L113" s="320">
        <f>에너지비!N122/10^6</f>
        <v>27374.60138</v>
      </c>
      <c r="M113" s="5069">
        <f>에너지비!O122/10^6</f>
        <v>18259.037910999999</v>
      </c>
      <c r="N113" s="5088">
        <f>N114*N115/10^6</f>
        <v>6897.2120884029</v>
      </c>
      <c r="O113" s="320">
        <f>SUM(M113:N113)</f>
        <v>25156.249999402899</v>
      </c>
      <c r="P113" s="4923">
        <f t="shared" ref="P113:T113" si="137">P114*P115/10^6</f>
        <v>26864.362344025994</v>
      </c>
      <c r="Q113" s="4923">
        <f t="shared" si="137"/>
        <v>27490.085069430319</v>
      </c>
      <c r="R113" s="4923">
        <f t="shared" si="137"/>
        <v>27615.229614511187</v>
      </c>
      <c r="S113" s="4923">
        <f t="shared" si="137"/>
        <v>27788.804534692379</v>
      </c>
      <c r="T113" s="4924">
        <f t="shared" si="137"/>
        <v>27627.744069019274</v>
      </c>
      <c r="U113" s="1953"/>
    </row>
    <row r="114" spans="1:22" s="1055" customFormat="1" ht="12" customHeight="1">
      <c r="A114" s="3"/>
      <c r="B114" s="3"/>
      <c r="C114" s="4892"/>
      <c r="D114" s="3"/>
      <c r="E114" s="3"/>
      <c r="F114" s="3" t="s">
        <v>6902</v>
      </c>
      <c r="G114" s="3"/>
      <c r="H114" s="110" t="s">
        <v>3486</v>
      </c>
      <c r="I114" s="3"/>
      <c r="J114" s="319">
        <f>에너지비!L88</f>
        <v>650019</v>
      </c>
      <c r="K114" s="320">
        <f>에너지비!M88</f>
        <v>637200</v>
      </c>
      <c r="L114" s="320">
        <f>에너지비!N88</f>
        <v>645059</v>
      </c>
      <c r="M114" s="5069">
        <f>에너지비!O88</f>
        <v>453755</v>
      </c>
      <c r="N114" s="5088">
        <f>N40</f>
        <v>171402.48497363765</v>
      </c>
      <c r="O114" s="320">
        <f>SUM(M114:N114)</f>
        <v>625157.48497363762</v>
      </c>
      <c r="P114" s="4923">
        <f t="shared" ref="P114:T114" si="138">P40</f>
        <v>655880.51182983804</v>
      </c>
      <c r="Q114" s="4923">
        <f t="shared" si="138"/>
        <v>671157.23182587454</v>
      </c>
      <c r="R114" s="4923">
        <f t="shared" si="138"/>
        <v>674212.57582508191</v>
      </c>
      <c r="S114" s="4923">
        <f t="shared" si="138"/>
        <v>678450.32418595371</v>
      </c>
      <c r="T114" s="4924">
        <f t="shared" si="138"/>
        <v>674518.11022500263</v>
      </c>
      <c r="U114" s="289" t="s">
        <v>6903</v>
      </c>
    </row>
    <row r="115" spans="1:22" s="1055" customFormat="1" ht="12" customHeight="1">
      <c r="A115" s="3"/>
      <c r="B115" s="3"/>
      <c r="C115" s="4892"/>
      <c r="D115" s="3"/>
      <c r="E115" s="3"/>
      <c r="F115" s="3" t="s">
        <v>6906</v>
      </c>
      <c r="G115" s="3"/>
      <c r="H115" s="110" t="s">
        <v>5575</v>
      </c>
      <c r="I115" s="3"/>
      <c r="J115" s="319">
        <f>J113*10^6/J114</f>
        <v>40844.84194000483</v>
      </c>
      <c r="K115" s="320">
        <f t="shared" ref="K115:O115" si="139">K113*10^6/K114</f>
        <v>40314.866759259261</v>
      </c>
      <c r="L115" s="320">
        <f t="shared" si="139"/>
        <v>42437.360582520356</v>
      </c>
      <c r="M115" s="5069">
        <f t="shared" si="139"/>
        <v>40239.860521647148</v>
      </c>
      <c r="N115" s="5060">
        <f>Assumption!N189</f>
        <v>40239.860521647148</v>
      </c>
      <c r="O115" s="320">
        <f t="shared" si="139"/>
        <v>40239.860521647141</v>
      </c>
      <c r="P115" s="4882">
        <f>Assumption!P189</f>
        <v>40959.232450857904</v>
      </c>
      <c r="Q115" s="4882">
        <f>Assumption!Q189</f>
        <v>40959.232450857904</v>
      </c>
      <c r="R115" s="4882">
        <f>Assumption!R189</f>
        <v>40959.232450857904</v>
      </c>
      <c r="S115" s="4882">
        <f>Assumption!S189</f>
        <v>40959.232450857904</v>
      </c>
      <c r="T115" s="4895">
        <f>Assumption!T189</f>
        <v>40959.232450857904</v>
      </c>
      <c r="U115" s="1953"/>
    </row>
    <row r="116" spans="1:22" s="1055" customFormat="1" ht="12" customHeight="1">
      <c r="A116" s="3"/>
      <c r="B116" s="3"/>
      <c r="C116" s="4892"/>
      <c r="D116" s="3"/>
      <c r="E116" s="3" t="s">
        <v>6900</v>
      </c>
      <c r="F116" s="3"/>
      <c r="G116" s="3"/>
      <c r="H116" s="110"/>
      <c r="I116" s="3"/>
      <c r="J116" s="319">
        <f>J112-J113</f>
        <v>2922.1302649999998</v>
      </c>
      <c r="K116" s="320">
        <f t="shared" ref="K116:M116" si="140">K112-K113</f>
        <v>2562.4711400000015</v>
      </c>
      <c r="L116" s="320">
        <f t="shared" si="140"/>
        <v>-427.65177399999811</v>
      </c>
      <c r="M116" s="5069">
        <f t="shared" si="140"/>
        <v>-2007.0125329999992</v>
      </c>
      <c r="N116" s="5088">
        <v>0</v>
      </c>
      <c r="O116" s="320">
        <f>SUM(M116:N116)</f>
        <v>-2007.0125329999992</v>
      </c>
      <c r="P116" s="4923">
        <v>0</v>
      </c>
      <c r="Q116" s="4923">
        <v>0</v>
      </c>
      <c r="R116" s="4923">
        <v>0</v>
      </c>
      <c r="S116" s="4923">
        <v>0</v>
      </c>
      <c r="T116" s="4924">
        <v>0</v>
      </c>
      <c r="U116" s="289" t="s">
        <v>6904</v>
      </c>
    </row>
    <row r="117" spans="1:22" s="1055" customFormat="1" ht="12" customHeight="1">
      <c r="A117" s="3"/>
      <c r="B117" s="3"/>
      <c r="C117" s="4892"/>
      <c r="D117" s="3" t="s">
        <v>6857</v>
      </c>
      <c r="E117" s="3"/>
      <c r="F117" s="3"/>
      <c r="G117" s="3"/>
      <c r="H117" s="110"/>
      <c r="I117" s="3"/>
      <c r="J117" s="319">
        <f>J111-J112</f>
        <v>1071.6359039999988</v>
      </c>
      <c r="K117" s="320">
        <f>K111-K112</f>
        <v>2599.6867320000019</v>
      </c>
      <c r="L117" s="320">
        <f>L111-L112</f>
        <v>2719.8313799999924</v>
      </c>
      <c r="M117" s="5069">
        <f>M111-M112</f>
        <v>2186.0021589999978</v>
      </c>
      <c r="N117" s="5088">
        <f>(N30-N31)*N118</f>
        <v>780.0179018720504</v>
      </c>
      <c r="O117" s="320">
        <f>N117+M117</f>
        <v>2966.0200608720484</v>
      </c>
      <c r="P117" s="4923">
        <f>(P30-P31)*P118</f>
        <v>2962.0609906164259</v>
      </c>
      <c r="Q117" s="4923">
        <f>(Q30-Q31)*Q118</f>
        <v>2898.0207475258694</v>
      </c>
      <c r="R117" s="4923">
        <f>(R30-R31)*R118</f>
        <v>2719.8535517211476</v>
      </c>
      <c r="S117" s="4923">
        <f>(S30-S31)*S118</f>
        <v>2739.9835361260925</v>
      </c>
      <c r="T117" s="4924">
        <f>(T30-T31)*T118</f>
        <v>2703.034895384531</v>
      </c>
      <c r="U117" s="1953"/>
    </row>
    <row r="118" spans="1:22" s="1055" customFormat="1" ht="12" customHeight="1">
      <c r="A118" s="3"/>
      <c r="B118" s="12"/>
      <c r="C118" s="4898"/>
      <c r="D118" s="12"/>
      <c r="E118" s="12" t="s">
        <v>6858</v>
      </c>
      <c r="F118" s="12"/>
      <c r="G118" s="12"/>
      <c r="H118" s="1950" t="s">
        <v>360</v>
      </c>
      <c r="I118" s="12"/>
      <c r="J118" s="4453">
        <f>J117/(J30-J31)</f>
        <v>4.7481000915672734E-4</v>
      </c>
      <c r="K118" s="1966">
        <f>K117/(K30-K31)</f>
        <v>9.3553223862950135E-4</v>
      </c>
      <c r="L118" s="1966">
        <f>L117/(L30-L31)</f>
        <v>1.0208247976612455E-3</v>
      </c>
      <c r="M118" s="5106">
        <f>M117/(M30-M31)</f>
        <v>1.0527597894320088E-3</v>
      </c>
      <c r="N118" s="5107">
        <f>Assumption!N190</f>
        <v>1.0527597894320088E-3</v>
      </c>
      <c r="O118" s="1966">
        <f>O117/(O30-O31)</f>
        <v>1.0527597894320092E-3</v>
      </c>
      <c r="P118" s="4914">
        <f>Assumption!P190</f>
        <v>1.0527597894320092E-3</v>
      </c>
      <c r="Q118" s="4914">
        <f>Assumption!Q190</f>
        <v>1.0527597894320092E-3</v>
      </c>
      <c r="R118" s="4914">
        <f>Assumption!R190</f>
        <v>1.0527597894320092E-3</v>
      </c>
      <c r="S118" s="4914">
        <f>Assumption!S190</f>
        <v>1.0527597894320092E-3</v>
      </c>
      <c r="T118" s="4941">
        <f>Assumption!T190</f>
        <v>1.0527597894320092E-3</v>
      </c>
      <c r="U118" s="1953"/>
      <c r="V118" s="2511">
        <f>+T118-O118</f>
        <v>0</v>
      </c>
    </row>
    <row r="119" spans="1:22" ht="12" customHeight="1">
      <c r="B119" s="1930"/>
      <c r="C119" s="32"/>
      <c r="D119" s="32"/>
      <c r="E119" s="32"/>
      <c r="F119" s="32"/>
      <c r="G119" s="32"/>
      <c r="H119" s="32"/>
      <c r="I119" s="32"/>
      <c r="J119" s="112"/>
      <c r="K119" s="112"/>
      <c r="L119" s="112"/>
      <c r="M119" s="112"/>
      <c r="N119" s="32"/>
      <c r="O119" s="32"/>
      <c r="P119" s="32"/>
      <c r="Q119" s="32"/>
      <c r="R119" s="32"/>
      <c r="S119" s="32"/>
      <c r="T119" s="32"/>
    </row>
    <row r="120" spans="1:22" ht="12" customHeight="1">
      <c r="B120" s="4027"/>
      <c r="C120" s="4027"/>
      <c r="D120" s="4027"/>
      <c r="E120" s="4027"/>
      <c r="F120" s="4027"/>
      <c r="G120" s="4027"/>
      <c r="H120" s="4027"/>
      <c r="I120" s="4027"/>
      <c r="J120" s="25" t="s">
        <v>23</v>
      </c>
      <c r="K120" s="26"/>
      <c r="L120" s="26"/>
      <c r="M120" s="27"/>
      <c r="N120" s="26" t="s">
        <v>24</v>
      </c>
      <c r="O120" s="26"/>
      <c r="P120" s="26"/>
      <c r="Q120" s="26"/>
      <c r="R120" s="26"/>
      <c r="S120" s="26"/>
      <c r="T120" s="26"/>
    </row>
    <row r="121" spans="1:22" ht="12" customHeight="1">
      <c r="B121" s="28"/>
      <c r="C121" s="28"/>
      <c r="D121" s="28"/>
      <c r="E121" s="28"/>
      <c r="F121" s="28"/>
      <c r="G121" s="28"/>
      <c r="H121" s="1949" t="s">
        <v>3537</v>
      </c>
      <c r="I121" s="28"/>
      <c r="J121" s="29" t="s">
        <v>69</v>
      </c>
      <c r="K121" s="30" t="s">
        <v>27</v>
      </c>
      <c r="L121" s="108" t="s">
        <v>60</v>
      </c>
      <c r="M121" s="5073" t="s">
        <v>5104</v>
      </c>
      <c r="N121" s="5074" t="s">
        <v>5174</v>
      </c>
      <c r="O121" s="30" t="s">
        <v>70</v>
      </c>
      <c r="P121" s="30" t="s">
        <v>71</v>
      </c>
      <c r="Q121" s="30" t="s">
        <v>72</v>
      </c>
      <c r="R121" s="30" t="s">
        <v>73</v>
      </c>
      <c r="S121" s="30" t="s">
        <v>74</v>
      </c>
      <c r="T121" s="30" t="s">
        <v>5102</v>
      </c>
    </row>
    <row r="122" spans="1:22" ht="12" customHeight="1">
      <c r="B122" s="4028" t="s">
        <v>1289</v>
      </c>
      <c r="C122" s="4028"/>
      <c r="D122" s="4028"/>
      <c r="E122" s="4028"/>
      <c r="F122" s="4028"/>
      <c r="G122" s="4028"/>
      <c r="H122" s="4028"/>
      <c r="I122" s="4028"/>
      <c r="J122" s="3731">
        <f t="shared" ref="J122:T122" si="141">J123+J129</f>
        <v>70304.260147000008</v>
      </c>
      <c r="K122" s="4023">
        <f t="shared" si="141"/>
        <v>73675.631281000009</v>
      </c>
      <c r="L122" s="4023">
        <f t="shared" si="141"/>
        <v>72170.119340999998</v>
      </c>
      <c r="M122" s="5108">
        <f t="shared" si="141"/>
        <v>54969.859642999996</v>
      </c>
      <c r="N122" s="5109">
        <f t="shared" si="141"/>
        <v>18296.261051283673</v>
      </c>
      <c r="O122" s="4023">
        <f t="shared" si="141"/>
        <v>73266.120694283672</v>
      </c>
      <c r="P122" s="4984">
        <f t="shared" si="141"/>
        <v>76097.005643725817</v>
      </c>
      <c r="Q122" s="4984">
        <f t="shared" si="141"/>
        <v>77427.548502405567</v>
      </c>
      <c r="R122" s="4984">
        <f t="shared" si="141"/>
        <v>80141.146410133078</v>
      </c>
      <c r="S122" s="4984">
        <f t="shared" si="141"/>
        <v>83005.494362921105</v>
      </c>
      <c r="T122" s="4984">
        <f t="shared" si="141"/>
        <v>86438.733900596621</v>
      </c>
    </row>
    <row r="123" spans="1:22" ht="12" customHeight="1">
      <c r="C123" s="4884" t="s">
        <v>1285</v>
      </c>
      <c r="D123" s="4150"/>
      <c r="E123" s="4150"/>
      <c r="F123" s="4150"/>
      <c r="G123" s="4150"/>
      <c r="H123" s="4150"/>
      <c r="I123" s="4150"/>
      <c r="J123" s="4942">
        <f>과거손익_본체!K70/10^6</f>
        <v>65389.963040000002</v>
      </c>
      <c r="K123" s="4943">
        <f>과거손익_본체!R118/10^6</f>
        <v>67050.102847000002</v>
      </c>
      <c r="L123" s="4943">
        <f>과거손익_본체!R197/10^6</f>
        <v>65887.736613999994</v>
      </c>
      <c r="M123" s="5110">
        <f>과거손익_본체!R299/10^6</f>
        <v>51076.817756999997</v>
      </c>
      <c r="N123" s="5056">
        <f>N124*N128/4</f>
        <v>17000.494405845129</v>
      </c>
      <c r="O123" s="4704">
        <f>SUM(M123:N123)</f>
        <v>68077.312162845134</v>
      </c>
      <c r="P123" s="4888">
        <f>P124*P128</f>
        <v>68800.523741705299</v>
      </c>
      <c r="Q123" s="4888">
        <f>Q124*Q128</f>
        <v>70002.308529349888</v>
      </c>
      <c r="R123" s="4888">
        <f>R124*R128</f>
        <v>72294.251582705401</v>
      </c>
      <c r="S123" s="4888">
        <f>S124*S128</f>
        <v>74679.961884934673</v>
      </c>
      <c r="T123" s="4889">
        <f>T124*T128</f>
        <v>77741.840322216987</v>
      </c>
      <c r="V123" s="105"/>
    </row>
    <row r="124" spans="1:22" ht="12" customHeight="1">
      <c r="C124" s="4892"/>
      <c r="D124" s="1" t="s">
        <v>4747</v>
      </c>
      <c r="J124" s="220">
        <f>인력data!B33</f>
        <v>643</v>
      </c>
      <c r="K124" s="221">
        <f>인력data!F33</f>
        <v>650</v>
      </c>
      <c r="L124" s="221">
        <f>인력data!J33</f>
        <v>672</v>
      </c>
      <c r="M124" s="5063">
        <f>인력data!N33</f>
        <v>678</v>
      </c>
      <c r="N124" s="5050">
        <f>N125+N126+N127</f>
        <v>677</v>
      </c>
      <c r="O124" s="105">
        <f t="shared" ref="O124:T124" si="142">O125+O126+O127</f>
        <v>677.75</v>
      </c>
      <c r="P124" s="4879">
        <f t="shared" si="142"/>
        <v>665</v>
      </c>
      <c r="Q124" s="4879">
        <f t="shared" si="142"/>
        <v>664</v>
      </c>
      <c r="R124" s="4879">
        <f t="shared" si="142"/>
        <v>660</v>
      </c>
      <c r="S124" s="4879">
        <f t="shared" si="142"/>
        <v>660</v>
      </c>
      <c r="T124" s="4903">
        <f t="shared" si="142"/>
        <v>660</v>
      </c>
      <c r="U124" s="2997"/>
    </row>
    <row r="125" spans="1:22" ht="12" customHeight="1">
      <c r="C125" s="4892"/>
      <c r="D125" s="1"/>
      <c r="E125" s="3" t="s">
        <v>5598</v>
      </c>
      <c r="J125" s="220">
        <f>SUM(인력data!C42:C55)</f>
        <v>583</v>
      </c>
      <c r="K125" s="221">
        <f>SUM(인력data!G42:G55)</f>
        <v>586</v>
      </c>
      <c r="L125" s="221">
        <f>SUM(인력data!K43:K57)</f>
        <v>607</v>
      </c>
      <c r="M125" s="5063">
        <f>SUM(인력data!O44:O59)</f>
        <v>616</v>
      </c>
      <c r="N125" s="5050">
        <f>Assumption!N262</f>
        <v>628</v>
      </c>
      <c r="O125" s="105">
        <f>Assumption!O262</f>
        <v>619</v>
      </c>
      <c r="P125" s="4879">
        <f>Assumption!P262</f>
        <v>616</v>
      </c>
      <c r="Q125" s="4879">
        <f>Assumption!Q262</f>
        <v>615</v>
      </c>
      <c r="R125" s="4879">
        <f>Assumption!R262</f>
        <v>611</v>
      </c>
      <c r="S125" s="4879">
        <f>Assumption!S262</f>
        <v>611</v>
      </c>
      <c r="T125" s="4903">
        <f>Assumption!T262</f>
        <v>611</v>
      </c>
      <c r="U125" s="2997"/>
    </row>
    <row r="126" spans="1:22" ht="12" customHeight="1">
      <c r="C126" s="4892"/>
      <c r="D126" s="1"/>
      <c r="E126" s="3" t="s">
        <v>4913</v>
      </c>
      <c r="J126" s="220">
        <f>SUM(인력data!C84:C87)-인력data!C85</f>
        <v>12</v>
      </c>
      <c r="K126" s="221">
        <f>SUM(인력data!G85:G88)-인력data!G86</f>
        <v>12</v>
      </c>
      <c r="L126" s="221">
        <f>SUM(인력data!K86:K89)-인력data!K87</f>
        <v>13</v>
      </c>
      <c r="M126" s="5063">
        <f>SUM(인력data!O90:O93)-인력data!O91</f>
        <v>13</v>
      </c>
      <c r="N126" s="5050">
        <f>Assumption!N263</f>
        <v>0</v>
      </c>
      <c r="O126" s="105">
        <f>Assumption!O263</f>
        <v>9.75</v>
      </c>
      <c r="P126" s="4879">
        <f>Assumption!P263</f>
        <v>0</v>
      </c>
      <c r="Q126" s="4879">
        <f>Assumption!Q263</f>
        <v>0</v>
      </c>
      <c r="R126" s="4879">
        <f>Assumption!R263</f>
        <v>0</v>
      </c>
      <c r="S126" s="4879">
        <f>Assumption!S263</f>
        <v>0</v>
      </c>
      <c r="T126" s="4903">
        <f>Assumption!T263</f>
        <v>0</v>
      </c>
      <c r="U126" s="2997"/>
    </row>
    <row r="127" spans="1:22" ht="12" customHeight="1">
      <c r="C127" s="4892"/>
      <c r="D127" s="1"/>
      <c r="E127" s="3" t="s">
        <v>320</v>
      </c>
      <c r="J127" s="220">
        <f>J124-J125-J126</f>
        <v>48</v>
      </c>
      <c r="K127" s="221">
        <f t="shared" ref="K127:M127" si="143">K124-K125-K126</f>
        <v>52</v>
      </c>
      <c r="L127" s="221">
        <f t="shared" si="143"/>
        <v>52</v>
      </c>
      <c r="M127" s="5063">
        <f t="shared" si="143"/>
        <v>49</v>
      </c>
      <c r="N127" s="5050">
        <f>Assumption!N264</f>
        <v>49</v>
      </c>
      <c r="O127" s="105">
        <f>Assumption!O264</f>
        <v>49</v>
      </c>
      <c r="P127" s="4879">
        <f>Assumption!P264</f>
        <v>49</v>
      </c>
      <c r="Q127" s="4879">
        <f>Assumption!Q264</f>
        <v>49</v>
      </c>
      <c r="R127" s="4879">
        <f>Assumption!R264</f>
        <v>49</v>
      </c>
      <c r="S127" s="4879">
        <f>Assumption!S264</f>
        <v>49</v>
      </c>
      <c r="T127" s="4903">
        <f>Assumption!T264</f>
        <v>49</v>
      </c>
      <c r="U127" s="2997"/>
    </row>
    <row r="128" spans="1:22" s="377" customFormat="1" ht="12" customHeight="1">
      <c r="A128" s="362"/>
      <c r="B128" s="362"/>
      <c r="C128" s="4944"/>
      <c r="D128" s="577" t="s">
        <v>4905</v>
      </c>
      <c r="E128" s="577"/>
      <c r="F128" s="577"/>
      <c r="G128" s="577"/>
      <c r="H128" s="577"/>
      <c r="I128" s="577"/>
      <c r="J128" s="4945">
        <f>J123/J124</f>
        <v>101.69512136858476</v>
      </c>
      <c r="K128" s="355">
        <f>K123/K124</f>
        <v>103.15400438</v>
      </c>
      <c r="L128" s="355">
        <f>L123/L124</f>
        <v>98.047227104166652</v>
      </c>
      <c r="M128" s="5111">
        <f>M123/M124*4/3</f>
        <v>100.44605261946901</v>
      </c>
      <c r="N128" s="5112">
        <f>M128</f>
        <v>100.44605261946901</v>
      </c>
      <c r="O128" s="355">
        <f>N128</f>
        <v>100.44605261946901</v>
      </c>
      <c r="P128" s="4985">
        <f>O128*(1+General!J$13)</f>
        <v>103.45943419805309</v>
      </c>
      <c r="Q128" s="4985">
        <f>P128*(1+General!K$13)</f>
        <v>105.42516344781609</v>
      </c>
      <c r="R128" s="4985">
        <f>Q128*(1+General!L$13)</f>
        <v>109.53674482228091</v>
      </c>
      <c r="S128" s="4985">
        <f>R128*(1+General!M$13)</f>
        <v>113.15145740141617</v>
      </c>
      <c r="T128" s="4986">
        <f>S128*(1+General!N$13)</f>
        <v>117.79066715487423</v>
      </c>
      <c r="U128" s="1953"/>
    </row>
    <row r="129" spans="2:22" ht="12" customHeight="1">
      <c r="C129" s="4884" t="s">
        <v>1290</v>
      </c>
      <c r="D129" s="4150"/>
      <c r="E129" s="4150"/>
      <c r="F129" s="4150"/>
      <c r="G129" s="4150"/>
      <c r="H129" s="4150"/>
      <c r="I129" s="4150"/>
      <c r="J129" s="4942">
        <f>과거손익_본체!L70/10^6</f>
        <v>4914.2971070000003</v>
      </c>
      <c r="K129" s="4943">
        <f>과거손익_본체!T118/10^6</f>
        <v>6625.5284339999998</v>
      </c>
      <c r="L129" s="4943">
        <f>과거손익_본체!T197/10^6</f>
        <v>6282.3827270000002</v>
      </c>
      <c r="M129" s="5110">
        <f>과거손익_본체!T299/10^6</f>
        <v>3893.041886</v>
      </c>
      <c r="N129" s="5056">
        <f>N123*N130</f>
        <v>1295.7666454385446</v>
      </c>
      <c r="O129" s="4704">
        <f>SUM(M129:N129)</f>
        <v>5188.8085314385444</v>
      </c>
      <c r="P129" s="4888">
        <f>P123*P130</f>
        <v>7296.4819020205114</v>
      </c>
      <c r="Q129" s="4888">
        <f>Q123*Q130</f>
        <v>7425.2399730556835</v>
      </c>
      <c r="R129" s="4888">
        <f>R123*R130</f>
        <v>7846.8948274276809</v>
      </c>
      <c r="S129" s="4888">
        <f>S123*S130</f>
        <v>8325.5324779864277</v>
      </c>
      <c r="T129" s="4889">
        <f>T123*T130</f>
        <v>8696.8935783796369</v>
      </c>
    </row>
    <row r="130" spans="2:22" ht="12" customHeight="1">
      <c r="B130" s="12"/>
      <c r="C130" s="4898"/>
      <c r="D130" s="12" t="s">
        <v>6869</v>
      </c>
      <c r="E130" s="12"/>
      <c r="F130" s="12"/>
      <c r="G130" s="12"/>
      <c r="H130" s="1950" t="s">
        <v>360</v>
      </c>
      <c r="I130" s="12"/>
      <c r="J130" s="2166">
        <f>J129/J123</f>
        <v>7.5153691461698063E-2</v>
      </c>
      <c r="K130" s="13">
        <f>K129/K123</f>
        <v>9.8814590174732944E-2</v>
      </c>
      <c r="L130" s="13">
        <f>L129/L123</f>
        <v>9.5349803314765919E-2</v>
      </c>
      <c r="M130" s="5113">
        <f>M129/M123</f>
        <v>7.6219350714472903E-2</v>
      </c>
      <c r="N130" s="5114">
        <f>Assumption!N275</f>
        <v>7.6219350714472903E-2</v>
      </c>
      <c r="O130" s="13">
        <f>O129/O123</f>
        <v>7.6219350714472889E-2</v>
      </c>
      <c r="P130" s="4987">
        <f>Assumption!P275</f>
        <v>0.10605270868886645</v>
      </c>
      <c r="Q130" s="4987">
        <f>Assumption!Q275</f>
        <v>0.10607135863158715</v>
      </c>
      <c r="R130" s="4987">
        <f>Assumption!R275</f>
        <v>0.10854106178069703</v>
      </c>
      <c r="S130" s="4987">
        <f>Assumption!S275</f>
        <v>0.1114828163786992</v>
      </c>
      <c r="T130" s="4988">
        <f>Assumption!T275</f>
        <v>0.11186889250799287</v>
      </c>
      <c r="V130" s="2511">
        <f>+T130-O130</f>
        <v>3.5649541793519979E-2</v>
      </c>
    </row>
    <row r="131" spans="2:22" ht="12" customHeight="1">
      <c r="H131" s="110"/>
      <c r="I131" s="110"/>
      <c r="J131" s="4493"/>
      <c r="K131" s="4493"/>
      <c r="L131" s="4493"/>
      <c r="M131" s="4493"/>
      <c r="N131" s="4493"/>
      <c r="O131" s="4493"/>
      <c r="P131" s="4493"/>
      <c r="Q131" s="4493"/>
      <c r="R131" s="4493"/>
      <c r="S131" s="4493"/>
      <c r="T131" s="4493"/>
    </row>
    <row r="132" spans="2:22" ht="12" customHeight="1">
      <c r="B132" s="24"/>
      <c r="C132" s="24"/>
      <c r="D132" s="24"/>
      <c r="E132" s="24"/>
      <c r="F132" s="24"/>
      <c r="G132" s="24"/>
      <c r="H132" s="24"/>
      <c r="I132" s="24"/>
      <c r="J132" s="25" t="s">
        <v>23</v>
      </c>
      <c r="K132" s="26"/>
      <c r="L132" s="26"/>
      <c r="M132" s="27"/>
      <c r="N132" s="26" t="s">
        <v>24</v>
      </c>
      <c r="O132" s="26"/>
      <c r="P132" s="26"/>
      <c r="Q132" s="26"/>
      <c r="R132" s="26"/>
      <c r="S132" s="26"/>
      <c r="T132" s="26"/>
    </row>
    <row r="133" spans="2:22" ht="12" customHeight="1">
      <c r="B133" s="28"/>
      <c r="C133" s="28"/>
      <c r="D133" s="28"/>
      <c r="E133" s="28"/>
      <c r="F133" s="28"/>
      <c r="G133" s="28"/>
      <c r="H133" s="1949" t="s">
        <v>3537</v>
      </c>
      <c r="I133" s="28"/>
      <c r="J133" s="29" t="s">
        <v>69</v>
      </c>
      <c r="K133" s="30" t="s">
        <v>27</v>
      </c>
      <c r="L133" s="108" t="s">
        <v>60</v>
      </c>
      <c r="M133" s="5073" t="s">
        <v>5104</v>
      </c>
      <c r="N133" s="5074" t="s">
        <v>5174</v>
      </c>
      <c r="O133" s="30" t="s">
        <v>70</v>
      </c>
      <c r="P133" s="30" t="s">
        <v>71</v>
      </c>
      <c r="Q133" s="30" t="s">
        <v>72</v>
      </c>
      <c r="R133" s="30" t="s">
        <v>73</v>
      </c>
      <c r="S133" s="30" t="s">
        <v>74</v>
      </c>
      <c r="T133" s="30" t="s">
        <v>5102</v>
      </c>
    </row>
    <row r="134" spans="2:22" ht="12" customHeight="1">
      <c r="B134" s="33" t="s">
        <v>1287</v>
      </c>
      <c r="C134" s="33"/>
      <c r="D134" s="33"/>
      <c r="E134" s="33"/>
      <c r="F134" s="33"/>
      <c r="G134" s="33"/>
      <c r="H134" s="33"/>
      <c r="I134" s="33"/>
      <c r="J134" s="227">
        <f t="shared" ref="J134:T134" si="144">J135+J171</f>
        <v>262995.98794900079</v>
      </c>
      <c r="K134" s="103">
        <f t="shared" si="144"/>
        <v>270544.73133100086</v>
      </c>
      <c r="L134" s="103">
        <f t="shared" si="144"/>
        <v>290034.39934399963</v>
      </c>
      <c r="M134" s="5047">
        <f t="shared" si="144"/>
        <v>213008.29832000087</v>
      </c>
      <c r="N134" s="5048">
        <f t="shared" si="144"/>
        <v>73329.54467392026</v>
      </c>
      <c r="O134" s="103">
        <f t="shared" si="144"/>
        <v>286337.84299392113</v>
      </c>
      <c r="P134" s="4878">
        <f t="shared" si="144"/>
        <v>299747.85996807332</v>
      </c>
      <c r="Q134" s="4878">
        <f t="shared" si="144"/>
        <v>303995.22780368233</v>
      </c>
      <c r="R134" s="4878">
        <f t="shared" si="144"/>
        <v>309693.89205893246</v>
      </c>
      <c r="S134" s="4878">
        <f t="shared" si="144"/>
        <v>316558.97474610235</v>
      </c>
      <c r="T134" s="4878">
        <f t="shared" si="144"/>
        <v>324478.77940961602</v>
      </c>
    </row>
    <row r="135" spans="2:22" ht="12" customHeight="1">
      <c r="C135" s="4884" t="s">
        <v>1291</v>
      </c>
      <c r="D135" s="4150"/>
      <c r="E135" s="4150"/>
      <c r="F135" s="4150"/>
      <c r="G135" s="4150"/>
      <c r="H135" s="4150"/>
      <c r="I135" s="4150"/>
      <c r="J135" s="4915">
        <f t="shared" ref="J135:T135" si="145">J136+J152+J158</f>
        <v>117615.24171999999</v>
      </c>
      <c r="K135" s="4887">
        <f t="shared" si="145"/>
        <v>127627.07829600001</v>
      </c>
      <c r="L135" s="4887">
        <f t="shared" si="145"/>
        <v>122321.48895599997</v>
      </c>
      <c r="M135" s="5115">
        <f t="shared" si="145"/>
        <v>96346.379280999987</v>
      </c>
      <c r="N135" s="5056">
        <f t="shared" si="145"/>
        <v>35492.227420406984</v>
      </c>
      <c r="O135" s="4704">
        <f t="shared" si="145"/>
        <v>131838.60670140697</v>
      </c>
      <c r="P135" s="4888">
        <f t="shared" si="145"/>
        <v>139768.06174041942</v>
      </c>
      <c r="Q135" s="4888">
        <f t="shared" si="145"/>
        <v>141434.67051897271</v>
      </c>
      <c r="R135" s="4888">
        <f t="shared" si="145"/>
        <v>141687.25409294572</v>
      </c>
      <c r="S135" s="4888">
        <f t="shared" si="145"/>
        <v>143066.43575642028</v>
      </c>
      <c r="T135" s="4889">
        <f t="shared" si="145"/>
        <v>143452.50302775545</v>
      </c>
    </row>
    <row r="136" spans="2:22" ht="12" customHeight="1">
      <c r="C136" s="4892"/>
      <c r="D136" s="4884" t="s">
        <v>1293</v>
      </c>
      <c r="E136" s="4150"/>
      <c r="F136" s="4150"/>
      <c r="G136" s="4150"/>
      <c r="H136" s="4150"/>
      <c r="I136" s="4150"/>
      <c r="J136" s="4915">
        <f>J137+J141</f>
        <v>89768.111919999996</v>
      </c>
      <c r="K136" s="4887">
        <f>K137+K141</f>
        <v>87644.579140000002</v>
      </c>
      <c r="L136" s="4887">
        <f>L137+L141</f>
        <v>87180.423284999983</v>
      </c>
      <c r="M136" s="5115">
        <f>M137+M141</f>
        <v>65735.656683999987</v>
      </c>
      <c r="N136" s="5056">
        <f>N137+N141</f>
        <v>23816.663939837897</v>
      </c>
      <c r="O136" s="4704">
        <f t="shared" ref="O136:T136" si="146">O137+O141</f>
        <v>89552.320623837892</v>
      </c>
      <c r="P136" s="4888">
        <f t="shared" si="146"/>
        <v>94928.133463312814</v>
      </c>
      <c r="Q136" s="4888">
        <f t="shared" si="146"/>
        <v>95951.551976677234</v>
      </c>
      <c r="R136" s="4888">
        <f t="shared" si="146"/>
        <v>95919.88824944268</v>
      </c>
      <c r="S136" s="4888">
        <f t="shared" si="146"/>
        <v>97011.223498023261</v>
      </c>
      <c r="T136" s="4889">
        <f t="shared" si="146"/>
        <v>97620.7965135759</v>
      </c>
    </row>
    <row r="137" spans="2:22" ht="12" customHeight="1">
      <c r="C137" s="4892"/>
      <c r="D137" s="4892"/>
      <c r="E137" s="3" t="s">
        <v>6781</v>
      </c>
      <c r="J137" s="220">
        <f>에너지비!C15</f>
        <v>66022.648196007183</v>
      </c>
      <c r="K137" s="221">
        <f>에너지비!D15</f>
        <v>61939.845731911642</v>
      </c>
      <c r="L137" s="221">
        <f>에너지비!E15</f>
        <v>64400.129340144937</v>
      </c>
      <c r="M137" s="5063">
        <f>에너지비!F15</f>
        <v>46080.644172605862</v>
      </c>
      <c r="N137" s="5050">
        <f>O137-M137</f>
        <v>15816.101349432465</v>
      </c>
      <c r="O137" s="105">
        <f>O138*O139</f>
        <v>61896.745522038327</v>
      </c>
      <c r="P137" s="4879">
        <f t="shared" ref="P137:T137" si="147">P138*P139</f>
        <v>64865.702767324095</v>
      </c>
      <c r="Q137" s="4879">
        <f t="shared" si="147"/>
        <v>67289.961375717947</v>
      </c>
      <c r="R137" s="4879">
        <f t="shared" si="147"/>
        <v>68005.592624211611</v>
      </c>
      <c r="S137" s="4879">
        <f t="shared" si="147"/>
        <v>69647.508654255289</v>
      </c>
      <c r="T137" s="4903">
        <f t="shared" si="147"/>
        <v>70472.69781500462</v>
      </c>
    </row>
    <row r="138" spans="2:22" ht="12" customHeight="1">
      <c r="C138" s="4892"/>
      <c r="D138" s="4892"/>
      <c r="F138" s="3" t="s">
        <v>6800</v>
      </c>
      <c r="H138" s="3" t="s">
        <v>6801</v>
      </c>
      <c r="J138" s="220">
        <f>J137/J139</f>
        <v>712.51149838858692</v>
      </c>
      <c r="K138" s="221">
        <f t="shared" ref="K138:M138" si="148">K137/K139</f>
        <v>672.17678246045591</v>
      </c>
      <c r="L138" s="221">
        <f t="shared" si="148"/>
        <v>689.09118609013535</v>
      </c>
      <c r="M138" s="5063">
        <f t="shared" si="148"/>
        <v>469.30492118412121</v>
      </c>
      <c r="N138" s="5050">
        <f>O138-M138</f>
        <v>156.4349737280404</v>
      </c>
      <c r="O138" s="221">
        <f>Assumption!O290</f>
        <v>625.73989491216162</v>
      </c>
      <c r="P138" s="4882">
        <f>Assumption!P290</f>
        <v>644.31969503222535</v>
      </c>
      <c r="Q138" s="4882">
        <f>Assumption!Q290</f>
        <v>656.74504823812663</v>
      </c>
      <c r="R138" s="4882">
        <f>Assumption!R290</f>
        <v>652.15586807965792</v>
      </c>
      <c r="S138" s="4882">
        <f>Assumption!S290</f>
        <v>656.25497948766667</v>
      </c>
      <c r="T138" s="4895">
        <f>Assumption!T290</f>
        <v>652.45140699268495</v>
      </c>
    </row>
    <row r="139" spans="2:22" ht="12" customHeight="1">
      <c r="C139" s="4892"/>
      <c r="D139" s="4892"/>
      <c r="F139" s="3" t="s">
        <v>6802</v>
      </c>
      <c r="H139" s="3" t="s">
        <v>6803</v>
      </c>
      <c r="J139" s="220">
        <f>에너지비!P20</f>
        <v>92.661870503597115</v>
      </c>
      <c r="K139" s="221">
        <f>에너지비!P24</f>
        <v>92.148148148148152</v>
      </c>
      <c r="L139" s="221">
        <f>에너지비!P28</f>
        <v>93.45661450924608</v>
      </c>
      <c r="M139" s="5063">
        <f>에너지비!P32</f>
        <v>98.189134808853112</v>
      </c>
      <c r="N139" s="5050">
        <f>N137/N138</f>
        <v>101.10335925857919</v>
      </c>
      <c r="O139" s="2710">
        <f>Assumption!O289</f>
        <v>98.917690921284631</v>
      </c>
      <c r="P139" s="4896">
        <f>Assumption!P289</f>
        <v>100.67316468431073</v>
      </c>
      <c r="Q139" s="4896">
        <f>Assumption!Q289</f>
        <v>102.45979251193309</v>
      </c>
      <c r="R139" s="4896">
        <f>Assumption!R289</f>
        <v>104.27812728951022</v>
      </c>
      <c r="S139" s="4896">
        <f>Assumption!S289</f>
        <v>106.12873171435373</v>
      </c>
      <c r="T139" s="4897">
        <f>Assumption!T289</f>
        <v>108.01217846985918</v>
      </c>
    </row>
    <row r="140" spans="2:22" ht="12" customHeight="1">
      <c r="C140" s="4892"/>
      <c r="D140" s="4892"/>
      <c r="F140" s="3" t="s">
        <v>6785</v>
      </c>
      <c r="H140" s="3" t="s">
        <v>360</v>
      </c>
      <c r="J140" s="4441">
        <f>가동율!K50</f>
        <v>0.97388692779225439</v>
      </c>
      <c r="K140" s="4442">
        <f>가동율!L50</f>
        <v>0.94605900674411414</v>
      </c>
      <c r="L140" s="4442">
        <f>가동율!M50</f>
        <v>0.96120188178521049</v>
      </c>
      <c r="M140" s="5116">
        <f>가동율!N50</f>
        <v>0.90886750966288676</v>
      </c>
      <c r="N140" s="5117"/>
      <c r="O140" s="4442">
        <f>가동율!K71</f>
        <v>0.93103294817121718</v>
      </c>
      <c r="P140" s="4989">
        <f>가동율!L71</f>
        <v>0.95867767119889491</v>
      </c>
      <c r="Q140" s="4989">
        <f>가동율!M71</f>
        <v>0.97716524618239964</v>
      </c>
      <c r="R140" s="4989">
        <f>가동율!N71</f>
        <v>0.97033704493237749</v>
      </c>
      <c r="S140" s="4989">
        <f>가동율!O71</f>
        <v>0.97643607715025516</v>
      </c>
      <c r="T140" s="4990">
        <f>가동율!P71</f>
        <v>0.97077677471104773</v>
      </c>
      <c r="V140" s="2511">
        <f>+T140-O140</f>
        <v>3.9743826539830551E-2</v>
      </c>
    </row>
    <row r="141" spans="2:22" ht="12" customHeight="1">
      <c r="C141" s="4892"/>
      <c r="D141" s="4892"/>
      <c r="E141" s="3" t="s">
        <v>2080</v>
      </c>
      <c r="J141" s="220">
        <f>에너지비!C16</f>
        <v>23745.463723992812</v>
      </c>
      <c r="K141" s="221">
        <f>에너지비!D16</f>
        <v>25704.733408088359</v>
      </c>
      <c r="L141" s="221">
        <f>에너지비!E16</f>
        <v>22780.293944855046</v>
      </c>
      <c r="M141" s="5063">
        <f>에너지비!F16</f>
        <v>19655.012511394129</v>
      </c>
      <c r="N141" s="5050">
        <f t="shared" ref="N141:T141" si="149">N142+N147</f>
        <v>8000.5625904054332</v>
      </c>
      <c r="O141" s="105">
        <f t="shared" si="149"/>
        <v>27655.575101799561</v>
      </c>
      <c r="P141" s="4879">
        <f t="shared" si="149"/>
        <v>30062.430695988718</v>
      </c>
      <c r="Q141" s="4879">
        <f>Q142+Q147</f>
        <v>28661.590600959295</v>
      </c>
      <c r="R141" s="4879">
        <f t="shared" si="149"/>
        <v>27914.295625231076</v>
      </c>
      <c r="S141" s="4879">
        <f t="shared" si="149"/>
        <v>27363.714843767964</v>
      </c>
      <c r="T141" s="4903">
        <f t="shared" si="149"/>
        <v>27148.098698571281</v>
      </c>
    </row>
    <row r="142" spans="2:22" ht="12" customHeight="1">
      <c r="C142" s="4892"/>
      <c r="D142" s="4892"/>
      <c r="F142" s="3" t="s">
        <v>6911</v>
      </c>
      <c r="J142" s="220">
        <f>(에너지비!L144)/에너지비!L146*J141</f>
        <v>7788.0446191869596</v>
      </c>
      <c r="K142" s="221">
        <f>(에너지비!M144)/에너지비!M146*K141</f>
        <v>9041.5161136333118</v>
      </c>
      <c r="L142" s="221">
        <f>(에너지비!N144)/에너지비!N146*L141</f>
        <v>8323.6448456388753</v>
      </c>
      <c r="M142" s="5063">
        <f>(에너지비!O144)/에너지비!O146*M141</f>
        <v>8059.1605736789925</v>
      </c>
      <c r="N142" s="5050">
        <f>N143*N144/10^6</f>
        <v>3548.2921522017623</v>
      </c>
      <c r="O142" s="105">
        <f>SUM(M142:N142)</f>
        <v>11607.452725880754</v>
      </c>
      <c r="P142" s="4879">
        <f>P143*P144/10^6</f>
        <v>14137.4757353938</v>
      </c>
      <c r="Q142" s="4879">
        <f t="shared" ref="Q142:T142" si="150">Q143*Q144/10^6</f>
        <v>12318.820223047369</v>
      </c>
      <c r="R142" s="4879">
        <f t="shared" si="150"/>
        <v>11462.89646624729</v>
      </c>
      <c r="S142" s="4879">
        <f t="shared" si="150"/>
        <v>11065.217248706884</v>
      </c>
      <c r="T142" s="4903">
        <f t="shared" si="150"/>
        <v>10867.228294205825</v>
      </c>
    </row>
    <row r="143" spans="2:22" ht="12" customHeight="1">
      <c r="C143" s="4892"/>
      <c r="D143" s="4892"/>
      <c r="F143" s="316" t="s">
        <v>6954</v>
      </c>
      <c r="G143" s="379"/>
      <c r="H143" s="110" t="s">
        <v>3486</v>
      </c>
      <c r="J143" s="220">
        <f>Revenue!J74+Revenue!J70</f>
        <v>1618222.0419999985</v>
      </c>
      <c r="K143" s="221">
        <f>Revenue!K74+Revenue!K70</f>
        <v>1581986.710999999</v>
      </c>
      <c r="L143" s="221">
        <f>Revenue!L74+Revenue!L70</f>
        <v>1640481.068</v>
      </c>
      <c r="M143" s="5063">
        <f>Revenue!M74+Revenue!M70</f>
        <v>1019625.917</v>
      </c>
      <c r="N143" s="5050">
        <f>Revenue!N74+Revenue!N70</f>
        <v>429374.08299999998</v>
      </c>
      <c r="O143" s="105">
        <f>Revenue!O74+Revenue!O70</f>
        <v>1449000</v>
      </c>
      <c r="P143" s="4879">
        <f>Revenue!P74+Revenue!P70</f>
        <v>1609000</v>
      </c>
      <c r="Q143" s="4879">
        <f>Revenue!Q74+Revenue!Q70</f>
        <v>1551000</v>
      </c>
      <c r="R143" s="4879">
        <f>Revenue!R74+Revenue!R70</f>
        <v>1545000</v>
      </c>
      <c r="S143" s="4879">
        <f>Revenue!S74+Revenue!S70</f>
        <v>1554711.0636204532</v>
      </c>
      <c r="T143" s="4903">
        <f>Revenue!T74+Revenue!T70</f>
        <v>1545700.1510574017</v>
      </c>
    </row>
    <row r="144" spans="2:22" ht="12" customHeight="1">
      <c r="C144" s="4892"/>
      <c r="D144" s="4892"/>
      <c r="F144" s="316" t="s">
        <v>6927</v>
      </c>
      <c r="G144" s="379"/>
      <c r="H144" s="110" t="s">
        <v>5575</v>
      </c>
      <c r="J144" s="319">
        <f>J142*10^6/J143</f>
        <v>4812.7169307133727</v>
      </c>
      <c r="K144" s="320">
        <f>K142*10^6/K143</f>
        <v>5715.2920759479866</v>
      </c>
      <c r="L144" s="320">
        <f>L142*10^6/L143</f>
        <v>5073.9048490127871</v>
      </c>
      <c r="M144" s="5069">
        <f>M142*10^6/M143</f>
        <v>7904.0366072599472</v>
      </c>
      <c r="N144" s="5088">
        <f>N145*N146</f>
        <v>8263.8712784203199</v>
      </c>
      <c r="O144" s="320">
        <f>O142*10^6/O143</f>
        <v>8010.6644070950688</v>
      </c>
      <c r="P144" s="4879">
        <f t="shared" ref="P144:T144" si="151">P145*P146</f>
        <v>8786.4982817860782</v>
      </c>
      <c r="Q144" s="4879">
        <f t="shared" si="151"/>
        <v>7942.5017556720622</v>
      </c>
      <c r="R144" s="4879">
        <f t="shared" si="151"/>
        <v>7419.3504635904792</v>
      </c>
      <c r="S144" s="4879">
        <f t="shared" si="151"/>
        <v>7117.2177954013714</v>
      </c>
      <c r="T144" s="4903">
        <f t="shared" si="151"/>
        <v>7030.6186402140384</v>
      </c>
    </row>
    <row r="145" spans="1:22" ht="12" customHeight="1">
      <c r="C145" s="4892"/>
      <c r="D145" s="4892"/>
      <c r="F145" s="4486" t="s">
        <v>3001</v>
      </c>
      <c r="G145" s="379"/>
      <c r="H145" s="110" t="s">
        <v>6923</v>
      </c>
      <c r="J145" s="220">
        <f>Assumption!J78</f>
        <v>1100.3032653061225</v>
      </c>
      <c r="K145" s="221">
        <f>Assumption!K78</f>
        <v>1165.6546558704458</v>
      </c>
      <c r="L145" s="221">
        <f>Assumption!L78</f>
        <v>1180.0522088353418</v>
      </c>
      <c r="M145" s="5063">
        <f>Assumption!M78</f>
        <v>1131.01027027027</v>
      </c>
      <c r="N145" s="5050">
        <f>Assumption!N78</f>
        <v>1182.5</v>
      </c>
      <c r="O145" s="105">
        <f>Assumption!O78</f>
        <v>1141.53</v>
      </c>
      <c r="P145" s="4879">
        <f>Assumption!P78</f>
        <v>1142.53125</v>
      </c>
      <c r="Q145" s="4879">
        <f>Assumption!Q78</f>
        <v>1138.95</v>
      </c>
      <c r="R145" s="4879">
        <f>Assumption!R78</f>
        <v>1135.2</v>
      </c>
      <c r="S145" s="4879">
        <f>Assumption!S78</f>
        <v>1111</v>
      </c>
      <c r="T145" s="4903">
        <f>Assumption!T78</f>
        <v>1111</v>
      </c>
    </row>
    <row r="146" spans="1:22" ht="12" customHeight="1">
      <c r="C146" s="4892"/>
      <c r="D146" s="4892"/>
      <c r="F146" s="4486" t="s">
        <v>6927</v>
      </c>
      <c r="G146" s="379"/>
      <c r="H146" s="110" t="s">
        <v>6695</v>
      </c>
      <c r="J146" s="4485">
        <f>J144/J145</f>
        <v>4.3739913189973088</v>
      </c>
      <c r="K146" s="3022">
        <f t="shared" ref="K146:O146" si="152">K144/K145</f>
        <v>4.9030748920057503</v>
      </c>
      <c r="L146" s="3022">
        <f t="shared" si="152"/>
        <v>4.2997291230194818</v>
      </c>
      <c r="M146" s="5118">
        <f t="shared" si="152"/>
        <v>6.9884746540552385</v>
      </c>
      <c r="N146" s="5119">
        <f>Assumption!N292</f>
        <v>6.9884746540552385</v>
      </c>
      <c r="O146" s="3022">
        <f t="shared" si="152"/>
        <v>7.0174804053288735</v>
      </c>
      <c r="P146" s="4991">
        <f>Assumption!P292</f>
        <v>7.6903789561870433</v>
      </c>
      <c r="Q146" s="4991">
        <f>Assumption!Q292</f>
        <v>6.9735297911866736</v>
      </c>
      <c r="R146" s="4991">
        <f>Assumption!R292</f>
        <v>6.5357209862495411</v>
      </c>
      <c r="S146" s="4991">
        <f>Assumption!S292</f>
        <v>6.4061366295241866</v>
      </c>
      <c r="T146" s="4992">
        <f>Assumption!T292</f>
        <v>6.3281895951521498</v>
      </c>
    </row>
    <row r="147" spans="1:22" ht="12" customHeight="1">
      <c r="C147" s="4892"/>
      <c r="D147" s="4892"/>
      <c r="F147" s="3" t="s">
        <v>6920</v>
      </c>
      <c r="J147" s="220">
        <f>J141-J142</f>
        <v>15957.419104805853</v>
      </c>
      <c r="K147" s="221">
        <f>K141-K142</f>
        <v>16663.217294455048</v>
      </c>
      <c r="L147" s="221">
        <f>L141-L142</f>
        <v>14456.649099216171</v>
      </c>
      <c r="M147" s="5063">
        <f>M141-M142</f>
        <v>11595.851937715135</v>
      </c>
      <c r="N147" s="5050">
        <f>N148*N149/10^6</f>
        <v>4452.2704382036709</v>
      </c>
      <c r="O147" s="105">
        <f>SUM(M147:N147)</f>
        <v>16048.122375918807</v>
      </c>
      <c r="P147" s="4879">
        <f t="shared" ref="P147:T147" si="153">P148*P149/10^6</f>
        <v>15924.95496059492</v>
      </c>
      <c r="Q147" s="4879">
        <f t="shared" si="153"/>
        <v>16342.770377911927</v>
      </c>
      <c r="R147" s="4879">
        <f t="shared" si="153"/>
        <v>16451.399158983786</v>
      </c>
      <c r="S147" s="4879">
        <f t="shared" si="153"/>
        <v>16298.497595061081</v>
      </c>
      <c r="T147" s="4903">
        <f t="shared" si="153"/>
        <v>16280.870404365454</v>
      </c>
    </row>
    <row r="148" spans="1:22" ht="12" customHeight="1">
      <c r="C148" s="4892"/>
      <c r="D148" s="4892"/>
      <c r="F148" s="316" t="s">
        <v>5574</v>
      </c>
      <c r="H148" s="110" t="s">
        <v>3486</v>
      </c>
      <c r="J148" s="220">
        <f>J38</f>
        <v>651602.01399999962</v>
      </c>
      <c r="K148" s="221">
        <f t="shared" ref="K148:T148" si="154">K38</f>
        <v>640466.69499999925</v>
      </c>
      <c r="L148" s="221">
        <f t="shared" si="154"/>
        <v>642520.47100000002</v>
      </c>
      <c r="M148" s="5063">
        <f t="shared" si="154"/>
        <v>454818.78399999999</v>
      </c>
      <c r="N148" s="5060">
        <f t="shared" si="154"/>
        <v>168181.21600000001</v>
      </c>
      <c r="O148" s="221">
        <f t="shared" si="154"/>
        <v>623000</v>
      </c>
      <c r="P148" s="4882">
        <f t="shared" si="154"/>
        <v>644000</v>
      </c>
      <c r="Q148" s="4882">
        <f t="shared" si="154"/>
        <v>659000</v>
      </c>
      <c r="R148" s="4882">
        <f t="shared" si="154"/>
        <v>662000</v>
      </c>
      <c r="S148" s="4882">
        <f t="shared" si="154"/>
        <v>666160.98648332688</v>
      </c>
      <c r="T148" s="4895">
        <f t="shared" si="154"/>
        <v>662300</v>
      </c>
    </row>
    <row r="149" spans="1:22" ht="12" customHeight="1">
      <c r="C149" s="4892"/>
      <c r="D149" s="4892"/>
      <c r="F149" s="316" t="s">
        <v>6922</v>
      </c>
      <c r="H149" s="110" t="s">
        <v>5575</v>
      </c>
      <c r="J149" s="220">
        <f>J147*10^6/J148</f>
        <v>24489.517776115808</v>
      </c>
      <c r="K149" s="221">
        <f t="shared" ref="K149:M149" si="155">K147*10^6/K148</f>
        <v>26017.304919274633</v>
      </c>
      <c r="L149" s="221">
        <f t="shared" si="155"/>
        <v>22499.904285876317</v>
      </c>
      <c r="M149" s="5063">
        <f t="shared" si="155"/>
        <v>25495.543160581372</v>
      </c>
      <c r="N149" s="5050">
        <f>N150*N151</f>
        <v>26473.054150135711</v>
      </c>
      <c r="O149" s="105">
        <f>O147*10^6/O148</f>
        <v>25759.425964556671</v>
      </c>
      <c r="P149" s="4879">
        <f t="shared" ref="P149:T149" si="156">P150*P151</f>
        <v>24728.190932600806</v>
      </c>
      <c r="Q149" s="4879">
        <f t="shared" si="156"/>
        <v>24799.348069669086</v>
      </c>
      <c r="R149" s="4879">
        <f t="shared" si="156"/>
        <v>24851.056131395449</v>
      </c>
      <c r="S149" s="4879">
        <f t="shared" si="156"/>
        <v>24466.304580670621</v>
      </c>
      <c r="T149" s="4903">
        <f t="shared" si="156"/>
        <v>24582.319801246344</v>
      </c>
    </row>
    <row r="150" spans="1:22" ht="12" customHeight="1">
      <c r="C150" s="4892"/>
      <c r="D150" s="4892"/>
      <c r="F150" s="4486" t="s">
        <v>3001</v>
      </c>
      <c r="H150" s="110" t="s">
        <v>6923</v>
      </c>
      <c r="J150" s="220">
        <f>Assumption!J78</f>
        <v>1100.3032653061225</v>
      </c>
      <c r="K150" s="221">
        <f>Assumption!K78</f>
        <v>1165.6546558704458</v>
      </c>
      <c r="L150" s="221">
        <f>Assumption!L78</f>
        <v>1180.0522088353418</v>
      </c>
      <c r="M150" s="5063">
        <f>Assumption!M78</f>
        <v>1131.01027027027</v>
      </c>
      <c r="N150" s="5060">
        <f>Assumption!N78</f>
        <v>1182.5</v>
      </c>
      <c r="O150" s="221">
        <f>Assumption!O78</f>
        <v>1141.53</v>
      </c>
      <c r="P150" s="4882">
        <f>Assumption!P78</f>
        <v>1142.53125</v>
      </c>
      <c r="Q150" s="4882">
        <f>Assumption!Q78</f>
        <v>1138.95</v>
      </c>
      <c r="R150" s="4882">
        <f>Assumption!R78</f>
        <v>1135.2</v>
      </c>
      <c r="S150" s="4882">
        <f>Assumption!S78</f>
        <v>1111</v>
      </c>
      <c r="T150" s="4895">
        <f>Assumption!T78</f>
        <v>1111</v>
      </c>
    </row>
    <row r="151" spans="1:22" ht="12" customHeight="1">
      <c r="C151" s="4892"/>
      <c r="D151" s="4898"/>
      <c r="E151" s="12"/>
      <c r="F151" s="4946" t="s">
        <v>6922</v>
      </c>
      <c r="G151" s="12"/>
      <c r="H151" s="1950" t="s">
        <v>6695</v>
      </c>
      <c r="I151" s="12"/>
      <c r="J151" s="4503">
        <f>J149/J150</f>
        <v>22.257061801322948</v>
      </c>
      <c r="K151" s="4504">
        <f t="shared" ref="K151:M151" si="157">K149/K150</f>
        <v>22.319908206300056</v>
      </c>
      <c r="L151" s="4504">
        <f t="shared" si="157"/>
        <v>19.066871887035155</v>
      </c>
      <c r="M151" s="5120">
        <f t="shared" si="157"/>
        <v>22.542273780138949</v>
      </c>
      <c r="N151" s="5121">
        <f>Assumption!N291</f>
        <v>22.38736080349743</v>
      </c>
      <c r="O151" s="4504">
        <f>Assumption!O291</f>
        <v>22.38736080349743</v>
      </c>
      <c r="P151" s="4993">
        <f>Assumption!P291</f>
        <v>21.64333879935521</v>
      </c>
      <c r="Q151" s="4993">
        <f>Assumption!Q291</f>
        <v>21.773868975520511</v>
      </c>
      <c r="R151" s="4993">
        <f>Assumption!R291</f>
        <v>21.891346134069281</v>
      </c>
      <c r="S151" s="4993">
        <f>Assumption!S291</f>
        <v>22.021876310234582</v>
      </c>
      <c r="T151" s="4994">
        <f>Assumption!T291</f>
        <v>22.126300451166827</v>
      </c>
    </row>
    <row r="152" spans="1:22" s="377" customFormat="1" ht="12" customHeight="1">
      <c r="A152" s="362"/>
      <c r="B152" s="362"/>
      <c r="C152" s="611"/>
      <c r="D152" s="4884" t="s">
        <v>1294</v>
      </c>
      <c r="E152" s="4947"/>
      <c r="F152" s="4947"/>
      <c r="G152" s="4947"/>
      <c r="H152" s="4164"/>
      <c r="I152" s="4947"/>
      <c r="J152" s="4942">
        <f>SUMIFS('과거손익(Summary)'!$N$3:$N$54,'과거손익(Summary)'!$E$3:$E$54,J$133)</f>
        <v>27847.129799999995</v>
      </c>
      <c r="K152" s="4943">
        <f>SUMIFS('과거손익(Summary)'!$N$3:$N$54,'과거손익(Summary)'!$E$3:$E$54,K$133)</f>
        <v>25361.522485000001</v>
      </c>
      <c r="L152" s="4943">
        <f>SUMIFS('과거손익(Summary)'!$N$3:$N$54,'과거손익(Summary)'!$E$3:$E$54,L$133)</f>
        <v>24066.635856000001</v>
      </c>
      <c r="M152" s="5110">
        <f>SUMIFS('과거손익(Summary)'!$N$3:$N$54,'과거손익(Summary)'!$E$3:$E$54,M$133)</f>
        <v>19154.340025000001</v>
      </c>
      <c r="N152" s="5056">
        <f>N153+N156</f>
        <v>7082.8213574441352</v>
      </c>
      <c r="O152" s="4704">
        <f>SUM(M152:N152)</f>
        <v>26237.161382444137</v>
      </c>
      <c r="P152" s="4888">
        <f t="shared" ref="P152:T152" si="158">P153+P156</f>
        <v>27121.56008072877</v>
      </c>
      <c r="Q152" s="4888">
        <f t="shared" si="158"/>
        <v>27753.273436646363</v>
      </c>
      <c r="R152" s="4888">
        <f t="shared" si="158"/>
        <v>27879.616107829886</v>
      </c>
      <c r="S152" s="4888">
        <f t="shared" si="158"/>
        <v>28054.852823517231</v>
      </c>
      <c r="T152" s="4889">
        <f t="shared" si="158"/>
        <v>27892.250374948238</v>
      </c>
      <c r="U152" s="1953"/>
    </row>
    <row r="153" spans="1:22" ht="12" customHeight="1">
      <c r="C153" s="4892"/>
      <c r="D153" s="4892"/>
      <c r="E153" s="3" t="s">
        <v>5572</v>
      </c>
      <c r="J153" s="220">
        <f>SUMIFS('과거손익(Summary)'!$N$3:$N$54,'과거손익(Summary)'!$E$3:$E$54,J$133,'과거손익(Summary)'!$C$3:$C$54,$E153)</f>
        <v>18483.011760999998</v>
      </c>
      <c r="K153" s="221">
        <f>SUMIFS('과거손익(Summary)'!$N$3:$N$54,'과거손익(Summary)'!$E$3:$E$54,K$133,'과거손익(Summary)'!$C$3:$C$54,$E153)</f>
        <v>16342.137197</v>
      </c>
      <c r="L153" s="221">
        <f>SUMIFS('과거손익(Summary)'!$N$3:$N$54,'과거손익(Summary)'!$E$3:$E$54,L$133,'과거손익(Summary)'!$C$3:$C$54,$E153)</f>
        <v>16003.976242999999</v>
      </c>
      <c r="M153" s="5063">
        <f>SUMIFS('과거손익(Summary)'!$N$3:$N$54,'과거손익(Summary)'!$E$3:$E$54,M$133,'과거손익(Summary)'!$C$3:$C$54,$E153)</f>
        <v>12180.605557999997</v>
      </c>
      <c r="N153" s="5050">
        <f>N154*N155/10^6</f>
        <v>4504.0994928670279</v>
      </c>
      <c r="O153" s="105">
        <f>SUM(M153:N153)</f>
        <v>16684.705050867025</v>
      </c>
      <c r="P153" s="4879">
        <f t="shared" ref="P153:T153" si="159">P154*P155/10^6</f>
        <v>17247.110839098499</v>
      </c>
      <c r="Q153" s="4879">
        <f t="shared" si="159"/>
        <v>17648.829259263835</v>
      </c>
      <c r="R153" s="4879">
        <f t="shared" si="159"/>
        <v>17729.172943296904</v>
      </c>
      <c r="S153" s="4879">
        <f t="shared" si="159"/>
        <v>17840.609271057663</v>
      </c>
      <c r="T153" s="4903">
        <f t="shared" si="159"/>
        <v>17737.207311700211</v>
      </c>
    </row>
    <row r="154" spans="1:22" s="377" customFormat="1" ht="12" customHeight="1">
      <c r="A154" s="362"/>
      <c r="B154" s="362"/>
      <c r="C154" s="611"/>
      <c r="D154" s="611"/>
      <c r="E154" s="362"/>
      <c r="F154" s="3" t="s">
        <v>5574</v>
      </c>
      <c r="G154" s="362"/>
      <c r="H154" s="110" t="s">
        <v>3545</v>
      </c>
      <c r="I154" s="362"/>
      <c r="J154" s="220">
        <f>J38</f>
        <v>651602.01399999962</v>
      </c>
      <c r="K154" s="221">
        <f t="shared" ref="K154:T154" si="160">K38</f>
        <v>640466.69499999925</v>
      </c>
      <c r="L154" s="221">
        <f t="shared" si="160"/>
        <v>642520.47100000002</v>
      </c>
      <c r="M154" s="5063">
        <f t="shared" si="160"/>
        <v>454818.78399999999</v>
      </c>
      <c r="N154" s="5060">
        <f t="shared" si="160"/>
        <v>168181.21600000001</v>
      </c>
      <c r="O154" s="221">
        <f t="shared" si="160"/>
        <v>623000</v>
      </c>
      <c r="P154" s="4882">
        <f t="shared" si="160"/>
        <v>644000</v>
      </c>
      <c r="Q154" s="4882">
        <f t="shared" si="160"/>
        <v>659000</v>
      </c>
      <c r="R154" s="4882">
        <f t="shared" si="160"/>
        <v>662000</v>
      </c>
      <c r="S154" s="4882">
        <f t="shared" si="160"/>
        <v>666160.98648332688</v>
      </c>
      <c r="T154" s="4895">
        <f t="shared" si="160"/>
        <v>662300</v>
      </c>
      <c r="U154" s="1953"/>
    </row>
    <row r="155" spans="1:22" ht="12" customHeight="1">
      <c r="C155" s="4892"/>
      <c r="D155" s="4892"/>
      <c r="F155" s="3" t="s">
        <v>5612</v>
      </c>
      <c r="H155" s="110" t="s">
        <v>5611</v>
      </c>
      <c r="J155" s="319">
        <f>J153*10^6/J154</f>
        <v>28365.492070133485</v>
      </c>
      <c r="K155" s="320">
        <f t="shared" ref="K155:O155" si="161">K153*10^6/K154</f>
        <v>25515.982836547057</v>
      </c>
      <c r="L155" s="320">
        <f t="shared" si="161"/>
        <v>24908.118830971845</v>
      </c>
      <c r="M155" s="5069">
        <f t="shared" si="161"/>
        <v>26781.228011022515</v>
      </c>
      <c r="N155" s="5060">
        <f>Assumption!N316</f>
        <v>26781.228011022515</v>
      </c>
      <c r="O155" s="320">
        <f t="shared" si="161"/>
        <v>26781.228011022511</v>
      </c>
      <c r="P155" s="4882">
        <f>Assumption!P316</f>
        <v>26781.228011022515</v>
      </c>
      <c r="Q155" s="4882">
        <f>Assumption!Q316</f>
        <v>26781.228011022515</v>
      </c>
      <c r="R155" s="4882">
        <f>Assumption!R316</f>
        <v>26781.228011022515</v>
      </c>
      <c r="S155" s="4882">
        <f>Assumption!S316</f>
        <v>26781.228011022515</v>
      </c>
      <c r="T155" s="4895">
        <f>Assumption!T316</f>
        <v>26781.228011022515</v>
      </c>
    </row>
    <row r="156" spans="1:22" s="377" customFormat="1" ht="12" customHeight="1">
      <c r="A156" s="362"/>
      <c r="B156" s="362"/>
      <c r="C156" s="611"/>
      <c r="D156" s="611"/>
      <c r="E156" s="3" t="s">
        <v>5576</v>
      </c>
      <c r="F156" s="362"/>
      <c r="G156" s="362"/>
      <c r="H156" s="564"/>
      <c r="I156" s="362"/>
      <c r="J156" s="319">
        <f>J152-J153</f>
        <v>9364.1180389999972</v>
      </c>
      <c r="K156" s="320">
        <f t="shared" ref="K156:M156" si="162">K152-K153</f>
        <v>9019.3852880000013</v>
      </c>
      <c r="L156" s="105">
        <f t="shared" si="162"/>
        <v>8062.6596130000016</v>
      </c>
      <c r="M156" s="5049">
        <f t="shared" si="162"/>
        <v>6973.7344670000039</v>
      </c>
      <c r="N156" s="5050">
        <f>N153*N157</f>
        <v>2578.7218645771072</v>
      </c>
      <c r="O156" s="105">
        <f>SUM(M156:N156)</f>
        <v>9552.456331577112</v>
      </c>
      <c r="P156" s="4879">
        <f t="shared" ref="P156:T156" si="163">P153*P157</f>
        <v>9874.4492416302728</v>
      </c>
      <c r="Q156" s="4879">
        <f t="shared" si="163"/>
        <v>10104.444177382529</v>
      </c>
      <c r="R156" s="4879">
        <f t="shared" si="163"/>
        <v>10150.443164532982</v>
      </c>
      <c r="S156" s="4879">
        <f t="shared" si="163"/>
        <v>10214.243552459568</v>
      </c>
      <c r="T156" s="4903">
        <f t="shared" si="163"/>
        <v>10155.043063248027</v>
      </c>
      <c r="U156" s="1953"/>
    </row>
    <row r="157" spans="1:22" ht="12" customHeight="1">
      <c r="C157" s="4892"/>
      <c r="D157" s="4898"/>
      <c r="E157" s="12"/>
      <c r="F157" s="12" t="s">
        <v>5610</v>
      </c>
      <c r="G157" s="12"/>
      <c r="H157" s="1950" t="s">
        <v>360</v>
      </c>
      <c r="I157" s="12"/>
      <c r="J157" s="4931">
        <f>J156/J153</f>
        <v>0.50663377592815884</v>
      </c>
      <c r="K157" s="3065">
        <f t="shared" ref="K157:O157" si="164">K156/K153</f>
        <v>0.55190977650436879</v>
      </c>
      <c r="L157" s="3065">
        <f t="shared" si="164"/>
        <v>0.50379102609119031</v>
      </c>
      <c r="M157" s="5104">
        <f t="shared" si="164"/>
        <v>0.57252773138358326</v>
      </c>
      <c r="N157" s="5122">
        <f>Assumption!N317</f>
        <v>0.57252773138358326</v>
      </c>
      <c r="O157" s="229">
        <f t="shared" si="164"/>
        <v>0.57252773138358326</v>
      </c>
      <c r="P157" s="4950">
        <f>Assumption!P317</f>
        <v>0.57252773138358326</v>
      </c>
      <c r="Q157" s="4950">
        <f>Assumption!Q317</f>
        <v>0.57252773138358326</v>
      </c>
      <c r="R157" s="4950">
        <f>Assumption!R317</f>
        <v>0.57252773138358326</v>
      </c>
      <c r="S157" s="4950">
        <f>Assumption!S317</f>
        <v>0.57252773138358326</v>
      </c>
      <c r="T157" s="4955">
        <f>Assumption!T317</f>
        <v>0.57252773138358326</v>
      </c>
      <c r="V157" s="2511">
        <f>+T157-O157</f>
        <v>0</v>
      </c>
    </row>
    <row r="158" spans="1:22" s="377" customFormat="1" ht="12" customHeight="1">
      <c r="A158" s="362"/>
      <c r="B158" s="362"/>
      <c r="C158" s="611"/>
      <c r="D158" s="4948" t="s">
        <v>1359</v>
      </c>
      <c r="E158" s="4947"/>
      <c r="F158" s="4947"/>
      <c r="G158" s="4947"/>
      <c r="H158" s="4164"/>
      <c r="I158" s="4947"/>
      <c r="J158" s="4942">
        <f>SUMIFS('과거손익(Summary)'!$M$3:$M$54,'과거손익(Summary)'!$E$3:$E$54,J$133)</f>
        <v>0</v>
      </c>
      <c r="K158" s="4943">
        <f>SUMIFS('과거손익(Summary)'!$M$3:$M$54,'과거손익(Summary)'!$E$3:$E$54,K$133)</f>
        <v>14620.976670999999</v>
      </c>
      <c r="L158" s="4943">
        <f>SUMIFS('과거손익(Summary)'!$M$3:$M$54,'과거손익(Summary)'!$E$3:$E$54,L$133)</f>
        <v>11074.429815</v>
      </c>
      <c r="M158" s="5110">
        <f>SUMIFS('과거손익(Summary)'!$M$3:$M$54,'과거손익(Summary)'!$E$3:$E$54,M$133)</f>
        <v>11456.382572</v>
      </c>
      <c r="N158" s="5056">
        <f t="shared" ref="N158:T158" si="165">N159+N164+N169</f>
        <v>4592.7421231249464</v>
      </c>
      <c r="O158" s="4704">
        <f t="shared" si="165"/>
        <v>16049.124695124947</v>
      </c>
      <c r="P158" s="4888">
        <f t="shared" si="165"/>
        <v>17718.368196377851</v>
      </c>
      <c r="Q158" s="4888">
        <f t="shared" si="165"/>
        <v>17729.84510564911</v>
      </c>
      <c r="R158" s="4888">
        <f t="shared" si="165"/>
        <v>17887.749735673136</v>
      </c>
      <c r="S158" s="4888">
        <f t="shared" si="165"/>
        <v>18000.359434879781</v>
      </c>
      <c r="T158" s="4889">
        <f t="shared" si="165"/>
        <v>17939.456139231293</v>
      </c>
      <c r="U158" s="1953"/>
    </row>
    <row r="159" spans="1:22" ht="12" customHeight="1">
      <c r="C159" s="4892"/>
      <c r="D159" s="4892"/>
      <c r="E159" s="3" t="s">
        <v>1366</v>
      </c>
      <c r="J159" s="367"/>
      <c r="K159" s="221">
        <f>SUMIFS('과거손익(Summary)'!$M$3:$M$54,'과거손익(Summary)'!$E$3:$E$54,K$133,'과거손익(Summary)'!$B$3:$B$54,$E159)</f>
        <v>10876.728720999999</v>
      </c>
      <c r="L159" s="221">
        <f>SUMIFS('과거손익(Summary)'!$M$3:$M$54,'과거손익(Summary)'!$E$3:$E$54,L$133,'과거손익(Summary)'!$B$3:$B$54,$E159)</f>
        <v>6907.7946330000004</v>
      </c>
      <c r="M159" s="5063">
        <f>SUMIFS('과거손익(Summary)'!$M$3:$M$54,'과거손익(Summary)'!$E$3:$E$54,M$133,'과거손익(Summary)'!$B$3:$B$54,$E159)</f>
        <v>5554.06185</v>
      </c>
      <c r="N159" s="5050">
        <f>N160*N163/10^6</f>
        <v>2403.8890355521735</v>
      </c>
      <c r="O159" s="105">
        <f>SUM(M159:N159)</f>
        <v>7957.9508855521735</v>
      </c>
      <c r="P159" s="4879">
        <f t="shared" ref="P159:T159" si="166">P160*P163/10^6</f>
        <v>9092.3700784557805</v>
      </c>
      <c r="Q159" s="4879">
        <f t="shared" si="166"/>
        <v>8748.4302855158658</v>
      </c>
      <c r="R159" s="4879">
        <f t="shared" si="166"/>
        <v>8693.1922377690353</v>
      </c>
      <c r="S159" s="4879">
        <f t="shared" si="166"/>
        <v>8799.595433027418</v>
      </c>
      <c r="T159" s="4903">
        <f t="shared" si="166"/>
        <v>8722.8629098939564</v>
      </c>
    </row>
    <row r="160" spans="1:22" ht="12" customHeight="1">
      <c r="C160" s="4892"/>
      <c r="D160" s="4892"/>
      <c r="F160" s="3" t="s">
        <v>10698</v>
      </c>
      <c r="H160" s="110" t="s">
        <v>3545</v>
      </c>
      <c r="J160" s="4514"/>
      <c r="K160" s="1937">
        <f>과거손익_본체!E123</f>
        <v>809134.12</v>
      </c>
      <c r="L160" s="221">
        <f>과거손익_본체!F203</f>
        <v>745957.09199999995</v>
      </c>
      <c r="M160" s="5063">
        <f>과거손익_본체!F305</f>
        <v>446355.90899999999</v>
      </c>
      <c r="N160" s="5050">
        <f>N161*N162</f>
        <v>193190.15606551516</v>
      </c>
      <c r="O160" s="105">
        <f>SUM(M160:N160)</f>
        <v>639546.06506551511</v>
      </c>
      <c r="P160" s="4879">
        <f t="shared" ref="P160:T160" si="167">P161*P162</f>
        <v>713588.30569858558</v>
      </c>
      <c r="Q160" s="4879">
        <f t="shared" si="167"/>
        <v>679797.2160136943</v>
      </c>
      <c r="R160" s="4879">
        <f t="shared" si="167"/>
        <v>672840.22696092259</v>
      </c>
      <c r="S160" s="4879">
        <f t="shared" si="167"/>
        <v>677069.34945310233</v>
      </c>
      <c r="T160" s="4903">
        <f t="shared" si="167"/>
        <v>673145.13945048186</v>
      </c>
    </row>
    <row r="161" spans="1:22" ht="12" customHeight="1">
      <c r="C161" s="4892"/>
      <c r="D161" s="4892"/>
      <c r="F161" s="316" t="s">
        <v>5620</v>
      </c>
      <c r="H161" s="110" t="s">
        <v>3545</v>
      </c>
      <c r="J161" s="367"/>
      <c r="K161" s="221">
        <f>Revenue!K74</f>
        <v>1479118.5029999989</v>
      </c>
      <c r="L161" s="221">
        <f>Revenue!L74</f>
        <v>1509961.892</v>
      </c>
      <c r="M161" s="5063">
        <f>Revenue!M74</f>
        <v>898230.92700000003</v>
      </c>
      <c r="N161" s="5060">
        <f>Revenue!N74</f>
        <v>388769.07299999997</v>
      </c>
      <c r="O161" s="221">
        <f>Revenue!O74</f>
        <v>1287000</v>
      </c>
      <c r="P161" s="4882">
        <f>Revenue!P74</f>
        <v>1436000</v>
      </c>
      <c r="Q161" s="4882">
        <f>Revenue!Q74</f>
        <v>1368000</v>
      </c>
      <c r="R161" s="4882">
        <f>Revenue!R74</f>
        <v>1354000</v>
      </c>
      <c r="S161" s="4882">
        <f>Revenue!S74</f>
        <v>1362510.5373087984</v>
      </c>
      <c r="T161" s="4895">
        <f>Revenue!T74</f>
        <v>1354613.5951661631</v>
      </c>
    </row>
    <row r="162" spans="1:22" ht="12" customHeight="1">
      <c r="C162" s="4892"/>
      <c r="D162" s="4892"/>
      <c r="F162" s="316" t="s">
        <v>10699</v>
      </c>
      <c r="H162" s="110" t="s">
        <v>360</v>
      </c>
      <c r="J162" s="4515"/>
      <c r="K162" s="1941">
        <f t="shared" ref="K162" si="168">K160/K161</f>
        <v>0.54703806243981568</v>
      </c>
      <c r="L162" s="405">
        <f>L160/L161</f>
        <v>0.49402378692614046</v>
      </c>
      <c r="M162" s="5123">
        <f>M160/M161</f>
        <v>0.49692778948369476</v>
      </c>
      <c r="N162" s="5124">
        <f>Assumption!N335</f>
        <v>0.49692778948369476</v>
      </c>
      <c r="O162" s="1912">
        <f>O160/O161</f>
        <v>0.4969277894836947</v>
      </c>
      <c r="P162" s="4949">
        <f>Assumption!P335</f>
        <v>0.4969277894836947</v>
      </c>
      <c r="Q162" s="4949">
        <f>Assumption!Q335</f>
        <v>0.4969277894836947</v>
      </c>
      <c r="R162" s="4949">
        <f>Assumption!R335</f>
        <v>0.4969277894836947</v>
      </c>
      <c r="S162" s="4949">
        <f>Assumption!S335</f>
        <v>0.4969277894836947</v>
      </c>
      <c r="T162" s="4953">
        <f>Assumption!T335</f>
        <v>0.4969277894836947</v>
      </c>
      <c r="V162" s="2511">
        <f>+T162-O162</f>
        <v>0</v>
      </c>
    </row>
    <row r="163" spans="1:22" ht="12" customHeight="1">
      <c r="C163" s="4892"/>
      <c r="D163" s="4892"/>
      <c r="F163" s="3" t="s">
        <v>10701</v>
      </c>
      <c r="H163" s="110" t="s">
        <v>5611</v>
      </c>
      <c r="J163" s="367"/>
      <c r="K163" s="221">
        <f>K159*10^6/K160</f>
        <v>13442.429941033755</v>
      </c>
      <c r="L163" s="221">
        <f t="shared" ref="L163:O163" si="169">L159*10^6/L160</f>
        <v>9260.3109576710085</v>
      </c>
      <c r="M163" s="5063">
        <f t="shared" si="169"/>
        <v>12443.123834616918</v>
      </c>
      <c r="N163" s="5060">
        <f>Assumption!N334</f>
        <v>12443.123834616918</v>
      </c>
      <c r="O163" s="105">
        <f t="shared" si="169"/>
        <v>12443.123834616919</v>
      </c>
      <c r="P163" s="4882">
        <f>Assumption!P334</f>
        <v>12741.758806647724</v>
      </c>
      <c r="Q163" s="4882">
        <f>Assumption!Q334</f>
        <v>12869.176394714201</v>
      </c>
      <c r="R163" s="4882">
        <f>Assumption!R334</f>
        <v>12920.143429940792</v>
      </c>
      <c r="S163" s="4882">
        <f>Assumption!S334</f>
        <v>12996.593982780678</v>
      </c>
      <c r="T163" s="4895">
        <f>Assumption!T334</f>
        <v>12958.368706360734</v>
      </c>
    </row>
    <row r="164" spans="1:22" s="377" customFormat="1" ht="12" customHeight="1">
      <c r="A164" s="362"/>
      <c r="B164" s="362"/>
      <c r="C164" s="611"/>
      <c r="D164" s="611"/>
      <c r="E164" s="362" t="s">
        <v>325</v>
      </c>
      <c r="F164" s="362"/>
      <c r="G164" s="362"/>
      <c r="H164" s="564"/>
      <c r="I164" s="362"/>
      <c r="J164" s="367"/>
      <c r="K164" s="221">
        <f>SUMIFS('과거손익(Summary)'!$M$3:$M$54,'과거손익(Summary)'!$E$3:$E$54,K$133,'과거손익(Summary)'!$B$3:$B$54,$E164)</f>
        <v>3578.9050400000001</v>
      </c>
      <c r="L164" s="221">
        <f>SUMIFS('과거손익(Summary)'!$M$3:$M$54,'과거손익(Summary)'!$E$3:$E$54,L$133,'과거손익(Summary)'!$B$3:$B$54,$E164)</f>
        <v>3884.4182989999999</v>
      </c>
      <c r="M164" s="5063">
        <f>SUMIFS('과거손익(Summary)'!$M$3:$M$54,'과거손익(Summary)'!$E$3:$E$54,M$133,'과거손익(Summary)'!$B$3:$B$54,$E164)</f>
        <v>5699.3624170000003</v>
      </c>
      <c r="N164" s="5088">
        <f>N165*N168/10^6</f>
        <v>2107.48925821797</v>
      </c>
      <c r="O164" s="320">
        <f>SUM(M164:N164)</f>
        <v>7806.8516752179703</v>
      </c>
      <c r="P164" s="4923">
        <f t="shared" ref="P164:T164" si="170">P165*P168/10^6</f>
        <v>8312.1040982433133</v>
      </c>
      <c r="Q164" s="4923">
        <f t="shared" si="170"/>
        <v>8667.3174785037991</v>
      </c>
      <c r="R164" s="4923">
        <f t="shared" si="170"/>
        <v>8877.6627587663334</v>
      </c>
      <c r="S164" s="4923">
        <f t="shared" si="170"/>
        <v>8881.8742984635392</v>
      </c>
      <c r="T164" s="4924">
        <f t="shared" si="170"/>
        <v>8898.7824729526001</v>
      </c>
      <c r="U164" s="1953"/>
    </row>
    <row r="165" spans="1:22" s="377" customFormat="1" ht="12" customHeight="1">
      <c r="A165" s="362"/>
      <c r="B165" s="362"/>
      <c r="C165" s="611"/>
      <c r="D165" s="611"/>
      <c r="E165" s="362"/>
      <c r="F165" s="3" t="s">
        <v>10700</v>
      </c>
      <c r="G165" s="362"/>
      <c r="H165" s="110" t="s">
        <v>3545</v>
      </c>
      <c r="I165" s="362"/>
      <c r="J165" s="4514"/>
      <c r="K165" s="1937">
        <f>과거손익_본체!E132</f>
        <v>241479.70499999999</v>
      </c>
      <c r="L165" s="221">
        <f>과거손익_본체!F212</f>
        <v>237969.05799999999</v>
      </c>
      <c r="M165" s="5063">
        <f>과거손익_본체!F314</f>
        <v>234104.144</v>
      </c>
      <c r="N165" s="5088">
        <f>N166*N167</f>
        <v>86566.16875471684</v>
      </c>
      <c r="O165" s="320">
        <f>SUM(M165:N165)</f>
        <v>320670.31275471684</v>
      </c>
      <c r="P165" s="4923">
        <f t="shared" ref="P165:T165" si="171">P166*P167</f>
        <v>331479.42442060617</v>
      </c>
      <c r="Q165" s="4923">
        <f t="shared" si="171"/>
        <v>339200.21846766997</v>
      </c>
      <c r="R165" s="4923">
        <f t="shared" si="171"/>
        <v>340744.37727708276</v>
      </c>
      <c r="S165" s="4923">
        <f t="shared" si="171"/>
        <v>342886.11858844163</v>
      </c>
      <c r="T165" s="4924">
        <f t="shared" si="171"/>
        <v>340898.79315802403</v>
      </c>
      <c r="U165" s="1953"/>
    </row>
    <row r="166" spans="1:22" s="377" customFormat="1" ht="12" customHeight="1">
      <c r="A166" s="362"/>
      <c r="B166" s="362"/>
      <c r="C166" s="611"/>
      <c r="D166" s="611"/>
      <c r="E166" s="362"/>
      <c r="F166" s="316" t="s">
        <v>5574</v>
      </c>
      <c r="G166" s="3"/>
      <c r="H166" s="110" t="s">
        <v>3545</v>
      </c>
      <c r="I166" s="362"/>
      <c r="J166" s="367"/>
      <c r="K166" s="221">
        <f t="shared" ref="K166:T166" si="172">K154</f>
        <v>640466.69499999925</v>
      </c>
      <c r="L166" s="221">
        <f t="shared" si="172"/>
        <v>642520.47100000002</v>
      </c>
      <c r="M166" s="5063">
        <f t="shared" si="172"/>
        <v>454818.78399999999</v>
      </c>
      <c r="N166" s="5060">
        <f t="shared" si="172"/>
        <v>168181.21600000001</v>
      </c>
      <c r="O166" s="221">
        <f t="shared" si="172"/>
        <v>623000</v>
      </c>
      <c r="P166" s="4882">
        <f t="shared" si="172"/>
        <v>644000</v>
      </c>
      <c r="Q166" s="4882">
        <f t="shared" si="172"/>
        <v>659000</v>
      </c>
      <c r="R166" s="4882">
        <f t="shared" si="172"/>
        <v>662000</v>
      </c>
      <c r="S166" s="4882">
        <f t="shared" si="172"/>
        <v>666160.98648332688</v>
      </c>
      <c r="T166" s="4895">
        <f t="shared" si="172"/>
        <v>662300</v>
      </c>
      <c r="U166" s="1953"/>
    </row>
    <row r="167" spans="1:22" s="377" customFormat="1" ht="12" customHeight="1">
      <c r="A167" s="362"/>
      <c r="B167" s="362"/>
      <c r="C167" s="611"/>
      <c r="D167" s="611"/>
      <c r="E167" s="362"/>
      <c r="F167" s="316" t="s">
        <v>10699</v>
      </c>
      <c r="G167" s="3"/>
      <c r="H167" s="110" t="s">
        <v>360</v>
      </c>
      <c r="I167" s="362"/>
      <c r="J167" s="4515"/>
      <c r="K167" s="1941">
        <f t="shared" ref="K167" si="173">K165/K166</f>
        <v>0.37703709948571218</v>
      </c>
      <c r="L167" s="405">
        <f>L165/L166</f>
        <v>0.37036805633543773</v>
      </c>
      <c r="M167" s="5123">
        <f t="shared" ref="M167:O167" si="174">M165/M166</f>
        <v>0.51471960313758724</v>
      </c>
      <c r="N167" s="5124">
        <f>Assumption!N337</f>
        <v>0.51471960313758724</v>
      </c>
      <c r="O167" s="1912">
        <f t="shared" si="174"/>
        <v>0.51471960313758724</v>
      </c>
      <c r="P167" s="4949">
        <f>Assumption!P337</f>
        <v>0.51471960313758724</v>
      </c>
      <c r="Q167" s="4949">
        <f>Assumption!Q337</f>
        <v>0.51471960313758724</v>
      </c>
      <c r="R167" s="4949">
        <f>Assumption!R337</f>
        <v>0.51471960313758724</v>
      </c>
      <c r="S167" s="4949">
        <f>Assumption!S337</f>
        <v>0.51471960313758724</v>
      </c>
      <c r="T167" s="4953">
        <f>Assumption!T337</f>
        <v>0.51471960313758724</v>
      </c>
      <c r="U167" s="1953"/>
      <c r="V167" s="2511">
        <f>+T167-O167</f>
        <v>0</v>
      </c>
    </row>
    <row r="168" spans="1:22" s="377" customFormat="1" ht="12" customHeight="1">
      <c r="A168" s="362"/>
      <c r="B168" s="362"/>
      <c r="C168" s="611"/>
      <c r="D168" s="611"/>
      <c r="E168" s="362"/>
      <c r="F168" s="3" t="s">
        <v>10702</v>
      </c>
      <c r="G168" s="3"/>
      <c r="H168" s="110" t="s">
        <v>5611</v>
      </c>
      <c r="I168" s="362"/>
      <c r="J168" s="367"/>
      <c r="K168" s="221">
        <f>K164*10^6/K165</f>
        <v>14820.72806077016</v>
      </c>
      <c r="L168" s="221">
        <f t="shared" ref="L168:M168" si="175">L164*10^6/L165</f>
        <v>16323.207444053505</v>
      </c>
      <c r="M168" s="5063">
        <f t="shared" si="175"/>
        <v>24345.414479292602</v>
      </c>
      <c r="N168" s="5060">
        <f>Assumption!N336</f>
        <v>24345.414479292602</v>
      </c>
      <c r="O168" s="320">
        <f>O164*10^6/O165</f>
        <v>24345.414479292602</v>
      </c>
      <c r="P168" s="4882">
        <f>Assumption!P336</f>
        <v>25075.77691367138</v>
      </c>
      <c r="Q168" s="4882">
        <f>Assumption!Q336</f>
        <v>25552.216675031133</v>
      </c>
      <c r="R168" s="4882">
        <f>Assumption!R336</f>
        <v>26053.73221330456</v>
      </c>
      <c r="S168" s="4882">
        <f>Assumption!S336</f>
        <v>25903.277551822532</v>
      </c>
      <c r="T168" s="4895">
        <f>Assumption!T336</f>
        <v>26103.883767131905</v>
      </c>
      <c r="U168" s="1953"/>
    </row>
    <row r="169" spans="1:22" ht="12" customHeight="1">
      <c r="C169" s="4892"/>
      <c r="D169" s="4892"/>
      <c r="E169" s="3" t="s">
        <v>320</v>
      </c>
      <c r="J169" s="319">
        <f>J158-J159-J164</f>
        <v>0</v>
      </c>
      <c r="K169" s="320">
        <f>K158-K159-K164</f>
        <v>165.34290999999894</v>
      </c>
      <c r="L169" s="320">
        <f>L158-L159-L164</f>
        <v>282.21688299999914</v>
      </c>
      <c r="M169" s="5069">
        <f>M158-M159-M164</f>
        <v>202.95830500000011</v>
      </c>
      <c r="N169" s="5050">
        <f>SUM(N159,N164)*N170</f>
        <v>81.363829354802462</v>
      </c>
      <c r="O169" s="105">
        <f>SUM(M169:N169)</f>
        <v>284.32213435480259</v>
      </c>
      <c r="P169" s="4879">
        <f>SUM(P159,P164)*P170</f>
        <v>313.89401967875881</v>
      </c>
      <c r="Q169" s="4879">
        <f>SUM(Q159,Q164)*Q170</f>
        <v>314.09734162944392</v>
      </c>
      <c r="R169" s="4879">
        <f>SUM(R159,R164)*R170</f>
        <v>316.89473913776868</v>
      </c>
      <c r="S169" s="4879">
        <f>SUM(S159,S164)*S170</f>
        <v>318.88970338882291</v>
      </c>
      <c r="T169" s="4903">
        <f>SUM(T159,T164)*T170</f>
        <v>317.81075638473618</v>
      </c>
    </row>
    <row r="170" spans="1:22" s="377" customFormat="1" ht="12" customHeight="1">
      <c r="A170" s="362"/>
      <c r="B170" s="362"/>
      <c r="C170" s="4944"/>
      <c r="D170" s="4944"/>
      <c r="E170" s="577"/>
      <c r="F170" s="577" t="s">
        <v>5621</v>
      </c>
      <c r="G170" s="577"/>
      <c r="H170" s="4172" t="s">
        <v>360</v>
      </c>
      <c r="I170" s="577"/>
      <c r="J170" s="4945">
        <v>0</v>
      </c>
      <c r="K170" s="3065">
        <f>K169/SUM(K164,K159)</f>
        <v>1.1437956490436224E-2</v>
      </c>
      <c r="L170" s="3065">
        <f>L169/SUM(L164,L159)</f>
        <v>2.615004770367323E-2</v>
      </c>
      <c r="M170" s="5104">
        <f>M169/SUM(M164,M159)</f>
        <v>1.8035248666058323E-2</v>
      </c>
      <c r="N170" s="5122">
        <f>Assumption!N338</f>
        <v>1.8035248666058323E-2</v>
      </c>
      <c r="O170" s="3065">
        <f>O169/SUM(O164,O159)</f>
        <v>1.8035248666058323E-2</v>
      </c>
      <c r="P170" s="4950">
        <f>Assumption!P338</f>
        <v>1.8035248666058323E-2</v>
      </c>
      <c r="Q170" s="4950">
        <f>Assumption!Q338</f>
        <v>1.8035248666058323E-2</v>
      </c>
      <c r="R170" s="4950">
        <f>Assumption!R338</f>
        <v>1.8035248666058323E-2</v>
      </c>
      <c r="S170" s="4950">
        <f>Assumption!S338</f>
        <v>1.8035248666058323E-2</v>
      </c>
      <c r="T170" s="4955">
        <f>Assumption!T338</f>
        <v>1.8035248666058323E-2</v>
      </c>
      <c r="U170" s="1953"/>
      <c r="V170" s="2511">
        <f>+T170-O170</f>
        <v>0</v>
      </c>
    </row>
    <row r="171" spans="1:22" ht="12" customHeight="1">
      <c r="C171" s="4884" t="s">
        <v>1292</v>
      </c>
      <c r="D171" s="4150"/>
      <c r="E171" s="4150"/>
      <c r="F171" s="4150"/>
      <c r="G171" s="4150"/>
      <c r="H171" s="4150"/>
      <c r="I171" s="4150"/>
      <c r="J171" s="4915">
        <f t="shared" ref="J171:L171" si="176">J172+J174+J173</f>
        <v>145380.74622900083</v>
      </c>
      <c r="K171" s="4887">
        <f t="shared" si="176"/>
        <v>142917.65303500084</v>
      </c>
      <c r="L171" s="4887">
        <f t="shared" si="176"/>
        <v>167712.91038799964</v>
      </c>
      <c r="M171" s="5081">
        <f>M172+M174+M173</f>
        <v>116661.9190390009</v>
      </c>
      <c r="N171" s="5082">
        <f t="shared" ref="N171:T171" si="177">N172+N174+N173</f>
        <v>37837.317253513284</v>
      </c>
      <c r="O171" s="4887">
        <f t="shared" si="177"/>
        <v>154499.23629251419</v>
      </c>
      <c r="P171" s="4916">
        <f t="shared" si="177"/>
        <v>159979.7982276539</v>
      </c>
      <c r="Q171" s="4916">
        <f t="shared" si="177"/>
        <v>162560.55728470965</v>
      </c>
      <c r="R171" s="4916">
        <f t="shared" si="177"/>
        <v>168006.63796598674</v>
      </c>
      <c r="S171" s="4916">
        <f t="shared" si="177"/>
        <v>173492.53898968204</v>
      </c>
      <c r="T171" s="4917">
        <f t="shared" si="177"/>
        <v>181026.27638186055</v>
      </c>
    </row>
    <row r="172" spans="1:22" s="377" customFormat="1" ht="12" customHeight="1">
      <c r="A172" s="362"/>
      <c r="B172" s="362"/>
      <c r="C172" s="611"/>
      <c r="D172" s="362" t="s">
        <v>5630</v>
      </c>
      <c r="E172" s="362"/>
      <c r="F172" s="362"/>
      <c r="G172" s="362"/>
      <c r="H172" s="564"/>
      <c r="I172" s="362"/>
      <c r="J172" s="220">
        <f>SUMIFS('과거손익(Summary)'!$R$3:$R$54,'과거손익(Summary)'!$E$3:$E$54,J$133)</f>
        <v>0</v>
      </c>
      <c r="K172" s="221">
        <f>SUMIFS('과거손익(Summary)'!$R$3:$R$54,'과거손익(Summary)'!$E$3:$E$54,K$133)</f>
        <v>0</v>
      </c>
      <c r="L172" s="221">
        <f>SUMIFS('과거손익(Summary)'!$R$3:$R$54,'과거손익(Summary)'!$E$3:$E$54,L$133)</f>
        <v>13449.348098</v>
      </c>
      <c r="M172" s="5063">
        <f>SUMIFS('과거손익(Summary)'!$R$3:$R$54,'과거손익(Summary)'!$E$3:$E$54,M$133)</f>
        <v>1397.9372169999999</v>
      </c>
      <c r="N172" s="5125">
        <v>0</v>
      </c>
      <c r="O172" s="320">
        <f>SUM(M172:N172)</f>
        <v>1397.9372169999999</v>
      </c>
      <c r="P172" s="4995">
        <v>0</v>
      </c>
      <c r="Q172" s="4995">
        <v>0</v>
      </c>
      <c r="R172" s="4995">
        <v>0</v>
      </c>
      <c r="S172" s="4995">
        <v>0</v>
      </c>
      <c r="T172" s="4996">
        <v>0</v>
      </c>
      <c r="U172" s="242" t="s">
        <v>5632</v>
      </c>
    </row>
    <row r="173" spans="1:22" s="377" customFormat="1" ht="12" customHeight="1">
      <c r="A173" s="362"/>
      <c r="B173" s="362"/>
      <c r="C173" s="611"/>
      <c r="D173" s="362" t="s">
        <v>2114</v>
      </c>
      <c r="E173" s="362"/>
      <c r="F173" s="362"/>
      <c r="G173" s="362"/>
      <c r="H173" s="564"/>
      <c r="I173" s="362"/>
      <c r="J173" s="220">
        <f>SUMIFS('과거손익(Summary)'!$Q$3:$Q$54,'과거손익(Summary)'!$E$3:$E$54,J$133)</f>
        <v>60574.945241000001</v>
      </c>
      <c r="K173" s="221">
        <f>SUMIFS('과거손익(Summary)'!$Q$3:$Q$54,'과거손익(Summary)'!$E$3:$E$54,K$133)</f>
        <v>62320.127139000011</v>
      </c>
      <c r="L173" s="221">
        <f>SUMIFS('과거손익(Summary)'!$Q$3:$Q$54,'과거손익(Summary)'!$E$3:$E$54,L$133)</f>
        <v>62328.431712999991</v>
      </c>
      <c r="M173" s="5063">
        <f>SUMIFS('과거손익(Summary)'!$Q$3:$Q$54,'과거손익(Summary)'!$E$3:$E$54,M$133)</f>
        <v>48242.67272000001</v>
      </c>
      <c r="N173" s="5060">
        <f>SUM(CAPEX!N39:N41)*$M$173/SUM(CAPEX!$M$39:$M$41)</f>
        <v>15496.880886179655</v>
      </c>
      <c r="O173" s="320">
        <f>SUM(M173:N173)</f>
        <v>63739.553606179667</v>
      </c>
      <c r="P173" s="4882">
        <f>SUMIFS('사업계획D&amp;A'!E$3:E$15,'사업계획D&amp;A'!$C$3:$C$15,"유형자산",'사업계획D&amp;A'!$B$3:$B$15,"제조")/10^6</f>
        <v>68473.370867055361</v>
      </c>
      <c r="Q173" s="4882">
        <f>SUMIFS('사업계획D&amp;A'!F$3:F$15,'사업계획D&amp;A'!$C$3:$C$15,"유형자산",'사업계획D&amp;A'!$B$3:$B$15,"제조")/10^6</f>
        <v>70139.065650505101</v>
      </c>
      <c r="R173" s="4882">
        <f>SUMIFS('사업계획D&amp;A'!G$3:G$15,'사업계획D&amp;A'!$C$3:$C$15,"유형자산",'사업계획D&amp;A'!$B$3:$B$15,"제조")/10^6+Assumption!R435</f>
        <v>74291.245448903326</v>
      </c>
      <c r="S173" s="4882">
        <f>R173/CAPEX!Q38*CAPEX!R38</f>
        <v>77902.838622256982</v>
      </c>
      <c r="T173" s="4895">
        <f>S173/CAPEX!R38*CAPEX!S38</f>
        <v>83811.551108189262</v>
      </c>
      <c r="U173" s="242"/>
    </row>
    <row r="174" spans="1:22" ht="12" customHeight="1">
      <c r="B174" s="12"/>
      <c r="C174" s="4898"/>
      <c r="D174" s="12" t="s">
        <v>5631</v>
      </c>
      <c r="E174" s="12"/>
      <c r="F174" s="12"/>
      <c r="G174" s="12"/>
      <c r="H174" s="12"/>
      <c r="I174" s="12"/>
      <c r="J174" s="223">
        <f>SUMIFS('과거손익(Summary)'!$P$3:$P$54,'과거손익(Summary)'!$E$3:$E$54,J$133)+SUMIFS('과거손익(Summary)'!$S$3:$S$54,'과거손익(Summary)'!$E$3:$E$54,J$133)-과거손익_본체!Y69/10^6</f>
        <v>84805.800988000832</v>
      </c>
      <c r="K174" s="224">
        <f>SUMIFS('과거손익(Summary)'!$P$3:$P$54,'과거손익(Summary)'!$E$3:$E$54,K$133)+SUMIFS('과거손익(Summary)'!$S$3:$S$54,'과거손익(Summary)'!$E$3:$E$54,K$133)-과거손익_본체!AL117/10^6</f>
        <v>80597.525896000836</v>
      </c>
      <c r="L174" s="224">
        <f>SUMIFS('과거손익(Summary)'!$P$3:$P$54,'과거손익(Summary)'!$E$3:$E$54,L$133)+SUMIFS('과거손익(Summary)'!$S$3:$S$54,'과거손익(Summary)'!$E$3:$E$54,L$133)-과거손익_본체!AL196/10^6</f>
        <v>91935.130576999654</v>
      </c>
      <c r="M174" s="5126">
        <f>SUMIFS('과거손익(Summary)'!$P$3:$P$54,'과거손익(Summary)'!$E$3:$E$54,M$133)+SUMIFS('과거손익(Summary)'!$S$3:$S$54,'과거손익(Summary)'!$E$3:$E$54,M$133)-과거손익_본체!AL298/10^6</f>
        <v>67021.309102000887</v>
      </c>
      <c r="N174" s="5054">
        <f>M174/3</f>
        <v>22340.43636733363</v>
      </c>
      <c r="O174" s="107">
        <f>SUM(M174:N174)</f>
        <v>89361.745469334521</v>
      </c>
      <c r="P174" s="4881">
        <f>O174*(1+General!J12)</f>
        <v>91506.427360598551</v>
      </c>
      <c r="Q174" s="4881">
        <f>P174*(1+General!K12)</f>
        <v>92421.491634204533</v>
      </c>
      <c r="R174" s="4881">
        <f>Q174*(1+General!L12)</f>
        <v>93715.392517083397</v>
      </c>
      <c r="S174" s="4881">
        <f>R174*(1+General!M12)</f>
        <v>95589.700367425074</v>
      </c>
      <c r="T174" s="4997">
        <f>S174*(1+General!N12)</f>
        <v>97214.725273671284</v>
      </c>
      <c r="U174" s="242" t="s">
        <v>5633</v>
      </c>
    </row>
    <row r="177" spans="1:21" ht="12" customHeight="1">
      <c r="A177" s="20" t="s">
        <v>77</v>
      </c>
      <c r="B177" s="21" t="s">
        <v>66</v>
      </c>
      <c r="C177" s="102"/>
      <c r="D177" s="102"/>
      <c r="E177" s="102"/>
      <c r="F177" s="102"/>
      <c r="G177" s="102"/>
      <c r="H177" s="102"/>
      <c r="I177" s="102"/>
      <c r="J177" s="102"/>
      <c r="K177" s="102"/>
      <c r="L177" s="102"/>
      <c r="M177" s="102"/>
      <c r="N177" s="102"/>
      <c r="O177" s="109"/>
      <c r="P177" s="109"/>
      <c r="Q177" s="109"/>
      <c r="R177" s="109"/>
      <c r="S177" s="109"/>
      <c r="T177" s="109"/>
    </row>
    <row r="178" spans="1:21" ht="12" customHeight="1">
      <c r="A178" s="1965"/>
      <c r="B178" s="1964" t="s">
        <v>6466</v>
      </c>
      <c r="C178" s="1965"/>
      <c r="D178" s="1965"/>
      <c r="E178" s="1965"/>
      <c r="F178" s="1965"/>
      <c r="G178" s="1965"/>
      <c r="H178" s="1965"/>
      <c r="I178" s="1965"/>
      <c r="J178" s="1965"/>
      <c r="K178" s="1965"/>
      <c r="L178" s="1965"/>
      <c r="M178" s="1965"/>
      <c r="N178" s="1965"/>
      <c r="O178" s="1965"/>
      <c r="P178" s="1965"/>
      <c r="Q178" s="1965"/>
      <c r="R178" s="1965"/>
      <c r="S178" s="1965"/>
      <c r="T178" s="1965"/>
      <c r="U178"/>
    </row>
    <row r="180" spans="1:21" ht="12" customHeight="1">
      <c r="B180" s="4027"/>
      <c r="C180" s="4027"/>
      <c r="D180" s="4027"/>
      <c r="E180" s="4027"/>
      <c r="F180" s="4027"/>
      <c r="G180" s="4027"/>
      <c r="H180" s="4027"/>
      <c r="I180" s="4027"/>
      <c r="J180" s="25" t="s">
        <v>23</v>
      </c>
      <c r="K180" s="26"/>
      <c r="L180" s="26"/>
      <c r="M180" s="27"/>
      <c r="N180" s="26" t="s">
        <v>24</v>
      </c>
      <c r="O180" s="26"/>
      <c r="P180" s="26"/>
      <c r="Q180" s="26"/>
      <c r="R180" s="26"/>
      <c r="S180" s="26"/>
      <c r="T180" s="26"/>
    </row>
    <row r="181" spans="1:21" ht="12" customHeight="1">
      <c r="B181" s="28"/>
      <c r="C181" s="28"/>
      <c r="D181" s="28"/>
      <c r="E181" s="28"/>
      <c r="F181" s="28"/>
      <c r="G181" s="28"/>
      <c r="H181" s="1949" t="s">
        <v>3537</v>
      </c>
      <c r="I181" s="28"/>
      <c r="J181" s="29" t="s">
        <v>69</v>
      </c>
      <c r="K181" s="30" t="s">
        <v>27</v>
      </c>
      <c r="L181" s="108" t="s">
        <v>60</v>
      </c>
      <c r="M181" s="31" t="s">
        <v>5104</v>
      </c>
      <c r="N181" s="30" t="s">
        <v>5174</v>
      </c>
      <c r="O181" s="30" t="s">
        <v>70</v>
      </c>
      <c r="P181" s="30" t="s">
        <v>71</v>
      </c>
      <c r="Q181" s="30" t="s">
        <v>72</v>
      </c>
      <c r="R181" s="30" t="s">
        <v>73</v>
      </c>
      <c r="S181" s="30" t="s">
        <v>74</v>
      </c>
      <c r="T181" s="30" t="s">
        <v>5102</v>
      </c>
    </row>
    <row r="182" spans="1:21" ht="12" customHeight="1">
      <c r="B182" s="4028" t="s">
        <v>30</v>
      </c>
      <c r="C182" s="4028"/>
      <c r="D182" s="4028"/>
      <c r="E182" s="4028"/>
      <c r="F182" s="4028"/>
      <c r="G182" s="4028"/>
      <c r="H182" s="4028"/>
      <c r="I182" s="4350"/>
      <c r="J182" s="4351">
        <f t="shared" ref="J182:T182" si="178">J183+J184+J185+J186</f>
        <v>442304.6722399852</v>
      </c>
      <c r="K182" s="4351">
        <f t="shared" si="178"/>
        <v>466060.04413257039</v>
      </c>
      <c r="L182" s="4351">
        <f t="shared" si="178"/>
        <v>548935.15392288216</v>
      </c>
      <c r="M182" s="4352">
        <f t="shared" si="178"/>
        <v>466574.44996475638</v>
      </c>
      <c r="N182" s="4351">
        <f t="shared" si="178"/>
        <v>172689.23234166036</v>
      </c>
      <c r="O182" s="4351">
        <f t="shared" si="178"/>
        <v>639263.6823064168</v>
      </c>
      <c r="P182" s="4998">
        <f t="shared" si="178"/>
        <v>602565.25243053061</v>
      </c>
      <c r="Q182" s="4998">
        <f t="shared" si="178"/>
        <v>619207.87837057596</v>
      </c>
      <c r="R182" s="4998">
        <f t="shared" si="178"/>
        <v>605358.3747051392</v>
      </c>
      <c r="S182" s="4998">
        <f t="shared" si="178"/>
        <v>612191.82842101564</v>
      </c>
      <c r="T182" s="4998">
        <f t="shared" si="178"/>
        <v>593520.47264679184</v>
      </c>
    </row>
    <row r="183" spans="1:21" ht="12" customHeight="1">
      <c r="C183" s="3" t="s">
        <v>1505</v>
      </c>
      <c r="I183" s="1057"/>
      <c r="J183" s="1119">
        <f>J192</f>
        <v>218323.51992798521</v>
      </c>
      <c r="K183" s="1119">
        <f t="shared" ref="K183:T183" si="179">K192</f>
        <v>221412.7367515704</v>
      </c>
      <c r="L183" s="1119">
        <f t="shared" si="179"/>
        <v>298381.61107588216</v>
      </c>
      <c r="M183" s="2356">
        <f t="shared" si="179"/>
        <v>208094.93126475636</v>
      </c>
      <c r="N183" s="1122">
        <f t="shared" si="179"/>
        <v>71526.797053593604</v>
      </c>
      <c r="O183" s="1122">
        <f t="shared" si="179"/>
        <v>279621.72831835004</v>
      </c>
      <c r="P183" s="4999">
        <f t="shared" si="179"/>
        <v>271637.62873638299</v>
      </c>
      <c r="Q183" s="4999">
        <f t="shared" si="179"/>
        <v>278843.23770897102</v>
      </c>
      <c r="R183" s="4999">
        <f t="shared" si="179"/>
        <v>280460.47119246511</v>
      </c>
      <c r="S183" s="4999">
        <f t="shared" si="179"/>
        <v>270635.22257178806</v>
      </c>
      <c r="T183" s="4999">
        <f t="shared" si="179"/>
        <v>268622.56913411774</v>
      </c>
    </row>
    <row r="184" spans="1:21" ht="12" customHeight="1">
      <c r="C184" s="3" t="s">
        <v>1506</v>
      </c>
      <c r="D184" s="45"/>
      <c r="I184" s="1057"/>
      <c r="J184" s="1119">
        <f>J278</f>
        <v>187441.497802</v>
      </c>
      <c r="K184" s="1119">
        <f t="shared" ref="K184:T184" si="180">K278</f>
        <v>194522.49660899999</v>
      </c>
      <c r="L184" s="1119">
        <f t="shared" si="180"/>
        <v>208026.18459700001</v>
      </c>
      <c r="M184" s="2356">
        <f t="shared" si="180"/>
        <v>209221.30906500001</v>
      </c>
      <c r="N184" s="1122">
        <f t="shared" si="180"/>
        <v>82442.528565151719</v>
      </c>
      <c r="O184" s="1122">
        <f t="shared" si="180"/>
        <v>291663.83763015171</v>
      </c>
      <c r="P184" s="4999">
        <f t="shared" si="180"/>
        <v>275096.16645390715</v>
      </c>
      <c r="Q184" s="4999">
        <f t="shared" si="180"/>
        <v>294212.71011880471</v>
      </c>
      <c r="R184" s="4999">
        <f t="shared" si="180"/>
        <v>277554.00778225111</v>
      </c>
      <c r="S184" s="4999">
        <f t="shared" si="180"/>
        <v>294212.71011880471</v>
      </c>
      <c r="T184" s="4999">
        <f t="shared" si="180"/>
        <v>277554.00778225111</v>
      </c>
    </row>
    <row r="185" spans="1:21" ht="12" customHeight="1">
      <c r="C185" s="3" t="s">
        <v>1507</v>
      </c>
      <c r="D185" s="45"/>
      <c r="I185" s="1057"/>
      <c r="J185" s="1119">
        <f>J280</f>
        <v>24975.176018999999</v>
      </c>
      <c r="K185" s="1119">
        <f t="shared" ref="K185:T185" si="181">K280</f>
        <v>43391.732210000002</v>
      </c>
      <c r="L185" s="1119">
        <f t="shared" si="181"/>
        <v>35791.933278999997</v>
      </c>
      <c r="M185" s="2356">
        <f t="shared" si="181"/>
        <v>44813.503721000001</v>
      </c>
      <c r="N185" s="1122">
        <f t="shared" si="181"/>
        <v>16842.340909317856</v>
      </c>
      <c r="O185" s="1122">
        <f t="shared" si="181"/>
        <v>61655.844630317857</v>
      </c>
      <c r="P185" s="4999">
        <f t="shared" si="181"/>
        <v>46980.276821604471</v>
      </c>
      <c r="Q185" s="4999">
        <f t="shared" si="181"/>
        <v>37842.65912938671</v>
      </c>
      <c r="R185" s="4999">
        <f t="shared" si="181"/>
        <v>38673.351646861047</v>
      </c>
      <c r="S185" s="4999">
        <f t="shared" si="181"/>
        <v>38673.351646861047</v>
      </c>
      <c r="T185" s="4999">
        <f t="shared" si="181"/>
        <v>38673.351646861047</v>
      </c>
    </row>
    <row r="186" spans="1:21" ht="12" customHeight="1">
      <c r="B186" s="12"/>
      <c r="C186" s="12" t="s">
        <v>1561</v>
      </c>
      <c r="D186" s="361"/>
      <c r="E186" s="12"/>
      <c r="F186" s="12"/>
      <c r="G186" s="12"/>
      <c r="H186" s="12"/>
      <c r="I186" s="1059"/>
      <c r="J186" s="1120">
        <f>J282</f>
        <v>11564.478491</v>
      </c>
      <c r="K186" s="1120">
        <f t="shared" ref="K186:T186" si="182">K282</f>
        <v>6733.0785619999997</v>
      </c>
      <c r="L186" s="1120">
        <f t="shared" si="182"/>
        <v>6735.4249710000004</v>
      </c>
      <c r="M186" s="4353">
        <f t="shared" si="182"/>
        <v>4444.7059140000001</v>
      </c>
      <c r="N186" s="1972">
        <f t="shared" si="182"/>
        <v>1877.5658135971767</v>
      </c>
      <c r="O186" s="1972">
        <f t="shared" si="182"/>
        <v>6322.2717275971763</v>
      </c>
      <c r="P186" s="5000">
        <f t="shared" si="182"/>
        <v>8851.1804186360478</v>
      </c>
      <c r="Q186" s="5000">
        <f t="shared" si="182"/>
        <v>8309.2714134134312</v>
      </c>
      <c r="R186" s="5000">
        <f t="shared" si="182"/>
        <v>8670.5440835618429</v>
      </c>
      <c r="S186" s="5000">
        <f t="shared" si="182"/>
        <v>8670.5440835618429</v>
      </c>
      <c r="T186" s="5000">
        <f t="shared" si="182"/>
        <v>8670.5440835618429</v>
      </c>
    </row>
    <row r="188" spans="1:21" ht="12" customHeight="1">
      <c r="A188" s="1965"/>
      <c r="B188" s="1964" t="s">
        <v>6467</v>
      </c>
      <c r="C188" s="1965"/>
      <c r="D188" s="1965"/>
      <c r="E188" s="1965"/>
      <c r="F188" s="1965"/>
      <c r="G188" s="1965"/>
      <c r="H188" s="1965"/>
      <c r="I188" s="1965"/>
      <c r="J188" s="1965"/>
      <c r="K188" s="1965"/>
      <c r="L188" s="1965"/>
      <c r="M188" s="1965"/>
      <c r="N188" s="1965"/>
      <c r="O188" s="1965"/>
      <c r="P188" s="1965"/>
      <c r="Q188" s="1965"/>
      <c r="R188" s="1965"/>
      <c r="S188" s="1965"/>
      <c r="T188" s="1965"/>
      <c r="U188"/>
    </row>
    <row r="189" spans="1:21" ht="12" customHeight="1">
      <c r="P189" s="268"/>
    </row>
    <row r="190" spans="1:21" ht="12" customHeight="1">
      <c r="B190" s="4027"/>
      <c r="C190" s="4027"/>
      <c r="D190" s="4027"/>
      <c r="E190" s="4027"/>
      <c r="F190" s="4027"/>
      <c r="G190" s="4027"/>
      <c r="H190" s="4027"/>
      <c r="I190" s="4027"/>
      <c r="J190" s="25" t="s">
        <v>23</v>
      </c>
      <c r="K190" s="26"/>
      <c r="L190" s="26"/>
      <c r="M190" s="27"/>
      <c r="N190" s="26" t="s">
        <v>24</v>
      </c>
      <c r="O190" s="26"/>
      <c r="P190" s="26"/>
      <c r="Q190" s="26"/>
      <c r="R190" s="26"/>
      <c r="S190" s="26"/>
      <c r="T190" s="26"/>
    </row>
    <row r="191" spans="1:21" ht="12" customHeight="1">
      <c r="B191" s="28"/>
      <c r="C191" s="28"/>
      <c r="D191" s="28"/>
      <c r="E191" s="28"/>
      <c r="F191" s="28"/>
      <c r="G191" s="28"/>
      <c r="H191" s="1949" t="s">
        <v>2889</v>
      </c>
      <c r="I191" s="28"/>
      <c r="J191" s="29" t="s">
        <v>69</v>
      </c>
      <c r="K191" s="30" t="s">
        <v>27</v>
      </c>
      <c r="L191" s="108" t="s">
        <v>60</v>
      </c>
      <c r="M191" s="31" t="s">
        <v>5104</v>
      </c>
      <c r="N191" s="30" t="s">
        <v>5174</v>
      </c>
      <c r="O191" s="30" t="s">
        <v>70</v>
      </c>
      <c r="P191" s="30" t="s">
        <v>71</v>
      </c>
      <c r="Q191" s="30" t="s">
        <v>72</v>
      </c>
      <c r="R191" s="30" t="s">
        <v>73</v>
      </c>
      <c r="S191" s="30" t="s">
        <v>74</v>
      </c>
      <c r="T191" s="30" t="s">
        <v>5102</v>
      </c>
    </row>
    <row r="192" spans="1:21" ht="12" customHeight="1">
      <c r="B192" s="4028" t="s">
        <v>30</v>
      </c>
      <c r="C192" s="4028"/>
      <c r="D192" s="4028"/>
      <c r="E192" s="4028"/>
      <c r="F192" s="4028"/>
      <c r="G192" s="4028"/>
      <c r="H192" s="4028"/>
      <c r="I192" s="4028"/>
      <c r="J192" s="396">
        <f t="shared" ref="J192:T192" si="183">J194+J195+J196+J197+J198</f>
        <v>218323.51992798521</v>
      </c>
      <c r="K192" s="4023">
        <f t="shared" si="183"/>
        <v>221412.7367515704</v>
      </c>
      <c r="L192" s="4023">
        <f t="shared" si="183"/>
        <v>298381.61107588216</v>
      </c>
      <c r="M192" s="3772">
        <f t="shared" si="183"/>
        <v>208094.93126475636</v>
      </c>
      <c r="N192" s="4023">
        <f t="shared" si="183"/>
        <v>71526.797053593604</v>
      </c>
      <c r="O192" s="4023">
        <f t="shared" si="183"/>
        <v>279621.72831835004</v>
      </c>
      <c r="P192" s="4984">
        <f t="shared" si="183"/>
        <v>271637.62873638299</v>
      </c>
      <c r="Q192" s="4984">
        <f t="shared" si="183"/>
        <v>278843.23770897102</v>
      </c>
      <c r="R192" s="4984">
        <f t="shared" si="183"/>
        <v>280460.47119246511</v>
      </c>
      <c r="S192" s="4984">
        <f t="shared" si="183"/>
        <v>270635.22257178806</v>
      </c>
      <c r="T192" s="4984">
        <f t="shared" si="183"/>
        <v>268622.56913411774</v>
      </c>
    </row>
    <row r="193" spans="1:21" ht="12" customHeight="1">
      <c r="B193" s="45" t="s">
        <v>32</v>
      </c>
      <c r="C193" s="45"/>
      <c r="D193" s="45"/>
      <c r="E193" s="45"/>
      <c r="F193" s="45"/>
      <c r="G193" s="45"/>
      <c r="H193" s="45"/>
      <c r="I193" s="45"/>
      <c r="J193" s="3734">
        <f>J192/Revenue!J107</f>
        <v>0.9710211913289778</v>
      </c>
      <c r="K193" s="11">
        <f>K192/Revenue!K107</f>
        <v>0.95565070909697847</v>
      </c>
      <c r="L193" s="375">
        <f>L192/Revenue!L107</f>
        <v>0.96833317466242574</v>
      </c>
      <c r="M193" s="3432">
        <f>M192/Revenue!M107</f>
        <v>0.97423467423775123</v>
      </c>
      <c r="N193" s="11">
        <f>N192/Revenue!N107</f>
        <v>0.98025476534178058</v>
      </c>
      <c r="O193" s="11">
        <f>O192/Revenue!O107</f>
        <v>0.97576755486979561</v>
      </c>
      <c r="P193" s="4911">
        <f>P192/Revenue!P107</f>
        <v>0.98607913616910092</v>
      </c>
      <c r="Q193" s="4911">
        <f>Q192/Revenue!Q107</f>
        <v>0.9636761516863479</v>
      </c>
      <c r="R193" s="4911">
        <f>R192/Revenue!R107</f>
        <v>0.96494265307636717</v>
      </c>
      <c r="S193" s="4911">
        <f>S192/Revenue!S107</f>
        <v>0.96582612797891132</v>
      </c>
      <c r="T193" s="4911">
        <f>T192/Revenue!T107</f>
        <v>0.96471327149439101</v>
      </c>
    </row>
    <row r="194" spans="1:21" ht="12" customHeight="1">
      <c r="B194" s="45"/>
      <c r="C194" s="3" t="s">
        <v>1284</v>
      </c>
      <c r="D194" s="45"/>
      <c r="E194" s="45"/>
      <c r="F194" s="45"/>
      <c r="G194" s="45"/>
      <c r="H194" s="110"/>
      <c r="I194" s="45"/>
      <c r="J194" s="216">
        <f>J202</f>
        <v>212743.87769115777</v>
      </c>
      <c r="K194" s="105">
        <f t="shared" ref="K194:T194" si="184">K202</f>
        <v>223606.36976320215</v>
      </c>
      <c r="L194" s="105">
        <f t="shared" si="184"/>
        <v>290252.76329288213</v>
      </c>
      <c r="M194" s="106">
        <f t="shared" si="184"/>
        <v>205681.76014660529</v>
      </c>
      <c r="N194" s="105">
        <f t="shared" si="184"/>
        <v>69758.648629712043</v>
      </c>
      <c r="O194" s="1934">
        <f t="shared" si="184"/>
        <v>275440.40877631737</v>
      </c>
      <c r="P194" s="5001">
        <f t="shared" si="184"/>
        <v>264334.45209673076</v>
      </c>
      <c r="Q194" s="5001">
        <f t="shared" si="184"/>
        <v>270163.77583451394</v>
      </c>
      <c r="R194" s="5001">
        <f t="shared" si="184"/>
        <v>271597.94224842213</v>
      </c>
      <c r="S194" s="5001">
        <f t="shared" si="184"/>
        <v>261587.52935504619</v>
      </c>
      <c r="T194" s="5001">
        <f t="shared" si="184"/>
        <v>259299.86188231973</v>
      </c>
    </row>
    <row r="195" spans="1:21" ht="12" customHeight="1">
      <c r="C195" s="3" t="s">
        <v>1289</v>
      </c>
      <c r="J195" s="226">
        <f>J251</f>
        <v>2237.7812690000001</v>
      </c>
      <c r="K195" s="105">
        <f t="shared" ref="K195:T195" si="185">K251</f>
        <v>2278.0910960000001</v>
      </c>
      <c r="L195" s="105">
        <f t="shared" si="185"/>
        <v>2341.5377809999995</v>
      </c>
      <c r="M195" s="106">
        <f t="shared" si="185"/>
        <v>1742.304335</v>
      </c>
      <c r="N195" s="105">
        <f t="shared" si="185"/>
        <v>580.76811166666664</v>
      </c>
      <c r="O195" s="105">
        <f t="shared" si="185"/>
        <v>2323.0724466666666</v>
      </c>
      <c r="P195" s="4879">
        <f t="shared" si="185"/>
        <v>2478.3688968414667</v>
      </c>
      <c r="Q195" s="4879">
        <f t="shared" si="185"/>
        <v>2525.4579058814543</v>
      </c>
      <c r="R195" s="4879">
        <f t="shared" si="185"/>
        <v>2623.9507642108306</v>
      </c>
      <c r="S195" s="4879">
        <f t="shared" si="185"/>
        <v>2710.5411394297876</v>
      </c>
      <c r="T195" s="4879">
        <f t="shared" si="185"/>
        <v>2821.6733261464096</v>
      </c>
    </row>
    <row r="196" spans="1:21" ht="12" customHeight="1">
      <c r="B196" s="45"/>
      <c r="C196" s="3" t="s">
        <v>1287</v>
      </c>
      <c r="D196" s="45"/>
      <c r="E196" s="45"/>
      <c r="F196" s="45"/>
      <c r="G196" s="45"/>
      <c r="H196" s="110"/>
      <c r="I196" s="45"/>
      <c r="J196" s="226">
        <f t="shared" ref="J196:T196" si="186">J264</f>
        <v>4899.0667579999999</v>
      </c>
      <c r="K196" s="1934">
        <f t="shared" si="186"/>
        <v>4566.8115829999997</v>
      </c>
      <c r="L196" s="1934">
        <f t="shared" si="186"/>
        <v>4643.1977360000001</v>
      </c>
      <c r="M196" s="106">
        <f t="shared" si="186"/>
        <v>3536.8874070000002</v>
      </c>
      <c r="N196" s="105">
        <f t="shared" si="186"/>
        <v>1187.3803122148947</v>
      </c>
      <c r="O196" s="1934">
        <f t="shared" si="186"/>
        <v>4724.2677192148949</v>
      </c>
      <c r="P196" s="5001">
        <f t="shared" si="186"/>
        <v>4824.8077428107699</v>
      </c>
      <c r="Q196" s="5001">
        <f t="shared" si="186"/>
        <v>6154.0039685756192</v>
      </c>
      <c r="R196" s="5001">
        <f t="shared" si="186"/>
        <v>6238.5781798321332</v>
      </c>
      <c r="S196" s="5001">
        <f t="shared" si="186"/>
        <v>6337.1520773120656</v>
      </c>
      <c r="T196" s="5001">
        <f t="shared" si="186"/>
        <v>6501.0339256515917</v>
      </c>
    </row>
    <row r="197" spans="1:21" ht="12" customHeight="1">
      <c r="B197" s="45"/>
      <c r="C197" s="3" t="s">
        <v>320</v>
      </c>
      <c r="D197" s="45"/>
      <c r="E197" s="45"/>
      <c r="F197" s="45"/>
      <c r="G197" s="45"/>
      <c r="H197" s="110"/>
      <c r="I197" s="45"/>
      <c r="J197" s="226">
        <f>Torecom_BSPL!AF34/10^6</f>
        <v>39.429000000000002</v>
      </c>
      <c r="K197" s="1934">
        <f>Torecom_BSPL!X34/10^6</f>
        <v>39.299500000000002</v>
      </c>
      <c r="L197" s="1934">
        <f>Torecom_BSPL!P35/10^6</f>
        <v>1.68</v>
      </c>
      <c r="M197" s="106">
        <f>Torecom_BSPL!H35/10^6</f>
        <v>0.84</v>
      </c>
      <c r="N197" s="3003">
        <v>0</v>
      </c>
      <c r="O197" s="1934">
        <f>SUM(M197:N197)</f>
        <v>0.84</v>
      </c>
      <c r="P197" s="5002">
        <v>0</v>
      </c>
      <c r="Q197" s="5002">
        <v>0</v>
      </c>
      <c r="R197" s="5002">
        <v>0</v>
      </c>
      <c r="S197" s="5002">
        <v>0</v>
      </c>
      <c r="T197" s="5002">
        <v>0</v>
      </c>
    </row>
    <row r="198" spans="1:21" s="1055" customFormat="1" ht="12" customHeight="1">
      <c r="A198" s="3"/>
      <c r="B198" s="12"/>
      <c r="C198" s="12" t="s">
        <v>6609</v>
      </c>
      <c r="D198" s="12"/>
      <c r="E198" s="12"/>
      <c r="F198" s="12"/>
      <c r="G198" s="12"/>
      <c r="H198" s="1950"/>
      <c r="I198" s="12"/>
      <c r="J198" s="397">
        <f>Torecom_제조원가명세서!R90/10^6</f>
        <v>-1596.6347901725665</v>
      </c>
      <c r="K198" s="1935">
        <f>Torecom_제조원가명세서!P90/10^6</f>
        <v>-9077.8351906317457</v>
      </c>
      <c r="L198" s="1935">
        <f>Torecom_제조원가명세서!I90/10^6</f>
        <v>1142.432266</v>
      </c>
      <c r="M198" s="2164">
        <f>Torecom_제조원가명세서!G90/10^6</f>
        <v>-2866.8606238489283</v>
      </c>
      <c r="N198" s="107">
        <v>0</v>
      </c>
      <c r="O198" s="1935">
        <f>SUM(M198:N198)</f>
        <v>-2866.8606238489283</v>
      </c>
      <c r="P198" s="5003">
        <v>0</v>
      </c>
      <c r="Q198" s="5003">
        <v>0</v>
      </c>
      <c r="R198" s="5003">
        <v>0</v>
      </c>
      <c r="S198" s="5003">
        <v>0</v>
      </c>
      <c r="T198" s="5003">
        <v>0</v>
      </c>
      <c r="U198" s="1953"/>
    </row>
    <row r="199" spans="1:21" ht="12" customHeight="1">
      <c r="B199" s="1930"/>
      <c r="C199" s="32"/>
      <c r="D199" s="32"/>
      <c r="E199" s="32"/>
      <c r="F199" s="32"/>
      <c r="G199" s="32"/>
      <c r="H199" s="32"/>
      <c r="I199" s="32"/>
      <c r="J199" s="112"/>
      <c r="K199" s="112"/>
      <c r="L199" s="112"/>
      <c r="M199" s="112"/>
      <c r="N199" s="32"/>
      <c r="O199" s="32"/>
      <c r="P199" s="32"/>
      <c r="Q199" s="32"/>
      <c r="R199" s="32"/>
      <c r="S199" s="32"/>
      <c r="T199" s="32"/>
    </row>
    <row r="200" spans="1:21" ht="12" customHeight="1">
      <c r="B200" s="4027"/>
      <c r="C200" s="4027"/>
      <c r="D200" s="4027"/>
      <c r="E200" s="4027"/>
      <c r="F200" s="4027"/>
      <c r="G200" s="4027"/>
      <c r="H200" s="4027"/>
      <c r="I200" s="4027"/>
      <c r="J200" s="25" t="s">
        <v>23</v>
      </c>
      <c r="K200" s="26"/>
      <c r="L200" s="26"/>
      <c r="M200" s="27"/>
      <c r="N200" s="26" t="s">
        <v>24</v>
      </c>
      <c r="O200" s="26"/>
      <c r="P200" s="26"/>
      <c r="Q200" s="26"/>
      <c r="R200" s="26"/>
      <c r="S200" s="26"/>
      <c r="T200" s="26"/>
    </row>
    <row r="201" spans="1:21" ht="12" customHeight="1">
      <c r="B201" s="28"/>
      <c r="C201" s="28"/>
      <c r="D201" s="28"/>
      <c r="E201" s="28"/>
      <c r="F201" s="28"/>
      <c r="G201" s="28"/>
      <c r="H201" s="1949" t="s">
        <v>2889</v>
      </c>
      <c r="I201" s="28"/>
      <c r="J201" s="29" t="s">
        <v>69</v>
      </c>
      <c r="K201" s="30" t="s">
        <v>27</v>
      </c>
      <c r="L201" s="108" t="s">
        <v>60</v>
      </c>
      <c r="M201" s="31" t="s">
        <v>5104</v>
      </c>
      <c r="N201" s="30" t="s">
        <v>5174</v>
      </c>
      <c r="O201" s="30" t="s">
        <v>70</v>
      </c>
      <c r="P201" s="30" t="s">
        <v>71</v>
      </c>
      <c r="Q201" s="30" t="s">
        <v>72</v>
      </c>
      <c r="R201" s="30" t="s">
        <v>73</v>
      </c>
      <c r="S201" s="30" t="s">
        <v>74</v>
      </c>
      <c r="T201" s="30" t="s">
        <v>5102</v>
      </c>
    </row>
    <row r="202" spans="1:21" ht="12" customHeight="1">
      <c r="B202" s="4028" t="s">
        <v>1284</v>
      </c>
      <c r="C202" s="4028"/>
      <c r="D202" s="4028"/>
      <c r="E202" s="4028"/>
      <c r="F202" s="4028"/>
      <c r="G202" s="4028"/>
      <c r="H202" s="4028"/>
      <c r="I202" s="4028"/>
      <c r="J202" s="396">
        <f>J204+J205+J206</f>
        <v>212743.87769115777</v>
      </c>
      <c r="K202" s="4023">
        <f t="shared" ref="K202:T202" si="187">K204+K205+K206</f>
        <v>223606.36976320215</v>
      </c>
      <c r="L202" s="4023">
        <f t="shared" si="187"/>
        <v>290252.76329288213</v>
      </c>
      <c r="M202" s="3772">
        <f t="shared" si="187"/>
        <v>205681.76014660529</v>
      </c>
      <c r="N202" s="4023">
        <f t="shared" si="187"/>
        <v>69758.648629712043</v>
      </c>
      <c r="O202" s="4023">
        <f t="shared" si="187"/>
        <v>275440.40877631737</v>
      </c>
      <c r="P202" s="4984">
        <f t="shared" si="187"/>
        <v>264334.45209673076</v>
      </c>
      <c r="Q202" s="4984">
        <f t="shared" si="187"/>
        <v>270163.77583451394</v>
      </c>
      <c r="R202" s="4984">
        <f t="shared" si="187"/>
        <v>271597.94224842213</v>
      </c>
      <c r="S202" s="4984">
        <f t="shared" si="187"/>
        <v>261587.52935504619</v>
      </c>
      <c r="T202" s="4984">
        <f t="shared" si="187"/>
        <v>259299.86188231973</v>
      </c>
    </row>
    <row r="203" spans="1:21" ht="12" customHeight="1">
      <c r="B203" s="45" t="s">
        <v>32</v>
      </c>
      <c r="J203" s="3734">
        <f>J202/Revenue!J107</f>
        <v>0.94620503384956012</v>
      </c>
      <c r="K203" s="11">
        <f>K202/Revenue!K107</f>
        <v>0.96511875946219561</v>
      </c>
      <c r="L203" s="11">
        <f>L202/Revenue!L107</f>
        <v>0.94195275211668705</v>
      </c>
      <c r="M203" s="3432">
        <f>M202/Revenue!M107</f>
        <v>0.9629369700414836</v>
      </c>
      <c r="N203" s="11">
        <f>N202/Revenue!N107</f>
        <v>0.956022785304386</v>
      </c>
      <c r="O203" s="11">
        <f>O202/Revenue!O107</f>
        <v>0.9611764286000466</v>
      </c>
      <c r="P203" s="4911">
        <f>P202/Revenue!P107</f>
        <v>0.95956767623028849</v>
      </c>
      <c r="Q203" s="4911">
        <f>Q202/Revenue!Q107</f>
        <v>0.93368012063102468</v>
      </c>
      <c r="R203" s="4911">
        <f>R202/Revenue!R107</f>
        <v>0.93445054074456457</v>
      </c>
      <c r="S203" s="4911">
        <f>S202/Revenue!S107</f>
        <v>0.93353728388970958</v>
      </c>
      <c r="T203" s="4911">
        <f>T202/Revenue!T107</f>
        <v>0.93123231923837946</v>
      </c>
    </row>
    <row r="204" spans="1:21" ht="12" customHeight="1">
      <c r="B204" s="45"/>
      <c r="C204" s="3" t="s">
        <v>6688</v>
      </c>
      <c r="D204" s="45"/>
      <c r="E204" s="45"/>
      <c r="F204" s="45"/>
      <c r="G204" s="45"/>
      <c r="H204" s="110"/>
      <c r="I204" s="45"/>
      <c r="J204" s="216">
        <f>J210</f>
        <v>208409.26346513361</v>
      </c>
      <c r="K204" s="105">
        <f t="shared" ref="K204:M204" si="188">K210</f>
        <v>212111.23181754822</v>
      </c>
      <c r="L204" s="105">
        <f t="shared" si="188"/>
        <v>280444.91325159842</v>
      </c>
      <c r="M204" s="106">
        <f t="shared" si="188"/>
        <v>197790.85414951676</v>
      </c>
      <c r="N204" s="105">
        <f>N210</f>
        <v>67666.430379718397</v>
      </c>
      <c r="O204" s="1934">
        <f t="shared" ref="O204:T204" si="189">O210</f>
        <v>265457.28452923516</v>
      </c>
      <c r="P204" s="5001">
        <f t="shared" si="189"/>
        <v>259672.4846691656</v>
      </c>
      <c r="Q204" s="5001">
        <f t="shared" si="189"/>
        <v>251601.0855723031</v>
      </c>
      <c r="R204" s="5001">
        <f t="shared" si="189"/>
        <v>247446.62836416403</v>
      </c>
      <c r="S204" s="5001">
        <f t="shared" si="189"/>
        <v>237348.41461548407</v>
      </c>
      <c r="T204" s="5001">
        <f t="shared" si="189"/>
        <v>234973.14305274718</v>
      </c>
    </row>
    <row r="205" spans="1:21" ht="12" customHeight="1">
      <c r="B205" s="45"/>
      <c r="C205" s="3" t="s">
        <v>6468</v>
      </c>
      <c r="D205" s="45"/>
      <c r="E205" s="45"/>
      <c r="F205" s="45"/>
      <c r="G205" s="45"/>
      <c r="H205" s="110"/>
      <c r="I205" s="45"/>
      <c r="J205" s="216">
        <f>J235</f>
        <v>0</v>
      </c>
      <c r="K205" s="105">
        <f t="shared" ref="K205:T205" si="190">K235</f>
        <v>6761.1560470000004</v>
      </c>
      <c r="L205" s="105">
        <f t="shared" si="190"/>
        <v>4926.6445219999996</v>
      </c>
      <c r="M205" s="106">
        <f t="shared" si="190"/>
        <v>3496.3936659999999</v>
      </c>
      <c r="N205" s="105">
        <f t="shared" si="190"/>
        <v>1165.4918568912894</v>
      </c>
      <c r="O205" s="1934">
        <f t="shared" si="190"/>
        <v>4661.8855228912889</v>
      </c>
      <c r="P205" s="5001">
        <f t="shared" si="190"/>
        <v>4661.9674275651578</v>
      </c>
      <c r="Q205" s="5001">
        <f t="shared" si="190"/>
        <v>4661.9674275651578</v>
      </c>
      <c r="R205" s="5001">
        <f t="shared" si="190"/>
        <v>4661.9674275651578</v>
      </c>
      <c r="S205" s="5001">
        <f t="shared" si="190"/>
        <v>4661.9674275651578</v>
      </c>
      <c r="T205" s="5001">
        <f t="shared" si="190"/>
        <v>4661.9674275651578</v>
      </c>
    </row>
    <row r="206" spans="1:21" ht="12" customHeight="1">
      <c r="B206" s="361"/>
      <c r="C206" s="12" t="s">
        <v>334</v>
      </c>
      <c r="D206" s="361"/>
      <c r="E206" s="361"/>
      <c r="F206" s="361"/>
      <c r="G206" s="361"/>
      <c r="H206" s="1950"/>
      <c r="I206" s="361"/>
      <c r="J206" s="397">
        <f>J241</f>
        <v>4334.614226024155</v>
      </c>
      <c r="K206" s="107">
        <f t="shared" ref="K206:T206" si="191">K241</f>
        <v>4733.9818986539249</v>
      </c>
      <c r="L206" s="107">
        <f t="shared" si="191"/>
        <v>4881.2055192837106</v>
      </c>
      <c r="M206" s="2164">
        <f t="shared" si="191"/>
        <v>4394.5123310885338</v>
      </c>
      <c r="N206" s="107">
        <f t="shared" si="191"/>
        <v>926.72639310236218</v>
      </c>
      <c r="O206" s="1935">
        <f t="shared" si="191"/>
        <v>5321.2387241908964</v>
      </c>
      <c r="P206" s="5004">
        <f t="shared" si="191"/>
        <v>0</v>
      </c>
      <c r="Q206" s="5004">
        <f>Q241</f>
        <v>13900.722834645669</v>
      </c>
      <c r="R206" s="5004">
        <f t="shared" si="191"/>
        <v>19489.346456692911</v>
      </c>
      <c r="S206" s="5004">
        <f t="shared" si="191"/>
        <v>19577.147311996963</v>
      </c>
      <c r="T206" s="5004">
        <f t="shared" si="191"/>
        <v>19664.751402007376</v>
      </c>
    </row>
    <row r="207" spans="1:21" ht="12" customHeight="1">
      <c r="B207" s="1"/>
      <c r="C207" s="1"/>
      <c r="D207" s="1"/>
      <c r="E207" s="1"/>
      <c r="F207" s="1"/>
      <c r="G207" s="1"/>
      <c r="H207" s="1"/>
      <c r="I207" s="1"/>
      <c r="J207" s="1"/>
      <c r="K207" s="1"/>
      <c r="L207" s="1"/>
      <c r="M207" s="1"/>
      <c r="N207" s="1"/>
      <c r="O207" s="1"/>
      <c r="P207" s="1"/>
      <c r="Q207" s="1"/>
      <c r="R207" s="1"/>
      <c r="S207" s="1"/>
      <c r="T207" s="1"/>
    </row>
    <row r="208" spans="1:21" ht="12" customHeight="1">
      <c r="B208" s="4027"/>
      <c r="C208" s="4027"/>
      <c r="D208" s="4027"/>
      <c r="E208" s="4027"/>
      <c r="F208" s="4027"/>
      <c r="G208" s="4027"/>
      <c r="H208" s="4027"/>
      <c r="I208" s="4027"/>
      <c r="J208" s="25" t="s">
        <v>23</v>
      </c>
      <c r="K208" s="26"/>
      <c r="L208" s="26"/>
      <c r="M208" s="27"/>
      <c r="N208" s="26" t="s">
        <v>24</v>
      </c>
      <c r="O208" s="26"/>
      <c r="P208" s="26"/>
      <c r="Q208" s="26"/>
      <c r="R208" s="26"/>
      <c r="S208" s="26"/>
      <c r="T208" s="26"/>
    </row>
    <row r="209" spans="2:20" ht="12" customHeight="1">
      <c r="B209" s="28"/>
      <c r="C209" s="28"/>
      <c r="D209" s="28"/>
      <c r="E209" s="28"/>
      <c r="F209" s="28"/>
      <c r="G209" s="28"/>
      <c r="H209" s="1949" t="s">
        <v>2889</v>
      </c>
      <c r="I209" s="28"/>
      <c r="J209" s="29" t="s">
        <v>69</v>
      </c>
      <c r="K209" s="30" t="s">
        <v>27</v>
      </c>
      <c r="L209" s="108" t="s">
        <v>60</v>
      </c>
      <c r="M209" s="31" t="s">
        <v>5104</v>
      </c>
      <c r="N209" s="30" t="s">
        <v>5174</v>
      </c>
      <c r="O209" s="30" t="s">
        <v>70</v>
      </c>
      <c r="P209" s="30" t="s">
        <v>71</v>
      </c>
      <c r="Q209" s="30" t="s">
        <v>72</v>
      </c>
      <c r="R209" s="30" t="s">
        <v>73</v>
      </c>
      <c r="S209" s="30" t="s">
        <v>74</v>
      </c>
      <c r="T209" s="30" t="s">
        <v>5102</v>
      </c>
    </row>
    <row r="210" spans="2:20" ht="12" customHeight="1">
      <c r="B210" s="4028" t="s">
        <v>6688</v>
      </c>
      <c r="C210" s="4028"/>
      <c r="D210" s="4028"/>
      <c r="E210" s="4028"/>
      <c r="F210" s="4028"/>
      <c r="G210" s="4028"/>
      <c r="H210" s="4028"/>
      <c r="I210" s="4028"/>
      <c r="J210" s="396">
        <f>SUM(J211,J216,J221,J226,J231)</f>
        <v>208409.26346513361</v>
      </c>
      <c r="K210" s="4023">
        <f>SUM(K211,K216,K221,K226,K231)</f>
        <v>212111.23181754822</v>
      </c>
      <c r="L210" s="4023">
        <f>SUM(L211,L216,L221,L226,L231)</f>
        <v>280444.91325159842</v>
      </c>
      <c r="M210" s="3772">
        <f>SUM(M211,M216,M221,M226,M231)</f>
        <v>197790.85414951676</v>
      </c>
      <c r="N210" s="4023">
        <f t="shared" ref="N210:T210" si="192">SUM(N211,N216,N221,N226,N231)</f>
        <v>67666.430379718397</v>
      </c>
      <c r="O210" s="4023">
        <f t="shared" si="192"/>
        <v>265457.28452923516</v>
      </c>
      <c r="P210" s="4984">
        <f t="shared" si="192"/>
        <v>259672.4846691656</v>
      </c>
      <c r="Q210" s="4984">
        <f t="shared" si="192"/>
        <v>251601.0855723031</v>
      </c>
      <c r="R210" s="4984">
        <f t="shared" si="192"/>
        <v>247446.62836416403</v>
      </c>
      <c r="S210" s="4984">
        <f t="shared" si="192"/>
        <v>237348.41461548407</v>
      </c>
      <c r="T210" s="4984">
        <f t="shared" si="192"/>
        <v>234973.14305274718</v>
      </c>
    </row>
    <row r="211" spans="2:20" ht="12" customHeight="1">
      <c r="B211" s="45"/>
      <c r="C211" s="3" t="s">
        <v>6689</v>
      </c>
      <c r="D211" s="45"/>
      <c r="E211" s="45"/>
      <c r="F211" s="45"/>
      <c r="G211" s="45"/>
      <c r="H211" s="110"/>
      <c r="I211" s="45"/>
      <c r="J211" s="220">
        <f>SUMIFS(Torecom_원재료명세서!$J:$J,Torecom_원재료명세서!$Q:$Q,J$209,Torecom_원재료명세서!$R:$R,$C211)/10^6</f>
        <v>169055.1275330442</v>
      </c>
      <c r="K211" s="221">
        <f>SUMIFS(Torecom_원재료명세서!$J:$J,Torecom_원재료명세서!$Q:$Q,K$209,Torecom_원재료명세서!$R:$R,$C211)/10^6</f>
        <v>167118.86877247048</v>
      </c>
      <c r="L211" s="221">
        <f>SUMIFS(Torecom_원재료명세서!$J:$J,Torecom_원재료명세서!$Q:$Q,L$209,Torecom_원재료명세서!$R:$R,$C211)/10^6</f>
        <v>234196.31798197687</v>
      </c>
      <c r="M211" s="222">
        <f>SUMIFS(Torecom_원재료명세서!$J:$J,Torecom_원재료명세서!$Q:$Q,M$209,Torecom_원재료명세서!$R:$R,$C211)/10^6</f>
        <v>155899.92663341749</v>
      </c>
      <c r="N211" s="105">
        <f>N212*N215</f>
        <v>55551.175783549741</v>
      </c>
      <c r="O211" s="1934">
        <f>SUM(M211:N211)</f>
        <v>211451.10241696722</v>
      </c>
      <c r="P211" s="5001">
        <f t="shared" ref="P211:T211" si="193">P212*P215</f>
        <v>212117.81778655117</v>
      </c>
      <c r="Q211" s="5001">
        <f t="shared" si="193"/>
        <v>205975.83661904119</v>
      </c>
      <c r="R211" s="5001">
        <f t="shared" si="193"/>
        <v>204554.83779188013</v>
      </c>
      <c r="S211" s="5001">
        <f t="shared" si="193"/>
        <v>197814.94330840156</v>
      </c>
      <c r="T211" s="5001">
        <f t="shared" si="193"/>
        <v>196334.54076709892</v>
      </c>
    </row>
    <row r="212" spans="2:20" ht="12" customHeight="1">
      <c r="B212" s="45"/>
      <c r="D212" s="3" t="s">
        <v>6668</v>
      </c>
      <c r="E212" s="45"/>
      <c r="F212" s="45"/>
      <c r="G212" s="45"/>
      <c r="H212" s="110" t="s">
        <v>6694</v>
      </c>
      <c r="I212" s="45"/>
      <c r="J212" s="216">
        <f>J211/J215</f>
        <v>35.296940044947576</v>
      </c>
      <c r="K212" s="105">
        <f t="shared" ref="K212:M212" si="194">K211/K215</f>
        <v>44.767884724645256</v>
      </c>
      <c r="L212" s="105">
        <f t="shared" si="194"/>
        <v>59.204615849687244</v>
      </c>
      <c r="M212" s="106">
        <f t="shared" si="194"/>
        <v>54.909810390910543</v>
      </c>
      <c r="N212" s="105">
        <f>N213*N214/10^6</f>
        <v>59.062559319589212</v>
      </c>
      <c r="O212" s="1934">
        <f>O211/O215</f>
        <v>55.94317558594539</v>
      </c>
      <c r="P212" s="5001">
        <f t="shared" ref="P212:T212" si="195">P213*P214/10^6</f>
        <v>56.381440262286723</v>
      </c>
      <c r="Q212" s="5001">
        <f t="shared" si="195"/>
        <v>54.748886486740524</v>
      </c>
      <c r="R212" s="5001">
        <f t="shared" si="195"/>
        <v>54.371181486178145</v>
      </c>
      <c r="S212" s="5001">
        <f t="shared" si="195"/>
        <v>52.579700873376666</v>
      </c>
      <c r="T212" s="5001">
        <f t="shared" si="195"/>
        <v>52.186206218766451</v>
      </c>
    </row>
    <row r="213" spans="2:20" ht="12" customHeight="1">
      <c r="B213" s="45"/>
      <c r="E213" s="3" t="s">
        <v>6668</v>
      </c>
      <c r="F213" s="45"/>
      <c r="G213" s="45"/>
      <c r="H213" s="110" t="s">
        <v>3373</v>
      </c>
      <c r="I213" s="45"/>
      <c r="J213" s="216">
        <f>J212*10^6/J214</f>
        <v>32079.283192100116</v>
      </c>
      <c r="K213" s="105">
        <f t="shared" ref="K213:M213" si="196">K212*10^6/K214</f>
        <v>38405.787253700022</v>
      </c>
      <c r="L213" s="105">
        <f t="shared" si="196"/>
        <v>50171.183449687807</v>
      </c>
      <c r="M213" s="106">
        <f t="shared" si="196"/>
        <v>48549.347282044677</v>
      </c>
      <c r="N213" s="221">
        <f>Assumption!N578</f>
        <v>49947.196041935909</v>
      </c>
      <c r="O213" s="368"/>
      <c r="P213" s="5005">
        <f>Assumption!P578</f>
        <v>49347.832072240235</v>
      </c>
      <c r="Q213" s="5005">
        <f>Assumption!Q578</f>
        <v>48069.613667624144</v>
      </c>
      <c r="R213" s="5005">
        <f>Assumption!R578</f>
        <v>47895.684889163269</v>
      </c>
      <c r="S213" s="5005">
        <f>Assumption!S578</f>
        <v>47326.463432382239</v>
      </c>
      <c r="T213" s="5005">
        <f>Assumption!T578</f>
        <v>46972.282825172326</v>
      </c>
    </row>
    <row r="214" spans="2:20" ht="12" customHeight="1">
      <c r="B214" s="45"/>
      <c r="E214" s="3" t="s">
        <v>3001</v>
      </c>
      <c r="F214" s="45"/>
      <c r="G214" s="45"/>
      <c r="H214" s="110" t="s">
        <v>3549</v>
      </c>
      <c r="I214" s="45"/>
      <c r="J214" s="220">
        <f>Assumption!J$78</f>
        <v>1100.3032653061225</v>
      </c>
      <c r="K214" s="221">
        <f>Assumption!K$78</f>
        <v>1165.6546558704458</v>
      </c>
      <c r="L214" s="221">
        <f>Assumption!L$78</f>
        <v>1180.0522088353418</v>
      </c>
      <c r="M214" s="222">
        <f>Assumption!M$78</f>
        <v>1131.01027027027</v>
      </c>
      <c r="N214" s="221">
        <f>Assumption!N$78</f>
        <v>1182.5</v>
      </c>
      <c r="O214" s="368"/>
      <c r="P214" s="5005">
        <f>Assumption!P$78</f>
        <v>1142.53125</v>
      </c>
      <c r="Q214" s="5005">
        <f>Assumption!Q$78</f>
        <v>1138.95</v>
      </c>
      <c r="R214" s="5005">
        <f>Assumption!R$78</f>
        <v>1135.2</v>
      </c>
      <c r="S214" s="5005">
        <f>Assumption!S$78</f>
        <v>1111</v>
      </c>
      <c r="T214" s="5005">
        <f>Assumption!T$78</f>
        <v>1111</v>
      </c>
    </row>
    <row r="215" spans="2:20" ht="12" customHeight="1">
      <c r="B215" s="45"/>
      <c r="D215" s="3" t="s">
        <v>1357</v>
      </c>
      <c r="E215" s="45"/>
      <c r="F215" s="45"/>
      <c r="G215" s="45"/>
      <c r="H215" s="110" t="s">
        <v>5558</v>
      </c>
      <c r="I215" s="45"/>
      <c r="J215" s="220">
        <f>SUMIFS(Torecom_원재료명세서!$I:$I,Torecom_원재료명세서!$Q:$Q,J$209,Torecom_원재료명세서!$R:$R,$C211)/1000</f>
        <v>4789.5122726720001</v>
      </c>
      <c r="K215" s="221">
        <f>SUMIFS(Torecom_원재료명세서!$I:$I,Torecom_원재료명세서!$Q:$Q,K$209,Torecom_원재료명세서!$R:$R,$C211)/1000</f>
        <v>3733.0079319219999</v>
      </c>
      <c r="L215" s="221">
        <f>SUMIFS(Torecom_원재료명세서!$I:$I,Torecom_원재료명세서!$Q:$Q,L$209,Torecom_원재료명세서!$R:$R,$C211)/1000</f>
        <v>3955.71045637</v>
      </c>
      <c r="M215" s="222">
        <f>SUMIFS(Torecom_원재료명세서!$I:$I,Torecom_원재료명세서!$Q:$Q,M$209,Torecom_원재료명세서!$R:$R,$C211)/1000</f>
        <v>2839.1998720000001</v>
      </c>
      <c r="N215" s="221">
        <f>Revenue!N120</f>
        <v>940.54806333333318</v>
      </c>
      <c r="O215" s="2350">
        <f>SUM(M215:N215)</f>
        <v>3779.7479353333333</v>
      </c>
      <c r="P215" s="5005">
        <f>Revenue!P120</f>
        <v>3762.1922533333327</v>
      </c>
      <c r="Q215" s="5005">
        <f>Revenue!Q120</f>
        <v>3762.1922533333327</v>
      </c>
      <c r="R215" s="5005">
        <f>Revenue!R120</f>
        <v>3762.1922533333327</v>
      </c>
      <c r="S215" s="5005">
        <f>Revenue!S120</f>
        <v>3762.1922533333327</v>
      </c>
      <c r="T215" s="5005">
        <f>Revenue!T120</f>
        <v>3762.1922533333327</v>
      </c>
    </row>
    <row r="216" spans="2:20" ht="12" customHeight="1">
      <c r="B216" s="45"/>
      <c r="C216" s="3" t="s">
        <v>6690</v>
      </c>
      <c r="D216" s="45"/>
      <c r="E216" s="45"/>
      <c r="F216" s="45"/>
      <c r="G216" s="45"/>
      <c r="H216" s="110"/>
      <c r="I216" s="45"/>
      <c r="J216" s="220">
        <f>SUMIFS(Torecom_원재료명세서!$J:$J,Torecom_원재료명세서!$Q:$Q,J$209,Torecom_원재료명세서!$R:$R,$C216)/10^6</f>
        <v>23232.690186079239</v>
      </c>
      <c r="K216" s="221">
        <f>SUMIFS(Torecom_원재료명세서!$J:$J,Torecom_원재료명세서!$Q:$Q,K$209,Torecom_원재료명세서!$R:$R,$C216)/10^6</f>
        <v>17527.278441999999</v>
      </c>
      <c r="L216" s="221">
        <f>SUMIFS(Torecom_원재료명세서!$J:$J,Torecom_원재료명세서!$Q:$Q,L$209,Torecom_원재료명세서!$R:$R,$C216)/10^6</f>
        <v>18573.768723401376</v>
      </c>
      <c r="M216" s="222">
        <f>SUMIFS(Torecom_원재료명세서!$J:$J,Torecom_원재료명세서!$Q:$Q,M$209,Torecom_원재료명세서!$R:$R,$C216)/10^6</f>
        <v>11967.556883598627</v>
      </c>
      <c r="N216" s="105">
        <f>N217*N220</f>
        <v>4034.2427918675708</v>
      </c>
      <c r="O216" s="1934">
        <f>SUM(M216:N216)</f>
        <v>16001.799675466198</v>
      </c>
      <c r="P216" s="5001">
        <f t="shared" ref="P216:T216" si="197">P217*P220</f>
        <v>16128.846520738374</v>
      </c>
      <c r="Q216" s="5001">
        <f t="shared" si="197"/>
        <v>15734.838818900638</v>
      </c>
      <c r="R216" s="5001">
        <f t="shared" si="197"/>
        <v>15310.505735618122</v>
      </c>
      <c r="S216" s="5001">
        <f t="shared" si="197"/>
        <v>14392.900744839562</v>
      </c>
      <c r="T216" s="5001">
        <f t="shared" si="197"/>
        <v>14145.049466406083</v>
      </c>
    </row>
    <row r="217" spans="2:20" ht="12" customHeight="1">
      <c r="B217" s="45"/>
      <c r="D217" s="3" t="s">
        <v>6668</v>
      </c>
      <c r="E217" s="45"/>
      <c r="F217" s="45"/>
      <c r="G217" s="45"/>
      <c r="H217" s="110" t="s">
        <v>6694</v>
      </c>
      <c r="I217" s="45"/>
      <c r="J217" s="4343">
        <f>J216/J220</f>
        <v>0.53276746948336318</v>
      </c>
      <c r="K217" s="306">
        <f t="shared" ref="K217" si="198">K216/K220</f>
        <v>0.5756936512071037</v>
      </c>
      <c r="L217" s="306">
        <f t="shared" ref="L217" si="199">L216/L220</f>
        <v>0.74575487867960844</v>
      </c>
      <c r="M217" s="3847">
        <f t="shared" ref="M217" si="200">M216/M220</f>
        <v>0.90968218273173396</v>
      </c>
      <c r="N217" s="306">
        <f>N218*N219/10^6</f>
        <v>0.87629465888573987</v>
      </c>
      <c r="O217" s="4040">
        <f>O216/O220</f>
        <v>0.9010272208268264</v>
      </c>
      <c r="P217" s="5006">
        <f t="shared" ref="P217:T217" si="201">P218*P219/10^6</f>
        <v>0.8758534618071423</v>
      </c>
      <c r="Q217" s="5006">
        <f t="shared" si="201"/>
        <v>0.85445744881950925</v>
      </c>
      <c r="R217" s="5006">
        <f t="shared" si="201"/>
        <v>0.83141466026829947</v>
      </c>
      <c r="S217" s="5006">
        <f t="shared" si="201"/>
        <v>0.78158546096929593</v>
      </c>
      <c r="T217" s="5006">
        <f t="shared" si="201"/>
        <v>0.76812625916275834</v>
      </c>
    </row>
    <row r="218" spans="2:20" ht="12" customHeight="1">
      <c r="B218" s="45"/>
      <c r="E218" s="3" t="s">
        <v>6668</v>
      </c>
      <c r="F218" s="45"/>
      <c r="G218" s="45"/>
      <c r="H218" s="110" t="s">
        <v>3373</v>
      </c>
      <c r="I218" s="45"/>
      <c r="J218" s="216">
        <f>J217*10^6/J219</f>
        <v>484.20057113539377</v>
      </c>
      <c r="K218" s="105">
        <f t="shared" ref="K218" si="202">K217*10^6/K219</f>
        <v>493.88011132440238</v>
      </c>
      <c r="L218" s="105">
        <f t="shared" ref="L218" si="203">L217*10^6/L219</f>
        <v>631.96769862888925</v>
      </c>
      <c r="M218" s="106">
        <f t="shared" ref="M218" si="204">M217*10^6/M219</f>
        <v>804.30939191591369</v>
      </c>
      <c r="N218" s="105">
        <f>Assumption!N579</f>
        <v>741.05256565390266</v>
      </c>
      <c r="O218" s="368"/>
      <c r="P218" s="5001">
        <f>Assumption!P579</f>
        <v>766.59037711847463</v>
      </c>
      <c r="Q218" s="5001">
        <f>Assumption!Q579</f>
        <v>750.21506547215347</v>
      </c>
      <c r="R218" s="5001">
        <f>Assumption!R579</f>
        <v>732.39487338645131</v>
      </c>
      <c r="S218" s="5001">
        <f>Assumption!S579</f>
        <v>703.49726459882618</v>
      </c>
      <c r="T218" s="5001">
        <f>Assumption!T579</f>
        <v>691.38277152363491</v>
      </c>
    </row>
    <row r="219" spans="2:20" ht="12" customHeight="1">
      <c r="B219" s="45"/>
      <c r="E219" s="3" t="s">
        <v>3001</v>
      </c>
      <c r="F219" s="45"/>
      <c r="G219" s="45"/>
      <c r="H219" s="110" t="s">
        <v>3549</v>
      </c>
      <c r="I219" s="45"/>
      <c r="J219" s="220">
        <f>Assumption!J$78</f>
        <v>1100.3032653061225</v>
      </c>
      <c r="K219" s="221">
        <f>Assumption!K$78</f>
        <v>1165.6546558704458</v>
      </c>
      <c r="L219" s="221">
        <f>Assumption!L$78</f>
        <v>1180.0522088353418</v>
      </c>
      <c r="M219" s="222">
        <f>Assumption!M$78</f>
        <v>1131.01027027027</v>
      </c>
      <c r="N219" s="221">
        <f>Assumption!N$78</f>
        <v>1182.5</v>
      </c>
      <c r="O219" s="368"/>
      <c r="P219" s="5005">
        <f>Assumption!P$78</f>
        <v>1142.53125</v>
      </c>
      <c r="Q219" s="5005">
        <f>Assumption!Q$78</f>
        <v>1138.95</v>
      </c>
      <c r="R219" s="5005">
        <f>Assumption!R$78</f>
        <v>1135.2</v>
      </c>
      <c r="S219" s="5005">
        <f>Assumption!S$78</f>
        <v>1111</v>
      </c>
      <c r="T219" s="5005">
        <f>Assumption!T$78</f>
        <v>1111</v>
      </c>
    </row>
    <row r="220" spans="2:20" ht="12" customHeight="1">
      <c r="B220" s="45"/>
      <c r="D220" s="3" t="s">
        <v>1357</v>
      </c>
      <c r="E220" s="45"/>
      <c r="F220" s="45"/>
      <c r="G220" s="45"/>
      <c r="H220" s="110" t="s">
        <v>5558</v>
      </c>
      <c r="I220" s="45"/>
      <c r="J220" s="220">
        <f>SUMIFS(Torecom_원재료명세서!$I:$I,Torecom_원재료명세서!$Q:$Q,J$209,Torecom_원재료명세서!$R:$R,$C216)/1000</f>
        <v>43607.561491336004</v>
      </c>
      <c r="K220" s="221">
        <f>SUMIFS(Torecom_원재료명세서!$I:$I,Torecom_원재료명세서!$Q:$Q,K$209,Torecom_원재료명세서!$R:$R,$C216)/1000</f>
        <v>30445.495456218996</v>
      </c>
      <c r="L220" s="221">
        <f>SUMIFS(Torecom_원재료명세서!$I:$I,Torecom_원재료명세서!$Q:$Q,L$209,Torecom_원재료명세서!$R:$R,$C216)/1000</f>
        <v>24905.996935999996</v>
      </c>
      <c r="M220" s="222">
        <f>SUMIFS(Torecom_원재료명세서!$I:$I,Torecom_원재료명세서!$Q:$Q,M$209,Torecom_원재료명세서!$R:$R,$C216)/1000</f>
        <v>13155.756055000002</v>
      </c>
      <c r="N220" s="221">
        <f>Revenue!N125</f>
        <v>4603.7514333333347</v>
      </c>
      <c r="O220" s="2350">
        <f>SUM(M220:N220)</f>
        <v>17759.507488333336</v>
      </c>
      <c r="P220" s="5005">
        <f>Revenue!P125</f>
        <v>18415.005733333335</v>
      </c>
      <c r="Q220" s="5005">
        <f>Revenue!Q125</f>
        <v>18415.005733333335</v>
      </c>
      <c r="R220" s="5005">
        <f>Revenue!R125</f>
        <v>18415.005733333335</v>
      </c>
      <c r="S220" s="5005">
        <f>Revenue!S125</f>
        <v>18415.005733333335</v>
      </c>
      <c r="T220" s="5005">
        <f>Revenue!T125</f>
        <v>18415.005733333335</v>
      </c>
    </row>
    <row r="221" spans="2:20" ht="12" customHeight="1">
      <c r="B221" s="45"/>
      <c r="C221" s="3" t="s">
        <v>6691</v>
      </c>
      <c r="D221" s="45"/>
      <c r="E221" s="45"/>
      <c r="F221" s="45"/>
      <c r="G221" s="45"/>
      <c r="H221" s="110"/>
      <c r="I221" s="45"/>
      <c r="J221" s="220">
        <f>SUMIFS(Torecom_원재료명세서!$J:$J,Torecom_원재료명세서!$Q:$Q,J$209,Torecom_원재료명세서!$R:$R,$C221)/10^6</f>
        <v>1692.2930862794772</v>
      </c>
      <c r="K221" s="221">
        <f>SUMIFS(Torecom_원재료명세서!$J:$J,Torecom_원재료명세서!$Q:$Q,K$209,Torecom_원재료명세서!$R:$R,$C221)/10^6</f>
        <v>2900.915921360523</v>
      </c>
      <c r="L221" s="221">
        <f>SUMIFS(Torecom_원재료명세서!$J:$J,Torecom_원재료명세서!$Q:$Q,L$209,Torecom_원재료명세서!$R:$R,$C221)/10^6</f>
        <v>6493.2623009999998</v>
      </c>
      <c r="M221" s="222">
        <f>SUMIFS(Torecom_원재료명세서!$J:$J,Torecom_원재료명세서!$Q:$Q,M$209,Torecom_원재료명세서!$R:$R,$C221)/10^6</f>
        <v>8609.7022191365086</v>
      </c>
      <c r="N221" s="105">
        <f>N222*N225</f>
        <v>2569.5404786063195</v>
      </c>
      <c r="O221" s="1934">
        <f>SUM(M221:N221)</f>
        <v>11179.242697742828</v>
      </c>
      <c r="P221" s="5001">
        <f t="shared" ref="P221:T221" si="205">P222*P225</f>
        <v>9556.1234622944012</v>
      </c>
      <c r="Q221" s="5001">
        <f t="shared" si="205"/>
        <v>9714.1224272601285</v>
      </c>
      <c r="R221" s="5001">
        <f t="shared" si="205"/>
        <v>9906.9390347969238</v>
      </c>
      <c r="S221" s="5001">
        <f t="shared" si="205"/>
        <v>9915.7527574676897</v>
      </c>
      <c r="T221" s="5001">
        <f t="shared" si="205"/>
        <v>10140.015456528748</v>
      </c>
    </row>
    <row r="222" spans="2:20" ht="12" customHeight="1">
      <c r="B222" s="45"/>
      <c r="D222" s="3" t="s">
        <v>6668</v>
      </c>
      <c r="E222" s="45"/>
      <c r="F222" s="45"/>
      <c r="G222" s="45"/>
      <c r="H222" s="110" t="s">
        <v>6694</v>
      </c>
      <c r="I222" s="45"/>
      <c r="J222" s="216">
        <f>J221/J225</f>
        <v>23.850313595338573</v>
      </c>
      <c r="K222" s="105">
        <f t="shared" ref="K222" si="206">K221/K225</f>
        <v>26.832662857166035</v>
      </c>
      <c r="L222" s="105">
        <f t="shared" ref="L222" si="207">L221/L225</f>
        <v>29.80991153521224</v>
      </c>
      <c r="M222" s="106">
        <f t="shared" ref="M222" si="208">M221/M225</f>
        <v>36.069936114358086</v>
      </c>
      <c r="N222" s="105">
        <f>N223*N224/10^6</f>
        <v>33.948410484663704</v>
      </c>
      <c r="O222" s="1934">
        <f>O221/O225</f>
        <v>35.559168312921855</v>
      </c>
      <c r="P222" s="5001">
        <f t="shared" ref="P222:T222" si="209">P223*P224/10^6</f>
        <v>31.563542649078453</v>
      </c>
      <c r="Q222" s="5001">
        <f t="shared" si="209"/>
        <v>32.085407722178779</v>
      </c>
      <c r="R222" s="5001">
        <f t="shared" si="209"/>
        <v>32.722274254873938</v>
      </c>
      <c r="S222" s="5001">
        <f t="shared" si="209"/>
        <v>32.751385673590271</v>
      </c>
      <c r="T222" s="5001">
        <f t="shared" si="209"/>
        <v>33.492117550312138</v>
      </c>
    </row>
    <row r="223" spans="2:20" ht="12" customHeight="1">
      <c r="B223" s="45"/>
      <c r="E223" s="3" t="s">
        <v>6668</v>
      </c>
      <c r="F223" s="45"/>
      <c r="G223" s="45"/>
      <c r="H223" s="110" t="s">
        <v>3373</v>
      </c>
      <c r="I223" s="45"/>
      <c r="J223" s="216">
        <f>J222*10^6/J224</f>
        <v>21676.127252701572</v>
      </c>
      <c r="K223" s="105">
        <f t="shared" ref="K223" si="210">K222*10^6/K224</f>
        <v>23019.393198518905</v>
      </c>
      <c r="L223" s="105">
        <f t="shared" ref="L223" si="211">L222*10^6/L224</f>
        <v>25261.5192039963</v>
      </c>
      <c r="M223" s="106">
        <f t="shared" ref="M223" si="212">M222*10^6/M224</f>
        <v>31891.784771979736</v>
      </c>
      <c r="N223" s="221">
        <f>Assumption!N580</f>
        <v>28709.015209017933</v>
      </c>
      <c r="O223" s="368"/>
      <c r="P223" s="5005">
        <f>Assumption!P580</f>
        <v>27625.977538100997</v>
      </c>
      <c r="Q223" s="5005">
        <f>Assumption!Q580</f>
        <v>28171.041505051828</v>
      </c>
      <c r="R223" s="5005">
        <f>Assumption!R580</f>
        <v>28825.118265392826</v>
      </c>
      <c r="S223" s="5005">
        <f>Assumption!S580</f>
        <v>29479.195025733818</v>
      </c>
      <c r="T223" s="5005">
        <f>Assumption!T580</f>
        <v>30145.920387319653</v>
      </c>
    </row>
    <row r="224" spans="2:20" ht="12" customHeight="1">
      <c r="B224" s="45"/>
      <c r="E224" s="3" t="s">
        <v>3001</v>
      </c>
      <c r="F224" s="45"/>
      <c r="G224" s="45"/>
      <c r="H224" s="110" t="s">
        <v>3549</v>
      </c>
      <c r="I224" s="45"/>
      <c r="J224" s="220">
        <f>Assumption!J$78</f>
        <v>1100.3032653061225</v>
      </c>
      <c r="K224" s="221">
        <f>Assumption!K$78</f>
        <v>1165.6546558704458</v>
      </c>
      <c r="L224" s="221">
        <f>Assumption!L$78</f>
        <v>1180.0522088353418</v>
      </c>
      <c r="M224" s="222">
        <f>Assumption!M$78</f>
        <v>1131.01027027027</v>
      </c>
      <c r="N224" s="221">
        <f>Assumption!N$78</f>
        <v>1182.5</v>
      </c>
      <c r="O224" s="368"/>
      <c r="P224" s="5005">
        <f>Assumption!P$78</f>
        <v>1142.53125</v>
      </c>
      <c r="Q224" s="5005">
        <f>Assumption!Q$78</f>
        <v>1138.95</v>
      </c>
      <c r="R224" s="5005">
        <f>Assumption!R$78</f>
        <v>1135.2</v>
      </c>
      <c r="S224" s="5005">
        <f>Assumption!S$78</f>
        <v>1111</v>
      </c>
      <c r="T224" s="5005">
        <f>Assumption!T$78</f>
        <v>1111</v>
      </c>
    </row>
    <row r="225" spans="2:20" ht="12" customHeight="1">
      <c r="B225" s="45"/>
      <c r="D225" s="3" t="s">
        <v>1357</v>
      </c>
      <c r="E225" s="45"/>
      <c r="F225" s="45"/>
      <c r="G225" s="45"/>
      <c r="H225" s="110" t="s">
        <v>5558</v>
      </c>
      <c r="I225" s="45"/>
      <c r="J225" s="220">
        <f>SUMIFS(Torecom_원재료명세서!$I:$I,Torecom_원재료명세서!$Q:$Q,J$209,Torecom_원재료명세서!$R:$R,$C221)/1000</f>
        <v>70.954752000000013</v>
      </c>
      <c r="K225" s="221">
        <f>SUMIFS(Torecom_원재료명세서!$I:$I,Torecom_원재료명세서!$Q:$Q,K$209,Torecom_원재료명세서!$R:$R,$C221)/1000</f>
        <v>108.11136922200001</v>
      </c>
      <c r="L225" s="221">
        <f>SUMIFS(Torecom_원재료명세서!$I:$I,Torecom_원재료명세서!$Q:$Q,L$209,Torecom_원재료명세서!$R:$R,$C221)/1000</f>
        <v>217.82226</v>
      </c>
      <c r="M225" s="222">
        <f>SUMIFS(Torecom_원재료명세서!$I:$I,Torecom_원재료명세서!$Q:$Q,M$209,Torecom_원재료명세서!$R:$R,$C221)/1000</f>
        <v>238.69469000000001</v>
      </c>
      <c r="N225" s="221">
        <f>Revenue!N130</f>
        <v>75.689566666666678</v>
      </c>
      <c r="O225" s="2350">
        <f>SUM(M225:N225)</f>
        <v>314.38425666666672</v>
      </c>
      <c r="P225" s="5005">
        <f>Revenue!P130</f>
        <v>302.75826666666666</v>
      </c>
      <c r="Q225" s="5005">
        <f>Revenue!Q130</f>
        <v>302.75826666666666</v>
      </c>
      <c r="R225" s="5005">
        <f>Revenue!R130</f>
        <v>302.75826666666666</v>
      </c>
      <c r="S225" s="5005">
        <f>Revenue!S130</f>
        <v>302.75826666666666</v>
      </c>
      <c r="T225" s="5005">
        <f>Revenue!T130</f>
        <v>302.75826666666666</v>
      </c>
    </row>
    <row r="226" spans="2:20" ht="12" customHeight="1">
      <c r="B226" s="45"/>
      <c r="C226" s="3" t="s">
        <v>6692</v>
      </c>
      <c r="D226" s="45"/>
      <c r="E226" s="45"/>
      <c r="F226" s="45"/>
      <c r="G226" s="45"/>
      <c r="H226" s="110"/>
      <c r="I226" s="45"/>
      <c r="J226" s="220">
        <f>SUMIFS(Torecom_원재료명세서!$J:$J,Torecom_원재료명세서!$Q:$Q,J$209,Torecom_원재료명세서!$R:$R,$C226)/10^6</f>
        <v>13664.927027142747</v>
      </c>
      <c r="K226" s="221">
        <f>SUMIFS(Torecom_원재료명세서!$J:$J,Torecom_원재료명세서!$Q:$Q,K$209,Torecom_원재료명세서!$R:$R,$C226)/10^6</f>
        <v>24279.776876208995</v>
      </c>
      <c r="L226" s="221">
        <f>SUMIFS(Torecom_원재료명세서!$J:$J,Torecom_원재료명세서!$Q:$Q,L$209,Torecom_원재료명세서!$R:$R,$C226)/10^6</f>
        <v>21031.166612771791</v>
      </c>
      <c r="M226" s="222">
        <f>SUMIFS(Torecom_원재료명세서!$J:$J,Torecom_원재료명세서!$Q:$Q,M$209,Torecom_원재료명세서!$R:$R,$C226)/10^6</f>
        <v>21030.037600220778</v>
      </c>
      <c r="N226" s="105">
        <f>N227*N230</f>
        <v>5511.4713256947589</v>
      </c>
      <c r="O226" s="1934">
        <f>SUM(M226:N226)</f>
        <v>26541.508925915536</v>
      </c>
      <c r="P226" s="5001">
        <f t="shared" ref="P226:T226" si="213">P227*P230</f>
        <v>21869.696899581639</v>
      </c>
      <c r="Q226" s="5001">
        <f t="shared" si="213"/>
        <v>20176.287707101146</v>
      </c>
      <c r="R226" s="5001">
        <f t="shared" si="213"/>
        <v>17674.345801868865</v>
      </c>
      <c r="S226" s="5001">
        <f t="shared" si="213"/>
        <v>15224.817804775246</v>
      </c>
      <c r="T226" s="5001">
        <f t="shared" si="213"/>
        <v>14353.537362713429</v>
      </c>
    </row>
    <row r="227" spans="2:20" ht="12" customHeight="1">
      <c r="B227" s="45"/>
      <c r="D227" s="3" t="s">
        <v>6668</v>
      </c>
      <c r="E227" s="45"/>
      <c r="F227" s="45"/>
      <c r="G227" s="45"/>
      <c r="H227" s="110" t="s">
        <v>6694</v>
      </c>
      <c r="I227" s="45"/>
      <c r="J227" s="216">
        <f>J226/J230</f>
        <v>34.624261087175931</v>
      </c>
      <c r="K227" s="105">
        <f t="shared" ref="K227" si="214">K226/K230</f>
        <v>53.189879085461648</v>
      </c>
      <c r="L227" s="105">
        <f t="shared" ref="L227" si="215">L226/L230</f>
        <v>76.808385114110877</v>
      </c>
      <c r="M227" s="106">
        <f t="shared" ref="M227" si="216">M226/M230</f>
        <v>86.046412935714159</v>
      </c>
      <c r="N227" s="105">
        <f>N228*N229/10^6</f>
        <v>71.519900310158107</v>
      </c>
      <c r="O227" s="1934">
        <f>O226/O230</f>
        <v>82.564101052119796</v>
      </c>
      <c r="P227" s="5001">
        <f t="shared" ref="P227:T227" si="217">P228*P229/10^6</f>
        <v>70.948320767789028</v>
      </c>
      <c r="Q227" s="5001">
        <f t="shared" si="217"/>
        <v>65.454667191752193</v>
      </c>
      <c r="R227" s="5001">
        <f t="shared" si="217"/>
        <v>57.338021695938806</v>
      </c>
      <c r="S227" s="5001">
        <f t="shared" si="217"/>
        <v>49.391414165644122</v>
      </c>
      <c r="T227" s="5001">
        <f t="shared" si="217"/>
        <v>46.564859935563071</v>
      </c>
    </row>
    <row r="228" spans="2:20" ht="12" customHeight="1">
      <c r="B228" s="45"/>
      <c r="E228" s="3" t="s">
        <v>6668</v>
      </c>
      <c r="F228" s="45"/>
      <c r="G228" s="45"/>
      <c r="H228" s="110" t="s">
        <v>3373</v>
      </c>
      <c r="I228" s="45"/>
      <c r="J228" s="216">
        <f>J227*10^6/J229</f>
        <v>31467.925415583391</v>
      </c>
      <c r="K228" s="105">
        <f t="shared" ref="K228" si="218">K227*10^6/K229</f>
        <v>45630.906905049349</v>
      </c>
      <c r="L228" s="105">
        <f t="shared" ref="L228" si="219">L227*10^6/L229</f>
        <v>65088.971944654273</v>
      </c>
      <c r="M228" s="106">
        <f t="shared" ref="M228" si="220">M227*10^6/M229</f>
        <v>76079.24985080128</v>
      </c>
      <c r="N228" s="105">
        <f>Assumption!N581</f>
        <v>60481.945294002624</v>
      </c>
      <c r="O228" s="368"/>
      <c r="P228" s="5001">
        <f>Assumption!P581</f>
        <v>62097.488158673135</v>
      </c>
      <c r="Q228" s="5001">
        <f>Assumption!Q581</f>
        <v>57469.306986041702</v>
      </c>
      <c r="R228" s="5001">
        <f>Assumption!R581</f>
        <v>50509.180493251231</v>
      </c>
      <c r="S228" s="5001">
        <f>Assumption!S581</f>
        <v>44456.718420921803</v>
      </c>
      <c r="T228" s="5001">
        <f>Assumption!T581</f>
        <v>41912.565198526616</v>
      </c>
    </row>
    <row r="229" spans="2:20" ht="12" customHeight="1">
      <c r="B229" s="45"/>
      <c r="E229" s="3" t="s">
        <v>3001</v>
      </c>
      <c r="F229" s="45"/>
      <c r="G229" s="45"/>
      <c r="H229" s="110" t="s">
        <v>3549</v>
      </c>
      <c r="I229" s="45"/>
      <c r="J229" s="220">
        <f>Assumption!J$78</f>
        <v>1100.3032653061225</v>
      </c>
      <c r="K229" s="221">
        <f>Assumption!K$78</f>
        <v>1165.6546558704458</v>
      </c>
      <c r="L229" s="221">
        <f>Assumption!L$78</f>
        <v>1180.0522088353418</v>
      </c>
      <c r="M229" s="222">
        <f>Assumption!M$78</f>
        <v>1131.01027027027</v>
      </c>
      <c r="N229" s="221">
        <f>Assumption!N$78</f>
        <v>1182.5</v>
      </c>
      <c r="O229" s="368"/>
      <c r="P229" s="5005">
        <f>Assumption!P$78</f>
        <v>1142.53125</v>
      </c>
      <c r="Q229" s="5005">
        <f>Assumption!Q$78</f>
        <v>1138.95</v>
      </c>
      <c r="R229" s="5005">
        <f>Assumption!R$78</f>
        <v>1135.2</v>
      </c>
      <c r="S229" s="5005">
        <f>Assumption!S$78</f>
        <v>1111</v>
      </c>
      <c r="T229" s="5005">
        <f>Assumption!T$78</f>
        <v>1111</v>
      </c>
    </row>
    <row r="230" spans="2:20" ht="12" customHeight="1">
      <c r="B230" s="45"/>
      <c r="D230" s="3" t="s">
        <v>1357</v>
      </c>
      <c r="E230" s="45"/>
      <c r="F230" s="45"/>
      <c r="G230" s="45"/>
      <c r="H230" s="110" t="s">
        <v>5558</v>
      </c>
      <c r="I230" s="45"/>
      <c r="J230" s="220">
        <f>SUMIFS(Torecom_원재료명세서!$I:$I,Torecom_원재료명세서!$Q:$Q,J$209,Torecom_원재료명세서!$R:$R,$C226)/1000</f>
        <v>394.66335448250004</v>
      </c>
      <c r="K230" s="221">
        <f>SUMIFS(Torecom_원재료명세서!$I:$I,Torecom_원재료명세서!$Q:$Q,K$209,Torecom_원재료명세서!$R:$R,$C226)/1000</f>
        <v>456.47362418700004</v>
      </c>
      <c r="L230" s="221">
        <f>SUMIFS(Torecom_원재료명세서!$I:$I,Torecom_원재료명세서!$Q:$Q,L$209,Torecom_원재료명세서!$R:$R,$C226)/1000</f>
        <v>273.81342000000001</v>
      </c>
      <c r="M230" s="222">
        <f>SUMIFS(Torecom_원재료명세서!$I:$I,Torecom_원재료명세서!$Q:$Q,M$209,Torecom_원재료명세서!$R:$R,$C226)/1000</f>
        <v>244.40341999999998</v>
      </c>
      <c r="N230" s="221">
        <f>Revenue!N135</f>
        <v>77.062066666666681</v>
      </c>
      <c r="O230" s="2350">
        <f>SUM(M230:N230)</f>
        <v>321.46548666666666</v>
      </c>
      <c r="P230" s="5005">
        <f>Revenue!P135</f>
        <v>308.24826666666667</v>
      </c>
      <c r="Q230" s="5005">
        <f>Revenue!Q135</f>
        <v>308.24826666666667</v>
      </c>
      <c r="R230" s="5005">
        <f>Revenue!R135</f>
        <v>308.24826666666667</v>
      </c>
      <c r="S230" s="5005">
        <f>Revenue!S135</f>
        <v>308.24826666666667</v>
      </c>
      <c r="T230" s="5005">
        <f>Revenue!T135</f>
        <v>308.24826666666667</v>
      </c>
    </row>
    <row r="231" spans="2:20" ht="12" customHeight="1">
      <c r="B231" s="361"/>
      <c r="C231" s="12" t="s">
        <v>6693</v>
      </c>
      <c r="D231" s="361"/>
      <c r="E231" s="361"/>
      <c r="F231" s="361"/>
      <c r="G231" s="361"/>
      <c r="H231" s="1950"/>
      <c r="I231" s="361"/>
      <c r="J231" s="223">
        <f>SUMIFS(Torecom_원재료명세서!$J:$J,Torecom_원재료명세서!$Q:$Q,J$209,Torecom_원재료명세서!$R:$R,$C231)/10^6</f>
        <v>764.22563258795446</v>
      </c>
      <c r="K231" s="224">
        <f>SUMIFS(Torecom_원재료명세서!$J:$J,Torecom_원재료명세서!$Q:$Q,K$209,Torecom_원재료명세서!$R:$R,$C231)/10^6</f>
        <v>284.39180550824426</v>
      </c>
      <c r="L231" s="224">
        <f>SUMIFS(Torecom_원재료명세서!$J:$J,Torecom_원재료명세서!$Q:$Q,L$209,Torecom_원재료명세서!$R:$R,$C231)/10^6</f>
        <v>150.39763244837189</v>
      </c>
      <c r="M231" s="225">
        <f>SUMIFS(Torecom_원재료명세서!$J:$J,Torecom_원재료명세서!$Q:$Q,M$209,Torecom_원재료명세서!$R:$R,$C231)/10^6</f>
        <v>283.63081314336677</v>
      </c>
      <c r="N231" s="4344">
        <v>0</v>
      </c>
      <c r="O231" s="1935">
        <f>SUM(M231:N231)</f>
        <v>283.63081314336677</v>
      </c>
      <c r="P231" s="5007">
        <v>0</v>
      </c>
      <c r="Q231" s="5007">
        <v>0</v>
      </c>
      <c r="R231" s="5007">
        <v>0</v>
      </c>
      <c r="S231" s="5007">
        <v>0</v>
      </c>
      <c r="T231" s="5007">
        <v>0</v>
      </c>
    </row>
    <row r="232" spans="2:20" ht="12" customHeight="1">
      <c r="B232" s="1"/>
      <c r="C232" s="1"/>
      <c r="D232" s="1"/>
      <c r="E232" s="1"/>
      <c r="F232" s="1"/>
      <c r="G232" s="1"/>
      <c r="H232" s="1"/>
      <c r="I232" s="1"/>
      <c r="J232" s="1"/>
      <c r="K232" s="1"/>
      <c r="L232" s="1"/>
      <c r="M232" s="1"/>
      <c r="N232" s="1"/>
      <c r="O232" s="1"/>
      <c r="P232" s="1"/>
      <c r="Q232" s="1"/>
      <c r="R232" s="1"/>
      <c r="S232" s="1"/>
      <c r="T232" s="1"/>
    </row>
    <row r="233" spans="2:20" ht="12" customHeight="1">
      <c r="B233" s="4027"/>
      <c r="C233" s="4027"/>
      <c r="D233" s="4027"/>
      <c r="E233" s="4027"/>
      <c r="F233" s="4027"/>
      <c r="G233" s="4027"/>
      <c r="H233" s="4027"/>
      <c r="I233" s="4027"/>
      <c r="J233" s="25" t="s">
        <v>23</v>
      </c>
      <c r="K233" s="26"/>
      <c r="L233" s="26"/>
      <c r="M233" s="27"/>
      <c r="N233" s="26" t="s">
        <v>24</v>
      </c>
      <c r="O233" s="26"/>
      <c r="P233" s="26"/>
      <c r="Q233" s="26"/>
      <c r="R233" s="26"/>
      <c r="S233" s="26"/>
      <c r="T233" s="26"/>
    </row>
    <row r="234" spans="2:20" ht="12" customHeight="1">
      <c r="B234" s="28"/>
      <c r="C234" s="28"/>
      <c r="D234" s="28"/>
      <c r="E234" s="28"/>
      <c r="F234" s="28"/>
      <c r="G234" s="28"/>
      <c r="H234" s="1949" t="s">
        <v>2889</v>
      </c>
      <c r="I234" s="28"/>
      <c r="J234" s="29" t="s">
        <v>69</v>
      </c>
      <c r="K234" s="30" t="s">
        <v>27</v>
      </c>
      <c r="L234" s="108" t="s">
        <v>60</v>
      </c>
      <c r="M234" s="31" t="s">
        <v>5104</v>
      </c>
      <c r="N234" s="30" t="s">
        <v>5174</v>
      </c>
      <c r="O234" s="30" t="s">
        <v>70</v>
      </c>
      <c r="P234" s="30" t="s">
        <v>71</v>
      </c>
      <c r="Q234" s="30" t="s">
        <v>72</v>
      </c>
      <c r="R234" s="30" t="s">
        <v>73</v>
      </c>
      <c r="S234" s="30" t="s">
        <v>74</v>
      </c>
      <c r="T234" s="30" t="s">
        <v>5102</v>
      </c>
    </row>
    <row r="235" spans="2:20" ht="12" customHeight="1">
      <c r="B235" s="4028" t="s">
        <v>6468</v>
      </c>
      <c r="C235" s="4028"/>
      <c r="D235" s="4028"/>
      <c r="E235" s="4028"/>
      <c r="F235" s="4028"/>
      <c r="G235" s="4028"/>
      <c r="H235" s="4032"/>
      <c r="I235" s="4028"/>
      <c r="J235" s="3845"/>
      <c r="K235" s="4347">
        <f>SUMIFS(Torecom_원재료명세서!$J:$J,Torecom_원재료명세서!$A:$A,K$234,Torecom_원재료명세서!$B:$B,$B235)/10^6</f>
        <v>6761.1560470000004</v>
      </c>
      <c r="L235" s="4347">
        <f>SUMIFS(Torecom_원재료명세서!$J:$J,Torecom_원재료명세서!$A:$A,L$234,Torecom_원재료명세서!$B:$B,$B235)/10^6</f>
        <v>4926.6445219999996</v>
      </c>
      <c r="M235" s="4346">
        <f>SUMIFS(Torecom_원재료명세서!$J:$J,Torecom_원재료명세서!$A:$A,M$234,Torecom_원재료명세서!$B:$B,$B235)/10^6</f>
        <v>3496.3936659999999</v>
      </c>
      <c r="N235" s="4023">
        <f>N236*N237</f>
        <v>1165.4918568912894</v>
      </c>
      <c r="O235" s="4033">
        <f>SUM(M235:N235)</f>
        <v>4661.8855228912889</v>
      </c>
      <c r="P235" s="4984">
        <f>P236*P237</f>
        <v>4661.9674275651578</v>
      </c>
      <c r="Q235" s="4984">
        <f t="shared" ref="Q235" si="221">Q236*Q237</f>
        <v>4661.9674275651578</v>
      </c>
      <c r="R235" s="4984">
        <f>R236*R237</f>
        <v>4661.9674275651578</v>
      </c>
      <c r="S235" s="4984">
        <f>S236*S237</f>
        <v>4661.9674275651578</v>
      </c>
      <c r="T235" s="4984">
        <f>T236*T237</f>
        <v>4661.9674275651578</v>
      </c>
    </row>
    <row r="236" spans="2:20" ht="12" customHeight="1">
      <c r="B236" s="45"/>
      <c r="C236" s="3" t="s">
        <v>6668</v>
      </c>
      <c r="D236" s="45"/>
      <c r="E236" s="45"/>
      <c r="F236" s="45"/>
      <c r="G236" s="45"/>
      <c r="H236" s="110" t="s">
        <v>3529</v>
      </c>
      <c r="I236" s="45"/>
      <c r="J236" s="4041"/>
      <c r="K236" s="4348">
        <f>K235/K237</f>
        <v>3.5743712059043642E-2</v>
      </c>
      <c r="L236" s="4348">
        <f>L235/L237</f>
        <v>2.7731330138375164E-2</v>
      </c>
      <c r="M236" s="4349">
        <f>M235/M237</f>
        <v>2.4429758421316155E-2</v>
      </c>
      <c r="N236" s="306">
        <f>M236</f>
        <v>2.4429758421316155E-2</v>
      </c>
      <c r="O236" s="4040">
        <f>O235/O237</f>
        <v>2.4429758421316155E-2</v>
      </c>
      <c r="P236" s="5006">
        <f>O236</f>
        <v>2.4429758421316155E-2</v>
      </c>
      <c r="Q236" s="5006">
        <f t="shared" ref="Q236:T236" si="222">P236</f>
        <v>2.4429758421316155E-2</v>
      </c>
      <c r="R236" s="5006">
        <f t="shared" si="222"/>
        <v>2.4429758421316155E-2</v>
      </c>
      <c r="S236" s="5006">
        <f t="shared" si="222"/>
        <v>2.4429758421316155E-2</v>
      </c>
      <c r="T236" s="5006">
        <f t="shared" si="222"/>
        <v>2.4429758421316155E-2</v>
      </c>
    </row>
    <row r="237" spans="2:20" ht="12" customHeight="1">
      <c r="B237" s="361"/>
      <c r="C237" s="12" t="s">
        <v>1357</v>
      </c>
      <c r="D237" s="12"/>
      <c r="E237" s="361"/>
      <c r="F237" s="361"/>
      <c r="G237" s="361"/>
      <c r="H237" s="1950" t="s">
        <v>3487</v>
      </c>
      <c r="I237" s="361"/>
      <c r="J237" s="4042"/>
      <c r="K237" s="4152">
        <f>SUMIFS(Torecom_원재료명세서!$I:$I,Torecom_원재료명세서!$A:$A,K$234,Torecom_원재료명세서!$B:$B,$B235)/10^3</f>
        <v>189156.51613999999</v>
      </c>
      <c r="L237" s="4152">
        <f>SUMIFS(Torecom_원재료명세서!$I:$I,Torecom_원재료명세서!$A:$A,L$234,Torecom_원재료명세서!$B:$B,$B235)/10^3</f>
        <v>177656.26449999999</v>
      </c>
      <c r="M237" s="3070">
        <f>SUMIFS(Torecom_원재료명세서!$I:$I,Torecom_원재료명세서!$A:$A,M$234,Torecom_원재료명세서!$B:$B,$B235)/10^3</f>
        <v>143120.27183000001</v>
      </c>
      <c r="N237" s="224">
        <f>Revenue!N142</f>
        <v>47707.874829999993</v>
      </c>
      <c r="O237" s="1942">
        <f>SUM(M237:N237)</f>
        <v>190828.14666</v>
      </c>
      <c r="P237" s="5008">
        <f>Revenue!P142</f>
        <v>190831.49931999997</v>
      </c>
      <c r="Q237" s="5008">
        <f>Revenue!Q142</f>
        <v>190831.49931999997</v>
      </c>
      <c r="R237" s="5008">
        <f>Revenue!R142</f>
        <v>190831.49931999997</v>
      </c>
      <c r="S237" s="5008">
        <f>Revenue!S142</f>
        <v>190831.49931999997</v>
      </c>
      <c r="T237" s="5008">
        <f>Revenue!T142</f>
        <v>190831.49931999997</v>
      </c>
    </row>
    <row r="238" spans="2:20" ht="12" customHeight="1">
      <c r="B238" s="1"/>
      <c r="C238" s="1"/>
      <c r="D238" s="1"/>
      <c r="E238" s="1"/>
      <c r="F238" s="1"/>
      <c r="G238" s="1"/>
      <c r="H238" s="1"/>
      <c r="I238" s="1"/>
      <c r="J238" s="1"/>
      <c r="K238" s="1"/>
      <c r="L238" s="1"/>
      <c r="M238" s="1"/>
      <c r="N238" s="1"/>
      <c r="O238" s="1"/>
      <c r="P238" s="1"/>
      <c r="Q238" s="205"/>
      <c r="R238" s="205"/>
      <c r="S238" s="205"/>
      <c r="T238" s="205"/>
    </row>
    <row r="239" spans="2:20" ht="12" customHeight="1">
      <c r="B239" s="4027"/>
      <c r="C239" s="4027"/>
      <c r="D239" s="4027"/>
      <c r="E239" s="4027"/>
      <c r="F239" s="4027"/>
      <c r="G239" s="4027"/>
      <c r="H239" s="4027"/>
      <c r="I239" s="4027"/>
      <c r="J239" s="25" t="s">
        <v>23</v>
      </c>
      <c r="K239" s="26"/>
      <c r="L239" s="26"/>
      <c r="M239" s="27"/>
      <c r="N239" s="26" t="s">
        <v>24</v>
      </c>
      <c r="O239" s="26"/>
      <c r="P239" s="26"/>
      <c r="Q239" s="26"/>
      <c r="R239" s="26"/>
      <c r="S239" s="26"/>
      <c r="T239" s="26"/>
    </row>
    <row r="240" spans="2:20" ht="12" customHeight="1">
      <c r="B240" s="28"/>
      <c r="C240" s="28"/>
      <c r="D240" s="28"/>
      <c r="E240" s="28"/>
      <c r="F240" s="28"/>
      <c r="G240" s="28"/>
      <c r="H240" s="1949" t="s">
        <v>2889</v>
      </c>
      <c r="I240" s="28"/>
      <c r="J240" s="29" t="s">
        <v>69</v>
      </c>
      <c r="K240" s="30" t="s">
        <v>27</v>
      </c>
      <c r="L240" s="108" t="s">
        <v>60</v>
      </c>
      <c r="M240" s="31" t="s">
        <v>5104</v>
      </c>
      <c r="N240" s="30" t="s">
        <v>5174</v>
      </c>
      <c r="O240" s="30" t="s">
        <v>70</v>
      </c>
      <c r="P240" s="30" t="s">
        <v>71</v>
      </c>
      <c r="Q240" s="30" t="s">
        <v>72</v>
      </c>
      <c r="R240" s="30" t="s">
        <v>73</v>
      </c>
      <c r="S240" s="30" t="s">
        <v>74</v>
      </c>
      <c r="T240" s="30" t="s">
        <v>5102</v>
      </c>
    </row>
    <row r="241" spans="2:21" ht="12" customHeight="1">
      <c r="B241" s="4028" t="s">
        <v>334</v>
      </c>
      <c r="C241" s="4028"/>
      <c r="D241" s="4028"/>
      <c r="E241" s="4028"/>
      <c r="F241" s="4028"/>
      <c r="G241" s="4028"/>
      <c r="H241" s="4032"/>
      <c r="I241" s="4028"/>
      <c r="J241" s="3731">
        <f>J242</f>
        <v>4334.614226024155</v>
      </c>
      <c r="K241" s="4023">
        <f t="shared" ref="K241:O241" si="223">K242</f>
        <v>4733.9818986539249</v>
      </c>
      <c r="L241" s="4033">
        <f t="shared" si="223"/>
        <v>4881.2055192837106</v>
      </c>
      <c r="M241" s="3772">
        <f t="shared" si="223"/>
        <v>4394.5123310885338</v>
      </c>
      <c r="N241" s="4023">
        <f t="shared" si="223"/>
        <v>926.72639310236218</v>
      </c>
      <c r="O241" s="4033">
        <f t="shared" si="223"/>
        <v>5321.2387241908964</v>
      </c>
      <c r="P241" s="5009"/>
      <c r="Q241" s="4984">
        <f>Q242+Q245</f>
        <v>13900.722834645669</v>
      </c>
      <c r="R241" s="4984">
        <f t="shared" ref="R241:T241" si="224">R242+R245</f>
        <v>19489.346456692911</v>
      </c>
      <c r="S241" s="4984">
        <f t="shared" si="224"/>
        <v>19577.147311996963</v>
      </c>
      <c r="T241" s="4984">
        <f t="shared" si="224"/>
        <v>19664.751402007376</v>
      </c>
    </row>
    <row r="242" spans="2:21" ht="12" customHeight="1">
      <c r="B242" s="45"/>
      <c r="C242" s="3" t="s">
        <v>5587</v>
      </c>
      <c r="D242" s="45"/>
      <c r="E242" s="45"/>
      <c r="F242" s="45"/>
      <c r="G242" s="45"/>
      <c r="H242" s="110" t="s">
        <v>3529</v>
      </c>
      <c r="I242" s="45"/>
      <c r="J242" s="4034">
        <f>SUMIFS(Torecom_원재료명세서!$J:$J,Torecom_원재료명세서!$A:$A,J$240,Torecom_원재료명세서!$B:$B,$C242)/10^6</f>
        <v>4334.614226024155</v>
      </c>
      <c r="K242" s="4035">
        <f>SUMIFS(Torecom_원재료명세서!$J:$J,Torecom_원재료명세서!$A:$A,K$240,Torecom_원재료명세서!$B:$B,$C242)/10^6</f>
        <v>4733.9818986539249</v>
      </c>
      <c r="L242" s="4035">
        <f>SUMIFS(Torecom_원재료명세서!$J:$J,Torecom_원재료명세서!$A:$A,L$240,Torecom_원재료명세서!$B:$B,$C242)/10^6</f>
        <v>4881.2055192837106</v>
      </c>
      <c r="M242" s="3844">
        <f>SUMIFS(Torecom_원재료명세서!$J:$J,Torecom_원재료명세서!$A:$A,M$240,Torecom_원재료명세서!$B:$B,$C242)/10^6</f>
        <v>4394.5123310885338</v>
      </c>
      <c r="N242" s="105">
        <f>N243*N244</f>
        <v>926.72639310236218</v>
      </c>
      <c r="O242" s="1934">
        <f>SUM(M242:N242)</f>
        <v>5321.2387241908964</v>
      </c>
      <c r="P242" s="5002"/>
      <c r="Q242" s="4929">
        <f>Q243*Q244</f>
        <v>12700.722834645669</v>
      </c>
      <c r="R242" s="4929">
        <f t="shared" ref="R242:T242" si="225">R243*R244</f>
        <v>18289.346456692911</v>
      </c>
      <c r="S242" s="4929">
        <f t="shared" si="225"/>
        <v>18377.147311996963</v>
      </c>
      <c r="T242" s="4929">
        <f t="shared" si="225"/>
        <v>18464.751402007376</v>
      </c>
    </row>
    <row r="243" spans="2:21" ht="12" customHeight="1">
      <c r="B243" s="45"/>
      <c r="D243" s="3" t="s">
        <v>1302</v>
      </c>
      <c r="E243" s="45"/>
      <c r="F243" s="45"/>
      <c r="G243" s="45"/>
      <c r="H243" s="110" t="s">
        <v>3471</v>
      </c>
      <c r="I243" s="45"/>
      <c r="J243" s="4037">
        <f>J242/J244</f>
        <v>10.510202118612643</v>
      </c>
      <c r="K243" s="4038">
        <f>K242/K244</f>
        <v>12.481506552851389</v>
      </c>
      <c r="L243" s="4038">
        <f>L242/L244</f>
        <v>12.005529323818298</v>
      </c>
      <c r="M243" s="4039">
        <f>M242/M244</f>
        <v>14.673982100952699</v>
      </c>
      <c r="N243" s="4040">
        <f>Revenue!N65/25.4%</f>
        <v>13.9251968503937</v>
      </c>
      <c r="O243" s="4040">
        <f>O242/O244</f>
        <v>14.537839328123791</v>
      </c>
      <c r="P243" s="5010"/>
      <c r="Q243" s="5011">
        <f>Revenue!Q65/25.4%</f>
        <v>13.224409448818898</v>
      </c>
      <c r="R243" s="5011">
        <f>Revenue!R65/25.4%</f>
        <v>16.299212598425196</v>
      </c>
      <c r="S243" s="5011">
        <f>Revenue!S65/25.4%</f>
        <v>16.377459506280157</v>
      </c>
      <c r="T243" s="5011">
        <f>Revenue!T65/25.4%</f>
        <v>16.455531059626928</v>
      </c>
    </row>
    <row r="244" spans="2:21" ht="12" customHeight="1">
      <c r="B244" s="45"/>
      <c r="D244" s="3" t="s">
        <v>1304</v>
      </c>
      <c r="E244" s="45"/>
      <c r="F244" s="45"/>
      <c r="G244" s="45"/>
      <c r="H244" s="110" t="s">
        <v>3486</v>
      </c>
      <c r="I244" s="45"/>
      <c r="J244" s="4034">
        <f>SUMIFS(Torecom_원재료명세서!$I:$I,Torecom_원재료명세서!$A:$A,J$240,Torecom_원재료명세서!$B:$B,$C242)/10^6</f>
        <v>412.41968300000002</v>
      </c>
      <c r="K244" s="4035">
        <f>SUMIFS(Torecom_원재료명세서!$I:$I,Torecom_원재료명세서!$A:$A,K$240,Torecom_원재료명세서!$B:$B,$C242)/10^6</f>
        <v>379.27968700000008</v>
      </c>
      <c r="L244" s="4035">
        <f>SUMIFS(Torecom_원재료명세서!$I:$I,Torecom_원재료명세서!$A:$A,L$240,Torecom_원재료명세서!$B:$B,$C242)/10^6</f>
        <v>406.57978400000007</v>
      </c>
      <c r="M244" s="3844">
        <f>SUMIFS(Torecom_원재료명세서!$I:$I,Torecom_원재료명세서!$A:$A,M$240,Torecom_원재료명세서!$B:$B,$C242)/10^6</f>
        <v>299.47646800000001</v>
      </c>
      <c r="N244" s="105">
        <f>M244*2/9</f>
        <v>66.550326222222225</v>
      </c>
      <c r="O244" s="1934">
        <f>SUM(M244:N244)</f>
        <v>366.02679422222224</v>
      </c>
      <c r="P244" s="5002"/>
      <c r="Q244" s="5005">
        <f>Assumption!Q533</f>
        <v>960.4</v>
      </c>
      <c r="R244" s="5005">
        <f>Assumption!R533</f>
        <v>1122.0999999999999</v>
      </c>
      <c r="S244" s="5005">
        <f>Assumption!S533</f>
        <v>1122.0999999999999</v>
      </c>
      <c r="T244" s="5005">
        <f>Assumption!T533</f>
        <v>1122.0999999999999</v>
      </c>
    </row>
    <row r="245" spans="2:21" ht="12" customHeight="1">
      <c r="B245" s="45"/>
      <c r="C245" s="3" t="s">
        <v>6557</v>
      </c>
      <c r="E245" s="45"/>
      <c r="F245" s="45"/>
      <c r="G245" s="45"/>
      <c r="H245" s="110" t="s">
        <v>3529</v>
      </c>
      <c r="I245" s="45"/>
      <c r="J245" s="4151"/>
      <c r="K245" s="4336"/>
      <c r="L245" s="4336"/>
      <c r="M245" s="4338"/>
      <c r="N245" s="2525"/>
      <c r="O245" s="4043"/>
      <c r="P245" s="5002"/>
      <c r="Q245" s="4929">
        <f>Q246*Q247</f>
        <v>1200</v>
      </c>
      <c r="R245" s="4929">
        <f t="shared" ref="R245:T245" si="226">R246*R247</f>
        <v>1200</v>
      </c>
      <c r="S245" s="4929">
        <f t="shared" si="226"/>
        <v>1200</v>
      </c>
      <c r="T245" s="4929">
        <f t="shared" si="226"/>
        <v>1200</v>
      </c>
    </row>
    <row r="246" spans="2:21" ht="12" customHeight="1">
      <c r="B246" s="45"/>
      <c r="D246" s="3" t="s">
        <v>1302</v>
      </c>
      <c r="E246" s="45"/>
      <c r="F246" s="45"/>
      <c r="G246" s="45"/>
      <c r="H246" s="110"/>
      <c r="I246" s="45"/>
      <c r="J246" s="4336"/>
      <c r="K246" s="4336"/>
      <c r="L246" s="4336"/>
      <c r="M246" s="4337"/>
      <c r="N246" s="2525"/>
      <c r="O246" s="4043"/>
      <c r="P246" s="5002"/>
      <c r="Q246" s="5012">
        <v>1.2494793835901707</v>
      </c>
      <c r="R246" s="5012">
        <v>1.0694234025487925</v>
      </c>
      <c r="S246" s="5012">
        <v>1.0694234025487925</v>
      </c>
      <c r="T246" s="5012">
        <v>1.0694234025487925</v>
      </c>
      <c r="U246" s="289" t="s">
        <v>6681</v>
      </c>
    </row>
    <row r="247" spans="2:21" ht="12" customHeight="1">
      <c r="B247" s="361"/>
      <c r="C247" s="12"/>
      <c r="D247" s="12" t="s">
        <v>1304</v>
      </c>
      <c r="E247" s="361"/>
      <c r="F247" s="361"/>
      <c r="G247" s="361"/>
      <c r="H247" s="1950"/>
      <c r="I247" s="361"/>
      <c r="J247" s="4044"/>
      <c r="K247" s="4044"/>
      <c r="L247" s="4044"/>
      <c r="M247" s="4339"/>
      <c r="N247" s="3773"/>
      <c r="O247" s="3774"/>
      <c r="P247" s="5013"/>
      <c r="Q247" s="5008">
        <f>Q244</f>
        <v>960.4</v>
      </c>
      <c r="R247" s="5008">
        <f t="shared" ref="R247:T247" si="227">R244</f>
        <v>1122.0999999999999</v>
      </c>
      <c r="S247" s="5008">
        <f t="shared" si="227"/>
        <v>1122.0999999999999</v>
      </c>
      <c r="T247" s="5008">
        <f t="shared" si="227"/>
        <v>1122.0999999999999</v>
      </c>
    </row>
    <row r="249" spans="2:21" ht="12" customHeight="1">
      <c r="B249" s="4027"/>
      <c r="C249" s="4027"/>
      <c r="D249" s="4027"/>
      <c r="E249" s="4027"/>
      <c r="F249" s="4027"/>
      <c r="G249" s="4027"/>
      <c r="H249" s="4027"/>
      <c r="I249" s="4027"/>
      <c r="J249" s="25" t="s">
        <v>23</v>
      </c>
      <c r="K249" s="26"/>
      <c r="L249" s="26"/>
      <c r="M249" s="27"/>
      <c r="N249" s="26" t="s">
        <v>24</v>
      </c>
      <c r="O249" s="26"/>
      <c r="P249" s="26"/>
      <c r="Q249" s="26"/>
      <c r="R249" s="26"/>
      <c r="S249" s="26"/>
      <c r="T249" s="26"/>
    </row>
    <row r="250" spans="2:21" ht="12" customHeight="1">
      <c r="B250" s="28"/>
      <c r="C250" s="28"/>
      <c r="D250" s="28"/>
      <c r="E250" s="28"/>
      <c r="F250" s="28"/>
      <c r="G250" s="28"/>
      <c r="H250" s="1949" t="s">
        <v>2889</v>
      </c>
      <c r="I250" s="28"/>
      <c r="J250" s="29" t="s">
        <v>69</v>
      </c>
      <c r="K250" s="30" t="s">
        <v>27</v>
      </c>
      <c r="L250" s="108" t="s">
        <v>60</v>
      </c>
      <c r="M250" s="31" t="s">
        <v>5104</v>
      </c>
      <c r="N250" s="30" t="s">
        <v>5174</v>
      </c>
      <c r="O250" s="30" t="s">
        <v>70</v>
      </c>
      <c r="P250" s="30" t="s">
        <v>71</v>
      </c>
      <c r="Q250" s="30" t="s">
        <v>72</v>
      </c>
      <c r="R250" s="30" t="s">
        <v>73</v>
      </c>
      <c r="S250" s="30" t="s">
        <v>74</v>
      </c>
      <c r="T250" s="30" t="s">
        <v>5102</v>
      </c>
    </row>
    <row r="251" spans="2:21" ht="12" customHeight="1">
      <c r="B251" s="4028" t="s">
        <v>1289</v>
      </c>
      <c r="C251" s="4028"/>
      <c r="D251" s="4028"/>
      <c r="E251" s="4028"/>
      <c r="F251" s="4028"/>
      <c r="G251" s="4028"/>
      <c r="H251" s="4028"/>
      <c r="I251" s="4028"/>
      <c r="J251" s="396">
        <f>J252+J255+J257+J259</f>
        <v>2237.7812690000001</v>
      </c>
      <c r="K251" s="4023">
        <f t="shared" ref="K251:T251" si="228">K252+K255+K257+K259</f>
        <v>2278.0910960000001</v>
      </c>
      <c r="L251" s="4023">
        <f t="shared" si="228"/>
        <v>2341.5377809999995</v>
      </c>
      <c r="M251" s="3772">
        <f t="shared" si="228"/>
        <v>1742.304335</v>
      </c>
      <c r="N251" s="4023">
        <f t="shared" si="228"/>
        <v>580.76811166666664</v>
      </c>
      <c r="O251" s="4023">
        <f t="shared" si="228"/>
        <v>2323.0724466666666</v>
      </c>
      <c r="P251" s="4984">
        <f t="shared" si="228"/>
        <v>2478.3688968414667</v>
      </c>
      <c r="Q251" s="4984">
        <f t="shared" si="228"/>
        <v>2525.4579058814543</v>
      </c>
      <c r="R251" s="4984">
        <f t="shared" si="228"/>
        <v>2623.9507642108306</v>
      </c>
      <c r="S251" s="4984">
        <f t="shared" si="228"/>
        <v>2710.5411394297876</v>
      </c>
      <c r="T251" s="4984">
        <f t="shared" si="228"/>
        <v>2821.6733261464096</v>
      </c>
    </row>
    <row r="252" spans="2:21" ht="12" customHeight="1">
      <c r="B252" s="45"/>
      <c r="C252" s="3" t="s">
        <v>4900</v>
      </c>
      <c r="D252" s="45"/>
      <c r="E252" s="45"/>
      <c r="F252" s="45"/>
      <c r="G252" s="45"/>
      <c r="H252" s="110" t="s">
        <v>3529</v>
      </c>
      <c r="I252" s="45"/>
      <c r="J252" s="216">
        <f>Torecom_제조원가명세서!Q15/10^6</f>
        <v>1781.237742</v>
      </c>
      <c r="K252" s="105">
        <f>Torecom_제조원가명세서!O15/10^6</f>
        <v>1830.145499</v>
      </c>
      <c r="L252" s="105">
        <f>Torecom_제조원가명세서!H15/10^6</f>
        <v>1872.505539</v>
      </c>
      <c r="M252" s="106">
        <f>Torecom_제조원가명세서!F15/10^6</f>
        <v>1459.728785</v>
      </c>
      <c r="N252" s="105">
        <f>N253*N254/4</f>
        <v>486.57626166666665</v>
      </c>
      <c r="O252" s="105">
        <f>M252+N252</f>
        <v>1946.3050466666666</v>
      </c>
      <c r="P252" s="4879">
        <f>P253*P254</f>
        <v>2004.6941980666668</v>
      </c>
      <c r="Q252" s="5001">
        <f t="shared" ref="Q252:T252" si="229">Q253*Q254</f>
        <v>2042.7833878299334</v>
      </c>
      <c r="R252" s="5001">
        <f t="shared" si="229"/>
        <v>2122.4519399553005</v>
      </c>
      <c r="S252" s="5001">
        <f t="shared" si="229"/>
        <v>2192.4928539738253</v>
      </c>
      <c r="T252" s="5001">
        <f t="shared" si="229"/>
        <v>2282.3850609867523</v>
      </c>
    </row>
    <row r="253" spans="2:21" ht="12" customHeight="1">
      <c r="C253" s="45"/>
      <c r="D253" s="3" t="s">
        <v>6587</v>
      </c>
      <c r="H253" s="110" t="s">
        <v>5607</v>
      </c>
      <c r="J253" s="216">
        <f>SUM(Torecom_인건비!M4:M5)</f>
        <v>34</v>
      </c>
      <c r="K253" s="105">
        <f>SUM(Torecom_인건비!N4:N5)</f>
        <v>37</v>
      </c>
      <c r="L253" s="105">
        <f>SUM(Torecom_인건비!O4:O5)</f>
        <v>37</v>
      </c>
      <c r="M253" s="106">
        <f>SUM(Torecom_인건비!P4:P5)</f>
        <v>37</v>
      </c>
      <c r="N253" s="105">
        <f>Assumption!N588</f>
        <v>37</v>
      </c>
      <c r="O253" s="105">
        <f>Assumption!O588</f>
        <v>37</v>
      </c>
      <c r="P253" s="4879">
        <f>Assumption!P588</f>
        <v>37</v>
      </c>
      <c r="Q253" s="4879">
        <f>Assumption!Q588</f>
        <v>37</v>
      </c>
      <c r="R253" s="4879">
        <f>Assumption!R588</f>
        <v>37</v>
      </c>
      <c r="S253" s="4879">
        <f>Assumption!S588</f>
        <v>37</v>
      </c>
      <c r="T253" s="4879">
        <f>Assumption!T588</f>
        <v>37</v>
      </c>
    </row>
    <row r="254" spans="2:21" ht="12" customHeight="1">
      <c r="D254" s="3" t="s">
        <v>6588</v>
      </c>
      <c r="H254" s="110" t="s">
        <v>6589</v>
      </c>
      <c r="J254" s="216">
        <f>J252/J253</f>
        <v>52.389345352941177</v>
      </c>
      <c r="K254" s="105">
        <f t="shared" ref="K254:L254" si="230">K252/K253</f>
        <v>49.463391864864867</v>
      </c>
      <c r="L254" s="105">
        <f t="shared" si="230"/>
        <v>50.608257810810812</v>
      </c>
      <c r="M254" s="106">
        <f>M252/M253*4/3</f>
        <v>52.6028390990991</v>
      </c>
      <c r="N254" s="105">
        <f>Assumption!N598</f>
        <v>52.6028390990991</v>
      </c>
      <c r="O254" s="105">
        <f>Assumption!O598</f>
        <v>52.6028390990991</v>
      </c>
      <c r="P254" s="4879">
        <f>Assumption!P598</f>
        <v>54.180924272072076</v>
      </c>
      <c r="Q254" s="4879">
        <f>Assumption!Q598</f>
        <v>55.210361833241443</v>
      </c>
      <c r="R254" s="4879">
        <f>Assumption!R598</f>
        <v>57.363565944737857</v>
      </c>
      <c r="S254" s="4879">
        <f>Assumption!S598</f>
        <v>59.2565636209142</v>
      </c>
      <c r="T254" s="4879">
        <f>Assumption!T598</f>
        <v>61.686082729371677</v>
      </c>
    </row>
    <row r="255" spans="2:21" ht="12" customHeight="1">
      <c r="C255" s="3" t="s">
        <v>4901</v>
      </c>
      <c r="H255" s="110" t="s">
        <v>3529</v>
      </c>
      <c r="J255" s="216">
        <f>Torecom_제조원가명세서!Q16/10^6</f>
        <v>227.29560000000001</v>
      </c>
      <c r="K255" s="105">
        <f>Torecom_제조원가명세서!O16/10^6</f>
        <v>199.55074200000001</v>
      </c>
      <c r="L255" s="105">
        <f>Torecom_제조원가명세서!H16/10^6</f>
        <v>214.0659</v>
      </c>
      <c r="M255" s="106">
        <f>Torecom_제조원가명세서!F16/10^6</f>
        <v>109.943827</v>
      </c>
      <c r="N255" s="105">
        <f>N252*N256</f>
        <v>36.647942333333333</v>
      </c>
      <c r="O255" s="1934">
        <f>SUM(M255:N255)</f>
        <v>146.59176933333333</v>
      </c>
      <c r="P255" s="5001">
        <f>P252*P256</f>
        <v>213.63997492807587</v>
      </c>
      <c r="Q255" s="5001">
        <f t="shared" ref="Q255:T255" si="231">Q252*Q256</f>
        <v>217.69913445170931</v>
      </c>
      <c r="R255" s="5001">
        <f t="shared" si="231"/>
        <v>226.18940069532596</v>
      </c>
      <c r="S255" s="5001">
        <f t="shared" si="231"/>
        <v>233.65365091827169</v>
      </c>
      <c r="T255" s="5001">
        <f t="shared" si="231"/>
        <v>243.23345060592084</v>
      </c>
    </row>
    <row r="256" spans="2:21" ht="12" customHeight="1">
      <c r="B256" s="45"/>
      <c r="D256" s="45" t="s">
        <v>1417</v>
      </c>
      <c r="E256" s="45"/>
      <c r="F256" s="45"/>
      <c r="G256" s="45"/>
      <c r="H256" s="110" t="s">
        <v>360</v>
      </c>
      <c r="I256" s="45"/>
      <c r="J256" s="3734">
        <f>J255/J252</f>
        <v>0.12760542550866297</v>
      </c>
      <c r="K256" s="11">
        <f t="shared" ref="K256:M256" si="232">K255/K252</f>
        <v>0.10903545215887779</v>
      </c>
      <c r="L256" s="11">
        <f t="shared" si="232"/>
        <v>0.11432056970807176</v>
      </c>
      <c r="M256" s="3432">
        <f t="shared" si="232"/>
        <v>7.5317982442882361E-2</v>
      </c>
      <c r="N256" s="4036">
        <f>Assumption!N607</f>
        <v>7.5317982442882361E-2</v>
      </c>
      <c r="O256" s="4029">
        <f>Assumption!O607</f>
        <v>7.5317982442882361E-2</v>
      </c>
      <c r="P256" s="5014">
        <f>Assumption!P607</f>
        <v>0.10656985745462372</v>
      </c>
      <c r="Q256" s="5014">
        <f>Assumption!Q607</f>
        <v>0.10656985745462372</v>
      </c>
      <c r="R256" s="5014">
        <f>Assumption!R607</f>
        <v>0.10656985745462372</v>
      </c>
      <c r="S256" s="5014">
        <f>Assumption!S607</f>
        <v>0.10656985745462372</v>
      </c>
      <c r="T256" s="5014">
        <f>Assumption!T607</f>
        <v>0.10656985745462372</v>
      </c>
    </row>
    <row r="257" spans="1:25" ht="12" customHeight="1">
      <c r="B257" s="45"/>
      <c r="C257" s="3" t="s">
        <v>1414</v>
      </c>
      <c r="D257" s="45"/>
      <c r="E257" s="45"/>
      <c r="F257" s="45"/>
      <c r="G257" s="45"/>
      <c r="H257" s="110" t="s">
        <v>3529</v>
      </c>
      <c r="I257" s="45"/>
      <c r="J257" s="216">
        <f>Torecom_제조원가명세서!Q17/10^6</f>
        <v>189.48792700000001</v>
      </c>
      <c r="K257" s="1934">
        <f>Torecom_제조원가명세서!O17/10^6</f>
        <v>216.45485500000001</v>
      </c>
      <c r="L257" s="1934">
        <f>Torecom_제조원가명세서!H17/10^6</f>
        <v>183.692342</v>
      </c>
      <c r="M257" s="106">
        <f>Torecom_제조원가명세서!F17/10^6</f>
        <v>145.221723</v>
      </c>
      <c r="N257" s="105">
        <f>N252*N258</f>
        <v>48.407240999999999</v>
      </c>
      <c r="O257" s="1934">
        <f>SUM(M257:N257)</f>
        <v>193.628964</v>
      </c>
      <c r="P257" s="5001">
        <f>P252*P258</f>
        <v>211.61403128928839</v>
      </c>
      <c r="Q257" s="5001">
        <f t="shared" ref="Q257:T257" si="233">Q252*Q258</f>
        <v>215.63469788378487</v>
      </c>
      <c r="R257" s="5001">
        <f t="shared" si="233"/>
        <v>224.04445110125243</v>
      </c>
      <c r="S257" s="5001">
        <f t="shared" si="233"/>
        <v>231.43791798759375</v>
      </c>
      <c r="T257" s="5001">
        <f t="shared" si="233"/>
        <v>240.92687262508511</v>
      </c>
    </row>
    <row r="258" spans="1:25" ht="12" customHeight="1">
      <c r="B258" s="45"/>
      <c r="D258" s="45" t="s">
        <v>1417</v>
      </c>
      <c r="E258" s="45"/>
      <c r="F258" s="45"/>
      <c r="G258" s="45"/>
      <c r="H258" s="110" t="s">
        <v>360</v>
      </c>
      <c r="I258" s="45"/>
      <c r="J258" s="4036">
        <f>J257/J252</f>
        <v>0.10637991916072931</v>
      </c>
      <c r="K258" s="4029">
        <f t="shared" ref="K258:M258" si="234">K257/K252</f>
        <v>0.11827193800617052</v>
      </c>
      <c r="L258" s="4029">
        <f t="shared" si="234"/>
        <v>9.8099758945492763E-2</v>
      </c>
      <c r="M258" s="3432">
        <f t="shared" si="234"/>
        <v>9.9485414340171413E-2</v>
      </c>
      <c r="N258" s="4036">
        <f>Assumption!N608</f>
        <v>9.9485414340171413E-2</v>
      </c>
      <c r="O258" s="4029">
        <f>Assumption!O608</f>
        <v>9.9485414340171413E-2</v>
      </c>
      <c r="P258" s="5014">
        <f>Assumption!P608</f>
        <v>0.105559257613141</v>
      </c>
      <c r="Q258" s="5014">
        <f>Assumption!Q608</f>
        <v>0.105559257613141</v>
      </c>
      <c r="R258" s="5014">
        <f>Assumption!R608</f>
        <v>0.105559257613141</v>
      </c>
      <c r="S258" s="5014">
        <f>Assumption!S608</f>
        <v>0.105559257613141</v>
      </c>
      <c r="T258" s="5014">
        <f>Assumption!T608</f>
        <v>0.105559257613141</v>
      </c>
    </row>
    <row r="259" spans="1:25" ht="12" customHeight="1">
      <c r="B259" s="45"/>
      <c r="C259" s="3" t="s">
        <v>6590</v>
      </c>
      <c r="D259" s="45"/>
      <c r="E259" s="45"/>
      <c r="F259" s="45"/>
      <c r="G259" s="45"/>
      <c r="H259" s="110" t="s">
        <v>3529</v>
      </c>
      <c r="I259" s="45"/>
      <c r="J259" s="216">
        <f>Torecom_제조원가명세서!Q18/10^6</f>
        <v>39.76</v>
      </c>
      <c r="K259" s="1934">
        <f>Torecom_제조원가명세서!O18/10^6</f>
        <v>31.94</v>
      </c>
      <c r="L259" s="1934">
        <f>Torecom_제조원가명세서!H18/10^6</f>
        <v>71.274000000000001</v>
      </c>
      <c r="M259" s="106">
        <f>Torecom_제조원가명세서!F18/10^6</f>
        <v>27.41</v>
      </c>
      <c r="N259" s="105">
        <f>N252*N260</f>
        <v>9.1366666666666667</v>
      </c>
      <c r="O259" s="1934">
        <f>SUM(M259:N259)</f>
        <v>36.546666666666667</v>
      </c>
      <c r="P259" s="5001">
        <f>P252*P260</f>
        <v>48.420692557435508</v>
      </c>
      <c r="Q259" s="5001">
        <f t="shared" ref="Q259:T259" si="235">Q252*Q260</f>
        <v>49.340685716026783</v>
      </c>
      <c r="R259" s="5001">
        <f t="shared" si="235"/>
        <v>51.264972458951817</v>
      </c>
      <c r="S259" s="5001">
        <f t="shared" si="235"/>
        <v>52.956716550097227</v>
      </c>
      <c r="T259" s="5001">
        <f t="shared" si="235"/>
        <v>55.127941928651218</v>
      </c>
    </row>
    <row r="260" spans="1:25" ht="12" customHeight="1">
      <c r="B260" s="361"/>
      <c r="C260" s="12"/>
      <c r="D260" s="361" t="s">
        <v>1417</v>
      </c>
      <c r="E260" s="361"/>
      <c r="F260" s="361"/>
      <c r="G260" s="361"/>
      <c r="H260" s="1950" t="s">
        <v>360</v>
      </c>
      <c r="I260" s="361"/>
      <c r="J260" s="2166">
        <f>J259/J252</f>
        <v>2.2321557118679107E-2</v>
      </c>
      <c r="K260" s="13">
        <f t="shared" ref="K260:M260" si="236">K259/K252</f>
        <v>1.7452164331990087E-2</v>
      </c>
      <c r="L260" s="13">
        <f t="shared" si="236"/>
        <v>3.8063438807269666E-2</v>
      </c>
      <c r="M260" s="4031">
        <f t="shared" si="236"/>
        <v>1.8777460773303858E-2</v>
      </c>
      <c r="N260" s="2166">
        <f>Assumption!N609</f>
        <v>1.8777460773303858E-2</v>
      </c>
      <c r="O260" s="4030">
        <f>Assumption!O609</f>
        <v>1.8777460773303858E-2</v>
      </c>
      <c r="P260" s="5015">
        <f>Assumption!P609</f>
        <v>2.4153655257810679E-2</v>
      </c>
      <c r="Q260" s="5015">
        <f>Assumption!Q609</f>
        <v>2.4153655257810679E-2</v>
      </c>
      <c r="R260" s="5015">
        <f>Assumption!R609</f>
        <v>2.4153655257810679E-2</v>
      </c>
      <c r="S260" s="5015">
        <f>Assumption!S609</f>
        <v>2.4153655257810679E-2</v>
      </c>
      <c r="T260" s="5015">
        <f>Assumption!T609</f>
        <v>2.4153655257810679E-2</v>
      </c>
    </row>
    <row r="262" spans="1:25" ht="12" customHeight="1">
      <c r="B262" s="4027"/>
      <c r="C262" s="4027"/>
      <c r="D262" s="4027"/>
      <c r="E262" s="4027"/>
      <c r="F262" s="4027"/>
      <c r="G262" s="4027"/>
      <c r="H262" s="4027"/>
      <c r="I262" s="4027"/>
      <c r="J262" s="25" t="s">
        <v>23</v>
      </c>
      <c r="K262" s="26"/>
      <c r="L262" s="26"/>
      <c r="M262" s="27"/>
      <c r="N262" s="26" t="s">
        <v>24</v>
      </c>
      <c r="O262" s="26"/>
      <c r="P262" s="26"/>
      <c r="Q262" s="26"/>
      <c r="R262" s="26"/>
      <c r="S262" s="26"/>
      <c r="T262" s="26"/>
    </row>
    <row r="263" spans="1:25" ht="12" customHeight="1">
      <c r="B263" s="28"/>
      <c r="C263" s="28"/>
      <c r="D263" s="28"/>
      <c r="E263" s="28"/>
      <c r="F263" s="28"/>
      <c r="G263" s="28"/>
      <c r="H263" s="1949" t="s">
        <v>2889</v>
      </c>
      <c r="I263" s="28"/>
      <c r="J263" s="29" t="s">
        <v>69</v>
      </c>
      <c r="K263" s="30" t="s">
        <v>27</v>
      </c>
      <c r="L263" s="108" t="s">
        <v>60</v>
      </c>
      <c r="M263" s="31" t="s">
        <v>5104</v>
      </c>
      <c r="N263" s="30" t="s">
        <v>5174</v>
      </c>
      <c r="O263" s="30" t="s">
        <v>70</v>
      </c>
      <c r="P263" s="30" t="s">
        <v>71</v>
      </c>
      <c r="Q263" s="30" t="s">
        <v>72</v>
      </c>
      <c r="R263" s="30" t="s">
        <v>73</v>
      </c>
      <c r="S263" s="30" t="s">
        <v>74</v>
      </c>
      <c r="T263" s="30" t="s">
        <v>5102</v>
      </c>
    </row>
    <row r="264" spans="1:25" ht="12" customHeight="1">
      <c r="B264" s="4028" t="s">
        <v>1287</v>
      </c>
      <c r="C264" s="4028"/>
      <c r="D264" s="4028"/>
      <c r="E264" s="4028"/>
      <c r="F264" s="4028"/>
      <c r="G264" s="4028"/>
      <c r="H264" s="4028"/>
      <c r="I264" s="4028"/>
      <c r="J264" s="4397">
        <f>Torecom_제조원가명세서!R20/10^6</f>
        <v>4899.0667579999999</v>
      </c>
      <c r="K264" s="4347">
        <f>Torecom_제조원가명세서!P20/10^6</f>
        <v>4566.8115829999997</v>
      </c>
      <c r="L264" s="4347">
        <f>Torecom_제조원가명세서!I20/10^6</f>
        <v>4643.1977360000001</v>
      </c>
      <c r="M264" s="4346">
        <f>Torecom_제조원가명세서!G20/10^6</f>
        <v>3536.8874070000002</v>
      </c>
      <c r="N264" s="4023">
        <f t="shared" ref="N264:T264" si="237">N266+N268</f>
        <v>1187.3803122148947</v>
      </c>
      <c r="O264" s="4023">
        <f t="shared" si="237"/>
        <v>4724.2677192148949</v>
      </c>
      <c r="P264" s="4984">
        <f t="shared" si="237"/>
        <v>4824.8077428107699</v>
      </c>
      <c r="Q264" s="4984">
        <f t="shared" si="237"/>
        <v>6154.0039685756192</v>
      </c>
      <c r="R264" s="4984">
        <f t="shared" si="237"/>
        <v>6238.5781798321332</v>
      </c>
      <c r="S264" s="4984">
        <f t="shared" si="237"/>
        <v>6337.1520773120656</v>
      </c>
      <c r="T264" s="4984">
        <f t="shared" si="237"/>
        <v>6501.0339256515917</v>
      </c>
    </row>
    <row r="265" spans="1:25" ht="12" customHeight="1">
      <c r="B265" s="45" t="s">
        <v>32</v>
      </c>
      <c r="C265" s="32"/>
      <c r="D265" s="32"/>
      <c r="E265" s="32"/>
      <c r="F265" s="32"/>
      <c r="G265" s="32"/>
      <c r="H265" s="32"/>
      <c r="I265" s="32"/>
      <c r="J265" s="3734">
        <f>J264/Revenue!J107</f>
        <v>2.1789212821974008E-2</v>
      </c>
      <c r="K265" s="11">
        <f>K264/Revenue!K107</f>
        <v>1.9711046399751842E-2</v>
      </c>
      <c r="L265" s="11">
        <f>L264/Revenue!L107</f>
        <v>1.5068496976319489E-2</v>
      </c>
      <c r="M265" s="3432">
        <f>M264/Revenue!M107</f>
        <v>1.6558588572204377E-2</v>
      </c>
      <c r="N265" s="11">
        <f>N264/Revenue!N107</f>
        <v>1.6272715363579729E-2</v>
      </c>
      <c r="O265" s="11">
        <f>O264/Revenue!O107</f>
        <v>1.648579739726224E-2</v>
      </c>
      <c r="P265" s="4911">
        <f>P264/Revenue!P107</f>
        <v>1.7514665671853575E-2</v>
      </c>
      <c r="Q265" s="4911">
        <f>Q264/Revenue!Q107</f>
        <v>2.1268103579004844E-2</v>
      </c>
      <c r="R265" s="4911">
        <f>R264/Revenue!R107</f>
        <v>2.1464237561450987E-2</v>
      </c>
      <c r="S265" s="4911">
        <f>S264/Revenue!S107</f>
        <v>2.2615633675030212E-2</v>
      </c>
      <c r="T265" s="4911">
        <f>T264/Revenue!T107</f>
        <v>2.3347381892472603E-2</v>
      </c>
    </row>
    <row r="266" spans="1:25" ht="12" customHeight="1">
      <c r="B266" s="45"/>
      <c r="C266" s="3" t="s">
        <v>1291</v>
      </c>
      <c r="H266" s="110"/>
      <c r="J266" s="220">
        <f>SUMIF(Torecom_제조원가명세서!$J$21:$J$46,$C266,Torecom_제조원가명세서!$Q$21:$Q$46)/10^6</f>
        <v>2606.9070489999999</v>
      </c>
      <c r="K266" s="221">
        <f>SUMIF(Torecom_제조원가명세서!$J$21:$J$46,$C266,Torecom_제조원가명세서!$O$21:$O$46)/10^6</f>
        <v>2240.1886420000001</v>
      </c>
      <c r="L266" s="221">
        <f>SUMIF(Torecom_제조원가명세서!$J$21:$J$46,$C266,Torecom_제조원가명세서!$H$21:$H$46)/10^6</f>
        <v>2530.3199030000001</v>
      </c>
      <c r="M266" s="222">
        <f>SUMIF(Torecom_제조원가명세서!$J$21:$J$46,$C266,Torecom_제조원가명세서!$F$21:$F$46)/10^6</f>
        <v>1966.4076110000001</v>
      </c>
      <c r="N266" s="105">
        <f>Revenue!N107*N267</f>
        <v>671.74654730921532</v>
      </c>
      <c r="O266" s="105">
        <f>SUM(M266:N266)</f>
        <v>2638.1541583092153</v>
      </c>
      <c r="P266" s="4879">
        <f>Revenue!P107*P267</f>
        <v>2536.026503181437</v>
      </c>
      <c r="Q266" s="4879">
        <f>Revenue!Q107*Q267</f>
        <v>2663.8185105399921</v>
      </c>
      <c r="R266" s="4879">
        <f>Revenue!R107*R267</f>
        <v>2675.7515318480068</v>
      </c>
      <c r="S266" s="4879">
        <f>Revenue!S107*S267</f>
        <v>2579.651244964557</v>
      </c>
      <c r="T266" s="4879">
        <f>Revenue!T107*T267</f>
        <v>2563.4206145134431</v>
      </c>
    </row>
    <row r="267" spans="1:25" s="400" customFormat="1" ht="12" customHeight="1">
      <c r="A267" s="45"/>
      <c r="B267" s="45"/>
      <c r="C267" s="45"/>
      <c r="D267" s="45" t="s">
        <v>3456</v>
      </c>
      <c r="E267" s="45"/>
      <c r="F267" s="45"/>
      <c r="G267" s="45"/>
      <c r="H267" s="1951"/>
      <c r="I267" s="45"/>
      <c r="J267" s="3734">
        <f>J266/Revenue!J107</f>
        <v>1.1594545513185518E-2</v>
      </c>
      <c r="K267" s="11">
        <f>K266/Revenue!K107</f>
        <v>9.6689914755914014E-3</v>
      </c>
      <c r="L267" s="375">
        <f>L266/Revenue!L107</f>
        <v>8.2116075978971668E-3</v>
      </c>
      <c r="M267" s="3432">
        <f>M266/Revenue!M107</f>
        <v>9.2060987102268559E-3</v>
      </c>
      <c r="N267" s="4398">
        <f>Assumption!N618</f>
        <v>9.2060987102268559E-3</v>
      </c>
      <c r="O267" s="11">
        <f>O266/Revenue!O107</f>
        <v>9.2060987102268559E-3</v>
      </c>
      <c r="P267" s="5016">
        <f>Assumption!P618</f>
        <v>9.2060987102268559E-3</v>
      </c>
      <c r="Q267" s="5016">
        <f>Assumption!Q618</f>
        <v>9.2060987102268559E-3</v>
      </c>
      <c r="R267" s="5016">
        <f>Assumption!R618</f>
        <v>9.2060987102268559E-3</v>
      </c>
      <c r="S267" s="5016">
        <f>Assumption!S618</f>
        <v>9.2060987102268559E-3</v>
      </c>
      <c r="T267" s="5016">
        <f>Assumption!T618</f>
        <v>9.2060987102268559E-3</v>
      </c>
      <c r="U267" s="289"/>
    </row>
    <row r="268" spans="1:25" ht="12" customHeight="1">
      <c r="B268" s="45"/>
      <c r="C268" s="3" t="s">
        <v>1292</v>
      </c>
      <c r="E268" s="45"/>
      <c r="F268" s="45"/>
      <c r="G268" s="45"/>
      <c r="H268" s="110"/>
      <c r="I268" s="45"/>
      <c r="J268" s="216">
        <f>J264-J266</f>
        <v>2292.159709</v>
      </c>
      <c r="K268" s="105">
        <f t="shared" ref="K268:M268" si="238">K264-K266</f>
        <v>2326.6229409999996</v>
      </c>
      <c r="L268" s="105">
        <f t="shared" si="238"/>
        <v>2112.877833</v>
      </c>
      <c r="M268" s="106">
        <f t="shared" si="238"/>
        <v>1570.4797960000001</v>
      </c>
      <c r="N268" s="105">
        <f>SUM(N269:N271)</f>
        <v>515.63376490567941</v>
      </c>
      <c r="O268" s="105">
        <f t="shared" ref="O268:T268" si="239">SUM(O269:O271)</f>
        <v>2086.1135609056796</v>
      </c>
      <c r="P268" s="4879">
        <f t="shared" si="239"/>
        <v>2288.7812396293334</v>
      </c>
      <c r="Q268" s="5001">
        <f t="shared" si="239"/>
        <v>3490.1854580356271</v>
      </c>
      <c r="R268" s="5001">
        <f t="shared" si="239"/>
        <v>3562.8266479841259</v>
      </c>
      <c r="S268" s="5001">
        <f t="shared" si="239"/>
        <v>3757.5008323475085</v>
      </c>
      <c r="T268" s="5001">
        <f t="shared" si="239"/>
        <v>3937.6133111381487</v>
      </c>
    </row>
    <row r="269" spans="1:25" ht="12" customHeight="1">
      <c r="B269" s="45"/>
      <c r="D269" s="3" t="s">
        <v>1381</v>
      </c>
      <c r="E269" s="45"/>
      <c r="F269" s="45"/>
      <c r="G269" s="45"/>
      <c r="H269" s="110" t="s">
        <v>3528</v>
      </c>
      <c r="I269" s="45"/>
      <c r="J269" s="216">
        <f>SUMIF(Torecom_제조원가명세서!$K$21:$K$46,$D269,Torecom_제조원가명세서!$Q$21:$Q$46)/10^6</f>
        <v>1139.7720750000001</v>
      </c>
      <c r="K269" s="105">
        <f>SUMIF(Torecom_제조원가명세서!$K$21:$K$46,$D269,Torecom_제조원가명세서!$O$21:$O$46)/10^6</f>
        <v>1177.4796080000001</v>
      </c>
      <c r="L269" s="105">
        <f>SUMIF(Torecom_제조원가명세서!$K$21:$K$46,$D269,Torecom_제조원가명세서!$H$21:$H$46)/10^6</f>
        <v>627.83634300000006</v>
      </c>
      <c r="M269" s="106">
        <f>SUMIF(Torecom_제조원가명세서!$K$21:$K$46,$D269,Torecom_제조원가명세서!$F$21:$F$46)/10^6</f>
        <v>475.30713700000001</v>
      </c>
      <c r="N269" s="105">
        <f>O269-M269</f>
        <v>153.33079926105245</v>
      </c>
      <c r="O269" s="105">
        <f>Torecom_제조경비!C18/1000</f>
        <v>628.63793626105246</v>
      </c>
      <c r="P269" s="4879">
        <f>Torecom_제조경비!P18/1000</f>
        <v>796.468975</v>
      </c>
      <c r="Q269" s="5001">
        <f>Torecom_제조경비!Q18/1000</f>
        <v>1983.1685520000001</v>
      </c>
      <c r="R269" s="5001">
        <f>Torecom_제조경비!R18/1000</f>
        <v>2035.0173790000001</v>
      </c>
      <c r="S269" s="5001">
        <f>$R$269/CAPEX!$R$45*CAPEX!S45</f>
        <v>2199.5723404637001</v>
      </c>
      <c r="T269" s="5001">
        <f>$R$269/CAPEX!$R$45*CAPEX!T45</f>
        <v>2353.5714530003156</v>
      </c>
      <c r="V269" s="4393"/>
      <c r="W269" s="4393"/>
      <c r="X269" s="4393"/>
      <c r="Y269" s="4393"/>
    </row>
    <row r="270" spans="1:25" s="1055" customFormat="1" ht="12" customHeight="1">
      <c r="A270" s="3"/>
      <c r="B270" s="3"/>
      <c r="C270" s="3"/>
      <c r="D270" s="3" t="s">
        <v>1382</v>
      </c>
      <c r="E270" s="3"/>
      <c r="F270" s="3"/>
      <c r="G270" s="3"/>
      <c r="H270" s="110" t="s">
        <v>3528</v>
      </c>
      <c r="I270" s="3"/>
      <c r="J270" s="216">
        <f>SUMIF(Torecom_제조원가명세서!$K$21:$K$46,$D270,Torecom_제조원가명세서!$Q$21:$Q$46)/10^6</f>
        <v>0</v>
      </c>
      <c r="K270" s="1934">
        <f>SUMIF(Torecom_제조원가명세서!$K$21:$K$46,$D270,Torecom_제조원가명세서!$O$21:$O$46)/10^6</f>
        <v>28.222823999999999</v>
      </c>
      <c r="L270" s="1934">
        <f>SUMIF(Torecom_제조원가명세서!$K$21:$K$46,$D270,Torecom_제조원가명세서!$H$21:$H$46)/10^6</f>
        <v>28.076864</v>
      </c>
      <c r="M270" s="106">
        <f>SUMIF(Torecom_제조원가명세서!$K$21:$K$46,$D270,Torecom_제조원가명세서!$F$21:$F$46)/10^6</f>
        <v>18.172556</v>
      </c>
      <c r="N270" s="105">
        <f>O270-M270</f>
        <v>3.3029313112936016</v>
      </c>
      <c r="O270" s="4396">
        <f>Torecom_제조경비!C37/1000</f>
        <v>21.475487311293602</v>
      </c>
      <c r="P270" s="5017">
        <f>Torecom_제조경비!P37/1000</f>
        <v>21.848123999999999</v>
      </c>
      <c r="Q270" s="5017">
        <f>Torecom_제조경비!Q37/1000</f>
        <v>21.848123999999999</v>
      </c>
      <c r="R270" s="5017">
        <f>Torecom_제조경비!R37/1000</f>
        <v>21.848123999999999</v>
      </c>
      <c r="S270" s="5017">
        <f>$R$270/CAPEX!$R$50*CAPEX!S50</f>
        <v>21.848123999999999</v>
      </c>
      <c r="T270" s="5017">
        <f>$R$270/CAPEX!$R$50*CAPEX!T50</f>
        <v>21.848123999999999</v>
      </c>
      <c r="U270" s="1953"/>
    </row>
    <row r="271" spans="1:25" s="1055" customFormat="1" ht="12" customHeight="1">
      <c r="A271" s="3"/>
      <c r="B271" s="12"/>
      <c r="C271" s="12"/>
      <c r="D271" s="12" t="s">
        <v>5561</v>
      </c>
      <c r="E271" s="12"/>
      <c r="F271" s="12"/>
      <c r="G271" s="12"/>
      <c r="H271" s="1950"/>
      <c r="I271" s="12"/>
      <c r="J271" s="397">
        <f>J268-J269-J270</f>
        <v>1152.3876339999999</v>
      </c>
      <c r="K271" s="1935">
        <f t="shared" ref="K271:M271" si="240">K268-K269-K270</f>
        <v>1120.9205089999996</v>
      </c>
      <c r="L271" s="1935">
        <f t="shared" si="240"/>
        <v>1456.964626</v>
      </c>
      <c r="M271" s="2164">
        <f t="shared" si="240"/>
        <v>1077.0001030000001</v>
      </c>
      <c r="N271" s="107">
        <f>M271/3</f>
        <v>359.00003433333336</v>
      </c>
      <c r="O271" s="4354">
        <f>SUM(M271:N271)</f>
        <v>1436.0001373333334</v>
      </c>
      <c r="P271" s="5018">
        <f>O271*(1+General!J12)</f>
        <v>1470.4641406293335</v>
      </c>
      <c r="Q271" s="5018">
        <f>P271*(1+General!K12)</f>
        <v>1485.1687820356269</v>
      </c>
      <c r="R271" s="5018">
        <f>Q271*(1+General!L12)</f>
        <v>1505.9611449841257</v>
      </c>
      <c r="S271" s="5018">
        <f>R271*(1+General!M12)</f>
        <v>1536.0803678838081</v>
      </c>
      <c r="T271" s="5018">
        <f>S271*(1+General!N12)</f>
        <v>1562.1937341378327</v>
      </c>
      <c r="U271" s="1953"/>
    </row>
    <row r="273" spans="1:21" ht="12" customHeight="1">
      <c r="A273" s="1965"/>
      <c r="B273" s="1964" t="s">
        <v>6663</v>
      </c>
      <c r="C273" s="1965"/>
      <c r="D273" s="1965"/>
      <c r="E273" s="1965"/>
      <c r="F273" s="1965"/>
      <c r="G273" s="1965"/>
      <c r="H273" s="1965"/>
      <c r="I273" s="1965"/>
      <c r="J273" s="1965"/>
      <c r="K273" s="1965"/>
      <c r="L273" s="1965"/>
      <c r="M273" s="1965"/>
      <c r="N273" s="1965"/>
      <c r="O273" s="1965"/>
      <c r="P273" s="1965"/>
      <c r="Q273" s="1965"/>
      <c r="R273" s="1965"/>
      <c r="S273" s="1965"/>
      <c r="T273" s="1965"/>
      <c r="U273"/>
    </row>
    <row r="275" spans="1:21" ht="12" customHeight="1">
      <c r="B275" s="24"/>
      <c r="C275" s="24"/>
      <c r="D275" s="24"/>
      <c r="E275" s="24"/>
      <c r="F275" s="24"/>
      <c r="G275" s="24"/>
      <c r="H275" s="24"/>
      <c r="I275" s="24"/>
      <c r="J275" s="25" t="s">
        <v>23</v>
      </c>
      <c r="K275" s="26"/>
      <c r="L275" s="26"/>
      <c r="M275" s="27"/>
      <c r="N275" s="26" t="s">
        <v>24</v>
      </c>
      <c r="O275" s="26"/>
      <c r="P275" s="26"/>
      <c r="Q275" s="26"/>
      <c r="R275" s="26"/>
      <c r="S275" s="26"/>
      <c r="T275" s="26"/>
    </row>
    <row r="276" spans="1:21" ht="12" customHeight="1">
      <c r="B276" s="28"/>
      <c r="C276" s="28"/>
      <c r="D276" s="28"/>
      <c r="E276" s="28"/>
      <c r="F276" s="28"/>
      <c r="G276" s="28"/>
      <c r="H276" s="1949" t="s">
        <v>3537</v>
      </c>
      <c r="I276" s="28"/>
      <c r="J276" s="29" t="s">
        <v>69</v>
      </c>
      <c r="K276" s="30" t="s">
        <v>27</v>
      </c>
      <c r="L276" s="108" t="s">
        <v>60</v>
      </c>
      <c r="M276" s="31" t="s">
        <v>5104</v>
      </c>
      <c r="N276" s="30" t="s">
        <v>5174</v>
      </c>
      <c r="O276" s="30" t="s">
        <v>70</v>
      </c>
      <c r="P276" s="30" t="s">
        <v>71</v>
      </c>
      <c r="Q276" s="30" t="s">
        <v>72</v>
      </c>
      <c r="R276" s="30" t="s">
        <v>73</v>
      </c>
      <c r="S276" s="30" t="s">
        <v>74</v>
      </c>
      <c r="T276" s="30" t="s">
        <v>5102</v>
      </c>
    </row>
    <row r="277" spans="1:21" ht="12" customHeight="1">
      <c r="A277" s="32"/>
      <c r="B277" s="33" t="s">
        <v>30</v>
      </c>
      <c r="C277" s="33"/>
      <c r="D277" s="33"/>
      <c r="E277" s="33"/>
      <c r="F277" s="33"/>
      <c r="G277" s="33"/>
      <c r="H277" s="33"/>
      <c r="I277" s="1056"/>
      <c r="J277" s="735">
        <f>+J278+J280+J282</f>
        <v>223981.15231199999</v>
      </c>
      <c r="K277" s="735">
        <f t="shared" ref="K277:T277" si="241">+K278+K280+K282</f>
        <v>244647.30738100002</v>
      </c>
      <c r="L277" s="735">
        <f t="shared" si="241"/>
        <v>250553.542847</v>
      </c>
      <c r="M277" s="2353">
        <f t="shared" si="241"/>
        <v>258479.51870000002</v>
      </c>
      <c r="N277" s="735">
        <f t="shared" si="241"/>
        <v>101162.43528806674</v>
      </c>
      <c r="O277" s="735">
        <f t="shared" si="241"/>
        <v>359641.95398806676</v>
      </c>
      <c r="P277" s="5019">
        <f t="shared" si="241"/>
        <v>330927.62369414768</v>
      </c>
      <c r="Q277" s="5019">
        <f t="shared" si="241"/>
        <v>340364.64066160488</v>
      </c>
      <c r="R277" s="5019">
        <f t="shared" si="241"/>
        <v>324897.90351267403</v>
      </c>
      <c r="S277" s="5019">
        <f t="shared" si="241"/>
        <v>341556.60584922764</v>
      </c>
      <c r="T277" s="5019">
        <f t="shared" si="241"/>
        <v>324897.90351267403</v>
      </c>
    </row>
    <row r="278" spans="1:21" ht="12" customHeight="1">
      <c r="C278" s="3" t="s">
        <v>1506</v>
      </c>
      <c r="D278" s="45"/>
      <c r="I278" s="1057"/>
      <c r="J278" s="1119">
        <f>Backdata_GRM!D10/10^6</f>
        <v>187441.497802</v>
      </c>
      <c r="K278" s="1119">
        <f>Backdata_GRM!E10/10^6</f>
        <v>194522.49660899999</v>
      </c>
      <c r="L278" s="1119">
        <f>Backdata_GRM!G10/10^6</f>
        <v>208026.18459700001</v>
      </c>
      <c r="M278" s="2356">
        <f>연결정산표!F28/10^6</f>
        <v>209221.30906500001</v>
      </c>
      <c r="N278" s="1122">
        <f>N279*Revenue!N166</f>
        <v>82442.528565151719</v>
      </c>
      <c r="O278" s="1122">
        <f>O279*Revenue!O166</f>
        <v>291663.83763015171</v>
      </c>
      <c r="P278" s="4999">
        <f>P279*Revenue!P166</f>
        <v>275096.16645390715</v>
      </c>
      <c r="Q278" s="4999">
        <f>Q279*Revenue!Q166</f>
        <v>294212.71011880471</v>
      </c>
      <c r="R278" s="4999">
        <f>R279*Revenue!R166</f>
        <v>277554.00778225111</v>
      </c>
      <c r="S278" s="4999">
        <f>S279*Revenue!S166</f>
        <v>294212.71011880471</v>
      </c>
      <c r="T278" s="4999">
        <f>T279*Revenue!T166</f>
        <v>277554.00778225111</v>
      </c>
    </row>
    <row r="279" spans="1:21" ht="12" customHeight="1">
      <c r="C279" s="45"/>
      <c r="D279" s="45" t="s">
        <v>3456</v>
      </c>
      <c r="H279" s="110" t="s">
        <v>360</v>
      </c>
      <c r="I279" s="1057"/>
      <c r="J279" s="399">
        <f>J278/Revenue!J166</f>
        <v>0.90669605020649513</v>
      </c>
      <c r="K279" s="399">
        <f>K278/Revenue!K166</f>
        <v>0.89055308860911786</v>
      </c>
      <c r="L279" s="399">
        <f>L278/Revenue!L166</f>
        <v>0.86268665386841448</v>
      </c>
      <c r="M279" s="2354">
        <f>M278/Revenue!M166</f>
        <v>0.91031160309036119</v>
      </c>
      <c r="N279" s="405">
        <f>Assumption!N631</f>
        <v>0.91031160309036119</v>
      </c>
      <c r="O279" s="405">
        <f>Assumption!O631</f>
        <v>0.91031160309036119</v>
      </c>
      <c r="P279" s="4949">
        <f>Assumption!P631</f>
        <v>0.91031160309036119</v>
      </c>
      <c r="Q279" s="4949">
        <f>Assumption!Q631</f>
        <v>0.91031160309036119</v>
      </c>
      <c r="R279" s="4949">
        <f>Assumption!R631</f>
        <v>0.91031160309036119</v>
      </c>
      <c r="S279" s="4949">
        <f>Assumption!S631</f>
        <v>0.91031160309036119</v>
      </c>
      <c r="T279" s="4949">
        <f>Assumption!T631</f>
        <v>0.91031160309036119</v>
      </c>
    </row>
    <row r="280" spans="1:21" ht="12" customHeight="1">
      <c r="C280" s="3" t="s">
        <v>1507</v>
      </c>
      <c r="D280" s="45"/>
      <c r="I280" s="1057"/>
      <c r="J280" s="1119">
        <f>'Backdata_CS,선우'!N92/10^6</f>
        <v>24975.176018999999</v>
      </c>
      <c r="K280" s="1119">
        <f>'Backdata_CS,선우'!O92/10^6</f>
        <v>43391.732210000002</v>
      </c>
      <c r="L280" s="1119">
        <f>'Backdata_CS,선우'!P92/10^6</f>
        <v>35791.933278999997</v>
      </c>
      <c r="M280" s="2356">
        <f>연결정산표!G28/10^6</f>
        <v>44813.503721000001</v>
      </c>
      <c r="N280" s="1122">
        <f>N281*Revenue!N168</f>
        <v>16842.340909317856</v>
      </c>
      <c r="O280" s="1122">
        <f>O281*Revenue!O168</f>
        <v>61655.844630317857</v>
      </c>
      <c r="P280" s="4999">
        <f>P281*Revenue!P168</f>
        <v>46980.276821604471</v>
      </c>
      <c r="Q280" s="4999">
        <f>Q281*Revenue!Q168</f>
        <v>37842.65912938671</v>
      </c>
      <c r="R280" s="4999">
        <f>R281*Revenue!R168</f>
        <v>38673.351646861047</v>
      </c>
      <c r="S280" s="4999">
        <f>S281*Revenue!S168</f>
        <v>38673.351646861047</v>
      </c>
      <c r="T280" s="4999">
        <f>T281*Revenue!T168</f>
        <v>38673.351646861047</v>
      </c>
    </row>
    <row r="281" spans="1:21" s="400" customFormat="1" ht="12" customHeight="1">
      <c r="A281" s="45"/>
      <c r="B281" s="45"/>
      <c r="C281" s="45"/>
      <c r="D281" s="45" t="s">
        <v>3456</v>
      </c>
      <c r="E281" s="45"/>
      <c r="F281" s="45"/>
      <c r="G281" s="45"/>
      <c r="H281" s="110" t="s">
        <v>360</v>
      </c>
      <c r="I281" s="1058"/>
      <c r="J281" s="399">
        <f>J280/Revenue!J168</f>
        <v>0.90921693134198611</v>
      </c>
      <c r="K281" s="399">
        <f>K280/Revenue!K168</f>
        <v>0.9170395665835408</v>
      </c>
      <c r="L281" s="399">
        <f>L280/Revenue!L168</f>
        <v>0.90069611986835252</v>
      </c>
      <c r="M281" s="2354">
        <f>M280/Revenue!M168</f>
        <v>0.92299168608260262</v>
      </c>
      <c r="N281" s="405">
        <f>Assumption!N632</f>
        <v>0.92299168608260262</v>
      </c>
      <c r="O281" s="405">
        <f>Assumption!O632</f>
        <v>0.92299168608260262</v>
      </c>
      <c r="P281" s="4949">
        <f>Assumption!P632</f>
        <v>0.92299168608260262</v>
      </c>
      <c r="Q281" s="4949">
        <f>Assumption!Q632</f>
        <v>0.92299168608260262</v>
      </c>
      <c r="R281" s="4949">
        <f>Assumption!R632</f>
        <v>0.92299168608260262</v>
      </c>
      <c r="S281" s="4949">
        <f>Assumption!S632</f>
        <v>0.92299168608260262</v>
      </c>
      <c r="T281" s="4949">
        <f>Assumption!T632</f>
        <v>0.92299168608260262</v>
      </c>
      <c r="U281" s="289"/>
    </row>
    <row r="282" spans="1:21" ht="12" customHeight="1">
      <c r="C282" s="3" t="s">
        <v>1561</v>
      </c>
      <c r="D282" s="45"/>
      <c r="I282" s="1057"/>
      <c r="J282" s="1119">
        <f>'Backdata_CS,선우'!E92/10^6</f>
        <v>11564.478491</v>
      </c>
      <c r="K282" s="1119">
        <f>'Backdata_CS,선우'!F92/10^6</f>
        <v>6733.0785619999997</v>
      </c>
      <c r="L282" s="1119">
        <f>'Backdata_CS,선우'!G92/10^6</f>
        <v>6735.4249710000004</v>
      </c>
      <c r="M282" s="2356">
        <f>연결정산표!H28/10^6</f>
        <v>4444.7059140000001</v>
      </c>
      <c r="N282" s="1122">
        <f>N283*Revenue!N170</f>
        <v>1877.5658135971767</v>
      </c>
      <c r="O282" s="1122">
        <f>O283*Revenue!O170</f>
        <v>6322.2717275971763</v>
      </c>
      <c r="P282" s="4999">
        <f>P283*Revenue!P170</f>
        <v>8851.1804186360478</v>
      </c>
      <c r="Q282" s="4999">
        <f>Q283*Revenue!Q170</f>
        <v>8309.2714134134312</v>
      </c>
      <c r="R282" s="4999">
        <f>R283*Revenue!R170</f>
        <v>8670.5440835618429</v>
      </c>
      <c r="S282" s="4999">
        <f>S283*Revenue!S170</f>
        <v>8670.5440835618429</v>
      </c>
      <c r="T282" s="4999">
        <f>T283*Revenue!T170</f>
        <v>8670.5440835618429</v>
      </c>
    </row>
    <row r="283" spans="1:21" ht="12" customHeight="1">
      <c r="B283" s="12"/>
      <c r="C283" s="361"/>
      <c r="D283" s="361" t="s">
        <v>3456</v>
      </c>
      <c r="E283" s="12"/>
      <c r="F283" s="12"/>
      <c r="G283" s="12"/>
      <c r="H283" s="1950" t="s">
        <v>360</v>
      </c>
      <c r="I283" s="1059"/>
      <c r="J283" s="229">
        <f>J282/Revenue!J170</f>
        <v>0.77379455081115545</v>
      </c>
      <c r="K283" s="229">
        <f>K282/Revenue!K170</f>
        <v>0.66245841815082329</v>
      </c>
      <c r="L283" s="229">
        <f>L282/Revenue!L170</f>
        <v>0.793563187268574</v>
      </c>
      <c r="M283" s="2355">
        <f>M282/Revenue!M170</f>
        <v>0.60212111691401682</v>
      </c>
      <c r="N283" s="404">
        <f>Assumption!N633</f>
        <v>0.60212111691401682</v>
      </c>
      <c r="O283" s="404">
        <f>Assumption!O633</f>
        <v>0.60212111691401682</v>
      </c>
      <c r="P283" s="4950">
        <f>Assumption!P633</f>
        <v>0.60212111691401682</v>
      </c>
      <c r="Q283" s="4950">
        <f>Assumption!Q633</f>
        <v>0.60212111691401682</v>
      </c>
      <c r="R283" s="4950">
        <f>Assumption!R633</f>
        <v>0.60212111691401682</v>
      </c>
      <c r="S283" s="4950">
        <f>Assumption!S633</f>
        <v>0.60212111691401682</v>
      </c>
      <c r="T283" s="4950">
        <f>Assumption!T633</f>
        <v>0.60212111691401682</v>
      </c>
    </row>
    <row r="286" spans="1:21" ht="12" customHeight="1">
      <c r="A286" s="20" t="s">
        <v>78</v>
      </c>
      <c r="B286" s="21" t="s">
        <v>67</v>
      </c>
      <c r="C286" s="102"/>
      <c r="D286" s="102"/>
      <c r="E286" s="102"/>
      <c r="F286" s="102"/>
      <c r="G286" s="102"/>
      <c r="H286" s="102"/>
      <c r="I286" s="102"/>
      <c r="J286" s="102"/>
      <c r="K286" s="102"/>
      <c r="L286" s="102"/>
      <c r="M286" s="102"/>
      <c r="N286" s="102"/>
      <c r="O286" s="109"/>
      <c r="P286" s="109"/>
      <c r="Q286" s="109"/>
      <c r="R286" s="109"/>
      <c r="S286" s="109"/>
      <c r="T286" s="109"/>
    </row>
    <row r="288" spans="1:21" ht="12" customHeight="1">
      <c r="B288" s="24"/>
      <c r="C288" s="24"/>
      <c r="D288" s="24"/>
      <c r="E288" s="24"/>
      <c r="F288" s="24"/>
      <c r="G288" s="24"/>
      <c r="H288" s="24"/>
      <c r="I288" s="24"/>
      <c r="J288" s="25" t="s">
        <v>23</v>
      </c>
      <c r="K288" s="26"/>
      <c r="L288" s="26"/>
      <c r="M288" s="27"/>
      <c r="N288" s="26" t="s">
        <v>24</v>
      </c>
      <c r="O288" s="26"/>
      <c r="P288" s="26"/>
      <c r="Q288" s="26"/>
      <c r="R288" s="26"/>
      <c r="S288" s="26"/>
      <c r="T288" s="26"/>
    </row>
    <row r="289" spans="1:21" ht="12" customHeight="1">
      <c r="B289" s="28"/>
      <c r="C289" s="28"/>
      <c r="D289" s="28"/>
      <c r="E289" s="28"/>
      <c r="F289" s="28"/>
      <c r="G289" s="28"/>
      <c r="H289" s="1949" t="s">
        <v>3537</v>
      </c>
      <c r="I289" s="28"/>
      <c r="J289" s="29" t="s">
        <v>69</v>
      </c>
      <c r="K289" s="30" t="s">
        <v>27</v>
      </c>
      <c r="L289" s="30" t="s">
        <v>60</v>
      </c>
      <c r="M289" s="31" t="s">
        <v>5104</v>
      </c>
      <c r="N289" s="30" t="s">
        <v>5174</v>
      </c>
      <c r="O289" s="30" t="s">
        <v>70</v>
      </c>
      <c r="P289" s="30" t="s">
        <v>71</v>
      </c>
      <c r="Q289" s="30" t="s">
        <v>72</v>
      </c>
      <c r="R289" s="30" t="s">
        <v>73</v>
      </c>
      <c r="S289" s="30" t="s">
        <v>74</v>
      </c>
      <c r="T289" s="30" t="s">
        <v>5102</v>
      </c>
    </row>
    <row r="290" spans="1:21" s="113" customFormat="1" ht="12" customHeight="1">
      <c r="A290" s="32"/>
      <c r="B290" s="32" t="s">
        <v>67</v>
      </c>
      <c r="C290" s="32"/>
      <c r="D290" s="32"/>
      <c r="E290" s="32"/>
      <c r="F290" s="32"/>
      <c r="G290" s="32"/>
      <c r="H290" s="32"/>
      <c r="I290" s="32"/>
      <c r="J290" s="227">
        <f>-(연결FS!K4/10^6-(J9+J11))</f>
        <v>239441.11836898699</v>
      </c>
      <c r="K290" s="103">
        <f>-(연결FS!L4/10^6-(K9+K11))</f>
        <v>272715.76336757187</v>
      </c>
      <c r="L290" s="103">
        <f>-(연결FS!M4/10^6-(L9+L11))</f>
        <v>290066.79412088078</v>
      </c>
      <c r="M290" s="104">
        <f>-(연결정산표!L28/10^6-M9-M11)</f>
        <v>284130.31079575908</v>
      </c>
      <c r="N290" s="112">
        <f>Revenue!N178*N291</f>
        <v>111403.38211073118</v>
      </c>
      <c r="O290" s="112">
        <f>SUM(M290:N290)</f>
        <v>395533.69290649029</v>
      </c>
      <c r="P290" s="5020">
        <f>Revenue!P178*P291</f>
        <v>361496.9764068785</v>
      </c>
      <c r="Q290" s="5020">
        <f>Revenue!Q178*Q291</f>
        <v>384981.28023743455</v>
      </c>
      <c r="R290" s="5020">
        <f>Revenue!R178*R291</f>
        <v>373590.07236208278</v>
      </c>
      <c r="S290" s="5020">
        <f>Revenue!S178*S291</f>
        <v>391946.4304268306</v>
      </c>
      <c r="T290" s="5020">
        <f>Revenue!T178*T291</f>
        <v>373758.39077981212</v>
      </c>
      <c r="U290" s="2998"/>
    </row>
    <row r="291" spans="1:21" ht="12" customHeight="1">
      <c r="B291" s="12"/>
      <c r="C291" s="12" t="s">
        <v>3453</v>
      </c>
      <c r="D291" s="12"/>
      <c r="E291" s="12"/>
      <c r="F291" s="12"/>
      <c r="G291" s="12"/>
      <c r="H291" s="1950" t="s">
        <v>360</v>
      </c>
      <c r="I291" s="12"/>
      <c r="J291" s="2166">
        <f>J290/Revenue!J178</f>
        <v>0.96082300673627452</v>
      </c>
      <c r="K291" s="13">
        <f>K290/Revenue!K178</f>
        <v>0.98904108424779713</v>
      </c>
      <c r="L291" s="13">
        <f>L290/Revenue!L178</f>
        <v>0.9991699513094332</v>
      </c>
      <c r="M291" s="2516">
        <f>M290/Revenue!M178</f>
        <v>0.99203945839171515</v>
      </c>
      <c r="N291" s="13">
        <f>Assumption!N642</f>
        <v>1</v>
      </c>
      <c r="O291" s="13">
        <f>O290/Revenue!O178</f>
        <v>0.99426872127699195</v>
      </c>
      <c r="P291" s="5021">
        <f>Assumption!P642</f>
        <v>1</v>
      </c>
      <c r="Q291" s="5021">
        <f>Assumption!Q642</f>
        <v>1</v>
      </c>
      <c r="R291" s="5021">
        <f>Assumption!R642</f>
        <v>1</v>
      </c>
      <c r="S291" s="5021">
        <f>Assumption!S642</f>
        <v>1</v>
      </c>
      <c r="T291" s="5021">
        <f>Assumption!T642</f>
        <v>1</v>
      </c>
    </row>
    <row r="292" spans="1:21" ht="12" customHeight="1">
      <c r="J292" s="105"/>
      <c r="K292" s="105"/>
      <c r="L292" s="105"/>
      <c r="M292" s="105"/>
      <c r="N292" s="105"/>
      <c r="O292" s="105"/>
      <c r="P292" s="105"/>
      <c r="Q292" s="105"/>
      <c r="R292" s="105"/>
      <c r="S292" s="105"/>
      <c r="T292" s="105"/>
    </row>
    <row r="293" spans="1:21" ht="12" customHeight="1">
      <c r="J293" s="105"/>
      <c r="K293" s="105"/>
      <c r="L293" s="105"/>
      <c r="M293" s="105"/>
      <c r="N293" s="105"/>
      <c r="O293" s="105"/>
      <c r="P293" s="105"/>
      <c r="Q293" s="105"/>
      <c r="R293" s="105"/>
      <c r="S293" s="105"/>
      <c r="T293" s="105"/>
    </row>
    <row r="294" spans="1:21" ht="12" hidden="1" customHeight="1">
      <c r="A294" s="20" t="s">
        <v>79</v>
      </c>
      <c r="B294" s="21" t="s">
        <v>5902</v>
      </c>
      <c r="C294" s="102"/>
      <c r="D294" s="102"/>
      <c r="E294" s="102"/>
      <c r="F294" s="102"/>
      <c r="G294" s="102"/>
      <c r="H294" s="102"/>
      <c r="I294" s="102"/>
      <c r="J294" s="102"/>
      <c r="K294" s="102"/>
      <c r="L294" s="102"/>
      <c r="M294" s="102"/>
      <c r="N294" s="102"/>
      <c r="O294" s="109"/>
      <c r="P294" s="109"/>
      <c r="Q294" s="109"/>
      <c r="R294" s="109"/>
      <c r="S294" s="109"/>
      <c r="T294" s="109"/>
    </row>
    <row r="295" spans="1:21" ht="12" hidden="1" customHeight="1">
      <c r="J295" s="105"/>
      <c r="K295" s="105"/>
      <c r="L295" s="105"/>
      <c r="M295" s="105"/>
      <c r="N295" s="105"/>
      <c r="O295" s="105"/>
      <c r="P295" s="105"/>
      <c r="Q295" s="105"/>
      <c r="R295" s="105"/>
      <c r="S295" s="105"/>
      <c r="T295" s="105"/>
    </row>
    <row r="296" spans="1:21" ht="12" hidden="1" customHeight="1">
      <c r="B296" s="24"/>
      <c r="C296" s="24"/>
      <c r="D296" s="24"/>
      <c r="E296" s="24"/>
      <c r="F296" s="24"/>
      <c r="G296" s="24"/>
      <c r="H296" s="24"/>
      <c r="I296" s="24"/>
      <c r="J296" s="25" t="s">
        <v>23</v>
      </c>
      <c r="K296" s="26"/>
      <c r="L296" s="26"/>
      <c r="M296" s="27"/>
      <c r="N296" s="26" t="s">
        <v>24</v>
      </c>
      <c r="O296" s="26"/>
      <c r="P296" s="26"/>
      <c r="Q296" s="26"/>
      <c r="R296" s="26"/>
      <c r="S296" s="26"/>
      <c r="T296" s="26"/>
    </row>
    <row r="297" spans="1:21" ht="12" hidden="1" customHeight="1">
      <c r="B297" s="28"/>
      <c r="C297" s="28"/>
      <c r="D297" s="28"/>
      <c r="E297" s="28"/>
      <c r="F297" s="28"/>
      <c r="G297" s="28"/>
      <c r="H297" s="1949" t="s">
        <v>6004</v>
      </c>
      <c r="I297" s="28"/>
      <c r="J297" s="29" t="s">
        <v>69</v>
      </c>
      <c r="K297" s="30" t="s">
        <v>27</v>
      </c>
      <c r="L297" s="30" t="s">
        <v>60</v>
      </c>
      <c r="M297" s="31" t="s">
        <v>5104</v>
      </c>
      <c r="N297" s="30" t="s">
        <v>5174</v>
      </c>
      <c r="O297" s="30" t="s">
        <v>70</v>
      </c>
      <c r="P297" s="30" t="s">
        <v>71</v>
      </c>
      <c r="Q297" s="30" t="s">
        <v>72</v>
      </c>
      <c r="R297" s="30" t="s">
        <v>73</v>
      </c>
      <c r="S297" s="30" t="s">
        <v>74</v>
      </c>
      <c r="T297" s="30" t="s">
        <v>5102</v>
      </c>
    </row>
    <row r="298" spans="1:21" s="113" customFormat="1" ht="12" hidden="1" customHeight="1">
      <c r="A298" s="32"/>
      <c r="B298" s="32" t="s">
        <v>6005</v>
      </c>
      <c r="C298" s="32"/>
      <c r="D298" s="32"/>
      <c r="E298" s="32"/>
      <c r="F298" s="32"/>
      <c r="G298" s="32"/>
      <c r="H298" s="32"/>
      <c r="I298" s="32"/>
      <c r="J298" s="112">
        <f>SUM(J299:J305)</f>
        <v>2020649.8100000003</v>
      </c>
      <c r="K298" s="112">
        <f t="shared" ref="K298:M298" si="242">SUM(K299:K305)</f>
        <v>1873572.523</v>
      </c>
      <c r="L298" s="112">
        <f t="shared" si="242"/>
        <v>2002474.166</v>
      </c>
      <c r="M298" s="112">
        <f t="shared" si="242"/>
        <v>1300884.8990000002</v>
      </c>
      <c r="N298" s="112">
        <f t="shared" ref="N298:P298" si="243">SUM(N299:N305)</f>
        <v>582215.10099999991</v>
      </c>
      <c r="O298" s="112">
        <f t="shared" si="243"/>
        <v>1883100</v>
      </c>
      <c r="P298" s="112">
        <f t="shared" si="243"/>
        <v>2036500</v>
      </c>
      <c r="Q298" s="112">
        <f t="shared" ref="Q298" si="244">SUM(Q299:Q305)</f>
        <v>2002000</v>
      </c>
      <c r="R298" s="112">
        <f t="shared" ref="R298" si="245">SUM(R299:R305)</f>
        <v>1983200</v>
      </c>
      <c r="S298" s="112">
        <f t="shared" ref="S298" si="246">SUM(S299:S305)</f>
        <v>1983200</v>
      </c>
      <c r="T298" s="112">
        <f t="shared" ref="T298" si="247">SUM(T299:T305)</f>
        <v>1983200</v>
      </c>
      <c r="U298" s="2998"/>
    </row>
    <row r="299" spans="1:21" ht="12" hidden="1" customHeight="1">
      <c r="C299" s="3" t="s">
        <v>5999</v>
      </c>
      <c r="H299" s="110" t="s">
        <v>6006</v>
      </c>
      <c r="J299" s="105">
        <f>원재료별품위!D3+원재료별품위!D5</f>
        <v>1766228.7520000001</v>
      </c>
      <c r="K299" s="105">
        <f>원재료별품위!E3+원재료별품위!E5</f>
        <v>1601526.7680000002</v>
      </c>
      <c r="L299" s="105">
        <f>원재료별품위!F3+원재료별품위!F5</f>
        <v>1752761.6800000002</v>
      </c>
      <c r="M299" s="105">
        <f>원재료별품위!G3+원재료별품위!G5</f>
        <v>1103183.1440000001</v>
      </c>
      <c r="N299" s="105">
        <f>O299-M299</f>
        <v>529716.85599999991</v>
      </c>
      <c r="O299" s="105">
        <f>원재료별품위!D45*1000</f>
        <v>1632900</v>
      </c>
      <c r="P299" s="105">
        <f>원재료별품위!E45*1000</f>
        <v>1794900</v>
      </c>
      <c r="Q299" s="105">
        <f>원재료별품위!F45*1000</f>
        <v>1750800</v>
      </c>
      <c r="R299" s="105">
        <f>원재료별품위!G45*1000</f>
        <v>1730500</v>
      </c>
      <c r="S299" s="105">
        <f>R299</f>
        <v>1730500</v>
      </c>
      <c r="T299" s="105">
        <f>S299</f>
        <v>1730500</v>
      </c>
    </row>
    <row r="300" spans="1:21" ht="12" hidden="1" customHeight="1">
      <c r="C300" s="3" t="s">
        <v>6000</v>
      </c>
      <c r="H300" s="110" t="s">
        <v>6006</v>
      </c>
      <c r="J300" s="105">
        <f>원재료별품위!D9</f>
        <v>37158.823000000004</v>
      </c>
      <c r="K300" s="105">
        <f>원재료별품위!E9</f>
        <v>43055.945999999996</v>
      </c>
      <c r="L300" s="105">
        <f>원재료별품위!F9</f>
        <v>28693.597999999998</v>
      </c>
      <c r="M300" s="105">
        <f>원재료별품위!G9</f>
        <v>40763.120999999999</v>
      </c>
      <c r="N300" s="105">
        <f t="shared" ref="N300:N305" si="248">O300-M300</f>
        <v>8936.8790000000008</v>
      </c>
      <c r="O300" s="105">
        <f>원재료별품위!D48*1000</f>
        <v>49700</v>
      </c>
      <c r="P300" s="105">
        <f>원재료별품위!E48*1000</f>
        <v>41000</v>
      </c>
      <c r="Q300" s="105">
        <f>원재료별품위!F48*1000</f>
        <v>52600</v>
      </c>
      <c r="R300" s="105">
        <f>원재료별품위!G48*1000</f>
        <v>65800</v>
      </c>
      <c r="S300" s="105">
        <f t="shared" ref="S300:T300" si="249">R300</f>
        <v>65800</v>
      </c>
      <c r="T300" s="105">
        <f t="shared" si="249"/>
        <v>65800</v>
      </c>
    </row>
    <row r="301" spans="1:21" ht="12" hidden="1" customHeight="1">
      <c r="C301" s="3" t="s">
        <v>6001</v>
      </c>
      <c r="H301" s="110" t="s">
        <v>6006</v>
      </c>
      <c r="J301" s="105">
        <f>원재료별품위!D4</f>
        <v>119206.85999999999</v>
      </c>
      <c r="K301" s="105">
        <f>원재료별품위!E4</f>
        <v>124451.81999999998</v>
      </c>
      <c r="L301" s="105">
        <f>원재료별품위!F4</f>
        <v>124969.24499999997</v>
      </c>
      <c r="M301" s="105">
        <f>원재료별품위!G4</f>
        <v>85141.940999999992</v>
      </c>
      <c r="N301" s="105">
        <f t="shared" si="248"/>
        <v>44158.059000000023</v>
      </c>
      <c r="O301" s="105">
        <f>원재료별품위!D49*1000</f>
        <v>129300.00000000001</v>
      </c>
      <c r="P301" s="105">
        <f>원재료별품위!E49*1000</f>
        <v>133300</v>
      </c>
      <c r="Q301" s="105">
        <f>원재료별품위!F49*1000</f>
        <v>127600</v>
      </c>
      <c r="R301" s="105">
        <f>원재료별품위!G49*1000</f>
        <v>122800</v>
      </c>
      <c r="S301" s="105">
        <f t="shared" ref="S301:T301" si="250">R301</f>
        <v>122800</v>
      </c>
      <c r="T301" s="105">
        <f t="shared" si="250"/>
        <v>122800</v>
      </c>
    </row>
    <row r="302" spans="1:21" ht="12" hidden="1" customHeight="1">
      <c r="C302" s="3" t="s">
        <v>5972</v>
      </c>
      <c r="H302" s="110" t="s">
        <v>6006</v>
      </c>
      <c r="J302" s="105">
        <f>원재료별품위!D7</f>
        <v>30519.814000000002</v>
      </c>
      <c r="K302" s="105">
        <f>원재료별품위!E7</f>
        <v>29449.213000000003</v>
      </c>
      <c r="L302" s="105">
        <f>원재료별품위!F7</f>
        <v>28702.091</v>
      </c>
      <c r="M302" s="105">
        <f>원재료별품위!G7</f>
        <v>21326.210999999999</v>
      </c>
      <c r="N302" s="105">
        <f t="shared" si="248"/>
        <v>8973.7890000000007</v>
      </c>
      <c r="O302" s="105">
        <f>원재료별품위!D51*1000</f>
        <v>30300</v>
      </c>
      <c r="P302" s="105">
        <f>원재료별품위!E51*1000</f>
        <v>30700</v>
      </c>
      <c r="Q302" s="105">
        <f>원재료별품위!F51*1000</f>
        <v>30700</v>
      </c>
      <c r="R302" s="105">
        <f>원재료별품위!G51*1000</f>
        <v>31200</v>
      </c>
      <c r="S302" s="105">
        <f t="shared" ref="S302:T302" si="251">R302</f>
        <v>31200</v>
      </c>
      <c r="T302" s="105">
        <f t="shared" si="251"/>
        <v>31200</v>
      </c>
    </row>
    <row r="303" spans="1:21" ht="12" hidden="1" customHeight="1">
      <c r="C303" s="3" t="s">
        <v>2923</v>
      </c>
      <c r="H303" s="110" t="s">
        <v>6006</v>
      </c>
      <c r="J303" s="105">
        <f>원재료별품위!D8</f>
        <v>24475.915000000001</v>
      </c>
      <c r="K303" s="105">
        <f>원재료별품위!E8</f>
        <v>26798.320999999996</v>
      </c>
      <c r="L303" s="105">
        <f>원재료별품위!F8</f>
        <v>26112.483000000004</v>
      </c>
      <c r="M303" s="105">
        <f>원재료별품위!G8</f>
        <v>19973.563000000002</v>
      </c>
      <c r="N303" s="105">
        <f t="shared" si="248"/>
        <v>7326.4369999999981</v>
      </c>
      <c r="O303" s="105">
        <f>원재료별품위!D52*1000</f>
        <v>27300</v>
      </c>
      <c r="P303" s="105">
        <f>원재료별품위!E52*1000</f>
        <v>29300</v>
      </c>
      <c r="Q303" s="105">
        <f>원재료별품위!F52*1000</f>
        <v>32400</v>
      </c>
      <c r="R303" s="105">
        <f>원재료별품위!G52*1000</f>
        <v>31000</v>
      </c>
      <c r="S303" s="105">
        <f t="shared" ref="S303:T303" si="252">R303</f>
        <v>31000</v>
      </c>
      <c r="T303" s="105">
        <f t="shared" si="252"/>
        <v>31000</v>
      </c>
    </row>
    <row r="304" spans="1:21" ht="12" hidden="1" customHeight="1">
      <c r="C304" s="3" t="s">
        <v>6003</v>
      </c>
      <c r="H304" s="110" t="s">
        <v>6006</v>
      </c>
      <c r="J304" s="105">
        <f>원재료별품위!D6</f>
        <v>1782.8130000000001</v>
      </c>
      <c r="K304" s="105">
        <f>원재료별품위!E6</f>
        <v>1556.913</v>
      </c>
      <c r="L304" s="105">
        <f>원재료별품위!F6</f>
        <v>1835.3420000000001</v>
      </c>
      <c r="M304" s="105">
        <f>원재료별품위!G6</f>
        <v>1203.4630000000002</v>
      </c>
      <c r="N304" s="105">
        <f t="shared" si="248"/>
        <v>596.53699999999981</v>
      </c>
      <c r="O304" s="105">
        <f>원재료별품위!D53*1000</f>
        <v>1800</v>
      </c>
      <c r="P304" s="105">
        <f>원재료별품위!E53*1000</f>
        <v>1900</v>
      </c>
      <c r="Q304" s="105">
        <f>원재료별품위!F53*1000</f>
        <v>1900</v>
      </c>
      <c r="R304" s="105">
        <f>원재료별품위!G53*1000</f>
        <v>1900</v>
      </c>
      <c r="S304" s="105">
        <f t="shared" ref="S304:T304" si="253">R304</f>
        <v>1900</v>
      </c>
      <c r="T304" s="105">
        <f t="shared" si="253"/>
        <v>1900</v>
      </c>
    </row>
    <row r="305" spans="1:21" ht="12" hidden="1" customHeight="1">
      <c r="C305" s="3" t="s">
        <v>320</v>
      </c>
      <c r="H305" s="110" t="s">
        <v>6006</v>
      </c>
      <c r="J305" s="105">
        <f>원재료별품위!D10</f>
        <v>41276.832999999999</v>
      </c>
      <c r="K305" s="105">
        <f>원재료별품위!E10</f>
        <v>46733.541999999994</v>
      </c>
      <c r="L305" s="105">
        <f>원재료별품위!F10</f>
        <v>39399.727000000006</v>
      </c>
      <c r="M305" s="105">
        <f>원재료별품위!G10</f>
        <v>29293.455999999998</v>
      </c>
      <c r="N305" s="105">
        <f t="shared" si="248"/>
        <v>-17493.455999999998</v>
      </c>
      <c r="O305" s="105">
        <f>원재료별품위!D50*1000</f>
        <v>11800</v>
      </c>
      <c r="P305" s="105">
        <f>원재료별품위!E50*1000</f>
        <v>5400</v>
      </c>
      <c r="Q305" s="105">
        <f>원재료별품위!F50*1000</f>
        <v>6000</v>
      </c>
      <c r="R305" s="105">
        <f>원재료별품위!G50*1000</f>
        <v>0</v>
      </c>
      <c r="S305" s="105">
        <f t="shared" ref="S305:T305" si="254">R305</f>
        <v>0</v>
      </c>
      <c r="T305" s="105">
        <f t="shared" si="254"/>
        <v>0</v>
      </c>
    </row>
    <row r="306" spans="1:21" s="113" customFormat="1" ht="12" hidden="1" customHeight="1">
      <c r="A306" s="32"/>
      <c r="B306" s="32" t="s">
        <v>6009</v>
      </c>
      <c r="C306" s="32"/>
      <c r="D306" s="32"/>
      <c r="E306" s="32"/>
      <c r="F306" s="32"/>
      <c r="G306" s="32"/>
      <c r="H306" s="215"/>
      <c r="I306" s="32"/>
      <c r="J306" s="112">
        <f>SUM(J307:J313)</f>
        <v>1942819.0979999998</v>
      </c>
      <c r="K306" s="112">
        <f t="shared" ref="K306:O306" si="255">SUM(K307:K313)</f>
        <v>1846613.817</v>
      </c>
      <c r="L306" s="112">
        <f t="shared" si="255"/>
        <v>1939536.9740000002</v>
      </c>
      <c r="M306" s="112">
        <f t="shared" si="255"/>
        <v>1337169.9680000001</v>
      </c>
      <c r="N306" s="112"/>
      <c r="O306" s="112">
        <f t="shared" si="255"/>
        <v>1899800</v>
      </c>
      <c r="P306" s="112">
        <f t="shared" ref="P306" si="256">SUM(P307:P313)</f>
        <v>2038900</v>
      </c>
      <c r="Q306" s="112">
        <f t="shared" ref="Q306" si="257">SUM(Q307:Q313)</f>
        <v>2002900</v>
      </c>
      <c r="R306" s="112">
        <f t="shared" ref="R306" si="258">SUM(R307:R313)</f>
        <v>1953900</v>
      </c>
      <c r="S306" s="112"/>
      <c r="T306" s="112"/>
      <c r="U306" s="2998"/>
    </row>
    <row r="307" spans="1:21" ht="12" hidden="1" customHeight="1">
      <c r="C307" s="3" t="s">
        <v>5999</v>
      </c>
      <c r="H307" s="110" t="s">
        <v>6006</v>
      </c>
      <c r="J307" s="105">
        <f>원재료별품위!D14</f>
        <v>1687299.5209999999</v>
      </c>
      <c r="K307" s="105">
        <f>원재료별품위!E14</f>
        <v>1579186.7620000001</v>
      </c>
      <c r="L307" s="105">
        <f>원재료별품위!F14</f>
        <v>1687750.8860000002</v>
      </c>
      <c r="M307" s="105">
        <f>원재료별품위!G14</f>
        <v>1140081.6529999999</v>
      </c>
      <c r="N307" s="105"/>
      <c r="O307" s="105">
        <f>원재료별품위!E79*1000</f>
        <v>1649000</v>
      </c>
      <c r="P307" s="105">
        <f>원재료별품위!F79*1000</f>
        <v>1796000</v>
      </c>
      <c r="Q307" s="105">
        <f>원재료별품위!G79*1000</f>
        <v>1750000</v>
      </c>
      <c r="R307" s="105">
        <f>원재료별품위!H79*1000</f>
        <v>1733000</v>
      </c>
      <c r="S307" s="105"/>
      <c r="T307" s="105"/>
    </row>
    <row r="308" spans="1:21" ht="12" hidden="1" customHeight="1">
      <c r="C308" s="3" t="s">
        <v>6000</v>
      </c>
      <c r="H308" s="110" t="s">
        <v>6006</v>
      </c>
      <c r="J308" s="105">
        <f>원재료별품위!D20</f>
        <v>38464.390000000007</v>
      </c>
      <c r="K308" s="105">
        <f>원재료별품위!E20</f>
        <v>43524.266000000003</v>
      </c>
      <c r="L308" s="105">
        <f>원재료별품위!F20</f>
        <v>28458.271999999997</v>
      </c>
      <c r="M308" s="105">
        <f>원재료별품위!G20</f>
        <v>37110.381000000008</v>
      </c>
      <c r="N308" s="105"/>
      <c r="O308" s="105">
        <f>원재료별품위!E83*1000</f>
        <v>50000</v>
      </c>
      <c r="P308" s="105">
        <f>원재료별품위!F83*1000</f>
        <v>41000</v>
      </c>
      <c r="Q308" s="105">
        <f>원재료별품위!G83*1000</f>
        <v>53000</v>
      </c>
      <c r="R308" s="105">
        <f>원재료별품위!H83*1000</f>
        <v>66000</v>
      </c>
      <c r="S308" s="105"/>
      <c r="T308" s="105"/>
    </row>
    <row r="309" spans="1:21" ht="12" hidden="1" customHeight="1">
      <c r="C309" s="3" t="s">
        <v>6001</v>
      </c>
      <c r="H309" s="110" t="s">
        <v>6006</v>
      </c>
      <c r="J309" s="105">
        <f>원재료별품위!D15</f>
        <v>118245.22499999999</v>
      </c>
      <c r="K309" s="105">
        <f>원재료별품위!E15</f>
        <v>121572.34199999998</v>
      </c>
      <c r="L309" s="105">
        <f>원재료별품위!F15</f>
        <v>126839.17000000001</v>
      </c>
      <c r="M309" s="105">
        <f>원재료별품위!G15</f>
        <v>87498.841</v>
      </c>
      <c r="N309" s="105"/>
      <c r="O309" s="105">
        <f>원재료별품위!E84*1000</f>
        <v>130000</v>
      </c>
      <c r="P309" s="105">
        <f>원재료별품위!F84*1000</f>
        <v>133000</v>
      </c>
      <c r="Q309" s="105">
        <f>원재료별품위!G84*1000</f>
        <v>128000</v>
      </c>
      <c r="R309" s="105">
        <f>원재료별품위!H84*1000</f>
        <v>121000</v>
      </c>
      <c r="S309" s="105"/>
      <c r="T309" s="105"/>
    </row>
    <row r="310" spans="1:21" ht="12" hidden="1" customHeight="1">
      <c r="C310" s="3" t="s">
        <v>5972</v>
      </c>
      <c r="H310" s="110" t="s">
        <v>6006</v>
      </c>
      <c r="J310" s="105">
        <f>원재료별품위!D18</f>
        <v>30839.233</v>
      </c>
      <c r="K310" s="105">
        <f>원재료별품위!E18</f>
        <v>29079.117999999995</v>
      </c>
      <c r="L310" s="105">
        <f>원재료별품위!F18</f>
        <v>29021.233000000004</v>
      </c>
      <c r="M310" s="105">
        <f>원재료별품위!G18</f>
        <v>21437.177000000003</v>
      </c>
      <c r="N310" s="105"/>
      <c r="O310" s="105">
        <f>원재료별품위!E86*1000</f>
        <v>30000</v>
      </c>
      <c r="P310" s="105">
        <f>원재료별품위!F86*1000</f>
        <v>31000</v>
      </c>
      <c r="Q310" s="105">
        <f>원재료별품위!G86*1000</f>
        <v>31000</v>
      </c>
      <c r="R310" s="105">
        <f>원재료별품위!H86*1000</f>
        <v>31000</v>
      </c>
      <c r="S310" s="105"/>
      <c r="T310" s="105"/>
    </row>
    <row r="311" spans="1:21" ht="12" hidden="1" customHeight="1">
      <c r="C311" s="3" t="s">
        <v>2923</v>
      </c>
      <c r="H311" s="110" t="s">
        <v>6006</v>
      </c>
      <c r="J311" s="105">
        <f>원재료별품위!D19</f>
        <v>24680.883000000002</v>
      </c>
      <c r="K311" s="105">
        <f>원재료별품위!E19</f>
        <v>26798.321000000004</v>
      </c>
      <c r="L311" s="105">
        <f>원재료별품위!F19</f>
        <v>25434.523000000001</v>
      </c>
      <c r="M311" s="105">
        <f>원재료별품위!G19</f>
        <v>20113.921000000002</v>
      </c>
      <c r="N311" s="105"/>
      <c r="O311" s="105">
        <f>원재료별품위!E87*1000</f>
        <v>28000</v>
      </c>
      <c r="P311" s="105">
        <f>원재료별품위!F87*1000</f>
        <v>29000</v>
      </c>
      <c r="Q311" s="105">
        <f>원재료별품위!G87*1000</f>
        <v>32000</v>
      </c>
      <c r="R311" s="105">
        <f>원재료별품위!H87*1000</f>
        <v>0</v>
      </c>
      <c r="S311" s="105"/>
      <c r="T311" s="105"/>
    </row>
    <row r="312" spans="1:21" ht="12" hidden="1" customHeight="1">
      <c r="C312" s="3" t="s">
        <v>6003</v>
      </c>
      <c r="H312" s="110" t="s">
        <v>6006</v>
      </c>
      <c r="J312" s="105">
        <f>원재료별품위!D17</f>
        <v>1836.146</v>
      </c>
      <c r="K312" s="105">
        <f>원재료별품위!E17</f>
        <v>1670.9290000000001</v>
      </c>
      <c r="L312" s="105">
        <f>원재료별품위!F17</f>
        <v>1771.8729999999998</v>
      </c>
      <c r="M312" s="105">
        <f>원재료별품위!G17</f>
        <v>1146.3100000000002</v>
      </c>
      <c r="N312" s="105"/>
      <c r="O312" s="105">
        <f>원재료별품위!E88*1000</f>
        <v>1800</v>
      </c>
      <c r="P312" s="105">
        <f>원재료별품위!F88*1000</f>
        <v>1900</v>
      </c>
      <c r="Q312" s="105">
        <f>원재료별품위!G88*1000</f>
        <v>1900</v>
      </c>
      <c r="R312" s="105">
        <f>원재료별품위!H88*1000</f>
        <v>1900</v>
      </c>
      <c r="S312" s="105"/>
      <c r="T312" s="105"/>
    </row>
    <row r="313" spans="1:21" ht="12" hidden="1" customHeight="1">
      <c r="C313" s="3" t="s">
        <v>320</v>
      </c>
      <c r="H313" s="110" t="s">
        <v>6006</v>
      </c>
      <c r="J313" s="105">
        <f>원재료별품위!D21</f>
        <v>41453.699999999997</v>
      </c>
      <c r="K313" s="105">
        <f>원재료별품위!E21</f>
        <v>44782.079000000005</v>
      </c>
      <c r="L313" s="105">
        <f>원재료별품위!F21</f>
        <v>40261.017</v>
      </c>
      <c r="M313" s="105">
        <f>원재료별품위!G21</f>
        <v>29781.684999999998</v>
      </c>
      <c r="N313" s="105"/>
      <c r="O313" s="105">
        <f>원재료별품위!E85*1000</f>
        <v>11000</v>
      </c>
      <c r="P313" s="105">
        <f>원재료별품위!F85*1000</f>
        <v>7000</v>
      </c>
      <c r="Q313" s="105">
        <f>원재료별품위!G85*1000</f>
        <v>7000</v>
      </c>
      <c r="R313" s="105">
        <f>원재료별품위!H85*1000</f>
        <v>1000</v>
      </c>
      <c r="S313" s="105"/>
      <c r="T313" s="105"/>
    </row>
    <row r="314" spans="1:21" s="113" customFormat="1" ht="12" hidden="1" customHeight="1">
      <c r="A314" s="32"/>
      <c r="B314" s="32" t="s">
        <v>325</v>
      </c>
      <c r="C314" s="32"/>
      <c r="D314" s="32"/>
      <c r="E314" s="32"/>
      <c r="F314" s="32"/>
      <c r="G314" s="32"/>
      <c r="H314" s="32"/>
      <c r="I314" s="32"/>
      <c r="J314" s="32"/>
      <c r="K314" s="32"/>
      <c r="L314" s="32"/>
      <c r="M314" s="32"/>
      <c r="N314" s="32"/>
      <c r="O314" s="32"/>
      <c r="P314" s="32"/>
      <c r="Q314" s="32"/>
      <c r="R314" s="32"/>
      <c r="S314" s="32"/>
      <c r="T314" s="32"/>
      <c r="U314" s="2998"/>
    </row>
    <row r="315" spans="1:21" ht="12" hidden="1" customHeight="1">
      <c r="C315" s="3" t="s">
        <v>2987</v>
      </c>
      <c r="J315" s="105">
        <f>SUMIFS(재고자산수불부!$H:$H,재고자산수불부!$A:$A,COGS!J$297,재고자산수불부!$C:$C,"전기동")/1000</f>
        <v>668512.80799999996</v>
      </c>
      <c r="K315" s="105">
        <f>SUMIFS(재고자산수불부!$H:$H,재고자산수불부!$A:$A,COGS!K$297,재고자산수불부!$C:$C,"전기동")/1000</f>
        <v>648175.90500000003</v>
      </c>
      <c r="L315" s="105">
        <f>SUMIFS(재고자산수불부!$H:$H,재고자산수불부!$A:$A,COGS!L$297,재고자산수불부!$C:$C,"전기동")/1000</f>
        <v>663477.60499999998</v>
      </c>
      <c r="M315" s="105">
        <f>SUMIFS(재고자산수불부!$H:$H,재고자산수불부!$A:$A,COGS!M$297,재고자산수불부!$C:$C,"전기동")/1000</f>
        <v>450648.17200000002</v>
      </c>
      <c r="N315" s="105">
        <f t="shared" ref="N315:T315" si="259">N40</f>
        <v>171402.48497363765</v>
      </c>
      <c r="O315" s="105">
        <f t="shared" si="259"/>
        <v>634932.66773963766</v>
      </c>
      <c r="P315" s="105">
        <f t="shared" si="259"/>
        <v>655880.51182983804</v>
      </c>
      <c r="Q315" s="105">
        <f t="shared" si="259"/>
        <v>671157.23182587454</v>
      </c>
      <c r="R315" s="105">
        <f t="shared" si="259"/>
        <v>674212.57582508191</v>
      </c>
      <c r="S315" s="105">
        <f t="shared" si="259"/>
        <v>678450.32418595371</v>
      </c>
      <c r="T315" s="105">
        <f t="shared" si="259"/>
        <v>674518.11022500263</v>
      </c>
    </row>
    <row r="316" spans="1:21" ht="12" hidden="1" customHeight="1">
      <c r="D316" s="3" t="s">
        <v>5999</v>
      </c>
      <c r="H316" s="110" t="s">
        <v>3486</v>
      </c>
      <c r="I316" s="278">
        <f>원재료별품위!D70</f>
        <v>0.26523363341294631</v>
      </c>
      <c r="J316" s="105">
        <f t="shared" ref="J316:M321" si="260">J299*$I316</f>
        <v>468463.26933137368</v>
      </c>
      <c r="K316" s="105">
        <f t="shared" si="260"/>
        <v>424778.76368473278</v>
      </c>
      <c r="L316" s="105">
        <f t="shared" si="260"/>
        <v>464891.34889337997</v>
      </c>
      <c r="M316" s="105">
        <f t="shared" si="260"/>
        <v>292601.27360303758</v>
      </c>
      <c r="N316" s="105">
        <f>O316-M316</f>
        <v>140498.72639696248</v>
      </c>
      <c r="O316" s="105">
        <f t="shared" ref="O316:O322" si="261">O299*$I316</f>
        <v>433100.00000000006</v>
      </c>
      <c r="P316" s="105">
        <f>P299*원재료별품위!$G$70</f>
        <v>470800</v>
      </c>
      <c r="Q316" s="105">
        <f>Q299*원재료별품위!$G$70</f>
        <v>459232.62577302358</v>
      </c>
      <c r="R316" s="105">
        <f>R299*원재료별품위!$G$70</f>
        <v>453907.96144632011</v>
      </c>
      <c r="S316" s="105">
        <f>S299*원재료별품위!$G$70</f>
        <v>453907.96144632011</v>
      </c>
      <c r="T316" s="105">
        <f>T299*원재료별품위!$G$70</f>
        <v>453907.96144632011</v>
      </c>
    </row>
    <row r="317" spans="1:21" ht="12" hidden="1" customHeight="1">
      <c r="D317" s="3" t="s">
        <v>6000</v>
      </c>
      <c r="H317" s="110" t="s">
        <v>3486</v>
      </c>
      <c r="I317" s="278">
        <f>원재료별품위!D71</f>
        <v>0.99597585513078468</v>
      </c>
      <c r="J317" s="105">
        <f t="shared" si="260"/>
        <v>37009.290513078471</v>
      </c>
      <c r="K317" s="105">
        <f t="shared" si="260"/>
        <v>42882.682635814883</v>
      </c>
      <c r="L317" s="105">
        <f t="shared" si="260"/>
        <v>28578.130804828972</v>
      </c>
      <c r="M317" s="105">
        <f t="shared" si="260"/>
        <v>40599.084295774643</v>
      </c>
      <c r="N317" s="105">
        <f t="shared" ref="N317:N322" si="262">O317-M317</f>
        <v>8900.9157042253573</v>
      </c>
      <c r="O317" s="105">
        <f t="shared" si="261"/>
        <v>49500</v>
      </c>
      <c r="P317" s="105">
        <f>P300*원재료별품위!$G$71</f>
        <v>40700.000000000007</v>
      </c>
      <c r="Q317" s="105">
        <f>Q300*원재료별품위!$G$71</f>
        <v>52215.121951219517</v>
      </c>
      <c r="R317" s="105">
        <f>R300*원재료별품위!$G$71</f>
        <v>65318.536585365859</v>
      </c>
      <c r="S317" s="105">
        <f>S300*원재료별품위!$G$71</f>
        <v>65318.536585365859</v>
      </c>
      <c r="T317" s="105">
        <f>T300*원재료별품위!$G$71</f>
        <v>65318.536585365859</v>
      </c>
    </row>
    <row r="318" spans="1:21" ht="12" hidden="1" customHeight="1">
      <c r="D318" s="3" t="s">
        <v>6001</v>
      </c>
      <c r="H318" s="110" t="s">
        <v>3486</v>
      </c>
      <c r="I318" s="278">
        <f>원재료별품위!D72</f>
        <v>0.95050270688321725</v>
      </c>
      <c r="J318" s="105">
        <f t="shared" si="260"/>
        <v>113306.44310904871</v>
      </c>
      <c r="K318" s="105">
        <f t="shared" si="260"/>
        <v>118291.79178654289</v>
      </c>
      <c r="L318" s="105">
        <f t="shared" si="260"/>
        <v>118783.60564965193</v>
      </c>
      <c r="M318" s="105">
        <f t="shared" si="260"/>
        <v>80927.645389791171</v>
      </c>
      <c r="N318" s="105">
        <f t="shared" si="262"/>
        <v>41972.354610208829</v>
      </c>
      <c r="O318" s="105">
        <f t="shared" si="261"/>
        <v>122900</v>
      </c>
      <c r="P318" s="105">
        <f>P301*원재료별품위!$G$72</f>
        <v>125900</v>
      </c>
      <c r="Q318" s="105">
        <f>Q301*원재료별품위!$G$72</f>
        <v>120516.42910727682</v>
      </c>
      <c r="R318" s="105">
        <f>R301*원재료별품위!$G$72</f>
        <v>115982.89572393098</v>
      </c>
      <c r="S318" s="105">
        <f>S301*원재료별품위!$G$72</f>
        <v>115982.89572393098</v>
      </c>
      <c r="T318" s="105">
        <f>T301*원재료별품위!$G$72</f>
        <v>115982.89572393098</v>
      </c>
    </row>
    <row r="319" spans="1:21" ht="12" hidden="1" customHeight="1">
      <c r="D319" s="3" t="s">
        <v>5972</v>
      </c>
      <c r="H319" s="110" t="s">
        <v>3486</v>
      </c>
      <c r="I319" s="278">
        <f>원재료별품위!D73</f>
        <v>0.18481848184818481</v>
      </c>
      <c r="J319" s="105">
        <f t="shared" si="260"/>
        <v>5640.6256897689773</v>
      </c>
      <c r="K319" s="105">
        <f t="shared" si="260"/>
        <v>5442.7588382838285</v>
      </c>
      <c r="L319" s="105">
        <f t="shared" si="260"/>
        <v>5304.6768844884482</v>
      </c>
      <c r="M319" s="105">
        <f t="shared" si="260"/>
        <v>3941.477940594059</v>
      </c>
      <c r="N319" s="105">
        <f t="shared" si="262"/>
        <v>1658.522059405941</v>
      </c>
      <c r="O319" s="105">
        <f t="shared" si="261"/>
        <v>5600</v>
      </c>
      <c r="P319" s="105">
        <f>P302*원재료별품위!$G$73</f>
        <v>5700</v>
      </c>
      <c r="Q319" s="105">
        <f>Q302*원재료별품위!$G$73</f>
        <v>5700</v>
      </c>
      <c r="R319" s="105">
        <f>R302*원재료별품위!$G$73</f>
        <v>5792.833876221498</v>
      </c>
      <c r="S319" s="105">
        <f>S302*원재료별품위!$G$73</f>
        <v>5792.833876221498</v>
      </c>
      <c r="T319" s="105">
        <f>T302*원재료별품위!$G$73</f>
        <v>5792.833876221498</v>
      </c>
    </row>
    <row r="320" spans="1:21" ht="12" hidden="1" customHeight="1">
      <c r="D320" s="3" t="s">
        <v>2923</v>
      </c>
      <c r="H320" s="110" t="s">
        <v>3486</v>
      </c>
      <c r="I320" s="278">
        <f>원재료별품위!D74</f>
        <v>0.75091575091575091</v>
      </c>
      <c r="J320" s="105">
        <f t="shared" si="260"/>
        <v>18379.350091575092</v>
      </c>
      <c r="K320" s="105">
        <f t="shared" si="260"/>
        <v>20123.281336996333</v>
      </c>
      <c r="L320" s="105">
        <f t="shared" si="260"/>
        <v>19608.274780219785</v>
      </c>
      <c r="M320" s="105">
        <f t="shared" si="260"/>
        <v>14998.46305860806</v>
      </c>
      <c r="N320" s="105">
        <f>O320-M320</f>
        <v>5501.5369413919398</v>
      </c>
      <c r="O320" s="105">
        <f t="shared" si="261"/>
        <v>20500</v>
      </c>
      <c r="P320" s="105">
        <f>P303*원재료별품위!$G$74</f>
        <v>22100</v>
      </c>
      <c r="Q320" s="105">
        <f>Q303*원재료별품위!$G$74</f>
        <v>24438.225255972695</v>
      </c>
      <c r="R320" s="105">
        <f>R303*원재료별품위!$G$74</f>
        <v>23382.252559726963</v>
      </c>
      <c r="S320" s="105">
        <f>S303*원재료별품위!$G$74</f>
        <v>23382.252559726963</v>
      </c>
      <c r="T320" s="105">
        <f>T303*원재료별품위!$G$74</f>
        <v>23382.252559726963</v>
      </c>
    </row>
    <row r="321" spans="1:21" ht="12" hidden="1" customHeight="1">
      <c r="D321" s="3" t="s">
        <v>6003</v>
      </c>
      <c r="H321" s="110" t="s">
        <v>3486</v>
      </c>
      <c r="I321" s="278">
        <f>원재료별품위!D75</f>
        <v>0.22222222222222224</v>
      </c>
      <c r="J321" s="105">
        <f t="shared" si="260"/>
        <v>396.1806666666667</v>
      </c>
      <c r="K321" s="105">
        <f t="shared" si="260"/>
        <v>345.98066666666671</v>
      </c>
      <c r="L321" s="105">
        <f t="shared" si="260"/>
        <v>407.85377777777785</v>
      </c>
      <c r="M321" s="105">
        <f t="shared" si="260"/>
        <v>267.43622222222228</v>
      </c>
      <c r="N321" s="105">
        <f t="shared" si="262"/>
        <v>132.56377777777772</v>
      </c>
      <c r="O321" s="105">
        <f t="shared" si="261"/>
        <v>400</v>
      </c>
      <c r="P321" s="105">
        <f>P304*원재료별품위!$G$75</f>
        <v>400.00000000000006</v>
      </c>
      <c r="Q321" s="105">
        <f>Q304*원재료별품위!$G$75</f>
        <v>400.00000000000006</v>
      </c>
      <c r="R321" s="105">
        <f>R304*원재료별품위!$G$75</f>
        <v>400.00000000000006</v>
      </c>
      <c r="S321" s="105">
        <f>S304*원재료별품위!$G$75</f>
        <v>400.00000000000006</v>
      </c>
      <c r="T321" s="105">
        <f>T304*원재료별품위!$G$75</f>
        <v>400.00000000000006</v>
      </c>
    </row>
    <row r="322" spans="1:21" ht="12" hidden="1" customHeight="1">
      <c r="D322" s="3" t="s">
        <v>320</v>
      </c>
      <c r="H322" s="110" t="s">
        <v>3486</v>
      </c>
      <c r="I322" s="278">
        <f>AVERAGE(J322:M322)/AVERAGE(J305:M305)</f>
        <v>0.66906458083789333</v>
      </c>
      <c r="J322" s="105">
        <f>J315-SUM(J316:J321)</f>
        <v>25317.64859848842</v>
      </c>
      <c r="K322" s="105">
        <f t="shared" ref="K322:M322" si="263">K315-SUM(K316:K321)</f>
        <v>36310.646050962619</v>
      </c>
      <c r="L322" s="105">
        <f t="shared" si="263"/>
        <v>25903.714209653204</v>
      </c>
      <c r="M322" s="105">
        <f t="shared" si="263"/>
        <v>17312.791489972267</v>
      </c>
      <c r="N322" s="105">
        <f t="shared" si="262"/>
        <v>-9417.8294360851251</v>
      </c>
      <c r="O322" s="105">
        <f t="shared" si="261"/>
        <v>7894.9620538871413</v>
      </c>
      <c r="P322" s="105">
        <f>P315-P316-P317-P318-P319-P320-P321</f>
        <v>-9719.4881701619597</v>
      </c>
      <c r="Q322" s="105">
        <f t="shared" ref="Q322:T322" si="264">Q315-Q316-Q317-Q318-Q319-Q320-Q321</f>
        <v>8654.8297383819263</v>
      </c>
      <c r="R322" s="105">
        <f t="shared" si="264"/>
        <v>9428.0956335164883</v>
      </c>
      <c r="S322" s="105">
        <f t="shared" si="264"/>
        <v>13665.843994388291</v>
      </c>
      <c r="T322" s="105">
        <f t="shared" si="264"/>
        <v>9733.6300334372136</v>
      </c>
    </row>
    <row r="323" spans="1:21" s="400" customFormat="1" ht="12" hidden="1" customHeight="1">
      <c r="A323" s="45"/>
      <c r="B323" s="45"/>
      <c r="C323" s="45" t="s">
        <v>6008</v>
      </c>
      <c r="D323" s="45"/>
      <c r="E323" s="45"/>
      <c r="F323" s="45"/>
      <c r="G323" s="45"/>
      <c r="H323" s="45"/>
      <c r="I323" s="45"/>
      <c r="J323" s="399">
        <f>SUM(J324:J330)</f>
        <v>1.0000000000000002</v>
      </c>
      <c r="K323" s="399">
        <f t="shared" ref="K323:M323" si="265">SUM(K324:K330)</f>
        <v>1</v>
      </c>
      <c r="L323" s="399">
        <f t="shared" si="265"/>
        <v>1.0000000000000002</v>
      </c>
      <c r="M323" s="399">
        <f t="shared" si="265"/>
        <v>1</v>
      </c>
      <c r="N323" s="399">
        <f t="shared" ref="N323" si="266">SUM(N324:N330)</f>
        <v>1.1041076217943635</v>
      </c>
      <c r="O323" s="399">
        <f t="shared" ref="O323" si="267">SUM(O324:O330)</f>
        <v>1.0078154654286655</v>
      </c>
      <c r="P323" s="399">
        <f>SUM(P324:P330)</f>
        <v>1</v>
      </c>
      <c r="Q323" s="399">
        <f t="shared" ref="Q323" si="268">SUM(Q324:Q330)</f>
        <v>0.99999999999999989</v>
      </c>
      <c r="R323" s="399">
        <f t="shared" ref="R323" si="269">SUM(R324:R330)</f>
        <v>1</v>
      </c>
      <c r="S323" s="399">
        <f t="shared" ref="S323:T323" si="270">SUM(S324:S330)</f>
        <v>1</v>
      </c>
      <c r="T323" s="399">
        <f t="shared" si="270"/>
        <v>0.99999999999999989</v>
      </c>
      <c r="U323" s="289"/>
    </row>
    <row r="324" spans="1:21" s="400" customFormat="1" ht="12" hidden="1" customHeight="1">
      <c r="A324" s="45"/>
      <c r="B324" s="45"/>
      <c r="C324" s="45"/>
      <c r="D324" s="45" t="s">
        <v>5999</v>
      </c>
      <c r="E324" s="45"/>
      <c r="F324" s="45"/>
      <c r="G324" s="45"/>
      <c r="H324" s="1951" t="s">
        <v>360</v>
      </c>
      <c r="I324" s="45"/>
      <c r="J324" s="11">
        <f>J316/J$315</f>
        <v>0.70075436659603041</v>
      </c>
      <c r="K324" s="11">
        <f t="shared" ref="K324:M324" si="271">K316/K$315</f>
        <v>0.65534488463395246</v>
      </c>
      <c r="L324" s="11">
        <f t="shared" si="271"/>
        <v>0.70068883318733866</v>
      </c>
      <c r="M324" s="11">
        <f t="shared" si="271"/>
        <v>0.64928982692741855</v>
      </c>
      <c r="N324" s="11">
        <f t="shared" ref="N324:O324" si="272">N316/N$315</f>
        <v>0.81970063863760034</v>
      </c>
      <c r="O324" s="11">
        <f t="shared" si="272"/>
        <v>0.68211957268136392</v>
      </c>
      <c r="P324" s="11">
        <f>P316/P$315</f>
        <v>0.71781367415006314</v>
      </c>
      <c r="Q324" s="11">
        <f t="shared" ref="Q324:S324" si="273">Q316/Q$315</f>
        <v>0.68424000218799275</v>
      </c>
      <c r="R324" s="11">
        <f t="shared" si="273"/>
        <v>0.67324161209962696</v>
      </c>
      <c r="S324" s="11">
        <f t="shared" si="273"/>
        <v>0.66903639848790208</v>
      </c>
      <c r="T324" s="11">
        <f t="shared" ref="T324" si="274">T316/T$315</f>
        <v>0.6729366559111476</v>
      </c>
      <c r="U324" s="289"/>
    </row>
    <row r="325" spans="1:21" s="400" customFormat="1" ht="12" hidden="1" customHeight="1">
      <c r="A325" s="45"/>
      <c r="B325" s="45"/>
      <c r="C325" s="45"/>
      <c r="D325" s="45" t="s">
        <v>6000</v>
      </c>
      <c r="E325" s="45"/>
      <c r="F325" s="45"/>
      <c r="G325" s="45"/>
      <c r="H325" s="1951" t="s">
        <v>360</v>
      </c>
      <c r="I325" s="45"/>
      <c r="J325" s="11">
        <f t="shared" ref="J325:M325" si="275">J317/J$315</f>
        <v>5.5360630447455053E-2</v>
      </c>
      <c r="K325" s="11">
        <f t="shared" si="275"/>
        <v>6.6159019958964504E-2</v>
      </c>
      <c r="L325" s="11">
        <f t="shared" si="275"/>
        <v>4.3073241040033253E-2</v>
      </c>
      <c r="M325" s="11">
        <f t="shared" si="275"/>
        <v>9.0090422680721843E-2</v>
      </c>
      <c r="N325" s="11">
        <f t="shared" ref="N325:O325" si="276">N317/N$315</f>
        <v>5.192991050038949E-2</v>
      </c>
      <c r="O325" s="11">
        <f t="shared" si="276"/>
        <v>7.796102250687488E-2</v>
      </c>
      <c r="P325" s="11">
        <f t="shared" ref="P325:S325" si="277">P317/P$315</f>
        <v>6.2053985849421359E-2</v>
      </c>
      <c r="Q325" s="11">
        <f t="shared" si="277"/>
        <v>7.7798643112537064E-2</v>
      </c>
      <c r="R325" s="11">
        <f t="shared" si="277"/>
        <v>9.688121955516911E-2</v>
      </c>
      <c r="S325" s="11">
        <f t="shared" si="277"/>
        <v>9.6276078375729338E-2</v>
      </c>
      <c r="T325" s="11">
        <f t="shared" ref="T325" si="278">T317/T$315</f>
        <v>9.68373355662418E-2</v>
      </c>
      <c r="U325" s="289"/>
    </row>
    <row r="326" spans="1:21" s="400" customFormat="1" ht="12" hidden="1" customHeight="1">
      <c r="A326" s="45"/>
      <c r="B326" s="45"/>
      <c r="C326" s="45"/>
      <c r="D326" s="45" t="s">
        <v>6001</v>
      </c>
      <c r="E326" s="45"/>
      <c r="F326" s="45"/>
      <c r="G326" s="45"/>
      <c r="H326" s="1951" t="s">
        <v>360</v>
      </c>
      <c r="I326" s="45"/>
      <c r="J326" s="11">
        <f t="shared" ref="J326:M326" si="279">J318/J$315</f>
        <v>0.16949031006306273</v>
      </c>
      <c r="K326" s="11">
        <f t="shared" si="279"/>
        <v>0.18249952038334855</v>
      </c>
      <c r="L326" s="11">
        <f t="shared" si="279"/>
        <v>0.1790318237638962</v>
      </c>
      <c r="M326" s="11">
        <f t="shared" si="279"/>
        <v>0.17958054734945461</v>
      </c>
      <c r="N326" s="11">
        <f t="shared" ref="N326:O326" si="280">N318/N$315</f>
        <v>0.2448759982485921</v>
      </c>
      <c r="O326" s="11">
        <f t="shared" si="280"/>
        <v>0.19356383163828125</v>
      </c>
      <c r="P326" s="11">
        <f t="shared" ref="P326:S326" si="281">P318/P$315</f>
        <v>0.19195569578481936</v>
      </c>
      <c r="Q326" s="11">
        <f t="shared" si="281"/>
        <v>0.17956512035102928</v>
      </c>
      <c r="R326" s="11">
        <f t="shared" si="281"/>
        <v>0.17202719124898325</v>
      </c>
      <c r="S326" s="11">
        <f t="shared" si="281"/>
        <v>0.17095267197800276</v>
      </c>
      <c r="T326" s="11">
        <f t="shared" ref="T326" si="282">T318/T$315</f>
        <v>0.17194926861969939</v>
      </c>
      <c r="U326" s="289"/>
    </row>
    <row r="327" spans="1:21" s="400" customFormat="1" ht="12" hidden="1" customHeight="1">
      <c r="A327" s="45"/>
      <c r="B327" s="45"/>
      <c r="C327" s="45"/>
      <c r="D327" s="45" t="s">
        <v>5972</v>
      </c>
      <c r="E327" s="45"/>
      <c r="F327" s="45"/>
      <c r="G327" s="45"/>
      <c r="H327" s="1951" t="s">
        <v>360</v>
      </c>
      <c r="I327" s="45"/>
      <c r="J327" s="11">
        <f t="shared" ref="J327:M327" si="283">J319/J$315</f>
        <v>8.4375731059575711E-3</v>
      </c>
      <c r="K327" s="11">
        <f t="shared" si="283"/>
        <v>8.3970397484673977E-3</v>
      </c>
      <c r="L327" s="11">
        <f t="shared" si="283"/>
        <v>7.995261399197413E-3</v>
      </c>
      <c r="M327" s="11">
        <f t="shared" si="283"/>
        <v>8.7462419365900781E-3</v>
      </c>
      <c r="N327" s="11">
        <f t="shared" ref="N327:O327" si="284">N319/N$315</f>
        <v>9.6761844477402294E-3</v>
      </c>
      <c r="O327" s="11">
        <f t="shared" si="284"/>
        <v>8.819832849262613E-3</v>
      </c>
      <c r="P327" s="11">
        <f t="shared" ref="P327:S327" si="285">P319/P$315</f>
        <v>8.6906073548329646E-3</v>
      </c>
      <c r="Q327" s="11">
        <f t="shared" si="285"/>
        <v>8.4927938338580124E-3</v>
      </c>
      <c r="R327" s="11">
        <f t="shared" si="285"/>
        <v>8.5919991467563409E-3</v>
      </c>
      <c r="S327" s="11">
        <f t="shared" si="285"/>
        <v>8.5383316504006324E-3</v>
      </c>
      <c r="T327" s="11">
        <f t="shared" ref="T327" si="286">T319/T$315</f>
        <v>8.5881072552509395E-3</v>
      </c>
      <c r="U327" s="289"/>
    </row>
    <row r="328" spans="1:21" s="400" customFormat="1" ht="12" hidden="1" customHeight="1">
      <c r="A328" s="45"/>
      <c r="B328" s="45"/>
      <c r="C328" s="45"/>
      <c r="D328" s="45" t="s">
        <v>2923</v>
      </c>
      <c r="E328" s="45"/>
      <c r="F328" s="45"/>
      <c r="G328" s="45"/>
      <c r="H328" s="1951" t="s">
        <v>360</v>
      </c>
      <c r="I328" s="45"/>
      <c r="J328" s="11">
        <f t="shared" ref="J328:M328" si="287">J320/J$315</f>
        <v>2.7492891492327389E-2</v>
      </c>
      <c r="K328" s="11">
        <f t="shared" si="287"/>
        <v>3.1046018807188356E-2</v>
      </c>
      <c r="L328" s="11">
        <f t="shared" si="287"/>
        <v>2.9553785436691245E-2</v>
      </c>
      <c r="M328" s="11">
        <f t="shared" si="287"/>
        <v>3.3281979136948678E-2</v>
      </c>
      <c r="N328" s="11">
        <f t="shared" ref="N328:O328" si="288">N320/N$315</f>
        <v>3.2097183084819902E-2</v>
      </c>
      <c r="O328" s="11">
        <f t="shared" si="288"/>
        <v>3.2286888108907778E-2</v>
      </c>
      <c r="P328" s="11">
        <f t="shared" ref="P328:S328" si="289">P320/P$315</f>
        <v>3.3695161849440096E-2</v>
      </c>
      <c r="Q328" s="11">
        <f t="shared" si="289"/>
        <v>3.6412071713045273E-2</v>
      </c>
      <c r="R328" s="11">
        <f t="shared" si="289"/>
        <v>3.4680831236516815E-2</v>
      </c>
      <c r="S328" s="11">
        <f t="shared" si="289"/>
        <v>3.4464207217798033E-2</v>
      </c>
      <c r="T328" s="11">
        <f t="shared" ref="T328" si="290">T320/T$315</f>
        <v>3.4665121966743366E-2</v>
      </c>
      <c r="U328" s="289"/>
    </row>
    <row r="329" spans="1:21" s="400" customFormat="1" ht="12" hidden="1" customHeight="1">
      <c r="A329" s="45"/>
      <c r="B329" s="45"/>
      <c r="C329" s="45"/>
      <c r="D329" s="45" t="s">
        <v>6003</v>
      </c>
      <c r="E329" s="45"/>
      <c r="F329" s="45"/>
      <c r="G329" s="45"/>
      <c r="H329" s="1951" t="s">
        <v>360</v>
      </c>
      <c r="I329" s="45"/>
      <c r="J329" s="11">
        <f t="shared" ref="J329:M330" si="291">J321/J$315</f>
        <v>5.9262988221860178E-4</v>
      </c>
      <c r="K329" s="11">
        <f t="shared" si="291"/>
        <v>5.3377588398116507E-4</v>
      </c>
      <c r="L329" s="11">
        <f t="shared" si="291"/>
        <v>6.1472124259232214E-4</v>
      </c>
      <c r="M329" s="11">
        <f t="shared" si="291"/>
        <v>5.9344792420953669E-4</v>
      </c>
      <c r="N329" s="11">
        <f t="shared" ref="N329:O329" si="292">N321/N$315</f>
        <v>7.7340639371807553E-4</v>
      </c>
      <c r="O329" s="11">
        <f t="shared" si="292"/>
        <v>6.2998806066161522E-4</v>
      </c>
      <c r="P329" s="11">
        <f t="shared" ref="P329:S329" si="293">P321/P$315</f>
        <v>6.0986718279529588E-4</v>
      </c>
      <c r="Q329" s="11">
        <f t="shared" si="293"/>
        <v>5.9598553220056242E-4</v>
      </c>
      <c r="R329" s="11">
        <f t="shared" si="293"/>
        <v>5.9328469142019727E-4</v>
      </c>
      <c r="S329" s="11">
        <f t="shared" si="293"/>
        <v>5.8957890613427677E-4</v>
      </c>
      <c r="T329" s="11">
        <f t="shared" ref="T329" si="294">T321/T$315</f>
        <v>5.9301595307288321E-4</v>
      </c>
      <c r="U329" s="289"/>
    </row>
    <row r="330" spans="1:21" s="400" customFormat="1" ht="12" hidden="1" customHeight="1">
      <c r="A330" s="45"/>
      <c r="B330" s="45"/>
      <c r="C330" s="45"/>
      <c r="D330" s="45" t="s">
        <v>320</v>
      </c>
      <c r="E330" s="45"/>
      <c r="F330" s="45"/>
      <c r="G330" s="45"/>
      <c r="H330" s="1951" t="s">
        <v>360</v>
      </c>
      <c r="I330" s="45"/>
      <c r="J330" s="11">
        <f t="shared" si="291"/>
        <v>3.7871598412948314E-2</v>
      </c>
      <c r="K330" s="11">
        <f t="shared" si="291"/>
        <v>5.6019740584097491E-2</v>
      </c>
      <c r="L330" s="11">
        <f t="shared" si="291"/>
        <v>3.9042333930251055E-2</v>
      </c>
      <c r="M330" s="11">
        <f t="shared" si="291"/>
        <v>3.8417534044656608E-2</v>
      </c>
      <c r="N330" s="11">
        <f t="shared" ref="N330:O330" si="295">N322/N$315</f>
        <v>-5.4945699518496614E-2</v>
      </c>
      <c r="O330" s="11">
        <f t="shared" si="295"/>
        <v>1.2434329583313506E-2</v>
      </c>
      <c r="P330" s="11">
        <f t="shared" ref="P330:S330" si="296">P322/P$315</f>
        <v>-1.4818992171372197E-2</v>
      </c>
      <c r="Q330" s="11">
        <f t="shared" si="296"/>
        <v>1.2895383269337014E-2</v>
      </c>
      <c r="R330" s="11">
        <f t="shared" si="296"/>
        <v>1.3983862021527346E-2</v>
      </c>
      <c r="S330" s="11">
        <f t="shared" si="296"/>
        <v>2.0142733384032808E-2</v>
      </c>
      <c r="T330" s="11">
        <f t="shared" ref="T330" si="297">T322/T$315</f>
        <v>1.4430494727844021E-2</v>
      </c>
      <c r="U330" s="289"/>
    </row>
    <row r="331" spans="1:21" s="113" customFormat="1" ht="12" hidden="1" customHeight="1">
      <c r="A331" s="32"/>
      <c r="B331" s="32"/>
      <c r="C331" s="32" t="s">
        <v>1357</v>
      </c>
      <c r="D331" s="32"/>
      <c r="E331" s="32"/>
      <c r="F331" s="32"/>
      <c r="G331" s="32"/>
      <c r="H331" s="32"/>
      <c r="I331" s="32"/>
      <c r="J331" s="36">
        <f>SUMIFS(재고자산수불부!$J:$J,재고자산수불부!$A:$A,COGS!J$297,재고자산수불부!$C:$C,"전기동")/1000</f>
        <v>659647.07200000004</v>
      </c>
      <c r="K331" s="36">
        <f>SUMIFS(재고자산수불부!$J:$J,재고자산수불부!$A:$A,COGS!K$297,재고자산수불부!$C:$C,"전기동")/1000</f>
        <v>642998.05000000005</v>
      </c>
      <c r="L331" s="36">
        <f>SUMIFS(재고자산수불부!$J:$J,재고자산수불부!$A:$A,COGS!L$297,재고자산수불부!$C:$C,"전기동")/1000</f>
        <v>658707.50699999998</v>
      </c>
      <c r="M331" s="36">
        <f>SUMIFS(재고자산수불부!$J:$J,재고자산수불부!$A:$A,COGS!M$297,재고자산수불부!$C:$C,"전기동")/1000</f>
        <v>465732.28899999999</v>
      </c>
      <c r="N331" s="112">
        <f>SUM(N332:N338)</f>
        <v>169269.01665815691</v>
      </c>
      <c r="O331" s="112">
        <f>SUM(O332:O338)</f>
        <v>635001.30565815687</v>
      </c>
      <c r="P331" s="112">
        <f t="shared" ref="P331:R331" si="298">SUM(P332:P338)</f>
        <v>661331.7273464473</v>
      </c>
      <c r="Q331" s="112">
        <f t="shared" si="298"/>
        <v>659783.67132634798</v>
      </c>
      <c r="R331" s="112">
        <f t="shared" si="298"/>
        <v>631775.64417880913</v>
      </c>
      <c r="S331" s="112"/>
      <c r="T331" s="112"/>
      <c r="U331" s="2998"/>
    </row>
    <row r="332" spans="1:21" ht="12" hidden="1" customHeight="1">
      <c r="D332" s="3" t="s">
        <v>5999</v>
      </c>
      <c r="H332" s="110" t="s">
        <v>3486</v>
      </c>
      <c r="I332" s="278">
        <f>원재료별품위!D70</f>
        <v>0.26523363341294631</v>
      </c>
      <c r="J332" s="105">
        <f>J307*$I332</f>
        <v>447528.58261075389</v>
      </c>
      <c r="K332" s="105">
        <f t="shared" ref="K332:M332" si="299">K307*$I332</f>
        <v>418853.44272288569</v>
      </c>
      <c r="L332" s="105">
        <f t="shared" si="299"/>
        <v>447648.29978969938</v>
      </c>
      <c r="M332" s="105">
        <f t="shared" si="299"/>
        <v>302387.99921262782</v>
      </c>
      <c r="N332" s="105">
        <f>O332-M332</f>
        <v>122612.00078737218</v>
      </c>
      <c r="O332" s="248">
        <f>원재료별품위!E80*1000</f>
        <v>425000</v>
      </c>
      <c r="P332" s="248">
        <f>원재료별품위!F80*1000</f>
        <v>460000</v>
      </c>
      <c r="Q332" s="248">
        <f>원재료별품위!G80*1000</f>
        <v>449000</v>
      </c>
      <c r="R332" s="248">
        <f>원재료별품위!H80*1000</f>
        <v>444000</v>
      </c>
      <c r="S332" s="105"/>
      <c r="T332" s="105"/>
    </row>
    <row r="333" spans="1:21" ht="12" hidden="1" customHeight="1">
      <c r="D333" s="3" t="s">
        <v>6000</v>
      </c>
      <c r="H333" s="110" t="s">
        <v>3486</v>
      </c>
      <c r="I333" s="278">
        <f>원재료별품위!D71</f>
        <v>0.99597585513078468</v>
      </c>
      <c r="J333" s="105">
        <f t="shared" ref="J333:M333" si="300">J308*$I333</f>
        <v>38309.60372233401</v>
      </c>
      <c r="K333" s="105">
        <f t="shared" si="300"/>
        <v>43349.11804828974</v>
      </c>
      <c r="L333" s="105">
        <f t="shared" si="300"/>
        <v>28343.751790744464</v>
      </c>
      <c r="M333" s="105">
        <f t="shared" si="300"/>
        <v>36961.04345070423</v>
      </c>
      <c r="N333" s="105">
        <f t="shared" ref="N333:N338" si="301">O333-M333</f>
        <v>12837.749305835001</v>
      </c>
      <c r="O333" s="105">
        <f>O308*$I333</f>
        <v>49798.792756539231</v>
      </c>
      <c r="P333" s="105">
        <f t="shared" ref="P333:R333" si="302">P308*$I333</f>
        <v>40835.010060362169</v>
      </c>
      <c r="Q333" s="105">
        <f t="shared" si="302"/>
        <v>52786.720321931585</v>
      </c>
      <c r="R333" s="105">
        <f t="shared" si="302"/>
        <v>65734.406438631791</v>
      </c>
      <c r="S333" s="105"/>
      <c r="T333" s="105"/>
    </row>
    <row r="334" spans="1:21" ht="12" hidden="1" customHeight="1">
      <c r="D334" s="3" t="s">
        <v>6001</v>
      </c>
      <c r="H334" s="110" t="s">
        <v>3486</v>
      </c>
      <c r="I334" s="278">
        <f>원재료별품위!D72</f>
        <v>0.95050270688321725</v>
      </c>
      <c r="J334" s="105">
        <f t="shared" ref="J334:M334" si="303">J309*$I334</f>
        <v>112392.40643851507</v>
      </c>
      <c r="K334" s="105">
        <f t="shared" si="303"/>
        <v>115554.84015313222</v>
      </c>
      <c r="L334" s="105">
        <f t="shared" si="303"/>
        <v>120560.97442382057</v>
      </c>
      <c r="M334" s="105">
        <f t="shared" si="303"/>
        <v>83167.885219644231</v>
      </c>
      <c r="N334" s="105">
        <f t="shared" si="301"/>
        <v>40397.466675174015</v>
      </c>
      <c r="O334" s="105">
        <f t="shared" ref="O334:R334" si="304">O309*$I334</f>
        <v>123565.35189481825</v>
      </c>
      <c r="P334" s="105">
        <f t="shared" si="304"/>
        <v>126416.8600154679</v>
      </c>
      <c r="Q334" s="105">
        <f t="shared" si="304"/>
        <v>121664.34648105181</v>
      </c>
      <c r="R334" s="105">
        <f t="shared" si="304"/>
        <v>115010.82753286928</v>
      </c>
      <c r="S334" s="105"/>
      <c r="T334" s="105"/>
    </row>
    <row r="335" spans="1:21" ht="12" hidden="1" customHeight="1">
      <c r="D335" s="3" t="s">
        <v>5972</v>
      </c>
      <c r="H335" s="110" t="s">
        <v>3486</v>
      </c>
      <c r="I335" s="278">
        <f>원재료별품위!D73</f>
        <v>0.18481848184818481</v>
      </c>
      <c r="J335" s="105">
        <f t="shared" ref="J335:M335" si="305">J310*$I335</f>
        <v>5699.6602244224423</v>
      </c>
      <c r="K335" s="105">
        <f t="shared" si="305"/>
        <v>5374.3584422442227</v>
      </c>
      <c r="L335" s="105">
        <f t="shared" si="305"/>
        <v>5363.6602244224423</v>
      </c>
      <c r="M335" s="105">
        <f t="shared" si="305"/>
        <v>3961.9865082508254</v>
      </c>
      <c r="N335" s="105">
        <f t="shared" si="301"/>
        <v>1582.5679471947192</v>
      </c>
      <c r="O335" s="105">
        <f t="shared" ref="O335:R335" si="306">O310*$I335</f>
        <v>5544.5544554455446</v>
      </c>
      <c r="P335" s="105">
        <f t="shared" si="306"/>
        <v>5729.3729372937287</v>
      </c>
      <c r="Q335" s="105">
        <f t="shared" si="306"/>
        <v>5729.3729372937287</v>
      </c>
      <c r="R335" s="105">
        <f t="shared" si="306"/>
        <v>5729.3729372937287</v>
      </c>
      <c r="S335" s="105"/>
      <c r="T335" s="105"/>
    </row>
    <row r="336" spans="1:21" ht="12" hidden="1" customHeight="1">
      <c r="D336" s="3" t="s">
        <v>2923</v>
      </c>
      <c r="H336" s="110" t="s">
        <v>3486</v>
      </c>
      <c r="I336" s="278">
        <f>원재료별품위!D74</f>
        <v>0.75091575091575091</v>
      </c>
      <c r="J336" s="105">
        <f t="shared" ref="J336:M336" si="307">J311*$I336</f>
        <v>18533.263791208792</v>
      </c>
      <c r="K336" s="105">
        <f t="shared" si="307"/>
        <v>20123.281336996341</v>
      </c>
      <c r="L336" s="105">
        <f t="shared" si="307"/>
        <v>19099.18393772894</v>
      </c>
      <c r="M336" s="105">
        <f t="shared" si="307"/>
        <v>15103.860091575094</v>
      </c>
      <c r="N336" s="105">
        <f t="shared" si="301"/>
        <v>5921.7809340659333</v>
      </c>
      <c r="O336" s="105">
        <f t="shared" ref="O336:R336" si="308">O311*$I336</f>
        <v>21025.641025641027</v>
      </c>
      <c r="P336" s="105">
        <f t="shared" si="308"/>
        <v>21776.556776556776</v>
      </c>
      <c r="Q336" s="105">
        <f t="shared" si="308"/>
        <v>24029.304029304029</v>
      </c>
      <c r="R336" s="105">
        <f t="shared" si="308"/>
        <v>0</v>
      </c>
      <c r="S336" s="105"/>
      <c r="T336" s="105"/>
    </row>
    <row r="337" spans="1:21" ht="12" hidden="1" customHeight="1">
      <c r="D337" s="3" t="s">
        <v>6003</v>
      </c>
      <c r="H337" s="110" t="s">
        <v>3486</v>
      </c>
      <c r="I337" s="278">
        <f>원재료별품위!D75</f>
        <v>0.22222222222222224</v>
      </c>
      <c r="J337" s="105">
        <f t="shared" ref="J337:M337" si="309">J312*$I337</f>
        <v>408.03244444444448</v>
      </c>
      <c r="K337" s="105">
        <f t="shared" si="309"/>
        <v>371.3175555555556</v>
      </c>
      <c r="L337" s="105">
        <f t="shared" si="309"/>
        <v>393.74955555555556</v>
      </c>
      <c r="M337" s="105">
        <f t="shared" si="309"/>
        <v>254.73555555555561</v>
      </c>
      <c r="N337" s="105">
        <f t="shared" si="301"/>
        <v>145.26444444444439</v>
      </c>
      <c r="O337" s="105">
        <f t="shared" ref="O337:R337" si="310">O312*$I337</f>
        <v>400</v>
      </c>
      <c r="P337" s="105">
        <f t="shared" si="310"/>
        <v>422.22222222222223</v>
      </c>
      <c r="Q337" s="105">
        <f t="shared" si="310"/>
        <v>422.22222222222223</v>
      </c>
      <c r="R337" s="105">
        <f t="shared" si="310"/>
        <v>422.22222222222223</v>
      </c>
      <c r="S337" s="105"/>
      <c r="T337" s="105"/>
    </row>
    <row r="338" spans="1:21" ht="12" hidden="1" customHeight="1">
      <c r="D338" s="3" t="s">
        <v>320</v>
      </c>
      <c r="H338" s="110" t="s">
        <v>3486</v>
      </c>
      <c r="I338" s="278">
        <f>AVERAGE(J338:M338)/AVERAGE(J313:M313)</f>
        <v>0.87881504779207931</v>
      </c>
      <c r="J338" s="105">
        <f>J331-J332-J333-J334-J335-J336-J337</f>
        <v>36775.522768321389</v>
      </c>
      <c r="K338" s="105">
        <f t="shared" ref="K338:M338" si="311">K331-K332-K333-K334-K335-K336-K337</f>
        <v>39371.691740896284</v>
      </c>
      <c r="L338" s="105">
        <f t="shared" si="311"/>
        <v>37297.88727802864</v>
      </c>
      <c r="M338" s="105">
        <f t="shared" si="311"/>
        <v>23894.778961642238</v>
      </c>
      <c r="N338" s="105">
        <f t="shared" si="301"/>
        <v>-14227.813435929365</v>
      </c>
      <c r="O338" s="105">
        <f t="shared" ref="O338:R338" si="312">O313*$I338</f>
        <v>9666.9655257128725</v>
      </c>
      <c r="P338" s="105">
        <f t="shared" si="312"/>
        <v>6151.7053345445547</v>
      </c>
      <c r="Q338" s="105">
        <f t="shared" si="312"/>
        <v>6151.7053345445547</v>
      </c>
      <c r="R338" s="105">
        <f t="shared" si="312"/>
        <v>878.81504779207933</v>
      </c>
      <c r="S338" s="105"/>
      <c r="T338" s="105"/>
    </row>
    <row r="339" spans="1:21" s="113" customFormat="1" ht="12" hidden="1" customHeight="1">
      <c r="A339" s="32"/>
      <c r="B339" s="32"/>
      <c r="C339" s="32" t="s">
        <v>6007</v>
      </c>
      <c r="D339" s="32"/>
      <c r="E339" s="32"/>
      <c r="F339" s="32"/>
      <c r="G339" s="32"/>
      <c r="H339" s="32"/>
      <c r="I339" s="32"/>
      <c r="J339" s="112">
        <f>SUMIFS(재고자산수불부!$V:$V,재고자산수불부!$O:$O,J$297,재고자산수불부!$Q:$Q,"전기동")/1000</f>
        <v>649953.94711399998</v>
      </c>
      <c r="K339" s="112">
        <f>SUMIFS(재고자산수불부!$V:$V,재고자산수불부!$O:$O,K$297,재고자산수불부!$Q:$Q,"전기동")/1000</f>
        <v>637173.24831099994</v>
      </c>
      <c r="L339" s="112">
        <f>SUMIFS(재고자산수불부!$V:$V,재고자산수불부!$O:$O,L$297,재고자산수불부!$Q:$Q,"전기동")/1000</f>
        <v>644994.46410300001</v>
      </c>
      <c r="M339" s="112">
        <f>SUMIFS(재고자산수불부!$V:$V,재고자산수불부!$O:$O,M$297,재고자산수불부!$Q:$Q,"전기동")/1000</f>
        <v>453709.22054400004</v>
      </c>
      <c r="N339" s="112">
        <f>N38</f>
        <v>168181.21600000001</v>
      </c>
      <c r="O339" s="112"/>
      <c r="P339" s="112">
        <f>P38</f>
        <v>644000</v>
      </c>
      <c r="Q339" s="112">
        <f>Q38</f>
        <v>659000</v>
      </c>
      <c r="R339" s="112">
        <f>R38</f>
        <v>662000</v>
      </c>
      <c r="S339" s="112"/>
      <c r="T339" s="112"/>
      <c r="U339" s="2998"/>
    </row>
    <row r="340" spans="1:21" ht="12" hidden="1" customHeight="1">
      <c r="D340" s="3" t="s">
        <v>1355</v>
      </c>
      <c r="H340" s="110" t="s">
        <v>360</v>
      </c>
      <c r="J340" s="278">
        <f>J339/J331</f>
        <v>0.9853055894622389</v>
      </c>
      <c r="K340" s="278">
        <f t="shared" ref="K340:M340" si="313">K339/K331</f>
        <v>0.99094118296470712</v>
      </c>
      <c r="L340" s="278">
        <f t="shared" si="313"/>
        <v>0.9791818937065796</v>
      </c>
      <c r="M340" s="278">
        <f t="shared" si="313"/>
        <v>0.97418459329539864</v>
      </c>
      <c r="N340" s="105"/>
      <c r="O340" s="105"/>
      <c r="P340" s="278">
        <f t="shared" ref="P340" si="314">P339/P331</f>
        <v>0.97379268734619795</v>
      </c>
      <c r="Q340" s="278">
        <f t="shared" ref="Q340" si="315">Q339/Q331</f>
        <v>0.99881222988624052</v>
      </c>
      <c r="R340" s="278">
        <f t="shared" ref="R340" si="316">R339/R331</f>
        <v>1.0478403308194588</v>
      </c>
      <c r="S340" s="105"/>
      <c r="T340" s="105"/>
    </row>
    <row r="341" spans="1:21" ht="12" hidden="1" customHeight="1">
      <c r="J341" s="105"/>
      <c r="K341" s="105"/>
      <c r="L341" s="105"/>
      <c r="M341" s="105"/>
      <c r="N341" s="105"/>
      <c r="O341" s="105"/>
      <c r="P341" s="105"/>
      <c r="Q341" s="105"/>
      <c r="R341" s="105"/>
      <c r="S341" s="105"/>
      <c r="T341" s="105"/>
    </row>
    <row r="342" spans="1:21" ht="12" customHeight="1">
      <c r="J342" s="105"/>
      <c r="K342" s="105"/>
      <c r="L342" s="105"/>
      <c r="M342" s="105"/>
      <c r="N342" s="105"/>
      <c r="O342" s="105"/>
      <c r="P342" s="105"/>
      <c r="Q342" s="105"/>
      <c r="R342" s="105"/>
      <c r="S342" s="105"/>
      <c r="T342" s="105"/>
    </row>
    <row r="343" spans="1:21" ht="12" customHeight="1">
      <c r="J343" s="105"/>
      <c r="K343" s="105"/>
      <c r="L343" s="105"/>
      <c r="M343" s="105"/>
      <c r="N343" s="105"/>
      <c r="O343" s="105"/>
      <c r="P343" s="105"/>
      <c r="Q343" s="105"/>
      <c r="R343" s="105"/>
      <c r="S343" s="105"/>
      <c r="T343" s="105"/>
    </row>
    <row r="344" spans="1:21" ht="12" customHeight="1">
      <c r="J344" s="105"/>
      <c r="K344" s="105"/>
      <c r="L344" s="105"/>
      <c r="M344" s="105"/>
      <c r="N344" s="105"/>
      <c r="O344" s="105"/>
      <c r="P344" s="105"/>
      <c r="Q344" s="105"/>
      <c r="R344" s="105"/>
      <c r="S344" s="105"/>
      <c r="T344" s="105"/>
    </row>
    <row r="345" spans="1:21" ht="12" customHeight="1">
      <c r="J345" s="105"/>
      <c r="K345" s="105"/>
      <c r="L345" s="105"/>
      <c r="M345" s="105"/>
      <c r="N345" s="105"/>
      <c r="O345" s="105"/>
      <c r="P345" s="105"/>
      <c r="Q345" s="105"/>
      <c r="R345" s="105"/>
      <c r="S345" s="105"/>
      <c r="T345" s="105"/>
    </row>
    <row r="346" spans="1:21" ht="12" customHeight="1">
      <c r="J346" s="105"/>
      <c r="K346" s="105"/>
      <c r="L346" s="105"/>
      <c r="M346" s="105"/>
      <c r="N346" s="105"/>
      <c r="O346" s="105"/>
      <c r="P346" s="105"/>
      <c r="Q346" s="105"/>
      <c r="R346" s="105"/>
      <c r="S346" s="105"/>
      <c r="T346" s="105"/>
    </row>
    <row r="347" spans="1:21" ht="12" customHeight="1">
      <c r="J347" s="105"/>
      <c r="K347" s="105"/>
      <c r="L347" s="105"/>
      <c r="M347" s="105"/>
      <c r="N347" s="105"/>
      <c r="O347" s="105"/>
      <c r="P347" s="105"/>
      <c r="Q347" s="105"/>
      <c r="R347" s="105"/>
      <c r="S347" s="105"/>
      <c r="T347" s="105"/>
    </row>
    <row r="348" spans="1:21" ht="12" customHeight="1">
      <c r="J348" s="105"/>
      <c r="K348" s="105"/>
      <c r="L348" s="105"/>
      <c r="M348" s="105"/>
      <c r="N348" s="105"/>
      <c r="O348" s="105"/>
      <c r="P348" s="105"/>
      <c r="Q348" s="105"/>
      <c r="R348" s="105"/>
      <c r="S348" s="105"/>
      <c r="T348" s="105"/>
    </row>
    <row r="349" spans="1:21" ht="12" customHeight="1">
      <c r="J349" s="105"/>
      <c r="K349" s="105"/>
      <c r="L349" s="105"/>
      <c r="M349" s="105"/>
      <c r="N349" s="105"/>
      <c r="O349" s="105"/>
      <c r="P349" s="105"/>
      <c r="Q349" s="105"/>
      <c r="R349" s="105"/>
      <c r="S349" s="105"/>
      <c r="T349" s="105"/>
    </row>
    <row r="350" spans="1:21" ht="12" customHeight="1">
      <c r="J350" s="105"/>
      <c r="K350" s="105"/>
      <c r="L350" s="105"/>
      <c r="M350" s="105"/>
      <c r="N350" s="105"/>
      <c r="O350" s="105"/>
      <c r="P350" s="105"/>
      <c r="Q350" s="105"/>
      <c r="R350" s="105"/>
      <c r="S350" s="105"/>
      <c r="T350" s="105"/>
    </row>
    <row r="351" spans="1:21" ht="12" customHeight="1">
      <c r="J351" s="105"/>
      <c r="K351" s="105"/>
      <c r="L351" s="105"/>
      <c r="M351" s="105"/>
      <c r="N351" s="105"/>
      <c r="O351" s="105"/>
      <c r="P351" s="105"/>
      <c r="Q351" s="105"/>
      <c r="R351" s="105"/>
      <c r="S351" s="105"/>
      <c r="T351" s="105"/>
    </row>
    <row r="352" spans="1:21" ht="12" customHeight="1">
      <c r="J352" s="105"/>
      <c r="K352" s="105"/>
      <c r="L352" s="105"/>
      <c r="M352" s="105"/>
      <c r="N352" s="105"/>
      <c r="O352" s="105"/>
      <c r="P352" s="105"/>
      <c r="Q352" s="105"/>
      <c r="R352" s="105"/>
      <c r="S352" s="105"/>
      <c r="T352" s="105"/>
    </row>
  </sheetData>
  <phoneticPr fontId="1" type="noConversion"/>
  <conditionalFormatting sqref="K7:L7 K18:P18 K28:M28 K121:L121 K133:L133 K276:L276 K289:L289">
    <cfRule type="cellIs" dxfId="863" priority="358" operator="equal">
      <formula>"X"</formula>
    </cfRule>
    <cfRule type="cellIs" dxfId="862" priority="359" operator="equal">
      <formula>"O"</formula>
    </cfRule>
    <cfRule type="cellIs" dxfId="861" priority="360" operator="equal">
      <formula>"미정"</formula>
    </cfRule>
    <cfRule type="cellIs" dxfId="860" priority="361" operator="equal">
      <formula>"예정"</formula>
    </cfRule>
    <cfRule type="cellIs" dxfId="859" priority="362" operator="equal">
      <formula>"확정"</formula>
    </cfRule>
  </conditionalFormatting>
  <conditionalFormatting sqref="O7:P7">
    <cfRule type="cellIs" dxfId="858" priority="368" operator="equal">
      <formula>"X"</formula>
    </cfRule>
    <cfRule type="cellIs" dxfId="857" priority="369" operator="equal">
      <formula>"O"</formula>
    </cfRule>
    <cfRule type="cellIs" dxfId="856" priority="370" operator="equal">
      <formula>"미정"</formula>
    </cfRule>
    <cfRule type="cellIs" dxfId="855" priority="371" operator="equal">
      <formula>"예정"</formula>
    </cfRule>
    <cfRule type="cellIs" dxfId="854" priority="372" operator="equal">
      <formula>"확정"</formula>
    </cfRule>
  </conditionalFormatting>
  <conditionalFormatting sqref="N28:P28">
    <cfRule type="cellIs" dxfId="853" priority="348" operator="equal">
      <formula>"X"</formula>
    </cfRule>
    <cfRule type="cellIs" dxfId="852" priority="349" operator="equal">
      <formula>"O"</formula>
    </cfRule>
    <cfRule type="cellIs" dxfId="851" priority="350" operator="equal">
      <formula>"미정"</formula>
    </cfRule>
    <cfRule type="cellIs" dxfId="850" priority="351" operator="equal">
      <formula>"예정"</formula>
    </cfRule>
    <cfRule type="cellIs" dxfId="849" priority="352" operator="equal">
      <formula>"확정"</formula>
    </cfRule>
  </conditionalFormatting>
  <conditionalFormatting sqref="O121:P121">
    <cfRule type="cellIs" dxfId="848" priority="338" operator="equal">
      <formula>"X"</formula>
    </cfRule>
    <cfRule type="cellIs" dxfId="847" priority="339" operator="equal">
      <formula>"O"</formula>
    </cfRule>
    <cfRule type="cellIs" dxfId="846" priority="340" operator="equal">
      <formula>"미정"</formula>
    </cfRule>
    <cfRule type="cellIs" dxfId="845" priority="341" operator="equal">
      <formula>"예정"</formula>
    </cfRule>
    <cfRule type="cellIs" dxfId="844" priority="342" operator="equal">
      <formula>"확정"</formula>
    </cfRule>
  </conditionalFormatting>
  <conditionalFormatting sqref="O133:P133">
    <cfRule type="cellIs" dxfId="843" priority="328" operator="equal">
      <formula>"X"</formula>
    </cfRule>
    <cfRule type="cellIs" dxfId="842" priority="329" operator="equal">
      <formula>"O"</formula>
    </cfRule>
    <cfRule type="cellIs" dxfId="841" priority="330" operator="equal">
      <formula>"미정"</formula>
    </cfRule>
    <cfRule type="cellIs" dxfId="840" priority="331" operator="equal">
      <formula>"예정"</formula>
    </cfRule>
    <cfRule type="cellIs" dxfId="839" priority="332" operator="equal">
      <formula>"확정"</formula>
    </cfRule>
  </conditionalFormatting>
  <conditionalFormatting sqref="O276:P276">
    <cfRule type="cellIs" dxfId="838" priority="318" operator="equal">
      <formula>"X"</formula>
    </cfRule>
    <cfRule type="cellIs" dxfId="837" priority="319" operator="equal">
      <formula>"O"</formula>
    </cfRule>
    <cfRule type="cellIs" dxfId="836" priority="320" operator="equal">
      <formula>"미정"</formula>
    </cfRule>
    <cfRule type="cellIs" dxfId="835" priority="321" operator="equal">
      <formula>"예정"</formula>
    </cfRule>
    <cfRule type="cellIs" dxfId="834" priority="322" operator="equal">
      <formula>"확정"</formula>
    </cfRule>
  </conditionalFormatting>
  <conditionalFormatting sqref="O289:P289">
    <cfRule type="cellIs" dxfId="833" priority="283" operator="equal">
      <formula>"X"</formula>
    </cfRule>
    <cfRule type="cellIs" dxfId="832" priority="284" operator="equal">
      <formula>"O"</formula>
    </cfRule>
    <cfRule type="cellIs" dxfId="831" priority="285" operator="equal">
      <formula>"미정"</formula>
    </cfRule>
    <cfRule type="cellIs" dxfId="830" priority="286" operator="equal">
      <formula>"예정"</formula>
    </cfRule>
    <cfRule type="cellIs" dxfId="829" priority="287" operator="equal">
      <formula>"확정"</formula>
    </cfRule>
  </conditionalFormatting>
  <conditionalFormatting sqref="N7">
    <cfRule type="cellIs" dxfId="828" priority="273" operator="equal">
      <formula>"X"</formula>
    </cfRule>
    <cfRule type="cellIs" dxfId="827" priority="274" operator="equal">
      <formula>"O"</formula>
    </cfRule>
    <cfRule type="cellIs" dxfId="826" priority="275" operator="equal">
      <formula>"미정"</formula>
    </cfRule>
    <cfRule type="cellIs" dxfId="825" priority="276" operator="equal">
      <formula>"예정"</formula>
    </cfRule>
    <cfRule type="cellIs" dxfId="824" priority="277" operator="equal">
      <formula>"확정"</formula>
    </cfRule>
  </conditionalFormatting>
  <conditionalFormatting sqref="M7">
    <cfRule type="cellIs" dxfId="823" priority="278" operator="equal">
      <formula>"X"</formula>
    </cfRule>
    <cfRule type="cellIs" dxfId="822" priority="279" operator="equal">
      <formula>"O"</formula>
    </cfRule>
    <cfRule type="cellIs" dxfId="821" priority="280" operator="equal">
      <formula>"미정"</formula>
    </cfRule>
    <cfRule type="cellIs" dxfId="820" priority="281" operator="equal">
      <formula>"예정"</formula>
    </cfRule>
    <cfRule type="cellIs" dxfId="819" priority="282" operator="equal">
      <formula>"확정"</formula>
    </cfRule>
  </conditionalFormatting>
  <conditionalFormatting sqref="N121">
    <cfRule type="cellIs" dxfId="818" priority="263" operator="equal">
      <formula>"X"</formula>
    </cfRule>
    <cfRule type="cellIs" dxfId="817" priority="264" operator="equal">
      <formula>"O"</formula>
    </cfRule>
    <cfRule type="cellIs" dxfId="816" priority="265" operator="equal">
      <formula>"미정"</formula>
    </cfRule>
    <cfRule type="cellIs" dxfId="815" priority="266" operator="equal">
      <formula>"예정"</formula>
    </cfRule>
    <cfRule type="cellIs" dxfId="814" priority="267" operator="equal">
      <formula>"확정"</formula>
    </cfRule>
  </conditionalFormatting>
  <conditionalFormatting sqref="M121">
    <cfRule type="cellIs" dxfId="813" priority="268" operator="equal">
      <formula>"X"</formula>
    </cfRule>
    <cfRule type="cellIs" dxfId="812" priority="269" operator="equal">
      <formula>"O"</formula>
    </cfRule>
    <cfRule type="cellIs" dxfId="811" priority="270" operator="equal">
      <formula>"미정"</formula>
    </cfRule>
    <cfRule type="cellIs" dxfId="810" priority="271" operator="equal">
      <formula>"예정"</formula>
    </cfRule>
    <cfRule type="cellIs" dxfId="809" priority="272" operator="equal">
      <formula>"확정"</formula>
    </cfRule>
  </conditionalFormatting>
  <conditionalFormatting sqref="N133">
    <cfRule type="cellIs" dxfId="808" priority="253" operator="equal">
      <formula>"X"</formula>
    </cfRule>
    <cfRule type="cellIs" dxfId="807" priority="254" operator="equal">
      <formula>"O"</formula>
    </cfRule>
    <cfRule type="cellIs" dxfId="806" priority="255" operator="equal">
      <formula>"미정"</formula>
    </cfRule>
    <cfRule type="cellIs" dxfId="805" priority="256" operator="equal">
      <formula>"예정"</formula>
    </cfRule>
    <cfRule type="cellIs" dxfId="804" priority="257" operator="equal">
      <formula>"확정"</formula>
    </cfRule>
  </conditionalFormatting>
  <conditionalFormatting sqref="M133">
    <cfRule type="cellIs" dxfId="803" priority="258" operator="equal">
      <formula>"X"</formula>
    </cfRule>
    <cfRule type="cellIs" dxfId="802" priority="259" operator="equal">
      <formula>"O"</formula>
    </cfRule>
    <cfRule type="cellIs" dxfId="801" priority="260" operator="equal">
      <formula>"미정"</formula>
    </cfRule>
    <cfRule type="cellIs" dxfId="800" priority="261" operator="equal">
      <formula>"예정"</formula>
    </cfRule>
    <cfRule type="cellIs" dxfId="799" priority="262" operator="equal">
      <formula>"확정"</formula>
    </cfRule>
  </conditionalFormatting>
  <conditionalFormatting sqref="N276">
    <cfRule type="cellIs" dxfId="798" priority="243" operator="equal">
      <formula>"X"</formula>
    </cfRule>
    <cfRule type="cellIs" dxfId="797" priority="244" operator="equal">
      <formula>"O"</formula>
    </cfRule>
    <cfRule type="cellIs" dxfId="796" priority="245" operator="equal">
      <formula>"미정"</formula>
    </cfRule>
    <cfRule type="cellIs" dxfId="795" priority="246" operator="equal">
      <formula>"예정"</formula>
    </cfRule>
    <cfRule type="cellIs" dxfId="794" priority="247" operator="equal">
      <formula>"확정"</formula>
    </cfRule>
  </conditionalFormatting>
  <conditionalFormatting sqref="M276">
    <cfRule type="cellIs" dxfId="793" priority="248" operator="equal">
      <formula>"X"</formula>
    </cfRule>
    <cfRule type="cellIs" dxfId="792" priority="249" operator="equal">
      <formula>"O"</formula>
    </cfRule>
    <cfRule type="cellIs" dxfId="791" priority="250" operator="equal">
      <formula>"미정"</formula>
    </cfRule>
    <cfRule type="cellIs" dxfId="790" priority="251" operator="equal">
      <formula>"예정"</formula>
    </cfRule>
    <cfRule type="cellIs" dxfId="789" priority="252" operator="equal">
      <formula>"확정"</formula>
    </cfRule>
  </conditionalFormatting>
  <conditionalFormatting sqref="K297:L297">
    <cfRule type="cellIs" dxfId="788" priority="218" operator="equal">
      <formula>"X"</formula>
    </cfRule>
    <cfRule type="cellIs" dxfId="787" priority="219" operator="equal">
      <formula>"O"</formula>
    </cfRule>
    <cfRule type="cellIs" dxfId="786" priority="220" operator="equal">
      <formula>"미정"</formula>
    </cfRule>
    <cfRule type="cellIs" dxfId="785" priority="221" operator="equal">
      <formula>"예정"</formula>
    </cfRule>
    <cfRule type="cellIs" dxfId="784" priority="222" operator="equal">
      <formula>"확정"</formula>
    </cfRule>
  </conditionalFormatting>
  <conditionalFormatting sqref="O297:P297">
    <cfRule type="cellIs" dxfId="783" priority="213" operator="equal">
      <formula>"X"</formula>
    </cfRule>
    <cfRule type="cellIs" dxfId="782" priority="214" operator="equal">
      <formula>"O"</formula>
    </cfRule>
    <cfRule type="cellIs" dxfId="781" priority="215" operator="equal">
      <formula>"미정"</formula>
    </cfRule>
    <cfRule type="cellIs" dxfId="780" priority="216" operator="equal">
      <formula>"예정"</formula>
    </cfRule>
    <cfRule type="cellIs" dxfId="779" priority="217" operator="equal">
      <formula>"확정"</formula>
    </cfRule>
  </conditionalFormatting>
  <conditionalFormatting sqref="N289">
    <cfRule type="cellIs" dxfId="778" priority="203" operator="equal">
      <formula>"X"</formula>
    </cfRule>
    <cfRule type="cellIs" dxfId="777" priority="204" operator="equal">
      <formula>"O"</formula>
    </cfRule>
    <cfRule type="cellIs" dxfId="776" priority="205" operator="equal">
      <formula>"미정"</formula>
    </cfRule>
    <cfRule type="cellIs" dxfId="775" priority="206" operator="equal">
      <formula>"예정"</formula>
    </cfRule>
    <cfRule type="cellIs" dxfId="774" priority="207" operator="equal">
      <formula>"확정"</formula>
    </cfRule>
  </conditionalFormatting>
  <conditionalFormatting sqref="M289">
    <cfRule type="cellIs" dxfId="773" priority="208" operator="equal">
      <formula>"X"</formula>
    </cfRule>
    <cfRule type="cellIs" dxfId="772" priority="209" operator="equal">
      <formula>"O"</formula>
    </cfRule>
    <cfRule type="cellIs" dxfId="771" priority="210" operator="equal">
      <formula>"미정"</formula>
    </cfRule>
    <cfRule type="cellIs" dxfId="770" priority="211" operator="equal">
      <formula>"예정"</formula>
    </cfRule>
    <cfRule type="cellIs" dxfId="769" priority="212" operator="equal">
      <formula>"확정"</formula>
    </cfRule>
  </conditionalFormatting>
  <conditionalFormatting sqref="N297">
    <cfRule type="cellIs" dxfId="768" priority="193" operator="equal">
      <formula>"X"</formula>
    </cfRule>
    <cfRule type="cellIs" dxfId="767" priority="194" operator="equal">
      <formula>"O"</formula>
    </cfRule>
    <cfRule type="cellIs" dxfId="766" priority="195" operator="equal">
      <formula>"미정"</formula>
    </cfRule>
    <cfRule type="cellIs" dxfId="765" priority="196" operator="equal">
      <formula>"예정"</formula>
    </cfRule>
    <cfRule type="cellIs" dxfId="764" priority="197" operator="equal">
      <formula>"확정"</formula>
    </cfRule>
  </conditionalFormatting>
  <conditionalFormatting sqref="M297">
    <cfRule type="cellIs" dxfId="763" priority="198" operator="equal">
      <formula>"X"</formula>
    </cfRule>
    <cfRule type="cellIs" dxfId="762" priority="199" operator="equal">
      <formula>"O"</formula>
    </cfRule>
    <cfRule type="cellIs" dxfId="761" priority="200" operator="equal">
      <formula>"미정"</formula>
    </cfRule>
    <cfRule type="cellIs" dxfId="760" priority="201" operator="equal">
      <formula>"예정"</formula>
    </cfRule>
    <cfRule type="cellIs" dxfId="759" priority="202" operator="equal">
      <formula>"확정"</formula>
    </cfRule>
  </conditionalFormatting>
  <conditionalFormatting sqref="K181:L181">
    <cfRule type="cellIs" dxfId="758" priority="188" operator="equal">
      <formula>"X"</formula>
    </cfRule>
    <cfRule type="cellIs" dxfId="757" priority="189" operator="equal">
      <formula>"O"</formula>
    </cfRule>
    <cfRule type="cellIs" dxfId="756" priority="190" operator="equal">
      <formula>"미정"</formula>
    </cfRule>
    <cfRule type="cellIs" dxfId="755" priority="191" operator="equal">
      <formula>"예정"</formula>
    </cfRule>
    <cfRule type="cellIs" dxfId="754" priority="192" operator="equal">
      <formula>"확정"</formula>
    </cfRule>
  </conditionalFormatting>
  <conditionalFormatting sqref="O181:P181">
    <cfRule type="cellIs" dxfId="753" priority="183" operator="equal">
      <formula>"X"</formula>
    </cfRule>
    <cfRule type="cellIs" dxfId="752" priority="184" operator="equal">
      <formula>"O"</formula>
    </cfRule>
    <cfRule type="cellIs" dxfId="751" priority="185" operator="equal">
      <formula>"미정"</formula>
    </cfRule>
    <cfRule type="cellIs" dxfId="750" priority="186" operator="equal">
      <formula>"예정"</formula>
    </cfRule>
    <cfRule type="cellIs" dxfId="749" priority="187" operator="equal">
      <formula>"확정"</formula>
    </cfRule>
  </conditionalFormatting>
  <conditionalFormatting sqref="N181">
    <cfRule type="cellIs" dxfId="748" priority="173" operator="equal">
      <formula>"X"</formula>
    </cfRule>
    <cfRule type="cellIs" dxfId="747" priority="174" operator="equal">
      <formula>"O"</formula>
    </cfRule>
    <cfRule type="cellIs" dxfId="746" priority="175" operator="equal">
      <formula>"미정"</formula>
    </cfRule>
    <cfRule type="cellIs" dxfId="745" priority="176" operator="equal">
      <formula>"예정"</formula>
    </cfRule>
    <cfRule type="cellIs" dxfId="744" priority="177" operator="equal">
      <formula>"확정"</formula>
    </cfRule>
  </conditionalFormatting>
  <conditionalFormatting sqref="M181">
    <cfRule type="cellIs" dxfId="743" priority="178" operator="equal">
      <formula>"X"</formula>
    </cfRule>
    <cfRule type="cellIs" dxfId="742" priority="179" operator="equal">
      <formula>"O"</formula>
    </cfRule>
    <cfRule type="cellIs" dxfId="741" priority="180" operator="equal">
      <formula>"미정"</formula>
    </cfRule>
    <cfRule type="cellIs" dxfId="740" priority="181" operator="equal">
      <formula>"예정"</formula>
    </cfRule>
    <cfRule type="cellIs" dxfId="739" priority="182" operator="equal">
      <formula>"확정"</formula>
    </cfRule>
  </conditionalFormatting>
  <conditionalFormatting sqref="K201:M201">
    <cfRule type="cellIs" dxfId="738" priority="143" operator="equal">
      <formula>"X"</formula>
    </cfRule>
    <cfRule type="cellIs" dxfId="737" priority="144" operator="equal">
      <formula>"O"</formula>
    </cfRule>
    <cfRule type="cellIs" dxfId="736" priority="145" operator="equal">
      <formula>"미정"</formula>
    </cfRule>
    <cfRule type="cellIs" dxfId="735" priority="146" operator="equal">
      <formula>"예정"</formula>
    </cfRule>
    <cfRule type="cellIs" dxfId="734" priority="147" operator="equal">
      <formula>"확정"</formula>
    </cfRule>
  </conditionalFormatting>
  <conditionalFormatting sqref="N201:P201">
    <cfRule type="cellIs" dxfId="733" priority="148" operator="equal">
      <formula>"X"</formula>
    </cfRule>
    <cfRule type="cellIs" dxfId="732" priority="149" operator="equal">
      <formula>"O"</formula>
    </cfRule>
    <cfRule type="cellIs" dxfId="731" priority="150" operator="equal">
      <formula>"미정"</formula>
    </cfRule>
    <cfRule type="cellIs" dxfId="730" priority="151" operator="equal">
      <formula>"예정"</formula>
    </cfRule>
    <cfRule type="cellIs" dxfId="729" priority="152" operator="equal">
      <formula>"확정"</formula>
    </cfRule>
  </conditionalFormatting>
  <conditionalFormatting sqref="K234:M234">
    <cfRule type="cellIs" dxfId="728" priority="133" operator="equal">
      <formula>"X"</formula>
    </cfRule>
    <cfRule type="cellIs" dxfId="727" priority="134" operator="equal">
      <formula>"O"</formula>
    </cfRule>
    <cfRule type="cellIs" dxfId="726" priority="135" operator="equal">
      <formula>"미정"</formula>
    </cfRule>
    <cfRule type="cellIs" dxfId="725" priority="136" operator="equal">
      <formula>"예정"</formula>
    </cfRule>
    <cfRule type="cellIs" dxfId="724" priority="137" operator="equal">
      <formula>"확정"</formula>
    </cfRule>
  </conditionalFormatting>
  <conditionalFormatting sqref="N234:P234">
    <cfRule type="cellIs" dxfId="723" priority="138" operator="equal">
      <formula>"X"</formula>
    </cfRule>
    <cfRule type="cellIs" dxfId="722" priority="139" operator="equal">
      <formula>"O"</formula>
    </cfRule>
    <cfRule type="cellIs" dxfId="721" priority="140" operator="equal">
      <formula>"미정"</formula>
    </cfRule>
    <cfRule type="cellIs" dxfId="720" priority="141" operator="equal">
      <formula>"예정"</formula>
    </cfRule>
    <cfRule type="cellIs" dxfId="719" priority="142" operator="equal">
      <formula>"확정"</formula>
    </cfRule>
  </conditionalFormatting>
  <conditionalFormatting sqref="K240:M240">
    <cfRule type="cellIs" dxfId="718" priority="123" operator="equal">
      <formula>"X"</formula>
    </cfRule>
    <cfRule type="cellIs" dxfId="717" priority="124" operator="equal">
      <formula>"O"</formula>
    </cfRule>
    <cfRule type="cellIs" dxfId="716" priority="125" operator="equal">
      <formula>"미정"</formula>
    </cfRule>
    <cfRule type="cellIs" dxfId="715" priority="126" operator="equal">
      <formula>"예정"</formula>
    </cfRule>
    <cfRule type="cellIs" dxfId="714" priority="127" operator="equal">
      <formula>"확정"</formula>
    </cfRule>
  </conditionalFormatting>
  <conditionalFormatting sqref="N240:P240">
    <cfRule type="cellIs" dxfId="713" priority="128" operator="equal">
      <formula>"X"</formula>
    </cfRule>
    <cfRule type="cellIs" dxfId="712" priority="129" operator="equal">
      <formula>"O"</formula>
    </cfRule>
    <cfRule type="cellIs" dxfId="711" priority="130" operator="equal">
      <formula>"미정"</formula>
    </cfRule>
    <cfRule type="cellIs" dxfId="710" priority="131" operator="equal">
      <formula>"예정"</formula>
    </cfRule>
    <cfRule type="cellIs" dxfId="709" priority="132" operator="equal">
      <formula>"확정"</formula>
    </cfRule>
  </conditionalFormatting>
  <conditionalFormatting sqref="K250:M250">
    <cfRule type="cellIs" dxfId="708" priority="113" operator="equal">
      <formula>"X"</formula>
    </cfRule>
    <cfRule type="cellIs" dxfId="707" priority="114" operator="equal">
      <formula>"O"</formula>
    </cfRule>
    <cfRule type="cellIs" dxfId="706" priority="115" operator="equal">
      <formula>"미정"</formula>
    </cfRule>
    <cfRule type="cellIs" dxfId="705" priority="116" operator="equal">
      <formula>"예정"</formula>
    </cfRule>
    <cfRule type="cellIs" dxfId="704" priority="117" operator="equal">
      <formula>"확정"</formula>
    </cfRule>
  </conditionalFormatting>
  <conditionalFormatting sqref="N250:P250">
    <cfRule type="cellIs" dxfId="703" priority="118" operator="equal">
      <formula>"X"</formula>
    </cfRule>
    <cfRule type="cellIs" dxfId="702" priority="119" operator="equal">
      <formula>"O"</formula>
    </cfRule>
    <cfRule type="cellIs" dxfId="701" priority="120" operator="equal">
      <formula>"미정"</formula>
    </cfRule>
    <cfRule type="cellIs" dxfId="700" priority="121" operator="equal">
      <formula>"예정"</formula>
    </cfRule>
    <cfRule type="cellIs" dxfId="699" priority="122" operator="equal">
      <formula>"확정"</formula>
    </cfRule>
  </conditionalFormatting>
  <conditionalFormatting sqref="K263:M263">
    <cfRule type="cellIs" dxfId="698" priority="103" operator="equal">
      <formula>"X"</formula>
    </cfRule>
    <cfRule type="cellIs" dxfId="697" priority="104" operator="equal">
      <formula>"O"</formula>
    </cfRule>
    <cfRule type="cellIs" dxfId="696" priority="105" operator="equal">
      <formula>"미정"</formula>
    </cfRule>
    <cfRule type="cellIs" dxfId="695" priority="106" operator="equal">
      <formula>"예정"</formula>
    </cfRule>
    <cfRule type="cellIs" dxfId="694" priority="107" operator="equal">
      <formula>"확정"</formula>
    </cfRule>
  </conditionalFormatting>
  <conditionalFormatting sqref="N263:P263">
    <cfRule type="cellIs" dxfId="693" priority="108" operator="equal">
      <formula>"X"</formula>
    </cfRule>
    <cfRule type="cellIs" dxfId="692" priority="109" operator="equal">
      <formula>"O"</formula>
    </cfRule>
    <cfRule type="cellIs" dxfId="691" priority="110" operator="equal">
      <formula>"미정"</formula>
    </cfRule>
    <cfRule type="cellIs" dxfId="690" priority="111" operator="equal">
      <formula>"예정"</formula>
    </cfRule>
    <cfRule type="cellIs" dxfId="689" priority="112" operator="equal">
      <formula>"확정"</formula>
    </cfRule>
  </conditionalFormatting>
  <conditionalFormatting sqref="K191:M191">
    <cfRule type="cellIs" dxfId="688" priority="93" operator="equal">
      <formula>"X"</formula>
    </cfRule>
    <cfRule type="cellIs" dxfId="687" priority="94" operator="equal">
      <formula>"O"</formula>
    </cfRule>
    <cfRule type="cellIs" dxfId="686" priority="95" operator="equal">
      <formula>"미정"</formula>
    </cfRule>
    <cfRule type="cellIs" dxfId="685" priority="96" operator="equal">
      <formula>"예정"</formula>
    </cfRule>
    <cfRule type="cellIs" dxfId="684" priority="97" operator="equal">
      <formula>"확정"</formula>
    </cfRule>
  </conditionalFormatting>
  <conditionalFormatting sqref="N191:P191">
    <cfRule type="cellIs" dxfId="683" priority="98" operator="equal">
      <formula>"X"</formula>
    </cfRule>
    <cfRule type="cellIs" dxfId="682" priority="99" operator="equal">
      <formula>"O"</formula>
    </cfRule>
    <cfRule type="cellIs" dxfId="681" priority="100" operator="equal">
      <formula>"미정"</formula>
    </cfRule>
    <cfRule type="cellIs" dxfId="680" priority="101" operator="equal">
      <formula>"예정"</formula>
    </cfRule>
    <cfRule type="cellIs" dxfId="679" priority="102" operator="equal">
      <formula>"확정"</formula>
    </cfRule>
  </conditionalFormatting>
  <conditionalFormatting sqref="K209:M209">
    <cfRule type="cellIs" dxfId="678" priority="83" operator="equal">
      <formula>"X"</formula>
    </cfRule>
    <cfRule type="cellIs" dxfId="677" priority="84" operator="equal">
      <formula>"O"</formula>
    </cfRule>
    <cfRule type="cellIs" dxfId="676" priority="85" operator="equal">
      <formula>"미정"</formula>
    </cfRule>
    <cfRule type="cellIs" dxfId="675" priority="86" operator="equal">
      <formula>"예정"</formula>
    </cfRule>
    <cfRule type="cellIs" dxfId="674" priority="87" operator="equal">
      <formula>"확정"</formula>
    </cfRule>
  </conditionalFormatting>
  <conditionalFormatting sqref="N209:P209">
    <cfRule type="cellIs" dxfId="673" priority="88" operator="equal">
      <formula>"X"</formula>
    </cfRule>
    <cfRule type="cellIs" dxfId="672" priority="89" operator="equal">
      <formula>"O"</formula>
    </cfRule>
    <cfRule type="cellIs" dxfId="671" priority="90" operator="equal">
      <formula>"미정"</formula>
    </cfRule>
    <cfRule type="cellIs" dxfId="670" priority="91" operator="equal">
      <formula>"예정"</formula>
    </cfRule>
    <cfRule type="cellIs" dxfId="669" priority="92" operator="equal">
      <formula>"확정"</formula>
    </cfRule>
  </conditionalFormatting>
  <conditionalFormatting sqref="V10">
    <cfRule type="cellIs" dxfId="668" priority="71" operator="lessThan">
      <formula>0</formula>
    </cfRule>
    <cfRule type="cellIs" dxfId="667" priority="72" operator="greaterThan">
      <formula>0</formula>
    </cfRule>
  </conditionalFormatting>
  <conditionalFormatting sqref="V12">
    <cfRule type="cellIs" dxfId="666" priority="69" operator="lessThan">
      <formula>0</formula>
    </cfRule>
    <cfRule type="cellIs" dxfId="665" priority="70" operator="greaterThan">
      <formula>0</formula>
    </cfRule>
  </conditionalFormatting>
  <conditionalFormatting sqref="V21">
    <cfRule type="cellIs" dxfId="664" priority="67" operator="lessThan">
      <formula>0</formula>
    </cfRule>
    <cfRule type="cellIs" dxfId="663" priority="68" operator="greaterThan">
      <formula>0</formula>
    </cfRule>
  </conditionalFormatting>
  <conditionalFormatting sqref="V23">
    <cfRule type="cellIs" dxfId="662" priority="65" operator="lessThan">
      <formula>0</formula>
    </cfRule>
    <cfRule type="cellIs" dxfId="661" priority="66" operator="greaterThan">
      <formula>0</formula>
    </cfRule>
  </conditionalFormatting>
  <conditionalFormatting sqref="V25">
    <cfRule type="cellIs" dxfId="660" priority="63" operator="lessThan">
      <formula>0</formula>
    </cfRule>
    <cfRule type="cellIs" dxfId="659" priority="64" operator="greaterThan">
      <formula>0</formula>
    </cfRule>
  </conditionalFormatting>
  <conditionalFormatting sqref="V32">
    <cfRule type="cellIs" dxfId="658" priority="61" operator="lessThan">
      <formula>0</formula>
    </cfRule>
    <cfRule type="cellIs" dxfId="657" priority="62" operator="greaterThan">
      <formula>0</formula>
    </cfRule>
  </conditionalFormatting>
  <conditionalFormatting sqref="V39">
    <cfRule type="cellIs" dxfId="656" priority="59" operator="lessThan">
      <formula>0</formula>
    </cfRule>
    <cfRule type="cellIs" dxfId="655" priority="60" operator="greaterThan">
      <formula>0</formula>
    </cfRule>
  </conditionalFormatting>
  <conditionalFormatting sqref="V43">
    <cfRule type="cellIs" dxfId="654" priority="57" operator="lessThan">
      <formula>0</formula>
    </cfRule>
    <cfRule type="cellIs" dxfId="653" priority="58" operator="greaterThan">
      <formula>0</formula>
    </cfRule>
  </conditionalFormatting>
  <conditionalFormatting sqref="V41">
    <cfRule type="cellIs" dxfId="652" priority="55" operator="lessThan">
      <formula>0</formula>
    </cfRule>
    <cfRule type="cellIs" dxfId="651" priority="56" operator="greaterThan">
      <formula>0</formula>
    </cfRule>
  </conditionalFormatting>
  <conditionalFormatting sqref="V50">
    <cfRule type="cellIs" dxfId="650" priority="53" operator="lessThan">
      <formula>0</formula>
    </cfRule>
    <cfRule type="cellIs" dxfId="649" priority="54" operator="greaterThan">
      <formula>0</formula>
    </cfRule>
  </conditionalFormatting>
  <conditionalFormatting sqref="V52">
    <cfRule type="cellIs" dxfId="648" priority="51" operator="lessThan">
      <formula>0</formula>
    </cfRule>
    <cfRule type="cellIs" dxfId="647" priority="52" operator="greaterThan">
      <formula>0</formula>
    </cfRule>
  </conditionalFormatting>
  <conditionalFormatting sqref="V54">
    <cfRule type="cellIs" dxfId="646" priority="49" operator="lessThan">
      <formula>0</formula>
    </cfRule>
    <cfRule type="cellIs" dxfId="645" priority="50" operator="greaterThan">
      <formula>0</formula>
    </cfRule>
  </conditionalFormatting>
  <conditionalFormatting sqref="V61">
    <cfRule type="cellIs" dxfId="644" priority="47" operator="lessThan">
      <formula>0</formula>
    </cfRule>
    <cfRule type="cellIs" dxfId="643" priority="48" operator="greaterThan">
      <formula>0</formula>
    </cfRule>
  </conditionalFormatting>
  <conditionalFormatting sqref="V63">
    <cfRule type="cellIs" dxfId="642" priority="45" operator="lessThan">
      <formula>0</formula>
    </cfRule>
    <cfRule type="cellIs" dxfId="641" priority="46" operator="greaterThan">
      <formula>0</formula>
    </cfRule>
  </conditionalFormatting>
  <conditionalFormatting sqref="V72">
    <cfRule type="cellIs" dxfId="640" priority="43" operator="lessThan">
      <formula>0</formula>
    </cfRule>
    <cfRule type="cellIs" dxfId="639" priority="44" operator="greaterThan">
      <formula>0</formula>
    </cfRule>
  </conditionalFormatting>
  <conditionalFormatting sqref="V74">
    <cfRule type="cellIs" dxfId="638" priority="41" operator="lessThan">
      <formula>0</formula>
    </cfRule>
    <cfRule type="cellIs" dxfId="637" priority="42" operator="greaterThan">
      <formula>0</formula>
    </cfRule>
  </conditionalFormatting>
  <conditionalFormatting sqref="V76">
    <cfRule type="cellIs" dxfId="636" priority="39" operator="lessThan">
      <formula>0</formula>
    </cfRule>
    <cfRule type="cellIs" dxfId="635" priority="40" operator="greaterThan">
      <formula>0</formula>
    </cfRule>
  </conditionalFormatting>
  <conditionalFormatting sqref="V83">
    <cfRule type="cellIs" dxfId="634" priority="37" operator="lessThan">
      <formula>0</formula>
    </cfRule>
    <cfRule type="cellIs" dxfId="633" priority="38" operator="greaterThan">
      <formula>0</formula>
    </cfRule>
  </conditionalFormatting>
  <conditionalFormatting sqref="V85">
    <cfRule type="cellIs" dxfId="632" priority="35" operator="lessThan">
      <formula>0</formula>
    </cfRule>
    <cfRule type="cellIs" dxfId="631" priority="36" operator="greaterThan">
      <formula>0</formula>
    </cfRule>
  </conditionalFormatting>
  <conditionalFormatting sqref="V87">
    <cfRule type="cellIs" dxfId="630" priority="33" operator="lessThan">
      <formula>0</formula>
    </cfRule>
    <cfRule type="cellIs" dxfId="629" priority="34" operator="greaterThan">
      <formula>0</formula>
    </cfRule>
  </conditionalFormatting>
  <conditionalFormatting sqref="V94">
    <cfRule type="cellIs" dxfId="628" priority="31" operator="lessThan">
      <formula>0</formula>
    </cfRule>
    <cfRule type="cellIs" dxfId="627" priority="32" operator="greaterThan">
      <formula>0</formula>
    </cfRule>
  </conditionalFormatting>
  <conditionalFormatting sqref="V96">
    <cfRule type="cellIs" dxfId="626" priority="29" operator="lessThan">
      <formula>0</formula>
    </cfRule>
    <cfRule type="cellIs" dxfId="625" priority="30" operator="greaterThan">
      <formula>0</formula>
    </cfRule>
  </conditionalFormatting>
  <conditionalFormatting sqref="V98">
    <cfRule type="cellIs" dxfId="624" priority="27" operator="lessThan">
      <formula>0</formula>
    </cfRule>
    <cfRule type="cellIs" dxfId="623" priority="28" operator="greaterThan">
      <formula>0</formula>
    </cfRule>
  </conditionalFormatting>
  <conditionalFormatting sqref="V100">
    <cfRule type="cellIs" dxfId="622" priority="25" operator="lessThan">
      <formula>0</formula>
    </cfRule>
    <cfRule type="cellIs" dxfId="621" priority="26" operator="greaterThan">
      <formula>0</formula>
    </cfRule>
  </conditionalFormatting>
  <conditionalFormatting sqref="V102">
    <cfRule type="cellIs" dxfId="620" priority="23" operator="lessThan">
      <formula>0</formula>
    </cfRule>
    <cfRule type="cellIs" dxfId="619" priority="24" operator="greaterThan">
      <formula>0</formula>
    </cfRule>
  </conditionalFormatting>
  <conditionalFormatting sqref="V104">
    <cfRule type="cellIs" dxfId="618" priority="21" operator="lessThan">
      <formula>0</formula>
    </cfRule>
    <cfRule type="cellIs" dxfId="617" priority="22" operator="greaterThan">
      <formula>0</formula>
    </cfRule>
  </conditionalFormatting>
  <conditionalFormatting sqref="V106">
    <cfRule type="cellIs" dxfId="616" priority="19" operator="lessThan">
      <formula>0</formula>
    </cfRule>
    <cfRule type="cellIs" dxfId="615" priority="20" operator="greaterThan">
      <formula>0</formula>
    </cfRule>
  </conditionalFormatting>
  <conditionalFormatting sqref="V108">
    <cfRule type="cellIs" dxfId="614" priority="17" operator="lessThan">
      <formula>0</formula>
    </cfRule>
    <cfRule type="cellIs" dxfId="613" priority="18" operator="greaterThan">
      <formula>0</formula>
    </cfRule>
  </conditionalFormatting>
  <conditionalFormatting sqref="V110">
    <cfRule type="cellIs" dxfId="612" priority="15" operator="lessThan">
      <formula>0</formula>
    </cfRule>
    <cfRule type="cellIs" dxfId="611" priority="16" operator="greaterThan">
      <formula>0</formula>
    </cfRule>
  </conditionalFormatting>
  <conditionalFormatting sqref="V118">
    <cfRule type="cellIs" dxfId="610" priority="13" operator="lessThan">
      <formula>0</formula>
    </cfRule>
    <cfRule type="cellIs" dxfId="609" priority="14" operator="greaterThan">
      <formula>0</formula>
    </cfRule>
  </conditionalFormatting>
  <conditionalFormatting sqref="V130">
    <cfRule type="cellIs" dxfId="608" priority="11" operator="lessThan">
      <formula>0</formula>
    </cfRule>
    <cfRule type="cellIs" dxfId="607" priority="12" operator="greaterThan">
      <formula>0</formula>
    </cfRule>
  </conditionalFormatting>
  <conditionalFormatting sqref="V140">
    <cfRule type="cellIs" dxfId="606" priority="9" operator="lessThan">
      <formula>0</formula>
    </cfRule>
    <cfRule type="cellIs" dxfId="605" priority="10" operator="greaterThan">
      <formula>0</formula>
    </cfRule>
  </conditionalFormatting>
  <conditionalFormatting sqref="V157">
    <cfRule type="cellIs" dxfId="604" priority="7" operator="lessThan">
      <formula>0</formula>
    </cfRule>
    <cfRule type="cellIs" dxfId="603" priority="8" operator="greaterThan">
      <formula>0</formula>
    </cfRule>
  </conditionalFormatting>
  <conditionalFormatting sqref="V162">
    <cfRule type="cellIs" dxfId="602" priority="5" operator="lessThan">
      <formula>0</formula>
    </cfRule>
    <cfRule type="cellIs" dxfId="601" priority="6" operator="greaterThan">
      <formula>0</formula>
    </cfRule>
  </conditionalFormatting>
  <conditionalFormatting sqref="V167">
    <cfRule type="cellIs" dxfId="600" priority="3" operator="lessThan">
      <formula>0</formula>
    </cfRule>
    <cfRule type="cellIs" dxfId="599" priority="4" operator="greaterThan">
      <formula>0</formula>
    </cfRule>
  </conditionalFormatting>
  <conditionalFormatting sqref="V170">
    <cfRule type="cellIs" dxfId="598" priority="1" operator="lessThan">
      <formula>0</formula>
    </cfRule>
    <cfRule type="cellIs" dxfId="597" priority="2" operator="greaterThan">
      <formula>0</formula>
    </cfRule>
  </conditionalFormatting>
  <pageMargins left="0.7" right="0.7" top="0.75" bottom="0.75" header="0.3" footer="0.3"/>
  <pageSetup paperSize="9" scale="21"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V147"/>
  <sheetViews>
    <sheetView workbookViewId="0">
      <pane xSplit="9" ySplit="7" topLeftCell="J8" activePane="bottomRight" state="frozen"/>
      <selection pane="topRight" activeCell="J1" sqref="J1"/>
      <selection pane="bottomLeft" activeCell="A8" sqref="A8"/>
      <selection pane="bottomRight" activeCell="J8" sqref="J8"/>
    </sheetView>
  </sheetViews>
  <sheetFormatPr defaultRowHeight="12" customHeight="1" outlineLevelCol="1"/>
  <cols>
    <col min="1" max="1" width="4.625" style="3" customWidth="1"/>
    <col min="2" max="5" width="1.625" style="3" customWidth="1"/>
    <col min="6" max="12" width="9" style="3"/>
    <col min="13" max="14" width="0" style="3" hidden="1" customWidth="1" outlineLevel="1"/>
    <col min="15" max="15" width="9" style="3" collapsed="1"/>
    <col min="16" max="20" width="9" style="3"/>
  </cols>
  <sheetData>
    <row r="1" spans="1:22" ht="12" customHeight="1">
      <c r="A1" s="2" t="str">
        <f ca="1">MID(CELL("filename",A1),FIND("]",CELL("filename",A1))+1,255)</f>
        <v>SG&amp;A</v>
      </c>
      <c r="B1" s="2"/>
      <c r="C1" s="2"/>
      <c r="D1" s="2"/>
      <c r="E1" s="2"/>
      <c r="F1" s="2"/>
      <c r="G1" s="2"/>
      <c r="H1" s="2"/>
      <c r="I1" s="2"/>
      <c r="J1" s="2"/>
      <c r="K1" s="2"/>
      <c r="L1" s="2"/>
      <c r="M1" s="2"/>
      <c r="N1" s="2"/>
      <c r="O1" s="2"/>
      <c r="P1" s="2"/>
      <c r="Q1" s="2"/>
      <c r="R1" s="2"/>
      <c r="S1" s="2"/>
      <c r="T1" s="2"/>
    </row>
    <row r="4" spans="1:22" ht="12" customHeight="1">
      <c r="A4" s="20" t="s">
        <v>21</v>
      </c>
      <c r="B4" s="21" t="s">
        <v>22</v>
      </c>
      <c r="C4" s="102"/>
      <c r="D4" s="102"/>
      <c r="E4" s="102"/>
      <c r="F4" s="102"/>
      <c r="G4" s="102"/>
      <c r="H4" s="102"/>
      <c r="I4" s="102"/>
      <c r="J4" s="102"/>
      <c r="K4" s="102"/>
      <c r="L4" s="102"/>
      <c r="M4" s="102"/>
      <c r="N4" s="102"/>
      <c r="O4" s="102"/>
      <c r="P4" s="102"/>
      <c r="Q4" s="102"/>
      <c r="R4" s="102"/>
      <c r="S4" s="102"/>
      <c r="T4" s="102"/>
    </row>
    <row r="6" spans="1:22" ht="12" customHeight="1">
      <c r="B6" s="24"/>
      <c r="C6" s="24"/>
      <c r="D6" s="24"/>
      <c r="E6" s="24"/>
      <c r="F6" s="24"/>
      <c r="G6" s="24"/>
      <c r="H6" s="24"/>
      <c r="I6" s="24"/>
      <c r="J6" s="25" t="s">
        <v>23</v>
      </c>
      <c r="K6" s="26"/>
      <c r="L6" s="26"/>
      <c r="M6" s="27"/>
      <c r="N6" s="26" t="s">
        <v>24</v>
      </c>
      <c r="O6" s="26"/>
      <c r="P6" s="26"/>
      <c r="Q6" s="26"/>
      <c r="R6" s="26"/>
      <c r="S6" s="26"/>
      <c r="T6" s="26"/>
    </row>
    <row r="7" spans="1:22" ht="12" customHeight="1">
      <c r="B7" s="28"/>
      <c r="C7" s="28"/>
      <c r="D7" s="28"/>
      <c r="E7" s="28"/>
      <c r="F7" s="28"/>
      <c r="G7" s="28"/>
      <c r="H7" s="1949" t="s">
        <v>3537</v>
      </c>
      <c r="I7" s="28"/>
      <c r="J7" s="29" t="s">
        <v>69</v>
      </c>
      <c r="K7" s="30" t="s">
        <v>27</v>
      </c>
      <c r="L7" s="108" t="s">
        <v>60</v>
      </c>
      <c r="M7" s="5073" t="s">
        <v>5104</v>
      </c>
      <c r="N7" s="5074" t="s">
        <v>5174</v>
      </c>
      <c r="O7" s="30" t="s">
        <v>70</v>
      </c>
      <c r="P7" s="30" t="s">
        <v>71</v>
      </c>
      <c r="Q7" s="30" t="s">
        <v>72</v>
      </c>
      <c r="R7" s="30" t="s">
        <v>73</v>
      </c>
      <c r="S7" s="30" t="s">
        <v>74</v>
      </c>
      <c r="T7" s="30" t="s">
        <v>5102</v>
      </c>
    </row>
    <row r="8" spans="1:22" ht="12" customHeight="1">
      <c r="A8" s="32"/>
      <c r="B8" s="33" t="s">
        <v>33</v>
      </c>
      <c r="C8" s="33"/>
      <c r="D8" s="33"/>
      <c r="E8" s="33"/>
      <c r="F8" s="33"/>
      <c r="G8" s="33"/>
      <c r="H8" s="33"/>
      <c r="I8" s="33"/>
      <c r="J8" s="396">
        <f>J9+J11-J13</f>
        <v>80621.196293999994</v>
      </c>
      <c r="K8" s="103">
        <f t="shared" ref="K8:S8" si="0">K9+K11-K13</f>
        <v>95923.831160000002</v>
      </c>
      <c r="L8" s="103">
        <f t="shared" si="0"/>
        <v>94880.853170999995</v>
      </c>
      <c r="M8" s="5047">
        <f t="shared" si="0"/>
        <v>68903.419282000003</v>
      </c>
      <c r="N8" s="5048">
        <f t="shared" si="0"/>
        <v>26272.531844391091</v>
      </c>
      <c r="O8" s="103">
        <f t="shared" si="0"/>
        <v>95175.951126391083</v>
      </c>
      <c r="P8" s="4878">
        <f t="shared" si="0"/>
        <v>99716.302896505018</v>
      </c>
      <c r="Q8" s="4878">
        <f t="shared" si="0"/>
        <v>99958.665171112458</v>
      </c>
      <c r="R8" s="4878">
        <f t="shared" si="0"/>
        <v>98675.640378007141</v>
      </c>
      <c r="S8" s="4878">
        <f t="shared" si="0"/>
        <v>102561.51030034552</v>
      </c>
      <c r="T8" s="4878">
        <f t="shared" ref="T8" si="1">T9+T11-T13</f>
        <v>101910.61093583106</v>
      </c>
    </row>
    <row r="9" spans="1:22" ht="12" customHeight="1">
      <c r="C9" s="3" t="s">
        <v>65</v>
      </c>
      <c r="J9" s="226">
        <f>J20</f>
        <v>88383.691806000003</v>
      </c>
      <c r="K9" s="205">
        <f t="shared" ref="K9:S9" si="2">K20</f>
        <v>88063.900544999997</v>
      </c>
      <c r="L9" s="105">
        <f t="shared" si="2"/>
        <v>86285.928555999999</v>
      </c>
      <c r="M9" s="5049">
        <f t="shared" si="2"/>
        <v>62738.936355999998</v>
      </c>
      <c r="N9" s="5050">
        <f t="shared" si="2"/>
        <v>23972.648439313809</v>
      </c>
      <c r="O9" s="105">
        <f>SUM(M9:N9)</f>
        <v>86711.5847953138</v>
      </c>
      <c r="P9" s="4879">
        <f t="shared" si="2"/>
        <v>91623.135451918002</v>
      </c>
      <c r="Q9" s="4879">
        <f t="shared" si="2"/>
        <v>92017.393958932516</v>
      </c>
      <c r="R9" s="4879">
        <f t="shared" si="2"/>
        <v>90730.250250407043</v>
      </c>
      <c r="S9" s="4879">
        <f t="shared" si="2"/>
        <v>94358.92937251502</v>
      </c>
      <c r="T9" s="4879">
        <f t="shared" ref="T9" si="3">T20</f>
        <v>93749.292705251501</v>
      </c>
    </row>
    <row r="10" spans="1:22" s="400" customFormat="1" ht="12" customHeight="1">
      <c r="A10" s="45"/>
      <c r="B10" s="45"/>
      <c r="C10" s="45" t="s">
        <v>32</v>
      </c>
      <c r="D10" s="45"/>
      <c r="E10" s="45"/>
      <c r="F10" s="45"/>
      <c r="G10" s="45"/>
      <c r="H10" s="110" t="s">
        <v>360</v>
      </c>
      <c r="I10" s="45"/>
      <c r="J10" s="3734">
        <f>J9/Revenue!J9</f>
        <v>1.2234502482925043E-2</v>
      </c>
      <c r="K10" s="11">
        <f>K9/Revenue!K9</f>
        <v>1.1522380313061582E-2</v>
      </c>
      <c r="L10" s="11">
        <f>L9/Revenue!L9</f>
        <v>1.1245957158195893E-2</v>
      </c>
      <c r="M10" s="5075">
        <f>M9/Revenue!M9</f>
        <v>8.9100318085373852E-3</v>
      </c>
      <c r="N10" s="5076">
        <f>N9/Revenue!N9</f>
        <v>8.5658017852737103E-3</v>
      </c>
      <c r="O10" s="11">
        <f>O9/Revenue!O9</f>
        <v>8.8121278152267935E-3</v>
      </c>
      <c r="P10" s="4911">
        <f>P9/Revenue!P9</f>
        <v>9.1576197568532611E-3</v>
      </c>
      <c r="Q10" s="4911">
        <f>Q9/Revenue!Q9</f>
        <v>9.3756242402290649E-3</v>
      </c>
      <c r="R10" s="4911">
        <f>R9/Revenue!R9</f>
        <v>9.7440761028325835E-3</v>
      </c>
      <c r="S10" s="4911">
        <f>S9/Revenue!S9</f>
        <v>1.0163229949723063E-2</v>
      </c>
      <c r="T10" s="4911">
        <f>T9/Revenue!T9</f>
        <v>9.8875653943336483E-3</v>
      </c>
      <c r="U10" s="2511"/>
      <c r="V10" s="2511">
        <f>+T10-O10</f>
        <v>1.0754375791068548E-3</v>
      </c>
    </row>
    <row r="11" spans="1:22" ht="12" customHeight="1">
      <c r="C11" s="3" t="s">
        <v>66</v>
      </c>
      <c r="J11" s="226">
        <f>J70</f>
        <v>2793.5164989999998</v>
      </c>
      <c r="K11" s="205">
        <f t="shared" ref="K11:T11" si="4">K70</f>
        <v>7846.9737320000004</v>
      </c>
      <c r="L11" s="105">
        <f t="shared" si="4"/>
        <v>8700.4336339999991</v>
      </c>
      <c r="M11" s="5049">
        <f t="shared" si="4"/>
        <v>6202.388336</v>
      </c>
      <c r="N11" s="5050">
        <f t="shared" si="4"/>
        <v>2299.8834050772825</v>
      </c>
      <c r="O11" s="105">
        <f t="shared" si="4"/>
        <v>8502.2717410772821</v>
      </c>
      <c r="P11" s="4879">
        <f t="shared" si="4"/>
        <v>8093.1674445870212</v>
      </c>
      <c r="Q11" s="4879">
        <f t="shared" si="4"/>
        <v>7941.2712121799368</v>
      </c>
      <c r="R11" s="4879">
        <f t="shared" si="4"/>
        <v>7945.3901276000961</v>
      </c>
      <c r="S11" s="4879">
        <f t="shared" si="4"/>
        <v>8202.5809278304878</v>
      </c>
      <c r="T11" s="4879">
        <f t="shared" si="4"/>
        <v>8161.3182305795708</v>
      </c>
    </row>
    <row r="12" spans="1:22" s="400" customFormat="1" ht="12" customHeight="1">
      <c r="A12" s="45"/>
      <c r="B12" s="45"/>
      <c r="C12" s="45" t="s">
        <v>32</v>
      </c>
      <c r="D12" s="45"/>
      <c r="E12" s="45"/>
      <c r="F12" s="45"/>
      <c r="G12" s="45"/>
      <c r="H12" s="110" t="s">
        <v>360</v>
      </c>
      <c r="I12" s="45"/>
      <c r="J12" s="3734">
        <f>J11/Revenue!J11</f>
        <v>5.8937014427324361E-3</v>
      </c>
      <c r="K12" s="11">
        <f>K11/Revenue!K11</f>
        <v>1.5459039477167652E-2</v>
      </c>
      <c r="L12" s="11">
        <f>L11/Revenue!L11</f>
        <v>1.4561330536173738E-2</v>
      </c>
      <c r="M12" s="5075">
        <f>M11/Revenue!M11</f>
        <v>1.2420491529591677E-2</v>
      </c>
      <c r="N12" s="5076">
        <f>N11/Revenue!N11</f>
        <v>1.2438623970310821E-2</v>
      </c>
      <c r="O12" s="11">
        <f>O11/Revenue!O11</f>
        <v>1.2425391177084922E-2</v>
      </c>
      <c r="P12" s="4911">
        <f>P11/Revenue!P11</f>
        <v>1.2581243812511751E-2</v>
      </c>
      <c r="Q12" s="4911">
        <f>Q11/Revenue!Q11</f>
        <v>1.1899644054677591E-2</v>
      </c>
      <c r="R12" s="4911">
        <f>R11/Revenue!R11</f>
        <v>1.2188987541267212E-2</v>
      </c>
      <c r="S12" s="4911">
        <f>S11/Revenue!S11</f>
        <v>1.2433595038069416E-2</v>
      </c>
      <c r="T12" s="4911">
        <f>T11/Revenue!T11</f>
        <v>1.2759075405874339E-2</v>
      </c>
      <c r="V12" s="2511">
        <f>+T12-O12</f>
        <v>3.3368422878941699E-4</v>
      </c>
    </row>
    <row r="13" spans="1:22" ht="12" customHeight="1">
      <c r="B13" s="12"/>
      <c r="C13" s="12" t="s">
        <v>67</v>
      </c>
      <c r="D13" s="12"/>
      <c r="E13" s="12"/>
      <c r="F13" s="12"/>
      <c r="G13" s="12"/>
      <c r="H13" s="12"/>
      <c r="I13" s="12"/>
      <c r="J13" s="315">
        <f>J147</f>
        <v>10556.012011000013</v>
      </c>
      <c r="K13" s="208">
        <f t="shared" ref="K13:S13" si="5">K147</f>
        <v>-12.956883000006201</v>
      </c>
      <c r="L13" s="107">
        <f t="shared" si="5"/>
        <v>105.50901900000463</v>
      </c>
      <c r="M13" s="5053">
        <f t="shared" si="5"/>
        <v>37.905409999995754</v>
      </c>
      <c r="N13" s="5054">
        <f t="shared" si="5"/>
        <v>0</v>
      </c>
      <c r="O13" s="107">
        <f t="shared" ref="O13" si="6">SUM(M13:N13)</f>
        <v>37.905409999995754</v>
      </c>
      <c r="P13" s="4881">
        <f t="shared" si="5"/>
        <v>0</v>
      </c>
      <c r="Q13" s="4881">
        <f t="shared" si="5"/>
        <v>0</v>
      </c>
      <c r="R13" s="4881">
        <f t="shared" si="5"/>
        <v>0</v>
      </c>
      <c r="S13" s="4881">
        <f t="shared" si="5"/>
        <v>0</v>
      </c>
      <c r="T13" s="4881">
        <f t="shared" ref="T13" si="7">T147</f>
        <v>0</v>
      </c>
    </row>
    <row r="14" spans="1:22" ht="12" customHeight="1">
      <c r="J14" s="105"/>
    </row>
    <row r="16" spans="1:22" ht="12" customHeight="1">
      <c r="A16" s="20" t="s">
        <v>68</v>
      </c>
      <c r="B16" s="21" t="s">
        <v>65</v>
      </c>
      <c r="C16" s="102"/>
      <c r="D16" s="102"/>
      <c r="E16" s="102"/>
      <c r="F16" s="102"/>
      <c r="G16" s="102"/>
      <c r="H16" s="102"/>
      <c r="I16" s="102"/>
      <c r="J16" s="102"/>
      <c r="K16" s="102"/>
      <c r="L16" s="102"/>
      <c r="M16" s="102"/>
      <c r="N16" s="102"/>
      <c r="O16" s="109"/>
      <c r="P16" s="109"/>
      <c r="Q16" s="109"/>
      <c r="R16" s="109"/>
      <c r="S16" s="109"/>
      <c r="T16" s="109"/>
    </row>
    <row r="18" spans="1:22" ht="12" customHeight="1">
      <c r="B18" s="24"/>
      <c r="C18" s="24"/>
      <c r="D18" s="24"/>
      <c r="E18" s="24"/>
      <c r="F18" s="24"/>
      <c r="G18" s="24"/>
      <c r="H18" s="24"/>
      <c r="I18" s="24"/>
      <c r="J18" s="25" t="s">
        <v>23</v>
      </c>
      <c r="K18" s="26"/>
      <c r="L18" s="26"/>
      <c r="M18" s="27"/>
      <c r="N18" s="26" t="s">
        <v>24</v>
      </c>
      <c r="O18" s="26"/>
      <c r="P18" s="26"/>
      <c r="Q18" s="26"/>
      <c r="R18" s="26"/>
      <c r="S18" s="26"/>
      <c r="T18" s="26"/>
    </row>
    <row r="19" spans="1:22" ht="12" customHeight="1">
      <c r="B19" s="28"/>
      <c r="C19" s="28"/>
      <c r="D19" s="28"/>
      <c r="E19" s="28"/>
      <c r="F19" s="28"/>
      <c r="G19" s="28"/>
      <c r="H19" s="28"/>
      <c r="I19" s="28"/>
      <c r="J19" s="29" t="s">
        <v>69</v>
      </c>
      <c r="K19" s="30" t="s">
        <v>27</v>
      </c>
      <c r="L19" s="108" t="s">
        <v>60</v>
      </c>
      <c r="M19" s="5073" t="s">
        <v>5104</v>
      </c>
      <c r="N19" s="5074" t="s">
        <v>5174</v>
      </c>
      <c r="O19" s="30" t="s">
        <v>70</v>
      </c>
      <c r="P19" s="30" t="s">
        <v>71</v>
      </c>
      <c r="Q19" s="30" t="s">
        <v>72</v>
      </c>
      <c r="R19" s="30" t="s">
        <v>73</v>
      </c>
      <c r="S19" s="30" t="s">
        <v>74</v>
      </c>
      <c r="T19" s="30" t="s">
        <v>5102</v>
      </c>
    </row>
    <row r="20" spans="1:22" ht="12" customHeight="1">
      <c r="A20" s="32"/>
      <c r="B20" s="33" t="s">
        <v>33</v>
      </c>
      <c r="C20" s="33"/>
      <c r="D20" s="33"/>
      <c r="E20" s="33"/>
      <c r="F20" s="33"/>
      <c r="G20" s="33"/>
      <c r="H20" s="33"/>
      <c r="I20" s="33"/>
      <c r="J20" s="227">
        <f>J21+J22+J23</f>
        <v>88383.691806000003</v>
      </c>
      <c r="K20" s="103">
        <f t="shared" ref="K20:S20" si="8">K21+K22+K23</f>
        <v>88063.900544999997</v>
      </c>
      <c r="L20" s="103">
        <f t="shared" si="8"/>
        <v>86285.928555999999</v>
      </c>
      <c r="M20" s="5047">
        <f t="shared" si="8"/>
        <v>62738.936355999998</v>
      </c>
      <c r="N20" s="5048">
        <f t="shared" si="8"/>
        <v>23972.648439313809</v>
      </c>
      <c r="O20" s="103">
        <f t="shared" si="8"/>
        <v>90470.75887396789</v>
      </c>
      <c r="P20" s="4878">
        <f t="shared" si="8"/>
        <v>91623.135451918002</v>
      </c>
      <c r="Q20" s="4878">
        <f t="shared" si="8"/>
        <v>92017.393958932516</v>
      </c>
      <c r="R20" s="4878">
        <f t="shared" si="8"/>
        <v>90730.250250407043</v>
      </c>
      <c r="S20" s="4878">
        <f t="shared" si="8"/>
        <v>94358.92937251502</v>
      </c>
      <c r="T20" s="4878">
        <f t="shared" ref="T20" si="9">T21+T22+T23</f>
        <v>93749.292705251501</v>
      </c>
    </row>
    <row r="21" spans="1:22" ht="12" customHeight="1">
      <c r="C21" s="3" t="s">
        <v>1285</v>
      </c>
      <c r="J21" s="216">
        <f>J27</f>
        <v>28082.699200999996</v>
      </c>
      <c r="K21" s="105">
        <f t="shared" ref="K21:S21" si="10">K27</f>
        <v>30232.739250000006</v>
      </c>
      <c r="L21" s="105">
        <f t="shared" si="10"/>
        <v>29141.303584000001</v>
      </c>
      <c r="M21" s="5049">
        <f t="shared" ref="M21" si="11">M27</f>
        <v>18249.484676</v>
      </c>
      <c r="N21" s="5050">
        <f t="shared" si="10"/>
        <v>6083.1615586666676</v>
      </c>
      <c r="O21" s="105">
        <f t="shared" si="10"/>
        <v>24332.64623466667</v>
      </c>
      <c r="P21" s="4879">
        <f t="shared" si="10"/>
        <v>23316.940005968121</v>
      </c>
      <c r="Q21" s="4879">
        <f t="shared" si="10"/>
        <v>23759.940347027896</v>
      </c>
      <c r="R21" s="4879">
        <f t="shared" si="10"/>
        <v>24683.617241720553</v>
      </c>
      <c r="S21" s="4879">
        <f t="shared" si="10"/>
        <v>25494.533536844054</v>
      </c>
      <c r="T21" s="4879">
        <f t="shared" ref="T21" si="12">T27</f>
        <v>26539.311691714804</v>
      </c>
    </row>
    <row r="22" spans="1:22" ht="12" customHeight="1">
      <c r="C22" s="3" t="s">
        <v>1291</v>
      </c>
      <c r="J22" s="216">
        <f>J51</f>
        <v>32134.460758343997</v>
      </c>
      <c r="K22" s="105">
        <f t="shared" ref="K22:S22" si="13">K51</f>
        <v>31991.078948518003</v>
      </c>
      <c r="L22" s="105">
        <f t="shared" si="13"/>
        <v>31773.457152904004</v>
      </c>
      <c r="M22" s="5049">
        <f t="shared" ref="M22" si="14">M51</f>
        <v>24972.744719048002</v>
      </c>
      <c r="N22" s="5050">
        <f t="shared" si="13"/>
        <v>11419.794710183731</v>
      </c>
      <c r="O22" s="105">
        <f t="shared" si="13"/>
        <v>40151.713507885826</v>
      </c>
      <c r="P22" s="4879">
        <f t="shared" si="13"/>
        <v>40825.371090003515</v>
      </c>
      <c r="Q22" s="4879">
        <f t="shared" si="13"/>
        <v>40047.619406709127</v>
      </c>
      <c r="R22" s="4879">
        <f t="shared" si="13"/>
        <v>37994.165061534717</v>
      </c>
      <c r="S22" s="4879">
        <f t="shared" si="13"/>
        <v>37884.030653822076</v>
      </c>
      <c r="T22" s="4879">
        <f t="shared" ref="T22" si="15">T51</f>
        <v>38688.657234356826</v>
      </c>
    </row>
    <row r="23" spans="1:22" ht="12" customHeight="1">
      <c r="B23" s="12"/>
      <c r="C23" s="12" t="s">
        <v>1292</v>
      </c>
      <c r="D23" s="12"/>
      <c r="E23" s="12"/>
      <c r="F23" s="12"/>
      <c r="G23" s="12"/>
      <c r="H23" s="12"/>
      <c r="I23" s="12"/>
      <c r="J23" s="397">
        <f>J59</f>
        <v>28166.531846656013</v>
      </c>
      <c r="K23" s="107">
        <f t="shared" ref="K23:S23" si="16">K59</f>
        <v>25840.082346481988</v>
      </c>
      <c r="L23" s="107">
        <f t="shared" si="16"/>
        <v>25371.167819095994</v>
      </c>
      <c r="M23" s="5053">
        <f t="shared" ref="M23" si="17">M59</f>
        <v>19516.706960951997</v>
      </c>
      <c r="N23" s="5054">
        <f t="shared" si="16"/>
        <v>6469.6921704634096</v>
      </c>
      <c r="O23" s="107">
        <f t="shared" si="16"/>
        <v>25986.399131415405</v>
      </c>
      <c r="P23" s="4881">
        <f t="shared" si="16"/>
        <v>27480.824355946363</v>
      </c>
      <c r="Q23" s="4881">
        <f t="shared" si="16"/>
        <v>28209.834205195493</v>
      </c>
      <c r="R23" s="4881">
        <f t="shared" si="16"/>
        <v>28052.46794715177</v>
      </c>
      <c r="S23" s="4881">
        <f t="shared" si="16"/>
        <v>30980.365181848883</v>
      </c>
      <c r="T23" s="4881">
        <f t="shared" ref="T23" si="18">T59</f>
        <v>28521.323779179878</v>
      </c>
    </row>
    <row r="24" spans="1:22" ht="12" customHeight="1">
      <c r="B24" s="1930"/>
      <c r="I24" s="1930"/>
      <c r="J24" s="112"/>
      <c r="K24" s="112"/>
      <c r="L24" s="112"/>
      <c r="M24" s="112"/>
      <c r="N24" s="112"/>
      <c r="O24" s="112"/>
      <c r="P24" s="32"/>
      <c r="Q24" s="32"/>
      <c r="R24" s="32"/>
      <c r="S24" s="32"/>
      <c r="T24" s="32"/>
    </row>
    <row r="25" spans="1:22" ht="12" customHeight="1">
      <c r="B25" s="24"/>
      <c r="C25" s="24"/>
      <c r="D25" s="24"/>
      <c r="E25" s="24"/>
      <c r="F25" s="24"/>
      <c r="G25" s="24"/>
      <c r="H25" s="24"/>
      <c r="I25" s="24"/>
      <c r="J25" s="25" t="s">
        <v>23</v>
      </c>
      <c r="K25" s="26"/>
      <c r="L25" s="26"/>
      <c r="M25" s="27"/>
      <c r="N25" s="26" t="s">
        <v>24</v>
      </c>
      <c r="O25" s="26"/>
      <c r="P25" s="26"/>
      <c r="Q25" s="26"/>
      <c r="R25" s="26"/>
      <c r="S25" s="26"/>
      <c r="T25" s="26"/>
    </row>
    <row r="26" spans="1:22" ht="12" customHeight="1">
      <c r="B26" s="28"/>
      <c r="C26" s="28"/>
      <c r="D26" s="28"/>
      <c r="E26" s="28"/>
      <c r="F26" s="28"/>
      <c r="G26" s="28"/>
      <c r="H26" s="1949" t="s">
        <v>3537</v>
      </c>
      <c r="I26" s="28"/>
      <c r="J26" s="29" t="s">
        <v>69</v>
      </c>
      <c r="K26" s="30" t="s">
        <v>27</v>
      </c>
      <c r="L26" s="108" t="s">
        <v>60</v>
      </c>
      <c r="M26" s="5073" t="s">
        <v>5104</v>
      </c>
      <c r="N26" s="5074" t="s">
        <v>5174</v>
      </c>
      <c r="O26" s="30" t="s">
        <v>70</v>
      </c>
      <c r="P26" s="30" t="s">
        <v>71</v>
      </c>
      <c r="Q26" s="30" t="s">
        <v>72</v>
      </c>
      <c r="R26" s="30" t="s">
        <v>73</v>
      </c>
      <c r="S26" s="30" t="s">
        <v>74</v>
      </c>
      <c r="T26" s="30" t="s">
        <v>5102</v>
      </c>
    </row>
    <row r="27" spans="1:22" s="113" customFormat="1" ht="12" customHeight="1">
      <c r="A27" s="32"/>
      <c r="B27" s="33" t="s">
        <v>1285</v>
      </c>
      <c r="C27" s="33"/>
      <c r="D27" s="33"/>
      <c r="E27" s="33"/>
      <c r="F27" s="33"/>
      <c r="G27" s="33"/>
      <c r="H27" s="33"/>
      <c r="I27" s="33"/>
      <c r="J27" s="227">
        <f t="shared" ref="J27:T27" si="19">J28+J36</f>
        <v>28082.699200999996</v>
      </c>
      <c r="K27" s="103">
        <f t="shared" si="19"/>
        <v>30232.739250000006</v>
      </c>
      <c r="L27" s="103">
        <f t="shared" si="19"/>
        <v>29141.303584000001</v>
      </c>
      <c r="M27" s="5047">
        <f t="shared" si="19"/>
        <v>18249.484676</v>
      </c>
      <c r="N27" s="5048">
        <f t="shared" si="19"/>
        <v>6083.1615586666676</v>
      </c>
      <c r="O27" s="103">
        <f t="shared" si="19"/>
        <v>24332.64623466667</v>
      </c>
      <c r="P27" s="4878">
        <f t="shared" si="19"/>
        <v>23316.940005968121</v>
      </c>
      <c r="Q27" s="4878">
        <f t="shared" si="19"/>
        <v>23759.940347027896</v>
      </c>
      <c r="R27" s="4878">
        <f t="shared" si="19"/>
        <v>24683.617241720553</v>
      </c>
      <c r="S27" s="4878">
        <f t="shared" si="19"/>
        <v>25494.533536844054</v>
      </c>
      <c r="T27" s="4878">
        <f t="shared" si="19"/>
        <v>26539.311691714804</v>
      </c>
      <c r="U27" s="4403"/>
    </row>
    <row r="28" spans="1:22" s="1055" customFormat="1" ht="12" customHeight="1">
      <c r="A28" s="3"/>
      <c r="B28" s="3"/>
      <c r="C28" s="4884" t="s">
        <v>4908</v>
      </c>
      <c r="D28" s="4150"/>
      <c r="E28" s="4150"/>
      <c r="F28" s="4150"/>
      <c r="G28" s="4150"/>
      <c r="H28" s="4150"/>
      <c r="I28" s="4150"/>
      <c r="J28" s="4951">
        <f>SUM(J29,J30,J32,J34)</f>
        <v>5252.7849843661261</v>
      </c>
      <c r="K28" s="4704">
        <f t="shared" ref="K28:M28" si="20">SUM(K29,K30,K32,K34)</f>
        <v>4524.6847300710961</v>
      </c>
      <c r="L28" s="4704">
        <f t="shared" si="20"/>
        <v>6535.6764199918225</v>
      </c>
      <c r="M28" s="5115">
        <f t="shared" si="20"/>
        <v>3425.470908497849</v>
      </c>
      <c r="N28" s="5056">
        <f t="shared" ref="N28" si="21">SUM(N29,N30,N32,N34)</f>
        <v>1141.8236361659499</v>
      </c>
      <c r="O28" s="4952">
        <f t="shared" ref="O28" si="22">SUM(O29,O30,O32,O34)</f>
        <v>4567.2945446637996</v>
      </c>
      <c r="P28" s="4888">
        <f t="shared" ref="P28" si="23">SUM(P29,P30,P32,P34)</f>
        <v>0</v>
      </c>
      <c r="Q28" s="4888">
        <f t="shared" ref="Q28" si="24">SUM(Q29,Q30,Q32,Q34)</f>
        <v>0</v>
      </c>
      <c r="R28" s="4888">
        <f t="shared" ref="R28" si="25">SUM(R29,R30,R32,R34)</f>
        <v>0</v>
      </c>
      <c r="S28" s="4888">
        <f t="shared" ref="S28" si="26">SUM(S29,S30,S32,S34)</f>
        <v>0</v>
      </c>
      <c r="T28" s="4889">
        <f t="shared" ref="T28" si="27">SUM(T29,T30,T32,T34)</f>
        <v>0</v>
      </c>
      <c r="U28" s="45" t="s">
        <v>4902</v>
      </c>
    </row>
    <row r="29" spans="1:22" s="1055" customFormat="1" ht="12" customHeight="1">
      <c r="A29" s="3"/>
      <c r="B29" s="3"/>
      <c r="C29" s="4892"/>
      <c r="D29" s="3" t="s">
        <v>4900</v>
      </c>
      <c r="E29" s="3"/>
      <c r="F29" s="3"/>
      <c r="G29" s="3"/>
      <c r="H29" s="3"/>
      <c r="I29" s="3"/>
      <c r="J29" s="220">
        <f>SUMIFS(파견임원!$AZ:$AZ,파견임원!$A:$A,'SG&amp;A'!$D29,파견임원!$C:$C,"2018")/10^6</f>
        <v>1558.9386300000001</v>
      </c>
      <c r="K29" s="221">
        <f>SUMIFS(파견임원!$AZ:$AZ,파견임원!$A:$A,'SG&amp;A'!$D29,파견임원!$C:$C,"2019")/10^6</f>
        <v>1488.7940960000001</v>
      </c>
      <c r="L29" s="221">
        <f>SUMIFS(파견임원!$AZ:$AZ,파견임원!$A:$A,'SG&amp;A'!$D29,파견임원!$C:$C,"2020")/10^6</f>
        <v>1488.3181999999999</v>
      </c>
      <c r="M29" s="5063">
        <f>SUMIFS(파견임원!$AZ:$AZ,파견임원!$A:$A,'SG&amp;A'!$D29,파견임원!$C:$C,"2021")/10^6</f>
        <v>1116.4157</v>
      </c>
      <c r="N29" s="5050">
        <f>Assumption!N356</f>
        <v>372.13856666666669</v>
      </c>
      <c r="O29" s="2518">
        <f>SUM(M29:N29)</f>
        <v>1488.5542666666668</v>
      </c>
      <c r="P29" s="4882">
        <f>Assumption!P356</f>
        <v>0</v>
      </c>
      <c r="Q29" s="4882">
        <f>Assumption!Q356</f>
        <v>0</v>
      </c>
      <c r="R29" s="4882">
        <f>Assumption!R356</f>
        <v>0</v>
      </c>
      <c r="S29" s="4882">
        <f>Assumption!S356</f>
        <v>0</v>
      </c>
      <c r="T29" s="4895">
        <f>Assumption!T356</f>
        <v>0</v>
      </c>
      <c r="U29" s="45"/>
    </row>
    <row r="30" spans="1:22" s="1055" customFormat="1" ht="12" customHeight="1">
      <c r="A30" s="3"/>
      <c r="B30" s="3"/>
      <c r="C30" s="4892"/>
      <c r="D30" s="3" t="s">
        <v>4901</v>
      </c>
      <c r="E30" s="3"/>
      <c r="F30" s="3"/>
      <c r="G30" s="3"/>
      <c r="H30" s="3"/>
      <c r="I30" s="3"/>
      <c r="J30" s="220">
        <f>SUMIFS(파견임원!$AZ:$AZ,파견임원!$A:$A,'SG&amp;A'!$D30,파견임원!$C:$C,"2018")/10^6</f>
        <v>1154.4000000000001</v>
      </c>
      <c r="K30" s="221">
        <f>SUMIFS(파견임원!$AZ:$AZ,파견임원!$A:$A,'SG&amp;A'!$D30,파견임원!$C:$C,"2019")/10^6</f>
        <v>1239.9000000000001</v>
      </c>
      <c r="L30" s="221">
        <f>SUMIFS(파견임원!$AZ:$AZ,파견임원!$A:$A,'SG&amp;A'!$D30,파견임원!$C:$C,"2020")/10^6</f>
        <v>1239.9000000000001</v>
      </c>
      <c r="M30" s="5063">
        <f>SUMIFS(파견임원!$AZ:$AZ,파견임원!$A:$A,'SG&amp;A'!$D30,파견임원!$C:$C,"2021")/10^6</f>
        <v>930.06</v>
      </c>
      <c r="N30" s="5050">
        <f>N29*N31</f>
        <v>310.02</v>
      </c>
      <c r="O30" s="2518">
        <f t="shared" ref="O30" si="28">SUM(M30:N30)</f>
        <v>1240.08</v>
      </c>
      <c r="P30" s="4882">
        <f>CHOOSE(Assumption!$F$356,0,'SG&amp;A'!O30*(1+General!J$13))</f>
        <v>0</v>
      </c>
      <c r="Q30" s="4882">
        <f>CHOOSE(Assumption!$F$356,0,'SG&amp;A'!P30*(1+General!K$13))</f>
        <v>0</v>
      </c>
      <c r="R30" s="4882">
        <f>CHOOSE(Assumption!$F$356,0,'SG&amp;A'!Q30*(1+General!L$13))</f>
        <v>0</v>
      </c>
      <c r="S30" s="4882">
        <f>CHOOSE(Assumption!$F$356,0,'SG&amp;A'!R30*(1+General!M$13))</f>
        <v>0</v>
      </c>
      <c r="T30" s="4895">
        <f>CHOOSE(Assumption!$F$356,0,'SG&amp;A'!S30*(1+General!N$13))</f>
        <v>0</v>
      </c>
    </row>
    <row r="31" spans="1:22" s="1055" customFormat="1" ht="12" customHeight="1">
      <c r="A31" s="3"/>
      <c r="B31" s="3"/>
      <c r="C31" s="4892"/>
      <c r="D31" s="3"/>
      <c r="E31" s="1912" t="s">
        <v>1417</v>
      </c>
      <c r="F31" s="3"/>
      <c r="G31" s="3"/>
      <c r="H31" s="3"/>
      <c r="I31" s="3"/>
      <c r="J31" s="2039">
        <f>J30/J29</f>
        <v>0.74050381316165093</v>
      </c>
      <c r="K31" s="1912">
        <f t="shared" ref="K31:M31" si="29">K30/K29</f>
        <v>0.83282167986243816</v>
      </c>
      <c r="L31" s="1912">
        <f t="shared" si="29"/>
        <v>0.8330879780950069</v>
      </c>
      <c r="M31" s="5089">
        <f t="shared" si="29"/>
        <v>0.83307678313732059</v>
      </c>
      <c r="N31" s="5124">
        <f>Assumption!N357</f>
        <v>0.83307678313732059</v>
      </c>
      <c r="O31" s="3725">
        <f>O30/O29</f>
        <v>0.83307678313732048</v>
      </c>
      <c r="P31" s="4949">
        <f>Assumption!P357</f>
        <v>0.83307678313732059</v>
      </c>
      <c r="Q31" s="4949">
        <f>Assumption!Q357</f>
        <v>0.83307678313732059</v>
      </c>
      <c r="R31" s="4949">
        <f>Assumption!R357</f>
        <v>0.83307678313732059</v>
      </c>
      <c r="S31" s="4949">
        <f>Assumption!S357</f>
        <v>0.83307678313732059</v>
      </c>
      <c r="T31" s="4953">
        <f>Assumption!T357</f>
        <v>0.83307678313732059</v>
      </c>
      <c r="V31" s="2511">
        <f>+T31-O31</f>
        <v>0</v>
      </c>
    </row>
    <row r="32" spans="1:22" s="1055" customFormat="1" ht="12" customHeight="1">
      <c r="A32" s="3"/>
      <c r="B32" s="3"/>
      <c r="C32" s="4892"/>
      <c r="D32" s="3" t="s">
        <v>1290</v>
      </c>
      <c r="E32" s="3"/>
      <c r="F32" s="3"/>
      <c r="G32" s="3"/>
      <c r="H32" s="3"/>
      <c r="I32" s="3"/>
      <c r="J32" s="220">
        <f>SUMIFS(파견임원!$AZ:$AZ,파견임원!$A:$A,'SG&amp;A'!$D32,파견임원!$C:$C,"2018")/10^6</f>
        <v>901.45</v>
      </c>
      <c r="K32" s="221">
        <f>SUMIFS(파견임원!$AZ:$AZ,파견임원!$A:$A,'SG&amp;A'!$D32,파견임원!$C:$C,"2019")/10^6</f>
        <v>1497</v>
      </c>
      <c r="L32" s="221">
        <f>SUMIFS(파견임원!$AZ:$AZ,파견임원!$A:$A,'SG&amp;A'!$D32,파견임원!$C:$C,"2020")/10^6</f>
        <v>3588.6849999999999</v>
      </c>
      <c r="M32" s="5063">
        <f>SUMIFS(파견임원!$AZ:$AZ,파견임원!$A:$A,'SG&amp;A'!$D32,파견임원!$C:$C,"2021")/10^6</f>
        <v>1154.777</v>
      </c>
      <c r="N32" s="5050">
        <f>N29*N33</f>
        <v>384.92566666666676</v>
      </c>
      <c r="O32" s="2518">
        <f>SUM(M32:N32)</f>
        <v>1539.7026666666668</v>
      </c>
      <c r="P32" s="4879">
        <f t="shared" ref="P32:T32" si="30">P29*P33</f>
        <v>0</v>
      </c>
      <c r="Q32" s="4879">
        <f t="shared" si="30"/>
        <v>0</v>
      </c>
      <c r="R32" s="4879">
        <f t="shared" si="30"/>
        <v>0</v>
      </c>
      <c r="S32" s="4879">
        <f t="shared" si="30"/>
        <v>0</v>
      </c>
      <c r="T32" s="4903">
        <f t="shared" si="30"/>
        <v>0</v>
      </c>
    </row>
    <row r="33" spans="1:22" s="1055" customFormat="1" ht="12" customHeight="1">
      <c r="A33" s="3"/>
      <c r="B33" s="3"/>
      <c r="C33" s="4892"/>
      <c r="D33" s="3"/>
      <c r="E33" s="1912" t="s">
        <v>1417</v>
      </c>
      <c r="F33" s="3"/>
      <c r="G33" s="3"/>
      <c r="H33" s="3"/>
      <c r="I33" s="3"/>
      <c r="J33" s="2039">
        <f>J32/J29</f>
        <v>0.57824598265295413</v>
      </c>
      <c r="K33" s="1912">
        <f t="shared" ref="K33:O33" si="31">K32/K29</f>
        <v>1.0055117789773933</v>
      </c>
      <c r="L33" s="1912">
        <f t="shared" si="31"/>
        <v>2.4112350436889103</v>
      </c>
      <c r="M33" s="5089">
        <f t="shared" si="31"/>
        <v>1.0343611255198222</v>
      </c>
      <c r="N33" s="5124">
        <f>Assumption!N358</f>
        <v>1.0343611255198222</v>
      </c>
      <c r="O33" s="3726">
        <f t="shared" si="31"/>
        <v>1.0343611255198222</v>
      </c>
      <c r="P33" s="4949">
        <f>Assumption!P358</f>
        <v>2.5874892796520035</v>
      </c>
      <c r="Q33" s="4949">
        <f>Assumption!Q358</f>
        <v>2.5887505565999875</v>
      </c>
      <c r="R33" s="4949">
        <f>Assumption!R358</f>
        <v>2.7557741071268804</v>
      </c>
      <c r="S33" s="4949">
        <f>Assumption!S358</f>
        <v>2.9547220243752443</v>
      </c>
      <c r="T33" s="4953">
        <f>Assumption!T358</f>
        <v>2.9808319663379255</v>
      </c>
      <c r="V33" s="2511">
        <f>+T33-O33</f>
        <v>1.9464708408181033</v>
      </c>
    </row>
    <row r="34" spans="1:22" s="1055" customFormat="1" ht="12" customHeight="1">
      <c r="A34" s="3"/>
      <c r="B34" s="3"/>
      <c r="C34" s="4892"/>
      <c r="D34" s="3" t="s">
        <v>1414</v>
      </c>
      <c r="E34" s="3"/>
      <c r="F34" s="3"/>
      <c r="G34" s="3"/>
      <c r="H34" s="3"/>
      <c r="I34" s="3"/>
      <c r="J34" s="220">
        <f>SUMIFS(파견임원!$AZ:$AZ,파견임원!$A:$A,'SG&amp;A'!$D34,파견임원!$C:$C,"2018")/10^6+(별도FS_본체!J31/10^6-SUMIFS(파견임원!$AZ:$AZ,파견임원!$A:$A,'SG&amp;A'!$D34,파견임원!$C:$C,"2018")/10^6)*J29/SUM(J29,J37)</f>
        <v>1637.9963543661265</v>
      </c>
      <c r="K34" s="221">
        <f>K29*(별도FS_본체!K31/10^6/SUM(K29,K37))</f>
        <v>298.99063407109571</v>
      </c>
      <c r="L34" s="221">
        <f>L29*(별도FS_본체!L31/10^6/SUM(L29,L37))</f>
        <v>218.77321999182172</v>
      </c>
      <c r="M34" s="5063">
        <f>M29*(연결정산표!D48/10^6/SUM(M29,M37))</f>
        <v>224.21820849784891</v>
      </c>
      <c r="N34" s="5050">
        <f>N29*M34/M29</f>
        <v>74.739402832616307</v>
      </c>
      <c r="O34" s="2518">
        <f>SUM(M34:N34)</f>
        <v>298.95761133046523</v>
      </c>
      <c r="P34" s="4882">
        <f>CHOOSE(Assumption!$F$356,0,'SG&amp;A'!O34*(1+General!J$13))</f>
        <v>0</v>
      </c>
      <c r="Q34" s="4882">
        <f>CHOOSE(Assumption!$F$356,0,'SG&amp;A'!P34*(1+General!K$13))</f>
        <v>0</v>
      </c>
      <c r="R34" s="4882">
        <f>CHOOSE(Assumption!$F$356,0,'SG&amp;A'!Q34*(1+General!L$13))</f>
        <v>0</v>
      </c>
      <c r="S34" s="4882">
        <f>CHOOSE(Assumption!$F$356,0,'SG&amp;A'!R34*(1+General!M$13))</f>
        <v>0</v>
      </c>
      <c r="T34" s="4895">
        <f>CHOOSE(Assumption!$F$356,0,'SG&amp;A'!S34*(1+General!N$13))</f>
        <v>0</v>
      </c>
      <c r="U34" s="45"/>
    </row>
    <row r="35" spans="1:22" s="1055" customFormat="1" ht="12" customHeight="1">
      <c r="A35" s="3"/>
      <c r="B35" s="3"/>
      <c r="C35" s="4898"/>
      <c r="D35" s="12"/>
      <c r="E35" s="3065" t="s">
        <v>1417</v>
      </c>
      <c r="F35" s="12"/>
      <c r="G35" s="12"/>
      <c r="H35" s="12"/>
      <c r="I35" s="12"/>
      <c r="J35" s="4931">
        <f>J34/J29</f>
        <v>1.0507125314908172</v>
      </c>
      <c r="K35" s="3065">
        <f t="shared" ref="K35:M35" si="32">K34/K29</f>
        <v>0.20082739102365146</v>
      </c>
      <c r="L35" s="3065">
        <f t="shared" si="32"/>
        <v>0.14699357972765617</v>
      </c>
      <c r="M35" s="5104">
        <f t="shared" si="32"/>
        <v>0.20083756301335506</v>
      </c>
      <c r="N35" s="5122">
        <f>Assumption!N359</f>
        <v>0.20083756301335506</v>
      </c>
      <c r="O35" s="4954">
        <f>O34/O29</f>
        <v>0.20083756301335506</v>
      </c>
      <c r="P35" s="4950">
        <f>Assumption!P359</f>
        <v>0.20083756301335506</v>
      </c>
      <c r="Q35" s="4950">
        <f>Assumption!Q359</f>
        <v>0.20083756301335506</v>
      </c>
      <c r="R35" s="4950">
        <f>Assumption!R359</f>
        <v>0.20083756301335506</v>
      </c>
      <c r="S35" s="4950">
        <f>Assumption!S359</f>
        <v>0.20083756301335506</v>
      </c>
      <c r="T35" s="4955">
        <f>Assumption!T359</f>
        <v>0.20083756301335506</v>
      </c>
      <c r="U35" s="45"/>
      <c r="V35" s="2511">
        <f>+T35-O35</f>
        <v>0</v>
      </c>
    </row>
    <row r="36" spans="1:22" s="1055" customFormat="1" ht="12" customHeight="1">
      <c r="A36" s="3"/>
      <c r="B36" s="3"/>
      <c r="C36" s="4892" t="s">
        <v>4899</v>
      </c>
      <c r="D36" s="3"/>
      <c r="E36" s="3"/>
      <c r="F36" s="3"/>
      <c r="G36" s="3"/>
      <c r="H36" s="3"/>
      <c r="I36" s="3"/>
      <c r="J36" s="216">
        <f>J37+J44+J46+J40+J42</f>
        <v>22829.914216633872</v>
      </c>
      <c r="K36" s="105">
        <f t="shared" ref="K36:T36" si="33">K37+K44+K46+K40+K42</f>
        <v>25708.054519928908</v>
      </c>
      <c r="L36" s="105">
        <f t="shared" si="33"/>
        <v>22605.62716400818</v>
      </c>
      <c r="M36" s="5049">
        <f t="shared" si="33"/>
        <v>14824.013767502151</v>
      </c>
      <c r="N36" s="5050">
        <f t="shared" si="33"/>
        <v>4941.3379225007175</v>
      </c>
      <c r="O36" s="105">
        <f t="shared" si="33"/>
        <v>19765.35169000287</v>
      </c>
      <c r="P36" s="4879">
        <f t="shared" si="33"/>
        <v>23316.940005968121</v>
      </c>
      <c r="Q36" s="4879">
        <f t="shared" si="33"/>
        <v>23759.940347027896</v>
      </c>
      <c r="R36" s="4879">
        <f t="shared" si="33"/>
        <v>24683.617241720553</v>
      </c>
      <c r="S36" s="4879">
        <f t="shared" si="33"/>
        <v>25494.533536844054</v>
      </c>
      <c r="T36" s="4903">
        <f t="shared" si="33"/>
        <v>26539.311691714804</v>
      </c>
    </row>
    <row r="37" spans="1:22" ht="12" customHeight="1">
      <c r="C37" s="4892"/>
      <c r="D37" s="3" t="s">
        <v>4900</v>
      </c>
      <c r="J37" s="220">
        <f>SUM(별도FS_본체!J29)/10^6-J29</f>
        <v>8254.3459919999987</v>
      </c>
      <c r="K37" s="221">
        <f>SUM(별도FS_본체!K29)/10^6-K29</f>
        <v>8696.4413720000011</v>
      </c>
      <c r="L37" s="221">
        <f>연결정산표!AB46/10^6-L29</f>
        <v>8277.4131649999999</v>
      </c>
      <c r="M37" s="5063">
        <f>연결정산표!D46/10^6-M29</f>
        <v>6368.32503</v>
      </c>
      <c r="N37" s="5050">
        <f>N38*N39/4</f>
        <v>2122.7750100000003</v>
      </c>
      <c r="O37" s="105">
        <f>SUM(M37:N37)</f>
        <v>8491.1000400000012</v>
      </c>
      <c r="P37" s="4879">
        <f>P38*P39</f>
        <v>8810.6169896533338</v>
      </c>
      <c r="Q37" s="4879">
        <f t="shared" ref="Q37:S37" si="34">Q38*Q39</f>
        <v>8978.0187124567474</v>
      </c>
      <c r="R37" s="4879">
        <f t="shared" si="34"/>
        <v>9328.1614422425591</v>
      </c>
      <c r="S37" s="4879">
        <f t="shared" si="34"/>
        <v>9635.9907698365623</v>
      </c>
      <c r="T37" s="4903">
        <f t="shared" ref="T37" si="35">T38*T39</f>
        <v>10031.06639139986</v>
      </c>
    </row>
    <row r="38" spans="1:22" ht="12" customHeight="1">
      <c r="C38" s="4892"/>
      <c r="E38" s="3" t="s">
        <v>4906</v>
      </c>
      <c r="J38" s="220">
        <f>인력data!B34-2</f>
        <v>155</v>
      </c>
      <c r="K38" s="221">
        <f>인력data!F34-2</f>
        <v>148</v>
      </c>
      <c r="L38" s="221">
        <f>인력data!J34-2</f>
        <v>141</v>
      </c>
      <c r="M38" s="5063">
        <f>인력data!N34-2</f>
        <v>135</v>
      </c>
      <c r="N38" s="5050">
        <f>Assumption!N381</f>
        <v>135</v>
      </c>
      <c r="O38" s="105">
        <f>(M38*3+N38)/4</f>
        <v>135</v>
      </c>
      <c r="P38" s="4879">
        <f>Assumption!P381</f>
        <v>136</v>
      </c>
      <c r="Q38" s="4879">
        <f>Assumption!Q381</f>
        <v>136</v>
      </c>
      <c r="R38" s="4879">
        <f>Assumption!R381</f>
        <v>136</v>
      </c>
      <c r="S38" s="4879">
        <f>Assumption!S381</f>
        <v>136</v>
      </c>
      <c r="T38" s="4903">
        <f>Assumption!T381</f>
        <v>136</v>
      </c>
    </row>
    <row r="39" spans="1:22" s="377" customFormat="1" ht="12" customHeight="1">
      <c r="A39" s="362"/>
      <c r="B39" s="362"/>
      <c r="C39" s="611"/>
      <c r="D39" s="362"/>
      <c r="E39" s="362" t="s">
        <v>4905</v>
      </c>
      <c r="F39" s="362"/>
      <c r="G39" s="362"/>
      <c r="H39" s="362"/>
      <c r="I39" s="362"/>
      <c r="J39" s="319">
        <f>J37/J38</f>
        <v>53.253845109677414</v>
      </c>
      <c r="K39" s="320">
        <f t="shared" ref="K39:L39" si="36">K37/K38</f>
        <v>58.75973900000001</v>
      </c>
      <c r="L39" s="320">
        <f t="shared" si="36"/>
        <v>58.705057907801418</v>
      </c>
      <c r="M39" s="5069">
        <f>M37/M38*4/3</f>
        <v>62.897037333333337</v>
      </c>
      <c r="N39" s="5088">
        <f>M39</f>
        <v>62.897037333333337</v>
      </c>
      <c r="O39" s="105">
        <f>(M39*3+N39)/4</f>
        <v>62.897037333333337</v>
      </c>
      <c r="P39" s="4923">
        <f>O39*(1+General!J$13)</f>
        <v>64.783948453333338</v>
      </c>
      <c r="Q39" s="4923">
        <f>P39*(1+General!K$13)</f>
        <v>66.014843473946669</v>
      </c>
      <c r="R39" s="4923">
        <f>Q39*(1+General!L$13)</f>
        <v>68.589422369430579</v>
      </c>
      <c r="S39" s="4923">
        <f>R39*(1+General!M$13)</f>
        <v>70.852873307621778</v>
      </c>
      <c r="T39" s="4924">
        <f>S39*(1+General!N$13)</f>
        <v>73.757841113234264</v>
      </c>
    </row>
    <row r="40" spans="1:22" ht="12" customHeight="1">
      <c r="C40" s="4892"/>
      <c r="D40" s="3" t="s">
        <v>4901</v>
      </c>
      <c r="J40" s="220">
        <f>FDD_매출MASTER!S19-J30</f>
        <v>5904.5821099999994</v>
      </c>
      <c r="K40" s="221">
        <f>FDD_매출MASTER!T19-K30</f>
        <v>5852.7665300000008</v>
      </c>
      <c r="L40" s="221">
        <f>FDD_매출MASTER!U19-L30</f>
        <v>5244.4537700000001</v>
      </c>
      <c r="M40" s="5063">
        <f>FDD_매출MASTER!V19-M30</f>
        <v>3970.8555799999999</v>
      </c>
      <c r="N40" s="5050">
        <f>N37*N41</f>
        <v>1323.6185266666666</v>
      </c>
      <c r="O40" s="105">
        <f>SUM(M40:N40)</f>
        <v>5294.4741066666666</v>
      </c>
      <c r="P40" s="4879">
        <f>P37*P41</f>
        <v>5493.7032063841971</v>
      </c>
      <c r="Q40" s="4879">
        <f t="shared" ref="Q40:S40" si="37">Q37*Q41</f>
        <v>5598.0835673054971</v>
      </c>
      <c r="R40" s="4879">
        <f t="shared" si="37"/>
        <v>5816.408826430411</v>
      </c>
      <c r="S40" s="4879">
        <f t="shared" si="37"/>
        <v>6008.3503177026132</v>
      </c>
      <c r="T40" s="4903">
        <f t="shared" ref="T40" si="38">T37*T41</f>
        <v>6254.6926807284199</v>
      </c>
    </row>
    <row r="41" spans="1:22" s="2514" customFormat="1" ht="12" customHeight="1">
      <c r="A41" s="1912"/>
      <c r="B41" s="1912"/>
      <c r="C41" s="4956"/>
      <c r="D41" s="1912"/>
      <c r="E41" s="1912" t="s">
        <v>1417</v>
      </c>
      <c r="F41" s="1912"/>
      <c r="G41" s="1912"/>
      <c r="H41" s="1912"/>
      <c r="I41" s="1912"/>
      <c r="J41" s="2039">
        <f>J40/J37</f>
        <v>0.71533009589404672</v>
      </c>
      <c r="K41" s="1912">
        <f t="shared" ref="K41:M41" si="39">K40/K37</f>
        <v>0.67300707032237328</v>
      </c>
      <c r="L41" s="1912">
        <f t="shared" si="39"/>
        <v>0.63358608123797822</v>
      </c>
      <c r="M41" s="5089">
        <f t="shared" si="39"/>
        <v>0.62353217860175703</v>
      </c>
      <c r="N41" s="5124">
        <f>Assumption!N393</f>
        <v>0.62353217860175703</v>
      </c>
      <c r="O41" s="1912">
        <f t="shared" ref="O41" si="40">O40/O37</f>
        <v>0.62353217860175703</v>
      </c>
      <c r="P41" s="4949">
        <f>Assumption!P393</f>
        <v>0.62353217860175703</v>
      </c>
      <c r="Q41" s="4949">
        <f>Assumption!Q393</f>
        <v>0.62353217860175703</v>
      </c>
      <c r="R41" s="4949">
        <f>Assumption!R393</f>
        <v>0.62353217860175703</v>
      </c>
      <c r="S41" s="4949">
        <f>Assumption!S393</f>
        <v>0.62353217860175703</v>
      </c>
      <c r="T41" s="4953">
        <f>Assumption!T393</f>
        <v>0.62353217860175703</v>
      </c>
      <c r="V41" s="2511">
        <f>+T41-O41</f>
        <v>0</v>
      </c>
    </row>
    <row r="42" spans="1:22" s="2514" customFormat="1" ht="12" customHeight="1">
      <c r="A42" s="1912"/>
      <c r="B42" s="1912"/>
      <c r="C42" s="4956"/>
      <c r="D42" s="3" t="s">
        <v>1290</v>
      </c>
      <c r="E42" s="1912"/>
      <c r="F42" s="1912"/>
      <c r="G42" s="1912"/>
      <c r="H42" s="1912"/>
      <c r="I42" s="1912"/>
      <c r="J42" s="220">
        <f>FDD_매출MASTER!S30-J32</f>
        <v>5260.3511200000003</v>
      </c>
      <c r="K42" s="221">
        <f>FDD_매출MASTER!T30-K32</f>
        <v>6418.0636290000002</v>
      </c>
      <c r="L42" s="221">
        <f>FDD_매출MASTER!U30-L32</f>
        <v>4005.0766680000002</v>
      </c>
      <c r="M42" s="5063">
        <f>FDD_매출MASTER!V30-M32</f>
        <v>1219.092067</v>
      </c>
      <c r="N42" s="5050">
        <f>N37*N43</f>
        <v>406.36402233333342</v>
      </c>
      <c r="O42" s="105">
        <f>SUM(M42:N42)</f>
        <v>1625.4560893333335</v>
      </c>
      <c r="P42" s="4879">
        <f t="shared" ref="P42:T42" si="41">P37*P43</f>
        <v>4494.4468523252453</v>
      </c>
      <c r="Q42" s="4879">
        <f t="shared" si="41"/>
        <v>4579.8198234658021</v>
      </c>
      <c r="R42" s="4879">
        <f t="shared" si="41"/>
        <v>4755.4720177395393</v>
      </c>
      <c r="S42" s="4879">
        <f t="shared" si="41"/>
        <v>4908.7595204716708</v>
      </c>
      <c r="T42" s="4903">
        <f t="shared" si="41"/>
        <v>5109.5209406711538</v>
      </c>
    </row>
    <row r="43" spans="1:22" s="2514" customFormat="1" ht="12" customHeight="1">
      <c r="A43" s="1912"/>
      <c r="B43" s="1912"/>
      <c r="C43" s="4956"/>
      <c r="D43" s="1912"/>
      <c r="E43" s="1912" t="s">
        <v>1417</v>
      </c>
      <c r="F43" s="1912"/>
      <c r="G43" s="1912"/>
      <c r="H43" s="1912"/>
      <c r="I43" s="1912"/>
      <c r="J43" s="2039">
        <f>J42/J37</f>
        <v>0.63728260544181958</v>
      </c>
      <c r="K43" s="1912">
        <f t="shared" ref="K43:O43" si="42">K42/K37</f>
        <v>0.73801033715518272</v>
      </c>
      <c r="L43" s="1912">
        <f t="shared" si="42"/>
        <v>0.48385607775808059</v>
      </c>
      <c r="M43" s="5089">
        <f t="shared" si="42"/>
        <v>0.19143056631957117</v>
      </c>
      <c r="N43" s="5124">
        <f>Assumption!N394</f>
        <v>0.19143056631957117</v>
      </c>
      <c r="O43" s="405">
        <f t="shared" si="42"/>
        <v>0.19143056631957114</v>
      </c>
      <c r="P43" s="4949">
        <f>Assumption!P394</f>
        <v>0.51011715270375013</v>
      </c>
      <c r="Q43" s="4949">
        <f>Assumption!Q394</f>
        <v>0.51011475584378452</v>
      </c>
      <c r="R43" s="4949">
        <f>Assumption!R394</f>
        <v>0.50979735365689471</v>
      </c>
      <c r="S43" s="4949">
        <f>Assumption!S394</f>
        <v>0.50941928419415961</v>
      </c>
      <c r="T43" s="4953">
        <f>Assumption!T394</f>
        <v>0.50936966632498859</v>
      </c>
      <c r="V43" s="2511">
        <f>+T43-O43</f>
        <v>0.31793910000541747</v>
      </c>
    </row>
    <row r="44" spans="1:22" ht="12" customHeight="1">
      <c r="C44" s="4892"/>
      <c r="D44" s="3" t="s">
        <v>1414</v>
      </c>
      <c r="J44" s="220">
        <f>별도FS_본체!J31/10^6-J34</f>
        <v>350.29643563387344</v>
      </c>
      <c r="K44" s="221">
        <f>별도FS_본체!K31/10^6-K34</f>
        <v>1746.4836319289043</v>
      </c>
      <c r="L44" s="221">
        <f>연결정산표!AB48/10^6-L34</f>
        <v>1693.8494010081783</v>
      </c>
      <c r="M44" s="5063">
        <f>연결정산표!D48/10^6-M34</f>
        <v>1278.9988795021511</v>
      </c>
      <c r="N44" s="5050">
        <f>N37*N45</f>
        <v>426.33295983405043</v>
      </c>
      <c r="O44" s="105">
        <f>SUM(M44:N44)</f>
        <v>1705.3318393362015</v>
      </c>
      <c r="P44" s="4879">
        <f t="shared" ref="P44:S44" si="43">P37*P45</f>
        <v>1769.502844846038</v>
      </c>
      <c r="Q44" s="4879">
        <f t="shared" si="43"/>
        <v>1803.1233988981126</v>
      </c>
      <c r="R44" s="4879">
        <f t="shared" si="43"/>
        <v>1873.4452114551389</v>
      </c>
      <c r="S44" s="4879">
        <f t="shared" si="43"/>
        <v>1935.2689034331581</v>
      </c>
      <c r="T44" s="4903">
        <f t="shared" ref="T44" si="44">T37*T45</f>
        <v>2014.6149284739172</v>
      </c>
    </row>
    <row r="45" spans="1:22" ht="12" customHeight="1">
      <c r="C45" s="4892"/>
      <c r="D45" s="45"/>
      <c r="E45" s="45" t="s">
        <v>1417</v>
      </c>
      <c r="H45" s="110" t="s">
        <v>360</v>
      </c>
      <c r="J45" s="398">
        <f>J44/J37</f>
        <v>4.2437818329080952E-2</v>
      </c>
      <c r="K45" s="399">
        <f t="shared" ref="K45:O45" si="45">K44/K37</f>
        <v>0.20082739102365146</v>
      </c>
      <c r="L45" s="399">
        <f t="shared" si="45"/>
        <v>0.20463511573524049</v>
      </c>
      <c r="M45" s="5127">
        <f t="shared" si="45"/>
        <v>0.20083756301335504</v>
      </c>
      <c r="N45" s="5124">
        <f>Assumption!N395</f>
        <v>0.20083756301335504</v>
      </c>
      <c r="O45" s="399">
        <f t="shared" si="45"/>
        <v>0.20083756301335501</v>
      </c>
      <c r="P45" s="4949">
        <f>Assumption!P395</f>
        <v>0.20083756301335504</v>
      </c>
      <c r="Q45" s="4949">
        <f>Assumption!Q395</f>
        <v>0.20083756301335504</v>
      </c>
      <c r="R45" s="4949">
        <f>Assumption!R395</f>
        <v>0.20083756301335504</v>
      </c>
      <c r="S45" s="4949">
        <f>Assumption!S395</f>
        <v>0.20083756301335504</v>
      </c>
      <c r="T45" s="4953">
        <f>Assumption!T395</f>
        <v>0.20083756301335504</v>
      </c>
      <c r="V45" s="2511">
        <f>+T45-O45</f>
        <v>0</v>
      </c>
    </row>
    <row r="46" spans="1:22" ht="12" customHeight="1">
      <c r="C46" s="4892"/>
      <c r="D46" s="3" t="s">
        <v>1415</v>
      </c>
      <c r="J46" s="220">
        <f>별도FS_본체!J41/10^6</f>
        <v>3060.3385589999998</v>
      </c>
      <c r="K46" s="221">
        <f>별도FS_본체!K41/10^6</f>
        <v>2994.2993569999999</v>
      </c>
      <c r="L46" s="221">
        <f>연결정산표!AB60/10^6</f>
        <v>3384.8341599999999</v>
      </c>
      <c r="M46" s="5063">
        <f>연결정산표!D60/10^6</f>
        <v>1986.742211</v>
      </c>
      <c r="N46" s="5050">
        <f>N37*N47</f>
        <v>662.24740366666674</v>
      </c>
      <c r="O46" s="105">
        <f>SUM(M46:N46)</f>
        <v>2648.989614666667</v>
      </c>
      <c r="P46" s="4879">
        <f t="shared" ref="P46:S46" si="46">P37*P47</f>
        <v>2748.6701127593087</v>
      </c>
      <c r="Q46" s="4879">
        <f t="shared" si="46"/>
        <v>2800.8948449017357</v>
      </c>
      <c r="R46" s="4879">
        <f t="shared" si="46"/>
        <v>2910.1297438529027</v>
      </c>
      <c r="S46" s="4879">
        <f t="shared" si="46"/>
        <v>3006.1640254000481</v>
      </c>
      <c r="T46" s="4903">
        <f t="shared" ref="T46" si="47">T37*T47</f>
        <v>3129.4167504414499</v>
      </c>
    </row>
    <row r="47" spans="1:22" s="400" customFormat="1" ht="12" customHeight="1">
      <c r="A47" s="45"/>
      <c r="B47" s="361"/>
      <c r="C47" s="4909"/>
      <c r="D47" s="361"/>
      <c r="E47" s="361" t="s">
        <v>1416</v>
      </c>
      <c r="F47" s="361"/>
      <c r="G47" s="361"/>
      <c r="H47" s="1950" t="s">
        <v>2702</v>
      </c>
      <c r="I47" s="361"/>
      <c r="J47" s="228">
        <f>J46/J37</f>
        <v>0.37075481957820022</v>
      </c>
      <c r="K47" s="229">
        <f t="shared" ref="K47:O47" si="48">K46/K37</f>
        <v>0.34431317695543473</v>
      </c>
      <c r="L47" s="229">
        <f t="shared" si="48"/>
        <v>0.40892415209045563</v>
      </c>
      <c r="M47" s="5079">
        <f t="shared" si="48"/>
        <v>0.31197248909891145</v>
      </c>
      <c r="N47" s="5122">
        <f>Assumption!N396</f>
        <v>0.31197248909891145</v>
      </c>
      <c r="O47" s="229">
        <f t="shared" si="48"/>
        <v>0.31197248909891145</v>
      </c>
      <c r="P47" s="4950">
        <f>Assumption!P396</f>
        <v>0.31197248909891145</v>
      </c>
      <c r="Q47" s="4950">
        <f>Assumption!Q396</f>
        <v>0.31197248909891145</v>
      </c>
      <c r="R47" s="4950">
        <f>Assumption!R396</f>
        <v>0.31197248909891145</v>
      </c>
      <c r="S47" s="4950">
        <f>Assumption!S396</f>
        <v>0.31197248909891145</v>
      </c>
      <c r="T47" s="4955">
        <f>Assumption!T396</f>
        <v>0.31197248909891145</v>
      </c>
      <c r="V47" s="2511">
        <f>+T47-O47</f>
        <v>0</v>
      </c>
    </row>
    <row r="49" spans="1:22" ht="12" customHeight="1">
      <c r="B49" s="24"/>
      <c r="C49" s="24"/>
      <c r="D49" s="24"/>
      <c r="E49" s="24"/>
      <c r="F49" s="24"/>
      <c r="G49" s="24"/>
      <c r="H49" s="24"/>
      <c r="I49" s="24"/>
      <c r="J49" s="25" t="s">
        <v>23</v>
      </c>
      <c r="K49" s="26"/>
      <c r="L49" s="26"/>
      <c r="M49" s="27"/>
      <c r="N49" s="26" t="s">
        <v>24</v>
      </c>
      <c r="O49" s="26"/>
      <c r="P49" s="26"/>
      <c r="Q49" s="26"/>
      <c r="R49" s="26"/>
      <c r="S49" s="26"/>
      <c r="T49" s="26"/>
    </row>
    <row r="50" spans="1:22" ht="12" customHeight="1">
      <c r="B50" s="28"/>
      <c r="C50" s="28"/>
      <c r="D50" s="28"/>
      <c r="E50" s="28"/>
      <c r="F50" s="28"/>
      <c r="G50" s="28"/>
      <c r="H50" s="1949" t="s">
        <v>3537</v>
      </c>
      <c r="I50" s="28"/>
      <c r="J50" s="29" t="s">
        <v>69</v>
      </c>
      <c r="K50" s="30" t="s">
        <v>27</v>
      </c>
      <c r="L50" s="108" t="s">
        <v>60</v>
      </c>
      <c r="M50" s="5073" t="s">
        <v>5103</v>
      </c>
      <c r="N50" s="5074" t="s">
        <v>64</v>
      </c>
      <c r="O50" s="30" t="s">
        <v>70</v>
      </c>
      <c r="P50" s="30" t="s">
        <v>71</v>
      </c>
      <c r="Q50" s="30" t="s">
        <v>72</v>
      </c>
      <c r="R50" s="30" t="s">
        <v>73</v>
      </c>
      <c r="S50" s="30" t="s">
        <v>74</v>
      </c>
      <c r="T50" s="30" t="s">
        <v>5102</v>
      </c>
    </row>
    <row r="51" spans="1:22" s="113" customFormat="1" ht="12" customHeight="1">
      <c r="A51" s="32"/>
      <c r="B51" s="33" t="s">
        <v>1291</v>
      </c>
      <c r="C51" s="33"/>
      <c r="D51" s="33"/>
      <c r="E51" s="33"/>
      <c r="F51" s="33"/>
      <c r="G51" s="33"/>
      <c r="H51" s="33"/>
      <c r="I51" s="33"/>
      <c r="J51" s="227">
        <f>J52+J54</f>
        <v>32134.460758343997</v>
      </c>
      <c r="K51" s="103">
        <f t="shared" ref="K51:M51" si="49">K52+K54</f>
        <v>31991.078948518003</v>
      </c>
      <c r="L51" s="103">
        <f t="shared" si="49"/>
        <v>31773.457152904004</v>
      </c>
      <c r="M51" s="5047">
        <f t="shared" si="49"/>
        <v>24972.744719048002</v>
      </c>
      <c r="N51" s="5048">
        <f t="shared" ref="N51" si="50">N52+N54</f>
        <v>11419.794710183731</v>
      </c>
      <c r="O51" s="103">
        <f t="shared" ref="O51" si="51">O52+O54</f>
        <v>40151.713507885826</v>
      </c>
      <c r="P51" s="4878">
        <f t="shared" ref="P51" si="52">P52+P54</f>
        <v>40825.371090003515</v>
      </c>
      <c r="Q51" s="4878">
        <f t="shared" ref="Q51" si="53">Q52+Q54</f>
        <v>40047.619406709127</v>
      </c>
      <c r="R51" s="4878">
        <f t="shared" ref="R51" si="54">R52+R54</f>
        <v>37994.165061534717</v>
      </c>
      <c r="S51" s="4878">
        <f t="shared" ref="S51:T51" si="55">S52+S54</f>
        <v>37884.030653822076</v>
      </c>
      <c r="T51" s="4878">
        <f t="shared" si="55"/>
        <v>38688.657234356826</v>
      </c>
    </row>
    <row r="52" spans="1:22" ht="12" customHeight="1">
      <c r="C52" s="4884" t="s">
        <v>1418</v>
      </c>
      <c r="D52" s="4150"/>
      <c r="E52" s="4150"/>
      <c r="F52" s="4150"/>
      <c r="G52" s="4150"/>
      <c r="H52" s="4150"/>
      <c r="I52" s="4150"/>
      <c r="J52" s="4942">
        <f>별도FS_본체!J33/10^6</f>
        <v>17687.900951</v>
      </c>
      <c r="K52" s="4943">
        <f>별도FS_본체!K33/10^6</f>
        <v>16707.113993999999</v>
      </c>
      <c r="L52" s="4943">
        <f>별도FS_본체!Q34</f>
        <v>16430</v>
      </c>
      <c r="M52" s="5110">
        <f>연결정산표!D51/10^6</f>
        <v>10891.443966999999</v>
      </c>
      <c r="N52" s="5056">
        <f>Revenue!N9*N53</f>
        <v>5822.9900080431835</v>
      </c>
      <c r="O52" s="4704">
        <f>Revenue!O9*O53</f>
        <v>20473.60805369728</v>
      </c>
      <c r="P52" s="4888">
        <f>Revenue!P9*P53</f>
        <v>20817.117421239927</v>
      </c>
      <c r="Q52" s="4888">
        <f>Revenue!Q9*Q53</f>
        <v>20420.566458282905</v>
      </c>
      <c r="R52" s="4888">
        <f>Revenue!R9*R53</f>
        <v>19373.562602642629</v>
      </c>
      <c r="S52" s="4888">
        <f>Revenue!S9*S53</f>
        <v>19317.427973219015</v>
      </c>
      <c r="T52" s="4889">
        <f>Revenue!T9*T53</f>
        <v>19727.710218416985</v>
      </c>
    </row>
    <row r="53" spans="1:22" ht="12" customHeight="1">
      <c r="C53" s="4898"/>
      <c r="D53" s="12" t="s">
        <v>1371</v>
      </c>
      <c r="E53" s="12"/>
      <c r="F53" s="12"/>
      <c r="G53" s="12"/>
      <c r="H53" s="1950" t="s">
        <v>360</v>
      </c>
      <c r="I53" s="12"/>
      <c r="J53" s="2451">
        <f>J52/Revenue!J9</f>
        <v>2.4484456768081174E-3</v>
      </c>
      <c r="K53" s="247">
        <f>K52/Revenue!K9</f>
        <v>2.1859776841723273E-3</v>
      </c>
      <c r="L53" s="247">
        <f>L52/Revenue!L9</f>
        <v>2.1413813260321023E-3</v>
      </c>
      <c r="M53" s="5128">
        <f>M52/Revenue!M9</f>
        <v>1.5467764967550639E-3</v>
      </c>
      <c r="N53" s="5072">
        <f>Assumption!N413</f>
        <v>2.0806452959419028E-3</v>
      </c>
      <c r="O53" s="288">
        <f>Assumption!O413</f>
        <v>2.0806452959419028E-3</v>
      </c>
      <c r="P53" s="4883">
        <f>Assumption!P413</f>
        <v>2.0806452959419028E-3</v>
      </c>
      <c r="Q53" s="4883">
        <f>Assumption!Q413</f>
        <v>2.0806452959419028E-3</v>
      </c>
      <c r="R53" s="4883">
        <f>Assumption!R413</f>
        <v>2.0806452959419028E-3</v>
      </c>
      <c r="S53" s="4883">
        <f>Assumption!S413</f>
        <v>2.0806452959419028E-3</v>
      </c>
      <c r="T53" s="4910">
        <f>Assumption!T413</f>
        <v>2.0806452959419028E-3</v>
      </c>
      <c r="V53" s="2511">
        <f>+T53-O53</f>
        <v>0</v>
      </c>
    </row>
    <row r="54" spans="1:22" ht="12" customHeight="1">
      <c r="C54" s="4892" t="s">
        <v>1419</v>
      </c>
      <c r="J54" s="226">
        <f>(Revenue!J9-J60)*J55</f>
        <v>14446.559807343998</v>
      </c>
      <c r="K54" s="205">
        <f>(Revenue!K9-K60)*K55</f>
        <v>15283.964954518004</v>
      </c>
      <c r="L54" s="105">
        <f>(Revenue!L9-L60)*L55</f>
        <v>15343.457152904002</v>
      </c>
      <c r="M54" s="5049">
        <f>(Revenue!M9-M60)*M55</f>
        <v>14081.300752048001</v>
      </c>
      <c r="N54" s="5050">
        <f>(Revenue!N9-N60)*N55</f>
        <v>5596.8047021405464</v>
      </c>
      <c r="O54" s="105">
        <f>(Revenue!O9-O60)*O55</f>
        <v>19678.105454188546</v>
      </c>
      <c r="P54" s="4879">
        <f>(Revenue!P9-P60)*P55</f>
        <v>20008.253668763587</v>
      </c>
      <c r="Q54" s="4879">
        <f>(Revenue!Q9-Q60)*Q55</f>
        <v>19627.052948426226</v>
      </c>
      <c r="R54" s="4879">
        <f>(Revenue!R9-R60)*R55</f>
        <v>18620.602458892085</v>
      </c>
      <c r="S54" s="4879">
        <f>(Revenue!S9-S60)*S55</f>
        <v>18566.602680603057</v>
      </c>
      <c r="T54" s="4903">
        <f>(Revenue!T9-T60)*T55</f>
        <v>18960.947015939844</v>
      </c>
    </row>
    <row r="55" spans="1:22" ht="12" customHeight="1">
      <c r="B55" s="12"/>
      <c r="C55" s="4898"/>
      <c r="D55" s="12" t="s">
        <v>1420</v>
      </c>
      <c r="E55" s="12"/>
      <c r="F55" s="12"/>
      <c r="G55" s="12"/>
      <c r="H55" s="1950" t="s">
        <v>2702</v>
      </c>
      <c r="I55" s="12"/>
      <c r="J55" s="287">
        <f>Assumption!J414</f>
        <v>2E-3</v>
      </c>
      <c r="K55" s="288">
        <f>Assumption!K414</f>
        <v>2E-3</v>
      </c>
      <c r="L55" s="288">
        <f>Assumption!L414</f>
        <v>2E-3</v>
      </c>
      <c r="M55" s="5129">
        <f>Assumption!M414</f>
        <v>2E-3</v>
      </c>
      <c r="N55" s="5072">
        <f>Assumption!N414</f>
        <v>2E-3</v>
      </c>
      <c r="O55" s="288">
        <f>Assumption!O414</f>
        <v>2E-3</v>
      </c>
      <c r="P55" s="4883">
        <f>Assumption!P414</f>
        <v>2E-3</v>
      </c>
      <c r="Q55" s="4883">
        <f>Assumption!Q414</f>
        <v>2E-3</v>
      </c>
      <c r="R55" s="4883">
        <f>Assumption!R414</f>
        <v>2E-3</v>
      </c>
      <c r="S55" s="4883">
        <f>Assumption!S414</f>
        <v>2E-3</v>
      </c>
      <c r="T55" s="4910">
        <f>Assumption!T414</f>
        <v>2E-3</v>
      </c>
      <c r="V55" s="2511">
        <f>+T55-O55</f>
        <v>0</v>
      </c>
    </row>
    <row r="57" spans="1:22" ht="12" customHeight="1">
      <c r="B57" s="24"/>
      <c r="C57" s="24"/>
      <c r="D57" s="24"/>
      <c r="E57" s="24"/>
      <c r="F57" s="24"/>
      <c r="G57" s="24"/>
      <c r="H57" s="24"/>
      <c r="I57" s="24"/>
      <c r="J57" s="25" t="s">
        <v>23</v>
      </c>
      <c r="K57" s="26"/>
      <c r="L57" s="26"/>
      <c r="M57" s="27"/>
      <c r="N57" s="26" t="s">
        <v>24</v>
      </c>
      <c r="O57" s="26"/>
      <c r="P57" s="26"/>
      <c r="Q57" s="26"/>
      <c r="R57" s="26"/>
      <c r="S57" s="26"/>
      <c r="T57" s="26"/>
    </row>
    <row r="58" spans="1:22" ht="12" customHeight="1">
      <c r="B58" s="28"/>
      <c r="C58" s="28"/>
      <c r="D58" s="28"/>
      <c r="E58" s="28"/>
      <c r="F58" s="28"/>
      <c r="G58" s="28"/>
      <c r="H58" s="28"/>
      <c r="I58" s="28"/>
      <c r="J58" s="29" t="s">
        <v>69</v>
      </c>
      <c r="K58" s="30" t="s">
        <v>27</v>
      </c>
      <c r="L58" s="108" t="s">
        <v>60</v>
      </c>
      <c r="M58" s="5073" t="s">
        <v>5103</v>
      </c>
      <c r="N58" s="5074" t="s">
        <v>64</v>
      </c>
      <c r="O58" s="30" t="s">
        <v>70</v>
      </c>
      <c r="P58" s="30" t="s">
        <v>71</v>
      </c>
      <c r="Q58" s="30" t="s">
        <v>72</v>
      </c>
      <c r="R58" s="30" t="s">
        <v>73</v>
      </c>
      <c r="S58" s="30" t="s">
        <v>74</v>
      </c>
      <c r="T58" s="30" t="s">
        <v>5102</v>
      </c>
    </row>
    <row r="59" spans="1:22" s="113" customFormat="1" ht="12" customHeight="1">
      <c r="A59" s="32"/>
      <c r="B59" s="33" t="s">
        <v>1292</v>
      </c>
      <c r="C59" s="33"/>
      <c r="D59" s="33"/>
      <c r="E59" s="33"/>
      <c r="F59" s="33"/>
      <c r="G59" s="33"/>
      <c r="H59" s="33"/>
      <c r="I59" s="33"/>
      <c r="J59" s="227">
        <f>J60+J62+J61</f>
        <v>28166.531846656013</v>
      </c>
      <c r="K59" s="103">
        <f t="shared" ref="K59:T59" si="56">K60+K62+K61</f>
        <v>25840.082346481988</v>
      </c>
      <c r="L59" s="103">
        <f t="shared" si="56"/>
        <v>25371.167819095994</v>
      </c>
      <c r="M59" s="5047">
        <f t="shared" si="56"/>
        <v>19516.706960951997</v>
      </c>
      <c r="N59" s="5048">
        <f t="shared" si="56"/>
        <v>6469.6921704634096</v>
      </c>
      <c r="O59" s="103">
        <f t="shared" si="56"/>
        <v>25986.399131415405</v>
      </c>
      <c r="P59" s="4878">
        <f t="shared" si="56"/>
        <v>27480.824355946363</v>
      </c>
      <c r="Q59" s="4878">
        <f t="shared" si="56"/>
        <v>28209.834205195493</v>
      </c>
      <c r="R59" s="4878">
        <f t="shared" si="56"/>
        <v>28052.46794715177</v>
      </c>
      <c r="S59" s="4878">
        <f t="shared" si="56"/>
        <v>30980.365181848883</v>
      </c>
      <c r="T59" s="4878">
        <f t="shared" si="56"/>
        <v>28521.323779179878</v>
      </c>
    </row>
    <row r="60" spans="1:22" ht="12" customHeight="1">
      <c r="C60" s="3" t="s">
        <v>1422</v>
      </c>
      <c r="J60" s="220">
        <f>별도FS_본체!J51/10^6</f>
        <v>854.6232</v>
      </c>
      <c r="K60" s="221">
        <f>별도FS_본체!K51/10^6</f>
        <v>874.13329499999998</v>
      </c>
      <c r="L60" s="221">
        <f>별도FS_본체!Q47</f>
        <v>889</v>
      </c>
      <c r="M60" s="5063">
        <f>연결정산표!D73/10^6</f>
        <v>731.48479999999995</v>
      </c>
      <c r="N60" s="5050">
        <f>M60/3</f>
        <v>243.82826666666665</v>
      </c>
      <c r="O60" s="105">
        <f>SUM(M60:N60)</f>
        <v>975.3130666666666</v>
      </c>
      <c r="P60" s="4879">
        <f>O60*(1+General!J12)</f>
        <v>998.72058026666662</v>
      </c>
      <c r="Q60" s="4879">
        <f>P60*(1+General!K12)</f>
        <v>1008.7077860693333</v>
      </c>
      <c r="R60" s="4879">
        <f>Q60*(1+General!L12)</f>
        <v>1022.829695074304</v>
      </c>
      <c r="S60" s="4879">
        <f>R60*(1+General!M12)</f>
        <v>1043.2862889757901</v>
      </c>
      <c r="T60" s="4879">
        <f>S60*(1+General!N12)</f>
        <v>1061.0221558883784</v>
      </c>
    </row>
    <row r="61" spans="1:22" ht="12" customHeight="1">
      <c r="C61" s="3" t="s">
        <v>2114</v>
      </c>
      <c r="J61" s="220">
        <f>SUM(CAPEX!J39:J41)-COGS!J173</f>
        <v>2642.1467862177524</v>
      </c>
      <c r="K61" s="221">
        <f>SUM(CAPEX!K39:K41)-COGS!K173</f>
        <v>3829.9651538368707</v>
      </c>
      <c r="L61" s="221">
        <f>SUM(CAPEX!L39:L41)-COGS!L173</f>
        <v>3684.6583887483212</v>
      </c>
      <c r="M61" s="5063">
        <f>SUM(CAPEX!M39:M41)-COGS!M173</f>
        <v>2963.6366790331158</v>
      </c>
      <c r="N61" s="5060">
        <f>SUM(CAPEX!N39:N41)-COGS!N173</f>
        <v>952.00207649044933</v>
      </c>
      <c r="O61" s="105">
        <f>SUM(M61:N61)</f>
        <v>3915.6387555235651</v>
      </c>
      <c r="P61" s="4882">
        <f>SUM(CAPEX!P39:P41)-COGS!P173</f>
        <v>4880.3657310331182</v>
      </c>
      <c r="Q61" s="4882">
        <f>SUM(CAPEX!Q39:Q41)-COGS!Q173</f>
        <v>5383.3709940331173</v>
      </c>
      <c r="R61" s="4882">
        <f>SUM(CAPEX!R39:R41)-COGS!R173</f>
        <v>4906.4342510331189</v>
      </c>
      <c r="S61" s="4882">
        <f>SUM(CAPEX!S39:S41)-COGS!S173</f>
        <v>7371.4108118078584</v>
      </c>
      <c r="T61" s="4882">
        <f>SUM(CAPEX!T39:T41)-COGS!T173</f>
        <v>4511.017184848155</v>
      </c>
    </row>
    <row r="62" spans="1:22" ht="12" customHeight="1">
      <c r="B62" s="12"/>
      <c r="C62" s="12" t="s">
        <v>1423</v>
      </c>
      <c r="D62" s="12"/>
      <c r="E62" s="12"/>
      <c r="F62" s="12"/>
      <c r="G62" s="12"/>
      <c r="H62" s="12"/>
      <c r="I62" s="12"/>
      <c r="J62" s="223">
        <f>별도FS_본체!J6/10^6-J27-J51-J60-J61</f>
        <v>24669.761860438259</v>
      </c>
      <c r="K62" s="224">
        <f>별도FS_본체!K6/10^6-K27-K51-K60-K61</f>
        <v>21135.983897645117</v>
      </c>
      <c r="L62" s="224">
        <f>별도FS_본체!M6/10^6-L27-L51-L60-L61</f>
        <v>20797.509430347673</v>
      </c>
      <c r="M62" s="5126">
        <f>연결정산표!D45/10^6-M27-M51-M60-M61</f>
        <v>15821.585481918883</v>
      </c>
      <c r="N62" s="5054">
        <f>M62/3</f>
        <v>5273.8618273062939</v>
      </c>
      <c r="O62" s="107">
        <f t="shared" ref="O62" si="57">SUM(M62:N62)</f>
        <v>21095.447309225176</v>
      </c>
      <c r="P62" s="4881">
        <f>O62*(1+General!J12)</f>
        <v>21601.73804464658</v>
      </c>
      <c r="Q62" s="4881">
        <f>P62*(1+General!K12)</f>
        <v>21817.755425093044</v>
      </c>
      <c r="R62" s="4881">
        <f>Q62*(1+General!L12)</f>
        <v>22123.204001044349</v>
      </c>
      <c r="S62" s="4881">
        <f>R62*(1+General!M12)</f>
        <v>22565.668081065236</v>
      </c>
      <c r="T62" s="4881">
        <f>S62*(1+General!N12)</f>
        <v>22949.284438443345</v>
      </c>
    </row>
    <row r="65" spans="1:22" ht="12" customHeight="1">
      <c r="A65" s="20" t="s">
        <v>77</v>
      </c>
      <c r="B65" s="21" t="s">
        <v>66</v>
      </c>
      <c r="C65" s="102"/>
      <c r="D65" s="102"/>
      <c r="E65" s="102"/>
      <c r="F65" s="102"/>
      <c r="G65" s="102"/>
      <c r="H65" s="102"/>
      <c r="I65" s="102"/>
      <c r="J65" s="102"/>
      <c r="K65" s="102"/>
      <c r="L65" s="102"/>
      <c r="M65" s="102"/>
      <c r="N65" s="102"/>
      <c r="O65" s="109"/>
      <c r="P65" s="109"/>
      <c r="Q65" s="109"/>
      <c r="R65" s="109"/>
      <c r="S65" s="109"/>
      <c r="T65" s="109"/>
    </row>
    <row r="66" spans="1:22" ht="12" customHeight="1">
      <c r="A66" s="1965"/>
      <c r="B66" s="1964" t="s">
        <v>6466</v>
      </c>
      <c r="C66" s="1965"/>
      <c r="D66" s="1965"/>
      <c r="E66" s="1965"/>
      <c r="F66" s="1965"/>
      <c r="G66" s="1965"/>
      <c r="H66" s="1965"/>
      <c r="I66" s="1965"/>
      <c r="J66" s="1965"/>
      <c r="K66" s="1965"/>
      <c r="L66" s="1965"/>
      <c r="M66" s="1965"/>
      <c r="N66" s="1965"/>
      <c r="O66" s="1965"/>
      <c r="P66" s="1965"/>
      <c r="Q66" s="1965"/>
      <c r="R66" s="1965"/>
      <c r="S66" s="1965"/>
      <c r="T66" s="1965"/>
    </row>
    <row r="68" spans="1:22" ht="12" customHeight="1">
      <c r="B68" s="24"/>
      <c r="C68" s="24"/>
      <c r="D68" s="24"/>
      <c r="E68" s="24"/>
      <c r="F68" s="24"/>
      <c r="G68" s="24"/>
      <c r="H68" s="24"/>
      <c r="I68" s="24"/>
      <c r="J68" s="25" t="s">
        <v>3457</v>
      </c>
      <c r="K68" s="26"/>
      <c r="L68" s="26"/>
      <c r="M68" s="27"/>
      <c r="N68" s="26" t="s">
        <v>3458</v>
      </c>
      <c r="O68" s="26"/>
      <c r="P68" s="26"/>
      <c r="Q68" s="26"/>
      <c r="R68" s="26"/>
      <c r="S68" s="26"/>
      <c r="T68" s="26"/>
    </row>
    <row r="69" spans="1:22" ht="12" customHeight="1">
      <c r="B69" s="28"/>
      <c r="C69" s="28"/>
      <c r="D69" s="28"/>
      <c r="E69" s="28"/>
      <c r="F69" s="28"/>
      <c r="G69" s="28"/>
      <c r="H69" s="1949" t="s">
        <v>3537</v>
      </c>
      <c r="I69" s="28"/>
      <c r="J69" s="29" t="s">
        <v>69</v>
      </c>
      <c r="K69" s="30" t="s">
        <v>27</v>
      </c>
      <c r="L69" s="108" t="s">
        <v>60</v>
      </c>
      <c r="M69" s="31" t="s">
        <v>5103</v>
      </c>
      <c r="N69" s="30" t="s">
        <v>3459</v>
      </c>
      <c r="O69" s="30" t="s">
        <v>70</v>
      </c>
      <c r="P69" s="30" t="s">
        <v>71</v>
      </c>
      <c r="Q69" s="30" t="s">
        <v>72</v>
      </c>
      <c r="R69" s="30" t="s">
        <v>73</v>
      </c>
      <c r="S69" s="30" t="s">
        <v>74</v>
      </c>
      <c r="T69" s="30" t="s">
        <v>5102</v>
      </c>
    </row>
    <row r="70" spans="1:22" ht="12" customHeight="1">
      <c r="B70" s="33" t="s">
        <v>33</v>
      </c>
      <c r="C70" s="33"/>
      <c r="D70" s="33"/>
      <c r="E70" s="33"/>
      <c r="F70" s="33"/>
      <c r="G70" s="33"/>
      <c r="H70" s="33"/>
      <c r="I70" s="1056"/>
      <c r="J70" s="735">
        <f>J71+J73+J75+J77</f>
        <v>2793.5164989999998</v>
      </c>
      <c r="K70" s="735">
        <f t="shared" ref="K70:T70" si="58">K71+K73+K75+K77</f>
        <v>7846.9737320000004</v>
      </c>
      <c r="L70" s="735">
        <f t="shared" si="58"/>
        <v>8700.4336339999991</v>
      </c>
      <c r="M70" s="2353">
        <f t="shared" si="58"/>
        <v>6202.388336</v>
      </c>
      <c r="N70" s="735">
        <f t="shared" si="58"/>
        <v>2299.8834050772825</v>
      </c>
      <c r="O70" s="735">
        <f t="shared" si="58"/>
        <v>8502.2717410772821</v>
      </c>
      <c r="P70" s="735">
        <f t="shared" si="58"/>
        <v>8093.1674445870212</v>
      </c>
      <c r="Q70" s="735">
        <f t="shared" si="58"/>
        <v>7941.2712121799368</v>
      </c>
      <c r="R70" s="735">
        <f t="shared" si="58"/>
        <v>7945.3901276000961</v>
      </c>
      <c r="S70" s="735">
        <f t="shared" si="58"/>
        <v>8202.5809278304878</v>
      </c>
      <c r="T70" s="735">
        <f t="shared" si="58"/>
        <v>8161.3182305795708</v>
      </c>
    </row>
    <row r="71" spans="1:22" ht="12" customHeight="1">
      <c r="C71" s="3" t="s">
        <v>1505</v>
      </c>
      <c r="I71" s="1057"/>
      <c r="J71" s="1119">
        <f>J84</f>
        <v>2424.5534450000005</v>
      </c>
      <c r="K71" s="1119">
        <f t="shared" ref="K71:T71" si="59">K84</f>
        <v>2400.191734</v>
      </c>
      <c r="L71" s="1119">
        <f t="shared" si="59"/>
        <v>3272.573641</v>
      </c>
      <c r="M71" s="2356">
        <f t="shared" si="59"/>
        <v>2123.959648</v>
      </c>
      <c r="N71" s="1122">
        <f t="shared" si="59"/>
        <v>712.89960911024889</v>
      </c>
      <c r="O71" s="1122">
        <f t="shared" si="59"/>
        <v>2836.859257110249</v>
      </c>
      <c r="P71" s="1122">
        <f t="shared" si="59"/>
        <v>2924.9231333994453</v>
      </c>
      <c r="Q71" s="1122">
        <f t="shared" si="59"/>
        <v>2983.5317169321302</v>
      </c>
      <c r="R71" s="1122">
        <f t="shared" si="59"/>
        <v>3084.1407016018297</v>
      </c>
      <c r="S71" s="1122">
        <f t="shared" si="59"/>
        <v>3182.2938068319336</v>
      </c>
      <c r="T71" s="1122">
        <f t="shared" si="59"/>
        <v>3300.0688045813058</v>
      </c>
    </row>
    <row r="72" spans="1:22" ht="12" customHeight="1">
      <c r="C72" s="45"/>
      <c r="D72" s="45" t="s">
        <v>3456</v>
      </c>
      <c r="H72" s="110" t="s">
        <v>360</v>
      </c>
      <c r="I72" s="1057"/>
      <c r="J72" s="1912">
        <f>J71/Revenue!J98</f>
        <v>1.078350502676601E-2</v>
      </c>
      <c r="K72" s="1912">
        <f>K71/Revenue!K98</f>
        <v>1.0359588911722973E-2</v>
      </c>
      <c r="L72" s="1912">
        <f>L71/Revenue!L98</f>
        <v>1.0620432042309075E-2</v>
      </c>
      <c r="M72" s="2357">
        <f>M71/Revenue!M98</f>
        <v>9.9437075338021999E-3</v>
      </c>
      <c r="N72" s="405">
        <f>N71/Revenue!N98</f>
        <v>9.770089921921148E-3</v>
      </c>
      <c r="O72" s="405">
        <f>O71/Revenue!O98</f>
        <v>9.8994997186653052E-3</v>
      </c>
      <c r="P72" s="405">
        <f>P71/Revenue!P98</f>
        <v>1.0617842933471448E-2</v>
      </c>
      <c r="Q72" s="405">
        <f>Q71/Revenue!Q98</f>
        <v>1.0311020582855672E-2</v>
      </c>
      <c r="R72" s="405">
        <f>R71/Revenue!R98</f>
        <v>1.0611188444528408E-2</v>
      </c>
      <c r="S72" s="405">
        <f>S71/Revenue!S98</f>
        <v>1.1356771954280545E-2</v>
      </c>
      <c r="T72" s="405">
        <f>T71/Revenue!T98</f>
        <v>1.1851648142917951E-2</v>
      </c>
      <c r="V72" s="2511">
        <f>+T72-O72</f>
        <v>1.9521484242526459E-3</v>
      </c>
    </row>
    <row r="73" spans="1:22" ht="12" customHeight="1">
      <c r="C73" s="3" t="s">
        <v>1506</v>
      </c>
      <c r="D73" s="45"/>
      <c r="I73" s="1057"/>
      <c r="J73" s="1119">
        <f>J135</f>
        <v>-2162.8892770000002</v>
      </c>
      <c r="K73" s="1119">
        <f t="shared" ref="K73:T73" si="60">K135</f>
        <v>2778.4895200000001</v>
      </c>
      <c r="L73" s="1119">
        <f t="shared" si="60"/>
        <v>2736.445326</v>
      </c>
      <c r="M73" s="2356">
        <f t="shared" si="60"/>
        <v>1997.3989610000001</v>
      </c>
      <c r="N73" s="1122">
        <f t="shared" si="60"/>
        <v>787.06428916897607</v>
      </c>
      <c r="O73" s="1122">
        <f t="shared" si="60"/>
        <v>2784.4632501689762</v>
      </c>
      <c r="P73" s="1122">
        <f t="shared" si="60"/>
        <v>2626.2946136113123</v>
      </c>
      <c r="Q73" s="1122">
        <f t="shared" si="60"/>
        <v>2808.7968865624625</v>
      </c>
      <c r="R73" s="1122">
        <f t="shared" si="60"/>
        <v>2649.7591915621747</v>
      </c>
      <c r="S73" s="1122">
        <f t="shared" si="60"/>
        <v>2808.7968865624625</v>
      </c>
      <c r="T73" s="1122">
        <f t="shared" si="60"/>
        <v>2649.7591915621747</v>
      </c>
    </row>
    <row r="74" spans="1:22" ht="12" customHeight="1">
      <c r="C74" s="45"/>
      <c r="D74" s="45" t="s">
        <v>3456</v>
      </c>
      <c r="H74" s="110" t="s">
        <v>360</v>
      </c>
      <c r="I74" s="1057"/>
      <c r="J74" s="399">
        <f>J73/Revenue!J99</f>
        <v>-1.0462374594133005E-2</v>
      </c>
      <c r="K74" s="399">
        <f>K73/Revenue!K99</f>
        <v>1.2720340664132636E-2</v>
      </c>
      <c r="L74" s="399">
        <f>L73/Revenue!L99</f>
        <v>1.1348065948303926E-2</v>
      </c>
      <c r="M74" s="2354">
        <f>M73/Revenue!M99</f>
        <v>8.6905844262452434E-3</v>
      </c>
      <c r="N74" s="405">
        <f>N73/Revenue!N99</f>
        <v>8.6905844262452434E-3</v>
      </c>
      <c r="O74" s="405">
        <f>O73/Revenue!O99</f>
        <v>8.6905844262452434E-3</v>
      </c>
      <c r="P74" s="405">
        <f>P73/Revenue!P99</f>
        <v>8.6905844262452434E-3</v>
      </c>
      <c r="Q74" s="405">
        <f>Q73/Revenue!Q99</f>
        <v>8.6905844262452434E-3</v>
      </c>
      <c r="R74" s="405">
        <f>R73/Revenue!R99</f>
        <v>8.6905844262452434E-3</v>
      </c>
      <c r="S74" s="405">
        <f>S73/Revenue!S99</f>
        <v>8.6905844262452434E-3</v>
      </c>
      <c r="T74" s="405">
        <f>T73/Revenue!T99</f>
        <v>8.6905844262452434E-3</v>
      </c>
      <c r="V74" s="2511">
        <f>+T74-O74</f>
        <v>0</v>
      </c>
    </row>
    <row r="75" spans="1:22" ht="12" customHeight="1">
      <c r="C75" s="3" t="s">
        <v>1507</v>
      </c>
      <c r="D75" s="45"/>
      <c r="I75" s="1057"/>
      <c r="J75" s="1119">
        <f>J137</f>
        <v>1934.1558379999999</v>
      </c>
      <c r="K75" s="1119">
        <f t="shared" ref="K75:T75" si="61">K137</f>
        <v>2066.2487540000002</v>
      </c>
      <c r="L75" s="1119">
        <f t="shared" si="61"/>
        <v>2154.7211649999999</v>
      </c>
      <c r="M75" s="2356">
        <f t="shared" si="61"/>
        <v>1698.97018</v>
      </c>
      <c r="N75" s="1122">
        <f t="shared" si="61"/>
        <v>638.5270641740974</v>
      </c>
      <c r="O75" s="1122">
        <f t="shared" si="61"/>
        <v>2337.4972441740974</v>
      </c>
      <c r="P75" s="1122">
        <f t="shared" si="61"/>
        <v>1781.1169121027178</v>
      </c>
      <c r="Q75" s="1122">
        <f t="shared" si="61"/>
        <v>1434.6914223224251</v>
      </c>
      <c r="R75" s="1122">
        <f t="shared" si="61"/>
        <v>1466.1846486660879</v>
      </c>
      <c r="S75" s="1122">
        <f t="shared" si="61"/>
        <v>1466.1846486660879</v>
      </c>
      <c r="T75" s="1122">
        <f t="shared" si="61"/>
        <v>1466.1846486660879</v>
      </c>
    </row>
    <row r="76" spans="1:22" ht="12" customHeight="1">
      <c r="B76" s="45"/>
      <c r="C76" s="45"/>
      <c r="D76" s="45" t="s">
        <v>3456</v>
      </c>
      <c r="E76" s="45"/>
      <c r="F76" s="45"/>
      <c r="G76" s="45"/>
      <c r="H76" s="110" t="s">
        <v>360</v>
      </c>
      <c r="I76" s="1058"/>
      <c r="J76" s="399">
        <f>J75/Revenue!J100</f>
        <v>7.0412606278558679E-2</v>
      </c>
      <c r="K76" s="399">
        <f>K75/Revenue!K100</f>
        <v>4.3668039170495727E-2</v>
      </c>
      <c r="L76" s="399">
        <f>L75/Revenue!L100</f>
        <v>5.4223083664843581E-2</v>
      </c>
      <c r="M76" s="2354">
        <f>M75/Revenue!M100</f>
        <v>3.4992473715181098E-2</v>
      </c>
      <c r="N76" s="405">
        <f>N75/Revenue!N100</f>
        <v>3.4992473715181098E-2</v>
      </c>
      <c r="O76" s="405">
        <f>O75/Revenue!O100</f>
        <v>3.4992473715181098E-2</v>
      </c>
      <c r="P76" s="405">
        <f>P75/Revenue!P100</f>
        <v>3.4992473715181098E-2</v>
      </c>
      <c r="Q76" s="405">
        <f>Q75/Revenue!Q100</f>
        <v>3.4992473715181098E-2</v>
      </c>
      <c r="R76" s="405">
        <f>R75/Revenue!R100</f>
        <v>3.4992473715181098E-2</v>
      </c>
      <c r="S76" s="405">
        <f>S75/Revenue!S100</f>
        <v>3.4992473715181098E-2</v>
      </c>
      <c r="T76" s="405">
        <f>T75/Revenue!T100</f>
        <v>3.4992473715181098E-2</v>
      </c>
      <c r="V76" s="2511">
        <f>+T76-O76</f>
        <v>0</v>
      </c>
    </row>
    <row r="77" spans="1:22" ht="12" customHeight="1">
      <c r="C77" s="3" t="s">
        <v>1561</v>
      </c>
      <c r="D77" s="45"/>
      <c r="I77" s="1057"/>
      <c r="J77" s="1119">
        <f>J139</f>
        <v>597.69649300000003</v>
      </c>
      <c r="K77" s="1119">
        <f t="shared" ref="K77:T77" si="62">K139</f>
        <v>602.043724</v>
      </c>
      <c r="L77" s="1119">
        <f t="shared" si="62"/>
        <v>536.69350199999997</v>
      </c>
      <c r="M77" s="2356">
        <f t="shared" si="62"/>
        <v>382.05954700000001</v>
      </c>
      <c r="N77" s="1122">
        <f t="shared" si="62"/>
        <v>161.3924426239607</v>
      </c>
      <c r="O77" s="1122">
        <f t="shared" si="62"/>
        <v>543.45198962396069</v>
      </c>
      <c r="P77" s="1122">
        <f t="shared" si="62"/>
        <v>760.83278547354496</v>
      </c>
      <c r="Q77" s="1122">
        <f t="shared" si="62"/>
        <v>714.25118636291984</v>
      </c>
      <c r="R77" s="1122">
        <f t="shared" si="62"/>
        <v>745.30558577000329</v>
      </c>
      <c r="S77" s="1122">
        <f t="shared" si="62"/>
        <v>745.30558577000329</v>
      </c>
      <c r="T77" s="1122">
        <f t="shared" si="62"/>
        <v>745.30558577000329</v>
      </c>
    </row>
    <row r="78" spans="1:22" ht="12" customHeight="1">
      <c r="B78" s="12"/>
      <c r="C78" s="361"/>
      <c r="D78" s="361" t="s">
        <v>3456</v>
      </c>
      <c r="E78" s="12"/>
      <c r="F78" s="12"/>
      <c r="G78" s="12"/>
      <c r="H78" s="1950" t="s">
        <v>2702</v>
      </c>
      <c r="I78" s="1059"/>
      <c r="J78" s="229">
        <f>J77/Revenue!J101</f>
        <v>3.9992662849628019E-2</v>
      </c>
      <c r="K78" s="229">
        <f>K77/Revenue!K101</f>
        <v>5.9234261027277003E-2</v>
      </c>
      <c r="L78" s="229">
        <f>L77/Revenue!L101</f>
        <v>6.3232863236871578E-2</v>
      </c>
      <c r="M78" s="2355">
        <f>M77/Revenue!M101</f>
        <v>5.1757332345139115E-2</v>
      </c>
      <c r="N78" s="404">
        <f>N77/Revenue!N101</f>
        <v>5.1757332345139115E-2</v>
      </c>
      <c r="O78" s="404">
        <f>O77/Revenue!O101</f>
        <v>5.1757332345139115E-2</v>
      </c>
      <c r="P78" s="404">
        <f>P77/Revenue!P101</f>
        <v>5.1757332345139115E-2</v>
      </c>
      <c r="Q78" s="404">
        <f>Q77/Revenue!Q101</f>
        <v>5.1757332345139122E-2</v>
      </c>
      <c r="R78" s="404">
        <f>R77/Revenue!R101</f>
        <v>5.1757332345139115E-2</v>
      </c>
      <c r="S78" s="404">
        <f>S77/Revenue!S101</f>
        <v>5.1757332345139115E-2</v>
      </c>
      <c r="T78" s="404">
        <f>T77/Revenue!T101</f>
        <v>5.1757332345139115E-2</v>
      </c>
      <c r="V78" s="2511">
        <f>+T78-O78</f>
        <v>0</v>
      </c>
    </row>
    <row r="80" spans="1:22" ht="12" customHeight="1">
      <c r="A80" s="1965"/>
      <c r="B80" s="1964" t="s">
        <v>6467</v>
      </c>
      <c r="C80" s="1965"/>
      <c r="D80" s="1965"/>
      <c r="E80" s="1965"/>
      <c r="F80" s="1965"/>
      <c r="G80" s="1965"/>
      <c r="H80" s="1965"/>
      <c r="I80" s="1965"/>
      <c r="J80" s="1965"/>
      <c r="K80" s="1965"/>
      <c r="L80" s="1965"/>
      <c r="M80" s="1965"/>
      <c r="N80" s="1965"/>
      <c r="O80" s="1965"/>
      <c r="P80" s="1965"/>
      <c r="Q80" s="1965"/>
      <c r="R80" s="1965"/>
      <c r="S80" s="1965"/>
      <c r="T80" s="1965"/>
    </row>
    <row r="82" spans="2:20" ht="12" customHeight="1">
      <c r="B82" s="4027"/>
      <c r="C82" s="4027"/>
      <c r="D82" s="4027"/>
      <c r="E82" s="4027"/>
      <c r="F82" s="4027"/>
      <c r="G82" s="4027"/>
      <c r="H82" s="4027"/>
      <c r="I82" s="4027"/>
      <c r="J82" s="25" t="s">
        <v>23</v>
      </c>
      <c r="K82" s="26"/>
      <c r="L82" s="26"/>
      <c r="M82" s="27"/>
      <c r="N82" s="26" t="s">
        <v>24</v>
      </c>
      <c r="O82" s="26"/>
      <c r="P82" s="26"/>
      <c r="Q82" s="26"/>
      <c r="R82" s="26"/>
      <c r="S82" s="26"/>
      <c r="T82" s="26"/>
    </row>
    <row r="83" spans="2:20" ht="12" customHeight="1">
      <c r="B83" s="28"/>
      <c r="C83" s="28"/>
      <c r="D83" s="28"/>
      <c r="E83" s="28"/>
      <c r="F83" s="28"/>
      <c r="G83" s="28"/>
      <c r="H83" s="1949" t="s">
        <v>2889</v>
      </c>
      <c r="I83" s="28"/>
      <c r="J83" s="29" t="s">
        <v>69</v>
      </c>
      <c r="K83" s="30" t="s">
        <v>27</v>
      </c>
      <c r="L83" s="108" t="s">
        <v>60</v>
      </c>
      <c r="M83" s="31" t="s">
        <v>5104</v>
      </c>
      <c r="N83" s="30" t="s">
        <v>5174</v>
      </c>
      <c r="O83" s="30" t="s">
        <v>70</v>
      </c>
      <c r="P83" s="30" t="s">
        <v>71</v>
      </c>
      <c r="Q83" s="30" t="s">
        <v>72</v>
      </c>
      <c r="R83" s="30" t="s">
        <v>73</v>
      </c>
      <c r="S83" s="30" t="s">
        <v>74</v>
      </c>
      <c r="T83" s="30" t="s">
        <v>5102</v>
      </c>
    </row>
    <row r="84" spans="2:20" ht="12" customHeight="1">
      <c r="B84" s="4028" t="s">
        <v>33</v>
      </c>
      <c r="C84" s="4028"/>
      <c r="D84" s="4028"/>
      <c r="E84" s="4028"/>
      <c r="F84" s="4028"/>
      <c r="G84" s="4028"/>
      <c r="H84" s="4028"/>
      <c r="I84" s="4028"/>
      <c r="J84" s="396">
        <f>SUM(J86:J88)</f>
        <v>2424.5534450000005</v>
      </c>
      <c r="K84" s="4023">
        <f t="shared" ref="K84:T84" si="63">SUM(K86:K88)</f>
        <v>2400.191734</v>
      </c>
      <c r="L84" s="4023">
        <f t="shared" si="63"/>
        <v>3272.573641</v>
      </c>
      <c r="M84" s="3772">
        <f t="shared" si="63"/>
        <v>2123.959648</v>
      </c>
      <c r="N84" s="4023">
        <f t="shared" si="63"/>
        <v>712.89960911024889</v>
      </c>
      <c r="O84" s="4023">
        <f t="shared" si="63"/>
        <v>2836.859257110249</v>
      </c>
      <c r="P84" s="4023">
        <f t="shared" si="63"/>
        <v>2924.9231333994453</v>
      </c>
      <c r="Q84" s="4023">
        <f t="shared" si="63"/>
        <v>2983.5317169321302</v>
      </c>
      <c r="R84" s="4023">
        <f t="shared" si="63"/>
        <v>3084.1407016018297</v>
      </c>
      <c r="S84" s="4023">
        <f t="shared" si="63"/>
        <v>3182.2938068319336</v>
      </c>
      <c r="T84" s="4023">
        <f t="shared" si="63"/>
        <v>3300.0688045813058</v>
      </c>
    </row>
    <row r="85" spans="2:20" ht="12" customHeight="1">
      <c r="B85" s="45" t="s">
        <v>32</v>
      </c>
      <c r="C85" s="45"/>
      <c r="D85" s="45"/>
      <c r="E85" s="45"/>
      <c r="F85" s="45"/>
      <c r="G85" s="45"/>
      <c r="H85" s="1951" t="s">
        <v>360</v>
      </c>
      <c r="I85" s="45"/>
      <c r="J85" s="3734">
        <f>J84/Revenue!J107</f>
        <v>1.078350502676601E-2</v>
      </c>
      <c r="K85" s="11">
        <f>K84/Revenue!K107</f>
        <v>1.0359588911722973E-2</v>
      </c>
      <c r="L85" s="375">
        <f>L84/Revenue!L107</f>
        <v>1.0620432042309075E-2</v>
      </c>
      <c r="M85" s="3432">
        <f>M84/Revenue!M107</f>
        <v>9.9437075338021999E-3</v>
      </c>
      <c r="N85" s="3734">
        <f>N84/Revenue!N107</f>
        <v>9.770089921921148E-3</v>
      </c>
      <c r="O85" s="11">
        <f>O84/Revenue!O107</f>
        <v>9.8994997186653052E-3</v>
      </c>
      <c r="P85" s="11">
        <f>P84/Revenue!P107</f>
        <v>1.0617842933471448E-2</v>
      </c>
      <c r="Q85" s="11">
        <f>Q84/Revenue!Q107</f>
        <v>1.0311020582855672E-2</v>
      </c>
      <c r="R85" s="11">
        <f>R84/Revenue!R107</f>
        <v>1.0611188444528408E-2</v>
      </c>
      <c r="S85" s="11">
        <f>S84/Revenue!S107</f>
        <v>1.1356771954280545E-2</v>
      </c>
      <c r="T85" s="11">
        <f>T84/Revenue!T107</f>
        <v>1.1851648142917951E-2</v>
      </c>
    </row>
    <row r="86" spans="2:20" ht="12" customHeight="1">
      <c r="B86" s="45"/>
      <c r="C86" s="3" t="s">
        <v>1285</v>
      </c>
      <c r="D86" s="45"/>
      <c r="E86" s="45"/>
      <c r="F86" s="45"/>
      <c r="G86" s="45"/>
      <c r="H86" s="110" t="s">
        <v>3529</v>
      </c>
      <c r="I86" s="45"/>
      <c r="J86" s="216">
        <f>J92</f>
        <v>1704.6244580000002</v>
      </c>
      <c r="K86" s="1934">
        <f t="shared" ref="K86:T86" si="64">K92</f>
        <v>1831.5842590000002</v>
      </c>
      <c r="L86" s="1934">
        <f t="shared" si="64"/>
        <v>2215.5313110000002</v>
      </c>
      <c r="M86" s="106">
        <f t="shared" si="64"/>
        <v>1539.7457760000002</v>
      </c>
      <c r="N86" s="105">
        <f t="shared" si="64"/>
        <v>513.24859200000003</v>
      </c>
      <c r="O86" s="1934">
        <f t="shared" si="64"/>
        <v>2052.9943680000001</v>
      </c>
      <c r="P86" s="1934">
        <f t="shared" si="64"/>
        <v>2109.4277875350431</v>
      </c>
      <c r="Q86" s="1934">
        <f t="shared" si="64"/>
        <v>2149.5069154982089</v>
      </c>
      <c r="R86" s="1934">
        <f t="shared" si="64"/>
        <v>2233.3376852026386</v>
      </c>
      <c r="S86" s="1934">
        <f t="shared" si="64"/>
        <v>2307.0378288143256</v>
      </c>
      <c r="T86" s="1934">
        <f t="shared" si="64"/>
        <v>2401.6263797957126</v>
      </c>
    </row>
    <row r="87" spans="2:20" ht="12" customHeight="1">
      <c r="C87" s="3" t="s">
        <v>1291</v>
      </c>
      <c r="H87" s="110" t="s">
        <v>3529</v>
      </c>
      <c r="J87" s="226">
        <f>J105</f>
        <v>48.471223000000002</v>
      </c>
      <c r="K87" s="205">
        <f t="shared" ref="K87:T87" si="65">K105</f>
        <v>12.293013</v>
      </c>
      <c r="L87" s="105">
        <f t="shared" si="65"/>
        <v>49.412708000000002</v>
      </c>
      <c r="M87" s="106">
        <f t="shared" si="65"/>
        <v>32.752582000000004</v>
      </c>
      <c r="N87" s="105">
        <f t="shared" si="65"/>
        <v>11.188643570583675</v>
      </c>
      <c r="O87" s="105">
        <f t="shared" si="65"/>
        <v>43.941225570583683</v>
      </c>
      <c r="P87" s="105">
        <f t="shared" si="65"/>
        <v>42.240182317735787</v>
      </c>
      <c r="Q87" s="105">
        <f t="shared" si="65"/>
        <v>44.368692285121021</v>
      </c>
      <c r="R87" s="105">
        <f t="shared" si="65"/>
        <v>44.567449275641287</v>
      </c>
      <c r="S87" s="105">
        <f t="shared" si="65"/>
        <v>42.966798165074714</v>
      </c>
      <c r="T87" s="105">
        <f t="shared" si="65"/>
        <v>42.696459985041187</v>
      </c>
    </row>
    <row r="88" spans="2:20" ht="12" customHeight="1">
      <c r="B88" s="361"/>
      <c r="C88" s="12" t="s">
        <v>1292</v>
      </c>
      <c r="D88" s="361"/>
      <c r="E88" s="361"/>
      <c r="F88" s="361"/>
      <c r="G88" s="361"/>
      <c r="H88" s="1950" t="s">
        <v>3529</v>
      </c>
      <c r="I88" s="361"/>
      <c r="J88" s="397">
        <f>J110</f>
        <v>671.457764</v>
      </c>
      <c r="K88" s="1935">
        <f t="shared" ref="K88:T88" si="66">K110</f>
        <v>556.31446199999993</v>
      </c>
      <c r="L88" s="1935">
        <f t="shared" si="66"/>
        <v>1007.6296219999999</v>
      </c>
      <c r="M88" s="2164">
        <f t="shared" si="66"/>
        <v>551.46128999999996</v>
      </c>
      <c r="N88" s="107">
        <f t="shared" si="66"/>
        <v>188.46237353966524</v>
      </c>
      <c r="O88" s="1935">
        <f t="shared" si="66"/>
        <v>739.92366353966531</v>
      </c>
      <c r="P88" s="1935">
        <f t="shared" si="66"/>
        <v>773.25516354666661</v>
      </c>
      <c r="Q88" s="1935">
        <f t="shared" si="66"/>
        <v>789.65610914880017</v>
      </c>
      <c r="R88" s="1935">
        <f t="shared" si="66"/>
        <v>806.23556712355014</v>
      </c>
      <c r="S88" s="1935">
        <f t="shared" si="66"/>
        <v>832.28917985253315</v>
      </c>
      <c r="T88" s="1935">
        <f t="shared" si="66"/>
        <v>855.7459648005522</v>
      </c>
    </row>
    <row r="90" spans="2:20" ht="12" customHeight="1">
      <c r="B90" s="4027"/>
      <c r="C90" s="4027"/>
      <c r="D90" s="4027"/>
      <c r="E90" s="4027"/>
      <c r="F90" s="4027"/>
      <c r="G90" s="4027"/>
      <c r="H90" s="4027"/>
      <c r="I90" s="4027"/>
      <c r="J90" s="25" t="s">
        <v>23</v>
      </c>
      <c r="K90" s="26"/>
      <c r="L90" s="26"/>
      <c r="M90" s="27"/>
      <c r="N90" s="26" t="s">
        <v>24</v>
      </c>
      <c r="O90" s="26"/>
      <c r="P90" s="26"/>
      <c r="Q90" s="26"/>
      <c r="R90" s="26"/>
      <c r="S90" s="26"/>
      <c r="T90" s="26"/>
    </row>
    <row r="91" spans="2:20" ht="12" customHeight="1">
      <c r="B91" s="28"/>
      <c r="C91" s="28"/>
      <c r="D91" s="28"/>
      <c r="E91" s="28"/>
      <c r="F91" s="28"/>
      <c r="G91" s="28"/>
      <c r="H91" s="1949" t="s">
        <v>2889</v>
      </c>
      <c r="I91" s="28"/>
      <c r="J91" s="29" t="s">
        <v>69</v>
      </c>
      <c r="K91" s="30" t="s">
        <v>27</v>
      </c>
      <c r="L91" s="108" t="s">
        <v>60</v>
      </c>
      <c r="M91" s="31" t="s">
        <v>5104</v>
      </c>
      <c r="N91" s="30" t="s">
        <v>5174</v>
      </c>
      <c r="O91" s="30" t="s">
        <v>70</v>
      </c>
      <c r="P91" s="30" t="s">
        <v>71</v>
      </c>
      <c r="Q91" s="30" t="s">
        <v>72</v>
      </c>
      <c r="R91" s="30" t="s">
        <v>73</v>
      </c>
      <c r="S91" s="30" t="s">
        <v>74</v>
      </c>
      <c r="T91" s="30" t="s">
        <v>5102</v>
      </c>
    </row>
    <row r="92" spans="2:20" ht="12" customHeight="1">
      <c r="B92" s="4028" t="s">
        <v>1285</v>
      </c>
      <c r="C92" s="4028"/>
      <c r="D92" s="4028"/>
      <c r="E92" s="4028"/>
      <c r="F92" s="4028"/>
      <c r="G92" s="4028"/>
      <c r="H92" s="4032"/>
      <c r="I92" s="4028"/>
      <c r="J92" s="3731">
        <f>J93+J96+J98+J100</f>
        <v>1704.6244580000002</v>
      </c>
      <c r="K92" s="4023">
        <f t="shared" ref="K92:T92" si="67">K93+K96+K98+K100</f>
        <v>1831.5842590000002</v>
      </c>
      <c r="L92" s="4033">
        <f t="shared" si="67"/>
        <v>2215.5313110000002</v>
      </c>
      <c r="M92" s="3772">
        <f t="shared" si="67"/>
        <v>1539.7457760000002</v>
      </c>
      <c r="N92" s="4023">
        <f t="shared" si="67"/>
        <v>513.24859200000003</v>
      </c>
      <c r="O92" s="4033">
        <f t="shared" si="67"/>
        <v>2052.9943680000001</v>
      </c>
      <c r="P92" s="4023">
        <f t="shared" si="67"/>
        <v>2109.4277875350431</v>
      </c>
      <c r="Q92" s="4023">
        <f t="shared" si="67"/>
        <v>2149.5069154982089</v>
      </c>
      <c r="R92" s="4023">
        <f t="shared" si="67"/>
        <v>2233.3376852026386</v>
      </c>
      <c r="S92" s="4023">
        <f t="shared" si="67"/>
        <v>2307.0378288143256</v>
      </c>
      <c r="T92" s="4023">
        <f t="shared" si="67"/>
        <v>2401.6263797957126</v>
      </c>
    </row>
    <row r="93" spans="2:20" ht="12" customHeight="1">
      <c r="C93" s="3" t="s">
        <v>4900</v>
      </c>
      <c r="D93" s="45"/>
      <c r="H93" s="110" t="s">
        <v>3529</v>
      </c>
      <c r="J93" s="3615">
        <f>Torecom_인건비!D5/10^6</f>
        <v>1078.055237</v>
      </c>
      <c r="K93" s="3616">
        <f>Torecom_인건비!E5/10^6</f>
        <v>1097.2781230000001</v>
      </c>
      <c r="L93" s="3616">
        <f>Torecom_인건비!F5/10^6</f>
        <v>1377.889803</v>
      </c>
      <c r="M93" s="4320">
        <f>Torecom_인건비!G5/10^6</f>
        <v>947.69644700000003</v>
      </c>
      <c r="N93" s="105">
        <f>N94*N95/4</f>
        <v>315.89881566666668</v>
      </c>
      <c r="O93" s="320">
        <f>SUM(M93:N93)</f>
        <v>1263.5952626666667</v>
      </c>
      <c r="P93" s="105">
        <f>P94*P95</f>
        <v>1301.5031205466667</v>
      </c>
      <c r="Q93" s="105">
        <f t="shared" ref="Q93:T93" si="68">Q94*Q95</f>
        <v>1326.2316798370532</v>
      </c>
      <c r="R93" s="105">
        <f t="shared" si="68"/>
        <v>1377.9547153506983</v>
      </c>
      <c r="S93" s="105">
        <f t="shared" si="68"/>
        <v>1423.4272209572712</v>
      </c>
      <c r="T93" s="105">
        <f t="shared" si="68"/>
        <v>1481.7877370165193</v>
      </c>
    </row>
    <row r="94" spans="2:20" ht="12" customHeight="1">
      <c r="B94" s="45"/>
      <c r="C94" s="45"/>
      <c r="D94" s="3" t="s">
        <v>6587</v>
      </c>
      <c r="E94" s="45"/>
      <c r="F94" s="45"/>
      <c r="G94" s="45"/>
      <c r="H94" s="110" t="s">
        <v>5607</v>
      </c>
      <c r="I94" s="45"/>
      <c r="J94" s="226">
        <f>SUM(Torecom_인건비!M6:M7)</f>
        <v>31</v>
      </c>
      <c r="K94" s="1934">
        <f>SUM(Torecom_인건비!N6:N7)</f>
        <v>29</v>
      </c>
      <c r="L94" s="1934">
        <f>SUM(Torecom_인건비!O6:O7)</f>
        <v>30</v>
      </c>
      <c r="M94" s="106">
        <f>SUM(Torecom_인건비!P6:P7)</f>
        <v>32</v>
      </c>
      <c r="N94" s="105">
        <f>Assumption!N651</f>
        <v>32</v>
      </c>
      <c r="O94" s="1934">
        <f>Assumption!O651</f>
        <v>32</v>
      </c>
      <c r="P94" s="1934">
        <f>Assumption!P651</f>
        <v>32</v>
      </c>
      <c r="Q94" s="1934">
        <f>Assumption!Q651</f>
        <v>32</v>
      </c>
      <c r="R94" s="1934">
        <f>Assumption!R651</f>
        <v>32</v>
      </c>
      <c r="S94" s="1934">
        <f>Assumption!S651</f>
        <v>32</v>
      </c>
      <c r="T94" s="1934">
        <f>Assumption!T651</f>
        <v>32</v>
      </c>
    </row>
    <row r="95" spans="2:20" ht="12" customHeight="1">
      <c r="D95" s="3" t="s">
        <v>6588</v>
      </c>
      <c r="H95" s="110" t="s">
        <v>6589</v>
      </c>
      <c r="J95" s="226">
        <f>J93/J94</f>
        <v>34.775975387096778</v>
      </c>
      <c r="K95" s="205">
        <f t="shared" ref="K95:L95" si="69">K93/K94</f>
        <v>37.837176655172414</v>
      </c>
      <c r="L95" s="205">
        <f t="shared" si="69"/>
        <v>45.9296601</v>
      </c>
      <c r="M95" s="106">
        <f>M93/M94*4/3</f>
        <v>39.487351958333335</v>
      </c>
      <c r="N95" s="105">
        <f>Assumption!N661</f>
        <v>39.487351958333335</v>
      </c>
      <c r="O95" s="1934">
        <f>Assumption!O661</f>
        <v>39.487351958333335</v>
      </c>
      <c r="P95" s="105">
        <f>Assumption!P661</f>
        <v>40.671972517083333</v>
      </c>
      <c r="Q95" s="105">
        <f>Assumption!Q661</f>
        <v>41.444739994907913</v>
      </c>
      <c r="R95" s="105">
        <f>Assumption!R661</f>
        <v>43.061084854709321</v>
      </c>
      <c r="S95" s="105">
        <f>Assumption!S661</f>
        <v>44.482100654914724</v>
      </c>
      <c r="T95" s="105">
        <f>Assumption!T661</f>
        <v>46.305866781766227</v>
      </c>
    </row>
    <row r="96" spans="2:20" ht="12" customHeight="1">
      <c r="C96" s="3" t="s">
        <v>4901</v>
      </c>
      <c r="H96" s="110" t="s">
        <v>3529</v>
      </c>
      <c r="J96" s="226">
        <f>Torecom_인건비!D8/10^6</f>
        <v>236.102903</v>
      </c>
      <c r="K96" s="205">
        <f>Torecom_인건비!E8/10^6</f>
        <v>328.07183800000001</v>
      </c>
      <c r="L96" s="205">
        <f>Torecom_인건비!F8/10^6</f>
        <v>351.41029200000003</v>
      </c>
      <c r="M96" s="106">
        <f>Torecom_인건비!G8/10^6</f>
        <v>232.557143</v>
      </c>
      <c r="N96" s="105">
        <f>N$93*N97</f>
        <v>77.519047666666665</v>
      </c>
      <c r="O96" s="1934">
        <f t="shared" ref="O96:T96" si="70">O$93*O97</f>
        <v>310.07619066666666</v>
      </c>
      <c r="P96" s="1934">
        <f t="shared" si="70"/>
        <v>331.36993580988849</v>
      </c>
      <c r="Q96" s="1934">
        <f t="shared" si="70"/>
        <v>337.66596459027636</v>
      </c>
      <c r="R96" s="1934">
        <f t="shared" si="70"/>
        <v>350.8349372092971</v>
      </c>
      <c r="S96" s="1934">
        <f t="shared" si="70"/>
        <v>362.41249013720386</v>
      </c>
      <c r="T96" s="1934">
        <f t="shared" si="70"/>
        <v>377.27140223282925</v>
      </c>
    </row>
    <row r="97" spans="2:20" ht="12" customHeight="1">
      <c r="D97" s="45" t="s">
        <v>1417</v>
      </c>
      <c r="E97" s="45"/>
      <c r="F97" s="45"/>
      <c r="G97" s="45"/>
      <c r="H97" s="1951" t="s">
        <v>360</v>
      </c>
      <c r="I97" s="45"/>
      <c r="J97" s="3734">
        <f>J96/J93</f>
        <v>0.21900816850259408</v>
      </c>
      <c r="K97" s="11">
        <f t="shared" ref="K97:M97" si="71">K96/K93</f>
        <v>0.29898694881753329</v>
      </c>
      <c r="L97" s="11">
        <f t="shared" si="71"/>
        <v>0.25503512054076793</v>
      </c>
      <c r="M97" s="3432">
        <f t="shared" si="71"/>
        <v>0.24539201738718769</v>
      </c>
      <c r="N97" s="3734">
        <f>Assumption!N671</f>
        <v>0.24539201738718769</v>
      </c>
      <c r="O97" s="11">
        <f>Assumption!O671</f>
        <v>0.24539201738718769</v>
      </c>
      <c r="P97" s="11">
        <f>Assumption!P671</f>
        <v>0.25460556381202076</v>
      </c>
      <c r="Q97" s="11">
        <f>Assumption!Q671</f>
        <v>0.25460556381202076</v>
      </c>
      <c r="R97" s="11">
        <f>Assumption!R671</f>
        <v>0.25460556381202076</v>
      </c>
      <c r="S97" s="11">
        <f>Assumption!S671</f>
        <v>0.25460556381202076</v>
      </c>
      <c r="T97" s="11">
        <f>Assumption!T671</f>
        <v>0.25460556381202076</v>
      </c>
    </row>
    <row r="98" spans="2:20" ht="12" customHeight="1">
      <c r="C98" s="3" t="s">
        <v>1414</v>
      </c>
      <c r="D98" s="45"/>
      <c r="H98" s="110" t="s">
        <v>3529</v>
      </c>
      <c r="J98" s="226">
        <f>Torecom_인건비!D11/10^6</f>
        <v>131.05295899999999</v>
      </c>
      <c r="K98" s="205">
        <f>Torecom_인건비!E11/10^6</f>
        <v>145.583247</v>
      </c>
      <c r="L98" s="205">
        <f>Torecom_인건비!F11/10^6</f>
        <v>137.39321899999999</v>
      </c>
      <c r="M98" s="106">
        <f>Torecom_인건비!G11/10^6</f>
        <v>109.047483</v>
      </c>
      <c r="N98" s="105">
        <f>N$93*N99</f>
        <v>36.349160999999995</v>
      </c>
      <c r="O98" s="4035">
        <f>SUM(M98:N98)</f>
        <v>145.39664399999998</v>
      </c>
      <c r="P98" s="1934">
        <f t="shared" ref="P98:T98" si="72">P$93*P99</f>
        <v>152.60760270535636</v>
      </c>
      <c r="Q98" s="1934">
        <f t="shared" si="72"/>
        <v>155.50714715675812</v>
      </c>
      <c r="R98" s="1934">
        <f t="shared" si="72"/>
        <v>161.57192589587169</v>
      </c>
      <c r="S98" s="1934">
        <f t="shared" si="72"/>
        <v>166.90379945043543</v>
      </c>
      <c r="T98" s="1934">
        <f t="shared" si="72"/>
        <v>173.7468552279033</v>
      </c>
    </row>
    <row r="99" spans="2:20" ht="12" customHeight="1">
      <c r="D99" s="45" t="s">
        <v>1417</v>
      </c>
      <c r="E99" s="45"/>
      <c r="F99" s="45"/>
      <c r="G99" s="45"/>
      <c r="H99" s="1951" t="s">
        <v>360</v>
      </c>
      <c r="I99" s="45"/>
      <c r="J99" s="3734">
        <f>J98/J93</f>
        <v>0.12156423391132785</v>
      </c>
      <c r="K99" s="11">
        <f t="shared" ref="K99:M99" si="73">K98/K93</f>
        <v>0.13267670606789267</v>
      </c>
      <c r="L99" s="11">
        <f t="shared" si="73"/>
        <v>9.9712777248849402E-2</v>
      </c>
      <c r="M99" s="3432">
        <f t="shared" si="73"/>
        <v>0.11506583499937928</v>
      </c>
      <c r="N99" s="3734">
        <f>Assumption!N672</f>
        <v>0.11506583499937928</v>
      </c>
      <c r="O99" s="11">
        <f>Assumption!O672</f>
        <v>0.11506583499937928</v>
      </c>
      <c r="P99" s="11">
        <f>Assumption!P672</f>
        <v>0.11725488805686231</v>
      </c>
      <c r="Q99" s="11">
        <f>Assumption!Q672</f>
        <v>0.11725488805686231</v>
      </c>
      <c r="R99" s="11">
        <f>Assumption!R672</f>
        <v>0.11725488805686231</v>
      </c>
      <c r="S99" s="11">
        <f>Assumption!S672</f>
        <v>0.11725488805686231</v>
      </c>
      <c r="T99" s="11">
        <f>Assumption!T672</f>
        <v>0.11725488805686231</v>
      </c>
    </row>
    <row r="100" spans="2:20" ht="12" customHeight="1">
      <c r="C100" s="3" t="s">
        <v>1415</v>
      </c>
      <c r="H100" s="110" t="s">
        <v>3528</v>
      </c>
      <c r="J100" s="226">
        <f>Torecom_인건비!D14/10^6</f>
        <v>259.41335900000001</v>
      </c>
      <c r="K100" s="205">
        <f>Torecom_인건비!E14/10^6</f>
        <v>260.651051</v>
      </c>
      <c r="L100" s="205">
        <f>Torecom_인건비!F14/10^6</f>
        <v>348.83799699999997</v>
      </c>
      <c r="M100" s="106">
        <f>Torecom_인건비!G14/10^6</f>
        <v>250.444703</v>
      </c>
      <c r="N100" s="105">
        <f>N$93*N101</f>
        <v>83.481567666666677</v>
      </c>
      <c r="O100" s="3843">
        <f>SUM(M100:N100)</f>
        <v>333.92627066666671</v>
      </c>
      <c r="P100" s="105">
        <f t="shared" ref="P100:T100" si="74">P$93*P101</f>
        <v>323.94712847313156</v>
      </c>
      <c r="Q100" s="105">
        <f t="shared" si="74"/>
        <v>330.10212391412102</v>
      </c>
      <c r="R100" s="105">
        <f t="shared" si="74"/>
        <v>342.97610674677173</v>
      </c>
      <c r="S100" s="105">
        <f t="shared" si="74"/>
        <v>354.29431826941516</v>
      </c>
      <c r="T100" s="105">
        <f t="shared" si="74"/>
        <v>368.82038531846115</v>
      </c>
    </row>
    <row r="101" spans="2:20" ht="12" customHeight="1">
      <c r="B101" s="12"/>
      <c r="C101" s="12"/>
      <c r="D101" s="361" t="s">
        <v>1417</v>
      </c>
      <c r="E101" s="361"/>
      <c r="F101" s="361"/>
      <c r="G101" s="361"/>
      <c r="H101" s="1952" t="s">
        <v>2702</v>
      </c>
      <c r="I101" s="361"/>
      <c r="J101" s="2166">
        <f>J100/J93</f>
        <v>0.24063086017919877</v>
      </c>
      <c r="K101" s="13">
        <f t="shared" ref="K101:M101" si="75">K100/K93</f>
        <v>0.23754328600607669</v>
      </c>
      <c r="L101" s="13">
        <f t="shared" si="75"/>
        <v>0.25316828402423408</v>
      </c>
      <c r="M101" s="4031">
        <f t="shared" si="75"/>
        <v>0.26426679533599645</v>
      </c>
      <c r="N101" s="13">
        <f>Assumption!N673</f>
        <v>0.26426679533599645</v>
      </c>
      <c r="O101" s="1966">
        <f>Assumption!O673</f>
        <v>0.26426679533599645</v>
      </c>
      <c r="P101" s="13">
        <f>Assumption!P673</f>
        <v>0.2489023063863765</v>
      </c>
      <c r="Q101" s="13">
        <f>Assumption!Q673</f>
        <v>0.2489023063863765</v>
      </c>
      <c r="R101" s="13">
        <f>Assumption!R673</f>
        <v>0.2489023063863765</v>
      </c>
      <c r="S101" s="13">
        <f>Assumption!S673</f>
        <v>0.2489023063863765</v>
      </c>
      <c r="T101" s="13">
        <f>Assumption!T673</f>
        <v>0.2489023063863765</v>
      </c>
    </row>
    <row r="103" spans="2:20" ht="12" customHeight="1">
      <c r="B103" s="4027"/>
      <c r="C103" s="4027"/>
      <c r="D103" s="4027"/>
      <c r="E103" s="4027"/>
      <c r="F103" s="4027"/>
      <c r="G103" s="4027"/>
      <c r="H103" s="4027"/>
      <c r="I103" s="4027"/>
      <c r="J103" s="25" t="s">
        <v>23</v>
      </c>
      <c r="K103" s="26"/>
      <c r="L103" s="26"/>
      <c r="M103" s="27"/>
      <c r="N103" s="26" t="s">
        <v>24</v>
      </c>
      <c r="O103" s="26"/>
      <c r="P103" s="26"/>
      <c r="Q103" s="26"/>
      <c r="R103" s="26"/>
      <c r="S103" s="26"/>
      <c r="T103" s="26"/>
    </row>
    <row r="104" spans="2:20" ht="12" customHeight="1">
      <c r="B104" s="28"/>
      <c r="C104" s="28"/>
      <c r="D104" s="28"/>
      <c r="E104" s="28"/>
      <c r="F104" s="28"/>
      <c r="G104" s="28"/>
      <c r="H104" s="1949" t="s">
        <v>2889</v>
      </c>
      <c r="I104" s="28"/>
      <c r="J104" s="29" t="s">
        <v>69</v>
      </c>
      <c r="K104" s="30" t="s">
        <v>27</v>
      </c>
      <c r="L104" s="108" t="s">
        <v>60</v>
      </c>
      <c r="M104" s="31" t="s">
        <v>5104</v>
      </c>
      <c r="N104" s="30" t="s">
        <v>5174</v>
      </c>
      <c r="O104" s="30" t="s">
        <v>70</v>
      </c>
      <c r="P104" s="30" t="s">
        <v>71</v>
      </c>
      <c r="Q104" s="30" t="s">
        <v>72</v>
      </c>
      <c r="R104" s="30" t="s">
        <v>73</v>
      </c>
      <c r="S104" s="30" t="s">
        <v>74</v>
      </c>
      <c r="T104" s="30" t="s">
        <v>5102</v>
      </c>
    </row>
    <row r="105" spans="2:20" ht="12" customHeight="1">
      <c r="B105" s="4028" t="s">
        <v>1291</v>
      </c>
      <c r="C105" s="4028"/>
      <c r="D105" s="4028"/>
      <c r="E105" s="4028"/>
      <c r="F105" s="4028"/>
      <c r="G105" s="4028"/>
      <c r="H105" s="4032"/>
      <c r="I105" s="4028"/>
      <c r="J105" s="4399">
        <f>SUMIF(Torecom_BSPL!$AE$47:$AE$86,"소모품비",Torecom_BSPL!$AF$47:$AF$86)/10^6+SUMIF(Torecom_BSPL!$AE$47:$AE$86,"수선비",Torecom_BSPL!$AF$47:$AF$86)/10^6</f>
        <v>48.471223000000002</v>
      </c>
      <c r="K105" s="4347">
        <f>SUMIF(Torecom_BSPL!$W$47:$W$87,"소모품비",Torecom_BSPL!$X$47:$X$87)/10^6+SUMIF(Torecom_BSPL!$W$47:$W$87,"수선비",Torecom_BSPL!$X$47:$X$87)/10^6</f>
        <v>12.293013</v>
      </c>
      <c r="L105" s="4347">
        <f>SUMIF(Torecom_BSPL!$O$47:$O$87,"소모품비",Torecom_BSPL!$P$47:$P$87)/10^6+SUMIF(Torecom_BSPL!$O$47:$O$87,"수선비",Torecom_BSPL!$P$47:$P$87)/10^6</f>
        <v>49.412708000000002</v>
      </c>
      <c r="M105" s="4346">
        <f>SUMIF(Torecom_BSPL!$G$47:$G$86,"소모품비",Torecom_BSPL!$H$47:$H$86)/10^6+SUMIF(Torecom_BSPL!$G$47:$G$86,"수선비",Torecom_BSPL!$H$47:$H$86)/10^6</f>
        <v>32.752582000000004</v>
      </c>
      <c r="N105" s="4023">
        <f>N106*Revenue!N107</f>
        <v>11.188643570583675</v>
      </c>
      <c r="O105" s="4033">
        <f>SUM(M105:N105)</f>
        <v>43.941225570583683</v>
      </c>
      <c r="P105" s="4023">
        <f>P106*Revenue!P107</f>
        <v>42.240182317735787</v>
      </c>
      <c r="Q105" s="4023">
        <f>Q106*Revenue!Q107</f>
        <v>44.368692285121021</v>
      </c>
      <c r="R105" s="4023">
        <f>R106*Revenue!R107</f>
        <v>44.567449275641287</v>
      </c>
      <c r="S105" s="4023">
        <f>S106*Revenue!S107</f>
        <v>42.966798165074714</v>
      </c>
      <c r="T105" s="4023">
        <f>T106*Revenue!T107</f>
        <v>42.696459985041187</v>
      </c>
    </row>
    <row r="106" spans="2:20" ht="12" customHeight="1">
      <c r="B106" s="361"/>
      <c r="C106" s="361" t="s">
        <v>3456</v>
      </c>
      <c r="D106" s="361"/>
      <c r="E106" s="361"/>
      <c r="F106" s="361"/>
      <c r="G106" s="361"/>
      <c r="H106" s="1952" t="s">
        <v>360</v>
      </c>
      <c r="I106" s="361"/>
      <c r="J106" s="2451">
        <f>J105/Revenue!J107</f>
        <v>2.1558183341015036E-4</v>
      </c>
      <c r="K106" s="4324">
        <f>K105/Revenue!K107</f>
        <v>5.3058495020409218E-5</v>
      </c>
      <c r="L106" s="4324">
        <f>L105/Revenue!L107</f>
        <v>1.6035828827983342E-4</v>
      </c>
      <c r="M106" s="4325">
        <f>M105/Revenue!M107</f>
        <v>1.5333723345052662E-4</v>
      </c>
      <c r="N106" s="287">
        <f>Assumption!N682</f>
        <v>1.5333723345052662E-4</v>
      </c>
      <c r="O106" s="4324">
        <f>O105/Revenue!O107</f>
        <v>1.5333723345052665E-4</v>
      </c>
      <c r="P106" s="2487">
        <f>Assumption!P682</f>
        <v>1.5333723345052662E-4</v>
      </c>
      <c r="Q106" s="2487">
        <f>Assumption!Q682</f>
        <v>1.5333723345052662E-4</v>
      </c>
      <c r="R106" s="2487">
        <f>Assumption!R682</f>
        <v>1.5333723345052662E-4</v>
      </c>
      <c r="S106" s="2487">
        <f>Assumption!S682</f>
        <v>1.5333723345052662E-4</v>
      </c>
      <c r="T106" s="2487">
        <f>Assumption!T682</f>
        <v>1.5333723345052662E-4</v>
      </c>
    </row>
    <row r="108" spans="2:20" ht="12" customHeight="1">
      <c r="B108" s="4027"/>
      <c r="C108" s="4027"/>
      <c r="D108" s="4027"/>
      <c r="E108" s="4027"/>
      <c r="F108" s="4027"/>
      <c r="G108" s="4027"/>
      <c r="H108" s="4027"/>
      <c r="I108" s="4027"/>
      <c r="J108" s="25" t="s">
        <v>23</v>
      </c>
      <c r="K108" s="26"/>
      <c r="L108" s="26"/>
      <c r="M108" s="27"/>
      <c r="N108" s="26" t="s">
        <v>24</v>
      </c>
      <c r="O108" s="26"/>
      <c r="P108" s="26"/>
      <c r="Q108" s="26"/>
      <c r="R108" s="26"/>
      <c r="S108" s="26"/>
      <c r="T108" s="26"/>
    </row>
    <row r="109" spans="2:20" ht="12" customHeight="1">
      <c r="B109" s="28"/>
      <c r="C109" s="28"/>
      <c r="D109" s="28"/>
      <c r="E109" s="28"/>
      <c r="F109" s="28"/>
      <c r="G109" s="28"/>
      <c r="H109" s="1949" t="s">
        <v>2889</v>
      </c>
      <c r="I109" s="28"/>
      <c r="J109" s="29" t="s">
        <v>69</v>
      </c>
      <c r="K109" s="30" t="s">
        <v>27</v>
      </c>
      <c r="L109" s="108" t="s">
        <v>60</v>
      </c>
      <c r="M109" s="31" t="s">
        <v>5104</v>
      </c>
      <c r="N109" s="30" t="s">
        <v>5174</v>
      </c>
      <c r="O109" s="30" t="s">
        <v>70</v>
      </c>
      <c r="P109" s="30" t="s">
        <v>71</v>
      </c>
      <c r="Q109" s="30" t="s">
        <v>72</v>
      </c>
      <c r="R109" s="30" t="s">
        <v>73</v>
      </c>
      <c r="S109" s="30" t="s">
        <v>74</v>
      </c>
      <c r="T109" s="30" t="s">
        <v>5102</v>
      </c>
    </row>
    <row r="110" spans="2:20" ht="12" customHeight="1">
      <c r="B110" s="4028" t="s">
        <v>1292</v>
      </c>
      <c r="C110" s="4028"/>
      <c r="D110" s="4028"/>
      <c r="E110" s="4028"/>
      <c r="F110" s="4028"/>
      <c r="G110" s="4028"/>
      <c r="H110" s="4032"/>
      <c r="I110" s="4326"/>
      <c r="J110" s="4023">
        <f>SUM(J111:J127)</f>
        <v>671.457764</v>
      </c>
      <c r="K110" s="4023">
        <f t="shared" ref="K110:T110" si="76">SUM(K111:K127)</f>
        <v>556.31446199999993</v>
      </c>
      <c r="L110" s="4033">
        <f t="shared" si="76"/>
        <v>1007.6296219999999</v>
      </c>
      <c r="M110" s="3772">
        <f t="shared" si="76"/>
        <v>551.46128999999996</v>
      </c>
      <c r="N110" s="4023">
        <f t="shared" si="76"/>
        <v>188.46237353966524</v>
      </c>
      <c r="O110" s="4033">
        <f t="shared" si="76"/>
        <v>739.92366353966531</v>
      </c>
      <c r="P110" s="4023">
        <f t="shared" si="76"/>
        <v>773.25516354666661</v>
      </c>
      <c r="Q110" s="4023">
        <f t="shared" si="76"/>
        <v>789.65610914880017</v>
      </c>
      <c r="R110" s="4023">
        <f t="shared" si="76"/>
        <v>806.23556712355014</v>
      </c>
      <c r="S110" s="4023">
        <f t="shared" si="76"/>
        <v>832.28917985253315</v>
      </c>
      <c r="T110" s="4023">
        <f t="shared" si="76"/>
        <v>855.7459648005522</v>
      </c>
    </row>
    <row r="111" spans="2:20" ht="12" customHeight="1">
      <c r="B111" s="1"/>
      <c r="C111" s="1" t="s">
        <v>1391</v>
      </c>
      <c r="D111" s="1"/>
      <c r="E111" s="1"/>
      <c r="F111" s="1"/>
      <c r="G111" s="1"/>
      <c r="H111" s="210" t="s">
        <v>3529</v>
      </c>
      <c r="I111" s="4321"/>
      <c r="J111" s="4322">
        <f>SUMIF(Torecom_BSPL!$AE$47:$AE$86,$C111,Torecom_BSPL!$AF$47:$AF$86)/10^6</f>
        <v>106.781068</v>
      </c>
      <c r="K111" s="4322">
        <f>SUMIF(Torecom_BSPL!$W$47:$W$87,$C111,Torecom_BSPL!$X$47:$X$87)/10^6</f>
        <v>86.657998000000006</v>
      </c>
      <c r="L111" s="4322">
        <f>SUMIF(Torecom_BSPL!$O$47:$O$87,$C111,Torecom_BSPL!$P$47:$P$87)/10^6</f>
        <v>460.54673100000002</v>
      </c>
      <c r="M111" s="4323">
        <f>SUMIF(Torecom_BSPL!$G$47:$G$86,$C111,Torecom_BSPL!$H$47:$H$86)/10^6</f>
        <v>101.091444</v>
      </c>
      <c r="N111" s="4322">
        <f>M111/3</f>
        <v>33.697147999999999</v>
      </c>
      <c r="O111" s="4322">
        <f>SUM(M111:N111)</f>
        <v>134.78859199999999</v>
      </c>
      <c r="P111" s="4322">
        <f>O111*(1+General!J$12)</f>
        <v>138.02351820799998</v>
      </c>
      <c r="Q111" s="4322">
        <f>P111*(1+General!K$12)</f>
        <v>139.40375339008</v>
      </c>
      <c r="R111" s="4322">
        <f>Q111*(1+General!L$12)</f>
        <v>141.35540593754112</v>
      </c>
      <c r="S111" s="4322">
        <f>R111*(1+General!M$12)</f>
        <v>144.18251405629195</v>
      </c>
      <c r="T111" s="4322">
        <f>S111*(1+General!N$12)</f>
        <v>146.63361679524891</v>
      </c>
    </row>
    <row r="112" spans="2:20" ht="12" customHeight="1">
      <c r="B112" s="1"/>
      <c r="C112" s="1" t="s">
        <v>1389</v>
      </c>
      <c r="D112" s="1"/>
      <c r="E112" s="1"/>
      <c r="F112" s="1"/>
      <c r="G112" s="1"/>
      <c r="H112" s="210" t="s">
        <v>3529</v>
      </c>
      <c r="I112" s="4321"/>
      <c r="J112" s="4322">
        <f>SUMIF(Torecom_BSPL!$AE$47:$AE$86,$C112,Torecom_BSPL!$AF$47:$AF$86)/10^6</f>
        <v>99.632441999999998</v>
      </c>
      <c r="K112" s="4322">
        <f>SUMIF(Torecom_BSPL!$W$47:$W$87,$C112,Torecom_BSPL!$X$47:$X$87)/10^6</f>
        <v>78.146945000000002</v>
      </c>
      <c r="L112" s="4322">
        <f>SUMIF(Torecom_BSPL!$O$47:$O$87,$C112,Torecom_BSPL!$P$47:$P$87)/10^6</f>
        <v>75.82011</v>
      </c>
      <c r="M112" s="4323">
        <f>SUMIF(Torecom_BSPL!$G$47:$G$86,$C112,Torecom_BSPL!$H$47:$H$86)/10^6</f>
        <v>59.298566999999998</v>
      </c>
      <c r="N112" s="4322">
        <f t="shared" ref="N112:N116" si="77">M112/3</f>
        <v>19.766189000000001</v>
      </c>
      <c r="O112" s="4322">
        <f t="shared" ref="O112:O116" si="78">SUM(M112:N112)</f>
        <v>79.064756000000003</v>
      </c>
      <c r="P112" s="4322">
        <f>O112*(1+General!J$12)</f>
        <v>80.962310144</v>
      </c>
      <c r="Q112" s="4322">
        <f>P112*(1+General!K$12)</f>
        <v>81.771933245439996</v>
      </c>
      <c r="R112" s="4322">
        <f>Q112*(1+General!L$12)</f>
        <v>82.91674031087615</v>
      </c>
      <c r="S112" s="4322">
        <f>R112*(1+General!M$12)</f>
        <v>84.575075117093675</v>
      </c>
      <c r="T112" s="4322">
        <f>S112*(1+General!N$12)</f>
        <v>86.012851394084265</v>
      </c>
    </row>
    <row r="113" spans="2:20" ht="12" customHeight="1">
      <c r="B113" s="1"/>
      <c r="C113" s="1" t="s">
        <v>1392</v>
      </c>
      <c r="D113" s="1"/>
      <c r="E113" s="1"/>
      <c r="F113" s="1"/>
      <c r="G113" s="1"/>
      <c r="H113" s="210" t="s">
        <v>3529</v>
      </c>
      <c r="I113" s="4321"/>
      <c r="J113" s="4322">
        <f>SUMIF(Torecom_BSPL!$AE$47:$AE$86,$C113,Torecom_BSPL!$AF$47:$AF$86)/10^6</f>
        <v>118.602102</v>
      </c>
      <c r="K113" s="4322">
        <f>SUMIF(Torecom_BSPL!$W$47:$W$87,$C113,Torecom_BSPL!$X$47:$X$87)/10^6</f>
        <v>103.611582</v>
      </c>
      <c r="L113" s="4322">
        <f>SUMIF(Torecom_BSPL!$O$47:$O$87,$C113,Torecom_BSPL!$P$47:$P$87)/10^6</f>
        <v>154.58532700000001</v>
      </c>
      <c r="M113" s="4323">
        <f>SUMIF(Torecom_BSPL!$G$47:$G$86,$C113,Torecom_BSPL!$H$47:$H$86)/10^6</f>
        <v>116.67809</v>
      </c>
      <c r="N113" s="4322">
        <f t="shared" si="77"/>
        <v>38.892696666666666</v>
      </c>
      <c r="O113" s="4322">
        <f t="shared" si="78"/>
        <v>155.57078666666666</v>
      </c>
      <c r="P113" s="4322">
        <f>O113*(1+General!J$12)</f>
        <v>159.30448554666665</v>
      </c>
      <c r="Q113" s="4322">
        <f>P113*(1+General!K$12)</f>
        <v>160.89753040213333</v>
      </c>
      <c r="R113" s="4322">
        <f>Q113*(1+General!L$12)</f>
        <v>163.15009582776321</v>
      </c>
      <c r="S113" s="4322">
        <f>R113*(1+General!M$12)</f>
        <v>166.41309774431846</v>
      </c>
      <c r="T113" s="4322">
        <f>S113*(1+General!N$12)</f>
        <v>169.24212040597186</v>
      </c>
    </row>
    <row r="114" spans="2:20" ht="12" customHeight="1">
      <c r="B114" s="1"/>
      <c r="C114" s="1" t="s">
        <v>1395</v>
      </c>
      <c r="D114" s="1"/>
      <c r="E114" s="1"/>
      <c r="F114" s="1"/>
      <c r="G114" s="1"/>
      <c r="H114" s="210" t="s">
        <v>3529</v>
      </c>
      <c r="I114" s="4321"/>
      <c r="J114" s="4322">
        <f>SUMIF(Torecom_BSPL!$AE$47:$AE$86,$C114,Torecom_BSPL!$AF$47:$AF$86)/10^6</f>
        <v>107.96752499999999</v>
      </c>
      <c r="K114" s="4322">
        <f>SUMIF(Torecom_BSPL!$W$47:$W$87,$C114,Torecom_BSPL!$X$47:$X$87)/10^6</f>
        <v>111.49930000000001</v>
      </c>
      <c r="L114" s="4322">
        <f>SUMIF(Torecom_BSPL!$O$47:$O$87,$C114,Torecom_BSPL!$P$47:$P$87)/10^6</f>
        <v>95.077625999999995</v>
      </c>
      <c r="M114" s="4323">
        <f>SUMIF(Torecom_BSPL!$G$47:$G$86,$C114,Torecom_BSPL!$H$47:$H$86)/10^6</f>
        <v>70.958057999999994</v>
      </c>
      <c r="N114" s="4322">
        <f t="shared" si="77"/>
        <v>23.652685999999999</v>
      </c>
      <c r="O114" s="4322">
        <f t="shared" si="78"/>
        <v>94.610743999999997</v>
      </c>
      <c r="P114" s="4322">
        <f>O114*(1+General!J$12)</f>
        <v>96.881401855999997</v>
      </c>
      <c r="Q114" s="4322">
        <f>P114*(1+General!K$12)</f>
        <v>97.850215874559993</v>
      </c>
      <c r="R114" s="4322">
        <f>Q114*(1+General!L$12)</f>
        <v>99.220118896803839</v>
      </c>
      <c r="S114" s="4322">
        <f>R114*(1+General!M$12)</f>
        <v>101.20452127473992</v>
      </c>
      <c r="T114" s="4322">
        <f>S114*(1+General!N$12)</f>
        <v>102.92499813641048</v>
      </c>
    </row>
    <row r="115" spans="2:20" ht="12" customHeight="1">
      <c r="B115" s="1"/>
      <c r="C115" s="1" t="s">
        <v>1380</v>
      </c>
      <c r="D115" s="1"/>
      <c r="E115" s="1"/>
      <c r="F115" s="1"/>
      <c r="G115" s="1"/>
      <c r="H115" s="210" t="s">
        <v>3529</v>
      </c>
      <c r="I115" s="4321"/>
      <c r="J115" s="4322">
        <f>SUMIF(Torecom_BSPL!$AE$47:$AE$86,$C115,Torecom_BSPL!$AF$47:$AF$86)/10^6</f>
        <v>64.913595000000001</v>
      </c>
      <c r="K115" s="4322">
        <f>SUMIF(Torecom_BSPL!$W$47:$W$87,$C115,Torecom_BSPL!$X$47:$X$87)/10^6</f>
        <v>52.939172999999997</v>
      </c>
      <c r="L115" s="4322">
        <f>SUMIF(Torecom_BSPL!$O$47:$O$87,$C115,Torecom_BSPL!$P$47:$P$87)/10^6</f>
        <v>79.462379999999996</v>
      </c>
      <c r="M115" s="4323">
        <f>SUMIF(Torecom_BSPL!$G$47:$G$86,$C115,Torecom_BSPL!$H$47:$H$86)/10^6</f>
        <v>70.606583999999998</v>
      </c>
      <c r="N115" s="4322">
        <f t="shared" si="77"/>
        <v>23.535527999999999</v>
      </c>
      <c r="O115" s="4322">
        <f t="shared" si="78"/>
        <v>94.142111999999997</v>
      </c>
      <c r="P115" s="4322">
        <f>O115*(1+General!J$12)</f>
        <v>96.401522688</v>
      </c>
      <c r="Q115" s="4322">
        <f>P115*(1+General!K$12)</f>
        <v>97.365537914880008</v>
      </c>
      <c r="R115" s="4322">
        <f>Q115*(1+General!L$12)</f>
        <v>98.728655445688332</v>
      </c>
      <c r="S115" s="4322">
        <f>R115*(1+General!M$12)</f>
        <v>100.70322855460211</v>
      </c>
      <c r="T115" s="4322">
        <f>S115*(1+General!N$12)</f>
        <v>102.41518344003033</v>
      </c>
    </row>
    <row r="116" spans="2:20" ht="12" customHeight="1">
      <c r="B116" s="1"/>
      <c r="C116" s="1" t="s">
        <v>1386</v>
      </c>
      <c r="D116" s="1"/>
      <c r="E116" s="1"/>
      <c r="F116" s="1"/>
      <c r="G116" s="1"/>
      <c r="H116" s="210" t="s">
        <v>3529</v>
      </c>
      <c r="I116" s="4321"/>
      <c r="J116" s="4322">
        <f>SUMIF(Torecom_BSPL!$AE$47:$AE$86,$C116,Torecom_BSPL!$AF$47:$AF$86)/10^6</f>
        <v>97.186538999999996</v>
      </c>
      <c r="K116" s="4322">
        <f>SUMIF(Torecom_BSPL!$W$47:$W$87,$C116,Torecom_BSPL!$X$47:$X$87)/10^6</f>
        <v>18.801963000000001</v>
      </c>
      <c r="L116" s="4322">
        <f>SUMIF(Torecom_BSPL!$O$47:$O$87,$C116,Torecom_BSPL!$P$47:$P$87)/10^6</f>
        <v>4.1802000000000001</v>
      </c>
      <c r="M116" s="4323">
        <f>SUMIF(Torecom_BSPL!$G$47:$G$86,$C116,Torecom_BSPL!$H$47:$H$86)/10^6</f>
        <v>3.3064870000000002</v>
      </c>
      <c r="N116" s="4322">
        <f t="shared" si="77"/>
        <v>1.1021623333333335</v>
      </c>
      <c r="O116" s="4322">
        <f t="shared" si="78"/>
        <v>4.4086493333333339</v>
      </c>
      <c r="P116" s="4322">
        <f>O116*(1+General!J$12)</f>
        <v>4.5144569173333338</v>
      </c>
      <c r="Q116" s="4322">
        <f>P116*(1+General!K$12)</f>
        <v>4.5596014865066667</v>
      </c>
      <c r="R116" s="4322">
        <f>Q116*(1+General!L$12)</f>
        <v>4.6234359073177602</v>
      </c>
      <c r="S116" s="4322">
        <f>R116*(1+General!M$12)</f>
        <v>4.7159046254641153</v>
      </c>
      <c r="T116" s="4322">
        <f>S116*(1+General!N$12)</f>
        <v>4.7960750040970046</v>
      </c>
    </row>
    <row r="117" spans="2:20" ht="12" customHeight="1">
      <c r="B117" s="1"/>
      <c r="C117" s="1" t="s">
        <v>1381</v>
      </c>
      <c r="D117" s="1"/>
      <c r="E117" s="1"/>
      <c r="F117" s="1"/>
      <c r="G117" s="1"/>
      <c r="H117" s="210" t="s">
        <v>3529</v>
      </c>
      <c r="I117" s="4321"/>
      <c r="J117" s="4322">
        <f>SUMIF(Torecom_BSPL!$AE$47:$AE$86,$C117,Torecom_BSPL!$AF$47:$AF$86)/10^6</f>
        <v>10.904400000000001</v>
      </c>
      <c r="K117" s="4322">
        <f>SUMIF(Torecom_BSPL!$W$47:$W$87,$C117,Torecom_BSPL!$X$47:$X$87)/10^6</f>
        <v>11.000247999999999</v>
      </c>
      <c r="L117" s="4322">
        <f>SUMIF(Torecom_BSPL!$O$47:$O$87,$C117,Torecom_BSPL!$P$47:$P$87)/10^6</f>
        <v>11.957691000000001</v>
      </c>
      <c r="M117" s="4323">
        <f>SUMIF(Torecom_BSPL!$G$47:$G$86,$C117,Torecom_BSPL!$H$47:$H$86)/10^6</f>
        <v>7.42483</v>
      </c>
      <c r="N117" s="19">
        <f>O117-M117</f>
        <v>2.3696843042323614</v>
      </c>
      <c r="O117" s="19">
        <f>Torecom_판관비!C18/1000</f>
        <v>9.7945143042323615</v>
      </c>
      <c r="P117" s="19">
        <f>Torecom_판관비!P18/1000</f>
        <v>7.9181679999999988</v>
      </c>
      <c r="Q117" s="19">
        <f>Torecom_판관비!Q18/1000</f>
        <v>3.8136679999999998</v>
      </c>
      <c r="R117" s="19">
        <f>Torecom_판관비!R18/1000</f>
        <v>2.3570000000000002</v>
      </c>
      <c r="S117" s="19">
        <f>CAPEX!S46-COGS!S269</f>
        <v>-1.0020131527126068</v>
      </c>
      <c r="T117" s="19">
        <f>CAPEX!T46-COGS!T269</f>
        <v>-4.7136951997381402</v>
      </c>
    </row>
    <row r="118" spans="2:20" ht="12" customHeight="1">
      <c r="B118" s="1"/>
      <c r="C118" s="1" t="s">
        <v>1401</v>
      </c>
      <c r="D118" s="1"/>
      <c r="E118" s="1"/>
      <c r="F118" s="1"/>
      <c r="G118" s="1"/>
      <c r="H118" s="210" t="s">
        <v>3529</v>
      </c>
      <c r="I118" s="4321"/>
      <c r="J118" s="4322">
        <f>SUMIF(Torecom_BSPL!$AE$47:$AE$86,$C118,Torecom_BSPL!$AF$47:$AF$86)/10^6</f>
        <v>12.789040999999999</v>
      </c>
      <c r="K118" s="4322">
        <f>SUMIF(Torecom_BSPL!$W$47:$W$87,$C118,Torecom_BSPL!$X$47:$X$87)/10^6</f>
        <v>13.44774</v>
      </c>
      <c r="L118" s="4322">
        <f>SUMIF(Torecom_BSPL!$O$47:$O$87,$C118,Torecom_BSPL!$P$47:$P$87)/10^6</f>
        <v>19.143101000000001</v>
      </c>
      <c r="M118" s="4323">
        <f>SUMIF(Torecom_BSPL!$G$47:$G$86,$C118,Torecom_BSPL!$H$47:$H$86)/10^6</f>
        <v>18.87416</v>
      </c>
      <c r="N118" s="19">
        <f t="shared" ref="N118:N119" si="79">O118-M118</f>
        <v>10.664569841220363</v>
      </c>
      <c r="O118" s="19">
        <f>Torecom_판관비!C31/1000</f>
        <v>29.538729841220363</v>
      </c>
      <c r="P118" s="19">
        <f>Torecom_판관비!P31/1000</f>
        <v>48.990001999999997</v>
      </c>
      <c r="Q118" s="19">
        <f>Torecom_판관비!Q31/1000</f>
        <v>62.932628666666666</v>
      </c>
      <c r="R118" s="19">
        <f>Torecom_판관비!R31/1000</f>
        <v>71.688928666666669</v>
      </c>
      <c r="S118" s="19">
        <f>CAPEX!S48</f>
        <v>87.659063779224908</v>
      </c>
      <c r="T118" s="19">
        <f>CAPEX!T48</f>
        <v>103.1728912774271</v>
      </c>
    </row>
    <row r="119" spans="2:20" ht="12" customHeight="1">
      <c r="B119" s="1"/>
      <c r="C119" s="1" t="s">
        <v>1382</v>
      </c>
      <c r="D119" s="1"/>
      <c r="E119" s="1"/>
      <c r="F119" s="1"/>
      <c r="G119" s="1"/>
      <c r="H119" s="210" t="s">
        <v>3529</v>
      </c>
      <c r="I119" s="4321"/>
      <c r="J119" s="4322">
        <f>SUMIF(Torecom_BSPL!$AE$47:$AE$86,$C119,Torecom_BSPL!$AF$47:$AF$86)/10^6</f>
        <v>0</v>
      </c>
      <c r="K119" s="4322">
        <f>SUMIF(Torecom_BSPL!$W$47:$W$87,$C119,Torecom_BSPL!$X$47:$X$87)/10^6</f>
        <v>39.508558999999998</v>
      </c>
      <c r="L119" s="4322">
        <f>SUMIF(Torecom_BSPL!$O$47:$O$87,$C119,Torecom_BSPL!$P$47:$P$87)/10^6</f>
        <v>55.395094999999998</v>
      </c>
      <c r="M119" s="4323">
        <f>SUMIF(Torecom_BSPL!$G$47:$G$86,$C119,Torecom_BSPL!$H$47:$H$86)/10^6</f>
        <v>44.487085</v>
      </c>
      <c r="N119" s="19">
        <f t="shared" si="79"/>
        <v>15.203047727545886</v>
      </c>
      <c r="O119" s="19">
        <f>Torecom_판관비!C37/1000</f>
        <v>59.690132727545887</v>
      </c>
      <c r="P119" s="19">
        <f>Torecom_판관비!P37/1000</f>
        <v>60.065100000000008</v>
      </c>
      <c r="Q119" s="19">
        <f>Torecom_판관비!Q37/1000</f>
        <v>60.065099999999987</v>
      </c>
      <c r="R119" s="19">
        <f>Torecom_판관비!R37/1000</f>
        <v>60.065099999999987</v>
      </c>
      <c r="S119" s="19">
        <f>CAPEX!S50-COGS!S270</f>
        <v>60.065099999999987</v>
      </c>
      <c r="T119" s="19">
        <f>CAPEX!T50-COGS!T270</f>
        <v>60.065099999999987</v>
      </c>
    </row>
    <row r="120" spans="2:20" ht="12" customHeight="1">
      <c r="B120" s="1"/>
      <c r="C120" s="1" t="s">
        <v>1385</v>
      </c>
      <c r="D120" s="1"/>
      <c r="E120" s="1"/>
      <c r="F120" s="1"/>
      <c r="G120" s="1"/>
      <c r="H120" s="210" t="s">
        <v>3529</v>
      </c>
      <c r="I120" s="4321"/>
      <c r="J120" s="4322">
        <f>SUMIF(Torecom_BSPL!$AE$47:$AE$86,$C120,Torecom_BSPL!$AF$47:$AF$86)/10^6</f>
        <v>0.52500000000000002</v>
      </c>
      <c r="K120" s="4322">
        <f>SUMIF(Torecom_BSPL!$W$47:$W$87,$C120,Torecom_BSPL!$X$47:$X$87)/10^6</f>
        <v>0.35</v>
      </c>
      <c r="L120" s="4322">
        <f>SUMIF(Torecom_BSPL!$O$47:$O$87,$C120,Torecom_BSPL!$P$47:$P$87)/10^6</f>
        <v>0.35</v>
      </c>
      <c r="M120" s="4323">
        <f>SUMIF(Torecom_BSPL!$G$47:$G$86,$C120,Torecom_BSPL!$H$47:$H$86)/10^6</f>
        <v>0.75760000000000005</v>
      </c>
      <c r="N120" s="4322">
        <f t="shared" ref="N120:N127" si="80">M120/3</f>
        <v>0.25253333333333333</v>
      </c>
      <c r="O120" s="4322">
        <f t="shared" ref="O120:O127" si="81">SUM(M120:N120)</f>
        <v>1.0101333333333333</v>
      </c>
      <c r="P120" s="4322">
        <f>O120*(1+General!J$12)</f>
        <v>1.0343765333333335</v>
      </c>
      <c r="Q120" s="4322">
        <f>P120*(1+General!K$12)</f>
        <v>1.0447202986666668</v>
      </c>
      <c r="R120" s="4322">
        <f>Q120*(1+General!L$12)</f>
        <v>1.0593463828480001</v>
      </c>
      <c r="S120" s="4322">
        <f>R120*(1+General!M$12)</f>
        <v>1.0805333105049602</v>
      </c>
      <c r="T120" s="4322">
        <f>S120*(1+General!N$12)</f>
        <v>1.0989023767835444</v>
      </c>
    </row>
    <row r="121" spans="2:20" ht="12" customHeight="1">
      <c r="B121" s="1"/>
      <c r="C121" s="1" t="s">
        <v>1387</v>
      </c>
      <c r="D121" s="1"/>
      <c r="E121" s="1"/>
      <c r="F121" s="1"/>
      <c r="G121" s="1"/>
      <c r="H121" s="210" t="s">
        <v>3529</v>
      </c>
      <c r="I121" s="4321"/>
      <c r="J121" s="4322">
        <f>SUMIF(Torecom_BSPL!$AE$47:$AE$86,$C121,Torecom_BSPL!$AF$47:$AF$86)/10^6</f>
        <v>0</v>
      </c>
      <c r="K121" s="4322">
        <f>SUMIF(Torecom_BSPL!$W$47:$W$87,$C121,Torecom_BSPL!$X$47:$X$87)/10^6</f>
        <v>0</v>
      </c>
      <c r="L121" s="4322">
        <f>SUMIF(Torecom_BSPL!$O$47:$O$87,$C121,Torecom_BSPL!$P$47:$P$87)/10^6</f>
        <v>0</v>
      </c>
      <c r="M121" s="4323">
        <f>SUMIF(Torecom_BSPL!$G$47:$G$86,$C121,Torecom_BSPL!$H$47:$H$86)/10^6</f>
        <v>1.7327710000000001</v>
      </c>
      <c r="N121" s="4322">
        <f t="shared" si="80"/>
        <v>0.57759033333333332</v>
      </c>
      <c r="O121" s="4322">
        <f t="shared" si="81"/>
        <v>2.3103613333333333</v>
      </c>
      <c r="P121" s="4322">
        <f>O121*(1+General!J$12)</f>
        <v>2.3658100053333335</v>
      </c>
      <c r="Q121" s="4322">
        <f>P121*(1+General!K$12)</f>
        <v>2.3894681053866669</v>
      </c>
      <c r="R121" s="4322">
        <f>Q121*(1+General!L$12)</f>
        <v>2.4229206588620804</v>
      </c>
      <c r="S121" s="4322">
        <f>R121*(1+General!M$12)</f>
        <v>2.4713790720393223</v>
      </c>
      <c r="T121" s="4322">
        <f>S121*(1+General!N$12)</f>
        <v>2.5133925162639907</v>
      </c>
    </row>
    <row r="122" spans="2:20" ht="12" customHeight="1">
      <c r="B122" s="1"/>
      <c r="C122" s="1" t="s">
        <v>1390</v>
      </c>
      <c r="D122" s="1"/>
      <c r="E122" s="1"/>
      <c r="F122" s="1"/>
      <c r="G122" s="1"/>
      <c r="H122" s="210" t="s">
        <v>3529</v>
      </c>
      <c r="I122" s="4321"/>
      <c r="J122" s="4322">
        <f>SUMIF(Torecom_BSPL!$AE$47:$AE$86,$C122,Torecom_BSPL!$AF$47:$AF$86)/10^6</f>
        <v>14.548943</v>
      </c>
      <c r="K122" s="4322">
        <f>SUMIF(Torecom_BSPL!$W$47:$W$87,$C122,Torecom_BSPL!$X$47:$X$87)/10^6</f>
        <v>15.242490999999999</v>
      </c>
      <c r="L122" s="4322">
        <f>SUMIF(Torecom_BSPL!$O$47:$O$87,$C122,Torecom_BSPL!$P$47:$P$87)/10^6</f>
        <v>15.67333</v>
      </c>
      <c r="M122" s="4323">
        <f>SUMIF(Torecom_BSPL!$G$47:$G$86,$C122,Torecom_BSPL!$H$47:$H$86)/10^6</f>
        <v>12.20463</v>
      </c>
      <c r="N122" s="4322">
        <f t="shared" si="80"/>
        <v>4.0682099999999997</v>
      </c>
      <c r="O122" s="4322">
        <f t="shared" si="81"/>
        <v>16.272839999999999</v>
      </c>
      <c r="P122" s="4322">
        <f>O122*(1+General!J$12)</f>
        <v>16.66338816</v>
      </c>
      <c r="Q122" s="4322">
        <f>P122*(1+General!K$12)</f>
        <v>16.830022041599999</v>
      </c>
      <c r="R122" s="4322">
        <f>Q122*(1+General!L$12)</f>
        <v>17.065642350182401</v>
      </c>
      <c r="S122" s="4322">
        <f>R122*(1+General!M$12)</f>
        <v>17.406955197186051</v>
      </c>
      <c r="T122" s="4322">
        <f>S122*(1+General!N$12)</f>
        <v>17.702873435538212</v>
      </c>
    </row>
    <row r="123" spans="2:20" ht="12" customHeight="1">
      <c r="B123" s="1"/>
      <c r="C123" s="1" t="s">
        <v>1394</v>
      </c>
      <c r="D123" s="1"/>
      <c r="E123" s="1"/>
      <c r="F123" s="1"/>
      <c r="G123" s="1"/>
      <c r="H123" s="210" t="s">
        <v>3529</v>
      </c>
      <c r="I123" s="4321"/>
      <c r="J123" s="4322">
        <f>SUMIF(Torecom_BSPL!$AE$47:$AE$86,$C123,Torecom_BSPL!$AF$47:$AF$86)/10^6</f>
        <v>8.3296700000000001</v>
      </c>
      <c r="K123" s="4322">
        <f>SUMIF(Torecom_BSPL!$W$47:$W$87,$C123,Torecom_BSPL!$X$47:$X$87)/10^6</f>
        <v>4.020797</v>
      </c>
      <c r="L123" s="4322">
        <f>SUMIF(Torecom_BSPL!$O$47:$O$87,$C123,Torecom_BSPL!$P$47:$P$87)/10^6</f>
        <v>2.978917</v>
      </c>
      <c r="M123" s="4323">
        <f>SUMIF(Torecom_BSPL!$G$47:$G$86,$C123,Torecom_BSPL!$H$47:$H$86)/10^6</f>
        <v>23.106601999999999</v>
      </c>
      <c r="N123" s="4322">
        <f t="shared" si="80"/>
        <v>7.7022006666666663</v>
      </c>
      <c r="O123" s="4322">
        <f t="shared" si="81"/>
        <v>30.808802666666665</v>
      </c>
      <c r="P123" s="4322">
        <f>O123*(1+General!J$12)</f>
        <v>31.548213930666666</v>
      </c>
      <c r="Q123" s="4322">
        <f>P123*(1+General!K$12)</f>
        <v>31.863696069973333</v>
      </c>
      <c r="R123" s="4322">
        <f>Q123*(1+General!L$12)</f>
        <v>32.309787814952962</v>
      </c>
      <c r="S123" s="4322">
        <f>R123*(1+General!M$12)</f>
        <v>32.95598357125202</v>
      </c>
      <c r="T123" s="4322">
        <f>S123*(1+General!N$12)</f>
        <v>33.516235291963298</v>
      </c>
    </row>
    <row r="124" spans="2:20" ht="12" customHeight="1">
      <c r="B124" s="1"/>
      <c r="C124" s="1" t="s">
        <v>1396</v>
      </c>
      <c r="D124" s="1"/>
      <c r="E124" s="1"/>
      <c r="F124" s="1"/>
      <c r="G124" s="1"/>
      <c r="H124" s="210" t="s">
        <v>3529</v>
      </c>
      <c r="I124" s="4321"/>
      <c r="J124" s="4322">
        <f>SUMIF(Torecom_BSPL!$AE$47:$AE$86,$C124,Torecom_BSPL!$AF$47:$AF$86)/10^6</f>
        <v>6.5472409999999996</v>
      </c>
      <c r="K124" s="4322">
        <f>SUMIF(Torecom_BSPL!$W$47:$W$87,$C124,Torecom_BSPL!$X$47:$X$87)/10^6</f>
        <v>8.9631399999999992</v>
      </c>
      <c r="L124" s="4322">
        <f>SUMIF(Torecom_BSPL!$O$47:$O$87,$C124,Torecom_BSPL!$P$47:$P$87)/10^6</f>
        <v>8.75807</v>
      </c>
      <c r="M124" s="4323">
        <f>SUMIF(Torecom_BSPL!$G$47:$G$86,$C124,Torecom_BSPL!$H$47:$H$86)/10^6</f>
        <v>4.8370129999999998</v>
      </c>
      <c r="N124" s="4322">
        <f t="shared" si="80"/>
        <v>1.6123376666666667</v>
      </c>
      <c r="O124" s="4322">
        <f t="shared" si="81"/>
        <v>6.4493506666666667</v>
      </c>
      <c r="P124" s="4322">
        <f>O124*(1+General!J$12)</f>
        <v>6.6041350826666667</v>
      </c>
      <c r="Q124" s="4322">
        <f>P124*(1+General!K$12)</f>
        <v>6.6701764334933333</v>
      </c>
      <c r="R124" s="4322">
        <f>Q124*(1+General!L$12)</f>
        <v>6.7635589035622399</v>
      </c>
      <c r="S124" s="4322">
        <f>R124*(1+General!M$12)</f>
        <v>6.8988300816334851</v>
      </c>
      <c r="T124" s="4322">
        <f>S124*(1+General!N$12)</f>
        <v>7.0161101930212535</v>
      </c>
    </row>
    <row r="125" spans="2:20" ht="12" customHeight="1">
      <c r="B125" s="1"/>
      <c r="C125" s="1" t="s">
        <v>1393</v>
      </c>
      <c r="D125" s="1"/>
      <c r="E125" s="1"/>
      <c r="F125" s="1"/>
      <c r="G125" s="1"/>
      <c r="H125" s="210" t="s">
        <v>3529</v>
      </c>
      <c r="I125" s="4321"/>
      <c r="J125" s="4322">
        <f>SUMIF(Torecom_BSPL!$AE$47:$AE$86,$C125,Torecom_BSPL!$AF$47:$AF$86)/10^6</f>
        <v>3.6134390000000001</v>
      </c>
      <c r="K125" s="4322">
        <f>SUMIF(Torecom_BSPL!$W$47:$W$87,$C125,Torecom_BSPL!$X$47:$X$87)/10^6</f>
        <v>3.3845200000000002</v>
      </c>
      <c r="L125" s="4322">
        <f>SUMIF(Torecom_BSPL!$O$47:$O$87,$C125,Torecom_BSPL!$P$47:$P$87)/10^6</f>
        <v>2.4394399999999998</v>
      </c>
      <c r="M125" s="4323">
        <f>SUMIF(Torecom_BSPL!$G$47:$G$86,$C125,Torecom_BSPL!$H$47:$H$86)/10^6</f>
        <v>1.901964</v>
      </c>
      <c r="N125" s="4322">
        <f t="shared" si="80"/>
        <v>0.633988</v>
      </c>
      <c r="O125" s="4322">
        <f t="shared" si="81"/>
        <v>2.535952</v>
      </c>
      <c r="P125" s="4322">
        <f>O125*(1+General!J$12)</f>
        <v>2.5968148480000002</v>
      </c>
      <c r="Q125" s="4322">
        <f>P125*(1+General!K$12)</f>
        <v>2.6227829964800002</v>
      </c>
      <c r="R125" s="4322">
        <f>Q125*(1+General!L$12)</f>
        <v>2.6595019584307202</v>
      </c>
      <c r="S125" s="4322">
        <f>R125*(1+General!M$12)</f>
        <v>2.7126919975993347</v>
      </c>
      <c r="T125" s="4322">
        <f>S125*(1+General!N$12)</f>
        <v>2.7588077615585229</v>
      </c>
    </row>
    <row r="126" spans="2:20" ht="12" customHeight="1">
      <c r="B126" s="1"/>
      <c r="C126" s="1" t="s">
        <v>1398</v>
      </c>
      <c r="D126" s="1"/>
      <c r="E126" s="1"/>
      <c r="F126" s="1"/>
      <c r="G126" s="1"/>
      <c r="H126" s="210" t="s">
        <v>3529</v>
      </c>
      <c r="I126" s="4321"/>
      <c r="J126" s="4322">
        <f>SUMIF(Torecom_BSPL!$AE$47:$AE$86,$C126,Torecom_BSPL!$AF$47:$AF$86)/10^6</f>
        <v>9.5771549999999994</v>
      </c>
      <c r="K126" s="4322">
        <f>SUMIF(Torecom_BSPL!$W$47:$W$87,$C126,Torecom_BSPL!$X$47:$X$87)/10^6</f>
        <v>3.2315450000000001</v>
      </c>
      <c r="L126" s="4322">
        <f>SUMIF(Torecom_BSPL!$O$47:$O$87,$C126,Torecom_BSPL!$P$47:$P$87)/10^6</f>
        <v>9.1870320000000003</v>
      </c>
      <c r="M126" s="4323">
        <f>SUMIF(Torecom_BSPL!$G$47:$G$86,$C126,Torecom_BSPL!$H$47:$H$86)/10^6</f>
        <v>5.1814999999999998</v>
      </c>
      <c r="N126" s="4322">
        <f t="shared" si="80"/>
        <v>1.7271666666666665</v>
      </c>
      <c r="O126" s="4322">
        <f t="shared" si="81"/>
        <v>6.9086666666666661</v>
      </c>
      <c r="P126" s="4322">
        <f>O126*(1+General!J$12)</f>
        <v>7.0744746666666662</v>
      </c>
      <c r="Q126" s="4322">
        <f>P126*(1+General!K$12)</f>
        <v>7.1452194133333329</v>
      </c>
      <c r="R126" s="4322">
        <f>Q126*(1+General!L$12)</f>
        <v>7.24525248512</v>
      </c>
      <c r="S126" s="4322">
        <f>R126*(1+General!M$12)</f>
        <v>7.3901575348224</v>
      </c>
      <c r="T126" s="4322">
        <f>S126*(1+General!N$12)</f>
        <v>7.5157902129143803</v>
      </c>
    </row>
    <row r="127" spans="2:20" ht="12" customHeight="1">
      <c r="B127" s="68"/>
      <c r="C127" s="68" t="s">
        <v>1399</v>
      </c>
      <c r="D127" s="68"/>
      <c r="E127" s="68"/>
      <c r="F127" s="68"/>
      <c r="G127" s="68"/>
      <c r="H127" s="212" t="s">
        <v>3529</v>
      </c>
      <c r="I127" s="4327"/>
      <c r="J127" s="4328">
        <f>SUMIF(Torecom_BSPL!$AE$47:$AE$86,$C127,Torecom_BSPL!$AF$47:$AF$86)/10^6</f>
        <v>9.5396040000000006</v>
      </c>
      <c r="K127" s="4328">
        <f>SUMIF(Torecom_BSPL!$W$47:$W$87,$C127,Torecom_BSPL!$X$47:$X$87)/10^6</f>
        <v>5.5084609999999996</v>
      </c>
      <c r="L127" s="4328">
        <f>SUMIF(Torecom_BSPL!$O$47:$O$87,$C127,Torecom_BSPL!$P$47:$P$87)/10^6</f>
        <v>12.074572</v>
      </c>
      <c r="M127" s="4329">
        <f>SUMIF(Torecom_BSPL!$G$47:$G$86,$C127,Torecom_BSPL!$H$47:$H$86)/10^6</f>
        <v>9.0139049999999994</v>
      </c>
      <c r="N127" s="4328">
        <f t="shared" si="80"/>
        <v>3.0046349999999999</v>
      </c>
      <c r="O127" s="4328">
        <f t="shared" si="81"/>
        <v>12.01854</v>
      </c>
      <c r="P127" s="4328">
        <f>O127*(1+General!J$12)</f>
        <v>12.306984959999999</v>
      </c>
      <c r="Q127" s="4328">
        <f>P127*(1+General!K$12)</f>
        <v>12.4300548096</v>
      </c>
      <c r="R127" s="4328">
        <f>Q127*(1+General!L$12)</f>
        <v>12.604075576934401</v>
      </c>
      <c r="S127" s="4328">
        <f>R127*(1+General!M$12)</f>
        <v>12.856157088473088</v>
      </c>
      <c r="T127" s="4328">
        <f>S127*(1+General!N$12)</f>
        <v>13.074711758977129</v>
      </c>
    </row>
    <row r="130" spans="1:20" ht="12" customHeight="1">
      <c r="A130" s="1965"/>
      <c r="B130" s="1964" t="s">
        <v>6663</v>
      </c>
      <c r="C130" s="1965"/>
      <c r="D130" s="1965"/>
      <c r="E130" s="1965"/>
      <c r="F130" s="1965"/>
      <c r="G130" s="1965"/>
      <c r="H130" s="1965"/>
      <c r="I130" s="1965"/>
      <c r="J130" s="1965"/>
      <c r="K130" s="1965"/>
      <c r="L130" s="1965"/>
      <c r="M130" s="1965"/>
      <c r="N130" s="1965"/>
      <c r="O130" s="1965"/>
      <c r="P130" s="1965"/>
      <c r="Q130" s="1965"/>
      <c r="R130" s="1965"/>
      <c r="S130" s="1965"/>
      <c r="T130" s="1965"/>
    </row>
    <row r="132" spans="1:20" ht="12" customHeight="1">
      <c r="B132" s="24"/>
      <c r="C132" s="24"/>
      <c r="D132" s="24"/>
      <c r="E132" s="24"/>
      <c r="F132" s="24"/>
      <c r="G132" s="24"/>
      <c r="H132" s="24"/>
      <c r="I132" s="24"/>
      <c r="J132" s="25" t="s">
        <v>3457</v>
      </c>
      <c r="K132" s="26"/>
      <c r="L132" s="26"/>
      <c r="M132" s="27"/>
      <c r="N132" s="26" t="s">
        <v>3458</v>
      </c>
      <c r="O132" s="26"/>
      <c r="P132" s="26"/>
      <c r="Q132" s="26"/>
      <c r="R132" s="26"/>
      <c r="S132" s="26"/>
      <c r="T132" s="26"/>
    </row>
    <row r="133" spans="1:20" ht="12" customHeight="1">
      <c r="B133" s="28"/>
      <c r="C133" s="28"/>
      <c r="D133" s="28"/>
      <c r="E133" s="28"/>
      <c r="F133" s="28"/>
      <c r="G133" s="28"/>
      <c r="H133" s="1949" t="s">
        <v>3537</v>
      </c>
      <c r="I133" s="28"/>
      <c r="J133" s="29" t="s">
        <v>69</v>
      </c>
      <c r="K133" s="30" t="s">
        <v>27</v>
      </c>
      <c r="L133" s="108" t="s">
        <v>60</v>
      </c>
      <c r="M133" s="31" t="s">
        <v>5103</v>
      </c>
      <c r="N133" s="30" t="s">
        <v>3459</v>
      </c>
      <c r="O133" s="30" t="s">
        <v>70</v>
      </c>
      <c r="P133" s="30" t="s">
        <v>71</v>
      </c>
      <c r="Q133" s="30" t="s">
        <v>72</v>
      </c>
      <c r="R133" s="30" t="s">
        <v>73</v>
      </c>
      <c r="S133" s="30" t="s">
        <v>74</v>
      </c>
      <c r="T133" s="30" t="s">
        <v>5102</v>
      </c>
    </row>
    <row r="134" spans="1:20" ht="12" customHeight="1">
      <c r="B134" s="33" t="s">
        <v>33</v>
      </c>
      <c r="C134" s="33"/>
      <c r="D134" s="33"/>
      <c r="E134" s="33"/>
      <c r="F134" s="33"/>
      <c r="G134" s="33"/>
      <c r="H134" s="33"/>
      <c r="I134" s="1056"/>
      <c r="J134" s="735">
        <f>J135+J137+J139</f>
        <v>368.96305399999972</v>
      </c>
      <c r="K134" s="735">
        <f t="shared" ref="K134:T134" si="82">K135+K137+K139</f>
        <v>5446.7819980000004</v>
      </c>
      <c r="L134" s="735">
        <f t="shared" si="82"/>
        <v>5427.859993</v>
      </c>
      <c r="M134" s="2353">
        <f t="shared" si="82"/>
        <v>4078.428688</v>
      </c>
      <c r="N134" s="735">
        <f t="shared" si="82"/>
        <v>1586.9837959670342</v>
      </c>
      <c r="O134" s="735">
        <f t="shared" si="82"/>
        <v>5665.4124839670339</v>
      </c>
      <c r="P134" s="735">
        <f t="shared" si="82"/>
        <v>5168.2443111875755</v>
      </c>
      <c r="Q134" s="735">
        <f t="shared" si="82"/>
        <v>4957.7394952478071</v>
      </c>
      <c r="R134" s="735">
        <f t="shared" si="82"/>
        <v>4861.2494259982668</v>
      </c>
      <c r="S134" s="735">
        <f t="shared" si="82"/>
        <v>5020.2871209985533</v>
      </c>
      <c r="T134" s="735">
        <f t="shared" si="82"/>
        <v>4861.2494259982668</v>
      </c>
    </row>
    <row r="135" spans="1:20" ht="12" customHeight="1">
      <c r="C135" s="3" t="s">
        <v>1506</v>
      </c>
      <c r="D135" s="45"/>
      <c r="I135" s="1057"/>
      <c r="J135" s="1119">
        <f>연결정산표!BR44/10^6</f>
        <v>-2162.8892770000002</v>
      </c>
      <c r="K135" s="1119">
        <f>연결정산표!BD44/10^6</f>
        <v>2778.4895200000001</v>
      </c>
      <c r="L135" s="1119">
        <f>Backdata_GRM!G20/10^6</f>
        <v>2736.445326</v>
      </c>
      <c r="M135" s="2356">
        <f>연결정산표!F45/10^6</f>
        <v>1997.3989610000001</v>
      </c>
      <c r="N135" s="1122">
        <f>Revenue!N166*N136</f>
        <v>787.06428916897607</v>
      </c>
      <c r="O135" s="1122">
        <f>Revenue!O166*O136</f>
        <v>2784.4632501689762</v>
      </c>
      <c r="P135" s="1122">
        <f>Revenue!P166*P136</f>
        <v>2626.2946136113123</v>
      </c>
      <c r="Q135" s="1122">
        <f>Revenue!Q166*Q136</f>
        <v>2808.7968865624625</v>
      </c>
      <c r="R135" s="1122">
        <f>Revenue!R166*R136</f>
        <v>2649.7591915621747</v>
      </c>
      <c r="S135" s="1122">
        <f>Revenue!S166*S136</f>
        <v>2808.7968865624625</v>
      </c>
      <c r="T135" s="1122">
        <f>Revenue!T166*T136</f>
        <v>2649.7591915621747</v>
      </c>
    </row>
    <row r="136" spans="1:20" ht="12" customHeight="1">
      <c r="C136" s="45"/>
      <c r="D136" s="45" t="s">
        <v>3456</v>
      </c>
      <c r="H136" s="110" t="s">
        <v>360</v>
      </c>
      <c r="I136" s="1057"/>
      <c r="J136" s="399">
        <f>J135/Revenue!J166</f>
        <v>-1.0462374594133005E-2</v>
      </c>
      <c r="K136" s="399">
        <f>K135/Revenue!K166</f>
        <v>1.2720340664132636E-2</v>
      </c>
      <c r="L136" s="399">
        <f>L135/Revenue!L166</f>
        <v>1.1348065948303926E-2</v>
      </c>
      <c r="M136" s="2354">
        <f>M135/Revenue!M166</f>
        <v>8.6905844262452434E-3</v>
      </c>
      <c r="N136" s="405">
        <f>Assumption!N695</f>
        <v>8.6905844262452434E-3</v>
      </c>
      <c r="O136" s="405">
        <f>Assumption!O695</f>
        <v>8.6905844262452434E-3</v>
      </c>
      <c r="P136" s="405">
        <f>Assumption!P695</f>
        <v>8.6905844262452434E-3</v>
      </c>
      <c r="Q136" s="405">
        <f>Assumption!Q695</f>
        <v>8.6905844262452434E-3</v>
      </c>
      <c r="R136" s="405">
        <f>Assumption!R695</f>
        <v>8.6905844262452434E-3</v>
      </c>
      <c r="S136" s="405">
        <f>Assumption!S695</f>
        <v>8.6905844262452434E-3</v>
      </c>
      <c r="T136" s="405">
        <f>Assumption!T695</f>
        <v>8.6905844262452434E-3</v>
      </c>
    </row>
    <row r="137" spans="1:20" ht="12" customHeight="1">
      <c r="C137" s="3" t="s">
        <v>1507</v>
      </c>
      <c r="D137" s="45"/>
      <c r="I137" s="1057"/>
      <c r="J137" s="1119">
        <f>연결정산표!BS44/10^6</f>
        <v>1934.1558379999999</v>
      </c>
      <c r="K137" s="1119">
        <f>연결정산표!BE44/10^6</f>
        <v>2066.2487540000002</v>
      </c>
      <c r="L137" s="1119">
        <f>'Backdata_CS,선우'!P94/10^6</f>
        <v>2154.7211649999999</v>
      </c>
      <c r="M137" s="2356">
        <f>연결정산표!G45/10^6</f>
        <v>1698.97018</v>
      </c>
      <c r="N137" s="1122">
        <f>Revenue!N168*N138</f>
        <v>638.5270641740974</v>
      </c>
      <c r="O137" s="1122">
        <f>Revenue!O168*O138</f>
        <v>2337.4972441740974</v>
      </c>
      <c r="P137" s="1122">
        <f>Revenue!P168*P138</f>
        <v>1781.1169121027178</v>
      </c>
      <c r="Q137" s="1122">
        <f>Revenue!Q168*Q138</f>
        <v>1434.6914223224251</v>
      </c>
      <c r="R137" s="1122">
        <f>Revenue!R168*R138</f>
        <v>1466.1846486660879</v>
      </c>
      <c r="S137" s="1122">
        <f>Revenue!S168*S138</f>
        <v>1466.1846486660879</v>
      </c>
      <c r="T137" s="1122">
        <f>Revenue!T168*T138</f>
        <v>1466.1846486660879</v>
      </c>
    </row>
    <row r="138" spans="1:20" ht="12" customHeight="1">
      <c r="B138" s="45"/>
      <c r="C138" s="45"/>
      <c r="D138" s="45" t="s">
        <v>3456</v>
      </c>
      <c r="E138" s="45"/>
      <c r="F138" s="45"/>
      <c r="G138" s="45"/>
      <c r="H138" s="110" t="s">
        <v>360</v>
      </c>
      <c r="I138" s="1058"/>
      <c r="J138" s="399">
        <f>J137/Revenue!J168</f>
        <v>7.0412606278558679E-2</v>
      </c>
      <c r="K138" s="399">
        <f>K137/Revenue!K168</f>
        <v>4.3668039170495727E-2</v>
      </c>
      <c r="L138" s="399">
        <f>L137/Revenue!L168</f>
        <v>5.4223083664843581E-2</v>
      </c>
      <c r="M138" s="2354">
        <f>M137/Revenue!M168</f>
        <v>3.4992473715181098E-2</v>
      </c>
      <c r="N138" s="405">
        <f>Assumption!N696</f>
        <v>3.4992473715181098E-2</v>
      </c>
      <c r="O138" s="405">
        <f>Assumption!O696</f>
        <v>3.4992473715181098E-2</v>
      </c>
      <c r="P138" s="405">
        <f>Assumption!P696</f>
        <v>3.4992473715181098E-2</v>
      </c>
      <c r="Q138" s="405">
        <f>Assumption!Q696</f>
        <v>3.4992473715181098E-2</v>
      </c>
      <c r="R138" s="405">
        <f>Assumption!R696</f>
        <v>3.4992473715181098E-2</v>
      </c>
      <c r="S138" s="405">
        <f>Assumption!S696</f>
        <v>3.4992473715181098E-2</v>
      </c>
      <c r="T138" s="405">
        <f>Assumption!T696</f>
        <v>3.4992473715181098E-2</v>
      </c>
    </row>
    <row r="139" spans="1:20" ht="12" customHeight="1">
      <c r="C139" s="3" t="s">
        <v>1561</v>
      </c>
      <c r="D139" s="45"/>
      <c r="I139" s="1057"/>
      <c r="J139" s="1119">
        <f>연결정산표!BT44/10^6</f>
        <v>597.69649300000003</v>
      </c>
      <c r="K139" s="1119">
        <f>연결정산표!BF44/10^6</f>
        <v>602.043724</v>
      </c>
      <c r="L139" s="1119">
        <f>'Backdata_CS,선우'!G94/10^6</f>
        <v>536.69350199999997</v>
      </c>
      <c r="M139" s="2356">
        <f>연결정산표!H45/10^6</f>
        <v>382.05954700000001</v>
      </c>
      <c r="N139" s="1122">
        <f>Revenue!N170*N140</f>
        <v>161.3924426239607</v>
      </c>
      <c r="O139" s="1122">
        <f>Revenue!O170*O140</f>
        <v>543.45198962396069</v>
      </c>
      <c r="P139" s="1122">
        <f>Revenue!P170*P140</f>
        <v>760.83278547354496</v>
      </c>
      <c r="Q139" s="1122">
        <f>Revenue!Q170*Q140</f>
        <v>714.25118636291984</v>
      </c>
      <c r="R139" s="1122">
        <f>Revenue!R170*R140</f>
        <v>745.30558577000329</v>
      </c>
      <c r="S139" s="1122">
        <f>Revenue!S170*S140</f>
        <v>745.30558577000329</v>
      </c>
      <c r="T139" s="1122">
        <f>Revenue!T170*T140</f>
        <v>745.30558577000329</v>
      </c>
    </row>
    <row r="140" spans="1:20" ht="12" customHeight="1">
      <c r="B140" s="12"/>
      <c r="C140" s="361"/>
      <c r="D140" s="361" t="s">
        <v>3456</v>
      </c>
      <c r="E140" s="12"/>
      <c r="F140" s="12"/>
      <c r="G140" s="12"/>
      <c r="H140" s="1950" t="s">
        <v>2702</v>
      </c>
      <c r="I140" s="1059"/>
      <c r="J140" s="229">
        <f>J139/Revenue!J170</f>
        <v>3.9992662849628019E-2</v>
      </c>
      <c r="K140" s="229">
        <f>K139/Revenue!K170</f>
        <v>5.9234261027277003E-2</v>
      </c>
      <c r="L140" s="229">
        <f>L139/Revenue!L170</f>
        <v>6.3232863236871578E-2</v>
      </c>
      <c r="M140" s="2355">
        <f>M139/Revenue!M170</f>
        <v>5.1757332345139115E-2</v>
      </c>
      <c r="N140" s="404">
        <f>Assumption!N697</f>
        <v>5.1757332345139115E-2</v>
      </c>
      <c r="O140" s="404">
        <f>Assumption!O697</f>
        <v>5.1757332345139115E-2</v>
      </c>
      <c r="P140" s="404">
        <f>Assumption!P697</f>
        <v>5.1757332345139115E-2</v>
      </c>
      <c r="Q140" s="404">
        <f>Assumption!Q697</f>
        <v>5.1757332345139115E-2</v>
      </c>
      <c r="R140" s="404">
        <f>Assumption!R697</f>
        <v>5.1757332345139115E-2</v>
      </c>
      <c r="S140" s="404">
        <f>Assumption!S697</f>
        <v>5.1757332345139115E-2</v>
      </c>
      <c r="T140" s="404">
        <f>Assumption!T697</f>
        <v>5.1757332345139115E-2</v>
      </c>
    </row>
    <row r="143" spans="1:20" ht="12" customHeight="1">
      <c r="A143" s="20" t="s">
        <v>78</v>
      </c>
      <c r="B143" s="21" t="s">
        <v>67</v>
      </c>
      <c r="C143" s="102"/>
      <c r="D143" s="102"/>
      <c r="E143" s="102"/>
      <c r="F143" s="102"/>
      <c r="G143" s="102"/>
      <c r="H143" s="102"/>
      <c r="I143" s="102"/>
      <c r="J143" s="102"/>
      <c r="K143" s="102"/>
      <c r="L143" s="102"/>
      <c r="M143" s="102"/>
      <c r="N143" s="102"/>
      <c r="O143" s="109"/>
      <c r="P143" s="109"/>
      <c r="Q143" s="109"/>
      <c r="R143" s="109"/>
      <c r="S143" s="109"/>
      <c r="T143" s="109"/>
    </row>
    <row r="145" spans="2:20" ht="12" customHeight="1">
      <c r="B145" s="24"/>
      <c r="C145" s="24"/>
      <c r="D145" s="24"/>
      <c r="E145" s="24"/>
      <c r="F145" s="24"/>
      <c r="G145" s="24"/>
      <c r="H145" s="24"/>
      <c r="I145" s="24"/>
      <c r="J145" s="25" t="s">
        <v>3457</v>
      </c>
      <c r="K145" s="26"/>
      <c r="L145" s="26"/>
      <c r="M145" s="27"/>
      <c r="N145" s="26" t="s">
        <v>3458</v>
      </c>
      <c r="O145" s="26"/>
      <c r="P145" s="26"/>
      <c r="Q145" s="26"/>
      <c r="R145" s="26"/>
      <c r="S145" s="26"/>
      <c r="T145" s="26"/>
    </row>
    <row r="146" spans="2:20" ht="12" customHeight="1">
      <c r="B146" s="28"/>
      <c r="C146" s="28"/>
      <c r="D146" s="28"/>
      <c r="E146" s="28"/>
      <c r="F146" s="28"/>
      <c r="G146" s="28"/>
      <c r="H146" s="28"/>
      <c r="I146" s="28"/>
      <c r="J146" s="29" t="s">
        <v>69</v>
      </c>
      <c r="K146" s="30" t="s">
        <v>27</v>
      </c>
      <c r="L146" s="30" t="s">
        <v>60</v>
      </c>
      <c r="M146" s="31" t="s">
        <v>5103</v>
      </c>
      <c r="N146" s="30" t="s">
        <v>3459</v>
      </c>
      <c r="O146" s="30" t="s">
        <v>70</v>
      </c>
      <c r="P146" s="30" t="s">
        <v>71</v>
      </c>
      <c r="Q146" s="30" t="s">
        <v>72</v>
      </c>
      <c r="R146" s="30" t="s">
        <v>73</v>
      </c>
      <c r="S146" s="30" t="s">
        <v>74</v>
      </c>
      <c r="T146" s="30" t="s">
        <v>5102</v>
      </c>
    </row>
    <row r="147" spans="2:20" ht="12" customHeight="1">
      <c r="B147" s="12" t="s">
        <v>67</v>
      </c>
      <c r="C147" s="12"/>
      <c r="D147" s="12"/>
      <c r="E147" s="12"/>
      <c r="F147" s="12"/>
      <c r="G147" s="12"/>
      <c r="H147" s="12"/>
      <c r="I147" s="12"/>
      <c r="J147" s="1948">
        <f>-(연결FS!K6/10^6-(J9+J11))</f>
        <v>10556.012011000013</v>
      </c>
      <c r="K147" s="297">
        <f>-(연결FS!L6/10^6-(K9+K11))</f>
        <v>-12.956883000006201</v>
      </c>
      <c r="L147" s="297">
        <f>-(연결FS!M6/10^6-(L9+L11))</f>
        <v>105.50901900000463</v>
      </c>
      <c r="M147" s="354">
        <f>-(연결정산표!L44/10^6-M9-M11)</f>
        <v>37.905409999995754</v>
      </c>
      <c r="N147" s="107">
        <f>Assumption!N706</f>
        <v>0</v>
      </c>
      <c r="O147" s="107">
        <f>SUM(M147:N147)</f>
        <v>37.905409999995754</v>
      </c>
      <c r="P147" s="107">
        <f>Assumption!P706</f>
        <v>0</v>
      </c>
      <c r="Q147" s="107">
        <f>Assumption!Q706</f>
        <v>0</v>
      </c>
      <c r="R147" s="107">
        <f>Assumption!R706</f>
        <v>0</v>
      </c>
      <c r="S147" s="107">
        <f>Assumption!S706</f>
        <v>0</v>
      </c>
      <c r="T147" s="107">
        <f>Assumption!T706</f>
        <v>0</v>
      </c>
    </row>
  </sheetData>
  <phoneticPr fontId="1" type="noConversion"/>
  <conditionalFormatting sqref="O19:P19 K7:L7 K19:L19 K26:L26 K50:M50 K58:M58 K133:M133 K146:M146">
    <cfRule type="cellIs" dxfId="596" priority="253" operator="equal">
      <formula>"X"</formula>
    </cfRule>
    <cfRule type="cellIs" dxfId="595" priority="254" operator="equal">
      <formula>"O"</formula>
    </cfRule>
    <cfRule type="cellIs" dxfId="594" priority="255" operator="equal">
      <formula>"미정"</formula>
    </cfRule>
    <cfRule type="cellIs" dxfId="593" priority="256" operator="equal">
      <formula>"예정"</formula>
    </cfRule>
    <cfRule type="cellIs" dxfId="592" priority="257" operator="equal">
      <formula>"확정"</formula>
    </cfRule>
  </conditionalFormatting>
  <conditionalFormatting sqref="O7:P7">
    <cfRule type="cellIs" dxfId="591" priority="263" operator="equal">
      <formula>"X"</formula>
    </cfRule>
    <cfRule type="cellIs" dxfId="590" priority="264" operator="equal">
      <formula>"O"</formula>
    </cfRule>
    <cfRule type="cellIs" dxfId="589" priority="265" operator="equal">
      <formula>"미정"</formula>
    </cfRule>
    <cfRule type="cellIs" dxfId="588" priority="266" operator="equal">
      <formula>"예정"</formula>
    </cfRule>
    <cfRule type="cellIs" dxfId="587" priority="267" operator="equal">
      <formula>"확정"</formula>
    </cfRule>
  </conditionalFormatting>
  <conditionalFormatting sqref="O26:P26">
    <cfRule type="cellIs" dxfId="586" priority="243" operator="equal">
      <formula>"X"</formula>
    </cfRule>
    <cfRule type="cellIs" dxfId="585" priority="244" operator="equal">
      <formula>"O"</formula>
    </cfRule>
    <cfRule type="cellIs" dxfId="584" priority="245" operator="equal">
      <formula>"미정"</formula>
    </cfRule>
    <cfRule type="cellIs" dxfId="583" priority="246" operator="equal">
      <formula>"예정"</formula>
    </cfRule>
    <cfRule type="cellIs" dxfId="582" priority="247" operator="equal">
      <formula>"확정"</formula>
    </cfRule>
  </conditionalFormatting>
  <conditionalFormatting sqref="N50:P50">
    <cfRule type="cellIs" dxfId="581" priority="233" operator="equal">
      <formula>"X"</formula>
    </cfRule>
    <cfRule type="cellIs" dxfId="580" priority="234" operator="equal">
      <formula>"O"</formula>
    </cfRule>
    <cfRule type="cellIs" dxfId="579" priority="235" operator="equal">
      <formula>"미정"</formula>
    </cfRule>
    <cfRule type="cellIs" dxfId="578" priority="236" operator="equal">
      <formula>"예정"</formula>
    </cfRule>
    <cfRule type="cellIs" dxfId="577" priority="237" operator="equal">
      <formula>"확정"</formula>
    </cfRule>
  </conditionalFormatting>
  <conditionalFormatting sqref="N58:P58">
    <cfRule type="cellIs" dxfId="576" priority="223" operator="equal">
      <formula>"X"</formula>
    </cfRule>
    <cfRule type="cellIs" dxfId="575" priority="224" operator="equal">
      <formula>"O"</formula>
    </cfRule>
    <cfRule type="cellIs" dxfId="574" priority="225" operator="equal">
      <formula>"미정"</formula>
    </cfRule>
    <cfRule type="cellIs" dxfId="573" priority="226" operator="equal">
      <formula>"예정"</formula>
    </cfRule>
    <cfRule type="cellIs" dxfId="572" priority="227" operator="equal">
      <formula>"확정"</formula>
    </cfRule>
  </conditionalFormatting>
  <conditionalFormatting sqref="N133:P133">
    <cfRule type="cellIs" dxfId="571" priority="123" operator="equal">
      <formula>"X"</formula>
    </cfRule>
    <cfRule type="cellIs" dxfId="570" priority="124" operator="equal">
      <formula>"O"</formula>
    </cfRule>
    <cfRule type="cellIs" dxfId="569" priority="125" operator="equal">
      <formula>"미정"</formula>
    </cfRule>
    <cfRule type="cellIs" dxfId="568" priority="126" operator="equal">
      <formula>"예정"</formula>
    </cfRule>
    <cfRule type="cellIs" dxfId="567" priority="127" operator="equal">
      <formula>"확정"</formula>
    </cfRule>
  </conditionalFormatting>
  <conditionalFormatting sqref="N146:P146">
    <cfRule type="cellIs" dxfId="566" priority="113" operator="equal">
      <formula>"X"</formula>
    </cfRule>
    <cfRule type="cellIs" dxfId="565" priority="114" operator="equal">
      <formula>"O"</formula>
    </cfRule>
    <cfRule type="cellIs" dxfId="564" priority="115" operator="equal">
      <formula>"미정"</formula>
    </cfRule>
    <cfRule type="cellIs" dxfId="563" priority="116" operator="equal">
      <formula>"예정"</formula>
    </cfRule>
    <cfRule type="cellIs" dxfId="562" priority="117" operator="equal">
      <formula>"확정"</formula>
    </cfRule>
  </conditionalFormatting>
  <conditionalFormatting sqref="N7">
    <cfRule type="cellIs" dxfId="561" priority="103" operator="equal">
      <formula>"X"</formula>
    </cfRule>
    <cfRule type="cellIs" dxfId="560" priority="104" operator="equal">
      <formula>"O"</formula>
    </cfRule>
    <cfRule type="cellIs" dxfId="559" priority="105" operator="equal">
      <formula>"미정"</formula>
    </cfRule>
    <cfRule type="cellIs" dxfId="558" priority="106" operator="equal">
      <formula>"예정"</formula>
    </cfRule>
    <cfRule type="cellIs" dxfId="557" priority="107" operator="equal">
      <formula>"확정"</formula>
    </cfRule>
  </conditionalFormatting>
  <conditionalFormatting sqref="M7">
    <cfRule type="cellIs" dxfId="556" priority="108" operator="equal">
      <formula>"X"</formula>
    </cfRule>
    <cfRule type="cellIs" dxfId="555" priority="109" operator="equal">
      <formula>"O"</formula>
    </cfRule>
    <cfRule type="cellIs" dxfId="554" priority="110" operator="equal">
      <formula>"미정"</formula>
    </cfRule>
    <cfRule type="cellIs" dxfId="553" priority="111" operator="equal">
      <formula>"예정"</formula>
    </cfRule>
    <cfRule type="cellIs" dxfId="552" priority="112" operator="equal">
      <formula>"확정"</formula>
    </cfRule>
  </conditionalFormatting>
  <conditionalFormatting sqref="N19">
    <cfRule type="cellIs" dxfId="551" priority="93" operator="equal">
      <formula>"X"</formula>
    </cfRule>
    <cfRule type="cellIs" dxfId="550" priority="94" operator="equal">
      <formula>"O"</formula>
    </cfRule>
    <cfRule type="cellIs" dxfId="549" priority="95" operator="equal">
      <formula>"미정"</formula>
    </cfRule>
    <cfRule type="cellIs" dxfId="548" priority="96" operator="equal">
      <formula>"예정"</formula>
    </cfRule>
    <cfRule type="cellIs" dxfId="547" priority="97" operator="equal">
      <formula>"확정"</formula>
    </cfRule>
  </conditionalFormatting>
  <conditionalFormatting sqref="M19">
    <cfRule type="cellIs" dxfId="546" priority="98" operator="equal">
      <formula>"X"</formula>
    </cfRule>
    <cfRule type="cellIs" dxfId="545" priority="99" operator="equal">
      <formula>"O"</formula>
    </cfRule>
    <cfRule type="cellIs" dxfId="544" priority="100" operator="equal">
      <formula>"미정"</formula>
    </cfRule>
    <cfRule type="cellIs" dxfId="543" priority="101" operator="equal">
      <formula>"예정"</formula>
    </cfRule>
    <cfRule type="cellIs" dxfId="542" priority="102" operator="equal">
      <formula>"확정"</formula>
    </cfRule>
  </conditionalFormatting>
  <conditionalFormatting sqref="N26">
    <cfRule type="cellIs" dxfId="541" priority="83" operator="equal">
      <formula>"X"</formula>
    </cfRule>
    <cfRule type="cellIs" dxfId="540" priority="84" operator="equal">
      <formula>"O"</formula>
    </cfRule>
    <cfRule type="cellIs" dxfId="539" priority="85" operator="equal">
      <formula>"미정"</formula>
    </cfRule>
    <cfRule type="cellIs" dxfId="538" priority="86" operator="equal">
      <formula>"예정"</formula>
    </cfRule>
    <cfRule type="cellIs" dxfId="537" priority="87" operator="equal">
      <formula>"확정"</formula>
    </cfRule>
  </conditionalFormatting>
  <conditionalFormatting sqref="M26">
    <cfRule type="cellIs" dxfId="536" priority="88" operator="equal">
      <formula>"X"</formula>
    </cfRule>
    <cfRule type="cellIs" dxfId="535" priority="89" operator="equal">
      <formula>"O"</formula>
    </cfRule>
    <cfRule type="cellIs" dxfId="534" priority="90" operator="equal">
      <formula>"미정"</formula>
    </cfRule>
    <cfRule type="cellIs" dxfId="533" priority="91" operator="equal">
      <formula>"예정"</formula>
    </cfRule>
    <cfRule type="cellIs" dxfId="532" priority="92" operator="equal">
      <formula>"확정"</formula>
    </cfRule>
  </conditionalFormatting>
  <conditionalFormatting sqref="K83:M83">
    <cfRule type="cellIs" dxfId="531" priority="73" operator="equal">
      <formula>"X"</formula>
    </cfRule>
    <cfRule type="cellIs" dxfId="530" priority="74" operator="equal">
      <formula>"O"</formula>
    </cfRule>
    <cfRule type="cellIs" dxfId="529" priority="75" operator="equal">
      <formula>"미정"</formula>
    </cfRule>
    <cfRule type="cellIs" dxfId="528" priority="76" operator="equal">
      <formula>"예정"</formula>
    </cfRule>
    <cfRule type="cellIs" dxfId="527" priority="77" operator="equal">
      <formula>"확정"</formula>
    </cfRule>
  </conditionalFormatting>
  <conditionalFormatting sqref="N83:P83">
    <cfRule type="cellIs" dxfId="526" priority="78" operator="equal">
      <formula>"X"</formula>
    </cfRule>
    <cfRule type="cellIs" dxfId="525" priority="79" operator="equal">
      <formula>"O"</formula>
    </cfRule>
    <cfRule type="cellIs" dxfId="524" priority="80" operator="equal">
      <formula>"미정"</formula>
    </cfRule>
    <cfRule type="cellIs" dxfId="523" priority="81" operator="equal">
      <formula>"예정"</formula>
    </cfRule>
    <cfRule type="cellIs" dxfId="522" priority="82" operator="equal">
      <formula>"확정"</formula>
    </cfRule>
  </conditionalFormatting>
  <conditionalFormatting sqref="K91:M91">
    <cfRule type="cellIs" dxfId="521" priority="63" operator="equal">
      <formula>"X"</formula>
    </cfRule>
    <cfRule type="cellIs" dxfId="520" priority="64" operator="equal">
      <formula>"O"</formula>
    </cfRule>
    <cfRule type="cellIs" dxfId="519" priority="65" operator="equal">
      <formula>"미정"</formula>
    </cfRule>
    <cfRule type="cellIs" dxfId="518" priority="66" operator="equal">
      <formula>"예정"</formula>
    </cfRule>
    <cfRule type="cellIs" dxfId="517" priority="67" operator="equal">
      <formula>"확정"</formula>
    </cfRule>
  </conditionalFormatting>
  <conditionalFormatting sqref="N91:P91">
    <cfRule type="cellIs" dxfId="516" priority="68" operator="equal">
      <formula>"X"</formula>
    </cfRule>
    <cfRule type="cellIs" dxfId="515" priority="69" operator="equal">
      <formula>"O"</formula>
    </cfRule>
    <cfRule type="cellIs" dxfId="514" priority="70" operator="equal">
      <formula>"미정"</formula>
    </cfRule>
    <cfRule type="cellIs" dxfId="513" priority="71" operator="equal">
      <formula>"예정"</formula>
    </cfRule>
    <cfRule type="cellIs" dxfId="512" priority="72" operator="equal">
      <formula>"확정"</formula>
    </cfRule>
  </conditionalFormatting>
  <conditionalFormatting sqref="K104:M104">
    <cfRule type="cellIs" dxfId="511" priority="53" operator="equal">
      <formula>"X"</formula>
    </cfRule>
    <cfRule type="cellIs" dxfId="510" priority="54" operator="equal">
      <formula>"O"</formula>
    </cfRule>
    <cfRule type="cellIs" dxfId="509" priority="55" operator="equal">
      <formula>"미정"</formula>
    </cfRule>
    <cfRule type="cellIs" dxfId="508" priority="56" operator="equal">
      <formula>"예정"</formula>
    </cfRule>
    <cfRule type="cellIs" dxfId="507" priority="57" operator="equal">
      <formula>"확정"</formula>
    </cfRule>
  </conditionalFormatting>
  <conditionalFormatting sqref="N104:P104">
    <cfRule type="cellIs" dxfId="506" priority="58" operator="equal">
      <formula>"X"</formula>
    </cfRule>
    <cfRule type="cellIs" dxfId="505" priority="59" operator="equal">
      <formula>"O"</formula>
    </cfRule>
    <cfRule type="cellIs" dxfId="504" priority="60" operator="equal">
      <formula>"미정"</formula>
    </cfRule>
    <cfRule type="cellIs" dxfId="503" priority="61" operator="equal">
      <formula>"예정"</formula>
    </cfRule>
    <cfRule type="cellIs" dxfId="502" priority="62" operator="equal">
      <formula>"확정"</formula>
    </cfRule>
  </conditionalFormatting>
  <conditionalFormatting sqref="K109:M109">
    <cfRule type="cellIs" dxfId="501" priority="43" operator="equal">
      <formula>"X"</formula>
    </cfRule>
    <cfRule type="cellIs" dxfId="500" priority="44" operator="equal">
      <formula>"O"</formula>
    </cfRule>
    <cfRule type="cellIs" dxfId="499" priority="45" operator="equal">
      <formula>"미정"</formula>
    </cfRule>
    <cfRule type="cellIs" dxfId="498" priority="46" operator="equal">
      <formula>"예정"</formula>
    </cfRule>
    <cfRule type="cellIs" dxfId="497" priority="47" operator="equal">
      <formula>"확정"</formula>
    </cfRule>
  </conditionalFormatting>
  <conditionalFormatting sqref="N109:P109">
    <cfRule type="cellIs" dxfId="496" priority="48" operator="equal">
      <formula>"X"</formula>
    </cfRule>
    <cfRule type="cellIs" dxfId="495" priority="49" operator="equal">
      <formula>"O"</formula>
    </cfRule>
    <cfRule type="cellIs" dxfId="494" priority="50" operator="equal">
      <formula>"미정"</formula>
    </cfRule>
    <cfRule type="cellIs" dxfId="493" priority="51" operator="equal">
      <formula>"예정"</formula>
    </cfRule>
    <cfRule type="cellIs" dxfId="492" priority="52" operator="equal">
      <formula>"확정"</formula>
    </cfRule>
  </conditionalFormatting>
  <conditionalFormatting sqref="K69:M69">
    <cfRule type="cellIs" dxfId="491" priority="38" operator="equal">
      <formula>"X"</formula>
    </cfRule>
    <cfRule type="cellIs" dxfId="490" priority="39" operator="equal">
      <formula>"O"</formula>
    </cfRule>
    <cfRule type="cellIs" dxfId="489" priority="40" operator="equal">
      <formula>"미정"</formula>
    </cfRule>
    <cfRule type="cellIs" dxfId="488" priority="41" operator="equal">
      <formula>"예정"</formula>
    </cfRule>
    <cfRule type="cellIs" dxfId="487" priority="42" operator="equal">
      <formula>"확정"</formula>
    </cfRule>
  </conditionalFormatting>
  <conditionalFormatting sqref="N69:P69">
    <cfRule type="cellIs" dxfId="486" priority="33" operator="equal">
      <formula>"X"</formula>
    </cfRule>
    <cfRule type="cellIs" dxfId="485" priority="34" operator="equal">
      <formula>"O"</formula>
    </cfRule>
    <cfRule type="cellIs" dxfId="484" priority="35" operator="equal">
      <formula>"미정"</formula>
    </cfRule>
    <cfRule type="cellIs" dxfId="483" priority="36" operator="equal">
      <formula>"예정"</formula>
    </cfRule>
    <cfRule type="cellIs" dxfId="482" priority="37" operator="equal">
      <formula>"확정"</formula>
    </cfRule>
  </conditionalFormatting>
  <conditionalFormatting sqref="V10">
    <cfRule type="cellIs" dxfId="481" priority="31" operator="lessThan">
      <formula>0</formula>
    </cfRule>
    <cfRule type="cellIs" dxfId="480" priority="32" operator="greaterThan">
      <formula>0</formula>
    </cfRule>
  </conditionalFormatting>
  <conditionalFormatting sqref="V12">
    <cfRule type="cellIs" dxfId="479" priority="29" operator="lessThan">
      <formula>0</formula>
    </cfRule>
    <cfRule type="cellIs" dxfId="478" priority="30" operator="greaterThan">
      <formula>0</formula>
    </cfRule>
  </conditionalFormatting>
  <conditionalFormatting sqref="V31">
    <cfRule type="cellIs" dxfId="477" priority="25" operator="lessThan">
      <formula>0</formula>
    </cfRule>
    <cfRule type="cellIs" dxfId="476" priority="26" operator="greaterThan">
      <formula>0</formula>
    </cfRule>
  </conditionalFormatting>
  <conditionalFormatting sqref="V33">
    <cfRule type="cellIs" dxfId="475" priority="23" operator="lessThan">
      <formula>0</formula>
    </cfRule>
    <cfRule type="cellIs" dxfId="474" priority="24" operator="greaterThan">
      <formula>0</formula>
    </cfRule>
  </conditionalFormatting>
  <conditionalFormatting sqref="V35">
    <cfRule type="cellIs" dxfId="473" priority="21" operator="lessThan">
      <formula>0</formula>
    </cfRule>
    <cfRule type="cellIs" dxfId="472" priority="22" operator="greaterThan">
      <formula>0</formula>
    </cfRule>
  </conditionalFormatting>
  <conditionalFormatting sqref="V41">
    <cfRule type="cellIs" dxfId="471" priority="19" operator="lessThan">
      <formula>0</formula>
    </cfRule>
    <cfRule type="cellIs" dxfId="470" priority="20" operator="greaterThan">
      <formula>0</formula>
    </cfRule>
  </conditionalFormatting>
  <conditionalFormatting sqref="V43">
    <cfRule type="cellIs" dxfId="469" priority="17" operator="lessThan">
      <formula>0</formula>
    </cfRule>
    <cfRule type="cellIs" dxfId="468" priority="18" operator="greaterThan">
      <formula>0</formula>
    </cfRule>
  </conditionalFormatting>
  <conditionalFormatting sqref="V45">
    <cfRule type="cellIs" dxfId="467" priority="15" operator="lessThan">
      <formula>0</formula>
    </cfRule>
    <cfRule type="cellIs" dxfId="466" priority="16" operator="greaterThan">
      <formula>0</formula>
    </cfRule>
  </conditionalFormatting>
  <conditionalFormatting sqref="V47">
    <cfRule type="cellIs" dxfId="465" priority="13" operator="lessThan">
      <formula>0</formula>
    </cfRule>
    <cfRule type="cellIs" dxfId="464" priority="14" operator="greaterThan">
      <formula>0</formula>
    </cfRule>
  </conditionalFormatting>
  <conditionalFormatting sqref="V53">
    <cfRule type="cellIs" dxfId="463" priority="11" operator="lessThan">
      <formula>0</formula>
    </cfRule>
    <cfRule type="cellIs" dxfId="462" priority="12" operator="greaterThan">
      <formula>0</formula>
    </cfRule>
  </conditionalFormatting>
  <conditionalFormatting sqref="V55">
    <cfRule type="cellIs" dxfId="461" priority="9" operator="lessThan">
      <formula>0</formula>
    </cfRule>
    <cfRule type="cellIs" dxfId="460" priority="10" operator="greaterThan">
      <formula>0</formula>
    </cfRule>
  </conditionalFormatting>
  <conditionalFormatting sqref="V72">
    <cfRule type="cellIs" dxfId="459" priority="7" operator="lessThan">
      <formula>0</formula>
    </cfRule>
    <cfRule type="cellIs" dxfId="458" priority="8" operator="greaterThan">
      <formula>0</formula>
    </cfRule>
  </conditionalFormatting>
  <conditionalFormatting sqref="V74">
    <cfRule type="cellIs" dxfId="457" priority="5" operator="lessThan">
      <formula>0</formula>
    </cfRule>
    <cfRule type="cellIs" dxfId="456" priority="6" operator="greaterThan">
      <formula>0</formula>
    </cfRule>
  </conditionalFormatting>
  <conditionalFormatting sqref="V76">
    <cfRule type="cellIs" dxfId="455" priority="3" operator="lessThan">
      <formula>0</formula>
    </cfRule>
    <cfRule type="cellIs" dxfId="454" priority="4" operator="greaterThan">
      <formula>0</formula>
    </cfRule>
  </conditionalFormatting>
  <conditionalFormatting sqref="V78">
    <cfRule type="cellIs" dxfId="453" priority="1" operator="lessThan">
      <formula>0</formula>
    </cfRule>
    <cfRule type="cellIs" dxfId="452" priority="2" operator="greaterThan">
      <formula>0</formula>
    </cfRule>
  </conditionalFormatting>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70C0"/>
  </sheetPr>
  <dimension ref="A1:X99"/>
  <sheetViews>
    <sheetView workbookViewId="0">
      <pane xSplit="9" ySplit="7" topLeftCell="J8" activePane="bottomRight" state="frozen"/>
      <selection pane="topRight" activeCell="J1" sqref="J1"/>
      <selection pane="bottomLeft" activeCell="A8" sqref="A8"/>
      <selection pane="bottomRight" activeCell="J8" sqref="J8"/>
    </sheetView>
  </sheetViews>
  <sheetFormatPr defaultRowHeight="12" customHeight="1" outlineLevelCol="1"/>
  <cols>
    <col min="1" max="1" width="4.625" style="3" customWidth="1"/>
    <col min="2" max="5" width="1.625" style="3" customWidth="1"/>
    <col min="6" max="12" width="9" style="3"/>
    <col min="13" max="14" width="0" style="3" hidden="1" customWidth="1" outlineLevel="1"/>
    <col min="15" max="15" width="9" style="3" collapsed="1"/>
    <col min="16" max="16" width="9.875" style="3" customWidth="1"/>
    <col min="17" max="20" width="9" style="3"/>
    <col min="24" max="24" width="15.125" bestFit="1" customWidth="1"/>
    <col min="25" max="25" width="14" bestFit="1" customWidth="1"/>
    <col min="26" max="26" width="12.875" bestFit="1" customWidth="1"/>
  </cols>
  <sheetData>
    <row r="1" spans="1:21" ht="12" customHeight="1">
      <c r="A1" s="2" t="str">
        <f ca="1">MID(CELL("filename",A1),FIND("]",CELL("filename",A1))+1,255)</f>
        <v>CAPEX</v>
      </c>
      <c r="B1" s="2"/>
      <c r="C1" s="2"/>
      <c r="D1" s="2"/>
      <c r="E1" s="2"/>
      <c r="F1" s="2"/>
      <c r="G1" s="2"/>
      <c r="H1" s="2"/>
      <c r="I1" s="2"/>
      <c r="J1" s="2"/>
      <c r="K1" s="2"/>
      <c r="L1" s="2"/>
      <c r="M1" s="2"/>
      <c r="N1" s="2"/>
      <c r="O1" s="2"/>
      <c r="P1" s="2"/>
      <c r="Q1" s="2"/>
      <c r="R1" s="2"/>
      <c r="S1" s="2"/>
      <c r="T1" s="2"/>
    </row>
    <row r="4" spans="1:21" ht="12" customHeight="1">
      <c r="A4" s="20" t="s">
        <v>21</v>
      </c>
      <c r="B4" s="21" t="s">
        <v>22</v>
      </c>
      <c r="C4" s="102"/>
      <c r="D4" s="102"/>
      <c r="E4" s="102"/>
      <c r="F4" s="102"/>
      <c r="G4" s="102"/>
      <c r="H4" s="102"/>
      <c r="I4" s="102"/>
      <c r="J4" s="102"/>
      <c r="K4" s="102"/>
      <c r="L4" s="102"/>
      <c r="M4" s="102"/>
      <c r="N4" s="102"/>
      <c r="O4" s="102"/>
      <c r="P4" s="102"/>
      <c r="Q4" s="102"/>
      <c r="R4" s="102"/>
      <c r="S4" s="102"/>
      <c r="T4" s="102"/>
    </row>
    <row r="6" spans="1:21" ht="12" customHeight="1">
      <c r="B6" s="24" t="s">
        <v>75</v>
      </c>
      <c r="C6" s="24"/>
      <c r="D6" s="24"/>
      <c r="E6" s="24"/>
      <c r="F6" s="24"/>
      <c r="G6" s="24"/>
      <c r="H6" s="24"/>
      <c r="I6" s="24"/>
      <c r="J6" s="25" t="s">
        <v>23</v>
      </c>
      <c r="K6" s="26"/>
      <c r="L6" s="26"/>
      <c r="M6" s="27"/>
      <c r="N6" s="25" t="s">
        <v>24</v>
      </c>
      <c r="O6" s="26"/>
      <c r="P6" s="26"/>
      <c r="Q6" s="26"/>
      <c r="R6" s="26"/>
      <c r="S6" s="26"/>
      <c r="T6" s="26"/>
    </row>
    <row r="7" spans="1:21" ht="12" customHeight="1">
      <c r="B7" s="28"/>
      <c r="C7" s="28"/>
      <c r="D7" s="28"/>
      <c r="E7" s="28"/>
      <c r="F7" s="28"/>
      <c r="G7" s="28"/>
      <c r="H7" s="28"/>
      <c r="I7" s="28"/>
      <c r="J7" s="29" t="s">
        <v>69</v>
      </c>
      <c r="K7" s="30" t="s">
        <v>27</v>
      </c>
      <c r="L7" s="10" t="s">
        <v>60</v>
      </c>
      <c r="M7" s="31" t="s">
        <v>5104</v>
      </c>
      <c r="N7" s="29" t="s">
        <v>5174</v>
      </c>
      <c r="O7" s="30" t="s">
        <v>70</v>
      </c>
      <c r="P7" s="30" t="s">
        <v>71</v>
      </c>
      <c r="Q7" s="30" t="s">
        <v>72</v>
      </c>
      <c r="R7" s="30" t="s">
        <v>73</v>
      </c>
      <c r="S7" s="30" t="s">
        <v>74</v>
      </c>
      <c r="T7" s="30" t="s">
        <v>5102</v>
      </c>
    </row>
    <row r="8" spans="1:21" s="113" customFormat="1" ht="12" customHeight="1">
      <c r="A8" s="32"/>
      <c r="B8" s="32" t="s">
        <v>6030</v>
      </c>
      <c r="C8" s="32"/>
      <c r="D8" s="32"/>
      <c r="E8" s="32"/>
      <c r="F8" s="32"/>
      <c r="G8" s="32"/>
      <c r="H8" s="32"/>
      <c r="I8" s="32"/>
      <c r="J8" s="736">
        <f>J9+J13+J30</f>
        <v>78270.213950999998</v>
      </c>
      <c r="K8" s="735">
        <f t="shared" ref="K8:M8" si="0">K9+K13+K30</f>
        <v>97708.067601999996</v>
      </c>
      <c r="L8" s="735">
        <f t="shared" si="0"/>
        <v>90735.782047999994</v>
      </c>
      <c r="M8" s="2184">
        <f t="shared" si="0"/>
        <v>96906.802611000006</v>
      </c>
      <c r="N8" s="36">
        <f t="shared" ref="N8:T8" si="1">N9+N13+N30</f>
        <v>40188.821793092677</v>
      </c>
      <c r="O8" s="36">
        <f t="shared" si="1"/>
        <v>137095.62440409267</v>
      </c>
      <c r="P8" s="4957">
        <f t="shared" si="1"/>
        <v>147645.87447191557</v>
      </c>
      <c r="Q8" s="4957">
        <f t="shared" si="1"/>
        <v>129308.46591432448</v>
      </c>
      <c r="R8" s="4957">
        <f t="shared" si="1"/>
        <v>109872.55149023533</v>
      </c>
      <c r="S8" s="4957">
        <f t="shared" si="1"/>
        <v>130980.62907014199</v>
      </c>
      <c r="T8" s="4957">
        <f t="shared" si="1"/>
        <v>130980.62907014199</v>
      </c>
      <c r="U8" s="289" t="s">
        <v>6716</v>
      </c>
    </row>
    <row r="9" spans="1:21" ht="12" customHeight="1">
      <c r="C9" s="3" t="s">
        <v>1508</v>
      </c>
      <c r="J9" s="4024">
        <f>SUM(J10:J12)</f>
        <v>69232.630156999992</v>
      </c>
      <c r="K9" s="4021">
        <f t="shared" ref="K9:M9" si="2">SUM(K10:K12)</f>
        <v>96697.819271999993</v>
      </c>
      <c r="L9" s="4021">
        <f t="shared" si="2"/>
        <v>83688.781562999997</v>
      </c>
      <c r="M9" s="2185">
        <f t="shared" si="2"/>
        <v>96461.463445000001</v>
      </c>
      <c r="N9" s="248">
        <f>O9-M9</f>
        <v>36952.536554999999</v>
      </c>
      <c r="O9" s="105">
        <f>CAPEX계획!H27*100+O12</f>
        <v>133414</v>
      </c>
      <c r="P9" s="4879">
        <f>SUM(P10:P12)</f>
        <v>123614</v>
      </c>
      <c r="Q9" s="4879">
        <f t="shared" ref="Q9:T9" si="3">SUM(Q10:Q12)</f>
        <v>125914</v>
      </c>
      <c r="R9" s="4879">
        <f t="shared" si="3"/>
        <v>102914</v>
      </c>
      <c r="S9" s="4879">
        <f t="shared" si="3"/>
        <v>121463.99999999999</v>
      </c>
      <c r="T9" s="4879">
        <f t="shared" si="3"/>
        <v>121463.99999999999</v>
      </c>
    </row>
    <row r="10" spans="1:21" ht="12" customHeight="1">
      <c r="D10" s="3" t="s">
        <v>1455</v>
      </c>
      <c r="J10" s="4024">
        <f>-별도FS_본체!W22/10^6</f>
        <v>67246.593884999995</v>
      </c>
      <c r="K10" s="4021">
        <f>-별도FS_본체!X22/10^6</f>
        <v>93443.943171999999</v>
      </c>
      <c r="L10" s="4021">
        <f>-별도FS_본체!Y22/10^6</f>
        <v>79612.289063000004</v>
      </c>
      <c r="M10" s="2185">
        <f>유무형자산명세서!E11/10^6-유무형자산명세서!F10/10^6</f>
        <v>93576.110444999998</v>
      </c>
      <c r="N10" s="248">
        <f t="shared" ref="N10:N11" si="4">O10-M10</f>
        <v>35913.809409323512</v>
      </c>
      <c r="O10" s="105">
        <f>CAPEX계획!H$27*100*$M10/SUM($M$10:$M$11)</f>
        <v>129489.91985432351</v>
      </c>
      <c r="P10" s="4879">
        <f>CAPEX계획!I$27*100*$M10/SUM($M$10:$M$11)</f>
        <v>119847.05348219303</v>
      </c>
      <c r="Q10" s="4879">
        <f>CAPEX계획!J$27*100*$M10/SUM($M$10:$M$11)</f>
        <v>122110.17518177468</v>
      </c>
      <c r="R10" s="4879">
        <f>CAPEX계획!K$27*100*$M10/SUM($M$10:$M$11)+Assumption!R434</f>
        <v>99478.958185958254</v>
      </c>
      <c r="S10" s="4879">
        <f>AVERAGE(O10:R10)</f>
        <v>117731.52667606236</v>
      </c>
      <c r="T10" s="4879">
        <f>S10</f>
        <v>117731.52667606236</v>
      </c>
    </row>
    <row r="11" spans="1:21" ht="12" customHeight="1">
      <c r="D11" s="3" t="s">
        <v>1457</v>
      </c>
      <c r="J11" s="4024">
        <f>-별도FS_본체!W23/10^6</f>
        <v>1986.0362720000001</v>
      </c>
      <c r="K11" s="4021">
        <f>-별도FS_본체!X23/10^6</f>
        <v>1298.8761</v>
      </c>
      <c r="L11" s="4021">
        <f>-별도FS_본체!Y23/10^6</f>
        <v>2262.4924999999998</v>
      </c>
      <c r="M11" s="2185">
        <f>유무형자산명세서!D47/10^6</f>
        <v>1524.8530000000001</v>
      </c>
      <c r="N11" s="248">
        <f t="shared" si="4"/>
        <v>585.22714567648836</v>
      </c>
      <c r="O11" s="105">
        <f>CAPEX계획!H$27*100*$M11/SUM($M$10:$M$11)</f>
        <v>2110.0801456764884</v>
      </c>
      <c r="P11" s="4879">
        <f>CAPEX계획!I$27*100*$M11/SUM($M$10:$M$11)</f>
        <v>1952.9465178069627</v>
      </c>
      <c r="Q11" s="4879">
        <f>CAPEX계획!J$27*100*$M11/SUM($M$10:$M$11)</f>
        <v>1989.8248182253208</v>
      </c>
      <c r="R11" s="4879">
        <f>CAPEX계획!K$27*100*$M11/SUM($M$10:$M$11)</f>
        <v>1621.0418140417401</v>
      </c>
      <c r="S11" s="4879">
        <f>AVERAGE(O11:R11)</f>
        <v>1918.4733239376278</v>
      </c>
      <c r="T11" s="4879">
        <f>S11</f>
        <v>1918.4733239376278</v>
      </c>
    </row>
    <row r="12" spans="1:21" ht="12" customHeight="1">
      <c r="D12" s="3" t="s">
        <v>1545</v>
      </c>
      <c r="J12" s="4024">
        <v>0</v>
      </c>
      <c r="K12" s="4021">
        <f>별도FS_본체!AC17</f>
        <v>1955</v>
      </c>
      <c r="L12" s="4021">
        <f>별도FS_본체!AB17</f>
        <v>1814</v>
      </c>
      <c r="M12" s="2185">
        <f>L12*0.75</f>
        <v>1360.5</v>
      </c>
      <c r="N12" s="105">
        <f>M12/3</f>
        <v>453.5</v>
      </c>
      <c r="O12" s="105">
        <f>SUM(M12:N12)</f>
        <v>1814</v>
      </c>
      <c r="P12" s="4879">
        <f>O12</f>
        <v>1814</v>
      </c>
      <c r="Q12" s="4879">
        <f t="shared" ref="Q12:T12" si="5">P12</f>
        <v>1814</v>
      </c>
      <c r="R12" s="4879">
        <f t="shared" si="5"/>
        <v>1814</v>
      </c>
      <c r="S12" s="4879">
        <f t="shared" si="5"/>
        <v>1814</v>
      </c>
      <c r="T12" s="4879">
        <f t="shared" si="5"/>
        <v>1814</v>
      </c>
    </row>
    <row r="13" spans="1:21" ht="12" customHeight="1">
      <c r="C13" s="3" t="s">
        <v>6027</v>
      </c>
      <c r="J13" s="4024">
        <f>J14+J18+J22+J26</f>
        <v>10487.310485000002</v>
      </c>
      <c r="K13" s="4021">
        <f t="shared" ref="K13:M13" si="6">K14+K18+K22+K26</f>
        <v>3858.5269870000002</v>
      </c>
      <c r="L13" s="4021">
        <f t="shared" si="6"/>
        <v>9612.4265180000002</v>
      </c>
      <c r="M13" s="2185">
        <f t="shared" si="6"/>
        <v>2819.082269</v>
      </c>
      <c r="N13" s="248">
        <f>O13-M13</f>
        <v>4147.310039</v>
      </c>
      <c r="O13" s="248">
        <f>O14+O18+O22+O26</f>
        <v>6966.3923079999995</v>
      </c>
      <c r="P13" s="4958">
        <f t="shared" ref="P13:T13" si="7">P14+P18+P22+P26</f>
        <v>27072.031999999999</v>
      </c>
      <c r="Q13" s="4958">
        <f t="shared" si="7"/>
        <v>6492.0319999999992</v>
      </c>
      <c r="R13" s="4958">
        <f t="shared" si="7"/>
        <v>9482.0320000000011</v>
      </c>
      <c r="S13" s="4958">
        <f t="shared" si="7"/>
        <v>12503.122077</v>
      </c>
      <c r="T13" s="4958">
        <f t="shared" si="7"/>
        <v>12503.122077</v>
      </c>
      <c r="U13" s="289" t="s">
        <v>6716</v>
      </c>
    </row>
    <row r="14" spans="1:21" ht="12" customHeight="1">
      <c r="D14" s="3" t="s">
        <v>1480</v>
      </c>
      <c r="J14" s="4024">
        <f>J15+J16+J17</f>
        <v>1458.5086739999999</v>
      </c>
      <c r="K14" s="4021">
        <f t="shared" ref="K14:M14" si="8">K15+K16+K17</f>
        <v>999.78959000000009</v>
      </c>
      <c r="L14" s="4021">
        <f t="shared" si="8"/>
        <v>782.12166100000002</v>
      </c>
      <c r="M14" s="2185">
        <f t="shared" si="8"/>
        <v>576.59222</v>
      </c>
      <c r="N14" s="248">
        <f>N15+N16+N17</f>
        <v>2926.8887799999998</v>
      </c>
      <c r="O14" s="248">
        <f>CAPEX계획!H41*100+O17</f>
        <v>3503.4809999999998</v>
      </c>
      <c r="P14" s="4958">
        <f>CAPEX계획!I41*100+P17</f>
        <v>14193.481</v>
      </c>
      <c r="Q14" s="4958">
        <f>CAPEX계획!J41*100+Q17</f>
        <v>2213.4809999999998</v>
      </c>
      <c r="R14" s="4958">
        <f>CAPEX계획!K41*100+R17</f>
        <v>703.48099999999999</v>
      </c>
      <c r="S14" s="4879">
        <f>SUM(S15:S17)</f>
        <v>5153.4810000000007</v>
      </c>
      <c r="T14" s="4879">
        <f>SUM(T15:T17)</f>
        <v>5153.4810000000007</v>
      </c>
      <c r="U14" s="289"/>
    </row>
    <row r="15" spans="1:21" ht="12" customHeight="1">
      <c r="E15" s="3" t="s">
        <v>1455</v>
      </c>
      <c r="J15" s="4024">
        <f>-종속회사FS!D11/10^6</f>
        <v>1453.287474</v>
      </c>
      <c r="K15" s="4021">
        <f>-종속회사FS!E11/10^6</f>
        <v>897.00359000000003</v>
      </c>
      <c r="L15" s="4021">
        <f>-종속회사FS!F11/10^6</f>
        <v>678.64066100000002</v>
      </c>
      <c r="M15" s="2185">
        <f>유무형자산명세서!J119/10^6</f>
        <v>426.22147000000001</v>
      </c>
      <c r="N15" s="248">
        <f>O15-M15</f>
        <v>2901.0185299999998</v>
      </c>
      <c r="O15" s="248">
        <f>CAPEX계획!H41*100-O16</f>
        <v>3327.24</v>
      </c>
      <c r="P15" s="4958">
        <f>CAPEX계획!I41*100*$M15/SUM($M$15:$M$16)</f>
        <v>12035.437933797422</v>
      </c>
      <c r="Q15" s="4958">
        <f>CAPEX계획!J41*100*$M15/SUM($M$15:$M$16)</f>
        <v>1802.3260497028077</v>
      </c>
      <c r="R15" s="4958">
        <f>CAPEX계획!K41*100*$M15/SUM($M$15:$M$16)</f>
        <v>512.50977716667512</v>
      </c>
      <c r="S15" s="4879">
        <f>AVERAGE(O15:R15)</f>
        <v>4419.3784401667272</v>
      </c>
      <c r="T15" s="4879">
        <f>S15</f>
        <v>4419.3784401667272</v>
      </c>
      <c r="U15" s="289"/>
    </row>
    <row r="16" spans="1:21" ht="12" customHeight="1">
      <c r="E16" s="3" t="s">
        <v>1457</v>
      </c>
      <c r="J16" s="4024">
        <f>-종속회사FS!D13/10^6</f>
        <v>5.2211999999999996</v>
      </c>
      <c r="K16" s="4021">
        <f>-종속회사FS!E13/10^6</f>
        <v>0.49</v>
      </c>
      <c r="L16" s="4021">
        <f>-종속회사FS!F13/10^6</f>
        <v>0</v>
      </c>
      <c r="M16" s="2185">
        <f>유무형자산명세서!H123/10^6</f>
        <v>72.760000000000005</v>
      </c>
      <c r="N16" s="248">
        <f>O16-M16</f>
        <v>0</v>
      </c>
      <c r="O16" s="248">
        <f>M16</f>
        <v>72.760000000000005</v>
      </c>
      <c r="P16" s="4958">
        <f>CAPEX계획!I41*100*$M16/SUM($M$15:$M$16)</f>
        <v>2054.5620662025785</v>
      </c>
      <c r="Q16" s="4958">
        <f>CAPEX계획!J41*100*$M16/SUM($M$15:$M$16)</f>
        <v>307.67395029719239</v>
      </c>
      <c r="R16" s="4958">
        <f>CAPEX계획!K41*100*$M16/SUM($M$15:$M$16)</f>
        <v>87.49022283332485</v>
      </c>
      <c r="S16" s="4879">
        <f>AVERAGE(O16:R16)</f>
        <v>630.62155983327398</v>
      </c>
      <c r="T16" s="4879">
        <f>S16</f>
        <v>630.62155983327398</v>
      </c>
      <c r="U16" s="289"/>
    </row>
    <row r="17" spans="1:21" ht="12" customHeight="1">
      <c r="E17" s="3" t="s">
        <v>1545</v>
      </c>
      <c r="J17" s="4024">
        <f>CAPEX계획!AF5</f>
        <v>0</v>
      </c>
      <c r="K17" s="4021">
        <f>CAPEX계획!AG5</f>
        <v>102.29600000000001</v>
      </c>
      <c r="L17" s="4021">
        <f>CAPEX계획!AH5</f>
        <v>103.48099999999999</v>
      </c>
      <c r="M17" s="2185">
        <f>L17*0.75</f>
        <v>77.610749999999996</v>
      </c>
      <c r="N17" s="248">
        <f>M17/3</f>
        <v>25.870249999999999</v>
      </c>
      <c r="O17" s="248">
        <f>N17+M17</f>
        <v>103.48099999999999</v>
      </c>
      <c r="P17" s="4958">
        <f>O17</f>
        <v>103.48099999999999</v>
      </c>
      <c r="Q17" s="4958">
        <f t="shared" ref="Q17:T17" si="9">P17</f>
        <v>103.48099999999999</v>
      </c>
      <c r="R17" s="4958">
        <f t="shared" si="9"/>
        <v>103.48099999999999</v>
      </c>
      <c r="S17" s="4958">
        <f t="shared" si="9"/>
        <v>103.48099999999999</v>
      </c>
      <c r="T17" s="4958">
        <f t="shared" si="9"/>
        <v>103.48099999999999</v>
      </c>
      <c r="U17" s="289"/>
    </row>
    <row r="18" spans="1:21" ht="12" customHeight="1">
      <c r="D18" s="3" t="s">
        <v>3238</v>
      </c>
      <c r="J18" s="4024">
        <f>J19+J20+J21</f>
        <v>8232.6624100000008</v>
      </c>
      <c r="K18" s="4021">
        <f t="shared" ref="K18:M18" si="10">K19+K20+K21</f>
        <v>2710.896882</v>
      </c>
      <c r="L18" s="4021">
        <f t="shared" si="10"/>
        <v>8019.1609799999997</v>
      </c>
      <c r="M18" s="2185">
        <f t="shared" si="10"/>
        <v>2122.9332410000002</v>
      </c>
      <c r="N18" s="248">
        <f>N19+N20+N21</f>
        <v>1205.3557589999996</v>
      </c>
      <c r="O18" s="248">
        <f>CAPEX계획!H40*100+O21</f>
        <v>3328.2889999999998</v>
      </c>
      <c r="P18" s="4958">
        <f>CAPEX계획!I40*100+P21</f>
        <v>12728.289000000001</v>
      </c>
      <c r="Q18" s="4958">
        <f>CAPEX계획!J40*100+Q21</f>
        <v>3458.2889999999998</v>
      </c>
      <c r="R18" s="4958">
        <f>CAPEX계획!K40*100+R21</f>
        <v>8678.2890000000007</v>
      </c>
      <c r="S18" s="4958">
        <f>SUM(S19:S21)</f>
        <v>7048.2889999999998</v>
      </c>
      <c r="T18" s="4958">
        <f>SUM(T19:T21)</f>
        <v>7048.2889999999998</v>
      </c>
      <c r="U18" s="289"/>
    </row>
    <row r="19" spans="1:21" ht="12" customHeight="1">
      <c r="E19" s="3" t="s">
        <v>1455</v>
      </c>
      <c r="J19" s="4024">
        <f>-종속회사FS!D34/10^6</f>
        <v>8232.6624100000008</v>
      </c>
      <c r="K19" s="4021">
        <f>-종속회사FS!E34/10^6</f>
        <v>2547.762882</v>
      </c>
      <c r="L19" s="4021">
        <f>-종속회사FS!F34/10^6</f>
        <v>7757.97858</v>
      </c>
      <c r="M19" s="2185">
        <f>(유무형자산명세서!I138-유무형자산명세서!J137-유무형자산명세서!I133)/10^6</f>
        <v>1929.0364910000001</v>
      </c>
      <c r="N19" s="248">
        <f>O19-M19</f>
        <v>1123.8532602671464</v>
      </c>
      <c r="O19" s="248">
        <f>CAPEX계획!H40*100*$M19/SUM($M$19:$M$20)</f>
        <v>3052.8897512671465</v>
      </c>
      <c r="P19" s="4958">
        <f>CAPEX계획!I40*100*$M19/SUM($M$19:$M$20)</f>
        <v>12134.270656935241</v>
      </c>
      <c r="Q19" s="4958">
        <f>CAPEX계획!J40*100*$M19/SUM($M$19:$M$20)</f>
        <v>3178.483316983833</v>
      </c>
      <c r="R19" s="4958">
        <f>CAPEX계획!K40*100*$M19/SUM($M$19:$M$20)</f>
        <v>8221.5480326846264</v>
      </c>
      <c r="S19" s="4879">
        <f>AVERAGE(O19:R19)</f>
        <v>6646.7979394677122</v>
      </c>
      <c r="T19" s="4879">
        <f>S19</f>
        <v>6646.7979394677122</v>
      </c>
      <c r="U19" s="289"/>
    </row>
    <row r="20" spans="1:21" ht="12" customHeight="1">
      <c r="E20" s="3" t="s">
        <v>1457</v>
      </c>
      <c r="J20" s="4024">
        <f>-종속회사FS!D36/10^6</f>
        <v>0</v>
      </c>
      <c r="K20" s="4021">
        <f>-종속회사FS!E36/10^6</f>
        <v>0</v>
      </c>
      <c r="L20" s="4021">
        <f>-종속회사FS!F36/10^6</f>
        <v>92.8934</v>
      </c>
      <c r="M20" s="2185">
        <f>유무형자산명세서!I146/10^6</f>
        <v>67.680000000000007</v>
      </c>
      <c r="N20" s="248">
        <f>O20-M20</f>
        <v>39.430248732853272</v>
      </c>
      <c r="O20" s="248">
        <f>CAPEX계획!H40*100*$M20/SUM($M$19:$M$20)</f>
        <v>107.11024873285328</v>
      </c>
      <c r="P20" s="4958">
        <f>CAPEX계획!I40*100*$M20/SUM($M$19:$M$20)</f>
        <v>425.72934306475861</v>
      </c>
      <c r="Q20" s="4958">
        <f>CAPEX계획!J40*100*$M20/SUM($M$19:$M$20)</f>
        <v>111.51668301616687</v>
      </c>
      <c r="R20" s="4958">
        <f>CAPEX계획!K40*100*$M20/SUM($M$19:$M$20)</f>
        <v>288.45196731537385</v>
      </c>
      <c r="S20" s="4879">
        <f>AVERAGE(O20:R20)</f>
        <v>233.20206053228816</v>
      </c>
      <c r="T20" s="4879">
        <f>S20</f>
        <v>233.20206053228816</v>
      </c>
      <c r="U20" s="289"/>
    </row>
    <row r="21" spans="1:21" ht="12" customHeight="1">
      <c r="E21" s="3" t="s">
        <v>1545</v>
      </c>
      <c r="J21" s="4024">
        <f>CAPEX계획!AF8</f>
        <v>0</v>
      </c>
      <c r="K21" s="4021">
        <f>CAPEX계획!AG8</f>
        <v>163.13399999999999</v>
      </c>
      <c r="L21" s="4021">
        <f>CAPEX계획!AH8</f>
        <v>168.28899999999999</v>
      </c>
      <c r="M21" s="2185">
        <f>L21*0.75</f>
        <v>126.21674999999999</v>
      </c>
      <c r="N21" s="248">
        <f>M21/3</f>
        <v>42.072249999999997</v>
      </c>
      <c r="O21" s="248">
        <f>SUM(M21:N21)</f>
        <v>168.28899999999999</v>
      </c>
      <c r="P21" s="4958">
        <f>O21</f>
        <v>168.28899999999999</v>
      </c>
      <c r="Q21" s="4958">
        <f t="shared" ref="Q21:T21" si="11">P21</f>
        <v>168.28899999999999</v>
      </c>
      <c r="R21" s="4958">
        <f t="shared" si="11"/>
        <v>168.28899999999999</v>
      </c>
      <c r="S21" s="4958">
        <f t="shared" si="11"/>
        <v>168.28899999999999</v>
      </c>
      <c r="T21" s="4958">
        <f t="shared" si="11"/>
        <v>168.28899999999999</v>
      </c>
      <c r="U21" s="289"/>
    </row>
    <row r="22" spans="1:21" ht="12" customHeight="1">
      <c r="D22" s="3" t="s">
        <v>1560</v>
      </c>
      <c r="J22" s="4024">
        <f>J23+J24+J25</f>
        <v>695.44021399999997</v>
      </c>
      <c r="K22" s="4021">
        <f t="shared" ref="K22:M22" si="12">K23+K24+K25</f>
        <v>0.1316250000000001</v>
      </c>
      <c r="L22" s="4021">
        <f t="shared" si="12"/>
        <v>667.03400099999999</v>
      </c>
      <c r="M22" s="2185">
        <f t="shared" si="12"/>
        <v>0</v>
      </c>
      <c r="N22" s="14">
        <f>N23+N24+N25</f>
        <v>0</v>
      </c>
      <c r="O22" s="14">
        <f>CAPEX계획!H43*100</f>
        <v>0</v>
      </c>
      <c r="P22" s="4959">
        <f>CAPEX계획!I43*100</f>
        <v>0</v>
      </c>
      <c r="Q22" s="4959">
        <f>CAPEX계획!J43*100</f>
        <v>700</v>
      </c>
      <c r="R22" s="4959">
        <f>CAPEX계획!K43*100</f>
        <v>0</v>
      </c>
      <c r="S22" s="4959">
        <f>SUM(S23:S25)</f>
        <v>175</v>
      </c>
      <c r="T22" s="4959">
        <f>SUM(T23:T25)</f>
        <v>175</v>
      </c>
      <c r="U22" s="289"/>
    </row>
    <row r="23" spans="1:21" ht="12" customHeight="1">
      <c r="E23" s="3" t="s">
        <v>1455</v>
      </c>
      <c r="J23" s="4024">
        <f>-종속회사FS!D81/10^6</f>
        <v>695.44021399999997</v>
      </c>
      <c r="K23" s="4021">
        <f>-종속회사FS!E81/10^6</f>
        <v>-3.5249259999999998</v>
      </c>
      <c r="L23" s="4021">
        <f>-종속회사FS!F81/10^6</f>
        <v>667.03400099999999</v>
      </c>
      <c r="M23" s="2185">
        <v>0</v>
      </c>
      <c r="N23" s="14">
        <v>0</v>
      </c>
      <c r="O23" s="14">
        <v>0</v>
      </c>
      <c r="P23" s="4959">
        <v>0</v>
      </c>
      <c r="Q23" s="4959">
        <f>Q22</f>
        <v>700</v>
      </c>
      <c r="R23" s="4959">
        <v>0</v>
      </c>
      <c r="S23" s="4959">
        <f>AVERAGE(O23:R23)</f>
        <v>175</v>
      </c>
      <c r="T23" s="4959">
        <f>S23</f>
        <v>175</v>
      </c>
      <c r="U23" s="289"/>
    </row>
    <row r="24" spans="1:21" ht="12" customHeight="1">
      <c r="E24" s="3" t="s">
        <v>1457</v>
      </c>
      <c r="J24" s="4024">
        <f>-종속회사FS!D82/10^6</f>
        <v>0</v>
      </c>
      <c r="K24" s="4021">
        <f>-종속회사FS!E82/10^6</f>
        <v>3.6565509999999999</v>
      </c>
      <c r="L24" s="4021">
        <f>-종속회사FS!F82/10^6</f>
        <v>0</v>
      </c>
      <c r="M24" s="2185">
        <v>0</v>
      </c>
      <c r="N24" s="14">
        <v>0</v>
      </c>
      <c r="O24" s="14">
        <v>0</v>
      </c>
      <c r="P24" s="4959">
        <v>0</v>
      </c>
      <c r="Q24" s="4959">
        <v>0</v>
      </c>
      <c r="R24" s="4959">
        <v>0</v>
      </c>
      <c r="S24" s="4959">
        <f>AVERAGE(O24:R24)</f>
        <v>0</v>
      </c>
      <c r="T24" s="4959">
        <f>S24</f>
        <v>0</v>
      </c>
      <c r="U24" s="289"/>
    </row>
    <row r="25" spans="1:21" ht="12" customHeight="1">
      <c r="E25" s="3" t="s">
        <v>1545</v>
      </c>
      <c r="J25" s="4024">
        <f>IF(CAPEX계획!AF14="n.p",0,CAPEX계획!AF14)</f>
        <v>0</v>
      </c>
      <c r="K25" s="4021">
        <f>IF(CAPEX계획!AG14="n.p",0,CAPEX계획!AG14)</f>
        <v>0</v>
      </c>
      <c r="L25" s="4021">
        <f>IF(CAPEX계획!AH14="n.p",0,CAPEX계획!AH14)</f>
        <v>0</v>
      </c>
      <c r="M25" s="2185">
        <f>L25*0.75</f>
        <v>0</v>
      </c>
      <c r="N25" s="14">
        <v>0</v>
      </c>
      <c r="O25" s="14">
        <v>0</v>
      </c>
      <c r="P25" s="4959">
        <v>0</v>
      </c>
      <c r="Q25" s="4959">
        <v>0</v>
      </c>
      <c r="R25" s="4959">
        <v>0</v>
      </c>
      <c r="S25" s="4959">
        <f t="shared" ref="S25:T25" si="13">R25</f>
        <v>0</v>
      </c>
      <c r="T25" s="4959">
        <f t="shared" si="13"/>
        <v>0</v>
      </c>
      <c r="U25" s="289"/>
    </row>
    <row r="26" spans="1:21" ht="12" customHeight="1">
      <c r="D26" s="3" t="s">
        <v>1481</v>
      </c>
      <c r="J26" s="4024">
        <f>J27+J28+J29</f>
        <v>100.69918699999999</v>
      </c>
      <c r="K26" s="4021">
        <f t="shared" ref="K26:M26" si="14">K27+K28+K29</f>
        <v>147.70889</v>
      </c>
      <c r="L26" s="4021">
        <f t="shared" si="14"/>
        <v>144.10987599999999</v>
      </c>
      <c r="M26" s="2185">
        <f t="shared" si="14"/>
        <v>119.556808</v>
      </c>
      <c r="N26" s="14">
        <f>N27+N28+N29</f>
        <v>15.0655</v>
      </c>
      <c r="O26" s="14">
        <f>O27+O28+O29</f>
        <v>134.622308</v>
      </c>
      <c r="P26" s="4959">
        <f>CAPEX계획!I42*100+P29</f>
        <v>150.262</v>
      </c>
      <c r="Q26" s="4959">
        <f>CAPEX계획!J42*100+Q29</f>
        <v>120.262</v>
      </c>
      <c r="R26" s="4959">
        <f>CAPEX계획!K42*100+R29</f>
        <v>100.262</v>
      </c>
      <c r="S26" s="4959">
        <f>S27+S28+S29</f>
        <v>126.35207700000001</v>
      </c>
      <c r="T26" s="4959">
        <f>T27+T28+T29</f>
        <v>126.35207700000001</v>
      </c>
      <c r="U26" s="289"/>
    </row>
    <row r="27" spans="1:21" ht="12" customHeight="1">
      <c r="E27" s="3" t="s">
        <v>1455</v>
      </c>
      <c r="J27" s="4024">
        <f>-종속회사FS!D54/10^6</f>
        <v>100.69918699999999</v>
      </c>
      <c r="K27" s="4021">
        <f>-종속회사FS!E54/10^6</f>
        <v>91.106890000000007</v>
      </c>
      <c r="L27" s="4021">
        <f>-종속회사FS!F54/10^6</f>
        <v>83.847875999999999</v>
      </c>
      <c r="M27" s="2185">
        <f>SUM(유무형자산명세서!E159:E162)/10^6</f>
        <v>74.360308000000003</v>
      </c>
      <c r="N27" s="14">
        <f>O27-M27</f>
        <v>0</v>
      </c>
      <c r="O27" s="14">
        <f>M27</f>
        <v>74.360308000000003</v>
      </c>
      <c r="P27" s="4959">
        <f>CAPEX계획!I42*100</f>
        <v>90</v>
      </c>
      <c r="Q27" s="4959">
        <f>CAPEX계획!J42*100</f>
        <v>60</v>
      </c>
      <c r="R27" s="4959">
        <f>CAPEX계획!K42*100</f>
        <v>40</v>
      </c>
      <c r="S27" s="4959">
        <f>AVERAGE(O27:R27)</f>
        <v>66.090077000000008</v>
      </c>
      <c r="T27" s="4959">
        <f>S27</f>
        <v>66.090077000000008</v>
      </c>
    </row>
    <row r="28" spans="1:21" ht="12" customHeight="1">
      <c r="E28" s="3" t="s">
        <v>1457</v>
      </c>
      <c r="J28" s="4024">
        <f>-종속회사FS!D56/10^6</f>
        <v>0</v>
      </c>
      <c r="K28" s="4021">
        <f>-종속회사FS!E56/10^6</f>
        <v>0</v>
      </c>
      <c r="L28" s="4021">
        <f>-종속회사FS!F56/10^6</f>
        <v>0</v>
      </c>
      <c r="M28" s="2185">
        <f>유무형자산명세서!E163/10^6</f>
        <v>0</v>
      </c>
      <c r="N28" s="14">
        <f>O28-M28</f>
        <v>0</v>
      </c>
      <c r="O28" s="14">
        <v>0</v>
      </c>
      <c r="P28" s="4959">
        <v>0</v>
      </c>
      <c r="Q28" s="4959">
        <v>0</v>
      </c>
      <c r="R28" s="4959">
        <v>0</v>
      </c>
      <c r="S28" s="4959">
        <v>0</v>
      </c>
      <c r="T28" s="4959">
        <v>0</v>
      </c>
    </row>
    <row r="29" spans="1:21" ht="12" customHeight="1">
      <c r="E29" s="3" t="s">
        <v>1545</v>
      </c>
      <c r="J29" s="4024">
        <f>CAPEX계획!AF11</f>
        <v>0</v>
      </c>
      <c r="K29" s="4021">
        <f>CAPEX계획!AG11</f>
        <v>56.601999999999997</v>
      </c>
      <c r="L29" s="4021">
        <f>CAPEX계획!AH11</f>
        <v>60.262</v>
      </c>
      <c r="M29" s="2185">
        <f>L29*0.75</f>
        <v>45.1965</v>
      </c>
      <c r="N29" s="14">
        <f>M29/3</f>
        <v>15.0655</v>
      </c>
      <c r="O29" s="14">
        <f>N29+M29</f>
        <v>60.262</v>
      </c>
      <c r="P29" s="4959">
        <f>O29</f>
        <v>60.262</v>
      </c>
      <c r="Q29" s="4959">
        <f t="shared" ref="Q29:T29" si="15">P29</f>
        <v>60.262</v>
      </c>
      <c r="R29" s="4959">
        <f t="shared" si="15"/>
        <v>60.262</v>
      </c>
      <c r="S29" s="4959">
        <f t="shared" si="15"/>
        <v>60.262</v>
      </c>
      <c r="T29" s="4959">
        <f t="shared" si="15"/>
        <v>60.262</v>
      </c>
    </row>
    <row r="30" spans="1:21" ht="12" customHeight="1">
      <c r="C30" s="3" t="s">
        <v>6707</v>
      </c>
      <c r="J30" s="4024">
        <f>-유무형자산명세서!C36/10^6</f>
        <v>-1449.7266910000001</v>
      </c>
      <c r="K30" s="4021">
        <f>-유무형자산명세서!D36/10^6</f>
        <v>-2848.2786569999998</v>
      </c>
      <c r="L30" s="4021">
        <f>-유무형자산명세서!E36/10^6</f>
        <v>-2565.4260330000002</v>
      </c>
      <c r="M30" s="2185">
        <f>-유무형자산명세서!F36/10^6</f>
        <v>-2373.7431029999998</v>
      </c>
      <c r="N30" s="105">
        <f>N32*N31</f>
        <v>-911.02480090732706</v>
      </c>
      <c r="O30" s="105">
        <f>O32*O31</f>
        <v>-3284.7679039073269</v>
      </c>
      <c r="P30" s="4879">
        <f t="shared" ref="P30:T30" si="16">P32*P31</f>
        <v>-3040.1575280844409</v>
      </c>
      <c r="Q30" s="4879">
        <f t="shared" si="16"/>
        <v>-3097.5660856755262</v>
      </c>
      <c r="R30" s="4879">
        <f t="shared" si="16"/>
        <v>-2523.4805097646708</v>
      </c>
      <c r="S30" s="4879">
        <f t="shared" si="16"/>
        <v>-2986.4930068579911</v>
      </c>
      <c r="T30" s="4879">
        <f t="shared" si="16"/>
        <v>-2986.4930068579911</v>
      </c>
    </row>
    <row r="31" spans="1:21" s="2511" customFormat="1" ht="12" customHeight="1">
      <c r="A31" s="11"/>
      <c r="B31" s="11"/>
      <c r="C31" s="11"/>
      <c r="D31" s="11" t="s">
        <v>6708</v>
      </c>
      <c r="E31" s="11"/>
      <c r="F31" s="11"/>
      <c r="G31" s="11"/>
      <c r="H31" s="11"/>
      <c r="I31" s="11"/>
      <c r="J31" s="3734">
        <f>J30/J32</f>
        <v>9.3296968991685603E-2</v>
      </c>
      <c r="K31" s="11">
        <f t="shared" ref="K31:M31" si="17">K30/K32</f>
        <v>8.1635838227931107E-2</v>
      </c>
      <c r="L31" s="11">
        <f t="shared" si="17"/>
        <v>9.1559685749233108E-2</v>
      </c>
      <c r="M31" s="3432">
        <f t="shared" si="17"/>
        <v>7.5055091889936157E-2</v>
      </c>
      <c r="N31" s="11">
        <f>M31</f>
        <v>7.5055091889936157E-2</v>
      </c>
      <c r="O31" s="11">
        <f t="shared" ref="O31:T31" si="18">N31</f>
        <v>7.5055091889936157E-2</v>
      </c>
      <c r="P31" s="4911">
        <f t="shared" si="18"/>
        <v>7.5055091889936157E-2</v>
      </c>
      <c r="Q31" s="4911">
        <f t="shared" si="18"/>
        <v>7.5055091889936157E-2</v>
      </c>
      <c r="R31" s="4911">
        <f t="shared" si="18"/>
        <v>7.5055091889936157E-2</v>
      </c>
      <c r="S31" s="4911">
        <f t="shared" si="18"/>
        <v>7.5055091889936157E-2</v>
      </c>
      <c r="T31" s="4911">
        <f t="shared" si="18"/>
        <v>7.5055091889936157E-2</v>
      </c>
    </row>
    <row r="32" spans="1:21" ht="12" customHeight="1">
      <c r="D32" s="3" t="s">
        <v>6709</v>
      </c>
      <c r="J32" s="4024">
        <f>-유무형자산명세서!C34/10^6</f>
        <v>-15538.840185999999</v>
      </c>
      <c r="K32" s="4021">
        <f>-유무형자산명세서!D34/10^6</f>
        <v>-34890.052197999998</v>
      </c>
      <c r="L32" s="4021">
        <f>-유무형자산명세서!E34/10^6</f>
        <v>-28019.165990000001</v>
      </c>
      <c r="M32" s="2185">
        <f>-유무형자산명세서!F34/10^6</f>
        <v>-31626.676394999999</v>
      </c>
      <c r="N32" s="105">
        <f>O32-M32</f>
        <v>-12138.081214307098</v>
      </c>
      <c r="O32" s="105">
        <f>-SUM(O10)*O33</f>
        <v>-43764.757609307097</v>
      </c>
      <c r="P32" s="4879">
        <f t="shared" ref="P32:T32" si="19">-SUM(P10)*P33</f>
        <v>-40505.679914996996</v>
      </c>
      <c r="Q32" s="4879">
        <f t="shared" si="19"/>
        <v>-41270.565496314674</v>
      </c>
      <c r="R32" s="4879">
        <f t="shared" si="19"/>
        <v>-33621.709683137895</v>
      </c>
      <c r="S32" s="4879">
        <f t="shared" si="19"/>
        <v>-39790.67817593916</v>
      </c>
      <c r="T32" s="4879">
        <f t="shared" si="19"/>
        <v>-39790.67817593916</v>
      </c>
    </row>
    <row r="33" spans="1:24" s="400" customFormat="1" ht="12" customHeight="1">
      <c r="A33" s="45"/>
      <c r="B33" s="361"/>
      <c r="C33" s="361"/>
      <c r="D33" s="361"/>
      <c r="E33" s="361" t="s">
        <v>6710</v>
      </c>
      <c r="F33" s="361"/>
      <c r="G33" s="361"/>
      <c r="H33" s="361"/>
      <c r="I33" s="361"/>
      <c r="J33" s="228">
        <f>-J32/J10</f>
        <v>0.2310725240979988</v>
      </c>
      <c r="K33" s="229">
        <f t="shared" ref="K33:M33" si="20">-K32/K10</f>
        <v>0.373379493776057</v>
      </c>
      <c r="L33" s="229">
        <f t="shared" si="20"/>
        <v>0.35194523759802271</v>
      </c>
      <c r="M33" s="2165">
        <f t="shared" si="20"/>
        <v>0.33797810407592005</v>
      </c>
      <c r="N33" s="229">
        <f>M33</f>
        <v>0.33797810407592005</v>
      </c>
      <c r="O33" s="229">
        <f>M33</f>
        <v>0.33797810407592005</v>
      </c>
      <c r="P33" s="4913">
        <f>O33</f>
        <v>0.33797810407592005</v>
      </c>
      <c r="Q33" s="4913">
        <f>P33</f>
        <v>0.33797810407592005</v>
      </c>
      <c r="R33" s="4913">
        <f>Q33</f>
        <v>0.33797810407592005</v>
      </c>
      <c r="S33" s="4913">
        <f>R33</f>
        <v>0.33797810407592005</v>
      </c>
      <c r="T33" s="4913">
        <f>S33</f>
        <v>0.33797810407592005</v>
      </c>
      <c r="U33" s="289" t="s">
        <v>5958</v>
      </c>
    </row>
    <row r="34" spans="1:24" s="400" customFormat="1" ht="12" customHeight="1">
      <c r="A34" s="45"/>
      <c r="B34" s="45"/>
      <c r="C34" s="45"/>
      <c r="D34" s="45"/>
      <c r="E34" s="45"/>
      <c r="F34" s="45"/>
      <c r="G34" s="45"/>
      <c r="H34" s="45"/>
      <c r="I34" s="45"/>
      <c r="J34" s="399"/>
      <c r="K34" s="399"/>
      <c r="L34" s="399"/>
      <c r="M34" s="399"/>
      <c r="N34" s="399"/>
      <c r="O34" s="399"/>
      <c r="P34" s="399"/>
      <c r="Q34" s="399"/>
      <c r="R34" s="399"/>
      <c r="S34" s="399"/>
      <c r="T34" s="399"/>
      <c r="U34" s="289"/>
    </row>
    <row r="35" spans="1:24" ht="12" customHeight="1">
      <c r="B35" s="24" t="s">
        <v>76</v>
      </c>
      <c r="C35" s="24"/>
      <c r="D35" s="24"/>
      <c r="E35" s="24"/>
      <c r="F35" s="24"/>
      <c r="G35" s="24"/>
      <c r="H35" s="24"/>
      <c r="I35" s="24"/>
      <c r="J35" s="25" t="s">
        <v>23</v>
      </c>
      <c r="K35" s="26"/>
      <c r="L35" s="26"/>
      <c r="M35" s="27"/>
      <c r="N35" s="26" t="s">
        <v>24</v>
      </c>
      <c r="O35" s="26"/>
      <c r="P35" s="26"/>
      <c r="Q35" s="26"/>
      <c r="R35" s="26"/>
      <c r="S35" s="26"/>
      <c r="T35" s="26"/>
    </row>
    <row r="36" spans="1:24" ht="12" customHeight="1">
      <c r="B36" s="28"/>
      <c r="C36" s="28"/>
      <c r="D36" s="28"/>
      <c r="E36" s="28"/>
      <c r="F36" s="28"/>
      <c r="G36" s="28"/>
      <c r="H36" s="28"/>
      <c r="I36" s="28"/>
      <c r="J36" s="29" t="s">
        <v>69</v>
      </c>
      <c r="K36" s="30" t="s">
        <v>27</v>
      </c>
      <c r="L36" s="10" t="s">
        <v>60</v>
      </c>
      <c r="M36" s="31" t="s">
        <v>5104</v>
      </c>
      <c r="N36" s="29" t="s">
        <v>5174</v>
      </c>
      <c r="O36" s="30" t="s">
        <v>70</v>
      </c>
      <c r="P36" s="30" t="s">
        <v>71</v>
      </c>
      <c r="Q36" s="30" t="s">
        <v>72</v>
      </c>
      <c r="R36" s="30" t="s">
        <v>73</v>
      </c>
      <c r="S36" s="30" t="s">
        <v>74</v>
      </c>
      <c r="T36" s="30" t="s">
        <v>5102</v>
      </c>
    </row>
    <row r="37" spans="1:24" s="113" customFormat="1" ht="12" customHeight="1">
      <c r="A37" s="32"/>
      <c r="B37" s="32" t="s">
        <v>76</v>
      </c>
      <c r="C37" s="32"/>
      <c r="D37" s="32"/>
      <c r="E37" s="32"/>
      <c r="F37" s="32"/>
      <c r="G37" s="32"/>
      <c r="H37" s="32"/>
      <c r="I37" s="32"/>
      <c r="J37" s="736">
        <f>SUM(CAPEX계획!AL18:AL20)</f>
        <v>72394</v>
      </c>
      <c r="K37" s="735">
        <f>SUM(CAPEX계획!AM18:AM20)</f>
        <v>79007</v>
      </c>
      <c r="L37" s="735">
        <f>SUM(CAPEX계획!AN18:AN20)</f>
        <v>78767</v>
      </c>
      <c r="M37" s="2184">
        <f>M38+M45+M52+M59+M66+M73</f>
        <v>60400.871017775513</v>
      </c>
      <c r="N37" s="3414">
        <f>N38+N45+N52+N59+N66+N73</f>
        <v>19181.567016572782</v>
      </c>
      <c r="O37" s="3414">
        <f t="shared" ref="O37:T37" si="21">O38+O45+O52+O59+O66+O73</f>
        <v>79582.438034348292</v>
      </c>
      <c r="P37" s="4960">
        <f t="shared" si="21"/>
        <v>85220.087366622538</v>
      </c>
      <c r="Q37" s="4960">
        <f t="shared" si="21"/>
        <v>87997.323220096703</v>
      </c>
      <c r="R37" s="4960">
        <f t="shared" si="21"/>
        <v>91609.730217154691</v>
      </c>
      <c r="S37" s="4960">
        <f t="shared" si="21"/>
        <v>97532.661934210308</v>
      </c>
      <c r="T37" s="4960">
        <f t="shared" si="21"/>
        <v>100487.55710237243</v>
      </c>
    </row>
    <row r="38" spans="1:24" ht="12" customHeight="1">
      <c r="C38" s="3" t="s">
        <v>65</v>
      </c>
      <c r="J38" s="4024">
        <f>J39+J41+J43</f>
        <v>63217</v>
      </c>
      <c r="K38" s="4021">
        <f t="shared" ref="K38:M38" si="22">K39+K41+K43</f>
        <v>68356</v>
      </c>
      <c r="L38" s="4021">
        <f t="shared" si="22"/>
        <v>68338</v>
      </c>
      <c r="M38" s="2185">
        <f t="shared" si="22"/>
        <v>52438.880537999998</v>
      </c>
      <c r="N38" s="14">
        <f>O38-M38</f>
        <v>16861.119462000002</v>
      </c>
      <c r="O38" s="14">
        <f>'사업계획D&amp;A'!D31*100+'사업계획D&amp;A'!C48*100+'사업계획D&amp;A'!C45*100</f>
        <v>69300</v>
      </c>
      <c r="P38" s="4959">
        <f>P39+P41+P43</f>
        <v>74798.28662410051</v>
      </c>
      <c r="Q38" s="4959">
        <f t="shared" ref="Q38:R38" si="23">Q39+Q41+Q43</f>
        <v>77063.094921020762</v>
      </c>
      <c r="R38" s="4959">
        <f t="shared" si="23"/>
        <v>80809.438731149625</v>
      </c>
      <c r="S38" s="4959">
        <f t="shared" ref="S38" si="24">S39+S41+S43</f>
        <v>86938.608708217784</v>
      </c>
      <c r="T38" s="4959">
        <f t="shared" ref="T38" si="25">T39+T41+T43</f>
        <v>90025.841156333045</v>
      </c>
      <c r="U38" s="289"/>
    </row>
    <row r="39" spans="1:24" ht="12" customHeight="1">
      <c r="D39" s="3" t="s">
        <v>1456</v>
      </c>
      <c r="J39" s="4024">
        <f>CAPEX계획!AL15</f>
        <v>61035</v>
      </c>
      <c r="K39" s="4021">
        <f>CAPEX계획!AM15</f>
        <v>63785</v>
      </c>
      <c r="L39" s="4021">
        <f>CAPEX계획!AN15</f>
        <v>63224</v>
      </c>
      <c r="M39" s="2185">
        <f>유무형자산명세서!E57/10^6</f>
        <v>48603.892518000001</v>
      </c>
      <c r="N39" s="14">
        <f>(M80+N10)*N40/4</f>
        <v>15739.504151233828</v>
      </c>
      <c r="O39" s="14">
        <f>N39+M39</f>
        <v>64343.396669233829</v>
      </c>
      <c r="P39" s="4959">
        <f>SUMIFS('사업계획D&amp;A'!E$3:E$15,'사업계획D&amp;A'!$C$3:$C$15,CAPEX!$D39)/10^6</f>
        <v>69435.928520055357</v>
      </c>
      <c r="Q39" s="4959">
        <f>SUMIFS('사업계획D&amp;A'!F$3:F$15,'사업계획D&amp;A'!$C$3:$C$15,CAPEX!$D39)/10^6</f>
        <v>71279.41162550509</v>
      </c>
      <c r="R39" s="4959">
        <f>SUMIFS('사업계획D&amp;A'!G$3:G$15,'사업계획D&amp;A'!$C$3:$C$15,CAPEX!$D39)/10^6+Assumption!R435</f>
        <v>74962.487468903317</v>
      </c>
      <c r="S39" s="4959">
        <f t="shared" ref="S39:T39" si="26">(R80+S10)*S40</f>
        <v>83202.072332398006</v>
      </c>
      <c r="T39" s="4959">
        <f t="shared" si="26"/>
        <v>86271.293084386649</v>
      </c>
      <c r="U39" s="289"/>
    </row>
    <row r="40" spans="1:24" s="400" customFormat="1" ht="12" customHeight="1">
      <c r="A40" s="45"/>
      <c r="B40" s="45"/>
      <c r="C40" s="45"/>
      <c r="D40" s="45"/>
      <c r="E40" s="45" t="s">
        <v>6713</v>
      </c>
      <c r="F40" s="45"/>
      <c r="G40" s="45"/>
      <c r="H40" s="45"/>
      <c r="I40" s="45"/>
      <c r="J40" s="398">
        <f>IFERROR(J39/(I80+J10),"n.a")</f>
        <v>9.2027217755185561E-2</v>
      </c>
      <c r="K40" s="399">
        <f>IFERROR(K39/(J80+K9),"n.a")</f>
        <v>9.2292836882496843E-2</v>
      </c>
      <c r="L40" s="399">
        <f t="shared" ref="L40" si="27">IFERROR(L39/(K80+L9),"n.a")</f>
        <v>9.0101748308403687E-2</v>
      </c>
      <c r="M40" s="2037">
        <f>IFERROR(M39/(L80+M9)/3*4,"n.a")</f>
        <v>8.8887033123701817E-2</v>
      </c>
      <c r="N40" s="399">
        <f>M40</f>
        <v>8.8887033123701817E-2</v>
      </c>
      <c r="O40" s="399">
        <f t="shared" ref="O40:T44" si="28">N40</f>
        <v>8.8887033123701817E-2</v>
      </c>
      <c r="P40" s="4912">
        <f t="shared" si="28"/>
        <v>8.8887033123701817E-2</v>
      </c>
      <c r="Q40" s="4912">
        <f t="shared" si="28"/>
        <v>8.8887033123701817E-2</v>
      </c>
      <c r="R40" s="4912">
        <f t="shared" si="28"/>
        <v>8.8887033123701817E-2</v>
      </c>
      <c r="S40" s="4912">
        <f t="shared" si="28"/>
        <v>8.8887033123701817E-2</v>
      </c>
      <c r="T40" s="4912">
        <f t="shared" si="28"/>
        <v>8.8887033123701817E-2</v>
      </c>
      <c r="W40" s="4452"/>
      <c r="X40" s="4452"/>
    </row>
    <row r="41" spans="1:24" ht="12" customHeight="1">
      <c r="D41" s="3" t="s">
        <v>1458</v>
      </c>
      <c r="J41" s="4024">
        <f>CAPEX계획!AL16</f>
        <v>2182</v>
      </c>
      <c r="K41" s="4021">
        <f>CAPEX계획!AM16</f>
        <v>2365</v>
      </c>
      <c r="L41" s="4021">
        <f>CAPEX계획!AN16</f>
        <v>2789</v>
      </c>
      <c r="M41" s="2185">
        <f>유무형자산명세서!E61/10^6</f>
        <v>2602.3279940000002</v>
      </c>
      <c r="N41" s="14">
        <f>(M81+N11)*N42/4</f>
        <v>709.28992440315051</v>
      </c>
      <c r="O41" s="14">
        <f>N41+M41</f>
        <v>3311.6179184031507</v>
      </c>
      <c r="P41" s="4959">
        <f>SUMIFS('사업계획D&amp;A'!E$3:E$15,'사업계획D&amp;A'!$C$3:$C$15,CAPEX!$D41)/10^6</f>
        <v>3917.7191910000001</v>
      </c>
      <c r="Q41" s="4959">
        <f>SUMIFS('사업계획D&amp;A'!F$3:F$15,'사업계획D&amp;A'!$C$3:$C$15,CAPEX!$D41)/10^6</f>
        <v>4242.9361319999998</v>
      </c>
      <c r="R41" s="4959">
        <f>SUMIFS('사업계획D&amp;A'!G$3:G$15,'사업계획D&amp;A'!$C$3:$C$15,CAPEX!$D41)/10^6</f>
        <v>4235.1033440000001</v>
      </c>
      <c r="S41" s="4959">
        <f t="shared" ref="S41:T41" si="29">(R81+S11)*S42</f>
        <v>2072.0882146337103</v>
      </c>
      <c r="T41" s="4959">
        <f t="shared" si="29"/>
        <v>2051.1863216176466</v>
      </c>
    </row>
    <row r="42" spans="1:24" ht="12" customHeight="1">
      <c r="C42" s="45"/>
      <c r="D42" s="45"/>
      <c r="E42" s="45" t="s">
        <v>6713</v>
      </c>
      <c r="F42" s="45"/>
      <c r="G42" s="45"/>
      <c r="H42" s="45"/>
      <c r="I42" s="45"/>
      <c r="J42" s="4374">
        <f>IFERROR(J41/(I81+J11),"n.a")</f>
        <v>0.13059952894665208</v>
      </c>
      <c r="K42" s="278">
        <f>IFERROR(K41/(J81+K11),"n.a")</f>
        <v>0.11371117706198575</v>
      </c>
      <c r="L42" s="278">
        <f>IFERROR(L41/(K81+L11),"n.a")</f>
        <v>0.13514375039370521</v>
      </c>
      <c r="M42" s="2358">
        <f>IFERROR(M41/(L81+M11)/3*4,"n.a")</f>
        <v>0.13606684170622924</v>
      </c>
      <c r="N42" s="399">
        <f>M42</f>
        <v>0.13606684170622924</v>
      </c>
      <c r="O42" s="399">
        <f t="shared" si="28"/>
        <v>0.13606684170622924</v>
      </c>
      <c r="P42" s="4912">
        <f t="shared" si="28"/>
        <v>0.13606684170622924</v>
      </c>
      <c r="Q42" s="4912">
        <f t="shared" si="28"/>
        <v>0.13606684170622924</v>
      </c>
      <c r="R42" s="4912">
        <f t="shared" si="28"/>
        <v>0.13606684170622924</v>
      </c>
      <c r="S42" s="4912">
        <f t="shared" si="28"/>
        <v>0.13606684170622924</v>
      </c>
      <c r="T42" s="4912">
        <f t="shared" si="28"/>
        <v>0.13606684170622924</v>
      </c>
    </row>
    <row r="43" spans="1:24" s="400" customFormat="1" ht="12" customHeight="1">
      <c r="A43" s="45"/>
      <c r="B43" s="45"/>
      <c r="C43" s="3"/>
      <c r="D43" s="3" t="s">
        <v>1546</v>
      </c>
      <c r="E43" s="3"/>
      <c r="F43" s="3"/>
      <c r="G43" s="3"/>
      <c r="H43" s="3"/>
      <c r="I43" s="3"/>
      <c r="J43" s="4375">
        <f>CAPEX계획!AL17</f>
        <v>0</v>
      </c>
      <c r="K43" s="4376">
        <f>CAPEX계획!AM17</f>
        <v>2206</v>
      </c>
      <c r="L43" s="4376">
        <f>CAPEX계획!AN17</f>
        <v>2325</v>
      </c>
      <c r="M43" s="4377">
        <f>연결정산표!D53/10^6</f>
        <v>1232.660026</v>
      </c>
      <c r="N43" s="49">
        <f>N38-N39-N41</f>
        <v>412.32538636302343</v>
      </c>
      <c r="O43" s="49">
        <f>N43+M43</f>
        <v>1644.9854123630234</v>
      </c>
      <c r="P43" s="4961">
        <f>(O82+P12)*P44</f>
        <v>1444.6389130451553</v>
      </c>
      <c r="Q43" s="4961">
        <f t="shared" ref="Q43:T43" si="30">(P82+Q12)*Q44</f>
        <v>1540.7471635156724</v>
      </c>
      <c r="R43" s="4961">
        <f t="shared" si="30"/>
        <v>1611.8479182463013</v>
      </c>
      <c r="S43" s="4961">
        <f t="shared" si="30"/>
        <v>1664.4481611860674</v>
      </c>
      <c r="T43" s="4961">
        <f t="shared" si="30"/>
        <v>1703.3617503287508</v>
      </c>
      <c r="U43" s="289"/>
    </row>
    <row r="44" spans="1:24" s="400" customFormat="1" ht="12" customHeight="1">
      <c r="A44" s="45"/>
      <c r="B44" s="45"/>
      <c r="C44" s="45"/>
      <c r="D44" s="45"/>
      <c r="E44" s="45" t="s">
        <v>6713</v>
      </c>
      <c r="F44" s="45"/>
      <c r="G44" s="45"/>
      <c r="H44" s="45"/>
      <c r="I44" s="45"/>
      <c r="J44" s="2034" t="str">
        <f>IFERROR(J43/(I82+J12),"n.a")</f>
        <v>n.a</v>
      </c>
      <c r="K44" s="1936">
        <f>IFERROR(K43/(J82+K12),"n.a")</f>
        <v>1.1283887468030691</v>
      </c>
      <c r="L44" s="1936">
        <f>IFERROR(L43/(K82+L12),"n.a")</f>
        <v>0.27348426417800992</v>
      </c>
      <c r="M44" s="2497">
        <f>IFERROR(M43/(L82+M12)/3*4,"n.a")</f>
        <v>0.26020134189789856</v>
      </c>
      <c r="N44" s="399">
        <f>M44</f>
        <v>0.26020134189789856</v>
      </c>
      <c r="O44" s="399">
        <f t="shared" si="28"/>
        <v>0.26020134189789856</v>
      </c>
      <c r="P44" s="4912">
        <f t="shared" si="28"/>
        <v>0.26020134189789856</v>
      </c>
      <c r="Q44" s="4912">
        <f t="shared" si="28"/>
        <v>0.26020134189789856</v>
      </c>
      <c r="R44" s="4912">
        <f t="shared" si="28"/>
        <v>0.26020134189789856</v>
      </c>
      <c r="S44" s="4912">
        <f t="shared" si="28"/>
        <v>0.26020134189789856</v>
      </c>
      <c r="T44" s="4912">
        <f t="shared" si="28"/>
        <v>0.26020134189789856</v>
      </c>
      <c r="U44" s="289"/>
    </row>
    <row r="45" spans="1:24" s="400" customFormat="1" ht="12" customHeight="1">
      <c r="A45" s="45"/>
      <c r="B45" s="45"/>
      <c r="C45" s="3" t="s">
        <v>1480</v>
      </c>
      <c r="D45" s="3"/>
      <c r="E45" s="3"/>
      <c r="F45" s="3"/>
      <c r="G45" s="3"/>
      <c r="H45" s="3"/>
      <c r="I45" s="3"/>
      <c r="J45" s="4375">
        <f>J46+J48+J50</f>
        <v>1164.1229999999998</v>
      </c>
      <c r="K45" s="4376">
        <f t="shared" ref="K45:M45" si="31">K46+K48+K50</f>
        <v>1269.6579999999999</v>
      </c>
      <c r="L45" s="4376">
        <f t="shared" si="31"/>
        <v>742.40899999999999</v>
      </c>
      <c r="M45" s="4377">
        <f t="shared" si="31"/>
        <v>735.51590299999998</v>
      </c>
      <c r="N45" s="248">
        <f>N46+N48+N50</f>
        <v>184.87103244534464</v>
      </c>
      <c r="O45" s="248">
        <f t="shared" ref="O45:T45" si="32">O46+O48+O50</f>
        <v>920.38693544534476</v>
      </c>
      <c r="P45" s="4958">
        <f t="shared" si="32"/>
        <v>935.29036900000006</v>
      </c>
      <c r="Q45" s="4958">
        <f t="shared" si="32"/>
        <v>2131.8280726666667</v>
      </c>
      <c r="R45" s="4958">
        <f t="shared" si="32"/>
        <v>2190.9765316666667</v>
      </c>
      <c r="S45" s="4958">
        <f t="shared" si="32"/>
        <v>2368.1426150902125</v>
      </c>
      <c r="T45" s="4958">
        <f t="shared" si="32"/>
        <v>2533.9438730780043</v>
      </c>
      <c r="U45" s="289"/>
    </row>
    <row r="46" spans="1:24" s="1055" customFormat="1" ht="12" customHeight="1">
      <c r="A46" s="3"/>
      <c r="B46" s="3"/>
      <c r="C46" s="3"/>
      <c r="D46" s="3" t="s">
        <v>1455</v>
      </c>
      <c r="E46" s="3"/>
      <c r="F46" s="3"/>
      <c r="G46" s="3"/>
      <c r="H46" s="3"/>
      <c r="I46" s="3"/>
      <c r="J46" s="4024">
        <f>CAPEX계획!AL3</f>
        <v>1150.6759999999999</v>
      </c>
      <c r="K46" s="4021">
        <f>CAPEX계획!AM3</f>
        <v>1188.48</v>
      </c>
      <c r="L46" s="4021">
        <f>CAPEX계획!AN3</f>
        <v>639.79399999999998</v>
      </c>
      <c r="M46" s="2185">
        <f>유무형자산명세서!N119/10^6</f>
        <v>662.79465000000005</v>
      </c>
      <c r="N46" s="248">
        <f>COGS!N269+'SG&amp;A'!N117</f>
        <v>155.7004835652848</v>
      </c>
      <c r="O46" s="248">
        <f>N46+M46</f>
        <v>818.49513356528485</v>
      </c>
      <c r="P46" s="4958">
        <f>COGS!P269+'SG&amp;A'!P117</f>
        <v>804.38714300000004</v>
      </c>
      <c r="Q46" s="4958">
        <f>COGS!Q269+'SG&amp;A'!Q117</f>
        <v>1986.9822200000001</v>
      </c>
      <c r="R46" s="4958">
        <f>COGS!R269+'SG&amp;A'!R117</f>
        <v>2037.3743790000001</v>
      </c>
      <c r="S46" s="4958">
        <f t="shared" ref="S46:T46" si="33">(R84+S15)*S47</f>
        <v>2198.5703273109875</v>
      </c>
      <c r="T46" s="4958">
        <f t="shared" si="33"/>
        <v>2348.8577578005775</v>
      </c>
      <c r="U46" s="1953"/>
    </row>
    <row r="47" spans="1:24" s="400" customFormat="1" ht="12" customHeight="1">
      <c r="A47" s="45"/>
      <c r="B47" s="45"/>
      <c r="C47" s="45"/>
      <c r="D47" s="45"/>
      <c r="E47" s="45" t="s">
        <v>6713</v>
      </c>
      <c r="F47" s="45"/>
      <c r="G47" s="45"/>
      <c r="H47" s="45"/>
      <c r="I47" s="45"/>
      <c r="J47" s="398">
        <f>IFERROR(J46/(I84+J15),"n.a")</f>
        <v>6.3217358322672917E-2</v>
      </c>
      <c r="K47" s="399">
        <f>IFERROR(K46/(J84+K15),"n.a")</f>
        <v>6.6730741935177612E-2</v>
      </c>
      <c r="L47" s="399">
        <f>IFERROR(L46/(K84+L15),"n.a")</f>
        <v>4.2875490684344091E-2</v>
      </c>
      <c r="M47" s="2037">
        <f>IFERROR(M46/(L84+M15)/3*4,"n.a")</f>
        <v>6.0640827174187263E-2</v>
      </c>
      <c r="N47" s="399">
        <f>IFERROR(N46/(M84+N15)*4,"n.a")</f>
        <v>3.3299176968743897E-2</v>
      </c>
      <c r="O47" s="399">
        <f>IFERROR(O46/(N84+O15),"n.a")</f>
        <v>3.7417326521467745E-2</v>
      </c>
      <c r="P47" s="4912">
        <f>IFERROR(P46/(O84+P15),"n.a")</f>
        <v>2.6301807601902781E-2</v>
      </c>
      <c r="Q47" s="4912">
        <f t="shared" ref="Q47:R47" si="34">IFERROR(Q46/(P84+Q15),"n.a")</f>
        <v>6.2917214431858617E-2</v>
      </c>
      <c r="R47" s="4912">
        <f t="shared" si="34"/>
        <v>6.7672407003383603E-2</v>
      </c>
      <c r="S47" s="4912">
        <f t="shared" ref="S47:T51" si="35">R47</f>
        <v>6.7672407003383603E-2</v>
      </c>
      <c r="T47" s="4912">
        <f t="shared" si="35"/>
        <v>6.7672407003383603E-2</v>
      </c>
      <c r="U47" s="289"/>
    </row>
    <row r="48" spans="1:24" s="1055" customFormat="1" ht="12" customHeight="1">
      <c r="A48" s="3"/>
      <c r="B48" s="3"/>
      <c r="C48" s="3"/>
      <c r="D48" s="3" t="s">
        <v>1457</v>
      </c>
      <c r="E48" s="3"/>
      <c r="F48" s="3"/>
      <c r="G48" s="3"/>
      <c r="H48" s="3"/>
      <c r="I48" s="3"/>
      <c r="J48" s="4024">
        <f>CAPEX계획!AL4</f>
        <v>13.446999999999999</v>
      </c>
      <c r="K48" s="4021">
        <f>CAPEX계획!AM4</f>
        <v>13.446999999999999</v>
      </c>
      <c r="L48" s="4021">
        <f>CAPEX계획!AN4</f>
        <v>19.143000000000001</v>
      </c>
      <c r="M48" s="2185">
        <f>유무형자산명세서!L123/10^6</f>
        <v>28.234168</v>
      </c>
      <c r="N48" s="248">
        <f>'SG&amp;A'!N118</f>
        <v>10.664569841220363</v>
      </c>
      <c r="O48" s="248">
        <f>N48+M48</f>
        <v>38.898737841220367</v>
      </c>
      <c r="P48" s="4958">
        <f>'SG&amp;A'!P118</f>
        <v>48.990001999999997</v>
      </c>
      <c r="Q48" s="4958">
        <f>'SG&amp;A'!Q118</f>
        <v>62.932628666666666</v>
      </c>
      <c r="R48" s="4958">
        <f>'SG&amp;A'!R118</f>
        <v>71.688928666666669</v>
      </c>
      <c r="S48" s="4958">
        <f t="shared" ref="S48:T48" si="36">(R85+S16)*S49</f>
        <v>87.659063779224908</v>
      </c>
      <c r="T48" s="4958">
        <f t="shared" si="36"/>
        <v>103.1728912774271</v>
      </c>
      <c r="U48" s="1953"/>
    </row>
    <row r="49" spans="1:21" s="400" customFormat="1" ht="12" customHeight="1">
      <c r="A49" s="45"/>
      <c r="B49" s="45"/>
      <c r="C49" s="45"/>
      <c r="D49" s="45"/>
      <c r="E49" s="45" t="s">
        <v>6713</v>
      </c>
      <c r="F49" s="45"/>
      <c r="G49" s="45"/>
      <c r="H49" s="45"/>
      <c r="I49" s="45"/>
      <c r="J49" s="398">
        <f>IFERROR(J48/(I85+J16),"n.a")</f>
        <v>0.11008640960391643</v>
      </c>
      <c r="K49" s="399">
        <f>IFERROR(K48/(J85+K16),"n.a")</f>
        <v>0.12241186791571014</v>
      </c>
      <c r="L49" s="399">
        <f>IFERROR(L48/(K85+L16),"n.a")</f>
        <v>0.19857323527800877</v>
      </c>
      <c r="M49" s="2037">
        <f>IFERROR(M48/(L85+M16)/3*4,"n.a")</f>
        <v>0.18752603704476978</v>
      </c>
      <c r="N49" s="399">
        <f>IFERROR(N48/(M85+N16)*4,"n.a")</f>
        <v>0.23454818320056836</v>
      </c>
      <c r="O49" s="399">
        <f>IFERROR(O48/(N85+O16),"n.a")</f>
        <v>0.15944085669386512</v>
      </c>
      <c r="P49" s="4912">
        <f>IFERROR(P48/(O85+P16),"n.a")</f>
        <v>2.2010343900667813E-2</v>
      </c>
      <c r="Q49" s="4912">
        <f t="shared" ref="Q49:R49" si="37">IFERROR(Q48/(P85+Q16),"n.a")</f>
        <v>2.5330549593091185E-2</v>
      </c>
      <c r="R49" s="4912">
        <f t="shared" si="37"/>
        <v>2.8572558161840129E-2</v>
      </c>
      <c r="S49" s="4912">
        <f t="shared" si="35"/>
        <v>2.8572558161840129E-2</v>
      </c>
      <c r="T49" s="4912">
        <f t="shared" si="35"/>
        <v>2.8572558161840129E-2</v>
      </c>
      <c r="U49" s="289"/>
    </row>
    <row r="50" spans="1:21" s="1055" customFormat="1" ht="12" customHeight="1">
      <c r="A50" s="3"/>
      <c r="B50" s="3"/>
      <c r="C50" s="3"/>
      <c r="D50" s="3" t="s">
        <v>1545</v>
      </c>
      <c r="E50" s="3"/>
      <c r="F50" s="3"/>
      <c r="G50" s="3"/>
      <c r="H50" s="3"/>
      <c r="I50" s="3"/>
      <c r="J50" s="4024">
        <f>CAPEX계획!AL5</f>
        <v>0</v>
      </c>
      <c r="K50" s="4021">
        <f>CAPEX계획!AM5</f>
        <v>67.730999999999995</v>
      </c>
      <c r="L50" s="4021">
        <f>CAPEX계획!AN5</f>
        <v>83.471999999999994</v>
      </c>
      <c r="M50" s="2185">
        <f>연결정산표!E53/10^6</f>
        <v>44.487085</v>
      </c>
      <c r="N50" s="248">
        <f>'SG&amp;A'!N119+COGS!N270</f>
        <v>18.505979038839488</v>
      </c>
      <c r="O50" s="248">
        <f>N50+M50</f>
        <v>62.993064038839492</v>
      </c>
      <c r="P50" s="4958">
        <f>'SG&amp;A'!P119+COGS!P270</f>
        <v>81.913224000000014</v>
      </c>
      <c r="Q50" s="4958">
        <f>'SG&amp;A'!Q119+COGS!Q270</f>
        <v>81.913223999999985</v>
      </c>
      <c r="R50" s="4958">
        <f>'SG&amp;A'!R119+COGS!R270</f>
        <v>81.913223999999985</v>
      </c>
      <c r="S50" s="4958">
        <f>R50</f>
        <v>81.913223999999985</v>
      </c>
      <c r="T50" s="4958">
        <f>S50</f>
        <v>81.913223999999985</v>
      </c>
      <c r="U50" s="1953"/>
    </row>
    <row r="51" spans="1:21" s="400" customFormat="1" ht="12" customHeight="1">
      <c r="A51" s="45"/>
      <c r="B51" s="45"/>
      <c r="C51" s="45"/>
      <c r="D51" s="45"/>
      <c r="E51" s="45" t="s">
        <v>6713</v>
      </c>
      <c r="F51" s="45"/>
      <c r="G51" s="45"/>
      <c r="H51" s="45"/>
      <c r="I51" s="45"/>
      <c r="J51" s="2034" t="str">
        <f>IFERROR(J50/(I86+J17),"n.a")</f>
        <v>n.a</v>
      </c>
      <c r="K51" s="1936">
        <f>IFERROR(K50/(J86+K17),"n.a")</f>
        <v>0.66210800031281758</v>
      </c>
      <c r="L51" s="1936">
        <f>IFERROR(L50/(K86+L17),"n.a")</f>
        <v>0.43029738796257799</v>
      </c>
      <c r="M51" s="2497">
        <f>IFERROR(M50/(L86+M17)/3*4,"n.a")</f>
        <v>0.3254748682386977</v>
      </c>
      <c r="N51" s="399">
        <f>IFERROR(N50/(M86+N17)*4,"n.a")</f>
        <v>0.35654715000071746</v>
      </c>
      <c r="O51" s="399">
        <f>IFERROR(O50/(N86+O17),"n.a")</f>
        <v>0.21529592310363746</v>
      </c>
      <c r="P51" s="4912">
        <f>IFERROR(P50/(O86+P17),"n.a")</f>
        <v>0.27996071384305898</v>
      </c>
      <c r="Q51" s="4912">
        <f t="shared" ref="Q51:R51" si="38">IFERROR(Q50/(P86+Q17),"n.a")</f>
        <v>0.26074055293521531</v>
      </c>
      <c r="R51" s="4912">
        <f t="shared" si="38"/>
        <v>0.24398989871379323</v>
      </c>
      <c r="S51" s="4912">
        <f t="shared" si="35"/>
        <v>0.24398989871379323</v>
      </c>
      <c r="T51" s="4912">
        <f t="shared" si="35"/>
        <v>0.24398989871379323</v>
      </c>
      <c r="U51" s="289"/>
    </row>
    <row r="52" spans="1:21" s="400" customFormat="1" ht="12" customHeight="1">
      <c r="A52" s="45"/>
      <c r="B52" s="45"/>
      <c r="C52" s="3" t="s">
        <v>3238</v>
      </c>
      <c r="D52" s="3"/>
      <c r="E52" s="3"/>
      <c r="F52" s="3"/>
      <c r="G52" s="3"/>
      <c r="H52" s="3"/>
      <c r="I52" s="3"/>
      <c r="J52" s="4375">
        <f>J53+J55+J57</f>
        <v>6182.6530000000002</v>
      </c>
      <c r="K52" s="4376">
        <f t="shared" ref="K52:M52" si="39">K53+K55+K57</f>
        <v>7465.8830000000007</v>
      </c>
      <c r="L52" s="4376">
        <f t="shared" si="39"/>
        <v>7908.1689999999999</v>
      </c>
      <c r="M52" s="4377">
        <f t="shared" si="39"/>
        <v>6308.3941100000002</v>
      </c>
      <c r="N52" s="248">
        <f>N53+N55+N57</f>
        <v>1977.9327435285475</v>
      </c>
      <c r="O52" s="248">
        <f t="shared" ref="O52:T52" si="40">O53+O55+O57</f>
        <v>8286.3268535285479</v>
      </c>
      <c r="P52" s="4958">
        <f t="shared" si="40"/>
        <v>9032.6252096230091</v>
      </c>
      <c r="Q52" s="4958">
        <f t="shared" si="40"/>
        <v>8498.7843587305433</v>
      </c>
      <c r="R52" s="4958">
        <f t="shared" si="40"/>
        <v>8534.6518877314757</v>
      </c>
      <c r="S52" s="4958">
        <f t="shared" si="40"/>
        <v>8399.1668546544151</v>
      </c>
      <c r="T52" s="4958">
        <f t="shared" si="40"/>
        <v>8274.1953935851488</v>
      </c>
      <c r="U52" s="289"/>
    </row>
    <row r="53" spans="1:21" s="1055" customFormat="1" ht="12" customHeight="1">
      <c r="A53" s="3"/>
      <c r="B53" s="3"/>
      <c r="C53" s="3"/>
      <c r="D53" s="3" t="s">
        <v>1455</v>
      </c>
      <c r="E53" s="3"/>
      <c r="F53" s="3"/>
      <c r="G53" s="3"/>
      <c r="H53" s="3"/>
      <c r="I53" s="3"/>
      <c r="J53" s="4024">
        <f>CAPEX계획!AL6</f>
        <v>6086.9120000000003</v>
      </c>
      <c r="K53" s="4021">
        <f>CAPEX계획!AM6</f>
        <v>7343.9790000000003</v>
      </c>
      <c r="L53" s="4021">
        <f>CAPEX계획!AN6</f>
        <v>7767.5429999999997</v>
      </c>
      <c r="M53" s="2185">
        <f>유무형자산명세서!M138/10^6</f>
        <v>6217.4490679999999</v>
      </c>
      <c r="N53" s="248">
        <f>(M88+N19)*N54/4</f>
        <v>1946.606028861095</v>
      </c>
      <c r="O53" s="248">
        <f>N53+M53</f>
        <v>8164.0550968610951</v>
      </c>
      <c r="P53" s="4958">
        <f>(O88+P19)*P54</f>
        <v>8785.0655649694636</v>
      </c>
      <c r="Q53" s="4958">
        <f t="shared" ref="Q53:T53" si="41">(P88+Q19)*Q54</f>
        <v>8235.4827481597204</v>
      </c>
      <c r="R53" s="4958">
        <f t="shared" si="41"/>
        <v>8234.1168036602903</v>
      </c>
      <c r="S53" s="4958">
        <f t="shared" si="41"/>
        <v>8078.5205537574857</v>
      </c>
      <c r="T53" s="4958">
        <f t="shared" si="41"/>
        <v>7938.1765594222052</v>
      </c>
      <c r="U53" s="1953"/>
    </row>
    <row r="54" spans="1:21" s="400" customFormat="1" ht="12" customHeight="1">
      <c r="A54" s="45"/>
      <c r="B54" s="45"/>
      <c r="C54" s="45"/>
      <c r="D54" s="45"/>
      <c r="E54" s="45" t="s">
        <v>6713</v>
      </c>
      <c r="F54" s="45"/>
      <c r="G54" s="45"/>
      <c r="H54" s="45"/>
      <c r="I54" s="45"/>
      <c r="J54" s="398">
        <f>IFERROR(J53/(I88+J19),"n.a")</f>
        <v>7.4918232745432953E-2</v>
      </c>
      <c r="K54" s="399">
        <f>IFERROR(K53/(J88+K19),"n.a")</f>
        <v>8.1295401330568853E-2</v>
      </c>
      <c r="L54" s="399">
        <f>IFERROR(L53/(K88+L19),"n.a")</f>
        <v>8.6046911361383316E-2</v>
      </c>
      <c r="M54" s="2037">
        <f>IFERROR(M53/(L88+M19)/3*4,"n.a")</f>
        <v>9.8024570496080696E-2</v>
      </c>
      <c r="N54" s="399">
        <f>M54</f>
        <v>9.8024570496080696E-2</v>
      </c>
      <c r="O54" s="399">
        <f t="shared" ref="O54:T58" si="42">N54</f>
        <v>9.8024570496080696E-2</v>
      </c>
      <c r="P54" s="4912">
        <f t="shared" si="42"/>
        <v>9.8024570496080696E-2</v>
      </c>
      <c r="Q54" s="4912">
        <f t="shared" si="42"/>
        <v>9.8024570496080696E-2</v>
      </c>
      <c r="R54" s="4912">
        <f t="shared" si="42"/>
        <v>9.8024570496080696E-2</v>
      </c>
      <c r="S54" s="4912">
        <f t="shared" si="42"/>
        <v>9.8024570496080696E-2</v>
      </c>
      <c r="T54" s="4912">
        <f t="shared" si="42"/>
        <v>9.8024570496080696E-2</v>
      </c>
      <c r="U54" s="289"/>
    </row>
    <row r="55" spans="1:21" s="400" customFormat="1" ht="12" customHeight="1">
      <c r="A55" s="45"/>
      <c r="B55" s="45"/>
      <c r="C55" s="3"/>
      <c r="D55" s="3" t="s">
        <v>1457</v>
      </c>
      <c r="E55" s="3"/>
      <c r="F55" s="3"/>
      <c r="G55" s="3"/>
      <c r="H55" s="3"/>
      <c r="I55" s="3"/>
      <c r="J55" s="4375">
        <f>CAPEX계획!AL7</f>
        <v>95.741</v>
      </c>
      <c r="K55" s="4376">
        <f>CAPEX계획!AM7</f>
        <v>66.760000000000005</v>
      </c>
      <c r="L55" s="4376">
        <f>CAPEX계획!AN7</f>
        <v>79.290000000000006</v>
      </c>
      <c r="M55" s="4377">
        <f>유무형자산명세서!M146/10^6</f>
        <v>61.082732999999998</v>
      </c>
      <c r="N55" s="248">
        <f>(M89+N20)*N56/4</f>
        <v>15.832243560686292</v>
      </c>
      <c r="O55" s="248">
        <f>N55+M55</f>
        <v>76.914976560686284</v>
      </c>
      <c r="P55" s="4958">
        <f>(O89+P20)*P56</f>
        <v>128.15147432189048</v>
      </c>
      <c r="Q55" s="4958">
        <f t="shared" ref="Q55:T55" si="43">(P89+Q20)*Q56</f>
        <v>125.52079271414927</v>
      </c>
      <c r="R55" s="4958">
        <f t="shared" si="43"/>
        <v>151.2872743293191</v>
      </c>
      <c r="S55" s="4958">
        <f t="shared" si="43"/>
        <v>164.24155295570975</v>
      </c>
      <c r="T55" s="4958">
        <f t="shared" si="43"/>
        <v>175.14719857566919</v>
      </c>
      <c r="U55" s="289"/>
    </row>
    <row r="56" spans="1:21" s="400" customFormat="1" ht="12" customHeight="1">
      <c r="A56" s="45"/>
      <c r="B56" s="45"/>
      <c r="C56" s="45"/>
      <c r="D56" s="45"/>
      <c r="E56" s="45" t="s">
        <v>6713</v>
      </c>
      <c r="F56" s="45"/>
      <c r="G56" s="45"/>
      <c r="H56" s="45"/>
      <c r="I56" s="45"/>
      <c r="J56" s="398">
        <f>IFERROR(J55/(I89+J20),"n.a")</f>
        <v>0.2390231452277278</v>
      </c>
      <c r="K56" s="399">
        <f>IFERROR(K55/(J89+K20),"n.a")</f>
        <v>0.20354127550292761</v>
      </c>
      <c r="L56" s="399">
        <f>IFERROR(L55/(K89+L20),"n.a")</f>
        <v>0.17654331554705632</v>
      </c>
      <c r="M56" s="2037">
        <f>IFERROR(M55/(L89+M20)/3*4,"n.a")</f>
        <v>0.15814334904436494</v>
      </c>
      <c r="N56" s="399">
        <f>M56</f>
        <v>0.15814334904436494</v>
      </c>
      <c r="O56" s="399">
        <f t="shared" si="42"/>
        <v>0.15814334904436494</v>
      </c>
      <c r="P56" s="4912">
        <f t="shared" si="42"/>
        <v>0.15814334904436494</v>
      </c>
      <c r="Q56" s="4912">
        <f t="shared" si="42"/>
        <v>0.15814334904436494</v>
      </c>
      <c r="R56" s="4912">
        <f t="shared" si="42"/>
        <v>0.15814334904436494</v>
      </c>
      <c r="S56" s="4912">
        <f t="shared" si="42"/>
        <v>0.15814334904436494</v>
      </c>
      <c r="T56" s="4912">
        <f t="shared" si="42"/>
        <v>0.15814334904436494</v>
      </c>
      <c r="U56" s="289"/>
    </row>
    <row r="57" spans="1:21" s="400" customFormat="1" ht="12" customHeight="1">
      <c r="A57" s="45"/>
      <c r="B57" s="45"/>
      <c r="C57" s="3"/>
      <c r="D57" s="3" t="s">
        <v>1545</v>
      </c>
      <c r="E57" s="3"/>
      <c r="F57" s="3"/>
      <c r="G57" s="3"/>
      <c r="H57" s="3"/>
      <c r="I57" s="3"/>
      <c r="J57" s="4375">
        <f>CAPEX계획!AL8</f>
        <v>0</v>
      </c>
      <c r="K57" s="4376">
        <f>CAPEX계획!AM8</f>
        <v>55.143999999999998</v>
      </c>
      <c r="L57" s="4376">
        <f>CAPEX계획!AN8</f>
        <v>61.335999999999999</v>
      </c>
      <c r="M57" s="4377">
        <f>연결정산표!F53/10^6</f>
        <v>29.862309</v>
      </c>
      <c r="N57" s="49">
        <f>(M90+N21)*N58/4</f>
        <v>15.494471106766158</v>
      </c>
      <c r="O57" s="49">
        <f>N57+M57</f>
        <v>45.356780106766159</v>
      </c>
      <c r="P57" s="4961">
        <f>(O90+P21)*P58</f>
        <v>119.40817033165537</v>
      </c>
      <c r="Q57" s="4961">
        <f t="shared" ref="Q57:T57" si="44">(P90+Q21)*Q58</f>
        <v>137.78081785667382</v>
      </c>
      <c r="R57" s="4961">
        <f t="shared" si="44"/>
        <v>149.24780974186652</v>
      </c>
      <c r="S57" s="4961">
        <f t="shared" si="44"/>
        <v>156.40474794122071</v>
      </c>
      <c r="T57" s="4961">
        <f t="shared" si="44"/>
        <v>160.87163558727528</v>
      </c>
      <c r="U57" s="289"/>
    </row>
    <row r="58" spans="1:21" s="400" customFormat="1" ht="12" customHeight="1">
      <c r="A58" s="45"/>
      <c r="B58" s="45"/>
      <c r="C58" s="45"/>
      <c r="D58" s="45"/>
      <c r="E58" s="45" t="s">
        <v>6713</v>
      </c>
      <c r="F58" s="45"/>
      <c r="G58" s="45"/>
      <c r="H58" s="45"/>
      <c r="I58" s="45"/>
      <c r="J58" s="2034" t="str">
        <f t="shared" ref="J58:K58" si="45">IFERROR(J57/(I90+J25),"n.a")</f>
        <v>n.a</v>
      </c>
      <c r="K58" s="1936" t="str">
        <f t="shared" si="45"/>
        <v>n.a</v>
      </c>
      <c r="L58" s="1936">
        <f>IFERROR(L57/(K90+L25),"n.a")</f>
        <v>0.77233721207723049</v>
      </c>
      <c r="M58" s="2497">
        <f>IFERROR(M57/(L90+M25)/3*4,"n.a")</f>
        <v>0.37586611458267932</v>
      </c>
      <c r="N58" s="399">
        <f>M58</f>
        <v>0.37586611458267932</v>
      </c>
      <c r="O58" s="399">
        <f t="shared" si="42"/>
        <v>0.37586611458267932</v>
      </c>
      <c r="P58" s="4912">
        <f t="shared" si="42"/>
        <v>0.37586611458267932</v>
      </c>
      <c r="Q58" s="4912">
        <f t="shared" si="42"/>
        <v>0.37586611458267932</v>
      </c>
      <c r="R58" s="4912">
        <f t="shared" si="42"/>
        <v>0.37586611458267932</v>
      </c>
      <c r="S58" s="4912">
        <f t="shared" si="42"/>
        <v>0.37586611458267932</v>
      </c>
      <c r="T58" s="4912">
        <f t="shared" si="42"/>
        <v>0.37586611458267932</v>
      </c>
      <c r="U58" s="289"/>
    </row>
    <row r="59" spans="1:21" s="400" customFormat="1" ht="12" customHeight="1">
      <c r="A59" s="45"/>
      <c r="B59" s="45"/>
      <c r="C59" s="3" t="s">
        <v>1560</v>
      </c>
      <c r="D59" s="3"/>
      <c r="E59" s="3"/>
      <c r="F59" s="3"/>
      <c r="G59" s="3"/>
      <c r="H59" s="3"/>
      <c r="I59" s="3"/>
      <c r="J59" s="4375">
        <f>J60+J62+J64</f>
        <v>2241.9690000000001</v>
      </c>
      <c r="K59" s="4376">
        <f t="shared" ref="K59:M59" si="46">K60+K62+K64</f>
        <v>2491.0740000000001</v>
      </c>
      <c r="L59" s="4376">
        <f t="shared" si="46"/>
        <v>2563.9259999999999</v>
      </c>
      <c r="M59" s="4377">
        <f t="shared" si="46"/>
        <v>1981.1811057755131</v>
      </c>
      <c r="N59" s="248">
        <f>N60+N62+N64</f>
        <v>504.42472947709894</v>
      </c>
      <c r="O59" s="248">
        <f t="shared" ref="O59:T59" si="47">O60+O62+O64</f>
        <v>2485.605835252612</v>
      </c>
      <c r="P59" s="4958">
        <f t="shared" si="47"/>
        <v>1968.7597207706569</v>
      </c>
      <c r="Q59" s="4958">
        <f t="shared" si="47"/>
        <v>1871.082554204691</v>
      </c>
      <c r="R59" s="4958">
        <f t="shared" si="47"/>
        <v>1730.4985761242453</v>
      </c>
      <c r="S59" s="4958">
        <f t="shared" si="47"/>
        <v>1613.9134827542705</v>
      </c>
      <c r="T59" s="4958">
        <f t="shared" si="47"/>
        <v>1506.1198547006456</v>
      </c>
      <c r="U59" s="289"/>
    </row>
    <row r="60" spans="1:21" s="1055" customFormat="1" ht="12" customHeight="1">
      <c r="A60" s="3"/>
      <c r="B60" s="3"/>
      <c r="C60" s="3"/>
      <c r="D60" s="3" t="s">
        <v>1455</v>
      </c>
      <c r="E60" s="3"/>
      <c r="F60" s="3"/>
      <c r="G60" s="3"/>
      <c r="H60" s="3"/>
      <c r="I60" s="3"/>
      <c r="J60" s="4024">
        <f>CAPEX계획!AL12</f>
        <v>2226.027</v>
      </c>
      <c r="K60" s="4021">
        <f>CAPEX계획!AM12</f>
        <v>2463.2710000000002</v>
      </c>
      <c r="L60" s="4021">
        <f>CAPEX계획!AN12</f>
        <v>2539.8560000000002</v>
      </c>
      <c r="M60" s="2185">
        <f>(유무형자산명세서!L150+유무형자산명세서!L151)/10^6*Assumption!M78</f>
        <v>1966.5463694529724</v>
      </c>
      <c r="N60" s="248">
        <f>(M92+N23)*N61/4</f>
        <v>500.70021035569943</v>
      </c>
      <c r="O60" s="248">
        <f>N60+M60</f>
        <v>2467.2465798086719</v>
      </c>
      <c r="P60" s="4958">
        <f>(O92+P23)*P61</f>
        <v>1965.2957500586601</v>
      </c>
      <c r="Q60" s="4958">
        <f t="shared" ref="Q60:T60" si="48">(P92+Q23)*Q61</f>
        <v>1870.5184127875352</v>
      </c>
      <c r="R60" s="4958">
        <f t="shared" si="48"/>
        <v>1730.4067001919668</v>
      </c>
      <c r="S60" s="4958">
        <f t="shared" si="48"/>
        <v>1613.8985198625639</v>
      </c>
      <c r="T60" s="4958">
        <f t="shared" si="48"/>
        <v>1506.117417847787</v>
      </c>
      <c r="U60" s="1953"/>
    </row>
    <row r="61" spans="1:21" s="400" customFormat="1" ht="12" customHeight="1">
      <c r="A61" s="45"/>
      <c r="B61" s="45"/>
      <c r="C61" s="3"/>
      <c r="D61" s="3"/>
      <c r="E61" s="3" t="s">
        <v>6713</v>
      </c>
      <c r="F61" s="3"/>
      <c r="G61" s="3"/>
      <c r="H61" s="3"/>
      <c r="I61" s="3"/>
      <c r="J61" s="398">
        <f>IFERROR(J60/(I92+J23),"n.a")</f>
        <v>6.9548645547895846E-2</v>
      </c>
      <c r="K61" s="399">
        <f>IFERROR(K60/(J92+K23),"n.a")</f>
        <v>7.9160966617635747E-2</v>
      </c>
      <c r="L61" s="399">
        <f>IFERROR(L60/(K92+L23),"n.a")</f>
        <v>8.3430946941108836E-2</v>
      </c>
      <c r="M61" s="2037">
        <f>IFERROR(M60/(L92+M23),"n.a")</f>
        <v>7.4905283817424326E-2</v>
      </c>
      <c r="N61" s="399">
        <f>M61</f>
        <v>7.4905283817424326E-2</v>
      </c>
      <c r="O61" s="399">
        <f t="shared" ref="O61:T65" si="49">N61</f>
        <v>7.4905283817424326E-2</v>
      </c>
      <c r="P61" s="4912">
        <f t="shared" si="49"/>
        <v>7.4905283817424326E-2</v>
      </c>
      <c r="Q61" s="4912">
        <f t="shared" si="49"/>
        <v>7.4905283817424326E-2</v>
      </c>
      <c r="R61" s="4912">
        <f t="shared" si="49"/>
        <v>7.4905283817424326E-2</v>
      </c>
      <c r="S61" s="4912">
        <f t="shared" si="49"/>
        <v>7.4905283817424326E-2</v>
      </c>
      <c r="T61" s="4912">
        <f t="shared" si="49"/>
        <v>7.4905283817424326E-2</v>
      </c>
      <c r="U61" s="289"/>
    </row>
    <row r="62" spans="1:21" s="1055" customFormat="1" ht="12" customHeight="1">
      <c r="A62" s="3"/>
      <c r="B62" s="3"/>
      <c r="C62" s="3"/>
      <c r="D62" s="3" t="s">
        <v>1457</v>
      </c>
      <c r="E62" s="3"/>
      <c r="F62" s="3"/>
      <c r="G62" s="3"/>
      <c r="H62" s="3"/>
      <c r="I62" s="3"/>
      <c r="J62" s="4024">
        <f>CAPEX계획!AL13</f>
        <v>15.942</v>
      </c>
      <c r="K62" s="4021">
        <f>CAPEX계획!AM13</f>
        <v>17.193999999999999</v>
      </c>
      <c r="L62" s="4021">
        <f>CAPEX계획!AN13</f>
        <v>12.994999999999999</v>
      </c>
      <c r="M62" s="2185">
        <f>(유무형자산명세서!L152+유무형자산명세서!L153+유무형자산명세서!L154)/10^6*Assumption!M78</f>
        <v>6.6099633225405388</v>
      </c>
      <c r="N62" s="248">
        <f>(M93+N24)*N63/4</f>
        <v>1.0952021213994745</v>
      </c>
      <c r="O62" s="248">
        <f>N62+M62</f>
        <v>7.7051654439400128</v>
      </c>
      <c r="P62" s="4958">
        <f>(O93+P24)*P63</f>
        <v>3.4639707119968794</v>
      </c>
      <c r="Q62" s="4958">
        <f t="shared" ref="Q62:T62" si="50">(P93+Q24)*Q63</f>
        <v>0.56414141715574595</v>
      </c>
      <c r="R62" s="4958">
        <f t="shared" si="50"/>
        <v>9.1875932278604064E-2</v>
      </c>
      <c r="S62" s="4958">
        <f t="shared" si="50"/>
        <v>1.4962891706517325E-2</v>
      </c>
      <c r="T62" s="4958">
        <f t="shared" si="50"/>
        <v>2.4368528587230855E-3</v>
      </c>
      <c r="U62" s="1953"/>
    </row>
    <row r="63" spans="1:21" s="400" customFormat="1" ht="12" customHeight="1">
      <c r="A63" s="45"/>
      <c r="B63" s="45"/>
      <c r="C63" s="45"/>
      <c r="D63" s="45"/>
      <c r="E63" s="45" t="s">
        <v>6713</v>
      </c>
      <c r="F63" s="45"/>
      <c r="G63" s="45"/>
      <c r="H63" s="45"/>
      <c r="I63" s="45"/>
      <c r="J63" s="398">
        <f>IFERROR(J62/(I93+J24),"n.a")</f>
        <v>0.31799846793436659</v>
      </c>
      <c r="K63" s="399">
        <f>IFERROR(K62/(J93+K24),"n.a")</f>
        <v>0.43229428917722307</v>
      </c>
      <c r="L63" s="399">
        <f>IFERROR(L62/(K93+L24),"n.a")</f>
        <v>0.54250883387653093</v>
      </c>
      <c r="M63" s="2037">
        <f>IFERROR(M62/(L93+M24)/3*4,"n.a")</f>
        <v>0.83714024624921424</v>
      </c>
      <c r="N63" s="399">
        <f>M63</f>
        <v>0.83714024624921424</v>
      </c>
      <c r="O63" s="399">
        <f t="shared" si="49"/>
        <v>0.83714024624921424</v>
      </c>
      <c r="P63" s="4912">
        <f t="shared" si="49"/>
        <v>0.83714024624921424</v>
      </c>
      <c r="Q63" s="4912">
        <f t="shared" si="49"/>
        <v>0.83714024624921424</v>
      </c>
      <c r="R63" s="4912">
        <f t="shared" si="49"/>
        <v>0.83714024624921424</v>
      </c>
      <c r="S63" s="4912">
        <f t="shared" si="49"/>
        <v>0.83714024624921424</v>
      </c>
      <c r="T63" s="4912">
        <f t="shared" si="49"/>
        <v>0.83714024624921424</v>
      </c>
      <c r="U63" s="289"/>
    </row>
    <row r="64" spans="1:21" s="400" customFormat="1" ht="12" customHeight="1">
      <c r="A64" s="45"/>
      <c r="B64" s="45"/>
      <c r="C64" s="3"/>
      <c r="D64" s="3" t="s">
        <v>1545</v>
      </c>
      <c r="E64" s="3"/>
      <c r="F64" s="3"/>
      <c r="G64" s="3"/>
      <c r="H64" s="3"/>
      <c r="I64" s="3"/>
      <c r="J64" s="4375">
        <f>CAPEX계획!AL14</f>
        <v>0</v>
      </c>
      <c r="K64" s="4376">
        <f>CAPEX계획!AM14</f>
        <v>10.609</v>
      </c>
      <c r="L64" s="4376">
        <f>CAPEX계획!AN14</f>
        <v>11.074999999999999</v>
      </c>
      <c r="M64" s="4377">
        <f>연결정산표!H53/10^6</f>
        <v>8.0247729999999997</v>
      </c>
      <c r="N64" s="248">
        <f>(M94+N25)</f>
        <v>2.6293169999999999</v>
      </c>
      <c r="O64" s="248">
        <f>N64+M64</f>
        <v>10.65409</v>
      </c>
      <c r="P64" s="4959">
        <v>0</v>
      </c>
      <c r="Q64" s="4959">
        <v>0</v>
      </c>
      <c r="R64" s="4959">
        <v>0</v>
      </c>
      <c r="S64" s="4959">
        <v>0</v>
      </c>
      <c r="T64" s="4959">
        <v>0</v>
      </c>
      <c r="U64" s="289"/>
    </row>
    <row r="65" spans="1:21" s="400" customFormat="1" ht="12" customHeight="1">
      <c r="A65" s="45"/>
      <c r="B65" s="45"/>
      <c r="C65" s="45"/>
      <c r="D65" s="45"/>
      <c r="E65" s="45" t="s">
        <v>6713</v>
      </c>
      <c r="F65" s="45"/>
      <c r="G65" s="45"/>
      <c r="H65" s="45"/>
      <c r="I65" s="45"/>
      <c r="J65" s="2034" t="str">
        <f>IFERROR(J64/(I94+J25),"n.a")</f>
        <v>n.a</v>
      </c>
      <c r="K65" s="1936" t="str">
        <f>IFERROR(K64/(J94+K25),"n.a")</f>
        <v>n.a</v>
      </c>
      <c r="L65" s="1936">
        <f>IFERROR(L64/(K94+L25),"n.a")</f>
        <v>0.51542910857850421</v>
      </c>
      <c r="M65" s="2497">
        <f>IFERROR(M64/(L94+M25)/3*4,"n.a")</f>
        <v>1.1079794101917246</v>
      </c>
      <c r="N65" s="399">
        <f>M65</f>
        <v>1.1079794101917246</v>
      </c>
      <c r="O65" s="399">
        <f t="shared" si="49"/>
        <v>1.1079794101917246</v>
      </c>
      <c r="P65" s="4912">
        <f t="shared" si="49"/>
        <v>1.1079794101917246</v>
      </c>
      <c r="Q65" s="4912">
        <f t="shared" si="49"/>
        <v>1.1079794101917246</v>
      </c>
      <c r="R65" s="4912">
        <f t="shared" si="49"/>
        <v>1.1079794101917246</v>
      </c>
      <c r="S65" s="4912">
        <f t="shared" si="49"/>
        <v>1.1079794101917246</v>
      </c>
      <c r="T65" s="4912">
        <f t="shared" si="49"/>
        <v>1.1079794101917246</v>
      </c>
      <c r="U65" s="289"/>
    </row>
    <row r="66" spans="1:21" s="400" customFormat="1" ht="12" customHeight="1">
      <c r="A66" s="45"/>
      <c r="B66" s="45"/>
      <c r="C66" s="3" t="s">
        <v>1481</v>
      </c>
      <c r="D66" s="3"/>
      <c r="E66" s="3"/>
      <c r="F66" s="3"/>
      <c r="G66" s="3"/>
      <c r="H66" s="3"/>
      <c r="I66" s="3"/>
      <c r="J66" s="4375">
        <f>J67+J69+J71</f>
        <v>78.528999999999996</v>
      </c>
      <c r="K66" s="4376">
        <f t="shared" ref="K66:M66" si="51">K67+K69+K71</f>
        <v>129.291</v>
      </c>
      <c r="L66" s="4376">
        <f t="shared" si="51"/>
        <v>120.524</v>
      </c>
      <c r="M66" s="4377">
        <f t="shared" si="51"/>
        <v>85.637108999999995</v>
      </c>
      <c r="N66" s="248">
        <f>N67+N69+N71</f>
        <v>22.58247184972095</v>
      </c>
      <c r="O66" s="248">
        <f t="shared" ref="O66" si="52">O67+O69+O71</f>
        <v>108.21958084972096</v>
      </c>
      <c r="P66" s="4958">
        <f t="shared" ref="P66" si="53">P67+P69+P71</f>
        <v>123.67330016288031</v>
      </c>
      <c r="Q66" s="4958">
        <f t="shared" ref="Q66" si="54">Q67+Q69+Q71</f>
        <v>120.69456339494684</v>
      </c>
      <c r="R66" s="4958">
        <f t="shared" ref="R66" si="55">R67+R69+R71</f>
        <v>114.39397884668188</v>
      </c>
      <c r="S66" s="4958">
        <f t="shared" ref="S66" si="56">S67+S69+S71</f>
        <v>117.32671882411826</v>
      </c>
      <c r="T66" s="4958">
        <f t="shared" ref="T66" si="57">T67+T69+T71</f>
        <v>119.58286876211446</v>
      </c>
      <c r="U66" s="289"/>
    </row>
    <row r="67" spans="1:21" s="1055" customFormat="1" ht="12" customHeight="1">
      <c r="A67" s="3"/>
      <c r="B67" s="3"/>
      <c r="C67" s="3"/>
      <c r="D67" s="3" t="s">
        <v>1455</v>
      </c>
      <c r="E67" s="3"/>
      <c r="F67" s="3"/>
      <c r="G67" s="3"/>
      <c r="H67" s="3"/>
      <c r="I67" s="3"/>
      <c r="J67" s="4024">
        <f>CAPEX계획!AL9</f>
        <v>53.356999999999999</v>
      </c>
      <c r="K67" s="4021">
        <f>CAPEX계획!AM9</f>
        <v>59.110999999999997</v>
      </c>
      <c r="L67" s="4021">
        <f>CAPEX계획!AN9</f>
        <v>56.92</v>
      </c>
      <c r="M67" s="2185">
        <f>(유무형자산명세서!I159+유무형자산명세서!I160+유무형자산명세서!I161+유무형자산명세서!I162)/10^6</f>
        <v>59.692898999999997</v>
      </c>
      <c r="N67" s="248">
        <f>(M96+N27)*N68/4</f>
        <v>15.632357543897252</v>
      </c>
      <c r="O67" s="248">
        <f>N67+M67</f>
        <v>75.325256543897254</v>
      </c>
      <c r="P67" s="4958">
        <f>(O96+P27)*P68</f>
        <v>82.903449380329164</v>
      </c>
      <c r="Q67" s="4958">
        <f t="shared" ref="Q67:T67" si="58">(P96+Q27)*Q68</f>
        <v>76.628740352070494</v>
      </c>
      <c r="R67" s="4958">
        <f t="shared" si="58"/>
        <v>66.593802646212325</v>
      </c>
      <c r="S67" s="4958">
        <f t="shared" si="58"/>
        <v>66.455800207908482</v>
      </c>
      <c r="T67" s="4958">
        <f t="shared" si="58"/>
        <v>66.355605399851413</v>
      </c>
      <c r="U67" s="1953"/>
    </row>
    <row r="68" spans="1:21" s="400" customFormat="1" ht="12" customHeight="1">
      <c r="A68" s="45"/>
      <c r="B68" s="45"/>
      <c r="C68" s="45"/>
      <c r="D68" s="45"/>
      <c r="E68" s="45" t="s">
        <v>6713</v>
      </c>
      <c r="F68" s="45"/>
      <c r="G68" s="45"/>
      <c r="H68" s="45"/>
      <c r="I68" s="45"/>
      <c r="J68" s="398">
        <f>IFERROR(J67/(I96+J27),"n.a")</f>
        <v>0.22002116932132226</v>
      </c>
      <c r="K68" s="399">
        <f>IFERROR(K67/(J96+K27),"n.a")</f>
        <v>0.21121907721586447</v>
      </c>
      <c r="L68" s="399">
        <f>IFERROR(L67/(K96+L27),"n.a")</f>
        <v>0.20082762645515306</v>
      </c>
      <c r="M68" s="2037">
        <f>IFERROR(M67/(L96+M27)/3*4,"n.a")</f>
        <v>0.27396349449649954</v>
      </c>
      <c r="N68" s="399">
        <f>M68</f>
        <v>0.27396349449649954</v>
      </c>
      <c r="O68" s="399">
        <f t="shared" ref="O68:T68" si="59">N68</f>
        <v>0.27396349449649954</v>
      </c>
      <c r="P68" s="4912">
        <f t="shared" si="59"/>
        <v>0.27396349449649954</v>
      </c>
      <c r="Q68" s="4912">
        <f t="shared" si="59"/>
        <v>0.27396349449649954</v>
      </c>
      <c r="R68" s="4912">
        <f t="shared" si="59"/>
        <v>0.27396349449649954</v>
      </c>
      <c r="S68" s="4912">
        <f t="shared" si="59"/>
        <v>0.27396349449649954</v>
      </c>
      <c r="T68" s="4912">
        <f t="shared" si="59"/>
        <v>0.27396349449649954</v>
      </c>
      <c r="U68" s="289"/>
    </row>
    <row r="69" spans="1:21" s="1055" customFormat="1" ht="12" customHeight="1">
      <c r="A69" s="3"/>
      <c r="B69" s="3"/>
      <c r="C69" s="3"/>
      <c r="D69" s="3" t="s">
        <v>1457</v>
      </c>
      <c r="E69" s="3"/>
      <c r="F69" s="3"/>
      <c r="G69" s="3"/>
      <c r="H69" s="3"/>
      <c r="I69" s="3"/>
      <c r="J69" s="4024">
        <f>CAPEX계획!AL10</f>
        <v>25.172000000000001</v>
      </c>
      <c r="K69" s="4021">
        <f>CAPEX계획!AM10</f>
        <v>27.335000000000001</v>
      </c>
      <c r="L69" s="4021">
        <f>CAPEX계획!AN10</f>
        <v>20.949000000000002</v>
      </c>
      <c r="M69" s="2185">
        <f>유무형자산명세서!I163/10^6</f>
        <v>6.9449399999999999</v>
      </c>
      <c r="N69" s="4392">
        <f>(M97+N28)*N70/4</f>
        <v>0.96154206456944091</v>
      </c>
      <c r="O69" s="4392">
        <f>N69+M69</f>
        <v>7.9064820645694409</v>
      </c>
      <c r="P69" s="4962">
        <f>(O97+P28)*P70</f>
        <v>3.0966225420005884</v>
      </c>
      <c r="Q69" s="4962">
        <f t="shared" ref="Q69:T69" si="60">(P97+Q28)*Q70</f>
        <v>0.68272901949182396</v>
      </c>
      <c r="R69" s="4962">
        <f t="shared" si="60"/>
        <v>0.15052493732579003</v>
      </c>
      <c r="S69" s="4962">
        <f t="shared" si="60"/>
        <v>3.3187042164690587E-2</v>
      </c>
      <c r="T69" s="4962">
        <f t="shared" si="60"/>
        <v>7.3169256018832916E-3</v>
      </c>
      <c r="U69" s="1953"/>
    </row>
    <row r="70" spans="1:21" s="400" customFormat="1" ht="12" customHeight="1">
      <c r="A70" s="45"/>
      <c r="B70" s="45"/>
      <c r="C70" s="45"/>
      <c r="D70" s="45"/>
      <c r="E70" s="45" t="s">
        <v>6713</v>
      </c>
      <c r="F70" s="45"/>
      <c r="G70" s="45"/>
      <c r="H70" s="45"/>
      <c r="I70" s="45"/>
      <c r="J70" s="398">
        <f>IFERROR(J69/(I97+J28),"n.a")</f>
        <v>0.29497704090286975</v>
      </c>
      <c r="K70" s="399">
        <f>IFERROR(K69/(J97+K28),"n.a")</f>
        <v>0.45434990963365085</v>
      </c>
      <c r="L70" s="399">
        <f>IFERROR(L69/(K97+L28),"n.a")</f>
        <v>0.63814685248968517</v>
      </c>
      <c r="M70" s="2037">
        <f>IFERROR(M69/(L97+M28)/3*4,"n.a")</f>
        <v>0.7795246239308381</v>
      </c>
      <c r="N70" s="399">
        <f>M70</f>
        <v>0.7795246239308381</v>
      </c>
      <c r="O70" s="399">
        <f t="shared" ref="O70:T70" si="61">N70</f>
        <v>0.7795246239308381</v>
      </c>
      <c r="P70" s="4912">
        <f t="shared" si="61"/>
        <v>0.7795246239308381</v>
      </c>
      <c r="Q70" s="4912">
        <f t="shared" si="61"/>
        <v>0.7795246239308381</v>
      </c>
      <c r="R70" s="4912">
        <f t="shared" si="61"/>
        <v>0.7795246239308381</v>
      </c>
      <c r="S70" s="4912">
        <f t="shared" si="61"/>
        <v>0.7795246239308381</v>
      </c>
      <c r="T70" s="4912">
        <f t="shared" si="61"/>
        <v>0.7795246239308381</v>
      </c>
      <c r="U70" s="289"/>
    </row>
    <row r="71" spans="1:21" ht="12" customHeight="1">
      <c r="D71" s="3" t="s">
        <v>1545</v>
      </c>
      <c r="J71" s="4024">
        <f>CAPEX계획!AL11</f>
        <v>0</v>
      </c>
      <c r="K71" s="4021">
        <f>CAPEX계획!AM11</f>
        <v>42.844999999999999</v>
      </c>
      <c r="L71" s="4021">
        <f>CAPEX계획!AN11</f>
        <v>42.655000000000001</v>
      </c>
      <c r="M71" s="2185">
        <f>연결정산표!G53/10^6</f>
        <v>18.999269999999999</v>
      </c>
      <c r="N71" s="14">
        <f>(M98+N29)*N72/4</f>
        <v>5.988572241254257</v>
      </c>
      <c r="O71" s="14">
        <f>N71+M71</f>
        <v>24.987842241254256</v>
      </c>
      <c r="P71" s="4959">
        <f>(O98+P29)*P72</f>
        <v>37.67322824055055</v>
      </c>
      <c r="Q71" s="4959">
        <f t="shared" ref="Q71:T71" si="62">(P98+Q29)*Q72</f>
        <v>43.383094023384515</v>
      </c>
      <c r="R71" s="4959">
        <f t="shared" si="62"/>
        <v>47.649651263143774</v>
      </c>
      <c r="S71" s="4959">
        <f t="shared" si="62"/>
        <v>50.837731574045094</v>
      </c>
      <c r="T71" s="4959">
        <f t="shared" si="62"/>
        <v>53.219946436661154</v>
      </c>
      <c r="U71" s="289" t="s">
        <v>5957</v>
      </c>
    </row>
    <row r="72" spans="1:21" ht="12" customHeight="1">
      <c r="C72" s="45"/>
      <c r="D72" s="45"/>
      <c r="E72" s="45" t="s">
        <v>6713</v>
      </c>
      <c r="F72" s="45"/>
      <c r="G72" s="45"/>
      <c r="H72" s="45"/>
      <c r="I72" s="45"/>
      <c r="J72" s="4388" t="str">
        <f>IFERROR(J71/(I98+J29),"n.a")</f>
        <v>n.a</v>
      </c>
      <c r="K72" s="4389">
        <f>IFERROR(K71/(J98+K29),"n.a")</f>
        <v>0.75695205116426989</v>
      </c>
      <c r="L72" s="4389">
        <f>IFERROR(L71/(K98+L29),"n.a")</f>
        <v>0.31867771229791075</v>
      </c>
      <c r="M72" s="4389">
        <f>IFERROR(M71/(L98+M29)/3*4,"n.a")</f>
        <v>0.2527745130916817</v>
      </c>
      <c r="N72" s="399">
        <f>M72</f>
        <v>0.2527745130916817</v>
      </c>
      <c r="O72" s="399">
        <f t="shared" ref="O72:T74" si="63">N72</f>
        <v>0.2527745130916817</v>
      </c>
      <c r="P72" s="4912">
        <f t="shared" si="63"/>
        <v>0.2527745130916817</v>
      </c>
      <c r="Q72" s="4912">
        <f t="shared" si="63"/>
        <v>0.2527745130916817</v>
      </c>
      <c r="R72" s="4912">
        <f t="shared" si="63"/>
        <v>0.2527745130916817</v>
      </c>
      <c r="S72" s="4912">
        <f t="shared" si="63"/>
        <v>0.2527745130916817</v>
      </c>
      <c r="T72" s="4912">
        <f t="shared" si="63"/>
        <v>0.2527745130916817</v>
      </c>
    </row>
    <row r="73" spans="1:21" ht="12" customHeight="1">
      <c r="C73" s="3" t="s">
        <v>67</v>
      </c>
      <c r="J73" s="4390">
        <f>J37-J38-J45-J52-J59-J66</f>
        <v>-490.27399999999989</v>
      </c>
      <c r="K73" s="4391">
        <f t="shared" ref="K73:L73" si="64">K37-K38-K45-K52-K59-K66</f>
        <v>-704.90600000000018</v>
      </c>
      <c r="L73" s="4391">
        <f t="shared" si="64"/>
        <v>-906.02799999999945</v>
      </c>
      <c r="M73" s="4391">
        <f>-유무형자산명세서!Q74/10^6</f>
        <v>-1148.737748</v>
      </c>
      <c r="N73" s="4392">
        <f>-N38*N74</f>
        <v>-369.36342272793269</v>
      </c>
      <c r="O73" s="4392">
        <f t="shared" ref="O73:T73" si="65">-O38*O74</f>
        <v>-1518.1011707279326</v>
      </c>
      <c r="P73" s="4962">
        <f t="shared" si="65"/>
        <v>-1638.5478570344942</v>
      </c>
      <c r="Q73" s="4962">
        <f t="shared" si="65"/>
        <v>-1688.1612499209152</v>
      </c>
      <c r="R73" s="4962">
        <f t="shared" si="65"/>
        <v>-1770.2294883640027</v>
      </c>
      <c r="S73" s="4962">
        <f t="shared" si="65"/>
        <v>-1904.4964453304915</v>
      </c>
      <c r="T73" s="4962">
        <f t="shared" si="65"/>
        <v>-1972.1260440865237</v>
      </c>
    </row>
    <row r="74" spans="1:21" ht="12" customHeight="1">
      <c r="B74" s="12"/>
      <c r="C74" s="361"/>
      <c r="D74" s="361" t="s">
        <v>5709</v>
      </c>
      <c r="E74" s="361"/>
      <c r="F74" s="361"/>
      <c r="G74" s="361"/>
      <c r="H74" s="361"/>
      <c r="I74" s="361"/>
      <c r="J74" s="4378">
        <f>-J73/J38</f>
        <v>7.7554138918328915E-3</v>
      </c>
      <c r="K74" s="2632">
        <f t="shared" ref="K74:M74" si="66">-K73/K38</f>
        <v>1.0312276903271113E-2</v>
      </c>
      <c r="L74" s="2632">
        <f t="shared" si="66"/>
        <v>1.3258040914279018E-2</v>
      </c>
      <c r="M74" s="2632">
        <f t="shared" si="66"/>
        <v>2.1906221799825869E-2</v>
      </c>
      <c r="N74" s="2632">
        <f>M74</f>
        <v>2.1906221799825869E-2</v>
      </c>
      <c r="O74" s="2632">
        <f t="shared" si="63"/>
        <v>2.1906221799825869E-2</v>
      </c>
      <c r="P74" s="4865">
        <f t="shared" si="63"/>
        <v>2.1906221799825869E-2</v>
      </c>
      <c r="Q74" s="4865">
        <f t="shared" si="63"/>
        <v>2.1906221799825869E-2</v>
      </c>
      <c r="R74" s="4865">
        <f t="shared" si="63"/>
        <v>2.1906221799825869E-2</v>
      </c>
      <c r="S74" s="4865">
        <f t="shared" si="63"/>
        <v>2.1906221799825869E-2</v>
      </c>
      <c r="T74" s="4865">
        <f t="shared" si="63"/>
        <v>2.1906221799825869E-2</v>
      </c>
    </row>
    <row r="76" spans="1:21" ht="12" customHeight="1">
      <c r="B76" s="4027" t="s">
        <v>6714</v>
      </c>
      <c r="C76" s="4027"/>
      <c r="D76" s="4027"/>
      <c r="E76" s="4027"/>
      <c r="F76" s="4027"/>
      <c r="G76" s="4027"/>
      <c r="H76" s="4027"/>
      <c r="I76" s="4027"/>
      <c r="J76" s="25" t="s">
        <v>23</v>
      </c>
      <c r="K76" s="26"/>
      <c r="L76" s="26"/>
      <c r="M76" s="27"/>
      <c r="N76" s="26" t="s">
        <v>24</v>
      </c>
      <c r="O76" s="26"/>
      <c r="P76" s="26"/>
      <c r="Q76" s="26"/>
      <c r="R76" s="26"/>
      <c r="S76" s="26"/>
      <c r="T76" s="26"/>
    </row>
    <row r="77" spans="1:21" ht="12" customHeight="1">
      <c r="B77" s="28"/>
      <c r="C77" s="28"/>
      <c r="D77" s="28"/>
      <c r="E77" s="28"/>
      <c r="F77" s="28"/>
      <c r="G77" s="28"/>
      <c r="H77" s="28"/>
      <c r="I77" s="4379" t="s">
        <v>25</v>
      </c>
      <c r="J77" s="29" t="s">
        <v>69</v>
      </c>
      <c r="K77" s="30" t="s">
        <v>27</v>
      </c>
      <c r="L77" s="10" t="s">
        <v>60</v>
      </c>
      <c r="M77" s="31" t="s">
        <v>5104</v>
      </c>
      <c r="N77" s="29" t="s">
        <v>5174</v>
      </c>
      <c r="O77" s="30" t="s">
        <v>70</v>
      </c>
      <c r="P77" s="30" t="s">
        <v>71</v>
      </c>
      <c r="Q77" s="30" t="s">
        <v>72</v>
      </c>
      <c r="R77" s="30" t="s">
        <v>73</v>
      </c>
      <c r="S77" s="30" t="s">
        <v>74</v>
      </c>
      <c r="T77" s="30" t="s">
        <v>5102</v>
      </c>
    </row>
    <row r="78" spans="1:21" ht="12" customHeight="1">
      <c r="B78" s="32" t="str">
        <f>B76</f>
        <v>Book value</v>
      </c>
      <c r="C78" s="32"/>
      <c r="D78" s="32"/>
      <c r="E78" s="32"/>
      <c r="F78" s="32"/>
      <c r="G78" s="32"/>
      <c r="H78" s="32"/>
      <c r="I78" s="4380"/>
      <c r="J78" s="4381">
        <f>(연결FS!D13+연결FS!D15+연결FS!D16)/10^6</f>
        <v>752251.46003199997</v>
      </c>
      <c r="K78" s="4382">
        <f>(연결FS!E13+연결FS!E15+연결FS!E16)/10^6</f>
        <v>770596.29116300005</v>
      </c>
      <c r="L78" s="4382">
        <f>(연결FS!F13+연결FS!F15+연결FS!F16)/10^6</f>
        <v>783791.46846600005</v>
      </c>
      <c r="M78" s="4383">
        <f>(연결정산표!L443+연결정산표!L510+연결정산표!L553)/10^6</f>
        <v>816680.07616699999</v>
      </c>
      <c r="N78" s="3414">
        <f>M78+N8-N37</f>
        <v>837687.33094351983</v>
      </c>
      <c r="O78" s="3414">
        <f>N78</f>
        <v>837687.33094351983</v>
      </c>
      <c r="P78" s="3414">
        <f>O78+P8-P37</f>
        <v>900113.11804881284</v>
      </c>
      <c r="Q78" s="3414">
        <f t="shared" ref="Q78:T78" si="67">P78+Q8-Q37</f>
        <v>941424.26074304059</v>
      </c>
      <c r="R78" s="3414">
        <f t="shared" si="67"/>
        <v>959687.08201612125</v>
      </c>
      <c r="S78" s="3414">
        <f t="shared" si="67"/>
        <v>993135.04915205284</v>
      </c>
      <c r="T78" s="3414">
        <f t="shared" si="67"/>
        <v>1023628.1211198224</v>
      </c>
    </row>
    <row r="79" spans="1:21" ht="12" customHeight="1">
      <c r="C79" s="3" t="s">
        <v>65</v>
      </c>
      <c r="I79" s="4384"/>
      <c r="J79" s="3415">
        <f>J80+J81+J82</f>
        <v>613917.00236699998</v>
      </c>
      <c r="K79" s="14">
        <f t="shared" ref="K79:M79" si="68">K80+K81+K82</f>
        <v>643069.009678</v>
      </c>
      <c r="L79" s="14">
        <f t="shared" si="68"/>
        <v>661543.72101099999</v>
      </c>
      <c r="M79" s="3198">
        <f t="shared" si="68"/>
        <v>696341.48733899998</v>
      </c>
      <c r="N79" s="14">
        <f>N80+N81+N82</f>
        <v>716432.90443199989</v>
      </c>
      <c r="O79" s="14">
        <f>N79</f>
        <v>716432.90443199989</v>
      </c>
      <c r="P79" s="14">
        <f t="shared" ref="P79:T79" si="69">P80+P81+P82</f>
        <v>765248.61780789949</v>
      </c>
      <c r="Q79" s="14">
        <f t="shared" si="69"/>
        <v>814099.52288687858</v>
      </c>
      <c r="R79" s="14">
        <f t="shared" si="69"/>
        <v>836204.08415572892</v>
      </c>
      <c r="S79" s="14">
        <f t="shared" si="69"/>
        <v>870729.47544751118</v>
      </c>
      <c r="T79" s="14">
        <f t="shared" si="69"/>
        <v>902167.6342911782</v>
      </c>
    </row>
    <row r="80" spans="1:21" ht="12" customHeight="1">
      <c r="D80" s="3" t="s">
        <v>1456</v>
      </c>
      <c r="I80" s="4384">
        <f>별도FS_본체!C13/10^6</f>
        <v>595981.10644999996</v>
      </c>
      <c r="J80" s="3415">
        <f>별도FS_본체!D13/10^6</f>
        <v>594417.57120200002</v>
      </c>
      <c r="K80" s="14">
        <f>별도FS_본체!E13/10^6</f>
        <v>618006.81466000003</v>
      </c>
      <c r="L80" s="14">
        <f>별도FS_본체!F13/10^6</f>
        <v>632612.145456</v>
      </c>
      <c r="M80" s="3198">
        <f>유무형자산명세서!K11/10^6</f>
        <v>672378.66467199998</v>
      </c>
      <c r="N80" s="14">
        <f>M80+N10-N39</f>
        <v>692552.96993008966</v>
      </c>
      <c r="O80" s="14">
        <f t="shared" ref="O80:O82" si="70">N80</f>
        <v>692552.96993008966</v>
      </c>
      <c r="P80" s="14">
        <f>O80+P10-P39</f>
        <v>742964.09489222732</v>
      </c>
      <c r="Q80" s="14">
        <f>P80+Q10-Q39</f>
        <v>793794.8584484969</v>
      </c>
      <c r="R80" s="14">
        <f t="shared" ref="R80:T80" si="71">Q80+R10-R39</f>
        <v>818311.32916555181</v>
      </c>
      <c r="S80" s="14">
        <f t="shared" si="71"/>
        <v>852840.78350921615</v>
      </c>
      <c r="T80" s="14">
        <f t="shared" si="71"/>
        <v>884301.01710089191</v>
      </c>
    </row>
    <row r="81" spans="3:20" ht="12" customHeight="1">
      <c r="D81" s="3" t="s">
        <v>1458</v>
      </c>
      <c r="I81" s="4384">
        <f>별도FS_본체!C14/10^6</f>
        <v>14721.527818</v>
      </c>
      <c r="J81" s="3415">
        <f>별도FS_본체!D14/10^6</f>
        <v>19499.431165000002</v>
      </c>
      <c r="K81" s="14">
        <f>별도FS_본체!E14/10^6</f>
        <v>18374.791813</v>
      </c>
      <c r="L81" s="14">
        <f>별도FS_본체!F14/10^6</f>
        <v>23975.63349</v>
      </c>
      <c r="M81" s="3198">
        <f>유무형자산명세서!I47/10^6</f>
        <v>20265.993195999999</v>
      </c>
      <c r="N81" s="14">
        <f>M81+N11-N41</f>
        <v>20141.930417273339</v>
      </c>
      <c r="O81" s="14">
        <f t="shared" si="70"/>
        <v>20141.930417273339</v>
      </c>
      <c r="P81" s="14">
        <f t="shared" ref="P81:T81" si="72">O81+P11-P41</f>
        <v>18177.157744080301</v>
      </c>
      <c r="Q81" s="14">
        <f t="shared" si="72"/>
        <v>15924.046430305621</v>
      </c>
      <c r="R81" s="14">
        <f t="shared" si="72"/>
        <v>13309.984900347361</v>
      </c>
      <c r="S81" s="14">
        <f t="shared" si="72"/>
        <v>13156.370009651278</v>
      </c>
      <c r="T81" s="14">
        <f t="shared" si="72"/>
        <v>13023.65701197126</v>
      </c>
    </row>
    <row r="82" spans="3:20" ht="12" customHeight="1">
      <c r="D82" s="3" t="s">
        <v>1546</v>
      </c>
      <c r="I82" s="4384">
        <f>별도FS_본체!C16/10^6</f>
        <v>0</v>
      </c>
      <c r="J82" s="3415">
        <f>별도FS_본체!D16/10^6</f>
        <v>0</v>
      </c>
      <c r="K82" s="14">
        <f>별도FS_본체!E16/10^6</f>
        <v>6687.4032049999996</v>
      </c>
      <c r="L82" s="14">
        <f>별도FS_본체!F16/10^6</f>
        <v>4955.9420650000002</v>
      </c>
      <c r="M82" s="3198">
        <f>연결정산표!D553/10^6</f>
        <v>3696.829471</v>
      </c>
      <c r="N82" s="14">
        <f>M82+N12-N43</f>
        <v>3738.0040846369766</v>
      </c>
      <c r="O82" s="14">
        <f t="shared" si="70"/>
        <v>3738.0040846369766</v>
      </c>
      <c r="P82" s="14">
        <f t="shared" ref="P82:T82" si="73">O82+P12-P43</f>
        <v>4107.3651715918213</v>
      </c>
      <c r="Q82" s="14">
        <f t="shared" si="73"/>
        <v>4380.6180080761487</v>
      </c>
      <c r="R82" s="14">
        <f t="shared" si="73"/>
        <v>4582.7700898298472</v>
      </c>
      <c r="S82" s="14">
        <f t="shared" si="73"/>
        <v>4732.3219286437798</v>
      </c>
      <c r="T82" s="14">
        <f t="shared" si="73"/>
        <v>4842.9601783150292</v>
      </c>
    </row>
    <row r="83" spans="3:20" ht="12" customHeight="1">
      <c r="C83" s="3" t="s">
        <v>1480</v>
      </c>
      <c r="I83" s="4384"/>
      <c r="J83" s="3415">
        <f>J84+J85+J86</f>
        <v>17022.439083000001</v>
      </c>
      <c r="K83" s="14">
        <f t="shared" ref="K83:M83" si="74">K84+K85+K86</f>
        <v>14430.406089</v>
      </c>
      <c r="L83" s="14">
        <f t="shared" si="74"/>
        <v>14379.523494999999</v>
      </c>
      <c r="M83" s="3198">
        <f t="shared" si="74"/>
        <v>16165.8218</v>
      </c>
      <c r="N83" s="14">
        <f>SUM(N84:N86)</f>
        <v>18907.839547554657</v>
      </c>
      <c r="O83" s="14">
        <f t="shared" ref="O83:T83" si="75">SUM(O84:O86)</f>
        <v>18907.839547554657</v>
      </c>
      <c r="P83" s="14">
        <f t="shared" si="75"/>
        <v>32166.030178554662</v>
      </c>
      <c r="Q83" s="14">
        <f t="shared" si="75"/>
        <v>32247.683105887994</v>
      </c>
      <c r="R83" s="14">
        <f t="shared" si="75"/>
        <v>30760.187574221323</v>
      </c>
      <c r="S83" s="14">
        <f t="shared" si="75"/>
        <v>33545.525959131111</v>
      </c>
      <c r="T83" s="14">
        <f t="shared" si="75"/>
        <v>36165.063086053109</v>
      </c>
    </row>
    <row r="84" spans="3:20" ht="12" customHeight="1">
      <c r="D84" s="3" t="s">
        <v>1455</v>
      </c>
      <c r="I84" s="4384">
        <f>16748611981/10^6</f>
        <v>16748.611980999998</v>
      </c>
      <c r="J84" s="3415">
        <f>Torecom_BSPL!AF437/10^6</f>
        <v>16913.078623000001</v>
      </c>
      <c r="K84" s="14">
        <f>Torecom_BSPL!X443/10^6</f>
        <v>14243.497600000001</v>
      </c>
      <c r="L84" s="14">
        <f>Torecom_BSPL!P443/10^6</f>
        <v>14146.900981999999</v>
      </c>
      <c r="M84" s="3198">
        <f>Torecom_BSPL!H443/10^6</f>
        <v>15802.204521</v>
      </c>
      <c r="N84" s="14">
        <f>M84+N15-N46</f>
        <v>18547.522567434717</v>
      </c>
      <c r="O84" s="14">
        <f>N84</f>
        <v>18547.522567434717</v>
      </c>
      <c r="P84" s="14">
        <f t="shared" ref="P84:T84" si="76">O84+P15-P46</f>
        <v>29778.573358232141</v>
      </c>
      <c r="Q84" s="14">
        <f t="shared" si="76"/>
        <v>29593.917187934949</v>
      </c>
      <c r="R84" s="14">
        <f t="shared" si="76"/>
        <v>28069.052586101621</v>
      </c>
      <c r="S84" s="14">
        <f t="shared" si="76"/>
        <v>30289.860698957364</v>
      </c>
      <c r="T84" s="14">
        <f t="shared" si="76"/>
        <v>32360.38138132351</v>
      </c>
    </row>
    <row r="85" spans="3:20" ht="12" customHeight="1">
      <c r="D85" s="3" t="s">
        <v>1457</v>
      </c>
      <c r="I85" s="4384">
        <f>116928301/10^6</f>
        <v>116.928301</v>
      </c>
      <c r="J85" s="3415">
        <f>Torecom_BSPL!AF504/10^6</f>
        <v>109.36046</v>
      </c>
      <c r="K85" s="14">
        <f>Torecom_BSPL!X510/10^6</f>
        <v>96.402720000000002</v>
      </c>
      <c r="L85" s="14">
        <f>Torecom_BSPL!P510/10^6</f>
        <v>127.988429</v>
      </c>
      <c r="M85" s="3198">
        <f>Torecom_BSPL!H510/10^6</f>
        <v>181.874269</v>
      </c>
      <c r="N85" s="14">
        <f>M85+N16-N48</f>
        <v>171.20969915877964</v>
      </c>
      <c r="O85" s="14">
        <f>N85</f>
        <v>171.20969915877964</v>
      </c>
      <c r="P85" s="14">
        <f t="shared" ref="P85:T85" si="77">O85+P16-P48</f>
        <v>2176.7817633613581</v>
      </c>
      <c r="Q85" s="14">
        <f t="shared" si="77"/>
        <v>2421.5230849918839</v>
      </c>
      <c r="R85" s="14">
        <f t="shared" si="77"/>
        <v>2437.3243791585423</v>
      </c>
      <c r="S85" s="14">
        <f t="shared" si="77"/>
        <v>2980.2868752125914</v>
      </c>
      <c r="T85" s="14">
        <f t="shared" si="77"/>
        <v>3507.7355437684382</v>
      </c>
    </row>
    <row r="86" spans="3:20" ht="12" customHeight="1">
      <c r="D86" s="3" t="s">
        <v>1545</v>
      </c>
      <c r="I86" s="4384"/>
      <c r="J86" s="3415">
        <v>0</v>
      </c>
      <c r="K86" s="14">
        <f>Torecom_BSPL!X553/10^6</f>
        <v>90.505769000000001</v>
      </c>
      <c r="L86" s="14">
        <f>Torecom_BSPL!P553/10^6</f>
        <v>104.634084</v>
      </c>
      <c r="M86" s="3198">
        <f>연결정산표!E553/10^6</f>
        <v>181.74301</v>
      </c>
      <c r="N86" s="14">
        <f>M86+N17-N50</f>
        <v>189.10728096116051</v>
      </c>
      <c r="O86" s="14">
        <f>N86</f>
        <v>189.10728096116051</v>
      </c>
      <c r="P86" s="14">
        <f t="shared" ref="P86:T86" si="78">O86+P17-P50</f>
        <v>210.67505696116052</v>
      </c>
      <c r="Q86" s="14">
        <f t="shared" si="78"/>
        <v>232.24283296116053</v>
      </c>
      <c r="R86" s="14">
        <f t="shared" si="78"/>
        <v>253.81060896116051</v>
      </c>
      <c r="S86" s="14">
        <f t="shared" si="78"/>
        <v>275.37838496116046</v>
      </c>
      <c r="T86" s="14">
        <f t="shared" si="78"/>
        <v>296.94616096116044</v>
      </c>
    </row>
    <row r="87" spans="3:20" ht="12" customHeight="1">
      <c r="C87" s="3" t="s">
        <v>3238</v>
      </c>
      <c r="I87" s="4384"/>
      <c r="J87" s="3415">
        <f>J88+J89+J90</f>
        <v>88117.184416000004</v>
      </c>
      <c r="K87" s="14">
        <f t="shared" ref="K87:M87" si="79">K88+K89+K90</f>
        <v>82948.695330999995</v>
      </c>
      <c r="L87" s="14">
        <f t="shared" si="79"/>
        <v>83194.155261000007</v>
      </c>
      <c r="M87" s="3198">
        <f t="shared" si="79"/>
        <v>78793.382539999991</v>
      </c>
      <c r="N87" s="14">
        <f>SUM(N88:N90)</f>
        <v>78020.805555471452</v>
      </c>
      <c r="O87" s="14">
        <f t="shared" ref="O87" si="80">SUM(O88:O90)</f>
        <v>78020.805555471452</v>
      </c>
      <c r="P87" s="14">
        <f t="shared" ref="P87" si="81">SUM(P88:P90)</f>
        <v>81716.46934584844</v>
      </c>
      <c r="Q87" s="14">
        <f t="shared" ref="Q87" si="82">SUM(Q88:Q90)</f>
        <v>76675.973987117904</v>
      </c>
      <c r="R87" s="14">
        <f t="shared" ref="R87" si="83">SUM(R88:R90)</f>
        <v>76819.611099386442</v>
      </c>
      <c r="S87" s="14">
        <f t="shared" ref="S87" si="84">SUM(S88:S90)</f>
        <v>75468.733244732022</v>
      </c>
      <c r="T87" s="14">
        <f t="shared" ref="T87" si="85">SUM(T88:T90)</f>
        <v>74242.826851146878</v>
      </c>
    </row>
    <row r="88" spans="3:20" ht="12" customHeight="1">
      <c r="D88" s="3" t="s">
        <v>1455</v>
      </c>
      <c r="I88" s="4384">
        <f>73014742620/10^6</f>
        <v>73014.742620000005</v>
      </c>
      <c r="J88" s="3415">
        <f>연결정산표!BR437/10^6</f>
        <v>87789.191974000001</v>
      </c>
      <c r="K88" s="14">
        <f>연결정산표!BD443/10^6</f>
        <v>82513.047737000001</v>
      </c>
      <c r="L88" s="14">
        <f>연결정산표!AD443/10^6</f>
        <v>82640.903971000007</v>
      </c>
      <c r="M88" s="3198">
        <f>연결정산표!F443/10^6</f>
        <v>78309.538551999998</v>
      </c>
      <c r="N88" s="14">
        <f>M88+N19-N53</f>
        <v>77486.785783406056</v>
      </c>
      <c r="O88" s="14">
        <f>N88</f>
        <v>77486.785783406056</v>
      </c>
      <c r="P88" s="14">
        <f t="shared" ref="P88:T88" si="86">O88+P19-P53</f>
        <v>80835.990875371834</v>
      </c>
      <c r="Q88" s="14">
        <f t="shared" si="86"/>
        <v>75778.991444195955</v>
      </c>
      <c r="R88" s="14">
        <f t="shared" si="86"/>
        <v>75766.422673220295</v>
      </c>
      <c r="S88" s="14">
        <f t="shared" si="86"/>
        <v>74334.700058930524</v>
      </c>
      <c r="T88" s="14">
        <f t="shared" si="86"/>
        <v>73043.321438976025</v>
      </c>
    </row>
    <row r="89" spans="3:20" ht="12" customHeight="1">
      <c r="D89" s="3" t="s">
        <v>1457</v>
      </c>
      <c r="I89" s="4384">
        <f>400551168/10^6</f>
        <v>400.55116800000002</v>
      </c>
      <c r="J89" s="3415">
        <f>연결정산표!BR504/10^6</f>
        <v>327.99244199999998</v>
      </c>
      <c r="K89" s="14">
        <f>연결정산표!BD510/10^6</f>
        <v>356.23150600000002</v>
      </c>
      <c r="L89" s="14">
        <f>연결정산표!AD510/10^6</f>
        <v>447.31885699999998</v>
      </c>
      <c r="M89" s="3198">
        <f>연결정산표!F510/10^6</f>
        <v>361.02272399999998</v>
      </c>
      <c r="N89" s="14">
        <f>M89+N20-N55</f>
        <v>384.62072917216699</v>
      </c>
      <c r="O89" s="14">
        <f>N89</f>
        <v>384.62072917216699</v>
      </c>
      <c r="P89" s="14">
        <f t="shared" ref="P89:T89" si="87">O89+P20-P55</f>
        <v>682.19859791503518</v>
      </c>
      <c r="Q89" s="14">
        <f t="shared" si="87"/>
        <v>668.19448821705282</v>
      </c>
      <c r="R89" s="14">
        <f t="shared" si="87"/>
        <v>805.3591812031076</v>
      </c>
      <c r="S89" s="14">
        <f t="shared" si="87"/>
        <v>874.31968877968598</v>
      </c>
      <c r="T89" s="14">
        <f t="shared" si="87"/>
        <v>932.37455073630497</v>
      </c>
    </row>
    <row r="90" spans="3:20" ht="12" customHeight="1">
      <c r="D90" s="3" t="s">
        <v>1545</v>
      </c>
      <c r="I90" s="4384"/>
      <c r="J90" s="3415">
        <v>0</v>
      </c>
      <c r="K90" s="14">
        <f>연결정산표!BD553/10^6</f>
        <v>79.416088000000002</v>
      </c>
      <c r="L90" s="14">
        <f>연결정산표!AD553/10^6</f>
        <v>105.932433</v>
      </c>
      <c r="M90" s="3198">
        <f>연결정산표!F553/10^6</f>
        <v>122.821264</v>
      </c>
      <c r="N90" s="14">
        <f>M90+N21-N57</f>
        <v>149.39904289323383</v>
      </c>
      <c r="O90" s="14">
        <f>N90</f>
        <v>149.39904289323383</v>
      </c>
      <c r="P90" s="14">
        <f t="shared" ref="P90:T90" si="88">O90+P21-P57</f>
        <v>198.27987256157849</v>
      </c>
      <c r="Q90" s="14">
        <f t="shared" si="88"/>
        <v>228.78805470490465</v>
      </c>
      <c r="R90" s="14">
        <f t="shared" si="88"/>
        <v>247.82924496303812</v>
      </c>
      <c r="S90" s="14">
        <f t="shared" si="88"/>
        <v>259.71349702181743</v>
      </c>
      <c r="T90" s="14">
        <f t="shared" si="88"/>
        <v>267.13086143454211</v>
      </c>
    </row>
    <row r="91" spans="3:20" ht="12" customHeight="1">
      <c r="C91" s="3" t="s">
        <v>1560</v>
      </c>
      <c r="I91" s="4384"/>
      <c r="J91" s="3415">
        <f>J92+J93+J94</f>
        <v>31156.884771999998</v>
      </c>
      <c r="K91" s="14">
        <f t="shared" ref="K91:M91" si="89">K92+K93+K94</f>
        <v>29821.019118</v>
      </c>
      <c r="L91" s="14">
        <f t="shared" si="89"/>
        <v>26273.958482000002</v>
      </c>
      <c r="M91" s="3198">
        <f t="shared" si="89"/>
        <v>26745.64027</v>
      </c>
      <c r="N91" s="14">
        <f>N92+N93+N94</f>
        <v>26241.215540522902</v>
      </c>
      <c r="O91" s="14">
        <f t="shared" ref="O91" si="90">O92+O93+O94</f>
        <v>26241.215540522902</v>
      </c>
      <c r="P91" s="14">
        <f t="shared" ref="P91" si="91">P92+P93+P94</f>
        <v>24272.455819752246</v>
      </c>
      <c r="Q91" s="14">
        <f t="shared" ref="Q91" si="92">Q92+Q93+Q94</f>
        <v>23101.373265547554</v>
      </c>
      <c r="R91" s="14">
        <f t="shared" ref="R91" si="93">R92+R93+R94</f>
        <v>21370.874689423308</v>
      </c>
      <c r="S91" s="14">
        <f t="shared" ref="S91" si="94">S92+S93+S94</f>
        <v>19931.961206669035</v>
      </c>
      <c r="T91" s="14">
        <f t="shared" ref="T91" si="95">T92+T93+T94</f>
        <v>18600.841351968389</v>
      </c>
    </row>
    <row r="92" spans="3:20" ht="12" customHeight="1">
      <c r="D92" s="3" t="s">
        <v>1455</v>
      </c>
      <c r="I92" s="4384">
        <f>31311322570/10^6</f>
        <v>31311.32257</v>
      </c>
      <c r="J92" s="3415">
        <f>연결정산표!BT437/10^6</f>
        <v>31120.767491999999</v>
      </c>
      <c r="K92" s="14">
        <f>연결정산표!BF443/10^6</f>
        <v>29775.57864</v>
      </c>
      <c r="L92" s="14">
        <f>연결정산표!AF443/10^6</f>
        <v>26253.773689000001</v>
      </c>
      <c r="M92" s="3198">
        <f>연결정산표!H443/10^6</f>
        <v>26737.777889000001</v>
      </c>
      <c r="N92" s="14">
        <f>M92+N23-N60</f>
        <v>26237.077678644302</v>
      </c>
      <c r="O92" s="14">
        <f>N92</f>
        <v>26237.077678644302</v>
      </c>
      <c r="P92" s="14">
        <f t="shared" ref="P92:T92" si="96">O92+P23-P60</f>
        <v>24271.781928585642</v>
      </c>
      <c r="Q92" s="14">
        <f t="shared" si="96"/>
        <v>23101.263515798106</v>
      </c>
      <c r="R92" s="14">
        <f t="shared" si="96"/>
        <v>21370.856815606137</v>
      </c>
      <c r="S92" s="14">
        <f t="shared" si="96"/>
        <v>19931.958295743574</v>
      </c>
      <c r="T92" s="14">
        <f t="shared" si="96"/>
        <v>18600.840877895786</v>
      </c>
    </row>
    <row r="93" spans="3:20" ht="12" customHeight="1">
      <c r="D93" s="3" t="s">
        <v>1457</v>
      </c>
      <c r="I93" s="4384">
        <f>50132317/10^6</f>
        <v>50.132317</v>
      </c>
      <c r="J93" s="3415">
        <f>연결정산표!BT504/10^6</f>
        <v>36.117280000000001</v>
      </c>
      <c r="K93" s="14">
        <f>연결정산표!BF510/10^6</f>
        <v>23.953527000000001</v>
      </c>
      <c r="L93" s="14">
        <f>연결정산표!AF510/10^6</f>
        <v>10.527847</v>
      </c>
      <c r="M93" s="3198">
        <f>연결정산표!H510/10^6</f>
        <v>5.2330639999999997</v>
      </c>
      <c r="N93" s="14">
        <f>M93+N24-N62</f>
        <v>4.1378618786005248</v>
      </c>
      <c r="O93" s="14">
        <f>N93</f>
        <v>4.1378618786005248</v>
      </c>
      <c r="P93" s="14">
        <f t="shared" ref="P93:T93" si="97">O93+P24-P62</f>
        <v>0.67389116660364534</v>
      </c>
      <c r="Q93" s="14">
        <f t="shared" si="97"/>
        <v>0.10974974944789939</v>
      </c>
      <c r="R93" s="14">
        <f t="shared" si="97"/>
        <v>1.7873817169295328E-2</v>
      </c>
      <c r="S93" s="14">
        <f t="shared" si="97"/>
        <v>2.9109254627780034E-3</v>
      </c>
      <c r="T93" s="14">
        <f t="shared" si="97"/>
        <v>4.7407260405491793E-4</v>
      </c>
    </row>
    <row r="94" spans="3:20" ht="12" customHeight="1">
      <c r="D94" s="3" t="s">
        <v>1545</v>
      </c>
      <c r="I94" s="4384"/>
      <c r="J94" s="3415">
        <v>0</v>
      </c>
      <c r="K94" s="14">
        <f>연결정산표!BF553/10^6</f>
        <v>21.486951000000001</v>
      </c>
      <c r="L94" s="14">
        <f>연결정산표!AF553/10^6</f>
        <v>9.6569459999999996</v>
      </c>
      <c r="M94" s="3198">
        <f>연결정산표!H553/10^6</f>
        <v>2.6293169999999999</v>
      </c>
      <c r="N94" s="14">
        <f>M94+N25-N64</f>
        <v>0</v>
      </c>
      <c r="O94" s="14">
        <f>N94</f>
        <v>0</v>
      </c>
      <c r="P94" s="14">
        <f t="shared" ref="P94:T94" si="98">O94+P25-P64</f>
        <v>0</v>
      </c>
      <c r="Q94" s="14">
        <f t="shared" si="98"/>
        <v>0</v>
      </c>
      <c r="R94" s="14">
        <f t="shared" si="98"/>
        <v>0</v>
      </c>
      <c r="S94" s="14">
        <f t="shared" si="98"/>
        <v>0</v>
      </c>
      <c r="T94" s="14">
        <f t="shared" si="98"/>
        <v>0</v>
      </c>
    </row>
    <row r="95" spans="3:20" ht="12" customHeight="1">
      <c r="C95" s="3" t="s">
        <v>1481</v>
      </c>
      <c r="I95" s="4384"/>
      <c r="J95" s="3415">
        <f>J96+J97+J98</f>
        <v>248.912342</v>
      </c>
      <c r="K95" s="14">
        <f t="shared" ref="K95:M95" si="99">K96+K97+K98</f>
        <v>305.99509499999999</v>
      </c>
      <c r="L95" s="14">
        <f t="shared" si="99"/>
        <v>283.05444799999998</v>
      </c>
      <c r="M95" s="3198">
        <f t="shared" si="99"/>
        <v>312.87394399999999</v>
      </c>
      <c r="N95" s="14">
        <f>N96+N97+N98</f>
        <v>305.35697215027903</v>
      </c>
      <c r="O95" s="14">
        <f t="shared" ref="O95:T95" si="100">O96+O97+O98</f>
        <v>305.35697215027903</v>
      </c>
      <c r="P95" s="14">
        <f t="shared" si="100"/>
        <v>331.94567198739878</v>
      </c>
      <c r="Q95" s="14">
        <f t="shared" si="100"/>
        <v>331.51310859245194</v>
      </c>
      <c r="R95" s="14">
        <f t="shared" si="100"/>
        <v>317.38112974577007</v>
      </c>
      <c r="S95" s="14">
        <f t="shared" si="100"/>
        <v>326.40648792165177</v>
      </c>
      <c r="T95" s="14">
        <f t="shared" si="100"/>
        <v>333.17569615953732</v>
      </c>
    </row>
    <row r="96" spans="3:20" ht="12" customHeight="1">
      <c r="D96" s="3" t="s">
        <v>1455</v>
      </c>
      <c r="I96" s="4384">
        <f>141809296/10^6</f>
        <v>141.80929599999999</v>
      </c>
      <c r="J96" s="3415">
        <f>연결정산표!BS437/10^6</f>
        <v>188.74946</v>
      </c>
      <c r="K96" s="14">
        <f>연결정산표!BE443/10^6</f>
        <v>199.57926499999999</v>
      </c>
      <c r="L96" s="14">
        <f>연결정산표!AE443/10^6</f>
        <v>216.15479199999999</v>
      </c>
      <c r="M96" s="3198">
        <f>연결정산표!G443/10^6</f>
        <v>228.24000799999999</v>
      </c>
      <c r="N96" s="14">
        <f>M96+N27-N67</f>
        <v>212.60765045610273</v>
      </c>
      <c r="O96" s="14">
        <f>N96</f>
        <v>212.60765045610273</v>
      </c>
      <c r="P96" s="14">
        <f t="shared" ref="P96:T96" si="101">O96+P27-P67</f>
        <v>219.7042010757736</v>
      </c>
      <c r="Q96" s="14">
        <f t="shared" si="101"/>
        <v>203.07546072370309</v>
      </c>
      <c r="R96" s="14">
        <f t="shared" si="101"/>
        <v>176.48165807749075</v>
      </c>
      <c r="S96" s="14">
        <f t="shared" si="101"/>
        <v>176.11593486958228</v>
      </c>
      <c r="T96" s="14">
        <f t="shared" si="101"/>
        <v>175.85040646973087</v>
      </c>
    </row>
    <row r="97" spans="2:20" ht="12" customHeight="1">
      <c r="D97" s="3" t="s">
        <v>1457</v>
      </c>
      <c r="I97" s="4384">
        <f>85335455/10^6</f>
        <v>85.335454999999996</v>
      </c>
      <c r="J97" s="3415">
        <f>연결정산표!BS504/10^6</f>
        <v>60.162882000000003</v>
      </c>
      <c r="K97" s="14">
        <f>연결정산표!BE510/10^6</f>
        <v>32.827866999999998</v>
      </c>
      <c r="L97" s="14">
        <f>연결정산표!AE510/10^6</f>
        <v>11.878932000000001</v>
      </c>
      <c r="M97" s="3198">
        <f>연결정산표!G510/10^6</f>
        <v>4.9339919999999999</v>
      </c>
      <c r="N97" s="14">
        <f>M97+N28-N69</f>
        <v>3.9724499354305589</v>
      </c>
      <c r="O97" s="14">
        <f>N97</f>
        <v>3.9724499354305589</v>
      </c>
      <c r="P97" s="14">
        <f t="shared" ref="P97:T97" si="102">O97+P28-P69</f>
        <v>0.87582739342997051</v>
      </c>
      <c r="Q97" s="14">
        <f t="shared" si="102"/>
        <v>0.19309837393814655</v>
      </c>
      <c r="R97" s="14">
        <f t="shared" si="102"/>
        <v>4.2573436612356519E-2</v>
      </c>
      <c r="S97" s="14">
        <f t="shared" si="102"/>
        <v>9.3863944476659314E-3</v>
      </c>
      <c r="T97" s="14">
        <f t="shared" si="102"/>
        <v>2.0694688457826398E-3</v>
      </c>
    </row>
    <row r="98" spans="2:20" ht="12" customHeight="1">
      <c r="D98" s="3" t="s">
        <v>1545</v>
      </c>
      <c r="I98" s="4384"/>
      <c r="J98" s="3415">
        <v>0</v>
      </c>
      <c r="K98" s="14">
        <f>연결정산표!BE553/10^6</f>
        <v>73.587963000000002</v>
      </c>
      <c r="L98" s="14">
        <f>연결정산표!AE553/10^6</f>
        <v>55.020724000000001</v>
      </c>
      <c r="M98" s="3198">
        <f>연결정산표!G553/10^6</f>
        <v>79.699944000000002</v>
      </c>
      <c r="N98" s="14">
        <f>M98+N29-N71</f>
        <v>88.776871758745742</v>
      </c>
      <c r="O98" s="14">
        <f>N98</f>
        <v>88.776871758745742</v>
      </c>
      <c r="P98" s="14">
        <f t="shared" ref="P98:T98" si="103">O98+P29-P71</f>
        <v>111.36564351819521</v>
      </c>
      <c r="Q98" s="14">
        <f t="shared" si="103"/>
        <v>128.24454949481071</v>
      </c>
      <c r="R98" s="14">
        <f t="shared" si="103"/>
        <v>140.85689823166695</v>
      </c>
      <c r="S98" s="14">
        <f t="shared" si="103"/>
        <v>150.28116665762184</v>
      </c>
      <c r="T98" s="14">
        <f t="shared" si="103"/>
        <v>157.32322022096068</v>
      </c>
    </row>
    <row r="99" spans="2:20" ht="12" customHeight="1">
      <c r="B99" s="12"/>
      <c r="C99" s="12" t="s">
        <v>6715</v>
      </c>
      <c r="D99" s="12"/>
      <c r="E99" s="12"/>
      <c r="F99" s="12"/>
      <c r="G99" s="12"/>
      <c r="H99" s="12"/>
      <c r="I99" s="4385"/>
      <c r="J99" s="4386">
        <f>J78-J79-J83-J87-J91-J95</f>
        <v>1789.0370519999883</v>
      </c>
      <c r="K99" s="3607">
        <f>K78-K79-K83-K87-K91-K95</f>
        <v>21.165852000051245</v>
      </c>
      <c r="L99" s="3607">
        <f t="shared" ref="L99:T99" si="104">L78-L79-L83-L87-L91-L95</f>
        <v>-1882.9442309999476</v>
      </c>
      <c r="M99" s="4387">
        <f t="shared" si="104"/>
        <v>-1679.1297259999892</v>
      </c>
      <c r="N99" s="3607">
        <f t="shared" si="104"/>
        <v>-2220.7911041793523</v>
      </c>
      <c r="O99" s="3607">
        <f t="shared" si="104"/>
        <v>-2220.7911041793523</v>
      </c>
      <c r="P99" s="3607">
        <f t="shared" si="104"/>
        <v>-3622.4007752293865</v>
      </c>
      <c r="Q99" s="3607">
        <f t="shared" si="104"/>
        <v>-5031.8056109838881</v>
      </c>
      <c r="R99" s="3607">
        <f t="shared" si="104"/>
        <v>-5785.0566323845142</v>
      </c>
      <c r="S99" s="3607">
        <f t="shared" si="104"/>
        <v>-6867.0531939121529</v>
      </c>
      <c r="T99" s="3607">
        <f t="shared" si="104"/>
        <v>-7881.4201566837355</v>
      </c>
    </row>
  </sheetData>
  <phoneticPr fontId="1" type="noConversion"/>
  <conditionalFormatting sqref="K7:P7">
    <cfRule type="cellIs" dxfId="451" priority="36" operator="equal">
      <formula>"X"</formula>
    </cfRule>
    <cfRule type="cellIs" dxfId="450" priority="37" operator="equal">
      <formula>"O"</formula>
    </cfRule>
    <cfRule type="cellIs" dxfId="449" priority="38" operator="equal">
      <formula>"미정"</formula>
    </cfRule>
    <cfRule type="cellIs" dxfId="448" priority="39" operator="equal">
      <formula>"예정"</formula>
    </cfRule>
    <cfRule type="cellIs" dxfId="447" priority="40" operator="equal">
      <formula>"확정"</formula>
    </cfRule>
  </conditionalFormatting>
  <conditionalFormatting sqref="K36:L36">
    <cfRule type="cellIs" dxfId="446" priority="31" operator="equal">
      <formula>"X"</formula>
    </cfRule>
    <cfRule type="cellIs" dxfId="445" priority="32" operator="equal">
      <formula>"O"</formula>
    </cfRule>
    <cfRule type="cellIs" dxfId="444" priority="33" operator="equal">
      <formula>"미정"</formula>
    </cfRule>
    <cfRule type="cellIs" dxfId="443" priority="34" operator="equal">
      <formula>"예정"</formula>
    </cfRule>
    <cfRule type="cellIs" dxfId="442" priority="35" operator="equal">
      <formula>"확정"</formula>
    </cfRule>
  </conditionalFormatting>
  <conditionalFormatting sqref="O36:P36">
    <cfRule type="cellIs" dxfId="441" priority="26" operator="equal">
      <formula>"X"</formula>
    </cfRule>
    <cfRule type="cellIs" dxfId="440" priority="27" operator="equal">
      <formula>"O"</formula>
    </cfRule>
    <cfRule type="cellIs" dxfId="439" priority="28" operator="equal">
      <formula>"미정"</formula>
    </cfRule>
    <cfRule type="cellIs" dxfId="438" priority="29" operator="equal">
      <formula>"예정"</formula>
    </cfRule>
    <cfRule type="cellIs" dxfId="437" priority="30" operator="equal">
      <formula>"확정"</formula>
    </cfRule>
  </conditionalFormatting>
  <conditionalFormatting sqref="M36:N36">
    <cfRule type="cellIs" dxfId="436" priority="16" operator="equal">
      <formula>"X"</formula>
    </cfRule>
    <cfRule type="cellIs" dxfId="435" priority="17" operator="equal">
      <formula>"O"</formula>
    </cfRule>
    <cfRule type="cellIs" dxfId="434" priority="18" operator="equal">
      <formula>"미정"</formula>
    </cfRule>
    <cfRule type="cellIs" dxfId="433" priority="19" operator="equal">
      <formula>"예정"</formula>
    </cfRule>
    <cfRule type="cellIs" dxfId="432" priority="20" operator="equal">
      <formula>"확정"</formula>
    </cfRule>
  </conditionalFormatting>
  <conditionalFormatting sqref="K77:L77">
    <cfRule type="cellIs" dxfId="431" priority="11" operator="equal">
      <formula>"X"</formula>
    </cfRule>
    <cfRule type="cellIs" dxfId="430" priority="12" operator="equal">
      <formula>"O"</formula>
    </cfRule>
    <cfRule type="cellIs" dxfId="429" priority="13" operator="equal">
      <formula>"미정"</formula>
    </cfRule>
    <cfRule type="cellIs" dxfId="428" priority="14" operator="equal">
      <formula>"예정"</formula>
    </cfRule>
    <cfRule type="cellIs" dxfId="427" priority="15" operator="equal">
      <formula>"확정"</formula>
    </cfRule>
  </conditionalFormatting>
  <conditionalFormatting sqref="O77:P77">
    <cfRule type="cellIs" dxfId="426" priority="6" operator="equal">
      <formula>"X"</formula>
    </cfRule>
    <cfRule type="cellIs" dxfId="425" priority="7" operator="equal">
      <formula>"O"</formula>
    </cfRule>
    <cfRule type="cellIs" dxfId="424" priority="8" operator="equal">
      <formula>"미정"</formula>
    </cfRule>
    <cfRule type="cellIs" dxfId="423" priority="9" operator="equal">
      <formula>"예정"</formula>
    </cfRule>
    <cfRule type="cellIs" dxfId="422" priority="10" operator="equal">
      <formula>"확정"</formula>
    </cfRule>
  </conditionalFormatting>
  <conditionalFormatting sqref="M77:N77">
    <cfRule type="cellIs" dxfId="421" priority="1" operator="equal">
      <formula>"X"</formula>
    </cfRule>
    <cfRule type="cellIs" dxfId="420" priority="2" operator="equal">
      <formula>"O"</formula>
    </cfRule>
    <cfRule type="cellIs" dxfId="419" priority="3" operator="equal">
      <formula>"미정"</formula>
    </cfRule>
    <cfRule type="cellIs" dxfId="418" priority="4" operator="equal">
      <formula>"예정"</formula>
    </cfRule>
    <cfRule type="cellIs" dxfId="417" priority="5" operator="equal">
      <formula>"확정"</formula>
    </cfRule>
  </conditionalFormatting>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2FFEF-6EA5-4A12-9FC3-945C23715D09}">
  <sheetPr codeName="Sheet13">
    <tabColor rgb="FF0070C0"/>
  </sheetPr>
  <dimension ref="A1:AH187"/>
  <sheetViews>
    <sheetView zoomScale="85" zoomScaleNormal="85" workbookViewId="0"/>
  </sheetViews>
  <sheetFormatPr defaultColWidth="9" defaultRowHeight="12"/>
  <cols>
    <col min="1" max="1" width="2.375" style="2711" customWidth="1"/>
    <col min="2" max="2" width="2.625" style="2729" customWidth="1"/>
    <col min="3" max="3" width="19.125" style="2729" customWidth="1"/>
    <col min="4" max="5" width="1.875" style="2729" customWidth="1"/>
    <col min="6" max="6" width="9.625" style="2731" customWidth="1"/>
    <col min="7" max="7" width="1.875" style="2729" customWidth="1"/>
    <col min="8" max="8" width="10.625" style="2729" customWidth="1"/>
    <col min="9" max="10" width="9.625" style="2729" customWidth="1"/>
    <col min="11" max="11" width="12.75" style="2729" bestFit="1" customWidth="1"/>
    <col min="12" max="13" width="9.625" style="2729" customWidth="1"/>
    <col min="14" max="14" width="1.875" style="2729" customWidth="1"/>
    <col min="15" max="15" width="9.625" style="2729" customWidth="1"/>
    <col min="16" max="16" width="1.875" style="2729" customWidth="1"/>
    <col min="17" max="17" width="9.625" style="2729" customWidth="1"/>
    <col min="18" max="18" width="1.875" style="2729" customWidth="1"/>
    <col min="19" max="20" width="9.625" style="2729" customWidth="1"/>
    <col min="21" max="21" width="14" style="2741" bestFit="1" customWidth="1"/>
    <col min="22" max="22" width="3.125" style="2741" customWidth="1"/>
    <col min="23" max="23" width="3.125" style="2729" customWidth="1"/>
    <col min="24" max="24" width="6.625" style="2729" customWidth="1"/>
    <col min="25" max="26" width="9.125" style="2729" customWidth="1"/>
    <col min="27" max="27" width="9.875" style="2729" bestFit="1" customWidth="1"/>
    <col min="28" max="28" width="5" style="2729" customWidth="1"/>
    <col min="29" max="29" width="2.375" style="2729" customWidth="1"/>
    <col min="30" max="30" width="3.75" style="2729" customWidth="1"/>
    <col min="31" max="31" width="9.625" style="2729" bestFit="1" customWidth="1"/>
    <col min="32" max="32" width="9.875" style="2729" bestFit="1" customWidth="1"/>
    <col min="33" max="33" width="9.625" style="2729" bestFit="1" customWidth="1"/>
    <col min="34" max="16384" width="9" style="2729"/>
  </cols>
  <sheetData>
    <row r="1" spans="1:33" s="2712" customFormat="1" ht="30" customHeight="1">
      <c r="A1" s="2711" t="s">
        <v>5440</v>
      </c>
      <c r="C1" s="2713" t="s">
        <v>5441</v>
      </c>
      <c r="D1" s="2714"/>
      <c r="E1" s="2714"/>
      <c r="F1" s="2714"/>
      <c r="G1" s="2714"/>
      <c r="H1" s="2714"/>
      <c r="I1" s="2714"/>
      <c r="J1" s="2715"/>
      <c r="K1" s="2715"/>
      <c r="L1" s="2715"/>
      <c r="M1" s="2715"/>
      <c r="N1" s="2715"/>
      <c r="O1" s="2715"/>
      <c r="P1" s="2715"/>
      <c r="Q1" s="2715"/>
      <c r="R1" s="2715"/>
      <c r="S1" s="2715"/>
      <c r="T1" s="2715"/>
      <c r="U1" s="2716"/>
      <c r="V1" s="2717"/>
      <c r="W1" s="2718"/>
      <c r="X1" s="2719" t="s">
        <v>5442</v>
      </c>
    </row>
    <row r="2" spans="1:33" s="2712" customFormat="1" ht="20.100000000000001" customHeight="1">
      <c r="A2" s="2711"/>
      <c r="B2" s="2720"/>
      <c r="C2" s="2721" t="s">
        <v>3317</v>
      </c>
      <c r="D2" s="2722"/>
      <c r="E2" s="2722"/>
      <c r="F2" s="2722"/>
      <c r="G2" s="2722"/>
      <c r="H2" s="2722"/>
      <c r="I2" s="2722"/>
      <c r="J2" s="2722"/>
      <c r="K2" s="2722"/>
      <c r="L2" s="2722"/>
      <c r="M2" s="2722"/>
      <c r="N2" s="2722"/>
      <c r="O2" s="2722"/>
      <c r="P2" s="2722"/>
      <c r="Q2" s="2722"/>
      <c r="R2" s="2722"/>
      <c r="S2" s="2722"/>
      <c r="T2" s="2723" t="s">
        <v>5443</v>
      </c>
      <c r="U2" s="2724">
        <f>U45</f>
        <v>0.104</v>
      </c>
      <c r="V2" s="2725"/>
      <c r="W2" s="2718"/>
      <c r="X2" s="2726" t="s">
        <v>5444</v>
      </c>
      <c r="Y2" s="2727"/>
      <c r="Z2" s="2728">
        <f>AVERAGE(S6:S25)</f>
        <v>0.24525</v>
      </c>
    </row>
    <row r="3" spans="1:33" ht="14.25" customHeight="1">
      <c r="C3" s="2730"/>
      <c r="H3" s="2731"/>
      <c r="I3" s="2731"/>
      <c r="J3" s="2732"/>
      <c r="K3" s="2732"/>
      <c r="L3" s="2732"/>
      <c r="U3" s="2729"/>
      <c r="V3" s="2729"/>
      <c r="W3" s="2733"/>
      <c r="X3" s="2734" t="s">
        <v>5445</v>
      </c>
      <c r="Y3" s="2735"/>
      <c r="Z3" s="2728">
        <v>0.24199999999999999</v>
      </c>
      <c r="AA3" s="2736" t="s">
        <v>5512</v>
      </c>
    </row>
    <row r="4" spans="1:33" ht="20.100000000000001" customHeight="1">
      <c r="C4" s="5240" t="s">
        <v>5513</v>
      </c>
      <c r="D4" s="5241"/>
      <c r="E4" s="5241"/>
      <c r="F4" s="5244" t="s">
        <v>3829</v>
      </c>
      <c r="G4" s="5244"/>
      <c r="H4" s="2737" t="s">
        <v>5446</v>
      </c>
      <c r="I4" s="5241" t="s">
        <v>5447</v>
      </c>
      <c r="J4" s="5241" t="s">
        <v>5514</v>
      </c>
      <c r="K4" s="5241" t="s">
        <v>5515</v>
      </c>
      <c r="L4" s="5241" t="s">
        <v>5448</v>
      </c>
      <c r="M4" s="5244" t="s">
        <v>5449</v>
      </c>
      <c r="N4" s="5244"/>
      <c r="O4" s="2738" t="s">
        <v>5396</v>
      </c>
      <c r="P4" s="2739"/>
      <c r="Q4" s="2738" t="s">
        <v>5450</v>
      </c>
      <c r="R4" s="2739"/>
      <c r="S4" s="5246" t="s">
        <v>5451</v>
      </c>
      <c r="T4" s="5246" t="s">
        <v>5452</v>
      </c>
      <c r="U4" s="5238" t="s">
        <v>5453</v>
      </c>
      <c r="V4" s="2740"/>
      <c r="W4" s="2741"/>
      <c r="Y4" s="2712"/>
      <c r="Z4" s="2712"/>
      <c r="AE4" s="2742"/>
      <c r="AG4" s="2743"/>
    </row>
    <row r="5" spans="1:33" ht="20.100000000000001" customHeight="1">
      <c r="B5" s="2731"/>
      <c r="C5" s="5242"/>
      <c r="D5" s="5243"/>
      <c r="E5" s="5243"/>
      <c r="F5" s="5245"/>
      <c r="G5" s="5245"/>
      <c r="H5" s="2744" t="s">
        <v>5516</v>
      </c>
      <c r="I5" s="5243"/>
      <c r="J5" s="5243"/>
      <c r="K5" s="5243"/>
      <c r="L5" s="5243"/>
      <c r="M5" s="5245"/>
      <c r="N5" s="5245"/>
      <c r="O5" s="2745" t="s">
        <v>5397</v>
      </c>
      <c r="P5" s="2746"/>
      <c r="Q5" s="2745" t="s">
        <v>5397</v>
      </c>
      <c r="R5" s="2746"/>
      <c r="S5" s="5247"/>
      <c r="T5" s="5247"/>
      <c r="U5" s="5239"/>
      <c r="V5" s="2740"/>
      <c r="W5" s="2741"/>
      <c r="AE5" s="2742" t="s">
        <v>5398</v>
      </c>
      <c r="AG5" s="2743" t="s">
        <v>5399</v>
      </c>
    </row>
    <row r="6" spans="1:33" ht="14.1" customHeight="1">
      <c r="A6" s="2711" t="b">
        <v>1</v>
      </c>
      <c r="B6" s="2747">
        <v>1</v>
      </c>
      <c r="C6" s="2748" t="s">
        <v>5400</v>
      </c>
      <c r="D6" s="2749"/>
      <c r="E6" s="2750"/>
      <c r="F6" s="2751" t="s">
        <v>5401</v>
      </c>
      <c r="G6" s="2750"/>
      <c r="H6" s="2752">
        <f t="shared" ref="H6:H25" si="0">IF(C6="","",CHOOSE($AC$7,H64,I64,J64))</f>
        <v>0.69076630000000006</v>
      </c>
      <c r="I6" s="2752" t="s">
        <v>1805</v>
      </c>
      <c r="J6" s="2753">
        <f>IF(C6="","",CHOOSE($AC$9,H87,I87,J87,K87,L87)+CHOOSE($AC$28,I110,0))</f>
        <v>9824762.6160052642</v>
      </c>
      <c r="K6" s="2754">
        <f>IF(C6="","",H110)</f>
        <v>287841.91200000001</v>
      </c>
      <c r="L6" s="2754">
        <f>IF(C6="","",CHOOSE($AC$19,T110,0))</f>
        <v>16255.349999999999</v>
      </c>
      <c r="M6" s="2755">
        <f>IF(C6="","",(K6+L6)/J6)</f>
        <v>3.0952123108257401E-2</v>
      </c>
      <c r="N6" s="2755"/>
      <c r="O6" s="2755">
        <f>IF(C6="","",K6/(J6+K6+L6))</f>
        <v>2.841799723432312E-2</v>
      </c>
      <c r="Q6" s="2755">
        <f>IF(C6="","",L6/(J6+K6+L6))</f>
        <v>1.6048548598543019E-3</v>
      </c>
      <c r="S6" s="2756">
        <v>0.27500000000000002</v>
      </c>
      <c r="T6" s="2757">
        <f>IF(C6="","",IF(H6="NA","NA",H6/(1+M6*(1-S6))))</f>
        <v>0.67560551678215719</v>
      </c>
      <c r="U6" s="2758">
        <f t="shared" ref="U6:U24" si="1">IF(C6="","",T6*(1+$Q$44*$F$41))</f>
        <v>0.81502406010588435</v>
      </c>
      <c r="V6" s="2757"/>
      <c r="W6" s="2741"/>
    </row>
    <row r="7" spans="1:33" ht="14.1" customHeight="1">
      <c r="A7" s="2711" t="b">
        <v>1</v>
      </c>
      <c r="B7" s="2747">
        <f>B6+1</f>
        <v>2</v>
      </c>
      <c r="C7" s="2748"/>
      <c r="D7" s="2749"/>
      <c r="E7" s="2750"/>
      <c r="F7" s="2751"/>
      <c r="G7" s="2750"/>
      <c r="H7" s="2752"/>
      <c r="I7" s="2752"/>
      <c r="J7" s="2753"/>
      <c r="K7" s="2754"/>
      <c r="L7" s="2754"/>
      <c r="M7" s="2755"/>
      <c r="N7" s="2755"/>
      <c r="O7" s="2755"/>
      <c r="Q7" s="2755"/>
      <c r="S7" s="2756"/>
      <c r="T7" s="2757"/>
      <c r="U7" s="2758"/>
      <c r="V7" s="2757"/>
      <c r="W7" s="2759"/>
      <c r="Z7" s="2760" t="s">
        <v>5454</v>
      </c>
      <c r="AC7" s="2761">
        <v>2</v>
      </c>
      <c r="AE7" s="2741" t="str">
        <f>CHOOSE(AC7,N63,N64,N65)</f>
        <v>5year, monthly</v>
      </c>
      <c r="AG7" s="2729" t="str">
        <f>CHOOSE(AC7,"5년 평균 Weekly adjusted Beta","5년 평균 Monthly adjusted Beta","2년 평균 Weekly adjusted Beta")</f>
        <v>5년 평균 Monthly adjusted Beta</v>
      </c>
    </row>
    <row r="8" spans="1:33" ht="14.1" customHeight="1">
      <c r="A8" s="2711" t="b">
        <v>1</v>
      </c>
      <c r="B8" s="2747">
        <f t="shared" ref="B8:B25" si="2">B7+1</f>
        <v>3</v>
      </c>
      <c r="C8" s="2748" t="s">
        <v>5403</v>
      </c>
      <c r="D8" s="2749"/>
      <c r="E8" s="2750"/>
      <c r="F8" s="2751" t="s">
        <v>5404</v>
      </c>
      <c r="G8" s="2750"/>
      <c r="H8" s="2752">
        <f t="shared" si="0"/>
        <v>1.3170569999999999</v>
      </c>
      <c r="I8" s="2752" t="s">
        <v>5455</v>
      </c>
      <c r="J8" s="2753">
        <f>IF(C8="","",CHOOSE($AC$9,H89,I89,J89,K89,L89)+CHOOSE($AC$28,I112,0))</f>
        <v>12351.54797142857</v>
      </c>
      <c r="K8" s="2754">
        <f t="shared" ref="K8:K25" si="3">IF(C8="","",H112)</f>
        <v>10771.6639</v>
      </c>
      <c r="L8" s="2754">
        <f t="shared" ref="L8:L25" si="4">IF(C8="","",CHOOSE($AC$19,T112,0))</f>
        <v>40.710599999999999</v>
      </c>
      <c r="M8" s="2755">
        <f t="shared" ref="M8:M25" si="5">IF(C8="","",(K8+L8)/J8)</f>
        <v>0.87538618843654536</v>
      </c>
      <c r="N8" s="2755"/>
      <c r="O8" s="2755">
        <f t="shared" ref="O8:O25" si="6">IF(C8="","",K8/(J8+K8+L8))</f>
        <v>0.46501899293119542</v>
      </c>
      <c r="Q8" s="2755">
        <f t="shared" ref="Q8:Q25" si="7">IF(C8="","",L8/(J8+K8+L8))</f>
        <v>1.7575002700952009E-3</v>
      </c>
      <c r="S8" s="2756">
        <v>0.25</v>
      </c>
      <c r="T8" s="2757">
        <f t="shared" ref="T8:T25" si="8">IF(C8="","",IF(H8="NA","NA",H8/(1+M8*(1-S8))))</f>
        <v>0.79506518717814878</v>
      </c>
      <c r="U8" s="2758">
        <f t="shared" si="1"/>
        <v>0.95913553220987169</v>
      </c>
      <c r="V8" s="2757"/>
      <c r="W8" s="2759"/>
      <c r="Z8" s="2736"/>
      <c r="AC8" s="2762"/>
      <c r="AE8" s="2741"/>
    </row>
    <row r="9" spans="1:33" ht="14.1" customHeight="1">
      <c r="A9" s="2711" t="b">
        <v>1</v>
      </c>
      <c r="B9" s="2747">
        <f t="shared" si="2"/>
        <v>4</v>
      </c>
      <c r="C9" s="2748" t="s">
        <v>5405</v>
      </c>
      <c r="D9" s="2749"/>
      <c r="E9" s="2750"/>
      <c r="F9" s="2751" t="s">
        <v>5404</v>
      </c>
      <c r="G9" s="2750"/>
      <c r="H9" s="2752">
        <f t="shared" si="0"/>
        <v>0.75812040000000003</v>
      </c>
      <c r="I9" s="2752" t="s">
        <v>5455</v>
      </c>
      <c r="J9" s="2753">
        <f>IF(C9="","",CHOOSE($AC$9,H90,I90,J90,K90,L90)+CHOOSE($AC$28,I113,0))</f>
        <v>7521.628235000001</v>
      </c>
      <c r="K9" s="2754">
        <f t="shared" si="3"/>
        <v>3033.9101999999998</v>
      </c>
      <c r="L9" s="2754">
        <f t="shared" si="4"/>
        <v>6.6752000000000002</v>
      </c>
      <c r="M9" s="2755">
        <f t="shared" si="5"/>
        <v>0.40424563738093333</v>
      </c>
      <c r="N9" s="2755"/>
      <c r="O9" s="2755">
        <f t="shared" si="6"/>
        <v>0.28724188932768163</v>
      </c>
      <c r="Q9" s="2755">
        <f t="shared" si="7"/>
        <v>6.3198873178254926E-4</v>
      </c>
      <c r="S9" s="2756">
        <v>0.25</v>
      </c>
      <c r="T9" s="2757">
        <f t="shared" si="8"/>
        <v>0.58174460961879582</v>
      </c>
      <c r="U9" s="2758">
        <f t="shared" si="1"/>
        <v>0.70179393432795845</v>
      </c>
      <c r="V9" s="2757"/>
      <c r="W9" s="2759"/>
      <c r="Z9" s="2760" t="s">
        <v>5456</v>
      </c>
      <c r="AC9" s="2763">
        <v>2</v>
      </c>
      <c r="AD9" s="2763"/>
      <c r="AE9" s="2764" t="str">
        <f>CHOOSE($AC$9,O87,O88,O89,O90,O91)</f>
        <v>1 month avg.</v>
      </c>
      <c r="AG9" s="2729" t="str">
        <f>CHOOSE(AC9,"2021-09-30","과거 1개월 평균 ","과거 3개월 평균 ","과거 6개월 평균 ","과거 12개월 평균 ")</f>
        <v xml:space="preserve">과거 1개월 평균 </v>
      </c>
    </row>
    <row r="10" spans="1:33" ht="14.1" customHeight="1">
      <c r="A10" s="2711" t="b">
        <v>1</v>
      </c>
      <c r="B10" s="2747">
        <f t="shared" si="2"/>
        <v>5</v>
      </c>
      <c r="C10" s="2748" t="s">
        <v>5406</v>
      </c>
      <c r="D10" s="2749"/>
      <c r="E10" s="2750"/>
      <c r="F10" s="2751" t="s">
        <v>5407</v>
      </c>
      <c r="G10" s="2750"/>
      <c r="H10" s="2752">
        <f t="shared" si="0"/>
        <v>1.1866099999999999</v>
      </c>
      <c r="I10" s="2752" t="s">
        <v>5455</v>
      </c>
      <c r="J10" s="2753">
        <f>IF(C10="","",CHOOSE($AC$9,H91,I91,J91,K91,L91)+CHOOSE($AC$28,I114,0))</f>
        <v>9168.5420545454526</v>
      </c>
      <c r="K10" s="2754">
        <f t="shared" si="3"/>
        <v>703.6454</v>
      </c>
      <c r="L10" s="2754">
        <f t="shared" si="4"/>
        <v>0</v>
      </c>
      <c r="M10" s="2755">
        <f t="shared" si="5"/>
        <v>7.6745615149483498E-2</v>
      </c>
      <c r="N10" s="2755"/>
      <c r="O10" s="2755">
        <f t="shared" si="6"/>
        <v>7.1275530700748643E-2</v>
      </c>
      <c r="Q10" s="2755">
        <f t="shared" si="7"/>
        <v>0</v>
      </c>
      <c r="S10" s="2756">
        <v>0.20599999999999999</v>
      </c>
      <c r="T10" s="2757">
        <f t="shared" si="8"/>
        <v>1.1184557592430886</v>
      </c>
      <c r="U10" s="2758">
        <f t="shared" si="1"/>
        <v>1.3492612646042652</v>
      </c>
      <c r="V10" s="2757"/>
      <c r="W10" s="2759"/>
      <c r="Z10" s="2736"/>
      <c r="AC10" s="2762"/>
      <c r="AE10" s="2741"/>
    </row>
    <row r="11" spans="1:33" ht="14.1" customHeight="1">
      <c r="A11" s="2711" t="b">
        <v>1</v>
      </c>
      <c r="B11" s="2747">
        <f t="shared" si="2"/>
        <v>6</v>
      </c>
      <c r="C11" s="2748"/>
      <c r="D11" s="2749"/>
      <c r="E11" s="2750"/>
      <c r="F11" s="2751"/>
      <c r="G11" s="2750"/>
      <c r="H11" s="2752"/>
      <c r="I11" s="2752"/>
      <c r="J11" s="2753"/>
      <c r="K11" s="2754"/>
      <c r="L11" s="2754"/>
      <c r="M11" s="2755"/>
      <c r="N11" s="2755"/>
      <c r="O11" s="2755"/>
      <c r="Q11" s="2755"/>
      <c r="S11" s="2756"/>
      <c r="T11" s="2757"/>
      <c r="U11" s="2758"/>
      <c r="V11" s="2757"/>
      <c r="W11" s="2759"/>
      <c r="Z11" s="2760" t="s">
        <v>5457</v>
      </c>
      <c r="AC11" s="2761">
        <v>7</v>
      </c>
      <c r="AE11" s="2764" t="str">
        <f>CHOOSE(AC11,C133,C134,C135,C136,C137,C138,C139,C140)</f>
        <v>60 month avg.</v>
      </c>
      <c r="AG11" s="2729" t="str">
        <f>CHOOSE(AC11,"","과거 1개월 평균 ","과거 3개월 평균 ","과거 6개월 평균 ","과거 12개월 평균 ","과거 24개월 평균 ", "과거 60개월 평균", "과거 120개월 평균")</f>
        <v>과거 60개월 평균</v>
      </c>
    </row>
    <row r="12" spans="1:33" ht="14.1" customHeight="1">
      <c r="A12" s="2711" t="b">
        <v>1</v>
      </c>
      <c r="B12" s="2747">
        <f t="shared" si="2"/>
        <v>7</v>
      </c>
      <c r="C12" s="2748"/>
      <c r="D12" s="2749"/>
      <c r="E12" s="2750"/>
      <c r="F12" s="2751"/>
      <c r="G12" s="2750"/>
      <c r="H12" s="2752"/>
      <c r="I12" s="2752"/>
      <c r="J12" s="2753"/>
      <c r="K12" s="2754"/>
      <c r="L12" s="2754"/>
      <c r="M12" s="2755"/>
      <c r="N12" s="2755"/>
      <c r="O12" s="2755"/>
      <c r="Q12" s="2755"/>
      <c r="S12" s="2756"/>
      <c r="T12" s="2757"/>
      <c r="U12" s="2758"/>
      <c r="V12" s="2757"/>
      <c r="W12" s="2759"/>
      <c r="Z12" s="2765"/>
      <c r="AE12" s="2741"/>
    </row>
    <row r="13" spans="1:33" ht="14.1" customHeight="1">
      <c r="A13" s="2711" t="b">
        <v>1</v>
      </c>
      <c r="B13" s="2747">
        <f t="shared" si="2"/>
        <v>8</v>
      </c>
      <c r="C13" s="2748" t="s">
        <v>3953</v>
      </c>
      <c r="D13" s="2749"/>
      <c r="E13" s="2750"/>
      <c r="F13" s="2751" t="s">
        <v>3953</v>
      </c>
      <c r="G13" s="2750"/>
      <c r="H13" s="2752" t="str">
        <f t="shared" si="0"/>
        <v/>
      </c>
      <c r="I13" s="2752" t="s">
        <v>3953</v>
      </c>
      <c r="J13" s="2753" t="str">
        <f t="shared" ref="J13:J25" si="9">IF(C13="","",CHOOSE($AC$9,H94,I94,J94,K94,L94)+CHOOSE($AC$28,I117,0))</f>
        <v/>
      </c>
      <c r="K13" s="2754" t="str">
        <f t="shared" si="3"/>
        <v/>
      </c>
      <c r="L13" s="2754" t="str">
        <f t="shared" si="4"/>
        <v/>
      </c>
      <c r="M13" s="2755" t="str">
        <f t="shared" si="5"/>
        <v/>
      </c>
      <c r="N13" s="2755"/>
      <c r="O13" s="2755" t="str">
        <f t="shared" si="6"/>
        <v/>
      </c>
      <c r="Q13" s="2755" t="str">
        <f t="shared" si="7"/>
        <v/>
      </c>
      <c r="S13" s="2756" t="s">
        <v>3953</v>
      </c>
      <c r="T13" s="2757" t="str">
        <f t="shared" si="8"/>
        <v/>
      </c>
      <c r="U13" s="2758" t="str">
        <f t="shared" si="1"/>
        <v/>
      </c>
      <c r="V13" s="2757"/>
      <c r="W13" s="2759"/>
      <c r="Z13" s="2760" t="s">
        <v>5458</v>
      </c>
      <c r="AC13" s="2761">
        <v>1</v>
      </c>
      <c r="AE13" s="2764">
        <f>CHOOSE(AC13,C133,C134,C135,C136,C137,C138,C139,C140)</f>
        <v>44469</v>
      </c>
      <c r="AG13" s="2729" t="str">
        <f>CHOOSE(AC13,"","과거 1개월 평균 ","과거 3개월 평균 ","과거 6개월 평균 ","과거 12개월 평균 ","과거 24개월 평균 ", "과거 60개월 평균", "과거 120개월 평균")</f>
        <v/>
      </c>
    </row>
    <row r="14" spans="1:33" ht="14.1" customHeight="1">
      <c r="A14" s="2711" t="b">
        <v>1</v>
      </c>
      <c r="B14" s="2747">
        <f t="shared" si="2"/>
        <v>9</v>
      </c>
      <c r="C14" s="2748" t="s">
        <v>3953</v>
      </c>
      <c r="D14" s="2749"/>
      <c r="E14" s="2750"/>
      <c r="F14" s="2751" t="s">
        <v>3953</v>
      </c>
      <c r="G14" s="2750"/>
      <c r="H14" s="2752" t="str">
        <f t="shared" si="0"/>
        <v/>
      </c>
      <c r="I14" s="2752" t="s">
        <v>3953</v>
      </c>
      <c r="J14" s="2753" t="str">
        <f t="shared" si="9"/>
        <v/>
      </c>
      <c r="K14" s="2754" t="str">
        <f t="shared" si="3"/>
        <v/>
      </c>
      <c r="L14" s="2754" t="str">
        <f t="shared" si="4"/>
        <v/>
      </c>
      <c r="M14" s="2755" t="str">
        <f t="shared" si="5"/>
        <v/>
      </c>
      <c r="N14" s="2755"/>
      <c r="O14" s="2755" t="str">
        <f t="shared" si="6"/>
        <v/>
      </c>
      <c r="Q14" s="2755" t="str">
        <f t="shared" si="7"/>
        <v/>
      </c>
      <c r="S14" s="2756" t="s">
        <v>3953</v>
      </c>
      <c r="T14" s="2757" t="str">
        <f t="shared" si="8"/>
        <v/>
      </c>
      <c r="U14" s="2758" t="str">
        <f t="shared" si="1"/>
        <v/>
      </c>
      <c r="V14" s="2757"/>
      <c r="W14" s="2759"/>
    </row>
    <row r="15" spans="1:33" ht="14.1" customHeight="1">
      <c r="A15" s="2711" t="b">
        <v>1</v>
      </c>
      <c r="B15" s="2747">
        <f t="shared" si="2"/>
        <v>10</v>
      </c>
      <c r="C15" s="2748" t="s">
        <v>3953</v>
      </c>
      <c r="D15" s="2749"/>
      <c r="E15" s="2750"/>
      <c r="F15" s="2751" t="s">
        <v>3953</v>
      </c>
      <c r="G15" s="2750"/>
      <c r="H15" s="2752" t="str">
        <f t="shared" si="0"/>
        <v/>
      </c>
      <c r="I15" s="2752" t="s">
        <v>3953</v>
      </c>
      <c r="J15" s="2753" t="str">
        <f t="shared" si="9"/>
        <v/>
      </c>
      <c r="K15" s="2754" t="str">
        <f t="shared" si="3"/>
        <v/>
      </c>
      <c r="L15" s="2754" t="str">
        <f t="shared" si="4"/>
        <v/>
      </c>
      <c r="M15" s="2755" t="str">
        <f t="shared" si="5"/>
        <v/>
      </c>
      <c r="N15" s="2755"/>
      <c r="O15" s="2755" t="str">
        <f t="shared" si="6"/>
        <v/>
      </c>
      <c r="Q15" s="2755" t="str">
        <f t="shared" si="7"/>
        <v/>
      </c>
      <c r="S15" s="2756" t="s">
        <v>3953</v>
      </c>
      <c r="T15" s="2757" t="str">
        <f t="shared" si="8"/>
        <v/>
      </c>
      <c r="U15" s="2758" t="str">
        <f t="shared" si="1"/>
        <v/>
      </c>
      <c r="V15" s="2757"/>
      <c r="W15" s="2759"/>
      <c r="Z15" s="2766" t="s">
        <v>5459</v>
      </c>
      <c r="AC15" s="2763">
        <v>2</v>
      </c>
      <c r="AD15" s="2763"/>
      <c r="AE15" s="2729" t="s">
        <v>5460</v>
      </c>
      <c r="AF15" s="2729">
        <v>1</v>
      </c>
    </row>
    <row r="16" spans="1:33" ht="14.1" customHeight="1">
      <c r="A16" s="2711" t="b">
        <v>1</v>
      </c>
      <c r="B16" s="2747">
        <f t="shared" si="2"/>
        <v>11</v>
      </c>
      <c r="C16" s="2748" t="s">
        <v>3953</v>
      </c>
      <c r="D16" s="2749"/>
      <c r="E16" s="2750"/>
      <c r="F16" s="2751" t="s">
        <v>3953</v>
      </c>
      <c r="G16" s="2750"/>
      <c r="H16" s="2752" t="str">
        <f t="shared" si="0"/>
        <v/>
      </c>
      <c r="I16" s="2752" t="s">
        <v>3953</v>
      </c>
      <c r="J16" s="2753" t="str">
        <f t="shared" si="9"/>
        <v/>
      </c>
      <c r="K16" s="2754" t="str">
        <f t="shared" si="3"/>
        <v/>
      </c>
      <c r="L16" s="2754" t="str">
        <f t="shared" si="4"/>
        <v/>
      </c>
      <c r="M16" s="2755" t="str">
        <f t="shared" si="5"/>
        <v/>
      </c>
      <c r="N16" s="2755"/>
      <c r="O16" s="2755" t="str">
        <f t="shared" si="6"/>
        <v/>
      </c>
      <c r="Q16" s="2755" t="str">
        <f t="shared" si="7"/>
        <v/>
      </c>
      <c r="S16" s="2756" t="s">
        <v>3953</v>
      </c>
      <c r="T16" s="2757" t="str">
        <f t="shared" si="8"/>
        <v/>
      </c>
      <c r="U16" s="2758" t="str">
        <f t="shared" si="1"/>
        <v/>
      </c>
      <c r="V16" s="2757"/>
      <c r="W16" s="2759"/>
      <c r="Z16" s="2767"/>
      <c r="AC16" s="2763"/>
      <c r="AE16" s="2729" t="s">
        <v>5461</v>
      </c>
      <c r="AF16" s="2729">
        <v>2</v>
      </c>
    </row>
    <row r="17" spans="1:32" ht="14.1" customHeight="1">
      <c r="A17" s="2711" t="b">
        <v>1</v>
      </c>
      <c r="B17" s="2747">
        <f t="shared" si="2"/>
        <v>12</v>
      </c>
      <c r="C17" s="2748" t="s">
        <v>3953</v>
      </c>
      <c r="D17" s="2749"/>
      <c r="E17" s="2750"/>
      <c r="F17" s="2751" t="s">
        <v>3953</v>
      </c>
      <c r="G17" s="2750"/>
      <c r="H17" s="2752" t="str">
        <f t="shared" si="0"/>
        <v/>
      </c>
      <c r="I17" s="2752" t="s">
        <v>3953</v>
      </c>
      <c r="J17" s="2753" t="str">
        <f t="shared" si="9"/>
        <v/>
      </c>
      <c r="K17" s="2754" t="str">
        <f t="shared" si="3"/>
        <v/>
      </c>
      <c r="L17" s="2754" t="str">
        <f t="shared" si="4"/>
        <v/>
      </c>
      <c r="M17" s="2755" t="str">
        <f t="shared" si="5"/>
        <v/>
      </c>
      <c r="N17" s="2755"/>
      <c r="O17" s="2755" t="str">
        <f t="shared" si="6"/>
        <v/>
      </c>
      <c r="Q17" s="2755" t="str">
        <f t="shared" si="7"/>
        <v/>
      </c>
      <c r="S17" s="2756" t="s">
        <v>3953</v>
      </c>
      <c r="T17" s="2757" t="str">
        <f t="shared" si="8"/>
        <v/>
      </c>
      <c r="U17" s="2758" t="str">
        <f t="shared" si="1"/>
        <v/>
      </c>
      <c r="V17" s="2757"/>
      <c r="W17" s="2759"/>
      <c r="Z17" s="2760" t="s">
        <v>5517</v>
      </c>
      <c r="AC17" s="2763">
        <v>1</v>
      </c>
      <c r="AE17" s="2729" t="s">
        <v>5518</v>
      </c>
      <c r="AF17" s="2768">
        <f>F187</f>
        <v>0</v>
      </c>
    </row>
    <row r="18" spans="1:32" ht="14.1" customHeight="1">
      <c r="A18" s="2711" t="b">
        <v>1</v>
      </c>
      <c r="B18" s="2747">
        <f t="shared" si="2"/>
        <v>13</v>
      </c>
      <c r="C18" s="2748" t="s">
        <v>3953</v>
      </c>
      <c r="D18" s="2749"/>
      <c r="E18" s="2750"/>
      <c r="F18" s="2751" t="s">
        <v>3953</v>
      </c>
      <c r="G18" s="2750"/>
      <c r="H18" s="2752" t="str">
        <f t="shared" si="0"/>
        <v/>
      </c>
      <c r="I18" s="2752" t="s">
        <v>3953</v>
      </c>
      <c r="J18" s="2753" t="str">
        <f t="shared" si="9"/>
        <v/>
      </c>
      <c r="K18" s="2754" t="str">
        <f t="shared" si="3"/>
        <v/>
      </c>
      <c r="L18" s="2754" t="str">
        <f t="shared" si="4"/>
        <v/>
      </c>
      <c r="M18" s="2755" t="str">
        <f t="shared" si="5"/>
        <v/>
      </c>
      <c r="N18" s="2755"/>
      <c r="O18" s="2755" t="str">
        <f t="shared" si="6"/>
        <v/>
      </c>
      <c r="Q18" s="2755" t="str">
        <f t="shared" si="7"/>
        <v/>
      </c>
      <c r="S18" s="2756" t="s">
        <v>3953</v>
      </c>
      <c r="T18" s="2757" t="str">
        <f t="shared" si="8"/>
        <v/>
      </c>
      <c r="U18" s="2758" t="str">
        <f t="shared" si="1"/>
        <v/>
      </c>
      <c r="V18" s="2757"/>
      <c r="W18" s="2759"/>
      <c r="Z18" s="2765"/>
      <c r="AE18" s="2729" t="s">
        <v>5519</v>
      </c>
      <c r="AF18" s="2768">
        <f>H187</f>
        <v>0</v>
      </c>
    </row>
    <row r="19" spans="1:32" ht="14.1" customHeight="1">
      <c r="A19" s="2711" t="b">
        <v>1</v>
      </c>
      <c r="B19" s="2747">
        <f t="shared" si="2"/>
        <v>14</v>
      </c>
      <c r="C19" s="2748" t="s">
        <v>3953</v>
      </c>
      <c r="E19" s="2731"/>
      <c r="F19" s="2751" t="s">
        <v>3953</v>
      </c>
      <c r="G19" s="2751"/>
      <c r="H19" s="2752" t="str">
        <f t="shared" si="0"/>
        <v/>
      </c>
      <c r="I19" s="2752" t="s">
        <v>3953</v>
      </c>
      <c r="J19" s="2753" t="str">
        <f t="shared" si="9"/>
        <v/>
      </c>
      <c r="K19" s="2754" t="str">
        <f t="shared" si="3"/>
        <v/>
      </c>
      <c r="L19" s="2754" t="str">
        <f t="shared" si="4"/>
        <v/>
      </c>
      <c r="M19" s="2755" t="str">
        <f t="shared" si="5"/>
        <v/>
      </c>
      <c r="N19" s="2755"/>
      <c r="O19" s="2755" t="str">
        <f t="shared" si="6"/>
        <v/>
      </c>
      <c r="Q19" s="2755" t="str">
        <f t="shared" si="7"/>
        <v/>
      </c>
      <c r="S19" s="2756" t="s">
        <v>3953</v>
      </c>
      <c r="T19" s="2757" t="str">
        <f t="shared" si="8"/>
        <v/>
      </c>
      <c r="U19" s="2758" t="str">
        <f t="shared" si="1"/>
        <v/>
      </c>
      <c r="V19" s="2757"/>
      <c r="W19" s="2759"/>
      <c r="Z19" s="2769" t="s">
        <v>5520</v>
      </c>
      <c r="AC19" s="2763">
        <v>1</v>
      </c>
      <c r="AE19" s="662" t="s">
        <v>5462</v>
      </c>
      <c r="AF19" s="2768"/>
    </row>
    <row r="20" spans="1:32" ht="14.1" customHeight="1">
      <c r="A20" s="2711" t="b">
        <v>1</v>
      </c>
      <c r="B20" s="2747">
        <f t="shared" si="2"/>
        <v>15</v>
      </c>
      <c r="C20" s="2748" t="s">
        <v>3953</v>
      </c>
      <c r="E20" s="2731"/>
      <c r="F20" s="2751" t="s">
        <v>3953</v>
      </c>
      <c r="G20" s="2751"/>
      <c r="H20" s="2752" t="str">
        <f t="shared" si="0"/>
        <v/>
      </c>
      <c r="I20" s="2752" t="s">
        <v>3953</v>
      </c>
      <c r="J20" s="2753" t="str">
        <f t="shared" si="9"/>
        <v/>
      </c>
      <c r="K20" s="2754" t="str">
        <f t="shared" si="3"/>
        <v/>
      </c>
      <c r="L20" s="2754" t="str">
        <f t="shared" si="4"/>
        <v/>
      </c>
      <c r="M20" s="2755" t="str">
        <f t="shared" si="5"/>
        <v/>
      </c>
      <c r="N20" s="2755"/>
      <c r="O20" s="2755" t="str">
        <f t="shared" si="6"/>
        <v/>
      </c>
      <c r="Q20" s="2755" t="str">
        <f t="shared" si="7"/>
        <v/>
      </c>
      <c r="S20" s="2756" t="s">
        <v>3953</v>
      </c>
      <c r="T20" s="2757" t="str">
        <f t="shared" si="8"/>
        <v/>
      </c>
      <c r="U20" s="2758" t="str">
        <f t="shared" si="1"/>
        <v/>
      </c>
      <c r="V20" s="2757"/>
      <c r="W20" s="2759"/>
      <c r="Z20" s="2760"/>
      <c r="AA20" s="2765"/>
      <c r="AE20" s="662" t="s">
        <v>5463</v>
      </c>
      <c r="AF20" s="2768"/>
    </row>
    <row r="21" spans="1:32" ht="14.1" customHeight="1">
      <c r="A21" s="2711" t="b">
        <v>1</v>
      </c>
      <c r="B21" s="2747">
        <f t="shared" si="2"/>
        <v>16</v>
      </c>
      <c r="C21" s="2748" t="s">
        <v>3953</v>
      </c>
      <c r="E21" s="2731"/>
      <c r="F21" s="2751" t="s">
        <v>3953</v>
      </c>
      <c r="G21" s="2751"/>
      <c r="H21" s="2752" t="str">
        <f t="shared" si="0"/>
        <v/>
      </c>
      <c r="I21" s="2752" t="s">
        <v>3953</v>
      </c>
      <c r="J21" s="2753" t="str">
        <f t="shared" si="9"/>
        <v/>
      </c>
      <c r="K21" s="2754" t="str">
        <f t="shared" si="3"/>
        <v/>
      </c>
      <c r="L21" s="2754" t="str">
        <f t="shared" si="4"/>
        <v/>
      </c>
      <c r="M21" s="2755" t="str">
        <f t="shared" si="5"/>
        <v/>
      </c>
      <c r="N21" s="2755"/>
      <c r="O21" s="2755" t="str">
        <f t="shared" si="6"/>
        <v/>
      </c>
      <c r="Q21" s="2755" t="str">
        <f t="shared" si="7"/>
        <v/>
      </c>
      <c r="S21" s="2756" t="s">
        <v>3953</v>
      </c>
      <c r="T21" s="2757" t="str">
        <f t="shared" si="8"/>
        <v/>
      </c>
      <c r="U21" s="2758" t="str">
        <f t="shared" si="1"/>
        <v/>
      </c>
      <c r="V21" s="2757"/>
    </row>
    <row r="22" spans="1:32" ht="14.1" customHeight="1">
      <c r="A22" s="2711" t="b">
        <v>1</v>
      </c>
      <c r="B22" s="2747">
        <f t="shared" si="2"/>
        <v>17</v>
      </c>
      <c r="C22" s="2748" t="s">
        <v>3953</v>
      </c>
      <c r="E22" s="2731"/>
      <c r="F22" s="2751" t="s">
        <v>3953</v>
      </c>
      <c r="G22" s="2751"/>
      <c r="H22" s="2752" t="str">
        <f t="shared" si="0"/>
        <v/>
      </c>
      <c r="I22" s="2752" t="s">
        <v>3953</v>
      </c>
      <c r="J22" s="2753" t="str">
        <f t="shared" si="9"/>
        <v/>
      </c>
      <c r="K22" s="2754" t="str">
        <f t="shared" si="3"/>
        <v/>
      </c>
      <c r="L22" s="2754" t="str">
        <f t="shared" si="4"/>
        <v/>
      </c>
      <c r="M22" s="2755" t="str">
        <f t="shared" si="5"/>
        <v/>
      </c>
      <c r="N22" s="2755"/>
      <c r="O22" s="2755" t="str">
        <f t="shared" si="6"/>
        <v/>
      </c>
      <c r="Q22" s="2755" t="str">
        <f t="shared" si="7"/>
        <v/>
      </c>
      <c r="S22" s="2756" t="s">
        <v>3953</v>
      </c>
      <c r="T22" s="2757" t="str">
        <f t="shared" si="8"/>
        <v/>
      </c>
      <c r="U22" s="2758" t="str">
        <f t="shared" si="1"/>
        <v/>
      </c>
      <c r="V22" s="2757"/>
      <c r="W22" s="2759"/>
      <c r="X22" s="2759"/>
      <c r="Z22" s="2760" t="s">
        <v>5464</v>
      </c>
      <c r="AC22" s="2763">
        <v>2</v>
      </c>
      <c r="AE22" s="662" t="s">
        <v>5465</v>
      </c>
    </row>
    <row r="23" spans="1:32" ht="14.1" customHeight="1">
      <c r="A23" s="2711" t="b">
        <v>1</v>
      </c>
      <c r="B23" s="2747">
        <f t="shared" si="2"/>
        <v>18</v>
      </c>
      <c r="C23" s="2748" t="s">
        <v>3953</v>
      </c>
      <c r="E23" s="2731"/>
      <c r="F23" s="2751" t="s">
        <v>3953</v>
      </c>
      <c r="G23" s="2751"/>
      <c r="H23" s="2752" t="str">
        <f t="shared" si="0"/>
        <v/>
      </c>
      <c r="I23" s="2752" t="s">
        <v>3953</v>
      </c>
      <c r="J23" s="2753" t="str">
        <f t="shared" si="9"/>
        <v/>
      </c>
      <c r="K23" s="2754" t="str">
        <f t="shared" si="3"/>
        <v/>
      </c>
      <c r="L23" s="2754" t="str">
        <f t="shared" si="4"/>
        <v/>
      </c>
      <c r="M23" s="2755" t="str">
        <f t="shared" si="5"/>
        <v/>
      </c>
      <c r="N23" s="2755"/>
      <c r="O23" s="2755" t="str">
        <f t="shared" si="6"/>
        <v/>
      </c>
      <c r="Q23" s="2755" t="str">
        <f t="shared" si="7"/>
        <v/>
      </c>
      <c r="S23" s="2756" t="s">
        <v>3953</v>
      </c>
      <c r="T23" s="2757" t="str">
        <f t="shared" si="8"/>
        <v/>
      </c>
      <c r="U23" s="2758" t="str">
        <f t="shared" si="1"/>
        <v/>
      </c>
      <c r="V23" s="2757"/>
      <c r="X23" s="2759"/>
      <c r="Z23" s="2765"/>
      <c r="AE23" s="2729" t="s">
        <v>5521</v>
      </c>
    </row>
    <row r="24" spans="1:32" ht="14.1" customHeight="1">
      <c r="A24" s="2711" t="b">
        <v>1</v>
      </c>
      <c r="B24" s="2747">
        <f t="shared" si="2"/>
        <v>19</v>
      </c>
      <c r="C24" s="2748" t="s">
        <v>3953</v>
      </c>
      <c r="E24" s="2731"/>
      <c r="F24" s="2751" t="s">
        <v>3953</v>
      </c>
      <c r="G24" s="2751"/>
      <c r="H24" s="2752" t="str">
        <f t="shared" si="0"/>
        <v/>
      </c>
      <c r="I24" s="2752" t="s">
        <v>3953</v>
      </c>
      <c r="J24" s="2753" t="str">
        <f t="shared" si="9"/>
        <v/>
      </c>
      <c r="K24" s="2754" t="str">
        <f t="shared" si="3"/>
        <v/>
      </c>
      <c r="L24" s="2754" t="str">
        <f t="shared" si="4"/>
        <v/>
      </c>
      <c r="M24" s="2755" t="str">
        <f t="shared" si="5"/>
        <v/>
      </c>
      <c r="N24" s="2755"/>
      <c r="O24" s="2755" t="str">
        <f t="shared" si="6"/>
        <v/>
      </c>
      <c r="Q24" s="2755" t="str">
        <f t="shared" si="7"/>
        <v/>
      </c>
      <c r="S24" s="2756" t="s">
        <v>3953</v>
      </c>
      <c r="T24" s="2757" t="str">
        <f t="shared" si="8"/>
        <v/>
      </c>
      <c r="U24" s="2758" t="str">
        <f t="shared" si="1"/>
        <v/>
      </c>
      <c r="V24" s="2757"/>
      <c r="X24" s="2759"/>
      <c r="AA24" s="2767"/>
      <c r="AD24" s="2762"/>
    </row>
    <row r="25" spans="1:32" ht="14.1" customHeight="1">
      <c r="A25" s="2711" t="b">
        <v>1</v>
      </c>
      <c r="B25" s="2747">
        <f t="shared" si="2"/>
        <v>20</v>
      </c>
      <c r="C25" s="2770" t="s">
        <v>3953</v>
      </c>
      <c r="D25" s="2771"/>
      <c r="E25" s="2772"/>
      <c r="F25" s="2773" t="s">
        <v>3953</v>
      </c>
      <c r="G25" s="2773"/>
      <c r="H25" s="2752" t="str">
        <f t="shared" si="0"/>
        <v/>
      </c>
      <c r="I25" s="2752" t="s">
        <v>3953</v>
      </c>
      <c r="J25" s="2753" t="str">
        <f t="shared" si="9"/>
        <v/>
      </c>
      <c r="K25" s="2754" t="str">
        <f t="shared" si="3"/>
        <v/>
      </c>
      <c r="L25" s="2754" t="str">
        <f t="shared" si="4"/>
        <v/>
      </c>
      <c r="M25" s="2755" t="str">
        <f t="shared" si="5"/>
        <v/>
      </c>
      <c r="N25" s="2774"/>
      <c r="O25" s="2755" t="str">
        <f t="shared" si="6"/>
        <v/>
      </c>
      <c r="P25" s="2771"/>
      <c r="Q25" s="2755" t="str">
        <f t="shared" si="7"/>
        <v/>
      </c>
      <c r="S25" s="2756" t="s">
        <v>3953</v>
      </c>
      <c r="T25" s="2757" t="str">
        <f t="shared" si="8"/>
        <v/>
      </c>
      <c r="U25" s="2758" t="str">
        <f>IF(C25="","",T25*(1+$Q$44*$F$41))</f>
        <v/>
      </c>
      <c r="V25" s="2757"/>
      <c r="Z25" s="2760" t="s">
        <v>5466</v>
      </c>
      <c r="AC25" s="2763">
        <v>2</v>
      </c>
      <c r="AE25" s="662" t="s">
        <v>5467</v>
      </c>
    </row>
    <row r="26" spans="1:32" ht="14.1" customHeight="1">
      <c r="C26" s="2775" t="s">
        <v>5468</v>
      </c>
      <c r="D26" s="2776"/>
      <c r="E26" s="2776"/>
      <c r="F26" s="2776"/>
      <c r="G26" s="2777"/>
      <c r="H26" s="2778">
        <f>MAX(H6:H25)</f>
        <v>1.3170569999999999</v>
      </c>
      <c r="I26" s="2779"/>
      <c r="J26" s="2777"/>
      <c r="K26" s="2777"/>
      <c r="L26" s="2777"/>
      <c r="M26" s="2780">
        <f>MAX(M6:M25)</f>
        <v>0.87538618843654536</v>
      </c>
      <c r="N26" s="2780"/>
      <c r="O26" s="2780">
        <f>MAX(O6:O25)</f>
        <v>0.46501899293119542</v>
      </c>
      <c r="P26" s="2780"/>
      <c r="Q26" s="2780">
        <f>MAX(Q6:Q25)</f>
        <v>1.7575002700952009E-3</v>
      </c>
      <c r="R26" s="2780"/>
      <c r="S26" s="2779"/>
      <c r="T26" s="2781">
        <f>MAX(T6:T25)</f>
        <v>1.1184557592430886</v>
      </c>
      <c r="U26" s="2782">
        <f>MAX(U6:U25)</f>
        <v>1.3492612646042652</v>
      </c>
      <c r="V26" s="2783"/>
      <c r="W26" s="2759"/>
      <c r="X26" s="2759"/>
      <c r="Z26" s="2765"/>
      <c r="AE26" s="2729" t="s">
        <v>5521</v>
      </c>
    </row>
    <row r="27" spans="1:32" ht="14.1" customHeight="1">
      <c r="C27" s="2784" t="s">
        <v>5408</v>
      </c>
      <c r="D27" s="2785"/>
      <c r="E27" s="2785"/>
      <c r="F27" s="2785"/>
      <c r="G27" s="2786"/>
      <c r="H27" s="2787">
        <f>AVERAGE(H6:H25)</f>
        <v>0.98813842500000004</v>
      </c>
      <c r="I27" s="2788"/>
      <c r="J27" s="2786"/>
      <c r="K27" s="2786"/>
      <c r="L27" s="2786"/>
      <c r="M27" s="2789">
        <f>AVERAGE(M6:M25)</f>
        <v>0.34683239101880486</v>
      </c>
      <c r="N27" s="2789"/>
      <c r="O27" s="2789">
        <f>AVERAGE(O6:O25)</f>
        <v>0.21298860254848723</v>
      </c>
      <c r="P27" s="2789"/>
      <c r="Q27" s="2789">
        <f>AVERAGE(Q6:Q25)</f>
        <v>9.9858596543301302E-4</v>
      </c>
      <c r="R27" s="2789"/>
      <c r="S27" s="2788"/>
      <c r="T27" s="2790">
        <f>AVERAGE(T6:T25)</f>
        <v>0.79271776820554751</v>
      </c>
      <c r="U27" s="2791">
        <f>AVERAGE(U6:U25)</f>
        <v>0.95630369781199498</v>
      </c>
      <c r="V27" s="2783"/>
      <c r="W27" s="2759"/>
      <c r="X27" s="2759"/>
    </row>
    <row r="28" spans="1:32" ht="14.1" customHeight="1">
      <c r="C28" s="2784" t="s">
        <v>5409</v>
      </c>
      <c r="D28" s="2785"/>
      <c r="E28" s="2785"/>
      <c r="F28" s="2785"/>
      <c r="G28" s="2786"/>
      <c r="H28" s="2787">
        <f>MEDIAN(H6:H25)</f>
        <v>0.97236520000000004</v>
      </c>
      <c r="I28" s="2788"/>
      <c r="J28" s="2786"/>
      <c r="K28" s="2786"/>
      <c r="L28" s="2786"/>
      <c r="M28" s="2789">
        <f>MEDIAN(M6:M25)</f>
        <v>0.2404956262652084</v>
      </c>
      <c r="N28" s="2789"/>
      <c r="O28" s="2789">
        <f>MEDIAN(O6:O25)</f>
        <v>0.17925871001421512</v>
      </c>
      <c r="P28" s="2789"/>
      <c r="Q28" s="2789">
        <f>MEDIAN(Q6:Q25)</f>
        <v>1.1184217958184256E-3</v>
      </c>
      <c r="R28" s="2789"/>
      <c r="S28" s="2788"/>
      <c r="T28" s="2790">
        <f>MEDIAN(T6:T25)</f>
        <v>0.73533535198015298</v>
      </c>
      <c r="U28" s="2791">
        <f>MEDIAN(U6:U25)</f>
        <v>0.88707979615787802</v>
      </c>
      <c r="V28" s="2783"/>
      <c r="W28" s="2759"/>
      <c r="Z28" s="2769" t="s">
        <v>5469</v>
      </c>
      <c r="AB28" s="2792"/>
      <c r="AC28" s="2793">
        <v>1</v>
      </c>
      <c r="AE28" s="2792" t="s">
        <v>5470</v>
      </c>
    </row>
    <row r="29" spans="1:32" ht="14.1" customHeight="1">
      <c r="C29" s="2794" t="s">
        <v>5410</v>
      </c>
      <c r="D29" s="2795"/>
      <c r="E29" s="2795"/>
      <c r="F29" s="2795"/>
      <c r="G29" s="2796"/>
      <c r="H29" s="2797">
        <f>MIN(H6:H25)</f>
        <v>0.69076630000000006</v>
      </c>
      <c r="I29" s="2798"/>
      <c r="J29" s="2796"/>
      <c r="K29" s="2796"/>
      <c r="L29" s="2796"/>
      <c r="M29" s="2799">
        <f>MIN(M6:M25)</f>
        <v>3.0952123108257401E-2</v>
      </c>
      <c r="N29" s="2799"/>
      <c r="O29" s="2799">
        <f>MIN(O6:O25)</f>
        <v>2.841799723432312E-2</v>
      </c>
      <c r="P29" s="2799"/>
      <c r="Q29" s="2799">
        <f>MIN(Q6:Q25)</f>
        <v>0</v>
      </c>
      <c r="R29" s="2799"/>
      <c r="S29" s="2798"/>
      <c r="T29" s="2800">
        <f>MIN(T6:T25)</f>
        <v>0.58174460961879582</v>
      </c>
      <c r="U29" s="2801">
        <f>MIN(U6:U25)</f>
        <v>0.70179393432795845</v>
      </c>
      <c r="V29" s="2783"/>
      <c r="W29" s="2759"/>
      <c r="AA29" s="2792"/>
      <c r="AB29" s="2792"/>
      <c r="AC29" s="2792"/>
      <c r="AD29" s="2792"/>
      <c r="AE29" s="2792" t="s">
        <v>5471</v>
      </c>
    </row>
    <row r="30" spans="1:32" ht="14.1" customHeight="1">
      <c r="U30" s="2729"/>
      <c r="V30" s="2729"/>
      <c r="W30" s="2759"/>
    </row>
    <row r="31" spans="1:32" ht="14.1" customHeight="1">
      <c r="C31" s="2802" t="s">
        <v>5472</v>
      </c>
      <c r="D31" s="2803"/>
      <c r="E31" s="2804"/>
      <c r="F31" s="2805"/>
      <c r="G31" s="2804"/>
      <c r="H31" s="2804"/>
      <c r="I31" s="2804"/>
      <c r="J31" s="2804"/>
      <c r="K31" s="2804"/>
      <c r="L31" s="2804"/>
      <c r="M31" s="2806"/>
      <c r="N31" s="2806"/>
      <c r="O31" s="2807">
        <f>CHOOSE($AC$31,O26,O27,O28,O29)</f>
        <v>0.21298860254848723</v>
      </c>
      <c r="P31" s="2808"/>
      <c r="Q31" s="2807">
        <f>CHOOSE($AC$31,Q26,Q27,Q28,Q29)</f>
        <v>9.9858596543301302E-4</v>
      </c>
      <c r="R31" s="2808"/>
      <c r="S31" s="2809"/>
      <c r="T31" s="2810">
        <f>CHOOSE($AC$31,T26,T27,T28,T29)</f>
        <v>0.79271776820554751</v>
      </c>
      <c r="U31" s="2811">
        <f>T31*(1+$Q$44*$F$41)</f>
        <v>0.95630369781199487</v>
      </c>
      <c r="V31" s="2812"/>
      <c r="W31" s="2759"/>
      <c r="Z31" s="2736" t="s">
        <v>5473</v>
      </c>
      <c r="AC31" s="2763">
        <v>2</v>
      </c>
    </row>
    <row r="32" spans="1:32" ht="14.1" customHeight="1">
      <c r="F32" s="2729"/>
      <c r="U32" s="2729"/>
      <c r="V32" s="2729"/>
      <c r="W32" s="2759"/>
    </row>
    <row r="33" spans="3:32" ht="14.1" customHeight="1">
      <c r="C33" s="2813" t="s">
        <v>5522</v>
      </c>
      <c r="D33" s="2813"/>
      <c r="U33" s="2814"/>
      <c r="V33" s="2814"/>
      <c r="W33" s="2815"/>
    </row>
    <row r="34" spans="3:32" ht="14.1" customHeight="1">
      <c r="U34" s="2729"/>
      <c r="V34" s="2729"/>
      <c r="W34" s="2741"/>
    </row>
    <row r="35" spans="3:32" ht="25.5">
      <c r="C35" s="5229" t="s">
        <v>5523</v>
      </c>
      <c r="D35" s="5230"/>
      <c r="E35" s="2816" t="s">
        <v>5411</v>
      </c>
      <c r="F35" s="2817" t="s">
        <v>3359</v>
      </c>
      <c r="G35" s="2817" t="s">
        <v>3358</v>
      </c>
      <c r="H35" s="2817" t="s">
        <v>5524</v>
      </c>
      <c r="I35" s="2818" t="s">
        <v>5474</v>
      </c>
      <c r="J35" s="5231" t="s">
        <v>5525</v>
      </c>
      <c r="K35" s="5231"/>
      <c r="L35" s="5231"/>
      <c r="M35" s="2818" t="s">
        <v>5411</v>
      </c>
      <c r="N35" s="5231" t="s">
        <v>5526</v>
      </c>
      <c r="O35" s="5231"/>
      <c r="P35" s="2818" t="s">
        <v>5411</v>
      </c>
      <c r="Q35" s="5231" t="s">
        <v>5475</v>
      </c>
      <c r="R35" s="5231"/>
      <c r="S35" s="5231"/>
      <c r="T35" s="2818" t="s">
        <v>3360</v>
      </c>
      <c r="U35" s="2819" t="s">
        <v>5412</v>
      </c>
      <c r="V35" s="2820"/>
      <c r="W35" s="2741"/>
      <c r="Y35" s="2768"/>
      <c r="AF35" s="2821"/>
    </row>
    <row r="36" spans="3:32" ht="14.1" customHeight="1">
      <c r="C36" s="5232">
        <f>CHOOSE($AC$15,CHOOSE($AC$13,T133,T134,T135,T136,T137,T138),CHOOSE($AC$13,H133,H134,H135,H136,H137,H138,H139,H140))</f>
        <v>2.2370000000000001E-2</v>
      </c>
      <c r="D36" s="5233"/>
      <c r="E36" s="2822"/>
      <c r="F36" s="2823">
        <f>U31</f>
        <v>0.95630369781199487</v>
      </c>
      <c r="G36" s="2822"/>
      <c r="H36" s="2824">
        <f>CHOOSE($AC$15,F172,CHOOSE($AC$11,J133,J134,J135,J136,J137,J138,J139,J140))</f>
        <v>0.10997119609438553</v>
      </c>
      <c r="I36" s="2824"/>
      <c r="J36" s="2825"/>
      <c r="K36" s="2826">
        <f>CHOOSE($AC$15,F175,0)</f>
        <v>0</v>
      </c>
      <c r="L36" s="2826"/>
      <c r="M36" s="2825"/>
      <c r="N36" s="2825"/>
      <c r="O36" s="2826">
        <f>CHOOSE($AC$15,CHOOSE($AC$17,AF17,AF18),0)</f>
        <v>0</v>
      </c>
      <c r="P36" s="2825"/>
      <c r="Q36" s="5234">
        <v>0</v>
      </c>
      <c r="R36" s="5234"/>
      <c r="S36" s="5234"/>
      <c r="T36" s="2822"/>
      <c r="U36" s="2827">
        <f>SUM(C36,(F36*H36),K36,O36,Q36)</f>
        <v>0.12753586147786888</v>
      </c>
      <c r="V36" s="2828"/>
      <c r="W36" s="2741"/>
      <c r="AF36" s="2821"/>
    </row>
    <row r="37" spans="3:32" ht="14.1" customHeight="1">
      <c r="U37" s="2729"/>
      <c r="V37" s="2729"/>
      <c r="W37" s="2741"/>
      <c r="AF37" s="2821"/>
    </row>
    <row r="38" spans="3:32" ht="14.1" customHeight="1">
      <c r="C38" s="2813" t="s">
        <v>5527</v>
      </c>
      <c r="D38" s="2813"/>
      <c r="O38" s="2813" t="s">
        <v>3317</v>
      </c>
      <c r="U38" s="2729"/>
      <c r="V38" s="2729"/>
      <c r="W38" s="2741"/>
      <c r="AF38" s="2821"/>
    </row>
    <row r="39" spans="3:32" ht="14.1" customHeight="1">
      <c r="U39" s="2729"/>
      <c r="V39" s="2729"/>
      <c r="W39" s="2741"/>
      <c r="AF39" s="2821"/>
    </row>
    <row r="40" spans="3:32" ht="30" customHeight="1">
      <c r="C40" s="5229" t="s">
        <v>5528</v>
      </c>
      <c r="D40" s="5230"/>
      <c r="E40" s="2817" t="s">
        <v>5476</v>
      </c>
      <c r="F40" s="2817" t="s">
        <v>5413</v>
      </c>
      <c r="G40" s="2817" t="s">
        <v>5477</v>
      </c>
      <c r="H40" s="2819" t="s">
        <v>5414</v>
      </c>
      <c r="I40" s="2820"/>
      <c r="K40" s="2736"/>
      <c r="L40" s="2736"/>
      <c r="Q40" s="2829" t="s">
        <v>5529</v>
      </c>
      <c r="R40" s="2817" t="s">
        <v>5476</v>
      </c>
      <c r="S40" s="2817" t="s">
        <v>5415</v>
      </c>
      <c r="T40" s="2817" t="s">
        <v>3360</v>
      </c>
      <c r="U40" s="2819" t="s">
        <v>5416</v>
      </c>
      <c r="V40" s="2820"/>
      <c r="W40" s="2741"/>
      <c r="AF40" s="2821"/>
    </row>
    <row r="41" spans="3:32" ht="14.1" customHeight="1">
      <c r="C41" s="5232">
        <f>CHOOSE($AC$22,$H$143,H145)</f>
        <v>2.2780000000000002E-2</v>
      </c>
      <c r="D41" s="5233"/>
      <c r="E41" s="2822"/>
      <c r="F41" s="2830">
        <f>1-Z3</f>
        <v>0.75800000000000001</v>
      </c>
      <c r="G41" s="2804"/>
      <c r="H41" s="2827">
        <f>(C41*F41)</f>
        <v>1.726724E-2</v>
      </c>
      <c r="I41" s="2828"/>
      <c r="N41" s="2831"/>
      <c r="O41" s="2831" t="s">
        <v>5417</v>
      </c>
      <c r="Q41" s="2832">
        <f>O31</f>
        <v>0.21298860254848723</v>
      </c>
      <c r="R41" s="2833"/>
      <c r="S41" s="2834">
        <f>H41</f>
        <v>1.726724E-2</v>
      </c>
      <c r="T41" s="2833"/>
      <c r="U41" s="2835">
        <f>S41*Q41</f>
        <v>3.6777253174693405E-3</v>
      </c>
      <c r="V41" s="2836"/>
      <c r="W41" s="2741"/>
    </row>
    <row r="42" spans="3:32" ht="14.1" customHeight="1">
      <c r="C42" s="2837"/>
      <c r="D42" s="2837"/>
      <c r="F42" s="2836"/>
      <c r="G42" s="2736"/>
      <c r="H42" s="2828"/>
      <c r="I42" s="2828"/>
      <c r="N42" s="2831"/>
      <c r="O42" s="2831" t="s">
        <v>5448</v>
      </c>
      <c r="Q42" s="2838">
        <f>Q31</f>
        <v>9.9858596543301302E-4</v>
      </c>
      <c r="S42" s="2836">
        <f>H47</f>
        <v>1.726724E-2</v>
      </c>
      <c r="U42" s="2839">
        <f>S42*Q42</f>
        <v>1.7242823525763538E-5</v>
      </c>
      <c r="V42" s="2836"/>
      <c r="W42" s="2741"/>
    </row>
    <row r="43" spans="3:32" ht="14.1" customHeight="1">
      <c r="N43" s="2831"/>
      <c r="O43" s="2831" t="s">
        <v>5418</v>
      </c>
      <c r="Q43" s="2840">
        <f>(1-Q41-Q42)</f>
        <v>0.78601281148607971</v>
      </c>
      <c r="R43" s="2771"/>
      <c r="S43" s="2841">
        <f>U36</f>
        <v>0.12753586147786888</v>
      </c>
      <c r="T43" s="2771"/>
      <c r="U43" s="2842">
        <f>S43*Q43</f>
        <v>0.10024482104551893</v>
      </c>
      <c r="V43" s="2836"/>
      <c r="W43" s="2741"/>
    </row>
    <row r="44" spans="3:32" ht="14.1" customHeight="1">
      <c r="C44" s="2813" t="s">
        <v>5530</v>
      </c>
      <c r="D44" s="2813"/>
      <c r="O44" s="2843" t="s">
        <v>5531</v>
      </c>
      <c r="Q44" s="2844">
        <f>(Q41+Q42)/Q43</f>
        <v>0.2722438939759062</v>
      </c>
      <c r="U44" s="2729"/>
      <c r="V44" s="2729"/>
      <c r="W44" s="2741"/>
    </row>
    <row r="45" spans="3:32" ht="14.1" customHeight="1">
      <c r="C45" s="5235"/>
      <c r="D45" s="5236"/>
      <c r="E45" s="2820"/>
      <c r="F45" s="2820"/>
      <c r="G45" s="2820"/>
      <c r="H45" s="2820"/>
      <c r="S45" s="2845" t="s">
        <v>5419</v>
      </c>
      <c r="T45" s="2805" t="s">
        <v>3360</v>
      </c>
      <c r="U45" s="2827">
        <f>ROUND(U41+U42+U43,3)</f>
        <v>0.104</v>
      </c>
      <c r="V45" s="2828"/>
      <c r="W45" s="2741"/>
    </row>
    <row r="46" spans="3:32" ht="30" customHeight="1">
      <c r="C46" s="5229" t="s">
        <v>5532</v>
      </c>
      <c r="D46" s="5230"/>
      <c r="E46" s="2817" t="s">
        <v>5476</v>
      </c>
      <c r="F46" s="2817" t="s">
        <v>5413</v>
      </c>
      <c r="G46" s="2817" t="s">
        <v>5477</v>
      </c>
      <c r="H46" s="2819" t="s">
        <v>5414</v>
      </c>
      <c r="S46" s="2846"/>
      <c r="T46" s="2846"/>
      <c r="U46" s="2828"/>
      <c r="V46" s="2828"/>
      <c r="W46" s="2741"/>
    </row>
    <row r="47" spans="3:32" ht="14.1" customHeight="1">
      <c r="C47" s="2847">
        <f>CHOOSE($AC$25,$H$164,$H$166)</f>
        <v>2.2780000000000002E-2</v>
      </c>
      <c r="D47" s="2848"/>
      <c r="E47" s="2822"/>
      <c r="F47" s="2830">
        <f>1-Z3</f>
        <v>0.75800000000000001</v>
      </c>
      <c r="G47" s="2804"/>
      <c r="H47" s="2827">
        <f>(C47*F47)</f>
        <v>1.726724E-2</v>
      </c>
      <c r="S47" s="2846"/>
      <c r="T47" s="2846"/>
      <c r="U47" s="2828"/>
      <c r="V47" s="2828"/>
      <c r="W47" s="2741"/>
    </row>
    <row r="48" spans="3:32" ht="14.1" customHeight="1">
      <c r="F48" s="2729"/>
      <c r="S48" s="2846"/>
      <c r="T48" s="2846"/>
      <c r="U48" s="2828"/>
      <c r="V48" s="2828"/>
      <c r="W48" s="2741"/>
    </row>
    <row r="49" spans="2:22" ht="14.1" customHeight="1">
      <c r="C49" s="2736" t="s">
        <v>5420</v>
      </c>
      <c r="D49" s="2736"/>
      <c r="F49" s="2846"/>
      <c r="G49" s="2736"/>
      <c r="H49" s="2736"/>
      <c r="I49" s="2736"/>
      <c r="J49" s="2736"/>
      <c r="T49" s="2731"/>
    </row>
    <row r="50" spans="2:22" ht="14.1" customHeight="1">
      <c r="C50" s="2849" t="s">
        <v>5421</v>
      </c>
      <c r="D50" s="5237" t="s">
        <v>5533</v>
      </c>
      <c r="E50" s="5237"/>
      <c r="F50" s="5237"/>
      <c r="G50" s="5237"/>
      <c r="H50" s="5237"/>
      <c r="I50" s="5237"/>
      <c r="J50" s="5237"/>
      <c r="K50" s="5237"/>
      <c r="L50" s="5237"/>
      <c r="M50" s="5237"/>
      <c r="N50" s="5237"/>
      <c r="O50" s="5237"/>
      <c r="P50" s="5237"/>
      <c r="Q50" s="5237"/>
      <c r="R50" s="5237"/>
      <c r="S50" s="5237"/>
      <c r="T50" s="5237"/>
      <c r="U50" s="5237"/>
      <c r="V50" s="2850"/>
    </row>
    <row r="51" spans="2:22" ht="14.1" customHeight="1">
      <c r="C51" s="2851" t="s">
        <v>5422</v>
      </c>
      <c r="D51" s="5228" t="str">
        <f>AG5&amp;" 기준 과거 "&amp;AG7&amp;" 적용 (Source: Bloomberg)"</f>
        <v>2021년 9월 30일 기준 과거 5년 평균 Monthly adjusted Beta 적용 (Source: Bloomberg)</v>
      </c>
      <c r="E51" s="5228"/>
      <c r="F51" s="5228"/>
      <c r="G51" s="5228"/>
      <c r="H51" s="5228"/>
      <c r="I51" s="5228"/>
      <c r="J51" s="5228"/>
      <c r="K51" s="5228"/>
      <c r="L51" s="5228"/>
      <c r="M51" s="5228"/>
      <c r="N51" s="5228"/>
      <c r="O51" s="5228"/>
      <c r="P51" s="5228"/>
      <c r="Q51" s="5228"/>
      <c r="R51" s="5228"/>
      <c r="S51" s="5228"/>
      <c r="T51" s="5228"/>
      <c r="U51" s="5228"/>
      <c r="V51" s="2850"/>
    </row>
    <row r="52" spans="2:22" ht="14.1" customHeight="1">
      <c r="C52" s="2851" t="s">
        <v>5423</v>
      </c>
      <c r="D52" s="5228" t="str">
        <f>AG5&amp;" 기준 "&amp;AG9&amp;"시가총액 사용 (Source: Bloomberg)"</f>
        <v>2021년 9월 30일 기준 과거 1개월 평균 시가총액 사용 (Source: Bloomberg)</v>
      </c>
      <c r="E52" s="5228"/>
      <c r="F52" s="5228"/>
      <c r="G52" s="5228"/>
      <c r="H52" s="5228"/>
      <c r="I52" s="5228"/>
      <c r="J52" s="5228"/>
      <c r="K52" s="5228"/>
      <c r="L52" s="5228"/>
      <c r="M52" s="5228"/>
      <c r="N52" s="5228"/>
      <c r="O52" s="5228"/>
      <c r="P52" s="5228"/>
      <c r="Q52" s="5228"/>
      <c r="R52" s="5228"/>
      <c r="S52" s="5228"/>
      <c r="T52" s="5228"/>
      <c r="U52" s="5228"/>
      <c r="V52" s="2850"/>
    </row>
    <row r="53" spans="2:22" ht="14.1" customHeight="1">
      <c r="C53" s="2851" t="s">
        <v>5424</v>
      </c>
      <c r="D53" s="5228" t="str">
        <f>AG5&amp;" 기준 가장 최근 재무제표의 이자발생부채 적용 (Source: Bloomberg)"</f>
        <v>2021년 9월 30일 기준 가장 최근 재무제표의 이자발생부채 적용 (Source: Bloomberg)</v>
      </c>
      <c r="E53" s="5228"/>
      <c r="F53" s="5228"/>
      <c r="G53" s="5228"/>
      <c r="H53" s="5228"/>
      <c r="I53" s="5228"/>
      <c r="J53" s="5228"/>
      <c r="K53" s="5228"/>
      <c r="L53" s="5228"/>
      <c r="M53" s="5228"/>
      <c r="N53" s="5228"/>
      <c r="O53" s="5228"/>
      <c r="P53" s="5228"/>
      <c r="Q53" s="5228"/>
      <c r="R53" s="5228"/>
      <c r="S53" s="5228"/>
      <c r="T53" s="5228"/>
      <c r="U53" s="5228"/>
      <c r="V53" s="2850"/>
    </row>
    <row r="54" spans="2:22" ht="14.1" customHeight="1">
      <c r="C54" s="2851" t="s">
        <v>5478</v>
      </c>
      <c r="D54" s="5228" t="str">
        <f>AG5&amp;" 기준 한국의 10년 만기 국공채 이자율 적용 (Source: Bloomberg)"</f>
        <v>2021년 9월 30일 기준 한국의 10년 만기 국공채 이자율 적용 (Source: Bloomberg)</v>
      </c>
      <c r="E54" s="5228"/>
      <c r="F54" s="5228"/>
      <c r="G54" s="5228"/>
      <c r="H54" s="5228"/>
      <c r="I54" s="5228"/>
      <c r="J54" s="5228"/>
      <c r="K54" s="5228"/>
      <c r="L54" s="5228"/>
      <c r="M54" s="5228"/>
      <c r="N54" s="5228"/>
      <c r="O54" s="5228"/>
      <c r="P54" s="5228"/>
      <c r="Q54" s="5228"/>
      <c r="R54" s="5228"/>
      <c r="S54" s="5228"/>
      <c r="T54" s="5228"/>
      <c r="U54" s="5228"/>
      <c r="V54" s="2850"/>
    </row>
    <row r="55" spans="2:22" ht="14.1" customHeight="1">
      <c r="C55" s="2851" t="s">
        <v>5479</v>
      </c>
      <c r="D55" s="5225" t="str">
        <f>CHOOSE($AC$15,"2019년 7월 1일 기준 Aswath Damodaran 교수가 제시한 성숙한 시장의 Equity Risk Premium 적용 (Source: http://pages.stern.nyu.edu/~adamodar/)",AG5&amp;" 기준 한국의 Equity Risk Premium 적용 (Source: Bloomberg)")</f>
        <v>2021년 9월 30일 기준 한국의 Equity Risk Premium 적용 (Source: Bloomberg)</v>
      </c>
      <c r="E55" s="5225"/>
      <c r="F55" s="5225"/>
      <c r="G55" s="5225"/>
      <c r="H55" s="5225"/>
      <c r="I55" s="5225"/>
      <c r="J55" s="5225"/>
      <c r="K55" s="5225"/>
      <c r="L55" s="5225"/>
      <c r="M55" s="5225"/>
      <c r="N55" s="5225"/>
      <c r="O55" s="5225"/>
      <c r="P55" s="5225"/>
      <c r="Q55" s="5225"/>
      <c r="R55" s="5225"/>
      <c r="S55" s="5225"/>
      <c r="T55" s="5225"/>
      <c r="U55" s="5225"/>
    </row>
    <row r="56" spans="2:22" ht="14.1" customHeight="1">
      <c r="C56" s="2851" t="s">
        <v>5480</v>
      </c>
      <c r="D56" s="5225" t="str">
        <f>IF(K36=0,"n.a.","2019년 7월 1일 기준 Aswath Damodaran 교수가 제시한 "&amp;C175&amp;"의 Country Risk Premium 0.0% 적용 (Source: http://pages.stern.nyu.edu/~adamodar/)")</f>
        <v>n.a.</v>
      </c>
      <c r="E56" s="5225"/>
      <c r="F56" s="5225"/>
      <c r="G56" s="5225"/>
      <c r="H56" s="5225"/>
      <c r="I56" s="5225"/>
      <c r="J56" s="5225"/>
      <c r="K56" s="5225"/>
      <c r="L56" s="5225"/>
      <c r="M56" s="5225"/>
      <c r="N56" s="5225"/>
      <c r="O56" s="5225"/>
      <c r="P56" s="5225"/>
      <c r="Q56" s="5225"/>
      <c r="R56" s="5225"/>
      <c r="S56" s="5225"/>
      <c r="T56" s="5225"/>
      <c r="U56" s="5225"/>
      <c r="V56" s="2850"/>
    </row>
    <row r="57" spans="2:22" ht="14.1" customHeight="1">
      <c r="C57" s="2851" t="s">
        <v>5481</v>
      </c>
      <c r="D57" s="5225" t="str">
        <f>IF(O36=0,"n.a.","2018 Valuation Handbook Duff &amp; Phelps 기준 Size Premium 적용 (Source: Duff &amp; Phelps)")</f>
        <v>n.a.</v>
      </c>
      <c r="E57" s="5225" t="s">
        <v>5534</v>
      </c>
      <c r="F57" s="5225" t="s">
        <v>5534</v>
      </c>
      <c r="G57" s="5225" t="s">
        <v>5534</v>
      </c>
      <c r="H57" s="5225" t="s">
        <v>5534</v>
      </c>
      <c r="I57" s="5225" t="s">
        <v>5534</v>
      </c>
      <c r="J57" s="5225" t="s">
        <v>5534</v>
      </c>
      <c r="K57" s="5225" t="s">
        <v>5534</v>
      </c>
      <c r="L57" s="5225"/>
      <c r="M57" s="5225" t="s">
        <v>5534</v>
      </c>
      <c r="N57" s="5225" t="s">
        <v>5534</v>
      </c>
      <c r="O57" s="5225" t="s">
        <v>5534</v>
      </c>
      <c r="P57" s="5225" t="s">
        <v>5534</v>
      </c>
      <c r="Q57" s="5225"/>
      <c r="R57" s="5225"/>
      <c r="S57" s="5225" t="s">
        <v>5534</v>
      </c>
      <c r="T57" s="5225" t="s">
        <v>5534</v>
      </c>
      <c r="U57" s="5225" t="s">
        <v>5534</v>
      </c>
      <c r="V57" s="2850"/>
    </row>
    <row r="58" spans="2:22" ht="14.1" customHeight="1">
      <c r="C58" s="2851" t="s">
        <v>5482</v>
      </c>
      <c r="D58" s="5224" t="str">
        <f>CHOOSE($AC$22,"대상회사의 가중평균이자율 적용","대상회사의 신용등급을 고려하여 5년만기 무보증 회사채 수익률 적용 (Source: Kofia Bond)")</f>
        <v>대상회사의 신용등급을 고려하여 5년만기 무보증 회사채 수익률 적용 (Source: Kofia Bond)</v>
      </c>
      <c r="E58" s="5225"/>
      <c r="F58" s="5225"/>
      <c r="G58" s="5225"/>
      <c r="H58" s="5225"/>
      <c r="I58" s="5225"/>
      <c r="J58" s="5225"/>
      <c r="K58" s="5225"/>
      <c r="L58" s="5225"/>
      <c r="M58" s="5225"/>
      <c r="N58" s="5225"/>
      <c r="O58" s="5225"/>
      <c r="P58" s="5225"/>
      <c r="Q58" s="5225"/>
      <c r="R58" s="5225"/>
      <c r="S58" s="5225"/>
      <c r="T58" s="5225"/>
      <c r="U58" s="5225"/>
      <c r="V58" s="2850"/>
    </row>
    <row r="59" spans="2:22" ht="14.1" customHeight="1">
      <c r="C59" s="2852" t="s">
        <v>5483</v>
      </c>
      <c r="D59" s="5226" t="s">
        <v>5535</v>
      </c>
      <c r="E59" s="5226"/>
      <c r="F59" s="5226"/>
      <c r="G59" s="5226"/>
      <c r="H59" s="5226"/>
      <c r="I59" s="5226"/>
      <c r="J59" s="5226"/>
      <c r="K59" s="5226"/>
      <c r="L59" s="5226"/>
      <c r="M59" s="5226"/>
      <c r="N59" s="5226"/>
      <c r="O59" s="5226"/>
      <c r="P59" s="5226"/>
      <c r="Q59" s="5226"/>
      <c r="R59" s="5226"/>
      <c r="S59" s="5226"/>
      <c r="T59" s="5226"/>
      <c r="U59" s="5226"/>
      <c r="V59" s="2850"/>
    </row>
    <row r="60" spans="2:22" ht="14.1" customHeight="1">
      <c r="C60" s="2851"/>
      <c r="D60" s="5227"/>
      <c r="E60" s="5227"/>
      <c r="F60" s="5227"/>
      <c r="G60" s="5227"/>
      <c r="H60" s="5227"/>
      <c r="I60" s="5227"/>
      <c r="J60" s="5227"/>
      <c r="K60" s="5227"/>
      <c r="L60" s="5227"/>
      <c r="M60" s="5227"/>
      <c r="N60" s="5227"/>
      <c r="O60" s="5227"/>
      <c r="P60" s="5227"/>
      <c r="Q60" s="5227"/>
      <c r="R60" s="5227"/>
      <c r="S60" s="5227"/>
      <c r="T60" s="5227"/>
    </row>
    <row r="61" spans="2:22" ht="14.1" customHeight="1">
      <c r="C61" s="2851"/>
      <c r="D61" s="2853"/>
      <c r="E61" s="2853"/>
      <c r="F61" s="2853"/>
      <c r="G61" s="2853"/>
      <c r="H61" s="2853"/>
      <c r="I61" s="2853"/>
      <c r="J61" s="2853"/>
      <c r="K61" s="2853"/>
      <c r="L61" s="2853"/>
      <c r="M61" s="2853"/>
      <c r="N61" s="2853"/>
      <c r="O61" s="2853"/>
      <c r="P61" s="2853"/>
      <c r="Q61" s="2853"/>
      <c r="R61" s="2853"/>
      <c r="S61" s="2853"/>
      <c r="T61" s="2853"/>
    </row>
    <row r="62" spans="2:22" ht="14.1" customHeight="1">
      <c r="C62" s="2854" t="s">
        <v>5536</v>
      </c>
      <c r="E62" s="2736"/>
      <c r="F62" s="2736"/>
      <c r="G62" s="2736"/>
      <c r="H62" s="2846"/>
      <c r="I62" s="2846"/>
      <c r="J62" s="2846"/>
      <c r="M62" s="2853"/>
      <c r="N62" s="2855" t="s">
        <v>5484</v>
      </c>
      <c r="O62" s="2853"/>
      <c r="P62" s="2853"/>
      <c r="Q62" s="2853"/>
      <c r="R62" s="2853"/>
      <c r="S62" s="2853"/>
      <c r="T62" s="2853"/>
      <c r="U62" s="2729"/>
      <c r="V62" s="2729"/>
    </row>
    <row r="63" spans="2:22" ht="27.95" customHeight="1">
      <c r="C63" s="2856"/>
      <c r="D63" s="2857"/>
      <c r="E63" s="2857"/>
      <c r="F63" s="2857"/>
      <c r="G63" s="2858"/>
      <c r="H63" s="2859" t="s">
        <v>5485</v>
      </c>
      <c r="I63" s="2860" t="s">
        <v>5486</v>
      </c>
      <c r="J63" s="2861" t="s">
        <v>5487</v>
      </c>
      <c r="K63" s="2862" t="s">
        <v>5426</v>
      </c>
      <c r="L63" s="2863"/>
      <c r="M63" s="2853"/>
      <c r="N63" s="2760" t="s">
        <v>5488</v>
      </c>
      <c r="O63" s="2853"/>
      <c r="P63" s="2853"/>
      <c r="Q63" s="2853"/>
      <c r="R63" s="2853"/>
      <c r="S63" s="2853"/>
      <c r="T63" s="2853"/>
      <c r="U63" s="2729"/>
      <c r="V63" s="2729"/>
    </row>
    <row r="64" spans="2:22" ht="14.1" customHeight="1">
      <c r="B64" s="2747">
        <v>1</v>
      </c>
      <c r="C64" s="2864" t="s">
        <v>5400</v>
      </c>
      <c r="D64" s="2865"/>
      <c r="E64" s="2866"/>
      <c r="F64" s="2866"/>
      <c r="G64" s="2867"/>
      <c r="H64" s="2868">
        <v>0.90738830000000004</v>
      </c>
      <c r="I64" s="2866">
        <v>0.69076630000000006</v>
      </c>
      <c r="J64" s="2867">
        <v>0.99315319999999996</v>
      </c>
      <c r="K64" s="2869" t="s">
        <v>5489</v>
      </c>
      <c r="L64" s="2863"/>
      <c r="M64" s="2853"/>
      <c r="N64" s="2760" t="s">
        <v>5490</v>
      </c>
      <c r="O64" s="2853"/>
      <c r="P64" s="2853"/>
      <c r="Q64" s="2853"/>
      <c r="R64" s="2853"/>
      <c r="S64" s="2853"/>
      <c r="T64" s="2853"/>
      <c r="U64" s="2729"/>
      <c r="V64" s="2729"/>
    </row>
    <row r="65" spans="1:20" s="2729" customFormat="1" ht="14.1" customHeight="1">
      <c r="A65" s="2711"/>
      <c r="B65" s="2747">
        <f>B64+1</f>
        <v>2</v>
      </c>
      <c r="C65" s="2870" t="s">
        <v>5402</v>
      </c>
      <c r="D65" s="2871"/>
      <c r="E65" s="2872"/>
      <c r="F65" s="2872"/>
      <c r="G65" s="2873"/>
      <c r="H65" s="2874">
        <v>1.0650850000000001</v>
      </c>
      <c r="I65" s="2872">
        <v>1.102757</v>
      </c>
      <c r="J65" s="2873">
        <v>0.99980670000000005</v>
      </c>
      <c r="K65" s="2875" t="s">
        <v>5427</v>
      </c>
      <c r="L65" s="2863"/>
      <c r="M65" s="2853"/>
      <c r="N65" s="2760" t="s">
        <v>5491</v>
      </c>
      <c r="O65" s="2853"/>
      <c r="P65" s="2853"/>
      <c r="Q65" s="2853"/>
      <c r="R65" s="2853"/>
      <c r="S65" s="2853"/>
      <c r="T65" s="2853"/>
    </row>
    <row r="66" spans="1:20" s="2729" customFormat="1" ht="14.1" customHeight="1">
      <c r="A66" s="2711"/>
      <c r="B66" s="2747">
        <f t="shared" ref="B66:B83" si="10">B65+1</f>
        <v>3</v>
      </c>
      <c r="C66" s="2870" t="s">
        <v>5403</v>
      </c>
      <c r="D66" s="2871"/>
      <c r="E66" s="2872"/>
      <c r="F66" s="2872"/>
      <c r="G66" s="2873"/>
      <c r="H66" s="2874">
        <v>1.184334</v>
      </c>
      <c r="I66" s="2872">
        <v>1.3170569999999999</v>
      </c>
      <c r="J66" s="2873">
        <v>1.3000659999999999</v>
      </c>
      <c r="K66" s="2875" t="s">
        <v>5427</v>
      </c>
      <c r="L66" s="2863"/>
      <c r="M66" s="2853"/>
      <c r="N66" s="2853"/>
      <c r="O66" s="2853"/>
      <c r="P66" s="2853"/>
      <c r="Q66" s="2853"/>
      <c r="R66" s="2853"/>
      <c r="S66" s="2853"/>
      <c r="T66" s="2853"/>
    </row>
    <row r="67" spans="1:20" s="2729" customFormat="1" ht="14.1" customHeight="1">
      <c r="A67" s="2711"/>
      <c r="B67" s="2747">
        <f t="shared" si="10"/>
        <v>4</v>
      </c>
      <c r="C67" s="2870" t="s">
        <v>5405</v>
      </c>
      <c r="D67" s="2871"/>
      <c r="E67" s="2872"/>
      <c r="F67" s="2872"/>
      <c r="G67" s="2873"/>
      <c r="H67" s="2874">
        <v>0.86102380000000001</v>
      </c>
      <c r="I67" s="2872">
        <v>0.75812040000000003</v>
      </c>
      <c r="J67" s="2873">
        <v>0.83344790000000002</v>
      </c>
      <c r="K67" s="2875" t="s">
        <v>5427</v>
      </c>
      <c r="L67" s="2863"/>
      <c r="M67" s="2853"/>
      <c r="N67" s="2853"/>
      <c r="O67" s="2853"/>
      <c r="P67" s="2853"/>
      <c r="Q67" s="2853"/>
      <c r="R67" s="2853"/>
      <c r="S67" s="2853"/>
      <c r="T67" s="2853"/>
    </row>
    <row r="68" spans="1:20" s="2729" customFormat="1" ht="14.1" customHeight="1">
      <c r="A68" s="2711"/>
      <c r="B68" s="2747">
        <f t="shared" si="10"/>
        <v>5</v>
      </c>
      <c r="C68" s="2870" t="s">
        <v>5406</v>
      </c>
      <c r="D68" s="2871"/>
      <c r="E68" s="2872"/>
      <c r="F68" s="2872"/>
      <c r="G68" s="2873"/>
      <c r="H68" s="2874">
        <v>1.1170580000000001</v>
      </c>
      <c r="I68" s="2872">
        <v>1.1866099999999999</v>
      </c>
      <c r="J68" s="2873">
        <v>1.114635</v>
      </c>
      <c r="K68" s="2875" t="s">
        <v>5427</v>
      </c>
      <c r="L68" s="2863"/>
      <c r="M68" s="2853"/>
      <c r="N68" s="2853"/>
      <c r="O68" s="2853"/>
      <c r="P68" s="2853"/>
      <c r="Q68" s="2853"/>
      <c r="R68" s="2853"/>
      <c r="S68" s="2853"/>
      <c r="T68" s="2853"/>
    </row>
    <row r="69" spans="1:20" s="2729" customFormat="1" ht="14.1" customHeight="1">
      <c r="A69" s="2711"/>
      <c r="B69" s="2747">
        <f t="shared" si="10"/>
        <v>6</v>
      </c>
      <c r="C69" s="2870">
        <v>0</v>
      </c>
      <c r="D69" s="2871"/>
      <c r="E69" s="2872"/>
      <c r="F69" s="2872"/>
      <c r="G69" s="2873"/>
      <c r="H69" s="2874" t="s">
        <v>3953</v>
      </c>
      <c r="I69" s="2872" t="s">
        <v>3953</v>
      </c>
      <c r="J69" s="2873" t="s">
        <v>3953</v>
      </c>
      <c r="K69" s="2875" t="s">
        <v>5492</v>
      </c>
      <c r="L69" s="2863"/>
      <c r="M69" s="2853"/>
      <c r="N69" s="2853"/>
      <c r="O69" s="2853"/>
      <c r="P69" s="2853"/>
      <c r="Q69" s="2853"/>
      <c r="R69" s="2853"/>
      <c r="S69" s="2853"/>
      <c r="T69" s="2853"/>
    </row>
    <row r="70" spans="1:20" s="2729" customFormat="1" ht="14.1" customHeight="1">
      <c r="A70" s="2711"/>
      <c r="B70" s="2747">
        <f t="shared" si="10"/>
        <v>7</v>
      </c>
      <c r="C70" s="2870">
        <v>0</v>
      </c>
      <c r="D70" s="2871"/>
      <c r="E70" s="2872"/>
      <c r="F70" s="2872"/>
      <c r="G70" s="2873"/>
      <c r="H70" s="2874" t="s">
        <v>3953</v>
      </c>
      <c r="I70" s="2872" t="s">
        <v>3953</v>
      </c>
      <c r="J70" s="2873" t="s">
        <v>3953</v>
      </c>
      <c r="K70" s="2875" t="s">
        <v>5427</v>
      </c>
      <c r="L70" s="2863"/>
      <c r="M70" s="2853"/>
      <c r="N70" s="2853"/>
      <c r="O70" s="2853"/>
      <c r="P70" s="2853"/>
      <c r="Q70" s="2853"/>
      <c r="R70" s="2853"/>
      <c r="S70" s="2853"/>
      <c r="T70" s="2853"/>
    </row>
    <row r="71" spans="1:20" s="2729" customFormat="1" ht="14.1" customHeight="1">
      <c r="A71" s="2711"/>
      <c r="B71" s="2747">
        <f t="shared" si="10"/>
        <v>8</v>
      </c>
      <c r="C71" s="2870" t="s">
        <v>3953</v>
      </c>
      <c r="D71" s="2871"/>
      <c r="E71" s="2872"/>
      <c r="F71" s="2872"/>
      <c r="G71" s="2873"/>
      <c r="H71" s="2874" t="s">
        <v>3953</v>
      </c>
      <c r="I71" s="2872" t="s">
        <v>3953</v>
      </c>
      <c r="J71" s="2873" t="s">
        <v>3953</v>
      </c>
      <c r="K71" s="2875" t="s">
        <v>3953</v>
      </c>
      <c r="L71" s="2863"/>
      <c r="M71" s="2853"/>
      <c r="N71" s="2853"/>
      <c r="O71" s="2853"/>
      <c r="P71" s="2853"/>
      <c r="Q71" s="2853"/>
      <c r="R71" s="2853"/>
      <c r="S71" s="2853"/>
      <c r="T71" s="2853"/>
    </row>
    <row r="72" spans="1:20" s="2729" customFormat="1" ht="14.1" customHeight="1">
      <c r="A72" s="2711"/>
      <c r="B72" s="2747">
        <f t="shared" si="10"/>
        <v>9</v>
      </c>
      <c r="C72" s="2870" t="s">
        <v>3953</v>
      </c>
      <c r="D72" s="2871"/>
      <c r="E72" s="2872"/>
      <c r="F72" s="2872"/>
      <c r="G72" s="2873"/>
      <c r="H72" s="2874" t="s">
        <v>3953</v>
      </c>
      <c r="I72" s="2872" t="s">
        <v>3953</v>
      </c>
      <c r="J72" s="2873" t="s">
        <v>3953</v>
      </c>
      <c r="K72" s="2875" t="s">
        <v>3953</v>
      </c>
      <c r="L72" s="2863"/>
      <c r="M72" s="2853"/>
      <c r="N72" s="2853"/>
      <c r="O72" s="2853"/>
      <c r="P72" s="2853"/>
      <c r="Q72" s="2853"/>
      <c r="R72" s="2853"/>
      <c r="S72" s="2853"/>
      <c r="T72" s="2853"/>
    </row>
    <row r="73" spans="1:20" s="2729" customFormat="1" ht="14.1" customHeight="1">
      <c r="A73" s="2711"/>
      <c r="B73" s="2747">
        <f t="shared" si="10"/>
        <v>10</v>
      </c>
      <c r="C73" s="2870" t="s">
        <v>3953</v>
      </c>
      <c r="D73" s="2871"/>
      <c r="E73" s="2872"/>
      <c r="F73" s="2872"/>
      <c r="G73" s="2873"/>
      <c r="H73" s="2874" t="s">
        <v>3953</v>
      </c>
      <c r="I73" s="2872" t="s">
        <v>3953</v>
      </c>
      <c r="J73" s="2873" t="s">
        <v>3953</v>
      </c>
      <c r="K73" s="2875" t="s">
        <v>3953</v>
      </c>
      <c r="L73" s="2863"/>
      <c r="M73" s="2853"/>
      <c r="N73" s="2853"/>
      <c r="O73" s="2853"/>
      <c r="P73" s="2853"/>
      <c r="Q73" s="2853"/>
      <c r="R73" s="2853"/>
      <c r="S73" s="2853"/>
      <c r="T73" s="2853"/>
    </row>
    <row r="74" spans="1:20" s="2729" customFormat="1" ht="14.1" customHeight="1">
      <c r="A74" s="2711"/>
      <c r="B74" s="2747">
        <f t="shared" si="10"/>
        <v>11</v>
      </c>
      <c r="C74" s="2870" t="s">
        <v>3953</v>
      </c>
      <c r="D74" s="2871"/>
      <c r="E74" s="2872"/>
      <c r="F74" s="2872"/>
      <c r="G74" s="2873"/>
      <c r="H74" s="2874" t="s">
        <v>3953</v>
      </c>
      <c r="I74" s="2872" t="s">
        <v>3953</v>
      </c>
      <c r="J74" s="2873" t="s">
        <v>3953</v>
      </c>
      <c r="K74" s="2875" t="s">
        <v>3953</v>
      </c>
      <c r="L74" s="2863"/>
      <c r="M74" s="2853"/>
      <c r="N74" s="2853"/>
      <c r="O74" s="2853"/>
      <c r="P74" s="2853"/>
      <c r="Q74" s="2853"/>
      <c r="R74" s="2853"/>
      <c r="S74" s="2853"/>
      <c r="T74" s="2853"/>
    </row>
    <row r="75" spans="1:20" s="2729" customFormat="1" ht="14.1" customHeight="1">
      <c r="A75" s="2711"/>
      <c r="B75" s="2747">
        <f t="shared" si="10"/>
        <v>12</v>
      </c>
      <c r="C75" s="2870" t="s">
        <v>3953</v>
      </c>
      <c r="D75" s="2871"/>
      <c r="E75" s="2872"/>
      <c r="F75" s="2872"/>
      <c r="G75" s="2873"/>
      <c r="H75" s="2874" t="s">
        <v>3953</v>
      </c>
      <c r="I75" s="2872" t="s">
        <v>3953</v>
      </c>
      <c r="J75" s="2873" t="s">
        <v>3953</v>
      </c>
      <c r="K75" s="2875" t="s">
        <v>3953</v>
      </c>
      <c r="L75" s="2863"/>
      <c r="M75" s="2853"/>
      <c r="N75" s="2853"/>
      <c r="O75" s="2853"/>
      <c r="P75" s="2853"/>
      <c r="Q75" s="2853"/>
      <c r="R75" s="2853"/>
      <c r="S75" s="2853"/>
      <c r="T75" s="2853"/>
    </row>
    <row r="76" spans="1:20" s="2729" customFormat="1" ht="14.1" customHeight="1">
      <c r="A76" s="2711"/>
      <c r="B76" s="2747">
        <f t="shared" si="10"/>
        <v>13</v>
      </c>
      <c r="C76" s="2870" t="s">
        <v>3953</v>
      </c>
      <c r="D76" s="2871"/>
      <c r="E76" s="2872"/>
      <c r="F76" s="2872"/>
      <c r="G76" s="2873"/>
      <c r="H76" s="2874" t="s">
        <v>3953</v>
      </c>
      <c r="I76" s="2872" t="s">
        <v>3953</v>
      </c>
      <c r="J76" s="2873" t="s">
        <v>3953</v>
      </c>
      <c r="K76" s="2875" t="s">
        <v>3953</v>
      </c>
      <c r="L76" s="2863"/>
      <c r="M76" s="2853"/>
      <c r="N76" s="2853"/>
      <c r="O76" s="2853"/>
      <c r="P76" s="2853"/>
      <c r="Q76" s="2853"/>
      <c r="R76" s="2853"/>
      <c r="S76" s="2853"/>
      <c r="T76" s="2853"/>
    </row>
    <row r="77" spans="1:20" s="2729" customFormat="1" ht="14.1" customHeight="1">
      <c r="A77" s="2711"/>
      <c r="B77" s="2747">
        <f t="shared" si="10"/>
        <v>14</v>
      </c>
      <c r="C77" s="2870" t="s">
        <v>3953</v>
      </c>
      <c r="D77" s="2871"/>
      <c r="E77" s="2872"/>
      <c r="F77" s="2872"/>
      <c r="G77" s="2873"/>
      <c r="H77" s="2874" t="s">
        <v>3953</v>
      </c>
      <c r="I77" s="2872" t="s">
        <v>3953</v>
      </c>
      <c r="J77" s="2873" t="s">
        <v>3953</v>
      </c>
      <c r="K77" s="2875" t="s">
        <v>3953</v>
      </c>
      <c r="L77" s="2863"/>
      <c r="M77" s="2853"/>
      <c r="N77" s="2853"/>
      <c r="O77" s="2853"/>
      <c r="P77" s="2853"/>
      <c r="Q77" s="2853"/>
      <c r="R77" s="2853"/>
      <c r="S77" s="2853"/>
      <c r="T77" s="2853"/>
    </row>
    <row r="78" spans="1:20" s="2729" customFormat="1" ht="14.1" customHeight="1">
      <c r="A78" s="2711"/>
      <c r="B78" s="2747">
        <f t="shared" si="10"/>
        <v>15</v>
      </c>
      <c r="C78" s="2870" t="s">
        <v>3953</v>
      </c>
      <c r="D78" s="2871"/>
      <c r="E78" s="2872"/>
      <c r="F78" s="2872"/>
      <c r="G78" s="2873"/>
      <c r="H78" s="2874" t="s">
        <v>3953</v>
      </c>
      <c r="I78" s="2872" t="s">
        <v>3953</v>
      </c>
      <c r="J78" s="2873" t="s">
        <v>3953</v>
      </c>
      <c r="K78" s="2875" t="s">
        <v>3953</v>
      </c>
      <c r="L78" s="2863"/>
      <c r="M78" s="2853"/>
      <c r="N78" s="2853"/>
      <c r="O78" s="2853"/>
      <c r="P78" s="2853"/>
      <c r="Q78" s="2853"/>
      <c r="R78" s="2853"/>
      <c r="S78" s="2853"/>
      <c r="T78" s="2853"/>
    </row>
    <row r="79" spans="1:20" s="2729" customFormat="1" ht="14.1" customHeight="1">
      <c r="A79" s="2711"/>
      <c r="B79" s="2747">
        <f t="shared" si="10"/>
        <v>16</v>
      </c>
      <c r="C79" s="2870" t="s">
        <v>3953</v>
      </c>
      <c r="D79" s="2871"/>
      <c r="E79" s="2872"/>
      <c r="F79" s="2872"/>
      <c r="G79" s="2873"/>
      <c r="H79" s="2874" t="s">
        <v>3953</v>
      </c>
      <c r="I79" s="2872" t="s">
        <v>3953</v>
      </c>
      <c r="J79" s="2873" t="s">
        <v>3953</v>
      </c>
      <c r="K79" s="2875" t="s">
        <v>3953</v>
      </c>
      <c r="L79" s="2863"/>
      <c r="M79" s="2853"/>
      <c r="N79" s="2853"/>
      <c r="O79" s="2853"/>
      <c r="P79" s="2853"/>
      <c r="Q79" s="2853"/>
      <c r="R79" s="2853"/>
      <c r="S79" s="2853"/>
      <c r="T79" s="2853"/>
    </row>
    <row r="80" spans="1:20" s="2729" customFormat="1" ht="14.1" customHeight="1">
      <c r="A80" s="2711"/>
      <c r="B80" s="2747">
        <f t="shared" si="10"/>
        <v>17</v>
      </c>
      <c r="C80" s="2870" t="s">
        <v>3953</v>
      </c>
      <c r="D80" s="2871"/>
      <c r="E80" s="2872"/>
      <c r="F80" s="2872"/>
      <c r="G80" s="2873"/>
      <c r="H80" s="2874" t="s">
        <v>3953</v>
      </c>
      <c r="I80" s="2872" t="s">
        <v>3953</v>
      </c>
      <c r="J80" s="2873" t="s">
        <v>3953</v>
      </c>
      <c r="K80" s="2875" t="s">
        <v>3953</v>
      </c>
      <c r="L80" s="2863"/>
      <c r="M80" s="2853"/>
      <c r="N80" s="2853"/>
      <c r="O80" s="2853"/>
      <c r="P80" s="2853"/>
      <c r="Q80" s="2853"/>
      <c r="R80" s="2853"/>
      <c r="S80" s="2853"/>
      <c r="T80" s="2853"/>
    </row>
    <row r="81" spans="1:22" ht="14.1" customHeight="1">
      <c r="B81" s="2747">
        <f t="shared" si="10"/>
        <v>18</v>
      </c>
      <c r="C81" s="2870" t="s">
        <v>3953</v>
      </c>
      <c r="D81" s="2871"/>
      <c r="E81" s="2872"/>
      <c r="F81" s="2872"/>
      <c r="G81" s="2873"/>
      <c r="H81" s="2874" t="s">
        <v>3953</v>
      </c>
      <c r="I81" s="2872" t="s">
        <v>3953</v>
      </c>
      <c r="J81" s="2873" t="s">
        <v>3953</v>
      </c>
      <c r="K81" s="2875" t="s">
        <v>3953</v>
      </c>
      <c r="L81" s="2863"/>
      <c r="M81" s="2853"/>
      <c r="N81" s="2853"/>
      <c r="O81" s="2853"/>
      <c r="P81" s="2853"/>
      <c r="Q81" s="2853"/>
      <c r="R81" s="2853"/>
      <c r="S81" s="2853"/>
      <c r="T81" s="2853"/>
      <c r="U81" s="2729"/>
      <c r="V81" s="2729"/>
    </row>
    <row r="82" spans="1:22" ht="14.1" customHeight="1">
      <c r="B82" s="2747">
        <f t="shared" si="10"/>
        <v>19</v>
      </c>
      <c r="C82" s="2870" t="s">
        <v>3953</v>
      </c>
      <c r="D82" s="2871"/>
      <c r="E82" s="2872"/>
      <c r="F82" s="2872"/>
      <c r="G82" s="2873"/>
      <c r="H82" s="2874" t="s">
        <v>3953</v>
      </c>
      <c r="I82" s="2872" t="s">
        <v>3953</v>
      </c>
      <c r="J82" s="2873" t="s">
        <v>3953</v>
      </c>
      <c r="K82" s="2875" t="s">
        <v>3953</v>
      </c>
      <c r="L82" s="2863"/>
      <c r="M82" s="2853"/>
      <c r="N82" s="2853"/>
      <c r="O82" s="2853"/>
      <c r="P82" s="2853"/>
      <c r="Q82" s="2853"/>
      <c r="R82" s="2853"/>
      <c r="S82" s="2853"/>
      <c r="T82" s="2853"/>
      <c r="U82" s="2729"/>
      <c r="V82" s="2729"/>
    </row>
    <row r="83" spans="1:22" ht="14.1" customHeight="1">
      <c r="B83" s="2747">
        <f t="shared" si="10"/>
        <v>20</v>
      </c>
      <c r="C83" s="2876" t="s">
        <v>3953</v>
      </c>
      <c r="D83" s="2877"/>
      <c r="E83" s="2878"/>
      <c r="F83" s="2878"/>
      <c r="G83" s="2879"/>
      <c r="H83" s="2880" t="s">
        <v>3953</v>
      </c>
      <c r="I83" s="2878" t="s">
        <v>3953</v>
      </c>
      <c r="J83" s="2879" t="s">
        <v>3953</v>
      </c>
      <c r="K83" s="2881" t="s">
        <v>3953</v>
      </c>
      <c r="L83" s="2863"/>
      <c r="M83" s="2853"/>
      <c r="N83" s="2853"/>
      <c r="O83" s="2853"/>
      <c r="P83" s="2853"/>
      <c r="Q83" s="2853"/>
      <c r="R83" s="2853"/>
      <c r="S83" s="2853"/>
      <c r="T83" s="2853"/>
      <c r="U83" s="2729"/>
      <c r="V83" s="2729"/>
    </row>
    <row r="84" spans="1:22" ht="14.1" customHeight="1">
      <c r="C84" s="2882"/>
      <c r="D84" s="2883"/>
      <c r="E84" s="2883"/>
      <c r="F84" s="2883"/>
      <c r="G84" s="2883"/>
      <c r="K84" s="2884"/>
      <c r="L84" s="2884"/>
      <c r="M84" s="2853"/>
    </row>
    <row r="85" spans="1:22" ht="14.1" customHeight="1">
      <c r="C85" s="2854" t="s">
        <v>5537</v>
      </c>
      <c r="O85" s="2855" t="s">
        <v>5484</v>
      </c>
    </row>
    <row r="86" spans="1:22" s="2736" customFormat="1" ht="14.1" customHeight="1">
      <c r="A86" s="2720"/>
      <c r="C86" s="2885"/>
      <c r="D86" s="2857"/>
      <c r="E86" s="2886"/>
      <c r="F86" s="2886"/>
      <c r="G86" s="2886"/>
      <c r="H86" s="2886">
        <v>44469</v>
      </c>
      <c r="I86" s="2857" t="s">
        <v>5428</v>
      </c>
      <c r="J86" s="2857" t="s">
        <v>5429</v>
      </c>
      <c r="K86" s="2857" t="s">
        <v>5430</v>
      </c>
      <c r="L86" s="2858" t="s">
        <v>5493</v>
      </c>
      <c r="M86" s="2887"/>
      <c r="N86" s="2888"/>
      <c r="O86" s="2889"/>
      <c r="T86" s="2760"/>
      <c r="U86" s="2760"/>
    </row>
    <row r="87" spans="1:22" ht="14.1" customHeight="1">
      <c r="B87" s="2747">
        <v>1</v>
      </c>
      <c r="C87" s="2864" t="s">
        <v>5400</v>
      </c>
      <c r="D87" s="2865"/>
      <c r="E87" s="2890"/>
      <c r="F87" s="2890"/>
      <c r="G87" s="2890"/>
      <c r="H87" s="2891">
        <v>9466450</v>
      </c>
      <c r="I87" s="2891">
        <v>9698186.8421052638</v>
      </c>
      <c r="J87" s="2891">
        <v>9487805.564516129</v>
      </c>
      <c r="K87" s="2891">
        <v>8880825.8399999999</v>
      </c>
      <c r="L87" s="2892">
        <v>8247340.6097560972</v>
      </c>
      <c r="M87" s="2893"/>
      <c r="N87" s="2894"/>
      <c r="O87" s="2895">
        <f>H86</f>
        <v>44469</v>
      </c>
      <c r="T87" s="2741"/>
      <c r="V87" s="2729"/>
    </row>
    <row r="88" spans="1:22" ht="14.1" customHeight="1">
      <c r="B88" s="2747">
        <f>B87+1</f>
        <v>2</v>
      </c>
      <c r="C88" s="2870" t="s">
        <v>5402</v>
      </c>
      <c r="D88" s="2871"/>
      <c r="E88" s="2821"/>
      <c r="F88" s="2821"/>
      <c r="G88" s="2821"/>
      <c r="H88" s="2896">
        <v>1026778.4078333335</v>
      </c>
      <c r="I88" s="2897">
        <v>987339.56280000019</v>
      </c>
      <c r="J88" s="2897">
        <v>1026095.3788354843</v>
      </c>
      <c r="K88" s="2897">
        <v>1049464.3722551998</v>
      </c>
      <c r="L88" s="2898">
        <v>936711.49215000088</v>
      </c>
      <c r="M88" s="2893"/>
      <c r="N88" s="2821"/>
      <c r="O88" s="2895" t="s">
        <v>5494</v>
      </c>
      <c r="T88" s="2741"/>
      <c r="V88" s="2729"/>
    </row>
    <row r="89" spans="1:22" ht="14.1" customHeight="1">
      <c r="B89" s="2747">
        <f t="shared" ref="B89:B106" si="11">B88+1</f>
        <v>3</v>
      </c>
      <c r="C89" s="2870" t="s">
        <v>5403</v>
      </c>
      <c r="D89" s="2871"/>
      <c r="E89" s="2821"/>
      <c r="F89" s="2821"/>
      <c r="G89" s="2821"/>
      <c r="H89" s="2896">
        <v>10836.278970769226</v>
      </c>
      <c r="I89" s="2897">
        <v>11239.471271428571</v>
      </c>
      <c r="J89" s="2897">
        <v>10848.827674999997</v>
      </c>
      <c r="K89" s="2897">
        <v>11054.035674193547</v>
      </c>
      <c r="L89" s="2898">
        <v>9991.7700166666673</v>
      </c>
      <c r="M89" s="2893"/>
      <c r="N89" s="2899"/>
      <c r="O89" s="2895" t="s">
        <v>5495</v>
      </c>
      <c r="T89" s="2741"/>
      <c r="V89" s="2729"/>
    </row>
    <row r="90" spans="1:22" ht="14.1" customHeight="1">
      <c r="B90" s="2747">
        <f t="shared" si="11"/>
        <v>4</v>
      </c>
      <c r="C90" s="2870" t="s">
        <v>5405</v>
      </c>
      <c r="D90" s="2871"/>
      <c r="E90" s="2821"/>
      <c r="F90" s="2821"/>
      <c r="G90" s="2821"/>
      <c r="H90" s="2896">
        <v>6082.3894923076914</v>
      </c>
      <c r="I90" s="2897">
        <v>7270.7437350000009</v>
      </c>
      <c r="J90" s="2897">
        <v>6108.1432890624992</v>
      </c>
      <c r="K90" s="2897">
        <v>5411.3863887096759</v>
      </c>
      <c r="L90" s="2898">
        <v>4782.3031950413251</v>
      </c>
      <c r="M90" s="2893"/>
      <c r="N90" s="2899"/>
      <c r="O90" s="2895" t="s">
        <v>5496</v>
      </c>
      <c r="T90" s="2741"/>
      <c r="V90" s="2729"/>
    </row>
    <row r="91" spans="1:22" ht="14.1" customHeight="1">
      <c r="B91" s="2747">
        <f t="shared" si="11"/>
        <v>5</v>
      </c>
      <c r="C91" s="2870" t="s">
        <v>5406</v>
      </c>
      <c r="D91" s="2871"/>
      <c r="E91" s="2821"/>
      <c r="F91" s="2821"/>
      <c r="G91" s="2821"/>
      <c r="H91" s="2896">
        <v>9931.1312373134388</v>
      </c>
      <c r="I91" s="2897">
        <v>9166.8311545454526</v>
      </c>
      <c r="J91" s="2897">
        <v>9922.320268181822</v>
      </c>
      <c r="K91" s="2897">
        <v>10395.767811023621</v>
      </c>
      <c r="L91" s="2898">
        <v>9915.7927365079304</v>
      </c>
      <c r="M91" s="2893"/>
      <c r="N91" s="2899"/>
      <c r="O91" s="2900" t="s">
        <v>5497</v>
      </c>
      <c r="T91" s="2741"/>
      <c r="V91" s="2729"/>
    </row>
    <row r="92" spans="1:22" ht="14.1" customHeight="1">
      <c r="B92" s="2747">
        <f t="shared" si="11"/>
        <v>6</v>
      </c>
      <c r="C92" s="2870"/>
      <c r="D92" s="2871"/>
      <c r="E92" s="2821"/>
      <c r="F92" s="2821"/>
      <c r="G92" s="2821"/>
      <c r="H92" s="2896"/>
      <c r="I92" s="2897"/>
      <c r="J92" s="2897"/>
      <c r="K92" s="2897"/>
      <c r="L92" s="2898"/>
      <c r="M92" s="2893"/>
      <c r="N92" s="2899"/>
      <c r="O92" s="2901"/>
      <c r="T92" s="2741"/>
      <c r="V92" s="2729"/>
    </row>
    <row r="93" spans="1:22" ht="14.1" customHeight="1">
      <c r="B93" s="2747">
        <f t="shared" si="11"/>
        <v>7</v>
      </c>
      <c r="C93" s="2870"/>
      <c r="D93" s="2871"/>
      <c r="E93" s="2821"/>
      <c r="F93" s="2821"/>
      <c r="G93" s="2821"/>
      <c r="H93" s="2896"/>
      <c r="I93" s="2897"/>
      <c r="J93" s="2897"/>
      <c r="K93" s="2897"/>
      <c r="L93" s="2898"/>
      <c r="M93" s="2893"/>
      <c r="N93" s="2899"/>
      <c r="O93" s="2901"/>
      <c r="T93" s="2741"/>
      <c r="V93" s="2729"/>
    </row>
    <row r="94" spans="1:22" ht="14.1" customHeight="1">
      <c r="B94" s="2747">
        <f t="shared" si="11"/>
        <v>8</v>
      </c>
      <c r="C94" s="2870" t="s">
        <v>3953</v>
      </c>
      <c r="D94" s="2871"/>
      <c r="E94" s="2821"/>
      <c r="F94" s="2821"/>
      <c r="G94" s="2821"/>
      <c r="H94" s="2896" t="s">
        <v>3953</v>
      </c>
      <c r="I94" s="2897" t="s">
        <v>3953</v>
      </c>
      <c r="J94" s="2897" t="s">
        <v>3953</v>
      </c>
      <c r="K94" s="2897" t="s">
        <v>3953</v>
      </c>
      <c r="L94" s="2898" t="s">
        <v>3953</v>
      </c>
      <c r="M94" s="2902"/>
      <c r="N94" s="2899"/>
      <c r="O94" s="2901"/>
      <c r="T94" s="2741"/>
      <c r="V94" s="2729"/>
    </row>
    <row r="95" spans="1:22" ht="14.1" customHeight="1">
      <c r="B95" s="2747">
        <f t="shared" si="11"/>
        <v>9</v>
      </c>
      <c r="C95" s="2870" t="s">
        <v>3953</v>
      </c>
      <c r="D95" s="2871"/>
      <c r="E95" s="2821"/>
      <c r="F95" s="2821"/>
      <c r="G95" s="2821"/>
      <c r="H95" s="2896" t="s">
        <v>3953</v>
      </c>
      <c r="I95" s="2897" t="s">
        <v>3953</v>
      </c>
      <c r="J95" s="2897" t="s">
        <v>3953</v>
      </c>
      <c r="K95" s="2897" t="s">
        <v>3953</v>
      </c>
      <c r="L95" s="2898" t="s">
        <v>3953</v>
      </c>
      <c r="M95" s="2902"/>
      <c r="N95" s="2899"/>
      <c r="O95" s="2901"/>
      <c r="T95" s="2741"/>
      <c r="V95" s="2729"/>
    </row>
    <row r="96" spans="1:22" ht="14.1" customHeight="1">
      <c r="B96" s="2747">
        <f t="shared" si="11"/>
        <v>10</v>
      </c>
      <c r="C96" s="2870" t="s">
        <v>3953</v>
      </c>
      <c r="D96" s="2871"/>
      <c r="E96" s="2821"/>
      <c r="F96" s="2821"/>
      <c r="G96" s="2821"/>
      <c r="H96" s="2896" t="s">
        <v>3953</v>
      </c>
      <c r="I96" s="2897" t="s">
        <v>3953</v>
      </c>
      <c r="J96" s="2897" t="s">
        <v>3953</v>
      </c>
      <c r="K96" s="2897" t="s">
        <v>3953</v>
      </c>
      <c r="L96" s="2898" t="s">
        <v>3953</v>
      </c>
      <c r="M96" s="2902"/>
      <c r="N96" s="2899"/>
      <c r="O96" s="2901"/>
      <c r="T96" s="2741"/>
      <c r="V96" s="2729"/>
    </row>
    <row r="97" spans="1:34" ht="14.1" customHeight="1">
      <c r="B97" s="2747">
        <f t="shared" si="11"/>
        <v>11</v>
      </c>
      <c r="C97" s="2870" t="s">
        <v>3953</v>
      </c>
      <c r="D97" s="2871"/>
      <c r="E97" s="2821"/>
      <c r="F97" s="2821"/>
      <c r="G97" s="2821"/>
      <c r="H97" s="2896" t="s">
        <v>3953</v>
      </c>
      <c r="I97" s="2897" t="s">
        <v>3953</v>
      </c>
      <c r="J97" s="2897" t="s">
        <v>3953</v>
      </c>
      <c r="K97" s="2897" t="s">
        <v>3953</v>
      </c>
      <c r="L97" s="2898" t="s">
        <v>3953</v>
      </c>
      <c r="M97" s="2902"/>
      <c r="N97" s="2899"/>
      <c r="O97" s="2901"/>
      <c r="T97" s="2741"/>
      <c r="V97" s="2729"/>
    </row>
    <row r="98" spans="1:34" ht="14.1" customHeight="1">
      <c r="B98" s="2747">
        <f t="shared" si="11"/>
        <v>12</v>
      </c>
      <c r="C98" s="2870" t="s">
        <v>3953</v>
      </c>
      <c r="D98" s="2871"/>
      <c r="E98" s="2821"/>
      <c r="F98" s="2821"/>
      <c r="G98" s="2821"/>
      <c r="H98" s="2896" t="s">
        <v>3953</v>
      </c>
      <c r="I98" s="2897" t="s">
        <v>3953</v>
      </c>
      <c r="J98" s="2897" t="s">
        <v>3953</v>
      </c>
      <c r="K98" s="2897" t="s">
        <v>3953</v>
      </c>
      <c r="L98" s="2898" t="s">
        <v>3953</v>
      </c>
      <c r="M98" s="2902"/>
      <c r="N98" s="2899"/>
      <c r="O98" s="2901"/>
      <c r="T98" s="2741"/>
      <c r="V98" s="2729"/>
    </row>
    <row r="99" spans="1:34" ht="14.1" customHeight="1">
      <c r="B99" s="2747">
        <f t="shared" si="11"/>
        <v>13</v>
      </c>
      <c r="C99" s="2870" t="s">
        <v>3953</v>
      </c>
      <c r="D99" s="2871"/>
      <c r="E99" s="2821"/>
      <c r="F99" s="2821"/>
      <c r="G99" s="2821"/>
      <c r="H99" s="2896" t="s">
        <v>3953</v>
      </c>
      <c r="I99" s="2897" t="s">
        <v>3953</v>
      </c>
      <c r="J99" s="2897" t="s">
        <v>3953</v>
      </c>
      <c r="K99" s="2897" t="s">
        <v>3953</v>
      </c>
      <c r="L99" s="2898" t="s">
        <v>3953</v>
      </c>
      <c r="M99" s="2902"/>
      <c r="N99" s="2899"/>
      <c r="O99" s="2901"/>
      <c r="T99" s="2741"/>
      <c r="V99" s="2729"/>
    </row>
    <row r="100" spans="1:34" ht="14.1" customHeight="1">
      <c r="B100" s="2747">
        <f t="shared" si="11"/>
        <v>14</v>
      </c>
      <c r="C100" s="2870" t="s">
        <v>3953</v>
      </c>
      <c r="D100" s="2871"/>
      <c r="E100" s="2821"/>
      <c r="F100" s="2821"/>
      <c r="G100" s="2821"/>
      <c r="H100" s="2896" t="s">
        <v>3953</v>
      </c>
      <c r="I100" s="2897" t="s">
        <v>3953</v>
      </c>
      <c r="J100" s="2897" t="s">
        <v>3953</v>
      </c>
      <c r="K100" s="2897" t="s">
        <v>3953</v>
      </c>
      <c r="L100" s="2898" t="s">
        <v>3953</v>
      </c>
      <c r="M100" s="2902"/>
      <c r="N100" s="2899"/>
      <c r="O100" s="2901"/>
      <c r="T100" s="2741"/>
      <c r="V100" s="2729"/>
    </row>
    <row r="101" spans="1:34" ht="14.1" customHeight="1">
      <c r="B101" s="2747">
        <f t="shared" si="11"/>
        <v>15</v>
      </c>
      <c r="C101" s="2870" t="s">
        <v>3953</v>
      </c>
      <c r="D101" s="2871"/>
      <c r="E101" s="2821"/>
      <c r="F101" s="2821"/>
      <c r="G101" s="2821"/>
      <c r="H101" s="2896" t="s">
        <v>3953</v>
      </c>
      <c r="I101" s="2897" t="s">
        <v>3953</v>
      </c>
      <c r="J101" s="2897" t="s">
        <v>3953</v>
      </c>
      <c r="K101" s="2897" t="s">
        <v>3953</v>
      </c>
      <c r="L101" s="2898" t="s">
        <v>3953</v>
      </c>
      <c r="M101" s="2902"/>
      <c r="N101" s="2899"/>
      <c r="O101" s="2901"/>
      <c r="T101" s="2741"/>
      <c r="V101" s="2729"/>
    </row>
    <row r="102" spans="1:34" ht="14.1" customHeight="1">
      <c r="B102" s="2747">
        <f t="shared" si="11"/>
        <v>16</v>
      </c>
      <c r="C102" s="2870" t="s">
        <v>3953</v>
      </c>
      <c r="D102" s="2871"/>
      <c r="E102" s="2821"/>
      <c r="F102" s="2821"/>
      <c r="G102" s="2821"/>
      <c r="H102" s="2896" t="s">
        <v>3953</v>
      </c>
      <c r="I102" s="2897" t="s">
        <v>3953</v>
      </c>
      <c r="J102" s="2897" t="s">
        <v>3953</v>
      </c>
      <c r="K102" s="2897" t="s">
        <v>3953</v>
      </c>
      <c r="L102" s="2898" t="s">
        <v>3953</v>
      </c>
      <c r="M102" s="2902"/>
      <c r="N102" s="2899"/>
      <c r="O102" s="2901"/>
      <c r="T102" s="2741"/>
      <c r="V102" s="2729"/>
    </row>
    <row r="103" spans="1:34" ht="14.1" customHeight="1">
      <c r="B103" s="2747">
        <f t="shared" si="11"/>
        <v>17</v>
      </c>
      <c r="C103" s="2870" t="s">
        <v>3953</v>
      </c>
      <c r="D103" s="2871"/>
      <c r="E103" s="2821"/>
      <c r="F103" s="2821"/>
      <c r="G103" s="2821"/>
      <c r="H103" s="2896" t="s">
        <v>3953</v>
      </c>
      <c r="I103" s="2897" t="s">
        <v>3953</v>
      </c>
      <c r="J103" s="2897" t="s">
        <v>3953</v>
      </c>
      <c r="K103" s="2897" t="s">
        <v>3953</v>
      </c>
      <c r="L103" s="2898" t="s">
        <v>3953</v>
      </c>
      <c r="M103" s="2902"/>
      <c r="N103" s="2899"/>
      <c r="O103" s="2901"/>
      <c r="T103" s="2741"/>
      <c r="V103" s="2729"/>
    </row>
    <row r="104" spans="1:34" ht="14.1" customHeight="1">
      <c r="B104" s="2747">
        <f t="shared" si="11"/>
        <v>18</v>
      </c>
      <c r="C104" s="2870" t="s">
        <v>3953</v>
      </c>
      <c r="D104" s="2871"/>
      <c r="E104" s="2821"/>
      <c r="F104" s="2821"/>
      <c r="G104" s="2821"/>
      <c r="H104" s="2896" t="s">
        <v>3953</v>
      </c>
      <c r="I104" s="2897" t="s">
        <v>3953</v>
      </c>
      <c r="J104" s="2897" t="s">
        <v>3953</v>
      </c>
      <c r="K104" s="2897" t="s">
        <v>3953</v>
      </c>
      <c r="L104" s="2898" t="s">
        <v>3953</v>
      </c>
      <c r="M104" s="2902"/>
      <c r="N104" s="2899"/>
      <c r="O104" s="2901"/>
      <c r="T104" s="2741"/>
      <c r="V104" s="2729"/>
    </row>
    <row r="105" spans="1:34" ht="14.1" customHeight="1">
      <c r="B105" s="2747">
        <f t="shared" si="11"/>
        <v>19</v>
      </c>
      <c r="C105" s="2870" t="s">
        <v>3953</v>
      </c>
      <c r="D105" s="2871"/>
      <c r="E105" s="2821"/>
      <c r="F105" s="2821"/>
      <c r="G105" s="2821"/>
      <c r="H105" s="2896" t="s">
        <v>3953</v>
      </c>
      <c r="I105" s="2897" t="s">
        <v>3953</v>
      </c>
      <c r="J105" s="2897" t="s">
        <v>3953</v>
      </c>
      <c r="K105" s="2897" t="s">
        <v>3953</v>
      </c>
      <c r="L105" s="2898" t="s">
        <v>3953</v>
      </c>
      <c r="M105" s="2902"/>
      <c r="N105" s="2899"/>
      <c r="O105" s="2901"/>
      <c r="T105" s="2741"/>
      <c r="V105" s="2729"/>
    </row>
    <row r="106" spans="1:34" ht="14.1" customHeight="1">
      <c r="B106" s="2747">
        <f t="shared" si="11"/>
        <v>20</v>
      </c>
      <c r="C106" s="2876" t="s">
        <v>3953</v>
      </c>
      <c r="D106" s="2877"/>
      <c r="E106" s="2903"/>
      <c r="F106" s="2903"/>
      <c r="G106" s="2903"/>
      <c r="H106" s="2904" t="s">
        <v>3953</v>
      </c>
      <c r="I106" s="2905" t="s">
        <v>3953</v>
      </c>
      <c r="J106" s="2905" t="s">
        <v>3953</v>
      </c>
      <c r="K106" s="2905" t="s">
        <v>3953</v>
      </c>
      <c r="L106" s="2906" t="s">
        <v>3953</v>
      </c>
      <c r="M106" s="2902"/>
      <c r="N106" s="2899"/>
      <c r="O106" s="2901"/>
      <c r="T106" s="2741"/>
      <c r="V106" s="2729"/>
    </row>
    <row r="107" spans="1:34" ht="14.1" customHeight="1">
      <c r="F107" s="2729"/>
      <c r="P107" s="2901"/>
      <c r="Q107" s="2901"/>
      <c r="R107" s="2901"/>
    </row>
    <row r="108" spans="1:34" ht="14.1" customHeight="1">
      <c r="C108" s="2854" t="s">
        <v>5538</v>
      </c>
      <c r="M108" s="2854" t="s">
        <v>5431</v>
      </c>
      <c r="P108" s="2731"/>
      <c r="Q108" s="2731"/>
      <c r="R108" s="2731"/>
      <c r="U108" s="2729"/>
    </row>
    <row r="109" spans="1:34" s="2736" customFormat="1" ht="14.1" customHeight="1">
      <c r="A109" s="2720"/>
      <c r="C109" s="2885"/>
      <c r="D109" s="2857"/>
      <c r="E109" s="2886"/>
      <c r="F109" s="2886"/>
      <c r="G109" s="2886"/>
      <c r="H109" s="2907" t="s">
        <v>5539</v>
      </c>
      <c r="I109" s="2907" t="s">
        <v>5540</v>
      </c>
      <c r="J109" s="2908" t="s">
        <v>5541</v>
      </c>
      <c r="K109" s="2729"/>
      <c r="L109" s="2729"/>
      <c r="M109" s="2885"/>
      <c r="N109" s="2857"/>
      <c r="O109" s="2886"/>
      <c r="P109" s="2886"/>
      <c r="Q109" s="2886"/>
      <c r="R109" s="2886"/>
      <c r="S109" s="2886"/>
      <c r="T109" s="2909" t="s">
        <v>5432</v>
      </c>
      <c r="U109" s="2908" t="s">
        <v>335</v>
      </c>
    </row>
    <row r="110" spans="1:34" s="2736" customFormat="1" ht="14.1" customHeight="1">
      <c r="A110" s="2720"/>
      <c r="B110" s="2747">
        <v>1</v>
      </c>
      <c r="C110" s="2864" t="s">
        <v>5400</v>
      </c>
      <c r="D110" s="2910"/>
      <c r="E110" s="2890"/>
      <c r="F110" s="2890"/>
      <c r="G110" s="2890"/>
      <c r="H110" s="2911">
        <v>287841.91200000001</v>
      </c>
      <c r="I110" s="2912">
        <v>126575.7739</v>
      </c>
      <c r="J110" s="2913" t="s">
        <v>5433</v>
      </c>
      <c r="K110" s="2729"/>
      <c r="L110" s="2729"/>
      <c r="M110" s="2914" t="s">
        <v>5400</v>
      </c>
      <c r="N110" s="2910"/>
      <c r="O110" s="2890"/>
      <c r="P110" s="2890"/>
      <c r="Q110" s="2890"/>
      <c r="R110" s="2890"/>
      <c r="S110" s="2890"/>
      <c r="T110" s="2911">
        <v>16255.349999999999</v>
      </c>
      <c r="U110" s="2913" t="s">
        <v>5433</v>
      </c>
      <c r="V110" s="2729"/>
      <c r="W110" s="2729"/>
      <c r="X110" s="2729"/>
      <c r="Y110" s="2729"/>
      <c r="Z110" s="2729"/>
      <c r="AA110" s="2729"/>
      <c r="AB110" s="2729"/>
      <c r="AC110" s="2729"/>
      <c r="AD110" s="2729"/>
      <c r="AE110" s="2729"/>
      <c r="AF110" s="2729"/>
      <c r="AG110" s="2729"/>
      <c r="AH110" s="2729"/>
    </row>
    <row r="111" spans="1:34" ht="14.1" customHeight="1">
      <c r="B111" s="2747">
        <v>2</v>
      </c>
      <c r="C111" s="2870" t="s">
        <v>5402</v>
      </c>
      <c r="D111" s="2915"/>
      <c r="E111" s="2821"/>
      <c r="F111" s="2821"/>
      <c r="G111" s="2821"/>
      <c r="H111" s="2916">
        <v>933464.79350000003</v>
      </c>
      <c r="I111" s="2917">
        <v>2134.1197000000002</v>
      </c>
      <c r="J111" s="2918" t="s">
        <v>5433</v>
      </c>
      <c r="M111" s="2919" t="s">
        <v>5402</v>
      </c>
      <c r="N111" s="2915"/>
      <c r="O111" s="2821"/>
      <c r="P111" s="2821"/>
      <c r="Q111" s="2821"/>
      <c r="R111" s="2821"/>
      <c r="S111" s="2821"/>
      <c r="T111" s="2916">
        <v>6437.3906000000006</v>
      </c>
      <c r="U111" s="2918" t="s">
        <v>5433</v>
      </c>
      <c r="V111" s="2729"/>
    </row>
    <row r="112" spans="1:34" ht="14.1" customHeight="1">
      <c r="B112" s="2747">
        <v>3</v>
      </c>
      <c r="C112" s="2870" t="s">
        <v>5403</v>
      </c>
      <c r="D112" s="2915"/>
      <c r="E112" s="2821"/>
      <c r="F112" s="2821"/>
      <c r="G112" s="2821"/>
      <c r="H112" s="2916">
        <v>10771.6639</v>
      </c>
      <c r="I112" s="2917">
        <v>1112.0767000000001</v>
      </c>
      <c r="J112" s="2918" t="s">
        <v>5433</v>
      </c>
      <c r="M112" s="2919" t="s">
        <v>5403</v>
      </c>
      <c r="N112" s="2915"/>
      <c r="O112" s="2821"/>
      <c r="P112" s="2821"/>
      <c r="Q112" s="2821"/>
      <c r="R112" s="2821"/>
      <c r="S112" s="2821"/>
      <c r="T112" s="2916">
        <v>40.710599999999999</v>
      </c>
      <c r="U112" s="2918" t="s">
        <v>5433</v>
      </c>
      <c r="V112" s="2729"/>
    </row>
    <row r="113" spans="1:21" s="2729" customFormat="1" ht="14.1" customHeight="1">
      <c r="A113" s="2711"/>
      <c r="B113" s="2747">
        <v>4</v>
      </c>
      <c r="C113" s="2870" t="s">
        <v>5405</v>
      </c>
      <c r="D113" s="2915"/>
      <c r="E113" s="2821"/>
      <c r="F113" s="2821"/>
      <c r="G113" s="2821"/>
      <c r="H113" s="2916">
        <v>3033.9101999999998</v>
      </c>
      <c r="I113" s="2917">
        <v>250.8845</v>
      </c>
      <c r="J113" s="2918" t="s">
        <v>5433</v>
      </c>
      <c r="M113" s="2919" t="s">
        <v>5405</v>
      </c>
      <c r="N113" s="2915"/>
      <c r="O113" s="2821"/>
      <c r="P113" s="2821"/>
      <c r="Q113" s="2821"/>
      <c r="R113" s="2821"/>
      <c r="S113" s="2821"/>
      <c r="T113" s="2916">
        <v>6.6752000000000002</v>
      </c>
      <c r="U113" s="2918" t="s">
        <v>5433</v>
      </c>
    </row>
    <row r="114" spans="1:21" s="2729" customFormat="1" ht="14.1" customHeight="1">
      <c r="A114" s="2711"/>
      <c r="B114" s="2747">
        <v>5</v>
      </c>
      <c r="C114" s="2870" t="s">
        <v>5406</v>
      </c>
      <c r="D114" s="2915"/>
      <c r="E114" s="2821"/>
      <c r="F114" s="2821"/>
      <c r="G114" s="2821"/>
      <c r="H114" s="2916">
        <v>703.6454</v>
      </c>
      <c r="I114" s="2917">
        <v>1.7109000000000001</v>
      </c>
      <c r="J114" s="2918" t="s">
        <v>5433</v>
      </c>
      <c r="M114" s="2919" t="s">
        <v>5406</v>
      </c>
      <c r="N114" s="2915"/>
      <c r="O114" s="2821"/>
      <c r="P114" s="2821"/>
      <c r="Q114" s="2821"/>
      <c r="R114" s="2821"/>
      <c r="S114" s="2821"/>
      <c r="T114" s="2916">
        <v>0</v>
      </c>
      <c r="U114" s="2918" t="s">
        <v>5433</v>
      </c>
    </row>
    <row r="115" spans="1:21" s="2729" customFormat="1" ht="14.1" customHeight="1">
      <c r="A115" s="2711"/>
      <c r="B115" s="2747">
        <v>6</v>
      </c>
      <c r="C115" s="2870">
        <v>0</v>
      </c>
      <c r="D115" s="2915"/>
      <c r="E115" s="2821"/>
      <c r="F115" s="2821"/>
      <c r="G115" s="2821"/>
      <c r="H115" s="2916">
        <v>0</v>
      </c>
      <c r="I115" s="2917">
        <v>0</v>
      </c>
      <c r="J115" s="2918">
        <v>0</v>
      </c>
      <c r="M115" s="2919">
        <v>0</v>
      </c>
      <c r="N115" s="2915"/>
      <c r="O115" s="2821"/>
      <c r="P115" s="2821"/>
      <c r="Q115" s="2821"/>
      <c r="R115" s="2821"/>
      <c r="S115" s="2821"/>
      <c r="T115" s="2916">
        <v>0</v>
      </c>
      <c r="U115" s="2918">
        <v>0</v>
      </c>
    </row>
    <row r="116" spans="1:21" s="2729" customFormat="1" ht="14.1" customHeight="1">
      <c r="A116" s="2711"/>
      <c r="B116" s="2747">
        <v>7</v>
      </c>
      <c r="C116" s="2870">
        <v>0</v>
      </c>
      <c r="D116" s="2915"/>
      <c r="E116" s="2821"/>
      <c r="F116" s="2821"/>
      <c r="G116" s="2821"/>
      <c r="H116" s="2916">
        <v>0</v>
      </c>
      <c r="I116" s="2917">
        <v>0</v>
      </c>
      <c r="J116" s="2918">
        <v>0</v>
      </c>
      <c r="M116" s="2919">
        <v>0</v>
      </c>
      <c r="N116" s="2915"/>
      <c r="O116" s="2821"/>
      <c r="P116" s="2821"/>
      <c r="Q116" s="2821"/>
      <c r="R116" s="2821"/>
      <c r="S116" s="2821"/>
      <c r="T116" s="2916">
        <v>0</v>
      </c>
      <c r="U116" s="2918">
        <v>0</v>
      </c>
    </row>
    <row r="117" spans="1:21" s="2729" customFormat="1" ht="14.1" customHeight="1">
      <c r="A117" s="2711"/>
      <c r="B117" s="2747">
        <v>8</v>
      </c>
      <c r="C117" s="2870" t="s">
        <v>3953</v>
      </c>
      <c r="D117" s="2915"/>
      <c r="E117" s="2821"/>
      <c r="F117" s="2821"/>
      <c r="G117" s="2821"/>
      <c r="H117" s="2916">
        <v>0</v>
      </c>
      <c r="I117" s="2917">
        <v>0</v>
      </c>
      <c r="J117" s="2918">
        <v>0</v>
      </c>
      <c r="M117" s="2919" t="s">
        <v>3953</v>
      </c>
      <c r="N117" s="2915"/>
      <c r="O117" s="2821"/>
      <c r="P117" s="2821"/>
      <c r="Q117" s="2821"/>
      <c r="R117" s="2821"/>
      <c r="S117" s="2821"/>
      <c r="T117" s="2916">
        <v>0</v>
      </c>
      <c r="U117" s="2918">
        <v>0</v>
      </c>
    </row>
    <row r="118" spans="1:21" s="2729" customFormat="1" ht="14.1" customHeight="1">
      <c r="A118" s="2711"/>
      <c r="B118" s="2747">
        <v>9</v>
      </c>
      <c r="C118" s="2870" t="s">
        <v>3953</v>
      </c>
      <c r="D118" s="2915"/>
      <c r="E118" s="2821"/>
      <c r="F118" s="2821"/>
      <c r="G118" s="2821"/>
      <c r="H118" s="2916">
        <v>0</v>
      </c>
      <c r="I118" s="2917">
        <v>0</v>
      </c>
      <c r="J118" s="2918">
        <v>0</v>
      </c>
      <c r="M118" s="2919" t="s">
        <v>3953</v>
      </c>
      <c r="N118" s="2915"/>
      <c r="O118" s="2821"/>
      <c r="P118" s="2821"/>
      <c r="Q118" s="2821"/>
      <c r="R118" s="2821"/>
      <c r="S118" s="2821"/>
      <c r="T118" s="2916">
        <v>0</v>
      </c>
      <c r="U118" s="2918">
        <v>0</v>
      </c>
    </row>
    <row r="119" spans="1:21" s="2729" customFormat="1" ht="14.1" customHeight="1">
      <c r="A119" s="2711"/>
      <c r="B119" s="2747">
        <v>10</v>
      </c>
      <c r="C119" s="2870" t="s">
        <v>3953</v>
      </c>
      <c r="D119" s="2915"/>
      <c r="E119" s="2821"/>
      <c r="F119" s="2821"/>
      <c r="G119" s="2821"/>
      <c r="H119" s="2916">
        <v>0</v>
      </c>
      <c r="I119" s="2917">
        <v>0</v>
      </c>
      <c r="J119" s="2918">
        <v>0</v>
      </c>
      <c r="M119" s="2919" t="s">
        <v>3953</v>
      </c>
      <c r="N119" s="2915"/>
      <c r="O119" s="2821"/>
      <c r="P119" s="2821"/>
      <c r="Q119" s="2821"/>
      <c r="R119" s="2821"/>
      <c r="S119" s="2821"/>
      <c r="T119" s="2916">
        <v>0</v>
      </c>
      <c r="U119" s="2918">
        <v>0</v>
      </c>
    </row>
    <row r="120" spans="1:21" s="2729" customFormat="1" ht="14.1" customHeight="1">
      <c r="A120" s="2711"/>
      <c r="B120" s="2747">
        <v>11</v>
      </c>
      <c r="C120" s="2870" t="s">
        <v>3953</v>
      </c>
      <c r="D120" s="2915"/>
      <c r="E120" s="2821"/>
      <c r="F120" s="2821"/>
      <c r="G120" s="2821"/>
      <c r="H120" s="2916">
        <v>0</v>
      </c>
      <c r="I120" s="2917">
        <v>0</v>
      </c>
      <c r="J120" s="2918">
        <v>0</v>
      </c>
      <c r="M120" s="2919" t="s">
        <v>3953</v>
      </c>
      <c r="N120" s="2915"/>
      <c r="O120" s="2821"/>
      <c r="P120" s="2821"/>
      <c r="Q120" s="2821"/>
      <c r="R120" s="2821"/>
      <c r="S120" s="2821"/>
      <c r="T120" s="2916">
        <v>0</v>
      </c>
      <c r="U120" s="2918">
        <v>0</v>
      </c>
    </row>
    <row r="121" spans="1:21" s="2729" customFormat="1" ht="14.1" customHeight="1">
      <c r="A121" s="2711"/>
      <c r="B121" s="2747">
        <v>12</v>
      </c>
      <c r="C121" s="2870" t="s">
        <v>3953</v>
      </c>
      <c r="D121" s="2915"/>
      <c r="E121" s="2821"/>
      <c r="F121" s="2821"/>
      <c r="G121" s="2821"/>
      <c r="H121" s="2916">
        <v>0</v>
      </c>
      <c r="I121" s="2917">
        <v>0</v>
      </c>
      <c r="J121" s="2918">
        <v>0</v>
      </c>
      <c r="M121" s="2919" t="s">
        <v>3953</v>
      </c>
      <c r="N121" s="2915"/>
      <c r="O121" s="2821"/>
      <c r="P121" s="2821"/>
      <c r="Q121" s="2821"/>
      <c r="R121" s="2821"/>
      <c r="S121" s="2821"/>
      <c r="T121" s="2916">
        <v>0</v>
      </c>
      <c r="U121" s="2918">
        <v>0</v>
      </c>
    </row>
    <row r="122" spans="1:21" s="2729" customFormat="1" ht="14.1" customHeight="1">
      <c r="A122" s="2711"/>
      <c r="B122" s="2747">
        <v>13</v>
      </c>
      <c r="C122" s="2870" t="s">
        <v>3953</v>
      </c>
      <c r="D122" s="2915"/>
      <c r="E122" s="2821"/>
      <c r="F122" s="2821"/>
      <c r="G122" s="2821"/>
      <c r="H122" s="2916">
        <v>0</v>
      </c>
      <c r="I122" s="2917">
        <v>0</v>
      </c>
      <c r="J122" s="2918">
        <v>0</v>
      </c>
      <c r="M122" s="2919" t="s">
        <v>3953</v>
      </c>
      <c r="N122" s="2915"/>
      <c r="O122" s="2821"/>
      <c r="P122" s="2821"/>
      <c r="Q122" s="2821"/>
      <c r="R122" s="2821"/>
      <c r="S122" s="2821"/>
      <c r="T122" s="2916">
        <v>0</v>
      </c>
      <c r="U122" s="2918">
        <v>0</v>
      </c>
    </row>
    <row r="123" spans="1:21" s="2729" customFormat="1" ht="14.1" customHeight="1">
      <c r="A123" s="2711"/>
      <c r="B123" s="2747">
        <v>14</v>
      </c>
      <c r="C123" s="2870" t="s">
        <v>3953</v>
      </c>
      <c r="D123" s="2915"/>
      <c r="E123" s="2821"/>
      <c r="F123" s="2821"/>
      <c r="G123" s="2821"/>
      <c r="H123" s="2916">
        <v>0</v>
      </c>
      <c r="I123" s="2917">
        <v>0</v>
      </c>
      <c r="J123" s="2918">
        <v>0</v>
      </c>
      <c r="M123" s="2919" t="s">
        <v>3953</v>
      </c>
      <c r="N123" s="2915"/>
      <c r="O123" s="2821"/>
      <c r="P123" s="2821"/>
      <c r="Q123" s="2821"/>
      <c r="R123" s="2821"/>
      <c r="S123" s="2821"/>
      <c r="T123" s="2916">
        <v>0</v>
      </c>
      <c r="U123" s="2918">
        <v>0</v>
      </c>
    </row>
    <row r="124" spans="1:21" s="2729" customFormat="1" ht="14.1" customHeight="1">
      <c r="A124" s="2711"/>
      <c r="B124" s="2747">
        <v>15</v>
      </c>
      <c r="C124" s="2870" t="s">
        <v>3953</v>
      </c>
      <c r="D124" s="2915"/>
      <c r="E124" s="2821"/>
      <c r="F124" s="2821"/>
      <c r="G124" s="2821"/>
      <c r="H124" s="2916">
        <v>0</v>
      </c>
      <c r="I124" s="2917">
        <v>0</v>
      </c>
      <c r="J124" s="2918">
        <v>0</v>
      </c>
      <c r="M124" s="2919" t="s">
        <v>3953</v>
      </c>
      <c r="N124" s="2915"/>
      <c r="O124" s="2821"/>
      <c r="P124" s="2821"/>
      <c r="Q124" s="2821"/>
      <c r="R124" s="2821"/>
      <c r="S124" s="2821"/>
      <c r="T124" s="2916">
        <v>0</v>
      </c>
      <c r="U124" s="2918">
        <v>0</v>
      </c>
    </row>
    <row r="125" spans="1:21" s="2729" customFormat="1" ht="14.1" customHeight="1">
      <c r="A125" s="2711"/>
      <c r="B125" s="2747">
        <v>16</v>
      </c>
      <c r="C125" s="2870" t="s">
        <v>3953</v>
      </c>
      <c r="D125" s="2915"/>
      <c r="E125" s="2821"/>
      <c r="F125" s="2821"/>
      <c r="G125" s="2821"/>
      <c r="H125" s="2916">
        <v>0</v>
      </c>
      <c r="I125" s="2917">
        <v>0</v>
      </c>
      <c r="J125" s="2918">
        <v>0</v>
      </c>
      <c r="M125" s="2919" t="s">
        <v>3953</v>
      </c>
      <c r="N125" s="2915"/>
      <c r="O125" s="2821"/>
      <c r="P125" s="2821"/>
      <c r="Q125" s="2821"/>
      <c r="R125" s="2821"/>
      <c r="S125" s="2821"/>
      <c r="T125" s="2916">
        <v>0</v>
      </c>
      <c r="U125" s="2918">
        <v>0</v>
      </c>
    </row>
    <row r="126" spans="1:21" s="2729" customFormat="1" ht="14.1" customHeight="1">
      <c r="A126" s="2711"/>
      <c r="B126" s="2747">
        <v>17</v>
      </c>
      <c r="C126" s="2870" t="s">
        <v>3953</v>
      </c>
      <c r="D126" s="2915"/>
      <c r="E126" s="2821"/>
      <c r="F126" s="2821"/>
      <c r="G126" s="2821"/>
      <c r="H126" s="2916">
        <v>0</v>
      </c>
      <c r="I126" s="2917">
        <v>0</v>
      </c>
      <c r="J126" s="2918">
        <v>0</v>
      </c>
      <c r="M126" s="2919" t="s">
        <v>3953</v>
      </c>
      <c r="N126" s="2915"/>
      <c r="O126" s="2821"/>
      <c r="P126" s="2821"/>
      <c r="Q126" s="2821"/>
      <c r="R126" s="2821"/>
      <c r="S126" s="2821"/>
      <c r="T126" s="2916">
        <v>0</v>
      </c>
      <c r="U126" s="2918">
        <v>0</v>
      </c>
    </row>
    <row r="127" spans="1:21" s="2729" customFormat="1" ht="14.1" customHeight="1">
      <c r="A127" s="2711"/>
      <c r="B127" s="2747">
        <v>18</v>
      </c>
      <c r="C127" s="2870" t="s">
        <v>3953</v>
      </c>
      <c r="D127" s="2915"/>
      <c r="E127" s="2821"/>
      <c r="F127" s="2821"/>
      <c r="G127" s="2821"/>
      <c r="H127" s="2916">
        <v>0</v>
      </c>
      <c r="I127" s="2917">
        <v>0</v>
      </c>
      <c r="J127" s="2918">
        <v>0</v>
      </c>
      <c r="M127" s="2919" t="s">
        <v>3953</v>
      </c>
      <c r="N127" s="2915"/>
      <c r="O127" s="2821"/>
      <c r="P127" s="2821"/>
      <c r="Q127" s="2821"/>
      <c r="R127" s="2821"/>
      <c r="S127" s="2821"/>
      <c r="T127" s="2916">
        <v>0</v>
      </c>
      <c r="U127" s="2918">
        <v>0</v>
      </c>
    </row>
    <row r="128" spans="1:21" s="2729" customFormat="1" ht="14.1" customHeight="1">
      <c r="A128" s="2711"/>
      <c r="B128" s="2747">
        <v>19</v>
      </c>
      <c r="C128" s="2870" t="s">
        <v>3953</v>
      </c>
      <c r="D128" s="2915"/>
      <c r="E128" s="2821"/>
      <c r="F128" s="2821"/>
      <c r="G128" s="2821"/>
      <c r="H128" s="2916">
        <v>0</v>
      </c>
      <c r="I128" s="2917">
        <v>0</v>
      </c>
      <c r="J128" s="2918">
        <v>0</v>
      </c>
      <c r="M128" s="2919" t="s">
        <v>3953</v>
      </c>
      <c r="N128" s="2915"/>
      <c r="O128" s="2821"/>
      <c r="P128" s="2821"/>
      <c r="Q128" s="2821"/>
      <c r="R128" s="2821"/>
      <c r="S128" s="2821"/>
      <c r="T128" s="2916">
        <v>0</v>
      </c>
      <c r="U128" s="2918">
        <v>0</v>
      </c>
    </row>
    <row r="129" spans="1:34" ht="14.1" customHeight="1">
      <c r="B129" s="2747">
        <v>20</v>
      </c>
      <c r="C129" s="2876" t="s">
        <v>3953</v>
      </c>
      <c r="D129" s="2920"/>
      <c r="E129" s="2903"/>
      <c r="F129" s="2903"/>
      <c r="G129" s="2903"/>
      <c r="H129" s="2921">
        <v>0</v>
      </c>
      <c r="I129" s="2922">
        <v>0</v>
      </c>
      <c r="J129" s="2923">
        <v>0</v>
      </c>
      <c r="M129" s="2924" t="s">
        <v>3953</v>
      </c>
      <c r="N129" s="2920"/>
      <c r="O129" s="2903"/>
      <c r="P129" s="2903"/>
      <c r="Q129" s="2903"/>
      <c r="R129" s="2903"/>
      <c r="S129" s="2903"/>
      <c r="T129" s="2921">
        <v>0</v>
      </c>
      <c r="U129" s="2923">
        <v>0</v>
      </c>
      <c r="V129" s="2729"/>
    </row>
    <row r="130" spans="1:34" ht="14.1" customHeight="1">
      <c r="B130" s="2747"/>
      <c r="E130" s="2731"/>
      <c r="F130" s="2729"/>
      <c r="K130" s="2925"/>
      <c r="L130" s="2925"/>
    </row>
    <row r="131" spans="1:34" ht="14.1" customHeight="1">
      <c r="C131" s="2854" t="s">
        <v>5542</v>
      </c>
      <c r="I131" s="2742"/>
      <c r="J131" s="2764"/>
      <c r="M131" s="2854" t="s">
        <v>5543</v>
      </c>
      <c r="P131" s="2731"/>
      <c r="Q131" s="2731"/>
      <c r="R131" s="2731"/>
      <c r="U131" s="2729"/>
    </row>
    <row r="132" spans="1:34" ht="14.1" customHeight="1">
      <c r="C132" s="2885"/>
      <c r="D132" s="2857"/>
      <c r="E132" s="2886"/>
      <c r="F132" s="2886"/>
      <c r="G132" s="2886"/>
      <c r="H132" s="2886" t="s">
        <v>5434</v>
      </c>
      <c r="I132" s="2886"/>
      <c r="J132" s="2926" t="s">
        <v>5435</v>
      </c>
      <c r="M132" s="2885" t="s">
        <v>5544</v>
      </c>
      <c r="N132" s="2857"/>
      <c r="O132" s="2886"/>
      <c r="P132" s="2886"/>
      <c r="Q132" s="2886"/>
      <c r="R132" s="2886"/>
      <c r="S132" s="2886"/>
      <c r="T132" s="2886" t="s">
        <v>5434</v>
      </c>
      <c r="U132" s="2729"/>
    </row>
    <row r="133" spans="1:34" ht="14.1" customHeight="1">
      <c r="C133" s="2927">
        <v>44469</v>
      </c>
      <c r="D133" s="2928"/>
      <c r="E133" s="2929"/>
      <c r="F133" s="2929"/>
      <c r="G133" s="2929"/>
      <c r="H133" s="2930">
        <v>2.2370000000000001E-2</v>
      </c>
      <c r="I133" s="2931"/>
      <c r="J133" s="2930">
        <v>0.12841</v>
      </c>
      <c r="M133" s="2932" t="s">
        <v>3953</v>
      </c>
      <c r="N133" s="2933"/>
      <c r="O133" s="2929"/>
      <c r="P133" s="2929"/>
      <c r="Q133" s="2929"/>
      <c r="R133" s="2929"/>
      <c r="S133" s="2929"/>
      <c r="T133" s="2930" t="s">
        <v>3953</v>
      </c>
      <c r="U133" s="2729"/>
    </row>
    <row r="134" spans="1:34" ht="14.1" customHeight="1">
      <c r="C134" s="2870" t="s">
        <v>5498</v>
      </c>
      <c r="D134" s="2871"/>
      <c r="E134" s="2821"/>
      <c r="F134" s="2821"/>
      <c r="G134" s="2821"/>
      <c r="H134" s="2934">
        <v>2.0617368421052631E-2</v>
      </c>
      <c r="I134" s="2935"/>
      <c r="J134" s="2936">
        <v>0.12480736842105263</v>
      </c>
      <c r="M134" s="2919" t="s">
        <v>5498</v>
      </c>
      <c r="N134" s="2937"/>
      <c r="O134" s="2821"/>
      <c r="P134" s="2821"/>
      <c r="Q134" s="2821"/>
      <c r="R134" s="2821"/>
      <c r="S134" s="2821"/>
      <c r="T134" s="2934" t="e">
        <v>#DIV/0!</v>
      </c>
      <c r="U134" s="2729"/>
    </row>
    <row r="135" spans="1:34" ht="14.1" customHeight="1">
      <c r="C135" s="2870" t="s">
        <v>5495</v>
      </c>
      <c r="D135" s="2871"/>
      <c r="E135" s="2821"/>
      <c r="F135" s="2821"/>
      <c r="G135" s="2821"/>
      <c r="H135" s="2934">
        <v>1.976903225806451E-2</v>
      </c>
      <c r="I135" s="2938"/>
      <c r="J135" s="2934">
        <v>0.13213322580645162</v>
      </c>
      <c r="M135" s="2919" t="s">
        <v>5495</v>
      </c>
      <c r="N135" s="2937"/>
      <c r="O135" s="2821"/>
      <c r="P135" s="2821"/>
      <c r="Q135" s="2821"/>
      <c r="R135" s="2821"/>
      <c r="S135" s="2821"/>
      <c r="T135" s="2934" t="e">
        <v>#DIV/0!</v>
      </c>
      <c r="U135" s="2729"/>
    </row>
    <row r="136" spans="1:34" ht="14.1" customHeight="1">
      <c r="C136" s="2870" t="s">
        <v>5496</v>
      </c>
      <c r="D136" s="2871"/>
      <c r="E136" s="2894"/>
      <c r="F136" s="2894"/>
      <c r="G136" s="2894"/>
      <c r="H136" s="2939">
        <v>2.0334719999999994E-2</v>
      </c>
      <c r="I136" s="2940"/>
      <c r="J136" s="2939">
        <v>0.13188823999999999</v>
      </c>
      <c r="M136" s="2919" t="s">
        <v>5496</v>
      </c>
      <c r="N136" s="2937"/>
      <c r="O136" s="2941"/>
      <c r="P136" s="2941"/>
      <c r="Q136" s="2941"/>
      <c r="R136" s="2941"/>
      <c r="S136" s="2941"/>
      <c r="T136" s="2939" t="e">
        <v>#DIV/0!</v>
      </c>
      <c r="U136" s="2729"/>
    </row>
    <row r="137" spans="1:34" ht="14.1" customHeight="1">
      <c r="C137" s="2870" t="s">
        <v>5497</v>
      </c>
      <c r="D137" s="2871"/>
      <c r="E137" s="2894"/>
      <c r="F137" s="2894"/>
      <c r="G137" s="2894"/>
      <c r="H137" s="2939">
        <v>1.8882764227642273E-2</v>
      </c>
      <c r="I137" s="2940"/>
      <c r="J137" s="2939">
        <v>0.13320093495934957</v>
      </c>
      <c r="M137" s="2919" t="s">
        <v>5497</v>
      </c>
      <c r="N137" s="2937"/>
      <c r="O137" s="2941"/>
      <c r="P137" s="2941"/>
      <c r="Q137" s="2941"/>
      <c r="R137" s="2941"/>
      <c r="S137" s="2941"/>
      <c r="T137" s="2939" t="e">
        <v>#DIV/0!</v>
      </c>
      <c r="U137" s="2729"/>
    </row>
    <row r="138" spans="1:34" ht="14.1" customHeight="1">
      <c r="C138" s="2870" t="s">
        <v>5499</v>
      </c>
      <c r="D138" s="2871"/>
      <c r="E138" s="2894"/>
      <c r="F138" s="2894"/>
      <c r="G138" s="2894"/>
      <c r="H138" s="2939">
        <v>1.7000545454545449E-2</v>
      </c>
      <c r="I138" s="2940"/>
      <c r="J138" s="2939">
        <v>0.12678389898989886</v>
      </c>
      <c r="M138" s="2942" t="s">
        <v>5499</v>
      </c>
      <c r="N138" s="2943"/>
      <c r="O138" s="2943"/>
      <c r="P138" s="2943"/>
      <c r="Q138" s="2943"/>
      <c r="R138" s="2943"/>
      <c r="S138" s="2943"/>
      <c r="T138" s="2944" t="e">
        <v>#DIV/0!</v>
      </c>
      <c r="U138" s="2729"/>
    </row>
    <row r="139" spans="1:34" ht="14.1" customHeight="1">
      <c r="C139" s="2870" t="s">
        <v>5500</v>
      </c>
      <c r="D139" s="2871"/>
      <c r="E139" s="2894"/>
      <c r="F139" s="2894"/>
      <c r="G139" s="2894"/>
      <c r="H139" s="2939">
        <v>1.9870170870626539E-2</v>
      </c>
      <c r="I139" s="2940"/>
      <c r="J139" s="2939">
        <v>0.10997119609438553</v>
      </c>
      <c r="M139" s="2945"/>
      <c r="N139" s="2945"/>
      <c r="O139" s="2945"/>
      <c r="P139" s="2945"/>
      <c r="Q139" s="2945"/>
      <c r="R139" s="2945"/>
      <c r="S139" s="2945"/>
      <c r="T139" s="2946"/>
      <c r="U139" s="2729"/>
    </row>
    <row r="140" spans="1:34" ht="14.1" customHeight="1">
      <c r="C140" s="2947" t="s">
        <v>5501</v>
      </c>
      <c r="D140" s="2948"/>
      <c r="E140" s="2948"/>
      <c r="F140" s="2948"/>
      <c r="G140" s="2948"/>
      <c r="H140" s="2944">
        <v>2.439462225832657E-2</v>
      </c>
      <c r="I140" s="2949"/>
      <c r="J140" s="2944">
        <v>0.10526435418359055</v>
      </c>
      <c r="M140" s="2945"/>
      <c r="N140" s="2945"/>
      <c r="O140" s="2945"/>
      <c r="P140" s="2945"/>
      <c r="Q140" s="2945"/>
      <c r="R140" s="2945"/>
      <c r="S140" s="2945"/>
      <c r="T140" s="2946"/>
      <c r="U140" s="2729"/>
    </row>
    <row r="141" spans="1:34" ht="14.1" customHeight="1">
      <c r="F141" s="2729"/>
      <c r="O141" s="2736"/>
      <c r="P141" s="2736"/>
      <c r="Q141" s="2736"/>
      <c r="R141" s="2736"/>
      <c r="S141" s="2736"/>
      <c r="T141" s="2736"/>
      <c r="U141" s="2760"/>
      <c r="V141" s="2760"/>
      <c r="W141" s="2736"/>
      <c r="X141" s="2736"/>
      <c r="Y141" s="2736"/>
      <c r="Z141" s="2736"/>
      <c r="AA141" s="2736"/>
      <c r="AB141" s="2736"/>
      <c r="AC141" s="2736"/>
      <c r="AD141" s="2736"/>
      <c r="AE141" s="2736"/>
      <c r="AF141" s="2736"/>
      <c r="AG141" s="2736"/>
      <c r="AH141" s="2736"/>
    </row>
    <row r="142" spans="1:34" s="2736" customFormat="1" ht="14.1" customHeight="1">
      <c r="A142" s="2720"/>
      <c r="C142" s="2854" t="s">
        <v>5502</v>
      </c>
      <c r="D142" s="2729"/>
      <c r="E142" s="2729"/>
      <c r="F142" s="2731"/>
      <c r="G142" s="2729"/>
      <c r="H142" s="2729"/>
      <c r="I142" s="2729"/>
      <c r="J142" s="2729"/>
      <c r="K142" s="2729"/>
      <c r="L142" s="2729"/>
      <c r="M142" s="2729"/>
      <c r="N142" s="2729"/>
      <c r="O142" s="2729"/>
      <c r="P142" s="2729"/>
      <c r="Q142" s="2729"/>
      <c r="R142" s="2729"/>
      <c r="S142" s="2729"/>
      <c r="T142" s="2729"/>
      <c r="U142" s="2741"/>
      <c r="V142" s="2741"/>
      <c r="W142" s="2729"/>
      <c r="X142" s="2729"/>
      <c r="Y142" s="2729"/>
      <c r="Z142" s="2729"/>
      <c r="AA142" s="2729"/>
      <c r="AB142" s="2729"/>
      <c r="AC142" s="2729"/>
      <c r="AD142" s="2729"/>
      <c r="AE142" s="2729"/>
      <c r="AF142" s="2729"/>
      <c r="AG142" s="2729"/>
      <c r="AH142" s="2729"/>
    </row>
    <row r="143" spans="1:34" ht="14.1" customHeight="1">
      <c r="C143" s="2885" t="s">
        <v>5545</v>
      </c>
      <c r="D143" s="2857"/>
      <c r="E143" s="2886"/>
      <c r="F143" s="2886"/>
      <c r="G143" s="2886"/>
      <c r="H143" s="2950"/>
    </row>
    <row r="144" spans="1:34" ht="14.1" customHeight="1">
      <c r="C144" s="2951"/>
      <c r="D144" s="2952"/>
      <c r="E144" s="2953"/>
      <c r="F144" s="2953"/>
      <c r="G144" s="2954"/>
      <c r="H144" s="2955"/>
    </row>
    <row r="145" spans="3:8" ht="14.1" customHeight="1">
      <c r="C145" s="2885" t="s">
        <v>5546</v>
      </c>
      <c r="D145" s="2857"/>
      <c r="E145" s="2886"/>
      <c r="F145" s="2886"/>
      <c r="G145" s="2886"/>
      <c r="H145" s="2950">
        <f>IFERROR(VLOOKUP(H146,$C$151:$H$161,6,FALSE),$H$161)</f>
        <v>2.2780000000000002E-2</v>
      </c>
    </row>
    <row r="146" spans="3:8" ht="14.1" customHeight="1">
      <c r="C146" s="2927" t="s">
        <v>5547</v>
      </c>
      <c r="D146" s="2928"/>
      <c r="E146" s="2956"/>
      <c r="F146" s="2956"/>
      <c r="G146" s="2957"/>
      <c r="H146" s="2958" t="s">
        <v>5503</v>
      </c>
    </row>
    <row r="147" spans="3:8" ht="14.1" customHeight="1">
      <c r="C147" s="2959" t="s">
        <v>5548</v>
      </c>
      <c r="D147" s="2952"/>
      <c r="E147" s="2953"/>
      <c r="F147" s="2953"/>
      <c r="G147" s="2954"/>
      <c r="H147" s="2960"/>
    </row>
    <row r="148" spans="3:8" ht="14.1" customHeight="1">
      <c r="C148" s="2961" t="s">
        <v>5549</v>
      </c>
      <c r="D148" s="2962"/>
      <c r="E148" s="2963"/>
      <c r="F148" s="2963"/>
      <c r="G148" s="2964"/>
      <c r="H148" s="2965"/>
    </row>
    <row r="149" spans="3:8" ht="14.1" customHeight="1">
      <c r="C149" s="2951"/>
      <c r="D149" s="2952"/>
      <c r="E149" s="2953"/>
      <c r="F149" s="2953"/>
      <c r="G149" s="2954"/>
      <c r="H149" s="2955"/>
    </row>
    <row r="150" spans="3:8" ht="14.1" customHeight="1">
      <c r="C150" s="2854"/>
      <c r="H150" s="2966">
        <f>O87</f>
        <v>44469</v>
      </c>
    </row>
    <row r="151" spans="3:8" ht="14.1" customHeight="1">
      <c r="C151" s="2885" t="s">
        <v>5550</v>
      </c>
      <c r="D151" s="2857"/>
      <c r="E151" s="2886"/>
      <c r="F151" s="2886"/>
      <c r="G151" s="2886"/>
      <c r="H151" s="2950" t="s">
        <v>3361</v>
      </c>
    </row>
    <row r="152" spans="3:8" ht="14.1" customHeight="1">
      <c r="C152" s="2927" t="s">
        <v>3362</v>
      </c>
      <c r="D152" s="2928"/>
      <c r="E152" s="2957"/>
      <c r="F152" s="2957"/>
      <c r="G152" s="2957"/>
      <c r="H152" s="2930">
        <v>2.2360000000000001E-2</v>
      </c>
    </row>
    <row r="153" spans="3:8" ht="14.1" customHeight="1">
      <c r="C153" s="2959" t="s">
        <v>3363</v>
      </c>
      <c r="D153" s="2952"/>
      <c r="E153" s="2954"/>
      <c r="F153" s="2954"/>
      <c r="G153" s="2954"/>
      <c r="H153" s="2936">
        <v>2.2780000000000002E-2</v>
      </c>
    </row>
    <row r="154" spans="3:8" ht="14.1" customHeight="1">
      <c r="C154" s="2959" t="s">
        <v>3364</v>
      </c>
      <c r="D154" s="2952"/>
      <c r="E154" s="2954"/>
      <c r="F154" s="2954"/>
      <c r="G154" s="2954"/>
      <c r="H154" s="2936">
        <v>2.3290000000000002E-2</v>
      </c>
    </row>
    <row r="155" spans="3:8" ht="14.1" customHeight="1">
      <c r="C155" s="2959" t="s">
        <v>3365</v>
      </c>
      <c r="D155" s="2952"/>
      <c r="E155" s="2954"/>
      <c r="F155" s="2954"/>
      <c r="G155" s="2954"/>
      <c r="H155" s="2936">
        <v>2.4340000000000001E-2</v>
      </c>
    </row>
    <row r="156" spans="3:8" ht="14.1" customHeight="1">
      <c r="C156" s="2959" t="s">
        <v>3366</v>
      </c>
      <c r="D156" s="2952"/>
      <c r="E156" s="2954"/>
      <c r="F156" s="2954"/>
      <c r="G156" s="2954"/>
      <c r="H156" s="2967">
        <v>2.8290000000000003E-2</v>
      </c>
    </row>
    <row r="157" spans="3:8" ht="14.1" customHeight="1">
      <c r="C157" s="2959" t="s">
        <v>3367</v>
      </c>
      <c r="D157" s="2952"/>
      <c r="E157" s="2954"/>
      <c r="F157" s="2954"/>
      <c r="G157" s="2954"/>
      <c r="H157" s="2936">
        <v>3.2559999999999999E-2</v>
      </c>
    </row>
    <row r="158" spans="3:8" ht="14.1" customHeight="1">
      <c r="C158" s="2959" t="s">
        <v>3368</v>
      </c>
      <c r="D158" s="2952"/>
      <c r="E158" s="2954"/>
      <c r="F158" s="2954"/>
      <c r="G158" s="2954"/>
      <c r="H158" s="2936">
        <v>3.8420000000000003E-2</v>
      </c>
    </row>
    <row r="159" spans="3:8" ht="14.1" customHeight="1">
      <c r="C159" s="2959" t="s">
        <v>3369</v>
      </c>
      <c r="D159" s="2952"/>
      <c r="E159" s="2954"/>
      <c r="F159" s="2954"/>
      <c r="G159" s="2954"/>
      <c r="H159" s="2936">
        <v>5.9650000000000002E-2</v>
      </c>
    </row>
    <row r="160" spans="3:8" ht="14.1" customHeight="1">
      <c r="C160" s="2959" t="s">
        <v>3370</v>
      </c>
      <c r="D160" s="2952"/>
      <c r="E160" s="2954"/>
      <c r="F160" s="2954"/>
      <c r="G160" s="2954"/>
      <c r="H160" s="2936">
        <v>7.0110000000000006E-2</v>
      </c>
    </row>
    <row r="161" spans="1:34" ht="14.1" customHeight="1">
      <c r="C161" s="2770" t="s">
        <v>3371</v>
      </c>
      <c r="D161" s="2771"/>
      <c r="E161" s="2771"/>
      <c r="F161" s="2772"/>
      <c r="G161" s="2771"/>
      <c r="H161" s="2968">
        <v>8.4290000000000004E-2</v>
      </c>
    </row>
    <row r="162" spans="1:34" ht="14.1" customHeight="1">
      <c r="H162" s="2768"/>
    </row>
    <row r="163" spans="1:34" s="2736" customFormat="1" ht="14.1" customHeight="1">
      <c r="A163" s="2720"/>
      <c r="C163" s="2854" t="s">
        <v>5504</v>
      </c>
      <c r="D163" s="2729"/>
      <c r="E163" s="2729"/>
      <c r="F163" s="2731"/>
      <c r="G163" s="2729"/>
      <c r="H163" s="2729"/>
      <c r="I163" s="2729"/>
      <c r="J163" s="2729"/>
      <c r="K163" s="2729"/>
      <c r="L163" s="2729"/>
      <c r="M163" s="2729"/>
      <c r="N163" s="2729"/>
      <c r="O163" s="2729"/>
      <c r="P163" s="2729"/>
      <c r="Q163" s="2729"/>
      <c r="R163" s="2729"/>
      <c r="S163" s="2729"/>
      <c r="T163" s="2729"/>
      <c r="U163" s="2741"/>
      <c r="V163" s="2741"/>
      <c r="W163" s="2729"/>
      <c r="X163" s="2729"/>
      <c r="Y163" s="2729"/>
      <c r="Z163" s="2729"/>
      <c r="AA163" s="2729"/>
      <c r="AB163" s="2729"/>
      <c r="AC163" s="2729"/>
      <c r="AD163" s="2729"/>
      <c r="AE163" s="2729"/>
      <c r="AF163" s="2729"/>
      <c r="AG163" s="2729"/>
      <c r="AH163" s="2729"/>
    </row>
    <row r="164" spans="1:34" ht="14.1" customHeight="1">
      <c r="C164" s="2969" t="s">
        <v>5551</v>
      </c>
      <c r="D164" s="2857"/>
      <c r="E164" s="2886"/>
      <c r="F164" s="2886"/>
      <c r="G164" s="2886"/>
      <c r="H164" s="2950"/>
    </row>
    <row r="165" spans="1:34" ht="14.1" customHeight="1">
      <c r="C165" s="2951"/>
      <c r="D165" s="2952"/>
      <c r="E165" s="2953"/>
      <c r="F165" s="2953"/>
      <c r="G165" s="2954"/>
      <c r="H165" s="2955"/>
    </row>
    <row r="166" spans="1:34" ht="14.1" customHeight="1">
      <c r="C166" s="2885" t="s">
        <v>5546</v>
      </c>
      <c r="D166" s="2857"/>
      <c r="E166" s="2886"/>
      <c r="F166" s="2886"/>
      <c r="G166" s="2886"/>
      <c r="H166" s="2950">
        <f>IFERROR(VLOOKUP(H167,$C$151:$H$161,6,FALSE),$H$161)</f>
        <v>2.2780000000000002E-2</v>
      </c>
    </row>
    <row r="167" spans="1:34" ht="14.1" customHeight="1">
      <c r="C167" s="2927" t="s">
        <v>5547</v>
      </c>
      <c r="D167" s="2928"/>
      <c r="E167" s="2956"/>
      <c r="F167" s="2956"/>
      <c r="G167" s="2957"/>
      <c r="H167" s="2958" t="str">
        <f t="shared" ref="H167:H169" si="12">H146</f>
        <v>AA+</v>
      </c>
    </row>
    <row r="168" spans="1:34" ht="14.1" customHeight="1">
      <c r="C168" s="2959" t="s">
        <v>5548</v>
      </c>
      <c r="D168" s="2952"/>
      <c r="E168" s="2953"/>
      <c r="F168" s="2953"/>
      <c r="G168" s="2954"/>
      <c r="H168" s="2960">
        <f t="shared" si="12"/>
        <v>0</v>
      </c>
    </row>
    <row r="169" spans="1:34" ht="14.1" customHeight="1">
      <c r="C169" s="2961" t="s">
        <v>5549</v>
      </c>
      <c r="D169" s="2962"/>
      <c r="E169" s="2963"/>
      <c r="F169" s="2963"/>
      <c r="G169" s="2964"/>
      <c r="H169" s="2965">
        <f t="shared" si="12"/>
        <v>0</v>
      </c>
    </row>
    <row r="170" spans="1:34" ht="14.1" customHeight="1"/>
    <row r="171" spans="1:34" ht="14.1" customHeight="1">
      <c r="C171" s="2736" t="s">
        <v>5505</v>
      </c>
    </row>
    <row r="172" spans="1:34" ht="14.1" customHeight="1">
      <c r="C172" s="2970" t="s">
        <v>5506</v>
      </c>
      <c r="D172" s="2971"/>
      <c r="E172" s="2971"/>
      <c r="F172" s="2972">
        <v>5.67E-2</v>
      </c>
    </row>
    <row r="173" spans="1:34" ht="14.1" customHeight="1">
      <c r="C173" s="2736"/>
    </row>
    <row r="174" spans="1:34" ht="14.1" customHeight="1">
      <c r="C174" s="2970" t="s">
        <v>5436</v>
      </c>
      <c r="D174" s="2971"/>
      <c r="E174" s="2971"/>
      <c r="F174" s="2973"/>
    </row>
    <row r="175" spans="1:34" ht="14.1" customHeight="1">
      <c r="C175" s="2974"/>
      <c r="D175" s="2822"/>
      <c r="E175" s="2822"/>
      <c r="F175" s="2975" t="s">
        <v>5425</v>
      </c>
    </row>
    <row r="176" spans="1:34" ht="14.1" customHeight="1"/>
    <row r="177" spans="3:8" ht="14.1" customHeight="1">
      <c r="C177" s="2769" t="s">
        <v>5507</v>
      </c>
      <c r="D177" s="2792"/>
      <c r="E177" s="2792"/>
      <c r="F177" s="2976"/>
      <c r="G177" s="2792"/>
      <c r="H177" s="2792"/>
    </row>
    <row r="178" spans="3:8" ht="14.1" customHeight="1">
      <c r="C178" s="2977" t="s">
        <v>5508</v>
      </c>
      <c r="D178" s="2792"/>
      <c r="E178" s="2792"/>
      <c r="F178" s="2976"/>
      <c r="G178" s="2792"/>
      <c r="H178" s="2792"/>
    </row>
    <row r="179" spans="3:8" ht="14.1" customHeight="1">
      <c r="C179" s="2978">
        <f>H182-F182</f>
        <v>0</v>
      </c>
      <c r="D179" s="2792"/>
      <c r="E179" s="2792"/>
      <c r="F179" s="2976"/>
      <c r="G179" s="2792"/>
      <c r="H179" s="2792"/>
    </row>
    <row r="180" spans="3:8" ht="14.1" customHeight="1">
      <c r="C180" s="2769"/>
      <c r="D180" s="2792"/>
      <c r="E180" s="2792"/>
      <c r="F180" s="2976"/>
      <c r="G180" s="2792"/>
      <c r="H180" s="2792"/>
    </row>
    <row r="181" spans="3:8">
      <c r="C181" s="2979" t="s">
        <v>5509</v>
      </c>
      <c r="D181" s="2980"/>
      <c r="E181" s="2980"/>
      <c r="F181" s="2981" t="s">
        <v>5510</v>
      </c>
      <c r="G181" s="2981"/>
      <c r="H181" s="2982" t="str">
        <f>IF(C175="","",C175)</f>
        <v/>
      </c>
    </row>
    <row r="182" spans="3:8">
      <c r="C182" s="2983"/>
      <c r="D182" s="2984"/>
      <c r="E182" s="2984"/>
      <c r="F182" s="2985"/>
      <c r="G182" s="2984"/>
      <c r="H182" s="2986"/>
    </row>
    <row r="185" spans="3:8">
      <c r="C185" s="2736" t="s">
        <v>5511</v>
      </c>
    </row>
    <row r="186" spans="3:8">
      <c r="C186" s="2970" t="s">
        <v>5437</v>
      </c>
      <c r="D186" s="2971"/>
      <c r="E186" s="2971"/>
      <c r="F186" s="2907" t="s">
        <v>5438</v>
      </c>
      <c r="G186" s="2907"/>
      <c r="H186" s="2908" t="s">
        <v>5439</v>
      </c>
    </row>
    <row r="187" spans="3:8">
      <c r="C187" s="2987"/>
      <c r="D187" s="2988"/>
      <c r="E187" s="2988"/>
      <c r="F187" s="2989">
        <v>0</v>
      </c>
      <c r="G187" s="2988"/>
      <c r="H187" s="2990">
        <v>0</v>
      </c>
    </row>
  </sheetData>
  <mergeCells count="33">
    <mergeCell ref="U4:U5"/>
    <mergeCell ref="C4:E5"/>
    <mergeCell ref="F4:F5"/>
    <mergeCell ref="G4:G5"/>
    <mergeCell ref="I4:I5"/>
    <mergeCell ref="J4:J5"/>
    <mergeCell ref="K4:K5"/>
    <mergeCell ref="L4:L5"/>
    <mergeCell ref="M4:M5"/>
    <mergeCell ref="N4:N5"/>
    <mergeCell ref="S4:S5"/>
    <mergeCell ref="T4:T5"/>
    <mergeCell ref="D51:U51"/>
    <mergeCell ref="C35:D35"/>
    <mergeCell ref="J35:L35"/>
    <mergeCell ref="N35:O35"/>
    <mergeCell ref="Q35:S35"/>
    <mergeCell ref="C36:D36"/>
    <mergeCell ref="Q36:S36"/>
    <mergeCell ref="C40:D40"/>
    <mergeCell ref="C41:D41"/>
    <mergeCell ref="C45:D45"/>
    <mergeCell ref="C46:D46"/>
    <mergeCell ref="D50:U50"/>
    <mergeCell ref="D58:U58"/>
    <mergeCell ref="D59:U59"/>
    <mergeCell ref="D60:T60"/>
    <mergeCell ref="D52:U52"/>
    <mergeCell ref="D53:U53"/>
    <mergeCell ref="D54:U54"/>
    <mergeCell ref="D55:U55"/>
    <mergeCell ref="D56:U56"/>
    <mergeCell ref="D57:U57"/>
  </mergeCells>
  <phoneticPr fontId="1" type="noConversion"/>
  <conditionalFormatting sqref="U31:V31 F6:F25 C6:C25 D7:E25 G7:H25 H6 I6:V25">
    <cfRule type="expression" dxfId="416" priority="2">
      <formula>#REF!=2</formula>
    </cfRule>
  </conditionalFormatting>
  <conditionalFormatting sqref="U31:V31 S6:S25">
    <cfRule type="expression" dxfId="415" priority="1">
      <formula>#REF!=1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Drop Down 1">
              <controlPr defaultSize="0" autoLine="0" autoPict="0">
                <anchor moveWithCells="1">
                  <from>
                    <xdr:col>23</xdr:col>
                    <xdr:colOff>9525</xdr:colOff>
                    <xdr:row>6</xdr:row>
                    <xdr:rowOff>0</xdr:rowOff>
                  </from>
                  <to>
                    <xdr:col>25</xdr:col>
                    <xdr:colOff>0</xdr:colOff>
                    <xdr:row>7</xdr:row>
                    <xdr:rowOff>19050</xdr:rowOff>
                  </to>
                </anchor>
              </controlPr>
            </control>
          </mc:Choice>
        </mc:AlternateContent>
        <mc:AlternateContent xmlns:mc="http://schemas.openxmlformats.org/markup-compatibility/2006">
          <mc:Choice Requires="x14">
            <control shapeId="122882" r:id="rId4" name="Drop Down 2">
              <controlPr defaultSize="0" autoLine="0" autoPict="0">
                <anchor moveWithCells="1">
                  <from>
                    <xdr:col>23</xdr:col>
                    <xdr:colOff>9525</xdr:colOff>
                    <xdr:row>8</xdr:row>
                    <xdr:rowOff>0</xdr:rowOff>
                  </from>
                  <to>
                    <xdr:col>25</xdr:col>
                    <xdr:colOff>0</xdr:colOff>
                    <xdr:row>9</xdr:row>
                    <xdr:rowOff>19050</xdr:rowOff>
                  </to>
                </anchor>
              </controlPr>
            </control>
          </mc:Choice>
        </mc:AlternateContent>
        <mc:AlternateContent xmlns:mc="http://schemas.openxmlformats.org/markup-compatibility/2006">
          <mc:Choice Requires="x14">
            <control shapeId="122883" r:id="rId5" name="Drop Down 3">
              <controlPr defaultSize="0" autoLine="0" autoPict="0">
                <anchor moveWithCells="1">
                  <from>
                    <xdr:col>23</xdr:col>
                    <xdr:colOff>9525</xdr:colOff>
                    <xdr:row>10</xdr:row>
                    <xdr:rowOff>0</xdr:rowOff>
                  </from>
                  <to>
                    <xdr:col>25</xdr:col>
                    <xdr:colOff>0</xdr:colOff>
                    <xdr:row>11</xdr:row>
                    <xdr:rowOff>19050</xdr:rowOff>
                  </to>
                </anchor>
              </controlPr>
            </control>
          </mc:Choice>
        </mc:AlternateContent>
        <mc:AlternateContent xmlns:mc="http://schemas.openxmlformats.org/markup-compatibility/2006">
          <mc:Choice Requires="x14">
            <control shapeId="122884" r:id="rId6" name="Drop Down 4">
              <controlPr defaultSize="0" autoLine="0" autoPict="0">
                <anchor moveWithCells="1">
                  <from>
                    <xdr:col>23</xdr:col>
                    <xdr:colOff>9525</xdr:colOff>
                    <xdr:row>12</xdr:row>
                    <xdr:rowOff>19050</xdr:rowOff>
                  </from>
                  <to>
                    <xdr:col>25</xdr:col>
                    <xdr:colOff>0</xdr:colOff>
                    <xdr:row>13</xdr:row>
                    <xdr:rowOff>38100</xdr:rowOff>
                  </to>
                </anchor>
              </controlPr>
            </control>
          </mc:Choice>
        </mc:AlternateContent>
        <mc:AlternateContent xmlns:mc="http://schemas.openxmlformats.org/markup-compatibility/2006">
          <mc:Choice Requires="x14">
            <control shapeId="122885" r:id="rId7" name="Drop Down 5">
              <controlPr defaultSize="0" autoLine="0" autoPict="0">
                <anchor moveWithCells="1">
                  <from>
                    <xdr:col>23</xdr:col>
                    <xdr:colOff>9525</xdr:colOff>
                    <xdr:row>30</xdr:row>
                    <xdr:rowOff>0</xdr:rowOff>
                  </from>
                  <to>
                    <xdr:col>25</xdr:col>
                    <xdr:colOff>0</xdr:colOff>
                    <xdr:row>31</xdr:row>
                    <xdr:rowOff>19050</xdr:rowOff>
                  </to>
                </anchor>
              </controlPr>
            </control>
          </mc:Choice>
        </mc:AlternateContent>
        <mc:AlternateContent xmlns:mc="http://schemas.openxmlformats.org/markup-compatibility/2006">
          <mc:Choice Requires="x14">
            <control shapeId="122886" r:id="rId8" name="Drop Down 6">
              <controlPr defaultSize="0" autoLine="0" autoPict="0">
                <anchor moveWithCells="1">
                  <from>
                    <xdr:col>23</xdr:col>
                    <xdr:colOff>9525</xdr:colOff>
                    <xdr:row>14</xdr:row>
                    <xdr:rowOff>28575</xdr:rowOff>
                  </from>
                  <to>
                    <xdr:col>25</xdr:col>
                    <xdr:colOff>0</xdr:colOff>
                    <xdr:row>15</xdr:row>
                    <xdr:rowOff>47625</xdr:rowOff>
                  </to>
                </anchor>
              </controlPr>
            </control>
          </mc:Choice>
        </mc:AlternateContent>
        <mc:AlternateContent xmlns:mc="http://schemas.openxmlformats.org/markup-compatibility/2006">
          <mc:Choice Requires="x14">
            <control shapeId="122887" r:id="rId9" name="Drop Down 7">
              <controlPr defaultSize="0" autoLine="0" autoPict="0">
                <anchor moveWithCells="1">
                  <from>
                    <xdr:col>23</xdr:col>
                    <xdr:colOff>9525</xdr:colOff>
                    <xdr:row>16</xdr:row>
                    <xdr:rowOff>0</xdr:rowOff>
                  </from>
                  <to>
                    <xdr:col>25</xdr:col>
                    <xdr:colOff>0</xdr:colOff>
                    <xdr:row>17</xdr:row>
                    <xdr:rowOff>19050</xdr:rowOff>
                  </to>
                </anchor>
              </controlPr>
            </control>
          </mc:Choice>
        </mc:AlternateContent>
        <mc:AlternateContent xmlns:mc="http://schemas.openxmlformats.org/markup-compatibility/2006">
          <mc:Choice Requires="x14">
            <control shapeId="122888" r:id="rId10" name="Drop Down 8">
              <controlPr defaultSize="0" autoLine="0" autoPict="0">
                <anchor moveWithCells="1">
                  <from>
                    <xdr:col>23</xdr:col>
                    <xdr:colOff>9525</xdr:colOff>
                    <xdr:row>21</xdr:row>
                    <xdr:rowOff>0</xdr:rowOff>
                  </from>
                  <to>
                    <xdr:col>25</xdr:col>
                    <xdr:colOff>0</xdr:colOff>
                    <xdr:row>22</xdr:row>
                    <xdr:rowOff>19050</xdr:rowOff>
                  </to>
                </anchor>
              </controlPr>
            </control>
          </mc:Choice>
        </mc:AlternateContent>
        <mc:AlternateContent xmlns:mc="http://schemas.openxmlformats.org/markup-compatibility/2006">
          <mc:Choice Requires="x14">
            <control shapeId="122889" r:id="rId11" name="Drop Down 9">
              <controlPr defaultSize="0" autoLine="0" autoPict="0">
                <anchor moveWithCells="1">
                  <from>
                    <xdr:col>23</xdr:col>
                    <xdr:colOff>9525</xdr:colOff>
                    <xdr:row>27</xdr:row>
                    <xdr:rowOff>9525</xdr:rowOff>
                  </from>
                  <to>
                    <xdr:col>25</xdr:col>
                    <xdr:colOff>0</xdr:colOff>
                    <xdr:row>28</xdr:row>
                    <xdr:rowOff>28575</xdr:rowOff>
                  </to>
                </anchor>
              </controlPr>
            </control>
          </mc:Choice>
        </mc:AlternateContent>
        <mc:AlternateContent xmlns:mc="http://schemas.openxmlformats.org/markup-compatibility/2006">
          <mc:Choice Requires="x14">
            <control shapeId="122890" r:id="rId12" name="Drop Down 10">
              <controlPr defaultSize="0" autoLine="0" autoPict="0">
                <anchor moveWithCells="1">
                  <from>
                    <xdr:col>23</xdr:col>
                    <xdr:colOff>9525</xdr:colOff>
                    <xdr:row>18</xdr:row>
                    <xdr:rowOff>0</xdr:rowOff>
                  </from>
                  <to>
                    <xdr:col>25</xdr:col>
                    <xdr:colOff>0</xdr:colOff>
                    <xdr:row>19</xdr:row>
                    <xdr:rowOff>19050</xdr:rowOff>
                  </to>
                </anchor>
              </controlPr>
            </control>
          </mc:Choice>
        </mc:AlternateContent>
        <mc:AlternateContent xmlns:mc="http://schemas.openxmlformats.org/markup-compatibility/2006">
          <mc:Choice Requires="x14">
            <control shapeId="122891" r:id="rId13" name="Drop Down 11">
              <controlPr defaultSize="0" autoLine="0" autoPict="0">
                <anchor moveWithCells="1">
                  <from>
                    <xdr:col>23</xdr:col>
                    <xdr:colOff>9525</xdr:colOff>
                    <xdr:row>24</xdr:row>
                    <xdr:rowOff>9525</xdr:rowOff>
                  </from>
                  <to>
                    <xdr:col>25</xdr:col>
                    <xdr:colOff>0</xdr:colOff>
                    <xdr:row>25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70C0"/>
  </sheetPr>
  <dimension ref="A1:W46"/>
  <sheetViews>
    <sheetView workbookViewId="0">
      <selection activeCell="K56" sqref="K56"/>
    </sheetView>
  </sheetViews>
  <sheetFormatPr defaultRowHeight="12" customHeight="1" outlineLevelCol="1"/>
  <cols>
    <col min="1" max="1" width="4.625" style="3" customWidth="1"/>
    <col min="2" max="5" width="1.625" style="3" customWidth="1"/>
    <col min="6" max="9" width="9" style="3"/>
    <col min="10" max="12" width="9" style="3" customWidth="1"/>
    <col min="13" max="14" width="9" style="3" customWidth="1" outlineLevel="1"/>
    <col min="15" max="21" width="9" style="3" customWidth="1"/>
  </cols>
  <sheetData>
    <row r="1" spans="1:23" ht="12" customHeight="1">
      <c r="A1" s="2" t="str">
        <f ca="1">MID(CELL("filename",A1),FIND("]",CELL("filename",A1))+1,255)</f>
        <v>NWC</v>
      </c>
      <c r="B1" s="2"/>
      <c r="C1" s="2"/>
      <c r="D1" s="2"/>
      <c r="E1" s="2"/>
      <c r="F1" s="2"/>
      <c r="G1" s="2"/>
      <c r="H1" s="2"/>
      <c r="I1" s="2"/>
      <c r="J1" s="2"/>
      <c r="K1" s="2"/>
      <c r="L1" s="2"/>
      <c r="M1" s="2"/>
      <c r="N1" s="2"/>
      <c r="O1" s="2"/>
      <c r="P1" s="2"/>
      <c r="Q1" s="2"/>
      <c r="R1" s="2"/>
      <c r="S1" s="2"/>
      <c r="T1" s="2"/>
      <c r="U1" s="2"/>
    </row>
    <row r="4" spans="1:23" ht="12" customHeight="1">
      <c r="A4" s="20" t="s">
        <v>21</v>
      </c>
      <c r="B4" s="21" t="s">
        <v>80</v>
      </c>
      <c r="C4" s="102"/>
      <c r="D4" s="102"/>
      <c r="E4" s="102"/>
      <c r="F4" s="102"/>
      <c r="G4" s="102"/>
      <c r="H4" s="102"/>
      <c r="I4" s="102"/>
      <c r="J4" s="102"/>
      <c r="K4" s="102"/>
      <c r="L4" s="102"/>
      <c r="M4" s="102"/>
      <c r="N4" s="102"/>
      <c r="O4" s="2085"/>
      <c r="P4" s="102"/>
      <c r="Q4" s="102"/>
      <c r="R4" s="102"/>
      <c r="S4" s="102"/>
      <c r="T4" s="102"/>
      <c r="U4" s="102"/>
    </row>
    <row r="5" spans="1:23" ht="12" customHeight="1">
      <c r="O5" s="105"/>
    </row>
    <row r="6" spans="1:23" ht="12" customHeight="1">
      <c r="B6" s="24"/>
      <c r="C6" s="24"/>
      <c r="D6" s="24"/>
      <c r="E6" s="24"/>
      <c r="F6" s="24"/>
      <c r="G6" s="24"/>
      <c r="H6" s="24"/>
      <c r="I6" s="25" t="s">
        <v>23</v>
      </c>
      <c r="J6" s="26"/>
      <c r="K6" s="26"/>
      <c r="L6" s="26"/>
      <c r="M6" s="27"/>
      <c r="N6" s="26" t="s">
        <v>24</v>
      </c>
      <c r="O6" s="26"/>
      <c r="P6" s="26"/>
      <c r="Q6" s="26"/>
      <c r="R6" s="26"/>
      <c r="S6" s="26"/>
      <c r="T6" s="26"/>
      <c r="U6" s="26"/>
    </row>
    <row r="7" spans="1:23" ht="12" customHeight="1">
      <c r="B7" s="28"/>
      <c r="C7" s="28"/>
      <c r="D7" s="28"/>
      <c r="E7" s="28"/>
      <c r="F7" s="28"/>
      <c r="G7" s="28"/>
      <c r="H7" s="1949" t="s">
        <v>2889</v>
      </c>
      <c r="I7" s="1975" t="s">
        <v>25</v>
      </c>
      <c r="J7" s="30" t="s">
        <v>69</v>
      </c>
      <c r="K7" s="30" t="s">
        <v>27</v>
      </c>
      <c r="L7" s="108" t="s">
        <v>60</v>
      </c>
      <c r="M7" s="31" t="s">
        <v>5104</v>
      </c>
      <c r="N7" s="30" t="s">
        <v>5174</v>
      </c>
      <c r="O7" s="30" t="s">
        <v>70</v>
      </c>
      <c r="P7" s="30" t="s">
        <v>71</v>
      </c>
      <c r="Q7" s="30" t="s">
        <v>72</v>
      </c>
      <c r="R7" s="30" t="s">
        <v>73</v>
      </c>
      <c r="S7" s="30" t="s">
        <v>74</v>
      </c>
      <c r="T7" s="30" t="s">
        <v>5102</v>
      </c>
      <c r="U7" s="30" t="s">
        <v>28</v>
      </c>
    </row>
    <row r="8" spans="1:23" ht="12" customHeight="1">
      <c r="A8" s="32"/>
      <c r="B8" s="33" t="s">
        <v>1581</v>
      </c>
      <c r="C8" s="33"/>
      <c r="D8" s="33"/>
      <c r="E8" s="33"/>
      <c r="F8" s="33"/>
      <c r="G8" s="33"/>
      <c r="H8" s="33"/>
      <c r="I8" s="1978"/>
      <c r="J8" s="103">
        <f>J9-I9</f>
        <v>178394.94342999975</v>
      </c>
      <c r="K8" s="103">
        <f>K9-J9</f>
        <v>62967.46995700011</v>
      </c>
      <c r="L8" s="103">
        <f>L9-K9</f>
        <v>77808.462755000219</v>
      </c>
      <c r="M8" s="104">
        <f>M9-L9</f>
        <v>-210557.42861400009</v>
      </c>
      <c r="N8" s="103">
        <f>N9-M9</f>
        <v>27106.309010384837</v>
      </c>
      <c r="O8" s="103">
        <f t="shared" ref="O8" si="0">O9-L9</f>
        <v>-183451.11960361525</v>
      </c>
      <c r="P8" s="4878">
        <f>P9-O9</f>
        <v>10119.866544783348</v>
      </c>
      <c r="Q8" s="4878">
        <f t="shared" ref="Q8:T8" si="1">Q9-P9</f>
        <v>-12358.087987416424</v>
      </c>
      <c r="R8" s="4878">
        <f t="shared" si="1"/>
        <v>-32571.263610970927</v>
      </c>
      <c r="S8" s="4878">
        <f t="shared" si="1"/>
        <v>-2498.9999136861879</v>
      </c>
      <c r="T8" s="4878">
        <f t="shared" si="1"/>
        <v>13159.063035232015</v>
      </c>
      <c r="U8" s="4878">
        <f>U9-S9</f>
        <v>19275.449331235373</v>
      </c>
    </row>
    <row r="9" spans="1:23" s="113" customFormat="1" ht="12" customHeight="1">
      <c r="A9" s="32"/>
      <c r="B9" s="56" t="s">
        <v>80</v>
      </c>
      <c r="C9" s="56"/>
      <c r="D9" s="56"/>
      <c r="E9" s="56"/>
      <c r="F9" s="56"/>
      <c r="G9" s="56"/>
      <c r="H9" s="56"/>
      <c r="I9" s="1976">
        <f t="shared" ref="I9" si="2">I10-I21</f>
        <v>500068.29499400011</v>
      </c>
      <c r="J9" s="541">
        <f>J10-J21</f>
        <v>678463.23842399986</v>
      </c>
      <c r="K9" s="541">
        <f t="shared" ref="K9:S9" si="3">K10-K21</f>
        <v>741430.70838099997</v>
      </c>
      <c r="L9" s="541">
        <f t="shared" si="3"/>
        <v>819239.17113600019</v>
      </c>
      <c r="M9" s="542">
        <f>M10-M21</f>
        <v>608681.7425220001</v>
      </c>
      <c r="N9" s="541">
        <f t="shared" si="3"/>
        <v>635788.05153238494</v>
      </c>
      <c r="O9" s="541">
        <f t="shared" si="3"/>
        <v>635788.05153238494</v>
      </c>
      <c r="P9" s="4963">
        <f t="shared" si="3"/>
        <v>645907.91807716829</v>
      </c>
      <c r="Q9" s="4963">
        <f t="shared" si="3"/>
        <v>633549.83008975186</v>
      </c>
      <c r="R9" s="4963">
        <f t="shared" si="3"/>
        <v>600978.56647878094</v>
      </c>
      <c r="S9" s="4963">
        <f t="shared" si="3"/>
        <v>598479.56656509475</v>
      </c>
      <c r="T9" s="4963">
        <f t="shared" ref="T9" si="4">T10-T21</f>
        <v>611638.62960032676</v>
      </c>
      <c r="U9" s="4963">
        <f t="shared" ref="U9" si="5">U10-U21</f>
        <v>617755.01589633012</v>
      </c>
    </row>
    <row r="10" spans="1:23" ht="12" customHeight="1">
      <c r="B10" s="3" t="s">
        <v>1590</v>
      </c>
      <c r="I10" s="216">
        <f>I11+I18</f>
        <v>1814064.803116</v>
      </c>
      <c r="J10" s="205">
        <f t="shared" ref="J10:U10" si="6">J11+J18</f>
        <v>2019916.65576</v>
      </c>
      <c r="K10" s="205">
        <f t="shared" si="6"/>
        <v>1811859.8677439999</v>
      </c>
      <c r="L10" s="105">
        <f t="shared" si="6"/>
        <v>2295933.9489190001</v>
      </c>
      <c r="M10" s="106">
        <f t="shared" si="6"/>
        <v>2117561.307968</v>
      </c>
      <c r="N10" s="105">
        <f t="shared" si="6"/>
        <v>2200445.7882181099</v>
      </c>
      <c r="O10" s="105">
        <f t="shared" si="6"/>
        <v>2200445.7882181099</v>
      </c>
      <c r="P10" s="4879">
        <f t="shared" si="6"/>
        <v>2235763.8414833061</v>
      </c>
      <c r="Q10" s="4879">
        <f t="shared" si="6"/>
        <v>2190361.9739982337</v>
      </c>
      <c r="R10" s="4879">
        <f t="shared" si="6"/>
        <v>2073227.9909989526</v>
      </c>
      <c r="S10" s="4879">
        <f t="shared" si="6"/>
        <v>2063683.4687860275</v>
      </c>
      <c r="T10" s="4879">
        <f t="shared" ref="T10" si="7">T11+T18</f>
        <v>2114717.8573279502</v>
      </c>
      <c r="U10" s="4879">
        <f t="shared" si="6"/>
        <v>2135865.0359012298</v>
      </c>
      <c r="V10" s="2084"/>
    </row>
    <row r="11" spans="1:23" ht="12" customHeight="1">
      <c r="C11" s="3" t="s">
        <v>1582</v>
      </c>
      <c r="I11" s="216">
        <f>연결FS!AB3</f>
        <v>508255.63163399999</v>
      </c>
      <c r="J11" s="205">
        <f>연결FS!AC3</f>
        <v>497200.726066</v>
      </c>
      <c r="K11" s="205">
        <f>연결FS!AD3</f>
        <v>558294.03653499996</v>
      </c>
      <c r="L11" s="105">
        <f>연결FS!AE3</f>
        <v>647010.17082400003</v>
      </c>
      <c r="M11" s="106">
        <f>연결정산표!L227/10^6</f>
        <v>433253.19180500001</v>
      </c>
      <c r="N11" s="105">
        <f>N12+N15</f>
        <v>453590.25157861778</v>
      </c>
      <c r="O11" s="105">
        <f>O12+O15</f>
        <v>453590.25157861778</v>
      </c>
      <c r="P11" s="4879">
        <f t="shared" ref="P11:U11" si="8">P12+P15</f>
        <v>460775.89546521875</v>
      </c>
      <c r="Q11" s="4879">
        <f t="shared" si="8"/>
        <v>452265.61635348835</v>
      </c>
      <c r="R11" s="4879">
        <f t="shared" si="8"/>
        <v>429541.32506714482</v>
      </c>
      <c r="S11" s="4879">
        <f t="shared" si="8"/>
        <v>427862.74653530371</v>
      </c>
      <c r="T11" s="4879">
        <f t="shared" ref="T11" si="9">T12+T15</f>
        <v>436611.38752228062</v>
      </c>
      <c r="U11" s="4879">
        <f t="shared" si="8"/>
        <v>440977.50139750337</v>
      </c>
      <c r="W11" s="2084"/>
    </row>
    <row r="12" spans="1:23" ht="12" customHeight="1">
      <c r="D12" s="3" t="s">
        <v>1584</v>
      </c>
      <c r="I12" s="216">
        <f>연결FS!AB4</f>
        <v>268014</v>
      </c>
      <c r="J12" s="205">
        <f>연결FS!AC4</f>
        <v>298129</v>
      </c>
      <c r="K12" s="205">
        <f>연결FS!AD4</f>
        <v>402018</v>
      </c>
      <c r="L12" s="105">
        <f>연결FS!AE4</f>
        <v>476789</v>
      </c>
      <c r="M12" s="2524"/>
      <c r="N12" s="2525"/>
      <c r="O12" s="2525"/>
      <c r="P12" s="4964"/>
      <c r="Q12" s="4964"/>
      <c r="R12" s="4964"/>
      <c r="S12" s="4964"/>
      <c r="T12" s="4964"/>
      <c r="U12" s="4964"/>
    </row>
    <row r="13" spans="1:23" ht="12" customHeight="1">
      <c r="E13" s="3" t="s">
        <v>1599</v>
      </c>
      <c r="H13" s="110"/>
      <c r="I13" s="1977"/>
      <c r="J13" s="548">
        <f>J32/AVERAGE(I12:J12)</f>
        <v>4.9976278078153396</v>
      </c>
      <c r="K13" s="548">
        <f>K32/AVERAGE(J12:K12)</f>
        <v>3.6216051771985027</v>
      </c>
      <c r="L13" s="548">
        <f>L32/AVERAGE(L12,K12)</f>
        <v>3.1330929316675902</v>
      </c>
      <c r="M13" s="2509"/>
      <c r="N13" s="2453"/>
      <c r="O13" s="2453"/>
      <c r="P13" s="4965"/>
      <c r="Q13" s="4965"/>
      <c r="R13" s="4965"/>
      <c r="S13" s="4965"/>
      <c r="T13" s="4965"/>
      <c r="U13" s="4965"/>
    </row>
    <row r="14" spans="1:23" ht="12" customHeight="1">
      <c r="E14" s="3" t="s">
        <v>1601</v>
      </c>
      <c r="H14" s="110" t="s">
        <v>3521</v>
      </c>
      <c r="I14" s="1977"/>
      <c r="J14" s="548">
        <f>365/J13</f>
        <v>73.034650445399194</v>
      </c>
      <c r="K14" s="548">
        <f>365/K13</f>
        <v>100.78403971201141</v>
      </c>
      <c r="L14" s="548">
        <f>365/L13</f>
        <v>116.49829991021957</v>
      </c>
      <c r="M14" s="2509"/>
      <c r="N14" s="2453"/>
      <c r="O14" s="2526"/>
      <c r="P14" s="4966"/>
      <c r="Q14" s="4966"/>
      <c r="R14" s="4966"/>
      <c r="S14" s="4966"/>
      <c r="T14" s="4966"/>
      <c r="U14" s="4966"/>
    </row>
    <row r="15" spans="1:23" ht="12" customHeight="1">
      <c r="D15" s="3" t="s">
        <v>1586</v>
      </c>
      <c r="I15" s="216">
        <f>I11-I12</f>
        <v>240241.63163399999</v>
      </c>
      <c r="J15" s="205">
        <f>J11-J12</f>
        <v>199071.726066</v>
      </c>
      <c r="K15" s="205">
        <f t="shared" ref="K15" si="10">K11-K12</f>
        <v>156276.03653499996</v>
      </c>
      <c r="L15" s="105">
        <f t="shared" ref="L15" si="11">L11-L12</f>
        <v>170221.17082400003</v>
      </c>
      <c r="M15" s="106">
        <f>M11-M12</f>
        <v>433253.19180500001</v>
      </c>
      <c r="N15" s="105">
        <f>O15</f>
        <v>453590.25157861778</v>
      </c>
      <c r="O15" s="105">
        <f>O33/O16</f>
        <v>453590.25157861778</v>
      </c>
      <c r="P15" s="4879">
        <f t="shared" ref="P15:U15" si="12">P33/P16</f>
        <v>460775.89546521875</v>
      </c>
      <c r="Q15" s="4879">
        <f t="shared" si="12"/>
        <v>452265.61635348835</v>
      </c>
      <c r="R15" s="4879">
        <f t="shared" si="12"/>
        <v>429541.32506714482</v>
      </c>
      <c r="S15" s="4879">
        <f t="shared" si="12"/>
        <v>427862.74653530371</v>
      </c>
      <c r="T15" s="4879">
        <f t="shared" ref="T15" si="13">T33/T16</f>
        <v>436611.38752228062</v>
      </c>
      <c r="U15" s="4879">
        <f t="shared" si="12"/>
        <v>440977.50139750337</v>
      </c>
    </row>
    <row r="16" spans="1:23" ht="12" customHeight="1">
      <c r="E16" s="3" t="s">
        <v>1599</v>
      </c>
      <c r="I16" s="1977"/>
      <c r="J16" s="548">
        <f>J33/AVERAGE(I15:J15)</f>
        <v>27.471177948705474</v>
      </c>
      <c r="K16" s="548">
        <f>K33/AVERAGE(J15:K15)</f>
        <v>37.185481451749027</v>
      </c>
      <c r="L16" s="548">
        <f>L33/AVERAGE(L15,K15)</f>
        <v>40.448250811539339</v>
      </c>
      <c r="M16" s="549">
        <f>M33/AVERAGE(M15,M15)*4/3</f>
        <v>22.325171787198457</v>
      </c>
      <c r="N16" s="2453"/>
      <c r="O16" s="548">
        <f>365/O17</f>
        <v>22.32517178719846</v>
      </c>
      <c r="P16" s="4967">
        <f t="shared" ref="P16:T16" si="14">365/P17</f>
        <v>22.32517178719846</v>
      </c>
      <c r="Q16" s="4967">
        <f t="shared" si="14"/>
        <v>22.32517178719846</v>
      </c>
      <c r="R16" s="4967">
        <f t="shared" si="14"/>
        <v>22.32517178719846</v>
      </c>
      <c r="S16" s="4967">
        <f t="shared" si="14"/>
        <v>22.32517178719846</v>
      </c>
      <c r="T16" s="4967">
        <f t="shared" si="14"/>
        <v>22.32517178719846</v>
      </c>
      <c r="U16" s="4967">
        <f>365/U17</f>
        <v>22.32517178719846</v>
      </c>
    </row>
    <row r="17" spans="2:23" ht="12" customHeight="1">
      <c r="E17" s="3" t="s">
        <v>1601</v>
      </c>
      <c r="H17" s="110" t="s">
        <v>3521</v>
      </c>
      <c r="I17" s="1977"/>
      <c r="J17" s="548">
        <f>365/J16</f>
        <v>13.286652675816542</v>
      </c>
      <c r="K17" s="548">
        <f>365/K16</f>
        <v>9.8156588472201189</v>
      </c>
      <c r="L17" s="548">
        <f>365/L16</f>
        <v>9.0238760064222721</v>
      </c>
      <c r="M17" s="549">
        <f>365/M16</f>
        <v>16.349258293694103</v>
      </c>
      <c r="N17" s="2453"/>
      <c r="O17" s="551">
        <f>HLOOKUP(O$7,Assumption!$B$447:$T$452,MATCH($D15,Assumption!$B$447:$B$452,0),FALSE)</f>
        <v>16.349258293694103</v>
      </c>
      <c r="P17" s="4968">
        <f>HLOOKUP(P$7,Assumption!$B$447:$T$452,MATCH($D15,Assumption!$B$447:$B$452,0),FALSE)</f>
        <v>16.349258293694103</v>
      </c>
      <c r="Q17" s="4968">
        <f>HLOOKUP(Q$7,Assumption!$B$447:$T$452,MATCH($D15,Assumption!$B$447:$B$452,0),FALSE)</f>
        <v>16.349258293694103</v>
      </c>
      <c r="R17" s="4968">
        <f>HLOOKUP(R$7,Assumption!$B$447:$T$452,MATCH($D15,Assumption!$B$447:$B$452,0),FALSE)</f>
        <v>16.349258293694103</v>
      </c>
      <c r="S17" s="4968">
        <f>HLOOKUP(S$7,Assumption!$B$447:$T$452,MATCH($D15,Assumption!$B$447:$B$452,0),FALSE)</f>
        <v>16.349258293694103</v>
      </c>
      <c r="T17" s="4968">
        <f>HLOOKUP(T$7,Assumption!$B$447:$T$452,MATCH($D15,Assumption!$B$447:$B$452,0),FALSE)</f>
        <v>16.349258293694103</v>
      </c>
      <c r="U17" s="4968">
        <f>S17</f>
        <v>16.349258293694103</v>
      </c>
    </row>
    <row r="18" spans="2:23" ht="12" customHeight="1">
      <c r="C18" s="3" t="s">
        <v>1588</v>
      </c>
      <c r="I18" s="216">
        <f>연결FS!C10/10^6</f>
        <v>1305809.171482</v>
      </c>
      <c r="J18" s="205">
        <f>연결FS!D10/10^6</f>
        <v>1522715.9296939999</v>
      </c>
      <c r="K18" s="205">
        <f>연결FS!E10/10^6</f>
        <v>1253565.831209</v>
      </c>
      <c r="L18" s="105">
        <f>연결FS!F10/10^6</f>
        <v>1648923.778095</v>
      </c>
      <c r="M18" s="106">
        <f>연결정산표!L292/10^6</f>
        <v>1684308.116163</v>
      </c>
      <c r="N18" s="105">
        <f>O18</f>
        <v>1746855.536639492</v>
      </c>
      <c r="O18" s="105">
        <f>O34/O19</f>
        <v>1746855.536639492</v>
      </c>
      <c r="P18" s="4879">
        <f t="shared" ref="P18:U18" si="15">P34/P19</f>
        <v>1774987.9460180872</v>
      </c>
      <c r="Q18" s="4879">
        <f t="shared" si="15"/>
        <v>1738096.3576447451</v>
      </c>
      <c r="R18" s="4879">
        <f t="shared" si="15"/>
        <v>1643686.6659318078</v>
      </c>
      <c r="S18" s="4879">
        <f t="shared" si="15"/>
        <v>1635820.7222507237</v>
      </c>
      <c r="T18" s="4879">
        <f t="shared" ref="T18" si="16">T34/T19</f>
        <v>1678106.4698056697</v>
      </c>
      <c r="U18" s="4879">
        <f t="shared" si="15"/>
        <v>1694887.5345037265</v>
      </c>
      <c r="W18" s="2084"/>
    </row>
    <row r="19" spans="2:23" ht="12" customHeight="1">
      <c r="D19" s="3" t="s">
        <v>1598</v>
      </c>
      <c r="I19" s="1977"/>
      <c r="J19" s="548">
        <f>J34/AVERAGE(I18:J18)</f>
        <v>5.0203626695170751</v>
      </c>
      <c r="K19" s="548">
        <f>K34/AVERAGE(J18:K18)</f>
        <v>5.3765117522441273</v>
      </c>
      <c r="L19" s="548">
        <f>L34/AVERAGE(L18,K18)</f>
        <v>5.2757096376616817</v>
      </c>
      <c r="M19" s="549">
        <f>M34/AVERAGE(M18,L18)*4/3</f>
        <v>5.5371852169037048</v>
      </c>
      <c r="N19" s="2453"/>
      <c r="O19" s="548">
        <f>365/O20</f>
        <v>5.5371852169037048</v>
      </c>
      <c r="P19" s="4967">
        <f t="shared" ref="P19" si="17">365/P20</f>
        <v>5.5371852169037048</v>
      </c>
      <c r="Q19" s="4967">
        <f t="shared" ref="Q19" si="18">365/Q20</f>
        <v>5.5371852169037048</v>
      </c>
      <c r="R19" s="4967">
        <f t="shared" ref="R19" si="19">365/R20</f>
        <v>5.5371852169037048</v>
      </c>
      <c r="S19" s="4967">
        <f t="shared" ref="S19:T19" si="20">365/S20</f>
        <v>5.5371852169037048</v>
      </c>
      <c r="T19" s="4967">
        <f t="shared" si="20"/>
        <v>5.5371852169037048</v>
      </c>
      <c r="U19" s="4967">
        <f t="shared" ref="U19" si="21">365/U20</f>
        <v>5.5371852169037048</v>
      </c>
    </row>
    <row r="20" spans="2:23" ht="12" customHeight="1">
      <c r="D20" s="3" t="s">
        <v>1600</v>
      </c>
      <c r="H20" s="110" t="s">
        <v>3521</v>
      </c>
      <c r="I20" s="1977"/>
      <c r="J20" s="548">
        <f>365/J19</f>
        <v>72.703910858119443</v>
      </c>
      <c r="K20" s="548">
        <f>365/K19</f>
        <v>67.887882854092325</v>
      </c>
      <c r="L20" s="548">
        <f>365/L19</f>
        <v>69.185005443509695</v>
      </c>
      <c r="M20" s="549">
        <f>365/M19</f>
        <v>65.917968372403749</v>
      </c>
      <c r="N20" s="2453"/>
      <c r="O20" s="551">
        <f>HLOOKUP(O$7,Assumption!$B$447:$T$452,MATCH($C18,Assumption!$B$447:$B$452,0),FALSE)</f>
        <v>65.917968372403749</v>
      </c>
      <c r="P20" s="4968">
        <f>HLOOKUP(P$7,Assumption!$B$447:$T$452,MATCH($C18,Assumption!$B$447:$B$452,0),FALSE)</f>
        <v>65.917968372403749</v>
      </c>
      <c r="Q20" s="4968">
        <f>HLOOKUP(Q$7,Assumption!$B$447:$T$452,MATCH($C18,Assumption!$B$447:$B$452,0),FALSE)</f>
        <v>65.917968372403749</v>
      </c>
      <c r="R20" s="4968">
        <f>HLOOKUP(R$7,Assumption!$B$447:$T$452,MATCH($C18,Assumption!$B$447:$B$452,0),FALSE)</f>
        <v>65.917968372403749</v>
      </c>
      <c r="S20" s="4968">
        <f>HLOOKUP(S$7,Assumption!$B$447:$T$452,MATCH($C18,Assumption!$B$447:$B$452,0),FALSE)</f>
        <v>65.917968372403749</v>
      </c>
      <c r="T20" s="4968">
        <f>HLOOKUP(T$7,Assumption!$B$447:$T$452,MATCH($C18,Assumption!$B$447:$B$452,0),FALSE)</f>
        <v>65.917968372403749</v>
      </c>
      <c r="U20" s="4968">
        <f>S20</f>
        <v>65.917968372403749</v>
      </c>
    </row>
    <row r="21" spans="2:23" ht="12" customHeight="1">
      <c r="B21" s="3" t="s">
        <v>1591</v>
      </c>
      <c r="I21" s="216">
        <f>CHOOSE(Assumption!$F$468,I22+I25,I22)</f>
        <v>1313996.5081219999</v>
      </c>
      <c r="J21" s="205">
        <f>CHOOSE(Assumption!$F$468,J22+J25,J22)</f>
        <v>1341453.4173360001</v>
      </c>
      <c r="K21" s="205">
        <f>CHOOSE(Assumption!$F$468,K22+K25,K22)</f>
        <v>1070429.159363</v>
      </c>
      <c r="L21" s="205">
        <f>CHOOSE(Assumption!$F$468,L22+L25,L22)</f>
        <v>1476694.7777829999</v>
      </c>
      <c r="M21" s="106">
        <f>CHOOSE(Assumption!$F$468,M22+M25,M22)</f>
        <v>1508879.5654459998</v>
      </c>
      <c r="N21" s="105">
        <f>CHOOSE(Assumption!$F$468,N22+N25,N22)</f>
        <v>1564657.7366857249</v>
      </c>
      <c r="O21" s="205">
        <f>CHOOSE(Assumption!$F$468,O22+O25,O22)</f>
        <v>1564657.7366857249</v>
      </c>
      <c r="P21" s="4969">
        <f>CHOOSE(Assumption!$F$468,P22+P25,P22)</f>
        <v>1589855.9234061379</v>
      </c>
      <c r="Q21" s="4969">
        <f>CHOOSE(Assumption!$F$468,Q22+Q25,Q22)</f>
        <v>1556812.1439084818</v>
      </c>
      <c r="R21" s="4969">
        <f>CHOOSE(Assumption!$F$468,R22+R25,R22)</f>
        <v>1472249.4245201717</v>
      </c>
      <c r="S21" s="4969">
        <f>CHOOSE(Assumption!$F$468,S22+S25,S22)</f>
        <v>1465203.9022209328</v>
      </c>
      <c r="T21" s="4969">
        <f>CHOOSE(Assumption!$F$468,T22+T25,T22)</f>
        <v>1503079.2277276234</v>
      </c>
      <c r="U21" s="4969">
        <f>CHOOSE(Assumption!$F$468,U22+U25,U22)</f>
        <v>1518110.0200048997</v>
      </c>
    </row>
    <row r="22" spans="2:23" ht="12" customHeight="1">
      <c r="C22" s="3" t="s">
        <v>1592</v>
      </c>
      <c r="I22" s="216">
        <f>연결FS!C30/10^6</f>
        <v>229213.508122</v>
      </c>
      <c r="J22" s="205">
        <f>연결FS!D30/10^6</f>
        <v>227196.41733600001</v>
      </c>
      <c r="K22" s="205">
        <f>연결FS!E30/10^6</f>
        <v>242010.15936300001</v>
      </c>
      <c r="L22" s="105">
        <f>연결FS!F30/10^6</f>
        <v>388902.77778300003</v>
      </c>
      <c r="M22" s="106">
        <f>연결정산표!L613/10^6</f>
        <v>223173.48712000001</v>
      </c>
      <c r="N22" s="105">
        <f>O22</f>
        <v>320772.40531428409</v>
      </c>
      <c r="O22" s="105">
        <f>O34/O23</f>
        <v>320772.40531428409</v>
      </c>
      <c r="P22" s="4879">
        <f t="shared" ref="P22:U22" si="22">P34/P23</f>
        <v>325938.31653841323</v>
      </c>
      <c r="Q22" s="4879">
        <f t="shared" si="22"/>
        <v>319163.97069803154</v>
      </c>
      <c r="R22" s="4879">
        <f t="shared" si="22"/>
        <v>301827.66368205607</v>
      </c>
      <c r="S22" s="4879">
        <f t="shared" si="22"/>
        <v>300383.25249765895</v>
      </c>
      <c r="T22" s="4879">
        <f t="shared" ref="T22" si="23">T34/T23</f>
        <v>308148.11952255707</v>
      </c>
      <c r="U22" s="4879">
        <f t="shared" si="22"/>
        <v>311229.60071778262</v>
      </c>
      <c r="V22" s="2084"/>
      <c r="W22" s="2084"/>
    </row>
    <row r="23" spans="2:23" ht="12" customHeight="1">
      <c r="D23" s="3" t="s">
        <v>1598</v>
      </c>
      <c r="I23" s="1977"/>
      <c r="J23" s="548">
        <f>J34/AVERAGE(I22:J22)</f>
        <v>31.112868138190258</v>
      </c>
      <c r="K23" s="548">
        <f>K34/AVERAGE(J22:K22)</f>
        <v>31.812664732983084</v>
      </c>
      <c r="L23" s="548">
        <f>L34/AVERAGE(L22,K22)</f>
        <v>24.270690143534775</v>
      </c>
      <c r="M23" s="549">
        <f>M34/AVERAGE(M22,L22)*4/3</f>
        <v>30.154285385208158</v>
      </c>
      <c r="N23" s="2453"/>
      <c r="O23" s="548">
        <f>365/O24</f>
        <v>30.154285385208155</v>
      </c>
      <c r="P23" s="4967">
        <f t="shared" ref="P23" si="24">365/P24</f>
        <v>30.154285385208155</v>
      </c>
      <c r="Q23" s="4967">
        <f t="shared" ref="Q23" si="25">365/Q24</f>
        <v>30.154285385208155</v>
      </c>
      <c r="R23" s="4967">
        <f t="shared" ref="R23" si="26">365/R24</f>
        <v>30.154285385208155</v>
      </c>
      <c r="S23" s="4967">
        <f t="shared" ref="S23:T23" si="27">365/S24</f>
        <v>30.154285385208155</v>
      </c>
      <c r="T23" s="4967">
        <f t="shared" si="27"/>
        <v>30.154285385208155</v>
      </c>
      <c r="U23" s="4967">
        <f t="shared" ref="U23" si="28">365/U24</f>
        <v>30.154285385208155</v>
      </c>
      <c r="V23" s="2084"/>
    </row>
    <row r="24" spans="2:23" ht="12" customHeight="1">
      <c r="D24" s="3" t="s">
        <v>1600</v>
      </c>
      <c r="H24" s="110" t="s">
        <v>3521</v>
      </c>
      <c r="I24" s="1977"/>
      <c r="J24" s="548">
        <f>365/J23</f>
        <v>11.731480311581167</v>
      </c>
      <c r="K24" s="548">
        <f>365/K23</f>
        <v>11.473417994487312</v>
      </c>
      <c r="L24" s="548">
        <f>365/L23</f>
        <v>15.038715332832375</v>
      </c>
      <c r="M24" s="549">
        <f>365/M23</f>
        <v>12.104415519627821</v>
      </c>
      <c r="N24" s="2453"/>
      <c r="O24" s="551">
        <f>HLOOKUP(O$7,Assumption!$B$447:$T$452,MATCH($C22,Assumption!$B$447:$B$452,0),FALSE)</f>
        <v>12.104415519627821</v>
      </c>
      <c r="P24" s="4968">
        <f>HLOOKUP(P$7,Assumption!$B$447:$T$452,MATCH($C22,Assumption!$B$447:$B$452,0),FALSE)</f>
        <v>12.104415519627821</v>
      </c>
      <c r="Q24" s="4968">
        <f>HLOOKUP(Q$7,Assumption!$B$447:$T$452,MATCH($C22,Assumption!$B$447:$B$452,0),FALSE)</f>
        <v>12.104415519627821</v>
      </c>
      <c r="R24" s="4968">
        <f>HLOOKUP(R$7,Assumption!$B$447:$T$452,MATCH($C22,Assumption!$B$447:$B$452,0),FALSE)</f>
        <v>12.104415519627821</v>
      </c>
      <c r="S24" s="4968">
        <f>HLOOKUP(S$7,Assumption!$B$447:$T$452,MATCH($C22,Assumption!$B$447:$B$452,0),FALSE)</f>
        <v>12.104415519627821</v>
      </c>
      <c r="T24" s="4968">
        <f>HLOOKUP(T$7,Assumption!$B$447:$T$452,MATCH($C22,Assumption!$B$447:$B$452,0),FALSE)</f>
        <v>12.104415519627821</v>
      </c>
      <c r="U24" s="4968">
        <f>S24</f>
        <v>12.104415519627821</v>
      </c>
    </row>
    <row r="25" spans="2:23" ht="12" customHeight="1">
      <c r="C25" s="3" t="s">
        <v>1593</v>
      </c>
      <c r="I25" s="216">
        <f>연결FS!AB8</f>
        <v>1084783</v>
      </c>
      <c r="J25" s="205">
        <f>연결FS!AC8</f>
        <v>1114257</v>
      </c>
      <c r="K25" s="205">
        <f>연결FS!AD8</f>
        <v>828419</v>
      </c>
      <c r="L25" s="105">
        <f>연결FS!AE8</f>
        <v>1087792</v>
      </c>
      <c r="M25" s="106">
        <f>연결정산표!L641/10^6</f>
        <v>1285706.0783259999</v>
      </c>
      <c r="N25" s="105">
        <f>O25</f>
        <v>1243885.3313714408</v>
      </c>
      <c r="O25" s="105">
        <f>O34/O26</f>
        <v>1243885.3313714408</v>
      </c>
      <c r="P25" s="4879">
        <f t="shared" ref="P25:U25" si="29">P34/P26</f>
        <v>1263917.6068677246</v>
      </c>
      <c r="Q25" s="4879">
        <f t="shared" si="29"/>
        <v>1237648.1732104502</v>
      </c>
      <c r="R25" s="4879">
        <f t="shared" si="29"/>
        <v>1170421.7608381156</v>
      </c>
      <c r="S25" s="4879">
        <f t="shared" si="29"/>
        <v>1164820.6497232737</v>
      </c>
      <c r="T25" s="4879">
        <f t="shared" ref="T25" si="30">T34/T26</f>
        <v>1194931.1082050663</v>
      </c>
      <c r="U25" s="4879">
        <f t="shared" si="29"/>
        <v>1206880.4192871172</v>
      </c>
    </row>
    <row r="26" spans="2:23" ht="12" customHeight="1">
      <c r="D26" s="3" t="s">
        <v>1598</v>
      </c>
      <c r="I26" s="1977"/>
      <c r="J26" s="548">
        <f>J34/AVERAGE(I25:J25)</f>
        <v>6.4574640878456053</v>
      </c>
      <c r="K26" s="548">
        <f>K34/AVERAGE(J25:K25)</f>
        <v>7.6835826020581921</v>
      </c>
      <c r="L26" s="548">
        <f>L34/AVERAGE(L25,K25)</f>
        <v>7.9911306244552396</v>
      </c>
      <c r="M26" s="549">
        <f>M34/AVERAGE(M25,L25)*4/3</f>
        <v>7.776169080538982</v>
      </c>
      <c r="N26" s="2453"/>
      <c r="O26" s="548">
        <f>365/O27</f>
        <v>7.776169080538982</v>
      </c>
      <c r="P26" s="4967">
        <f t="shared" ref="P26" si="31">365/P27</f>
        <v>7.776169080538982</v>
      </c>
      <c r="Q26" s="4967">
        <f t="shared" ref="Q26" si="32">365/Q27</f>
        <v>7.776169080538982</v>
      </c>
      <c r="R26" s="4967">
        <f t="shared" ref="R26" si="33">365/R27</f>
        <v>7.776169080538982</v>
      </c>
      <c r="S26" s="4967">
        <f t="shared" ref="S26:T26" si="34">365/S27</f>
        <v>7.776169080538982</v>
      </c>
      <c r="T26" s="4967">
        <f t="shared" si="34"/>
        <v>7.776169080538982</v>
      </c>
      <c r="U26" s="4967">
        <f t="shared" ref="U26" si="35">365/U27</f>
        <v>7.776169080538982</v>
      </c>
    </row>
    <row r="27" spans="2:23" ht="12" customHeight="1">
      <c r="B27" s="12"/>
      <c r="C27" s="12"/>
      <c r="D27" s="12" t="s">
        <v>1600</v>
      </c>
      <c r="E27" s="12"/>
      <c r="F27" s="12"/>
      <c r="G27" s="12"/>
      <c r="H27" s="1950" t="s">
        <v>3520</v>
      </c>
      <c r="I27" s="1979"/>
      <c r="J27" s="550">
        <f>365/J26</f>
        <v>56.523736723060033</v>
      </c>
      <c r="K27" s="550">
        <f t="shared" ref="K27:L27" si="36">365/K26</f>
        <v>47.503881835307908</v>
      </c>
      <c r="L27" s="550">
        <f t="shared" si="36"/>
        <v>45.675639299774588</v>
      </c>
      <c r="M27" s="2449">
        <f t="shared" ref="M27" si="37">365/M26</f>
        <v>46.938279790426201</v>
      </c>
      <c r="N27" s="2454"/>
      <c r="O27" s="552">
        <f>HLOOKUP(O$7,Assumption!$B$447:$T$452,MATCH($C25,Assumption!$B$447:$B$452,0),FALSE)</f>
        <v>46.938279790426201</v>
      </c>
      <c r="P27" s="4970">
        <f>HLOOKUP(P$7,Assumption!$B$447:$T$452,MATCH($C25,Assumption!$B$447:$B$452,0),FALSE)</f>
        <v>46.938279790426201</v>
      </c>
      <c r="Q27" s="4970">
        <f>HLOOKUP(Q$7,Assumption!$B$447:$T$452,MATCH($C25,Assumption!$B$447:$B$452,0),FALSE)</f>
        <v>46.938279790426201</v>
      </c>
      <c r="R27" s="4970">
        <f>HLOOKUP(R$7,Assumption!$B$447:$T$452,MATCH($C25,Assumption!$B$447:$B$452,0),FALSE)</f>
        <v>46.938279790426201</v>
      </c>
      <c r="S27" s="4970">
        <f>HLOOKUP(S$7,Assumption!$B$447:$T$452,MATCH($C25,Assumption!$B$447:$B$452,0),FALSE)</f>
        <v>46.938279790426201</v>
      </c>
      <c r="T27" s="4970">
        <f>HLOOKUP(T$7,Assumption!$B$447:$T$452,MATCH($C25,Assumption!$B$447:$B$452,0),FALSE)</f>
        <v>46.938279790426201</v>
      </c>
      <c r="U27" s="4970">
        <f>S27</f>
        <v>46.938279790426201</v>
      </c>
    </row>
    <row r="29" spans="2:23" ht="12" customHeight="1">
      <c r="B29" s="24"/>
      <c r="C29" s="24"/>
      <c r="D29" s="24"/>
      <c r="E29" s="24"/>
      <c r="F29" s="24"/>
      <c r="G29" s="24"/>
      <c r="H29" s="24"/>
      <c r="I29" s="24"/>
      <c r="J29" s="25" t="s">
        <v>23</v>
      </c>
      <c r="K29" s="26"/>
      <c r="L29" s="26"/>
      <c r="M29" s="27"/>
      <c r="N29" s="26" t="s">
        <v>24</v>
      </c>
      <c r="O29" s="26"/>
      <c r="P29" s="26"/>
      <c r="Q29" s="26"/>
      <c r="R29" s="26"/>
      <c r="S29" s="26"/>
      <c r="T29" s="26"/>
      <c r="U29" s="26"/>
    </row>
    <row r="30" spans="2:23" ht="12" customHeight="1">
      <c r="B30" s="28"/>
      <c r="C30" s="28"/>
      <c r="D30" s="28"/>
      <c r="E30" s="28"/>
      <c r="F30" s="28"/>
      <c r="G30" s="28"/>
      <c r="H30" s="28"/>
      <c r="I30" s="28"/>
      <c r="J30" s="29" t="s">
        <v>69</v>
      </c>
      <c r="K30" s="30" t="s">
        <v>27</v>
      </c>
      <c r="L30" s="30" t="s">
        <v>60</v>
      </c>
      <c r="M30" s="31" t="s">
        <v>5104</v>
      </c>
      <c r="N30" s="30" t="s">
        <v>5174</v>
      </c>
      <c r="O30" s="30" t="s">
        <v>70</v>
      </c>
      <c r="P30" s="30" t="s">
        <v>71</v>
      </c>
      <c r="Q30" s="30" t="s">
        <v>72</v>
      </c>
      <c r="R30" s="30" t="s">
        <v>73</v>
      </c>
      <c r="S30" s="30" t="s">
        <v>74</v>
      </c>
      <c r="T30" s="30" t="s">
        <v>5102</v>
      </c>
      <c r="U30" s="30" t="s">
        <v>28</v>
      </c>
    </row>
    <row r="31" spans="2:23" ht="12" customHeight="1">
      <c r="B31" s="32" t="s">
        <v>29</v>
      </c>
      <c r="J31" s="217">
        <f>연결FS!AC12</f>
        <v>7448913.7123100003</v>
      </c>
      <c r="K31" s="218">
        <f>연결FS!AD12</f>
        <v>7874716.8175600003</v>
      </c>
      <c r="L31" s="218">
        <f>연결FS!AE12</f>
        <v>7979812.4662619997</v>
      </c>
      <c r="M31" s="219">
        <f>연결정산표!L6/10^6</f>
        <v>7254338.9507990004</v>
      </c>
      <c r="N31" s="105">
        <f>DCF!N8</f>
        <v>2872141.3366922112</v>
      </c>
      <c r="O31" s="105">
        <f>DCF!O8</f>
        <v>10126480.28749121</v>
      </c>
      <c r="P31" s="4879">
        <f>DCF!P8</f>
        <v>10286901.021661209</v>
      </c>
      <c r="Q31" s="4879">
        <f>DCF!Q8</f>
        <v>10096907.578534821</v>
      </c>
      <c r="R31" s="4879">
        <f>DCF!R8</f>
        <v>9589583.8718248643</v>
      </c>
      <c r="S31" s="4879">
        <f>DCF!S8</f>
        <v>9552109.3177432083</v>
      </c>
      <c r="T31" s="4879">
        <f>DCF!T8</f>
        <v>9747424.2306819931</v>
      </c>
      <c r="U31" s="4879">
        <f>DCF!U8</f>
        <v>9844898.4729888123</v>
      </c>
    </row>
    <row r="32" spans="2:23" ht="12" customHeight="1">
      <c r="C32" s="3" t="s">
        <v>1596</v>
      </c>
      <c r="J32" s="220">
        <f>연결FS!AC13</f>
        <v>1414686</v>
      </c>
      <c r="K32" s="221">
        <f>연결FS!AD13</f>
        <v>1267828</v>
      </c>
      <c r="L32" s="221">
        <f>연결FS!AE13</f>
        <v>1376692</v>
      </c>
      <c r="M32" s="106">
        <v>0</v>
      </c>
      <c r="N32" s="105">
        <f>N31*Assumption!N463</f>
        <v>0</v>
      </c>
      <c r="O32" s="105">
        <f>O31*Assumption!O463</f>
        <v>0</v>
      </c>
      <c r="P32" s="4879">
        <f>P31*Assumption!P463</f>
        <v>0</v>
      </c>
      <c r="Q32" s="4879">
        <f>Q31*Assumption!Q463</f>
        <v>0</v>
      </c>
      <c r="R32" s="4879">
        <f>R31*Assumption!R463</f>
        <v>0</v>
      </c>
      <c r="S32" s="4879">
        <f>S31*Assumption!S463</f>
        <v>0</v>
      </c>
      <c r="T32" s="4879">
        <f>T31*Assumption!T463</f>
        <v>0</v>
      </c>
      <c r="U32" s="4879">
        <f>U31*S32/S31</f>
        <v>0</v>
      </c>
    </row>
    <row r="33" spans="1:22" ht="12" customHeight="1">
      <c r="C33" s="3" t="s">
        <v>320</v>
      </c>
      <c r="J33" s="319">
        <f t="shared" ref="J33:P33" si="38">J31-J32</f>
        <v>6034227.7123100003</v>
      </c>
      <c r="K33" s="320">
        <f t="shared" si="38"/>
        <v>6606888.8175600003</v>
      </c>
      <c r="L33" s="320">
        <f t="shared" si="38"/>
        <v>6603120.4662619997</v>
      </c>
      <c r="M33" s="106">
        <f>M31-M32</f>
        <v>7254338.9507990004</v>
      </c>
      <c r="N33" s="105">
        <f t="shared" si="38"/>
        <v>2872141.3366922112</v>
      </c>
      <c r="O33" s="105">
        <f t="shared" si="38"/>
        <v>10126480.28749121</v>
      </c>
      <c r="P33" s="4879">
        <f t="shared" si="38"/>
        <v>10286901.021661209</v>
      </c>
      <c r="Q33" s="4879">
        <f t="shared" ref="Q33:U33" si="39">Q31-Q32</f>
        <v>10096907.578534821</v>
      </c>
      <c r="R33" s="4879">
        <f t="shared" si="39"/>
        <v>9589583.8718248643</v>
      </c>
      <c r="S33" s="4879">
        <f t="shared" si="39"/>
        <v>9552109.3177432083</v>
      </c>
      <c r="T33" s="4879">
        <f t="shared" ref="T33" si="40">T31-T32</f>
        <v>9747424.2306819931</v>
      </c>
      <c r="U33" s="4879">
        <f t="shared" si="39"/>
        <v>9844898.4729888123</v>
      </c>
    </row>
    <row r="34" spans="1:22" ht="12" customHeight="1">
      <c r="B34" s="67" t="s">
        <v>30</v>
      </c>
      <c r="C34" s="12"/>
      <c r="D34" s="12"/>
      <c r="E34" s="12"/>
      <c r="F34" s="12"/>
      <c r="G34" s="12"/>
      <c r="H34" s="12"/>
      <c r="I34" s="12"/>
      <c r="J34" s="223">
        <f>연결FS!K4/10^6</f>
        <v>7100110.9138679998</v>
      </c>
      <c r="K34" s="224">
        <f>연결FS!L4/10^6</f>
        <v>7463355.757518</v>
      </c>
      <c r="L34" s="224">
        <f>연결FS!M4/10^6</f>
        <v>7656346.202509</v>
      </c>
      <c r="M34" s="225">
        <f>연결정산표!L28/10^6</f>
        <v>6921270.8885239996</v>
      </c>
      <c r="N34" s="107">
        <f>DCF!N9</f>
        <v>2751391.7650225833</v>
      </c>
      <c r="O34" s="107">
        <f>DCF!O9</f>
        <v>9672662.6535465829</v>
      </c>
      <c r="P34" s="4881">
        <f>DCF!P9</f>
        <v>9828437.0148736238</v>
      </c>
      <c r="Q34" s="4881">
        <f>DCF!Q9</f>
        <v>9624161.4571046568</v>
      </c>
      <c r="R34" s="4881">
        <f>DCF!R9</f>
        <v>9101397.5078193452</v>
      </c>
      <c r="S34" s="4881">
        <f>DCF!S9</f>
        <v>9057842.3207514491</v>
      </c>
      <c r="T34" s="4881">
        <f>DCF!T9</f>
        <v>9291986.336998418</v>
      </c>
      <c r="U34" s="4881">
        <f>DCF!U9</f>
        <v>9384906.2003684025</v>
      </c>
    </row>
    <row r="35" spans="1:22" ht="12" customHeight="1">
      <c r="B35" s="32"/>
      <c r="J35" s="105"/>
      <c r="K35" s="105"/>
      <c r="L35" s="105"/>
      <c r="M35" s="105"/>
      <c r="N35" s="105"/>
      <c r="O35" s="105"/>
      <c r="P35" s="105"/>
      <c r="Q35" s="105"/>
      <c r="R35" s="105"/>
      <c r="S35" s="105"/>
      <c r="T35" s="105"/>
      <c r="U35" s="105"/>
    </row>
    <row r="36" spans="1:22" ht="12" customHeight="1">
      <c r="B36" s="289" t="s">
        <v>351</v>
      </c>
      <c r="J36" s="105"/>
      <c r="K36" s="105"/>
      <c r="L36" s="105"/>
      <c r="M36" s="105"/>
      <c r="N36" s="105"/>
      <c r="O36" s="105"/>
      <c r="P36" s="105"/>
      <c r="Q36" s="105"/>
      <c r="R36" s="105"/>
      <c r="S36" s="105"/>
      <c r="T36" s="105"/>
      <c r="U36" s="105"/>
    </row>
    <row r="37" spans="1:22" ht="12" customHeight="1">
      <c r="B37" s="2105" t="s">
        <v>5961</v>
      </c>
      <c r="J37" s="105"/>
      <c r="K37" s="105"/>
      <c r="L37" s="105"/>
      <c r="M37" s="105"/>
      <c r="N37" s="105"/>
      <c r="O37" s="105"/>
      <c r="P37" s="105"/>
      <c r="Q37" s="105"/>
      <c r="R37" s="105"/>
      <c r="S37" s="105"/>
      <c r="T37" s="105"/>
      <c r="U37" s="105"/>
    </row>
    <row r="38" spans="1:22" ht="12" customHeight="1">
      <c r="B38" s="2105" t="s">
        <v>4969</v>
      </c>
      <c r="J38" s="105"/>
      <c r="K38" s="105"/>
      <c r="L38" s="105"/>
      <c r="M38" s="105"/>
      <c r="N38" s="105"/>
      <c r="O38" s="105"/>
      <c r="P38" s="105"/>
      <c r="Q38" s="105"/>
      <c r="R38" s="105"/>
      <c r="S38" s="105"/>
      <c r="T38" s="105"/>
      <c r="U38" s="105"/>
    </row>
    <row r="40" spans="1:22" ht="12" customHeight="1">
      <c r="A40" s="20" t="s">
        <v>68</v>
      </c>
      <c r="B40" s="21" t="s">
        <v>3553</v>
      </c>
      <c r="C40" s="102"/>
      <c r="D40" s="102"/>
      <c r="E40" s="102"/>
      <c r="F40" s="102"/>
      <c r="G40" s="102"/>
      <c r="H40" s="102"/>
      <c r="I40" s="102"/>
      <c r="J40" s="102"/>
      <c r="K40" s="102"/>
      <c r="L40" s="102"/>
      <c r="M40" s="102"/>
      <c r="N40" s="102"/>
      <c r="O40" s="102"/>
      <c r="P40" s="102"/>
      <c r="Q40" s="102"/>
      <c r="R40" s="102"/>
      <c r="S40" s="102"/>
      <c r="T40" s="102"/>
      <c r="U40" s="102"/>
    </row>
    <row r="42" spans="1:22" ht="12" customHeight="1">
      <c r="B42" s="24"/>
      <c r="C42" s="24"/>
      <c r="D42" s="24"/>
      <c r="E42" s="24"/>
      <c r="F42" s="24"/>
      <c r="G42" s="24"/>
      <c r="H42" s="24"/>
      <c r="I42" s="24"/>
      <c r="J42" s="25" t="s">
        <v>23</v>
      </c>
      <c r="K42" s="26"/>
      <c r="L42" s="26"/>
      <c r="M42" s="27"/>
      <c r="N42" s="26" t="s">
        <v>24</v>
      </c>
      <c r="O42" s="26"/>
      <c r="P42" s="26"/>
      <c r="Q42" s="26"/>
      <c r="R42" s="26"/>
      <c r="S42" s="26"/>
      <c r="T42" s="26"/>
      <c r="U42" s="26"/>
    </row>
    <row r="43" spans="1:22" ht="12" customHeight="1">
      <c r="B43" s="28"/>
      <c r="C43" s="28"/>
      <c r="D43" s="28"/>
      <c r="E43" s="28"/>
      <c r="F43" s="28"/>
      <c r="G43" s="28"/>
      <c r="H43" s="1949"/>
      <c r="I43" s="28"/>
      <c r="J43" s="29" t="s">
        <v>69</v>
      </c>
      <c r="K43" s="10" t="s">
        <v>27</v>
      </c>
      <c r="L43" s="10" t="s">
        <v>60</v>
      </c>
      <c r="M43" s="31" t="s">
        <v>5104</v>
      </c>
      <c r="N43" s="30" t="s">
        <v>5174</v>
      </c>
      <c r="O43" s="30" t="s">
        <v>70</v>
      </c>
      <c r="P43" s="30" t="s">
        <v>71</v>
      </c>
      <c r="Q43" s="30" t="s">
        <v>72</v>
      </c>
      <c r="R43" s="30" t="s">
        <v>73</v>
      </c>
      <c r="S43" s="30" t="s">
        <v>74</v>
      </c>
      <c r="T43" s="30" t="s">
        <v>5102</v>
      </c>
      <c r="U43" s="30" t="s">
        <v>28</v>
      </c>
    </row>
    <row r="44" spans="1:22" ht="12" customHeight="1">
      <c r="A44" s="32"/>
      <c r="B44" s="33" t="s">
        <v>2093</v>
      </c>
      <c r="C44" s="33"/>
      <c r="D44" s="33"/>
      <c r="E44" s="33"/>
      <c r="F44" s="33"/>
      <c r="G44" s="33"/>
      <c r="H44" s="33"/>
      <c r="I44" s="33"/>
      <c r="J44" s="227">
        <f>별도FS_본체!AD35/10^6</f>
        <v>23356.39025</v>
      </c>
      <c r="K44" s="103">
        <f>별도FS_본체!AE35/10^6</f>
        <v>24650.665728</v>
      </c>
      <c r="L44" s="103">
        <f>차입금!H42/10^6</f>
        <v>11662.920087</v>
      </c>
      <c r="M44" s="104">
        <f>차입금!H21/10^6</f>
        <v>2246.6984910000001</v>
      </c>
      <c r="N44" s="103">
        <f>O44-M44</f>
        <v>1503.7256444176046</v>
      </c>
      <c r="O44" s="103">
        <f>O45*O46</f>
        <v>3750.4241354176047</v>
      </c>
      <c r="P44" s="4878">
        <f t="shared" ref="P44:U44" si="41">P45*P46</f>
        <v>7820.2648387124473</v>
      </c>
      <c r="Q44" s="4878">
        <f t="shared" si="41"/>
        <v>12457.142326192861</v>
      </c>
      <c r="R44" s="4878">
        <f t="shared" si="41"/>
        <v>16473.854869885865</v>
      </c>
      <c r="S44" s="4878">
        <f t="shared" si="41"/>
        <v>20322.373022914788</v>
      </c>
      <c r="T44" s="4878">
        <f t="shared" ref="T44" si="42">T45*T46</f>
        <v>24928.024440424146</v>
      </c>
      <c r="U44" s="4878">
        <f t="shared" si="41"/>
        <v>25118.205417133842</v>
      </c>
      <c r="V44" s="113"/>
    </row>
    <row r="45" spans="1:22" ht="12" customHeight="1">
      <c r="C45" s="3" t="s">
        <v>3554</v>
      </c>
      <c r="J45" s="216">
        <f>AVERAGE(I25:J25)</f>
        <v>1099520</v>
      </c>
      <c r="K45" s="105">
        <f>AVERAGE(J25:K25)</f>
        <v>971338</v>
      </c>
      <c r="L45" s="105">
        <f>AVERAGE(L25,K25)</f>
        <v>958105.5</v>
      </c>
      <c r="M45" s="106">
        <f>AVERAGE(M25,L25)</f>
        <v>1186749.039163</v>
      </c>
      <c r="N45" s="105">
        <f>AVERAGE(M25:N25)</f>
        <v>1264795.7048487202</v>
      </c>
      <c r="O45" s="105">
        <f>AVERAGE(O25,L25)</f>
        <v>1165838.6656857203</v>
      </c>
      <c r="P45" s="4879">
        <f>AVERAGE(O25:P25)</f>
        <v>1253901.4691195828</v>
      </c>
      <c r="Q45" s="4879">
        <f>AVERAGE(P25:Q25)</f>
        <v>1250782.8900390873</v>
      </c>
      <c r="R45" s="4879">
        <f>AVERAGE(Q25:R25)</f>
        <v>1204034.967024283</v>
      </c>
      <c r="S45" s="4879">
        <f>AVERAGE(R25:S25)</f>
        <v>1167621.2052806946</v>
      </c>
      <c r="T45" s="4879">
        <f t="shared" ref="T45" si="43">AVERAGE(S25:T25)</f>
        <v>1179875.8789641699</v>
      </c>
      <c r="U45" s="4879">
        <f>AVERAGE(S25:U25)</f>
        <v>1188877.3924051523</v>
      </c>
    </row>
    <row r="46" spans="1:22" ht="12" customHeight="1">
      <c r="B46" s="12"/>
      <c r="C46" s="12" t="s">
        <v>3558</v>
      </c>
      <c r="D46" s="12"/>
      <c r="E46" s="12"/>
      <c r="F46" s="12"/>
      <c r="G46" s="12"/>
      <c r="H46" s="12"/>
      <c r="I46" s="12"/>
      <c r="J46" s="2451">
        <f>J44/J45</f>
        <v>2.1242351435171711E-2</v>
      </c>
      <c r="K46" s="247">
        <f t="shared" ref="K46:L46" si="44">K44/K45</f>
        <v>2.5378051438325278E-2</v>
      </c>
      <c r="L46" s="247">
        <f t="shared" si="44"/>
        <v>1.2172897543120252E-2</v>
      </c>
      <c r="M46" s="2452">
        <f>M44/M45*4/3</f>
        <v>2.5242051092055316E-3</v>
      </c>
      <c r="N46" s="1980">
        <f>N44/N45*4</f>
        <v>4.7556317234567535E-3</v>
      </c>
      <c r="O46" s="1980">
        <f>Assumption!O476</f>
        <v>3.216932364489463E-3</v>
      </c>
      <c r="P46" s="4971">
        <f>Assumption!P476</f>
        <v>6.2367458937610028E-3</v>
      </c>
      <c r="Q46" s="4971">
        <f>Assumption!Q476</f>
        <v>9.959476121234415E-3</v>
      </c>
      <c r="R46" s="4971">
        <f>Assumption!R476</f>
        <v>1.3682206348707829E-2</v>
      </c>
      <c r="S46" s="4971">
        <f>Assumption!S476</f>
        <v>1.7404936576181241E-2</v>
      </c>
      <c r="T46" s="4971">
        <f>Assumption!T476</f>
        <v>2.1127666803654653E-2</v>
      </c>
      <c r="U46" s="4971">
        <f>T46</f>
        <v>2.1127666803654653E-2</v>
      </c>
    </row>
  </sheetData>
  <phoneticPr fontId="1" type="noConversion"/>
  <conditionalFormatting sqref="K7:M7 K30:L30 K43:L43">
    <cfRule type="cellIs" dxfId="414" priority="66" operator="equal">
      <formula>"X"</formula>
    </cfRule>
    <cfRule type="cellIs" dxfId="413" priority="67" operator="equal">
      <formula>"O"</formula>
    </cfRule>
    <cfRule type="cellIs" dxfId="412" priority="68" operator="equal">
      <formula>"미정"</formula>
    </cfRule>
    <cfRule type="cellIs" dxfId="411" priority="69" operator="equal">
      <formula>"예정"</formula>
    </cfRule>
    <cfRule type="cellIs" dxfId="410" priority="70" operator="equal">
      <formula>"확정"</formula>
    </cfRule>
  </conditionalFormatting>
  <conditionalFormatting sqref="N7:P7">
    <cfRule type="cellIs" dxfId="409" priority="61" operator="equal">
      <formula>"X"</formula>
    </cfRule>
    <cfRule type="cellIs" dxfId="408" priority="62" operator="equal">
      <formula>"O"</formula>
    </cfRule>
    <cfRule type="cellIs" dxfId="407" priority="63" operator="equal">
      <formula>"미정"</formula>
    </cfRule>
    <cfRule type="cellIs" dxfId="406" priority="64" operator="equal">
      <formula>"예정"</formula>
    </cfRule>
    <cfRule type="cellIs" dxfId="405" priority="65" operator="equal">
      <formula>"확정"</formula>
    </cfRule>
  </conditionalFormatting>
  <conditionalFormatting sqref="O30:P30">
    <cfRule type="cellIs" dxfId="404" priority="41" operator="equal">
      <formula>"X"</formula>
    </cfRule>
    <cfRule type="cellIs" dxfId="403" priority="42" operator="equal">
      <formula>"O"</formula>
    </cfRule>
    <cfRule type="cellIs" dxfId="402" priority="43" operator="equal">
      <formula>"미정"</formula>
    </cfRule>
    <cfRule type="cellIs" dxfId="401" priority="44" operator="equal">
      <formula>"예정"</formula>
    </cfRule>
    <cfRule type="cellIs" dxfId="400" priority="45" operator="equal">
      <formula>"확정"</formula>
    </cfRule>
  </conditionalFormatting>
  <conditionalFormatting sqref="O43:P43">
    <cfRule type="cellIs" dxfId="399" priority="21" operator="equal">
      <formula>"X"</formula>
    </cfRule>
    <cfRule type="cellIs" dxfId="398" priority="22" operator="equal">
      <formula>"O"</formula>
    </cfRule>
    <cfRule type="cellIs" dxfId="397" priority="23" operator="equal">
      <formula>"미정"</formula>
    </cfRule>
    <cfRule type="cellIs" dxfId="396" priority="24" operator="equal">
      <formula>"예정"</formula>
    </cfRule>
    <cfRule type="cellIs" dxfId="395" priority="25" operator="equal">
      <formula>"확정"</formula>
    </cfRule>
  </conditionalFormatting>
  <conditionalFormatting sqref="M30">
    <cfRule type="cellIs" dxfId="394" priority="16" operator="equal">
      <formula>"X"</formula>
    </cfRule>
    <cfRule type="cellIs" dxfId="393" priority="17" operator="equal">
      <formula>"O"</formula>
    </cfRule>
    <cfRule type="cellIs" dxfId="392" priority="18" operator="equal">
      <formula>"미정"</formula>
    </cfRule>
    <cfRule type="cellIs" dxfId="391" priority="19" operator="equal">
      <formula>"예정"</formula>
    </cfRule>
    <cfRule type="cellIs" dxfId="390" priority="20" operator="equal">
      <formula>"확정"</formula>
    </cfRule>
  </conditionalFormatting>
  <conditionalFormatting sqref="N30">
    <cfRule type="cellIs" dxfId="389" priority="11" operator="equal">
      <formula>"X"</formula>
    </cfRule>
    <cfRule type="cellIs" dxfId="388" priority="12" operator="equal">
      <formula>"O"</formula>
    </cfRule>
    <cfRule type="cellIs" dxfId="387" priority="13" operator="equal">
      <formula>"미정"</formula>
    </cfRule>
    <cfRule type="cellIs" dxfId="386" priority="14" operator="equal">
      <formula>"예정"</formula>
    </cfRule>
    <cfRule type="cellIs" dxfId="385" priority="15" operator="equal">
      <formula>"확정"</formula>
    </cfRule>
  </conditionalFormatting>
  <conditionalFormatting sqref="M43">
    <cfRule type="cellIs" dxfId="384" priority="6" operator="equal">
      <formula>"X"</formula>
    </cfRule>
    <cfRule type="cellIs" dxfId="383" priority="7" operator="equal">
      <formula>"O"</formula>
    </cfRule>
    <cfRule type="cellIs" dxfId="382" priority="8" operator="equal">
      <formula>"미정"</formula>
    </cfRule>
    <cfRule type="cellIs" dxfId="381" priority="9" operator="equal">
      <formula>"예정"</formula>
    </cfRule>
    <cfRule type="cellIs" dxfId="380" priority="10" operator="equal">
      <formula>"확정"</formula>
    </cfRule>
  </conditionalFormatting>
  <conditionalFormatting sqref="N43">
    <cfRule type="cellIs" dxfId="379" priority="1" operator="equal">
      <formula>"X"</formula>
    </cfRule>
    <cfRule type="cellIs" dxfId="378" priority="2" operator="equal">
      <formula>"O"</formula>
    </cfRule>
    <cfRule type="cellIs" dxfId="377" priority="3" operator="equal">
      <formula>"미정"</formula>
    </cfRule>
    <cfRule type="cellIs" dxfId="376" priority="4" operator="equal">
      <formula>"예정"</formula>
    </cfRule>
    <cfRule type="cellIs" dxfId="375" priority="5" operator="equal">
      <formula>"확정"</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F3:F90"/>
  <sheetViews>
    <sheetView workbookViewId="0"/>
  </sheetViews>
  <sheetFormatPr defaultRowHeight="16.5"/>
  <cols>
    <col min="6" max="6" width="12.125" bestFit="1" customWidth="1"/>
  </cols>
  <sheetData>
    <row r="3" spans="6:6">
      <c r="F3" s="2585">
        <v>44651</v>
      </c>
    </row>
    <row r="4" spans="6:6">
      <c r="F4" s="2585">
        <f>EOMONTH(F3,1)</f>
        <v>44681</v>
      </c>
    </row>
    <row r="5" spans="6:6">
      <c r="F5" s="2585">
        <f t="shared" ref="F5:F68" si="0">EOMONTH(F4,1)</f>
        <v>44712</v>
      </c>
    </row>
    <row r="6" spans="6:6">
      <c r="F6" s="2585">
        <f t="shared" si="0"/>
        <v>44742</v>
      </c>
    </row>
    <row r="7" spans="6:6">
      <c r="F7" s="2585">
        <f t="shared" si="0"/>
        <v>44773</v>
      </c>
    </row>
    <row r="8" spans="6:6">
      <c r="F8" s="2585">
        <f t="shared" si="0"/>
        <v>44804</v>
      </c>
    </row>
    <row r="9" spans="6:6">
      <c r="F9" s="2585">
        <f t="shared" si="0"/>
        <v>44834</v>
      </c>
    </row>
    <row r="10" spans="6:6">
      <c r="F10" s="2585">
        <f t="shared" si="0"/>
        <v>44865</v>
      </c>
    </row>
    <row r="11" spans="6:6">
      <c r="F11" s="2585">
        <f t="shared" si="0"/>
        <v>44895</v>
      </c>
    </row>
    <row r="12" spans="6:6">
      <c r="F12" s="2585">
        <f t="shared" si="0"/>
        <v>44926</v>
      </c>
    </row>
    <row r="13" spans="6:6">
      <c r="F13" s="2585">
        <f t="shared" si="0"/>
        <v>44957</v>
      </c>
    </row>
    <row r="14" spans="6:6">
      <c r="F14" s="2585">
        <f t="shared" si="0"/>
        <v>44985</v>
      </c>
    </row>
    <row r="15" spans="6:6">
      <c r="F15" s="2585">
        <f t="shared" si="0"/>
        <v>45016</v>
      </c>
    </row>
    <row r="16" spans="6:6">
      <c r="F16" s="2585">
        <f t="shared" si="0"/>
        <v>45046</v>
      </c>
    </row>
    <row r="17" spans="6:6">
      <c r="F17" s="2585">
        <f t="shared" si="0"/>
        <v>45077</v>
      </c>
    </row>
    <row r="18" spans="6:6">
      <c r="F18" s="2585">
        <f t="shared" si="0"/>
        <v>45107</v>
      </c>
    </row>
    <row r="19" spans="6:6">
      <c r="F19" s="2585">
        <f t="shared" si="0"/>
        <v>45138</v>
      </c>
    </row>
    <row r="20" spans="6:6">
      <c r="F20" s="2585">
        <f t="shared" si="0"/>
        <v>45169</v>
      </c>
    </row>
    <row r="21" spans="6:6">
      <c r="F21" s="2585">
        <f t="shared" si="0"/>
        <v>45199</v>
      </c>
    </row>
    <row r="22" spans="6:6">
      <c r="F22" s="2585">
        <f t="shared" si="0"/>
        <v>45230</v>
      </c>
    </row>
    <row r="23" spans="6:6">
      <c r="F23" s="2585">
        <f t="shared" si="0"/>
        <v>45260</v>
      </c>
    </row>
    <row r="24" spans="6:6">
      <c r="F24" s="2585">
        <f t="shared" si="0"/>
        <v>45291</v>
      </c>
    </row>
    <row r="25" spans="6:6">
      <c r="F25" s="2585">
        <f t="shared" si="0"/>
        <v>45322</v>
      </c>
    </row>
    <row r="26" spans="6:6">
      <c r="F26" s="2585">
        <f t="shared" si="0"/>
        <v>45351</v>
      </c>
    </row>
    <row r="27" spans="6:6">
      <c r="F27" s="2585">
        <f t="shared" si="0"/>
        <v>45382</v>
      </c>
    </row>
    <row r="28" spans="6:6">
      <c r="F28" s="2585">
        <f t="shared" si="0"/>
        <v>45412</v>
      </c>
    </row>
    <row r="29" spans="6:6">
      <c r="F29" s="2585">
        <f t="shared" si="0"/>
        <v>45443</v>
      </c>
    </row>
    <row r="30" spans="6:6">
      <c r="F30" s="2585">
        <f t="shared" si="0"/>
        <v>45473</v>
      </c>
    </row>
    <row r="31" spans="6:6">
      <c r="F31" s="2585">
        <f t="shared" si="0"/>
        <v>45504</v>
      </c>
    </row>
    <row r="32" spans="6:6">
      <c r="F32" s="2585">
        <f t="shared" si="0"/>
        <v>45535</v>
      </c>
    </row>
    <row r="33" spans="6:6">
      <c r="F33" s="2585">
        <f t="shared" si="0"/>
        <v>45565</v>
      </c>
    </row>
    <row r="34" spans="6:6">
      <c r="F34" s="2585">
        <f t="shared" si="0"/>
        <v>45596</v>
      </c>
    </row>
    <row r="35" spans="6:6">
      <c r="F35" s="2585">
        <f t="shared" si="0"/>
        <v>45626</v>
      </c>
    </row>
    <row r="36" spans="6:6">
      <c r="F36" s="2585">
        <f t="shared" si="0"/>
        <v>45657</v>
      </c>
    </row>
    <row r="37" spans="6:6">
      <c r="F37" s="2585">
        <f t="shared" si="0"/>
        <v>45688</v>
      </c>
    </row>
    <row r="38" spans="6:6">
      <c r="F38" s="2585">
        <f t="shared" si="0"/>
        <v>45716</v>
      </c>
    </row>
    <row r="39" spans="6:6">
      <c r="F39" s="2585">
        <f t="shared" si="0"/>
        <v>45747</v>
      </c>
    </row>
    <row r="40" spans="6:6">
      <c r="F40" s="2585">
        <f t="shared" si="0"/>
        <v>45777</v>
      </c>
    </row>
    <row r="41" spans="6:6">
      <c r="F41" s="2585">
        <f t="shared" si="0"/>
        <v>45808</v>
      </c>
    </row>
    <row r="42" spans="6:6">
      <c r="F42" s="2585">
        <f t="shared" si="0"/>
        <v>45838</v>
      </c>
    </row>
    <row r="43" spans="6:6">
      <c r="F43" s="2585">
        <f t="shared" si="0"/>
        <v>45869</v>
      </c>
    </row>
    <row r="44" spans="6:6">
      <c r="F44" s="2585">
        <f t="shared" si="0"/>
        <v>45900</v>
      </c>
    </row>
    <row r="45" spans="6:6">
      <c r="F45" s="2585">
        <f t="shared" si="0"/>
        <v>45930</v>
      </c>
    </row>
    <row r="46" spans="6:6">
      <c r="F46" s="2585">
        <f t="shared" si="0"/>
        <v>45961</v>
      </c>
    </row>
    <row r="47" spans="6:6">
      <c r="F47" s="2585">
        <f t="shared" si="0"/>
        <v>45991</v>
      </c>
    </row>
    <row r="48" spans="6:6">
      <c r="F48" s="2585">
        <f t="shared" si="0"/>
        <v>46022</v>
      </c>
    </row>
    <row r="49" spans="6:6">
      <c r="F49" s="2585">
        <f t="shared" si="0"/>
        <v>46053</v>
      </c>
    </row>
    <row r="50" spans="6:6">
      <c r="F50" s="2585">
        <f t="shared" si="0"/>
        <v>46081</v>
      </c>
    </row>
    <row r="51" spans="6:6">
      <c r="F51" s="2585">
        <f t="shared" si="0"/>
        <v>46112</v>
      </c>
    </row>
    <row r="52" spans="6:6">
      <c r="F52" s="2585">
        <f t="shared" si="0"/>
        <v>46142</v>
      </c>
    </row>
    <row r="53" spans="6:6">
      <c r="F53" s="2585">
        <f t="shared" si="0"/>
        <v>46173</v>
      </c>
    </row>
    <row r="54" spans="6:6">
      <c r="F54" s="2585">
        <f t="shared" si="0"/>
        <v>46203</v>
      </c>
    </row>
    <row r="55" spans="6:6">
      <c r="F55" s="2585">
        <f t="shared" si="0"/>
        <v>46234</v>
      </c>
    </row>
    <row r="56" spans="6:6">
      <c r="F56" s="2585">
        <f t="shared" si="0"/>
        <v>46265</v>
      </c>
    </row>
    <row r="57" spans="6:6">
      <c r="F57" s="2585">
        <f t="shared" si="0"/>
        <v>46295</v>
      </c>
    </row>
    <row r="58" spans="6:6">
      <c r="F58" s="2585">
        <f t="shared" si="0"/>
        <v>46326</v>
      </c>
    </row>
    <row r="59" spans="6:6">
      <c r="F59" s="2585">
        <f t="shared" si="0"/>
        <v>46356</v>
      </c>
    </row>
    <row r="60" spans="6:6">
      <c r="F60" s="2585">
        <f t="shared" si="0"/>
        <v>46387</v>
      </c>
    </row>
    <row r="61" spans="6:6">
      <c r="F61" s="2585">
        <f t="shared" si="0"/>
        <v>46418</v>
      </c>
    </row>
    <row r="62" spans="6:6">
      <c r="F62" s="2585">
        <f t="shared" si="0"/>
        <v>46446</v>
      </c>
    </row>
    <row r="63" spans="6:6">
      <c r="F63" s="2585">
        <f t="shared" si="0"/>
        <v>46477</v>
      </c>
    </row>
    <row r="64" spans="6:6">
      <c r="F64" s="2585">
        <f t="shared" si="0"/>
        <v>46507</v>
      </c>
    </row>
    <row r="65" spans="6:6">
      <c r="F65" s="2585">
        <f t="shared" si="0"/>
        <v>46538</v>
      </c>
    </row>
    <row r="66" spans="6:6">
      <c r="F66" s="2585">
        <f t="shared" si="0"/>
        <v>46568</v>
      </c>
    </row>
    <row r="67" spans="6:6">
      <c r="F67" s="2585">
        <f t="shared" si="0"/>
        <v>46599</v>
      </c>
    </row>
    <row r="68" spans="6:6">
      <c r="F68" s="2585">
        <f t="shared" si="0"/>
        <v>46630</v>
      </c>
    </row>
    <row r="69" spans="6:6">
      <c r="F69" s="2585">
        <f t="shared" ref="F69:F90" si="1">EOMONTH(F68,1)</f>
        <v>46660</v>
      </c>
    </row>
    <row r="70" spans="6:6">
      <c r="F70" s="2585">
        <f t="shared" si="1"/>
        <v>46691</v>
      </c>
    </row>
    <row r="71" spans="6:6">
      <c r="F71" s="2585">
        <f t="shared" si="1"/>
        <v>46721</v>
      </c>
    </row>
    <row r="72" spans="6:6">
      <c r="F72" s="2585">
        <f t="shared" si="1"/>
        <v>46752</v>
      </c>
    </row>
    <row r="73" spans="6:6">
      <c r="F73" s="2585">
        <f t="shared" si="1"/>
        <v>46783</v>
      </c>
    </row>
    <row r="74" spans="6:6">
      <c r="F74" s="2585">
        <f t="shared" si="1"/>
        <v>46812</v>
      </c>
    </row>
    <row r="75" spans="6:6">
      <c r="F75" s="2585">
        <f t="shared" si="1"/>
        <v>46843</v>
      </c>
    </row>
    <row r="76" spans="6:6">
      <c r="F76" s="2585">
        <f t="shared" si="1"/>
        <v>46873</v>
      </c>
    </row>
    <row r="77" spans="6:6">
      <c r="F77" s="2585">
        <f t="shared" si="1"/>
        <v>46904</v>
      </c>
    </row>
    <row r="78" spans="6:6">
      <c r="F78" s="2585">
        <f t="shared" si="1"/>
        <v>46934</v>
      </c>
    </row>
    <row r="79" spans="6:6">
      <c r="F79" s="2585">
        <f t="shared" si="1"/>
        <v>46965</v>
      </c>
    </row>
    <row r="80" spans="6:6">
      <c r="F80" s="2585">
        <f t="shared" si="1"/>
        <v>46996</v>
      </c>
    </row>
    <row r="81" spans="6:6">
      <c r="F81" s="2585">
        <f t="shared" si="1"/>
        <v>47026</v>
      </c>
    </row>
    <row r="82" spans="6:6">
      <c r="F82" s="2585">
        <f t="shared" si="1"/>
        <v>47057</v>
      </c>
    </row>
    <row r="83" spans="6:6">
      <c r="F83" s="2585">
        <f t="shared" si="1"/>
        <v>47087</v>
      </c>
    </row>
    <row r="84" spans="6:6">
      <c r="F84" s="2585">
        <f t="shared" si="1"/>
        <v>47118</v>
      </c>
    </row>
    <row r="85" spans="6:6">
      <c r="F85" s="2585">
        <f t="shared" si="1"/>
        <v>47149</v>
      </c>
    </row>
    <row r="86" spans="6:6">
      <c r="F86" s="2585">
        <f t="shared" si="1"/>
        <v>47177</v>
      </c>
    </row>
    <row r="87" spans="6:6">
      <c r="F87" s="2585">
        <f t="shared" si="1"/>
        <v>47208</v>
      </c>
    </row>
    <row r="88" spans="6:6">
      <c r="F88" s="2585">
        <f t="shared" si="1"/>
        <v>47238</v>
      </c>
    </row>
    <row r="89" spans="6:6">
      <c r="F89" s="2585">
        <f t="shared" si="1"/>
        <v>47269</v>
      </c>
    </row>
    <row r="90" spans="6:6">
      <c r="F90" s="2585">
        <f t="shared" si="1"/>
        <v>47299</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
  <sheetViews>
    <sheetView workbookViewId="0"/>
  </sheetViews>
  <sheetFormatPr defaultRowHeight="16.5"/>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C4ADA-FBE6-45AA-B765-9E83B0DE42BF}">
  <sheetPr>
    <tabColor theme="7"/>
  </sheetPr>
  <dimension ref="A1:AR2469"/>
  <sheetViews>
    <sheetView showGridLines="0" zoomScaleNormal="100" workbookViewId="0">
      <selection activeCell="Q41" sqref="Q41"/>
    </sheetView>
  </sheetViews>
  <sheetFormatPr defaultColWidth="9" defaultRowHeight="12"/>
  <cols>
    <col min="1" max="1" width="9" style="3"/>
    <col min="2" max="3" width="9.125" style="3" bestFit="1" customWidth="1"/>
    <col min="4" max="5" width="9" style="3"/>
    <col min="6" max="6" width="9.125" style="3" bestFit="1" customWidth="1"/>
    <col min="7" max="8" width="9" style="3"/>
    <col min="9" max="9" width="1.625" style="3" customWidth="1"/>
    <col min="10" max="10" width="9.5" style="3" bestFit="1" customWidth="1"/>
    <col min="11" max="11" width="9.125" style="3" bestFit="1" customWidth="1"/>
    <col min="12" max="12" width="9" style="3" customWidth="1"/>
    <col min="13" max="17" width="9" style="3"/>
    <col min="18" max="18" width="1.625" style="3" customWidth="1"/>
    <col min="19" max="26" width="9" style="3"/>
    <col min="27" max="27" width="1.625" style="3" customWidth="1"/>
    <col min="28" max="35" width="9" style="3"/>
    <col min="36" max="36" width="1.625" style="3" customWidth="1"/>
    <col min="37" max="16384" width="9" style="3"/>
  </cols>
  <sheetData>
    <row r="1" spans="1:44">
      <c r="A1" s="4827" t="s">
        <v>13484</v>
      </c>
      <c r="B1" s="4828"/>
      <c r="C1" s="4828"/>
      <c r="D1" s="4828"/>
      <c r="E1" s="4828"/>
      <c r="F1" s="4828"/>
      <c r="G1" s="4828"/>
      <c r="H1" s="4835" t="s">
        <v>13491</v>
      </c>
      <c r="J1" s="4827" t="s">
        <v>13490</v>
      </c>
      <c r="K1" s="4828"/>
      <c r="L1" s="4828"/>
      <c r="M1" s="4828"/>
      <c r="N1" s="4828"/>
      <c r="O1" s="4828"/>
      <c r="P1" s="4828"/>
      <c r="Q1" s="4835" t="s">
        <v>13492</v>
      </c>
      <c r="S1" s="4827" t="s">
        <v>13497</v>
      </c>
      <c r="T1" s="4828"/>
      <c r="U1" s="4828"/>
      <c r="V1" s="4828"/>
      <c r="W1" s="4828"/>
      <c r="X1" s="4828"/>
      <c r="Y1" s="4828"/>
      <c r="Z1" s="4835" t="s">
        <v>13492</v>
      </c>
      <c r="AB1" s="4827" t="s">
        <v>13500</v>
      </c>
      <c r="AC1" s="4828"/>
      <c r="AD1" s="4828"/>
      <c r="AE1" s="4828"/>
      <c r="AF1" s="4828"/>
      <c r="AG1" s="4828"/>
      <c r="AH1" s="4828"/>
      <c r="AI1" s="4835" t="s">
        <v>13491</v>
      </c>
      <c r="AK1" s="4827" t="s">
        <v>13501</v>
      </c>
      <c r="AL1" s="4828"/>
      <c r="AM1" s="4828"/>
      <c r="AN1" s="4828"/>
      <c r="AO1" s="4828"/>
      <c r="AP1" s="4828"/>
      <c r="AQ1" s="4828"/>
      <c r="AR1" s="4835" t="s">
        <v>13491</v>
      </c>
    </row>
    <row r="2" spans="1:44">
      <c r="A2" s="4772"/>
      <c r="B2" s="4829"/>
      <c r="C2" s="4829"/>
      <c r="D2" s="4829"/>
      <c r="E2" s="4829"/>
      <c r="F2" s="4829"/>
      <c r="G2" s="4829"/>
      <c r="H2" s="4829"/>
    </row>
    <row r="3" spans="1:44">
      <c r="A3" s="4826" t="s">
        <v>335</v>
      </c>
      <c r="B3" s="4826" t="s">
        <v>13483</v>
      </c>
      <c r="C3" s="4833" t="s">
        <v>13489</v>
      </c>
      <c r="E3" s="204" t="s">
        <v>13486</v>
      </c>
      <c r="F3" s="4830">
        <f>_xlfn.STDEV.P($B$4:$B$2468)</f>
        <v>1223.8752095064553</v>
      </c>
      <c r="G3" s="399">
        <f>F3/F4</f>
        <v>0.1857580225705755</v>
      </c>
      <c r="J3" s="4833" t="s">
        <v>335</v>
      </c>
      <c r="K3" s="4833" t="s">
        <v>13496</v>
      </c>
      <c r="L3" s="4833" t="s">
        <v>13489</v>
      </c>
      <c r="N3" s="204" t="s">
        <v>13486</v>
      </c>
      <c r="O3" s="4830">
        <f>_xlfn.STDEV.P($K$4:$K$2457)</f>
        <v>7533.0525824672695</v>
      </c>
      <c r="P3" s="399">
        <f>O3/O4</f>
        <v>0.16567336307862127</v>
      </c>
      <c r="S3" s="4833" t="s">
        <v>335</v>
      </c>
      <c r="T3" s="4833" t="s">
        <v>13496</v>
      </c>
      <c r="U3" s="4833" t="s">
        <v>13489</v>
      </c>
      <c r="W3" s="204" t="s">
        <v>13486</v>
      </c>
      <c r="X3" s="4830">
        <f>_xlfn.STDEV.P($T$4:$T$2469)</f>
        <v>174.24226506900152</v>
      </c>
      <c r="Y3" s="399">
        <f>X3/X4</f>
        <v>0.2701382255990154</v>
      </c>
      <c r="AB3" s="4833" t="s">
        <v>13499</v>
      </c>
      <c r="AC3" s="4833" t="s">
        <v>1321</v>
      </c>
      <c r="AD3" s="4833" t="s">
        <v>13489</v>
      </c>
      <c r="AF3" s="204" t="s">
        <v>13486</v>
      </c>
      <c r="AG3" s="4830">
        <f>_xlfn.STDEV.P($AC$3:$AC$15)</f>
        <v>17.402411929736143</v>
      </c>
      <c r="AH3" s="399">
        <f>AG3/$AG$4</f>
        <v>0.22499482104922019</v>
      </c>
      <c r="AK3" s="4833" t="s">
        <v>13499</v>
      </c>
      <c r="AL3" s="4833" t="s">
        <v>1321</v>
      </c>
      <c r="AM3" s="4833" t="s">
        <v>13489</v>
      </c>
      <c r="AO3" s="204" t="s">
        <v>13486</v>
      </c>
      <c r="AP3" s="4830">
        <f>_xlfn.STDEV.P($AL$3:$AL$15)</f>
        <v>20.248456731316587</v>
      </c>
      <c r="AQ3" s="399">
        <f>AP3/AP4</f>
        <v>0.20452986597289483</v>
      </c>
    </row>
    <row r="4" spans="1:44">
      <c r="A4" s="270" t="s">
        <v>11083</v>
      </c>
      <c r="B4" s="3305">
        <v>7661</v>
      </c>
      <c r="C4" s="4834">
        <f t="shared" ref="C4:C67" si="0">_xlfn.NORM.DIST(B4,$F$4,$F$3,FALSE)</f>
        <v>2.2204128966404551E-4</v>
      </c>
      <c r="D4" s="3" t="str">
        <f t="shared" ref="D4:D67" si="1">LEFT(A4,4)</f>
        <v>2012</v>
      </c>
      <c r="E4" s="204" t="s">
        <v>13485</v>
      </c>
      <c r="F4" s="4830">
        <f>AVERAGE(B4:B2468)</f>
        <v>6588.5456389452329</v>
      </c>
      <c r="J4" s="4836">
        <v>40911</v>
      </c>
      <c r="K4" s="4837">
        <v>51376.893016667513</v>
      </c>
      <c r="L4" s="4834">
        <f>_xlfn.NORM.DIST(K4,$O$4,$O$3,FALSE)</f>
        <v>3.8939688858396196E-5</v>
      </c>
      <c r="N4" s="204" t="s">
        <v>13485</v>
      </c>
      <c r="O4" s="4830">
        <f>AVERAGE($K$4:$K$2457)</f>
        <v>45469.304434246413</v>
      </c>
      <c r="S4" s="270" t="s">
        <v>11083</v>
      </c>
      <c r="T4" s="4838">
        <v>925.29848624511339</v>
      </c>
      <c r="U4" s="4839">
        <f t="shared" ref="U4:U67" si="2">_xlfn.NORM.DIST(T4,$X$4,$X$3,FALSE)</f>
        <v>6.2786198653483143E-4</v>
      </c>
      <c r="W4" s="204" t="s">
        <v>13485</v>
      </c>
      <c r="X4" s="4830">
        <f>AVERAGE($T$4:$T$2469)</f>
        <v>645.0115109871241</v>
      </c>
      <c r="AB4" s="270">
        <v>2010</v>
      </c>
      <c r="AC4" s="4840">
        <v>46.5</v>
      </c>
      <c r="AD4" s="4841">
        <f t="shared" ref="AD4:AD15" si="3">_xlfn.NORM.DIST(AC4,$AG$4,$AG$3,FALSE)</f>
        <v>4.7651255296212638E-3</v>
      </c>
      <c r="AF4" s="204" t="s">
        <v>13485</v>
      </c>
      <c r="AG4" s="4830">
        <f>AVERAGE($AC$3:$AC$15)</f>
        <v>77.345833333333331</v>
      </c>
      <c r="AK4" s="270">
        <v>2010</v>
      </c>
      <c r="AL4" s="4840">
        <v>85</v>
      </c>
      <c r="AM4" s="4841">
        <f>_xlfn.NORM.DIST(AL4,$AP$4,$AP$3,FALSE)</f>
        <v>1.5513549070667527E-2</v>
      </c>
      <c r="AO4" s="204" t="s">
        <v>13485</v>
      </c>
      <c r="AP4" s="4830">
        <f>AVERAGE($AL$3:$AL$15)</f>
        <v>99</v>
      </c>
    </row>
    <row r="5" spans="1:44">
      <c r="A5" s="270" t="s">
        <v>11084</v>
      </c>
      <c r="B5" s="3305">
        <v>7652</v>
      </c>
      <c r="C5" s="4834">
        <f t="shared" si="0"/>
        <v>2.2347067331887833E-4</v>
      </c>
      <c r="D5" s="3" t="str">
        <f t="shared" si="1"/>
        <v>2012</v>
      </c>
      <c r="E5" s="4832" t="s">
        <v>13487</v>
      </c>
      <c r="F5" s="4830">
        <f>F4+F3</f>
        <v>7812.4208484516885</v>
      </c>
      <c r="J5" s="4836">
        <v>40912</v>
      </c>
      <c r="K5" s="4837">
        <v>51859.154215196933</v>
      </c>
      <c r="L5" s="4834">
        <f t="shared" ref="L5:L68" si="4">_xlfn.NORM.DIST(K5,$O$4,$O$3,FALSE)</f>
        <v>3.6957158187331627E-5</v>
      </c>
      <c r="N5" s="4832" t="s">
        <v>13487</v>
      </c>
      <c r="O5" s="4830">
        <f>O4+O3</f>
        <v>53002.357016713679</v>
      </c>
      <c r="S5" s="270" t="s">
        <v>11084</v>
      </c>
      <c r="T5" s="4838">
        <v>938.15878487256441</v>
      </c>
      <c r="U5" s="4839">
        <f t="shared" si="2"/>
        <v>5.5605673672770139E-4</v>
      </c>
      <c r="W5" s="4832" t="s">
        <v>13487</v>
      </c>
      <c r="X5" s="4830">
        <f>X4+X3</f>
        <v>819.25377605612562</v>
      </c>
      <c r="AB5" s="270">
        <v>2011</v>
      </c>
      <c r="AC5" s="4840">
        <v>70</v>
      </c>
      <c r="AD5" s="4841">
        <f t="shared" si="3"/>
        <v>2.097050760646817E-2</v>
      </c>
      <c r="AF5" s="4832" t="s">
        <v>13487</v>
      </c>
      <c r="AG5" s="4830">
        <f>AG4+AG3</f>
        <v>94.748245263069478</v>
      </c>
      <c r="AK5" s="270">
        <v>2011</v>
      </c>
      <c r="AL5" s="4840">
        <v>115</v>
      </c>
      <c r="AM5" s="4841">
        <f t="shared" ref="AM5:AM15" si="5">_xlfn.NORM.DIST(AL5,$AP$4,$AP$3,FALSE)</f>
        <v>1.4418946111287937E-2</v>
      </c>
      <c r="AO5" s="4832" t="s">
        <v>13487</v>
      </c>
      <c r="AP5" s="4830">
        <f>AP4+AP3</f>
        <v>119.24845673131659</v>
      </c>
    </row>
    <row r="6" spans="1:44">
      <c r="A6" s="270" t="s">
        <v>11085</v>
      </c>
      <c r="B6" s="3305">
        <v>7471</v>
      </c>
      <c r="C6" s="4834">
        <f t="shared" si="0"/>
        <v>2.5135097206629991E-4</v>
      </c>
      <c r="D6" s="3" t="str">
        <f t="shared" si="1"/>
        <v>2012</v>
      </c>
      <c r="E6" s="4831" t="s">
        <v>13488</v>
      </c>
      <c r="F6" s="4830">
        <f>F4+F3*2</f>
        <v>9036.2960579581431</v>
      </c>
      <c r="J6" s="4836">
        <v>40913</v>
      </c>
      <c r="K6" s="4837">
        <v>51409.043763236143</v>
      </c>
      <c r="L6" s="4834">
        <f t="shared" si="4"/>
        <v>3.8809221045254529E-5</v>
      </c>
      <c r="N6" s="4831" t="s">
        <v>13488</v>
      </c>
      <c r="O6" s="4830">
        <f>O4+O3*2</f>
        <v>60535.409599180952</v>
      </c>
      <c r="S6" s="270" t="s">
        <v>11085</v>
      </c>
      <c r="T6" s="4838">
        <v>929.7995907647213</v>
      </c>
      <c r="U6" s="4839">
        <f t="shared" si="2"/>
        <v>6.0210539875059864E-4</v>
      </c>
      <c r="W6" s="4831" t="s">
        <v>13488</v>
      </c>
      <c r="X6" s="4830">
        <f>X4+X3*2</f>
        <v>993.49604112512714</v>
      </c>
      <c r="AB6" s="270">
        <v>2012</v>
      </c>
      <c r="AC6" s="4840">
        <v>63.5</v>
      </c>
      <c r="AD6" s="4841">
        <f t="shared" si="3"/>
        <v>1.6704807688367587E-2</v>
      </c>
      <c r="AF6" s="4831" t="s">
        <v>13488</v>
      </c>
      <c r="AG6" s="4830">
        <f>AG4+AG3*2</f>
        <v>112.15065719280562</v>
      </c>
      <c r="AK6" s="270">
        <v>2012</v>
      </c>
      <c r="AL6" s="4840">
        <v>110</v>
      </c>
      <c r="AM6" s="4841">
        <f t="shared" si="5"/>
        <v>1.6999385397569518E-2</v>
      </c>
      <c r="AO6" s="4831" t="s">
        <v>13488</v>
      </c>
      <c r="AP6" s="4830">
        <f>AP4+AP3*2</f>
        <v>139.49691346263319</v>
      </c>
    </row>
    <row r="7" spans="1:44">
      <c r="A7" s="270" t="s">
        <v>11086</v>
      </c>
      <c r="B7" s="3305">
        <v>7515</v>
      </c>
      <c r="C7" s="4834">
        <f t="shared" si="0"/>
        <v>2.447609153850861E-4</v>
      </c>
      <c r="D7" s="3" t="str">
        <f t="shared" si="1"/>
        <v>2012</v>
      </c>
      <c r="E7" s="105"/>
      <c r="J7" s="4836">
        <v>40914</v>
      </c>
      <c r="K7" s="4837">
        <v>51971.681828187131</v>
      </c>
      <c r="L7" s="4834">
        <f t="shared" si="4"/>
        <v>3.6487760540366482E-5</v>
      </c>
      <c r="S7" s="270" t="s">
        <v>11086</v>
      </c>
      <c r="T7" s="4838">
        <v>945.23194911766257</v>
      </c>
      <c r="U7" s="4839">
        <f t="shared" si="2"/>
        <v>5.1892056886821238E-4</v>
      </c>
      <c r="AB7" s="270">
        <v>2013</v>
      </c>
      <c r="AC7" s="4840">
        <v>70</v>
      </c>
      <c r="AD7" s="4841">
        <f t="shared" si="3"/>
        <v>2.097050760646817E-2</v>
      </c>
      <c r="AK7" s="270">
        <v>2013</v>
      </c>
      <c r="AL7" s="4840">
        <v>98</v>
      </c>
      <c r="AM7" s="4841">
        <f t="shared" si="5"/>
        <v>1.9678342268129166E-2</v>
      </c>
    </row>
    <row r="8" spans="1:44">
      <c r="A8" s="270" t="s">
        <v>11087</v>
      </c>
      <c r="B8" s="3305">
        <v>7503</v>
      </c>
      <c r="C8" s="4834">
        <f t="shared" si="0"/>
        <v>2.46572478831378E-4</v>
      </c>
      <c r="D8" s="3" t="str">
        <f t="shared" si="1"/>
        <v>2012</v>
      </c>
      <c r="E8" s="105"/>
      <c r="J8" s="4836">
        <v>40917</v>
      </c>
      <c r="K8" s="4837">
        <v>51923.455708334186</v>
      </c>
      <c r="L8" s="4834">
        <f t="shared" si="4"/>
        <v>3.6689198936902481E-5</v>
      </c>
      <c r="S8" s="270" t="s">
        <v>11087</v>
      </c>
      <c r="T8" s="4838">
        <v>927.54903850491735</v>
      </c>
      <c r="U8" s="4839">
        <f t="shared" si="2"/>
        <v>6.1490012591926691E-4</v>
      </c>
      <c r="AB8" s="270">
        <v>2014</v>
      </c>
      <c r="AC8" s="4840">
        <v>92</v>
      </c>
      <c r="AD8" s="4841">
        <f t="shared" si="3"/>
        <v>1.6081367393294667E-2</v>
      </c>
      <c r="AK8" s="270">
        <v>2014</v>
      </c>
      <c r="AL8" s="4840">
        <v>138</v>
      </c>
      <c r="AM8" s="4841">
        <f t="shared" si="5"/>
        <v>3.0828673359499978E-3</v>
      </c>
    </row>
    <row r="9" spans="1:44">
      <c r="A9" s="270" t="s">
        <v>11088</v>
      </c>
      <c r="B9" s="3305">
        <v>7641</v>
      </c>
      <c r="C9" s="4834">
        <f t="shared" si="0"/>
        <v>2.2521365999699758E-4</v>
      </c>
      <c r="D9" s="3" t="str">
        <f t="shared" si="1"/>
        <v>2012</v>
      </c>
      <c r="E9" s="105"/>
      <c r="J9" s="4836">
        <v>40918</v>
      </c>
      <c r="K9" s="4837">
        <v>52630.772132844009</v>
      </c>
      <c r="L9" s="4834">
        <f>_xlfn.NORM.DIST(K9,$O$4,$O$3,FALSE)</f>
        <v>3.3704355505797111E-5</v>
      </c>
      <c r="S9" s="270" t="s">
        <v>11088</v>
      </c>
      <c r="T9" s="4838">
        <v>954.55566562256479</v>
      </c>
      <c r="U9" s="4839">
        <f t="shared" si="2"/>
        <v>4.7253933471165516E-4</v>
      </c>
      <c r="AB9" s="270">
        <v>2015</v>
      </c>
      <c r="AC9" s="4840">
        <v>107</v>
      </c>
      <c r="AD9" s="4841">
        <f t="shared" si="3"/>
        <v>5.3674622061288492E-3</v>
      </c>
      <c r="AK9" s="270">
        <v>2015</v>
      </c>
      <c r="AL9" s="4840">
        <v>133</v>
      </c>
      <c r="AM9" s="4841">
        <f t="shared" si="5"/>
        <v>4.8113709695838686E-3</v>
      </c>
    </row>
    <row r="10" spans="1:44">
      <c r="A10" s="270" t="s">
        <v>11089</v>
      </c>
      <c r="B10" s="3305">
        <v>7689.5</v>
      </c>
      <c r="C10" s="4834">
        <f t="shared" si="0"/>
        <v>2.1749733933567095E-4</v>
      </c>
      <c r="D10" s="3" t="str">
        <f t="shared" si="1"/>
        <v>2012</v>
      </c>
      <c r="E10" s="105"/>
      <c r="J10" s="4836">
        <v>40919</v>
      </c>
      <c r="K10" s="4837">
        <v>52550.395266422434</v>
      </c>
      <c r="L10" s="4834">
        <f t="shared" si="4"/>
        <v>3.4046039981377203E-5</v>
      </c>
      <c r="S10" s="270" t="s">
        <v>11089</v>
      </c>
      <c r="T10" s="4838">
        <v>958.4137552108001</v>
      </c>
      <c r="U10" s="4839">
        <f t="shared" si="2"/>
        <v>4.5420110531338556E-4</v>
      </c>
      <c r="AB10" s="270">
        <v>2016</v>
      </c>
      <c r="AC10" s="4840">
        <v>97.35</v>
      </c>
      <c r="AD10" s="4841">
        <f t="shared" si="3"/>
        <v>1.1840508643407764E-2</v>
      </c>
      <c r="AK10" s="270">
        <v>2016</v>
      </c>
      <c r="AL10" s="4840">
        <v>98</v>
      </c>
      <c r="AM10" s="4841">
        <f t="shared" si="5"/>
        <v>1.9678342268129166E-2</v>
      </c>
    </row>
    <row r="11" spans="1:44">
      <c r="A11" s="270" t="s">
        <v>11090</v>
      </c>
      <c r="B11" s="3305">
        <v>7946</v>
      </c>
      <c r="C11" s="4834">
        <f t="shared" si="0"/>
        <v>1.7621306266461201E-4</v>
      </c>
      <c r="D11" s="3" t="str">
        <f t="shared" si="1"/>
        <v>2012</v>
      </c>
      <c r="E11" s="105"/>
      <c r="J11" s="4836">
        <v>40920</v>
      </c>
      <c r="K11" s="4837">
        <v>53402.390050491078</v>
      </c>
      <c r="L11" s="4834">
        <f t="shared" si="4"/>
        <v>3.0417031112499692E-5</v>
      </c>
      <c r="S11" s="270" t="s">
        <v>11090</v>
      </c>
      <c r="T11" s="4838">
        <v>983.16983006864359</v>
      </c>
      <c r="U11" s="4839">
        <f t="shared" si="2"/>
        <v>3.482415456705045E-4</v>
      </c>
      <c r="AB11" s="270">
        <v>2017</v>
      </c>
      <c r="AC11" s="4840">
        <v>92.5</v>
      </c>
      <c r="AD11" s="4841">
        <f t="shared" si="3"/>
        <v>1.5690482037232192E-2</v>
      </c>
      <c r="AK11" s="270">
        <v>2017</v>
      </c>
      <c r="AL11" s="4840">
        <v>72</v>
      </c>
      <c r="AM11" s="4841">
        <f t="shared" si="5"/>
        <v>8.0987827749167685E-3</v>
      </c>
    </row>
    <row r="12" spans="1:44">
      <c r="A12" s="270" t="s">
        <v>11091</v>
      </c>
      <c r="B12" s="3305">
        <v>7965.5</v>
      </c>
      <c r="C12" s="4834">
        <f t="shared" si="0"/>
        <v>1.731044070290662E-4</v>
      </c>
      <c r="D12" s="3" t="str">
        <f t="shared" si="1"/>
        <v>2012</v>
      </c>
      <c r="E12" s="105"/>
      <c r="J12" s="4836">
        <v>40921</v>
      </c>
      <c r="K12" s="4837">
        <v>52582.546012991064</v>
      </c>
      <c r="L12" s="4834">
        <f t="shared" si="4"/>
        <v>3.3909415732118527E-5</v>
      </c>
      <c r="S12" s="270" t="s">
        <v>11091</v>
      </c>
      <c r="T12" s="4838">
        <v>952.94812829413331</v>
      </c>
      <c r="U12" s="4839">
        <f t="shared" si="2"/>
        <v>4.8032758818313719E-4</v>
      </c>
      <c r="AB12" s="270">
        <v>2018</v>
      </c>
      <c r="AC12" s="4840">
        <v>87</v>
      </c>
      <c r="AD12" s="4841">
        <f t="shared" si="3"/>
        <v>1.9654935087814757E-2</v>
      </c>
      <c r="AK12" s="270">
        <v>2018</v>
      </c>
      <c r="AL12" s="4840">
        <v>75</v>
      </c>
      <c r="AM12" s="4841">
        <f t="shared" si="5"/>
        <v>9.7600657934850538E-3</v>
      </c>
    </row>
    <row r="13" spans="1:44">
      <c r="A13" s="270" t="s">
        <v>11092</v>
      </c>
      <c r="B13" s="3305">
        <v>8021</v>
      </c>
      <c r="C13" s="4834">
        <f t="shared" si="0"/>
        <v>1.643251308085272E-4</v>
      </c>
      <c r="D13" s="3" t="str">
        <f t="shared" si="1"/>
        <v>2012</v>
      </c>
      <c r="E13" s="105"/>
      <c r="J13" s="4836">
        <v>40924</v>
      </c>
      <c r="K13" s="4837">
        <v>52759.375119118515</v>
      </c>
      <c r="L13" s="4834">
        <f t="shared" si="4"/>
        <v>3.3156926081409277E-5</v>
      </c>
      <c r="S13" s="270" t="s">
        <v>11092</v>
      </c>
      <c r="T13" s="4838">
        <v>961.30732240197653</v>
      </c>
      <c r="U13" s="4839">
        <f t="shared" si="2"/>
        <v>4.407741556597357E-4</v>
      </c>
      <c r="AB13" s="270">
        <v>2019</v>
      </c>
      <c r="AC13" s="4840">
        <v>80.8</v>
      </c>
      <c r="AD13" s="4841">
        <f t="shared" si="3"/>
        <v>2.2477374528423619E-2</v>
      </c>
      <c r="AK13" s="270">
        <v>2019</v>
      </c>
      <c r="AL13" s="4840">
        <v>88</v>
      </c>
      <c r="AM13" s="4841">
        <f t="shared" si="5"/>
        <v>1.6999385397569518E-2</v>
      </c>
    </row>
    <row r="14" spans="1:44">
      <c r="A14" s="270" t="s">
        <v>11093</v>
      </c>
      <c r="B14" s="3305">
        <v>8185</v>
      </c>
      <c r="C14" s="4834">
        <f t="shared" si="0"/>
        <v>1.392166324522655E-4</v>
      </c>
      <c r="D14" s="3" t="str">
        <f t="shared" si="1"/>
        <v>2012</v>
      </c>
      <c r="E14" s="105"/>
      <c r="J14" s="4836">
        <v>40925</v>
      </c>
      <c r="K14" s="4837">
        <v>53241.636317647935</v>
      </c>
      <c r="L14" s="4834">
        <f t="shared" si="4"/>
        <v>3.1101249662284376E-5</v>
      </c>
      <c r="S14" s="270" t="s">
        <v>11093</v>
      </c>
      <c r="T14" s="4838">
        <v>977.70420315197691</v>
      </c>
      <c r="U14" s="4839">
        <f t="shared" si="2"/>
        <v>3.6991799019266179E-4</v>
      </c>
      <c r="AB14" s="270">
        <v>2020</v>
      </c>
      <c r="AC14" s="4840">
        <v>62</v>
      </c>
      <c r="AD14" s="4841">
        <f t="shared" si="3"/>
        <v>1.5539772857379258E-2</v>
      </c>
      <c r="AK14" s="270">
        <v>2020</v>
      </c>
      <c r="AL14" s="4840">
        <v>88</v>
      </c>
      <c r="AM14" s="4841">
        <f t="shared" si="5"/>
        <v>1.6999385397569518E-2</v>
      </c>
    </row>
    <row r="15" spans="1:44">
      <c r="A15" s="270" t="s">
        <v>11094</v>
      </c>
      <c r="B15" s="3305">
        <v>8156</v>
      </c>
      <c r="C15" s="4834">
        <f t="shared" si="0"/>
        <v>1.43546519249916E-4</v>
      </c>
      <c r="D15" s="3" t="str">
        <f t="shared" si="1"/>
        <v>2012</v>
      </c>
      <c r="E15" s="105"/>
      <c r="J15" s="4836">
        <v>40926</v>
      </c>
      <c r="K15" s="4837">
        <v>52952.27959853028</v>
      </c>
      <c r="L15" s="4834">
        <f t="shared" si="4"/>
        <v>3.2334733512363749E-5</v>
      </c>
      <c r="S15" s="270" t="s">
        <v>11094</v>
      </c>
      <c r="T15" s="4838">
        <v>969.34500904413358</v>
      </c>
      <c r="U15" s="4839">
        <f t="shared" si="2"/>
        <v>4.0493705981091806E-4</v>
      </c>
      <c r="AB15" s="270">
        <v>2021</v>
      </c>
      <c r="AC15" s="4840">
        <v>59.5</v>
      </c>
      <c r="AD15" s="4841">
        <f t="shared" si="3"/>
        <v>1.355022088919223E-2</v>
      </c>
      <c r="AK15" s="270">
        <v>2021</v>
      </c>
      <c r="AL15" s="4840">
        <v>88</v>
      </c>
      <c r="AM15" s="4841">
        <f t="shared" si="5"/>
        <v>1.6999385397569518E-2</v>
      </c>
    </row>
    <row r="16" spans="1:44">
      <c r="A16" s="270" t="s">
        <v>11095</v>
      </c>
      <c r="B16" s="3305">
        <v>8350.5</v>
      </c>
      <c r="C16" s="4834">
        <f t="shared" si="0"/>
        <v>1.1564158426921137E-4</v>
      </c>
      <c r="D16" s="3" t="str">
        <f t="shared" si="1"/>
        <v>2012</v>
      </c>
      <c r="E16" s="105"/>
      <c r="J16" s="4836">
        <v>40927</v>
      </c>
      <c r="K16" s="4837">
        <v>53209.485571079305</v>
      </c>
      <c r="L16" s="4834">
        <f t="shared" si="4"/>
        <v>3.1238222247283688E-5</v>
      </c>
      <c r="S16" s="270" t="s">
        <v>11095</v>
      </c>
      <c r="T16" s="4838">
        <v>989.92148684805545</v>
      </c>
      <c r="U16" s="4839">
        <f t="shared" si="2"/>
        <v>3.2277149929216134E-4</v>
      </c>
    </row>
    <row r="17" spans="1:21">
      <c r="A17" s="270" t="s">
        <v>11096</v>
      </c>
      <c r="B17" s="3305">
        <v>8230.5</v>
      </c>
      <c r="C17" s="4834">
        <f t="shared" si="0"/>
        <v>1.3253483742058271E-4</v>
      </c>
      <c r="D17" s="3" t="str">
        <f t="shared" si="1"/>
        <v>2012</v>
      </c>
      <c r="E17" s="105"/>
      <c r="J17" s="4836">
        <v>40928</v>
      </c>
      <c r="K17" s="4837">
        <v>53145.184077942053</v>
      </c>
      <c r="L17" s="4834">
        <f t="shared" si="4"/>
        <v>3.1512257713425239E-5</v>
      </c>
      <c r="S17" s="270" t="s">
        <v>11096</v>
      </c>
      <c r="T17" s="4838">
        <v>976.09666582354544</v>
      </c>
      <c r="U17" s="4839">
        <f t="shared" si="2"/>
        <v>3.7647602603663069E-4</v>
      </c>
    </row>
    <row r="18" spans="1:21">
      <c r="A18" s="270" t="s">
        <v>11097</v>
      </c>
      <c r="B18" s="3305">
        <v>8333</v>
      </c>
      <c r="C18" s="4834">
        <f t="shared" si="0"/>
        <v>1.1803471153659251E-4</v>
      </c>
      <c r="D18" s="3" t="str">
        <f t="shared" si="1"/>
        <v>2012</v>
      </c>
      <c r="E18" s="105"/>
      <c r="J18" s="4836">
        <v>40931</v>
      </c>
      <c r="K18" s="4837">
        <v>53868.575875736184</v>
      </c>
      <c r="L18" s="4834">
        <f t="shared" si="4"/>
        <v>2.8443397550912934E-5</v>
      </c>
      <c r="S18" s="270" t="s">
        <v>11097</v>
      </c>
      <c r="T18" s="4838">
        <v>1043.2917261519781</v>
      </c>
      <c r="U18" s="4839">
        <f t="shared" si="2"/>
        <v>1.6795913042841614E-4</v>
      </c>
    </row>
    <row r="19" spans="1:21">
      <c r="A19" s="270" t="s">
        <v>11098</v>
      </c>
      <c r="B19" s="3305">
        <v>8267</v>
      </c>
      <c r="C19" s="4834">
        <f t="shared" si="0"/>
        <v>1.272800524077084E-4</v>
      </c>
      <c r="D19" s="3" t="str">
        <f t="shared" si="1"/>
        <v>2012</v>
      </c>
      <c r="E19" s="105"/>
      <c r="J19" s="4836">
        <v>40932</v>
      </c>
      <c r="K19" s="4837">
        <v>53547.068410049906</v>
      </c>
      <c r="L19" s="4834">
        <f t="shared" si="4"/>
        <v>2.9802507867973052E-5</v>
      </c>
      <c r="S19" s="270" t="s">
        <v>11098</v>
      </c>
      <c r="T19" s="4838">
        <v>1027.2163528676638</v>
      </c>
      <c r="U19" s="4839">
        <f t="shared" si="2"/>
        <v>2.0650991562814338E-4</v>
      </c>
    </row>
    <row r="20" spans="1:21">
      <c r="A20" s="270" t="s">
        <v>11099</v>
      </c>
      <c r="B20" s="3305">
        <v>8271</v>
      </c>
      <c r="C20" s="4834">
        <f t="shared" si="0"/>
        <v>1.2671015237575989E-4</v>
      </c>
      <c r="D20" s="3" t="str">
        <f t="shared" si="1"/>
        <v>2012</v>
      </c>
      <c r="E20" s="105"/>
      <c r="J20" s="4836">
        <v>40933</v>
      </c>
      <c r="K20" s="4837">
        <v>53048.73183823617</v>
      </c>
      <c r="L20" s="4834">
        <f t="shared" si="4"/>
        <v>3.1923463368584705E-5</v>
      </c>
      <c r="S20" s="270" t="s">
        <v>11099</v>
      </c>
      <c r="T20" s="4838">
        <v>1018.2141438284482</v>
      </c>
      <c r="U20" s="4839">
        <f t="shared" si="2"/>
        <v>2.3098252737914E-4</v>
      </c>
    </row>
    <row r="21" spans="1:21">
      <c r="A21" s="270" t="s">
        <v>11100</v>
      </c>
      <c r="B21" s="3305">
        <v>8560</v>
      </c>
      <c r="C21" s="4834">
        <f t="shared" si="0"/>
        <v>8.9068754120844975E-5</v>
      </c>
      <c r="D21" s="3" t="str">
        <f t="shared" si="1"/>
        <v>2012</v>
      </c>
      <c r="E21" s="105"/>
      <c r="J21" s="4836">
        <v>40934</v>
      </c>
      <c r="K21" s="4837">
        <v>55524.339324020526</v>
      </c>
      <c r="L21" s="4834">
        <f t="shared" si="4"/>
        <v>2.1729824267496229E-5</v>
      </c>
      <c r="S21" s="270" t="s">
        <v>11100</v>
      </c>
      <c r="T21" s="4838">
        <v>1072.2273980637431</v>
      </c>
      <c r="U21" s="4839">
        <f t="shared" si="2"/>
        <v>1.1333423705382047E-4</v>
      </c>
    </row>
    <row r="22" spans="1:21">
      <c r="A22" s="270" t="s">
        <v>11101</v>
      </c>
      <c r="B22" s="3305">
        <v>8610</v>
      </c>
      <c r="C22" s="4834">
        <f t="shared" si="0"/>
        <v>8.3326406296409421E-5</v>
      </c>
      <c r="D22" s="3" t="str">
        <f t="shared" si="1"/>
        <v>2012</v>
      </c>
      <c r="E22" s="105"/>
      <c r="J22" s="4836">
        <v>40935</v>
      </c>
      <c r="K22" s="4837">
        <v>55492.188577451896</v>
      </c>
      <c r="L22" s="4834">
        <f t="shared" si="4"/>
        <v>2.1853769446232558E-5</v>
      </c>
      <c r="S22" s="270" t="s">
        <v>11101</v>
      </c>
      <c r="T22" s="4838">
        <v>1076.4069951176648</v>
      </c>
      <c r="U22" s="4839">
        <f t="shared" si="2"/>
        <v>1.0683017355418633E-4</v>
      </c>
    </row>
    <row r="23" spans="1:21">
      <c r="A23" s="270" t="s">
        <v>11102</v>
      </c>
      <c r="B23" s="3305">
        <v>8399</v>
      </c>
      <c r="C23" s="4834">
        <f t="shared" si="0"/>
        <v>1.0914306769421904E-4</v>
      </c>
      <c r="D23" s="3" t="str">
        <f t="shared" si="1"/>
        <v>2012</v>
      </c>
      <c r="E23" s="105"/>
      <c r="J23" s="4836">
        <v>40938</v>
      </c>
      <c r="K23" s="4837">
        <v>55588.640817157779</v>
      </c>
      <c r="L23" s="4834">
        <f t="shared" si="4"/>
        <v>2.1482864821486073E-5</v>
      </c>
      <c r="S23" s="270" t="s">
        <v>11102</v>
      </c>
      <c r="T23" s="4838">
        <v>1066.7617711470764</v>
      </c>
      <c r="U23" s="4839">
        <f t="shared" si="2"/>
        <v>1.22334475301625E-4</v>
      </c>
    </row>
    <row r="24" spans="1:21">
      <c r="A24" s="270" t="s">
        <v>11103</v>
      </c>
      <c r="B24" s="3305">
        <v>8485.5</v>
      </c>
      <c r="C24" s="4834">
        <f t="shared" si="0"/>
        <v>9.8063050672108246E-5</v>
      </c>
      <c r="D24" s="3" t="str">
        <f t="shared" si="1"/>
        <v>2012</v>
      </c>
      <c r="E24" s="105"/>
      <c r="J24" s="4836">
        <v>40939</v>
      </c>
      <c r="K24" s="4837">
        <v>56070.902015687199</v>
      </c>
      <c r="L24" s="4834">
        <f t="shared" si="4"/>
        <v>1.9672222200613063E-5</v>
      </c>
      <c r="S24" s="270" t="s">
        <v>11103</v>
      </c>
      <c r="T24" s="4838">
        <v>1080.2650847059003</v>
      </c>
      <c r="U24" s="4839">
        <f t="shared" si="2"/>
        <v>1.0110656302137079E-4</v>
      </c>
    </row>
    <row r="25" spans="1:21">
      <c r="A25" s="270" t="s">
        <v>11104</v>
      </c>
      <c r="B25" s="3305">
        <v>8351.5</v>
      </c>
      <c r="C25" s="4834">
        <f t="shared" si="0"/>
        <v>1.155055957772888E-4</v>
      </c>
      <c r="D25" s="3" t="str">
        <f t="shared" si="1"/>
        <v>2012</v>
      </c>
      <c r="E25" s="105"/>
      <c r="J25" s="4836">
        <v>40940</v>
      </c>
      <c r="K25" s="4837">
        <v>55942.299029412687</v>
      </c>
      <c r="L25" s="4834">
        <f t="shared" si="4"/>
        <v>2.0147653207512642E-5</v>
      </c>
      <c r="S25" s="270" t="s">
        <v>11104</v>
      </c>
      <c r="T25" s="4838">
        <v>1086.6952340196256</v>
      </c>
      <c r="U25" s="4839">
        <f t="shared" si="2"/>
        <v>9.2140070806337649E-5</v>
      </c>
    </row>
    <row r="26" spans="1:21">
      <c r="A26" s="270" t="s">
        <v>11105</v>
      </c>
      <c r="B26" s="3305">
        <v>8339</v>
      </c>
      <c r="C26" s="4834">
        <f t="shared" si="0"/>
        <v>1.1721138243058606E-4</v>
      </c>
      <c r="D26" s="3" t="str">
        <f t="shared" si="1"/>
        <v>2012</v>
      </c>
      <c r="E26" s="105"/>
      <c r="J26" s="4836">
        <v>40941</v>
      </c>
      <c r="K26" s="4837">
        <v>56295.957241667595</v>
      </c>
      <c r="L26" s="4834">
        <f t="shared" si="4"/>
        <v>1.8853827205564132E-5</v>
      </c>
      <c r="S26" s="270" t="s">
        <v>11105</v>
      </c>
      <c r="T26" s="4838">
        <v>1082.5156369657041</v>
      </c>
      <c r="U26" s="4839">
        <f t="shared" si="2"/>
        <v>9.7888312789164655E-5</v>
      </c>
    </row>
    <row r="27" spans="1:21">
      <c r="A27" s="270" t="s">
        <v>11106</v>
      </c>
      <c r="B27" s="3305">
        <v>8320</v>
      </c>
      <c r="C27" s="4834">
        <f t="shared" si="0"/>
        <v>1.198286051539399E-4</v>
      </c>
      <c r="D27" s="3" t="str">
        <f t="shared" si="1"/>
        <v>2012</v>
      </c>
      <c r="E27" s="105"/>
      <c r="J27" s="4836">
        <v>40942</v>
      </c>
      <c r="K27" s="4837">
        <v>55749.394550000921</v>
      </c>
      <c r="L27" s="4834">
        <f t="shared" si="4"/>
        <v>2.0871021687705526E-5</v>
      </c>
      <c r="S27" s="270" t="s">
        <v>11106</v>
      </c>
      <c r="T27" s="4838">
        <v>1090.8748310735475</v>
      </c>
      <c r="U27" s="4839">
        <f t="shared" si="2"/>
        <v>8.6679490894617383E-5</v>
      </c>
    </row>
    <row r="28" spans="1:21">
      <c r="A28" s="270" t="s">
        <v>11107</v>
      </c>
      <c r="B28" s="3305">
        <v>8463</v>
      </c>
      <c r="C28" s="4834">
        <f t="shared" si="0"/>
        <v>1.0088047740404885E-4</v>
      </c>
      <c r="D28" s="3" t="str">
        <f t="shared" si="1"/>
        <v>2012</v>
      </c>
      <c r="E28" s="105"/>
      <c r="J28" s="4836">
        <v>40945</v>
      </c>
      <c r="K28" s="4837">
        <v>55267.133351471501</v>
      </c>
      <c r="L28" s="4834">
        <f t="shared" si="4"/>
        <v>2.2729812482432535E-5</v>
      </c>
      <c r="S28" s="270" t="s">
        <v>11107</v>
      </c>
      <c r="T28" s="4838">
        <v>1077.69302498041</v>
      </c>
      <c r="U28" s="4839">
        <f t="shared" si="2"/>
        <v>1.0489289288530355E-4</v>
      </c>
    </row>
    <row r="29" spans="1:21">
      <c r="A29" s="270" t="s">
        <v>11108</v>
      </c>
      <c r="B29" s="3305">
        <v>8335.5</v>
      </c>
      <c r="C29" s="4834">
        <f t="shared" si="0"/>
        <v>1.1769130098379599E-4</v>
      </c>
      <c r="D29" s="3" t="str">
        <f t="shared" si="1"/>
        <v>2012</v>
      </c>
      <c r="J29" s="4836">
        <v>40946</v>
      </c>
      <c r="K29" s="4837">
        <v>55427.887084314643</v>
      </c>
      <c r="L29" s="4834">
        <f t="shared" si="4"/>
        <v>2.2102576897596174E-5</v>
      </c>
      <c r="S29" s="270" t="s">
        <v>11108</v>
      </c>
      <c r="T29" s="4838">
        <v>1069.9768458039391</v>
      </c>
      <c r="U29" s="4839">
        <f t="shared" si="2"/>
        <v>1.1697105761696009E-4</v>
      </c>
    </row>
    <row r="30" spans="1:21">
      <c r="A30" s="270" t="s">
        <v>11109</v>
      </c>
      <c r="B30" s="3305">
        <v>8586</v>
      </c>
      <c r="C30" s="4834">
        <f t="shared" si="0"/>
        <v>8.6052922030653659E-5</v>
      </c>
      <c r="D30" s="3" t="str">
        <f t="shared" si="1"/>
        <v>2012</v>
      </c>
      <c r="J30" s="4836">
        <v>40947</v>
      </c>
      <c r="K30" s="4837">
        <v>56135.203508824452</v>
      </c>
      <c r="L30" s="4834">
        <f t="shared" si="4"/>
        <v>1.9436606085048609E-5</v>
      </c>
      <c r="S30" s="270" t="s">
        <v>11109</v>
      </c>
      <c r="T30" s="4838">
        <v>1105.0211595637436</v>
      </c>
      <c r="U30" s="4839">
        <f t="shared" si="2"/>
        <v>7.0187680822554214E-5</v>
      </c>
    </row>
    <row r="31" spans="1:21">
      <c r="A31" s="270" t="s">
        <v>11110</v>
      </c>
      <c r="B31" s="3305">
        <v>8520.5</v>
      </c>
      <c r="C31" s="4834">
        <f t="shared" si="0"/>
        <v>9.3772959628152748E-5</v>
      </c>
      <c r="D31" s="3" t="str">
        <f t="shared" si="1"/>
        <v>2012</v>
      </c>
      <c r="J31" s="4836">
        <v>40948</v>
      </c>
      <c r="K31" s="4837">
        <v>56199.505001961712</v>
      </c>
      <c r="L31" s="4834">
        <f t="shared" si="4"/>
        <v>1.9202412792532629E-5</v>
      </c>
      <c r="S31" s="270" t="s">
        <v>11110</v>
      </c>
      <c r="T31" s="4838">
        <v>1086.6952340196256</v>
      </c>
      <c r="U31" s="4839">
        <f t="shared" si="2"/>
        <v>9.2140070806337649E-5</v>
      </c>
    </row>
    <row r="32" spans="1:21">
      <c r="A32" s="270" t="s">
        <v>11111</v>
      </c>
      <c r="B32" s="3305">
        <v>8591</v>
      </c>
      <c r="C32" s="4834">
        <f t="shared" si="0"/>
        <v>8.5480346784031844E-5</v>
      </c>
      <c r="D32" s="3" t="str">
        <f t="shared" si="1"/>
        <v>2012</v>
      </c>
      <c r="J32" s="4836">
        <v>40949</v>
      </c>
      <c r="K32" s="4837">
        <v>55026.00275220679</v>
      </c>
      <c r="L32" s="4834">
        <f t="shared" si="4"/>
        <v>2.3683966857896574E-5</v>
      </c>
      <c r="S32" s="270" t="s">
        <v>11111</v>
      </c>
      <c r="T32" s="4838">
        <v>1078.6575473774687</v>
      </c>
      <c r="U32" s="4839">
        <f t="shared" si="2"/>
        <v>1.0345932353779786E-4</v>
      </c>
    </row>
    <row r="33" spans="1:21">
      <c r="A33" s="270" t="s">
        <v>11112</v>
      </c>
      <c r="B33" s="3305">
        <v>8512</v>
      </c>
      <c r="C33" s="4834">
        <f t="shared" si="0"/>
        <v>9.4804390872223798E-5</v>
      </c>
      <c r="D33" s="3" t="str">
        <f t="shared" si="1"/>
        <v>2012</v>
      </c>
      <c r="J33" s="4836">
        <v>40952</v>
      </c>
      <c r="K33" s="4837">
        <v>55299.284098040123</v>
      </c>
      <c r="L33" s="4834">
        <f t="shared" si="4"/>
        <v>2.2603780748466526E-5</v>
      </c>
      <c r="S33" s="270" t="s">
        <v>11112</v>
      </c>
      <c r="T33" s="4838">
        <v>1087.981263882371</v>
      </c>
      <c r="U33" s="4839">
        <f t="shared" si="2"/>
        <v>9.0429765841898725E-5</v>
      </c>
    </row>
    <row r="34" spans="1:21">
      <c r="A34" s="270" t="s">
        <v>11113</v>
      </c>
      <c r="B34" s="3305">
        <v>8405</v>
      </c>
      <c r="C34" s="4834">
        <f t="shared" si="0"/>
        <v>1.0835311091540868E-4</v>
      </c>
      <c r="D34" s="3" t="str">
        <f t="shared" si="1"/>
        <v>2012</v>
      </c>
      <c r="J34" s="4836">
        <v>40953</v>
      </c>
      <c r="K34" s="4837">
        <v>55363.585591177383</v>
      </c>
      <c r="L34" s="4834">
        <f t="shared" si="4"/>
        <v>2.2352588337835534E-5</v>
      </c>
      <c r="S34" s="270" t="s">
        <v>11113</v>
      </c>
      <c r="T34" s="4838">
        <v>1077.3715175147236</v>
      </c>
      <c r="U34" s="4839">
        <f t="shared" si="2"/>
        <v>1.0537443252030226E-4</v>
      </c>
    </row>
    <row r="35" spans="1:21">
      <c r="A35" s="270" t="s">
        <v>11114</v>
      </c>
      <c r="B35" s="3305">
        <v>8395.5</v>
      </c>
      <c r="C35" s="4834">
        <f t="shared" si="0"/>
        <v>1.0960531625260988E-4</v>
      </c>
      <c r="D35" s="3" t="str">
        <f t="shared" si="1"/>
        <v>2012</v>
      </c>
      <c r="J35" s="4836">
        <v>40954</v>
      </c>
      <c r="K35" s="4837">
        <v>55717.243803432291</v>
      </c>
      <c r="L35" s="4834">
        <f t="shared" si="4"/>
        <v>2.099274490203637E-5</v>
      </c>
      <c r="S35" s="270" t="s">
        <v>11114</v>
      </c>
      <c r="T35" s="4838">
        <v>1083.1586518970767</v>
      </c>
      <c r="U35" s="4839">
        <f t="shared" si="2"/>
        <v>9.6984800545261732E-5</v>
      </c>
    </row>
    <row r="36" spans="1:21">
      <c r="A36" s="270" t="s">
        <v>11115</v>
      </c>
      <c r="B36" s="3305">
        <v>8209.5</v>
      </c>
      <c r="C36" s="4834">
        <f t="shared" si="0"/>
        <v>1.3560121928125679E-4</v>
      </c>
      <c r="D36" s="3" t="str">
        <f t="shared" si="1"/>
        <v>2012</v>
      </c>
      <c r="J36" s="4836">
        <v>40955</v>
      </c>
      <c r="K36" s="4837">
        <v>55074.228872059735</v>
      </c>
      <c r="L36" s="4834">
        <f t="shared" si="4"/>
        <v>2.349190983257569E-5</v>
      </c>
      <c r="S36" s="270" t="s">
        <v>11115</v>
      </c>
      <c r="T36" s="4838">
        <v>1066.7617711470764</v>
      </c>
      <c r="U36" s="4839">
        <f t="shared" si="2"/>
        <v>1.22334475301625E-4</v>
      </c>
    </row>
    <row r="37" spans="1:21">
      <c r="A37" s="270" t="s">
        <v>11116</v>
      </c>
      <c r="B37" s="3305">
        <v>8370</v>
      </c>
      <c r="C37" s="4834">
        <f t="shared" si="0"/>
        <v>1.1300484753564005E-4</v>
      </c>
      <c r="D37" s="3" t="str">
        <f t="shared" si="1"/>
        <v>2012</v>
      </c>
      <c r="J37" s="4836">
        <v>40956</v>
      </c>
      <c r="K37" s="4837">
        <v>55395.736337746006</v>
      </c>
      <c r="L37" s="4834">
        <f t="shared" si="4"/>
        <v>2.2227433545584079E-5</v>
      </c>
      <c r="S37" s="270" t="s">
        <v>11116</v>
      </c>
      <c r="T37" s="4838">
        <v>1076.4069951176648</v>
      </c>
      <c r="U37" s="4839">
        <f t="shared" si="2"/>
        <v>1.0683017355418633E-4</v>
      </c>
    </row>
    <row r="38" spans="1:21">
      <c r="A38" s="270" t="s">
        <v>11117</v>
      </c>
      <c r="B38" s="3305">
        <v>8234</v>
      </c>
      <c r="C38" s="4834">
        <f t="shared" si="0"/>
        <v>1.3202677885055934E-4</v>
      </c>
      <c r="D38" s="3" t="str">
        <f t="shared" si="1"/>
        <v>2012</v>
      </c>
      <c r="J38" s="4836">
        <v>40959</v>
      </c>
      <c r="K38" s="4837">
        <v>55717.243803432291</v>
      </c>
      <c r="L38" s="4834">
        <f t="shared" si="4"/>
        <v>2.099274490203637E-5</v>
      </c>
      <c r="S38" s="270" t="s">
        <v>11117</v>
      </c>
      <c r="T38" s="4838">
        <v>1078.9790548431549</v>
      </c>
      <c r="U38" s="4839">
        <f t="shared" si="2"/>
        <v>1.0298513302831562E-4</v>
      </c>
    </row>
    <row r="39" spans="1:21">
      <c r="A39" s="270" t="s">
        <v>11118</v>
      </c>
      <c r="B39" s="3305">
        <v>8325</v>
      </c>
      <c r="C39" s="4834">
        <f t="shared" si="0"/>
        <v>1.1913703277607857E-4</v>
      </c>
      <c r="D39" s="3" t="str">
        <f t="shared" si="1"/>
        <v>2012</v>
      </c>
      <c r="J39" s="4836">
        <v>40960</v>
      </c>
      <c r="K39" s="4837">
        <v>56199.505001961712</v>
      </c>
      <c r="L39" s="4834">
        <f t="shared" si="4"/>
        <v>1.9202412792532629E-5</v>
      </c>
      <c r="S39" s="270" t="s">
        <v>11118</v>
      </c>
      <c r="T39" s="4838">
        <v>1081.8726220343315</v>
      </c>
      <c r="U39" s="4839">
        <f t="shared" si="2"/>
        <v>9.8798896650311845E-5</v>
      </c>
    </row>
    <row r="40" spans="1:21">
      <c r="A40" s="270" t="s">
        <v>11119</v>
      </c>
      <c r="B40" s="3305">
        <v>8391</v>
      </c>
      <c r="C40" s="4834">
        <f t="shared" si="0"/>
        <v>1.1020118936379629E-4</v>
      </c>
      <c r="D40" s="3" t="str">
        <f t="shared" si="1"/>
        <v>2012</v>
      </c>
      <c r="J40" s="4836">
        <v>40961</v>
      </c>
      <c r="K40" s="4837">
        <v>56328.107988236225</v>
      </c>
      <c r="L40" s="4834">
        <f t="shared" si="4"/>
        <v>1.8738361268961133E-5</v>
      </c>
      <c r="S40" s="270" t="s">
        <v>11119</v>
      </c>
      <c r="T40" s="4838">
        <v>1095.6974430588416</v>
      </c>
      <c r="U40" s="4839">
        <f t="shared" si="2"/>
        <v>8.0721974138883967E-5</v>
      </c>
    </row>
    <row r="41" spans="1:21">
      <c r="A41" s="270" t="s">
        <v>11120</v>
      </c>
      <c r="B41" s="3305">
        <v>8408</v>
      </c>
      <c r="C41" s="4834">
        <f t="shared" si="0"/>
        <v>1.0795930618386263E-4</v>
      </c>
      <c r="D41" s="3" t="str">
        <f t="shared" si="1"/>
        <v>2012</v>
      </c>
      <c r="J41" s="4836">
        <v>40962</v>
      </c>
      <c r="K41" s="4837">
        <v>57131.876652451923</v>
      </c>
      <c r="L41" s="4834">
        <f t="shared" si="4"/>
        <v>1.5975803327104743E-5</v>
      </c>
      <c r="S41" s="270" t="s">
        <v>11120</v>
      </c>
      <c r="T41" s="4838">
        <v>1110.8082939460967</v>
      </c>
      <c r="U41" s="4839">
        <f t="shared" si="2"/>
        <v>6.4259952752861451E-5</v>
      </c>
    </row>
    <row r="42" spans="1:21">
      <c r="A42" s="270" t="s">
        <v>11121</v>
      </c>
      <c r="B42" s="3305">
        <v>8441</v>
      </c>
      <c r="C42" s="4834">
        <f t="shared" si="0"/>
        <v>1.0367965894249484E-4</v>
      </c>
      <c r="D42" s="3" t="str">
        <f t="shared" si="1"/>
        <v>2012</v>
      </c>
      <c r="J42" s="4836">
        <v>40963</v>
      </c>
      <c r="K42" s="4837">
        <v>57147.952025736238</v>
      </c>
      <c r="L42" s="4834">
        <f t="shared" si="4"/>
        <v>1.5923073345516489E-5</v>
      </c>
      <c r="S42" s="270" t="s">
        <v>11121</v>
      </c>
      <c r="T42" s="4838">
        <v>1143.6020554460972</v>
      </c>
      <c r="U42" s="4839">
        <f t="shared" si="2"/>
        <v>3.8171721073678771E-5</v>
      </c>
    </row>
    <row r="43" spans="1:21">
      <c r="A43" s="270" t="s">
        <v>11122</v>
      </c>
      <c r="B43" s="3305">
        <v>8436</v>
      </c>
      <c r="C43" s="4834">
        <f t="shared" si="0"/>
        <v>1.0432189093817303E-4</v>
      </c>
      <c r="D43" s="3" t="str">
        <f t="shared" si="1"/>
        <v>2012</v>
      </c>
      <c r="J43" s="4836">
        <v>40966</v>
      </c>
      <c r="K43" s="4837">
        <v>56971.122919608781</v>
      </c>
      <c r="L43" s="4834">
        <f t="shared" si="4"/>
        <v>1.6508667843978092E-5</v>
      </c>
      <c r="S43" s="270" t="s">
        <v>11122</v>
      </c>
      <c r="T43" s="4838">
        <v>1128.1696970931562</v>
      </c>
      <c r="U43" s="4839">
        <f t="shared" si="2"/>
        <v>4.8989665498343792E-5</v>
      </c>
    </row>
    <row r="44" spans="1:21">
      <c r="A44" s="270" t="s">
        <v>11123</v>
      </c>
      <c r="B44" s="3305">
        <v>8658</v>
      </c>
      <c r="C44" s="4834">
        <f t="shared" si="0"/>
        <v>7.8039718392855175E-5</v>
      </c>
      <c r="D44" s="3" t="str">
        <f t="shared" si="1"/>
        <v>2012</v>
      </c>
      <c r="J44" s="4836">
        <v>40967</v>
      </c>
      <c r="K44" s="4837">
        <v>57260.479638726436</v>
      </c>
      <c r="L44" s="4834">
        <f t="shared" si="4"/>
        <v>1.5556820847812846E-5</v>
      </c>
      <c r="S44" s="270" t="s">
        <v>11123</v>
      </c>
      <c r="T44" s="4838">
        <v>1144.5665778431562</v>
      </c>
      <c r="U44" s="4839">
        <f t="shared" si="2"/>
        <v>3.7571276942607366E-5</v>
      </c>
    </row>
    <row r="45" spans="1:21">
      <c r="A45" s="270" t="s">
        <v>11124</v>
      </c>
      <c r="B45" s="3305">
        <v>8585</v>
      </c>
      <c r="C45" s="4834">
        <f t="shared" si="0"/>
        <v>8.6167723915233887E-5</v>
      </c>
      <c r="D45" s="3" t="str">
        <f t="shared" si="1"/>
        <v>2012</v>
      </c>
      <c r="J45" s="4836">
        <v>40968</v>
      </c>
      <c r="K45" s="4837">
        <v>56906.821426471521</v>
      </c>
      <c r="L45" s="4834">
        <f t="shared" si="4"/>
        <v>1.6724624781406713E-5</v>
      </c>
      <c r="S45" s="270" t="s">
        <v>11124</v>
      </c>
      <c r="T45" s="4838">
        <v>1196.9722947500197</v>
      </c>
      <c r="U45" s="4839">
        <f t="shared" si="2"/>
        <v>1.5160861203591956E-5</v>
      </c>
    </row>
    <row r="46" spans="1:21">
      <c r="A46" s="270" t="s">
        <v>11125</v>
      </c>
      <c r="B46" s="3305">
        <v>8570</v>
      </c>
      <c r="C46" s="4834">
        <f t="shared" si="0"/>
        <v>8.790120337867089E-5</v>
      </c>
      <c r="D46" s="3" t="str">
        <f t="shared" si="1"/>
        <v>2012</v>
      </c>
      <c r="J46" s="4836">
        <v>40969</v>
      </c>
      <c r="K46" s="4837">
        <v>55106.379618628358</v>
      </c>
      <c r="L46" s="4834">
        <f t="shared" si="4"/>
        <v>2.3364205837908494E-5</v>
      </c>
      <c r="S46" s="270" t="s">
        <v>11125</v>
      </c>
      <c r="T46" s="4838">
        <v>1111.1298014117831</v>
      </c>
      <c r="U46" s="4839">
        <f t="shared" si="2"/>
        <v>6.3943652348201182E-5</v>
      </c>
    </row>
    <row r="47" spans="1:21">
      <c r="A47" s="270" t="s">
        <v>11126</v>
      </c>
      <c r="B47" s="3305">
        <v>8575</v>
      </c>
      <c r="C47" s="4834">
        <f t="shared" si="0"/>
        <v>8.7320993732778097E-5</v>
      </c>
      <c r="D47" s="3" t="str">
        <f t="shared" si="1"/>
        <v>2012</v>
      </c>
      <c r="J47" s="4836">
        <v>40970</v>
      </c>
      <c r="K47" s="4837">
        <v>54881.324392647963</v>
      </c>
      <c r="L47" s="4834">
        <f t="shared" si="4"/>
        <v>2.4263642931196662E-5</v>
      </c>
      <c r="S47" s="270" t="s">
        <v>11126</v>
      </c>
      <c r="T47" s="4838">
        <v>1132.0277866813913</v>
      </c>
      <c r="U47" s="4839">
        <f t="shared" si="2"/>
        <v>4.6060980124886623E-5</v>
      </c>
    </row>
    <row r="48" spans="1:21">
      <c r="A48" s="270" t="s">
        <v>11127</v>
      </c>
      <c r="B48" s="3305">
        <v>8502</v>
      </c>
      <c r="C48" s="4834">
        <f t="shared" si="0"/>
        <v>9.6026443227176917E-5</v>
      </c>
      <c r="D48" s="3" t="str">
        <f t="shared" si="1"/>
        <v>2012</v>
      </c>
      <c r="J48" s="4836">
        <v>40973</v>
      </c>
      <c r="K48" s="4837">
        <v>54817.02289951071</v>
      </c>
      <c r="L48" s="4834">
        <f t="shared" si="4"/>
        <v>2.4522906719838545E-5</v>
      </c>
      <c r="S48" s="270" t="s">
        <v>11127</v>
      </c>
      <c r="T48" s="4838">
        <v>1098.9125177157043</v>
      </c>
      <c r="U48" s="4839">
        <f t="shared" si="2"/>
        <v>7.6946799536216413E-5</v>
      </c>
    </row>
    <row r="49" spans="1:21">
      <c r="A49" s="270" t="s">
        <v>11128</v>
      </c>
      <c r="B49" s="3305">
        <v>8335.5</v>
      </c>
      <c r="C49" s="4834">
        <f t="shared" si="0"/>
        <v>1.1769130098379599E-4</v>
      </c>
      <c r="D49" s="3" t="str">
        <f t="shared" si="1"/>
        <v>2012</v>
      </c>
      <c r="J49" s="4836">
        <v>40974</v>
      </c>
      <c r="K49" s="4837">
        <v>53659.596023040103</v>
      </c>
      <c r="L49" s="4834">
        <f t="shared" si="4"/>
        <v>2.932566225906367E-5</v>
      </c>
      <c r="S49" s="270" t="s">
        <v>11128</v>
      </c>
      <c r="T49" s="4838">
        <v>1068.0478010098216</v>
      </c>
      <c r="U49" s="4839">
        <f t="shared" si="2"/>
        <v>1.2016512107992324E-4</v>
      </c>
    </row>
    <row r="50" spans="1:21">
      <c r="A50" s="270" t="s">
        <v>11129</v>
      </c>
      <c r="B50" s="3305">
        <v>8261</v>
      </c>
      <c r="C50" s="4834">
        <f t="shared" si="0"/>
        <v>1.2813714568252411E-4</v>
      </c>
      <c r="D50" s="3" t="str">
        <f t="shared" si="1"/>
        <v>2012</v>
      </c>
      <c r="J50" s="4836">
        <v>40975</v>
      </c>
      <c r="K50" s="4837">
        <v>53932.877368873444</v>
      </c>
      <c r="L50" s="4834">
        <f t="shared" si="4"/>
        <v>2.8172946657671659E-5</v>
      </c>
      <c r="S50" s="270" t="s">
        <v>11129</v>
      </c>
      <c r="T50" s="4838">
        <v>1066.4402636813902</v>
      </c>
      <c r="U50" s="4839">
        <f t="shared" si="2"/>
        <v>1.2288185983098867E-4</v>
      </c>
    </row>
    <row r="51" spans="1:21">
      <c r="A51" s="270" t="s">
        <v>11130</v>
      </c>
      <c r="B51" s="3305">
        <v>8390</v>
      </c>
      <c r="C51" s="4834">
        <f t="shared" si="0"/>
        <v>1.1033384235572683E-4</v>
      </c>
      <c r="D51" s="3" t="str">
        <f t="shared" si="1"/>
        <v>2012</v>
      </c>
      <c r="J51" s="4836">
        <v>40976</v>
      </c>
      <c r="K51" s="4837">
        <v>54334.761700981289</v>
      </c>
      <c r="L51" s="4834">
        <f t="shared" si="4"/>
        <v>2.6496155246004588E-5</v>
      </c>
      <c r="S51" s="270" t="s">
        <v>11130</v>
      </c>
      <c r="T51" s="4838">
        <v>1096.018950524528</v>
      </c>
      <c r="U51" s="4839">
        <f t="shared" si="2"/>
        <v>8.0337498895421313E-5</v>
      </c>
    </row>
    <row r="52" spans="1:21">
      <c r="A52" s="270" t="s">
        <v>11131</v>
      </c>
      <c r="B52" s="3305">
        <v>8390.5</v>
      </c>
      <c r="C52" s="4834">
        <f t="shared" si="0"/>
        <v>1.1026750511391209E-4</v>
      </c>
      <c r="D52" s="3" t="str">
        <f t="shared" si="1"/>
        <v>2012</v>
      </c>
      <c r="J52" s="4836">
        <v>40977</v>
      </c>
      <c r="K52" s="4837">
        <v>54254.384834559714</v>
      </c>
      <c r="L52" s="4834">
        <f t="shared" si="4"/>
        <v>2.682944125905906E-5</v>
      </c>
      <c r="S52" s="270" t="s">
        <v>11131</v>
      </c>
      <c r="T52" s="4838">
        <v>1088.9457862794295</v>
      </c>
      <c r="U52" s="4839">
        <f t="shared" si="2"/>
        <v>8.9164715694394755E-5</v>
      </c>
    </row>
    <row r="53" spans="1:21">
      <c r="A53" s="270" t="s">
        <v>11132</v>
      </c>
      <c r="B53" s="3305">
        <v>8401.5</v>
      </c>
      <c r="C53" s="4834">
        <f t="shared" si="0"/>
        <v>1.088135393512029E-4</v>
      </c>
      <c r="D53" s="3" t="str">
        <f t="shared" si="1"/>
        <v>2012</v>
      </c>
      <c r="J53" s="4836">
        <v>40980</v>
      </c>
      <c r="K53" s="4837">
        <v>54575.892300246</v>
      </c>
      <c r="L53" s="4834">
        <f t="shared" si="4"/>
        <v>2.5503506511002692E-5</v>
      </c>
      <c r="S53" s="270" t="s">
        <v>11132</v>
      </c>
      <c r="T53" s="4838">
        <v>1085.730711622567</v>
      </c>
      <c r="U53" s="4839">
        <f t="shared" si="2"/>
        <v>9.3440653597012382E-5</v>
      </c>
    </row>
    <row r="54" spans="1:21">
      <c r="A54" s="270" t="s">
        <v>11133</v>
      </c>
      <c r="B54" s="3305">
        <v>8530</v>
      </c>
      <c r="C54" s="4834">
        <f t="shared" si="0"/>
        <v>9.2628169848630354E-5</v>
      </c>
      <c r="D54" s="3" t="str">
        <f t="shared" si="1"/>
        <v>2012</v>
      </c>
      <c r="J54" s="4836">
        <v>40981</v>
      </c>
      <c r="K54" s="4837">
        <v>54334.761700981289</v>
      </c>
      <c r="L54" s="4834">
        <f t="shared" si="4"/>
        <v>2.6496155246004588E-5</v>
      </c>
      <c r="S54" s="270" t="s">
        <v>11133</v>
      </c>
      <c r="T54" s="4838">
        <v>1079.6220697745275</v>
      </c>
      <c r="U54" s="4839">
        <f t="shared" si="2"/>
        <v>1.0204221992842159E-4</v>
      </c>
    </row>
    <row r="55" spans="1:21">
      <c r="A55" s="270" t="s">
        <v>11134</v>
      </c>
      <c r="B55" s="3305">
        <v>8468</v>
      </c>
      <c r="C55" s="4834">
        <f t="shared" si="0"/>
        <v>1.0025039585229734E-4</v>
      </c>
      <c r="D55" s="3" t="str">
        <f t="shared" si="1"/>
        <v>2012</v>
      </c>
      <c r="J55" s="4836">
        <v>40982</v>
      </c>
      <c r="K55" s="4837">
        <v>52863.865045466562</v>
      </c>
      <c r="L55" s="4834">
        <f t="shared" si="4"/>
        <v>3.2711672634775378E-5</v>
      </c>
      <c r="S55" s="270" t="s">
        <v>11134</v>
      </c>
      <c r="T55" s="4838">
        <v>1055.830517313743</v>
      </c>
      <c r="U55" s="4839">
        <f t="shared" si="2"/>
        <v>1.4211580130536047E-4</v>
      </c>
    </row>
    <row r="56" spans="1:21">
      <c r="A56" s="270" t="s">
        <v>11135</v>
      </c>
      <c r="B56" s="3305">
        <v>8490.5</v>
      </c>
      <c r="C56" s="4834">
        <f t="shared" si="0"/>
        <v>9.7443247359245319E-5</v>
      </c>
      <c r="D56" s="3" t="str">
        <f t="shared" si="1"/>
        <v>2012</v>
      </c>
      <c r="J56" s="4836">
        <v>40983</v>
      </c>
      <c r="K56" s="4837">
        <v>52984.430345098917</v>
      </c>
      <c r="L56" s="4834">
        <f t="shared" si="4"/>
        <v>3.2197644589092209E-5</v>
      </c>
      <c r="S56" s="270" t="s">
        <v>11135</v>
      </c>
      <c r="T56" s="4838">
        <v>1040.3981589608015</v>
      </c>
      <c r="U56" s="4839">
        <f t="shared" si="2"/>
        <v>1.7443319563981811E-4</v>
      </c>
    </row>
    <row r="57" spans="1:21">
      <c r="A57" s="270" t="s">
        <v>11136</v>
      </c>
      <c r="B57" s="3305">
        <v>8620.5</v>
      </c>
      <c r="C57" s="4834">
        <f t="shared" si="0"/>
        <v>8.2150949430208407E-5</v>
      </c>
      <c r="D57" s="3" t="str">
        <f t="shared" si="1"/>
        <v>2012</v>
      </c>
      <c r="J57" s="4836">
        <v>40984</v>
      </c>
      <c r="K57" s="4837">
        <v>53305.937810785195</v>
      </c>
      <c r="L57" s="4834">
        <f t="shared" si="4"/>
        <v>3.0827418988017033E-5</v>
      </c>
      <c r="S57" s="270" t="s">
        <v>11136</v>
      </c>
      <c r="T57" s="4838">
        <v>1037.504591769625</v>
      </c>
      <c r="U57" s="4839">
        <f t="shared" si="2"/>
        <v>1.8110685456657053E-4</v>
      </c>
    </row>
    <row r="58" spans="1:21">
      <c r="A58" s="270" t="s">
        <v>11137</v>
      </c>
      <c r="B58" s="3305">
        <v>8575</v>
      </c>
      <c r="C58" s="4834">
        <f t="shared" si="0"/>
        <v>8.7320993732778097E-5</v>
      </c>
      <c r="D58" s="3" t="str">
        <f t="shared" si="1"/>
        <v>2012</v>
      </c>
      <c r="J58" s="4836">
        <v>40987</v>
      </c>
      <c r="K58" s="4837">
        <v>53418.465423775386</v>
      </c>
      <c r="L58" s="4834">
        <f t="shared" si="4"/>
        <v>3.0348682542602262E-5</v>
      </c>
      <c r="S58" s="270" t="s">
        <v>11137</v>
      </c>
      <c r="T58" s="4838">
        <v>1042.9702186862917</v>
      </c>
      <c r="U58" s="4839">
        <f t="shared" si="2"/>
        <v>1.6866873577504724E-4</v>
      </c>
    </row>
    <row r="59" spans="1:21">
      <c r="A59" s="270" t="s">
        <v>11138</v>
      </c>
      <c r="B59" s="3305">
        <v>8437</v>
      </c>
      <c r="C59" s="4834">
        <f t="shared" si="0"/>
        <v>1.0419326618798082E-4</v>
      </c>
      <c r="D59" s="3" t="str">
        <f t="shared" si="1"/>
        <v>2012</v>
      </c>
      <c r="J59" s="4836">
        <v>40988</v>
      </c>
      <c r="K59" s="4837">
        <v>53265.749377574408</v>
      </c>
      <c r="L59" s="4834">
        <f t="shared" si="4"/>
        <v>3.0998543952007545E-5</v>
      </c>
      <c r="S59" s="270" t="s">
        <v>11138</v>
      </c>
      <c r="T59" s="4838">
        <v>1035.8970544411936</v>
      </c>
      <c r="U59" s="4839">
        <f t="shared" si="2"/>
        <v>1.8490211813757915E-4</v>
      </c>
    </row>
    <row r="60" spans="1:21">
      <c r="A60" s="270" t="s">
        <v>11139</v>
      </c>
      <c r="B60" s="3305">
        <v>8470.5</v>
      </c>
      <c r="C60" s="4834">
        <f t="shared" si="0"/>
        <v>9.9936206891601195E-5</v>
      </c>
      <c r="D60" s="3" t="str">
        <f t="shared" si="1"/>
        <v>2012</v>
      </c>
      <c r="J60" s="4836">
        <v>40989</v>
      </c>
      <c r="K60" s="4837">
        <v>53024.618778309705</v>
      </c>
      <c r="L60" s="4834">
        <f t="shared" si="4"/>
        <v>3.2026280097668076E-5</v>
      </c>
      <c r="S60" s="270" t="s">
        <v>11139</v>
      </c>
      <c r="T60" s="4838">
        <v>1027.8593677990364</v>
      </c>
      <c r="U60" s="4839">
        <f t="shared" si="2"/>
        <v>2.0484359628546004E-4</v>
      </c>
    </row>
    <row r="61" spans="1:21">
      <c r="A61" s="270" t="s">
        <v>11140</v>
      </c>
      <c r="B61" s="3305">
        <v>8320</v>
      </c>
      <c r="C61" s="4834">
        <f t="shared" si="0"/>
        <v>1.198286051539399E-4</v>
      </c>
      <c r="D61" s="3" t="str">
        <f t="shared" si="1"/>
        <v>2012</v>
      </c>
      <c r="J61" s="4836">
        <v>40990</v>
      </c>
      <c r="K61" s="4837">
        <v>52582.546012991064</v>
      </c>
      <c r="L61" s="4834">
        <f t="shared" si="4"/>
        <v>3.3909415732118527E-5</v>
      </c>
      <c r="S61" s="270" t="s">
        <v>11140</v>
      </c>
      <c r="T61" s="4838">
        <v>1022.0722334166834</v>
      </c>
      <c r="U61" s="4839">
        <f t="shared" si="2"/>
        <v>2.2022982117455886E-4</v>
      </c>
    </row>
    <row r="62" spans="1:21">
      <c r="A62" s="270" t="s">
        <v>11141</v>
      </c>
      <c r="B62" s="3305">
        <v>8400.5</v>
      </c>
      <c r="C62" s="4834">
        <f t="shared" si="0"/>
        <v>1.0894528567921788E-4</v>
      </c>
      <c r="D62" s="3" t="str">
        <f t="shared" si="1"/>
        <v>2012</v>
      </c>
      <c r="J62" s="4836">
        <v>40991</v>
      </c>
      <c r="K62" s="4837">
        <v>53498.842290196961</v>
      </c>
      <c r="L62" s="4834">
        <f t="shared" si="4"/>
        <v>3.000718674163215E-5</v>
      </c>
      <c r="S62" s="270" t="s">
        <v>11141</v>
      </c>
      <c r="T62" s="4838">
        <v>1014.0345467745265</v>
      </c>
      <c r="U62" s="4839">
        <f t="shared" si="2"/>
        <v>2.4309000626796968E-4</v>
      </c>
    </row>
    <row r="63" spans="1:21">
      <c r="A63" s="270" t="s">
        <v>11142</v>
      </c>
      <c r="B63" s="3305">
        <v>8485</v>
      </c>
      <c r="C63" s="4834">
        <f t="shared" si="0"/>
        <v>9.8125157344586944E-5</v>
      </c>
      <c r="D63" s="3" t="str">
        <f t="shared" si="1"/>
        <v>2012</v>
      </c>
      <c r="J63" s="4836">
        <v>40994</v>
      </c>
      <c r="K63" s="4837">
        <v>54021.291921937162</v>
      </c>
      <c r="L63" s="4834">
        <f t="shared" si="4"/>
        <v>2.7801962755844038E-5</v>
      </c>
      <c r="S63" s="270" t="s">
        <v>11142</v>
      </c>
      <c r="T63" s="4838">
        <v>1036.2185619068798</v>
      </c>
      <c r="U63" s="4839">
        <f t="shared" si="2"/>
        <v>1.8413800934139962E-4</v>
      </c>
    </row>
    <row r="64" spans="1:21">
      <c r="A64" s="270" t="s">
        <v>11143</v>
      </c>
      <c r="B64" s="3305">
        <v>8512</v>
      </c>
      <c r="C64" s="4834">
        <f t="shared" si="0"/>
        <v>9.4804390872223798E-5</v>
      </c>
      <c r="D64" s="3" t="str">
        <f t="shared" si="1"/>
        <v>2012</v>
      </c>
      <c r="J64" s="4836">
        <v>40995</v>
      </c>
      <c r="K64" s="4837">
        <v>54399.063194118549</v>
      </c>
      <c r="L64" s="4834">
        <f t="shared" si="4"/>
        <v>2.6230359686593289E-5</v>
      </c>
      <c r="S64" s="270" t="s">
        <v>11143</v>
      </c>
      <c r="T64" s="4838">
        <v>1061.2961442304097</v>
      </c>
      <c r="U64" s="4839">
        <f t="shared" si="2"/>
        <v>1.319195854395238E-4</v>
      </c>
    </row>
    <row r="65" spans="1:21">
      <c r="A65" s="270" t="s">
        <v>11144</v>
      </c>
      <c r="B65" s="3305">
        <v>8480.5</v>
      </c>
      <c r="C65" s="4834">
        <f t="shared" si="0"/>
        <v>9.8685149238253477E-5</v>
      </c>
      <c r="D65" s="3" t="str">
        <f t="shared" si="1"/>
        <v>2012</v>
      </c>
      <c r="J65" s="4836">
        <v>40996</v>
      </c>
      <c r="K65" s="4837">
        <v>53884.651249020499</v>
      </c>
      <c r="L65" s="4834">
        <f t="shared" si="4"/>
        <v>2.837573622682335E-5</v>
      </c>
      <c r="S65" s="270" t="s">
        <v>11144</v>
      </c>
      <c r="T65" s="4838">
        <v>1042.6487112206053</v>
      </c>
      <c r="U65" s="4839">
        <f t="shared" si="2"/>
        <v>1.6938076242471416E-4</v>
      </c>
    </row>
    <row r="66" spans="1:21">
      <c r="A66" s="270" t="s">
        <v>11145</v>
      </c>
      <c r="B66" s="3305">
        <v>8360</v>
      </c>
      <c r="C66" s="4834">
        <f t="shared" si="0"/>
        <v>1.1435304881450221E-4</v>
      </c>
      <c r="D66" s="3" t="str">
        <f t="shared" si="1"/>
        <v>2012</v>
      </c>
      <c r="J66" s="4836">
        <v>40997</v>
      </c>
      <c r="K66" s="4837">
        <v>53289.86243750088</v>
      </c>
      <c r="L66" s="4834">
        <f t="shared" si="4"/>
        <v>3.089586084031143E-5</v>
      </c>
      <c r="S66" s="270" t="s">
        <v>11145</v>
      </c>
      <c r="T66" s="4838">
        <v>1022.0722334166834</v>
      </c>
      <c r="U66" s="4839">
        <f t="shared" si="2"/>
        <v>2.2022982117455886E-4</v>
      </c>
    </row>
    <row r="67" spans="1:21">
      <c r="A67" s="270" t="s">
        <v>11146</v>
      </c>
      <c r="B67" s="3305">
        <v>8480</v>
      </c>
      <c r="C67" s="4834">
        <f t="shared" si="0"/>
        <v>9.8747485093702493E-5</v>
      </c>
      <c r="D67" s="3" t="str">
        <f t="shared" si="1"/>
        <v>2012</v>
      </c>
      <c r="J67" s="4836">
        <v>40998</v>
      </c>
      <c r="K67" s="4837">
        <v>53450.616170344023</v>
      </c>
      <c r="L67" s="4834">
        <f t="shared" si="4"/>
        <v>3.0212033058164436E-5</v>
      </c>
      <c r="S67" s="270" t="s">
        <v>11146</v>
      </c>
      <c r="T67" s="4838">
        <v>1042.6487112206053</v>
      </c>
      <c r="U67" s="4839">
        <f t="shared" si="2"/>
        <v>1.6938076242471416E-4</v>
      </c>
    </row>
    <row r="68" spans="1:21">
      <c r="A68" s="270" t="s">
        <v>11147</v>
      </c>
      <c r="B68" s="3305">
        <v>8480</v>
      </c>
      <c r="C68" s="4834">
        <f t="shared" ref="C68:C131" si="6">_xlfn.NORM.DIST(B68,$F$4,$F$3,FALSE)</f>
        <v>9.8747485093702493E-5</v>
      </c>
      <c r="D68" s="3" t="str">
        <f t="shared" ref="D68:D131" si="7">LEFT(A68,4)</f>
        <v>2012</v>
      </c>
      <c r="J68" s="4836">
        <v>41001</v>
      </c>
      <c r="K68" s="4837">
        <v>53932.877368873444</v>
      </c>
      <c r="L68" s="4834">
        <f t="shared" si="4"/>
        <v>2.8172946657671659E-5</v>
      </c>
      <c r="S68" s="270" t="s">
        <v>11147</v>
      </c>
      <c r="T68" s="4838">
        <v>1042.3272037549191</v>
      </c>
      <c r="U68" s="4839">
        <f t="shared" ref="U68:U131" si="8">_xlfn.NORM.DIST(T68,$X$4,$X$3,FALSE)</f>
        <v>1.7009521574016796E-4</v>
      </c>
    </row>
    <row r="69" spans="1:21">
      <c r="A69" s="270" t="s">
        <v>11148</v>
      </c>
      <c r="B69" s="3305">
        <v>8575.5</v>
      </c>
      <c r="C69" s="4834">
        <f t="shared" si="6"/>
        <v>8.7263103720176566E-5</v>
      </c>
      <c r="D69" s="3" t="str">
        <f t="shared" si="7"/>
        <v>2012</v>
      </c>
      <c r="J69" s="4836">
        <v>41002</v>
      </c>
      <c r="K69" s="4837">
        <v>53892.688935662656</v>
      </c>
      <c r="L69" s="4834">
        <f t="shared" ref="L69:L132" si="9">_xlfn.NORM.DIST(K69,$O$4,$O$3,FALSE)</f>
        <v>2.8341917546651154E-5</v>
      </c>
      <c r="S69" s="270" t="s">
        <v>11148</v>
      </c>
      <c r="T69" s="4838">
        <v>1060.0101143676645</v>
      </c>
      <c r="U69" s="4839">
        <f t="shared" si="8"/>
        <v>1.3426274070034411E-4</v>
      </c>
    </row>
    <row r="70" spans="1:21">
      <c r="A70" s="270" t="s">
        <v>11149</v>
      </c>
      <c r="B70" s="3305">
        <v>8451.5</v>
      </c>
      <c r="C70" s="4834">
        <f t="shared" si="6"/>
        <v>1.0233825224504051E-4</v>
      </c>
      <c r="D70" s="3" t="str">
        <f t="shared" si="7"/>
        <v>2012</v>
      </c>
      <c r="J70" s="4836">
        <v>41003</v>
      </c>
      <c r="K70" s="4837">
        <v>52116.360187745951</v>
      </c>
      <c r="L70" s="4834">
        <f t="shared" si="9"/>
        <v>3.5881232367708568E-5</v>
      </c>
      <c r="S70" s="270" t="s">
        <v>11149</v>
      </c>
      <c r="T70" s="4838">
        <v>1028.1808752647228</v>
      </c>
      <c r="U70" s="4839">
        <f t="shared" si="8"/>
        <v>2.0401444355605254E-4</v>
      </c>
    </row>
    <row r="71" spans="1:21">
      <c r="A71" s="270" t="s">
        <v>11150</v>
      </c>
      <c r="B71" s="3305">
        <v>8365.5</v>
      </c>
      <c r="C71" s="4834">
        <f t="shared" si="6"/>
        <v>1.136104984242887E-4</v>
      </c>
      <c r="D71" s="3" t="str">
        <f t="shared" si="7"/>
        <v>2012</v>
      </c>
      <c r="J71" s="4836">
        <v>41004</v>
      </c>
      <c r="K71" s="4837">
        <v>52437.867653432237</v>
      </c>
      <c r="L71" s="4834">
        <f t="shared" si="9"/>
        <v>3.4523621741874478E-5</v>
      </c>
      <c r="S71" s="270" t="s">
        <v>11150</v>
      </c>
      <c r="T71" s="4838">
        <v>1005.3538452009969</v>
      </c>
      <c r="U71" s="4839">
        <f t="shared" si="8"/>
        <v>2.6980585114279093E-4</v>
      </c>
    </row>
    <row r="72" spans="1:21">
      <c r="A72" s="270" t="s">
        <v>11151</v>
      </c>
      <c r="B72" s="3305">
        <v>8256</v>
      </c>
      <c r="C72" s="4834">
        <f t="shared" si="6"/>
        <v>1.2885343159610074E-4</v>
      </c>
      <c r="D72" s="3" t="str">
        <f t="shared" si="7"/>
        <v>2012</v>
      </c>
      <c r="J72" s="4836">
        <v>41009</v>
      </c>
      <c r="K72" s="4837">
        <v>52855.827358824397</v>
      </c>
      <c r="L72" s="4834">
        <f t="shared" si="9"/>
        <v>3.2745933271536955E-5</v>
      </c>
      <c r="S72" s="270" t="s">
        <v>11151</v>
      </c>
      <c r="T72" s="4838">
        <v>1014.3560542402128</v>
      </c>
      <c r="U72" s="4839">
        <f t="shared" si="8"/>
        <v>2.4214148930322738E-4</v>
      </c>
    </row>
    <row r="73" spans="1:21">
      <c r="A73" s="270" t="s">
        <v>11152</v>
      </c>
      <c r="B73" s="3305">
        <v>8115</v>
      </c>
      <c r="C73" s="4834">
        <f t="shared" si="6"/>
        <v>1.4975530928993289E-4</v>
      </c>
      <c r="D73" s="3" t="str">
        <f t="shared" si="7"/>
        <v>2012</v>
      </c>
      <c r="J73" s="4836">
        <v>41010</v>
      </c>
      <c r="K73" s="4837">
        <v>53305.937810785195</v>
      </c>
      <c r="L73" s="4834">
        <f t="shared" si="9"/>
        <v>3.0827418988017033E-5</v>
      </c>
      <c r="S73" s="270" t="s">
        <v>11152</v>
      </c>
      <c r="T73" s="4838">
        <v>1019.178666225507</v>
      </c>
      <c r="U73" s="4839">
        <f t="shared" si="8"/>
        <v>2.2825659782941269E-4</v>
      </c>
    </row>
    <row r="74" spans="1:21">
      <c r="A74" s="270" t="s">
        <v>11153</v>
      </c>
      <c r="B74" s="3305">
        <v>8185</v>
      </c>
      <c r="C74" s="4834">
        <f t="shared" si="6"/>
        <v>1.392166324522655E-4</v>
      </c>
      <c r="D74" s="3" t="str">
        <f t="shared" si="7"/>
        <v>2012</v>
      </c>
      <c r="J74" s="4836">
        <v>41011</v>
      </c>
      <c r="K74" s="4837">
        <v>53643.520649755788</v>
      </c>
      <c r="L74" s="4834">
        <f t="shared" si="9"/>
        <v>2.9393714631275442E-5</v>
      </c>
      <c r="S74" s="270" t="s">
        <v>11153</v>
      </c>
      <c r="T74" s="4838">
        <v>1011.7839945147225</v>
      </c>
      <c r="U74" s="4839">
        <f t="shared" si="8"/>
        <v>2.4981066318942026E-4</v>
      </c>
    </row>
    <row r="75" spans="1:21">
      <c r="A75" s="270" t="s">
        <v>11154</v>
      </c>
      <c r="B75" s="3305">
        <v>8165.5</v>
      </c>
      <c r="C75" s="4834">
        <f t="shared" si="6"/>
        <v>1.4212226501826718E-4</v>
      </c>
      <c r="D75" s="3" t="str">
        <f t="shared" si="7"/>
        <v>2012</v>
      </c>
      <c r="J75" s="4836">
        <v>41012</v>
      </c>
      <c r="K75" s="4837">
        <v>53579.219156618528</v>
      </c>
      <c r="L75" s="4834">
        <f t="shared" si="9"/>
        <v>2.9666156007358358E-5</v>
      </c>
      <c r="S75" s="270" t="s">
        <v>11154</v>
      </c>
      <c r="T75" s="4838">
        <v>1040.7196664264877</v>
      </c>
      <c r="U75" s="4839">
        <f t="shared" si="8"/>
        <v>1.7370406984132964E-4</v>
      </c>
    </row>
    <row r="76" spans="1:21">
      <c r="A76" s="270" t="s">
        <v>11155</v>
      </c>
      <c r="B76" s="3305">
        <v>8054</v>
      </c>
      <c r="C76" s="4834">
        <f t="shared" si="6"/>
        <v>1.5916233493292974E-4</v>
      </c>
      <c r="D76" s="3" t="str">
        <f t="shared" si="7"/>
        <v>2012</v>
      </c>
      <c r="J76" s="4836">
        <v>41015</v>
      </c>
      <c r="K76" s="4837">
        <v>53145.184077942053</v>
      </c>
      <c r="L76" s="4834">
        <f t="shared" si="9"/>
        <v>3.1512257713425239E-5</v>
      </c>
      <c r="S76" s="270" t="s">
        <v>11155</v>
      </c>
      <c r="T76" s="4838">
        <v>1006.9613825294283</v>
      </c>
      <c r="U76" s="4839">
        <f t="shared" si="8"/>
        <v>2.6469559535324838E-4</v>
      </c>
    </row>
    <row r="77" spans="1:21">
      <c r="A77" s="270" t="s">
        <v>11156</v>
      </c>
      <c r="B77" s="3305">
        <v>8100.5</v>
      </c>
      <c r="C77" s="4834">
        <f t="shared" si="6"/>
        <v>1.5197396312729712E-4</v>
      </c>
      <c r="D77" s="3" t="str">
        <f t="shared" si="7"/>
        <v>2012</v>
      </c>
      <c r="J77" s="4836">
        <v>41016</v>
      </c>
      <c r="K77" s="4837">
        <v>52582.546012991064</v>
      </c>
      <c r="L77" s="4834">
        <f t="shared" si="9"/>
        <v>3.3909415732118527E-5</v>
      </c>
      <c r="S77" s="270" t="s">
        <v>11156</v>
      </c>
      <c r="T77" s="4838">
        <v>1017.2496214313893</v>
      </c>
      <c r="U77" s="4839">
        <f t="shared" si="8"/>
        <v>2.337338488547842E-4</v>
      </c>
    </row>
    <row r="78" spans="1:21">
      <c r="A78" s="270" t="s">
        <v>11157</v>
      </c>
      <c r="B78" s="3305">
        <v>8085</v>
      </c>
      <c r="C78" s="4834">
        <f t="shared" si="6"/>
        <v>1.5435802681948872E-4</v>
      </c>
      <c r="D78" s="3" t="str">
        <f t="shared" si="7"/>
        <v>2012</v>
      </c>
      <c r="J78" s="4836">
        <v>41017</v>
      </c>
      <c r="K78" s="4837">
        <v>52855.827358824397</v>
      </c>
      <c r="L78" s="4834">
        <f t="shared" si="9"/>
        <v>3.2745933271536955E-5</v>
      </c>
      <c r="S78" s="270" t="s">
        <v>11157</v>
      </c>
      <c r="T78" s="4838">
        <v>1016.2850990343304</v>
      </c>
      <c r="U78" s="4839">
        <f t="shared" si="8"/>
        <v>2.3651069509552695E-4</v>
      </c>
    </row>
    <row r="79" spans="1:21">
      <c r="A79" s="270" t="s">
        <v>11158</v>
      </c>
      <c r="B79" s="3305">
        <v>8045.5</v>
      </c>
      <c r="C79" s="4834">
        <f t="shared" si="6"/>
        <v>1.6048758466503471E-4</v>
      </c>
      <c r="D79" s="3" t="str">
        <f t="shared" si="7"/>
        <v>2012</v>
      </c>
      <c r="J79" s="4836">
        <v>41018</v>
      </c>
      <c r="K79" s="4837">
        <v>53048.73183823617</v>
      </c>
      <c r="L79" s="4834">
        <f t="shared" si="9"/>
        <v>3.1923463368584705E-5</v>
      </c>
      <c r="S79" s="270" t="s">
        <v>11158</v>
      </c>
      <c r="T79" s="4838">
        <v>1011.7839945147225</v>
      </c>
      <c r="U79" s="4839">
        <f t="shared" si="8"/>
        <v>2.4981066318942026E-4</v>
      </c>
    </row>
    <row r="80" spans="1:21">
      <c r="A80" s="270" t="s">
        <v>11159</v>
      </c>
      <c r="B80" s="3305">
        <v>8120.5</v>
      </c>
      <c r="C80" s="4834">
        <f t="shared" si="6"/>
        <v>1.4891678152563812E-4</v>
      </c>
      <c r="D80" s="3" t="str">
        <f t="shared" si="7"/>
        <v>2012</v>
      </c>
      <c r="J80" s="4836">
        <v>41019</v>
      </c>
      <c r="K80" s="4837">
        <v>52775.45049240283</v>
      </c>
      <c r="L80" s="4834">
        <f t="shared" si="9"/>
        <v>3.3088447496087995E-5</v>
      </c>
      <c r="S80" s="270" t="s">
        <v>11159</v>
      </c>
      <c r="T80" s="4838">
        <v>1022.0722334166834</v>
      </c>
      <c r="U80" s="4839">
        <f t="shared" si="8"/>
        <v>2.2022982117455886E-4</v>
      </c>
    </row>
    <row r="81" spans="1:21">
      <c r="A81" s="270" t="s">
        <v>11160</v>
      </c>
      <c r="B81" s="3305">
        <v>8125</v>
      </c>
      <c r="C81" s="4834">
        <f t="shared" si="6"/>
        <v>1.4823198017047609E-4</v>
      </c>
      <c r="D81" s="3" t="str">
        <f t="shared" si="7"/>
        <v>2012</v>
      </c>
      <c r="J81" s="4836">
        <v>41022</v>
      </c>
      <c r="K81" s="4837">
        <v>52373.566160294984</v>
      </c>
      <c r="L81" s="4834">
        <f t="shared" si="9"/>
        <v>3.479604123561293E-5</v>
      </c>
      <c r="S81" s="270" t="s">
        <v>11160</v>
      </c>
      <c r="T81" s="4838">
        <v>1001.8172630784479</v>
      </c>
      <c r="U81" s="4839">
        <f t="shared" si="8"/>
        <v>2.8131408206366295E-4</v>
      </c>
    </row>
    <row r="82" spans="1:21">
      <c r="A82" s="270" t="s">
        <v>11161</v>
      </c>
      <c r="B82" s="3305">
        <v>8194</v>
      </c>
      <c r="C82" s="4834">
        <f t="shared" si="6"/>
        <v>1.378838748714208E-4</v>
      </c>
      <c r="D82" s="3" t="str">
        <f t="shared" si="7"/>
        <v>2012</v>
      </c>
      <c r="J82" s="4836">
        <v>41023</v>
      </c>
      <c r="K82" s="4837">
        <v>53032.656464951855</v>
      </c>
      <c r="L82" s="4834">
        <f t="shared" si="9"/>
        <v>3.1992007535173258E-5</v>
      </c>
      <c r="S82" s="270" t="s">
        <v>11161</v>
      </c>
      <c r="T82" s="4838">
        <v>992.1720391078594</v>
      </c>
      <c r="U82" s="4839">
        <f t="shared" si="8"/>
        <v>3.1459740776619202E-4</v>
      </c>
    </row>
    <row r="83" spans="1:21">
      <c r="A83" s="270" t="s">
        <v>11162</v>
      </c>
      <c r="B83" s="3305">
        <v>8285.5</v>
      </c>
      <c r="C83" s="4834">
        <f t="shared" si="6"/>
        <v>1.2465440936631114E-4</v>
      </c>
      <c r="D83" s="3" t="str">
        <f t="shared" si="7"/>
        <v>2012</v>
      </c>
      <c r="J83" s="4836">
        <v>41024</v>
      </c>
      <c r="K83" s="4837">
        <v>52654.885192770482</v>
      </c>
      <c r="L83" s="4834">
        <f t="shared" si="9"/>
        <v>3.3601774445227659E-5</v>
      </c>
      <c r="S83" s="270" t="s">
        <v>11162</v>
      </c>
      <c r="T83" s="4838">
        <v>992.815054039232</v>
      </c>
      <c r="U83" s="4839">
        <f t="shared" si="8"/>
        <v>3.1229063704554935E-4</v>
      </c>
    </row>
    <row r="84" spans="1:21">
      <c r="A84" s="270" t="s">
        <v>11163</v>
      </c>
      <c r="B84" s="3305">
        <v>8356</v>
      </c>
      <c r="C84" s="4834">
        <f t="shared" si="6"/>
        <v>1.1489467457111788E-4</v>
      </c>
      <c r="D84" s="3" t="str">
        <f t="shared" si="7"/>
        <v>2012</v>
      </c>
      <c r="J84" s="4836">
        <v>41025</v>
      </c>
      <c r="K84" s="4837">
        <v>53161.259451226368</v>
      </c>
      <c r="L84" s="4834">
        <f t="shared" si="9"/>
        <v>3.1443739080443897E-5</v>
      </c>
      <c r="S84" s="270" t="s">
        <v>11163</v>
      </c>
      <c r="T84" s="4838">
        <v>987.02791965687902</v>
      </c>
      <c r="U84" s="4839">
        <f t="shared" si="8"/>
        <v>3.3351212421520719E-4</v>
      </c>
    </row>
    <row r="85" spans="1:21">
      <c r="A85" s="270" t="s">
        <v>11164</v>
      </c>
      <c r="B85" s="3305">
        <v>8443.5</v>
      </c>
      <c r="C85" s="4834">
        <f t="shared" si="6"/>
        <v>1.0335938020649214E-4</v>
      </c>
      <c r="D85" s="3" t="str">
        <f t="shared" si="7"/>
        <v>2012</v>
      </c>
      <c r="J85" s="4836">
        <v>41026</v>
      </c>
      <c r="K85" s="4837">
        <v>53482.766916912646</v>
      </c>
      <c r="L85" s="4834">
        <f t="shared" si="9"/>
        <v>3.0075451015334792E-5</v>
      </c>
      <c r="S85" s="270" t="s">
        <v>11164</v>
      </c>
      <c r="T85" s="4838">
        <v>1001.1742481470753</v>
      </c>
      <c r="U85" s="4839">
        <f t="shared" si="8"/>
        <v>2.8344607801593532E-4</v>
      </c>
    </row>
    <row r="86" spans="1:21">
      <c r="A86" s="270" t="s">
        <v>11165</v>
      </c>
      <c r="B86" s="3305">
        <v>8529.5</v>
      </c>
      <c r="C86" s="4834">
        <f t="shared" si="6"/>
        <v>9.2688211245355848E-5</v>
      </c>
      <c r="D86" s="3" t="str">
        <f t="shared" si="7"/>
        <v>2012</v>
      </c>
      <c r="J86" s="4836">
        <v>41029</v>
      </c>
      <c r="K86" s="4837">
        <v>53088.92027144695</v>
      </c>
      <c r="L86" s="4834">
        <f t="shared" si="9"/>
        <v>3.1752112161888796E-5</v>
      </c>
      <c r="S86" s="270" t="s">
        <v>11165</v>
      </c>
      <c r="T86" s="4838">
        <v>1003.103292941193</v>
      </c>
      <c r="U86" s="4839">
        <f t="shared" si="8"/>
        <v>2.770867573308808E-4</v>
      </c>
    </row>
    <row r="87" spans="1:21">
      <c r="A87" s="270" t="s">
        <v>11166</v>
      </c>
      <c r="B87" s="3305">
        <v>8528</v>
      </c>
      <c r="C87" s="4834">
        <f t="shared" si="6"/>
        <v>9.2868476048194821E-5</v>
      </c>
      <c r="D87" s="3" t="str">
        <f t="shared" si="7"/>
        <v>2012</v>
      </c>
      <c r="J87" s="4836">
        <v>41030</v>
      </c>
      <c r="K87" s="4837">
        <v>53498.842290196961</v>
      </c>
      <c r="L87" s="4834">
        <f t="shared" si="9"/>
        <v>3.000718674163215E-5</v>
      </c>
      <c r="S87" s="270" t="s">
        <v>11166</v>
      </c>
      <c r="T87" s="4838">
        <v>989.59997938236927</v>
      </c>
      <c r="U87" s="4839">
        <f t="shared" si="8"/>
        <v>3.239520251970573E-4</v>
      </c>
    </row>
    <row r="88" spans="1:21">
      <c r="A88" s="270" t="s">
        <v>11167</v>
      </c>
      <c r="B88" s="3305">
        <v>8401</v>
      </c>
      <c r="C88" s="4834">
        <f t="shared" si="6"/>
        <v>1.088794016744201E-4</v>
      </c>
      <c r="D88" s="3" t="str">
        <f t="shared" si="7"/>
        <v>2012</v>
      </c>
      <c r="J88" s="4836">
        <v>41031</v>
      </c>
      <c r="K88" s="4837">
        <v>52984.430345098917</v>
      </c>
      <c r="L88" s="4834">
        <f t="shared" si="9"/>
        <v>3.2197644589092209E-5</v>
      </c>
      <c r="S88" s="270" t="s">
        <v>11167</v>
      </c>
      <c r="T88" s="4838">
        <v>981.24078527452593</v>
      </c>
      <c r="U88" s="4839">
        <f t="shared" si="8"/>
        <v>3.5578301686291366E-4</v>
      </c>
    </row>
    <row r="89" spans="1:21">
      <c r="A89" s="270" t="s">
        <v>11168</v>
      </c>
      <c r="B89" s="3305">
        <v>8318</v>
      </c>
      <c r="C89" s="4834">
        <f t="shared" si="6"/>
        <v>1.2010579556358401E-4</v>
      </c>
      <c r="D89" s="3" t="str">
        <f t="shared" si="7"/>
        <v>2012</v>
      </c>
      <c r="J89" s="4836">
        <v>41032</v>
      </c>
      <c r="K89" s="4837">
        <v>52654.885192770482</v>
      </c>
      <c r="L89" s="4834">
        <f t="shared" si="9"/>
        <v>3.3601774445227659E-5</v>
      </c>
      <c r="S89" s="270" t="s">
        <v>11168</v>
      </c>
      <c r="T89" s="4838">
        <v>976.09666582354544</v>
      </c>
      <c r="U89" s="4839">
        <f t="shared" si="8"/>
        <v>3.7647602603663069E-4</v>
      </c>
    </row>
    <row r="90" spans="1:21">
      <c r="A90" s="270" t="s">
        <v>11169</v>
      </c>
      <c r="B90" s="3305">
        <v>8296</v>
      </c>
      <c r="C90" s="4834">
        <f t="shared" si="6"/>
        <v>1.2317582584212697E-4</v>
      </c>
      <c r="D90" s="3" t="str">
        <f t="shared" si="7"/>
        <v>2012</v>
      </c>
      <c r="J90" s="4836">
        <v>41033</v>
      </c>
      <c r="K90" s="4837">
        <v>52847.789672182247</v>
      </c>
      <c r="L90" s="4834">
        <f t="shared" si="9"/>
        <v>3.2780192472083344E-5</v>
      </c>
      <c r="S90" s="270" t="s">
        <v>11169</v>
      </c>
      <c r="T90" s="4838">
        <v>961.30732240197653</v>
      </c>
      <c r="U90" s="4839">
        <f t="shared" si="8"/>
        <v>4.407741556597357E-4</v>
      </c>
    </row>
    <row r="91" spans="1:21">
      <c r="A91" s="270" t="s">
        <v>11170</v>
      </c>
      <c r="B91" s="3305">
        <v>8234</v>
      </c>
      <c r="C91" s="4834">
        <f t="shared" si="6"/>
        <v>1.3202677885055934E-4</v>
      </c>
      <c r="D91" s="3" t="str">
        <f t="shared" si="7"/>
        <v>2012</v>
      </c>
      <c r="J91" s="4836">
        <v>41037</v>
      </c>
      <c r="K91" s="4837">
        <v>51521.57137622634</v>
      </c>
      <c r="L91" s="4834">
        <f t="shared" si="9"/>
        <v>3.8350514876645066E-5</v>
      </c>
      <c r="S91" s="270" t="s">
        <v>11170</v>
      </c>
      <c r="T91" s="4838">
        <v>951.01908350001565</v>
      </c>
      <c r="U91" s="4839">
        <f t="shared" si="8"/>
        <v>4.8978808517896057E-4</v>
      </c>
    </row>
    <row r="92" spans="1:21">
      <c r="A92" s="270" t="s">
        <v>11171</v>
      </c>
      <c r="B92" s="3305">
        <v>8089</v>
      </c>
      <c r="C92" s="4834">
        <f t="shared" si="6"/>
        <v>1.5374158823283645E-4</v>
      </c>
      <c r="D92" s="3" t="str">
        <f t="shared" si="7"/>
        <v>2012</v>
      </c>
      <c r="J92" s="4836">
        <v>41038</v>
      </c>
      <c r="K92" s="4837">
        <v>50878.556444853777</v>
      </c>
      <c r="L92" s="4834">
        <f t="shared" si="9"/>
        <v>4.0923513781870917E-5</v>
      </c>
      <c r="S92" s="270" t="s">
        <v>11171</v>
      </c>
      <c r="T92" s="4838">
        <v>924.97697877942699</v>
      </c>
      <c r="U92" s="4839">
        <f t="shared" si="8"/>
        <v>6.297272763370437E-4</v>
      </c>
    </row>
    <row r="93" spans="1:21">
      <c r="A93" s="270" t="s">
        <v>11172</v>
      </c>
      <c r="B93" s="3305">
        <v>8195.5</v>
      </c>
      <c r="C93" s="4834">
        <f t="shared" si="6"/>
        <v>1.3766226860764441E-4</v>
      </c>
      <c r="D93" s="3" t="str">
        <f t="shared" si="7"/>
        <v>2012</v>
      </c>
      <c r="J93" s="4836">
        <v>41039</v>
      </c>
      <c r="K93" s="4837">
        <v>51392.968389951828</v>
      </c>
      <c r="L93" s="4834">
        <f t="shared" si="9"/>
        <v>3.8874488732864557E-5</v>
      </c>
      <c r="S93" s="270" t="s">
        <v>11172</v>
      </c>
      <c r="T93" s="4838">
        <v>940.40933713236836</v>
      </c>
      <c r="U93" s="4839">
        <f t="shared" si="8"/>
        <v>5.4405835309502201E-4</v>
      </c>
    </row>
    <row r="94" spans="1:21">
      <c r="A94" s="270" t="s">
        <v>11173</v>
      </c>
      <c r="B94" s="3305">
        <v>8080</v>
      </c>
      <c r="C94" s="4834">
        <f t="shared" si="6"/>
        <v>1.5512972171001819E-4</v>
      </c>
      <c r="D94" s="3" t="str">
        <f t="shared" si="7"/>
        <v>2012</v>
      </c>
      <c r="J94" s="4836">
        <v>41040</v>
      </c>
      <c r="K94" s="4837">
        <v>50894.631818138092</v>
      </c>
      <c r="L94" s="4834">
        <f t="shared" si="9"/>
        <v>4.086075986337708E-5</v>
      </c>
      <c r="S94" s="270" t="s">
        <v>11173</v>
      </c>
      <c r="T94" s="4838">
        <v>918.86833693138772</v>
      </c>
      <c r="U94" s="4839">
        <f t="shared" si="8"/>
        <v>6.6580883468006741E-4</v>
      </c>
    </row>
    <row r="95" spans="1:21">
      <c r="A95" s="270" t="s">
        <v>11174</v>
      </c>
      <c r="B95" s="3305">
        <v>7980</v>
      </c>
      <c r="C95" s="4834">
        <f t="shared" si="6"/>
        <v>1.7080033732745802E-4</v>
      </c>
      <c r="D95" s="3" t="str">
        <f t="shared" si="7"/>
        <v>2012</v>
      </c>
      <c r="J95" s="4836">
        <v>41043</v>
      </c>
      <c r="K95" s="4837">
        <v>50106.938527206708</v>
      </c>
      <c r="L95" s="4834">
        <f t="shared" si="9"/>
        <v>4.3816535485004308E-5</v>
      </c>
      <c r="S95" s="270" t="s">
        <v>11174</v>
      </c>
      <c r="T95" s="4838">
        <v>910.83065028923056</v>
      </c>
      <c r="U95" s="4839">
        <f t="shared" si="8"/>
        <v>7.1511276276276642E-4</v>
      </c>
    </row>
    <row r="96" spans="1:21">
      <c r="A96" s="270" t="s">
        <v>11175</v>
      </c>
      <c r="B96" s="3305">
        <v>7854</v>
      </c>
      <c r="C96" s="4834">
        <f t="shared" si="6"/>
        <v>1.9099439204757512E-4</v>
      </c>
      <c r="D96" s="3" t="str">
        <f t="shared" si="7"/>
        <v>2012</v>
      </c>
      <c r="J96" s="4836">
        <v>41044</v>
      </c>
      <c r="K96" s="4837">
        <v>50042.637034069448</v>
      </c>
      <c r="L96" s="4834">
        <f t="shared" si="9"/>
        <v>4.4045794282283265E-5</v>
      </c>
      <c r="S96" s="270" t="s">
        <v>11175</v>
      </c>
      <c r="T96" s="4838">
        <v>909.22311296079943</v>
      </c>
      <c r="U96" s="4839">
        <f t="shared" si="8"/>
        <v>7.2521808704383364E-4</v>
      </c>
    </row>
    <row r="97" spans="1:21">
      <c r="A97" s="270" t="s">
        <v>11176</v>
      </c>
      <c r="B97" s="3305">
        <v>7710</v>
      </c>
      <c r="C97" s="4834">
        <f t="shared" si="6"/>
        <v>2.1421465388616072E-4</v>
      </c>
      <c r="D97" s="3" t="str">
        <f t="shared" si="7"/>
        <v>2012</v>
      </c>
      <c r="J97" s="4836">
        <v>41045</v>
      </c>
      <c r="K97" s="4837">
        <v>49785.43106152043</v>
      </c>
      <c r="L97" s="4834">
        <f t="shared" si="9"/>
        <v>4.4942130183615154E-5</v>
      </c>
      <c r="S97" s="270" t="s">
        <v>11176</v>
      </c>
      <c r="T97" s="4838">
        <v>876.10784399511249</v>
      </c>
      <c r="U97" s="4839">
        <f t="shared" si="8"/>
        <v>9.501297240195769E-4</v>
      </c>
    </row>
    <row r="98" spans="1:21">
      <c r="A98" s="270" t="s">
        <v>11177</v>
      </c>
      <c r="B98" s="3305">
        <v>7708</v>
      </c>
      <c r="C98" s="4834">
        <f t="shared" si="6"/>
        <v>2.1453537235814033E-4</v>
      </c>
      <c r="D98" s="3" t="str">
        <f t="shared" si="7"/>
        <v>2012</v>
      </c>
      <c r="J98" s="4836">
        <v>41046</v>
      </c>
      <c r="K98" s="4837">
        <v>49962.260167647881</v>
      </c>
      <c r="L98" s="4834">
        <f t="shared" si="9"/>
        <v>4.432951304244074E-5</v>
      </c>
      <c r="S98" s="270" t="s">
        <v>11177</v>
      </c>
      <c r="T98" s="4838">
        <v>883.50251570589694</v>
      </c>
      <c r="U98" s="4839">
        <f t="shared" si="8"/>
        <v>8.973189758547524E-4</v>
      </c>
    </row>
    <row r="99" spans="1:21">
      <c r="A99" s="270" t="s">
        <v>11178</v>
      </c>
      <c r="B99" s="3305">
        <v>7795.5</v>
      </c>
      <c r="C99" s="4834">
        <f t="shared" si="6"/>
        <v>2.0044192982854832E-4</v>
      </c>
      <c r="D99" s="3" t="str">
        <f t="shared" si="7"/>
        <v>2012</v>
      </c>
      <c r="J99" s="4836">
        <v>41047</v>
      </c>
      <c r="K99" s="4837">
        <v>51103.61167083418</v>
      </c>
      <c r="L99" s="4834">
        <f t="shared" si="9"/>
        <v>4.0037067464573854E-5</v>
      </c>
      <c r="S99" s="270" t="s">
        <v>11178</v>
      </c>
      <c r="T99" s="4838">
        <v>915.65326227452488</v>
      </c>
      <c r="U99" s="4839">
        <f t="shared" si="8"/>
        <v>6.8528376164441439E-4</v>
      </c>
    </row>
    <row r="100" spans="1:21">
      <c r="A100" s="270" t="s">
        <v>11179</v>
      </c>
      <c r="B100" s="3305">
        <v>7800.5</v>
      </c>
      <c r="C100" s="4834">
        <f t="shared" si="6"/>
        <v>1.9963432778934227E-4</v>
      </c>
      <c r="D100" s="3" t="str">
        <f t="shared" si="7"/>
        <v>2012</v>
      </c>
      <c r="J100" s="4836">
        <v>41050</v>
      </c>
      <c r="K100" s="4837">
        <v>51200.063910540062</v>
      </c>
      <c r="L100" s="4834">
        <f t="shared" si="9"/>
        <v>3.9652228594101099E-5</v>
      </c>
      <c r="S100" s="270" t="s">
        <v>11179</v>
      </c>
      <c r="T100" s="4838">
        <v>912.75969508334845</v>
      </c>
      <c r="U100" s="4839">
        <f t="shared" si="8"/>
        <v>7.0309306913922366E-4</v>
      </c>
    </row>
    <row r="101" spans="1:21">
      <c r="A101" s="270" t="s">
        <v>11180</v>
      </c>
      <c r="B101" s="3305">
        <v>7775</v>
      </c>
      <c r="C101" s="4834">
        <f t="shared" si="6"/>
        <v>2.0375184125142812E-4</v>
      </c>
      <c r="D101" s="3" t="str">
        <f t="shared" si="7"/>
        <v>2012</v>
      </c>
      <c r="J101" s="4836">
        <v>41051</v>
      </c>
      <c r="K101" s="4837">
        <v>50878.556444853777</v>
      </c>
      <c r="L101" s="4834">
        <f t="shared" si="9"/>
        <v>4.0923513781870917E-5</v>
      </c>
      <c r="S101" s="270" t="s">
        <v>11180</v>
      </c>
      <c r="T101" s="4838">
        <v>902.47145618138745</v>
      </c>
      <c r="U101" s="4839">
        <f t="shared" si="8"/>
        <v>7.6852884444352583E-4</v>
      </c>
    </row>
    <row r="102" spans="1:21">
      <c r="A102" s="270" t="s">
        <v>11181</v>
      </c>
      <c r="B102" s="3305">
        <v>7630.5</v>
      </c>
      <c r="C102" s="4834">
        <f t="shared" si="6"/>
        <v>2.2687300317712346E-4</v>
      </c>
      <c r="D102" s="3" t="str">
        <f t="shared" si="7"/>
        <v>2012</v>
      </c>
      <c r="J102" s="4836">
        <v>41052</v>
      </c>
      <c r="K102" s="4837">
        <v>49801.506434804745</v>
      </c>
      <c r="L102" s="4834">
        <f t="shared" si="9"/>
        <v>4.4887111658859878E-5</v>
      </c>
      <c r="S102" s="270" t="s">
        <v>11181</v>
      </c>
      <c r="T102" s="4838">
        <v>892.50472474511275</v>
      </c>
      <c r="U102" s="4839">
        <f t="shared" si="8"/>
        <v>8.3494124589820215E-4</v>
      </c>
    </row>
    <row r="103" spans="1:21">
      <c r="A103" s="270" t="s">
        <v>11182</v>
      </c>
      <c r="B103" s="3305">
        <v>7660.5</v>
      </c>
      <c r="C103" s="4834">
        <f t="shared" si="6"/>
        <v>2.2212077458750492E-4</v>
      </c>
      <c r="D103" s="3" t="str">
        <f t="shared" si="7"/>
        <v>2012</v>
      </c>
      <c r="J103" s="4836">
        <v>41053</v>
      </c>
      <c r="K103" s="4837">
        <v>50428.445992892986</v>
      </c>
      <c r="L103" s="4834">
        <f t="shared" si="9"/>
        <v>4.2641387750729E-5</v>
      </c>
      <c r="S103" s="270" t="s">
        <v>11182</v>
      </c>
      <c r="T103" s="4838">
        <v>902.79296364707363</v>
      </c>
      <c r="U103" s="4839">
        <f t="shared" si="8"/>
        <v>7.6643505646829607E-4</v>
      </c>
    </row>
    <row r="104" spans="1:21">
      <c r="A104" s="270" t="s">
        <v>11183</v>
      </c>
      <c r="B104" s="3305">
        <v>7695.5</v>
      </c>
      <c r="C104" s="4834">
        <f t="shared" si="6"/>
        <v>2.1653766882305346E-4</v>
      </c>
      <c r="D104" s="3" t="str">
        <f t="shared" si="7"/>
        <v>2012</v>
      </c>
      <c r="J104" s="4836">
        <v>41054</v>
      </c>
      <c r="K104" s="4837">
        <v>50460.596739461616</v>
      </c>
      <c r="L104" s="4834">
        <f t="shared" si="9"/>
        <v>4.2521360331032944E-5</v>
      </c>
      <c r="S104" s="270" t="s">
        <v>11183</v>
      </c>
      <c r="T104" s="4838">
        <v>907.93708309805413</v>
      </c>
      <c r="U104" s="4839">
        <f t="shared" si="8"/>
        <v>7.3336012081831711E-4</v>
      </c>
    </row>
    <row r="105" spans="1:21">
      <c r="A105" s="270" t="s">
        <v>11184</v>
      </c>
      <c r="B105" s="3305">
        <v>7740</v>
      </c>
      <c r="C105" s="4834">
        <f t="shared" si="6"/>
        <v>2.0939390006022643E-4</v>
      </c>
      <c r="D105" s="3" t="str">
        <f t="shared" si="7"/>
        <v>2012</v>
      </c>
      <c r="J105" s="4836">
        <v>41057</v>
      </c>
      <c r="K105" s="4837">
        <v>50624.565546961618</v>
      </c>
      <c r="L105" s="4834">
        <f t="shared" si="9"/>
        <v>4.1902581222328567E-5</v>
      </c>
      <c r="S105" s="270" t="s">
        <v>11184</v>
      </c>
      <c r="T105" s="4838">
        <v>916.93929213726994</v>
      </c>
      <c r="U105" s="4839">
        <f t="shared" si="8"/>
        <v>6.7745402834689349E-4</v>
      </c>
    </row>
    <row r="106" spans="1:21">
      <c r="A106" s="270" t="s">
        <v>11185</v>
      </c>
      <c r="B106" s="3305">
        <v>7685.5</v>
      </c>
      <c r="C106" s="4834">
        <f t="shared" si="6"/>
        <v>2.1813656873555438E-4</v>
      </c>
      <c r="D106" s="3" t="str">
        <f t="shared" si="7"/>
        <v>2012</v>
      </c>
      <c r="J106" s="4836">
        <v>41058</v>
      </c>
      <c r="K106" s="4837">
        <v>50782.104205147894</v>
      </c>
      <c r="L106" s="4834">
        <f t="shared" si="9"/>
        <v>4.1298116831299961E-5</v>
      </c>
      <c r="S106" s="270" t="s">
        <v>11185</v>
      </c>
      <c r="T106" s="4838">
        <v>908.25859056374043</v>
      </c>
      <c r="U106" s="4839">
        <f t="shared" si="8"/>
        <v>7.3131981730132614E-4</v>
      </c>
    </row>
    <row r="107" spans="1:21">
      <c r="A107" s="270" t="s">
        <v>11186</v>
      </c>
      <c r="B107" s="3305">
        <v>7545</v>
      </c>
      <c r="C107" s="4834">
        <f t="shared" si="6"/>
        <v>2.4018897818998248E-4</v>
      </c>
      <c r="D107" s="3" t="str">
        <f t="shared" si="7"/>
        <v>2012</v>
      </c>
      <c r="J107" s="4836">
        <v>41059</v>
      </c>
      <c r="K107" s="4837">
        <v>49512.149715687097</v>
      </c>
      <c r="L107" s="4834">
        <f t="shared" si="9"/>
        <v>4.5855869865124518E-5</v>
      </c>
      <c r="S107" s="270" t="s">
        <v>11186</v>
      </c>
      <c r="T107" s="4838">
        <v>889.9326650196225</v>
      </c>
      <c r="U107" s="4839">
        <f t="shared" si="8"/>
        <v>8.5253942854784958E-4</v>
      </c>
    </row>
    <row r="108" spans="1:21">
      <c r="A108" s="270" t="s">
        <v>11187</v>
      </c>
      <c r="B108" s="3305">
        <v>7517</v>
      </c>
      <c r="C108" s="4834">
        <f t="shared" si="6"/>
        <v>2.4445799991281868E-4</v>
      </c>
      <c r="D108" s="3" t="str">
        <f t="shared" si="7"/>
        <v>2012</v>
      </c>
      <c r="J108" s="4836">
        <v>41060</v>
      </c>
      <c r="K108" s="4837">
        <v>50090.863153922393</v>
      </c>
      <c r="L108" s="4834">
        <f t="shared" si="9"/>
        <v>4.3874037763279686E-5</v>
      </c>
      <c r="S108" s="270" t="s">
        <v>11187</v>
      </c>
      <c r="T108" s="4838">
        <v>903.43597857844634</v>
      </c>
      <c r="U108" s="4839">
        <f t="shared" si="8"/>
        <v>7.6225679225030562E-4</v>
      </c>
    </row>
    <row r="109" spans="1:21">
      <c r="A109" s="270" t="s">
        <v>11188</v>
      </c>
      <c r="B109" s="3305">
        <v>7364</v>
      </c>
      <c r="C109" s="4834">
        <f t="shared" si="6"/>
        <v>2.6668452388599675E-4</v>
      </c>
      <c r="D109" s="3" t="str">
        <f t="shared" si="7"/>
        <v>2012</v>
      </c>
      <c r="J109" s="4836">
        <v>41061</v>
      </c>
      <c r="K109" s="4837">
        <v>51634.098989216538</v>
      </c>
      <c r="L109" s="4834">
        <f t="shared" si="9"/>
        <v>3.7888774971503407E-5</v>
      </c>
      <c r="S109" s="270" t="s">
        <v>11188</v>
      </c>
      <c r="T109" s="4838">
        <v>880.2874410490341</v>
      </c>
      <c r="U109" s="4839">
        <f t="shared" si="8"/>
        <v>9.2011316951386385E-4</v>
      </c>
    </row>
    <row r="110" spans="1:21">
      <c r="A110" s="270" t="s">
        <v>11189</v>
      </c>
      <c r="B110" s="3305">
        <v>7459.5</v>
      </c>
      <c r="C110" s="4834">
        <f t="shared" si="6"/>
        <v>2.5304851094166785E-4</v>
      </c>
      <c r="D110" s="3" t="str">
        <f t="shared" si="7"/>
        <v>2012</v>
      </c>
      <c r="J110" s="4836">
        <v>41066</v>
      </c>
      <c r="K110" s="4837">
        <v>52566.470639706749</v>
      </c>
      <c r="L110" s="4834">
        <f t="shared" si="9"/>
        <v>3.3977736550934491E-5</v>
      </c>
      <c r="S110" s="270" t="s">
        <v>11189</v>
      </c>
      <c r="T110" s="4838">
        <v>943.9459192549175</v>
      </c>
      <c r="U110" s="4839">
        <f t="shared" si="8"/>
        <v>5.2554750007269475E-4</v>
      </c>
    </row>
    <row r="111" spans="1:21">
      <c r="A111" s="270" t="s">
        <v>11190</v>
      </c>
      <c r="B111" s="3305">
        <v>7480.5</v>
      </c>
      <c r="C111" s="4834">
        <f t="shared" si="6"/>
        <v>2.4994060465955244E-4</v>
      </c>
      <c r="D111" s="3" t="str">
        <f t="shared" si="7"/>
        <v>2012</v>
      </c>
      <c r="J111" s="4836">
        <v>41067</v>
      </c>
      <c r="K111" s="4837">
        <v>51634.098989216538</v>
      </c>
      <c r="L111" s="4834">
        <f t="shared" si="9"/>
        <v>3.7888774971503407E-5</v>
      </c>
      <c r="S111" s="270" t="s">
        <v>11190</v>
      </c>
      <c r="T111" s="4838">
        <v>941.37385952942736</v>
      </c>
      <c r="U111" s="4839">
        <f t="shared" si="8"/>
        <v>5.3896824543338219E-4</v>
      </c>
    </row>
    <row r="112" spans="1:21">
      <c r="A112" s="270" t="s">
        <v>11191</v>
      </c>
      <c r="B112" s="3305">
        <v>7251.5</v>
      </c>
      <c r="C112" s="4834">
        <f t="shared" si="6"/>
        <v>2.8148619725529484E-4</v>
      </c>
      <c r="D112" s="3" t="str">
        <f t="shared" si="7"/>
        <v>2012</v>
      </c>
      <c r="J112" s="4836">
        <v>41068</v>
      </c>
      <c r="K112" s="4837">
        <v>50685.651965442012</v>
      </c>
      <c r="L112" s="4834">
        <f t="shared" si="9"/>
        <v>4.1669317106491304E-5</v>
      </c>
      <c r="S112" s="270" t="s">
        <v>11191</v>
      </c>
      <c r="T112" s="4838">
        <v>905.68653083825029</v>
      </c>
      <c r="U112" s="4839">
        <f t="shared" si="8"/>
        <v>7.4773123502351884E-4</v>
      </c>
    </row>
    <row r="113" spans="1:21">
      <c r="A113" s="270" t="s">
        <v>11192</v>
      </c>
      <c r="B113" s="3305">
        <v>7396</v>
      </c>
      <c r="C113" s="4834">
        <f t="shared" si="6"/>
        <v>2.6221323261836421E-4</v>
      </c>
      <c r="D113" s="3" t="str">
        <f t="shared" si="7"/>
        <v>2012</v>
      </c>
      <c r="J113" s="4836">
        <v>41071</v>
      </c>
      <c r="K113" s="4837">
        <v>50926.782564706722</v>
      </c>
      <c r="L113" s="4834">
        <f t="shared" si="9"/>
        <v>4.0734984059059994E-5</v>
      </c>
      <c r="S113" s="270" t="s">
        <v>11192</v>
      </c>
      <c r="T113" s="4838">
        <v>920.47587425981908</v>
      </c>
      <c r="U113" s="4839">
        <f t="shared" si="8"/>
        <v>6.5619612467659972E-4</v>
      </c>
    </row>
    <row r="114" spans="1:21">
      <c r="A114" s="270" t="s">
        <v>11193</v>
      </c>
      <c r="B114" s="3305">
        <v>7384</v>
      </c>
      <c r="C114" s="4834">
        <f t="shared" si="6"/>
        <v>2.6390225484788828E-4</v>
      </c>
      <c r="D114" s="3" t="str">
        <f t="shared" si="7"/>
        <v>2012</v>
      </c>
      <c r="J114" s="4836">
        <v>41072</v>
      </c>
      <c r="K114" s="4837">
        <v>51553.722122794963</v>
      </c>
      <c r="L114" s="4834">
        <f t="shared" si="9"/>
        <v>3.8218888182654532E-5</v>
      </c>
      <c r="S114" s="270" t="s">
        <v>11193</v>
      </c>
      <c r="T114" s="4838">
        <v>917.58230706864254</v>
      </c>
      <c r="U114" s="4839">
        <f t="shared" si="8"/>
        <v>6.7355901331856924E-4</v>
      </c>
    </row>
    <row r="115" spans="1:21">
      <c r="A115" s="270" t="s">
        <v>11194</v>
      </c>
      <c r="B115" s="3305">
        <v>7397.5</v>
      </c>
      <c r="C115" s="4834">
        <f t="shared" si="6"/>
        <v>2.6200109531671241E-4</v>
      </c>
      <c r="D115" s="3" t="str">
        <f t="shared" si="7"/>
        <v>2012</v>
      </c>
      <c r="J115" s="4836">
        <v>41073</v>
      </c>
      <c r="K115" s="4837">
        <v>52068.134067893014</v>
      </c>
      <c r="L115" s="4834">
        <f t="shared" si="9"/>
        <v>3.6083758679592728E-5</v>
      </c>
      <c r="S115" s="270" t="s">
        <v>11194</v>
      </c>
      <c r="T115" s="4838">
        <v>928.19205343628983</v>
      </c>
      <c r="U115" s="4839">
        <f t="shared" si="8"/>
        <v>6.1122740063458681E-4</v>
      </c>
    </row>
    <row r="116" spans="1:21">
      <c r="A116" s="270" t="s">
        <v>11195</v>
      </c>
      <c r="B116" s="3305">
        <v>7376.5</v>
      </c>
      <c r="C116" s="4834">
        <f t="shared" si="6"/>
        <v>2.6495047912594201E-4</v>
      </c>
      <c r="D116" s="3" t="str">
        <f t="shared" si="7"/>
        <v>2012</v>
      </c>
      <c r="J116" s="4836">
        <v>41074</v>
      </c>
      <c r="K116" s="4837">
        <v>51875.229588481248</v>
      </c>
      <c r="L116" s="4834">
        <f t="shared" si="9"/>
        <v>3.6890237447320216E-5</v>
      </c>
      <c r="S116" s="270" t="s">
        <v>11195</v>
      </c>
      <c r="T116" s="4838">
        <v>928.51356090197612</v>
      </c>
      <c r="U116" s="4839">
        <f t="shared" si="8"/>
        <v>6.0939616028362167E-4</v>
      </c>
    </row>
    <row r="117" spans="1:21">
      <c r="A117" s="270" t="s">
        <v>11196</v>
      </c>
      <c r="B117" s="3305">
        <v>7521</v>
      </c>
      <c r="C117" s="4834">
        <f t="shared" si="6"/>
        <v>2.4385133957458276E-4</v>
      </c>
      <c r="D117" s="3" t="str">
        <f t="shared" si="7"/>
        <v>2012</v>
      </c>
      <c r="J117" s="4836">
        <v>41075</v>
      </c>
      <c r="K117" s="4837">
        <v>52317.302353799882</v>
      </c>
      <c r="L117" s="4834">
        <f t="shared" si="9"/>
        <v>3.5034077036487131E-5</v>
      </c>
      <c r="S117" s="270" t="s">
        <v>11196</v>
      </c>
      <c r="T117" s="4838">
        <v>921.44039665687797</v>
      </c>
      <c r="U117" s="4839">
        <f t="shared" si="8"/>
        <v>6.5046866818193943E-4</v>
      </c>
    </row>
    <row r="118" spans="1:21">
      <c r="A118" s="270" t="s">
        <v>11197</v>
      </c>
      <c r="B118" s="3305">
        <v>7475.5</v>
      </c>
      <c r="C118" s="4834">
        <f t="shared" si="6"/>
        <v>2.5068379678054391E-4</v>
      </c>
      <c r="D118" s="3" t="str">
        <f t="shared" si="7"/>
        <v>2012</v>
      </c>
      <c r="J118" s="4836">
        <v>41078</v>
      </c>
      <c r="K118" s="4837">
        <v>51939.531081618501</v>
      </c>
      <c r="L118" s="4834">
        <f t="shared" si="9"/>
        <v>3.6622096313825821E-5</v>
      </c>
      <c r="S118" s="270" t="s">
        <v>11197</v>
      </c>
      <c r="T118" s="4838">
        <v>914.04572494609351</v>
      </c>
      <c r="U118" s="4839">
        <f t="shared" si="8"/>
        <v>6.9514505240087919E-4</v>
      </c>
    </row>
    <row r="119" spans="1:21">
      <c r="A119" s="270" t="s">
        <v>11198</v>
      </c>
      <c r="B119" s="3305">
        <v>7505.5</v>
      </c>
      <c r="C119" s="4834">
        <f t="shared" si="6"/>
        <v>2.4619591917998706E-4</v>
      </c>
      <c r="D119" s="3" t="str">
        <f t="shared" si="7"/>
        <v>2012</v>
      </c>
      <c r="J119" s="4836">
        <v>41079</v>
      </c>
      <c r="K119" s="4837">
        <v>52261.038547304786</v>
      </c>
      <c r="L119" s="4834">
        <f t="shared" si="9"/>
        <v>3.527177352820754E-5</v>
      </c>
      <c r="S119" s="270" t="s">
        <v>11198</v>
      </c>
      <c r="T119" s="4838">
        <v>926.26300864217217</v>
      </c>
      <c r="U119" s="4839">
        <f t="shared" si="8"/>
        <v>6.2228649009958288E-4</v>
      </c>
    </row>
    <row r="120" spans="1:21">
      <c r="A120" s="270" t="s">
        <v>11199</v>
      </c>
      <c r="B120" s="3305">
        <v>7555.5</v>
      </c>
      <c r="C120" s="4834">
        <f t="shared" si="6"/>
        <v>2.3857518972344638E-4</v>
      </c>
      <c r="D120" s="3" t="str">
        <f t="shared" si="7"/>
        <v>2012</v>
      </c>
      <c r="J120" s="4836">
        <v>41080</v>
      </c>
      <c r="K120" s="4837">
        <v>51473.345256373403</v>
      </c>
      <c r="L120" s="4834">
        <f t="shared" si="9"/>
        <v>3.8547488817252797E-5</v>
      </c>
      <c r="S120" s="270" t="s">
        <v>11199</v>
      </c>
      <c r="T120" s="4838">
        <v>910.18763535785808</v>
      </c>
      <c r="U120" s="4839">
        <f t="shared" si="8"/>
        <v>7.1914522985546932E-4</v>
      </c>
    </row>
    <row r="121" spans="1:21">
      <c r="A121" s="270" t="s">
        <v>11200</v>
      </c>
      <c r="B121" s="3305">
        <v>7426</v>
      </c>
      <c r="C121" s="4834">
        <f t="shared" si="6"/>
        <v>2.5792931264345442E-4</v>
      </c>
      <c r="D121" s="3" t="str">
        <f t="shared" si="7"/>
        <v>2012</v>
      </c>
      <c r="J121" s="4836">
        <v>41081</v>
      </c>
      <c r="K121" s="4837">
        <v>50862.481071569469</v>
      </c>
      <c r="L121" s="4834">
        <f t="shared" si="9"/>
        <v>4.0986177431840017E-5</v>
      </c>
      <c r="S121" s="270" t="s">
        <v>11200</v>
      </c>
      <c r="T121" s="4838">
        <v>896.36281433334807</v>
      </c>
      <c r="U121" s="4839">
        <f t="shared" si="8"/>
        <v>8.0889219178612438E-4</v>
      </c>
    </row>
    <row r="122" spans="1:21">
      <c r="A122" s="270" t="s">
        <v>11201</v>
      </c>
      <c r="B122" s="3305">
        <v>7320</v>
      </c>
      <c r="C122" s="4834">
        <f t="shared" si="6"/>
        <v>2.7265278883884929E-4</v>
      </c>
      <c r="D122" s="3" t="str">
        <f t="shared" si="7"/>
        <v>2012</v>
      </c>
      <c r="J122" s="4836">
        <v>41082</v>
      </c>
      <c r="K122" s="4837">
        <v>50331.993753187104</v>
      </c>
      <c r="L122" s="4834">
        <f t="shared" si="9"/>
        <v>4.2998806971704815E-5</v>
      </c>
      <c r="S122" s="270" t="s">
        <v>11201</v>
      </c>
      <c r="T122" s="4838">
        <v>861.96151550491618</v>
      </c>
      <c r="U122" s="4839">
        <f t="shared" si="8"/>
        <v>1.054668205160754E-3</v>
      </c>
    </row>
    <row r="123" spans="1:21">
      <c r="A123" s="270" t="s">
        <v>11202</v>
      </c>
      <c r="B123" s="3305">
        <v>7342.5</v>
      </c>
      <c r="C123" s="4834">
        <f t="shared" si="6"/>
        <v>2.6962786927620314E-4</v>
      </c>
      <c r="D123" s="3" t="str">
        <f t="shared" si="7"/>
        <v>2012</v>
      </c>
      <c r="J123" s="4836">
        <v>41085</v>
      </c>
      <c r="K123" s="4837">
        <v>50476.672112745931</v>
      </c>
      <c r="L123" s="4834">
        <f t="shared" si="9"/>
        <v>4.2461183331369466E-5</v>
      </c>
      <c r="S123" s="270" t="s">
        <v>11202</v>
      </c>
      <c r="T123" s="4838">
        <v>859.06794831373963</v>
      </c>
      <c r="U123" s="4839">
        <f t="shared" si="8"/>
        <v>1.0765540746906399E-3</v>
      </c>
    </row>
    <row r="124" spans="1:21">
      <c r="A124" s="270" t="s">
        <v>11203</v>
      </c>
      <c r="B124" s="3305">
        <v>7347</v>
      </c>
      <c r="C124" s="4834">
        <f t="shared" si="6"/>
        <v>2.6901601363956703E-4</v>
      </c>
      <c r="D124" s="3" t="str">
        <f t="shared" si="7"/>
        <v>2012</v>
      </c>
      <c r="J124" s="4836">
        <v>41086</v>
      </c>
      <c r="K124" s="4837">
        <v>50669.576592157697</v>
      </c>
      <c r="L124" s="4834">
        <f t="shared" si="9"/>
        <v>4.1730842257358566E-5</v>
      </c>
      <c r="S124" s="270" t="s">
        <v>11203</v>
      </c>
      <c r="T124" s="4838">
        <v>882.21648584315187</v>
      </c>
      <c r="U124" s="4839">
        <f t="shared" si="8"/>
        <v>9.0640512710754659E-4</v>
      </c>
    </row>
    <row r="125" spans="1:21">
      <c r="A125" s="270" t="s">
        <v>11204</v>
      </c>
      <c r="B125" s="3305">
        <v>7354</v>
      </c>
      <c r="C125" s="4834">
        <f t="shared" si="6"/>
        <v>2.6805979356133585E-4</v>
      </c>
      <c r="D125" s="3" t="str">
        <f t="shared" si="7"/>
        <v>2012</v>
      </c>
      <c r="J125" s="4836">
        <v>41087</v>
      </c>
      <c r="K125" s="4837">
        <v>50589.199725736129</v>
      </c>
      <c r="L125" s="4834">
        <f t="shared" si="9"/>
        <v>4.2036961776796078E-5</v>
      </c>
      <c r="S125" s="270" t="s">
        <v>11204</v>
      </c>
      <c r="T125" s="4838">
        <v>862.92603790197495</v>
      </c>
      <c r="U125" s="4839">
        <f t="shared" si="8"/>
        <v>1.0474080477737677E-3</v>
      </c>
    </row>
    <row r="126" spans="1:21">
      <c r="A126" s="270" t="s">
        <v>11205</v>
      </c>
      <c r="B126" s="3305">
        <v>7421</v>
      </c>
      <c r="C126" s="4834">
        <f t="shared" si="6"/>
        <v>2.5864919996770733E-4</v>
      </c>
      <c r="D126" s="3" t="str">
        <f t="shared" si="7"/>
        <v>2012</v>
      </c>
      <c r="J126" s="4836">
        <v>41088</v>
      </c>
      <c r="K126" s="4837">
        <v>50106.938527206708</v>
      </c>
      <c r="L126" s="4834">
        <f t="shared" si="9"/>
        <v>4.3816535485004308E-5</v>
      </c>
      <c r="S126" s="270" t="s">
        <v>11205</v>
      </c>
      <c r="T126" s="4838">
        <v>861.96151550491618</v>
      </c>
      <c r="U126" s="4839">
        <f t="shared" si="8"/>
        <v>1.054668205160754E-3</v>
      </c>
    </row>
    <row r="127" spans="1:21">
      <c r="A127" s="270" t="s">
        <v>11206</v>
      </c>
      <c r="B127" s="3305">
        <v>7604.5</v>
      </c>
      <c r="C127" s="4834">
        <f t="shared" si="6"/>
        <v>2.3096148573282957E-4</v>
      </c>
      <c r="D127" s="3" t="str">
        <f t="shared" si="7"/>
        <v>2012</v>
      </c>
      <c r="J127" s="4836">
        <v>41089</v>
      </c>
      <c r="K127" s="4837">
        <v>51392.968389951828</v>
      </c>
      <c r="L127" s="4834">
        <f t="shared" si="9"/>
        <v>3.8874488732864557E-5</v>
      </c>
      <c r="S127" s="270" t="s">
        <v>11206</v>
      </c>
      <c r="T127" s="4838">
        <v>870.6422170784457</v>
      </c>
      <c r="U127" s="4839">
        <f t="shared" si="8"/>
        <v>9.9000469294045833E-4</v>
      </c>
    </row>
    <row r="128" spans="1:21">
      <c r="A128" s="270" t="s">
        <v>11207</v>
      </c>
      <c r="B128" s="3305">
        <v>7647.5</v>
      </c>
      <c r="C128" s="4834">
        <f t="shared" si="6"/>
        <v>2.2418426582577572E-4</v>
      </c>
      <c r="D128" s="3" t="str">
        <f t="shared" si="7"/>
        <v>2012</v>
      </c>
      <c r="J128" s="4836">
        <v>41092</v>
      </c>
      <c r="K128" s="4837">
        <v>51183.98853725574</v>
      </c>
      <c r="L128" s="4834">
        <f t="shared" si="9"/>
        <v>3.9716562715990406E-5</v>
      </c>
      <c r="S128" s="270" t="s">
        <v>11207</v>
      </c>
      <c r="T128" s="4838">
        <v>879.64442611766162</v>
      </c>
      <c r="U128" s="4839">
        <f t="shared" si="8"/>
        <v>9.2470324606340861E-4</v>
      </c>
    </row>
    <row r="129" spans="1:21">
      <c r="A129" s="270" t="s">
        <v>11208</v>
      </c>
      <c r="B129" s="3305">
        <v>7777</v>
      </c>
      <c r="C129" s="4834">
        <f t="shared" si="6"/>
        <v>2.0342904391523848E-4</v>
      </c>
      <c r="D129" s="3" t="str">
        <f t="shared" si="7"/>
        <v>2012</v>
      </c>
      <c r="J129" s="4836">
        <v>41093</v>
      </c>
      <c r="K129" s="4837">
        <v>52003.832574755761</v>
      </c>
      <c r="L129" s="4834">
        <f t="shared" si="9"/>
        <v>3.635325533498108E-5</v>
      </c>
      <c r="S129" s="270" t="s">
        <v>11208</v>
      </c>
      <c r="T129" s="4838">
        <v>897.64884419609325</v>
      </c>
      <c r="U129" s="4839">
        <f t="shared" si="8"/>
        <v>8.0030384403936914E-4</v>
      </c>
    </row>
    <row r="130" spans="1:21">
      <c r="A130" s="270" t="s">
        <v>11209</v>
      </c>
      <c r="B130" s="3305">
        <v>7695.5</v>
      </c>
      <c r="C130" s="4834">
        <f t="shared" si="6"/>
        <v>2.1653766882305346E-4</v>
      </c>
      <c r="D130" s="3" t="str">
        <f t="shared" si="7"/>
        <v>2012</v>
      </c>
      <c r="J130" s="4836">
        <v>41094</v>
      </c>
      <c r="K130" s="4837">
        <v>51875.229588481248</v>
      </c>
      <c r="L130" s="4834">
        <f t="shared" si="9"/>
        <v>3.6890237447320216E-5</v>
      </c>
      <c r="S130" s="270" t="s">
        <v>11209</v>
      </c>
      <c r="T130" s="4838">
        <v>903.75748604413252</v>
      </c>
      <c r="U130" s="4839">
        <f t="shared" si="8"/>
        <v>7.6017232747038028E-4</v>
      </c>
    </row>
    <row r="131" spans="1:21">
      <c r="A131" s="270" t="s">
        <v>11210</v>
      </c>
      <c r="B131" s="3305">
        <v>7761.5</v>
      </c>
      <c r="C131" s="4834">
        <f t="shared" si="6"/>
        <v>2.0592977702716628E-4</v>
      </c>
      <c r="D131" s="3" t="str">
        <f t="shared" si="7"/>
        <v>2012</v>
      </c>
      <c r="J131" s="4836">
        <v>41095</v>
      </c>
      <c r="K131" s="4837">
        <v>51569.797496079285</v>
      </c>
      <c r="L131" s="4834">
        <f t="shared" si="9"/>
        <v>3.8152983730008758E-5</v>
      </c>
      <c r="S131" s="270" t="s">
        <v>11210</v>
      </c>
      <c r="T131" s="4838">
        <v>910.83065028923056</v>
      </c>
      <c r="U131" s="4839">
        <f t="shared" si="8"/>
        <v>7.1511276276276642E-4</v>
      </c>
    </row>
    <row r="132" spans="1:21">
      <c r="A132" s="270" t="s">
        <v>11211</v>
      </c>
      <c r="B132" s="3305">
        <v>7600</v>
      </c>
      <c r="C132" s="4834">
        <f t="shared" ref="C132:C195" si="10">_xlfn.NORM.DIST(B132,$F$4,$F$3,FALSE)</f>
        <v>2.3166593641399199E-4</v>
      </c>
      <c r="D132" s="3" t="str">
        <f t="shared" ref="D132:D195" si="11">LEFT(A132,4)</f>
        <v>2012</v>
      </c>
      <c r="J132" s="4836">
        <v>41096</v>
      </c>
      <c r="K132" s="4837">
        <v>51023.234804412612</v>
      </c>
      <c r="L132" s="4834">
        <f t="shared" si="9"/>
        <v>4.0355564016504646E-5</v>
      </c>
      <c r="S132" s="270" t="s">
        <v>11211</v>
      </c>
      <c r="T132" s="4838">
        <v>878.35839625491644</v>
      </c>
      <c r="U132" s="4839">
        <f t="shared" ref="U132:U195" si="12">_xlfn.NORM.DIST(T132,$X$4,$X$3,FALSE)</f>
        <v>9.3391405074259067E-4</v>
      </c>
    </row>
    <row r="133" spans="1:21">
      <c r="A133" s="270" t="s">
        <v>11212</v>
      </c>
      <c r="B133" s="3305">
        <v>7520.5</v>
      </c>
      <c r="C133" s="4834">
        <f t="shared" si="10"/>
        <v>2.43927232200069E-4</v>
      </c>
      <c r="D133" s="3" t="str">
        <f t="shared" si="11"/>
        <v>2012</v>
      </c>
      <c r="J133" s="4836">
        <v>41099</v>
      </c>
      <c r="K133" s="4837">
        <v>50958.933311275352</v>
      </c>
      <c r="L133" s="4834">
        <f t="shared" ref="L133:L196" si="13">_xlfn.NORM.DIST(K133,$O$4,$O$3,FALSE)</f>
        <v>4.0608855696628871E-5</v>
      </c>
      <c r="S133" s="270" t="s">
        <v>11212</v>
      </c>
      <c r="T133" s="4838">
        <v>875.78633652942619</v>
      </c>
      <c r="U133" s="4839">
        <f t="shared" si="12"/>
        <v>9.5245614844764498E-4</v>
      </c>
    </row>
    <row r="134" spans="1:21">
      <c r="A134" s="270" t="s">
        <v>11213</v>
      </c>
      <c r="B134" s="3305">
        <v>7556</v>
      </c>
      <c r="C134" s="4834">
        <f t="shared" si="10"/>
        <v>2.3849817581821827E-4</v>
      </c>
      <c r="D134" s="3" t="str">
        <f t="shared" si="11"/>
        <v>2012</v>
      </c>
      <c r="J134" s="4836">
        <v>41100</v>
      </c>
      <c r="K134" s="4837">
        <v>51288.478463603788</v>
      </c>
      <c r="L134" s="4834">
        <f t="shared" si="13"/>
        <v>3.9297050241941582E-5</v>
      </c>
      <c r="S134" s="270" t="s">
        <v>11213</v>
      </c>
      <c r="T134" s="4838">
        <v>886.39608289707348</v>
      </c>
      <c r="U134" s="4839">
        <f t="shared" si="12"/>
        <v>8.7703206912788107E-4</v>
      </c>
    </row>
    <row r="135" spans="1:21">
      <c r="A135" s="270" t="s">
        <v>11214</v>
      </c>
      <c r="B135" s="3305">
        <v>7525.5</v>
      </c>
      <c r="C135" s="4834">
        <f t="shared" si="10"/>
        <v>2.4316754126282625E-4</v>
      </c>
      <c r="D135" s="3" t="str">
        <f t="shared" si="11"/>
        <v>2012</v>
      </c>
      <c r="J135" s="4836">
        <v>41101</v>
      </c>
      <c r="K135" s="4837">
        <v>50701.727338726327</v>
      </c>
      <c r="L135" s="4834">
        <f t="shared" si="13"/>
        <v>4.1607693187932141E-5</v>
      </c>
      <c r="S135" s="270" t="s">
        <v>11214</v>
      </c>
      <c r="T135" s="4838">
        <v>871.60673947550458</v>
      </c>
      <c r="U135" s="4839">
        <f t="shared" si="12"/>
        <v>9.8291856321109359E-4</v>
      </c>
    </row>
    <row r="136" spans="1:21">
      <c r="A136" s="270" t="s">
        <v>11215</v>
      </c>
      <c r="B136" s="3305">
        <v>7510</v>
      </c>
      <c r="C136" s="4834">
        <f t="shared" si="10"/>
        <v>2.4551697879437816E-4</v>
      </c>
      <c r="D136" s="3" t="str">
        <f t="shared" si="11"/>
        <v>2012</v>
      </c>
      <c r="J136" s="4836">
        <v>41102</v>
      </c>
      <c r="K136" s="4837">
        <v>50034.599347427298</v>
      </c>
      <c r="L136" s="4834">
        <f t="shared" si="13"/>
        <v>4.4074310048470803E-5</v>
      </c>
      <c r="S136" s="270" t="s">
        <v>11215</v>
      </c>
      <c r="T136" s="4838">
        <v>857.46041098530839</v>
      </c>
      <c r="U136" s="4839">
        <f t="shared" si="12"/>
        <v>1.0887787851471809E-3</v>
      </c>
    </row>
    <row r="137" spans="1:21">
      <c r="A137" s="270" t="s">
        <v>11216</v>
      </c>
      <c r="B137" s="3305">
        <v>7689.5</v>
      </c>
      <c r="C137" s="4834">
        <f t="shared" si="10"/>
        <v>2.1749733933567095E-4</v>
      </c>
      <c r="D137" s="3" t="str">
        <f t="shared" si="11"/>
        <v>2012</v>
      </c>
      <c r="J137" s="4836">
        <v>41103</v>
      </c>
      <c r="K137" s="4837">
        <v>51296.516150245945</v>
      </c>
      <c r="L137" s="4834">
        <f t="shared" si="13"/>
        <v>3.9264651279048577E-5</v>
      </c>
      <c r="S137" s="270" t="s">
        <v>11216</v>
      </c>
      <c r="T137" s="4838">
        <v>883.50251570589694</v>
      </c>
      <c r="U137" s="4839">
        <f t="shared" si="12"/>
        <v>8.973189758547524E-4</v>
      </c>
    </row>
    <row r="138" spans="1:21">
      <c r="A138" s="270" t="s">
        <v>11217</v>
      </c>
      <c r="B138" s="3305">
        <v>7636</v>
      </c>
      <c r="C138" s="4834">
        <f t="shared" si="10"/>
        <v>2.2600437897745941E-4</v>
      </c>
      <c r="D138" s="3" t="str">
        <f t="shared" si="11"/>
        <v>2012</v>
      </c>
      <c r="J138" s="4836">
        <v>41106</v>
      </c>
      <c r="K138" s="4837">
        <v>51111.64935747633</v>
      </c>
      <c r="L138" s="4834">
        <f t="shared" si="13"/>
        <v>4.0005105893772626E-5</v>
      </c>
      <c r="S138" s="270" t="s">
        <v>11217</v>
      </c>
      <c r="T138" s="4838">
        <v>869.67769468138692</v>
      </c>
      <c r="U138" s="4839">
        <f t="shared" si="12"/>
        <v>9.9711135453409041E-4</v>
      </c>
    </row>
    <row r="139" spans="1:21">
      <c r="A139" s="270" t="s">
        <v>11218</v>
      </c>
      <c r="B139" s="3305">
        <v>7671</v>
      </c>
      <c r="C139" s="4834">
        <f t="shared" si="10"/>
        <v>2.2044982392895539E-4</v>
      </c>
      <c r="D139" s="3" t="str">
        <f t="shared" si="11"/>
        <v>2012</v>
      </c>
      <c r="J139" s="4836">
        <v>41107</v>
      </c>
      <c r="K139" s="4837">
        <v>50966.97099791751</v>
      </c>
      <c r="L139" s="4834">
        <f t="shared" si="13"/>
        <v>4.0577269184344514E-5</v>
      </c>
      <c r="S139" s="270" t="s">
        <v>11218</v>
      </c>
      <c r="T139" s="4838">
        <v>881.57347091177928</v>
      </c>
      <c r="U139" s="4839">
        <f t="shared" si="12"/>
        <v>9.1096403734692135E-4</v>
      </c>
    </row>
    <row r="140" spans="1:21">
      <c r="A140" s="270" t="s">
        <v>11219</v>
      </c>
      <c r="B140" s="3305">
        <v>7596</v>
      </c>
      <c r="C140" s="4834">
        <f t="shared" si="10"/>
        <v>2.3229128198953047E-4</v>
      </c>
      <c r="D140" s="3" t="str">
        <f t="shared" si="11"/>
        <v>2012</v>
      </c>
      <c r="J140" s="4836">
        <v>41108</v>
      </c>
      <c r="K140" s="4837">
        <v>50645.463532231224</v>
      </c>
      <c r="L140" s="4834">
        <f t="shared" si="13"/>
        <v>4.1822943248640023E-5</v>
      </c>
      <c r="S140" s="270" t="s">
        <v>11219</v>
      </c>
      <c r="T140" s="4838">
        <v>869.03467975001433</v>
      </c>
      <c r="U140" s="4839">
        <f t="shared" si="12"/>
        <v>1.0018603926239395E-3</v>
      </c>
    </row>
    <row r="141" spans="1:21">
      <c r="A141" s="270" t="s">
        <v>11220</v>
      </c>
      <c r="B141" s="3305">
        <v>7765</v>
      </c>
      <c r="C141" s="4834">
        <f t="shared" si="10"/>
        <v>2.053653008818287E-4</v>
      </c>
      <c r="D141" s="3" t="str">
        <f t="shared" si="11"/>
        <v>2012</v>
      </c>
      <c r="J141" s="4836">
        <v>41109</v>
      </c>
      <c r="K141" s="4837">
        <v>50926.782564706722</v>
      </c>
      <c r="L141" s="4834">
        <f t="shared" si="13"/>
        <v>4.0734984059059994E-5</v>
      </c>
      <c r="S141" s="270" t="s">
        <v>11220</v>
      </c>
      <c r="T141" s="4838">
        <v>882.53799330883805</v>
      </c>
      <c r="U141" s="4839">
        <f t="shared" si="12"/>
        <v>9.0412961736265529E-4</v>
      </c>
    </row>
    <row r="142" spans="1:21">
      <c r="A142" s="270" t="s">
        <v>11221</v>
      </c>
      <c r="B142" s="3305">
        <v>7625</v>
      </c>
      <c r="C142" s="4834">
        <f t="shared" si="10"/>
        <v>2.2774036650319925E-4</v>
      </c>
      <c r="D142" s="3" t="str">
        <f t="shared" si="11"/>
        <v>2012</v>
      </c>
      <c r="J142" s="4836">
        <v>41110</v>
      </c>
      <c r="K142" s="4837">
        <v>50677.614278799861</v>
      </c>
      <c r="L142" s="4834">
        <f t="shared" si="13"/>
        <v>4.1700092072056099E-5</v>
      </c>
      <c r="S142" s="270" t="s">
        <v>11221</v>
      </c>
      <c r="T142" s="4838">
        <v>870.3207096127594</v>
      </c>
      <c r="U142" s="4839">
        <f t="shared" si="12"/>
        <v>9.9237131304482978E-4</v>
      </c>
    </row>
    <row r="143" spans="1:21">
      <c r="A143" s="270" t="s">
        <v>11222</v>
      </c>
      <c r="B143" s="3305">
        <v>7387</v>
      </c>
      <c r="C143" s="4834">
        <f t="shared" si="10"/>
        <v>2.6348135674088865E-4</v>
      </c>
      <c r="D143" s="3" t="str">
        <f t="shared" si="11"/>
        <v>2012</v>
      </c>
      <c r="J143" s="4836">
        <v>41113</v>
      </c>
      <c r="K143" s="4837">
        <v>50549.011292525342</v>
      </c>
      <c r="L143" s="4834">
        <f t="shared" si="13"/>
        <v>4.2189061401033162E-5</v>
      </c>
      <c r="S143" s="270" t="s">
        <v>11222</v>
      </c>
      <c r="T143" s="4838">
        <v>866.46262002452409</v>
      </c>
      <c r="U143" s="4839">
        <f t="shared" si="12"/>
        <v>1.020944763140389E-3</v>
      </c>
    </row>
    <row r="144" spans="1:21">
      <c r="A144" s="270" t="s">
        <v>11223</v>
      </c>
      <c r="B144" s="3305">
        <v>7396</v>
      </c>
      <c r="C144" s="4834">
        <f t="shared" si="10"/>
        <v>2.6221323261836421E-4</v>
      </c>
      <c r="D144" s="3" t="str">
        <f t="shared" si="11"/>
        <v>2012</v>
      </c>
      <c r="J144" s="4836">
        <v>41114</v>
      </c>
      <c r="K144" s="4837">
        <v>50902.66950478025</v>
      </c>
      <c r="L144" s="4834">
        <f t="shared" si="13"/>
        <v>4.0829349275155535E-5</v>
      </c>
      <c r="S144" s="270" t="s">
        <v>11223</v>
      </c>
      <c r="T144" s="4838">
        <v>865.81960509315149</v>
      </c>
      <c r="U144" s="4839">
        <f t="shared" si="12"/>
        <v>1.0257374665530625E-3</v>
      </c>
    </row>
    <row r="145" spans="1:21">
      <c r="A145" s="270" t="s">
        <v>11224</v>
      </c>
      <c r="B145" s="3305">
        <v>7441</v>
      </c>
      <c r="C145" s="4834">
        <f t="shared" si="10"/>
        <v>2.5575603692434726E-4</v>
      </c>
      <c r="D145" s="3" t="str">
        <f t="shared" si="11"/>
        <v>2012</v>
      </c>
      <c r="J145" s="4836">
        <v>41115</v>
      </c>
      <c r="K145" s="4837">
        <v>51473.345256373403</v>
      </c>
      <c r="L145" s="4834">
        <f t="shared" si="13"/>
        <v>3.8547488817252797E-5</v>
      </c>
      <c r="S145" s="270" t="s">
        <v>11224</v>
      </c>
      <c r="T145" s="4838">
        <v>871.60673947550458</v>
      </c>
      <c r="U145" s="4839">
        <f t="shared" si="12"/>
        <v>9.8291856321109359E-4</v>
      </c>
    </row>
    <row r="146" spans="1:21">
      <c r="A146" s="270" t="s">
        <v>11225</v>
      </c>
      <c r="B146" s="3305">
        <v>7510.5</v>
      </c>
      <c r="C146" s="4834">
        <f t="shared" si="10"/>
        <v>2.4544145181884362E-4</v>
      </c>
      <c r="D146" s="3" t="str">
        <f t="shared" si="11"/>
        <v>2012</v>
      </c>
      <c r="J146" s="4836">
        <v>41116</v>
      </c>
      <c r="K146" s="4837">
        <v>52019.907948040069</v>
      </c>
      <c r="L146" s="4834">
        <f t="shared" si="13"/>
        <v>3.6285940919399655E-5</v>
      </c>
      <c r="S146" s="270" t="s">
        <v>11225</v>
      </c>
      <c r="T146" s="4838">
        <v>894.11226207354412</v>
      </c>
      <c r="U146" s="4839">
        <f t="shared" si="12"/>
        <v>8.240361445011336E-4</v>
      </c>
    </row>
    <row r="147" spans="1:21">
      <c r="A147" s="270" t="s">
        <v>11226</v>
      </c>
      <c r="B147" s="3305">
        <v>7555</v>
      </c>
      <c r="C147" s="4834">
        <f t="shared" si="10"/>
        <v>2.3865218866546764E-4</v>
      </c>
      <c r="D147" s="3" t="str">
        <f t="shared" si="11"/>
        <v>2012</v>
      </c>
      <c r="J147" s="4836">
        <v>41117</v>
      </c>
      <c r="K147" s="4837">
        <v>52027.945634682234</v>
      </c>
      <c r="L147" s="4834">
        <f t="shared" si="13"/>
        <v>3.6252268559675886E-5</v>
      </c>
      <c r="S147" s="270" t="s">
        <v>11226</v>
      </c>
      <c r="T147" s="4838">
        <v>891.54020234805398</v>
      </c>
      <c r="U147" s="4839">
        <f t="shared" si="12"/>
        <v>8.4151907469150861E-4</v>
      </c>
    </row>
    <row r="148" spans="1:21">
      <c r="A148" s="270" t="s">
        <v>11227</v>
      </c>
      <c r="B148" s="3305">
        <v>7520</v>
      </c>
      <c r="C148" s="4834">
        <f t="shared" si="10"/>
        <v>2.4400310772023205E-4</v>
      </c>
      <c r="D148" s="3" t="str">
        <f t="shared" si="11"/>
        <v>2012</v>
      </c>
      <c r="J148" s="4836">
        <v>41120</v>
      </c>
      <c r="K148" s="4837">
        <v>52011.870261397919</v>
      </c>
      <c r="L148" s="4834">
        <f t="shared" si="13"/>
        <v>3.6319603206510216E-5</v>
      </c>
      <c r="S148" s="270" t="s">
        <v>11227</v>
      </c>
      <c r="T148" s="4838">
        <v>888.64663515687744</v>
      </c>
      <c r="U148" s="4839">
        <f t="shared" si="12"/>
        <v>8.6140673968002372E-4</v>
      </c>
    </row>
    <row r="149" spans="1:21">
      <c r="A149" s="270" t="s">
        <v>11228</v>
      </c>
      <c r="B149" s="3305">
        <v>7581</v>
      </c>
      <c r="C149" s="4834">
        <f t="shared" si="10"/>
        <v>2.3462907657077308E-4</v>
      </c>
      <c r="D149" s="3" t="str">
        <f t="shared" si="11"/>
        <v>2012</v>
      </c>
      <c r="J149" s="4836">
        <v>41121</v>
      </c>
      <c r="K149" s="4837">
        <v>52148.510934314589</v>
      </c>
      <c r="L149" s="4834">
        <f t="shared" si="13"/>
        <v>3.5746032806420496E-5</v>
      </c>
      <c r="S149" s="270" t="s">
        <v>11228</v>
      </c>
      <c r="T149" s="4838">
        <v>906.65105323530906</v>
      </c>
      <c r="U149" s="4839">
        <f t="shared" si="12"/>
        <v>7.4155316831242904E-4</v>
      </c>
    </row>
    <row r="150" spans="1:21">
      <c r="A150" s="270" t="s">
        <v>11229</v>
      </c>
      <c r="B150" s="3305">
        <v>7500</v>
      </c>
      <c r="C150" s="4834">
        <f t="shared" si="10"/>
        <v>2.4702375018203837E-4</v>
      </c>
      <c r="D150" s="3" t="str">
        <f t="shared" si="11"/>
        <v>2012</v>
      </c>
      <c r="J150" s="4836">
        <v>41122</v>
      </c>
      <c r="K150" s="4837">
        <v>51409.043763236143</v>
      </c>
      <c r="L150" s="4834">
        <f t="shared" si="13"/>
        <v>3.8809221045254529E-5</v>
      </c>
      <c r="S150" s="270" t="s">
        <v>11229</v>
      </c>
      <c r="T150" s="4838">
        <v>896.04130686766189</v>
      </c>
      <c r="U150" s="4839">
        <f t="shared" si="12"/>
        <v>8.1104673759660754E-4</v>
      </c>
    </row>
    <row r="151" spans="1:21">
      <c r="A151" s="270" t="s">
        <v>11230</v>
      </c>
      <c r="B151" s="3305">
        <v>7386.5</v>
      </c>
      <c r="C151" s="4834">
        <f t="shared" si="10"/>
        <v>2.6355156974826571E-4</v>
      </c>
      <c r="D151" s="3" t="str">
        <f t="shared" si="11"/>
        <v>2012</v>
      </c>
      <c r="J151" s="4836">
        <v>41123</v>
      </c>
      <c r="K151" s="4837">
        <v>51344.742270098883</v>
      </c>
      <c r="L151" s="4834">
        <f t="shared" si="13"/>
        <v>3.9069883592426231E-5</v>
      </c>
      <c r="S151" s="270" t="s">
        <v>11230</v>
      </c>
      <c r="T151" s="4838">
        <v>881.57347091177928</v>
      </c>
      <c r="U151" s="4839">
        <f t="shared" si="12"/>
        <v>9.1096403734692135E-4</v>
      </c>
    </row>
    <row r="152" spans="1:21">
      <c r="A152" s="270" t="s">
        <v>11231</v>
      </c>
      <c r="B152" s="3305">
        <v>7327</v>
      </c>
      <c r="C152" s="4834">
        <f t="shared" si="10"/>
        <v>2.7171792477562938E-4</v>
      </c>
      <c r="D152" s="3" t="str">
        <f t="shared" si="11"/>
        <v>2012</v>
      </c>
      <c r="J152" s="4836">
        <v>41124</v>
      </c>
      <c r="K152" s="4837">
        <v>51505.496002942025</v>
      </c>
      <c r="L152" s="4834">
        <f t="shared" si="13"/>
        <v>3.8416235708738456E-5</v>
      </c>
      <c r="S152" s="270" t="s">
        <v>11231</v>
      </c>
      <c r="T152" s="4838">
        <v>876.10784399511249</v>
      </c>
      <c r="U152" s="4839">
        <f t="shared" si="12"/>
        <v>9.501297240195769E-4</v>
      </c>
    </row>
    <row r="153" spans="1:21">
      <c r="A153" s="270" t="s">
        <v>11232</v>
      </c>
      <c r="B153" s="3305">
        <v>7400</v>
      </c>
      <c r="C153" s="4834">
        <f t="shared" si="10"/>
        <v>2.6164704106848964E-4</v>
      </c>
      <c r="D153" s="3" t="str">
        <f t="shared" si="11"/>
        <v>2012</v>
      </c>
      <c r="J153" s="4836">
        <v>41127</v>
      </c>
      <c r="K153" s="4837">
        <v>51762.701975491051</v>
      </c>
      <c r="L153" s="4834">
        <f t="shared" si="13"/>
        <v>3.7357666970355723E-5</v>
      </c>
      <c r="S153" s="270" t="s">
        <v>11232</v>
      </c>
      <c r="T153" s="4838">
        <v>891.21869488236757</v>
      </c>
      <c r="U153" s="4839">
        <f t="shared" si="12"/>
        <v>8.4371743488331286E-4</v>
      </c>
    </row>
    <row r="154" spans="1:21">
      <c r="A154" s="270" t="s">
        <v>11233</v>
      </c>
      <c r="B154" s="3305">
        <v>7567</v>
      </c>
      <c r="C154" s="4834">
        <f t="shared" si="10"/>
        <v>2.3680014598626633E-4</v>
      </c>
      <c r="D154" s="3" t="str">
        <f t="shared" si="11"/>
        <v>2012</v>
      </c>
      <c r="J154" s="4836">
        <v>41128</v>
      </c>
      <c r="K154" s="4837">
        <v>51794.852722059681</v>
      </c>
      <c r="L154" s="4834">
        <f t="shared" si="13"/>
        <v>3.7224362141627526E-5</v>
      </c>
      <c r="S154" s="270" t="s">
        <v>11233</v>
      </c>
      <c r="T154" s="4838">
        <v>900.2209039215835</v>
      </c>
      <c r="U154" s="4839">
        <f t="shared" si="12"/>
        <v>7.8327172264965527E-4</v>
      </c>
    </row>
    <row r="155" spans="1:21">
      <c r="A155" s="270" t="s">
        <v>11234</v>
      </c>
      <c r="B155" s="3305">
        <v>7525.5</v>
      </c>
      <c r="C155" s="4834">
        <f t="shared" si="10"/>
        <v>2.4316754126282625E-4</v>
      </c>
      <c r="D155" s="3" t="str">
        <f t="shared" si="11"/>
        <v>2012</v>
      </c>
      <c r="J155" s="4836">
        <v>41129</v>
      </c>
      <c r="K155" s="4837">
        <v>51867.191901839091</v>
      </c>
      <c r="L155" s="4834">
        <f t="shared" si="13"/>
        <v>3.6923703674565467E-5</v>
      </c>
      <c r="S155" s="270" t="s">
        <v>11234</v>
      </c>
      <c r="T155" s="4838">
        <v>895.076784470603</v>
      </c>
      <c r="U155" s="4839">
        <f t="shared" si="12"/>
        <v>8.175281683348519E-4</v>
      </c>
    </row>
    <row r="156" spans="1:21">
      <c r="A156" s="270" t="s">
        <v>11235</v>
      </c>
      <c r="B156" s="3305">
        <v>7495.5</v>
      </c>
      <c r="C156" s="4834">
        <f t="shared" si="10"/>
        <v>2.4769941565932737E-4</v>
      </c>
      <c r="D156" s="3" t="str">
        <f t="shared" si="11"/>
        <v>2012</v>
      </c>
      <c r="J156" s="4836">
        <v>41130</v>
      </c>
      <c r="K156" s="4837">
        <v>51923.455708334186</v>
      </c>
      <c r="L156" s="4834">
        <f t="shared" si="13"/>
        <v>3.6689198936902481E-5</v>
      </c>
      <c r="S156" s="270" t="s">
        <v>11235</v>
      </c>
      <c r="T156" s="4838">
        <v>900.86391885295598</v>
      </c>
      <c r="U156" s="4839">
        <f t="shared" si="12"/>
        <v>7.7904410945227884E-4</v>
      </c>
    </row>
    <row r="157" spans="1:21">
      <c r="A157" s="270" t="s">
        <v>11236</v>
      </c>
      <c r="B157" s="3305">
        <v>7430.5</v>
      </c>
      <c r="C157" s="4834">
        <f t="shared" si="10"/>
        <v>2.5727945584526341E-4</v>
      </c>
      <c r="D157" s="3" t="str">
        <f t="shared" si="11"/>
        <v>2012</v>
      </c>
      <c r="J157" s="4836">
        <v>41131</v>
      </c>
      <c r="K157" s="4837">
        <v>52035.983321324391</v>
      </c>
      <c r="L157" s="4834">
        <f t="shared" si="13"/>
        <v>3.6218586213320153E-5</v>
      </c>
      <c r="S157" s="270" t="s">
        <v>11236</v>
      </c>
      <c r="T157" s="4838">
        <v>896.36281433334807</v>
      </c>
      <c r="U157" s="4839">
        <f t="shared" si="12"/>
        <v>8.0889219178612438E-4</v>
      </c>
    </row>
    <row r="158" spans="1:21">
      <c r="A158" s="270" t="s">
        <v>11237</v>
      </c>
      <c r="B158" s="3305">
        <v>7426.5</v>
      </c>
      <c r="C158" s="4834">
        <f t="shared" si="10"/>
        <v>2.5785719749766949E-4</v>
      </c>
      <c r="D158" s="3" t="str">
        <f t="shared" si="11"/>
        <v>2012</v>
      </c>
      <c r="J158" s="4836">
        <v>41134</v>
      </c>
      <c r="K158" s="4837">
        <v>52164.586307598904</v>
      </c>
      <c r="L158" s="4834">
        <f t="shared" si="13"/>
        <v>3.5678380468977754E-5</v>
      </c>
      <c r="S158" s="270" t="s">
        <v>11237</v>
      </c>
      <c r="T158" s="4838">
        <v>901.82844125001498</v>
      </c>
      <c r="U158" s="4839">
        <f t="shared" si="12"/>
        <v>7.7272570311351005E-4</v>
      </c>
    </row>
    <row r="159" spans="1:21">
      <c r="A159" s="270" t="s">
        <v>11238</v>
      </c>
      <c r="B159" s="3305">
        <v>7407</v>
      </c>
      <c r="C159" s="4834">
        <f t="shared" si="10"/>
        <v>2.6065244638974868E-4</v>
      </c>
      <c r="D159" s="3" t="str">
        <f t="shared" si="11"/>
        <v>2012</v>
      </c>
      <c r="J159" s="4836">
        <v>41135</v>
      </c>
      <c r="K159" s="4837">
        <v>51368.855330025355</v>
      </c>
      <c r="L159" s="4834">
        <f t="shared" si="13"/>
        <v>3.897226336425617E-5</v>
      </c>
      <c r="S159" s="270" t="s">
        <v>11238</v>
      </c>
      <c r="T159" s="4838">
        <v>895.076784470603</v>
      </c>
      <c r="U159" s="4839">
        <f t="shared" si="12"/>
        <v>8.175281683348519E-4</v>
      </c>
    </row>
    <row r="160" spans="1:21">
      <c r="A160" s="270" t="s">
        <v>11239</v>
      </c>
      <c r="B160" s="3305">
        <v>7386</v>
      </c>
      <c r="C160" s="4834">
        <f t="shared" si="10"/>
        <v>2.6362175746671009E-4</v>
      </c>
      <c r="D160" s="3" t="str">
        <f t="shared" si="11"/>
        <v>2012</v>
      </c>
      <c r="J160" s="4836">
        <v>41136</v>
      </c>
      <c r="K160" s="4837">
        <v>51497.458316299868</v>
      </c>
      <c r="L160" s="4834">
        <f t="shared" si="13"/>
        <v>3.8449072687604298E-5</v>
      </c>
      <c r="S160" s="270" t="s">
        <v>11239</v>
      </c>
      <c r="T160" s="4838">
        <v>888.64663515687744</v>
      </c>
      <c r="U160" s="4839">
        <f t="shared" si="12"/>
        <v>8.6140673968002372E-4</v>
      </c>
    </row>
    <row r="161" spans="1:21">
      <c r="A161" s="270" t="s">
        <v>11240</v>
      </c>
      <c r="B161" s="3305">
        <v>7386</v>
      </c>
      <c r="C161" s="4834">
        <f t="shared" si="10"/>
        <v>2.6362175746671009E-4</v>
      </c>
      <c r="D161" s="3" t="str">
        <f t="shared" si="11"/>
        <v>2012</v>
      </c>
      <c r="J161" s="4836">
        <v>41137</v>
      </c>
      <c r="K161" s="4837">
        <v>51585.8728693636</v>
      </c>
      <c r="L161" s="4834">
        <f t="shared" si="13"/>
        <v>3.8087019479126309E-5</v>
      </c>
      <c r="S161" s="270" t="s">
        <v>11240</v>
      </c>
      <c r="T161" s="4838">
        <v>895.076784470603</v>
      </c>
      <c r="U161" s="4839">
        <f t="shared" si="12"/>
        <v>8.175281683348519E-4</v>
      </c>
    </row>
    <row r="162" spans="1:21">
      <c r="A162" s="270" t="s">
        <v>11241</v>
      </c>
      <c r="B162" s="3305">
        <v>7496</v>
      </c>
      <c r="C162" s="4834">
        <f t="shared" si="10"/>
        <v>2.4762441586326288E-4</v>
      </c>
      <c r="D162" s="3" t="str">
        <f t="shared" si="11"/>
        <v>2012</v>
      </c>
      <c r="J162" s="4836">
        <v>41138</v>
      </c>
      <c r="K162" s="4837">
        <v>51915.418021692036</v>
      </c>
      <c r="L162" s="4834">
        <f t="shared" si="13"/>
        <v>3.6722733629950604E-5</v>
      </c>
      <c r="S162" s="270" t="s">
        <v>11241</v>
      </c>
      <c r="T162" s="4838">
        <v>906.65105323530906</v>
      </c>
      <c r="U162" s="4839">
        <f t="shared" si="12"/>
        <v>7.4155316831242904E-4</v>
      </c>
    </row>
    <row r="163" spans="1:21">
      <c r="A163" s="270" t="s">
        <v>11242</v>
      </c>
      <c r="B163" s="3305">
        <v>7433</v>
      </c>
      <c r="C163" s="4834">
        <f t="shared" si="10"/>
        <v>2.5691763121951991E-4</v>
      </c>
      <c r="D163" s="3" t="str">
        <f t="shared" si="11"/>
        <v>2012</v>
      </c>
      <c r="J163" s="4836">
        <v>41141</v>
      </c>
      <c r="K163" s="4837">
        <v>51923.455708334186</v>
      </c>
      <c r="L163" s="4834">
        <f t="shared" si="13"/>
        <v>3.6689198936902481E-5</v>
      </c>
      <c r="S163" s="270" t="s">
        <v>11242</v>
      </c>
      <c r="T163" s="4838">
        <v>903.43597857844634</v>
      </c>
      <c r="U163" s="4839">
        <f t="shared" si="12"/>
        <v>7.6225679225030562E-4</v>
      </c>
    </row>
    <row r="164" spans="1:21">
      <c r="A164" s="270" t="s">
        <v>11243</v>
      </c>
      <c r="B164" s="3305">
        <v>7510</v>
      </c>
      <c r="C164" s="4834">
        <f t="shared" si="10"/>
        <v>2.4551697879437816E-4</v>
      </c>
      <c r="D164" s="3" t="str">
        <f t="shared" si="11"/>
        <v>2012</v>
      </c>
      <c r="J164" s="4836">
        <v>41142</v>
      </c>
      <c r="K164" s="4837">
        <v>52711.148999265577</v>
      </c>
      <c r="L164" s="4834">
        <f t="shared" si="13"/>
        <v>3.3362301758216054E-5</v>
      </c>
      <c r="S164" s="270" t="s">
        <v>11243</v>
      </c>
      <c r="T164" s="4838">
        <v>929.7995907647213</v>
      </c>
      <c r="U164" s="4839">
        <f t="shared" si="12"/>
        <v>6.0210539875059864E-4</v>
      </c>
    </row>
    <row r="165" spans="1:21">
      <c r="A165" s="270" t="s">
        <v>11244</v>
      </c>
      <c r="B165" s="3305">
        <v>7571.5</v>
      </c>
      <c r="C165" s="4834">
        <f t="shared" si="10"/>
        <v>2.3610348949620313E-4</v>
      </c>
      <c r="D165" s="3" t="str">
        <f t="shared" si="11"/>
        <v>2012</v>
      </c>
      <c r="J165" s="4836">
        <v>41143</v>
      </c>
      <c r="K165" s="4837">
        <v>52791.525865687152</v>
      </c>
      <c r="L165" s="4834">
        <f t="shared" si="13"/>
        <v>3.3019959969957093E-5</v>
      </c>
      <c r="S165" s="270" t="s">
        <v>11244</v>
      </c>
      <c r="T165" s="4838">
        <v>942.98139685785861</v>
      </c>
      <c r="U165" s="4839">
        <f t="shared" si="12"/>
        <v>5.3055421086077136E-4</v>
      </c>
    </row>
    <row r="166" spans="1:21">
      <c r="A166" s="270" t="s">
        <v>11245</v>
      </c>
      <c r="B166" s="3305">
        <v>7667.5</v>
      </c>
      <c r="C166" s="4834">
        <f t="shared" si="10"/>
        <v>2.2100721356667916E-4</v>
      </c>
      <c r="D166" s="3" t="str">
        <f t="shared" si="11"/>
        <v>2012</v>
      </c>
      <c r="J166" s="4836">
        <v>41144</v>
      </c>
      <c r="K166" s="4837">
        <v>53539.030723407748</v>
      </c>
      <c r="L166" s="4834">
        <f t="shared" si="13"/>
        <v>2.9836608722925023E-5</v>
      </c>
      <c r="S166" s="270" t="s">
        <v>11245</v>
      </c>
      <c r="T166" s="4838">
        <v>974.81063596080037</v>
      </c>
      <c r="U166" s="4839">
        <f t="shared" si="12"/>
        <v>3.8178266785964991E-4</v>
      </c>
    </row>
    <row r="167" spans="1:21">
      <c r="A167" s="270" t="s">
        <v>11246</v>
      </c>
      <c r="B167" s="3305">
        <v>7600.5</v>
      </c>
      <c r="C167" s="4834">
        <f t="shared" si="10"/>
        <v>2.315877127418236E-4</v>
      </c>
      <c r="D167" s="3" t="str">
        <f t="shared" si="11"/>
        <v>2012</v>
      </c>
      <c r="J167" s="4836">
        <v>41145</v>
      </c>
      <c r="K167" s="4837">
        <v>53595.294529902843</v>
      </c>
      <c r="L167" s="4834">
        <f t="shared" si="13"/>
        <v>2.9598012014936751E-5</v>
      </c>
      <c r="S167" s="270" t="s">
        <v>11246</v>
      </c>
      <c r="T167" s="4838">
        <v>976.41817328923185</v>
      </c>
      <c r="U167" s="4839">
        <f t="shared" si="12"/>
        <v>3.7515773770451649E-4</v>
      </c>
    </row>
    <row r="168" spans="1:21">
      <c r="A168" s="270" t="s">
        <v>11247</v>
      </c>
      <c r="B168" s="3305">
        <v>7606</v>
      </c>
      <c r="C168" s="4834">
        <f t="shared" si="10"/>
        <v>2.3072645201815205E-4</v>
      </c>
      <c r="D168" s="3" t="str">
        <f t="shared" si="11"/>
        <v>2012</v>
      </c>
      <c r="J168" s="4836">
        <v>41149</v>
      </c>
      <c r="K168" s="4837">
        <v>53627.445276471466</v>
      </c>
      <c r="L168" s="4834">
        <f t="shared" si="13"/>
        <v>2.9461790758741359E-5</v>
      </c>
      <c r="S168" s="270" t="s">
        <v>11247</v>
      </c>
      <c r="T168" s="4838">
        <v>990.56450177942804</v>
      </c>
      <c r="U168" s="4839">
        <f t="shared" si="12"/>
        <v>3.2042006501233885E-4</v>
      </c>
    </row>
    <row r="169" spans="1:21">
      <c r="A169" s="270" t="s">
        <v>11248</v>
      </c>
      <c r="B169" s="3305">
        <v>7524.5</v>
      </c>
      <c r="C169" s="4834">
        <f t="shared" si="10"/>
        <v>2.433196148217295E-4</v>
      </c>
      <c r="D169" s="3" t="str">
        <f t="shared" si="11"/>
        <v>2012</v>
      </c>
      <c r="J169" s="4836">
        <v>41150</v>
      </c>
      <c r="K169" s="4837">
        <v>53370.239303922448</v>
      </c>
      <c r="L169" s="4834">
        <f t="shared" si="13"/>
        <v>3.0553772968334146E-5</v>
      </c>
      <c r="S169" s="270" t="s">
        <v>11248</v>
      </c>
      <c r="T169" s="4838">
        <v>987.99244205393791</v>
      </c>
      <c r="U169" s="4839">
        <f t="shared" si="12"/>
        <v>3.2990288884499449E-4</v>
      </c>
    </row>
    <row r="170" spans="1:21">
      <c r="A170" s="270" t="s">
        <v>11249</v>
      </c>
      <c r="B170" s="3305">
        <v>7611</v>
      </c>
      <c r="C170" s="4834">
        <f t="shared" si="10"/>
        <v>2.2994223773475326E-4</v>
      </c>
      <c r="D170" s="3" t="str">
        <f t="shared" si="11"/>
        <v>2012</v>
      </c>
      <c r="J170" s="4836">
        <v>41151</v>
      </c>
      <c r="K170" s="4837">
        <v>53386.314677206763</v>
      </c>
      <c r="L170" s="4834">
        <f t="shared" si="13"/>
        <v>3.0485394784208369E-5</v>
      </c>
      <c r="S170" s="270" t="s">
        <v>11249</v>
      </c>
      <c r="T170" s="4838">
        <v>985.74188979413395</v>
      </c>
      <c r="U170" s="4839">
        <f t="shared" si="12"/>
        <v>3.3836980648776051E-4</v>
      </c>
    </row>
    <row r="171" spans="1:21">
      <c r="A171" s="270" t="s">
        <v>11250</v>
      </c>
      <c r="B171" s="3305">
        <v>7576.5</v>
      </c>
      <c r="C171" s="4834">
        <f t="shared" si="10"/>
        <v>2.3532809888839737E-4</v>
      </c>
      <c r="D171" s="3" t="str">
        <f t="shared" si="11"/>
        <v>2012</v>
      </c>
      <c r="J171" s="4836">
        <v>41152</v>
      </c>
      <c r="K171" s="4837">
        <v>53000.505718383232</v>
      </c>
      <c r="L171" s="4834">
        <f t="shared" si="13"/>
        <v>3.2129098768540849E-5</v>
      </c>
      <c r="S171" s="270" t="s">
        <v>11250</v>
      </c>
      <c r="T171" s="4838">
        <v>981.24078527452593</v>
      </c>
      <c r="U171" s="4839">
        <f t="shared" si="12"/>
        <v>3.5578301686291366E-4</v>
      </c>
    </row>
    <row r="172" spans="1:21">
      <c r="A172" s="270" t="s">
        <v>11251</v>
      </c>
      <c r="B172" s="3305">
        <v>7649.5</v>
      </c>
      <c r="C172" s="4834">
        <f t="shared" si="10"/>
        <v>2.2386720635793282E-4</v>
      </c>
      <c r="D172" s="3" t="str">
        <f t="shared" si="11"/>
        <v>2012</v>
      </c>
      <c r="J172" s="4836">
        <v>41155</v>
      </c>
      <c r="K172" s="4837">
        <v>54382.987820834234</v>
      </c>
      <c r="L172" s="4834">
        <f t="shared" si="13"/>
        <v>2.62967371850881E-5</v>
      </c>
      <c r="S172" s="270" t="s">
        <v>11251</v>
      </c>
      <c r="T172" s="4838">
        <v>1020.4646960882519</v>
      </c>
      <c r="U172" s="4839">
        <f t="shared" si="12"/>
        <v>2.2466129263933705E-4</v>
      </c>
    </row>
    <row r="173" spans="1:21">
      <c r="A173" s="270" t="s">
        <v>11252</v>
      </c>
      <c r="B173" s="3305">
        <v>7640.5</v>
      </c>
      <c r="C173" s="4834">
        <f t="shared" si="10"/>
        <v>2.2529277645320019E-4</v>
      </c>
      <c r="D173" s="3" t="str">
        <f t="shared" si="11"/>
        <v>2012</v>
      </c>
      <c r="J173" s="4836">
        <v>41156</v>
      </c>
      <c r="K173" s="4837">
        <v>54559.816926961685</v>
      </c>
      <c r="L173" s="4834">
        <f t="shared" si="13"/>
        <v>2.5569325463630105E-5</v>
      </c>
      <c r="S173" s="270" t="s">
        <v>11252</v>
      </c>
      <c r="T173" s="4838">
        <v>1031.3959499215857</v>
      </c>
      <c r="U173" s="4839">
        <f t="shared" si="12"/>
        <v>1.9586860211501109E-4</v>
      </c>
    </row>
    <row r="174" spans="1:21">
      <c r="A174" s="270" t="s">
        <v>11253</v>
      </c>
      <c r="B174" s="3305">
        <v>7606.5</v>
      </c>
      <c r="C174" s="4834">
        <f t="shared" si="10"/>
        <v>2.3064808361721826E-4</v>
      </c>
      <c r="D174" s="3" t="str">
        <f t="shared" si="11"/>
        <v>2012</v>
      </c>
      <c r="J174" s="4836">
        <v>41157</v>
      </c>
      <c r="K174" s="4837">
        <v>54334.761700981289</v>
      </c>
      <c r="L174" s="4834">
        <f t="shared" si="13"/>
        <v>2.6496155246004588E-5</v>
      </c>
      <c r="S174" s="270" t="s">
        <v>11253</v>
      </c>
      <c r="T174" s="4838">
        <v>1032.0389648529583</v>
      </c>
      <c r="U174" s="4839">
        <f t="shared" si="12"/>
        <v>1.9427094915393001E-4</v>
      </c>
    </row>
    <row r="175" spans="1:21">
      <c r="A175" s="270" t="s">
        <v>11254</v>
      </c>
      <c r="B175" s="3305">
        <v>7670.5</v>
      </c>
      <c r="C175" s="4834">
        <f t="shared" si="10"/>
        <v>2.2052947529175662E-4</v>
      </c>
      <c r="D175" s="3" t="str">
        <f t="shared" si="11"/>
        <v>2012</v>
      </c>
      <c r="J175" s="4836">
        <v>41158</v>
      </c>
      <c r="K175" s="4837">
        <v>54688.419913236197</v>
      </c>
      <c r="L175" s="4834">
        <f t="shared" si="13"/>
        <v>2.5044299896728832E-5</v>
      </c>
      <c r="S175" s="270" t="s">
        <v>11254</v>
      </c>
      <c r="T175" s="4838">
        <v>1056.7950397108016</v>
      </c>
      <c r="U175" s="4839">
        <f t="shared" si="12"/>
        <v>1.4027089883597295E-4</v>
      </c>
    </row>
    <row r="176" spans="1:21">
      <c r="A176" s="270" t="s">
        <v>11255</v>
      </c>
      <c r="B176" s="3305">
        <v>7844</v>
      </c>
      <c r="C176" s="4834">
        <f t="shared" si="10"/>
        <v>1.9260838649086179E-4</v>
      </c>
      <c r="D176" s="3" t="str">
        <f t="shared" si="11"/>
        <v>2012</v>
      </c>
      <c r="J176" s="4836">
        <v>41159</v>
      </c>
      <c r="K176" s="4837">
        <v>55556.490070589149</v>
      </c>
      <c r="L176" s="4834">
        <f t="shared" si="13"/>
        <v>2.1606188482260706E-5</v>
      </c>
      <c r="S176" s="270" t="s">
        <v>11255</v>
      </c>
      <c r="T176" s="4838">
        <v>1035.8970544411936</v>
      </c>
      <c r="U176" s="4839">
        <f t="shared" si="12"/>
        <v>1.8490211813757915E-4</v>
      </c>
    </row>
    <row r="177" spans="1:21">
      <c r="A177" s="270" t="s">
        <v>11256</v>
      </c>
      <c r="B177" s="3305">
        <v>8032</v>
      </c>
      <c r="C177" s="4834">
        <f t="shared" si="10"/>
        <v>1.6259898911205202E-4</v>
      </c>
      <c r="D177" s="3" t="str">
        <f t="shared" si="11"/>
        <v>2012</v>
      </c>
      <c r="J177" s="4836">
        <v>41162</v>
      </c>
      <c r="K177" s="4837">
        <v>55685.093056863661</v>
      </c>
      <c r="L177" s="4834">
        <f t="shared" si="13"/>
        <v>2.1114793406912111E-5</v>
      </c>
      <c r="S177" s="270" t="s">
        <v>11256</v>
      </c>
      <c r="T177" s="4838">
        <v>1080.2650847059003</v>
      </c>
      <c r="U177" s="4839">
        <f t="shared" si="12"/>
        <v>1.0110656302137079E-4</v>
      </c>
    </row>
    <row r="178" spans="1:21">
      <c r="A178" s="270" t="s">
        <v>11257</v>
      </c>
      <c r="B178" s="3305">
        <v>8080</v>
      </c>
      <c r="C178" s="4834">
        <f t="shared" si="10"/>
        <v>1.5512972171001819E-4</v>
      </c>
      <c r="D178" s="3" t="str">
        <f t="shared" si="11"/>
        <v>2012</v>
      </c>
      <c r="J178" s="4836">
        <v>41163</v>
      </c>
      <c r="K178" s="4837">
        <v>55837.809103064646</v>
      </c>
      <c r="L178" s="4834">
        <f t="shared" si="13"/>
        <v>2.0537980710807594E-5</v>
      </c>
      <c r="S178" s="270" t="s">
        <v>11257</v>
      </c>
      <c r="T178" s="4838">
        <v>1077.69302498041</v>
      </c>
      <c r="U178" s="4839">
        <f t="shared" si="12"/>
        <v>1.0489289288530355E-4</v>
      </c>
    </row>
    <row r="179" spans="1:21">
      <c r="A179" s="270" t="s">
        <v>11258</v>
      </c>
      <c r="B179" s="3305">
        <v>8100.5</v>
      </c>
      <c r="C179" s="4834">
        <f t="shared" si="10"/>
        <v>1.5197396312729712E-4</v>
      </c>
      <c r="D179" s="3" t="str">
        <f t="shared" si="11"/>
        <v>2012</v>
      </c>
      <c r="J179" s="4836">
        <v>41164</v>
      </c>
      <c r="K179" s="4837">
        <v>55845.846789706804</v>
      </c>
      <c r="L179" s="4834">
        <f t="shared" si="13"/>
        <v>2.0507828979502639E-5</v>
      </c>
      <c r="S179" s="270" t="s">
        <v>11258</v>
      </c>
      <c r="T179" s="4838">
        <v>1090.8748310735475</v>
      </c>
      <c r="U179" s="4839">
        <f t="shared" si="12"/>
        <v>8.6679490894617383E-5</v>
      </c>
    </row>
    <row r="180" spans="1:21">
      <c r="A180" s="270" t="s">
        <v>11259</v>
      </c>
      <c r="B180" s="3305">
        <v>8055.5</v>
      </c>
      <c r="C180" s="4834">
        <f t="shared" si="10"/>
        <v>1.5892881013982878E-4</v>
      </c>
      <c r="D180" s="3" t="str">
        <f t="shared" si="11"/>
        <v>2012</v>
      </c>
      <c r="J180" s="4836">
        <v>41165</v>
      </c>
      <c r="K180" s="4837">
        <v>55725.281490074449</v>
      </c>
      <c r="L180" s="4834">
        <f t="shared" si="13"/>
        <v>2.0962283502867324E-5</v>
      </c>
      <c r="S180" s="270" t="s">
        <v>11259</v>
      </c>
      <c r="T180" s="4838">
        <v>1060.9746367647235</v>
      </c>
      <c r="U180" s="4839">
        <f t="shared" si="12"/>
        <v>1.3250218909024176E-4</v>
      </c>
    </row>
    <row r="181" spans="1:21">
      <c r="A181" s="270" t="s">
        <v>11260</v>
      </c>
      <c r="B181" s="3305">
        <v>8400.5</v>
      </c>
      <c r="C181" s="4834">
        <f t="shared" si="10"/>
        <v>1.0894528567921788E-4</v>
      </c>
      <c r="D181" s="3" t="str">
        <f t="shared" si="11"/>
        <v>2012</v>
      </c>
      <c r="J181" s="4836">
        <v>41166</v>
      </c>
      <c r="K181" s="4837">
        <v>57083.650532598978</v>
      </c>
      <c r="L181" s="4834">
        <f t="shared" si="13"/>
        <v>1.6134602438382544E-5</v>
      </c>
      <c r="S181" s="270" t="s">
        <v>11260</v>
      </c>
      <c r="T181" s="4838">
        <v>1115.9524133970772</v>
      </c>
      <c r="U181" s="4839">
        <f t="shared" si="12"/>
        <v>5.9357493872040263E-5</v>
      </c>
    </row>
    <row r="182" spans="1:21">
      <c r="A182" s="270" t="s">
        <v>11261</v>
      </c>
      <c r="B182" s="3305">
        <v>8293</v>
      </c>
      <c r="C182" s="4834">
        <f t="shared" si="10"/>
        <v>1.2359740780456773E-4</v>
      </c>
      <c r="D182" s="3" t="str">
        <f t="shared" si="11"/>
        <v>2012</v>
      </c>
      <c r="J182" s="4836">
        <v>41169</v>
      </c>
      <c r="K182" s="4837">
        <v>56906.821426471521</v>
      </c>
      <c r="L182" s="4834">
        <f t="shared" si="13"/>
        <v>1.6724624781406713E-5</v>
      </c>
      <c r="S182" s="270" t="s">
        <v>11261</v>
      </c>
      <c r="T182" s="4838">
        <v>1110.1652790147243</v>
      </c>
      <c r="U182" s="4839">
        <f t="shared" si="12"/>
        <v>6.4896592229851961E-5</v>
      </c>
    </row>
    <row r="183" spans="1:21">
      <c r="A183" s="270" t="s">
        <v>11262</v>
      </c>
      <c r="B183" s="3305">
        <v>8224</v>
      </c>
      <c r="C183" s="4834">
        <f t="shared" si="10"/>
        <v>1.334806712017465E-4</v>
      </c>
      <c r="D183" s="3" t="str">
        <f t="shared" si="11"/>
        <v>2012</v>
      </c>
      <c r="J183" s="4836">
        <v>41170</v>
      </c>
      <c r="K183" s="4837">
        <v>56890.746053187213</v>
      </c>
      <c r="L183" s="4834">
        <f t="shared" si="13"/>
        <v>1.677886296777692E-5</v>
      </c>
      <c r="S183" s="270" t="s">
        <v>11262</v>
      </c>
      <c r="T183" s="4838">
        <v>1095.0544281274692</v>
      </c>
      <c r="U183" s="4839">
        <f t="shared" si="12"/>
        <v>8.149562103812638E-5</v>
      </c>
    </row>
    <row r="184" spans="1:21">
      <c r="A184" s="270" t="s">
        <v>11263</v>
      </c>
      <c r="B184" s="3305">
        <v>8323</v>
      </c>
      <c r="C184" s="4834">
        <f t="shared" si="10"/>
        <v>1.1941342064245868E-4</v>
      </c>
      <c r="D184" s="3" t="str">
        <f t="shared" si="11"/>
        <v>2012</v>
      </c>
      <c r="J184" s="4836">
        <v>41171</v>
      </c>
      <c r="K184" s="4837">
        <v>56802.331500123488</v>
      </c>
      <c r="L184" s="4834">
        <f t="shared" si="13"/>
        <v>1.7078942169089655E-5</v>
      </c>
      <c r="S184" s="270" t="s">
        <v>11263</v>
      </c>
      <c r="T184" s="4838">
        <v>1114.0233686029594</v>
      </c>
      <c r="U184" s="4839">
        <f t="shared" si="12"/>
        <v>6.1156726666331405E-5</v>
      </c>
    </row>
    <row r="185" spans="1:21">
      <c r="A185" s="270" t="s">
        <v>11264</v>
      </c>
      <c r="B185" s="3305">
        <v>8202</v>
      </c>
      <c r="C185" s="4834">
        <f t="shared" si="10"/>
        <v>1.3670371021314823E-4</v>
      </c>
      <c r="D185" s="3" t="str">
        <f t="shared" si="11"/>
        <v>2012</v>
      </c>
      <c r="J185" s="4836">
        <v>41172</v>
      </c>
      <c r="K185" s="4837">
        <v>56537.087840932305</v>
      </c>
      <c r="L185" s="4834">
        <f t="shared" si="13"/>
        <v>1.7996884704963272E-5</v>
      </c>
      <c r="S185" s="270" t="s">
        <v>11264</v>
      </c>
      <c r="T185" s="4838">
        <v>1101.1630699755083</v>
      </c>
      <c r="U185" s="4839">
        <f t="shared" si="12"/>
        <v>7.4394654783187543E-5</v>
      </c>
    </row>
    <row r="186" spans="1:21">
      <c r="A186" s="270" t="s">
        <v>11265</v>
      </c>
      <c r="B186" s="3305">
        <v>8282</v>
      </c>
      <c r="C186" s="4834">
        <f t="shared" si="10"/>
        <v>1.2514915719931619E-4</v>
      </c>
      <c r="D186" s="3" t="str">
        <f t="shared" si="11"/>
        <v>2012</v>
      </c>
      <c r="J186" s="4836">
        <v>41173</v>
      </c>
      <c r="K186" s="4837">
        <v>57373.007251716626</v>
      </c>
      <c r="L186" s="4834">
        <f t="shared" si="13"/>
        <v>1.5195601543849733E-5</v>
      </c>
      <c r="S186" s="270" t="s">
        <v>11265</v>
      </c>
      <c r="T186" s="4838">
        <v>1115.3093984657046</v>
      </c>
      <c r="U186" s="4839">
        <f t="shared" si="12"/>
        <v>5.9952094851322466E-5</v>
      </c>
    </row>
    <row r="187" spans="1:21">
      <c r="A187" s="270" t="s">
        <v>11266</v>
      </c>
      <c r="B187" s="3305">
        <v>8155.5</v>
      </c>
      <c r="C187" s="4834">
        <f t="shared" si="10"/>
        <v>1.4362163441574151E-4</v>
      </c>
      <c r="D187" s="3" t="str">
        <f t="shared" si="11"/>
        <v>2012</v>
      </c>
      <c r="J187" s="4836">
        <v>41176</v>
      </c>
      <c r="K187" s="4837">
        <v>56665.690827206818</v>
      </c>
      <c r="L187" s="4834">
        <f t="shared" si="13"/>
        <v>1.7548535719148972E-5</v>
      </c>
      <c r="S187" s="270" t="s">
        <v>11266</v>
      </c>
      <c r="T187" s="4838">
        <v>1084.4446817598216</v>
      </c>
      <c r="U187" s="4839">
        <f t="shared" si="12"/>
        <v>9.5198827897109069E-5</v>
      </c>
    </row>
    <row r="188" spans="1:21">
      <c r="A188" s="270" t="s">
        <v>11267</v>
      </c>
      <c r="B188" s="3305">
        <v>8235.5</v>
      </c>
      <c r="C188" s="4834">
        <f t="shared" si="10"/>
        <v>1.318093061082309E-4</v>
      </c>
      <c r="D188" s="3" t="str">
        <f t="shared" si="11"/>
        <v>2012</v>
      </c>
      <c r="J188" s="4836">
        <v>41177</v>
      </c>
      <c r="K188" s="4837">
        <v>56955.047546324473</v>
      </c>
      <c r="L188" s="4834">
        <f t="shared" si="13"/>
        <v>1.6562507369984661E-5</v>
      </c>
      <c r="S188" s="270" t="s">
        <v>11267</v>
      </c>
      <c r="T188" s="4838">
        <v>1093.4468907990376</v>
      </c>
      <c r="U188" s="4839">
        <f t="shared" si="12"/>
        <v>8.3457360569375705E-5</v>
      </c>
    </row>
    <row r="189" spans="1:21">
      <c r="A189" s="270" t="s">
        <v>11268</v>
      </c>
      <c r="B189" s="3305">
        <v>8130.5</v>
      </c>
      <c r="C189" s="4834">
        <f t="shared" si="10"/>
        <v>1.4739656968831537E-4</v>
      </c>
      <c r="D189" s="3" t="str">
        <f t="shared" si="11"/>
        <v>2012</v>
      </c>
      <c r="J189" s="4836">
        <v>41178</v>
      </c>
      <c r="K189" s="4837">
        <v>56095.015075613672</v>
      </c>
      <c r="L189" s="4834">
        <f t="shared" si="13"/>
        <v>1.9583700506660405E-5</v>
      </c>
      <c r="S189" s="270" t="s">
        <v>11268</v>
      </c>
      <c r="T189" s="4838">
        <v>1089.2672937451159</v>
      </c>
      <c r="U189" s="4839">
        <f t="shared" si="12"/>
        <v>8.8746373009782276E-5</v>
      </c>
    </row>
    <row r="190" spans="1:21">
      <c r="A190" s="270" t="s">
        <v>11269</v>
      </c>
      <c r="B190" s="3305">
        <v>8175</v>
      </c>
      <c r="C190" s="4834">
        <f t="shared" si="10"/>
        <v>1.4070366413368102E-4</v>
      </c>
      <c r="D190" s="3" t="str">
        <f t="shared" si="11"/>
        <v>2012</v>
      </c>
      <c r="J190" s="4836">
        <v>41179</v>
      </c>
      <c r="K190" s="4837">
        <v>56681.766200491133</v>
      </c>
      <c r="L190" s="4834">
        <f t="shared" si="13"/>
        <v>1.749292475238748E-5</v>
      </c>
      <c r="S190" s="270" t="s">
        <v>11269</v>
      </c>
      <c r="T190" s="4838">
        <v>1091.5178460049199</v>
      </c>
      <c r="U190" s="4839">
        <f t="shared" si="12"/>
        <v>8.5864233437267187E-5</v>
      </c>
    </row>
    <row r="191" spans="1:21">
      <c r="A191" s="270" t="s">
        <v>11270</v>
      </c>
      <c r="B191" s="3305">
        <v>8267.5</v>
      </c>
      <c r="C191" s="4834">
        <f t="shared" si="10"/>
        <v>1.2720874927403777E-4</v>
      </c>
      <c r="D191" s="3" t="str">
        <f t="shared" si="11"/>
        <v>2012</v>
      </c>
      <c r="J191" s="4836">
        <v>41180</v>
      </c>
      <c r="K191" s="4837">
        <v>57099.725905883293</v>
      </c>
      <c r="L191" s="4834">
        <f t="shared" si="13"/>
        <v>1.608156802037111E-5</v>
      </c>
      <c r="S191" s="270" t="s">
        <v>11270</v>
      </c>
      <c r="T191" s="4838">
        <v>1114.0233686029594</v>
      </c>
      <c r="U191" s="4839">
        <f t="shared" si="12"/>
        <v>6.1156726666331405E-5</v>
      </c>
    </row>
    <row r="192" spans="1:21">
      <c r="A192" s="270" t="s">
        <v>11271</v>
      </c>
      <c r="B192" s="3305">
        <v>8191.5</v>
      </c>
      <c r="C192" s="4834">
        <f t="shared" si="10"/>
        <v>1.3825355017751576E-4</v>
      </c>
      <c r="D192" s="3" t="str">
        <f t="shared" si="11"/>
        <v>2012</v>
      </c>
      <c r="J192" s="4836">
        <v>41183</v>
      </c>
      <c r="K192" s="4837">
        <v>57453.384118138201</v>
      </c>
      <c r="L192" s="4834">
        <f t="shared" si="13"/>
        <v>1.4940692988499298E-5</v>
      </c>
      <c r="S192" s="270" t="s">
        <v>11271</v>
      </c>
      <c r="T192" s="4838">
        <v>1104.3781446323712</v>
      </c>
      <c r="U192" s="4839">
        <f t="shared" si="12"/>
        <v>7.0874360317831845E-5</v>
      </c>
    </row>
    <row r="193" spans="1:21">
      <c r="A193" s="270" t="s">
        <v>11272</v>
      </c>
      <c r="B193" s="3305">
        <v>8340</v>
      </c>
      <c r="C193" s="4834">
        <f t="shared" si="10"/>
        <v>1.1707444678097953E-4</v>
      </c>
      <c r="D193" s="3" t="str">
        <f t="shared" si="11"/>
        <v>2012</v>
      </c>
      <c r="J193" s="4836">
        <v>41184</v>
      </c>
      <c r="K193" s="4837">
        <v>57083.650532598978</v>
      </c>
      <c r="L193" s="4834">
        <f t="shared" si="13"/>
        <v>1.6134602438382544E-5</v>
      </c>
      <c r="S193" s="270" t="s">
        <v>11272</v>
      </c>
      <c r="T193" s="4838">
        <v>1120.4535179166853</v>
      </c>
      <c r="U193" s="4839">
        <f t="shared" si="12"/>
        <v>5.5336069006169526E-5</v>
      </c>
    </row>
    <row r="194" spans="1:21">
      <c r="A194" s="270" t="s">
        <v>11273</v>
      </c>
      <c r="B194" s="3305">
        <v>8276</v>
      </c>
      <c r="C194" s="4834">
        <f t="shared" si="10"/>
        <v>1.2599947169184101E-4</v>
      </c>
      <c r="D194" s="3" t="str">
        <f t="shared" si="11"/>
        <v>2012</v>
      </c>
      <c r="J194" s="4836">
        <v>41185</v>
      </c>
      <c r="K194" s="4837">
        <v>57075.612845956828</v>
      </c>
      <c r="L194" s="4834">
        <f t="shared" si="13"/>
        <v>1.616115760007157E-5</v>
      </c>
      <c r="S194" s="270" t="s">
        <v>11273</v>
      </c>
      <c r="T194" s="4838">
        <v>1116.2739208627634</v>
      </c>
      <c r="U194" s="4839">
        <f t="shared" si="12"/>
        <v>5.9062106875467303E-5</v>
      </c>
    </row>
    <row r="195" spans="1:21">
      <c r="A195" s="270" t="s">
        <v>11274</v>
      </c>
      <c r="B195" s="3305">
        <v>8325</v>
      </c>
      <c r="C195" s="4834">
        <f t="shared" si="10"/>
        <v>1.1913703277607857E-4</v>
      </c>
      <c r="D195" s="3" t="str">
        <f t="shared" si="11"/>
        <v>2012</v>
      </c>
      <c r="J195" s="4836">
        <v>41186</v>
      </c>
      <c r="K195" s="4837">
        <v>57606.100164339186</v>
      </c>
      <c r="L195" s="4834">
        <f t="shared" si="13"/>
        <v>1.4463550992895959E-5</v>
      </c>
      <c r="S195" s="270" t="s">
        <v>11274</v>
      </c>
      <c r="T195" s="4838">
        <v>1123.9901000392342</v>
      </c>
      <c r="U195" s="4839">
        <f t="shared" si="12"/>
        <v>5.2343943372488034E-5</v>
      </c>
    </row>
    <row r="196" spans="1:21">
      <c r="A196" s="270" t="s">
        <v>11275</v>
      </c>
      <c r="B196" s="3305">
        <v>8299</v>
      </c>
      <c r="C196" s="4834">
        <f t="shared" ref="C196:C259" si="14">_xlfn.NORM.DIST(B196,$F$4,$F$3,FALSE)</f>
        <v>1.2275494428677815E-4</v>
      </c>
      <c r="D196" s="3" t="str">
        <f t="shared" ref="D196:D259" si="15">LEFT(A196,4)</f>
        <v>2012</v>
      </c>
      <c r="J196" s="4836">
        <v>41187</v>
      </c>
      <c r="K196" s="4837">
        <v>57356.931878432319</v>
      </c>
      <c r="L196" s="4834">
        <f t="shared" si="13"/>
        <v>1.5246894490645773E-5</v>
      </c>
      <c r="S196" s="270" t="s">
        <v>11275</v>
      </c>
      <c r="T196" s="4838">
        <v>1120.4535179166853</v>
      </c>
      <c r="U196" s="4839">
        <f t="shared" ref="U196:U259" si="16">_xlfn.NORM.DIST(T196,$X$4,$X$3,FALSE)</f>
        <v>5.5336069006169526E-5</v>
      </c>
    </row>
    <row r="197" spans="1:21">
      <c r="A197" s="270" t="s">
        <v>11276</v>
      </c>
      <c r="B197" s="3305">
        <v>8133</v>
      </c>
      <c r="C197" s="4834">
        <f t="shared" si="14"/>
        <v>1.4701741417716432E-4</v>
      </c>
      <c r="D197" s="3" t="str">
        <f t="shared" si="15"/>
        <v>2012</v>
      </c>
      <c r="J197" s="4836">
        <v>41190</v>
      </c>
      <c r="K197" s="4837">
        <v>57019.349039461726</v>
      </c>
      <c r="L197" s="4834">
        <f t="shared" ref="L197:L260" si="17">_xlfn.NORM.DIST(K197,$O$4,$O$3,FALSE)</f>
        <v>1.634775040600715E-5</v>
      </c>
      <c r="S197" s="270" t="s">
        <v>11276</v>
      </c>
      <c r="T197" s="4838">
        <v>1088.3027713480574</v>
      </c>
      <c r="U197" s="4839">
        <f t="shared" si="16"/>
        <v>9.0006407121489778E-5</v>
      </c>
    </row>
    <row r="198" spans="1:21">
      <c r="A198" s="270" t="s">
        <v>11277</v>
      </c>
      <c r="B198" s="3305">
        <v>8183</v>
      </c>
      <c r="C198" s="4834">
        <f t="shared" si="14"/>
        <v>1.3951352131065246E-4</v>
      </c>
      <c r="D198" s="3" t="str">
        <f t="shared" si="15"/>
        <v>2012</v>
      </c>
      <c r="J198" s="4836">
        <v>41191</v>
      </c>
      <c r="K198" s="4837">
        <v>57035.424412746041</v>
      </c>
      <c r="L198" s="4834">
        <f t="shared" si="17"/>
        <v>1.6294312176570025E-5</v>
      </c>
      <c r="S198" s="270" t="s">
        <v>11277</v>
      </c>
      <c r="T198" s="4838">
        <v>1088.9457862794295</v>
      </c>
      <c r="U198" s="4839">
        <f t="shared" si="16"/>
        <v>8.9164715694394755E-5</v>
      </c>
    </row>
    <row r="199" spans="1:21">
      <c r="A199" s="270" t="s">
        <v>11278</v>
      </c>
      <c r="B199" s="3305">
        <v>8124.5</v>
      </c>
      <c r="C199" s="4834">
        <f t="shared" si="14"/>
        <v>1.4830801244617207E-4</v>
      </c>
      <c r="D199" s="3" t="str">
        <f t="shared" si="15"/>
        <v>2012</v>
      </c>
      <c r="J199" s="4836">
        <v>41192</v>
      </c>
      <c r="K199" s="4837">
        <v>56625.50239399603</v>
      </c>
      <c r="L199" s="4834">
        <f t="shared" si="17"/>
        <v>1.768798541953859E-5</v>
      </c>
      <c r="S199" s="270" t="s">
        <v>11278</v>
      </c>
      <c r="T199" s="4838">
        <v>1086.3737265539394</v>
      </c>
      <c r="U199" s="4839">
        <f t="shared" si="16"/>
        <v>9.2571889638522401E-5</v>
      </c>
    </row>
    <row r="200" spans="1:21">
      <c r="A200" s="270" t="s">
        <v>11279</v>
      </c>
      <c r="B200" s="3305">
        <v>8212</v>
      </c>
      <c r="C200" s="4834">
        <f t="shared" si="14"/>
        <v>1.3523457316023767E-4</v>
      </c>
      <c r="D200" s="3" t="str">
        <f t="shared" si="15"/>
        <v>2012</v>
      </c>
      <c r="J200" s="4836">
        <v>41193</v>
      </c>
      <c r="K200" s="4837">
        <v>56874.670679902898</v>
      </c>
      <c r="L200" s="4834">
        <f t="shared" si="17"/>
        <v>1.6833200393031931E-5</v>
      </c>
      <c r="S200" s="270" t="s">
        <v>11279</v>
      </c>
      <c r="T200" s="4838">
        <v>1101.1630699755083</v>
      </c>
      <c r="U200" s="4839">
        <f t="shared" si="16"/>
        <v>7.4394654783187543E-5</v>
      </c>
    </row>
    <row r="201" spans="1:21">
      <c r="A201" s="270" t="s">
        <v>11280</v>
      </c>
      <c r="B201" s="3305">
        <v>8179</v>
      </c>
      <c r="C201" s="4834">
        <f t="shared" si="14"/>
        <v>1.4010807732156458E-4</v>
      </c>
      <c r="D201" s="3" t="str">
        <f t="shared" si="15"/>
        <v>2012</v>
      </c>
      <c r="J201" s="4836">
        <v>41194</v>
      </c>
      <c r="K201" s="4837">
        <v>56802.331500123488</v>
      </c>
      <c r="L201" s="4834">
        <f t="shared" si="17"/>
        <v>1.7078942169089655E-5</v>
      </c>
      <c r="S201" s="270" t="s">
        <v>11280</v>
      </c>
      <c r="T201" s="4838">
        <v>1086.3737265539394</v>
      </c>
      <c r="U201" s="4839">
        <f t="shared" si="16"/>
        <v>9.2571889638522401E-5</v>
      </c>
    </row>
    <row r="202" spans="1:21">
      <c r="A202" s="270" t="s">
        <v>11281</v>
      </c>
      <c r="B202" s="3305">
        <v>8130</v>
      </c>
      <c r="C202" s="4834">
        <f t="shared" si="14"/>
        <v>1.4747244420917674E-4</v>
      </c>
      <c r="D202" s="3" t="str">
        <f t="shared" si="15"/>
        <v>2012</v>
      </c>
      <c r="J202" s="4836">
        <v>41197</v>
      </c>
      <c r="K202" s="4837">
        <v>55813.696043138174</v>
      </c>
      <c r="L202" s="4834">
        <f t="shared" si="17"/>
        <v>2.0628561239870092E-5</v>
      </c>
      <c r="S202" s="270" t="s">
        <v>11281</v>
      </c>
      <c r="T202" s="4838">
        <v>1068.0478010098216</v>
      </c>
      <c r="U202" s="4839">
        <f t="shared" si="16"/>
        <v>1.2016512107992324E-4</v>
      </c>
    </row>
    <row r="203" spans="1:21">
      <c r="A203" s="270" t="s">
        <v>11282</v>
      </c>
      <c r="B203" s="3305">
        <v>8141.5</v>
      </c>
      <c r="C203" s="4834">
        <f t="shared" si="14"/>
        <v>1.457310173591797E-4</v>
      </c>
      <c r="D203" s="3" t="str">
        <f t="shared" si="15"/>
        <v>2012</v>
      </c>
      <c r="J203" s="4836">
        <v>41198</v>
      </c>
      <c r="K203" s="4837">
        <v>56151.278882108767</v>
      </c>
      <c r="L203" s="4834">
        <f t="shared" si="17"/>
        <v>1.9377923708085672E-5</v>
      </c>
      <c r="S203" s="270" t="s">
        <v>11282</v>
      </c>
      <c r="T203" s="4838">
        <v>1054.5444874509976</v>
      </c>
      <c r="U203" s="4839">
        <f t="shared" si="16"/>
        <v>1.4460657887569424E-4</v>
      </c>
    </row>
    <row r="204" spans="1:21">
      <c r="A204" s="270" t="s">
        <v>11283</v>
      </c>
      <c r="B204" s="3305">
        <v>8112.5</v>
      </c>
      <c r="C204" s="4834">
        <f t="shared" si="14"/>
        <v>1.5013701520633321E-4</v>
      </c>
      <c r="D204" s="3" t="str">
        <f t="shared" si="15"/>
        <v>2012</v>
      </c>
      <c r="J204" s="4836">
        <v>41199</v>
      </c>
      <c r="K204" s="4837">
        <v>56231.655748530335</v>
      </c>
      <c r="L204" s="4834">
        <f t="shared" si="17"/>
        <v>1.9085854967870299E-5</v>
      </c>
      <c r="S204" s="270" t="s">
        <v>11283</v>
      </c>
      <c r="T204" s="4838">
        <v>1061.9391591617821</v>
      </c>
      <c r="U204" s="4839">
        <f t="shared" si="16"/>
        <v>1.307607162892098E-4</v>
      </c>
    </row>
    <row r="205" spans="1:21">
      <c r="A205" s="270" t="s">
        <v>11284</v>
      </c>
      <c r="B205" s="3305">
        <v>8210</v>
      </c>
      <c r="C205" s="4834">
        <f t="shared" si="14"/>
        <v>1.3552785585966049E-4</v>
      </c>
      <c r="D205" s="3" t="str">
        <f t="shared" si="15"/>
        <v>2012</v>
      </c>
      <c r="J205" s="4836">
        <v>41200</v>
      </c>
      <c r="K205" s="4837">
        <v>56038.751269118569</v>
      </c>
      <c r="L205" s="4834">
        <f t="shared" si="17"/>
        <v>1.9790558432941763E-5</v>
      </c>
      <c r="S205" s="270" t="s">
        <v>11284</v>
      </c>
      <c r="T205" s="4838">
        <v>1060.6531292990371</v>
      </c>
      <c r="U205" s="4839">
        <f t="shared" si="16"/>
        <v>1.3308691260731885E-4</v>
      </c>
    </row>
    <row r="206" spans="1:21">
      <c r="A206" s="270" t="s">
        <v>11285</v>
      </c>
      <c r="B206" s="3305">
        <v>8121</v>
      </c>
      <c r="C206" s="4834">
        <f t="shared" si="14"/>
        <v>1.4884063589173748E-4</v>
      </c>
      <c r="D206" s="3" t="str">
        <f t="shared" si="15"/>
        <v>2012</v>
      </c>
      <c r="J206" s="4836">
        <v>41201</v>
      </c>
      <c r="K206" s="4837">
        <v>55845.846789706804</v>
      </c>
      <c r="L206" s="4834">
        <f t="shared" si="17"/>
        <v>2.0507828979502639E-5</v>
      </c>
      <c r="S206" s="270" t="s">
        <v>11285</v>
      </c>
      <c r="T206" s="4838">
        <v>1039.4336365637428</v>
      </c>
      <c r="U206" s="4839">
        <f t="shared" si="16"/>
        <v>1.7663537923481707E-4</v>
      </c>
    </row>
    <row r="207" spans="1:21">
      <c r="A207" s="270" t="s">
        <v>11286</v>
      </c>
      <c r="B207" s="3305">
        <v>7983.5</v>
      </c>
      <c r="C207" s="4834">
        <f t="shared" si="14"/>
        <v>1.7024521256342814E-4</v>
      </c>
      <c r="D207" s="3" t="str">
        <f t="shared" si="15"/>
        <v>2012</v>
      </c>
      <c r="J207" s="4836">
        <v>41204</v>
      </c>
      <c r="K207" s="4837">
        <v>55516.301637378368</v>
      </c>
      <c r="L207" s="4834">
        <f t="shared" si="17"/>
        <v>2.1760781663933228E-5</v>
      </c>
      <c r="S207" s="270" t="s">
        <v>11286</v>
      </c>
      <c r="T207" s="4838">
        <v>1034.2895171127623</v>
      </c>
      <c r="U207" s="4839">
        <f t="shared" si="16"/>
        <v>1.8876084761058068E-4</v>
      </c>
    </row>
    <row r="208" spans="1:21">
      <c r="A208" s="270" t="s">
        <v>11287</v>
      </c>
      <c r="B208" s="3305">
        <v>7861</v>
      </c>
      <c r="C208" s="4834">
        <f t="shared" si="14"/>
        <v>1.8986510774567526E-4</v>
      </c>
      <c r="D208" s="3" t="str">
        <f t="shared" si="15"/>
        <v>2012</v>
      </c>
      <c r="J208" s="4836">
        <v>41205</v>
      </c>
      <c r="K208" s="4837">
        <v>55009.927378922475</v>
      </c>
      <c r="L208" s="4834">
        <f t="shared" si="17"/>
        <v>2.3748117865119998E-5</v>
      </c>
      <c r="S208" s="270" t="s">
        <v>11287</v>
      </c>
      <c r="T208" s="4838">
        <v>1019.5001736911933</v>
      </c>
      <c r="U208" s="4839">
        <f t="shared" si="16"/>
        <v>2.2735357422733123E-4</v>
      </c>
    </row>
    <row r="209" spans="1:21">
      <c r="A209" s="270" t="s">
        <v>11288</v>
      </c>
      <c r="B209" s="3305">
        <v>7860.5</v>
      </c>
      <c r="C209" s="4834">
        <f t="shared" si="14"/>
        <v>1.8994575507460293E-4</v>
      </c>
      <c r="D209" s="3" t="str">
        <f t="shared" si="15"/>
        <v>2012</v>
      </c>
      <c r="J209" s="4836">
        <v>41206</v>
      </c>
      <c r="K209" s="4837">
        <v>54865.249019363655</v>
      </c>
      <c r="L209" s="4834">
        <f t="shared" si="17"/>
        <v>2.4328366950791128E-5</v>
      </c>
      <c r="S209" s="270" t="s">
        <v>11288</v>
      </c>
      <c r="T209" s="4838">
        <v>1027.2163528676638</v>
      </c>
      <c r="U209" s="4839">
        <f t="shared" si="16"/>
        <v>2.0650991562814338E-4</v>
      </c>
    </row>
    <row r="210" spans="1:21">
      <c r="A210" s="270" t="s">
        <v>11289</v>
      </c>
      <c r="B210" s="3305">
        <v>7852</v>
      </c>
      <c r="C210" s="4834">
        <f t="shared" si="14"/>
        <v>1.9131712711958706E-4</v>
      </c>
      <c r="D210" s="3" t="str">
        <f t="shared" si="15"/>
        <v>2012</v>
      </c>
      <c r="J210" s="4836">
        <v>41207</v>
      </c>
      <c r="K210" s="4837">
        <v>55154.605738481303</v>
      </c>
      <c r="L210" s="4834">
        <f t="shared" si="17"/>
        <v>2.3173158839609404E-5</v>
      </c>
      <c r="S210" s="270" t="s">
        <v>11289</v>
      </c>
      <c r="T210" s="4838">
        <v>1031.3959499215857</v>
      </c>
      <c r="U210" s="4839">
        <f t="shared" si="16"/>
        <v>1.9586860211501109E-4</v>
      </c>
    </row>
    <row r="211" spans="1:21">
      <c r="A211" s="270" t="s">
        <v>11290</v>
      </c>
      <c r="B211" s="3305">
        <v>7765</v>
      </c>
      <c r="C211" s="4834">
        <f t="shared" si="14"/>
        <v>2.053653008818287E-4</v>
      </c>
      <c r="D211" s="3" t="str">
        <f t="shared" si="15"/>
        <v>2012</v>
      </c>
      <c r="J211" s="4836">
        <v>41208</v>
      </c>
      <c r="K211" s="4837">
        <v>55170.681111765618</v>
      </c>
      <c r="L211" s="4834">
        <f t="shared" si="17"/>
        <v>2.3109613812515154E-5</v>
      </c>
      <c r="S211" s="270" t="s">
        <v>11290</v>
      </c>
      <c r="T211" s="4838">
        <v>1018.2141438284482</v>
      </c>
      <c r="U211" s="4839">
        <f t="shared" si="16"/>
        <v>2.3098252737914E-4</v>
      </c>
    </row>
    <row r="212" spans="1:21">
      <c r="A212" s="270" t="s">
        <v>11291</v>
      </c>
      <c r="B212" s="3305">
        <v>7720</v>
      </c>
      <c r="C212" s="4834">
        <f t="shared" si="14"/>
        <v>2.1260972240191335E-4</v>
      </c>
      <c r="D212" s="3" t="str">
        <f t="shared" si="15"/>
        <v>2012</v>
      </c>
      <c r="J212" s="4836">
        <v>41211</v>
      </c>
      <c r="K212" s="4837">
        <v>54881.324392647963</v>
      </c>
      <c r="L212" s="4834">
        <f t="shared" si="17"/>
        <v>2.4263642931196662E-5</v>
      </c>
      <c r="S212" s="270" t="s">
        <v>11291</v>
      </c>
      <c r="T212" s="4838">
        <v>1023.0367558137423</v>
      </c>
      <c r="U212" s="4839">
        <f t="shared" si="16"/>
        <v>2.1760411621962077E-4</v>
      </c>
    </row>
    <row r="213" spans="1:21">
      <c r="A213" s="270" t="s">
        <v>11292</v>
      </c>
      <c r="B213" s="3305">
        <v>7760</v>
      </c>
      <c r="C213" s="4834">
        <f t="shared" si="14"/>
        <v>2.0617165392669624E-4</v>
      </c>
      <c r="D213" s="3" t="str">
        <f t="shared" si="15"/>
        <v>2012</v>
      </c>
      <c r="J213" s="4836">
        <v>41212</v>
      </c>
      <c r="K213" s="4837">
        <v>54977.776632353853</v>
      </c>
      <c r="L213" s="4834">
        <f t="shared" si="17"/>
        <v>2.3876615438603515E-5</v>
      </c>
      <c r="S213" s="270" t="s">
        <v>11292</v>
      </c>
      <c r="T213" s="4838">
        <v>1028.1808752647228</v>
      </c>
      <c r="U213" s="4839">
        <f t="shared" si="16"/>
        <v>2.0401444355605254E-4</v>
      </c>
    </row>
    <row r="214" spans="1:21">
      <c r="A214" s="270" t="s">
        <v>11293</v>
      </c>
      <c r="B214" s="3305">
        <v>7819</v>
      </c>
      <c r="C214" s="4834">
        <f t="shared" si="14"/>
        <v>1.9664585077216391E-4</v>
      </c>
      <c r="D214" s="3" t="str">
        <f t="shared" si="15"/>
        <v>2012</v>
      </c>
      <c r="J214" s="4836">
        <v>41213</v>
      </c>
      <c r="K214" s="4837">
        <v>55267.133351471501</v>
      </c>
      <c r="L214" s="4834">
        <f t="shared" si="17"/>
        <v>2.2729812482432535E-5</v>
      </c>
      <c r="S214" s="270" t="s">
        <v>11293</v>
      </c>
      <c r="T214" s="4838">
        <v>1037.8260992353112</v>
      </c>
      <c r="U214" s="4839">
        <f t="shared" si="16"/>
        <v>1.8035535943423966E-4</v>
      </c>
    </row>
    <row r="215" spans="1:21">
      <c r="A215" s="270" t="s">
        <v>11294</v>
      </c>
      <c r="B215" s="3305">
        <v>7811</v>
      </c>
      <c r="C215" s="4834">
        <f t="shared" si="14"/>
        <v>1.9793818565078401E-4</v>
      </c>
      <c r="D215" s="3" t="str">
        <f t="shared" si="15"/>
        <v>2012</v>
      </c>
      <c r="J215" s="4836">
        <v>41214</v>
      </c>
      <c r="K215" s="4837">
        <v>55178.718798407775</v>
      </c>
      <c r="L215" s="4834">
        <f t="shared" si="17"/>
        <v>2.3077867263290906E-5</v>
      </c>
      <c r="S215" s="270" t="s">
        <v>11294</v>
      </c>
      <c r="T215" s="4838">
        <v>1050.0433829313897</v>
      </c>
      <c r="U215" s="4839">
        <f t="shared" si="16"/>
        <v>1.5360722255637236E-4</v>
      </c>
    </row>
    <row r="216" spans="1:21">
      <c r="A216" s="270" t="s">
        <v>11295</v>
      </c>
      <c r="B216" s="3305">
        <v>7765.5</v>
      </c>
      <c r="C216" s="4834">
        <f t="shared" si="14"/>
        <v>2.0528465078997992E-4</v>
      </c>
      <c r="D216" s="3" t="str">
        <f t="shared" si="15"/>
        <v>2012</v>
      </c>
      <c r="J216" s="4836">
        <v>41215</v>
      </c>
      <c r="K216" s="4837">
        <v>54174.007968138147</v>
      </c>
      <c r="L216" s="4834">
        <f t="shared" si="17"/>
        <v>2.7163826876171562E-5</v>
      </c>
      <c r="S216" s="270" t="s">
        <v>11295</v>
      </c>
      <c r="T216" s="4838">
        <v>1026.2518304706052</v>
      </c>
      <c r="U216" s="4839">
        <f t="shared" si="16"/>
        <v>2.0902950672805435E-4</v>
      </c>
    </row>
    <row r="217" spans="1:21">
      <c r="A217" s="270" t="s">
        <v>11296</v>
      </c>
      <c r="B217" s="3305">
        <v>7604</v>
      </c>
      <c r="C217" s="4834">
        <f t="shared" si="14"/>
        <v>2.3103980637433354E-4</v>
      </c>
      <c r="D217" s="3" t="str">
        <f t="shared" si="15"/>
        <v>2012</v>
      </c>
      <c r="J217" s="4836">
        <v>41218</v>
      </c>
      <c r="K217" s="4837">
        <v>54125.781848285209</v>
      </c>
      <c r="L217" s="4834">
        <f t="shared" si="17"/>
        <v>2.7364959936335717E-5</v>
      </c>
      <c r="S217" s="270" t="s">
        <v>11296</v>
      </c>
      <c r="T217" s="4838">
        <v>993.77957643629088</v>
      </c>
      <c r="U217" s="4839">
        <f t="shared" si="16"/>
        <v>3.0885426975800002E-4</v>
      </c>
    </row>
    <row r="218" spans="1:21">
      <c r="A218" s="270" t="s">
        <v>11297</v>
      </c>
      <c r="B218" s="3305">
        <v>7661</v>
      </c>
      <c r="C218" s="4834">
        <f t="shared" si="14"/>
        <v>2.2204128966404551E-4</v>
      </c>
      <c r="D218" s="3" t="str">
        <f t="shared" si="15"/>
        <v>2012</v>
      </c>
      <c r="J218" s="4836">
        <v>41219</v>
      </c>
      <c r="K218" s="4837">
        <v>54366.912447549912</v>
      </c>
      <c r="L218" s="4834">
        <f t="shared" si="17"/>
        <v>2.6363162601272038E-5</v>
      </c>
      <c r="S218" s="270" t="s">
        <v>11297</v>
      </c>
      <c r="T218" s="4838">
        <v>1009.5334422549184</v>
      </c>
      <c r="U218" s="4839">
        <f t="shared" si="16"/>
        <v>2.5667430040825185E-4</v>
      </c>
    </row>
    <row r="219" spans="1:21">
      <c r="A219" s="270" t="s">
        <v>11298</v>
      </c>
      <c r="B219" s="3305">
        <v>7654.5</v>
      </c>
      <c r="C219" s="4834">
        <f t="shared" si="14"/>
        <v>2.2307391185560492E-4</v>
      </c>
      <c r="D219" s="3" t="str">
        <f t="shared" si="15"/>
        <v>2012</v>
      </c>
      <c r="J219" s="4836">
        <v>41220</v>
      </c>
      <c r="K219" s="4837">
        <v>55146.568051839145</v>
      </c>
      <c r="L219" s="4834">
        <f t="shared" si="17"/>
        <v>2.3204957220233931E-5</v>
      </c>
      <c r="S219" s="270" t="s">
        <v>11298</v>
      </c>
      <c r="T219" s="4838">
        <v>1033.3249947157033</v>
      </c>
      <c r="U219" s="4839">
        <f t="shared" si="16"/>
        <v>1.9110682391649275E-4</v>
      </c>
    </row>
    <row r="220" spans="1:21">
      <c r="A220" s="270" t="s">
        <v>11299</v>
      </c>
      <c r="B220" s="3305">
        <v>7605.5</v>
      </c>
      <c r="C220" s="4834">
        <f t="shared" si="14"/>
        <v>2.3080480852453252E-4</v>
      </c>
      <c r="D220" s="3" t="str">
        <f t="shared" si="15"/>
        <v>2012</v>
      </c>
      <c r="J220" s="4836">
        <v>41221</v>
      </c>
      <c r="K220" s="4837">
        <v>55202.831858334241</v>
      </c>
      <c r="L220" s="4834">
        <f t="shared" si="17"/>
        <v>2.2982732053740446E-5</v>
      </c>
      <c r="S220" s="270" t="s">
        <v>11299</v>
      </c>
      <c r="T220" s="4838">
        <v>1019.178666225507</v>
      </c>
      <c r="U220" s="4839">
        <f t="shared" si="16"/>
        <v>2.2825659782941269E-4</v>
      </c>
    </row>
    <row r="221" spans="1:21">
      <c r="A221" s="270" t="s">
        <v>11300</v>
      </c>
      <c r="B221" s="3305">
        <v>7540.5</v>
      </c>
      <c r="C221" s="4834">
        <f t="shared" si="14"/>
        <v>2.4087851165821195E-4</v>
      </c>
      <c r="D221" s="3" t="str">
        <f t="shared" si="15"/>
        <v>2012</v>
      </c>
      <c r="J221" s="4836">
        <v>41222</v>
      </c>
      <c r="K221" s="4837">
        <v>55886.035222917591</v>
      </c>
      <c r="L221" s="4834">
        <f t="shared" si="17"/>
        <v>2.03573853634155E-5</v>
      </c>
      <c r="S221" s="270" t="s">
        <v>11300</v>
      </c>
      <c r="T221" s="4838">
        <v>1033.9680096470759</v>
      </c>
      <c r="U221" s="4839">
        <f t="shared" si="16"/>
        <v>1.8954026760760576E-4</v>
      </c>
    </row>
    <row r="222" spans="1:21">
      <c r="A222" s="270" t="s">
        <v>11301</v>
      </c>
      <c r="B222" s="3305">
        <v>7626.5</v>
      </c>
      <c r="C222" s="4834">
        <f t="shared" si="14"/>
        <v>2.2750394019223049E-4</v>
      </c>
      <c r="D222" s="3" t="str">
        <f t="shared" si="15"/>
        <v>2012</v>
      </c>
      <c r="J222" s="4836">
        <v>41225</v>
      </c>
      <c r="K222" s="4837">
        <v>55789.582983211702</v>
      </c>
      <c r="L222" s="4834">
        <f t="shared" si="17"/>
        <v>2.0719328969109192E-5</v>
      </c>
      <c r="S222" s="270" t="s">
        <v>11301</v>
      </c>
      <c r="T222" s="4838">
        <v>1049.0788605343312</v>
      </c>
      <c r="U222" s="4839">
        <f t="shared" si="16"/>
        <v>1.555941523917997E-4</v>
      </c>
    </row>
    <row r="223" spans="1:21">
      <c r="A223" s="270" t="s">
        <v>11302</v>
      </c>
      <c r="B223" s="3305">
        <v>7606.5</v>
      </c>
      <c r="C223" s="4834">
        <f t="shared" si="14"/>
        <v>2.3064808361721826E-4</v>
      </c>
      <c r="D223" s="3" t="str">
        <f t="shared" si="15"/>
        <v>2012</v>
      </c>
      <c r="J223" s="4836">
        <v>41226</v>
      </c>
      <c r="K223" s="4837">
        <v>55500.226264094053</v>
      </c>
      <c r="L223" s="4834">
        <f t="shared" si="17"/>
        <v>2.1822754296481384E-5</v>
      </c>
      <c r="S223" s="270" t="s">
        <v>11302</v>
      </c>
      <c r="T223" s="4838">
        <v>1047.4713232058996</v>
      </c>
      <c r="U223" s="4839">
        <f t="shared" si="16"/>
        <v>1.5895215593088514E-4</v>
      </c>
    </row>
    <row r="224" spans="1:21">
      <c r="A224" s="270" t="s">
        <v>11303</v>
      </c>
      <c r="B224" s="3305">
        <v>7635</v>
      </c>
      <c r="C224" s="4834">
        <f t="shared" si="14"/>
        <v>2.2616240263693876E-4</v>
      </c>
      <c r="D224" s="3" t="str">
        <f t="shared" si="15"/>
        <v>2012</v>
      </c>
      <c r="J224" s="4836">
        <v>41227</v>
      </c>
      <c r="K224" s="4837">
        <v>55484.150890809738</v>
      </c>
      <c r="L224" s="4834">
        <f t="shared" si="17"/>
        <v>2.1884803760516588E-5</v>
      </c>
      <c r="S224" s="270" t="s">
        <v>11303</v>
      </c>
      <c r="T224" s="4838">
        <v>1044.2562485490369</v>
      </c>
      <c r="U224" s="4839">
        <f t="shared" si="16"/>
        <v>1.6584478854780871E-4</v>
      </c>
    </row>
    <row r="225" spans="1:21">
      <c r="A225" s="270" t="s">
        <v>11304</v>
      </c>
      <c r="B225" s="3305">
        <v>7605.5</v>
      </c>
      <c r="C225" s="4834">
        <f t="shared" si="14"/>
        <v>2.3080480852453252E-4</v>
      </c>
      <c r="D225" s="3" t="str">
        <f t="shared" si="15"/>
        <v>2012</v>
      </c>
      <c r="J225" s="4836">
        <v>41228</v>
      </c>
      <c r="K225" s="4837">
        <v>54977.776632353853</v>
      </c>
      <c r="L225" s="4834">
        <f t="shared" si="17"/>
        <v>2.3876615438603515E-5</v>
      </c>
      <c r="S225" s="270" t="s">
        <v>11304</v>
      </c>
      <c r="T225" s="4838">
        <v>1047.1498157402132</v>
      </c>
      <c r="U225" s="4839">
        <f t="shared" si="16"/>
        <v>1.5963077320530262E-4</v>
      </c>
    </row>
    <row r="226" spans="1:21">
      <c r="A226" s="270" t="s">
        <v>11305</v>
      </c>
      <c r="B226" s="3305">
        <v>7573</v>
      </c>
      <c r="C226" s="4834">
        <f t="shared" si="14"/>
        <v>2.3587101779649626E-4</v>
      </c>
      <c r="D226" s="3" t="str">
        <f t="shared" si="15"/>
        <v>2012</v>
      </c>
      <c r="J226" s="4836">
        <v>41229</v>
      </c>
      <c r="K226" s="4837">
        <v>55090.304245344043</v>
      </c>
      <c r="L226" s="4834">
        <f t="shared" si="17"/>
        <v>2.3428024166338242E-5</v>
      </c>
      <c r="S226" s="270" t="s">
        <v>11305</v>
      </c>
      <c r="T226" s="4838">
        <v>1037.504591769625</v>
      </c>
      <c r="U226" s="4839">
        <f t="shared" si="16"/>
        <v>1.8110685456657053E-4</v>
      </c>
    </row>
    <row r="227" spans="1:21">
      <c r="A227" s="270" t="s">
        <v>11306</v>
      </c>
      <c r="B227" s="3305">
        <v>7670.5</v>
      </c>
      <c r="C227" s="4834">
        <f t="shared" si="14"/>
        <v>2.2052947529175662E-4</v>
      </c>
      <c r="D227" s="3" t="str">
        <f t="shared" si="15"/>
        <v>2012</v>
      </c>
      <c r="J227" s="4836">
        <v>41232</v>
      </c>
      <c r="K227" s="4837">
        <v>55636.866937010724</v>
      </c>
      <c r="L227" s="4834">
        <f t="shared" si="17"/>
        <v>2.1298470457506843E-5</v>
      </c>
      <c r="S227" s="270" t="s">
        <v>11306</v>
      </c>
      <c r="T227" s="4838">
        <v>1050.3648903970761</v>
      </c>
      <c r="U227" s="4839">
        <f t="shared" si="16"/>
        <v>1.5294952565254684E-4</v>
      </c>
    </row>
    <row r="228" spans="1:21">
      <c r="A228" s="270" t="s">
        <v>11307</v>
      </c>
      <c r="B228" s="3305">
        <v>7731</v>
      </c>
      <c r="C228" s="4834">
        <f t="shared" si="14"/>
        <v>2.1084192395433266E-4</v>
      </c>
      <c r="D228" s="3" t="str">
        <f t="shared" si="15"/>
        <v>2012</v>
      </c>
      <c r="J228" s="4836">
        <v>41233</v>
      </c>
      <c r="K228" s="4837">
        <v>55693.130743505819</v>
      </c>
      <c r="L228" s="4834">
        <f t="shared" si="17"/>
        <v>2.1084250924587047E-5</v>
      </c>
      <c r="S228" s="270" t="s">
        <v>11307</v>
      </c>
      <c r="T228" s="4838">
        <v>1067.0832786127626</v>
      </c>
      <c r="U228" s="4839">
        <f t="shared" si="16"/>
        <v>1.2178911447656714E-4</v>
      </c>
    </row>
    <row r="229" spans="1:21">
      <c r="A229" s="270" t="s">
        <v>11308</v>
      </c>
      <c r="B229" s="3305">
        <v>7705</v>
      </c>
      <c r="C229" s="4834">
        <f t="shared" si="14"/>
        <v>2.1501627400477642E-4</v>
      </c>
      <c r="D229" s="3" t="str">
        <f t="shared" si="15"/>
        <v>2012</v>
      </c>
      <c r="J229" s="4836">
        <v>41234</v>
      </c>
      <c r="K229" s="4837">
        <v>55427.887084314643</v>
      </c>
      <c r="L229" s="4834">
        <f t="shared" si="17"/>
        <v>2.2102576897596174E-5</v>
      </c>
      <c r="S229" s="270" t="s">
        <v>11308</v>
      </c>
      <c r="T229" s="4838">
        <v>1061.2961442304097</v>
      </c>
      <c r="U229" s="4839">
        <f t="shared" si="16"/>
        <v>1.319195854395238E-4</v>
      </c>
    </row>
    <row r="230" spans="1:21">
      <c r="A230" s="270" t="s">
        <v>11309</v>
      </c>
      <c r="B230" s="3305">
        <v>7716</v>
      </c>
      <c r="C230" s="4834">
        <f t="shared" si="14"/>
        <v>2.132519554326891E-4</v>
      </c>
      <c r="D230" s="3" t="str">
        <f t="shared" si="15"/>
        <v>2012</v>
      </c>
      <c r="J230" s="4836">
        <v>41235</v>
      </c>
      <c r="K230" s="4837">
        <v>55652.942310295039</v>
      </c>
      <c r="L230" s="4834">
        <f t="shared" si="17"/>
        <v>2.1237164634296908E-5</v>
      </c>
      <c r="S230" s="270" t="s">
        <v>11309</v>
      </c>
      <c r="T230" s="4838">
        <v>1070.2983532696255</v>
      </c>
      <c r="U230" s="4839">
        <f t="shared" si="16"/>
        <v>1.1644564197513494E-4</v>
      </c>
    </row>
    <row r="231" spans="1:21">
      <c r="A231" s="270" t="s">
        <v>11310</v>
      </c>
      <c r="B231" s="3305">
        <v>7676</v>
      </c>
      <c r="C231" s="4834">
        <f t="shared" si="14"/>
        <v>2.1965287450809295E-4</v>
      </c>
      <c r="D231" s="3" t="str">
        <f t="shared" si="15"/>
        <v>2012</v>
      </c>
      <c r="J231" s="4836">
        <v>41236</v>
      </c>
      <c r="K231" s="4837">
        <v>55765.469923285229</v>
      </c>
      <c r="L231" s="4834">
        <f t="shared" si="17"/>
        <v>2.081028285809387E-5</v>
      </c>
      <c r="S231" s="270" t="s">
        <v>11310</v>
      </c>
      <c r="T231" s="4838">
        <v>1074.1564428578606</v>
      </c>
      <c r="U231" s="4839">
        <f t="shared" si="16"/>
        <v>1.1029244909803007E-4</v>
      </c>
    </row>
    <row r="232" spans="1:21">
      <c r="A232" s="270" t="s">
        <v>11311</v>
      </c>
      <c r="B232" s="3305">
        <v>7770.5</v>
      </c>
      <c r="C232" s="4834">
        <f t="shared" si="14"/>
        <v>2.0447801275443446E-4</v>
      </c>
      <c r="D232" s="3" t="str">
        <f t="shared" si="15"/>
        <v>2012</v>
      </c>
      <c r="J232" s="4836">
        <v>41239</v>
      </c>
      <c r="K232" s="4837">
        <v>56279.88186838328</v>
      </c>
      <c r="L232" s="4834">
        <f t="shared" si="17"/>
        <v>1.8911697531336777E-5</v>
      </c>
      <c r="S232" s="270" t="s">
        <v>11311</v>
      </c>
      <c r="T232" s="4838">
        <v>1095.6974430588416</v>
      </c>
      <c r="U232" s="4839">
        <f t="shared" si="16"/>
        <v>8.0721974138883967E-5</v>
      </c>
    </row>
    <row r="233" spans="1:21">
      <c r="A233" s="270" t="s">
        <v>11312</v>
      </c>
      <c r="B233" s="3305">
        <v>7796</v>
      </c>
      <c r="C233" s="4834">
        <f t="shared" si="14"/>
        <v>2.0036117330815906E-4</v>
      </c>
      <c r="D233" s="3" t="str">
        <f t="shared" si="15"/>
        <v>2012</v>
      </c>
      <c r="J233" s="4836">
        <v>41240</v>
      </c>
      <c r="K233" s="4837">
        <v>56143.241195466617</v>
      </c>
      <c r="L233" s="4834">
        <f t="shared" si="17"/>
        <v>1.9407253763826527E-5</v>
      </c>
      <c r="S233" s="270" t="s">
        <v>11312</v>
      </c>
      <c r="T233" s="4838">
        <v>1094.7329206617826</v>
      </c>
      <c r="U233" s="4839">
        <f t="shared" si="16"/>
        <v>8.1884802388848185E-5</v>
      </c>
    </row>
    <row r="234" spans="1:21">
      <c r="A234" s="270" t="s">
        <v>11313</v>
      </c>
      <c r="B234" s="3305">
        <v>7720</v>
      </c>
      <c r="C234" s="4834">
        <f t="shared" si="14"/>
        <v>2.1260972240191335E-4</v>
      </c>
      <c r="D234" s="3" t="str">
        <f t="shared" si="15"/>
        <v>2012</v>
      </c>
      <c r="J234" s="4836">
        <v>41241</v>
      </c>
      <c r="K234" s="4837">
        <v>54913.475139216593</v>
      </c>
      <c r="L234" s="4834">
        <f t="shared" si="17"/>
        <v>2.4134381299501389E-5</v>
      </c>
      <c r="S234" s="270" t="s">
        <v>11313</v>
      </c>
      <c r="T234" s="4838">
        <v>1088.3027713480574</v>
      </c>
      <c r="U234" s="4839">
        <f t="shared" si="16"/>
        <v>9.0006407121489778E-5</v>
      </c>
    </row>
    <row r="235" spans="1:21">
      <c r="A235" s="270" t="s">
        <v>11314</v>
      </c>
      <c r="B235" s="3305">
        <v>7850</v>
      </c>
      <c r="C235" s="4834">
        <f t="shared" si="14"/>
        <v>1.9163989577013682E-4</v>
      </c>
      <c r="D235" s="3" t="str">
        <f t="shared" si="15"/>
        <v>2012</v>
      </c>
      <c r="J235" s="4836">
        <v>41242</v>
      </c>
      <c r="K235" s="4837">
        <v>55460.037830883266</v>
      </c>
      <c r="L235" s="4834">
        <f t="shared" si="17"/>
        <v>2.1978021254952136E-5</v>
      </c>
      <c r="S235" s="270" t="s">
        <v>11314</v>
      </c>
      <c r="T235" s="4838">
        <v>1085.4092041568806</v>
      </c>
      <c r="U235" s="4839">
        <f t="shared" si="16"/>
        <v>9.3877608800499362E-5</v>
      </c>
    </row>
    <row r="236" spans="1:21">
      <c r="A236" s="270" t="s">
        <v>11315</v>
      </c>
      <c r="B236" s="3305">
        <v>7949</v>
      </c>
      <c r="C236" s="4834">
        <f t="shared" si="14"/>
        <v>1.7573410287023523E-4</v>
      </c>
      <c r="D236" s="3" t="str">
        <f t="shared" si="15"/>
        <v>2012</v>
      </c>
      <c r="J236" s="4836">
        <v>41243</v>
      </c>
      <c r="K236" s="4837">
        <v>55492.188577451896</v>
      </c>
      <c r="L236" s="4834">
        <f t="shared" si="17"/>
        <v>2.1853769446232558E-5</v>
      </c>
      <c r="S236" s="270" t="s">
        <v>11315</v>
      </c>
      <c r="T236" s="4838">
        <v>1102.1275923725673</v>
      </c>
      <c r="U236" s="4839">
        <f t="shared" si="16"/>
        <v>7.3323212475128558E-5</v>
      </c>
    </row>
    <row r="237" spans="1:21">
      <c r="A237" s="270" t="s">
        <v>11316</v>
      </c>
      <c r="B237" s="3305">
        <v>7975.5</v>
      </c>
      <c r="C237" s="4834">
        <f t="shared" si="14"/>
        <v>1.7151466863957619E-4</v>
      </c>
      <c r="D237" s="3" t="str">
        <f t="shared" si="15"/>
        <v>2012</v>
      </c>
      <c r="J237" s="4836">
        <v>41246</v>
      </c>
      <c r="K237" s="4837">
        <v>55299.284098040123</v>
      </c>
      <c r="L237" s="4834">
        <f t="shared" si="17"/>
        <v>2.2603780748466526E-5</v>
      </c>
      <c r="S237" s="270" t="s">
        <v>11316</v>
      </c>
      <c r="T237" s="4838">
        <v>1074.477950323547</v>
      </c>
      <c r="U237" s="4839">
        <f t="shared" si="16"/>
        <v>1.0979217312999467E-4</v>
      </c>
    </row>
    <row r="238" spans="1:21">
      <c r="A238" s="270" t="s">
        <v>11317</v>
      </c>
      <c r="B238" s="3305">
        <v>7991</v>
      </c>
      <c r="C238" s="4834">
        <f t="shared" si="14"/>
        <v>1.6905707170965196E-4</v>
      </c>
      <c r="D238" s="3" t="str">
        <f t="shared" si="15"/>
        <v>2012</v>
      </c>
      <c r="J238" s="4836">
        <v>41247</v>
      </c>
      <c r="K238" s="4837">
        <v>54583.929986888157</v>
      </c>
      <c r="L238" s="4834">
        <f t="shared" si="17"/>
        <v>2.5470617100912144E-5</v>
      </c>
      <c r="S238" s="270" t="s">
        <v>11317</v>
      </c>
      <c r="T238" s="4838">
        <v>1070.6198607353117</v>
      </c>
      <c r="U238" s="4839">
        <f t="shared" si="16"/>
        <v>1.1592219174039559E-4</v>
      </c>
    </row>
    <row r="239" spans="1:21">
      <c r="A239" s="270" t="s">
        <v>11318</v>
      </c>
      <c r="B239" s="3305">
        <v>8022</v>
      </c>
      <c r="C239" s="4834">
        <f t="shared" si="14"/>
        <v>1.6416800253103033E-4</v>
      </c>
      <c r="D239" s="3" t="str">
        <f t="shared" si="15"/>
        <v>2012</v>
      </c>
      <c r="J239" s="4836">
        <v>41248</v>
      </c>
      <c r="K239" s="4837">
        <v>54463.364687255795</v>
      </c>
      <c r="L239" s="4834">
        <f t="shared" si="17"/>
        <v>2.5965338497906465E-5</v>
      </c>
      <c r="S239" s="270" t="s">
        <v>11318</v>
      </c>
      <c r="T239" s="4838">
        <v>1063.2251890245275</v>
      </c>
      <c r="U239" s="4839">
        <f t="shared" si="16"/>
        <v>1.2846818057506121E-4</v>
      </c>
    </row>
    <row r="240" spans="1:21">
      <c r="A240" s="270" t="s">
        <v>11319</v>
      </c>
      <c r="B240" s="3305">
        <v>8020.5</v>
      </c>
      <c r="C240" s="4834">
        <f t="shared" si="14"/>
        <v>1.6440371017532721E-4</v>
      </c>
      <c r="D240" s="3" t="str">
        <f t="shared" si="15"/>
        <v>2012</v>
      </c>
      <c r="J240" s="4836">
        <v>41249</v>
      </c>
      <c r="K240" s="4837">
        <v>54471.402373897959</v>
      </c>
      <c r="L240" s="4834">
        <f t="shared" si="17"/>
        <v>2.5932266826528468E-5</v>
      </c>
      <c r="S240" s="270" t="s">
        <v>11319</v>
      </c>
      <c r="T240" s="4838">
        <v>1055.5090098480566</v>
      </c>
      <c r="U240" s="4839">
        <f t="shared" si="16"/>
        <v>1.4273517339413245E-4</v>
      </c>
    </row>
    <row r="241" spans="1:21">
      <c r="A241" s="270" t="s">
        <v>11320</v>
      </c>
      <c r="B241" s="3305">
        <v>7965.5</v>
      </c>
      <c r="C241" s="4834">
        <f t="shared" si="14"/>
        <v>1.731044070290662E-4</v>
      </c>
      <c r="D241" s="3" t="str">
        <f t="shared" si="15"/>
        <v>2012</v>
      </c>
      <c r="J241" s="4836">
        <v>41250</v>
      </c>
      <c r="K241" s="4837">
        <v>54704.495286520512</v>
      </c>
      <c r="L241" s="4834">
        <f t="shared" si="17"/>
        <v>2.4978922410294732E-5</v>
      </c>
      <c r="S241" s="270" t="s">
        <v>11320</v>
      </c>
      <c r="T241" s="4838">
        <v>1056.1520247794292</v>
      </c>
      <c r="U241" s="4839">
        <f t="shared" si="16"/>
        <v>1.4149863510668439E-4</v>
      </c>
    </row>
    <row r="242" spans="1:21">
      <c r="A242" s="270" t="s">
        <v>11321</v>
      </c>
      <c r="B242" s="3305">
        <v>8111.5</v>
      </c>
      <c r="C242" s="4834">
        <f t="shared" si="14"/>
        <v>1.5028979426330721E-4</v>
      </c>
      <c r="D242" s="3" t="str">
        <f t="shared" si="15"/>
        <v>2012</v>
      </c>
      <c r="J242" s="4836">
        <v>41253</v>
      </c>
      <c r="K242" s="4837">
        <v>55058.15349877542</v>
      </c>
      <c r="L242" s="4834">
        <f t="shared" si="17"/>
        <v>2.3555862437598368E-5</v>
      </c>
      <c r="S242" s="270" t="s">
        <v>11321</v>
      </c>
      <c r="T242" s="4838">
        <v>1071.9058905980569</v>
      </c>
      <c r="U242" s="4839">
        <f t="shared" si="16"/>
        <v>1.1384793935649249E-4</v>
      </c>
    </row>
    <row r="243" spans="1:21">
      <c r="A243" s="270" t="s">
        <v>11322</v>
      </c>
      <c r="B243" s="3305">
        <v>8070</v>
      </c>
      <c r="C243" s="4834">
        <f t="shared" si="14"/>
        <v>1.5667685959707436E-4</v>
      </c>
      <c r="D243" s="3" t="str">
        <f t="shared" si="15"/>
        <v>2012</v>
      </c>
      <c r="J243" s="4836">
        <v>41254</v>
      </c>
      <c r="K243" s="4837">
        <v>54977.776632353853</v>
      </c>
      <c r="L243" s="4834">
        <f t="shared" si="17"/>
        <v>2.3876615438603515E-5</v>
      </c>
      <c r="S243" s="270" t="s">
        <v>11322</v>
      </c>
      <c r="T243" s="4838">
        <v>1066.4402636813902</v>
      </c>
      <c r="U243" s="4839">
        <f t="shared" si="16"/>
        <v>1.2288185983098867E-4</v>
      </c>
    </row>
    <row r="244" spans="1:21">
      <c r="A244" s="270" t="s">
        <v>11323</v>
      </c>
      <c r="B244" s="3305">
        <v>8102</v>
      </c>
      <c r="C244" s="4834">
        <f t="shared" si="14"/>
        <v>1.5174391890713571E-4</v>
      </c>
      <c r="D244" s="3" t="str">
        <f t="shared" si="15"/>
        <v>2012</v>
      </c>
      <c r="J244" s="4836">
        <v>41255</v>
      </c>
      <c r="K244" s="4837">
        <v>55178.718798407775</v>
      </c>
      <c r="L244" s="4834">
        <f t="shared" si="17"/>
        <v>2.3077867263290906E-5</v>
      </c>
      <c r="S244" s="270" t="s">
        <v>11323</v>
      </c>
      <c r="T244" s="4838">
        <v>1064.189711421586</v>
      </c>
      <c r="U244" s="4839">
        <f t="shared" si="16"/>
        <v>1.2677066245881156E-4</v>
      </c>
    </row>
    <row r="245" spans="1:21">
      <c r="A245" s="270" t="s">
        <v>11324</v>
      </c>
      <c r="B245" s="3305">
        <v>8000.5</v>
      </c>
      <c r="C245" s="4834">
        <f t="shared" si="14"/>
        <v>1.675549564641789E-4</v>
      </c>
      <c r="D245" s="3" t="str">
        <f t="shared" si="15"/>
        <v>2012</v>
      </c>
      <c r="J245" s="4836">
        <v>41256</v>
      </c>
      <c r="K245" s="4837">
        <v>54423.176254045015</v>
      </c>
      <c r="L245" s="4834">
        <f t="shared" si="17"/>
        <v>2.6130884340197936E-5</v>
      </c>
      <c r="S245" s="270" t="s">
        <v>11324</v>
      </c>
      <c r="T245" s="4838">
        <v>1051.0079053284487</v>
      </c>
      <c r="U245" s="4839">
        <f t="shared" si="16"/>
        <v>1.5164101905854228E-4</v>
      </c>
    </row>
    <row r="246" spans="1:21">
      <c r="A246" s="270" t="s">
        <v>11325</v>
      </c>
      <c r="B246" s="3305">
        <v>8047.5</v>
      </c>
      <c r="C246" s="4834">
        <f t="shared" si="14"/>
        <v>1.6017546693657193E-4</v>
      </c>
      <c r="D246" s="3" t="str">
        <f t="shared" si="15"/>
        <v>2012</v>
      </c>
      <c r="J246" s="4836">
        <v>41257</v>
      </c>
      <c r="K246" s="4837">
        <v>54535.703867035219</v>
      </c>
      <c r="L246" s="4834">
        <f t="shared" si="17"/>
        <v>2.5668153356654004E-5</v>
      </c>
      <c r="S246" s="270" t="s">
        <v>11325</v>
      </c>
      <c r="T246" s="4838">
        <v>1045.542278411782</v>
      </c>
      <c r="U246" s="4839">
        <f t="shared" si="16"/>
        <v>1.630592385897993E-4</v>
      </c>
    </row>
    <row r="247" spans="1:21">
      <c r="A247" s="270" t="s">
        <v>11326</v>
      </c>
      <c r="B247" s="3305">
        <v>8001</v>
      </c>
      <c r="C247" s="4834">
        <f t="shared" si="14"/>
        <v>1.674759889992803E-4</v>
      </c>
      <c r="D247" s="3" t="str">
        <f t="shared" si="15"/>
        <v>2012</v>
      </c>
      <c r="J247" s="4836">
        <v>41260</v>
      </c>
      <c r="K247" s="4837">
        <v>54519.628493750897</v>
      </c>
      <c r="L247" s="4834">
        <f t="shared" si="17"/>
        <v>2.573410425090425E-5</v>
      </c>
      <c r="S247" s="270" t="s">
        <v>11326</v>
      </c>
      <c r="T247" s="4838">
        <v>1035.5755469755072</v>
      </c>
      <c r="U247" s="4839">
        <f t="shared" si="16"/>
        <v>1.8566876557784924E-4</v>
      </c>
    </row>
    <row r="248" spans="1:21">
      <c r="A248" s="270" t="s">
        <v>11327</v>
      </c>
      <c r="B248" s="3305">
        <v>8005.5</v>
      </c>
      <c r="C248" s="4834">
        <f t="shared" si="14"/>
        <v>1.6676570194284411E-4</v>
      </c>
      <c r="D248" s="3" t="str">
        <f t="shared" si="15"/>
        <v>2012</v>
      </c>
      <c r="J248" s="4836">
        <v>41261</v>
      </c>
      <c r="K248" s="4837">
        <v>54463.364687255795</v>
      </c>
      <c r="L248" s="4834">
        <f t="shared" si="17"/>
        <v>2.5965338497906465E-5</v>
      </c>
      <c r="S248" s="270" t="s">
        <v>11327</v>
      </c>
      <c r="T248" s="4838">
        <v>1041.0411738921741</v>
      </c>
      <c r="U248" s="4839">
        <f t="shared" si="16"/>
        <v>1.7297740283585833E-4</v>
      </c>
    </row>
    <row r="249" spans="1:21">
      <c r="A249" s="270" t="s">
        <v>11328</v>
      </c>
      <c r="B249" s="3305">
        <v>7946</v>
      </c>
      <c r="C249" s="4834">
        <f t="shared" si="14"/>
        <v>1.7621306266461201E-4</v>
      </c>
      <c r="D249" s="3" t="str">
        <f t="shared" si="15"/>
        <v>2012</v>
      </c>
      <c r="J249" s="4836">
        <v>41262</v>
      </c>
      <c r="K249" s="4837">
        <v>53530.993036765583</v>
      </c>
      <c r="L249" s="4834">
        <f t="shared" si="17"/>
        <v>2.9870714590201285E-5</v>
      </c>
      <c r="S249" s="270" t="s">
        <v>11328</v>
      </c>
      <c r="T249" s="4838">
        <v>1008.5689198578598</v>
      </c>
      <c r="U249" s="4839">
        <f t="shared" si="16"/>
        <v>2.5966002796426777E-4</v>
      </c>
    </row>
    <row r="250" spans="1:21">
      <c r="A250" s="270" t="s">
        <v>11329</v>
      </c>
      <c r="B250" s="3305">
        <v>7825.5</v>
      </c>
      <c r="C250" s="4834">
        <f t="shared" si="14"/>
        <v>1.9559589028492173E-4</v>
      </c>
      <c r="D250" s="3" t="str">
        <f t="shared" si="15"/>
        <v>2012</v>
      </c>
      <c r="J250" s="4836">
        <v>41263</v>
      </c>
      <c r="K250" s="4837">
        <v>53064.807211520478</v>
      </c>
      <c r="L250" s="4834">
        <f t="shared" si="17"/>
        <v>3.1854920997303409E-5</v>
      </c>
      <c r="S250" s="270" t="s">
        <v>11329</v>
      </c>
      <c r="T250" s="4838">
        <v>1000.5312332157029</v>
      </c>
      <c r="U250" s="4839">
        <f t="shared" si="16"/>
        <v>2.8559034234217198E-4</v>
      </c>
    </row>
    <row r="251" spans="1:21">
      <c r="A251" s="270" t="s">
        <v>11330</v>
      </c>
      <c r="B251" s="3305">
        <v>7768.5</v>
      </c>
      <c r="C251" s="4834">
        <f t="shared" si="14"/>
        <v>2.0480069710396011E-4</v>
      </c>
      <c r="D251" s="3" t="str">
        <f t="shared" si="15"/>
        <v>2012</v>
      </c>
      <c r="J251" s="4836">
        <v>41264</v>
      </c>
      <c r="K251" s="4837">
        <v>53096.957958089115</v>
      </c>
      <c r="L251" s="4834">
        <f t="shared" si="17"/>
        <v>3.1717844118253907E-5</v>
      </c>
      <c r="S251" s="270" t="s">
        <v>11330</v>
      </c>
      <c r="T251" s="4838">
        <v>960.98581493629047</v>
      </c>
      <c r="U251" s="4839">
        <f t="shared" si="16"/>
        <v>4.4225224263888107E-4</v>
      </c>
    </row>
    <row r="252" spans="1:21">
      <c r="A252" s="270" t="s">
        <v>11331</v>
      </c>
      <c r="B252" s="3305">
        <v>7780</v>
      </c>
      <c r="C252" s="4834">
        <f t="shared" si="14"/>
        <v>2.029447903583672E-4</v>
      </c>
      <c r="D252" s="3" t="str">
        <f t="shared" si="15"/>
        <v>2012</v>
      </c>
      <c r="J252" s="4836">
        <v>41270</v>
      </c>
      <c r="K252" s="4837">
        <v>53225.56094436362</v>
      </c>
      <c r="L252" s="4834">
        <f t="shared" si="17"/>
        <v>3.116973168678052E-5</v>
      </c>
      <c r="S252" s="270" t="s">
        <v>11331</v>
      </c>
      <c r="T252" s="4838">
        <v>970.63103890687887</v>
      </c>
      <c r="U252" s="4839">
        <f t="shared" si="16"/>
        <v>3.9940103793279516E-4</v>
      </c>
    </row>
    <row r="253" spans="1:21">
      <c r="A253" s="270" t="s">
        <v>11332</v>
      </c>
      <c r="B253" s="3305">
        <v>7871.5</v>
      </c>
      <c r="C253" s="4834">
        <f t="shared" si="14"/>
        <v>1.881721461703467E-4</v>
      </c>
      <c r="D253" s="3" t="str">
        <f t="shared" si="15"/>
        <v>2012</v>
      </c>
      <c r="J253" s="4836">
        <v>41271</v>
      </c>
      <c r="K253" s="4837">
        <v>53289.86243750088</v>
      </c>
      <c r="L253" s="4834">
        <f t="shared" si="17"/>
        <v>3.089586084031143E-5</v>
      </c>
      <c r="S253" s="270" t="s">
        <v>11332</v>
      </c>
      <c r="T253" s="4838">
        <v>956.48471041668245</v>
      </c>
      <c r="U253" s="4839">
        <f t="shared" si="16"/>
        <v>4.6330788497948085E-4</v>
      </c>
    </row>
    <row r="254" spans="1:21">
      <c r="A254" s="270" t="s">
        <v>11333</v>
      </c>
      <c r="B254" s="3305">
        <v>7870</v>
      </c>
      <c r="C254" s="4834">
        <f t="shared" si="14"/>
        <v>1.8841391951802256E-4</v>
      </c>
      <c r="D254" s="3" t="str">
        <f t="shared" si="15"/>
        <v>2012</v>
      </c>
      <c r="J254" s="4836">
        <v>41276</v>
      </c>
      <c r="K254" s="4837">
        <v>54455.327000613644</v>
      </c>
      <c r="L254" s="4834">
        <f t="shared" si="17"/>
        <v>2.5998422747565084E-5</v>
      </c>
      <c r="S254" s="270" t="s">
        <v>11333</v>
      </c>
      <c r="T254" s="4838">
        <v>969.34500904413358</v>
      </c>
      <c r="U254" s="4839">
        <f t="shared" si="16"/>
        <v>4.0493705981091806E-4</v>
      </c>
    </row>
    <row r="255" spans="1:21">
      <c r="A255" s="270" t="s">
        <v>11334</v>
      </c>
      <c r="B255" s="3305">
        <v>7915</v>
      </c>
      <c r="C255" s="4834">
        <f t="shared" si="14"/>
        <v>1.8117564910624534E-4</v>
      </c>
      <c r="D255" s="3" t="str">
        <f t="shared" si="15"/>
        <v>2012</v>
      </c>
      <c r="J255" s="4836">
        <v>41277</v>
      </c>
      <c r="K255" s="4837">
        <v>53997.178862010689</v>
      </c>
      <c r="L255" s="4834">
        <f t="shared" si="17"/>
        <v>2.7903034176373374E-5</v>
      </c>
      <c r="S255" s="270" t="s">
        <v>11334</v>
      </c>
      <c r="T255" s="4838">
        <v>962.91485973040801</v>
      </c>
      <c r="U255" s="4839">
        <f t="shared" si="16"/>
        <v>4.3343535575614923E-4</v>
      </c>
    </row>
    <row r="256" spans="1:21">
      <c r="A256" s="270" t="s">
        <v>11335</v>
      </c>
      <c r="B256" s="3305">
        <v>8085</v>
      </c>
      <c r="C256" s="4834">
        <f t="shared" si="14"/>
        <v>1.5435802681948872E-4</v>
      </c>
      <c r="D256" s="3" t="str">
        <f t="shared" si="15"/>
        <v>2013</v>
      </c>
      <c r="J256" s="4836">
        <v>41278</v>
      </c>
      <c r="K256" s="4837">
        <v>52984.430345098917</v>
      </c>
      <c r="L256" s="4834">
        <f t="shared" si="17"/>
        <v>3.2197644589092209E-5</v>
      </c>
      <c r="S256" s="270" t="s">
        <v>11335</v>
      </c>
      <c r="T256" s="4838">
        <v>992.49354657354581</v>
      </c>
      <c r="U256" s="4839">
        <f t="shared" si="16"/>
        <v>3.1344243391638772E-4</v>
      </c>
    </row>
    <row r="257" spans="1:21">
      <c r="A257" s="270" t="s">
        <v>11336</v>
      </c>
      <c r="B257" s="3305">
        <v>8140.5</v>
      </c>
      <c r="C257" s="4834">
        <f t="shared" si="14"/>
        <v>1.4588213725388923E-4</v>
      </c>
      <c r="D257" s="3" t="str">
        <f t="shared" si="15"/>
        <v>2013</v>
      </c>
      <c r="J257" s="4836">
        <v>41281</v>
      </c>
      <c r="K257" s="4837">
        <v>52896.015792035185</v>
      </c>
      <c r="L257" s="4834">
        <f t="shared" si="17"/>
        <v>3.2574617313816997E-5</v>
      </c>
      <c r="S257" s="270" t="s">
        <v>11336</v>
      </c>
      <c r="T257" s="4838">
        <v>993.77957643629088</v>
      </c>
      <c r="U257" s="4839">
        <f t="shared" si="16"/>
        <v>3.0885426975800002E-4</v>
      </c>
    </row>
    <row r="258" spans="1:21">
      <c r="A258" s="270" t="s">
        <v>11337</v>
      </c>
      <c r="B258" s="3305">
        <v>8026</v>
      </c>
      <c r="C258" s="4834">
        <f t="shared" si="14"/>
        <v>1.6353989863164298E-4</v>
      </c>
      <c r="D258" s="3" t="str">
        <f t="shared" si="15"/>
        <v>2013</v>
      </c>
      <c r="J258" s="4836">
        <v>41282</v>
      </c>
      <c r="K258" s="4837">
        <v>53241.636317647935</v>
      </c>
      <c r="L258" s="4834">
        <f t="shared" si="17"/>
        <v>3.1101249662284376E-5</v>
      </c>
      <c r="S258" s="270" t="s">
        <v>11337</v>
      </c>
      <c r="T258" s="4838">
        <v>942.65988939217243</v>
      </c>
      <c r="U258" s="4839">
        <f t="shared" si="16"/>
        <v>5.3223006733908479E-4</v>
      </c>
    </row>
    <row r="259" spans="1:21">
      <c r="A259" s="270" t="s">
        <v>11338</v>
      </c>
      <c r="B259" s="3305">
        <v>7995.5</v>
      </c>
      <c r="C259" s="4834">
        <f t="shared" si="14"/>
        <v>1.6834513653757557E-4</v>
      </c>
      <c r="D259" s="3" t="str">
        <f t="shared" si="15"/>
        <v>2013</v>
      </c>
      <c r="J259" s="4836">
        <v>41283</v>
      </c>
      <c r="K259" s="4837">
        <v>53297.900124143031</v>
      </c>
      <c r="L259" s="4834">
        <f t="shared" si="17"/>
        <v>3.0861638508684518E-5</v>
      </c>
      <c r="S259" s="270" t="s">
        <v>11338</v>
      </c>
      <c r="T259" s="4838">
        <v>969.02350157844739</v>
      </c>
      <c r="U259" s="4839">
        <f t="shared" si="16"/>
        <v>4.0632955507140901E-4</v>
      </c>
    </row>
    <row r="260" spans="1:21">
      <c r="A260" s="270" t="s">
        <v>11339</v>
      </c>
      <c r="B260" s="3305">
        <v>8050.5</v>
      </c>
      <c r="C260" s="4834">
        <f t="shared" ref="C260:C323" si="18">_xlfn.NORM.DIST(B260,$F$4,$F$3,FALSE)</f>
        <v>1.5970762844214864E-4</v>
      </c>
      <c r="D260" s="3" t="str">
        <f t="shared" ref="D260:D323" si="19">LEFT(A260,4)</f>
        <v>2013</v>
      </c>
      <c r="J260" s="4836">
        <v>41284</v>
      </c>
      <c r="K260" s="4837">
        <v>53852.500502451869</v>
      </c>
      <c r="L260" s="4834">
        <f t="shared" si="17"/>
        <v>2.8511090376006756E-5</v>
      </c>
      <c r="S260" s="270" t="s">
        <v>11339</v>
      </c>
      <c r="T260" s="4838">
        <v>977.06118822060444</v>
      </c>
      <c r="U260" s="4839">
        <f t="shared" ref="U260:U323" si="20">_xlfn.NORM.DIST(T260,$X$4,$X$3,FALSE)</f>
        <v>3.725311883826522E-4</v>
      </c>
    </row>
    <row r="261" spans="1:21">
      <c r="A261" s="270" t="s">
        <v>11340</v>
      </c>
      <c r="B261" s="3305">
        <v>8059</v>
      </c>
      <c r="C261" s="4834">
        <f t="shared" si="18"/>
        <v>1.583843253133261E-4</v>
      </c>
      <c r="D261" s="3" t="str">
        <f t="shared" si="19"/>
        <v>2013</v>
      </c>
      <c r="J261" s="4836">
        <v>41285</v>
      </c>
      <c r="K261" s="4837">
        <v>53289.86243750088</v>
      </c>
      <c r="L261" s="4834">
        <f t="shared" ref="L261:L324" si="21">_xlfn.NORM.DIST(K261,$O$4,$O$3,FALSE)</f>
        <v>3.089586084031143E-5</v>
      </c>
      <c r="S261" s="270" t="s">
        <v>11340</v>
      </c>
      <c r="T261" s="4838">
        <v>977.06118822060444</v>
      </c>
      <c r="U261" s="4839">
        <f t="shared" si="20"/>
        <v>3.725311883826522E-4</v>
      </c>
    </row>
    <row r="262" spans="1:21">
      <c r="A262" s="270" t="s">
        <v>11341</v>
      </c>
      <c r="B262" s="3305">
        <v>8117</v>
      </c>
      <c r="C262" s="4834">
        <f t="shared" si="18"/>
        <v>1.4945019440558576E-4</v>
      </c>
      <c r="D262" s="3" t="str">
        <f t="shared" si="19"/>
        <v>2013</v>
      </c>
      <c r="J262" s="4836">
        <v>41288</v>
      </c>
      <c r="K262" s="4837">
        <v>53579.219156618528</v>
      </c>
      <c r="L262" s="4834">
        <f t="shared" si="21"/>
        <v>2.9666156007358358E-5</v>
      </c>
      <c r="S262" s="270" t="s">
        <v>11341</v>
      </c>
      <c r="T262" s="4838">
        <v>980.27626287746705</v>
      </c>
      <c r="U262" s="4839">
        <f t="shared" si="20"/>
        <v>3.595982484732869E-4</v>
      </c>
    </row>
    <row r="263" spans="1:21">
      <c r="A263" s="270" t="s">
        <v>11342</v>
      </c>
      <c r="B263" s="3305">
        <v>8071</v>
      </c>
      <c r="C263" s="4834">
        <f t="shared" si="18"/>
        <v>1.5652192422152563E-4</v>
      </c>
      <c r="D263" s="3" t="str">
        <f t="shared" si="19"/>
        <v>2013</v>
      </c>
      <c r="J263" s="4836">
        <v>41289</v>
      </c>
      <c r="K263" s="4837">
        <v>54029.329608579326</v>
      </c>
      <c r="L263" s="4834">
        <f t="shared" si="21"/>
        <v>2.7768290477928707E-5</v>
      </c>
      <c r="S263" s="270" t="s">
        <v>11342</v>
      </c>
      <c r="T263" s="4838">
        <v>986.06339725982025</v>
      </c>
      <c r="U263" s="4839">
        <f t="shared" si="20"/>
        <v>3.3715051455349875E-4</v>
      </c>
    </row>
    <row r="264" spans="1:21">
      <c r="A264" s="270" t="s">
        <v>11343</v>
      </c>
      <c r="B264" s="3305">
        <v>8030</v>
      </c>
      <c r="C264" s="4834">
        <f t="shared" si="18"/>
        <v>1.6291245763411092E-4</v>
      </c>
      <c r="D264" s="3" t="str">
        <f t="shared" si="19"/>
        <v>2013</v>
      </c>
      <c r="J264" s="4836">
        <v>41290</v>
      </c>
      <c r="K264" s="4837">
        <v>53892.688935662656</v>
      </c>
      <c r="L264" s="4834">
        <f t="shared" si="21"/>
        <v>2.8341917546651154E-5</v>
      </c>
      <c r="S264" s="270" t="s">
        <v>11343</v>
      </c>
      <c r="T264" s="4838">
        <v>988.95696445099679</v>
      </c>
      <c r="U264" s="4839">
        <f t="shared" si="20"/>
        <v>3.2632271291909576E-4</v>
      </c>
    </row>
    <row r="265" spans="1:21">
      <c r="A265" s="270" t="s">
        <v>11344</v>
      </c>
      <c r="B265" s="3305">
        <v>7945</v>
      </c>
      <c r="C265" s="4834">
        <f t="shared" si="18"/>
        <v>1.7637277034359346E-4</v>
      </c>
      <c r="D265" s="3" t="str">
        <f t="shared" si="19"/>
        <v>2013</v>
      </c>
      <c r="J265" s="4836">
        <v>41291</v>
      </c>
      <c r="K265" s="4837">
        <v>53852.500502451869</v>
      </c>
      <c r="L265" s="4834">
        <f t="shared" si="21"/>
        <v>2.8511090376006756E-5</v>
      </c>
      <c r="S265" s="270" t="s">
        <v>11344</v>
      </c>
      <c r="T265" s="4838">
        <v>1002.7817854755068</v>
      </c>
      <c r="U265" s="4839">
        <f t="shared" si="20"/>
        <v>2.781390159601438E-4</v>
      </c>
    </row>
    <row r="266" spans="1:21">
      <c r="A266" s="270" t="s">
        <v>11345</v>
      </c>
      <c r="B266" s="3305">
        <v>7910.5</v>
      </c>
      <c r="C266" s="4834">
        <f t="shared" si="18"/>
        <v>1.8189784868782437E-4</v>
      </c>
      <c r="D266" s="3" t="str">
        <f t="shared" si="19"/>
        <v>2013</v>
      </c>
      <c r="J266" s="4836">
        <v>41292</v>
      </c>
      <c r="K266" s="4837">
        <v>54286.535581128344</v>
      </c>
      <c r="L266" s="4834">
        <f t="shared" si="21"/>
        <v>2.6695991417325979E-5</v>
      </c>
      <c r="S266" s="270" t="s">
        <v>11345</v>
      </c>
      <c r="T266" s="4838">
        <v>1004.0678153382519</v>
      </c>
      <c r="U266" s="4839">
        <f t="shared" si="20"/>
        <v>2.7394821047924827E-4</v>
      </c>
    </row>
    <row r="267" spans="1:21">
      <c r="A267" s="270" t="s">
        <v>11346</v>
      </c>
      <c r="B267" s="3305">
        <v>7930</v>
      </c>
      <c r="C267" s="4834">
        <f t="shared" si="18"/>
        <v>1.7877150638217462E-4</v>
      </c>
      <c r="D267" s="3" t="str">
        <f t="shared" si="19"/>
        <v>2013</v>
      </c>
      <c r="J267" s="4836">
        <v>41295</v>
      </c>
      <c r="K267" s="4837">
        <v>54254.384834559714</v>
      </c>
      <c r="L267" s="4834">
        <f t="shared" si="21"/>
        <v>2.682944125905906E-5</v>
      </c>
      <c r="S267" s="270" t="s">
        <v>11346</v>
      </c>
      <c r="T267" s="4838">
        <v>1012.7485169117814</v>
      </c>
      <c r="U267" s="4839">
        <f t="shared" si="20"/>
        <v>2.4691296855977883E-4</v>
      </c>
    </row>
    <row r="268" spans="1:21">
      <c r="A268" s="270" t="s">
        <v>11347</v>
      </c>
      <c r="B268" s="3305">
        <v>8053</v>
      </c>
      <c r="C268" s="4834">
        <f t="shared" si="18"/>
        <v>1.5931807577318418E-4</v>
      </c>
      <c r="D268" s="3" t="str">
        <f t="shared" si="19"/>
        <v>2013</v>
      </c>
      <c r="J268" s="4836">
        <v>41296</v>
      </c>
      <c r="K268" s="4837">
        <v>54350.837074265604</v>
      </c>
      <c r="L268" s="4834">
        <f t="shared" si="21"/>
        <v>2.6429635450437411E-5</v>
      </c>
      <c r="S268" s="270" t="s">
        <v>11347</v>
      </c>
      <c r="T268" s="4838">
        <v>1023.0367558137423</v>
      </c>
      <c r="U268" s="4839">
        <f t="shared" si="20"/>
        <v>2.1760411621962077E-4</v>
      </c>
    </row>
    <row r="269" spans="1:21">
      <c r="A269" s="270" t="s">
        <v>11348</v>
      </c>
      <c r="B269" s="3305">
        <v>8020.5</v>
      </c>
      <c r="C269" s="4834">
        <f t="shared" si="18"/>
        <v>1.6440371017532721E-4</v>
      </c>
      <c r="D269" s="3" t="str">
        <f t="shared" si="19"/>
        <v>2013</v>
      </c>
      <c r="J269" s="4836">
        <v>41297</v>
      </c>
      <c r="K269" s="4837">
        <v>54342.799387623447</v>
      </c>
      <c r="L269" s="4834">
        <f t="shared" si="21"/>
        <v>2.6462889510405022E-5</v>
      </c>
      <c r="S269" s="270" t="s">
        <v>11348</v>
      </c>
      <c r="T269" s="4838">
        <v>1025.6088155392326</v>
      </c>
      <c r="U269" s="4839">
        <f t="shared" si="20"/>
        <v>2.1072270221356558E-4</v>
      </c>
    </row>
    <row r="270" spans="1:21">
      <c r="A270" s="270" t="s">
        <v>11349</v>
      </c>
      <c r="B270" s="3305">
        <v>8068</v>
      </c>
      <c r="C270" s="4834">
        <f t="shared" si="18"/>
        <v>1.5698687617427483E-4</v>
      </c>
      <c r="D270" s="3" t="str">
        <f t="shared" si="19"/>
        <v>2013</v>
      </c>
      <c r="J270" s="4836">
        <v>41298</v>
      </c>
      <c r="K270" s="4837">
        <v>53723.897516177356</v>
      </c>
      <c r="L270" s="4834">
        <f t="shared" si="21"/>
        <v>2.9053701579842806E-5</v>
      </c>
      <c r="S270" s="270" t="s">
        <v>11349</v>
      </c>
      <c r="T270" s="4838">
        <v>1026.8948454019778</v>
      </c>
      <c r="U270" s="4839">
        <f t="shared" si="20"/>
        <v>2.0734709256473507E-4</v>
      </c>
    </row>
    <row r="271" spans="1:21">
      <c r="A271" s="270" t="s">
        <v>11350</v>
      </c>
      <c r="B271" s="3305">
        <v>8115.5</v>
      </c>
      <c r="C271" s="4834">
        <f t="shared" si="18"/>
        <v>1.4967900969292748E-4</v>
      </c>
      <c r="D271" s="3" t="str">
        <f t="shared" si="19"/>
        <v>2013</v>
      </c>
      <c r="J271" s="4836">
        <v>41299</v>
      </c>
      <c r="K271" s="4837">
        <v>53370.239303922448</v>
      </c>
      <c r="L271" s="4834">
        <f t="shared" si="21"/>
        <v>3.0553772968334146E-5</v>
      </c>
      <c r="S271" s="270" t="s">
        <v>11350</v>
      </c>
      <c r="T271" s="4838">
        <v>1036.2185619068798</v>
      </c>
      <c r="U271" s="4839">
        <f t="shared" si="20"/>
        <v>1.8413800934139962E-4</v>
      </c>
    </row>
    <row r="272" spans="1:21">
      <c r="A272" s="270" t="s">
        <v>11351</v>
      </c>
      <c r="B272" s="3305">
        <v>8036</v>
      </c>
      <c r="C272" s="4834">
        <f t="shared" si="18"/>
        <v>1.6197256276384491E-4</v>
      </c>
      <c r="D272" s="3" t="str">
        <f t="shared" si="19"/>
        <v>2013</v>
      </c>
      <c r="J272" s="4836">
        <v>41302</v>
      </c>
      <c r="K272" s="4837">
        <v>53257.711690932258</v>
      </c>
      <c r="L272" s="4834">
        <f t="shared" si="21"/>
        <v>3.1032776778070201E-5</v>
      </c>
      <c r="S272" s="270" t="s">
        <v>11351</v>
      </c>
      <c r="T272" s="4838">
        <v>1024.0012782108013</v>
      </c>
      <c r="U272" s="4839">
        <f t="shared" si="20"/>
        <v>2.1500312817528041E-4</v>
      </c>
    </row>
    <row r="273" spans="1:21">
      <c r="A273" s="270" t="s">
        <v>11352</v>
      </c>
      <c r="B273" s="3305">
        <v>8060</v>
      </c>
      <c r="C273" s="4834">
        <f t="shared" si="18"/>
        <v>1.5822886344112364E-4</v>
      </c>
      <c r="D273" s="3" t="str">
        <f t="shared" si="19"/>
        <v>2013</v>
      </c>
      <c r="J273" s="4836">
        <v>41303</v>
      </c>
      <c r="K273" s="4837">
        <v>53482.766916912646</v>
      </c>
      <c r="L273" s="4834">
        <f t="shared" si="21"/>
        <v>3.0075451015334792E-5</v>
      </c>
      <c r="S273" s="270" t="s">
        <v>11352</v>
      </c>
      <c r="T273" s="4838">
        <v>1014.6775617058989</v>
      </c>
      <c r="U273" s="4839">
        <f t="shared" si="20"/>
        <v>2.411958521788692E-4</v>
      </c>
    </row>
    <row r="274" spans="1:21">
      <c r="A274" s="270" t="s">
        <v>11353</v>
      </c>
      <c r="B274" s="3305">
        <v>8015</v>
      </c>
      <c r="C274" s="4834">
        <f t="shared" si="18"/>
        <v>1.652687466471069E-4</v>
      </c>
      <c r="D274" s="3" t="str">
        <f t="shared" si="19"/>
        <v>2013</v>
      </c>
      <c r="J274" s="4836">
        <v>41304</v>
      </c>
      <c r="K274" s="4837">
        <v>53932.877368873444</v>
      </c>
      <c r="L274" s="4834">
        <f t="shared" si="21"/>
        <v>2.8172946657671659E-5</v>
      </c>
      <c r="S274" s="270" t="s">
        <v>11353</v>
      </c>
      <c r="T274" s="4838">
        <v>992.49354657354581</v>
      </c>
      <c r="U274" s="4839">
        <f t="shared" si="20"/>
        <v>3.1344243391638772E-4</v>
      </c>
    </row>
    <row r="275" spans="1:21">
      <c r="A275" s="270" t="s">
        <v>11354</v>
      </c>
      <c r="B275" s="3305">
        <v>8010.5</v>
      </c>
      <c r="C275" s="4834">
        <f t="shared" si="18"/>
        <v>1.6597739489744709E-4</v>
      </c>
      <c r="D275" s="3" t="str">
        <f t="shared" si="19"/>
        <v>2013</v>
      </c>
      <c r="J275" s="4836">
        <v>41305</v>
      </c>
      <c r="K275" s="4837">
        <v>53522.955350123433</v>
      </c>
      <c r="L275" s="4834">
        <f t="shared" si="21"/>
        <v>2.990482539783019E-5</v>
      </c>
      <c r="S275" s="270" t="s">
        <v>11354</v>
      </c>
      <c r="T275" s="4838">
        <v>998.60218842158508</v>
      </c>
      <c r="U275" s="4839">
        <f t="shared" si="20"/>
        <v>2.9209708618417704E-4</v>
      </c>
    </row>
    <row r="276" spans="1:21">
      <c r="A276" s="270" t="s">
        <v>11355</v>
      </c>
      <c r="B276" s="3305">
        <v>8175.5</v>
      </c>
      <c r="C276" s="4834">
        <f t="shared" si="18"/>
        <v>1.406291596956196E-4</v>
      </c>
      <c r="D276" s="3" t="str">
        <f t="shared" si="19"/>
        <v>2013</v>
      </c>
      <c r="J276" s="4836">
        <v>41306</v>
      </c>
      <c r="K276" s="4837">
        <v>53659.596023040103</v>
      </c>
      <c r="L276" s="4834">
        <f t="shared" si="21"/>
        <v>2.932566225906367E-5</v>
      </c>
      <c r="S276" s="270" t="s">
        <v>11355</v>
      </c>
      <c r="T276" s="4838">
        <v>1007.9259049264873</v>
      </c>
      <c r="U276" s="4839">
        <f t="shared" si="20"/>
        <v>2.6166532873012429E-4</v>
      </c>
    </row>
    <row r="277" spans="1:21">
      <c r="A277" s="270" t="s">
        <v>11356</v>
      </c>
      <c r="B277" s="3305">
        <v>8170</v>
      </c>
      <c r="C277" s="4834">
        <f t="shared" si="18"/>
        <v>1.4144958445678766E-4</v>
      </c>
      <c r="D277" s="3" t="str">
        <f t="shared" si="19"/>
        <v>2013</v>
      </c>
      <c r="J277" s="4836">
        <v>41309</v>
      </c>
      <c r="K277" s="4837">
        <v>53563.143783334221</v>
      </c>
      <c r="L277" s="4834">
        <f t="shared" si="21"/>
        <v>2.9734321482431347E-5</v>
      </c>
      <c r="S277" s="270" t="s">
        <v>11356</v>
      </c>
      <c r="T277" s="4838">
        <v>1029.7884125931541</v>
      </c>
      <c r="U277" s="4839">
        <f t="shared" si="20"/>
        <v>1.9990854229715214E-4</v>
      </c>
    </row>
    <row r="278" spans="1:21">
      <c r="A278" s="270" t="s">
        <v>11357</v>
      </c>
      <c r="B278" s="3305">
        <v>8160</v>
      </c>
      <c r="C278" s="4834">
        <f t="shared" si="18"/>
        <v>1.4294615158804975E-4</v>
      </c>
      <c r="D278" s="3" t="str">
        <f t="shared" si="19"/>
        <v>2013</v>
      </c>
      <c r="J278" s="4836">
        <v>41310</v>
      </c>
      <c r="K278" s="4837">
        <v>53804.274382598924</v>
      </c>
      <c r="L278" s="4834">
        <f t="shared" si="21"/>
        <v>2.8714352425850266E-5</v>
      </c>
      <c r="S278" s="270" t="s">
        <v>11357</v>
      </c>
      <c r="T278" s="4838">
        <v>1010.4979646519774</v>
      </c>
      <c r="U278" s="4839">
        <f t="shared" si="20"/>
        <v>2.5371513008058845E-4</v>
      </c>
    </row>
    <row r="279" spans="1:21">
      <c r="A279" s="270" t="s">
        <v>11358</v>
      </c>
      <c r="B279" s="3305">
        <v>8226</v>
      </c>
      <c r="C279" s="4834">
        <f t="shared" si="18"/>
        <v>1.3318932885763451E-4</v>
      </c>
      <c r="D279" s="3" t="str">
        <f t="shared" si="19"/>
        <v>2013</v>
      </c>
      <c r="J279" s="4836">
        <v>41311</v>
      </c>
      <c r="K279" s="4837">
        <v>53828.387442525396</v>
      </c>
      <c r="L279" s="4834">
        <f t="shared" si="21"/>
        <v>2.8612687491301433E-5</v>
      </c>
      <c r="S279" s="270" t="s">
        <v>11358</v>
      </c>
      <c r="T279" s="4838">
        <v>1013.0700243774677</v>
      </c>
      <c r="U279" s="4839">
        <f t="shared" si="20"/>
        <v>2.4595288424593973E-4</v>
      </c>
    </row>
    <row r="280" spans="1:21">
      <c r="A280" s="270" t="s">
        <v>11359</v>
      </c>
      <c r="B280" s="3305">
        <v>8242.5</v>
      </c>
      <c r="C280" s="4834">
        <f t="shared" si="18"/>
        <v>1.3079656238052331E-4</v>
      </c>
      <c r="D280" s="3" t="str">
        <f t="shared" si="19"/>
        <v>2013</v>
      </c>
      <c r="J280" s="4836">
        <v>41312</v>
      </c>
      <c r="K280" s="4837">
        <v>53627.445276471466</v>
      </c>
      <c r="L280" s="4834">
        <f t="shared" si="21"/>
        <v>2.9461790758741359E-5</v>
      </c>
      <c r="S280" s="270" t="s">
        <v>11359</v>
      </c>
      <c r="T280" s="4838">
        <v>1029.1453976617818</v>
      </c>
      <c r="U280" s="4839">
        <f t="shared" si="20"/>
        <v>2.0154295106305974E-4</v>
      </c>
    </row>
    <row r="281" spans="1:21">
      <c r="A281" s="270" t="s">
        <v>11360</v>
      </c>
      <c r="B281" s="3305">
        <v>8200</v>
      </c>
      <c r="C281" s="4834">
        <f t="shared" si="18"/>
        <v>1.3699834977070076E-4</v>
      </c>
      <c r="D281" s="3" t="str">
        <f t="shared" si="19"/>
        <v>2013</v>
      </c>
      <c r="J281" s="4836">
        <v>41313</v>
      </c>
      <c r="K281" s="4837">
        <v>53635.482963113631</v>
      </c>
      <c r="L281" s="4834">
        <f t="shared" si="21"/>
        <v>2.9427749760920817E-5</v>
      </c>
      <c r="S281" s="270" t="s">
        <v>11360</v>
      </c>
      <c r="T281" s="4838">
        <v>1019.178666225507</v>
      </c>
      <c r="U281" s="4839">
        <f t="shared" si="20"/>
        <v>2.2825659782941269E-4</v>
      </c>
    </row>
    <row r="282" spans="1:21">
      <c r="A282" s="270" t="s">
        <v>11361</v>
      </c>
      <c r="B282" s="3305">
        <v>8212</v>
      </c>
      <c r="C282" s="4834">
        <f t="shared" si="18"/>
        <v>1.3523457316023767E-4</v>
      </c>
      <c r="D282" s="3" t="str">
        <f t="shared" si="19"/>
        <v>2013</v>
      </c>
      <c r="J282" s="4836">
        <v>41316</v>
      </c>
      <c r="K282" s="4837">
        <v>53113.033331373423</v>
      </c>
      <c r="L282" s="4834">
        <f t="shared" si="21"/>
        <v>3.1649310845860724E-5</v>
      </c>
      <c r="S282" s="270" t="s">
        <v>11361</v>
      </c>
      <c r="T282" s="4838">
        <v>1020.7862035539383</v>
      </c>
      <c r="U282" s="4839">
        <f t="shared" si="20"/>
        <v>2.2376944523671682E-4</v>
      </c>
    </row>
    <row r="283" spans="1:21">
      <c r="A283" s="270" t="s">
        <v>11362</v>
      </c>
      <c r="B283" s="3305">
        <v>8215</v>
      </c>
      <c r="C283" s="4834">
        <f t="shared" si="18"/>
        <v>1.3479516374237209E-4</v>
      </c>
      <c r="D283" s="3" t="str">
        <f t="shared" si="19"/>
        <v>2013</v>
      </c>
      <c r="J283" s="4836">
        <v>41317</v>
      </c>
      <c r="K283" s="4837">
        <v>52968.354971814595</v>
      </c>
      <c r="L283" s="4834">
        <f t="shared" si="21"/>
        <v>3.2266189712512415E-5</v>
      </c>
      <c r="S283" s="270" t="s">
        <v>11362</v>
      </c>
      <c r="T283" s="4838">
        <v>1013.3915318431539</v>
      </c>
      <c r="U283" s="4839">
        <f t="shared" si="20"/>
        <v>2.4499569894591484E-4</v>
      </c>
    </row>
    <row r="284" spans="1:21">
      <c r="A284" s="270" t="s">
        <v>11363</v>
      </c>
      <c r="B284" s="3305">
        <v>8216</v>
      </c>
      <c r="C284" s="4834">
        <f t="shared" si="18"/>
        <v>1.3464883165560315E-4</v>
      </c>
      <c r="D284" s="3" t="str">
        <f t="shared" si="19"/>
        <v>2013</v>
      </c>
      <c r="J284" s="4836">
        <v>41318</v>
      </c>
      <c r="K284" s="4837">
        <v>52887.978105393035</v>
      </c>
      <c r="L284" s="4834">
        <f t="shared" si="21"/>
        <v>3.2608882901516481E-5</v>
      </c>
      <c r="S284" s="270" t="s">
        <v>11363</v>
      </c>
      <c r="T284" s="4838">
        <v>1001.8172630784479</v>
      </c>
      <c r="U284" s="4839">
        <f t="shared" si="20"/>
        <v>2.8131408206366295E-4</v>
      </c>
    </row>
    <row r="285" spans="1:21">
      <c r="A285" s="270" t="s">
        <v>11364</v>
      </c>
      <c r="B285" s="3305">
        <v>8184.5</v>
      </c>
      <c r="C285" s="4834">
        <f t="shared" si="18"/>
        <v>1.392908302563484E-4</v>
      </c>
      <c r="D285" s="3" t="str">
        <f t="shared" si="19"/>
        <v>2013</v>
      </c>
      <c r="J285" s="4836">
        <v>41319</v>
      </c>
      <c r="K285" s="4837">
        <v>52920.128851961657</v>
      </c>
      <c r="L285" s="4834">
        <f t="shared" si="21"/>
        <v>3.2471814629047427E-5</v>
      </c>
      <c r="S285" s="270" t="s">
        <v>11364</v>
      </c>
      <c r="T285" s="4838">
        <v>991.52902417648693</v>
      </c>
      <c r="U285" s="4839">
        <f t="shared" si="20"/>
        <v>3.1691690169406939E-4</v>
      </c>
    </row>
    <row r="286" spans="1:21">
      <c r="A286" s="270" t="s">
        <v>11365</v>
      </c>
      <c r="B286" s="3305">
        <v>8221</v>
      </c>
      <c r="C286" s="4834">
        <f t="shared" si="18"/>
        <v>1.3391820952940602E-4</v>
      </c>
      <c r="D286" s="3" t="str">
        <f t="shared" si="19"/>
        <v>2013</v>
      </c>
      <c r="J286" s="4836">
        <v>41320</v>
      </c>
      <c r="K286" s="4837">
        <v>51835.041155270461</v>
      </c>
      <c r="L286" s="4834">
        <f t="shared" si="21"/>
        <v>3.7057450570344789E-5</v>
      </c>
      <c r="S286" s="270" t="s">
        <v>11365</v>
      </c>
      <c r="T286" s="4838">
        <v>997.95917349021249</v>
      </c>
      <c r="U286" s="4839">
        <f t="shared" si="20"/>
        <v>2.9429076338015597E-4</v>
      </c>
    </row>
    <row r="287" spans="1:21">
      <c r="A287" s="270" t="s">
        <v>11366</v>
      </c>
      <c r="B287" s="3305">
        <v>8197</v>
      </c>
      <c r="C287" s="4834">
        <f t="shared" si="18"/>
        <v>1.3744081205386484E-4</v>
      </c>
      <c r="D287" s="3" t="str">
        <f t="shared" si="19"/>
        <v>2013</v>
      </c>
      <c r="J287" s="4836">
        <v>41323</v>
      </c>
      <c r="K287" s="4837">
        <v>51786.815035417516</v>
      </c>
      <c r="L287" s="4834">
        <f t="shared" si="21"/>
        <v>3.7257707312574436E-5</v>
      </c>
      <c r="S287" s="270" t="s">
        <v>11366</v>
      </c>
      <c r="T287" s="4838">
        <v>992.815054039232</v>
      </c>
      <c r="U287" s="4839">
        <f t="shared" si="20"/>
        <v>3.1229063704554935E-4</v>
      </c>
    </row>
    <row r="288" spans="1:21">
      <c r="A288" s="270" t="s">
        <v>11367</v>
      </c>
      <c r="B288" s="3305">
        <v>8198.5</v>
      </c>
      <c r="C288" s="4834">
        <f t="shared" si="18"/>
        <v>1.3721950563402274E-4</v>
      </c>
      <c r="D288" s="3" t="str">
        <f t="shared" si="19"/>
        <v>2013</v>
      </c>
      <c r="J288" s="4836">
        <v>41324</v>
      </c>
      <c r="K288" s="4837">
        <v>51690.362795711633</v>
      </c>
      <c r="L288" s="4834">
        <f t="shared" si="21"/>
        <v>3.7656842822186818E-5</v>
      </c>
      <c r="S288" s="270" t="s">
        <v>11367</v>
      </c>
      <c r="T288" s="4838">
        <v>970.30953144119246</v>
      </c>
      <c r="U288" s="4839">
        <f t="shared" si="20"/>
        <v>4.0077995401054123E-4</v>
      </c>
    </row>
    <row r="289" spans="1:21">
      <c r="A289" s="270" t="s">
        <v>11368</v>
      </c>
      <c r="B289" s="3305">
        <v>8075.5</v>
      </c>
      <c r="C289" s="4834">
        <f t="shared" si="18"/>
        <v>1.5582532146757113E-4</v>
      </c>
      <c r="D289" s="3" t="str">
        <f t="shared" si="19"/>
        <v>2013</v>
      </c>
      <c r="J289" s="4836">
        <v>41325</v>
      </c>
      <c r="K289" s="4837">
        <v>51071.46092426555</v>
      </c>
      <c r="L289" s="4834">
        <f t="shared" si="21"/>
        <v>4.016471204050203E-5</v>
      </c>
      <c r="S289" s="270" t="s">
        <v>11368</v>
      </c>
      <c r="T289" s="4838">
        <v>964.52239705883949</v>
      </c>
      <c r="U289" s="4839">
        <f t="shared" si="20"/>
        <v>4.2618246855849468E-4</v>
      </c>
    </row>
    <row r="290" spans="1:21">
      <c r="A290" s="270" t="s">
        <v>11369</v>
      </c>
      <c r="B290" s="3305">
        <v>8070</v>
      </c>
      <c r="C290" s="4834">
        <f t="shared" si="18"/>
        <v>1.5667685959707436E-4</v>
      </c>
      <c r="D290" s="3" t="str">
        <f t="shared" si="19"/>
        <v>2013</v>
      </c>
      <c r="J290" s="4836">
        <v>41326</v>
      </c>
      <c r="K290" s="4837">
        <v>50701.727338726327</v>
      </c>
      <c r="L290" s="4834">
        <f t="shared" si="21"/>
        <v>4.1607693187932141E-5</v>
      </c>
      <c r="S290" s="270" t="s">
        <v>11369</v>
      </c>
      <c r="T290" s="4838">
        <v>964.52239705883949</v>
      </c>
      <c r="U290" s="4839">
        <f t="shared" si="20"/>
        <v>4.2618246855849468E-4</v>
      </c>
    </row>
    <row r="291" spans="1:21">
      <c r="A291" s="270" t="s">
        <v>11370</v>
      </c>
      <c r="B291" s="3305">
        <v>8009.5</v>
      </c>
      <c r="C291" s="4834">
        <f t="shared" si="18"/>
        <v>1.661349794611657E-4</v>
      </c>
      <c r="D291" s="3" t="str">
        <f t="shared" si="19"/>
        <v>2013</v>
      </c>
      <c r="J291" s="4836">
        <v>41327</v>
      </c>
      <c r="K291" s="4837">
        <v>50685.651965442012</v>
      </c>
      <c r="L291" s="4834">
        <f t="shared" si="21"/>
        <v>4.1669317106491304E-5</v>
      </c>
      <c r="S291" s="270" t="s">
        <v>11370</v>
      </c>
      <c r="T291" s="4838">
        <v>935.90823261276057</v>
      </c>
      <c r="U291" s="4839">
        <f t="shared" si="20"/>
        <v>5.6822492232864834E-4</v>
      </c>
    </row>
    <row r="292" spans="1:21">
      <c r="A292" s="270" t="s">
        <v>11371</v>
      </c>
      <c r="B292" s="3305">
        <v>7847.5</v>
      </c>
      <c r="C292" s="4834">
        <f t="shared" si="18"/>
        <v>1.920434012607178E-4</v>
      </c>
      <c r="D292" s="3" t="str">
        <f t="shared" si="19"/>
        <v>2013</v>
      </c>
      <c r="J292" s="4836">
        <v>41330</v>
      </c>
      <c r="K292" s="4837">
        <v>50999.121744486132</v>
      </c>
      <c r="L292" s="4834">
        <f t="shared" si="21"/>
        <v>4.0450708111154518E-5</v>
      </c>
      <c r="S292" s="270" t="s">
        <v>11371</v>
      </c>
      <c r="T292" s="4838">
        <v>923.36944145099551</v>
      </c>
      <c r="U292" s="4839">
        <f t="shared" si="20"/>
        <v>6.391045381147157E-4</v>
      </c>
    </row>
    <row r="293" spans="1:21">
      <c r="A293" s="270" t="s">
        <v>11372</v>
      </c>
      <c r="B293" s="3305">
        <v>7825</v>
      </c>
      <c r="C293" s="4834">
        <f t="shared" si="18"/>
        <v>1.9567665301517762E-4</v>
      </c>
      <c r="D293" s="3" t="str">
        <f t="shared" si="19"/>
        <v>2013</v>
      </c>
      <c r="J293" s="4836">
        <v>41331</v>
      </c>
      <c r="K293" s="4837">
        <v>51135.762417402802</v>
      </c>
      <c r="L293" s="4834">
        <f t="shared" si="21"/>
        <v>3.9909101577434391E-5</v>
      </c>
      <c r="S293" s="270" t="s">
        <v>11372</v>
      </c>
      <c r="T293" s="4838">
        <v>925.61999371079946</v>
      </c>
      <c r="U293" s="4839">
        <f t="shared" si="20"/>
        <v>6.2600009050464906E-4</v>
      </c>
    </row>
    <row r="294" spans="1:21">
      <c r="A294" s="270" t="s">
        <v>11373</v>
      </c>
      <c r="B294" s="3305">
        <v>7865.5</v>
      </c>
      <c r="C294" s="4834">
        <f t="shared" si="18"/>
        <v>1.8913940033349498E-4</v>
      </c>
      <c r="D294" s="3" t="str">
        <f t="shared" si="19"/>
        <v>2013</v>
      </c>
      <c r="J294" s="4836">
        <v>41332</v>
      </c>
      <c r="K294" s="4837">
        <v>51577.835182721436</v>
      </c>
      <c r="L294" s="4834">
        <f t="shared" si="21"/>
        <v>3.8120009035359437E-5</v>
      </c>
      <c r="S294" s="270" t="s">
        <v>11373</v>
      </c>
      <c r="T294" s="4838">
        <v>937.83727740687823</v>
      </c>
      <c r="U294" s="4839">
        <f t="shared" si="20"/>
        <v>5.5778466096552284E-4</v>
      </c>
    </row>
    <row r="295" spans="1:21">
      <c r="A295" s="270" t="s">
        <v>11374</v>
      </c>
      <c r="B295" s="3305">
        <v>7785</v>
      </c>
      <c r="C295" s="4834">
        <f t="shared" si="18"/>
        <v>2.02137562376627E-4</v>
      </c>
      <c r="D295" s="3" t="str">
        <f t="shared" si="19"/>
        <v>2013</v>
      </c>
      <c r="J295" s="4836">
        <v>41333</v>
      </c>
      <c r="K295" s="4837">
        <v>51071.46092426555</v>
      </c>
      <c r="L295" s="4834">
        <f t="shared" si="21"/>
        <v>4.016471204050203E-5</v>
      </c>
      <c r="S295" s="270" t="s">
        <v>11374</v>
      </c>
      <c r="T295" s="4838">
        <v>924.3339638480544</v>
      </c>
      <c r="U295" s="4839">
        <f t="shared" si="20"/>
        <v>6.3346802666374856E-4</v>
      </c>
    </row>
    <row r="296" spans="1:21">
      <c r="A296" s="270" t="s">
        <v>11375</v>
      </c>
      <c r="B296" s="3305">
        <v>7831</v>
      </c>
      <c r="C296" s="4834">
        <f t="shared" si="18"/>
        <v>1.9470755240978544E-4</v>
      </c>
      <c r="D296" s="3" t="str">
        <f t="shared" si="19"/>
        <v>2013</v>
      </c>
      <c r="J296" s="4836">
        <v>41334</v>
      </c>
      <c r="K296" s="4837">
        <v>50870.518758211627</v>
      </c>
      <c r="L296" s="4834">
        <f t="shared" si="21"/>
        <v>4.0954856934760979E-5</v>
      </c>
      <c r="S296" s="270" t="s">
        <v>11375</v>
      </c>
      <c r="T296" s="4838">
        <v>934.62220275001539</v>
      </c>
      <c r="U296" s="4839">
        <f t="shared" si="20"/>
        <v>5.7525426328548822E-4</v>
      </c>
    </row>
    <row r="297" spans="1:21">
      <c r="A297" s="270" t="s">
        <v>11376</v>
      </c>
      <c r="B297" s="3305">
        <v>7828</v>
      </c>
      <c r="C297" s="4834">
        <f t="shared" si="18"/>
        <v>1.9519208768885933E-4</v>
      </c>
      <c r="D297" s="3" t="str">
        <f t="shared" si="19"/>
        <v>2013</v>
      </c>
      <c r="J297" s="4836">
        <v>41337</v>
      </c>
      <c r="K297" s="4837">
        <v>50613.312785662602</v>
      </c>
      <c r="L297" s="4834">
        <f t="shared" si="21"/>
        <v>4.1945392291215394E-5</v>
      </c>
      <c r="S297" s="270" t="s">
        <v>11376</v>
      </c>
      <c r="T297" s="4838">
        <v>930.76411316177996</v>
      </c>
      <c r="U297" s="4839">
        <f t="shared" si="20"/>
        <v>5.9667329608318763E-4</v>
      </c>
    </row>
    <row r="298" spans="1:21">
      <c r="A298" s="270" t="s">
        <v>11377</v>
      </c>
      <c r="B298" s="3305">
        <v>7620.5</v>
      </c>
      <c r="C298" s="4834">
        <f t="shared" si="18"/>
        <v>2.2844906167549539E-4</v>
      </c>
      <c r="D298" s="3" t="str">
        <f t="shared" si="19"/>
        <v>2013</v>
      </c>
      <c r="J298" s="4836">
        <v>41338</v>
      </c>
      <c r="K298" s="4837">
        <v>50790.141891790052</v>
      </c>
      <c r="L298" s="4834">
        <f t="shared" si="21"/>
        <v>4.1267027767297125E-5</v>
      </c>
      <c r="S298" s="270" t="s">
        <v>11377</v>
      </c>
      <c r="T298" s="4838">
        <v>900.54241138726979</v>
      </c>
      <c r="U298" s="4839">
        <f t="shared" si="20"/>
        <v>7.811563858634797E-4</v>
      </c>
    </row>
    <row r="299" spans="1:21">
      <c r="A299" s="270" t="s">
        <v>11378</v>
      </c>
      <c r="B299" s="3305">
        <v>7751</v>
      </c>
      <c r="C299" s="4834">
        <f t="shared" si="18"/>
        <v>2.0762234358989411E-4</v>
      </c>
      <c r="D299" s="3" t="str">
        <f t="shared" si="19"/>
        <v>2013</v>
      </c>
      <c r="J299" s="4836">
        <v>41339</v>
      </c>
      <c r="K299" s="4837">
        <v>50605.275099020444</v>
      </c>
      <c r="L299" s="4834">
        <f t="shared" si="21"/>
        <v>4.1975941056796884E-5</v>
      </c>
      <c r="S299" s="270" t="s">
        <v>11378</v>
      </c>
      <c r="T299" s="4838">
        <v>922.40491905393685</v>
      </c>
      <c r="U299" s="4839">
        <f t="shared" si="20"/>
        <v>6.4477144505752408E-4</v>
      </c>
    </row>
    <row r="300" spans="1:21">
      <c r="A300" s="270" t="s">
        <v>11379</v>
      </c>
      <c r="B300" s="3305">
        <v>7720</v>
      </c>
      <c r="C300" s="4834">
        <f t="shared" si="18"/>
        <v>2.1260972240191335E-4</v>
      </c>
      <c r="D300" s="3" t="str">
        <f t="shared" si="19"/>
        <v>2013</v>
      </c>
      <c r="J300" s="4836">
        <v>41340</v>
      </c>
      <c r="K300" s="4837">
        <v>50782.104205147894</v>
      </c>
      <c r="L300" s="4834">
        <f t="shared" si="21"/>
        <v>4.1298116831299961E-5</v>
      </c>
      <c r="S300" s="270" t="s">
        <v>11379</v>
      </c>
      <c r="T300" s="4838">
        <v>930.12109823040748</v>
      </c>
      <c r="U300" s="4839">
        <f t="shared" si="20"/>
        <v>6.0029126890559612E-4</v>
      </c>
    </row>
    <row r="301" spans="1:21">
      <c r="A301" s="270" t="s">
        <v>11380</v>
      </c>
      <c r="B301" s="3305">
        <v>7699.5</v>
      </c>
      <c r="C301" s="4834">
        <f t="shared" si="18"/>
        <v>2.1589735932932204E-4</v>
      </c>
      <c r="D301" s="3" t="str">
        <f t="shared" si="19"/>
        <v>2013</v>
      </c>
      <c r="J301" s="4836">
        <v>41341</v>
      </c>
      <c r="K301" s="4837">
        <v>50854.443384927305</v>
      </c>
      <c r="L301" s="4834">
        <f t="shared" si="21"/>
        <v>4.1017475184439937E-5</v>
      </c>
      <c r="S301" s="270" t="s">
        <v>11380</v>
      </c>
      <c r="T301" s="4838">
        <v>924.01245638236821</v>
      </c>
      <c r="U301" s="4839">
        <f t="shared" si="20"/>
        <v>6.3534348178494995E-4</v>
      </c>
    </row>
    <row r="302" spans="1:21">
      <c r="A302" s="270" t="s">
        <v>11381</v>
      </c>
      <c r="B302" s="3305">
        <v>7671</v>
      </c>
      <c r="C302" s="4834">
        <f t="shared" si="18"/>
        <v>2.2044982392895539E-4</v>
      </c>
      <c r="D302" s="3" t="str">
        <f t="shared" si="19"/>
        <v>2013</v>
      </c>
      <c r="J302" s="4836">
        <v>41344</v>
      </c>
      <c r="K302" s="4837">
        <v>50766.028831863579</v>
      </c>
      <c r="L302" s="4834">
        <f t="shared" si="21"/>
        <v>4.1360223979136437E-5</v>
      </c>
      <c r="S302" s="270" t="s">
        <v>11381</v>
      </c>
      <c r="T302" s="4838">
        <v>932.69315795589785</v>
      </c>
      <c r="U302" s="4839">
        <f t="shared" si="20"/>
        <v>5.8590180925508991E-4</v>
      </c>
    </row>
    <row r="303" spans="1:21">
      <c r="A303" s="270" t="s">
        <v>11382</v>
      </c>
      <c r="B303" s="3305">
        <v>7730</v>
      </c>
      <c r="C303" s="4834">
        <f t="shared" si="18"/>
        <v>2.110027280116658E-4</v>
      </c>
      <c r="D303" s="3" t="str">
        <f t="shared" si="19"/>
        <v>2013</v>
      </c>
      <c r="J303" s="4836">
        <v>41345</v>
      </c>
      <c r="K303" s="4837">
        <v>51248.290030393</v>
      </c>
      <c r="L303" s="4834">
        <f t="shared" si="21"/>
        <v>3.9458772661716632E-5</v>
      </c>
      <c r="S303" s="270" t="s">
        <v>11382</v>
      </c>
      <c r="T303" s="4838">
        <v>925.29848624511339</v>
      </c>
      <c r="U303" s="4839">
        <f t="shared" si="20"/>
        <v>6.2786198653483143E-4</v>
      </c>
    </row>
    <row r="304" spans="1:21">
      <c r="A304" s="270" t="s">
        <v>11383</v>
      </c>
      <c r="B304" s="3305">
        <v>7677</v>
      </c>
      <c r="C304" s="4834">
        <f t="shared" si="18"/>
        <v>2.1949339107320897E-4</v>
      </c>
      <c r="D304" s="3" t="str">
        <f t="shared" si="19"/>
        <v>2013</v>
      </c>
      <c r="J304" s="4836">
        <v>41346</v>
      </c>
      <c r="K304" s="4837">
        <v>51095.573984192022</v>
      </c>
      <c r="L304" s="4834">
        <f t="shared" si="21"/>
        <v>4.0069008953427225E-5</v>
      </c>
      <c r="S304" s="270" t="s">
        <v>11383</v>
      </c>
      <c r="T304" s="4838">
        <v>929.1565758333486</v>
      </c>
      <c r="U304" s="4839">
        <f t="shared" si="20"/>
        <v>6.0574393525275388E-4</v>
      </c>
    </row>
    <row r="305" spans="1:21">
      <c r="A305" s="270" t="s">
        <v>11384</v>
      </c>
      <c r="B305" s="3305">
        <v>7815</v>
      </c>
      <c r="C305" s="4834">
        <f t="shared" si="18"/>
        <v>1.9729201376754134E-4</v>
      </c>
      <c r="D305" s="3" t="str">
        <f t="shared" si="19"/>
        <v>2013</v>
      </c>
      <c r="J305" s="4836">
        <v>41347</v>
      </c>
      <c r="K305" s="4837">
        <v>50991.084057843975</v>
      </c>
      <c r="L305" s="4834">
        <f t="shared" si="21"/>
        <v>4.0482380455531482E-5</v>
      </c>
      <c r="S305" s="270" t="s">
        <v>11384</v>
      </c>
      <c r="T305" s="4838">
        <v>940.40933713236836</v>
      </c>
      <c r="U305" s="4839">
        <f t="shared" si="20"/>
        <v>5.4405835309502201E-4</v>
      </c>
    </row>
    <row r="306" spans="1:21">
      <c r="A306" s="270" t="s">
        <v>11385</v>
      </c>
      <c r="B306" s="3305">
        <v>7777.5</v>
      </c>
      <c r="C306" s="4834">
        <f t="shared" si="18"/>
        <v>2.0334833966972473E-4</v>
      </c>
      <c r="D306" s="3" t="str">
        <f t="shared" si="19"/>
        <v>2013</v>
      </c>
      <c r="J306" s="4836">
        <v>41348</v>
      </c>
      <c r="K306" s="4837">
        <v>51296.516150245945</v>
      </c>
      <c r="L306" s="4834">
        <f t="shared" si="21"/>
        <v>3.9264651279048577E-5</v>
      </c>
      <c r="S306" s="270" t="s">
        <v>11385</v>
      </c>
      <c r="T306" s="4838">
        <v>936.22974007844687</v>
      </c>
      <c r="U306" s="4839">
        <f t="shared" si="20"/>
        <v>5.6647622776688825E-4</v>
      </c>
    </row>
    <row r="307" spans="1:21">
      <c r="A307" s="270" t="s">
        <v>11386</v>
      </c>
      <c r="B307" s="3305">
        <v>7762</v>
      </c>
      <c r="C307" s="4834">
        <f t="shared" si="18"/>
        <v>2.058491457555292E-4</v>
      </c>
      <c r="D307" s="3" t="str">
        <f t="shared" si="19"/>
        <v>2013</v>
      </c>
      <c r="J307" s="4836">
        <v>41351</v>
      </c>
      <c r="K307" s="4837">
        <v>51561.759809437128</v>
      </c>
      <c r="L307" s="4834">
        <f t="shared" si="21"/>
        <v>3.8185943475105179E-5</v>
      </c>
      <c r="S307" s="270" t="s">
        <v>11386</v>
      </c>
      <c r="T307" s="4838">
        <v>920.79738172550537</v>
      </c>
      <c r="U307" s="4839">
        <f t="shared" si="20"/>
        <v>6.5428361850487196E-4</v>
      </c>
    </row>
    <row r="308" spans="1:21">
      <c r="A308" s="270" t="s">
        <v>11387</v>
      </c>
      <c r="B308" s="3305">
        <v>7782</v>
      </c>
      <c r="C308" s="4834">
        <f t="shared" si="18"/>
        <v>2.0262191886863309E-4</v>
      </c>
      <c r="D308" s="3" t="str">
        <f t="shared" si="19"/>
        <v>2013</v>
      </c>
      <c r="J308" s="4836">
        <v>41352</v>
      </c>
      <c r="K308" s="4837">
        <v>51786.815035417516</v>
      </c>
      <c r="L308" s="4834">
        <f t="shared" si="21"/>
        <v>3.7257707312574436E-5</v>
      </c>
      <c r="S308" s="270" t="s">
        <v>11387</v>
      </c>
      <c r="T308" s="4838">
        <v>929.47808329903489</v>
      </c>
      <c r="U308" s="4839">
        <f t="shared" si="20"/>
        <v>6.0392295488371649E-4</v>
      </c>
    </row>
    <row r="309" spans="1:21">
      <c r="A309" s="270" t="s">
        <v>11388</v>
      </c>
      <c r="B309" s="3305">
        <v>7555.5</v>
      </c>
      <c r="C309" s="4834">
        <f t="shared" si="18"/>
        <v>2.3857518972344638E-4</v>
      </c>
      <c r="D309" s="3" t="str">
        <f t="shared" si="19"/>
        <v>2013</v>
      </c>
      <c r="J309" s="4836">
        <v>41353</v>
      </c>
      <c r="K309" s="4837">
        <v>51682.325109069483</v>
      </c>
      <c r="L309" s="4834">
        <f t="shared" si="21"/>
        <v>3.7690017585857826E-5</v>
      </c>
      <c r="S309" s="270" t="s">
        <v>11388</v>
      </c>
      <c r="T309" s="4838">
        <v>925.94150117648587</v>
      </c>
      <c r="U309" s="4839">
        <f t="shared" si="20"/>
        <v>6.2414159084188208E-4</v>
      </c>
    </row>
    <row r="310" spans="1:21">
      <c r="A310" s="270" t="s">
        <v>11389</v>
      </c>
      <c r="B310" s="3305">
        <v>7539</v>
      </c>
      <c r="C310" s="4834">
        <f t="shared" si="18"/>
        <v>2.4110807140473539E-4</v>
      </c>
      <c r="D310" s="3" t="str">
        <f t="shared" si="19"/>
        <v>2013</v>
      </c>
      <c r="J310" s="4836">
        <v>41354</v>
      </c>
      <c r="K310" s="4837">
        <v>51883.267275123399</v>
      </c>
      <c r="L310" s="4834">
        <f t="shared" si="21"/>
        <v>3.6856759592379204E-5</v>
      </c>
      <c r="S310" s="270" t="s">
        <v>11389</v>
      </c>
      <c r="T310" s="4838">
        <v>927.54903850491735</v>
      </c>
      <c r="U310" s="4839">
        <f t="shared" si="20"/>
        <v>6.1490012591926691E-4</v>
      </c>
    </row>
    <row r="311" spans="1:21">
      <c r="A311" s="270" t="s">
        <v>11390</v>
      </c>
      <c r="B311" s="3305">
        <v>7574.5</v>
      </c>
      <c r="C311" s="4834">
        <f t="shared" si="18"/>
        <v>2.3563842103216815E-4</v>
      </c>
      <c r="D311" s="3" t="str">
        <f t="shared" si="19"/>
        <v>2013</v>
      </c>
      <c r="J311" s="4836">
        <v>41355</v>
      </c>
      <c r="K311" s="4837">
        <v>51690.362795711633</v>
      </c>
      <c r="L311" s="4834">
        <f t="shared" si="21"/>
        <v>3.7656842822186818E-5</v>
      </c>
      <c r="S311" s="270" t="s">
        <v>11390</v>
      </c>
      <c r="T311" s="4838">
        <v>929.1565758333486</v>
      </c>
      <c r="U311" s="4839">
        <f t="shared" si="20"/>
        <v>6.0574393525275388E-4</v>
      </c>
    </row>
    <row r="312" spans="1:21">
      <c r="A312" s="270" t="s">
        <v>11391</v>
      </c>
      <c r="B312" s="3305">
        <v>7580</v>
      </c>
      <c r="C312" s="4834">
        <f t="shared" si="18"/>
        <v>2.3478450950973237E-4</v>
      </c>
      <c r="D312" s="3" t="str">
        <f t="shared" si="19"/>
        <v>2013</v>
      </c>
      <c r="J312" s="4836">
        <v>41358</v>
      </c>
      <c r="K312" s="4837">
        <v>51417.081449878293</v>
      </c>
      <c r="L312" s="4834">
        <f t="shared" si="21"/>
        <v>3.8776562086734663E-5</v>
      </c>
      <c r="S312" s="270" t="s">
        <v>11391</v>
      </c>
      <c r="T312" s="4838">
        <v>929.47808329903489</v>
      </c>
      <c r="U312" s="4839">
        <f t="shared" si="20"/>
        <v>6.0392295488371649E-4</v>
      </c>
    </row>
    <row r="313" spans="1:21">
      <c r="A313" s="270" t="s">
        <v>11392</v>
      </c>
      <c r="B313" s="3305">
        <v>7618</v>
      </c>
      <c r="C313" s="4834">
        <f t="shared" si="18"/>
        <v>2.288423968932529E-4</v>
      </c>
      <c r="D313" s="3" t="str">
        <f t="shared" si="19"/>
        <v>2013</v>
      </c>
      <c r="J313" s="4836">
        <v>41359</v>
      </c>
      <c r="K313" s="4837">
        <v>51376.893016667513</v>
      </c>
      <c r="L313" s="4834">
        <f t="shared" si="21"/>
        <v>3.8939688858396196E-5</v>
      </c>
      <c r="S313" s="270" t="s">
        <v>11392</v>
      </c>
      <c r="T313" s="4838">
        <v>934.30069528432909</v>
      </c>
      <c r="U313" s="4839">
        <f t="shared" si="20"/>
        <v>5.7702023246800635E-4</v>
      </c>
    </row>
    <row r="314" spans="1:21">
      <c r="A314" s="270" t="s">
        <v>11393</v>
      </c>
      <c r="B314" s="3305">
        <v>7602</v>
      </c>
      <c r="C314" s="4834">
        <f t="shared" si="18"/>
        <v>2.3135296848437453E-4</v>
      </c>
      <c r="D314" s="3" t="str">
        <f t="shared" si="19"/>
        <v>2013</v>
      </c>
      <c r="J314" s="4836">
        <v>41360</v>
      </c>
      <c r="K314" s="4837">
        <v>51537.646749510655</v>
      </c>
      <c r="L314" s="4834">
        <f t="shared" si="21"/>
        <v>3.8284732133012657E-5</v>
      </c>
      <c r="S314" s="270" t="s">
        <v>11393</v>
      </c>
      <c r="T314" s="4838">
        <v>921.76190412256426</v>
      </c>
      <c r="U314" s="4839">
        <f t="shared" si="20"/>
        <v>6.4856623038205496E-4</v>
      </c>
    </row>
    <row r="315" spans="1:21">
      <c r="A315" s="270" t="s">
        <v>11394</v>
      </c>
      <c r="B315" s="3305">
        <v>7631</v>
      </c>
      <c r="C315" s="4834">
        <f t="shared" si="18"/>
        <v>2.2679408884373754E-4</v>
      </c>
      <c r="D315" s="3" t="str">
        <f t="shared" si="19"/>
        <v>2013</v>
      </c>
      <c r="J315" s="4836">
        <v>41361</v>
      </c>
      <c r="K315" s="4837">
        <v>51384.93070330967</v>
      </c>
      <c r="L315" s="4834">
        <f t="shared" si="21"/>
        <v>3.8907097285111416E-5</v>
      </c>
      <c r="S315" s="270" t="s">
        <v>11394</v>
      </c>
      <c r="T315" s="4838">
        <v>926.90602357354464</v>
      </c>
      <c r="U315" s="4839">
        <f t="shared" si="20"/>
        <v>6.1858649537743316E-4</v>
      </c>
    </row>
    <row r="316" spans="1:21">
      <c r="A316" s="270" t="s">
        <v>11395</v>
      </c>
      <c r="B316" s="3305">
        <v>7570</v>
      </c>
      <c r="C316" s="4834">
        <f t="shared" si="18"/>
        <v>2.3633583530927624E-4</v>
      </c>
      <c r="D316" s="3" t="str">
        <f t="shared" si="19"/>
        <v>2013</v>
      </c>
      <c r="J316" s="4836">
        <v>41366</v>
      </c>
      <c r="K316" s="4837">
        <v>50910.707191422414</v>
      </c>
      <c r="L316" s="4834">
        <f t="shared" si="21"/>
        <v>4.0797916385886454E-5</v>
      </c>
      <c r="S316" s="270" t="s">
        <v>11395</v>
      </c>
      <c r="T316" s="4838">
        <v>910.83065028923056</v>
      </c>
      <c r="U316" s="4839">
        <f t="shared" si="20"/>
        <v>7.1511276276276642E-4</v>
      </c>
    </row>
    <row r="317" spans="1:21">
      <c r="A317" s="270" t="s">
        <v>11396</v>
      </c>
      <c r="B317" s="3305">
        <v>7582.5</v>
      </c>
      <c r="C317" s="4834">
        <f t="shared" si="18"/>
        <v>2.3439582666761528E-4</v>
      </c>
      <c r="D317" s="3" t="str">
        <f t="shared" si="19"/>
        <v>2013</v>
      </c>
      <c r="J317" s="4836">
        <v>41367</v>
      </c>
      <c r="K317" s="4837">
        <v>50629.388158946917</v>
      </c>
      <c r="L317" s="4834">
        <f t="shared" si="21"/>
        <v>4.1884218389609823E-5</v>
      </c>
      <c r="S317" s="270" t="s">
        <v>11396</v>
      </c>
      <c r="T317" s="4838">
        <v>920.79738172550537</v>
      </c>
      <c r="U317" s="4839">
        <f t="shared" si="20"/>
        <v>6.5428361850487196E-4</v>
      </c>
    </row>
    <row r="318" spans="1:21">
      <c r="A318" s="270" t="s">
        <v>11397</v>
      </c>
      <c r="B318" s="3305">
        <v>7434.5</v>
      </c>
      <c r="C318" s="4834">
        <f t="shared" si="18"/>
        <v>2.5670026660772652E-4</v>
      </c>
      <c r="D318" s="3" t="str">
        <f t="shared" si="19"/>
        <v>2013</v>
      </c>
      <c r="J318" s="4836">
        <v>41368</v>
      </c>
      <c r="K318" s="4837">
        <v>49721.129568383178</v>
      </c>
      <c r="L318" s="4834">
        <f t="shared" si="21"/>
        <v>4.5160822866928785E-5</v>
      </c>
      <c r="S318" s="270" t="s">
        <v>11397</v>
      </c>
      <c r="T318" s="4838">
        <v>898.93487405883843</v>
      </c>
      <c r="U318" s="4839">
        <f t="shared" si="20"/>
        <v>7.9176355010278593E-4</v>
      </c>
    </row>
    <row r="319" spans="1:21">
      <c r="A319" s="270" t="s">
        <v>11398</v>
      </c>
      <c r="B319" s="3305">
        <v>7405.5</v>
      </c>
      <c r="C319" s="4834">
        <f t="shared" si="18"/>
        <v>2.6086597345417918E-4</v>
      </c>
      <c r="D319" s="3" t="str">
        <f t="shared" si="19"/>
        <v>2013</v>
      </c>
      <c r="J319" s="4836">
        <v>41369</v>
      </c>
      <c r="K319" s="4837">
        <v>50412.370619608671</v>
      </c>
      <c r="L319" s="4834">
        <f t="shared" si="21"/>
        <v>4.2701236769419646E-5</v>
      </c>
      <c r="S319" s="270" t="s">
        <v>11398</v>
      </c>
      <c r="T319" s="4838">
        <v>874.17879920099483</v>
      </c>
      <c r="U319" s="4839">
        <f t="shared" si="20"/>
        <v>9.6412475580852017E-4</v>
      </c>
    </row>
    <row r="320" spans="1:21">
      <c r="A320" s="270" t="s">
        <v>11399</v>
      </c>
      <c r="B320" s="3305">
        <v>7336.5</v>
      </c>
      <c r="C320" s="4834">
        <f t="shared" si="18"/>
        <v>2.7044015469944677E-4</v>
      </c>
      <c r="D320" s="3" t="str">
        <f t="shared" si="19"/>
        <v>2013</v>
      </c>
      <c r="J320" s="4836">
        <v>41372</v>
      </c>
      <c r="K320" s="4837">
        <v>50637.425845589074</v>
      </c>
      <c r="L320" s="4834">
        <f t="shared" si="21"/>
        <v>4.1853593429942434E-5</v>
      </c>
      <c r="S320" s="270" t="s">
        <v>11399</v>
      </c>
      <c r="T320" s="4838">
        <v>861.64000803922988</v>
      </c>
      <c r="U320" s="4839">
        <f t="shared" si="20"/>
        <v>1.0570922254576438E-3</v>
      </c>
    </row>
    <row r="321" spans="1:21">
      <c r="A321" s="270" t="s">
        <v>11400</v>
      </c>
      <c r="B321" s="3305">
        <v>7376</v>
      </c>
      <c r="C321" s="4834">
        <f t="shared" si="18"/>
        <v>2.6502015473694974E-4</v>
      </c>
      <c r="D321" s="3" t="str">
        <f t="shared" si="19"/>
        <v>2013</v>
      </c>
      <c r="J321" s="4836">
        <v>41373</v>
      </c>
      <c r="K321" s="4837">
        <v>50709.765025368484</v>
      </c>
      <c r="L321" s="4834">
        <f t="shared" si="21"/>
        <v>4.1576844411663805E-5</v>
      </c>
      <c r="S321" s="270" t="s">
        <v>11400</v>
      </c>
      <c r="T321" s="4838">
        <v>867.10563495589668</v>
      </c>
      <c r="U321" s="4839">
        <f t="shared" si="20"/>
        <v>1.0161606145147469E-3</v>
      </c>
    </row>
    <row r="322" spans="1:21">
      <c r="A322" s="270" t="s">
        <v>11401</v>
      </c>
      <c r="B322" s="3305">
        <v>7457.5</v>
      </c>
      <c r="C322" s="4834">
        <f t="shared" si="18"/>
        <v>2.5334261988817881E-4</v>
      </c>
      <c r="D322" s="3" t="str">
        <f t="shared" si="19"/>
        <v>2013</v>
      </c>
      <c r="J322" s="4836">
        <v>41374</v>
      </c>
      <c r="K322" s="4837">
        <v>50637.425845589074</v>
      </c>
      <c r="L322" s="4834">
        <f t="shared" si="21"/>
        <v>4.1853593429942434E-5</v>
      </c>
      <c r="S322" s="270" t="s">
        <v>11401</v>
      </c>
      <c r="T322" s="4838">
        <v>876.75085892648508</v>
      </c>
      <c r="U322" s="4839">
        <f t="shared" si="20"/>
        <v>9.4548425129052963E-4</v>
      </c>
    </row>
    <row r="323" spans="1:21">
      <c r="A323" s="270" t="s">
        <v>11402</v>
      </c>
      <c r="B323" s="3305">
        <v>7485.5</v>
      </c>
      <c r="C323" s="4834">
        <f t="shared" si="18"/>
        <v>2.4919545665334124E-4</v>
      </c>
      <c r="D323" s="3" t="str">
        <f t="shared" si="19"/>
        <v>2013</v>
      </c>
      <c r="J323" s="4836">
        <v>41375</v>
      </c>
      <c r="K323" s="4837">
        <v>50315.918379902789</v>
      </c>
      <c r="L323" s="4834">
        <f t="shared" si="21"/>
        <v>4.3057981146192122E-5</v>
      </c>
      <c r="S323" s="270" t="s">
        <v>11402</v>
      </c>
      <c r="T323" s="4838">
        <v>876.10784399511249</v>
      </c>
      <c r="U323" s="4839">
        <f t="shared" si="20"/>
        <v>9.501297240195769E-4</v>
      </c>
    </row>
    <row r="324" spans="1:21">
      <c r="A324" s="270" t="s">
        <v>11403</v>
      </c>
      <c r="B324" s="3305">
        <v>7547</v>
      </c>
      <c r="C324" s="4834">
        <f t="shared" ref="C324:C387" si="22">_xlfn.NORM.DIST(B324,$F$4,$F$3,FALSE)</f>
        <v>2.3988211181708E-4</v>
      </c>
      <c r="D324" s="3" t="str">
        <f t="shared" ref="D324:D387" si="23">LEFT(A324,4)</f>
        <v>2013</v>
      </c>
      <c r="J324" s="4836">
        <v>41376</v>
      </c>
      <c r="K324" s="4837">
        <v>49367.471356128262</v>
      </c>
      <c r="L324" s="4834">
        <f t="shared" si="21"/>
        <v>4.6322424393224198E-5</v>
      </c>
      <c r="S324" s="270" t="s">
        <v>11403</v>
      </c>
      <c r="T324" s="4838">
        <v>891.86170981374016</v>
      </c>
      <c r="U324" s="4839">
        <f t="shared" ref="U324:U387" si="24">_xlfn.NORM.DIST(T324,$X$4,$X$3,FALSE)</f>
        <v>8.3932358484372076E-4</v>
      </c>
    </row>
    <row r="325" spans="1:21">
      <c r="A325" s="270" t="s">
        <v>11404</v>
      </c>
      <c r="B325" s="3305">
        <v>7510</v>
      </c>
      <c r="C325" s="4834">
        <f t="shared" si="22"/>
        <v>2.4551697879437816E-4</v>
      </c>
      <c r="D325" s="3" t="str">
        <f t="shared" si="23"/>
        <v>2013</v>
      </c>
      <c r="J325" s="4836">
        <v>41379</v>
      </c>
      <c r="K325" s="4837">
        <v>44850.291463236033</v>
      </c>
      <c r="L325" s="4834">
        <f t="shared" ref="L325:L388" si="25">_xlfn.NORM.DIST(K325,$O$4,$O$3,FALSE)</f>
        <v>5.2780415418885556E-5</v>
      </c>
      <c r="S325" s="270" t="s">
        <v>11404</v>
      </c>
      <c r="T325" s="4838">
        <v>886.39608289707348</v>
      </c>
      <c r="U325" s="4839">
        <f t="shared" si="24"/>
        <v>8.7703206912788107E-4</v>
      </c>
    </row>
    <row r="326" spans="1:21">
      <c r="A326" s="270" t="s">
        <v>11405</v>
      </c>
      <c r="B326" s="3305">
        <v>7510</v>
      </c>
      <c r="C326" s="4834">
        <f t="shared" si="22"/>
        <v>2.4551697879437816E-4</v>
      </c>
      <c r="D326" s="3" t="str">
        <f t="shared" si="23"/>
        <v>2013</v>
      </c>
      <c r="J326" s="4836">
        <v>41380</v>
      </c>
      <c r="K326" s="4837">
        <v>44368.030264706613</v>
      </c>
      <c r="L326" s="4834">
        <f t="shared" si="25"/>
        <v>5.2396002727407362E-5</v>
      </c>
      <c r="S326" s="270" t="s">
        <v>11405</v>
      </c>
      <c r="T326" s="4838">
        <v>880.93045598040669</v>
      </c>
      <c r="U326" s="4839">
        <f t="shared" si="24"/>
        <v>9.1553340891408939E-4</v>
      </c>
    </row>
    <row r="327" spans="1:21">
      <c r="A327" s="270" t="s">
        <v>11406</v>
      </c>
      <c r="B327" s="3305">
        <v>7120.5</v>
      </c>
      <c r="C327" s="4834">
        <f t="shared" si="22"/>
        <v>2.9658542066843057E-4</v>
      </c>
      <c r="D327" s="3" t="str">
        <f t="shared" si="23"/>
        <v>2013</v>
      </c>
      <c r="J327" s="4836">
        <v>41381</v>
      </c>
      <c r="K327" s="4837">
        <v>44753.839223530151</v>
      </c>
      <c r="L327" s="4834">
        <f t="shared" si="25"/>
        <v>5.2720591017546335E-5</v>
      </c>
      <c r="S327" s="270" t="s">
        <v>11406</v>
      </c>
      <c r="T327" s="4838">
        <v>756.82857422550262</v>
      </c>
      <c r="U327" s="4839">
        <f t="shared" si="24"/>
        <v>1.8635052826528706E-3</v>
      </c>
    </row>
    <row r="328" spans="1:21">
      <c r="A328" s="270" t="s">
        <v>11407</v>
      </c>
      <c r="B328" s="3305">
        <v>7219</v>
      </c>
      <c r="C328" s="4834">
        <f t="shared" si="22"/>
        <v>2.8546381018533501E-4</v>
      </c>
      <c r="D328" s="3" t="str">
        <f t="shared" si="23"/>
        <v>2013</v>
      </c>
      <c r="J328" s="4836">
        <v>41382</v>
      </c>
      <c r="K328" s="4837">
        <v>44810.103030025246</v>
      </c>
      <c r="L328" s="4834">
        <f t="shared" si="25"/>
        <v>5.2756531405721179E-5</v>
      </c>
      <c r="S328" s="270" t="s">
        <v>11407</v>
      </c>
      <c r="T328" s="4838">
        <v>754.57802196569867</v>
      </c>
      <c r="U328" s="4839">
        <f t="shared" si="24"/>
        <v>1.8788589137758323E-3</v>
      </c>
    </row>
    <row r="329" spans="1:21">
      <c r="A329" s="270" t="s">
        <v>11408</v>
      </c>
      <c r="B329" s="3305">
        <v>7067</v>
      </c>
      <c r="C329" s="4834">
        <f t="shared" si="22"/>
        <v>3.0198575461567426E-4</v>
      </c>
      <c r="D329" s="3" t="str">
        <f t="shared" si="23"/>
        <v>2013</v>
      </c>
      <c r="J329" s="4836">
        <v>41383</v>
      </c>
      <c r="K329" s="4837">
        <v>45187.874302206634</v>
      </c>
      <c r="L329" s="4834">
        <f t="shared" si="25"/>
        <v>5.2921968448937869E-5</v>
      </c>
      <c r="S329" s="270" t="s">
        <v>11408</v>
      </c>
      <c r="T329" s="4838">
        <v>749.43390251471817</v>
      </c>
      <c r="U329" s="4839">
        <f t="shared" si="24"/>
        <v>1.9132306907825988E-3</v>
      </c>
    </row>
    <row r="330" spans="1:21">
      <c r="A330" s="270" t="s">
        <v>11409</v>
      </c>
      <c r="B330" s="3305">
        <v>6962.5</v>
      </c>
      <c r="C330" s="4834">
        <f t="shared" si="22"/>
        <v>3.1109996634163557E-4</v>
      </c>
      <c r="D330" s="3" t="str">
        <f t="shared" si="23"/>
        <v>2013</v>
      </c>
      <c r="J330" s="4836">
        <v>41386</v>
      </c>
      <c r="K330" s="4837">
        <v>45798.73848701056</v>
      </c>
      <c r="L330" s="4834">
        <f t="shared" si="25"/>
        <v>5.2908296536607514E-5</v>
      </c>
      <c r="S330" s="270" t="s">
        <v>11409</v>
      </c>
      <c r="T330" s="4838">
        <v>755.86405182844385</v>
      </c>
      <c r="U330" s="4839">
        <f t="shared" si="24"/>
        <v>1.8701081891661507E-3</v>
      </c>
    </row>
    <row r="331" spans="1:21">
      <c r="A331" s="270" t="s">
        <v>11410</v>
      </c>
      <c r="B331" s="3305">
        <v>6975</v>
      </c>
      <c r="C331" s="4834">
        <f t="shared" si="22"/>
        <v>3.1011444962194304E-4</v>
      </c>
      <c r="D331" s="3" t="str">
        <f t="shared" si="23"/>
        <v>2013</v>
      </c>
      <c r="J331" s="4836">
        <v>41387</v>
      </c>
      <c r="K331" s="4837">
        <v>45268.251168628194</v>
      </c>
      <c r="L331" s="4834">
        <f t="shared" si="25"/>
        <v>5.2940054828522789E-5</v>
      </c>
      <c r="S331" s="270" t="s">
        <v>11410</v>
      </c>
      <c r="T331" s="4838">
        <v>760.68666381373805</v>
      </c>
      <c r="U331" s="4839">
        <f t="shared" si="24"/>
        <v>1.8367630599789449E-3</v>
      </c>
    </row>
    <row r="332" spans="1:21">
      <c r="A332" s="270" t="s">
        <v>11411</v>
      </c>
      <c r="B332" s="3305">
        <v>6875.5</v>
      </c>
      <c r="C332" s="4834">
        <f t="shared" si="22"/>
        <v>3.1712876711396059E-4</v>
      </c>
      <c r="D332" s="3" t="str">
        <f t="shared" si="23"/>
        <v>2013</v>
      </c>
      <c r="J332" s="4836">
        <v>41388</v>
      </c>
      <c r="K332" s="4837">
        <v>45927.341473285065</v>
      </c>
      <c r="L332" s="4834">
        <f t="shared" si="25"/>
        <v>5.2861107217464942E-5</v>
      </c>
      <c r="S332" s="270" t="s">
        <v>11411</v>
      </c>
      <c r="T332" s="4838">
        <v>758.75761901962039</v>
      </c>
      <c r="U332" s="4839">
        <f t="shared" si="24"/>
        <v>1.8501992377501827E-3</v>
      </c>
    </row>
    <row r="333" spans="1:21">
      <c r="A333" s="270" t="s">
        <v>11412</v>
      </c>
      <c r="B333" s="3305">
        <v>6811</v>
      </c>
      <c r="C333" s="4834">
        <f t="shared" si="22"/>
        <v>3.2062613466175231E-4</v>
      </c>
      <c r="D333" s="3" t="str">
        <f t="shared" si="23"/>
        <v>2013</v>
      </c>
      <c r="J333" s="4836">
        <v>41389</v>
      </c>
      <c r="K333" s="4837">
        <v>46650.733271079203</v>
      </c>
      <c r="L333" s="4834">
        <f t="shared" si="25"/>
        <v>5.2311600411837166E-5</v>
      </c>
      <c r="S333" s="270" t="s">
        <v>11412</v>
      </c>
      <c r="T333" s="4838">
        <v>739.78867854412988</v>
      </c>
      <c r="U333" s="4839">
        <f t="shared" si="24"/>
        <v>1.9747370617380494E-3</v>
      </c>
    </row>
    <row r="334" spans="1:21">
      <c r="A334" s="270" t="s">
        <v>11413</v>
      </c>
      <c r="B334" s="3305">
        <v>6935.5</v>
      </c>
      <c r="C334" s="4834">
        <f t="shared" si="22"/>
        <v>3.1312788902812045E-4</v>
      </c>
      <c r="D334" s="3" t="str">
        <f t="shared" si="23"/>
        <v>2013</v>
      </c>
      <c r="J334" s="4836">
        <v>41390</v>
      </c>
      <c r="K334" s="4837">
        <v>47309.823575736074</v>
      </c>
      <c r="L334" s="4834">
        <f t="shared" si="25"/>
        <v>5.1401576696185277E-5</v>
      </c>
      <c r="S334" s="270" t="s">
        <v>11413</v>
      </c>
      <c r="T334" s="4838">
        <v>736.57360388726704</v>
      </c>
      <c r="U334" s="4839">
        <f t="shared" si="24"/>
        <v>1.9943170269761737E-3</v>
      </c>
    </row>
    <row r="335" spans="1:21">
      <c r="A335" s="270" t="s">
        <v>11414</v>
      </c>
      <c r="B335" s="3305">
        <v>7035</v>
      </c>
      <c r="C335" s="4834">
        <f t="shared" si="22"/>
        <v>3.0498407583624305E-4</v>
      </c>
      <c r="D335" s="3" t="str">
        <f t="shared" si="23"/>
        <v>2013</v>
      </c>
      <c r="J335" s="4836">
        <v>41393</v>
      </c>
      <c r="K335" s="4837">
        <v>47181.220589461562</v>
      </c>
      <c r="L335" s="4834">
        <f t="shared" si="25"/>
        <v>5.1608903793442983E-5</v>
      </c>
      <c r="S335" s="270" t="s">
        <v>11414</v>
      </c>
      <c r="T335" s="4838">
        <v>749.11239504903187</v>
      </c>
      <c r="U335" s="4839">
        <f t="shared" si="24"/>
        <v>1.9153442562375898E-3</v>
      </c>
    </row>
    <row r="336" spans="1:21">
      <c r="A336" s="270" t="s">
        <v>11415</v>
      </c>
      <c r="B336" s="3305">
        <v>7054.5</v>
      </c>
      <c r="C336" s="4834">
        <f t="shared" si="22"/>
        <v>3.0317811672234612E-4</v>
      </c>
      <c r="D336" s="3" t="str">
        <f t="shared" si="23"/>
        <v>2013</v>
      </c>
      <c r="J336" s="4836">
        <v>41394</v>
      </c>
      <c r="K336" s="4837">
        <v>47229.446709314499</v>
      </c>
      <c r="L336" s="4834">
        <f t="shared" si="25"/>
        <v>5.1532818335866295E-5</v>
      </c>
      <c r="S336" s="270" t="s">
        <v>11415</v>
      </c>
      <c r="T336" s="4838">
        <v>772.26093257844411</v>
      </c>
      <c r="U336" s="4839">
        <f t="shared" si="24"/>
        <v>1.7536508306595989E-3</v>
      </c>
    </row>
    <row r="337" spans="1:21">
      <c r="A337" s="270" t="s">
        <v>11416</v>
      </c>
      <c r="B337" s="3305">
        <v>7079</v>
      </c>
      <c r="C337" s="4834">
        <f t="shared" si="22"/>
        <v>3.0081597569961958E-4</v>
      </c>
      <c r="D337" s="3" t="str">
        <f t="shared" si="23"/>
        <v>2013</v>
      </c>
      <c r="J337" s="4836">
        <v>41395</v>
      </c>
      <c r="K337" s="4837">
        <v>46771.298570711559</v>
      </c>
      <c r="L337" s="4834">
        <f t="shared" si="25"/>
        <v>5.2173775953453493E-5</v>
      </c>
      <c r="S337" s="270" t="s">
        <v>11416</v>
      </c>
      <c r="T337" s="4838">
        <v>780.29861922060104</v>
      </c>
      <c r="U337" s="4839">
        <f t="shared" si="24"/>
        <v>1.693754197829001E-3</v>
      </c>
    </row>
    <row r="338" spans="1:21">
      <c r="A338" s="270" t="s">
        <v>11417</v>
      </c>
      <c r="B338" s="3305">
        <v>7073.5</v>
      </c>
      <c r="C338" s="4834">
        <f t="shared" si="22"/>
        <v>3.0135515706382484E-4</v>
      </c>
      <c r="D338" s="3" t="str">
        <f t="shared" si="23"/>
        <v>2013</v>
      </c>
      <c r="J338" s="4836">
        <v>41396</v>
      </c>
      <c r="K338" s="4837">
        <v>47237.484395956664</v>
      </c>
      <c r="L338" s="4834">
        <f t="shared" si="25"/>
        <v>5.1519943047796706E-5</v>
      </c>
      <c r="S338" s="270" t="s">
        <v>11417</v>
      </c>
      <c r="T338" s="4838">
        <v>785.12123120589536</v>
      </c>
      <c r="U338" s="4839">
        <f t="shared" si="24"/>
        <v>1.6571092870211229E-3</v>
      </c>
    </row>
    <row r="339" spans="1:21">
      <c r="A339" s="270" t="s">
        <v>11418</v>
      </c>
      <c r="B339" s="3305">
        <v>6875</v>
      </c>
      <c r="C339" s="4834">
        <f t="shared" si="22"/>
        <v>3.1715911905352015E-4</v>
      </c>
      <c r="D339" s="3" t="str">
        <f t="shared" si="23"/>
        <v>2013</v>
      </c>
      <c r="J339" s="4836">
        <v>41397</v>
      </c>
      <c r="K339" s="4837">
        <v>47237.484395956664</v>
      </c>
      <c r="L339" s="4834">
        <f t="shared" si="25"/>
        <v>5.1519943047796706E-5</v>
      </c>
      <c r="S339" s="270" t="s">
        <v>11418</v>
      </c>
      <c r="T339" s="4838">
        <v>770.65339525001264</v>
      </c>
      <c r="U339" s="4839">
        <f t="shared" si="24"/>
        <v>1.7654311134357038E-3</v>
      </c>
    </row>
    <row r="340" spans="1:21">
      <c r="A340" s="270" t="s">
        <v>11419</v>
      </c>
      <c r="B340" s="3305">
        <v>6870.5</v>
      </c>
      <c r="C340" s="4834">
        <f t="shared" si="22"/>
        <v>3.1743003314645498E-4</v>
      </c>
      <c r="D340" s="3" t="str">
        <f t="shared" si="23"/>
        <v>2013</v>
      </c>
      <c r="J340" s="4836">
        <v>41401</v>
      </c>
      <c r="K340" s="4837">
        <v>46433.715731740958</v>
      </c>
      <c r="L340" s="4834">
        <f t="shared" si="25"/>
        <v>5.2526685107984116E-5</v>
      </c>
      <c r="S340" s="270" t="s">
        <v>11419</v>
      </c>
      <c r="T340" s="4838">
        <v>761.65118621079694</v>
      </c>
      <c r="U340" s="4839">
        <f t="shared" si="24"/>
        <v>1.8299974914496595E-3</v>
      </c>
    </row>
    <row r="341" spans="1:21">
      <c r="A341" s="270" t="s">
        <v>11420</v>
      </c>
      <c r="B341" s="3305">
        <v>7122</v>
      </c>
      <c r="C341" s="4834">
        <f t="shared" si="22"/>
        <v>2.9642724590291217E-4</v>
      </c>
      <c r="D341" s="3" t="str">
        <f t="shared" si="23"/>
        <v>2013</v>
      </c>
      <c r="J341" s="4836">
        <v>41402</v>
      </c>
      <c r="K341" s="4837">
        <v>47197.295962745877</v>
      </c>
      <c r="L341" s="4834">
        <f t="shared" si="25"/>
        <v>5.1583764405598515E-5</v>
      </c>
      <c r="S341" s="270" t="s">
        <v>11420</v>
      </c>
      <c r="T341" s="4838">
        <v>779.65560428922856</v>
      </c>
      <c r="U341" s="4839">
        <f t="shared" si="24"/>
        <v>1.6986027087714825E-3</v>
      </c>
    </row>
    <row r="342" spans="1:21">
      <c r="A342" s="270" t="s">
        <v>11421</v>
      </c>
      <c r="B342" s="3305">
        <v>7240.5</v>
      </c>
      <c r="C342" s="4834">
        <f t="shared" si="22"/>
        <v>2.8284855126078316E-4</v>
      </c>
      <c r="D342" s="3" t="str">
        <f t="shared" si="23"/>
        <v>2013</v>
      </c>
      <c r="J342" s="4836">
        <v>41403</v>
      </c>
      <c r="K342" s="4837">
        <v>47116.919096324309</v>
      </c>
      <c r="L342" s="4834">
        <f t="shared" si="25"/>
        <v>5.1707229190610112E-5</v>
      </c>
      <c r="S342" s="270" t="s">
        <v>11421</v>
      </c>
      <c r="T342" s="4838">
        <v>763.58023100491459</v>
      </c>
      <c r="U342" s="4839">
        <f t="shared" si="24"/>
        <v>1.816374044005145E-3</v>
      </c>
    </row>
    <row r="343" spans="1:21">
      <c r="A343" s="270" t="s">
        <v>11422</v>
      </c>
      <c r="B343" s="3305">
        <v>7326</v>
      </c>
      <c r="C343" s="4834">
        <f t="shared" si="22"/>
        <v>2.7185182475278726E-4</v>
      </c>
      <c r="D343" s="3" t="str">
        <f t="shared" si="23"/>
        <v>2013</v>
      </c>
      <c r="J343" s="4836">
        <v>41404</v>
      </c>
      <c r="K343" s="4837">
        <v>45863.03998014782</v>
      </c>
      <c r="L343" s="4834">
        <f t="shared" si="25"/>
        <v>5.2886623286796092E-5</v>
      </c>
      <c r="S343" s="270" t="s">
        <v>11422</v>
      </c>
      <c r="T343" s="4838">
        <v>767.11681312746362</v>
      </c>
      <c r="U343" s="4839">
        <f t="shared" si="24"/>
        <v>1.7910903284921551E-3</v>
      </c>
    </row>
    <row r="344" spans="1:21">
      <c r="A344" s="270" t="s">
        <v>11423</v>
      </c>
      <c r="B344" s="3305">
        <v>7311</v>
      </c>
      <c r="C344" s="4834">
        <f t="shared" si="22"/>
        <v>2.7384632107303275E-4</v>
      </c>
      <c r="D344" s="3" t="str">
        <f t="shared" si="23"/>
        <v>2013</v>
      </c>
      <c r="J344" s="4836">
        <v>41407</v>
      </c>
      <c r="K344" s="4837">
        <v>45999.68065306449</v>
      </c>
      <c r="L344" s="4834">
        <f t="shared" si="25"/>
        <v>5.2827815238708295E-5</v>
      </c>
      <c r="S344" s="270" t="s">
        <v>11423</v>
      </c>
      <c r="T344" s="4838">
        <v>773.86846990687548</v>
      </c>
      <c r="U344" s="4839">
        <f t="shared" si="24"/>
        <v>1.7418008920113423E-3</v>
      </c>
    </row>
    <row r="345" spans="1:21">
      <c r="A345" s="270" t="s">
        <v>11424</v>
      </c>
      <c r="B345" s="3305">
        <v>7390.5</v>
      </c>
      <c r="C345" s="4834">
        <f t="shared" si="22"/>
        <v>2.6298916013413651E-4</v>
      </c>
      <c r="D345" s="3" t="str">
        <f t="shared" si="23"/>
        <v>2013</v>
      </c>
      <c r="J345" s="4836">
        <v>41408</v>
      </c>
      <c r="K345" s="4837">
        <v>46096.132892770373</v>
      </c>
      <c r="L345" s="4834">
        <f t="shared" si="25"/>
        <v>5.2775887475128416E-5</v>
      </c>
      <c r="S345" s="270" t="s">
        <v>11424</v>
      </c>
      <c r="T345" s="4838">
        <v>751.36294730883594</v>
      </c>
      <c r="U345" s="4839">
        <f t="shared" si="24"/>
        <v>1.9004623021194598E-3</v>
      </c>
    </row>
    <row r="346" spans="1:21">
      <c r="A346" s="270" t="s">
        <v>11425</v>
      </c>
      <c r="B346" s="3305">
        <v>7350.5</v>
      </c>
      <c r="C346" s="4834">
        <f t="shared" si="22"/>
        <v>2.6853857607114464E-4</v>
      </c>
      <c r="D346" s="3" t="str">
        <f t="shared" si="23"/>
        <v>2013</v>
      </c>
      <c r="J346" s="4836">
        <v>41409</v>
      </c>
      <c r="K346" s="4837">
        <v>45332.552661765454</v>
      </c>
      <c r="L346" s="4834">
        <f t="shared" si="25"/>
        <v>5.2950187900639526E-5</v>
      </c>
      <c r="S346" s="270" t="s">
        <v>11425</v>
      </c>
      <c r="T346" s="4838">
        <v>760.68666381373805</v>
      </c>
      <c r="U346" s="4839">
        <f t="shared" si="24"/>
        <v>1.8367630599789449E-3</v>
      </c>
    </row>
    <row r="347" spans="1:21">
      <c r="A347" s="270" t="s">
        <v>11426</v>
      </c>
      <c r="B347" s="3305">
        <v>7195.5</v>
      </c>
      <c r="C347" s="4834">
        <f t="shared" si="22"/>
        <v>2.8824824679365139E-4</v>
      </c>
      <c r="D347" s="3" t="str">
        <f t="shared" si="23"/>
        <v>2013</v>
      </c>
      <c r="J347" s="4836">
        <v>41410</v>
      </c>
      <c r="K347" s="4837">
        <v>44400.181011275243</v>
      </c>
      <c r="L347" s="4834">
        <f t="shared" si="25"/>
        <v>5.2428227513274794E-5</v>
      </c>
      <c r="S347" s="270" t="s">
        <v>11426</v>
      </c>
      <c r="T347" s="4838">
        <v>753.6134995686399</v>
      </c>
      <c r="U347" s="4839">
        <f t="shared" si="24"/>
        <v>1.885381416406168E-3</v>
      </c>
    </row>
    <row r="348" spans="1:21">
      <c r="A348" s="270" t="s">
        <v>11427</v>
      </c>
      <c r="B348" s="3305">
        <v>7095.5</v>
      </c>
      <c r="C348" s="4834">
        <f t="shared" si="22"/>
        <v>2.9916795990765329E-4</v>
      </c>
      <c r="D348" s="3" t="str">
        <f t="shared" si="23"/>
        <v>2013</v>
      </c>
      <c r="J348" s="4836">
        <v>41411</v>
      </c>
      <c r="K348" s="4837">
        <v>44006.334365809547</v>
      </c>
      <c r="L348" s="4834">
        <f t="shared" si="25"/>
        <v>5.1969564817680789E-5</v>
      </c>
      <c r="S348" s="270" t="s">
        <v>11427</v>
      </c>
      <c r="T348" s="4838">
        <v>735.28757402452197</v>
      </c>
      <c r="U348" s="4839">
        <f t="shared" si="24"/>
        <v>2.0020124023432061E-3</v>
      </c>
    </row>
    <row r="349" spans="1:21">
      <c r="A349" s="270" t="s">
        <v>11428</v>
      </c>
      <c r="B349" s="3305">
        <v>7095.5</v>
      </c>
      <c r="C349" s="4834">
        <f t="shared" si="22"/>
        <v>2.9916795990765329E-4</v>
      </c>
      <c r="D349" s="3" t="str">
        <f t="shared" si="23"/>
        <v>2013</v>
      </c>
      <c r="J349" s="4836">
        <v>41414</v>
      </c>
      <c r="K349" s="4837">
        <v>43556.223913848757</v>
      </c>
      <c r="L349" s="4834">
        <f t="shared" si="25"/>
        <v>5.1278369262312486E-5</v>
      </c>
      <c r="S349" s="270" t="s">
        <v>11428</v>
      </c>
      <c r="T349" s="4838">
        <v>715.67561861765898</v>
      </c>
      <c r="U349" s="4839">
        <f t="shared" si="24"/>
        <v>2.1088321697806207E-3</v>
      </c>
    </row>
    <row r="350" spans="1:21">
      <c r="A350" s="270" t="s">
        <v>11429</v>
      </c>
      <c r="B350" s="3305">
        <v>7329.5</v>
      </c>
      <c r="C350" s="4834">
        <f t="shared" si="22"/>
        <v>2.7138267064295726E-4</v>
      </c>
      <c r="D350" s="3" t="str">
        <f t="shared" si="23"/>
        <v>2013</v>
      </c>
      <c r="J350" s="4836">
        <v>41415</v>
      </c>
      <c r="K350" s="4837">
        <v>43749.128393260529</v>
      </c>
      <c r="L350" s="4834">
        <f t="shared" si="25"/>
        <v>5.159601443237346E-5</v>
      </c>
      <c r="S350" s="270" t="s">
        <v>11429</v>
      </c>
      <c r="T350" s="4838">
        <v>724.03481272550209</v>
      </c>
      <c r="U350" s="4839">
        <f t="shared" si="24"/>
        <v>2.065820367471943E-3</v>
      </c>
    </row>
    <row r="351" spans="1:21">
      <c r="A351" s="270" t="s">
        <v>11430</v>
      </c>
      <c r="B351" s="3305">
        <v>7276</v>
      </c>
      <c r="C351" s="4834">
        <f t="shared" si="22"/>
        <v>2.7839456250203009E-4</v>
      </c>
      <c r="D351" s="3" t="str">
        <f t="shared" si="23"/>
        <v>2013</v>
      </c>
      <c r="J351" s="4836">
        <v>41416</v>
      </c>
      <c r="K351" s="4837">
        <v>45284.326541912516</v>
      </c>
      <c r="L351" s="4834">
        <f t="shared" si="25"/>
        <v>5.2942949556059124E-5</v>
      </c>
      <c r="S351" s="270" t="s">
        <v>11430</v>
      </c>
      <c r="T351" s="4838">
        <v>696.38517067648206</v>
      </c>
      <c r="U351" s="4839">
        <f t="shared" si="24"/>
        <v>2.1921979162878732E-3</v>
      </c>
    </row>
    <row r="352" spans="1:21">
      <c r="A352" s="270" t="s">
        <v>11431</v>
      </c>
      <c r="B352" s="3305">
        <v>7384</v>
      </c>
      <c r="C352" s="4834">
        <f t="shared" si="22"/>
        <v>2.6390225484788828E-4</v>
      </c>
      <c r="D352" s="3" t="str">
        <f t="shared" si="23"/>
        <v>2013</v>
      </c>
      <c r="J352" s="4836">
        <v>41417</v>
      </c>
      <c r="K352" s="4837">
        <v>44384.105637990928</v>
      </c>
      <c r="L352" s="4834">
        <f t="shared" si="25"/>
        <v>5.241223198270047E-5</v>
      </c>
      <c r="S352" s="270" t="s">
        <v>11431</v>
      </c>
      <c r="T352" s="4838">
        <v>721.46275300001196</v>
      </c>
      <c r="U352" s="4839">
        <f t="shared" si="24"/>
        <v>2.0794701816516589E-3</v>
      </c>
    </row>
    <row r="353" spans="1:21">
      <c r="A353" s="270" t="s">
        <v>11432</v>
      </c>
      <c r="B353" s="3305">
        <v>7480</v>
      </c>
      <c r="C353" s="4834">
        <f t="shared" si="22"/>
        <v>2.5001501239244755E-4</v>
      </c>
      <c r="D353" s="3" t="str">
        <f t="shared" si="23"/>
        <v>2013</v>
      </c>
      <c r="J353" s="4836">
        <v>41418</v>
      </c>
      <c r="K353" s="4837">
        <v>44697.575417035056</v>
      </c>
      <c r="L353" s="4834">
        <f t="shared" si="25"/>
        <v>5.2681736189348672E-5</v>
      </c>
      <c r="S353" s="270" t="s">
        <v>11432</v>
      </c>
      <c r="T353" s="4838">
        <v>727.24988738236493</v>
      </c>
      <c r="U353" s="4839">
        <f t="shared" si="24"/>
        <v>2.0482563050417922E-3</v>
      </c>
    </row>
    <row r="354" spans="1:21">
      <c r="A354" s="270" t="s">
        <v>11433</v>
      </c>
      <c r="B354" s="3305">
        <v>7285.5</v>
      </c>
      <c r="C354" s="4834">
        <f t="shared" si="22"/>
        <v>2.7717503544707112E-4</v>
      </c>
      <c r="D354" s="3" t="str">
        <f t="shared" si="23"/>
        <v>2013</v>
      </c>
      <c r="J354" s="4836">
        <v>41422</v>
      </c>
      <c r="K354" s="4837">
        <v>44255.502651716422</v>
      </c>
      <c r="L354" s="4834">
        <f t="shared" si="25"/>
        <v>5.2275872534294494E-5</v>
      </c>
      <c r="S354" s="270" t="s">
        <v>11433</v>
      </c>
      <c r="T354" s="4838">
        <v>722.42727539707073</v>
      </c>
      <c r="U354" s="4839">
        <f t="shared" si="24"/>
        <v>2.0743939330497446E-3</v>
      </c>
    </row>
    <row r="355" spans="1:21">
      <c r="A355" s="270" t="s">
        <v>11434</v>
      </c>
      <c r="B355" s="3305">
        <v>7240</v>
      </c>
      <c r="C355" s="4834">
        <f t="shared" si="22"/>
        <v>2.8291008985261438E-4</v>
      </c>
      <c r="D355" s="3" t="str">
        <f t="shared" si="23"/>
        <v>2013</v>
      </c>
      <c r="J355" s="4836">
        <v>41423</v>
      </c>
      <c r="K355" s="4837">
        <v>44448.407131128188</v>
      </c>
      <c r="L355" s="4834">
        <f t="shared" si="25"/>
        <v>5.2474809601997543E-5</v>
      </c>
      <c r="S355" s="270" t="s">
        <v>11434</v>
      </c>
      <c r="T355" s="4838">
        <v>719.53370820589419</v>
      </c>
      <c r="U355" s="4839">
        <f t="shared" si="24"/>
        <v>2.0894678900324564E-3</v>
      </c>
    </row>
    <row r="356" spans="1:21">
      <c r="A356" s="270" t="s">
        <v>11435</v>
      </c>
      <c r="B356" s="3305">
        <v>7257</v>
      </c>
      <c r="C356" s="4834">
        <f t="shared" si="22"/>
        <v>2.8079897654970196E-4</v>
      </c>
      <c r="D356" s="3" t="str">
        <f t="shared" si="23"/>
        <v>2013</v>
      </c>
      <c r="J356" s="4836">
        <v>41424</v>
      </c>
      <c r="K356" s="4837">
        <v>45445.080274755652</v>
      </c>
      <c r="L356" s="4834">
        <f t="shared" si="25"/>
        <v>5.2958639720362942E-5</v>
      </c>
      <c r="S356" s="270" t="s">
        <v>11435</v>
      </c>
      <c r="T356" s="4838">
        <v>718.8906932745216</v>
      </c>
      <c r="U356" s="4839">
        <f t="shared" si="24"/>
        <v>2.0927541278038392E-3</v>
      </c>
    </row>
    <row r="357" spans="1:21">
      <c r="A357" s="270" t="s">
        <v>11436</v>
      </c>
      <c r="B357" s="3305">
        <v>7201.5</v>
      </c>
      <c r="C357" s="4834">
        <f t="shared" si="22"/>
        <v>2.8754483354324304E-4</v>
      </c>
      <c r="D357" s="3" t="str">
        <f t="shared" si="23"/>
        <v>2013</v>
      </c>
      <c r="J357" s="4836">
        <v>41425</v>
      </c>
      <c r="K357" s="4837">
        <v>44834.216089951718</v>
      </c>
      <c r="L357" s="4834">
        <f t="shared" si="25"/>
        <v>5.2771040750189146E-5</v>
      </c>
      <c r="S357" s="270" t="s">
        <v>11436</v>
      </c>
      <c r="T357" s="4838">
        <v>718.8906932745216</v>
      </c>
      <c r="U357" s="4839">
        <f t="shared" si="24"/>
        <v>2.0927541278038392E-3</v>
      </c>
    </row>
    <row r="358" spans="1:21">
      <c r="A358" s="270" t="s">
        <v>11437</v>
      </c>
      <c r="B358" s="3305">
        <v>7245.5</v>
      </c>
      <c r="C358" s="4834">
        <f t="shared" si="22"/>
        <v>2.8223131027496032E-4</v>
      </c>
      <c r="D358" s="3" t="str">
        <f t="shared" si="23"/>
        <v>2013</v>
      </c>
      <c r="J358" s="4836">
        <v>41428</v>
      </c>
      <c r="K358" s="4837">
        <v>45091.422062500744</v>
      </c>
      <c r="L358" s="4834">
        <f t="shared" si="25"/>
        <v>5.2892323824003908E-5</v>
      </c>
      <c r="S358" s="270" t="s">
        <v>11437</v>
      </c>
      <c r="T358" s="4838">
        <v>729.17893217648259</v>
      </c>
      <c r="U358" s="4839">
        <f t="shared" si="24"/>
        <v>2.0374566322769556E-3</v>
      </c>
    </row>
    <row r="359" spans="1:21">
      <c r="A359" s="270" t="s">
        <v>11438</v>
      </c>
      <c r="B359" s="3305">
        <v>7241</v>
      </c>
      <c r="C359" s="4834">
        <f t="shared" si="22"/>
        <v>2.8278697885665219E-4</v>
      </c>
      <c r="D359" s="3" t="str">
        <f t="shared" si="23"/>
        <v>2013</v>
      </c>
      <c r="J359" s="4836">
        <v>41429</v>
      </c>
      <c r="K359" s="4837">
        <v>44994.969822794854</v>
      </c>
      <c r="L359" s="4834">
        <f t="shared" si="25"/>
        <v>5.2854030250499126E-5</v>
      </c>
      <c r="S359" s="270" t="s">
        <v>11438</v>
      </c>
      <c r="T359" s="4838">
        <v>725.64235005393357</v>
      </c>
      <c r="U359" s="4839">
        <f t="shared" si="24"/>
        <v>2.0571071350756328E-3</v>
      </c>
    </row>
    <row r="360" spans="1:21">
      <c r="A360" s="270" t="s">
        <v>11439</v>
      </c>
      <c r="B360" s="3305">
        <v>7330.5</v>
      </c>
      <c r="C360" s="4834">
        <f t="shared" si="22"/>
        <v>2.7124836793316351E-4</v>
      </c>
      <c r="D360" s="3" t="str">
        <f t="shared" si="23"/>
        <v>2013</v>
      </c>
      <c r="J360" s="4836">
        <v>41430</v>
      </c>
      <c r="K360" s="4837">
        <v>45139.648182353689</v>
      </c>
      <c r="L360" s="4834">
        <f t="shared" si="25"/>
        <v>5.2908228265212073E-5</v>
      </c>
      <c r="S360" s="270" t="s">
        <v>11439</v>
      </c>
      <c r="T360" s="4838">
        <v>721.14124553432555</v>
      </c>
      <c r="U360" s="4839">
        <f t="shared" si="24"/>
        <v>2.0811508521681793E-3</v>
      </c>
    </row>
    <row r="361" spans="1:21">
      <c r="A361" s="270" t="s">
        <v>11440</v>
      </c>
      <c r="B361" s="3305">
        <v>7337.5</v>
      </c>
      <c r="C361" s="4834">
        <f t="shared" si="22"/>
        <v>2.7030505520504261E-4</v>
      </c>
      <c r="D361" s="3" t="str">
        <f t="shared" si="23"/>
        <v>2013</v>
      </c>
      <c r="J361" s="4836">
        <v>41431</v>
      </c>
      <c r="K361" s="4837">
        <v>45011.045196079176</v>
      </c>
      <c r="L361" s="4834">
        <f t="shared" si="25"/>
        <v>5.2861012388252012E-5</v>
      </c>
      <c r="S361" s="270" t="s">
        <v>11440</v>
      </c>
      <c r="T361" s="4838">
        <v>723.71330525981591</v>
      </c>
      <c r="U361" s="4839">
        <f t="shared" si="24"/>
        <v>2.0675463196756488E-3</v>
      </c>
    </row>
    <row r="362" spans="1:21">
      <c r="A362" s="270" t="s">
        <v>11441</v>
      </c>
      <c r="B362" s="3305">
        <v>7421.5</v>
      </c>
      <c r="C362" s="4834">
        <f t="shared" si="22"/>
        <v>2.5857731512121765E-4</v>
      </c>
      <c r="D362" s="3" t="str">
        <f t="shared" si="23"/>
        <v>2013</v>
      </c>
      <c r="J362" s="4836">
        <v>41432</v>
      </c>
      <c r="K362" s="4837">
        <v>44560.934744118385</v>
      </c>
      <c r="L362" s="4834">
        <f t="shared" si="25"/>
        <v>5.2575281765359916E-5</v>
      </c>
      <c r="S362" s="270" t="s">
        <v>11441</v>
      </c>
      <c r="T362" s="4838">
        <v>719.212200740208</v>
      </c>
      <c r="U362" s="4839">
        <f t="shared" si="24"/>
        <v>2.0911139231406324E-3</v>
      </c>
    </row>
    <row r="363" spans="1:21">
      <c r="A363" s="270" t="s">
        <v>11442</v>
      </c>
      <c r="B363" s="3305">
        <v>7311</v>
      </c>
      <c r="C363" s="4834">
        <f t="shared" si="22"/>
        <v>2.7384632107303275E-4</v>
      </c>
      <c r="D363" s="3" t="str">
        <f t="shared" si="23"/>
        <v>2013</v>
      </c>
      <c r="J363" s="4836">
        <v>41435</v>
      </c>
      <c r="K363" s="4837">
        <v>44472.520191054653</v>
      </c>
      <c r="L363" s="4834">
        <f t="shared" si="25"/>
        <v>5.2497309311730724E-5</v>
      </c>
      <c r="S363" s="270" t="s">
        <v>11442</v>
      </c>
      <c r="T363" s="4838">
        <v>727.24988738236493</v>
      </c>
      <c r="U363" s="4839">
        <f t="shared" si="24"/>
        <v>2.0482563050417922E-3</v>
      </c>
    </row>
    <row r="364" spans="1:21">
      <c r="A364" s="270" t="s">
        <v>11443</v>
      </c>
      <c r="B364" s="3305">
        <v>7282</v>
      </c>
      <c r="C364" s="4834">
        <f t="shared" si="22"/>
        <v>2.776256582458067E-4</v>
      </c>
      <c r="D364" s="3" t="str">
        <f t="shared" si="23"/>
        <v>2013</v>
      </c>
      <c r="J364" s="4836">
        <v>41436</v>
      </c>
      <c r="K364" s="4837">
        <v>44183.163471936998</v>
      </c>
      <c r="L364" s="4834">
        <f t="shared" si="25"/>
        <v>5.2192641176907227E-5</v>
      </c>
      <c r="S364" s="270" t="s">
        <v>11443</v>
      </c>
      <c r="T364" s="4838">
        <v>726.60687245099246</v>
      </c>
      <c r="U364" s="4839">
        <f t="shared" si="24"/>
        <v>2.0518130152429241E-3</v>
      </c>
    </row>
    <row r="365" spans="1:21">
      <c r="A365" s="270" t="s">
        <v>11444</v>
      </c>
      <c r="B365" s="3305">
        <v>7120</v>
      </c>
      <c r="C365" s="4834">
        <f t="shared" si="22"/>
        <v>2.9663806532425442E-4</v>
      </c>
      <c r="D365" s="3" t="str">
        <f t="shared" si="23"/>
        <v>2013</v>
      </c>
      <c r="J365" s="4836">
        <v>41437</v>
      </c>
      <c r="K365" s="4837">
        <v>44456.444817770338</v>
      </c>
      <c r="L365" s="4834">
        <f t="shared" si="25"/>
        <v>5.2482368182950528E-5</v>
      </c>
      <c r="S365" s="270" t="s">
        <v>11444</v>
      </c>
      <c r="T365" s="4838">
        <v>701.20778266177615</v>
      </c>
      <c r="U365" s="4839">
        <f t="shared" si="24"/>
        <v>2.1735486356988776E-3</v>
      </c>
    </row>
    <row r="366" spans="1:21">
      <c r="A366" s="270" t="s">
        <v>11445</v>
      </c>
      <c r="B366" s="3305">
        <v>7036</v>
      </c>
      <c r="C366" s="4834">
        <f t="shared" si="22"/>
        <v>3.0489308424210806E-4</v>
      </c>
      <c r="D366" s="3" t="str">
        <f t="shared" si="23"/>
        <v>2013</v>
      </c>
      <c r="J366" s="4836">
        <v>41438</v>
      </c>
      <c r="K366" s="4837">
        <v>44528.783997549755</v>
      </c>
      <c r="L366" s="4834">
        <f t="shared" si="25"/>
        <v>5.2547752282502348E-5</v>
      </c>
      <c r="S366" s="270" t="s">
        <v>11445</v>
      </c>
      <c r="T366" s="4838">
        <v>693.8131109509917</v>
      </c>
      <c r="U366" s="4839">
        <f t="shared" si="24"/>
        <v>2.2015198502716984E-3</v>
      </c>
    </row>
    <row r="367" spans="1:21">
      <c r="A367" s="270" t="s">
        <v>11446</v>
      </c>
      <c r="B367" s="3305">
        <v>7086</v>
      </c>
      <c r="C367" s="4834">
        <f t="shared" si="22"/>
        <v>3.0012237372707755E-4</v>
      </c>
      <c r="D367" s="3" t="str">
        <f t="shared" si="23"/>
        <v>2013</v>
      </c>
      <c r="J367" s="4836">
        <v>41439</v>
      </c>
      <c r="K367" s="4837">
        <v>44729.726163603678</v>
      </c>
      <c r="L367" s="4834">
        <f t="shared" si="25"/>
        <v>5.2704295451662941E-5</v>
      </c>
      <c r="S367" s="270" t="s">
        <v>11446</v>
      </c>
      <c r="T367" s="4838">
        <v>700.24326026471749</v>
      </c>
      <c r="U367" s="4839">
        <f t="shared" si="24"/>
        <v>2.1773991920973706E-3</v>
      </c>
    </row>
    <row r="368" spans="1:21">
      <c r="A368" s="270" t="s">
        <v>11447</v>
      </c>
      <c r="B368" s="3305">
        <v>7057.5</v>
      </c>
      <c r="C368" s="4834">
        <f t="shared" si="22"/>
        <v>3.0289440272678639E-4</v>
      </c>
      <c r="D368" s="3" t="str">
        <f t="shared" si="23"/>
        <v>2013</v>
      </c>
      <c r="J368" s="4836">
        <v>41442</v>
      </c>
      <c r="K368" s="4837">
        <v>44520.746310907598</v>
      </c>
      <c r="L368" s="4834">
        <f t="shared" si="25"/>
        <v>5.2540722624620164E-5</v>
      </c>
      <c r="S368" s="270" t="s">
        <v>11447</v>
      </c>
      <c r="T368" s="4838">
        <v>701.85079759314874</v>
      </c>
      <c r="U368" s="4839">
        <f t="shared" si="24"/>
        <v>2.1709484247077089E-3</v>
      </c>
    </row>
    <row r="369" spans="1:21">
      <c r="A369" s="270" t="s">
        <v>11448</v>
      </c>
      <c r="B369" s="3305">
        <v>7045</v>
      </c>
      <c r="C369" s="4834">
        <f t="shared" si="22"/>
        <v>3.0406624545543519E-4</v>
      </c>
      <c r="D369" s="3" t="str">
        <f t="shared" si="23"/>
        <v>2013</v>
      </c>
      <c r="J369" s="4836">
        <v>41443</v>
      </c>
      <c r="K369" s="4837">
        <v>43942.032872672295</v>
      </c>
      <c r="L369" s="4834">
        <f t="shared" si="25"/>
        <v>5.1881594411586752E-5</v>
      </c>
      <c r="S369" s="270" t="s">
        <v>11448</v>
      </c>
      <c r="T369" s="4838">
        <v>697.34969307354095</v>
      </c>
      <c r="U369" s="4839">
        <f t="shared" si="24"/>
        <v>2.188589424432967E-3</v>
      </c>
    </row>
    <row r="370" spans="1:21">
      <c r="A370" s="270" t="s">
        <v>11449</v>
      </c>
      <c r="B370" s="3305">
        <v>7020.5</v>
      </c>
      <c r="C370" s="4834">
        <f t="shared" si="22"/>
        <v>3.0628353040832552E-4</v>
      </c>
      <c r="D370" s="3" t="str">
        <f t="shared" si="23"/>
        <v>2013</v>
      </c>
      <c r="J370" s="4836">
        <v>41444</v>
      </c>
      <c r="K370" s="4837">
        <v>44134.93735208406</v>
      </c>
      <c r="L370" s="4834">
        <f t="shared" si="25"/>
        <v>5.2134556266294196E-5</v>
      </c>
      <c r="S370" s="270" t="s">
        <v>11449</v>
      </c>
      <c r="T370" s="4838">
        <v>703.13682745589404</v>
      </c>
      <c r="U370" s="4839">
        <f t="shared" si="24"/>
        <v>2.1656688484048281E-3</v>
      </c>
    </row>
    <row r="371" spans="1:21">
      <c r="A371" s="270" t="s">
        <v>11450</v>
      </c>
      <c r="B371" s="3305">
        <v>6970.5</v>
      </c>
      <c r="C371" s="4834">
        <f t="shared" si="22"/>
        <v>3.1047260641872676E-4</v>
      </c>
      <c r="D371" s="3" t="str">
        <f t="shared" si="23"/>
        <v>2013</v>
      </c>
      <c r="J371" s="4836">
        <v>41445</v>
      </c>
      <c r="K371" s="4837">
        <v>41554.839939951664</v>
      </c>
      <c r="L371" s="4834">
        <f t="shared" si="25"/>
        <v>4.6270485110083311E-5</v>
      </c>
      <c r="S371" s="270" t="s">
        <v>11450</v>
      </c>
      <c r="T371" s="4838">
        <v>700.88627519609008</v>
      </c>
      <c r="U371" s="4839">
        <f t="shared" si="24"/>
        <v>2.1748388019002217E-3</v>
      </c>
    </row>
    <row r="372" spans="1:21">
      <c r="A372" s="270" t="s">
        <v>11451</v>
      </c>
      <c r="B372" s="3305">
        <v>6972.5</v>
      </c>
      <c r="C372" s="4834">
        <f t="shared" si="22"/>
        <v>3.1031389250630714E-4</v>
      </c>
      <c r="D372" s="3" t="str">
        <f t="shared" si="23"/>
        <v>2013</v>
      </c>
      <c r="J372" s="4836">
        <v>41446</v>
      </c>
      <c r="K372" s="4837">
        <v>41643.254493015389</v>
      </c>
      <c r="L372" s="4834">
        <f t="shared" si="25"/>
        <v>4.6550341810132322E-5</v>
      </c>
      <c r="S372" s="270" t="s">
        <v>11451</v>
      </c>
      <c r="T372" s="4838">
        <v>695.09914081373699</v>
      </c>
      <c r="U372" s="4839">
        <f t="shared" si="24"/>
        <v>2.196913776130563E-3</v>
      </c>
    </row>
    <row r="373" spans="1:21">
      <c r="A373" s="270" t="s">
        <v>11452</v>
      </c>
      <c r="B373" s="3305">
        <v>6808</v>
      </c>
      <c r="C373" s="4834">
        <f t="shared" si="22"/>
        <v>3.2076805497964934E-4</v>
      </c>
      <c r="D373" s="3" t="str">
        <f t="shared" si="23"/>
        <v>2013</v>
      </c>
      <c r="J373" s="4836">
        <v>41449</v>
      </c>
      <c r="K373" s="4837">
        <v>41369.973147182056</v>
      </c>
      <c r="L373" s="4834">
        <f t="shared" si="25"/>
        <v>4.5670420795288623E-5</v>
      </c>
      <c r="S373" s="270" t="s">
        <v>11452</v>
      </c>
      <c r="T373" s="4838">
        <v>650.73111054903029</v>
      </c>
      <c r="U373" s="4839">
        <f t="shared" si="24"/>
        <v>2.2883506739135558E-3</v>
      </c>
    </row>
    <row r="374" spans="1:21">
      <c r="A374" s="270" t="s">
        <v>11453</v>
      </c>
      <c r="B374" s="3305">
        <v>6777</v>
      </c>
      <c r="C374" s="4834">
        <f t="shared" si="22"/>
        <v>3.221248943491141E-4</v>
      </c>
      <c r="D374" s="3" t="str">
        <f t="shared" si="23"/>
        <v>2013</v>
      </c>
      <c r="J374" s="4836">
        <v>41450</v>
      </c>
      <c r="K374" s="4837">
        <v>41120.804861275188</v>
      </c>
      <c r="L374" s="4834">
        <f t="shared" si="25"/>
        <v>4.4831192998482652E-5</v>
      </c>
      <c r="S374" s="270" t="s">
        <v>11453</v>
      </c>
      <c r="T374" s="4838">
        <v>638.83533431863805</v>
      </c>
      <c r="U374" s="4839">
        <f t="shared" si="24"/>
        <v>2.2881459950200417E-3</v>
      </c>
    </row>
    <row r="375" spans="1:21">
      <c r="A375" s="270" t="s">
        <v>11454</v>
      </c>
      <c r="B375" s="3305">
        <v>6637.5</v>
      </c>
      <c r="C375" s="4834">
        <f t="shared" si="22"/>
        <v>3.2570580688435255E-4</v>
      </c>
      <c r="D375" s="3" t="str">
        <f t="shared" si="23"/>
        <v>2013</v>
      </c>
      <c r="J375" s="4836">
        <v>41451</v>
      </c>
      <c r="K375" s="4837">
        <v>39746.360445466344</v>
      </c>
      <c r="L375" s="4834">
        <f t="shared" si="25"/>
        <v>3.9683515952625682E-5</v>
      </c>
      <c r="S375" s="270" t="s">
        <v>11454</v>
      </c>
      <c r="T375" s="4838">
        <v>631.76217007353978</v>
      </c>
      <c r="U375" s="4839">
        <f t="shared" si="24"/>
        <v>2.2829741942118537E-3</v>
      </c>
    </row>
    <row r="376" spans="1:21">
      <c r="A376" s="270" t="s">
        <v>11455</v>
      </c>
      <c r="B376" s="3305">
        <v>6726.5</v>
      </c>
      <c r="C376" s="4834">
        <f t="shared" si="22"/>
        <v>3.2390222618743731E-4</v>
      </c>
      <c r="D376" s="3" t="str">
        <f t="shared" si="23"/>
        <v>2013</v>
      </c>
      <c r="J376" s="4836">
        <v>41452</v>
      </c>
      <c r="K376" s="4837">
        <v>39633.832832476146</v>
      </c>
      <c r="L376" s="4834">
        <f t="shared" si="25"/>
        <v>3.9231337954471588E-5</v>
      </c>
      <c r="S376" s="270" t="s">
        <v>11455</v>
      </c>
      <c r="T376" s="4838">
        <v>635.62025966177521</v>
      </c>
      <c r="U376" s="4839">
        <f t="shared" si="24"/>
        <v>2.2862607158430511E-3</v>
      </c>
    </row>
    <row r="377" spans="1:21">
      <c r="A377" s="270" t="s">
        <v>11456</v>
      </c>
      <c r="B377" s="3305">
        <v>6685.5</v>
      </c>
      <c r="C377" s="4834">
        <f t="shared" si="22"/>
        <v>3.2494524219147265E-4</v>
      </c>
      <c r="D377" s="3" t="str">
        <f t="shared" si="23"/>
        <v>2013</v>
      </c>
      <c r="J377" s="4836">
        <v>41453</v>
      </c>
      <c r="K377" s="4837">
        <v>38323.689909804554</v>
      </c>
      <c r="L377" s="4834">
        <f t="shared" si="25"/>
        <v>3.3771779638599948E-5</v>
      </c>
      <c r="S377" s="270" t="s">
        <v>11456</v>
      </c>
      <c r="T377" s="4838">
        <v>600.25443843628443</v>
      </c>
      <c r="U377" s="4839">
        <f t="shared" si="24"/>
        <v>2.2152821608121681E-3</v>
      </c>
    </row>
    <row r="378" spans="1:21">
      <c r="A378" s="270" t="s">
        <v>11457</v>
      </c>
      <c r="B378" s="3305">
        <v>6705.5</v>
      </c>
      <c r="C378" s="4834">
        <f t="shared" si="22"/>
        <v>3.2448152378802283E-4</v>
      </c>
      <c r="D378" s="3" t="str">
        <f t="shared" si="23"/>
        <v>2013</v>
      </c>
      <c r="J378" s="4836">
        <v>41456</v>
      </c>
      <c r="K378" s="4837">
        <v>39955.340298162424</v>
      </c>
      <c r="L378" s="4834">
        <f t="shared" si="25"/>
        <v>4.051315678070035E-5</v>
      </c>
      <c r="S378" s="270" t="s">
        <v>11457</v>
      </c>
      <c r="T378" s="4838">
        <v>598.32539364216677</v>
      </c>
      <c r="U378" s="4839">
        <f t="shared" si="24"/>
        <v>2.2088559488961262E-3</v>
      </c>
    </row>
    <row r="379" spans="1:21">
      <c r="A379" s="270" t="s">
        <v>11458</v>
      </c>
      <c r="B379" s="3305">
        <v>6750.5</v>
      </c>
      <c r="C379" s="4834">
        <f t="shared" si="22"/>
        <v>3.2312492672304617E-4</v>
      </c>
      <c r="D379" s="3" t="str">
        <f t="shared" si="23"/>
        <v>2013</v>
      </c>
      <c r="J379" s="4836">
        <v>41457</v>
      </c>
      <c r="K379" s="4837">
        <v>40268.810077206545</v>
      </c>
      <c r="L379" s="4834">
        <f t="shared" si="25"/>
        <v>4.1729992512719248E-5</v>
      </c>
      <c r="S379" s="270" t="s">
        <v>11458</v>
      </c>
      <c r="T379" s="4838">
        <v>606.3630802843237</v>
      </c>
      <c r="U379" s="4839">
        <f t="shared" si="24"/>
        <v>2.2339483093503113E-3</v>
      </c>
    </row>
    <row r="380" spans="1:21">
      <c r="A380" s="270" t="s">
        <v>11459</v>
      </c>
      <c r="B380" s="3305">
        <v>6917</v>
      </c>
      <c r="C380" s="4834">
        <f t="shared" si="22"/>
        <v>3.144366546997435E-4</v>
      </c>
      <c r="D380" s="3" t="str">
        <f t="shared" si="23"/>
        <v>2013</v>
      </c>
      <c r="J380" s="4836">
        <v>41458</v>
      </c>
      <c r="K380" s="4837">
        <v>40188.433210784977</v>
      </c>
      <c r="L380" s="4834">
        <f t="shared" si="25"/>
        <v>4.1421379399589974E-5</v>
      </c>
      <c r="S380" s="270" t="s">
        <v>11459</v>
      </c>
      <c r="T380" s="4838">
        <v>625.01051329412803</v>
      </c>
      <c r="U380" s="4839">
        <f t="shared" si="24"/>
        <v>2.2745492344206607E-3</v>
      </c>
    </row>
    <row r="381" spans="1:21">
      <c r="A381" s="270" t="s">
        <v>11460</v>
      </c>
      <c r="B381" s="3305">
        <v>6980</v>
      </c>
      <c r="C381" s="4834">
        <f t="shared" si="22"/>
        <v>3.0971207139565097E-4</v>
      </c>
      <c r="D381" s="3" t="str">
        <f t="shared" si="23"/>
        <v>2013</v>
      </c>
      <c r="J381" s="4836">
        <v>41459</v>
      </c>
      <c r="K381" s="4837">
        <v>40244.697017280072</v>
      </c>
      <c r="L381" s="4834">
        <f t="shared" si="25"/>
        <v>4.1637665652998008E-5</v>
      </c>
      <c r="S381" s="270" t="s">
        <v>11460</v>
      </c>
      <c r="T381" s="4838">
        <v>630.79764767648101</v>
      </c>
      <c r="U381" s="4839">
        <f t="shared" si="24"/>
        <v>2.2819784843953438E-3</v>
      </c>
    </row>
    <row r="382" spans="1:21">
      <c r="A382" s="270" t="s">
        <v>11461</v>
      </c>
      <c r="B382" s="3305">
        <v>6922</v>
      </c>
      <c r="C382" s="4834">
        <f t="shared" si="22"/>
        <v>3.14089472754089E-4</v>
      </c>
      <c r="D382" s="3" t="str">
        <f t="shared" si="23"/>
        <v>2013</v>
      </c>
      <c r="J382" s="4836">
        <v>41460</v>
      </c>
      <c r="K382" s="4837">
        <v>38990.817901103583</v>
      </c>
      <c r="L382" s="4834">
        <f t="shared" si="25"/>
        <v>3.6587600432977115E-5</v>
      </c>
      <c r="S382" s="270" t="s">
        <v>11461</v>
      </c>
      <c r="T382" s="4838">
        <v>628.54709541667705</v>
      </c>
      <c r="U382" s="4839">
        <f t="shared" si="24"/>
        <v>2.2793852143662653E-3</v>
      </c>
    </row>
    <row r="383" spans="1:21">
      <c r="A383" s="270" t="s">
        <v>11462</v>
      </c>
      <c r="B383" s="3305">
        <v>6920.5</v>
      </c>
      <c r="C383" s="4834">
        <f t="shared" si="22"/>
        <v>3.1419413768904366E-4</v>
      </c>
      <c r="D383" s="3" t="str">
        <f t="shared" si="23"/>
        <v>2013</v>
      </c>
      <c r="J383" s="4836">
        <v>41463</v>
      </c>
      <c r="K383" s="4837">
        <v>39714.209698897714</v>
      </c>
      <c r="L383" s="4834">
        <f t="shared" si="25"/>
        <v>3.9554693658208761E-5</v>
      </c>
      <c r="S383" s="270" t="s">
        <v>11462</v>
      </c>
      <c r="T383" s="4838">
        <v>629.19011034804964</v>
      </c>
      <c r="U383" s="4839">
        <f t="shared" si="24"/>
        <v>2.2801646635150614E-3</v>
      </c>
    </row>
    <row r="384" spans="1:21">
      <c r="A384" s="270" t="s">
        <v>11463</v>
      </c>
      <c r="B384" s="3305">
        <v>6821</v>
      </c>
      <c r="C384" s="4834">
        <f t="shared" si="22"/>
        <v>3.2013962752962293E-4</v>
      </c>
      <c r="D384" s="3" t="str">
        <f t="shared" si="23"/>
        <v>2013</v>
      </c>
      <c r="J384" s="4836">
        <v>41464</v>
      </c>
      <c r="K384" s="4837">
        <v>40365.262316912427</v>
      </c>
      <c r="L384" s="4834">
        <f t="shared" si="25"/>
        <v>4.2097038174908703E-5</v>
      </c>
      <c r="S384" s="270" t="s">
        <v>11463</v>
      </c>
      <c r="T384" s="4838">
        <v>621.1524237058926</v>
      </c>
      <c r="U384" s="4839">
        <f t="shared" si="24"/>
        <v>2.2682193598696199E-3</v>
      </c>
    </row>
    <row r="385" spans="1:21">
      <c r="A385" s="270" t="s">
        <v>11464</v>
      </c>
      <c r="B385" s="3305">
        <v>6765</v>
      </c>
      <c r="C385" s="4834">
        <f t="shared" si="22"/>
        <v>3.2259609182210913E-4</v>
      </c>
      <c r="D385" s="3" t="str">
        <f t="shared" si="23"/>
        <v>2013</v>
      </c>
      <c r="J385" s="4836">
        <v>41465</v>
      </c>
      <c r="K385" s="4837">
        <v>40381.337690196742</v>
      </c>
      <c r="L385" s="4834">
        <f t="shared" si="25"/>
        <v>4.2157853624207456E-5</v>
      </c>
      <c r="S385" s="270" t="s">
        <v>11464</v>
      </c>
      <c r="T385" s="4838">
        <v>616.0083042549121</v>
      </c>
      <c r="U385" s="4839">
        <f t="shared" si="24"/>
        <v>2.2580841443348753E-3</v>
      </c>
    </row>
    <row r="386" spans="1:21">
      <c r="A386" s="270" t="s">
        <v>11465</v>
      </c>
      <c r="B386" s="3305">
        <v>6719</v>
      </c>
      <c r="C386" s="4834">
        <f t="shared" si="22"/>
        <v>3.2411995378226637E-4</v>
      </c>
      <c r="D386" s="3" t="str">
        <f t="shared" si="23"/>
        <v>2013</v>
      </c>
      <c r="J386" s="4836">
        <v>41466</v>
      </c>
      <c r="K386" s="4837">
        <v>41313.709340686954</v>
      </c>
      <c r="L386" s="4834">
        <f t="shared" si="25"/>
        <v>4.5483904405618563E-5</v>
      </c>
      <c r="S386" s="270" t="s">
        <v>11465</v>
      </c>
      <c r="T386" s="4838">
        <v>614.07925946079445</v>
      </c>
      <c r="U386" s="4839">
        <f t="shared" si="24"/>
        <v>2.2537886233178557E-3</v>
      </c>
    </row>
    <row r="387" spans="1:21">
      <c r="A387" s="270" t="s">
        <v>11466</v>
      </c>
      <c r="B387" s="3305">
        <v>6780</v>
      </c>
      <c r="C387" s="4834">
        <f t="shared" si="22"/>
        <v>3.2200236562085672E-4</v>
      </c>
      <c r="D387" s="3" t="str">
        <f t="shared" si="23"/>
        <v>2013</v>
      </c>
      <c r="J387" s="4836">
        <v>41467</v>
      </c>
      <c r="K387" s="4837">
        <v>41144.917921201661</v>
      </c>
      <c r="L387" s="4834">
        <f t="shared" si="25"/>
        <v>4.4913877565965847E-5</v>
      </c>
      <c r="S387" s="270" t="s">
        <v>11466</v>
      </c>
      <c r="T387" s="4838">
        <v>622.75996103432408</v>
      </c>
      <c r="U387" s="4839">
        <f t="shared" si="24"/>
        <v>2.2709899695042596E-3</v>
      </c>
    </row>
    <row r="388" spans="1:21">
      <c r="A388" s="270" t="s">
        <v>11467</v>
      </c>
      <c r="B388" s="3305">
        <v>6995.5</v>
      </c>
      <c r="C388" s="4834">
        <f t="shared" ref="C388:C451" si="26">_xlfn.NORM.DIST(B388,$F$4,$F$3,FALSE)</f>
        <v>3.0843529715841102E-4</v>
      </c>
      <c r="D388" s="3" t="str">
        <f t="shared" ref="D388:D451" si="27">LEFT(A388,4)</f>
        <v>2013</v>
      </c>
      <c r="J388" s="4836">
        <v>41470</v>
      </c>
      <c r="K388" s="4837">
        <v>41305.671654044803</v>
      </c>
      <c r="L388" s="4834">
        <f t="shared" si="25"/>
        <v>4.5457114455506984E-5</v>
      </c>
      <c r="S388" s="270" t="s">
        <v>11467</v>
      </c>
      <c r="T388" s="4838">
        <v>638.19231938726546</v>
      </c>
      <c r="U388" s="4839">
        <f t="shared" ref="U388:U451" si="28">_xlfn.NORM.DIST(T388,$X$4,$X$3,FALSE)</f>
        <v>2.2878311284991511E-3</v>
      </c>
    </row>
    <row r="389" spans="1:21">
      <c r="A389" s="270" t="s">
        <v>11468</v>
      </c>
      <c r="B389" s="3305">
        <v>6923</v>
      </c>
      <c r="C389" s="4834">
        <f t="shared" si="26"/>
        <v>3.1401945344658889E-4</v>
      </c>
      <c r="D389" s="3" t="str">
        <f t="shared" si="27"/>
        <v>2013</v>
      </c>
      <c r="J389" s="4836">
        <v>41471</v>
      </c>
      <c r="K389" s="4837">
        <v>41522.689193383034</v>
      </c>
      <c r="L389" s="4834">
        <f t="shared" ref="L389:L452" si="29">_xlfn.NORM.DIST(K389,$O$4,$O$3,FALSE)</f>
        <v>4.6167559879972611E-5</v>
      </c>
      <c r="S389" s="270" t="s">
        <v>11468</v>
      </c>
      <c r="T389" s="4838">
        <v>632.08367753922607</v>
      </c>
      <c r="U389" s="4839">
        <f t="shared" si="28"/>
        <v>2.2832906462640001E-3</v>
      </c>
    </row>
    <row r="390" spans="1:21">
      <c r="A390" s="270" t="s">
        <v>11469</v>
      </c>
      <c r="B390" s="3305">
        <v>6891.5</v>
      </c>
      <c r="C390" s="4834">
        <f t="shared" si="26"/>
        <v>3.1613117687313044E-4</v>
      </c>
      <c r="D390" s="3" t="str">
        <f t="shared" si="27"/>
        <v>2013</v>
      </c>
      <c r="J390" s="4836">
        <v>41472</v>
      </c>
      <c r="K390" s="4837">
        <v>41707.555986152649</v>
      </c>
      <c r="L390" s="4834">
        <f t="shared" si="29"/>
        <v>4.6750891302181635E-5</v>
      </c>
      <c r="S390" s="270" t="s">
        <v>11469</v>
      </c>
      <c r="T390" s="4838">
        <v>637.22779699020657</v>
      </c>
      <c r="U390" s="4839">
        <f t="shared" si="28"/>
        <v>2.2873005029235317E-3</v>
      </c>
    </row>
    <row r="391" spans="1:21">
      <c r="A391" s="270" t="s">
        <v>11470</v>
      </c>
      <c r="B391" s="3305">
        <v>6936.5</v>
      </c>
      <c r="C391" s="4834">
        <f t="shared" si="26"/>
        <v>3.1305526256884564E-4</v>
      </c>
      <c r="D391" s="3" t="str">
        <f t="shared" si="27"/>
        <v>2013</v>
      </c>
      <c r="J391" s="4836">
        <v>41473</v>
      </c>
      <c r="K391" s="4837">
        <v>41257.445534191858</v>
      </c>
      <c r="L391" s="4834">
        <f t="shared" si="29"/>
        <v>4.5295622862573604E-5</v>
      </c>
      <c r="S391" s="270" t="s">
        <v>11470</v>
      </c>
      <c r="T391" s="4838">
        <v>641.40739404412818</v>
      </c>
      <c r="U391" s="4839">
        <f t="shared" si="28"/>
        <v>2.289094128810162E-3</v>
      </c>
    </row>
    <row r="392" spans="1:21">
      <c r="A392" s="270" t="s">
        <v>11471</v>
      </c>
      <c r="B392" s="3305">
        <v>6924</v>
      </c>
      <c r="C392" s="4834">
        <f t="shared" si="26"/>
        <v>3.1394924015122871E-4</v>
      </c>
      <c r="D392" s="3" t="str">
        <f t="shared" si="27"/>
        <v>2013</v>
      </c>
      <c r="J392" s="4836">
        <v>41474</v>
      </c>
      <c r="K392" s="4837">
        <v>41659.329866299704</v>
      </c>
      <c r="L392" s="4834">
        <f t="shared" si="29"/>
        <v>4.6600716703854882E-5</v>
      </c>
      <c r="S392" s="270" t="s">
        <v>11471</v>
      </c>
      <c r="T392" s="4838">
        <v>637.54930445589287</v>
      </c>
      <c r="U392" s="4839">
        <f t="shared" si="28"/>
        <v>2.2874851525598676E-3</v>
      </c>
    </row>
    <row r="393" spans="1:21">
      <c r="A393" s="270" t="s">
        <v>11472</v>
      </c>
      <c r="B393" s="3305">
        <v>6855.5</v>
      </c>
      <c r="C393" s="4834">
        <f t="shared" si="26"/>
        <v>3.1830367229673893E-4</v>
      </c>
      <c r="D393" s="3" t="str">
        <f t="shared" si="27"/>
        <v>2013</v>
      </c>
      <c r="J393" s="4836">
        <v>41477</v>
      </c>
      <c r="K393" s="4837">
        <v>42664.040696569333</v>
      </c>
      <c r="L393" s="4834">
        <f t="shared" si="29"/>
        <v>4.94112308467596E-5</v>
      </c>
      <c r="S393" s="270" t="s">
        <v>11472</v>
      </c>
      <c r="T393" s="4838">
        <v>626.61805062255928</v>
      </c>
      <c r="U393" s="4839">
        <f t="shared" si="28"/>
        <v>2.2768624104313878E-3</v>
      </c>
    </row>
    <row r="394" spans="1:21">
      <c r="A394" s="270" t="s">
        <v>11473</v>
      </c>
      <c r="B394" s="3305">
        <v>6920</v>
      </c>
      <c r="C394" s="4834">
        <f t="shared" si="26"/>
        <v>3.1422892885883929E-4</v>
      </c>
      <c r="D394" s="3" t="str">
        <f t="shared" si="27"/>
        <v>2013</v>
      </c>
      <c r="J394" s="4836">
        <v>41478</v>
      </c>
      <c r="K394" s="4837">
        <v>42873.020549265413</v>
      </c>
      <c r="L394" s="4834">
        <f t="shared" si="29"/>
        <v>4.9905129514189288E-5</v>
      </c>
      <c r="S394" s="270" t="s">
        <v>11473</v>
      </c>
      <c r="T394" s="4838">
        <v>624.36749836275544</v>
      </c>
      <c r="U394" s="4839">
        <f t="shared" si="28"/>
        <v>2.2735704362138072E-3</v>
      </c>
    </row>
    <row r="395" spans="1:21">
      <c r="A395" s="270" t="s">
        <v>11474</v>
      </c>
      <c r="B395" s="3305">
        <v>6980</v>
      </c>
      <c r="C395" s="4834">
        <f t="shared" si="26"/>
        <v>3.0971207139565097E-4</v>
      </c>
      <c r="D395" s="3" t="str">
        <f t="shared" si="27"/>
        <v>2013</v>
      </c>
      <c r="J395" s="4836">
        <v>41479</v>
      </c>
      <c r="K395" s="4837">
        <v>42921.246669118351</v>
      </c>
      <c r="L395" s="4834">
        <f t="shared" si="29"/>
        <v>5.0014338928401531E-5</v>
      </c>
      <c r="S395" s="270" t="s">
        <v>11474</v>
      </c>
      <c r="T395" s="4838">
        <v>641.40739404412818</v>
      </c>
      <c r="U395" s="4839">
        <f t="shared" si="28"/>
        <v>2.289094128810162E-3</v>
      </c>
    </row>
    <row r="396" spans="1:21">
      <c r="A396" s="270" t="s">
        <v>11475</v>
      </c>
      <c r="B396" s="3305">
        <v>6961</v>
      </c>
      <c r="C396" s="4834">
        <f t="shared" si="26"/>
        <v>3.1121625699629714E-4</v>
      </c>
      <c r="D396" s="3" t="str">
        <f t="shared" si="27"/>
        <v>2013</v>
      </c>
      <c r="J396" s="4836">
        <v>41480</v>
      </c>
      <c r="K396" s="4837">
        <v>42631.889950000703</v>
      </c>
      <c r="L396" s="4834">
        <f t="shared" si="29"/>
        <v>4.9332311593189166E-5</v>
      </c>
      <c r="S396" s="270" t="s">
        <v>11475</v>
      </c>
      <c r="T396" s="4838">
        <v>648.80206575491263</v>
      </c>
      <c r="U396" s="4839">
        <f t="shared" si="28"/>
        <v>2.2890421561872752E-3</v>
      </c>
    </row>
    <row r="397" spans="1:21">
      <c r="A397" s="270" t="s">
        <v>11476</v>
      </c>
      <c r="B397" s="3305">
        <v>7076.5</v>
      </c>
      <c r="C397" s="4834">
        <f t="shared" si="26"/>
        <v>3.010616921667577E-4</v>
      </c>
      <c r="D397" s="3" t="str">
        <f t="shared" si="27"/>
        <v>2013</v>
      </c>
      <c r="J397" s="4836">
        <v>41481</v>
      </c>
      <c r="K397" s="4837">
        <v>42792.643682843845</v>
      </c>
      <c r="L397" s="4834">
        <f t="shared" si="29"/>
        <v>4.9719115001268595E-5</v>
      </c>
      <c r="S397" s="270" t="s">
        <v>11476</v>
      </c>
      <c r="T397" s="4838">
        <v>655.87523000001079</v>
      </c>
      <c r="U397" s="4839">
        <f t="shared" si="28"/>
        <v>2.2851380268286898E-3</v>
      </c>
    </row>
    <row r="398" spans="1:21">
      <c r="A398" s="270" t="s">
        <v>11477</v>
      </c>
      <c r="B398" s="3305">
        <v>6927.5</v>
      </c>
      <c r="C398" s="4834">
        <f t="shared" si="26"/>
        <v>3.1370196794589466E-4</v>
      </c>
      <c r="D398" s="3" t="str">
        <f t="shared" si="27"/>
        <v>2013</v>
      </c>
      <c r="J398" s="4836">
        <v>41484</v>
      </c>
      <c r="K398" s="4837">
        <v>42752.455249633058</v>
      </c>
      <c r="L398" s="4834">
        <f t="shared" si="29"/>
        <v>4.9624249282752485E-5</v>
      </c>
      <c r="S398" s="270" t="s">
        <v>11477</v>
      </c>
      <c r="T398" s="4838">
        <v>640.44287164706952</v>
      </c>
      <c r="U398" s="4839">
        <f t="shared" si="28"/>
        <v>2.2887969763605823E-3</v>
      </c>
    </row>
    <row r="399" spans="1:21">
      <c r="A399" s="270" t="s">
        <v>11478</v>
      </c>
      <c r="B399" s="3305">
        <v>6905.5</v>
      </c>
      <c r="C399" s="4834">
        <f t="shared" si="26"/>
        <v>3.1521666381483307E-4</v>
      </c>
      <c r="D399" s="3" t="str">
        <f t="shared" si="27"/>
        <v>2013</v>
      </c>
      <c r="J399" s="4836">
        <v>41485</v>
      </c>
      <c r="K399" s="4837">
        <v>42572.411068848742</v>
      </c>
      <c r="L399" s="4834">
        <f t="shared" si="29"/>
        <v>4.9184281210322378E-5</v>
      </c>
      <c r="S399" s="270" t="s">
        <v>11478</v>
      </c>
      <c r="T399" s="4838">
        <v>643.65794630393214</v>
      </c>
      <c r="U399" s="4839">
        <f t="shared" si="28"/>
        <v>2.2895147917737723E-3</v>
      </c>
    </row>
    <row r="400" spans="1:21">
      <c r="A400" s="270" t="s">
        <v>11479</v>
      </c>
      <c r="B400" s="3305">
        <v>6860.5</v>
      </c>
      <c r="C400" s="4834">
        <f t="shared" si="26"/>
        <v>3.1801750019417138E-4</v>
      </c>
      <c r="D400" s="3" t="str">
        <f t="shared" si="27"/>
        <v>2013</v>
      </c>
      <c r="J400" s="4836">
        <v>41486</v>
      </c>
      <c r="K400" s="4837">
        <v>42262.15636446148</v>
      </c>
      <c r="L400" s="4834">
        <f t="shared" si="29"/>
        <v>4.83703797896633E-5</v>
      </c>
      <c r="S400" s="270" t="s">
        <v>11479</v>
      </c>
      <c r="T400" s="4838">
        <v>646.2300060294225</v>
      </c>
      <c r="U400" s="4839">
        <f t="shared" si="28"/>
        <v>2.2895278910252141E-3</v>
      </c>
    </row>
    <row r="401" spans="1:21">
      <c r="A401" s="270" t="s">
        <v>11480</v>
      </c>
      <c r="B401" s="3305">
        <v>6752</v>
      </c>
      <c r="C401" s="4834">
        <f t="shared" si="26"/>
        <v>3.2307228243480388E-4</v>
      </c>
      <c r="D401" s="3" t="str">
        <f t="shared" si="27"/>
        <v>2013</v>
      </c>
      <c r="J401" s="4836">
        <v>41487</v>
      </c>
      <c r="K401" s="4837">
        <v>42278.231737745802</v>
      </c>
      <c r="L401" s="4834">
        <f t="shared" si="29"/>
        <v>4.8414235343100477E-5</v>
      </c>
      <c r="S401" s="270" t="s">
        <v>11480</v>
      </c>
      <c r="T401" s="4838">
        <v>632.72669247059866</v>
      </c>
      <c r="U401" s="4839">
        <f t="shared" si="28"/>
        <v>2.2839003540636692E-3</v>
      </c>
    </row>
    <row r="402" spans="1:21">
      <c r="A402" s="270" t="s">
        <v>11481</v>
      </c>
      <c r="B402" s="3305">
        <v>6805</v>
      </c>
      <c r="C402" s="4834">
        <f t="shared" si="26"/>
        <v>3.2090810992463532E-4</v>
      </c>
      <c r="D402" s="3" t="str">
        <f t="shared" si="27"/>
        <v>2013</v>
      </c>
      <c r="J402" s="4836">
        <v>41488</v>
      </c>
      <c r="K402" s="4837">
        <v>42093.364944976187</v>
      </c>
      <c r="L402" s="4834">
        <f t="shared" si="29"/>
        <v>4.7899116902061209E-5</v>
      </c>
      <c r="S402" s="270" t="s">
        <v>11481</v>
      </c>
      <c r="T402" s="4838">
        <v>641.085886578442</v>
      </c>
      <c r="U402" s="4839">
        <f t="shared" si="28"/>
        <v>2.289002866994955E-3</v>
      </c>
    </row>
    <row r="403" spans="1:21">
      <c r="A403" s="270" t="s">
        <v>11482</v>
      </c>
      <c r="B403" s="3305">
        <v>6999</v>
      </c>
      <c r="C403" s="4834">
        <f t="shared" si="26"/>
        <v>3.0814088227964684E-4</v>
      </c>
      <c r="D403" s="3" t="str">
        <f t="shared" si="27"/>
        <v>2013</v>
      </c>
      <c r="J403" s="4836">
        <v>41491</v>
      </c>
      <c r="K403" s="4837">
        <v>41948.686585417359</v>
      </c>
      <c r="L403" s="4834">
        <f t="shared" si="29"/>
        <v>4.7479856559667762E-5</v>
      </c>
      <c r="S403" s="270" t="s">
        <v>11482</v>
      </c>
      <c r="T403" s="4838">
        <v>634.01272233334373</v>
      </c>
      <c r="U403" s="4839">
        <f t="shared" si="28"/>
        <v>2.2850268990622868E-3</v>
      </c>
    </row>
    <row r="404" spans="1:21">
      <c r="A404" s="270" t="s">
        <v>11483</v>
      </c>
      <c r="B404" s="3305">
        <v>7019</v>
      </c>
      <c r="C404" s="4834">
        <f t="shared" si="26"/>
        <v>3.0641581752279272E-4</v>
      </c>
      <c r="D404" s="3" t="str">
        <f t="shared" si="27"/>
        <v>2013</v>
      </c>
      <c r="J404" s="4836">
        <v>41492</v>
      </c>
      <c r="K404" s="4837">
        <v>41169.030981128133</v>
      </c>
      <c r="L404" s="4834">
        <f t="shared" si="29"/>
        <v>4.499625359023107E-5</v>
      </c>
      <c r="S404" s="270" t="s">
        <v>11483</v>
      </c>
      <c r="T404" s="4838">
        <v>625.65352822550062</v>
      </c>
      <c r="U404" s="4839">
        <f t="shared" si="28"/>
        <v>2.275497464522571E-3</v>
      </c>
    </row>
    <row r="405" spans="1:21">
      <c r="A405" s="270" t="s">
        <v>11484</v>
      </c>
      <c r="B405" s="3305">
        <v>6950.5</v>
      </c>
      <c r="C405" s="4834">
        <f t="shared" si="26"/>
        <v>3.1201838597058184E-4</v>
      </c>
      <c r="D405" s="3" t="str">
        <f t="shared" si="27"/>
        <v>2013</v>
      </c>
      <c r="J405" s="4836">
        <v>41493</v>
      </c>
      <c r="K405" s="4837">
        <v>41233.332474265386</v>
      </c>
      <c r="L405" s="4834">
        <f t="shared" si="29"/>
        <v>4.5214397418967741E-5</v>
      </c>
      <c r="S405" s="270" t="s">
        <v>11484</v>
      </c>
      <c r="T405" s="4838">
        <v>635.29875219608903</v>
      </c>
      <c r="U405" s="4839">
        <f t="shared" si="28"/>
        <v>2.2860294655036367E-3</v>
      </c>
    </row>
    <row r="406" spans="1:21">
      <c r="A406" s="270" t="s">
        <v>11485</v>
      </c>
      <c r="B406" s="3305">
        <v>7026.5</v>
      </c>
      <c r="C406" s="4834">
        <f t="shared" si="26"/>
        <v>3.0575036000937385E-4</v>
      </c>
      <c r="D406" s="3" t="str">
        <f t="shared" si="27"/>
        <v>2013</v>
      </c>
      <c r="J406" s="4836">
        <v>41494</v>
      </c>
      <c r="K406" s="4837">
        <v>41739.706732721272</v>
      </c>
      <c r="L406" s="4834">
        <f t="shared" si="29"/>
        <v>4.6850209706174416E-5</v>
      </c>
      <c r="S406" s="270" t="s">
        <v>11485</v>
      </c>
      <c r="T406" s="4838">
        <v>635.9417671274615</v>
      </c>
      <c r="U406" s="4839">
        <f t="shared" si="28"/>
        <v>2.2864842048363684E-3</v>
      </c>
    </row>
    <row r="407" spans="1:21">
      <c r="A407" s="270" t="s">
        <v>11486</v>
      </c>
      <c r="B407" s="3305">
        <v>6892</v>
      </c>
      <c r="C407" s="4834">
        <f t="shared" si="26"/>
        <v>3.1609918228509958E-4</v>
      </c>
      <c r="D407" s="3" t="str">
        <f t="shared" si="27"/>
        <v>2013</v>
      </c>
      <c r="J407" s="4836">
        <v>41495</v>
      </c>
      <c r="K407" s="4837">
        <v>42085.327258334022</v>
      </c>
      <c r="L407" s="4834">
        <f t="shared" si="29"/>
        <v>4.7876191129859058E-5</v>
      </c>
      <c r="S407" s="270" t="s">
        <v>11486</v>
      </c>
      <c r="T407" s="4838">
        <v>619.54488637746124</v>
      </c>
      <c r="U407" s="4839">
        <f t="shared" si="28"/>
        <v>2.2652593106273133E-3</v>
      </c>
    </row>
    <row r="408" spans="1:21">
      <c r="A408" s="270" t="s">
        <v>11487</v>
      </c>
      <c r="B408" s="3305">
        <v>7121.5</v>
      </c>
      <c r="C408" s="4834">
        <f t="shared" si="26"/>
        <v>2.9648001093303454E-4</v>
      </c>
      <c r="D408" s="3" t="str">
        <f t="shared" si="27"/>
        <v>2013</v>
      </c>
      <c r="J408" s="4836">
        <v>41498</v>
      </c>
      <c r="K408" s="4837">
        <v>43114.151148530116</v>
      </c>
      <c r="L408" s="4834">
        <f t="shared" si="29"/>
        <v>5.0432897644444074E-5</v>
      </c>
      <c r="S408" s="270" t="s">
        <v>11487</v>
      </c>
      <c r="T408" s="4838">
        <v>634.33422979903014</v>
      </c>
      <c r="U408" s="4839">
        <f t="shared" si="28"/>
        <v>2.2852891704000255E-3</v>
      </c>
    </row>
    <row r="409" spans="1:21">
      <c r="A409" s="270" t="s">
        <v>11488</v>
      </c>
      <c r="B409" s="3305">
        <v>7186</v>
      </c>
      <c r="C409" s="4834">
        <f t="shared" si="26"/>
        <v>2.8935128240214125E-4</v>
      </c>
      <c r="D409" s="3" t="str">
        <f t="shared" si="27"/>
        <v>2013</v>
      </c>
      <c r="J409" s="4836">
        <v>41499</v>
      </c>
      <c r="K409" s="4837">
        <v>42712.26681642227</v>
      </c>
      <c r="L409" s="4834">
        <f t="shared" si="29"/>
        <v>4.9528154897844277E-5</v>
      </c>
      <c r="S409" s="270" t="s">
        <v>11488</v>
      </c>
      <c r="T409" s="4838">
        <v>652.98166280883424</v>
      </c>
      <c r="U409" s="4839">
        <f t="shared" si="28"/>
        <v>2.2871898668181075E-3</v>
      </c>
    </row>
    <row r="410" spans="1:21">
      <c r="A410" s="270" t="s">
        <v>11489</v>
      </c>
      <c r="B410" s="3305">
        <v>7246</v>
      </c>
      <c r="C410" s="4834">
        <f t="shared" si="26"/>
        <v>2.8216940128474922E-4</v>
      </c>
      <c r="D410" s="3" t="str">
        <f t="shared" si="27"/>
        <v>2013</v>
      </c>
      <c r="J410" s="4836">
        <v>41500</v>
      </c>
      <c r="K410" s="4837">
        <v>42647.965323285011</v>
      </c>
      <c r="L410" s="4834">
        <f t="shared" si="29"/>
        <v>4.9371867867500953E-5</v>
      </c>
      <c r="S410" s="270" t="s">
        <v>11489</v>
      </c>
      <c r="T410" s="4838">
        <v>670.02155849020721</v>
      </c>
      <c r="U410" s="4839">
        <f t="shared" si="28"/>
        <v>2.2661192506835326E-3</v>
      </c>
    </row>
    <row r="411" spans="1:21">
      <c r="A411" s="270" t="s">
        <v>11490</v>
      </c>
      <c r="B411" s="3305">
        <v>7281</v>
      </c>
      <c r="C411" s="4834">
        <f t="shared" si="26"/>
        <v>2.777541249018365E-4</v>
      </c>
      <c r="D411" s="3" t="str">
        <f t="shared" si="27"/>
        <v>2013</v>
      </c>
      <c r="J411" s="4836">
        <v>41501</v>
      </c>
      <c r="K411" s="4837">
        <v>42752.455249633058</v>
      </c>
      <c r="L411" s="4834">
        <f t="shared" si="29"/>
        <v>4.9624249282752485E-5</v>
      </c>
      <c r="S411" s="270" t="s">
        <v>11490</v>
      </c>
      <c r="T411" s="4838">
        <v>689.9550213627565</v>
      </c>
      <c r="U411" s="4839">
        <f t="shared" si="28"/>
        <v>2.2146721162978628E-3</v>
      </c>
    </row>
    <row r="412" spans="1:21">
      <c r="A412" s="270" t="s">
        <v>11491</v>
      </c>
      <c r="B412" s="3305">
        <v>7272.5</v>
      </c>
      <c r="C412" s="4834">
        <f t="shared" si="26"/>
        <v>2.7884097814000924E-4</v>
      </c>
      <c r="D412" s="3" t="str">
        <f t="shared" si="27"/>
        <v>2013</v>
      </c>
      <c r="J412" s="4836">
        <v>41502</v>
      </c>
      <c r="K412" s="4837">
        <v>44022.40973909387</v>
      </c>
      <c r="L412" s="4834">
        <f t="shared" si="29"/>
        <v>5.1990988812777537E-5</v>
      </c>
      <c r="S412" s="270" t="s">
        <v>11491</v>
      </c>
      <c r="T412" s="4838">
        <v>691.24105122550156</v>
      </c>
      <c r="U412" s="4839">
        <f t="shared" si="28"/>
        <v>2.2103997279344844E-3</v>
      </c>
    </row>
    <row r="413" spans="1:21">
      <c r="A413" s="270" t="s">
        <v>11492</v>
      </c>
      <c r="B413" s="3305">
        <v>7228</v>
      </c>
      <c r="C413" s="4834">
        <f t="shared" si="26"/>
        <v>2.8437679998880592E-4</v>
      </c>
      <c r="D413" s="3" t="str">
        <f t="shared" si="27"/>
        <v>2013</v>
      </c>
      <c r="J413" s="4836">
        <v>41505</v>
      </c>
      <c r="K413" s="4837">
        <v>43885.769066177199</v>
      </c>
      <c r="L413" s="4834">
        <f t="shared" si="29"/>
        <v>5.1801646217908029E-5</v>
      </c>
      <c r="S413" s="270" t="s">
        <v>11492</v>
      </c>
      <c r="T413" s="4838">
        <v>707.31642450981553</v>
      </c>
      <c r="U413" s="4839">
        <f t="shared" si="28"/>
        <v>2.1477905512949191E-3</v>
      </c>
    </row>
    <row r="414" spans="1:21">
      <c r="A414" s="270" t="s">
        <v>11493</v>
      </c>
      <c r="B414" s="3305">
        <v>7335.5</v>
      </c>
      <c r="C414" s="4834">
        <f t="shared" si="26"/>
        <v>2.7057514107715934E-4</v>
      </c>
      <c r="D414" s="3" t="str">
        <f t="shared" si="27"/>
        <v>2013</v>
      </c>
      <c r="J414" s="4836">
        <v>41506</v>
      </c>
      <c r="K414" s="4837">
        <v>44126.899665441902</v>
      </c>
      <c r="L414" s="4834">
        <f t="shared" si="29"/>
        <v>5.2124674036435476E-5</v>
      </c>
      <c r="S414" s="270" t="s">
        <v>11493</v>
      </c>
      <c r="T414" s="4838">
        <v>734.00154416177679</v>
      </c>
      <c r="U414" s="4839">
        <f t="shared" si="28"/>
        <v>2.0096279945604023E-3</v>
      </c>
    </row>
    <row r="415" spans="1:21">
      <c r="A415" s="270" t="s">
        <v>11494</v>
      </c>
      <c r="B415" s="3305">
        <v>7285.5</v>
      </c>
      <c r="C415" s="4834">
        <f t="shared" si="26"/>
        <v>2.7717503544707112E-4</v>
      </c>
      <c r="D415" s="3" t="str">
        <f t="shared" si="27"/>
        <v>2013</v>
      </c>
      <c r="J415" s="4836">
        <v>41507</v>
      </c>
      <c r="K415" s="4837">
        <v>43821.467573039939</v>
      </c>
      <c r="L415" s="4834">
        <f t="shared" si="29"/>
        <v>5.1706895583613457E-5</v>
      </c>
      <c r="S415" s="270" t="s">
        <v>11494</v>
      </c>
      <c r="T415" s="4838">
        <v>746.86184278922804</v>
      </c>
      <c r="U415" s="4839">
        <f t="shared" si="28"/>
        <v>1.9300207364817492E-3</v>
      </c>
    </row>
    <row r="416" spans="1:21">
      <c r="A416" s="270" t="s">
        <v>11495</v>
      </c>
      <c r="B416" s="3305">
        <v>7265.5</v>
      </c>
      <c r="C416" s="4834">
        <f t="shared" si="26"/>
        <v>2.7972909490396283E-4</v>
      </c>
      <c r="D416" s="3" t="str">
        <f t="shared" si="27"/>
        <v>2013</v>
      </c>
      <c r="J416" s="4836">
        <v>41508</v>
      </c>
      <c r="K416" s="4837">
        <v>44223.351905147785</v>
      </c>
      <c r="L416" s="4834">
        <f t="shared" si="29"/>
        <v>5.2239459171419853E-5</v>
      </c>
      <c r="S416" s="270" t="s">
        <v>11495</v>
      </c>
      <c r="T416" s="4838">
        <v>735.28757402452197</v>
      </c>
      <c r="U416" s="4839">
        <f t="shared" si="28"/>
        <v>2.0020124023432061E-3</v>
      </c>
    </row>
    <row r="417" spans="1:21">
      <c r="A417" s="270" t="s">
        <v>11496</v>
      </c>
      <c r="B417" s="3305">
        <v>7236</v>
      </c>
      <c r="C417" s="4834">
        <f t="shared" si="26"/>
        <v>2.8340117799867848E-4</v>
      </c>
      <c r="D417" s="3" t="str">
        <f t="shared" si="27"/>
        <v>2013</v>
      </c>
      <c r="J417" s="4836">
        <v>41509</v>
      </c>
      <c r="K417" s="4837">
        <v>44287.653398285045</v>
      </c>
      <c r="L417" s="4834">
        <f t="shared" si="29"/>
        <v>5.2311358394899473E-5</v>
      </c>
      <c r="S417" s="270" t="s">
        <v>11496</v>
      </c>
      <c r="T417" s="4838">
        <v>737.53812628432593</v>
      </c>
      <c r="U417" s="4839">
        <f t="shared" si="28"/>
        <v>1.9884938252939257E-3</v>
      </c>
    </row>
    <row r="418" spans="1:21">
      <c r="A418" s="270" t="s">
        <v>11497</v>
      </c>
      <c r="B418" s="3305">
        <v>7340.5</v>
      </c>
      <c r="C418" s="4834">
        <f t="shared" si="26"/>
        <v>2.6989908039073296E-4</v>
      </c>
      <c r="D418" s="3" t="str">
        <f t="shared" si="27"/>
        <v>2013</v>
      </c>
      <c r="J418" s="4836">
        <v>41513</v>
      </c>
      <c r="K418" s="4837">
        <v>45629.947067525267</v>
      </c>
      <c r="L418" s="4834">
        <f t="shared" si="29"/>
        <v>5.294687318321824E-5</v>
      </c>
      <c r="S418" s="270" t="s">
        <v>11497</v>
      </c>
      <c r="T418" s="4838">
        <v>741.71772333824754</v>
      </c>
      <c r="U418" s="4839">
        <f t="shared" si="28"/>
        <v>1.9627606872104474E-3</v>
      </c>
    </row>
    <row r="419" spans="1:21">
      <c r="A419" s="270" t="s">
        <v>11498</v>
      </c>
      <c r="B419" s="3305">
        <v>7300.5</v>
      </c>
      <c r="C419" s="4834">
        <f t="shared" si="26"/>
        <v>2.7522656878434221E-4</v>
      </c>
      <c r="D419" s="3" t="str">
        <f t="shared" si="27"/>
        <v>2013</v>
      </c>
      <c r="J419" s="4836">
        <v>41514</v>
      </c>
      <c r="K419" s="4837">
        <v>45637.984754167417</v>
      </c>
      <c r="L419" s="4834">
        <f t="shared" si="29"/>
        <v>5.2945638327174412E-5</v>
      </c>
      <c r="S419" s="270" t="s">
        <v>11498</v>
      </c>
      <c r="T419" s="4838">
        <v>741.39621587256124</v>
      </c>
      <c r="U419" s="4839">
        <f t="shared" si="28"/>
        <v>1.9647684170530353E-3</v>
      </c>
    </row>
    <row r="420" spans="1:21">
      <c r="A420" s="270" t="s">
        <v>11499</v>
      </c>
      <c r="B420" s="3305">
        <v>7300.5</v>
      </c>
      <c r="C420" s="4834">
        <f t="shared" si="26"/>
        <v>2.7522656878434221E-4</v>
      </c>
      <c r="D420" s="3" t="str">
        <f t="shared" si="27"/>
        <v>2013</v>
      </c>
      <c r="J420" s="4836">
        <v>41515</v>
      </c>
      <c r="K420" s="4837">
        <v>45260.213481986044</v>
      </c>
      <c r="L420" s="4834">
        <f t="shared" si="29"/>
        <v>5.2938517120961287E-5</v>
      </c>
      <c r="S420" s="270" t="s">
        <v>11499</v>
      </c>
      <c r="T420" s="4838">
        <v>780.94163415197363</v>
      </c>
      <c r="U420" s="4839">
        <f t="shared" si="28"/>
        <v>1.6888965258290377E-3</v>
      </c>
    </row>
    <row r="421" spans="1:21">
      <c r="A421" s="270" t="s">
        <v>11500</v>
      </c>
      <c r="B421" s="3305">
        <v>7236</v>
      </c>
      <c r="C421" s="4834">
        <f t="shared" si="26"/>
        <v>2.8340117799867848E-4</v>
      </c>
      <c r="D421" s="3" t="str">
        <f t="shared" si="27"/>
        <v>2013</v>
      </c>
      <c r="J421" s="4836">
        <v>41516</v>
      </c>
      <c r="K421" s="4837">
        <v>44842.253776593876</v>
      </c>
      <c r="L421" s="4834">
        <f t="shared" si="29"/>
        <v>5.277575791808186E-5</v>
      </c>
      <c r="S421" s="270" t="s">
        <v>11500</v>
      </c>
      <c r="T421" s="4838">
        <v>795.40947010785624</v>
      </c>
      <c r="U421" s="4839">
        <f t="shared" si="28"/>
        <v>1.5775175178449799E-3</v>
      </c>
    </row>
    <row r="422" spans="1:21">
      <c r="A422" s="270" t="s">
        <v>11501</v>
      </c>
      <c r="B422" s="3305">
        <v>7210.5</v>
      </c>
      <c r="C422" s="4834">
        <f t="shared" si="26"/>
        <v>2.8648002065494632E-4</v>
      </c>
      <c r="D422" s="3" t="str">
        <f t="shared" si="27"/>
        <v>2013</v>
      </c>
      <c r="J422" s="4836">
        <v>41519</v>
      </c>
      <c r="K422" s="4837">
        <v>44761.876910172301</v>
      </c>
      <c r="L422" s="4834">
        <f t="shared" si="29"/>
        <v>5.2725903938952622E-5</v>
      </c>
      <c r="S422" s="270" t="s">
        <v>11501</v>
      </c>
      <c r="T422" s="4838">
        <v>775.15449976962054</v>
      </c>
      <c r="U422" s="4839">
        <f t="shared" si="28"/>
        <v>1.7322724561100826E-3</v>
      </c>
    </row>
    <row r="423" spans="1:21">
      <c r="A423" s="270" t="s">
        <v>11502</v>
      </c>
      <c r="B423" s="3305">
        <v>7095</v>
      </c>
      <c r="C423" s="4834">
        <f t="shared" si="26"/>
        <v>2.9921856592729192E-4</v>
      </c>
      <c r="D423" s="3" t="str">
        <f t="shared" si="27"/>
        <v>2013</v>
      </c>
      <c r="J423" s="4836">
        <v>41520</v>
      </c>
      <c r="K423" s="4837">
        <v>44994.969822794854</v>
      </c>
      <c r="L423" s="4834">
        <f t="shared" si="29"/>
        <v>5.2854030250499126E-5</v>
      </c>
      <c r="S423" s="270" t="s">
        <v>11502</v>
      </c>
      <c r="T423" s="4838">
        <v>760.04364888236557</v>
      </c>
      <c r="U423" s="4839">
        <f t="shared" si="28"/>
        <v>1.8412559845446892E-3</v>
      </c>
    </row>
    <row r="424" spans="1:21">
      <c r="A424" s="270" t="s">
        <v>11503</v>
      </c>
      <c r="B424" s="3305">
        <v>7175.5</v>
      </c>
      <c r="C424" s="4834">
        <f t="shared" si="26"/>
        <v>2.9055497002925147E-4</v>
      </c>
      <c r="D424" s="3" t="str">
        <f t="shared" si="27"/>
        <v>2013</v>
      </c>
      <c r="J424" s="4836">
        <v>41521</v>
      </c>
      <c r="K424" s="4837">
        <v>44689.537730392891</v>
      </c>
      <c r="L424" s="4834">
        <f t="shared" si="29"/>
        <v>5.267594795802432E-5</v>
      </c>
      <c r="S424" s="270" t="s">
        <v>11503</v>
      </c>
      <c r="T424" s="4838">
        <v>770.65339525001264</v>
      </c>
      <c r="U424" s="4839">
        <f t="shared" si="28"/>
        <v>1.7654311134357038E-3</v>
      </c>
    </row>
    <row r="425" spans="1:21">
      <c r="A425" s="270" t="s">
        <v>11504</v>
      </c>
      <c r="B425" s="3305">
        <v>7183.5</v>
      </c>
      <c r="C425" s="4834">
        <f t="shared" si="26"/>
        <v>2.8963935529309227E-4</v>
      </c>
      <c r="D425" s="3" t="str">
        <f t="shared" si="27"/>
        <v>2013</v>
      </c>
      <c r="J425" s="4836">
        <v>41522</v>
      </c>
      <c r="K425" s="4837">
        <v>44528.783997549755</v>
      </c>
      <c r="L425" s="4834">
        <f t="shared" si="29"/>
        <v>5.2547752282502348E-5</v>
      </c>
      <c r="S425" s="270" t="s">
        <v>11504</v>
      </c>
      <c r="T425" s="4838">
        <v>778.3695744264835</v>
      </c>
      <c r="U425" s="4839">
        <f t="shared" si="28"/>
        <v>1.7082716135204958E-3</v>
      </c>
    </row>
    <row r="426" spans="1:21">
      <c r="A426" s="270" t="s">
        <v>11505</v>
      </c>
      <c r="B426" s="3305">
        <v>7125.5</v>
      </c>
      <c r="C426" s="4834">
        <f t="shared" si="26"/>
        <v>2.9605676997181303E-4</v>
      </c>
      <c r="D426" s="3" t="str">
        <f t="shared" si="27"/>
        <v>2013</v>
      </c>
      <c r="J426" s="4836">
        <v>41523</v>
      </c>
      <c r="K426" s="4837">
        <v>44593.085490687008</v>
      </c>
      <c r="L426" s="4834">
        <f t="shared" si="29"/>
        <v>5.2601867494861379E-5</v>
      </c>
      <c r="S426" s="270" t="s">
        <v>11505</v>
      </c>
      <c r="T426" s="4838">
        <v>762.29420114216953</v>
      </c>
      <c r="U426" s="4839">
        <f t="shared" si="28"/>
        <v>1.8254698869009764E-3</v>
      </c>
    </row>
    <row r="427" spans="1:21">
      <c r="A427" s="270" t="s">
        <v>11506</v>
      </c>
      <c r="B427" s="3305">
        <v>7103</v>
      </c>
      <c r="C427" s="4834">
        <f t="shared" si="26"/>
        <v>2.9840391924301247E-4</v>
      </c>
      <c r="D427" s="3" t="str">
        <f t="shared" si="27"/>
        <v>2013</v>
      </c>
      <c r="J427" s="4836">
        <v>41526</v>
      </c>
      <c r="K427" s="4837">
        <v>44689.537730392891</v>
      </c>
      <c r="L427" s="4834">
        <f t="shared" si="29"/>
        <v>5.267594795802432E-5</v>
      </c>
      <c r="S427" s="270" t="s">
        <v>11506</v>
      </c>
      <c r="T427" s="4838">
        <v>756.18555929413014</v>
      </c>
      <c r="U427" s="4839">
        <f t="shared" si="28"/>
        <v>1.8679109844806554E-3</v>
      </c>
    </row>
    <row r="428" spans="1:21">
      <c r="A428" s="270" t="s">
        <v>11507</v>
      </c>
      <c r="B428" s="3305">
        <v>7170.5</v>
      </c>
      <c r="C428" s="4834">
        <f t="shared" si="26"/>
        <v>2.9112238181606119E-4</v>
      </c>
      <c r="D428" s="3" t="str">
        <f t="shared" si="27"/>
        <v>2013</v>
      </c>
      <c r="J428" s="4836">
        <v>41527</v>
      </c>
      <c r="K428" s="4837">
        <v>43668.751526838954</v>
      </c>
      <c r="L428" s="4834">
        <f t="shared" si="29"/>
        <v>5.1467525268825357E-5</v>
      </c>
      <c r="S428" s="270" t="s">
        <v>11507</v>
      </c>
      <c r="T428" s="4838">
        <v>741.07470840687495</v>
      </c>
      <c r="U428" s="4839">
        <f t="shared" si="28"/>
        <v>1.9667715044042848E-3</v>
      </c>
    </row>
    <row r="429" spans="1:21">
      <c r="A429" s="270" t="s">
        <v>11508</v>
      </c>
      <c r="B429" s="3305">
        <v>7191.5</v>
      </c>
      <c r="C429" s="4834">
        <f t="shared" si="26"/>
        <v>2.8871428964588066E-4</v>
      </c>
      <c r="D429" s="3" t="str">
        <f t="shared" si="27"/>
        <v>2013</v>
      </c>
      <c r="J429" s="4836">
        <v>41528</v>
      </c>
      <c r="K429" s="4837">
        <v>43845.580632966412</v>
      </c>
      <c r="L429" s="4834">
        <f t="shared" si="29"/>
        <v>5.1742848549047942E-5</v>
      </c>
      <c r="S429" s="270" t="s">
        <v>11508</v>
      </c>
      <c r="T429" s="4838">
        <v>760.04364888236557</v>
      </c>
      <c r="U429" s="4839">
        <f t="shared" si="28"/>
        <v>1.8412559845446892E-3</v>
      </c>
    </row>
    <row r="430" spans="1:21">
      <c r="A430" s="270" t="s">
        <v>11509</v>
      </c>
      <c r="B430" s="3305">
        <v>7172</v>
      </c>
      <c r="C430" s="4834">
        <f t="shared" si="26"/>
        <v>2.9095255192107831E-4</v>
      </c>
      <c r="D430" s="3" t="str">
        <f t="shared" si="27"/>
        <v>2013</v>
      </c>
      <c r="J430" s="4836">
        <v>41529</v>
      </c>
      <c r="K430" s="4837">
        <v>42696.191443137963</v>
      </c>
      <c r="L430" s="4834">
        <f t="shared" si="29"/>
        <v>4.9489374871322908E-5</v>
      </c>
      <c r="S430" s="270" t="s">
        <v>11509</v>
      </c>
      <c r="T430" s="4838">
        <v>749.75540998040458</v>
      </c>
      <c r="U430" s="4839">
        <f t="shared" si="28"/>
        <v>1.9111129509071364E-3</v>
      </c>
    </row>
    <row r="431" spans="1:21">
      <c r="A431" s="270" t="s">
        <v>11510</v>
      </c>
      <c r="B431" s="3305">
        <v>7163</v>
      </c>
      <c r="C431" s="4834">
        <f t="shared" si="26"/>
        <v>2.9196644074387261E-4</v>
      </c>
      <c r="D431" s="3" t="str">
        <f t="shared" si="27"/>
        <v>2013</v>
      </c>
      <c r="J431" s="4836">
        <v>41530</v>
      </c>
      <c r="K431" s="4837">
        <v>42390.759350735992</v>
      </c>
      <c r="L431" s="4834">
        <f t="shared" si="29"/>
        <v>4.8716127475573641E-5</v>
      </c>
      <c r="S431" s="270" t="s">
        <v>11510</v>
      </c>
      <c r="T431" s="4838">
        <v>736.57360388726704</v>
      </c>
      <c r="U431" s="4839">
        <f t="shared" si="28"/>
        <v>1.9943170269761737E-3</v>
      </c>
    </row>
    <row r="432" spans="1:21">
      <c r="A432" s="270" t="s">
        <v>11511</v>
      </c>
      <c r="B432" s="3305">
        <v>7043.5</v>
      </c>
      <c r="C432" s="4834">
        <f t="shared" si="26"/>
        <v>3.0420503842854056E-4</v>
      </c>
      <c r="D432" s="3" t="str">
        <f t="shared" si="27"/>
        <v>2013</v>
      </c>
      <c r="J432" s="4836">
        <v>41533</v>
      </c>
      <c r="K432" s="4837">
        <v>42567.58845686345</v>
      </c>
      <c r="L432" s="4834">
        <f t="shared" si="29"/>
        <v>4.9172163878403052E-5</v>
      </c>
      <c r="S432" s="270" t="s">
        <v>11511</v>
      </c>
      <c r="T432" s="4838">
        <v>728.85742471079641</v>
      </c>
      <c r="U432" s="4839">
        <f t="shared" si="28"/>
        <v>2.0392699727954534E-3</v>
      </c>
    </row>
    <row r="433" spans="1:21">
      <c r="A433" s="270" t="s">
        <v>11512</v>
      </c>
      <c r="B433" s="3305">
        <v>7028.5</v>
      </c>
      <c r="C433" s="4834">
        <f t="shared" si="26"/>
        <v>3.0557121083943329E-4</v>
      </c>
      <c r="D433" s="3" t="str">
        <f t="shared" si="27"/>
        <v>2013</v>
      </c>
      <c r="J433" s="4836">
        <v>41534</v>
      </c>
      <c r="K433" s="4837">
        <v>42189.81718468207</v>
      </c>
      <c r="L433" s="4834">
        <f t="shared" si="29"/>
        <v>4.8170806192822157E-5</v>
      </c>
      <c r="S433" s="270" t="s">
        <v>11512</v>
      </c>
      <c r="T433" s="4838">
        <v>698.31421547059972</v>
      </c>
      <c r="U433" s="4839">
        <f t="shared" si="28"/>
        <v>2.1849199209558919E-3</v>
      </c>
    </row>
    <row r="434" spans="1:21">
      <c r="A434" s="270" t="s">
        <v>11513</v>
      </c>
      <c r="B434" s="3305">
        <v>7050</v>
      </c>
      <c r="C434" s="4834">
        <f t="shared" si="26"/>
        <v>3.0360076568767749E-4</v>
      </c>
      <c r="D434" s="3" t="str">
        <f t="shared" si="27"/>
        <v>2013</v>
      </c>
      <c r="J434" s="4836">
        <v>41535</v>
      </c>
      <c r="K434" s="4837">
        <v>41828.121285785004</v>
      </c>
      <c r="L434" s="4834">
        <f t="shared" si="29"/>
        <v>4.7119998721124885E-5</v>
      </c>
      <c r="S434" s="270" t="s">
        <v>11513</v>
      </c>
      <c r="T434" s="4838">
        <v>703.45833492158022</v>
      </c>
      <c r="U434" s="4839">
        <f t="shared" si="28"/>
        <v>2.1643325395472846E-3</v>
      </c>
    </row>
    <row r="435" spans="1:21">
      <c r="A435" s="270" t="s">
        <v>11514</v>
      </c>
      <c r="B435" s="3305">
        <v>7056.5</v>
      </c>
      <c r="C435" s="4834">
        <f t="shared" si="26"/>
        <v>3.02989146826285E-4</v>
      </c>
      <c r="D435" s="3" t="str">
        <f t="shared" si="27"/>
        <v>2013</v>
      </c>
      <c r="J435" s="4836">
        <v>41536</v>
      </c>
      <c r="K435" s="4837">
        <v>43901.844439461507</v>
      </c>
      <c r="L435" s="4834">
        <f t="shared" si="29"/>
        <v>5.1824770982327545E-5</v>
      </c>
      <c r="S435" s="270" t="s">
        <v>11514</v>
      </c>
      <c r="T435" s="4838">
        <v>706.35190211275665</v>
      </c>
      <c r="U435" s="4839">
        <f t="shared" si="28"/>
        <v>2.1520130684203626E-3</v>
      </c>
    </row>
    <row r="436" spans="1:21">
      <c r="A436" s="270" t="s">
        <v>11515</v>
      </c>
      <c r="B436" s="3305">
        <v>7090.5</v>
      </c>
      <c r="C436" s="4834">
        <f t="shared" si="26"/>
        <v>2.9967215474674934E-4</v>
      </c>
      <c r="D436" s="3" t="str">
        <f t="shared" si="27"/>
        <v>2013</v>
      </c>
      <c r="J436" s="4836">
        <v>41537</v>
      </c>
      <c r="K436" s="4837">
        <v>43379.394807721306</v>
      </c>
      <c r="L436" s="4834">
        <f t="shared" si="29"/>
        <v>5.0959548298241124E-5</v>
      </c>
      <c r="S436" s="270" t="s">
        <v>11515</v>
      </c>
      <c r="T436" s="4838">
        <v>690.27652882844268</v>
      </c>
      <c r="U436" s="4839">
        <f t="shared" si="28"/>
        <v>2.2136145505638064E-3</v>
      </c>
    </row>
    <row r="437" spans="1:21">
      <c r="A437" s="270" t="s">
        <v>11516</v>
      </c>
      <c r="B437" s="3305">
        <v>7301.5</v>
      </c>
      <c r="C437" s="4834">
        <f t="shared" si="26"/>
        <v>2.7509568982040939E-4</v>
      </c>
      <c r="D437" s="3" t="str">
        <f t="shared" si="27"/>
        <v>2013</v>
      </c>
      <c r="J437" s="4836">
        <v>41540</v>
      </c>
      <c r="K437" s="4837">
        <v>42535.43771029482</v>
      </c>
      <c r="L437" s="4834">
        <f t="shared" si="29"/>
        <v>4.909094374526908E-5</v>
      </c>
      <c r="S437" s="270" t="s">
        <v>11516</v>
      </c>
      <c r="T437" s="4838">
        <v>739.46717107844358</v>
      </c>
      <c r="U437" s="4839">
        <f t="shared" si="28"/>
        <v>1.9767166615202326E-3</v>
      </c>
    </row>
    <row r="438" spans="1:21">
      <c r="A438" s="270" t="s">
        <v>11517</v>
      </c>
      <c r="B438" s="3305">
        <v>7295</v>
      </c>
      <c r="C438" s="4834">
        <f t="shared" si="26"/>
        <v>2.7594422386811504E-4</v>
      </c>
      <c r="D438" s="3" t="str">
        <f t="shared" si="27"/>
        <v>2013</v>
      </c>
      <c r="J438" s="4836">
        <v>41541</v>
      </c>
      <c r="K438" s="4837">
        <v>42254.11867781933</v>
      </c>
      <c r="L438" s="4834">
        <f t="shared" si="29"/>
        <v>4.8348384347915343E-5</v>
      </c>
      <c r="S438" s="270" t="s">
        <v>11517</v>
      </c>
      <c r="T438" s="4838">
        <v>731.10797697060025</v>
      </c>
      <c r="U438" s="4839">
        <f t="shared" si="28"/>
        <v>2.0264655067217478E-3</v>
      </c>
    </row>
    <row r="439" spans="1:21">
      <c r="A439" s="270" t="s">
        <v>11518</v>
      </c>
      <c r="B439" s="3305">
        <v>7181</v>
      </c>
      <c r="C439" s="4834">
        <f t="shared" si="26"/>
        <v>2.899265052371507E-4</v>
      </c>
      <c r="D439" s="3" t="str">
        <f t="shared" si="27"/>
        <v>2013</v>
      </c>
      <c r="J439" s="4836">
        <v>41542</v>
      </c>
      <c r="K439" s="4837">
        <v>42527.400023652663</v>
      </c>
      <c r="L439" s="4834">
        <f t="shared" si="29"/>
        <v>4.907052001940427E-5</v>
      </c>
      <c r="S439" s="270" t="s">
        <v>11518</v>
      </c>
      <c r="T439" s="4838">
        <v>697.02818560785465</v>
      </c>
      <c r="U439" s="4839">
        <f t="shared" si="28"/>
        <v>2.1897990501222693E-3</v>
      </c>
    </row>
    <row r="440" spans="1:21">
      <c r="A440" s="270" t="s">
        <v>11519</v>
      </c>
      <c r="B440" s="3305">
        <v>7140.5</v>
      </c>
      <c r="C440" s="4834">
        <f t="shared" si="26"/>
        <v>2.9444697691398939E-4</v>
      </c>
      <c r="D440" s="3" t="str">
        <f t="shared" si="27"/>
        <v>2013</v>
      </c>
      <c r="J440" s="4836">
        <v>41543</v>
      </c>
      <c r="K440" s="4837">
        <v>42856.945175981098</v>
      </c>
      <c r="L440" s="4834">
        <f t="shared" si="29"/>
        <v>4.9868325204904839E-5</v>
      </c>
      <c r="S440" s="270" t="s">
        <v>11519</v>
      </c>
      <c r="T440" s="4838">
        <v>689.31200643138391</v>
      </c>
      <c r="U440" s="4839">
        <f t="shared" si="28"/>
        <v>2.216766121588421E-3</v>
      </c>
    </row>
    <row r="441" spans="1:21">
      <c r="A441" s="270" t="s">
        <v>11520</v>
      </c>
      <c r="B441" s="3305">
        <v>7155</v>
      </c>
      <c r="C441" s="4834">
        <f t="shared" si="26"/>
        <v>2.9285734557161819E-4</v>
      </c>
      <c r="D441" s="3" t="str">
        <f t="shared" si="27"/>
        <v>2013</v>
      </c>
      <c r="J441" s="4836">
        <v>41544</v>
      </c>
      <c r="K441" s="4837">
        <v>43114.151148530116</v>
      </c>
      <c r="L441" s="4834">
        <f t="shared" si="29"/>
        <v>5.0432897644444074E-5</v>
      </c>
      <c r="S441" s="270" t="s">
        <v>11520</v>
      </c>
      <c r="T441" s="4838">
        <v>697.02818560785465</v>
      </c>
      <c r="U441" s="4839">
        <f t="shared" si="28"/>
        <v>2.1897990501222693E-3</v>
      </c>
    </row>
    <row r="442" spans="1:21">
      <c r="A442" s="270" t="s">
        <v>11521</v>
      </c>
      <c r="B442" s="3305">
        <v>7220.5</v>
      </c>
      <c r="C442" s="4834">
        <f t="shared" si="26"/>
        <v>2.8528342503600373E-4</v>
      </c>
      <c r="D442" s="3" t="str">
        <f t="shared" si="27"/>
        <v>2013</v>
      </c>
      <c r="J442" s="4836">
        <v>41547</v>
      </c>
      <c r="K442" s="4837">
        <v>42647.965323285011</v>
      </c>
      <c r="L442" s="4834">
        <f t="shared" si="29"/>
        <v>4.9371867867500953E-5</v>
      </c>
      <c r="S442" s="270" t="s">
        <v>11521</v>
      </c>
      <c r="T442" s="4838">
        <v>706.35190211275665</v>
      </c>
      <c r="U442" s="4839">
        <f t="shared" si="28"/>
        <v>2.1520130684203626E-3</v>
      </c>
    </row>
    <row r="443" spans="1:21">
      <c r="A443" s="270" t="s">
        <v>11522</v>
      </c>
      <c r="B443" s="3305">
        <v>7252.5</v>
      </c>
      <c r="C443" s="4834">
        <f t="shared" si="26"/>
        <v>2.8136154569947719E-4</v>
      </c>
      <c r="D443" s="3" t="str">
        <f t="shared" si="27"/>
        <v>2013</v>
      </c>
      <c r="J443" s="4836">
        <v>41548</v>
      </c>
      <c r="K443" s="4837">
        <v>41498.576133456569</v>
      </c>
      <c r="L443" s="4834">
        <f t="shared" si="29"/>
        <v>4.6089965275443241E-5</v>
      </c>
      <c r="S443" s="270" t="s">
        <v>11522</v>
      </c>
      <c r="T443" s="4838">
        <v>694.7776333480507</v>
      </c>
      <c r="U443" s="4839">
        <f t="shared" si="28"/>
        <v>2.1980756159706754E-3</v>
      </c>
    </row>
    <row r="444" spans="1:21">
      <c r="A444" s="270" t="s">
        <v>11523</v>
      </c>
      <c r="B444" s="3305">
        <v>7290.5</v>
      </c>
      <c r="C444" s="4834">
        <f t="shared" si="26"/>
        <v>2.76528634000764E-4</v>
      </c>
      <c r="D444" s="3" t="str">
        <f t="shared" si="27"/>
        <v>2013</v>
      </c>
      <c r="J444" s="4836">
        <v>41549</v>
      </c>
      <c r="K444" s="4837">
        <v>41996.912705270297</v>
      </c>
      <c r="L444" s="4834">
        <f t="shared" si="29"/>
        <v>4.7621152361992364E-5</v>
      </c>
      <c r="S444" s="270" t="s">
        <v>11523</v>
      </c>
      <c r="T444" s="4838">
        <v>697.02818560785465</v>
      </c>
      <c r="U444" s="4839">
        <f t="shared" si="28"/>
        <v>2.1897990501222693E-3</v>
      </c>
    </row>
    <row r="445" spans="1:21">
      <c r="A445" s="270" t="s">
        <v>11524</v>
      </c>
      <c r="B445" s="3305">
        <v>7219</v>
      </c>
      <c r="C445" s="4834">
        <f t="shared" si="26"/>
        <v>2.8546381018533501E-4</v>
      </c>
      <c r="D445" s="3" t="str">
        <f t="shared" si="27"/>
        <v>2013</v>
      </c>
      <c r="J445" s="4836">
        <v>41550</v>
      </c>
      <c r="K445" s="4837">
        <v>42310.382484314425</v>
      </c>
      <c r="L445" s="4834">
        <f t="shared" si="29"/>
        <v>4.8501403161402837E-5</v>
      </c>
      <c r="S445" s="270" t="s">
        <v>11524</v>
      </c>
      <c r="T445" s="4838">
        <v>697.67120053922713</v>
      </c>
      <c r="U445" s="4839">
        <f t="shared" si="28"/>
        <v>2.1873730196328139E-3</v>
      </c>
    </row>
    <row r="446" spans="1:21">
      <c r="A446" s="270" t="s">
        <v>11525</v>
      </c>
      <c r="B446" s="3305">
        <v>7156</v>
      </c>
      <c r="C446" s="4834">
        <f t="shared" si="26"/>
        <v>2.9274651801541673E-4</v>
      </c>
      <c r="D446" s="3" t="str">
        <f t="shared" si="27"/>
        <v>2013</v>
      </c>
      <c r="J446" s="4836">
        <v>41551</v>
      </c>
      <c r="K446" s="4837">
        <v>42109.440318260495</v>
      </c>
      <c r="L446" s="4834">
        <f t="shared" si="29"/>
        <v>4.7944837635099344E-5</v>
      </c>
      <c r="S446" s="270" t="s">
        <v>11525</v>
      </c>
      <c r="T446" s="4838">
        <v>679.66678246079562</v>
      </c>
      <c r="U446" s="4839">
        <f t="shared" si="28"/>
        <v>2.2447433891372146E-3</v>
      </c>
    </row>
    <row r="447" spans="1:21">
      <c r="A447" s="270" t="s">
        <v>11526</v>
      </c>
      <c r="B447" s="3305">
        <v>7215.5</v>
      </c>
      <c r="C447" s="4834">
        <f t="shared" si="26"/>
        <v>2.8588348252053418E-4</v>
      </c>
      <c r="D447" s="3" t="str">
        <f t="shared" si="27"/>
        <v>2013</v>
      </c>
      <c r="J447" s="4836">
        <v>41554</v>
      </c>
      <c r="K447" s="4837">
        <v>42551.513083579128</v>
      </c>
      <c r="L447" s="4834">
        <f t="shared" si="29"/>
        <v>4.913164889786704E-5</v>
      </c>
      <c r="S447" s="270" t="s">
        <v>11526</v>
      </c>
      <c r="T447" s="4838">
        <v>693.49160348530563</v>
      </c>
      <c r="U447" s="4839">
        <f t="shared" si="28"/>
        <v>2.2026541285864987E-3</v>
      </c>
    </row>
    <row r="448" spans="1:21">
      <c r="A448" s="270" t="s">
        <v>11527</v>
      </c>
      <c r="B448" s="3305">
        <v>7148</v>
      </c>
      <c r="C448" s="4834">
        <f t="shared" si="26"/>
        <v>2.9362882523422957E-4</v>
      </c>
      <c r="D448" s="3" t="str">
        <f t="shared" si="27"/>
        <v>2013</v>
      </c>
      <c r="J448" s="4836">
        <v>41555</v>
      </c>
      <c r="K448" s="4837">
        <v>42744.4175629909</v>
      </c>
      <c r="L448" s="4834">
        <f t="shared" si="29"/>
        <v>4.9605128449366063E-5</v>
      </c>
      <c r="S448" s="270" t="s">
        <v>11527</v>
      </c>
      <c r="T448" s="4838">
        <v>696.06366321079577</v>
      </c>
      <c r="U448" s="4839">
        <f t="shared" si="28"/>
        <v>2.1933871329810938E-3</v>
      </c>
    </row>
    <row r="449" spans="1:21">
      <c r="A449" s="270" t="s">
        <v>11528</v>
      </c>
      <c r="B449" s="3305">
        <v>7171</v>
      </c>
      <c r="C449" s="4834">
        <f t="shared" si="26"/>
        <v>2.9106580941938391E-4</v>
      </c>
      <c r="D449" s="3" t="str">
        <f t="shared" si="27"/>
        <v>2013</v>
      </c>
      <c r="J449" s="4836">
        <v>41556</v>
      </c>
      <c r="K449" s="4837">
        <v>41924.573525490887</v>
      </c>
      <c r="L449" s="4834">
        <f t="shared" si="29"/>
        <v>4.7408637306980657E-5</v>
      </c>
      <c r="S449" s="270" t="s">
        <v>11528</v>
      </c>
      <c r="T449" s="4838">
        <v>699.92175279903108</v>
      </c>
      <c r="U449" s="4839">
        <f t="shared" si="28"/>
        <v>2.1786693908275017E-3</v>
      </c>
    </row>
    <row r="450" spans="1:21">
      <c r="A450" s="270" t="s">
        <v>11529</v>
      </c>
      <c r="B450" s="3305">
        <v>7231.5</v>
      </c>
      <c r="C450" s="4834">
        <f t="shared" si="26"/>
        <v>2.8395104563850611E-4</v>
      </c>
      <c r="D450" s="3" t="str">
        <f t="shared" si="27"/>
        <v>2013</v>
      </c>
      <c r="J450" s="4836">
        <v>41557</v>
      </c>
      <c r="K450" s="4837">
        <v>41747.744419363436</v>
      </c>
      <c r="L450" s="4834">
        <f t="shared" si="29"/>
        <v>4.6874938843427011E-5</v>
      </c>
      <c r="S450" s="270" t="s">
        <v>11529</v>
      </c>
      <c r="T450" s="4838">
        <v>716.96164848040405</v>
      </c>
      <c r="U450" s="4839">
        <f t="shared" si="28"/>
        <v>2.1024720800656232E-3</v>
      </c>
    </row>
    <row r="451" spans="1:21">
      <c r="A451" s="270" t="s">
        <v>11530</v>
      </c>
      <c r="B451" s="3305">
        <v>7141</v>
      </c>
      <c r="C451" s="4834">
        <f t="shared" si="26"/>
        <v>2.9439270656250001E-4</v>
      </c>
      <c r="D451" s="3" t="str">
        <f t="shared" si="27"/>
        <v>2013</v>
      </c>
      <c r="J451" s="4836">
        <v>41558</v>
      </c>
      <c r="K451" s="4837">
        <v>40686.769782598712</v>
      </c>
      <c r="L451" s="4834">
        <f t="shared" si="29"/>
        <v>4.3292711023264339E-5</v>
      </c>
      <c r="S451" s="270" t="s">
        <v>11530</v>
      </c>
      <c r="T451" s="4838">
        <v>710.53149916667849</v>
      </c>
      <c r="U451" s="4839">
        <f t="shared" si="28"/>
        <v>2.1333030799316191E-3</v>
      </c>
    </row>
    <row r="452" spans="1:21">
      <c r="A452" s="270" t="s">
        <v>11531</v>
      </c>
      <c r="B452" s="3305">
        <v>7112.5</v>
      </c>
      <c r="C452" s="4834">
        <f t="shared" ref="C452:C515" si="30">_xlfn.NORM.DIST(B452,$F$4,$F$3,FALSE)</f>
        <v>2.9742290046363534E-4</v>
      </c>
      <c r="D452" s="3" t="str">
        <f t="shared" ref="D452:D515" si="31">LEFT(A452,4)</f>
        <v>2013</v>
      </c>
      <c r="J452" s="4836">
        <v>41561</v>
      </c>
      <c r="K452" s="4837">
        <v>41329.784713971269</v>
      </c>
      <c r="L452" s="4834">
        <f t="shared" si="29"/>
        <v>4.5537376152206667E-5</v>
      </c>
      <c r="S452" s="270" t="s">
        <v>11531</v>
      </c>
      <c r="T452" s="4838">
        <v>705.06587225001158</v>
      </c>
      <c r="U452" s="4839">
        <f t="shared" ref="U452:U515" si="32">_xlfn.NORM.DIST(T452,$X$4,$X$3,FALSE)</f>
        <v>2.15755316428796E-3</v>
      </c>
    </row>
    <row r="453" spans="1:21">
      <c r="A453" s="270" t="s">
        <v>11532</v>
      </c>
      <c r="B453" s="3305">
        <v>7125</v>
      </c>
      <c r="C453" s="4834">
        <f t="shared" si="30"/>
        <v>2.9610981500837396E-4</v>
      </c>
      <c r="D453" s="3" t="str">
        <f t="shared" si="31"/>
        <v>2013</v>
      </c>
      <c r="J453" s="4836">
        <v>41562</v>
      </c>
      <c r="K453" s="4837">
        <v>40847.523515441848</v>
      </c>
      <c r="L453" s="4834">
        <f t="shared" ref="L453:L516" si="33">_xlfn.NORM.DIST(K453,$O$4,$O$3,FALSE)</f>
        <v>4.3873243795380143E-5</v>
      </c>
      <c r="S453" s="270" t="s">
        <v>11532</v>
      </c>
      <c r="T453" s="4838">
        <v>691.88406615687416</v>
      </c>
      <c r="U453" s="4839">
        <f t="shared" si="32"/>
        <v>2.2082215154302191E-3</v>
      </c>
    </row>
    <row r="454" spans="1:21">
      <c r="A454" s="270" t="s">
        <v>11533</v>
      </c>
      <c r="B454" s="3305">
        <v>7205.5</v>
      </c>
      <c r="C454" s="4834">
        <f t="shared" si="30"/>
        <v>2.8707301216211305E-4</v>
      </c>
      <c r="D454" s="3" t="str">
        <f t="shared" si="31"/>
        <v>2013</v>
      </c>
      <c r="J454" s="4836">
        <v>41563</v>
      </c>
      <c r="K454" s="4837">
        <v>40943.975755147731</v>
      </c>
      <c r="L454" s="4834">
        <f t="shared" si="33"/>
        <v>4.4215627485674663E-5</v>
      </c>
      <c r="S454" s="270" t="s">
        <v>11533</v>
      </c>
      <c r="T454" s="4838">
        <v>691.88406615687416</v>
      </c>
      <c r="U454" s="4839">
        <f t="shared" si="32"/>
        <v>2.2082215154302191E-3</v>
      </c>
    </row>
    <row r="455" spans="1:21">
      <c r="A455" s="270" t="s">
        <v>11534</v>
      </c>
      <c r="B455" s="3305">
        <v>7186</v>
      </c>
      <c r="C455" s="4834">
        <f t="shared" si="30"/>
        <v>2.8935128240214125E-4</v>
      </c>
      <c r="D455" s="3" t="str">
        <f t="shared" si="31"/>
        <v>2013</v>
      </c>
      <c r="J455" s="4836">
        <v>41564</v>
      </c>
      <c r="K455" s="4837">
        <v>42414.872410662458</v>
      </c>
      <c r="L455" s="4834">
        <f t="shared" si="33"/>
        <v>4.8779647025481385E-5</v>
      </c>
      <c r="S455" s="270" t="s">
        <v>11534</v>
      </c>
      <c r="T455" s="4838">
        <v>658.76879719118733</v>
      </c>
      <c r="U455" s="4839">
        <f t="shared" si="32"/>
        <v>2.2824584881690466E-3</v>
      </c>
    </row>
    <row r="456" spans="1:21">
      <c r="A456" s="270" t="s">
        <v>11535</v>
      </c>
      <c r="B456" s="3305">
        <v>7158.5</v>
      </c>
      <c r="C456" s="4834">
        <f t="shared" si="30"/>
        <v>2.9246877833441433E-4</v>
      </c>
      <c r="D456" s="3" t="str">
        <f t="shared" si="31"/>
        <v>2013</v>
      </c>
      <c r="J456" s="4836">
        <v>41565</v>
      </c>
      <c r="K456" s="4837">
        <v>42326.45785759874</v>
      </c>
      <c r="L456" s="4834">
        <f t="shared" si="33"/>
        <v>4.8544714305935169E-5</v>
      </c>
      <c r="S456" s="270" t="s">
        <v>11535</v>
      </c>
      <c r="T456" s="4838">
        <v>685.45391684314859</v>
      </c>
      <c r="U456" s="4839">
        <f t="shared" si="32"/>
        <v>2.2287343050051856E-3</v>
      </c>
    </row>
    <row r="457" spans="1:21">
      <c r="A457" s="270" t="s">
        <v>11536</v>
      </c>
      <c r="B457" s="3305">
        <v>7172</v>
      </c>
      <c r="C457" s="4834">
        <f t="shared" si="30"/>
        <v>2.9095255192107831E-4</v>
      </c>
      <c r="D457" s="3" t="str">
        <f t="shared" si="31"/>
        <v>2013</v>
      </c>
      <c r="J457" s="4836">
        <v>41568</v>
      </c>
      <c r="K457" s="4837">
        <v>42358.608604167363</v>
      </c>
      <c r="L457" s="4834">
        <f t="shared" si="33"/>
        <v>4.8630788279816767E-5</v>
      </c>
      <c r="S457" s="270" t="s">
        <v>11536</v>
      </c>
      <c r="T457" s="4838">
        <v>698.31421547059972</v>
      </c>
      <c r="U457" s="4839">
        <f t="shared" si="32"/>
        <v>2.1849199209558919E-3</v>
      </c>
    </row>
    <row r="458" spans="1:21">
      <c r="A458" s="270" t="s">
        <v>11537</v>
      </c>
      <c r="B458" s="3305">
        <v>7241.5</v>
      </c>
      <c r="C458" s="4834">
        <f t="shared" si="30"/>
        <v>2.8272537266813312E-4</v>
      </c>
      <c r="D458" s="3" t="str">
        <f t="shared" si="31"/>
        <v>2013</v>
      </c>
      <c r="J458" s="4836">
        <v>41569</v>
      </c>
      <c r="K458" s="4837">
        <v>42856.945175981098</v>
      </c>
      <c r="L458" s="4834">
        <f t="shared" si="33"/>
        <v>4.9868325204904839E-5</v>
      </c>
      <c r="S458" s="270" t="s">
        <v>11537</v>
      </c>
      <c r="T458" s="4838">
        <v>703.13682745589404</v>
      </c>
      <c r="U458" s="4839">
        <f t="shared" si="32"/>
        <v>2.1656688484048281E-3</v>
      </c>
    </row>
    <row r="459" spans="1:21">
      <c r="A459" s="270" t="s">
        <v>11538</v>
      </c>
      <c r="B459" s="3305">
        <v>7225.5</v>
      </c>
      <c r="C459" s="4834">
        <f t="shared" si="30"/>
        <v>2.8467987559748756E-4</v>
      </c>
      <c r="D459" s="3" t="str">
        <f t="shared" si="31"/>
        <v>2013</v>
      </c>
      <c r="J459" s="4836">
        <v>41570</v>
      </c>
      <c r="K459" s="4837">
        <v>42800.681369486003</v>
      </c>
      <c r="L459" s="4834">
        <f t="shared" si="33"/>
        <v>4.9737940021060918E-5</v>
      </c>
      <c r="S459" s="270" t="s">
        <v>11538</v>
      </c>
      <c r="T459" s="4838">
        <v>710.20999170099208</v>
      </c>
      <c r="U459" s="4839">
        <f t="shared" si="32"/>
        <v>2.1347801254079715E-3</v>
      </c>
    </row>
    <row r="460" spans="1:21">
      <c r="A460" s="270" t="s">
        <v>11539</v>
      </c>
      <c r="B460" s="3305">
        <v>7260</v>
      </c>
      <c r="C460" s="4834">
        <f t="shared" si="30"/>
        <v>2.804224493283258E-4</v>
      </c>
      <c r="D460" s="3" t="str">
        <f t="shared" si="31"/>
        <v>2013</v>
      </c>
      <c r="J460" s="4836">
        <v>41571</v>
      </c>
      <c r="K460" s="4837">
        <v>43234.716448162479</v>
      </c>
      <c r="L460" s="4834">
        <f t="shared" si="33"/>
        <v>5.0679394646220434E-5</v>
      </c>
      <c r="S460" s="270" t="s">
        <v>11539</v>
      </c>
      <c r="T460" s="4838">
        <v>709.24546930393319</v>
      </c>
      <c r="U460" s="4839">
        <f t="shared" si="32"/>
        <v>2.1391737011470088E-3</v>
      </c>
    </row>
    <row r="461" spans="1:21">
      <c r="A461" s="270" t="s">
        <v>11540</v>
      </c>
      <c r="B461" s="3305">
        <v>7200.5</v>
      </c>
      <c r="C461" s="4834">
        <f t="shared" si="30"/>
        <v>2.8766242988598412E-4</v>
      </c>
      <c r="D461" s="3" t="str">
        <f t="shared" si="31"/>
        <v>2013</v>
      </c>
      <c r="J461" s="4836">
        <v>41572</v>
      </c>
      <c r="K461" s="4837">
        <v>43331.168687868361</v>
      </c>
      <c r="L461" s="4834">
        <f t="shared" si="33"/>
        <v>5.0868076868022528E-5</v>
      </c>
      <c r="S461" s="270" t="s">
        <v>11540</v>
      </c>
      <c r="T461" s="4838">
        <v>724.3563201911885</v>
      </c>
      <c r="U461" s="4839">
        <f t="shared" si="32"/>
        <v>2.0640888285088964E-3</v>
      </c>
    </row>
    <row r="462" spans="1:21">
      <c r="A462" s="270" t="s">
        <v>11541</v>
      </c>
      <c r="B462" s="3305">
        <v>7160</v>
      </c>
      <c r="C462" s="4834">
        <f t="shared" si="30"/>
        <v>2.9230167558779108E-4</v>
      </c>
      <c r="D462" s="3" t="str">
        <f t="shared" si="31"/>
        <v>2013</v>
      </c>
      <c r="J462" s="4836">
        <v>41575</v>
      </c>
      <c r="K462" s="4837">
        <v>43757.166079902679</v>
      </c>
      <c r="L462" s="4834">
        <f t="shared" si="33"/>
        <v>5.1608557826816698E-5</v>
      </c>
      <c r="S462" s="270" t="s">
        <v>11541</v>
      </c>
      <c r="T462" s="4838">
        <v>728.85742471079641</v>
      </c>
      <c r="U462" s="4839">
        <f t="shared" si="32"/>
        <v>2.0392699727954534E-3</v>
      </c>
    </row>
    <row r="463" spans="1:21">
      <c r="A463" s="270" t="s">
        <v>11542</v>
      </c>
      <c r="B463" s="3305">
        <v>7126</v>
      </c>
      <c r="C463" s="4834">
        <f t="shared" si="30"/>
        <v>2.960036850336383E-4</v>
      </c>
      <c r="D463" s="3" t="str">
        <f t="shared" si="31"/>
        <v>2013</v>
      </c>
      <c r="J463" s="4836">
        <v>41576</v>
      </c>
      <c r="K463" s="4837">
        <v>43379.394807721306</v>
      </c>
      <c r="L463" s="4834">
        <f t="shared" si="33"/>
        <v>5.0959548298241124E-5</v>
      </c>
      <c r="S463" s="270" t="s">
        <v>11542</v>
      </c>
      <c r="T463" s="4838">
        <v>718.56918580883541</v>
      </c>
      <c r="U463" s="4839">
        <f t="shared" si="32"/>
        <v>2.0943884882773495E-3</v>
      </c>
    </row>
    <row r="464" spans="1:21">
      <c r="A464" s="270" t="s">
        <v>11543</v>
      </c>
      <c r="B464" s="3305">
        <v>7161</v>
      </c>
      <c r="C464" s="4834">
        <f t="shared" si="30"/>
        <v>2.9219008296349757E-4</v>
      </c>
      <c r="D464" s="3" t="str">
        <f t="shared" si="31"/>
        <v>2013</v>
      </c>
      <c r="J464" s="4836">
        <v>41577</v>
      </c>
      <c r="K464" s="4837">
        <v>43556.223913848757</v>
      </c>
      <c r="L464" s="4834">
        <f t="shared" si="33"/>
        <v>5.1278369262312486E-5</v>
      </c>
      <c r="S464" s="270" t="s">
        <v>11543</v>
      </c>
      <c r="T464" s="4838">
        <v>724.67782765687468</v>
      </c>
      <c r="U464" s="4839">
        <f t="shared" si="32"/>
        <v>2.0623517192549265E-3</v>
      </c>
    </row>
    <row r="465" spans="1:21">
      <c r="A465" s="270" t="s">
        <v>11544</v>
      </c>
      <c r="B465" s="3305">
        <v>7215.5</v>
      </c>
      <c r="C465" s="4834">
        <f t="shared" si="30"/>
        <v>2.8588348252053418E-4</v>
      </c>
      <c r="D465" s="3" t="str">
        <f t="shared" si="31"/>
        <v>2013</v>
      </c>
      <c r="J465" s="4836">
        <v>41578</v>
      </c>
      <c r="K465" s="4837">
        <v>42567.58845686345</v>
      </c>
      <c r="L465" s="4834">
        <f t="shared" si="33"/>
        <v>4.9172163878403052E-5</v>
      </c>
      <c r="S465" s="270" t="s">
        <v>11544</v>
      </c>
      <c r="T465" s="4838">
        <v>717.28315594609023</v>
      </c>
      <c r="U465" s="4839">
        <f t="shared" si="32"/>
        <v>2.1008671750439483E-3</v>
      </c>
    </row>
    <row r="466" spans="1:21">
      <c r="A466" s="270" t="s">
        <v>11545</v>
      </c>
      <c r="B466" s="3305">
        <v>7275.5</v>
      </c>
      <c r="C466" s="4834">
        <f t="shared" si="30"/>
        <v>2.784584318080234E-4</v>
      </c>
      <c r="D466" s="3" t="str">
        <f t="shared" si="31"/>
        <v>2013</v>
      </c>
      <c r="J466" s="4836">
        <v>41579</v>
      </c>
      <c r="K466" s="4837">
        <v>42012.988078554612</v>
      </c>
      <c r="L466" s="4834">
        <f t="shared" si="33"/>
        <v>4.7667910193446901E-5</v>
      </c>
      <c r="S466" s="270" t="s">
        <v>11545</v>
      </c>
      <c r="T466" s="4838">
        <v>731.10797697060025</v>
      </c>
      <c r="U466" s="4839">
        <f t="shared" si="32"/>
        <v>2.0264655067217478E-3</v>
      </c>
    </row>
    <row r="467" spans="1:21">
      <c r="A467" s="270" t="s">
        <v>11546</v>
      </c>
      <c r="B467" s="3305">
        <v>7234</v>
      </c>
      <c r="C467" s="4834">
        <f t="shared" si="30"/>
        <v>2.8364590545028285E-4</v>
      </c>
      <c r="D467" s="3" t="str">
        <f t="shared" si="31"/>
        <v>2013</v>
      </c>
      <c r="J467" s="4836">
        <v>41582</v>
      </c>
      <c r="K467" s="4837">
        <v>42455.060843873245</v>
      </c>
      <c r="L467" s="4834">
        <f t="shared" si="33"/>
        <v>4.8884583961050307E-5</v>
      </c>
      <c r="S467" s="270" t="s">
        <v>11546</v>
      </c>
      <c r="T467" s="4838">
        <v>713.7465738235411</v>
      </c>
      <c r="U467" s="4839">
        <f t="shared" si="32"/>
        <v>2.1181920333638044E-3</v>
      </c>
    </row>
    <row r="468" spans="1:21">
      <c r="A468" s="270" t="s">
        <v>11547</v>
      </c>
      <c r="B468" s="3305">
        <v>7255.5</v>
      </c>
      <c r="C468" s="4834">
        <f t="shared" si="30"/>
        <v>2.8098679658634853E-4</v>
      </c>
      <c r="D468" s="3" t="str">
        <f t="shared" si="31"/>
        <v>2013</v>
      </c>
      <c r="J468" s="4836">
        <v>41583</v>
      </c>
      <c r="K468" s="4837">
        <v>42029.063451838927</v>
      </c>
      <c r="L468" s="4834">
        <f t="shared" si="33"/>
        <v>4.7714496649200435E-5</v>
      </c>
      <c r="S468" s="270" t="s">
        <v>11547</v>
      </c>
      <c r="T468" s="4838">
        <v>699.27873786765861</v>
      </c>
      <c r="U468" s="4839">
        <f t="shared" si="32"/>
        <v>2.1811897328420701E-3</v>
      </c>
    </row>
    <row r="469" spans="1:21">
      <c r="A469" s="270" t="s">
        <v>11548</v>
      </c>
      <c r="B469" s="3305">
        <v>7180</v>
      </c>
      <c r="C469" s="4834">
        <f t="shared" si="30"/>
        <v>2.9004110604736181E-4</v>
      </c>
      <c r="D469" s="3" t="str">
        <f t="shared" si="31"/>
        <v>2013</v>
      </c>
      <c r="J469" s="4836">
        <v>41584</v>
      </c>
      <c r="K469" s="4837">
        <v>42406.834724020307</v>
      </c>
      <c r="L469" s="4834">
        <f t="shared" si="33"/>
        <v>4.8758520155036227E-5</v>
      </c>
      <c r="S469" s="270" t="s">
        <v>11548</v>
      </c>
      <c r="T469" s="4838">
        <v>702.49381252452145</v>
      </c>
      <c r="U469" s="4839">
        <f t="shared" si="32"/>
        <v>2.1683217944552312E-3</v>
      </c>
    </row>
    <row r="470" spans="1:21">
      <c r="A470" s="270" t="s">
        <v>11549</v>
      </c>
      <c r="B470" s="3305">
        <v>7138.5</v>
      </c>
      <c r="C470" s="4834">
        <f t="shared" si="30"/>
        <v>2.9466366657933439E-4</v>
      </c>
      <c r="D470" s="3" t="str">
        <f t="shared" si="31"/>
        <v>2013</v>
      </c>
      <c r="J470" s="4836">
        <v>41585</v>
      </c>
      <c r="K470" s="4837">
        <v>42029.063451838927</v>
      </c>
      <c r="L470" s="4834">
        <f t="shared" si="33"/>
        <v>4.7714496649200435E-5</v>
      </c>
      <c r="S470" s="270" t="s">
        <v>11549</v>
      </c>
      <c r="T470" s="4838">
        <v>694.45612588236452</v>
      </c>
      <c r="U470" s="4839">
        <f t="shared" si="32"/>
        <v>2.1992305825822571E-3</v>
      </c>
    </row>
    <row r="471" spans="1:21">
      <c r="A471" s="270" t="s">
        <v>11550</v>
      </c>
      <c r="B471" s="3305">
        <v>7200</v>
      </c>
      <c r="C471" s="4834">
        <f t="shared" si="30"/>
        <v>2.8772117405844523E-4</v>
      </c>
      <c r="D471" s="3" t="str">
        <f t="shared" si="31"/>
        <v>2013</v>
      </c>
      <c r="J471" s="4836">
        <v>41586</v>
      </c>
      <c r="K471" s="4837">
        <v>41329.784713971269</v>
      </c>
      <c r="L471" s="4834">
        <f t="shared" si="33"/>
        <v>4.5537376152206667E-5</v>
      </c>
      <c r="S471" s="270" t="s">
        <v>11550</v>
      </c>
      <c r="T471" s="4838">
        <v>705.38737971569799</v>
      </c>
      <c r="U471" s="4839">
        <f t="shared" si="32"/>
        <v>2.1561778162472313E-3</v>
      </c>
    </row>
    <row r="472" spans="1:21">
      <c r="A472" s="270" t="s">
        <v>11551</v>
      </c>
      <c r="B472" s="3305">
        <v>7119</v>
      </c>
      <c r="C472" s="4834">
        <f t="shared" si="30"/>
        <v>2.9674323408864682E-4</v>
      </c>
      <c r="D472" s="3" t="str">
        <f t="shared" si="31"/>
        <v>2013</v>
      </c>
      <c r="J472" s="4836">
        <v>41589</v>
      </c>
      <c r="K472" s="4837">
        <v>41233.332474265386</v>
      </c>
      <c r="L472" s="4834">
        <f t="shared" si="33"/>
        <v>4.5214397418967741E-5</v>
      </c>
      <c r="S472" s="270" t="s">
        <v>11551</v>
      </c>
      <c r="T472" s="4838">
        <v>699.27873786765861</v>
      </c>
      <c r="U472" s="4839">
        <f t="shared" si="32"/>
        <v>2.1811897328420701E-3</v>
      </c>
    </row>
    <row r="473" spans="1:21">
      <c r="A473" s="270" t="s">
        <v>11552</v>
      </c>
      <c r="B473" s="3305">
        <v>7125.5</v>
      </c>
      <c r="C473" s="4834">
        <f t="shared" si="30"/>
        <v>2.9605676997181303E-4</v>
      </c>
      <c r="D473" s="3" t="str">
        <f t="shared" si="31"/>
        <v>2013</v>
      </c>
      <c r="J473" s="4836">
        <v>41590</v>
      </c>
      <c r="K473" s="4837">
        <v>41193.144041054598</v>
      </c>
      <c r="L473" s="4834">
        <f t="shared" si="33"/>
        <v>4.507831881576161E-5</v>
      </c>
      <c r="S473" s="270" t="s">
        <v>11552</v>
      </c>
      <c r="T473" s="4838">
        <v>697.67120053922713</v>
      </c>
      <c r="U473" s="4839">
        <f t="shared" si="32"/>
        <v>2.1873730196328139E-3</v>
      </c>
    </row>
    <row r="474" spans="1:21">
      <c r="A474" s="270" t="s">
        <v>11553</v>
      </c>
      <c r="B474" s="3305">
        <v>7135</v>
      </c>
      <c r="C474" s="4834">
        <f t="shared" si="30"/>
        <v>2.9504136140076853E-4</v>
      </c>
      <c r="D474" s="3" t="str">
        <f t="shared" si="31"/>
        <v>2013</v>
      </c>
      <c r="J474" s="4836">
        <v>41591</v>
      </c>
      <c r="K474" s="4837">
        <v>40911.825008579108</v>
      </c>
      <c r="L474" s="4834">
        <f t="shared" si="33"/>
        <v>4.4102007062943619E-5</v>
      </c>
      <c r="S474" s="270" t="s">
        <v>11553</v>
      </c>
      <c r="T474" s="4838">
        <v>688.02597656863873</v>
      </c>
      <c r="U474" s="4839">
        <f t="shared" si="32"/>
        <v>2.2208693359830746E-3</v>
      </c>
    </row>
    <row r="475" spans="1:21">
      <c r="A475" s="270" t="s">
        <v>11554</v>
      </c>
      <c r="B475" s="3305">
        <v>7124</v>
      </c>
      <c r="C475" s="4834">
        <f t="shared" si="30"/>
        <v>2.9621578527723967E-4</v>
      </c>
      <c r="D475" s="3" t="str">
        <f t="shared" si="31"/>
        <v>2013</v>
      </c>
      <c r="J475" s="4836">
        <v>41592</v>
      </c>
      <c r="K475" s="4837">
        <v>41345.860087255583</v>
      </c>
      <c r="L475" s="4834">
        <f t="shared" si="33"/>
        <v>4.5590703146829074E-5</v>
      </c>
      <c r="S475" s="270" t="s">
        <v>11554</v>
      </c>
      <c r="T475" s="4838">
        <v>678.38075259805044</v>
      </c>
      <c r="U475" s="4839">
        <f t="shared" si="32"/>
        <v>2.2479797658717078E-3</v>
      </c>
    </row>
    <row r="476" spans="1:21">
      <c r="A476" s="270" t="s">
        <v>11555</v>
      </c>
      <c r="B476" s="3305">
        <v>7021.5</v>
      </c>
      <c r="C476" s="4834">
        <f t="shared" si="30"/>
        <v>3.0619511520338019E-4</v>
      </c>
      <c r="D476" s="3" t="str">
        <f t="shared" si="31"/>
        <v>2013</v>
      </c>
      <c r="J476" s="4836">
        <v>41593</v>
      </c>
      <c r="K476" s="4837">
        <v>41386.048520466371</v>
      </c>
      <c r="L476" s="4834">
        <f t="shared" si="33"/>
        <v>4.5723383044928508E-5</v>
      </c>
      <c r="S476" s="270" t="s">
        <v>11555</v>
      </c>
      <c r="T476" s="4838">
        <v>665.52045397059919</v>
      </c>
      <c r="U476" s="4839">
        <f t="shared" si="32"/>
        <v>2.2737785735810526E-3</v>
      </c>
    </row>
    <row r="477" spans="1:21">
      <c r="A477" s="270" t="s">
        <v>11556</v>
      </c>
      <c r="B477" s="3305">
        <v>6939</v>
      </c>
      <c r="C477" s="4834">
        <f t="shared" si="30"/>
        <v>3.1287285626397407E-4</v>
      </c>
      <c r="D477" s="3" t="str">
        <f t="shared" si="31"/>
        <v>2013</v>
      </c>
      <c r="J477" s="4836">
        <v>41596</v>
      </c>
      <c r="K477" s="4837">
        <v>41265.483220834016</v>
      </c>
      <c r="L477" s="4834">
        <f t="shared" si="33"/>
        <v>4.5322627226945916E-5</v>
      </c>
      <c r="S477" s="270" t="s">
        <v>11556</v>
      </c>
      <c r="T477" s="4838">
        <v>668.09251369608944</v>
      </c>
      <c r="U477" s="4839">
        <f t="shared" si="32"/>
        <v>2.2695840981807685E-3</v>
      </c>
    </row>
    <row r="478" spans="1:21">
      <c r="A478" s="270" t="s">
        <v>11557</v>
      </c>
      <c r="B478" s="3305">
        <v>6967.5</v>
      </c>
      <c r="C478" s="4834">
        <f t="shared" si="30"/>
        <v>3.1070927374683775E-4</v>
      </c>
      <c r="D478" s="3" t="str">
        <f t="shared" si="31"/>
        <v>2013</v>
      </c>
      <c r="J478" s="4836">
        <v>41597</v>
      </c>
      <c r="K478" s="4837">
        <v>41016.314934927148</v>
      </c>
      <c r="L478" s="4834">
        <f t="shared" si="33"/>
        <v>4.4469383076762556E-5</v>
      </c>
      <c r="S478" s="270" t="s">
        <v>11557</v>
      </c>
      <c r="T478" s="4838">
        <v>663.59140917648153</v>
      </c>
      <c r="U478" s="4839">
        <f t="shared" si="32"/>
        <v>2.2766039476259168E-3</v>
      </c>
    </row>
    <row r="479" spans="1:21">
      <c r="A479" s="270" t="s">
        <v>11558</v>
      </c>
      <c r="B479" s="3305">
        <v>6999.5</v>
      </c>
      <c r="C479" s="4834">
        <f t="shared" si="30"/>
        <v>3.080986402677103E-4</v>
      </c>
      <c r="D479" s="3" t="str">
        <f t="shared" si="31"/>
        <v>2013</v>
      </c>
      <c r="J479" s="4836">
        <v>41598</v>
      </c>
      <c r="K479" s="4837">
        <v>40413.488436765372</v>
      </c>
      <c r="L479" s="4834">
        <f t="shared" si="33"/>
        <v>4.2279170615854947E-5</v>
      </c>
      <c r="S479" s="270" t="s">
        <v>11558</v>
      </c>
      <c r="T479" s="4838">
        <v>663.59140917648153</v>
      </c>
      <c r="U479" s="4839">
        <f t="shared" si="32"/>
        <v>2.2766039476259168E-3</v>
      </c>
    </row>
    <row r="480" spans="1:21">
      <c r="A480" s="270" t="s">
        <v>11559</v>
      </c>
      <c r="B480" s="3305">
        <v>6947</v>
      </c>
      <c r="C480" s="4834">
        <f t="shared" si="30"/>
        <v>3.1228111357179235E-4</v>
      </c>
      <c r="D480" s="3" t="str">
        <f t="shared" si="31"/>
        <v>2013</v>
      </c>
      <c r="J480" s="4836">
        <v>41599</v>
      </c>
      <c r="K480" s="4837">
        <v>39866.925745098699</v>
      </c>
      <c r="L480" s="4834">
        <f t="shared" si="33"/>
        <v>4.0163830983318169E-5</v>
      </c>
      <c r="S480" s="270" t="s">
        <v>11559</v>
      </c>
      <c r="T480" s="4838">
        <v>657.16125986275597</v>
      </c>
      <c r="U480" s="4839">
        <f t="shared" si="32"/>
        <v>2.2840244948072221E-3</v>
      </c>
    </row>
    <row r="481" spans="1:21">
      <c r="A481" s="270" t="s">
        <v>11560</v>
      </c>
      <c r="B481" s="3305">
        <v>6980</v>
      </c>
      <c r="C481" s="4834">
        <f t="shared" si="30"/>
        <v>3.0971207139565097E-4</v>
      </c>
      <c r="D481" s="3" t="str">
        <f t="shared" si="31"/>
        <v>2013</v>
      </c>
      <c r="J481" s="4836">
        <v>41600</v>
      </c>
      <c r="K481" s="4837">
        <v>40067.867911152622</v>
      </c>
      <c r="L481" s="4834">
        <f t="shared" si="33"/>
        <v>4.095399076799154E-5</v>
      </c>
      <c r="S481" s="270" t="s">
        <v>11560</v>
      </c>
      <c r="T481" s="4838">
        <v>650.73111054903029</v>
      </c>
      <c r="U481" s="4839">
        <f t="shared" si="32"/>
        <v>2.2883506739135558E-3</v>
      </c>
    </row>
    <row r="482" spans="1:21">
      <c r="A482" s="270" t="s">
        <v>11561</v>
      </c>
      <c r="B482" s="3305">
        <v>6992</v>
      </c>
      <c r="C482" s="4834">
        <f t="shared" si="30"/>
        <v>3.087274684684091E-4</v>
      </c>
      <c r="D482" s="3" t="str">
        <f t="shared" si="31"/>
        <v>2013</v>
      </c>
      <c r="J482" s="4836">
        <v>41603</v>
      </c>
      <c r="K482" s="4837">
        <v>39963.377984804582</v>
      </c>
      <c r="L482" s="4834">
        <f t="shared" si="33"/>
        <v>4.0544786979725429E-5</v>
      </c>
      <c r="S482" s="270" t="s">
        <v>11561</v>
      </c>
      <c r="T482" s="4838">
        <v>642.05040897550066</v>
      </c>
      <c r="U482" s="4839">
        <f t="shared" si="32"/>
        <v>2.2892532807766187E-3</v>
      </c>
    </row>
    <row r="483" spans="1:21">
      <c r="A483" s="270" t="s">
        <v>11562</v>
      </c>
      <c r="B483" s="3305">
        <v>7065.5</v>
      </c>
      <c r="C483" s="4834">
        <f t="shared" si="30"/>
        <v>3.0213025417738515E-4</v>
      </c>
      <c r="D483" s="3" t="str">
        <f t="shared" si="31"/>
        <v>2013</v>
      </c>
      <c r="J483" s="4836">
        <v>41604</v>
      </c>
      <c r="K483" s="4837">
        <v>40108.056344363402</v>
      </c>
      <c r="L483" s="4834">
        <f t="shared" si="33"/>
        <v>4.1110368084094255E-5</v>
      </c>
      <c r="S483" s="270" t="s">
        <v>11562</v>
      </c>
      <c r="T483" s="4838">
        <v>640.76437911275559</v>
      </c>
      <c r="U483" s="4839">
        <f t="shared" si="32"/>
        <v>2.288903815841254E-3</v>
      </c>
    </row>
    <row r="484" spans="1:21">
      <c r="A484" s="270" t="s">
        <v>11563</v>
      </c>
      <c r="B484" s="3305">
        <v>7067.5</v>
      </c>
      <c r="C484" s="4834">
        <f t="shared" si="30"/>
        <v>3.0193750266550607E-4</v>
      </c>
      <c r="D484" s="3" t="str">
        <f t="shared" si="31"/>
        <v>2013</v>
      </c>
      <c r="J484" s="4836">
        <v>41605</v>
      </c>
      <c r="K484" s="4837">
        <v>40027.679477941841</v>
      </c>
      <c r="L484" s="4834">
        <f t="shared" si="33"/>
        <v>4.079704711837208E-5</v>
      </c>
      <c r="S484" s="270" t="s">
        <v>11563</v>
      </c>
      <c r="T484" s="4838">
        <v>633.69121486765755</v>
      </c>
      <c r="U484" s="4839">
        <f t="shared" si="32"/>
        <v>2.2847568789661822E-3</v>
      </c>
    </row>
    <row r="485" spans="1:21">
      <c r="A485" s="270" t="s">
        <v>11564</v>
      </c>
      <c r="B485" s="3305">
        <v>7071</v>
      </c>
      <c r="C485" s="4834">
        <f t="shared" si="30"/>
        <v>3.0159854535573267E-4</v>
      </c>
      <c r="D485" s="3" t="str">
        <f t="shared" si="31"/>
        <v>2013</v>
      </c>
      <c r="J485" s="4836">
        <v>41606</v>
      </c>
      <c r="K485" s="4837">
        <v>40043.754851226149</v>
      </c>
      <c r="L485" s="4834">
        <f t="shared" si="33"/>
        <v>4.0859891828804656E-5</v>
      </c>
      <c r="S485" s="270" t="s">
        <v>11564</v>
      </c>
      <c r="T485" s="4838">
        <v>646.55151349510868</v>
      </c>
      <c r="U485" s="4839">
        <f t="shared" si="32"/>
        <v>2.289494450782594E-3</v>
      </c>
    </row>
    <row r="486" spans="1:21">
      <c r="A486" s="270" t="s">
        <v>11565</v>
      </c>
      <c r="B486" s="3305">
        <v>7051.5</v>
      </c>
      <c r="C486" s="4834">
        <f t="shared" si="30"/>
        <v>3.034602731104381E-4</v>
      </c>
      <c r="D486" s="3" t="str">
        <f t="shared" si="31"/>
        <v>2013</v>
      </c>
      <c r="J486" s="4836">
        <v>41607</v>
      </c>
      <c r="K486" s="4837">
        <v>40284.88545049086</v>
      </c>
      <c r="L486" s="4834">
        <f t="shared" si="33"/>
        <v>4.1791419569077357E-5</v>
      </c>
      <c r="S486" s="270" t="s">
        <v>11565</v>
      </c>
      <c r="T486" s="4838">
        <v>642.37191644118707</v>
      </c>
      <c r="U486" s="4839">
        <f t="shared" si="32"/>
        <v>2.2893211693024852E-3</v>
      </c>
    </row>
    <row r="487" spans="1:21">
      <c r="A487" s="270" t="s">
        <v>11566</v>
      </c>
      <c r="B487" s="3305">
        <v>6988</v>
      </c>
      <c r="C487" s="4834">
        <f t="shared" si="30"/>
        <v>3.09058622452596E-4</v>
      </c>
      <c r="D487" s="3" t="str">
        <f t="shared" si="31"/>
        <v>2013</v>
      </c>
      <c r="J487" s="4836">
        <v>41610</v>
      </c>
      <c r="K487" s="4837">
        <v>39529.342906128099</v>
      </c>
      <c r="L487" s="4834">
        <f t="shared" si="33"/>
        <v>3.8808318423621067E-5</v>
      </c>
      <c r="S487" s="270" t="s">
        <v>11566</v>
      </c>
      <c r="T487" s="4838">
        <v>635.29875219608903</v>
      </c>
      <c r="U487" s="4839">
        <f t="shared" si="32"/>
        <v>2.2860294655036367E-3</v>
      </c>
    </row>
    <row r="488" spans="1:21">
      <c r="A488" s="270" t="s">
        <v>11567</v>
      </c>
      <c r="B488" s="3305">
        <v>7027</v>
      </c>
      <c r="C488" s="4834">
        <f t="shared" si="30"/>
        <v>3.0570563940769772E-4</v>
      </c>
      <c r="D488" s="3" t="str">
        <f t="shared" si="31"/>
        <v>2013</v>
      </c>
      <c r="J488" s="4836">
        <v>41611</v>
      </c>
      <c r="K488" s="4837">
        <v>39135.49626066241</v>
      </c>
      <c r="L488" s="4834">
        <f t="shared" si="33"/>
        <v>3.7190082135322315E-5</v>
      </c>
      <c r="S488" s="270" t="s">
        <v>11567</v>
      </c>
      <c r="T488" s="4838">
        <v>640.76437911275559</v>
      </c>
      <c r="U488" s="4839">
        <f t="shared" si="32"/>
        <v>2.288903815841254E-3</v>
      </c>
    </row>
    <row r="489" spans="1:21">
      <c r="A489" s="270" t="s">
        <v>11568</v>
      </c>
      <c r="B489" s="3305">
        <v>7008.5</v>
      </c>
      <c r="C489" s="4834">
        <f t="shared" si="30"/>
        <v>3.0733050201707215E-4</v>
      </c>
      <c r="D489" s="3" t="str">
        <f t="shared" si="31"/>
        <v>2013</v>
      </c>
      <c r="J489" s="4836">
        <v>41612</v>
      </c>
      <c r="K489" s="4837">
        <v>39465.041412990853</v>
      </c>
      <c r="L489" s="4834">
        <f t="shared" si="33"/>
        <v>3.8546582577701927E-5</v>
      </c>
      <c r="S489" s="270" t="s">
        <v>11568</v>
      </c>
      <c r="T489" s="4838">
        <v>634.97724473040262</v>
      </c>
      <c r="U489" s="4839">
        <f t="shared" si="32"/>
        <v>2.2857904561777494E-3</v>
      </c>
    </row>
    <row r="490" spans="1:21">
      <c r="A490" s="270" t="s">
        <v>11569</v>
      </c>
      <c r="B490" s="3305">
        <v>6945</v>
      </c>
      <c r="C490" s="4834">
        <f t="shared" si="30"/>
        <v>3.124301957343906E-4</v>
      </c>
      <c r="D490" s="3" t="str">
        <f t="shared" si="31"/>
        <v>2013</v>
      </c>
      <c r="J490" s="4836">
        <v>41613</v>
      </c>
      <c r="K490" s="4837">
        <v>39304.28768014771</v>
      </c>
      <c r="L490" s="4834">
        <f t="shared" si="33"/>
        <v>3.7887860369580266E-5</v>
      </c>
      <c r="S490" s="270" t="s">
        <v>11569</v>
      </c>
      <c r="T490" s="4838">
        <v>616.3298117205984</v>
      </c>
      <c r="U490" s="4839">
        <f t="shared" si="32"/>
        <v>2.2587739435350192E-3</v>
      </c>
    </row>
    <row r="491" spans="1:21">
      <c r="A491" s="270" t="s">
        <v>11570</v>
      </c>
      <c r="B491" s="3305">
        <v>6975</v>
      </c>
      <c r="C491" s="4834">
        <f t="shared" si="30"/>
        <v>3.1011444962194304E-4</v>
      </c>
      <c r="D491" s="3" t="str">
        <f t="shared" si="31"/>
        <v>2013</v>
      </c>
      <c r="J491" s="4836">
        <v>41614</v>
      </c>
      <c r="K491" s="4837">
        <v>39641.870519118296</v>
      </c>
      <c r="L491" s="4834">
        <f t="shared" si="33"/>
        <v>3.9263755365259654E-5</v>
      </c>
      <c r="S491" s="270" t="s">
        <v>11570</v>
      </c>
      <c r="T491" s="4838">
        <v>612.47172213236308</v>
      </c>
      <c r="U491" s="4839">
        <f t="shared" si="32"/>
        <v>2.2500045908124566E-3</v>
      </c>
    </row>
    <row r="492" spans="1:21">
      <c r="A492" s="270" t="s">
        <v>11571</v>
      </c>
      <c r="B492" s="3305">
        <v>7081</v>
      </c>
      <c r="C492" s="4834">
        <f t="shared" si="30"/>
        <v>3.0061864378713677E-4</v>
      </c>
      <c r="D492" s="3" t="str">
        <f t="shared" si="31"/>
        <v>2013</v>
      </c>
      <c r="J492" s="4836">
        <v>41617</v>
      </c>
      <c r="K492" s="4837">
        <v>39770.473505392816</v>
      </c>
      <c r="L492" s="4834">
        <f t="shared" si="33"/>
        <v>3.9779932400689243E-5</v>
      </c>
      <c r="S492" s="270" t="s">
        <v>11571</v>
      </c>
      <c r="T492" s="4838">
        <v>625.65352822550062</v>
      </c>
      <c r="U492" s="4839">
        <f t="shared" si="32"/>
        <v>2.275497464522571E-3</v>
      </c>
    </row>
    <row r="493" spans="1:21">
      <c r="A493" s="270" t="s">
        <v>11572</v>
      </c>
      <c r="B493" s="3305">
        <v>7113</v>
      </c>
      <c r="C493" s="4834">
        <f t="shared" si="30"/>
        <v>2.9737086100545561E-4</v>
      </c>
      <c r="D493" s="3" t="str">
        <f t="shared" si="31"/>
        <v>2013</v>
      </c>
      <c r="J493" s="4836">
        <v>41618</v>
      </c>
      <c r="K493" s="4837">
        <v>40710.882842525178</v>
      </c>
      <c r="L493" s="4834">
        <f t="shared" si="33"/>
        <v>4.3380558090891258E-5</v>
      </c>
      <c r="S493" s="270" t="s">
        <v>11572</v>
      </c>
      <c r="T493" s="4838">
        <v>626.61805062255928</v>
      </c>
      <c r="U493" s="4839">
        <f t="shared" si="32"/>
        <v>2.2768624104313878E-3</v>
      </c>
    </row>
    <row r="494" spans="1:21">
      <c r="A494" s="270" t="s">
        <v>11573</v>
      </c>
      <c r="B494" s="3305">
        <v>7141</v>
      </c>
      <c r="C494" s="4834">
        <f t="shared" si="30"/>
        <v>2.9439270656250001E-4</v>
      </c>
      <c r="D494" s="3" t="str">
        <f t="shared" si="31"/>
        <v>2013</v>
      </c>
      <c r="J494" s="4836">
        <v>41619</v>
      </c>
      <c r="K494" s="4837">
        <v>40534.053736397727</v>
      </c>
      <c r="L494" s="4834">
        <f t="shared" si="33"/>
        <v>4.2730294066243469E-5</v>
      </c>
      <c r="S494" s="270" t="s">
        <v>11573</v>
      </c>
      <c r="T494" s="4838">
        <v>626.93955808824569</v>
      </c>
      <c r="U494" s="4839">
        <f t="shared" si="32"/>
        <v>2.2773020673426819E-3</v>
      </c>
    </row>
    <row r="495" spans="1:21">
      <c r="A495" s="270" t="s">
        <v>11574</v>
      </c>
      <c r="B495" s="3305">
        <v>7165.5</v>
      </c>
      <c r="C495" s="4834">
        <f t="shared" si="30"/>
        <v>2.9168603329008378E-4</v>
      </c>
      <c r="D495" s="3" t="str">
        <f t="shared" si="31"/>
        <v>2013</v>
      </c>
      <c r="J495" s="4836">
        <v>41620</v>
      </c>
      <c r="K495" s="4837">
        <v>39392.702233211436</v>
      </c>
      <c r="L495" s="4834">
        <f t="shared" si="33"/>
        <v>3.8250907641550861E-5</v>
      </c>
      <c r="S495" s="270" t="s">
        <v>11574</v>
      </c>
      <c r="T495" s="4838">
        <v>644.62246870099102</v>
      </c>
      <c r="U495" s="4839">
        <f t="shared" si="32"/>
        <v>2.2895781676849011E-3</v>
      </c>
    </row>
    <row r="496" spans="1:21">
      <c r="A496" s="270" t="s">
        <v>11575</v>
      </c>
      <c r="B496" s="3305">
        <v>7169.5</v>
      </c>
      <c r="C496" s="4834">
        <f t="shared" si="30"/>
        <v>2.9123541377351587E-4</v>
      </c>
      <c r="D496" s="3" t="str">
        <f t="shared" si="31"/>
        <v>2013</v>
      </c>
      <c r="J496" s="4836">
        <v>41621</v>
      </c>
      <c r="K496" s="4837">
        <v>39609.719772549674</v>
      </c>
      <c r="L496" s="4834">
        <f t="shared" si="33"/>
        <v>3.9133978905645819E-5</v>
      </c>
      <c r="S496" s="270" t="s">
        <v>11575</v>
      </c>
      <c r="T496" s="4838">
        <v>655.55372253432449</v>
      </c>
      <c r="U496" s="4839">
        <f t="shared" si="32"/>
        <v>2.2853970420054631E-3</v>
      </c>
    </row>
    <row r="497" spans="1:21">
      <c r="A497" s="270" t="s">
        <v>11576</v>
      </c>
      <c r="B497" s="3305">
        <v>7230</v>
      </c>
      <c r="C497" s="4834">
        <f t="shared" si="30"/>
        <v>2.8413371821932803E-4</v>
      </c>
      <c r="D497" s="3" t="str">
        <f t="shared" si="31"/>
        <v>2013</v>
      </c>
      <c r="J497" s="4836">
        <v>41624</v>
      </c>
      <c r="K497" s="4837">
        <v>39698.134325613406</v>
      </c>
      <c r="L497" s="4834">
        <f t="shared" si="33"/>
        <v>3.9490169666313283E-5</v>
      </c>
      <c r="S497" s="270" t="s">
        <v>11576</v>
      </c>
      <c r="T497" s="4838">
        <v>636.58478205883409</v>
      </c>
      <c r="U497" s="4839">
        <f t="shared" si="32"/>
        <v>2.2869078897414766E-3</v>
      </c>
    </row>
    <row r="498" spans="1:21">
      <c r="A498" s="270" t="s">
        <v>11577</v>
      </c>
      <c r="B498" s="3305">
        <v>7218.5</v>
      </c>
      <c r="C498" s="4834">
        <f t="shared" si="30"/>
        <v>2.8552386860111918E-4</v>
      </c>
      <c r="D498" s="3" t="str">
        <f t="shared" si="31"/>
        <v>2013</v>
      </c>
      <c r="J498" s="4836">
        <v>41625</v>
      </c>
      <c r="K498" s="4837">
        <v>39601.682085907516</v>
      </c>
      <c r="L498" s="4834">
        <f t="shared" si="33"/>
        <v>3.9101490579140777E-5</v>
      </c>
      <c r="S498" s="270" t="s">
        <v>11577</v>
      </c>
      <c r="T498" s="4838">
        <v>628.54709541667705</v>
      </c>
      <c r="U498" s="4839">
        <f t="shared" si="32"/>
        <v>2.2793852143662653E-3</v>
      </c>
    </row>
    <row r="499" spans="1:21">
      <c r="A499" s="270" t="s">
        <v>11578</v>
      </c>
      <c r="B499" s="3305">
        <v>7325.5</v>
      </c>
      <c r="C499" s="4834">
        <f t="shared" si="30"/>
        <v>2.719187314072308E-4</v>
      </c>
      <c r="D499" s="3" t="str">
        <f t="shared" si="31"/>
        <v>2013</v>
      </c>
      <c r="J499" s="4836">
        <v>41626</v>
      </c>
      <c r="K499" s="4837">
        <v>39561.493652696736</v>
      </c>
      <c r="L499" s="4834">
        <f t="shared" si="33"/>
        <v>3.8938788104359007E-5</v>
      </c>
      <c r="S499" s="270" t="s">
        <v>11578</v>
      </c>
      <c r="T499" s="4838">
        <v>626.93955808824569</v>
      </c>
      <c r="U499" s="4839">
        <f t="shared" si="32"/>
        <v>2.2773020673426819E-3</v>
      </c>
    </row>
    <row r="500" spans="1:21">
      <c r="A500" s="270" t="s">
        <v>11579</v>
      </c>
      <c r="B500" s="3305">
        <v>7286</v>
      </c>
      <c r="C500" s="4834">
        <f t="shared" si="30"/>
        <v>2.7711053549392986E-4</v>
      </c>
      <c r="D500" s="3" t="str">
        <f t="shared" si="31"/>
        <v>2013</v>
      </c>
      <c r="J500" s="4836">
        <v>41627</v>
      </c>
      <c r="K500" s="4837">
        <v>38452.292896079067</v>
      </c>
      <c r="L500" s="4834">
        <f t="shared" si="33"/>
        <v>3.4318123729310881E-5</v>
      </c>
      <c r="S500" s="270" t="s">
        <v>11579</v>
      </c>
      <c r="T500" s="4838">
        <v>643.65794630393214</v>
      </c>
      <c r="U500" s="4839">
        <f t="shared" si="32"/>
        <v>2.2895147917737723E-3</v>
      </c>
    </row>
    <row r="501" spans="1:21">
      <c r="A501" s="270" t="s">
        <v>11580</v>
      </c>
      <c r="B501" s="3305">
        <v>7230</v>
      </c>
      <c r="C501" s="4834">
        <f t="shared" si="30"/>
        <v>2.8413371821932803E-4</v>
      </c>
      <c r="D501" s="3" t="str">
        <f t="shared" si="31"/>
        <v>2013</v>
      </c>
      <c r="J501" s="4836">
        <v>41628</v>
      </c>
      <c r="K501" s="4837">
        <v>38428.179836152594</v>
      </c>
      <c r="L501" s="4834">
        <f t="shared" si="33"/>
        <v>3.4215774825533754E-5</v>
      </c>
      <c r="S501" s="270" t="s">
        <v>11580</v>
      </c>
      <c r="T501" s="4838">
        <v>641.085886578442</v>
      </c>
      <c r="U501" s="4839">
        <f t="shared" si="32"/>
        <v>2.289002866994955E-3</v>
      </c>
    </row>
    <row r="502" spans="1:21">
      <c r="A502" s="270" t="s">
        <v>11581</v>
      </c>
      <c r="B502" s="3305">
        <v>7218.5</v>
      </c>
      <c r="C502" s="4834">
        <f t="shared" si="30"/>
        <v>2.8552386860111918E-4</v>
      </c>
      <c r="D502" s="3" t="str">
        <f t="shared" si="31"/>
        <v>2013</v>
      </c>
      <c r="J502" s="4836">
        <v>41631</v>
      </c>
      <c r="K502" s="4837">
        <v>38548.74513578495</v>
      </c>
      <c r="L502" s="4834">
        <f t="shared" si="33"/>
        <v>3.4727031674587718E-5</v>
      </c>
      <c r="S502" s="270" t="s">
        <v>11581</v>
      </c>
      <c r="T502" s="4838">
        <v>621.79543863726519</v>
      </c>
      <c r="U502" s="4839">
        <f t="shared" si="32"/>
        <v>2.2693503769284015E-3</v>
      </c>
    </row>
    <row r="503" spans="1:21">
      <c r="A503" s="270" t="s">
        <v>11582</v>
      </c>
      <c r="B503" s="3305">
        <v>7264.5</v>
      </c>
      <c r="C503" s="4834">
        <f t="shared" si="30"/>
        <v>2.7985545208689984E-4</v>
      </c>
      <c r="D503" s="3" t="str">
        <f t="shared" si="31"/>
        <v>2013</v>
      </c>
      <c r="J503" s="4836">
        <v>41635</v>
      </c>
      <c r="K503" s="4837">
        <v>39047.081707598685</v>
      </c>
      <c r="L503" s="4834">
        <f t="shared" si="33"/>
        <v>3.6822344230364273E-5</v>
      </c>
      <c r="S503" s="270" t="s">
        <v>11582</v>
      </c>
      <c r="T503" s="4838">
        <v>621.47393117157878</v>
      </c>
      <c r="U503" s="4839">
        <f t="shared" si="32"/>
        <v>2.2687886601565799E-3</v>
      </c>
    </row>
    <row r="504" spans="1:21">
      <c r="A504" s="270" t="s">
        <v>11583</v>
      </c>
      <c r="B504" s="3305">
        <v>7251</v>
      </c>
      <c r="C504" s="4834">
        <f t="shared" si="30"/>
        <v>2.8154847325361442E-4</v>
      </c>
      <c r="D504" s="3" t="str">
        <f t="shared" si="31"/>
        <v>2013</v>
      </c>
      <c r="J504" s="4836">
        <v>41638</v>
      </c>
      <c r="K504" s="4837">
        <v>38725.574241912407</v>
      </c>
      <c r="L504" s="4834">
        <f t="shared" si="33"/>
        <v>3.5474284678010229E-5</v>
      </c>
      <c r="S504" s="270" t="s">
        <v>11583</v>
      </c>
      <c r="T504" s="4838">
        <v>622.75996103432408</v>
      </c>
      <c r="U504" s="4839">
        <f t="shared" si="32"/>
        <v>2.2709899695042596E-3</v>
      </c>
    </row>
    <row r="505" spans="1:21">
      <c r="A505" s="270" t="s">
        <v>11584</v>
      </c>
      <c r="B505" s="3305">
        <v>7280</v>
      </c>
      <c r="C505" s="4834">
        <f t="shared" si="30"/>
        <v>2.7788246548526526E-4</v>
      </c>
      <c r="D505" s="3" t="str">
        <f t="shared" si="31"/>
        <v>2013</v>
      </c>
      <c r="J505" s="4836">
        <v>41641</v>
      </c>
      <c r="K505" s="4837">
        <v>39384.664546569278</v>
      </c>
      <c r="L505" s="4834">
        <f t="shared" si="33"/>
        <v>3.8217977640243029E-5</v>
      </c>
      <c r="S505" s="270" t="s">
        <v>11584</v>
      </c>
      <c r="T505" s="4838">
        <v>623.72448343138274</v>
      </c>
      <c r="U505" s="4839">
        <f t="shared" si="32"/>
        <v>2.2725611097102346E-3</v>
      </c>
    </row>
    <row r="506" spans="1:21">
      <c r="A506" s="270" t="s">
        <v>11585</v>
      </c>
      <c r="B506" s="3305">
        <v>7375</v>
      </c>
      <c r="C506" s="4834">
        <f t="shared" si="30"/>
        <v>2.6515942816458793E-4</v>
      </c>
      <c r="D506" s="3" t="str">
        <f t="shared" si="31"/>
        <v>2013</v>
      </c>
      <c r="J506" s="4836">
        <v>41642</v>
      </c>
      <c r="K506" s="4837">
        <v>39690.096638971241</v>
      </c>
      <c r="L506" s="4834">
        <f t="shared" si="33"/>
        <v>3.9457879769630748E-5</v>
      </c>
      <c r="S506" s="270" t="s">
        <v>11585</v>
      </c>
      <c r="T506" s="4838">
        <v>640.44287164706952</v>
      </c>
      <c r="U506" s="4839">
        <f t="shared" si="32"/>
        <v>2.2887969763605823E-3</v>
      </c>
    </row>
    <row r="507" spans="1:21">
      <c r="A507" s="270" t="s">
        <v>11586</v>
      </c>
      <c r="B507" s="3305">
        <v>7387</v>
      </c>
      <c r="C507" s="4834">
        <f t="shared" si="30"/>
        <v>2.6348135674088865E-4</v>
      </c>
      <c r="D507" s="3" t="str">
        <f t="shared" si="31"/>
        <v>2013</v>
      </c>
      <c r="J507" s="4836">
        <v>41645</v>
      </c>
      <c r="K507" s="4837">
        <v>40067.867911152622</v>
      </c>
      <c r="L507" s="4834">
        <f t="shared" si="33"/>
        <v>4.095399076799154E-5</v>
      </c>
      <c r="S507" s="270" t="s">
        <v>11586</v>
      </c>
      <c r="T507" s="4838">
        <v>631.76217007353978</v>
      </c>
      <c r="U507" s="4839">
        <f t="shared" si="32"/>
        <v>2.2829741942118537E-3</v>
      </c>
    </row>
    <row r="508" spans="1:21">
      <c r="A508" s="270" t="s">
        <v>11587</v>
      </c>
      <c r="B508" s="3305">
        <v>7394</v>
      </c>
      <c r="C508" s="4834">
        <f t="shared" si="30"/>
        <v>2.624957362041338E-4</v>
      </c>
      <c r="D508" s="3" t="str">
        <f t="shared" si="31"/>
        <v>2013</v>
      </c>
      <c r="J508" s="4836">
        <v>41646</v>
      </c>
      <c r="K508" s="4837">
        <v>39465.041412990853</v>
      </c>
      <c r="L508" s="4834">
        <f t="shared" si="33"/>
        <v>3.8546582577701927E-5</v>
      </c>
      <c r="S508" s="270" t="s">
        <v>11587</v>
      </c>
      <c r="T508" s="4838">
        <v>626.93955808824569</v>
      </c>
      <c r="U508" s="4839">
        <f t="shared" si="32"/>
        <v>2.2773020673426819E-3</v>
      </c>
    </row>
    <row r="509" spans="1:21">
      <c r="A509" s="270" t="s">
        <v>11588</v>
      </c>
      <c r="B509" s="3305">
        <v>7439.5</v>
      </c>
      <c r="C509" s="4834">
        <f t="shared" si="30"/>
        <v>2.5597426818892448E-4</v>
      </c>
      <c r="D509" s="3" t="str">
        <f t="shared" si="31"/>
        <v>2014</v>
      </c>
      <c r="J509" s="4836">
        <v>41647</v>
      </c>
      <c r="K509" s="4837">
        <v>39256.061560294766</v>
      </c>
      <c r="L509" s="4834">
        <f t="shared" si="33"/>
        <v>3.7689100664739325E-5</v>
      </c>
      <c r="S509" s="270" t="s">
        <v>11588</v>
      </c>
      <c r="T509" s="4838">
        <v>641.085886578442</v>
      </c>
      <c r="U509" s="4839">
        <f t="shared" si="32"/>
        <v>2.289002866994955E-3</v>
      </c>
    </row>
    <row r="510" spans="1:21">
      <c r="A510" s="270" t="s">
        <v>11589</v>
      </c>
      <c r="B510" s="3305">
        <v>7335.5</v>
      </c>
      <c r="C510" s="4834">
        <f t="shared" si="30"/>
        <v>2.7057514107715934E-4</v>
      </c>
      <c r="D510" s="3" t="str">
        <f t="shared" si="31"/>
        <v>2014</v>
      </c>
      <c r="J510" s="4836">
        <v>41648</v>
      </c>
      <c r="K510" s="4837">
        <v>39416.815293137908</v>
      </c>
      <c r="L510" s="4834">
        <f t="shared" si="33"/>
        <v>3.8349606026139063E-5</v>
      </c>
      <c r="S510" s="270" t="s">
        <v>11589</v>
      </c>
      <c r="T510" s="4838">
        <v>649.44508068628511</v>
      </c>
      <c r="U510" s="4839">
        <f t="shared" si="32"/>
        <v>2.2888428096942107E-3</v>
      </c>
    </row>
    <row r="511" spans="1:21">
      <c r="A511" s="270" t="s">
        <v>11590</v>
      </c>
      <c r="B511" s="3305">
        <v>7313.5</v>
      </c>
      <c r="C511" s="4834">
        <f t="shared" si="30"/>
        <v>2.7351574488293203E-4</v>
      </c>
      <c r="D511" s="3" t="str">
        <f t="shared" si="31"/>
        <v>2014</v>
      </c>
      <c r="J511" s="4836">
        <v>41649</v>
      </c>
      <c r="K511" s="4837">
        <v>40003.566418015369</v>
      </c>
      <c r="L511" s="4834">
        <f t="shared" si="33"/>
        <v>4.0702613700414845E-5</v>
      </c>
      <c r="S511" s="270" t="s">
        <v>11590</v>
      </c>
      <c r="T511" s="4838">
        <v>644.30096123530473</v>
      </c>
      <c r="U511" s="4839">
        <f t="shared" si="32"/>
        <v>2.2895648373872238E-3</v>
      </c>
    </row>
    <row r="512" spans="1:21">
      <c r="A512" s="270" t="s">
        <v>11591</v>
      </c>
      <c r="B512" s="3305">
        <v>7354</v>
      </c>
      <c r="C512" s="4834">
        <f t="shared" si="30"/>
        <v>2.6805979356133585E-4</v>
      </c>
      <c r="D512" s="3" t="str">
        <f t="shared" si="31"/>
        <v>2014</v>
      </c>
      <c r="J512" s="4836">
        <v>41652</v>
      </c>
      <c r="K512" s="4837">
        <v>40124.131717647724</v>
      </c>
      <c r="L512" s="4834">
        <f t="shared" si="33"/>
        <v>4.1172757954810621E-5</v>
      </c>
      <c r="S512" s="270" t="s">
        <v>11591</v>
      </c>
      <c r="T512" s="4838">
        <v>643.65794630393214</v>
      </c>
      <c r="U512" s="4839">
        <f t="shared" si="32"/>
        <v>2.2895147917737723E-3</v>
      </c>
    </row>
    <row r="513" spans="1:21">
      <c r="A513" s="270" t="s">
        <v>11592</v>
      </c>
      <c r="B513" s="3305">
        <v>7368</v>
      </c>
      <c r="C513" s="4834">
        <f t="shared" si="30"/>
        <v>2.6613141876563904E-4</v>
      </c>
      <c r="D513" s="3" t="str">
        <f t="shared" si="31"/>
        <v>2014</v>
      </c>
      <c r="J513" s="4836">
        <v>41653</v>
      </c>
      <c r="K513" s="4837">
        <v>40236.659330637922</v>
      </c>
      <c r="L513" s="4834">
        <f t="shared" si="33"/>
        <v>4.1606840713029135E-5</v>
      </c>
      <c r="S513" s="270" t="s">
        <v>11592</v>
      </c>
      <c r="T513" s="4838">
        <v>627.58257301961817</v>
      </c>
      <c r="U513" s="4839">
        <f t="shared" si="32"/>
        <v>2.2781583666162128E-3</v>
      </c>
    </row>
    <row r="514" spans="1:21">
      <c r="A514" s="270" t="s">
        <v>11593</v>
      </c>
      <c r="B514" s="3305">
        <v>7282</v>
      </c>
      <c r="C514" s="4834">
        <f t="shared" si="30"/>
        <v>2.776256582458067E-4</v>
      </c>
      <c r="D514" s="3" t="str">
        <f t="shared" si="31"/>
        <v>2014</v>
      </c>
      <c r="J514" s="4836">
        <v>41654</v>
      </c>
      <c r="K514" s="4837">
        <v>39738.322758824179</v>
      </c>
      <c r="L514" s="4834">
        <f t="shared" si="33"/>
        <v>3.9651338811964328E-5</v>
      </c>
      <c r="S514" s="270" t="s">
        <v>11593</v>
      </c>
      <c r="T514" s="4838">
        <v>628.22558795099076</v>
      </c>
      <c r="U514" s="4839">
        <f t="shared" si="32"/>
        <v>2.2789839509004444E-3</v>
      </c>
    </row>
    <row r="515" spans="1:21">
      <c r="A515" s="270" t="s">
        <v>11594</v>
      </c>
      <c r="B515" s="3305">
        <v>7283.5</v>
      </c>
      <c r="C515" s="4834">
        <f t="shared" si="30"/>
        <v>2.7743272237837021E-4</v>
      </c>
      <c r="D515" s="3" t="str">
        <f t="shared" si="31"/>
        <v>2014</v>
      </c>
      <c r="J515" s="4836">
        <v>41655</v>
      </c>
      <c r="K515" s="4837">
        <v>39915.151864951637</v>
      </c>
      <c r="L515" s="4834">
        <f t="shared" si="33"/>
        <v>4.0354686393152223E-5</v>
      </c>
      <c r="S515" s="270" t="s">
        <v>11594</v>
      </c>
      <c r="T515" s="4838">
        <v>636.58478205883409</v>
      </c>
      <c r="U515" s="4839">
        <f t="shared" si="32"/>
        <v>2.2869078897414766E-3</v>
      </c>
    </row>
    <row r="516" spans="1:21">
      <c r="A516" s="270" t="s">
        <v>11595</v>
      </c>
      <c r="B516" s="3305">
        <v>7305.5</v>
      </c>
      <c r="C516" s="4834">
        <f t="shared" ref="C516:C579" si="34">_xlfn.NORM.DIST(B516,$F$4,$F$3,FALSE)</f>
        <v>2.7457096295825455E-4</v>
      </c>
      <c r="D516" s="3" t="str">
        <f t="shared" ref="D516:D579" si="35">LEFT(A516,4)</f>
        <v>2014</v>
      </c>
      <c r="J516" s="4836">
        <v>41656</v>
      </c>
      <c r="K516" s="4837">
        <v>40188.433210784977</v>
      </c>
      <c r="L516" s="4834">
        <f t="shared" si="33"/>
        <v>4.1421379399589974E-5</v>
      </c>
      <c r="S516" s="270" t="s">
        <v>11595</v>
      </c>
      <c r="T516" s="4838">
        <v>645.90849856373609</v>
      </c>
      <c r="U516" s="4839">
        <f t="shared" ref="U516:U579" si="36">_xlfn.NORM.DIST(T516,$X$4,$X$3,FALSE)</f>
        <v>2.2895535365672435E-3</v>
      </c>
    </row>
    <row r="517" spans="1:21">
      <c r="A517" s="270" t="s">
        <v>11596</v>
      </c>
      <c r="B517" s="3305">
        <v>7343</v>
      </c>
      <c r="C517" s="4834">
        <f t="shared" si="34"/>
        <v>2.695599966146459E-4</v>
      </c>
      <c r="D517" s="3" t="str">
        <f t="shared" si="35"/>
        <v>2014</v>
      </c>
      <c r="J517" s="4836">
        <v>41659</v>
      </c>
      <c r="K517" s="4837">
        <v>40373.300003554592</v>
      </c>
      <c r="L517" s="4834">
        <f t="shared" ref="L517:L580" si="37">_xlfn.NORM.DIST(K517,$O$4,$O$3,FALSE)</f>
        <v>4.2127458905697749E-5</v>
      </c>
      <c r="S517" s="270" t="s">
        <v>11596</v>
      </c>
      <c r="T517" s="4838">
        <v>651.69563294608918</v>
      </c>
      <c r="U517" s="4839">
        <f t="shared" si="36"/>
        <v>2.2878998498318628E-3</v>
      </c>
    </row>
    <row r="518" spans="1:21">
      <c r="A518" s="270" t="s">
        <v>11597</v>
      </c>
      <c r="B518" s="3305">
        <v>7309</v>
      </c>
      <c r="C518" s="4834">
        <f t="shared" si="34"/>
        <v>2.7411024617004771E-4</v>
      </c>
      <c r="D518" s="3" t="str">
        <f t="shared" si="35"/>
        <v>2014</v>
      </c>
      <c r="J518" s="4836">
        <v>41660</v>
      </c>
      <c r="K518" s="4837">
        <v>39802.624251961439</v>
      </c>
      <c r="L518" s="4834">
        <f t="shared" si="37"/>
        <v>3.9908216079251346E-5</v>
      </c>
      <c r="S518" s="270" t="s">
        <v>11597</v>
      </c>
      <c r="T518" s="4838">
        <v>645.90849856373609</v>
      </c>
      <c r="U518" s="4839">
        <f t="shared" si="36"/>
        <v>2.2895535365672435E-3</v>
      </c>
    </row>
    <row r="519" spans="1:21">
      <c r="A519" s="270" t="s">
        <v>11598</v>
      </c>
      <c r="B519" s="3305">
        <v>7345.5</v>
      </c>
      <c r="C519" s="4834">
        <f t="shared" si="34"/>
        <v>2.6922021549352252E-4</v>
      </c>
      <c r="D519" s="3" t="str">
        <f t="shared" si="35"/>
        <v>2014</v>
      </c>
      <c r="J519" s="4836">
        <v>41661</v>
      </c>
      <c r="K519" s="4837">
        <v>39899.076491667322</v>
      </c>
      <c r="L519" s="4834">
        <f t="shared" si="37"/>
        <v>4.029115084546734E-5</v>
      </c>
      <c r="S519" s="270" t="s">
        <v>11598</v>
      </c>
      <c r="T519" s="4838">
        <v>643.01493137255966</v>
      </c>
      <c r="U519" s="4839">
        <f t="shared" si="36"/>
        <v>2.28943356797274E-3</v>
      </c>
    </row>
    <row r="520" spans="1:21">
      <c r="A520" s="270" t="s">
        <v>11599</v>
      </c>
      <c r="B520" s="3305">
        <v>7379.5</v>
      </c>
      <c r="C520" s="4834">
        <f t="shared" si="34"/>
        <v>2.6453188279398671E-4</v>
      </c>
      <c r="D520" s="3" t="str">
        <f t="shared" si="35"/>
        <v>2014</v>
      </c>
      <c r="J520" s="4836">
        <v>41662</v>
      </c>
      <c r="K520" s="4837">
        <v>40606.392916177145</v>
      </c>
      <c r="L520" s="4834">
        <f t="shared" si="37"/>
        <v>4.2997988244784998E-5</v>
      </c>
      <c r="S520" s="270" t="s">
        <v>11599</v>
      </c>
      <c r="T520" s="4838">
        <v>643.33643883824595</v>
      </c>
      <c r="U520" s="4839">
        <f t="shared" si="36"/>
        <v>2.2894780769691569E-3</v>
      </c>
    </row>
    <row r="521" spans="1:21">
      <c r="A521" s="270" t="s">
        <v>11600</v>
      </c>
      <c r="B521" s="3305">
        <v>7340</v>
      </c>
      <c r="C521" s="4834">
        <f t="shared" si="34"/>
        <v>2.6996681313810899E-4</v>
      </c>
      <c r="D521" s="3" t="str">
        <f t="shared" si="35"/>
        <v>2014</v>
      </c>
      <c r="J521" s="4836">
        <v>41663</v>
      </c>
      <c r="K521" s="4837">
        <v>40734.99590245165</v>
      </c>
      <c r="L521" s="4834">
        <f t="shared" si="37"/>
        <v>4.3468138027374365E-5</v>
      </c>
      <c r="S521" s="270" t="s">
        <v>11600</v>
      </c>
      <c r="T521" s="4838">
        <v>652.33864787746177</v>
      </c>
      <c r="U521" s="4839">
        <f t="shared" si="36"/>
        <v>2.2875604075069597E-3</v>
      </c>
    </row>
    <row r="522" spans="1:21">
      <c r="A522" s="270" t="s">
        <v>11601</v>
      </c>
      <c r="B522" s="3305">
        <v>7332</v>
      </c>
      <c r="C522" s="4834">
        <f t="shared" si="34"/>
        <v>2.7104669918821144E-4</v>
      </c>
      <c r="D522" s="3" t="str">
        <f t="shared" si="35"/>
        <v>2014</v>
      </c>
      <c r="J522" s="4836">
        <v>41666</v>
      </c>
      <c r="K522" s="4837">
        <v>40526.01604975557</v>
      </c>
      <c r="L522" s="4834">
        <f t="shared" si="37"/>
        <v>4.2700410269547178E-5</v>
      </c>
      <c r="S522" s="270" t="s">
        <v>11601</v>
      </c>
      <c r="T522" s="4838">
        <v>643.97945376961854</v>
      </c>
      <c r="U522" s="4839">
        <f t="shared" si="36"/>
        <v>2.2895437120115901E-3</v>
      </c>
    </row>
    <row r="523" spans="1:21">
      <c r="A523" s="270" t="s">
        <v>11602</v>
      </c>
      <c r="B523" s="3305">
        <v>7327</v>
      </c>
      <c r="C523" s="4834">
        <f t="shared" si="34"/>
        <v>2.7171792477562938E-4</v>
      </c>
      <c r="D523" s="3" t="str">
        <f t="shared" si="35"/>
        <v>2014</v>
      </c>
      <c r="J523" s="4836">
        <v>41667</v>
      </c>
      <c r="K523" s="4837">
        <v>40228.621643995757</v>
      </c>
      <c r="L523" s="4834">
        <f t="shared" si="37"/>
        <v>4.1575991260301775E-5</v>
      </c>
      <c r="S523" s="270" t="s">
        <v>11602</v>
      </c>
      <c r="T523" s="4838">
        <v>638.83533431863805</v>
      </c>
      <c r="U523" s="4839">
        <f t="shared" si="36"/>
        <v>2.2881459950200417E-3</v>
      </c>
    </row>
    <row r="524" spans="1:21">
      <c r="A524" s="270" t="s">
        <v>11603</v>
      </c>
      <c r="B524" s="3305">
        <v>7285</v>
      </c>
      <c r="C524" s="4834">
        <f t="shared" si="34"/>
        <v>2.7723950414087459E-4</v>
      </c>
      <c r="D524" s="3" t="str">
        <f t="shared" si="35"/>
        <v>2014</v>
      </c>
      <c r="J524" s="4836">
        <v>41668</v>
      </c>
      <c r="K524" s="4837">
        <v>40638.543662745768</v>
      </c>
      <c r="L524" s="4834">
        <f t="shared" si="37"/>
        <v>4.3116224855216767E-5</v>
      </c>
      <c r="S524" s="270" t="s">
        <v>11603</v>
      </c>
      <c r="T524" s="4838">
        <v>646.55151349510868</v>
      </c>
      <c r="U524" s="4839">
        <f t="shared" si="36"/>
        <v>2.289494450782594E-3</v>
      </c>
    </row>
    <row r="525" spans="1:21">
      <c r="A525" s="270" t="s">
        <v>11604</v>
      </c>
      <c r="B525" s="3305">
        <v>7240</v>
      </c>
      <c r="C525" s="4834">
        <f t="shared" si="34"/>
        <v>2.8291008985261438E-4</v>
      </c>
      <c r="D525" s="3" t="str">
        <f t="shared" si="35"/>
        <v>2014</v>
      </c>
      <c r="J525" s="4836">
        <v>41669</v>
      </c>
      <c r="K525" s="4837">
        <v>39947.302611520267</v>
      </c>
      <c r="L525" s="4834">
        <f t="shared" si="37"/>
        <v>4.0481505170486186E-5</v>
      </c>
      <c r="S525" s="270" t="s">
        <v>11604</v>
      </c>
      <c r="T525" s="4838">
        <v>649.12357322059904</v>
      </c>
      <c r="U525" s="4839">
        <f t="shared" si="36"/>
        <v>2.2889463773215482E-3</v>
      </c>
    </row>
    <row r="526" spans="1:21">
      <c r="A526" s="270" t="s">
        <v>11605</v>
      </c>
      <c r="B526" s="3305">
        <v>7235</v>
      </c>
      <c r="C526" s="4834">
        <f t="shared" si="34"/>
        <v>2.8352360996168667E-4</v>
      </c>
      <c r="D526" s="3" t="str">
        <f t="shared" si="35"/>
        <v>2014</v>
      </c>
      <c r="J526" s="4836">
        <v>41670</v>
      </c>
      <c r="K526" s="4837">
        <v>40220.583957353607</v>
      </c>
      <c r="L526" s="4834">
        <f t="shared" si="37"/>
        <v>4.15451173832071E-5</v>
      </c>
      <c r="S526" s="270" t="s">
        <v>11605</v>
      </c>
      <c r="T526" s="4838">
        <v>637.54930445589287</v>
      </c>
      <c r="U526" s="4839">
        <f t="shared" si="36"/>
        <v>2.2874851525598676E-3</v>
      </c>
    </row>
    <row r="527" spans="1:21">
      <c r="A527" s="270" t="s">
        <v>11606</v>
      </c>
      <c r="B527" s="3305">
        <v>7215</v>
      </c>
      <c r="C527" s="4834">
        <f t="shared" si="34"/>
        <v>2.8594329515574287E-4</v>
      </c>
      <c r="D527" s="3" t="str">
        <f t="shared" si="35"/>
        <v>2014</v>
      </c>
      <c r="J527" s="4836">
        <v>41673</v>
      </c>
      <c r="K527" s="4837">
        <v>40574.242169608508</v>
      </c>
      <c r="L527" s="4834">
        <f t="shared" si="37"/>
        <v>4.28792947986692E-5</v>
      </c>
      <c r="S527" s="270" t="s">
        <v>11606</v>
      </c>
      <c r="T527" s="4838">
        <v>634.01272233334373</v>
      </c>
      <c r="U527" s="4839">
        <f t="shared" si="36"/>
        <v>2.2850268990622868E-3</v>
      </c>
    </row>
    <row r="528" spans="1:21">
      <c r="A528" s="270" t="s">
        <v>11607</v>
      </c>
      <c r="B528" s="3305">
        <v>7209</v>
      </c>
      <c r="C528" s="4834">
        <f t="shared" si="34"/>
        <v>2.8665829174091714E-4</v>
      </c>
      <c r="D528" s="3" t="str">
        <f t="shared" si="35"/>
        <v>2014</v>
      </c>
      <c r="J528" s="4836">
        <v>41674</v>
      </c>
      <c r="K528" s="4837">
        <v>40196.470897427134</v>
      </c>
      <c r="L528" s="4834">
        <f t="shared" si="37"/>
        <v>4.1452350089893817E-5</v>
      </c>
      <c r="S528" s="270" t="s">
        <v>11607</v>
      </c>
      <c r="T528" s="4838">
        <v>632.72669247059866</v>
      </c>
      <c r="U528" s="4839">
        <f t="shared" si="36"/>
        <v>2.2839003540636692E-3</v>
      </c>
    </row>
    <row r="529" spans="1:21">
      <c r="A529" s="270" t="s">
        <v>11608</v>
      </c>
      <c r="B529" s="3305">
        <v>7155</v>
      </c>
      <c r="C529" s="4834">
        <f t="shared" si="34"/>
        <v>2.9285734557161819E-4</v>
      </c>
      <c r="D529" s="3" t="str">
        <f t="shared" si="35"/>
        <v>2014</v>
      </c>
      <c r="J529" s="4836">
        <v>41675</v>
      </c>
      <c r="K529" s="4837">
        <v>40333.111570343804</v>
      </c>
      <c r="L529" s="4834">
        <f t="shared" si="37"/>
        <v>4.197509688982415E-5</v>
      </c>
      <c r="S529" s="270" t="s">
        <v>11608</v>
      </c>
      <c r="T529" s="4838">
        <v>624.04599089706915</v>
      </c>
      <c r="U529" s="4839">
        <f t="shared" si="36"/>
        <v>2.2730695864630343E-3</v>
      </c>
    </row>
    <row r="530" spans="1:21">
      <c r="A530" s="270" t="s">
        <v>11609</v>
      </c>
      <c r="B530" s="3305">
        <v>7091</v>
      </c>
      <c r="C530" s="4834">
        <f t="shared" si="34"/>
        <v>2.996219220843599E-4</v>
      </c>
      <c r="D530" s="3" t="str">
        <f t="shared" si="35"/>
        <v>2014</v>
      </c>
      <c r="J530" s="4836">
        <v>41676</v>
      </c>
      <c r="K530" s="4837">
        <v>40397.413063481057</v>
      </c>
      <c r="L530" s="4834">
        <f t="shared" si="37"/>
        <v>4.2218564672417374E-5</v>
      </c>
      <c r="S530" s="270" t="s">
        <v>11609</v>
      </c>
      <c r="T530" s="4838">
        <v>620.83091624020631</v>
      </c>
      <c r="U530" s="4839">
        <f t="shared" si="36"/>
        <v>2.2676424818464957E-3</v>
      </c>
    </row>
    <row r="531" spans="1:21">
      <c r="A531" s="270" t="s">
        <v>11610</v>
      </c>
      <c r="B531" s="3305">
        <v>7095.5</v>
      </c>
      <c r="C531" s="4834">
        <f t="shared" si="34"/>
        <v>2.9916795990765329E-4</v>
      </c>
      <c r="D531" s="3" t="str">
        <f t="shared" si="35"/>
        <v>2014</v>
      </c>
      <c r="J531" s="4836">
        <v>41677</v>
      </c>
      <c r="K531" s="4837">
        <v>40485.827616544782</v>
      </c>
      <c r="L531" s="4834">
        <f t="shared" si="37"/>
        <v>4.255057784409897E-5</v>
      </c>
      <c r="S531" s="270" t="s">
        <v>11610</v>
      </c>
      <c r="T531" s="4838">
        <v>619.54488637746124</v>
      </c>
      <c r="U531" s="4839">
        <f t="shared" si="36"/>
        <v>2.2652593106273133E-3</v>
      </c>
    </row>
    <row r="532" spans="1:21">
      <c r="A532" s="270" t="s">
        <v>11611</v>
      </c>
      <c r="B532" s="3305">
        <v>7107</v>
      </c>
      <c r="C532" s="4834">
        <f t="shared" si="34"/>
        <v>2.9799265330761928E-4</v>
      </c>
      <c r="D532" s="3" t="str">
        <f t="shared" si="35"/>
        <v>2014</v>
      </c>
      <c r="J532" s="4836">
        <v>41680</v>
      </c>
      <c r="K532" s="4837">
        <v>41056.503368137935</v>
      </c>
      <c r="L532" s="4834">
        <f t="shared" si="37"/>
        <v>4.4609209595188657E-5</v>
      </c>
      <c r="S532" s="270" t="s">
        <v>11611</v>
      </c>
      <c r="T532" s="4838">
        <v>621.79543863726519</v>
      </c>
      <c r="U532" s="4839">
        <f t="shared" si="36"/>
        <v>2.2693503769284015E-3</v>
      </c>
    </row>
    <row r="533" spans="1:21">
      <c r="A533" s="270" t="s">
        <v>11612</v>
      </c>
      <c r="B533" s="3305">
        <v>7096</v>
      </c>
      <c r="C533" s="4834">
        <f t="shared" si="34"/>
        <v>2.9911731252310901E-4</v>
      </c>
      <c r="D533" s="3" t="str">
        <f t="shared" si="35"/>
        <v>2014</v>
      </c>
      <c r="J533" s="4836">
        <v>41681</v>
      </c>
      <c r="K533" s="4837">
        <v>41217.257100981071</v>
      </c>
      <c r="L533" s="4834">
        <f t="shared" si="37"/>
        <v>4.5160070992477767E-5</v>
      </c>
      <c r="S533" s="270" t="s">
        <v>11612</v>
      </c>
      <c r="T533" s="4838">
        <v>631.11915514216719</v>
      </c>
      <c r="U533" s="4839">
        <f t="shared" si="36"/>
        <v>2.282318109933683E-3</v>
      </c>
    </row>
    <row r="534" spans="1:21">
      <c r="A534" s="270" t="s">
        <v>11613</v>
      </c>
      <c r="B534" s="3305">
        <v>7109</v>
      </c>
      <c r="C534" s="4834">
        <f t="shared" si="34"/>
        <v>2.9778604010425322E-4</v>
      </c>
      <c r="D534" s="3" t="str">
        <f t="shared" si="35"/>
        <v>2014</v>
      </c>
      <c r="J534" s="4836">
        <v>41682</v>
      </c>
      <c r="K534" s="4837">
        <v>41458.387700245781</v>
      </c>
      <c r="L534" s="4834">
        <f t="shared" si="37"/>
        <v>4.5959884149055488E-5</v>
      </c>
      <c r="S534" s="270" t="s">
        <v>11613</v>
      </c>
      <c r="T534" s="4838">
        <v>647.51603589216757</v>
      </c>
      <c r="U534" s="4839">
        <f t="shared" si="36"/>
        <v>2.2893473656647218E-3</v>
      </c>
    </row>
    <row r="535" spans="1:21">
      <c r="A535" s="270" t="s">
        <v>11614</v>
      </c>
      <c r="B535" s="3305">
        <v>7200</v>
      </c>
      <c r="C535" s="4834">
        <f t="shared" si="34"/>
        <v>2.8772117405844523E-4</v>
      </c>
      <c r="D535" s="3" t="str">
        <f t="shared" si="35"/>
        <v>2014</v>
      </c>
      <c r="J535" s="4836">
        <v>41683</v>
      </c>
      <c r="K535" s="4837">
        <v>41667.367552941862</v>
      </c>
      <c r="L535" s="4834">
        <f t="shared" si="37"/>
        <v>4.6625844966665208E-5</v>
      </c>
      <c r="S535" s="270" t="s">
        <v>11614</v>
      </c>
      <c r="T535" s="4838">
        <v>638.83533431863805</v>
      </c>
      <c r="U535" s="4839">
        <f t="shared" si="36"/>
        <v>2.2881459950200417E-3</v>
      </c>
    </row>
    <row r="536" spans="1:21">
      <c r="A536" s="270" t="s">
        <v>11615</v>
      </c>
      <c r="B536" s="3305">
        <v>7190.5</v>
      </c>
      <c r="C536" s="4834">
        <f t="shared" si="34"/>
        <v>2.8883043597740859E-4</v>
      </c>
      <c r="D536" s="3" t="str">
        <f t="shared" si="35"/>
        <v>2014</v>
      </c>
      <c r="J536" s="4836">
        <v>41684</v>
      </c>
      <c r="K536" s="4837">
        <v>42438.98547058893</v>
      </c>
      <c r="L536" s="4834">
        <f t="shared" si="37"/>
        <v>4.8842748941757879E-5</v>
      </c>
      <c r="S536" s="270" t="s">
        <v>11615</v>
      </c>
      <c r="T536" s="4838">
        <v>649.44508068628511</v>
      </c>
      <c r="U536" s="4839">
        <f t="shared" si="36"/>
        <v>2.2888428096942107E-3</v>
      </c>
    </row>
    <row r="537" spans="1:21">
      <c r="A537" s="270" t="s">
        <v>11616</v>
      </c>
      <c r="B537" s="3305">
        <v>7120</v>
      </c>
      <c r="C537" s="4834">
        <f t="shared" si="34"/>
        <v>2.9663806532425442E-4</v>
      </c>
      <c r="D537" s="3" t="str">
        <f t="shared" si="35"/>
        <v>2014</v>
      </c>
      <c r="J537" s="4836">
        <v>41687</v>
      </c>
      <c r="K537" s="4837">
        <v>42680.116069853648</v>
      </c>
      <c r="L537" s="4834">
        <f t="shared" si="37"/>
        <v>4.9450400018206157E-5</v>
      </c>
      <c r="S537" s="270" t="s">
        <v>11616</v>
      </c>
      <c r="T537" s="4838">
        <v>648.48055828922645</v>
      </c>
      <c r="U537" s="4839">
        <f t="shared" si="36"/>
        <v>2.2891301453132739E-3</v>
      </c>
    </row>
    <row r="538" spans="1:21">
      <c r="A538" s="270" t="s">
        <v>11617</v>
      </c>
      <c r="B538" s="3305">
        <v>7174.5</v>
      </c>
      <c r="C538" s="4834">
        <f t="shared" si="34"/>
        <v>2.906687519535494E-4</v>
      </c>
      <c r="D538" s="3" t="str">
        <f t="shared" si="35"/>
        <v>2014</v>
      </c>
      <c r="J538" s="4836">
        <v>41688</v>
      </c>
      <c r="K538" s="4837">
        <v>42463.09853051541</v>
      </c>
      <c r="L538" s="4834">
        <f t="shared" si="37"/>
        <v>4.8905431390208474E-5</v>
      </c>
      <c r="S538" s="270" t="s">
        <v>11617</v>
      </c>
      <c r="T538" s="4838">
        <v>649.44508068628511</v>
      </c>
      <c r="U538" s="4839">
        <f t="shared" si="36"/>
        <v>2.2888428096942107E-3</v>
      </c>
    </row>
    <row r="539" spans="1:21">
      <c r="A539" s="270" t="s">
        <v>11618</v>
      </c>
      <c r="B539" s="3305">
        <v>7157</v>
      </c>
      <c r="C539" s="4834">
        <f t="shared" si="34"/>
        <v>2.9263553703249776E-4</v>
      </c>
      <c r="D539" s="3" t="str">
        <f t="shared" si="35"/>
        <v>2014</v>
      </c>
      <c r="J539" s="4836">
        <v>41689</v>
      </c>
      <c r="K539" s="4837">
        <v>42455.060843873245</v>
      </c>
      <c r="L539" s="4834">
        <f t="shared" si="37"/>
        <v>4.8884583961050307E-5</v>
      </c>
      <c r="S539" s="270" t="s">
        <v>11618</v>
      </c>
      <c r="T539" s="4838">
        <v>651.69563294608918</v>
      </c>
      <c r="U539" s="4839">
        <f t="shared" si="36"/>
        <v>2.2878998498318628E-3</v>
      </c>
    </row>
    <row r="540" spans="1:21">
      <c r="A540" s="270" t="s">
        <v>11619</v>
      </c>
      <c r="B540" s="3305">
        <v>7175.5</v>
      </c>
      <c r="C540" s="4834">
        <f t="shared" si="34"/>
        <v>2.9055497002925147E-4</v>
      </c>
      <c r="D540" s="3" t="str">
        <f t="shared" si="35"/>
        <v>2014</v>
      </c>
      <c r="J540" s="4836">
        <v>41690</v>
      </c>
      <c r="K540" s="4837">
        <v>42318.420170956575</v>
      </c>
      <c r="L540" s="4834">
        <f t="shared" si="37"/>
        <v>4.8523081522224189E-5</v>
      </c>
      <c r="S540" s="270" t="s">
        <v>11619</v>
      </c>
      <c r="T540" s="4838">
        <v>678.05924513236414</v>
      </c>
      <c r="U540" s="4839">
        <f t="shared" si="36"/>
        <v>2.2487704479781001E-3</v>
      </c>
    </row>
    <row r="541" spans="1:21">
      <c r="A541" s="270" t="s">
        <v>11620</v>
      </c>
      <c r="B541" s="3305">
        <v>7210</v>
      </c>
      <c r="C541" s="4834">
        <f t="shared" si="34"/>
        <v>2.8653947985291965E-4</v>
      </c>
      <c r="D541" s="3" t="str">
        <f t="shared" si="35"/>
        <v>2014</v>
      </c>
      <c r="J541" s="4836">
        <v>41691</v>
      </c>
      <c r="K541" s="4837">
        <v>42543.475396936978</v>
      </c>
      <c r="L541" s="4834">
        <f t="shared" si="37"/>
        <v>4.9111320060118048E-5</v>
      </c>
      <c r="S541" s="270" t="s">
        <v>11620</v>
      </c>
      <c r="T541" s="4838">
        <v>696.06366321079577</v>
      </c>
      <c r="U541" s="4839">
        <f t="shared" si="36"/>
        <v>2.1933871329810938E-3</v>
      </c>
    </row>
    <row r="542" spans="1:21">
      <c r="A542" s="270" t="s">
        <v>11621</v>
      </c>
      <c r="B542" s="3305">
        <v>7205</v>
      </c>
      <c r="C542" s="4834">
        <f t="shared" si="34"/>
        <v>2.8713211520176339E-4</v>
      </c>
      <c r="D542" s="3" t="str">
        <f t="shared" si="35"/>
        <v>2014</v>
      </c>
      <c r="J542" s="4836">
        <v>41694</v>
      </c>
      <c r="K542" s="4837">
        <v>42913.208982476201</v>
      </c>
      <c r="L542" s="4834">
        <f t="shared" si="37"/>
        <v>4.9996263074564812E-5</v>
      </c>
      <c r="S542" s="270" t="s">
        <v>11621</v>
      </c>
      <c r="T542" s="4838">
        <v>687.06145417158007</v>
      </c>
      <c r="U542" s="4839">
        <f t="shared" si="36"/>
        <v>2.2238722275156903E-3</v>
      </c>
    </row>
    <row r="543" spans="1:21">
      <c r="A543" s="270" t="s">
        <v>11622</v>
      </c>
      <c r="B543" s="3305">
        <v>7220</v>
      </c>
      <c r="C543" s="4834">
        <f t="shared" si="34"/>
        <v>2.8534358837534559E-4</v>
      </c>
      <c r="D543" s="3" t="str">
        <f t="shared" si="35"/>
        <v>2014</v>
      </c>
      <c r="J543" s="4836">
        <v>41695</v>
      </c>
      <c r="K543" s="4837">
        <v>43049.849655392871</v>
      </c>
      <c r="L543" s="4834">
        <f t="shared" si="37"/>
        <v>5.0296654883593115E-5</v>
      </c>
      <c r="S543" s="270" t="s">
        <v>11622</v>
      </c>
      <c r="T543" s="4838">
        <v>699.27873786765861</v>
      </c>
      <c r="U543" s="4839">
        <f t="shared" si="36"/>
        <v>2.1811897328420701E-3</v>
      </c>
    </row>
    <row r="544" spans="1:21">
      <c r="A544" s="270" t="s">
        <v>11623</v>
      </c>
      <c r="B544" s="3305">
        <v>7185</v>
      </c>
      <c r="C544" s="4834">
        <f t="shared" si="34"/>
        <v>2.8946662209980342E-4</v>
      </c>
      <c r="D544" s="3" t="str">
        <f t="shared" si="35"/>
        <v>2014</v>
      </c>
      <c r="J544" s="4836">
        <v>41696</v>
      </c>
      <c r="K544" s="4837">
        <v>42816.756742770318</v>
      </c>
      <c r="L544" s="4834">
        <f t="shared" si="37"/>
        <v>4.9775441443085588E-5</v>
      </c>
      <c r="S544" s="270" t="s">
        <v>11623</v>
      </c>
      <c r="T544" s="4838">
        <v>694.13461841667811</v>
      </c>
      <c r="U544" s="4839">
        <f t="shared" si="36"/>
        <v>2.2003786644871938E-3</v>
      </c>
    </row>
    <row r="545" spans="1:21">
      <c r="A545" s="270" t="s">
        <v>11624</v>
      </c>
      <c r="B545" s="3305">
        <v>7211.5</v>
      </c>
      <c r="C545" s="4834">
        <f t="shared" si="34"/>
        <v>2.8636099588710584E-4</v>
      </c>
      <c r="D545" s="3" t="str">
        <f t="shared" si="35"/>
        <v>2014</v>
      </c>
      <c r="J545" s="4836">
        <v>41697</v>
      </c>
      <c r="K545" s="4837">
        <v>42832.832116054626</v>
      </c>
      <c r="L545" s="4834">
        <f t="shared" si="37"/>
        <v>4.9812744299419383E-5</v>
      </c>
      <c r="S545" s="270" t="s">
        <v>11624</v>
      </c>
      <c r="T545" s="4838">
        <v>698.9572304019722</v>
      </c>
      <c r="U545" s="4839">
        <f t="shared" si="36"/>
        <v>2.1824398512260016E-3</v>
      </c>
    </row>
    <row r="546" spans="1:21">
      <c r="A546" s="270" t="s">
        <v>11625</v>
      </c>
      <c r="B546" s="3305">
        <v>7130</v>
      </c>
      <c r="C546" s="4834">
        <f t="shared" si="34"/>
        <v>2.9557757205817735E-4</v>
      </c>
      <c r="D546" s="3" t="str">
        <f t="shared" si="35"/>
        <v>2014</v>
      </c>
      <c r="J546" s="4836">
        <v>41698</v>
      </c>
      <c r="K546" s="4837">
        <v>42647.965323285011</v>
      </c>
      <c r="L546" s="4834">
        <f t="shared" si="37"/>
        <v>4.9371867867500953E-5</v>
      </c>
      <c r="S546" s="270" t="s">
        <v>11625</v>
      </c>
      <c r="T546" s="4838">
        <v>708.92396183824701</v>
      </c>
      <c r="U546" s="4839">
        <f t="shared" si="36"/>
        <v>2.140625658594061E-3</v>
      </c>
    </row>
    <row r="547" spans="1:21">
      <c r="A547" s="270" t="s">
        <v>11626</v>
      </c>
      <c r="B547" s="3305">
        <v>7115</v>
      </c>
      <c r="C547" s="4834">
        <f t="shared" si="34"/>
        <v>2.9716229823412995E-4</v>
      </c>
      <c r="D547" s="3" t="str">
        <f t="shared" si="35"/>
        <v>2014</v>
      </c>
      <c r="J547" s="4836">
        <v>41701</v>
      </c>
      <c r="K547" s="4837">
        <v>43387.432494363456</v>
      </c>
      <c r="L547" s="4834">
        <f t="shared" si="37"/>
        <v>5.0974606404763531E-5</v>
      </c>
      <c r="S547" s="270" t="s">
        <v>11626</v>
      </c>
      <c r="T547" s="4838">
        <v>698.63572293628602</v>
      </c>
      <c r="U547" s="4839">
        <f t="shared" si="36"/>
        <v>2.1836832513628473E-3</v>
      </c>
    </row>
    <row r="548" spans="1:21">
      <c r="A548" s="270" t="s">
        <v>11627</v>
      </c>
      <c r="B548" s="3305">
        <v>7149</v>
      </c>
      <c r="C548" s="4834">
        <f t="shared" si="34"/>
        <v>2.9351907742271831E-4</v>
      </c>
      <c r="D548" s="3" t="str">
        <f t="shared" si="35"/>
        <v>2014</v>
      </c>
      <c r="J548" s="4836">
        <v>41702</v>
      </c>
      <c r="K548" s="4837">
        <v>42913.208982476201</v>
      </c>
      <c r="L548" s="4834">
        <f t="shared" si="37"/>
        <v>4.9996263074564812E-5</v>
      </c>
      <c r="S548" s="270" t="s">
        <v>11627</v>
      </c>
      <c r="T548" s="4838">
        <v>702.49381252452145</v>
      </c>
      <c r="U548" s="4839">
        <f t="shared" si="36"/>
        <v>2.1683217944552312E-3</v>
      </c>
    </row>
    <row r="549" spans="1:21">
      <c r="A549" s="270" t="s">
        <v>11628</v>
      </c>
      <c r="B549" s="3305">
        <v>7095</v>
      </c>
      <c r="C549" s="4834">
        <f t="shared" si="34"/>
        <v>2.9921856592729192E-4</v>
      </c>
      <c r="D549" s="3" t="str">
        <f t="shared" si="35"/>
        <v>2014</v>
      </c>
      <c r="J549" s="4836">
        <v>41703</v>
      </c>
      <c r="K549" s="4837">
        <v>42985.548162255611</v>
      </c>
      <c r="L549" s="4834">
        <f t="shared" si="37"/>
        <v>5.0157125504481469E-5</v>
      </c>
      <c r="S549" s="270" t="s">
        <v>11628</v>
      </c>
      <c r="T549" s="4838">
        <v>687.38296163726625</v>
      </c>
      <c r="U549" s="4839">
        <f t="shared" si="36"/>
        <v>2.222878380955768E-3</v>
      </c>
    </row>
    <row r="550" spans="1:21">
      <c r="A550" s="270" t="s">
        <v>11629</v>
      </c>
      <c r="B550" s="3305">
        <v>7097.5</v>
      </c>
      <c r="C550" s="4834">
        <f t="shared" si="34"/>
        <v>2.9896512241920373E-4</v>
      </c>
      <c r="D550" s="3" t="str">
        <f t="shared" si="35"/>
        <v>2014</v>
      </c>
      <c r="J550" s="4836">
        <v>41704</v>
      </c>
      <c r="K550" s="4837">
        <v>43250.791821446786</v>
      </c>
      <c r="L550" s="4834">
        <f t="shared" si="37"/>
        <v>5.0711370339464955E-5</v>
      </c>
      <c r="S550" s="270" t="s">
        <v>11629</v>
      </c>
      <c r="T550" s="4838">
        <v>683.84637951471711</v>
      </c>
      <c r="U550" s="4839">
        <f t="shared" si="36"/>
        <v>2.233416903195153E-3</v>
      </c>
    </row>
    <row r="551" spans="1:21">
      <c r="A551" s="270" t="s">
        <v>11630</v>
      </c>
      <c r="B551" s="3305">
        <v>7032.5</v>
      </c>
      <c r="C551" s="4834">
        <f t="shared" si="34"/>
        <v>3.0521078217886675E-4</v>
      </c>
      <c r="D551" s="3" t="str">
        <f t="shared" si="35"/>
        <v>2014</v>
      </c>
      <c r="J551" s="4836">
        <v>41705</v>
      </c>
      <c r="K551" s="4837">
        <v>42929.284355760516</v>
      </c>
      <c r="L551" s="4834">
        <f t="shared" si="37"/>
        <v>5.003236435726811E-5</v>
      </c>
      <c r="S551" s="270" t="s">
        <v>11630</v>
      </c>
      <c r="T551" s="4838">
        <v>689.9550213627565</v>
      </c>
      <c r="U551" s="4839">
        <f t="shared" si="36"/>
        <v>2.2146721162978628E-3</v>
      </c>
    </row>
    <row r="552" spans="1:21">
      <c r="A552" s="270" t="s">
        <v>11631</v>
      </c>
      <c r="B552" s="3305">
        <v>7035</v>
      </c>
      <c r="C552" s="4834">
        <f t="shared" si="34"/>
        <v>3.0498407583624305E-4</v>
      </c>
      <c r="D552" s="3" t="str">
        <f t="shared" si="35"/>
        <v>2014</v>
      </c>
      <c r="J552" s="4836">
        <v>41708</v>
      </c>
      <c r="K552" s="4837">
        <v>43210.603388236006</v>
      </c>
      <c r="L552" s="4834">
        <f t="shared" si="37"/>
        <v>5.0631036591439192E-5</v>
      </c>
      <c r="S552" s="270" t="s">
        <v>11631</v>
      </c>
      <c r="T552" s="4838">
        <v>679.9882899264818</v>
      </c>
      <c r="U552" s="4839">
        <f t="shared" si="36"/>
        <v>2.2439159236718612E-3</v>
      </c>
    </row>
    <row r="553" spans="1:21">
      <c r="A553" s="270" t="s">
        <v>11632</v>
      </c>
      <c r="B553" s="3305">
        <v>7102.5</v>
      </c>
      <c r="C553" s="4834">
        <f t="shared" si="34"/>
        <v>2.9845514321836131E-4</v>
      </c>
      <c r="D553" s="3" t="str">
        <f t="shared" si="35"/>
        <v>2014</v>
      </c>
      <c r="J553" s="4836">
        <v>41709</v>
      </c>
      <c r="K553" s="4837">
        <v>43282.942568015424</v>
      </c>
      <c r="L553" s="4834">
        <f t="shared" si="37"/>
        <v>5.0774688595039582E-5</v>
      </c>
      <c r="S553" s="270" t="s">
        <v>11632</v>
      </c>
      <c r="T553" s="4838">
        <v>685.45391684314859</v>
      </c>
      <c r="U553" s="4839">
        <f t="shared" si="36"/>
        <v>2.2287343050051856E-3</v>
      </c>
    </row>
    <row r="554" spans="1:21">
      <c r="A554" s="270" t="s">
        <v>11633</v>
      </c>
      <c r="B554" s="3305">
        <v>7054.5</v>
      </c>
      <c r="C554" s="4834">
        <f t="shared" si="34"/>
        <v>3.0317811672234612E-4</v>
      </c>
      <c r="D554" s="3" t="str">
        <f t="shared" si="35"/>
        <v>2014</v>
      </c>
      <c r="J554" s="4836">
        <v>41710</v>
      </c>
      <c r="K554" s="4837">
        <v>43917.919812745822</v>
      </c>
      <c r="L554" s="4834">
        <f t="shared" si="37"/>
        <v>5.1847669962051318E-5</v>
      </c>
      <c r="S554" s="270" t="s">
        <v>11633</v>
      </c>
      <c r="T554" s="4838">
        <v>678.70226006373673</v>
      </c>
      <c r="U554" s="4839">
        <f t="shared" si="36"/>
        <v>2.2471817108475527E-3</v>
      </c>
    </row>
    <row r="555" spans="1:21">
      <c r="A555" s="270" t="s">
        <v>11634</v>
      </c>
      <c r="B555" s="3305">
        <v>6930.5</v>
      </c>
      <c r="C555" s="4834">
        <f t="shared" si="34"/>
        <v>3.1348813478072261E-4</v>
      </c>
      <c r="D555" s="3" t="str">
        <f t="shared" si="35"/>
        <v>2014</v>
      </c>
      <c r="J555" s="4836">
        <v>41711</v>
      </c>
      <c r="K555" s="4837">
        <v>44006.334365809547</v>
      </c>
      <c r="L555" s="4834">
        <f t="shared" si="37"/>
        <v>5.1969564817680789E-5</v>
      </c>
      <c r="S555" s="270" t="s">
        <v>11634</v>
      </c>
      <c r="T555" s="4838">
        <v>687.38296163726625</v>
      </c>
      <c r="U555" s="4839">
        <f t="shared" si="36"/>
        <v>2.222878380955768E-3</v>
      </c>
    </row>
    <row r="556" spans="1:21">
      <c r="A556" s="270" t="s">
        <v>11635</v>
      </c>
      <c r="B556" s="3305">
        <v>6716</v>
      </c>
      <c r="C556" s="4834">
        <f t="shared" si="34"/>
        <v>3.2420367679852772E-4</v>
      </c>
      <c r="D556" s="3" t="str">
        <f t="shared" si="35"/>
        <v>2014</v>
      </c>
      <c r="J556" s="4836">
        <v>41712</v>
      </c>
      <c r="K556" s="4837">
        <v>44528.783997549755</v>
      </c>
      <c r="L556" s="4834">
        <f t="shared" si="37"/>
        <v>5.2547752282502348E-5</v>
      </c>
      <c r="S556" s="270" t="s">
        <v>11635</v>
      </c>
      <c r="T556" s="4838">
        <v>674.8441704755013</v>
      </c>
      <c r="U556" s="4839">
        <f t="shared" si="36"/>
        <v>2.256270039398196E-3</v>
      </c>
    </row>
    <row r="557" spans="1:21">
      <c r="A557" s="270" t="s">
        <v>11636</v>
      </c>
      <c r="B557" s="3305">
        <v>6720.5</v>
      </c>
      <c r="C557" s="4834">
        <f t="shared" si="34"/>
        <v>3.240773701707379E-4</v>
      </c>
      <c r="D557" s="3" t="str">
        <f t="shared" si="35"/>
        <v>2014</v>
      </c>
      <c r="J557" s="4836">
        <v>41715</v>
      </c>
      <c r="K557" s="4837">
        <v>44319.804144853668</v>
      </c>
      <c r="L557" s="4834">
        <f t="shared" si="37"/>
        <v>5.2345914830419034E-5</v>
      </c>
      <c r="S557" s="270" t="s">
        <v>11636</v>
      </c>
      <c r="T557" s="4838">
        <v>683.20336458334464</v>
      </c>
      <c r="U557" s="4839">
        <f t="shared" si="36"/>
        <v>2.2352394235961998E-3</v>
      </c>
    </row>
    <row r="558" spans="1:21">
      <c r="A558" s="270" t="s">
        <v>11637</v>
      </c>
      <c r="B558" s="3305">
        <v>6498</v>
      </c>
      <c r="C558" s="4834">
        <f t="shared" si="34"/>
        <v>3.2507560860780378E-4</v>
      </c>
      <c r="D558" s="3" t="str">
        <f t="shared" si="35"/>
        <v>2014</v>
      </c>
      <c r="J558" s="4836">
        <v>41716</v>
      </c>
      <c r="K558" s="4837">
        <v>43588.374660417387</v>
      </c>
      <c r="L558" s="4834">
        <f t="shared" si="37"/>
        <v>5.1333511601366568E-5</v>
      </c>
      <c r="S558" s="270" t="s">
        <v>11637</v>
      </c>
      <c r="T558" s="4838">
        <v>674.20115554412871</v>
      </c>
      <c r="U558" s="4839">
        <f t="shared" si="36"/>
        <v>2.2576807145346044E-3</v>
      </c>
    </row>
    <row r="559" spans="1:21">
      <c r="A559" s="270" t="s">
        <v>11638</v>
      </c>
      <c r="B559" s="3305">
        <v>6495</v>
      </c>
      <c r="C559" s="4834">
        <f t="shared" si="34"/>
        <v>3.2501568546969175E-4</v>
      </c>
      <c r="D559" s="3" t="str">
        <f t="shared" si="35"/>
        <v>2014</v>
      </c>
      <c r="J559" s="4836">
        <v>41717</v>
      </c>
      <c r="K559" s="4837">
        <v>43017.698908824234</v>
      </c>
      <c r="L559" s="4834">
        <f t="shared" si="37"/>
        <v>5.0227299197336E-5</v>
      </c>
      <c r="S559" s="270" t="s">
        <v>11638</v>
      </c>
      <c r="T559" s="4838">
        <v>682.88185711765823</v>
      </c>
      <c r="U559" s="4839">
        <f t="shared" si="36"/>
        <v>2.2361398214194961E-3</v>
      </c>
    </row>
    <row r="560" spans="1:21">
      <c r="A560" s="270" t="s">
        <v>11639</v>
      </c>
      <c r="B560" s="3305">
        <v>6490</v>
      </c>
      <c r="C560" s="4834">
        <f t="shared" si="34"/>
        <v>3.2491149977731241E-4</v>
      </c>
      <c r="D560" s="3" t="str">
        <f t="shared" si="35"/>
        <v>2014</v>
      </c>
      <c r="J560" s="270" t="s">
        <v>11643</v>
      </c>
      <c r="K560" s="4837">
        <v>42664.040696569333</v>
      </c>
      <c r="L560" s="4834">
        <f t="shared" si="37"/>
        <v>4.94112308467596E-5</v>
      </c>
      <c r="S560" s="270" t="s">
        <v>11639</v>
      </c>
      <c r="T560" s="4838">
        <v>686.73994670589366</v>
      </c>
      <c r="U560" s="4839">
        <f t="shared" si="36"/>
        <v>2.2248589434984939E-3</v>
      </c>
    </row>
    <row r="561" spans="1:21">
      <c r="A561" s="270" t="s">
        <v>11640</v>
      </c>
      <c r="B561" s="3305">
        <v>6550</v>
      </c>
      <c r="C561" s="4834">
        <f t="shared" si="34"/>
        <v>3.2580484279871522E-4</v>
      </c>
      <c r="D561" s="3" t="str">
        <f t="shared" si="35"/>
        <v>2014</v>
      </c>
      <c r="J561" s="270" t="s">
        <v>11644</v>
      </c>
      <c r="K561" s="4837">
        <v>42953.397415686988</v>
      </c>
      <c r="L561" s="4834">
        <f t="shared" si="37"/>
        <v>5.0086137502567934E-5</v>
      </c>
      <c r="S561" s="270" t="s">
        <v>11640</v>
      </c>
      <c r="T561" s="4838">
        <v>682.23884218628575</v>
      </c>
      <c r="U561" s="4839">
        <f t="shared" si="36"/>
        <v>2.2379188470587059E-3</v>
      </c>
    </row>
    <row r="562" spans="1:21">
      <c r="A562" s="270" t="s">
        <v>11641</v>
      </c>
      <c r="B562" s="3305">
        <v>6471.5</v>
      </c>
      <c r="C562" s="4834">
        <f t="shared" si="34"/>
        <v>3.2447921030879205E-4</v>
      </c>
      <c r="D562" s="3" t="str">
        <f t="shared" si="35"/>
        <v>2014</v>
      </c>
      <c r="J562" s="270" t="s">
        <v>11645</v>
      </c>
      <c r="K562" s="4837">
        <v>42141.591064829132</v>
      </c>
      <c r="L562" s="4834">
        <f t="shared" si="37"/>
        <v>4.8035753817617732E-5</v>
      </c>
      <c r="S562" s="270" t="s">
        <v>11641</v>
      </c>
      <c r="T562" s="4838">
        <v>673.23663314706994</v>
      </c>
      <c r="U562" s="4839">
        <f t="shared" si="36"/>
        <v>2.2597406778574708E-3</v>
      </c>
    </row>
    <row r="563" spans="1:21">
      <c r="A563" s="270" t="s">
        <v>11642</v>
      </c>
      <c r="B563" s="3305">
        <v>6446</v>
      </c>
      <c r="C563" s="4834">
        <f t="shared" si="34"/>
        <v>3.2376301223637356E-4</v>
      </c>
      <c r="D563" s="3" t="str">
        <f t="shared" si="35"/>
        <v>2014</v>
      </c>
      <c r="J563" s="270" t="s">
        <v>11646</v>
      </c>
      <c r="K563" s="4837">
        <v>42230.00561789285</v>
      </c>
      <c r="L563" s="4834">
        <f t="shared" si="37"/>
        <v>4.8282128209792239E-5</v>
      </c>
      <c r="S563" s="270" t="s">
        <v>11642</v>
      </c>
      <c r="T563" s="4838">
        <v>667.12799129903067</v>
      </c>
      <c r="U563" s="4839">
        <f t="shared" si="36"/>
        <v>2.2712141137165272E-3</v>
      </c>
    </row>
    <row r="564" spans="1:21">
      <c r="A564" s="270" t="s">
        <v>11643</v>
      </c>
      <c r="B564" s="3305">
        <v>6434.5</v>
      </c>
      <c r="C564" s="4834">
        <f t="shared" si="34"/>
        <v>3.233946017642121E-4</v>
      </c>
      <c r="D564" s="3" t="str">
        <f t="shared" si="35"/>
        <v>2014</v>
      </c>
      <c r="J564" s="270" t="s">
        <v>11647</v>
      </c>
      <c r="K564" s="4837">
        <v>41924.573525490887</v>
      </c>
      <c r="L564" s="4834">
        <f t="shared" si="37"/>
        <v>4.7408637306980657E-5</v>
      </c>
      <c r="S564" s="270" t="s">
        <v>11643</v>
      </c>
      <c r="T564" s="4838">
        <v>648.48055828922645</v>
      </c>
      <c r="U564" s="4839">
        <f t="shared" si="36"/>
        <v>2.2891301453132739E-3</v>
      </c>
    </row>
    <row r="565" spans="1:21">
      <c r="A565" s="270" t="s">
        <v>11644</v>
      </c>
      <c r="B565" s="3305">
        <v>6539.5</v>
      </c>
      <c r="C565" s="4834">
        <f t="shared" si="34"/>
        <v>3.2570483433365025E-4</v>
      </c>
      <c r="D565" s="3" t="str">
        <f t="shared" si="35"/>
        <v>2014</v>
      </c>
      <c r="J565" s="270" t="s">
        <v>11648</v>
      </c>
      <c r="K565" s="4837">
        <v>41667.367552941862</v>
      </c>
      <c r="L565" s="4834">
        <f t="shared" si="37"/>
        <v>4.6625844966665208E-5</v>
      </c>
      <c r="S565" s="270" t="s">
        <v>11644</v>
      </c>
      <c r="T565" s="4838">
        <v>660.69784198530499</v>
      </c>
      <c r="U565" s="4839">
        <f t="shared" si="36"/>
        <v>2.2803244791635758E-3</v>
      </c>
    </row>
    <row r="566" spans="1:21">
      <c r="A566" s="270" t="s">
        <v>11645</v>
      </c>
      <c r="B566" s="3305">
        <v>6510</v>
      </c>
      <c r="C566" s="4834">
        <f t="shared" si="34"/>
        <v>3.2529586557403727E-4</v>
      </c>
      <c r="D566" s="3" t="str">
        <f t="shared" si="35"/>
        <v>2014</v>
      </c>
      <c r="J566" s="270" t="s">
        <v>11649</v>
      </c>
      <c r="K566" s="4837">
        <v>41627.179119731081</v>
      </c>
      <c r="L566" s="4834">
        <f t="shared" si="37"/>
        <v>4.6499809616820413E-5</v>
      </c>
      <c r="S566" s="270" t="s">
        <v>11645</v>
      </c>
      <c r="T566" s="4838">
        <v>649.44508068628511</v>
      </c>
      <c r="U566" s="4839">
        <f t="shared" si="36"/>
        <v>2.2888428096942107E-3</v>
      </c>
    </row>
    <row r="567" spans="1:21">
      <c r="A567" s="270" t="s">
        <v>11646</v>
      </c>
      <c r="B567" s="3305">
        <v>6559.5</v>
      </c>
      <c r="C567" s="4834">
        <f t="shared" si="34"/>
        <v>3.2587468438125092E-4</v>
      </c>
      <c r="D567" s="3" t="str">
        <f t="shared" si="35"/>
        <v>2014</v>
      </c>
      <c r="J567" s="270" t="s">
        <v>11650</v>
      </c>
      <c r="K567" s="4837">
        <v>41530.726880025191</v>
      </c>
      <c r="L567" s="4834">
        <f t="shared" si="37"/>
        <v>4.619334858785097E-5</v>
      </c>
      <c r="S567" s="270" t="s">
        <v>11646</v>
      </c>
      <c r="T567" s="4838">
        <v>643.01493137255966</v>
      </c>
      <c r="U567" s="4839">
        <f t="shared" si="36"/>
        <v>2.28943356797274E-3</v>
      </c>
    </row>
    <row r="568" spans="1:21">
      <c r="A568" s="270" t="s">
        <v>11647</v>
      </c>
      <c r="B568" s="3305">
        <v>6555</v>
      </c>
      <c r="C568" s="4834">
        <f t="shared" si="34"/>
        <v>3.2584404695575807E-4</v>
      </c>
      <c r="D568" s="3" t="str">
        <f t="shared" si="35"/>
        <v>2014</v>
      </c>
      <c r="J568" s="270" t="s">
        <v>11651</v>
      </c>
      <c r="K568" s="4837">
        <v>41273.520907476166</v>
      </c>
      <c r="L568" s="4834">
        <f t="shared" si="37"/>
        <v>4.5349596061780075E-5</v>
      </c>
      <c r="S568" s="270" t="s">
        <v>11647</v>
      </c>
      <c r="T568" s="4838">
        <v>643.97945376961854</v>
      </c>
      <c r="U568" s="4839">
        <f t="shared" si="36"/>
        <v>2.2895437120115901E-3</v>
      </c>
    </row>
    <row r="569" spans="1:21">
      <c r="A569" s="270" t="s">
        <v>11648</v>
      </c>
      <c r="B569" s="3305">
        <v>6581</v>
      </c>
      <c r="C569" s="4834">
        <f t="shared" si="34"/>
        <v>3.2596027366954772E-4</v>
      </c>
      <c r="D569" s="3" t="str">
        <f t="shared" si="35"/>
        <v>2014</v>
      </c>
      <c r="J569" s="270" t="s">
        <v>11652</v>
      </c>
      <c r="K569" s="4837">
        <v>41538.764566667356</v>
      </c>
      <c r="L569" s="4834">
        <f t="shared" si="37"/>
        <v>4.6219099082114935E-5</v>
      </c>
      <c r="S569" s="270" t="s">
        <v>11648</v>
      </c>
      <c r="T569" s="4838">
        <v>632.72669247059866</v>
      </c>
      <c r="U569" s="4839">
        <f t="shared" si="36"/>
        <v>2.2839003540636692E-3</v>
      </c>
    </row>
    <row r="570" spans="1:21">
      <c r="A570" s="270" t="s">
        <v>11649</v>
      </c>
      <c r="B570" s="3305">
        <v>6667</v>
      </c>
      <c r="C570" s="4834">
        <f t="shared" si="34"/>
        <v>3.2529742168498348E-4</v>
      </c>
      <c r="D570" s="3" t="str">
        <f t="shared" si="35"/>
        <v>2014</v>
      </c>
      <c r="J570" s="270" t="s">
        <v>11653</v>
      </c>
      <c r="K570" s="4837">
        <v>41281.558594118331</v>
      </c>
      <c r="L570" s="4834">
        <f t="shared" si="37"/>
        <v>4.5376529284510162E-5</v>
      </c>
      <c r="S570" s="270" t="s">
        <v>11649</v>
      </c>
      <c r="T570" s="4838">
        <v>633.69121486765755</v>
      </c>
      <c r="U570" s="4839">
        <f t="shared" si="36"/>
        <v>2.2847568789661822E-3</v>
      </c>
    </row>
    <row r="571" spans="1:21">
      <c r="A571" s="270" t="s">
        <v>11650</v>
      </c>
      <c r="B571" s="3305">
        <v>6636</v>
      </c>
      <c r="C571" s="4834">
        <f t="shared" si="34"/>
        <v>3.2572153002494457E-4</v>
      </c>
      <c r="D571" s="3" t="str">
        <f t="shared" si="35"/>
        <v>2014</v>
      </c>
      <c r="J571" s="270" t="s">
        <v>11654</v>
      </c>
      <c r="K571" s="4837">
        <v>41707.555986152649</v>
      </c>
      <c r="L571" s="4834">
        <f t="shared" si="37"/>
        <v>4.6750891302181635E-5</v>
      </c>
      <c r="S571" s="270" t="s">
        <v>11650</v>
      </c>
      <c r="T571" s="4838">
        <v>642.05040897550066</v>
      </c>
      <c r="U571" s="4839">
        <f t="shared" si="36"/>
        <v>2.2892532807766187E-3</v>
      </c>
    </row>
    <row r="572" spans="1:21">
      <c r="A572" s="270" t="s">
        <v>11651</v>
      </c>
      <c r="B572" s="3305">
        <v>6632</v>
      </c>
      <c r="C572" s="4834">
        <f t="shared" si="34"/>
        <v>3.2576106979118502E-4</v>
      </c>
      <c r="D572" s="3" t="str">
        <f t="shared" si="35"/>
        <v>2014</v>
      </c>
      <c r="J572" s="270" t="s">
        <v>11655</v>
      </c>
      <c r="K572" s="4837">
        <v>41763.819792647744</v>
      </c>
      <c r="L572" s="4834">
        <f t="shared" si="37"/>
        <v>4.6924276018084833E-5</v>
      </c>
      <c r="S572" s="270" t="s">
        <v>11651</v>
      </c>
      <c r="T572" s="4838">
        <v>636.58478205883409</v>
      </c>
      <c r="U572" s="4839">
        <f t="shared" si="36"/>
        <v>2.2869078897414766E-3</v>
      </c>
    </row>
    <row r="573" spans="1:21">
      <c r="A573" s="270" t="s">
        <v>11652</v>
      </c>
      <c r="B573" s="3305">
        <v>6713</v>
      </c>
      <c r="C573" s="4834">
        <f t="shared" si="34"/>
        <v>3.2428547295633046E-4</v>
      </c>
      <c r="D573" s="3" t="str">
        <f t="shared" si="35"/>
        <v>2014</v>
      </c>
      <c r="J573" s="270" t="s">
        <v>11656</v>
      </c>
      <c r="K573" s="4837">
        <v>42101.402631618344</v>
      </c>
      <c r="L573" s="4834">
        <f t="shared" si="37"/>
        <v>4.7921999094785389E-5</v>
      </c>
      <c r="S573" s="270" t="s">
        <v>11652</v>
      </c>
      <c r="T573" s="4838">
        <v>637.22779699020657</v>
      </c>
      <c r="U573" s="4839">
        <f t="shared" si="36"/>
        <v>2.2873005029235317E-3</v>
      </c>
    </row>
    <row r="574" spans="1:21">
      <c r="A574" s="270" t="s">
        <v>11653</v>
      </c>
      <c r="B574" s="3305">
        <v>6606</v>
      </c>
      <c r="C574" s="4834">
        <f t="shared" si="34"/>
        <v>3.2593332110443421E-4</v>
      </c>
      <c r="D574" s="3" t="str">
        <f t="shared" si="35"/>
        <v>2014</v>
      </c>
      <c r="J574" s="270" t="s">
        <v>11657</v>
      </c>
      <c r="K574" s="4837">
        <v>41852.234345711469</v>
      </c>
      <c r="L574" s="4834">
        <f t="shared" si="37"/>
        <v>4.7192718512477182E-5</v>
      </c>
      <c r="S574" s="270" t="s">
        <v>11653</v>
      </c>
      <c r="T574" s="4838">
        <v>637.54930445589287</v>
      </c>
      <c r="U574" s="4839">
        <f t="shared" si="36"/>
        <v>2.2874851525598676E-3</v>
      </c>
    </row>
    <row r="575" spans="1:21">
      <c r="A575" s="270" t="s">
        <v>11654</v>
      </c>
      <c r="B575" s="3305">
        <v>6677</v>
      </c>
      <c r="C575" s="4834">
        <f t="shared" si="34"/>
        <v>3.2511623161073414E-4</v>
      </c>
      <c r="D575" s="3" t="str">
        <f t="shared" si="35"/>
        <v>2014</v>
      </c>
      <c r="J575" s="270" t="s">
        <v>11658</v>
      </c>
      <c r="K575" s="4837">
        <v>42455.060843873245</v>
      </c>
      <c r="L575" s="4834">
        <f t="shared" si="37"/>
        <v>4.8884583961050307E-5</v>
      </c>
      <c r="S575" s="270" t="s">
        <v>11654</v>
      </c>
      <c r="T575" s="4838">
        <v>640.76437911275559</v>
      </c>
      <c r="U575" s="4839">
        <f t="shared" si="36"/>
        <v>2.288903815841254E-3</v>
      </c>
    </row>
    <row r="576" spans="1:21">
      <c r="A576" s="270" t="s">
        <v>11655</v>
      </c>
      <c r="B576" s="3305">
        <v>6610.5</v>
      </c>
      <c r="C576" s="4834">
        <f t="shared" si="34"/>
        <v>3.2591402736086093E-4</v>
      </c>
      <c r="D576" s="3" t="str">
        <f t="shared" si="35"/>
        <v>2014</v>
      </c>
      <c r="J576" s="270" t="s">
        <v>11659</v>
      </c>
      <c r="K576" s="4837">
        <v>42374.683977451685</v>
      </c>
      <c r="L576" s="4834">
        <f t="shared" si="37"/>
        <v>4.8673550000792746E-5</v>
      </c>
      <c r="S576" s="270" t="s">
        <v>11655</v>
      </c>
      <c r="T576" s="4838">
        <v>636.90628952452028</v>
      </c>
      <c r="U576" s="4839">
        <f t="shared" si="36"/>
        <v>2.2871080813293915E-3</v>
      </c>
    </row>
    <row r="577" spans="1:21">
      <c r="A577" s="270" t="s">
        <v>11656</v>
      </c>
      <c r="B577" s="3305">
        <v>6652</v>
      </c>
      <c r="C577" s="4834">
        <f t="shared" si="34"/>
        <v>3.2552864466892675E-4</v>
      </c>
      <c r="D577" s="3" t="str">
        <f t="shared" si="35"/>
        <v>2014</v>
      </c>
      <c r="J577" s="270" t="s">
        <v>11660</v>
      </c>
      <c r="K577" s="4837">
        <v>42623.852263358545</v>
      </c>
      <c r="L577" s="4834">
        <f t="shared" si="37"/>
        <v>4.931246113123553E-5</v>
      </c>
      <c r="S577" s="270" t="s">
        <v>11656</v>
      </c>
      <c r="T577" s="4838">
        <v>647.83754335785386</v>
      </c>
      <c r="U577" s="4839">
        <f t="shared" si="36"/>
        <v>2.2892827508312679E-3</v>
      </c>
    </row>
    <row r="578" spans="1:21">
      <c r="A578" s="270" t="s">
        <v>11657</v>
      </c>
      <c r="B578" s="3305">
        <v>6630.5</v>
      </c>
      <c r="C578" s="4834">
        <f t="shared" si="34"/>
        <v>3.2577500128480553E-4</v>
      </c>
      <c r="D578" s="3" t="str">
        <f t="shared" si="35"/>
        <v>2014</v>
      </c>
      <c r="J578" s="270" t="s">
        <v>11661</v>
      </c>
      <c r="K578" s="4837">
        <v>41731.669046079121</v>
      </c>
      <c r="L578" s="4834">
        <f t="shared" si="37"/>
        <v>4.6825440305705395E-5</v>
      </c>
      <c r="S578" s="270" t="s">
        <v>11657</v>
      </c>
      <c r="T578" s="4838">
        <v>639.47834925001052</v>
      </c>
      <c r="U578" s="4839">
        <f t="shared" si="36"/>
        <v>2.2884297392643878E-3</v>
      </c>
    </row>
    <row r="579" spans="1:21">
      <c r="A579" s="270" t="s">
        <v>11658</v>
      </c>
      <c r="B579" s="3305">
        <v>6637.5</v>
      </c>
      <c r="C579" s="4834">
        <f t="shared" si="34"/>
        <v>3.2570580688435255E-4</v>
      </c>
      <c r="D579" s="3" t="str">
        <f t="shared" si="35"/>
        <v>2014</v>
      </c>
      <c r="J579" s="270" t="s">
        <v>11662</v>
      </c>
      <c r="K579" s="4837">
        <v>41844.196659069319</v>
      </c>
      <c r="L579" s="4834">
        <f t="shared" si="37"/>
        <v>4.7168519820565024E-5</v>
      </c>
      <c r="S579" s="270" t="s">
        <v>11658</v>
      </c>
      <c r="T579" s="4838">
        <v>650.73111054903029</v>
      </c>
      <c r="U579" s="4839">
        <f t="shared" si="36"/>
        <v>2.2883506739135558E-3</v>
      </c>
    </row>
    <row r="580" spans="1:21">
      <c r="A580" s="270" t="s">
        <v>11659</v>
      </c>
      <c r="B580" s="3305">
        <v>6686</v>
      </c>
      <c r="C580" s="4834">
        <f t="shared" ref="C580:C643" si="38">_xlfn.NORM.DIST(B580,$F$4,$F$3,FALSE)</f>
        <v>3.2493469869602175E-4</v>
      </c>
      <c r="D580" s="3" t="str">
        <f t="shared" ref="D580:D643" si="39">LEFT(A580,4)</f>
        <v>2014</v>
      </c>
      <c r="J580" s="270" t="s">
        <v>11663</v>
      </c>
      <c r="K580" s="4837">
        <v>41763.819792647744</v>
      </c>
      <c r="L580" s="4834">
        <f t="shared" si="37"/>
        <v>4.6924276018084833E-5</v>
      </c>
      <c r="S580" s="270" t="s">
        <v>11659</v>
      </c>
      <c r="T580" s="4838">
        <v>645.90849856373609</v>
      </c>
      <c r="U580" s="4839">
        <f t="shared" ref="U580:U643" si="40">_xlfn.NORM.DIST(T580,$X$4,$X$3,FALSE)</f>
        <v>2.2895535365672435E-3</v>
      </c>
    </row>
    <row r="581" spans="1:21">
      <c r="A581" s="270" t="s">
        <v>11660</v>
      </c>
      <c r="B581" s="3305">
        <v>6645</v>
      </c>
      <c r="C581" s="4834">
        <f t="shared" si="38"/>
        <v>3.2561986562001222E-4</v>
      </c>
      <c r="D581" s="3" t="str">
        <f t="shared" si="39"/>
        <v>2014</v>
      </c>
      <c r="J581" s="270" t="s">
        <v>11664</v>
      </c>
      <c r="K581" s="4837">
        <v>41369.973147182056</v>
      </c>
      <c r="L581" s="4834">
        <f t="shared" ref="L581:L644" si="41">_xlfn.NORM.DIST(K581,$O$4,$O$3,FALSE)</f>
        <v>4.5670420795288623E-5</v>
      </c>
      <c r="S581" s="270" t="s">
        <v>11660</v>
      </c>
      <c r="T581" s="4838">
        <v>634.65573726471621</v>
      </c>
      <c r="U581" s="4839">
        <f t="shared" si="40"/>
        <v>2.2855436903040159E-3</v>
      </c>
    </row>
    <row r="582" spans="1:21">
      <c r="A582" s="270" t="s">
        <v>11661</v>
      </c>
      <c r="B582" s="3305">
        <v>6630</v>
      </c>
      <c r="C582" s="4834">
        <f t="shared" si="38"/>
        <v>3.257795365008296E-4</v>
      </c>
      <c r="D582" s="3" t="str">
        <f t="shared" si="39"/>
        <v>2014</v>
      </c>
      <c r="J582" s="270" t="s">
        <v>11665</v>
      </c>
      <c r="K582" s="4837">
        <v>41321.747027329111</v>
      </c>
      <c r="L582" s="4834">
        <f t="shared" si="41"/>
        <v>4.5510658331893207E-5</v>
      </c>
      <c r="S582" s="270" t="s">
        <v>11661</v>
      </c>
      <c r="T582" s="4838">
        <v>635.62025966177521</v>
      </c>
      <c r="U582" s="4839">
        <f t="shared" si="40"/>
        <v>2.2862607158430511E-3</v>
      </c>
    </row>
    <row r="583" spans="1:21">
      <c r="A583" s="270" t="s">
        <v>11662</v>
      </c>
      <c r="B583" s="3305">
        <v>6600</v>
      </c>
      <c r="C583" s="4834">
        <f t="shared" si="38"/>
        <v>3.2595219307315258E-4</v>
      </c>
      <c r="D583" s="3" t="str">
        <f t="shared" si="39"/>
        <v>2014</v>
      </c>
      <c r="J583" s="270" t="s">
        <v>11666</v>
      </c>
      <c r="K583" s="4837">
        <v>41522.689193383034</v>
      </c>
      <c r="L583" s="4834">
        <f t="shared" si="41"/>
        <v>4.6167559879972611E-5</v>
      </c>
      <c r="S583" s="270" t="s">
        <v>11662</v>
      </c>
      <c r="T583" s="4838">
        <v>630.15463274510853</v>
      </c>
      <c r="U583" s="4839">
        <f t="shared" si="40"/>
        <v>2.2812760838271592E-3</v>
      </c>
    </row>
    <row r="584" spans="1:21">
      <c r="A584" s="270" t="s">
        <v>11663</v>
      </c>
      <c r="B584" s="3305">
        <v>6631</v>
      </c>
      <c r="C584" s="4834">
        <f t="shared" si="38"/>
        <v>3.2577041175965417E-4</v>
      </c>
      <c r="D584" s="3" t="str">
        <f t="shared" si="39"/>
        <v>2014</v>
      </c>
      <c r="J584" s="270" t="s">
        <v>11667</v>
      </c>
      <c r="K584" s="4837">
        <v>41836.158972427162</v>
      </c>
      <c r="L584" s="4834">
        <f t="shared" si="41"/>
        <v>4.714427986465287E-5</v>
      </c>
      <c r="S584" s="270" t="s">
        <v>11663</v>
      </c>
      <c r="T584" s="4838">
        <v>630.79764767648101</v>
      </c>
      <c r="U584" s="4839">
        <f t="shared" si="40"/>
        <v>2.2819784843953438E-3</v>
      </c>
    </row>
    <row r="585" spans="1:21">
      <c r="A585" s="270" t="s">
        <v>11664</v>
      </c>
      <c r="B585" s="3305">
        <v>6628.5</v>
      </c>
      <c r="C585" s="4834">
        <f t="shared" si="38"/>
        <v>3.2579281627157408E-4</v>
      </c>
      <c r="D585" s="3" t="str">
        <f t="shared" si="39"/>
        <v>2014</v>
      </c>
      <c r="J585" s="270" t="s">
        <v>11668</v>
      </c>
      <c r="K585" s="4837">
        <v>41763.819792647744</v>
      </c>
      <c r="L585" s="4834">
        <f t="shared" si="41"/>
        <v>4.6924276018084833E-5</v>
      </c>
      <c r="S585" s="270" t="s">
        <v>11664</v>
      </c>
      <c r="T585" s="4838">
        <v>627.26106555393199</v>
      </c>
      <c r="U585" s="4839">
        <f t="shared" si="40"/>
        <v>2.277734054203214E-3</v>
      </c>
    </row>
    <row r="586" spans="1:21">
      <c r="A586" s="270" t="s">
        <v>11665</v>
      </c>
      <c r="B586" s="3305">
        <v>6645</v>
      </c>
      <c r="C586" s="4834">
        <f t="shared" si="38"/>
        <v>3.2561986562001222E-4</v>
      </c>
      <c r="D586" s="3" t="str">
        <f t="shared" si="39"/>
        <v>2014</v>
      </c>
      <c r="J586" s="270" t="s">
        <v>11669</v>
      </c>
      <c r="K586" s="4837">
        <v>41723.631359436964</v>
      </c>
      <c r="L586" s="4834">
        <f t="shared" si="41"/>
        <v>4.6800630719690084E-5</v>
      </c>
      <c r="S586" s="270" t="s">
        <v>11665</v>
      </c>
      <c r="T586" s="4838">
        <v>625.65352822550062</v>
      </c>
      <c r="U586" s="4839">
        <f t="shared" si="40"/>
        <v>2.275497464522571E-3</v>
      </c>
    </row>
    <row r="587" spans="1:21">
      <c r="A587" s="270" t="s">
        <v>11666</v>
      </c>
      <c r="B587" s="3305">
        <v>6731</v>
      </c>
      <c r="C587" s="4834">
        <f t="shared" si="38"/>
        <v>3.2376582371833015E-4</v>
      </c>
      <c r="D587" s="3" t="str">
        <f t="shared" si="39"/>
        <v>2014</v>
      </c>
      <c r="J587" s="270" t="s">
        <v>11670</v>
      </c>
      <c r="K587" s="4837">
        <v>41426.236953677151</v>
      </c>
      <c r="L587" s="4834">
        <f t="shared" si="41"/>
        <v>4.5855143941537353E-5</v>
      </c>
      <c r="S587" s="270" t="s">
        <v>11666</v>
      </c>
      <c r="T587" s="4838">
        <v>612.79322959804927</v>
      </c>
      <c r="U587" s="4839">
        <f t="shared" si="40"/>
        <v>2.2507762149624857E-3</v>
      </c>
    </row>
    <row r="588" spans="1:21">
      <c r="A588" s="270" t="s">
        <v>11667</v>
      </c>
      <c r="B588" s="3305">
        <v>6785.5</v>
      </c>
      <c r="C588" s="4834">
        <f t="shared" si="38"/>
        <v>3.2177282919402644E-4</v>
      </c>
      <c r="D588" s="3" t="str">
        <f t="shared" si="39"/>
        <v>2014</v>
      </c>
      <c r="J588" s="270" t="s">
        <v>11671</v>
      </c>
      <c r="K588" s="4837">
        <v>41104.729487990873</v>
      </c>
      <c r="L588" s="4834">
        <f t="shared" si="41"/>
        <v>4.4775899656848338E-5</v>
      </c>
      <c r="S588" s="270" t="s">
        <v>11667</v>
      </c>
      <c r="T588" s="4838">
        <v>632.08367753922607</v>
      </c>
      <c r="U588" s="4839">
        <f t="shared" si="40"/>
        <v>2.2832906462640001E-3</v>
      </c>
    </row>
    <row r="589" spans="1:21">
      <c r="A589" s="270" t="s">
        <v>11668</v>
      </c>
      <c r="B589" s="3305">
        <v>6782</v>
      </c>
      <c r="C589" s="4834">
        <f t="shared" si="38"/>
        <v>3.2191963110314418E-4</v>
      </c>
      <c r="D589" s="3" t="str">
        <f t="shared" si="39"/>
        <v>2014</v>
      </c>
      <c r="J589" s="270" t="s">
        <v>11672</v>
      </c>
      <c r="K589" s="4837">
        <v>41193.144041054598</v>
      </c>
      <c r="L589" s="4834">
        <f t="shared" si="41"/>
        <v>4.507831881576161E-5</v>
      </c>
      <c r="S589" s="270" t="s">
        <v>11668</v>
      </c>
      <c r="T589" s="4838">
        <v>630.15463274510853</v>
      </c>
      <c r="U589" s="4839">
        <f t="shared" si="40"/>
        <v>2.2812760838271592E-3</v>
      </c>
    </row>
    <row r="590" spans="1:21">
      <c r="A590" s="270" t="s">
        <v>11669</v>
      </c>
      <c r="B590" s="3305">
        <v>6770</v>
      </c>
      <c r="C590" s="4834">
        <f t="shared" si="38"/>
        <v>3.2240344253445859E-4</v>
      </c>
      <c r="D590" s="3" t="str">
        <f t="shared" si="39"/>
        <v>2014</v>
      </c>
      <c r="J590" s="270" t="s">
        <v>11673</v>
      </c>
      <c r="K590" s="4837">
        <v>41996.912705270297</v>
      </c>
      <c r="L590" s="4834">
        <f t="shared" si="41"/>
        <v>4.7621152361992364E-5</v>
      </c>
      <c r="S590" s="270" t="s">
        <v>11669</v>
      </c>
      <c r="T590" s="4838">
        <v>621.47393117157878</v>
      </c>
      <c r="U590" s="4839">
        <f t="shared" si="40"/>
        <v>2.2687886601565799E-3</v>
      </c>
    </row>
    <row r="591" spans="1:21">
      <c r="A591" s="270" t="s">
        <v>11670</v>
      </c>
      <c r="B591" s="3305">
        <v>6724</v>
      </c>
      <c r="C591" s="4834">
        <f t="shared" si="38"/>
        <v>3.2397613761344046E-4</v>
      </c>
      <c r="D591" s="3" t="str">
        <f t="shared" si="39"/>
        <v>2014</v>
      </c>
      <c r="J591" s="270" t="s">
        <v>11674</v>
      </c>
      <c r="K591" s="4837">
        <v>41667.367552941862</v>
      </c>
      <c r="L591" s="4834">
        <f t="shared" si="41"/>
        <v>4.6625844966665208E-5</v>
      </c>
      <c r="S591" s="270" t="s">
        <v>11670</v>
      </c>
      <c r="T591" s="4838">
        <v>619.86639384314753</v>
      </c>
      <c r="U591" s="4839">
        <f t="shared" si="40"/>
        <v>2.2658664402882434E-3</v>
      </c>
    </row>
    <row r="592" spans="1:21">
      <c r="A592" s="270" t="s">
        <v>11671</v>
      </c>
      <c r="B592" s="3305">
        <v>6670.5</v>
      </c>
      <c r="C592" s="4834">
        <f t="shared" si="38"/>
        <v>3.2523646354903939E-4</v>
      </c>
      <c r="D592" s="3" t="str">
        <f t="shared" si="39"/>
        <v>2014</v>
      </c>
      <c r="J592" s="270" t="s">
        <v>11675</v>
      </c>
      <c r="K592" s="4837">
        <v>41378.010833824213</v>
      </c>
      <c r="L592" s="4834">
        <f t="shared" si="41"/>
        <v>4.5696920259460911E-5</v>
      </c>
      <c r="S592" s="270" t="s">
        <v>11671</v>
      </c>
      <c r="T592" s="4838">
        <v>612.79322959804927</v>
      </c>
      <c r="U592" s="4839">
        <f t="shared" si="40"/>
        <v>2.2507762149624857E-3</v>
      </c>
    </row>
    <row r="593" spans="1:21">
      <c r="A593" s="270" t="s">
        <v>11672</v>
      </c>
      <c r="B593" s="3305">
        <v>6699</v>
      </c>
      <c r="C593" s="4834">
        <f t="shared" si="38"/>
        <v>3.2464166876624857E-4</v>
      </c>
      <c r="D593" s="3" t="str">
        <f t="shared" si="39"/>
        <v>2014</v>
      </c>
      <c r="J593" s="270" t="s">
        <v>11676</v>
      </c>
      <c r="K593" s="4837">
        <v>41514.651506740884</v>
      </c>
      <c r="L593" s="4834">
        <f t="shared" si="41"/>
        <v>4.614173303851638E-5</v>
      </c>
      <c r="S593" s="270" t="s">
        <v>11672</v>
      </c>
      <c r="T593" s="4838">
        <v>616.3298117205984</v>
      </c>
      <c r="U593" s="4839">
        <f t="shared" si="40"/>
        <v>2.2587739435350192E-3</v>
      </c>
    </row>
    <row r="594" spans="1:21">
      <c r="A594" s="270" t="s">
        <v>11673</v>
      </c>
      <c r="B594" s="3305">
        <v>6740</v>
      </c>
      <c r="C594" s="4834">
        <f t="shared" si="38"/>
        <v>3.2348007124821101E-4</v>
      </c>
      <c r="D594" s="3" t="str">
        <f t="shared" si="39"/>
        <v>2014</v>
      </c>
      <c r="J594" s="270" t="s">
        <v>11677</v>
      </c>
      <c r="K594" s="4837">
        <v>41755.782106005587</v>
      </c>
      <c r="L594" s="4834">
        <f t="shared" si="41"/>
        <v>4.6899627639889388E-5</v>
      </c>
      <c r="S594" s="270" t="s">
        <v>11673</v>
      </c>
      <c r="T594" s="4838">
        <v>631.4406626078536</v>
      </c>
      <c r="U594" s="4839">
        <f t="shared" si="40"/>
        <v>2.2826500143335367E-3</v>
      </c>
    </row>
    <row r="595" spans="1:21">
      <c r="A595" s="270" t="s">
        <v>11674</v>
      </c>
      <c r="B595" s="3305">
        <v>6688</v>
      </c>
      <c r="C595" s="4834">
        <f t="shared" si="38"/>
        <v>3.2489198587824542E-4</v>
      </c>
      <c r="D595" s="3" t="str">
        <f t="shared" si="39"/>
        <v>2014</v>
      </c>
      <c r="J595" s="270" t="s">
        <v>11678</v>
      </c>
      <c r="K595" s="4837">
        <v>41683.442926226176</v>
      </c>
      <c r="L595" s="4834">
        <f t="shared" si="41"/>
        <v>4.6675982731581634E-5</v>
      </c>
      <c r="S595" s="270" t="s">
        <v>11674</v>
      </c>
      <c r="T595" s="4838">
        <v>631.4406626078536</v>
      </c>
      <c r="U595" s="4839">
        <f t="shared" si="40"/>
        <v>2.2826500143335367E-3</v>
      </c>
    </row>
    <row r="596" spans="1:21">
      <c r="A596" s="270" t="s">
        <v>11675</v>
      </c>
      <c r="B596" s="3305">
        <v>6690.5</v>
      </c>
      <c r="C596" s="4834">
        <f t="shared" si="38"/>
        <v>3.2483738287723292E-4</v>
      </c>
      <c r="D596" s="3" t="str">
        <f t="shared" si="39"/>
        <v>2014</v>
      </c>
      <c r="J596" s="270" t="s">
        <v>11679</v>
      </c>
      <c r="K596" s="4837">
        <v>41964.761958701674</v>
      </c>
      <c r="L596" s="4834">
        <f t="shared" si="41"/>
        <v>4.7527124948735102E-5</v>
      </c>
      <c r="S596" s="270" t="s">
        <v>11675</v>
      </c>
      <c r="T596" s="4838">
        <v>618.90187144608865</v>
      </c>
      <c r="U596" s="4839">
        <f t="shared" si="40"/>
        <v>2.2640224144254519E-3</v>
      </c>
    </row>
    <row r="597" spans="1:21">
      <c r="A597" s="270" t="s">
        <v>11676</v>
      </c>
      <c r="B597" s="3305">
        <v>6770</v>
      </c>
      <c r="C597" s="4834">
        <f t="shared" si="38"/>
        <v>3.2240344253445859E-4</v>
      </c>
      <c r="D597" s="3" t="str">
        <f t="shared" si="39"/>
        <v>2014</v>
      </c>
      <c r="J597" s="270" t="s">
        <v>11680</v>
      </c>
      <c r="K597" s="4837">
        <v>41763.819792647744</v>
      </c>
      <c r="L597" s="4834">
        <f t="shared" si="41"/>
        <v>4.6924276018084833E-5</v>
      </c>
      <c r="S597" s="270" t="s">
        <v>11676</v>
      </c>
      <c r="T597" s="4838">
        <v>618.90187144608865</v>
      </c>
      <c r="U597" s="4839">
        <f t="shared" si="40"/>
        <v>2.2640224144254519E-3</v>
      </c>
    </row>
    <row r="598" spans="1:21">
      <c r="A598" s="270" t="s">
        <v>11677</v>
      </c>
      <c r="B598" s="3305">
        <v>6930</v>
      </c>
      <c r="C598" s="4834">
        <f t="shared" si="38"/>
        <v>3.1352389433745372E-4</v>
      </c>
      <c r="D598" s="3" t="str">
        <f t="shared" si="39"/>
        <v>2014</v>
      </c>
      <c r="J598" s="270" t="s">
        <v>11681</v>
      </c>
      <c r="K598" s="4837">
        <v>41522.689193383034</v>
      </c>
      <c r="L598" s="4834">
        <f t="shared" si="41"/>
        <v>4.6167559879972611E-5</v>
      </c>
      <c r="S598" s="270" t="s">
        <v>11677</v>
      </c>
      <c r="T598" s="4838">
        <v>625.65352822550062</v>
      </c>
      <c r="U598" s="4839">
        <f t="shared" si="40"/>
        <v>2.275497464522571E-3</v>
      </c>
    </row>
    <row r="599" spans="1:21">
      <c r="A599" s="270" t="s">
        <v>11678</v>
      </c>
      <c r="B599" s="3305">
        <v>6884.5</v>
      </c>
      <c r="C599" s="4834">
        <f t="shared" si="38"/>
        <v>3.1657389331826914E-4</v>
      </c>
      <c r="D599" s="3" t="str">
        <f t="shared" si="39"/>
        <v>2014</v>
      </c>
      <c r="J599" s="270" t="s">
        <v>11682</v>
      </c>
      <c r="K599" s="4837">
        <v>41860.272032353634</v>
      </c>
      <c r="L599" s="4834">
        <f t="shared" si="41"/>
        <v>4.7216875864107E-5</v>
      </c>
      <c r="S599" s="270" t="s">
        <v>11678</v>
      </c>
      <c r="T599" s="4838">
        <v>625.01051329412803</v>
      </c>
      <c r="U599" s="4839">
        <f t="shared" si="40"/>
        <v>2.2745492344206607E-3</v>
      </c>
    </row>
    <row r="600" spans="1:21">
      <c r="A600" s="270" t="s">
        <v>11679</v>
      </c>
      <c r="B600" s="3305">
        <v>6976.5</v>
      </c>
      <c r="C600" s="4834">
        <f t="shared" si="38"/>
        <v>3.0999422455472211E-4</v>
      </c>
      <c r="D600" s="3" t="str">
        <f t="shared" si="39"/>
        <v>2014</v>
      </c>
      <c r="J600" s="270" t="s">
        <v>11683</v>
      </c>
      <c r="K600" s="4837">
        <v>41651.292179657554</v>
      </c>
      <c r="L600" s="4834">
        <f t="shared" si="41"/>
        <v>4.6575548958806269E-5</v>
      </c>
      <c r="S600" s="270" t="s">
        <v>11679</v>
      </c>
      <c r="T600" s="4838">
        <v>638.83533431863805</v>
      </c>
      <c r="U600" s="4839">
        <f t="shared" si="40"/>
        <v>2.2881459950200417E-3</v>
      </c>
    </row>
    <row r="601" spans="1:21">
      <c r="A601" s="270" t="s">
        <v>11680</v>
      </c>
      <c r="B601" s="3305">
        <v>6949</v>
      </c>
      <c r="C601" s="4834">
        <f t="shared" si="38"/>
        <v>3.1213126901216882E-4</v>
      </c>
      <c r="D601" s="3" t="str">
        <f t="shared" si="39"/>
        <v>2014</v>
      </c>
      <c r="J601" s="270" t="s">
        <v>11684</v>
      </c>
      <c r="K601" s="4837">
        <v>41386.048520466371</v>
      </c>
      <c r="L601" s="4834">
        <f t="shared" si="41"/>
        <v>4.5723383044928508E-5</v>
      </c>
      <c r="S601" s="270" t="s">
        <v>11680</v>
      </c>
      <c r="T601" s="4838">
        <v>632.08367753922607</v>
      </c>
      <c r="U601" s="4839">
        <f t="shared" si="40"/>
        <v>2.2832906462640001E-3</v>
      </c>
    </row>
    <row r="602" spans="1:21">
      <c r="A602" s="270" t="s">
        <v>11681</v>
      </c>
      <c r="B602" s="3305">
        <v>6950</v>
      </c>
      <c r="C602" s="4834">
        <f t="shared" si="38"/>
        <v>3.120560611976129E-4</v>
      </c>
      <c r="D602" s="3" t="str">
        <f t="shared" si="39"/>
        <v>2014</v>
      </c>
      <c r="J602" s="270" t="s">
        <v>11685</v>
      </c>
      <c r="K602" s="4837">
        <v>41747.744419363436</v>
      </c>
      <c r="L602" s="4834">
        <f t="shared" si="41"/>
        <v>4.6874938843427011E-5</v>
      </c>
      <c r="S602" s="270" t="s">
        <v>11681</v>
      </c>
      <c r="T602" s="4838">
        <v>621.47393117157878</v>
      </c>
      <c r="U602" s="4839">
        <f t="shared" si="40"/>
        <v>2.2687886601565799E-3</v>
      </c>
    </row>
    <row r="603" spans="1:21">
      <c r="A603" s="270" t="s">
        <v>11682</v>
      </c>
      <c r="B603" s="3305">
        <v>7009</v>
      </c>
      <c r="C603" s="4834">
        <f t="shared" si="38"/>
        <v>3.072873966357878E-4</v>
      </c>
      <c r="D603" s="3" t="str">
        <f t="shared" si="39"/>
        <v>2014</v>
      </c>
      <c r="J603" s="270" t="s">
        <v>11686</v>
      </c>
      <c r="K603" s="4837">
        <v>41522.689193383034</v>
      </c>
      <c r="L603" s="4834">
        <f t="shared" si="41"/>
        <v>4.6167559879972611E-5</v>
      </c>
      <c r="S603" s="270" t="s">
        <v>11682</v>
      </c>
      <c r="T603" s="4838">
        <v>628.54709541667705</v>
      </c>
      <c r="U603" s="4839">
        <f t="shared" si="40"/>
        <v>2.2793852143662653E-3</v>
      </c>
    </row>
    <row r="604" spans="1:21">
      <c r="A604" s="270" t="s">
        <v>11683</v>
      </c>
      <c r="B604" s="3305">
        <v>6922.5</v>
      </c>
      <c r="C604" s="4834">
        <f t="shared" si="38"/>
        <v>3.1405448735737719E-4</v>
      </c>
      <c r="D604" s="3" t="str">
        <f t="shared" si="39"/>
        <v>2014</v>
      </c>
      <c r="J604" s="270" t="s">
        <v>11687</v>
      </c>
      <c r="K604" s="4837">
        <v>41008.27724828499</v>
      </c>
      <c r="L604" s="4834">
        <f t="shared" si="41"/>
        <v>4.4441318625975278E-5</v>
      </c>
      <c r="S604" s="270" t="s">
        <v>11683</v>
      </c>
      <c r="T604" s="4838">
        <v>622.75996103432408</v>
      </c>
      <c r="U604" s="4839">
        <f t="shared" si="40"/>
        <v>2.2709899695042596E-3</v>
      </c>
    </row>
    <row r="605" spans="1:21">
      <c r="A605" s="270" t="s">
        <v>11684</v>
      </c>
      <c r="B605" s="3305">
        <v>6841</v>
      </c>
      <c r="C605" s="4834">
        <f t="shared" si="38"/>
        <v>3.1910490865855119E-4</v>
      </c>
      <c r="D605" s="3" t="str">
        <f t="shared" si="39"/>
        <v>2014</v>
      </c>
      <c r="J605" s="270" t="s">
        <v>11688</v>
      </c>
      <c r="K605" s="4837">
        <v>40622.468289461453</v>
      </c>
      <c r="L605" s="4834">
        <f t="shared" si="41"/>
        <v>4.3057164002789456E-5</v>
      </c>
      <c r="S605" s="270" t="s">
        <v>11684</v>
      </c>
      <c r="T605" s="4838">
        <v>620.83091624020631</v>
      </c>
      <c r="U605" s="4839">
        <f t="shared" si="40"/>
        <v>2.2676424818464957E-3</v>
      </c>
    </row>
    <row r="606" spans="1:21">
      <c r="A606" s="270" t="s">
        <v>11685</v>
      </c>
      <c r="B606" s="3305">
        <v>6945.5</v>
      </c>
      <c r="C606" s="4834">
        <f t="shared" si="38"/>
        <v>3.1239299673201603E-4</v>
      </c>
      <c r="D606" s="3" t="str">
        <f t="shared" si="39"/>
        <v>2014</v>
      </c>
      <c r="J606" s="270" t="s">
        <v>11689</v>
      </c>
      <c r="K606" s="4837">
        <v>40349.186943628119</v>
      </c>
      <c r="L606" s="4834">
        <f t="shared" si="41"/>
        <v>4.2036119028616426E-5</v>
      </c>
      <c r="S606" s="270" t="s">
        <v>11685</v>
      </c>
      <c r="T606" s="4838">
        <v>628.86860288236323</v>
      </c>
      <c r="U606" s="4839">
        <f t="shared" si="40"/>
        <v>2.2797787865738756E-3</v>
      </c>
    </row>
    <row r="607" spans="1:21">
      <c r="A607" s="270" t="s">
        <v>11686</v>
      </c>
      <c r="B607" s="3305">
        <v>6991</v>
      </c>
      <c r="C607" s="4834">
        <f t="shared" si="38"/>
        <v>3.0881053293378046E-4</v>
      </c>
      <c r="D607" s="3" t="str">
        <f t="shared" si="39"/>
        <v>2014</v>
      </c>
      <c r="J607" s="270" t="s">
        <v>11690</v>
      </c>
      <c r="K607" s="4837">
        <v>40204.508584069285</v>
      </c>
      <c r="L607" s="4834">
        <f t="shared" si="41"/>
        <v>4.1483296709568348E-5</v>
      </c>
      <c r="S607" s="270" t="s">
        <v>11686</v>
      </c>
      <c r="T607" s="4838">
        <v>624.36749836275544</v>
      </c>
      <c r="U607" s="4839">
        <f t="shared" si="40"/>
        <v>2.2735704362138072E-3</v>
      </c>
    </row>
    <row r="608" spans="1:21">
      <c r="A608" s="270" t="s">
        <v>11687</v>
      </c>
      <c r="B608" s="3305">
        <v>7020</v>
      </c>
      <c r="C608" s="4834">
        <f t="shared" si="38"/>
        <v>3.0632767089339293E-4</v>
      </c>
      <c r="D608" s="3" t="str">
        <f t="shared" si="39"/>
        <v>2014</v>
      </c>
      <c r="J608" s="270" t="s">
        <v>11691</v>
      </c>
      <c r="K608" s="4837">
        <v>40100.018657721252</v>
      </c>
      <c r="L608" s="4834">
        <f t="shared" si="41"/>
        <v>4.1079138459532038E-5</v>
      </c>
      <c r="S608" s="270" t="s">
        <v>11687</v>
      </c>
      <c r="T608" s="4838">
        <v>618.90187144608865</v>
      </c>
      <c r="U608" s="4839">
        <f t="shared" si="40"/>
        <v>2.2640224144254519E-3</v>
      </c>
    </row>
    <row r="609" spans="1:21">
      <c r="A609" s="270" t="s">
        <v>11688</v>
      </c>
      <c r="B609" s="3305">
        <v>7035</v>
      </c>
      <c r="C609" s="4834">
        <f t="shared" si="38"/>
        <v>3.0498407583624305E-4</v>
      </c>
      <c r="D609" s="3" t="str">
        <f t="shared" si="39"/>
        <v>2014</v>
      </c>
      <c r="J609" s="270" t="s">
        <v>11692</v>
      </c>
      <c r="K609" s="4837">
        <v>39955.340298162424</v>
      </c>
      <c r="L609" s="4834">
        <f t="shared" si="41"/>
        <v>4.051315678070035E-5</v>
      </c>
      <c r="S609" s="270" t="s">
        <v>11688</v>
      </c>
      <c r="T609" s="4838">
        <v>614.72227439216704</v>
      </c>
      <c r="U609" s="4839">
        <f t="shared" si="40"/>
        <v>2.2552502682938232E-3</v>
      </c>
    </row>
    <row r="610" spans="1:21">
      <c r="A610" s="270" t="s">
        <v>11689</v>
      </c>
      <c r="B610" s="3305">
        <v>6970</v>
      </c>
      <c r="C610" s="4834">
        <f t="shared" si="38"/>
        <v>3.1051216801496087E-4</v>
      </c>
      <c r="D610" s="3" t="str">
        <f t="shared" si="39"/>
        <v>2014</v>
      </c>
      <c r="J610" s="270" t="s">
        <v>11693</v>
      </c>
      <c r="K610" s="4837">
        <v>40035.717164583992</v>
      </c>
      <c r="L610" s="4834">
        <f t="shared" si="41"/>
        <v>4.0828480622885962E-5</v>
      </c>
      <c r="S610" s="270" t="s">
        <v>11689</v>
      </c>
      <c r="T610" s="4838">
        <v>606.04157281863752</v>
      </c>
      <c r="U610" s="4839">
        <f t="shared" si="40"/>
        <v>2.2330303944020887E-3</v>
      </c>
    </row>
    <row r="611" spans="1:21">
      <c r="A611" s="270" t="s">
        <v>11690</v>
      </c>
      <c r="B611" s="3305">
        <v>6995.5</v>
      </c>
      <c r="C611" s="4834">
        <f t="shared" si="38"/>
        <v>3.0843529715841102E-4</v>
      </c>
      <c r="D611" s="3" t="str">
        <f t="shared" si="39"/>
        <v>2014</v>
      </c>
      <c r="J611" s="270" t="s">
        <v>11694</v>
      </c>
      <c r="K611" s="4837">
        <v>40268.810077206545</v>
      </c>
      <c r="L611" s="4834">
        <f t="shared" si="41"/>
        <v>4.1729992512719248E-5</v>
      </c>
      <c r="S611" s="270" t="s">
        <v>11690</v>
      </c>
      <c r="T611" s="4838">
        <v>610.86418480393172</v>
      </c>
      <c r="U611" s="4839">
        <f t="shared" si="40"/>
        <v>2.2460357281307939E-3</v>
      </c>
    </row>
    <row r="612" spans="1:21">
      <c r="A612" s="270" t="s">
        <v>11691</v>
      </c>
      <c r="B612" s="3305">
        <v>7003</v>
      </c>
      <c r="C612" s="4834">
        <f t="shared" si="38"/>
        <v>3.0780166982934695E-4</v>
      </c>
      <c r="D612" s="3" t="str">
        <f t="shared" si="39"/>
        <v>2014</v>
      </c>
      <c r="J612" s="270" t="s">
        <v>11695</v>
      </c>
      <c r="K612" s="4837">
        <v>40108.056344363402</v>
      </c>
      <c r="L612" s="4834">
        <f t="shared" si="41"/>
        <v>4.1110368084094255E-5</v>
      </c>
      <c r="S612" s="270" t="s">
        <v>11691</v>
      </c>
      <c r="T612" s="4838">
        <v>604.75554295589234</v>
      </c>
      <c r="U612" s="4839">
        <f t="shared" si="40"/>
        <v>2.2292866035541013E-3</v>
      </c>
    </row>
    <row r="613" spans="1:21">
      <c r="A613" s="270" t="s">
        <v>11692</v>
      </c>
      <c r="B613" s="3305">
        <v>6930</v>
      </c>
      <c r="C613" s="4834">
        <f t="shared" si="38"/>
        <v>3.1352389433745372E-4</v>
      </c>
      <c r="D613" s="3" t="str">
        <f t="shared" si="39"/>
        <v>2014</v>
      </c>
      <c r="J613" s="270" t="s">
        <v>11696</v>
      </c>
      <c r="K613" s="4837">
        <v>40300.960823775175</v>
      </c>
      <c r="L613" s="4834">
        <f t="shared" si="41"/>
        <v>4.1852746454625445E-5</v>
      </c>
      <c r="S613" s="270" t="s">
        <v>11692</v>
      </c>
      <c r="T613" s="4838">
        <v>606.68458775001</v>
      </c>
      <c r="U613" s="4839">
        <f t="shared" si="40"/>
        <v>2.2348589926471114E-3</v>
      </c>
    </row>
    <row r="614" spans="1:21">
      <c r="A614" s="270" t="s">
        <v>11693</v>
      </c>
      <c r="B614" s="3305">
        <v>6835</v>
      </c>
      <c r="C614" s="4834">
        <f t="shared" si="38"/>
        <v>3.194239291352253E-4</v>
      </c>
      <c r="D614" s="3" t="str">
        <f t="shared" si="39"/>
        <v>2014</v>
      </c>
      <c r="J614" s="270" t="s">
        <v>11697</v>
      </c>
      <c r="K614" s="4837">
        <v>40493.865303186947</v>
      </c>
      <c r="L614" s="4834">
        <f t="shared" si="41"/>
        <v>4.2580599163048144E-5</v>
      </c>
      <c r="S614" s="270" t="s">
        <v>11693</v>
      </c>
      <c r="T614" s="4838">
        <v>603.14800562746098</v>
      </c>
      <c r="U614" s="4839">
        <f t="shared" si="40"/>
        <v>2.2244452799544761E-3</v>
      </c>
    </row>
    <row r="615" spans="1:21">
      <c r="A615" s="270" t="s">
        <v>11694</v>
      </c>
      <c r="B615" s="3305">
        <v>6800</v>
      </c>
      <c r="C615" s="4834">
        <f t="shared" si="38"/>
        <v>3.2113738279020392E-4</v>
      </c>
      <c r="D615" s="3" t="str">
        <f t="shared" si="39"/>
        <v>2014</v>
      </c>
      <c r="J615" s="270" t="s">
        <v>11698</v>
      </c>
      <c r="K615" s="4837">
        <v>40574.242169608508</v>
      </c>
      <c r="L615" s="4834">
        <f t="shared" si="41"/>
        <v>4.28792947986692E-5</v>
      </c>
      <c r="S615" s="270" t="s">
        <v>11694</v>
      </c>
      <c r="T615" s="4838">
        <v>604.75554295589234</v>
      </c>
      <c r="U615" s="4839">
        <f t="shared" si="40"/>
        <v>2.2292866035541013E-3</v>
      </c>
    </row>
    <row r="616" spans="1:21">
      <c r="A616" s="270" t="s">
        <v>11695</v>
      </c>
      <c r="B616" s="3305">
        <v>6660.5</v>
      </c>
      <c r="C616" s="4834">
        <f t="shared" si="38"/>
        <v>3.2540359945388859E-4</v>
      </c>
      <c r="D616" s="3" t="str">
        <f t="shared" si="39"/>
        <v>2014</v>
      </c>
      <c r="J616" s="270" t="s">
        <v>11699</v>
      </c>
      <c r="K616" s="4837">
        <v>40694.807469240863</v>
      </c>
      <c r="L616" s="4834">
        <f t="shared" si="41"/>
        <v>4.332202291604664E-5</v>
      </c>
      <c r="S616" s="270" t="s">
        <v>11695</v>
      </c>
      <c r="T616" s="4838">
        <v>611.82870720099049</v>
      </c>
      <c r="U616" s="4839">
        <f t="shared" si="40"/>
        <v>2.2484391703178046E-3</v>
      </c>
    </row>
    <row r="617" spans="1:21">
      <c r="A617" s="270" t="s">
        <v>11696</v>
      </c>
      <c r="B617" s="3305">
        <v>6667.5</v>
      </c>
      <c r="C617" s="4834">
        <f t="shared" si="38"/>
        <v>3.2528887555601909E-4</v>
      </c>
      <c r="D617" s="3" t="str">
        <f t="shared" si="39"/>
        <v>2014</v>
      </c>
      <c r="J617" s="270" t="s">
        <v>11700</v>
      </c>
      <c r="K617" s="4837">
        <v>40927.900381863423</v>
      </c>
      <c r="L617" s="4834">
        <f t="shared" si="41"/>
        <v>4.4158881277868037E-5</v>
      </c>
      <c r="S617" s="270" t="s">
        <v>11696</v>
      </c>
      <c r="T617" s="4838">
        <v>614.40076692648074</v>
      </c>
      <c r="U617" s="4839">
        <f t="shared" si="40"/>
        <v>2.2545231653057071E-3</v>
      </c>
    </row>
    <row r="618" spans="1:21">
      <c r="A618" s="270" t="s">
        <v>11697</v>
      </c>
      <c r="B618" s="3305">
        <v>6695.5</v>
      </c>
      <c r="C618" s="4834">
        <f t="shared" si="38"/>
        <v>3.2472413955643903E-4</v>
      </c>
      <c r="D618" s="3" t="str">
        <f t="shared" si="39"/>
        <v>2014</v>
      </c>
      <c r="J618" s="270" t="s">
        <v>11701</v>
      </c>
      <c r="K618" s="4837">
        <v>41032.390308211463</v>
      </c>
      <c r="L618" s="4834">
        <f t="shared" si="41"/>
        <v>4.4525413084878483E-5</v>
      </c>
      <c r="S618" s="270" t="s">
        <v>11697</v>
      </c>
      <c r="T618" s="4838">
        <v>610.86418480393172</v>
      </c>
      <c r="U618" s="4839">
        <f t="shared" si="40"/>
        <v>2.2460357281307939E-3</v>
      </c>
    </row>
    <row r="619" spans="1:21">
      <c r="A619" s="270" t="s">
        <v>11698</v>
      </c>
      <c r="B619" s="3305">
        <v>6689.5</v>
      </c>
      <c r="C619" s="4834">
        <f t="shared" si="38"/>
        <v>3.2485938563690141E-4</v>
      </c>
      <c r="D619" s="3" t="str">
        <f t="shared" si="39"/>
        <v>2014</v>
      </c>
      <c r="J619" s="270" t="s">
        <v>11702</v>
      </c>
      <c r="K619" s="4837">
        <v>40751.071275735965</v>
      </c>
      <c r="L619" s="4834">
        <f t="shared" si="41"/>
        <v>4.3526375091862948E-5</v>
      </c>
      <c r="S619" s="270" t="s">
        <v>11698</v>
      </c>
      <c r="T619" s="4838">
        <v>617.29433411765717</v>
      </c>
      <c r="U619" s="4839">
        <f t="shared" si="40"/>
        <v>2.2607984215954513E-3</v>
      </c>
    </row>
    <row r="620" spans="1:21">
      <c r="A620" s="270" t="s">
        <v>11699</v>
      </c>
      <c r="B620" s="3305">
        <v>6725</v>
      </c>
      <c r="C620" s="4834">
        <f t="shared" si="38"/>
        <v>3.239467332229461E-4</v>
      </c>
      <c r="D620" s="3" t="str">
        <f t="shared" si="39"/>
        <v>2014</v>
      </c>
      <c r="J620" s="270" t="s">
        <v>11703</v>
      </c>
      <c r="K620" s="4837">
        <v>40823.410455515383</v>
      </c>
      <c r="L620" s="4834">
        <f t="shared" si="41"/>
        <v>4.3786941296670015E-5</v>
      </c>
      <c r="S620" s="270" t="s">
        <v>11699</v>
      </c>
      <c r="T620" s="4838">
        <v>621.47393117157878</v>
      </c>
      <c r="U620" s="4839">
        <f t="shared" si="40"/>
        <v>2.2687886601565799E-3</v>
      </c>
    </row>
    <row r="621" spans="1:21">
      <c r="A621" s="270" t="s">
        <v>11700</v>
      </c>
      <c r="B621" s="3305">
        <v>6671.5</v>
      </c>
      <c r="C621" s="4834">
        <f t="shared" si="38"/>
        <v>3.252185605152417E-4</v>
      </c>
      <c r="D621" s="3" t="str">
        <f t="shared" si="39"/>
        <v>2014</v>
      </c>
      <c r="J621" s="270" t="s">
        <v>11704</v>
      </c>
      <c r="K621" s="4837">
        <v>41570.915313235979</v>
      </c>
      <c r="L621" s="4834">
        <f t="shared" si="41"/>
        <v>4.6321717325310817E-5</v>
      </c>
      <c r="S621" s="270" t="s">
        <v>11700</v>
      </c>
      <c r="T621" s="4838">
        <v>629.51161781373582</v>
      </c>
      <c r="U621" s="4839">
        <f t="shared" si="40"/>
        <v>2.2805428412595312E-3</v>
      </c>
    </row>
    <row r="622" spans="1:21">
      <c r="A622" s="270" t="s">
        <v>11701</v>
      </c>
      <c r="B622" s="3305">
        <v>6735</v>
      </c>
      <c r="C622" s="4834">
        <f t="shared" si="38"/>
        <v>3.2364095213669082E-4</v>
      </c>
      <c r="D622" s="3" t="str">
        <f t="shared" si="39"/>
        <v>2014</v>
      </c>
      <c r="J622" s="270" t="s">
        <v>11705</v>
      </c>
      <c r="K622" s="4837">
        <v>42197.854871324227</v>
      </c>
      <c r="L622" s="4834">
        <f t="shared" si="41"/>
        <v>4.8193159776068153E-5</v>
      </c>
      <c r="S622" s="270" t="s">
        <v>11701</v>
      </c>
      <c r="T622" s="4838">
        <v>632.40518500491248</v>
      </c>
      <c r="U622" s="4839">
        <f t="shared" si="40"/>
        <v>2.283599367263816E-3</v>
      </c>
    </row>
    <row r="623" spans="1:21">
      <c r="A623" s="270" t="s">
        <v>11702</v>
      </c>
      <c r="B623" s="3305">
        <v>6711</v>
      </c>
      <c r="C623" s="4834">
        <f t="shared" si="38"/>
        <v>3.243389325243246E-4</v>
      </c>
      <c r="D623" s="3" t="str">
        <f t="shared" si="39"/>
        <v>2014</v>
      </c>
      <c r="J623" s="270" t="s">
        <v>11706</v>
      </c>
      <c r="K623" s="4837">
        <v>42230.00561789285</v>
      </c>
      <c r="L623" s="4834">
        <f t="shared" si="41"/>
        <v>4.8282128209792239E-5</v>
      </c>
      <c r="S623" s="270" t="s">
        <v>11702</v>
      </c>
      <c r="T623" s="4838">
        <v>628.54709541667705</v>
      </c>
      <c r="U623" s="4839">
        <f t="shared" si="40"/>
        <v>2.2793852143662653E-3</v>
      </c>
    </row>
    <row r="624" spans="1:21">
      <c r="A624" s="270" t="s">
        <v>11703</v>
      </c>
      <c r="B624" s="3305">
        <v>6739</v>
      </c>
      <c r="C624" s="4834">
        <f t="shared" si="38"/>
        <v>3.2351267298994245E-4</v>
      </c>
      <c r="D624" s="3" t="str">
        <f t="shared" si="39"/>
        <v>2014</v>
      </c>
      <c r="J624" s="270" t="s">
        <v>11707</v>
      </c>
      <c r="K624" s="4837">
        <v>42390.759350735992</v>
      </c>
      <c r="L624" s="4834">
        <f t="shared" si="41"/>
        <v>4.8716127475573641E-5</v>
      </c>
      <c r="S624" s="270" t="s">
        <v>11703</v>
      </c>
      <c r="T624" s="4838">
        <v>634.33422979903014</v>
      </c>
      <c r="U624" s="4839">
        <f t="shared" si="40"/>
        <v>2.2852891704000255E-3</v>
      </c>
    </row>
    <row r="625" spans="1:21">
      <c r="A625" s="270" t="s">
        <v>11704</v>
      </c>
      <c r="B625" s="3305">
        <v>6730.5</v>
      </c>
      <c r="C625" s="4834">
        <f t="shared" si="38"/>
        <v>3.2378119287206894E-4</v>
      </c>
      <c r="D625" s="3" t="str">
        <f t="shared" si="39"/>
        <v>2014</v>
      </c>
      <c r="J625" s="270" t="s">
        <v>11708</v>
      </c>
      <c r="K625" s="4837">
        <v>42334.495544240897</v>
      </c>
      <c r="L625" s="4834">
        <f t="shared" si="41"/>
        <v>4.8566301442949001E-5</v>
      </c>
      <c r="S625" s="270" t="s">
        <v>11704</v>
      </c>
      <c r="T625" s="4838">
        <v>641.085886578442</v>
      </c>
      <c r="U625" s="4839">
        <f t="shared" si="40"/>
        <v>2.289002866994955E-3</v>
      </c>
    </row>
    <row r="626" spans="1:21">
      <c r="A626" s="270" t="s">
        <v>11705</v>
      </c>
      <c r="B626" s="3305">
        <v>6777.5</v>
      </c>
      <c r="C626" s="4834">
        <f t="shared" si="38"/>
        <v>3.2210460405807752E-4</v>
      </c>
      <c r="D626" s="3" t="str">
        <f t="shared" si="39"/>
        <v>2014</v>
      </c>
      <c r="J626" s="270" t="s">
        <v>11709</v>
      </c>
      <c r="K626" s="4837">
        <v>42173.741811397755</v>
      </c>
      <c r="L626" s="4834">
        <f t="shared" si="41"/>
        <v>4.8125965756879555E-5</v>
      </c>
      <c r="S626" s="270" t="s">
        <v>11705</v>
      </c>
      <c r="T626" s="4838">
        <v>662.94839424510894</v>
      </c>
      <c r="U626" s="4839">
        <f t="shared" si="40"/>
        <v>2.2774844854107964E-3</v>
      </c>
    </row>
    <row r="627" spans="1:21">
      <c r="A627" s="270" t="s">
        <v>11706</v>
      </c>
      <c r="B627" s="3305">
        <v>6901</v>
      </c>
      <c r="C627" s="4834">
        <f t="shared" si="38"/>
        <v>3.1551482800746216E-4</v>
      </c>
      <c r="D627" s="3" t="str">
        <f t="shared" si="39"/>
        <v>2014</v>
      </c>
      <c r="J627" s="270" t="s">
        <v>11710</v>
      </c>
      <c r="K627" s="4837">
        <v>42358.608604167363</v>
      </c>
      <c r="L627" s="4834">
        <f t="shared" si="41"/>
        <v>4.8630788279816767E-5</v>
      </c>
      <c r="S627" s="270" t="s">
        <v>11706</v>
      </c>
      <c r="T627" s="4838">
        <v>667.12799129903067</v>
      </c>
      <c r="U627" s="4839">
        <f t="shared" si="40"/>
        <v>2.2712141137165272E-3</v>
      </c>
    </row>
    <row r="628" spans="1:21">
      <c r="A628" s="270" t="s">
        <v>11707</v>
      </c>
      <c r="B628" s="3305">
        <v>6898.5</v>
      </c>
      <c r="C628" s="4834">
        <f t="shared" si="38"/>
        <v>3.1567875254799507E-4</v>
      </c>
      <c r="D628" s="3" t="str">
        <f t="shared" si="39"/>
        <v>2014</v>
      </c>
      <c r="J628" s="270" t="s">
        <v>11711</v>
      </c>
      <c r="K628" s="4837">
        <v>42278.231737745802</v>
      </c>
      <c r="L628" s="4834">
        <f t="shared" si="41"/>
        <v>4.8414235343100477E-5</v>
      </c>
      <c r="S628" s="270" t="s">
        <v>11707</v>
      </c>
      <c r="T628" s="4838">
        <v>679.02376752942291</v>
      </c>
      <c r="U628" s="4839">
        <f t="shared" si="40"/>
        <v>2.2463762909563502E-3</v>
      </c>
    </row>
    <row r="629" spans="1:21">
      <c r="A629" s="270" t="s">
        <v>11708</v>
      </c>
      <c r="B629" s="3305">
        <v>6890.5</v>
      </c>
      <c r="C629" s="4834">
        <f t="shared" si="38"/>
        <v>3.1619501744239135E-4</v>
      </c>
      <c r="D629" s="3" t="str">
        <f t="shared" si="39"/>
        <v>2014</v>
      </c>
      <c r="J629" s="270" t="s">
        <v>11712</v>
      </c>
      <c r="K629" s="4837">
        <v>42680.116069853648</v>
      </c>
      <c r="L629" s="4834">
        <f t="shared" si="41"/>
        <v>4.9450400018206157E-5</v>
      </c>
      <c r="S629" s="270" t="s">
        <v>11708</v>
      </c>
      <c r="T629" s="4838">
        <v>668.09251369608944</v>
      </c>
      <c r="U629" s="4839">
        <f t="shared" si="40"/>
        <v>2.2695840981807685E-3</v>
      </c>
    </row>
    <row r="630" spans="1:21">
      <c r="A630" s="270" t="s">
        <v>11709</v>
      </c>
      <c r="B630" s="3305">
        <v>6936.5</v>
      </c>
      <c r="C630" s="4834">
        <f t="shared" si="38"/>
        <v>3.1305526256884564E-4</v>
      </c>
      <c r="D630" s="3" t="str">
        <f t="shared" si="39"/>
        <v>2014</v>
      </c>
      <c r="J630" s="270" t="s">
        <v>11713</v>
      </c>
      <c r="K630" s="4837">
        <v>42647.965323285011</v>
      </c>
      <c r="L630" s="4834">
        <f t="shared" si="41"/>
        <v>4.9371867867500953E-5</v>
      </c>
      <c r="S630" s="270" t="s">
        <v>11709</v>
      </c>
      <c r="T630" s="4838">
        <v>669.7000510245208</v>
      </c>
      <c r="U630" s="4839">
        <f t="shared" si="40"/>
        <v>2.2667156511841004E-3</v>
      </c>
    </row>
    <row r="631" spans="1:21">
      <c r="A631" s="270" t="s">
        <v>11710</v>
      </c>
      <c r="B631" s="3305">
        <v>6976</v>
      </c>
      <c r="C631" s="4834">
        <f t="shared" si="38"/>
        <v>3.1003434614332699E-4</v>
      </c>
      <c r="D631" s="3" t="str">
        <f t="shared" si="39"/>
        <v>2014</v>
      </c>
      <c r="J631" s="270" t="s">
        <v>11714</v>
      </c>
      <c r="K631" s="4837">
        <v>42358.608604167363</v>
      </c>
      <c r="L631" s="4834">
        <f t="shared" si="41"/>
        <v>4.8630788279816767E-5</v>
      </c>
      <c r="S631" s="270" t="s">
        <v>11710</v>
      </c>
      <c r="T631" s="4838">
        <v>676.45170780393266</v>
      </c>
      <c r="U631" s="4839">
        <f t="shared" si="40"/>
        <v>2.2526129880493652E-3</v>
      </c>
    </row>
    <row r="632" spans="1:21">
      <c r="A632" s="270" t="s">
        <v>11711</v>
      </c>
      <c r="B632" s="3305">
        <v>6955</v>
      </c>
      <c r="C632" s="4834">
        <f t="shared" si="38"/>
        <v>3.1167717263822772E-4</v>
      </c>
      <c r="D632" s="3" t="str">
        <f t="shared" si="39"/>
        <v>2014</v>
      </c>
      <c r="J632" s="270" t="s">
        <v>11715</v>
      </c>
      <c r="K632" s="4837">
        <v>42414.872410662458</v>
      </c>
      <c r="L632" s="4834">
        <f t="shared" si="41"/>
        <v>4.8779647025481385E-5</v>
      </c>
      <c r="S632" s="270" t="s">
        <v>11711</v>
      </c>
      <c r="T632" s="4838">
        <v>670.98608088726598</v>
      </c>
      <c r="U632" s="4839">
        <f t="shared" si="40"/>
        <v>2.2642847352028566E-3</v>
      </c>
    </row>
    <row r="633" spans="1:21">
      <c r="A633" s="270" t="s">
        <v>11712</v>
      </c>
      <c r="B633" s="3305">
        <v>7015</v>
      </c>
      <c r="C633" s="4834">
        <f t="shared" si="38"/>
        <v>3.067666097327062E-4</v>
      </c>
      <c r="D633" s="3" t="str">
        <f t="shared" si="39"/>
        <v>2014</v>
      </c>
      <c r="J633" s="270" t="s">
        <v>11716</v>
      </c>
      <c r="K633" s="4837">
        <v>42213.930244608542</v>
      </c>
      <c r="L633" s="4834">
        <f t="shared" si="41"/>
        <v>4.8237733315435148E-5</v>
      </c>
      <c r="S633" s="270" t="s">
        <v>11712</v>
      </c>
      <c r="T633" s="4838">
        <v>677.73773766667773</v>
      </c>
      <c r="U633" s="4839">
        <f t="shared" si="40"/>
        <v>2.2495537491884921E-3</v>
      </c>
    </row>
    <row r="634" spans="1:21">
      <c r="A634" s="270" t="s">
        <v>11713</v>
      </c>
      <c r="B634" s="3305">
        <v>7050</v>
      </c>
      <c r="C634" s="4834">
        <f t="shared" si="38"/>
        <v>3.0360076568767749E-4</v>
      </c>
      <c r="D634" s="3" t="str">
        <f t="shared" si="39"/>
        <v>2014</v>
      </c>
      <c r="J634" s="270" t="s">
        <v>11717</v>
      </c>
      <c r="K634" s="4837">
        <v>42535.43771029482</v>
      </c>
      <c r="L634" s="4834">
        <f t="shared" si="41"/>
        <v>4.909094374526908E-5</v>
      </c>
      <c r="S634" s="270" t="s">
        <v>11713</v>
      </c>
      <c r="T634" s="4838">
        <v>676.45170780393266</v>
      </c>
      <c r="U634" s="4839">
        <f t="shared" si="40"/>
        <v>2.2526129880493652E-3</v>
      </c>
    </row>
    <row r="635" spans="1:21">
      <c r="A635" s="270" t="s">
        <v>11714</v>
      </c>
      <c r="B635" s="3305">
        <v>7121</v>
      </c>
      <c r="C635" s="4834">
        <f t="shared" si="38"/>
        <v>2.9653273586311828E-4</v>
      </c>
      <c r="D635" s="3" t="str">
        <f t="shared" si="39"/>
        <v>2014</v>
      </c>
      <c r="J635" s="270" t="s">
        <v>11718</v>
      </c>
      <c r="K635" s="4837">
        <v>42527.400023652663</v>
      </c>
      <c r="L635" s="4834">
        <f t="shared" si="41"/>
        <v>4.907052001940427E-5</v>
      </c>
      <c r="S635" s="270" t="s">
        <v>11714</v>
      </c>
      <c r="T635" s="4838">
        <v>675.1656779411876</v>
      </c>
      <c r="U635" s="4839">
        <f t="shared" si="40"/>
        <v>2.2555535132487551E-3</v>
      </c>
    </row>
    <row r="636" spans="1:21">
      <c r="A636" s="270" t="s">
        <v>11715</v>
      </c>
      <c r="B636" s="3305">
        <v>7159</v>
      </c>
      <c r="C636" s="4834">
        <f t="shared" si="38"/>
        <v>2.9241311561202109E-4</v>
      </c>
      <c r="D636" s="3" t="str">
        <f t="shared" si="39"/>
        <v>2014</v>
      </c>
      <c r="J636" s="270" t="s">
        <v>11719</v>
      </c>
      <c r="K636" s="4837">
        <v>43090.038088603651</v>
      </c>
      <c r="L636" s="4834">
        <f t="shared" si="41"/>
        <v>5.0382193600780325E-5</v>
      </c>
      <c r="S636" s="270" t="s">
        <v>11715</v>
      </c>
      <c r="T636" s="4838">
        <v>679.02376752942291</v>
      </c>
      <c r="U636" s="4839">
        <f t="shared" si="40"/>
        <v>2.2463762909563502E-3</v>
      </c>
    </row>
    <row r="637" spans="1:21">
      <c r="A637" s="270" t="s">
        <v>11716</v>
      </c>
      <c r="B637" s="3305">
        <v>7120.5</v>
      </c>
      <c r="C637" s="4834">
        <f t="shared" si="38"/>
        <v>2.9658542066843057E-4</v>
      </c>
      <c r="D637" s="3" t="str">
        <f t="shared" si="39"/>
        <v>2014</v>
      </c>
      <c r="J637" s="270" t="s">
        <v>11720</v>
      </c>
      <c r="K637" s="4837">
        <v>42921.246669118351</v>
      </c>
      <c r="L637" s="4834">
        <f t="shared" si="41"/>
        <v>5.0014338928401531E-5</v>
      </c>
      <c r="S637" s="270" t="s">
        <v>11716</v>
      </c>
      <c r="T637" s="4838">
        <v>673.55814061275623</v>
      </c>
      <c r="U637" s="4839">
        <f t="shared" si="40"/>
        <v>2.2590615060083669E-3</v>
      </c>
    </row>
    <row r="638" spans="1:21">
      <c r="A638" s="270" t="s">
        <v>11717</v>
      </c>
      <c r="B638" s="3305">
        <v>7155</v>
      </c>
      <c r="C638" s="4834">
        <f t="shared" si="38"/>
        <v>2.9285734557161819E-4</v>
      </c>
      <c r="D638" s="3" t="str">
        <f t="shared" si="39"/>
        <v>2014</v>
      </c>
      <c r="J638" s="270" t="s">
        <v>11721</v>
      </c>
      <c r="K638" s="4837">
        <v>41988.87501862814</v>
      </c>
      <c r="L638" s="4834">
        <f t="shared" si="41"/>
        <v>4.7597709365856167E-5</v>
      </c>
      <c r="S638" s="270" t="s">
        <v>11717</v>
      </c>
      <c r="T638" s="4838">
        <v>677.73773766667773</v>
      </c>
      <c r="U638" s="4839">
        <f t="shared" si="40"/>
        <v>2.2495537491884921E-3</v>
      </c>
    </row>
    <row r="639" spans="1:21">
      <c r="A639" s="270" t="s">
        <v>11718</v>
      </c>
      <c r="B639" s="3305">
        <v>7173</v>
      </c>
      <c r="C639" s="4834">
        <f t="shared" si="38"/>
        <v>2.9083914432426227E-4</v>
      </c>
      <c r="D639" s="3" t="str">
        <f t="shared" si="39"/>
        <v>2014</v>
      </c>
      <c r="J639" s="270" t="s">
        <v>11722</v>
      </c>
      <c r="K639" s="4837">
        <v>42117.478004902659</v>
      </c>
      <c r="L639" s="4834">
        <f t="shared" si="41"/>
        <v>4.796763245018521E-5</v>
      </c>
      <c r="S639" s="270" t="s">
        <v>11718</v>
      </c>
      <c r="T639" s="4838">
        <v>679.34527499510921</v>
      </c>
      <c r="U639" s="4839">
        <f t="shared" si="40"/>
        <v>2.245563514321152E-3</v>
      </c>
    </row>
    <row r="640" spans="1:21">
      <c r="A640" s="270" t="s">
        <v>11719</v>
      </c>
      <c r="B640" s="3305">
        <v>7110</v>
      </c>
      <c r="C640" s="4834">
        <f t="shared" si="38"/>
        <v>2.9768248912365967E-4</v>
      </c>
      <c r="D640" s="3" t="str">
        <f t="shared" si="39"/>
        <v>2014</v>
      </c>
      <c r="J640" s="270" t="s">
        <v>11723</v>
      </c>
      <c r="K640" s="4837">
        <v>41828.121285785004</v>
      </c>
      <c r="L640" s="4834">
        <f t="shared" si="41"/>
        <v>4.7119998721124885E-5</v>
      </c>
      <c r="S640" s="270" t="s">
        <v>11719</v>
      </c>
      <c r="T640" s="4838">
        <v>691.24105122550156</v>
      </c>
      <c r="U640" s="4839">
        <f t="shared" si="40"/>
        <v>2.2103997279344844E-3</v>
      </c>
    </row>
    <row r="641" spans="1:21">
      <c r="A641" s="270" t="s">
        <v>11720</v>
      </c>
      <c r="B641" s="3305">
        <v>7151</v>
      </c>
      <c r="C641" s="4834">
        <f t="shared" si="38"/>
        <v>2.9329911741085579E-4</v>
      </c>
      <c r="D641" s="3" t="str">
        <f t="shared" si="39"/>
        <v>2014</v>
      </c>
      <c r="J641" s="270" t="s">
        <v>11724</v>
      </c>
      <c r="K641" s="4837">
        <v>41876.347405637942</v>
      </c>
      <c r="L641" s="4834">
        <f t="shared" si="41"/>
        <v>4.7265066241900876E-5</v>
      </c>
      <c r="S641" s="270" t="s">
        <v>11720</v>
      </c>
      <c r="T641" s="4838">
        <v>688.66899150001143</v>
      </c>
      <c r="U641" s="4839">
        <f t="shared" si="40"/>
        <v>2.2188318890189202E-3</v>
      </c>
    </row>
    <row r="642" spans="1:21">
      <c r="A642" s="270" t="s">
        <v>11721</v>
      </c>
      <c r="B642" s="3305">
        <v>7154.5</v>
      </c>
      <c r="C642" s="4834">
        <f t="shared" si="38"/>
        <v>2.9291270175028705E-4</v>
      </c>
      <c r="D642" s="3" t="str">
        <f t="shared" si="39"/>
        <v>2014</v>
      </c>
      <c r="J642" s="270" t="s">
        <v>11725</v>
      </c>
      <c r="K642" s="4837">
        <v>42029.063451838927</v>
      </c>
      <c r="L642" s="4834">
        <f t="shared" si="41"/>
        <v>4.7714496649200435E-5</v>
      </c>
      <c r="S642" s="270" t="s">
        <v>11721</v>
      </c>
      <c r="T642" s="4838">
        <v>679.34527499510921</v>
      </c>
      <c r="U642" s="4839">
        <f t="shared" si="40"/>
        <v>2.245563514321152E-3</v>
      </c>
    </row>
    <row r="643" spans="1:21">
      <c r="A643" s="270" t="s">
        <v>11722</v>
      </c>
      <c r="B643" s="3305">
        <v>7102.5</v>
      </c>
      <c r="C643" s="4834">
        <f t="shared" si="38"/>
        <v>2.9845514321836131E-4</v>
      </c>
      <c r="D643" s="3" t="str">
        <f t="shared" si="39"/>
        <v>2014</v>
      </c>
      <c r="J643" s="270" t="s">
        <v>11726</v>
      </c>
      <c r="K643" s="4837">
        <v>42165.704124755597</v>
      </c>
      <c r="L643" s="4834">
        <f t="shared" si="41"/>
        <v>4.8103479047608117E-5</v>
      </c>
      <c r="S643" s="270" t="s">
        <v>11722</v>
      </c>
      <c r="T643" s="4838">
        <v>672.91512568138364</v>
      </c>
      <c r="U643" s="4839">
        <f t="shared" si="40"/>
        <v>2.2604123579223509E-3</v>
      </c>
    </row>
    <row r="644" spans="1:21">
      <c r="A644" s="270" t="s">
        <v>11723</v>
      </c>
      <c r="B644" s="3305">
        <v>7112</v>
      </c>
      <c r="C644" s="4834">
        <f t="shared" ref="C644:C707" si="42">_xlfn.NORM.DIST(B644,$F$4,$F$3,FALSE)</f>
        <v>2.9747489937900377E-4</v>
      </c>
      <c r="D644" s="3" t="str">
        <f t="shared" ref="D644:D707" si="43">LEFT(A644,4)</f>
        <v>2014</v>
      </c>
      <c r="J644" s="270" t="s">
        <v>11727</v>
      </c>
      <c r="K644" s="4837">
        <v>42125.51569154481</v>
      </c>
      <c r="L644" s="4834">
        <f t="shared" si="41"/>
        <v>4.7990383467339696E-5</v>
      </c>
      <c r="S644" s="270" t="s">
        <v>11723</v>
      </c>
      <c r="T644" s="4838">
        <v>665.52045397059919</v>
      </c>
      <c r="U644" s="4839">
        <f t="shared" ref="U644:U707" si="44">_xlfn.NORM.DIST(T644,$X$4,$X$3,FALSE)</f>
        <v>2.2737785735810526E-3</v>
      </c>
    </row>
    <row r="645" spans="1:21">
      <c r="A645" s="270" t="s">
        <v>11724</v>
      </c>
      <c r="B645" s="3305">
        <v>7030.5</v>
      </c>
      <c r="C645" s="4834">
        <f t="shared" si="42"/>
        <v>3.053913511030735E-4</v>
      </c>
      <c r="D645" s="3" t="str">
        <f t="shared" si="43"/>
        <v>2014</v>
      </c>
      <c r="J645" s="270" t="s">
        <v>11728</v>
      </c>
      <c r="K645" s="4837">
        <v>42053.176511765399</v>
      </c>
      <c r="L645" s="4834">
        <f t="shared" ref="L645:L708" si="45">_xlfn.NORM.DIST(K645,$O$4,$O$3,FALSE)</f>
        <v>4.7784053708895853E-5</v>
      </c>
      <c r="S645" s="270" t="s">
        <v>11724</v>
      </c>
      <c r="T645" s="4838">
        <v>668.09251369608944</v>
      </c>
      <c r="U645" s="4839">
        <f t="shared" si="44"/>
        <v>2.2695840981807685E-3</v>
      </c>
    </row>
    <row r="646" spans="1:21">
      <c r="A646" s="270" t="s">
        <v>11725</v>
      </c>
      <c r="B646" s="3305">
        <v>7026.5</v>
      </c>
      <c r="C646" s="4834">
        <f t="shared" si="42"/>
        <v>3.0575036000937385E-4</v>
      </c>
      <c r="D646" s="3" t="str">
        <f t="shared" si="43"/>
        <v>2014</v>
      </c>
      <c r="J646" s="270" t="s">
        <v>11729</v>
      </c>
      <c r="K646" s="4837">
        <v>41562.877626593821</v>
      </c>
      <c r="L646" s="4834">
        <f t="shared" si="45"/>
        <v>4.6296120484145811E-5</v>
      </c>
      <c r="S646" s="270" t="s">
        <v>11725</v>
      </c>
      <c r="T646" s="4838">
        <v>673.23663314706994</v>
      </c>
      <c r="U646" s="4839">
        <f t="shared" si="44"/>
        <v>2.2597406778574708E-3</v>
      </c>
    </row>
    <row r="647" spans="1:21">
      <c r="A647" s="270" t="s">
        <v>11726</v>
      </c>
      <c r="B647" s="3305">
        <v>6989.5</v>
      </c>
      <c r="C647" s="4834">
        <f t="shared" si="42"/>
        <v>3.0893478482009375E-4</v>
      </c>
      <c r="D647" s="3" t="str">
        <f t="shared" si="43"/>
        <v>2014</v>
      </c>
      <c r="J647" s="270" t="s">
        <v>11730</v>
      </c>
      <c r="K647" s="4837">
        <v>41627.179119731081</v>
      </c>
      <c r="L647" s="4834">
        <f t="shared" si="45"/>
        <v>4.6499809616820413E-5</v>
      </c>
      <c r="S647" s="270" t="s">
        <v>11726</v>
      </c>
      <c r="T647" s="4838">
        <v>672.91512568138364</v>
      </c>
      <c r="U647" s="4839">
        <f t="shared" si="44"/>
        <v>2.2604123579223509E-3</v>
      </c>
    </row>
    <row r="648" spans="1:21">
      <c r="A648" s="270" t="s">
        <v>11727</v>
      </c>
      <c r="B648" s="3305">
        <v>7060.5</v>
      </c>
      <c r="C648" s="4834">
        <f t="shared" si="42"/>
        <v>3.0260913598917008E-4</v>
      </c>
      <c r="D648" s="3" t="str">
        <f t="shared" si="43"/>
        <v>2014</v>
      </c>
      <c r="J648" s="270" t="s">
        <v>11731</v>
      </c>
      <c r="K648" s="4837">
        <v>41940.648898775202</v>
      </c>
      <c r="L648" s="4834">
        <f t="shared" si="45"/>
        <v>4.7456158956286475E-5</v>
      </c>
      <c r="S648" s="270" t="s">
        <v>11727</v>
      </c>
      <c r="T648" s="4838">
        <v>669.05703609314821</v>
      </c>
      <c r="U648" s="4839">
        <f t="shared" si="44"/>
        <v>2.2678857587805521E-3</v>
      </c>
    </row>
    <row r="649" spans="1:21">
      <c r="A649" s="270" t="s">
        <v>11728</v>
      </c>
      <c r="B649" s="3305">
        <v>7065</v>
      </c>
      <c r="C649" s="4834">
        <f t="shared" si="42"/>
        <v>3.0217833519204839E-4</v>
      </c>
      <c r="D649" s="3" t="str">
        <f t="shared" si="43"/>
        <v>2014</v>
      </c>
      <c r="J649" s="270" t="s">
        <v>11732</v>
      </c>
      <c r="K649" s="4837">
        <v>41771.857479289909</v>
      </c>
      <c r="L649" s="4834">
        <f t="shared" si="45"/>
        <v>4.694888390063387E-5</v>
      </c>
      <c r="S649" s="270" t="s">
        <v>11728</v>
      </c>
      <c r="T649" s="4838">
        <v>672.91512568138364</v>
      </c>
      <c r="U649" s="4839">
        <f t="shared" si="44"/>
        <v>2.2604123579223509E-3</v>
      </c>
    </row>
    <row r="650" spans="1:21">
      <c r="A650" s="270" t="s">
        <v>11729</v>
      </c>
      <c r="B650" s="3305">
        <v>7151</v>
      </c>
      <c r="C650" s="4834">
        <f t="shared" si="42"/>
        <v>2.9329911741085579E-4</v>
      </c>
      <c r="D650" s="3" t="str">
        <f t="shared" si="43"/>
        <v>2014</v>
      </c>
      <c r="J650" s="270" t="s">
        <v>11733</v>
      </c>
      <c r="K650" s="4837">
        <v>41619.141433088924</v>
      </c>
      <c r="L650" s="4834">
        <f t="shared" si="45"/>
        <v>4.6474484729866979E-5</v>
      </c>
      <c r="S650" s="270" t="s">
        <v>11729</v>
      </c>
      <c r="T650" s="4838">
        <v>670.02155849020721</v>
      </c>
      <c r="U650" s="4839">
        <f t="shared" si="44"/>
        <v>2.2661192506835326E-3</v>
      </c>
    </row>
    <row r="651" spans="1:21">
      <c r="A651" s="270" t="s">
        <v>11730</v>
      </c>
      <c r="B651" s="3305">
        <v>7183.5</v>
      </c>
      <c r="C651" s="4834">
        <f t="shared" si="42"/>
        <v>2.8963935529309227E-4</v>
      </c>
      <c r="D651" s="3" t="str">
        <f t="shared" si="43"/>
        <v>2014</v>
      </c>
      <c r="J651" s="270" t="s">
        <v>11734</v>
      </c>
      <c r="K651" s="4837">
        <v>41321.747027329111</v>
      </c>
      <c r="L651" s="4834">
        <f t="shared" si="45"/>
        <v>4.5510658331893207E-5</v>
      </c>
      <c r="S651" s="270" t="s">
        <v>11730</v>
      </c>
      <c r="T651" s="4838">
        <v>657.80427479412856</v>
      </c>
      <c r="U651" s="4839">
        <f t="shared" si="44"/>
        <v>2.2834212860330327E-3</v>
      </c>
    </row>
    <row r="652" spans="1:21">
      <c r="A652" s="270" t="s">
        <v>11731</v>
      </c>
      <c r="B652" s="3305">
        <v>7132</v>
      </c>
      <c r="C652" s="4834">
        <f t="shared" si="42"/>
        <v>2.9536356251898385E-4</v>
      </c>
      <c r="D652" s="3" t="str">
        <f t="shared" si="43"/>
        <v>2014</v>
      </c>
      <c r="J652" s="270" t="s">
        <v>11735</v>
      </c>
      <c r="K652" s="4837">
        <v>41514.651506740884</v>
      </c>
      <c r="L652" s="4834">
        <f t="shared" si="45"/>
        <v>4.614173303851638E-5</v>
      </c>
      <c r="S652" s="270" t="s">
        <v>11731</v>
      </c>
      <c r="T652" s="4838">
        <v>663.26990171079524</v>
      </c>
      <c r="U652" s="4839">
        <f t="shared" si="44"/>
        <v>2.2770480502511724E-3</v>
      </c>
    </row>
    <row r="653" spans="1:21">
      <c r="A653" s="270" t="s">
        <v>11732</v>
      </c>
      <c r="B653" s="3305">
        <v>7116</v>
      </c>
      <c r="C653" s="4834">
        <f t="shared" si="42"/>
        <v>2.9705777422840495E-4</v>
      </c>
      <c r="D653" s="3" t="str">
        <f t="shared" si="43"/>
        <v>2014</v>
      </c>
      <c r="J653" s="270" t="s">
        <v>11736</v>
      </c>
      <c r="K653" s="4837">
        <v>41490.538446814411</v>
      </c>
      <c r="L653" s="4834">
        <f t="shared" si="45"/>
        <v>4.6064024514325138E-5</v>
      </c>
      <c r="S653" s="270" t="s">
        <v>11732</v>
      </c>
      <c r="T653" s="4838">
        <v>663.59140917648153</v>
      </c>
      <c r="U653" s="4839">
        <f t="shared" si="44"/>
        <v>2.2766039476259168E-3</v>
      </c>
    </row>
    <row r="654" spans="1:21">
      <c r="A654" s="270" t="s">
        <v>11733</v>
      </c>
      <c r="B654" s="3305">
        <v>7090</v>
      </c>
      <c r="C654" s="4834">
        <f t="shared" si="42"/>
        <v>2.9972234580607425E-4</v>
      </c>
      <c r="D654" s="3" t="str">
        <f t="shared" si="43"/>
        <v>2014</v>
      </c>
      <c r="J654" s="270" t="s">
        <v>11737</v>
      </c>
      <c r="K654" s="4837">
        <v>41305.671654044803</v>
      </c>
      <c r="L654" s="4834">
        <f t="shared" si="45"/>
        <v>4.5457114455506984E-5</v>
      </c>
      <c r="S654" s="270" t="s">
        <v>11733</v>
      </c>
      <c r="T654" s="4838">
        <v>660.37633451961869</v>
      </c>
      <c r="U654" s="4839">
        <f t="shared" si="44"/>
        <v>2.2806994212175671E-3</v>
      </c>
    </row>
    <row r="655" spans="1:21">
      <c r="A655" s="270" t="s">
        <v>11734</v>
      </c>
      <c r="B655" s="3305">
        <v>7135.5</v>
      </c>
      <c r="C655" s="4834">
        <f t="shared" si="42"/>
        <v>2.9498752307541423E-4</v>
      </c>
      <c r="D655" s="3" t="str">
        <f t="shared" si="43"/>
        <v>2014</v>
      </c>
      <c r="J655" s="270" t="s">
        <v>11738</v>
      </c>
      <c r="K655" s="4837">
        <v>42004.950391912462</v>
      </c>
      <c r="L655" s="4834">
        <f t="shared" si="45"/>
        <v>4.7644552662613929E-5</v>
      </c>
      <c r="S655" s="270" t="s">
        <v>11734</v>
      </c>
      <c r="T655" s="4838">
        <v>665.19894650491301</v>
      </c>
      <c r="U655" s="4839">
        <f t="shared" si="44"/>
        <v>2.2742685833923421E-3</v>
      </c>
    </row>
    <row r="656" spans="1:21">
      <c r="A656" s="270" t="s">
        <v>11735</v>
      </c>
      <c r="B656" s="3305">
        <v>7078</v>
      </c>
      <c r="C656" s="4834">
        <f t="shared" si="42"/>
        <v>3.0091438888289512E-4</v>
      </c>
      <c r="D656" s="3" t="str">
        <f t="shared" si="43"/>
        <v>2014</v>
      </c>
      <c r="J656" s="270" t="s">
        <v>11739</v>
      </c>
      <c r="K656" s="4837">
        <v>41964.761958701674</v>
      </c>
      <c r="L656" s="4834">
        <f t="shared" si="45"/>
        <v>4.7527124948735102E-5</v>
      </c>
      <c r="S656" s="270" t="s">
        <v>11735</v>
      </c>
      <c r="T656" s="4838">
        <v>653.94618520589313</v>
      </c>
      <c r="U656" s="4839">
        <f t="shared" si="44"/>
        <v>2.2865757797936627E-3</v>
      </c>
    </row>
    <row r="657" spans="1:21">
      <c r="A657" s="270" t="s">
        <v>11736</v>
      </c>
      <c r="B657" s="3305">
        <v>7104</v>
      </c>
      <c r="C657" s="4834">
        <f t="shared" si="42"/>
        <v>2.9830134830282593E-4</v>
      </c>
      <c r="D657" s="3" t="str">
        <f t="shared" si="43"/>
        <v>2014</v>
      </c>
      <c r="J657" s="270" t="s">
        <v>11740</v>
      </c>
      <c r="K657" s="4837">
        <v>42109.440318260495</v>
      </c>
      <c r="L657" s="4834">
        <f t="shared" si="45"/>
        <v>4.7944837635099344E-5</v>
      </c>
      <c r="S657" s="270" t="s">
        <v>11736</v>
      </c>
      <c r="T657" s="4838">
        <v>654.26769267157943</v>
      </c>
      <c r="U657" s="4839">
        <f t="shared" si="44"/>
        <v>2.2863555521318276E-3</v>
      </c>
    </row>
    <row r="658" spans="1:21">
      <c r="A658" s="270" t="s">
        <v>11737</v>
      </c>
      <c r="B658" s="3305">
        <v>7100.5</v>
      </c>
      <c r="C658" s="4834">
        <f t="shared" si="42"/>
        <v>2.986596285917365E-4</v>
      </c>
      <c r="D658" s="3" t="str">
        <f t="shared" si="43"/>
        <v>2014</v>
      </c>
      <c r="J658" s="270" t="s">
        <v>11741</v>
      </c>
      <c r="K658" s="4837">
        <v>42029.063451838927</v>
      </c>
      <c r="L658" s="4834">
        <f t="shared" si="45"/>
        <v>4.7714496649200435E-5</v>
      </c>
      <c r="S658" s="270" t="s">
        <v>11737</v>
      </c>
      <c r="T658" s="4838">
        <v>649.44508068628511</v>
      </c>
      <c r="U658" s="4839">
        <f t="shared" si="44"/>
        <v>2.2888428096942107E-3</v>
      </c>
    </row>
    <row r="659" spans="1:21">
      <c r="A659" s="270" t="s">
        <v>11738</v>
      </c>
      <c r="B659" s="3305">
        <v>6995</v>
      </c>
      <c r="C659" s="4834">
        <f t="shared" si="42"/>
        <v>3.0847717343994397E-4</v>
      </c>
      <c r="D659" s="3" t="str">
        <f t="shared" si="43"/>
        <v>2014</v>
      </c>
      <c r="J659" s="270" t="s">
        <v>11742</v>
      </c>
      <c r="K659" s="4837">
        <v>42302.344797672267</v>
      </c>
      <c r="L659" s="4834">
        <f t="shared" si="45"/>
        <v>4.8479679293182374E-5</v>
      </c>
      <c r="S659" s="270" t="s">
        <v>11738</v>
      </c>
      <c r="T659" s="4838">
        <v>635.9417671274615</v>
      </c>
      <c r="U659" s="4839">
        <f t="shared" si="44"/>
        <v>2.2864842048363684E-3</v>
      </c>
    </row>
    <row r="660" spans="1:21">
      <c r="A660" s="270" t="s">
        <v>11739</v>
      </c>
      <c r="B660" s="3305">
        <v>6980.5</v>
      </c>
      <c r="C660" s="4834">
        <f t="shared" si="42"/>
        <v>3.09671578029954E-4</v>
      </c>
      <c r="D660" s="3" t="str">
        <f t="shared" si="43"/>
        <v>2014</v>
      </c>
      <c r="J660" s="270" t="s">
        <v>11743</v>
      </c>
      <c r="K660" s="4837">
        <v>42181.779498039912</v>
      </c>
      <c r="L660" s="4834">
        <f t="shared" si="45"/>
        <v>4.8148408162541458E-5</v>
      </c>
      <c r="S660" s="270" t="s">
        <v>11739</v>
      </c>
      <c r="T660" s="4838">
        <v>645.26548363236361</v>
      </c>
      <c r="U660" s="4839">
        <f t="shared" si="44"/>
        <v>2.2895814425813853E-3</v>
      </c>
    </row>
    <row r="661" spans="1:21">
      <c r="A661" s="270" t="s">
        <v>11740</v>
      </c>
      <c r="B661" s="3305">
        <v>7020</v>
      </c>
      <c r="C661" s="4834">
        <f t="shared" si="42"/>
        <v>3.0632767089339293E-4</v>
      </c>
      <c r="D661" s="3" t="str">
        <f t="shared" si="43"/>
        <v>2014</v>
      </c>
      <c r="J661" s="270" t="s">
        <v>11744</v>
      </c>
      <c r="K661" s="4837">
        <v>42230.00561789285</v>
      </c>
      <c r="L661" s="4834">
        <f t="shared" si="45"/>
        <v>4.8282128209792239E-5</v>
      </c>
      <c r="S661" s="270" t="s">
        <v>11740</v>
      </c>
      <c r="T661" s="4838">
        <v>647.19452842648127</v>
      </c>
      <c r="U661" s="4839">
        <f t="shared" si="44"/>
        <v>2.2894041876413917E-3</v>
      </c>
    </row>
    <row r="662" spans="1:21">
      <c r="A662" s="270" t="s">
        <v>11741</v>
      </c>
      <c r="B662" s="3305">
        <v>7010.5</v>
      </c>
      <c r="C662" s="4834">
        <f t="shared" si="42"/>
        <v>3.0715780916899967E-4</v>
      </c>
      <c r="D662" s="3" t="str">
        <f t="shared" si="43"/>
        <v>2014</v>
      </c>
      <c r="J662" s="270" t="s">
        <v>11745</v>
      </c>
      <c r="K662" s="4837">
        <v>41667.367552941862</v>
      </c>
      <c r="L662" s="4834">
        <f t="shared" si="45"/>
        <v>4.6625844966665208E-5</v>
      </c>
      <c r="S662" s="270" t="s">
        <v>11741</v>
      </c>
      <c r="T662" s="4838">
        <v>638.19231938726546</v>
      </c>
      <c r="U662" s="4839">
        <f t="shared" si="44"/>
        <v>2.2878311284991511E-3</v>
      </c>
    </row>
    <row r="663" spans="1:21">
      <c r="A663" s="270" t="s">
        <v>11742</v>
      </c>
      <c r="B663" s="3305">
        <v>7025.5</v>
      </c>
      <c r="C663" s="4834">
        <f t="shared" si="42"/>
        <v>3.058396677024681E-4</v>
      </c>
      <c r="D663" s="3" t="str">
        <f t="shared" si="43"/>
        <v>2014</v>
      </c>
      <c r="J663" s="270" t="s">
        <v>11746</v>
      </c>
      <c r="K663" s="4837">
        <v>41691.480612868334</v>
      </c>
      <c r="L663" s="4834">
        <f t="shared" si="45"/>
        <v>4.6700992076925605E-5</v>
      </c>
      <c r="S663" s="270" t="s">
        <v>11742</v>
      </c>
      <c r="T663" s="4838">
        <v>645.58699109804979</v>
      </c>
      <c r="U663" s="4839">
        <f t="shared" si="44"/>
        <v>2.289571387146742E-3</v>
      </c>
    </row>
    <row r="664" spans="1:21">
      <c r="A664" s="270" t="s">
        <v>11743</v>
      </c>
      <c r="B664" s="3305">
        <v>6925.5</v>
      </c>
      <c r="C664" s="4834">
        <f t="shared" si="42"/>
        <v>3.1384355678098802E-4</v>
      </c>
      <c r="D664" s="3" t="str">
        <f t="shared" si="43"/>
        <v>2014</v>
      </c>
      <c r="J664" s="270" t="s">
        <v>11747</v>
      </c>
      <c r="K664" s="4837">
        <v>41689.873075539908</v>
      </c>
      <c r="L664" s="4834">
        <f t="shared" si="45"/>
        <v>4.6695993389015408E-5</v>
      </c>
      <c r="S664" s="270" t="s">
        <v>11743</v>
      </c>
      <c r="T664" s="4838">
        <v>639.79985671569682</v>
      </c>
      <c r="U664" s="4839">
        <f t="shared" si="44"/>
        <v>2.2885599368619078E-3</v>
      </c>
    </row>
    <row r="665" spans="1:21">
      <c r="A665" s="270" t="s">
        <v>11744</v>
      </c>
      <c r="B665" s="3305">
        <v>6886.5</v>
      </c>
      <c r="C665" s="4834">
        <f t="shared" si="42"/>
        <v>3.1644839600496535E-4</v>
      </c>
      <c r="D665" s="3" t="str">
        <f t="shared" si="43"/>
        <v>2014</v>
      </c>
      <c r="J665" s="270" t="s">
        <v>11748</v>
      </c>
      <c r="K665" s="4837">
        <v>41635.216806373239</v>
      </c>
      <c r="L665" s="4834">
        <f t="shared" si="45"/>
        <v>4.6525095336538163E-5</v>
      </c>
      <c r="S665" s="270" t="s">
        <v>11744</v>
      </c>
      <c r="T665" s="4838">
        <v>638.51382685295164</v>
      </c>
      <c r="U665" s="4839">
        <f t="shared" si="44"/>
        <v>2.2879924512702841E-3</v>
      </c>
    </row>
    <row r="666" spans="1:21">
      <c r="A666" s="270" t="s">
        <v>11745</v>
      </c>
      <c r="B666" s="3305">
        <v>6852.5</v>
      </c>
      <c r="C666" s="4834">
        <f t="shared" si="42"/>
        <v>3.1847294773504966E-4</v>
      </c>
      <c r="D666" s="3" t="str">
        <f t="shared" si="43"/>
        <v>2014</v>
      </c>
      <c r="J666" s="270" t="s">
        <v>11749</v>
      </c>
      <c r="K666" s="4837">
        <v>41000.239561642833</v>
      </c>
      <c r="L666" s="4834">
        <f t="shared" si="45"/>
        <v>4.441322132357091E-5</v>
      </c>
      <c r="S666" s="270" t="s">
        <v>11745</v>
      </c>
      <c r="T666" s="4838">
        <v>638.51382685295164</v>
      </c>
      <c r="U666" s="4839">
        <f t="shared" si="44"/>
        <v>2.2879924512702841E-3</v>
      </c>
    </row>
    <row r="667" spans="1:21">
      <c r="A667" s="270" t="s">
        <v>11746</v>
      </c>
      <c r="B667" s="3305">
        <v>6910</v>
      </c>
      <c r="C667" s="4834">
        <f t="shared" si="42"/>
        <v>3.1491452397105276E-4</v>
      </c>
      <c r="D667" s="3" t="str">
        <f t="shared" si="43"/>
        <v>2014</v>
      </c>
      <c r="J667" s="270" t="s">
        <v>11750</v>
      </c>
      <c r="K667" s="4837">
        <v>41064.541054780086</v>
      </c>
      <c r="L667" s="4834">
        <f t="shared" si="45"/>
        <v>4.4637075160357992E-5</v>
      </c>
      <c r="S667" s="270" t="s">
        <v>11746</v>
      </c>
      <c r="T667" s="4838">
        <v>629.83312527942212</v>
      </c>
      <c r="U667" s="4839">
        <f t="shared" si="44"/>
        <v>2.2809133159549812E-3</v>
      </c>
    </row>
    <row r="668" spans="1:21">
      <c r="A668" s="270" t="s">
        <v>11747</v>
      </c>
      <c r="B668" s="3305">
        <v>6934.5</v>
      </c>
      <c r="C668" s="4834">
        <f t="shared" si="42"/>
        <v>3.1320032323905637E-4</v>
      </c>
      <c r="D668" s="3" t="str">
        <f t="shared" si="43"/>
        <v>2014</v>
      </c>
      <c r="J668" s="270" t="s">
        <v>11751</v>
      </c>
      <c r="K668" s="4837">
        <v>41345.860087255583</v>
      </c>
      <c r="L668" s="4834">
        <f t="shared" si="45"/>
        <v>4.5590703146829074E-5</v>
      </c>
      <c r="S668" s="270" t="s">
        <v>11747</v>
      </c>
      <c r="T668" s="4838">
        <v>632.08367753922607</v>
      </c>
      <c r="U668" s="4839">
        <f t="shared" si="44"/>
        <v>2.2832906462640001E-3</v>
      </c>
    </row>
    <row r="669" spans="1:21">
      <c r="A669" s="270" t="s">
        <v>11748</v>
      </c>
      <c r="B669" s="3305">
        <v>6922</v>
      </c>
      <c r="C669" s="4834">
        <f t="shared" si="42"/>
        <v>3.14089472754089E-4</v>
      </c>
      <c r="D669" s="3" t="str">
        <f t="shared" si="43"/>
        <v>2014</v>
      </c>
      <c r="J669" s="270" t="s">
        <v>11752</v>
      </c>
      <c r="K669" s="4837">
        <v>41241.370160907543</v>
      </c>
      <c r="L669" s="4834">
        <f t="shared" si="45"/>
        <v>4.5241507875838962E-5</v>
      </c>
      <c r="S669" s="270" t="s">
        <v>11748</v>
      </c>
      <c r="T669" s="4838">
        <v>624.36749836275544</v>
      </c>
      <c r="U669" s="4839">
        <f t="shared" si="44"/>
        <v>2.2735704362138072E-3</v>
      </c>
    </row>
    <row r="670" spans="1:21">
      <c r="A670" s="270" t="s">
        <v>11749</v>
      </c>
      <c r="B670" s="3305">
        <v>7003</v>
      </c>
      <c r="C670" s="4834">
        <f t="shared" si="42"/>
        <v>3.0780166982934695E-4</v>
      </c>
      <c r="D670" s="3" t="str">
        <f t="shared" si="43"/>
        <v>2014</v>
      </c>
      <c r="J670" s="270" t="s">
        <v>11753</v>
      </c>
      <c r="K670" s="4837">
        <v>41538.764566667356</v>
      </c>
      <c r="L670" s="4834">
        <f t="shared" si="45"/>
        <v>4.6219099082114935E-5</v>
      </c>
      <c r="S670" s="270" t="s">
        <v>11749</v>
      </c>
      <c r="T670" s="4838">
        <v>623.72448343138274</v>
      </c>
      <c r="U670" s="4839">
        <f t="shared" si="44"/>
        <v>2.2725611097102346E-3</v>
      </c>
    </row>
    <row r="671" spans="1:21">
      <c r="A671" s="270" t="s">
        <v>11750</v>
      </c>
      <c r="B671" s="3305">
        <v>7088</v>
      </c>
      <c r="C671" s="4834">
        <f t="shared" si="42"/>
        <v>2.9992269353851144E-4</v>
      </c>
      <c r="D671" s="3" t="str">
        <f t="shared" si="43"/>
        <v>2014</v>
      </c>
      <c r="J671" s="270" t="s">
        <v>11754</v>
      </c>
      <c r="K671" s="4837">
        <v>41337.822400613426</v>
      </c>
      <c r="L671" s="4834">
        <f t="shared" si="45"/>
        <v>4.5564057784509829E-5</v>
      </c>
      <c r="S671" s="270" t="s">
        <v>11750</v>
      </c>
      <c r="T671" s="4838">
        <v>626.61805062255928</v>
      </c>
      <c r="U671" s="4839">
        <f t="shared" si="44"/>
        <v>2.2768624104313878E-3</v>
      </c>
    </row>
    <row r="672" spans="1:21">
      <c r="A672" s="270" t="s">
        <v>11751</v>
      </c>
      <c r="B672" s="3305">
        <v>7096</v>
      </c>
      <c r="C672" s="4834">
        <f t="shared" si="42"/>
        <v>2.9911731252310901E-4</v>
      </c>
      <c r="D672" s="3" t="str">
        <f t="shared" si="43"/>
        <v>2014</v>
      </c>
      <c r="J672" s="270" t="s">
        <v>11755</v>
      </c>
      <c r="K672" s="4837">
        <v>41361.935460539898</v>
      </c>
      <c r="L672" s="4834">
        <f t="shared" si="45"/>
        <v>4.564388473400143E-5</v>
      </c>
      <c r="S672" s="270" t="s">
        <v>11751</v>
      </c>
      <c r="T672" s="4838">
        <v>626.61805062255928</v>
      </c>
      <c r="U672" s="4839">
        <f t="shared" si="44"/>
        <v>2.2768624104313878E-3</v>
      </c>
    </row>
    <row r="673" spans="1:21">
      <c r="A673" s="270" t="s">
        <v>11752</v>
      </c>
      <c r="B673" s="3305">
        <v>7051</v>
      </c>
      <c r="C673" s="4834">
        <f t="shared" si="42"/>
        <v>3.0350714740073838E-4</v>
      </c>
      <c r="D673" s="3" t="str">
        <f t="shared" si="43"/>
        <v>2014</v>
      </c>
      <c r="J673" s="270" t="s">
        <v>11756</v>
      </c>
      <c r="K673" s="4837">
        <v>40734.99590245165</v>
      </c>
      <c r="L673" s="4834">
        <f t="shared" si="45"/>
        <v>4.3468138027374365E-5</v>
      </c>
      <c r="S673" s="270" t="s">
        <v>11752</v>
      </c>
      <c r="T673" s="4838">
        <v>621.1524237058926</v>
      </c>
      <c r="U673" s="4839">
        <f t="shared" si="44"/>
        <v>2.2682193598696199E-3</v>
      </c>
    </row>
    <row r="674" spans="1:21">
      <c r="A674" s="270" t="s">
        <v>11753</v>
      </c>
      <c r="B674" s="3305">
        <v>7033</v>
      </c>
      <c r="C674" s="4834">
        <f t="shared" si="42"/>
        <v>3.0516552929922899E-4</v>
      </c>
      <c r="D674" s="3" t="str">
        <f t="shared" si="43"/>
        <v>2014</v>
      </c>
      <c r="J674" s="270" t="s">
        <v>11757</v>
      </c>
      <c r="K674" s="4837">
        <v>40686.769782598712</v>
      </c>
      <c r="L674" s="4834">
        <f t="shared" si="45"/>
        <v>4.3292711023264339E-5</v>
      </c>
      <c r="S674" s="270" t="s">
        <v>11753</v>
      </c>
      <c r="T674" s="4838">
        <v>634.97724473040262</v>
      </c>
      <c r="U674" s="4839">
        <f t="shared" si="44"/>
        <v>2.2857904561777494E-3</v>
      </c>
    </row>
    <row r="675" spans="1:21">
      <c r="A675" s="270" t="s">
        <v>11754</v>
      </c>
      <c r="B675" s="3305">
        <v>6995</v>
      </c>
      <c r="C675" s="4834">
        <f t="shared" si="42"/>
        <v>3.0847717343994397E-4</v>
      </c>
      <c r="D675" s="3" t="str">
        <f t="shared" si="43"/>
        <v>2014</v>
      </c>
      <c r="J675" s="270" t="s">
        <v>11758</v>
      </c>
      <c r="K675" s="4837">
        <v>40686.769782598712</v>
      </c>
      <c r="L675" s="4834">
        <f t="shared" si="45"/>
        <v>4.3292711023264339E-5</v>
      </c>
      <c r="S675" s="270" t="s">
        <v>11754</v>
      </c>
      <c r="T675" s="4838">
        <v>625.97503569118669</v>
      </c>
      <c r="U675" s="4839">
        <f t="shared" si="44"/>
        <v>2.2759601044309821E-3</v>
      </c>
    </row>
    <row r="676" spans="1:21">
      <c r="A676" s="270" t="s">
        <v>11755</v>
      </c>
      <c r="B676" s="3305">
        <v>6966.5</v>
      </c>
      <c r="C676" s="4834">
        <f t="shared" si="42"/>
        <v>3.1078778796674874E-4</v>
      </c>
      <c r="D676" s="3" t="str">
        <f t="shared" si="43"/>
        <v>2014</v>
      </c>
      <c r="J676" s="270" t="s">
        <v>11759</v>
      </c>
      <c r="K676" s="4837">
        <v>40702.845155883027</v>
      </c>
      <c r="L676" s="4834">
        <f t="shared" si="45"/>
        <v>4.335130530080288E-5</v>
      </c>
      <c r="S676" s="270" t="s">
        <v>11755</v>
      </c>
      <c r="T676" s="4838">
        <v>626.61805062255928</v>
      </c>
      <c r="U676" s="4839">
        <f t="shared" si="44"/>
        <v>2.2768624104313878E-3</v>
      </c>
    </row>
    <row r="677" spans="1:21">
      <c r="A677" s="270" t="s">
        <v>11756</v>
      </c>
      <c r="B677" s="3305">
        <v>6965.5</v>
      </c>
      <c r="C677" s="4834">
        <f t="shared" si="42"/>
        <v>3.1086611448791684E-4</v>
      </c>
      <c r="D677" s="3" t="str">
        <f t="shared" si="43"/>
        <v>2014</v>
      </c>
      <c r="J677" s="270" t="s">
        <v>11760</v>
      </c>
      <c r="K677" s="4837">
        <v>40477.789929902625</v>
      </c>
      <c r="L677" s="4834">
        <f t="shared" si="45"/>
        <v>4.2520529283374107E-5</v>
      </c>
      <c r="S677" s="270" t="s">
        <v>11756</v>
      </c>
      <c r="T677" s="4838">
        <v>617.29433411765717</v>
      </c>
      <c r="U677" s="4839">
        <f t="shared" si="44"/>
        <v>2.2607984215954513E-3</v>
      </c>
    </row>
    <row r="678" spans="1:21">
      <c r="A678" s="270" t="s">
        <v>11757</v>
      </c>
      <c r="B678" s="3305">
        <v>6927</v>
      </c>
      <c r="C678" s="4834">
        <f t="shared" si="42"/>
        <v>3.1373743771092639E-4</v>
      </c>
      <c r="D678" s="3" t="str">
        <f t="shared" si="43"/>
        <v>2014</v>
      </c>
      <c r="J678" s="270" t="s">
        <v>11761</v>
      </c>
      <c r="K678" s="4837">
        <v>40373.300003554592</v>
      </c>
      <c r="L678" s="4834">
        <f t="shared" si="45"/>
        <v>4.2127458905697749E-5</v>
      </c>
      <c r="S678" s="270" t="s">
        <v>11757</v>
      </c>
      <c r="T678" s="4838">
        <v>614.07925946079445</v>
      </c>
      <c r="U678" s="4839">
        <f t="shared" si="44"/>
        <v>2.2537886233178557E-3</v>
      </c>
    </row>
    <row r="679" spans="1:21">
      <c r="A679" s="270" t="s">
        <v>11758</v>
      </c>
      <c r="B679" s="3305">
        <v>6967</v>
      </c>
      <c r="C679" s="4834">
        <f t="shared" si="42"/>
        <v>3.1074855430962908E-4</v>
      </c>
      <c r="D679" s="3" t="str">
        <f t="shared" si="43"/>
        <v>2014</v>
      </c>
      <c r="J679" s="270" t="s">
        <v>11762</v>
      </c>
      <c r="K679" s="4837">
        <v>40220.583957353607</v>
      </c>
      <c r="L679" s="4834">
        <f t="shared" si="45"/>
        <v>4.15451173832071E-5</v>
      </c>
      <c r="S679" s="270" t="s">
        <v>11758</v>
      </c>
      <c r="T679" s="4838">
        <v>617.61584158334358</v>
      </c>
      <c r="U679" s="4839">
        <f t="shared" si="44"/>
        <v>2.2614582516606637E-3</v>
      </c>
    </row>
    <row r="680" spans="1:21">
      <c r="A680" s="270" t="s">
        <v>11759</v>
      </c>
      <c r="B680" s="3305">
        <v>6973</v>
      </c>
      <c r="C680" s="4834">
        <f t="shared" si="42"/>
        <v>3.1027409724242671E-4</v>
      </c>
      <c r="D680" s="3" t="str">
        <f t="shared" si="43"/>
        <v>2014</v>
      </c>
      <c r="J680" s="270" t="s">
        <v>11763</v>
      </c>
      <c r="K680" s="4837">
        <v>39907.114178309486</v>
      </c>
      <c r="L680" s="4834">
        <f t="shared" si="45"/>
        <v>4.0322929058578216E-5</v>
      </c>
      <c r="S680" s="270" t="s">
        <v>11759</v>
      </c>
      <c r="T680" s="4838">
        <v>615.04378185785322</v>
      </c>
      <c r="U680" s="4839">
        <f t="shared" si="44"/>
        <v>2.2559699249311816E-3</v>
      </c>
    </row>
    <row r="681" spans="1:21">
      <c r="A681" s="270" t="s">
        <v>11760</v>
      </c>
      <c r="B681" s="3305">
        <v>7040.5</v>
      </c>
      <c r="C681" s="4834">
        <f t="shared" si="42"/>
        <v>3.0448144234497592E-4</v>
      </c>
      <c r="D681" s="3" t="str">
        <f t="shared" si="43"/>
        <v>2014</v>
      </c>
      <c r="J681" s="270" t="s">
        <v>11764</v>
      </c>
      <c r="K681" s="4837">
        <v>39593.644399265359</v>
      </c>
      <c r="L681" s="4834">
        <f t="shared" si="45"/>
        <v>3.9068984745116809E-5</v>
      </c>
      <c r="S681" s="270" t="s">
        <v>11760</v>
      </c>
      <c r="T681" s="4838">
        <v>616.97282665197099</v>
      </c>
      <c r="U681" s="4839">
        <f t="shared" si="44"/>
        <v>2.2601310890350357E-3</v>
      </c>
    </row>
    <row r="682" spans="1:21">
      <c r="A682" s="270" t="s">
        <v>11761</v>
      </c>
      <c r="B682" s="3305">
        <v>6937</v>
      </c>
      <c r="C682" s="4834">
        <f t="shared" si="42"/>
        <v>3.1301887729030234E-4</v>
      </c>
      <c r="D682" s="3" t="str">
        <f t="shared" si="43"/>
        <v>2014</v>
      </c>
      <c r="J682" s="270" t="s">
        <v>11765</v>
      </c>
      <c r="K682" s="4837">
        <v>39682.058952329084</v>
      </c>
      <c r="L682" s="4834">
        <f t="shared" si="45"/>
        <v>3.9425571390697021E-5</v>
      </c>
      <c r="S682" s="270" t="s">
        <v>11761</v>
      </c>
      <c r="T682" s="4838">
        <v>610.86418480393172</v>
      </c>
      <c r="U682" s="4839">
        <f t="shared" si="44"/>
        <v>2.2460357281307939E-3</v>
      </c>
    </row>
    <row r="683" spans="1:21">
      <c r="A683" s="270" t="s">
        <v>11762</v>
      </c>
      <c r="B683" s="3305">
        <v>6897.5</v>
      </c>
      <c r="C683" s="4834">
        <f t="shared" si="42"/>
        <v>3.1574397731643134E-4</v>
      </c>
      <c r="D683" s="3" t="str">
        <f t="shared" si="43"/>
        <v>2014</v>
      </c>
      <c r="J683" s="270" t="s">
        <v>11766</v>
      </c>
      <c r="K683" s="4837">
        <v>39617.757459191831</v>
      </c>
      <c r="L683" s="4834">
        <f t="shared" si="45"/>
        <v>3.916644963608101E-5</v>
      </c>
      <c r="S683" s="270" t="s">
        <v>11762</v>
      </c>
      <c r="T683" s="4838">
        <v>611.1856922696179</v>
      </c>
      <c r="U683" s="4839">
        <f t="shared" si="44"/>
        <v>2.2468442396834185E-3</v>
      </c>
    </row>
    <row r="684" spans="1:21">
      <c r="A684" s="270" t="s">
        <v>11763</v>
      </c>
      <c r="B684" s="3305">
        <v>6829</v>
      </c>
      <c r="C684" s="4834">
        <f t="shared" si="42"/>
        <v>3.1973558389223374E-4</v>
      </c>
      <c r="D684" s="3" t="str">
        <f t="shared" si="43"/>
        <v>2014</v>
      </c>
      <c r="J684" s="270" t="s">
        <v>11767</v>
      </c>
      <c r="K684" s="4837">
        <v>39738.322758824179</v>
      </c>
      <c r="L684" s="4834">
        <f t="shared" si="45"/>
        <v>3.9651338811964328E-5</v>
      </c>
      <c r="S684" s="270" t="s">
        <v>11763</v>
      </c>
      <c r="T684" s="4838">
        <v>601.2189608333432</v>
      </c>
      <c r="U684" s="4839">
        <f t="shared" si="44"/>
        <v>2.2184003074812312E-3</v>
      </c>
    </row>
    <row r="685" spans="1:21">
      <c r="A685" s="270" t="s">
        <v>11764</v>
      </c>
      <c r="B685" s="3305">
        <v>6856</v>
      </c>
      <c r="C685" s="4834">
        <f t="shared" si="42"/>
        <v>3.1827528254783417E-4</v>
      </c>
      <c r="D685" s="3" t="str">
        <f t="shared" si="43"/>
        <v>2014</v>
      </c>
      <c r="J685" s="270" t="s">
        <v>11768</v>
      </c>
      <c r="K685" s="4837">
        <v>39239.986187010451</v>
      </c>
      <c r="L685" s="4834">
        <f t="shared" si="45"/>
        <v>3.7622736750865577E-5</v>
      </c>
      <c r="S685" s="270" t="s">
        <v>11764</v>
      </c>
      <c r="T685" s="4838">
        <v>599.28991603922555</v>
      </c>
      <c r="U685" s="4839">
        <f t="shared" si="44"/>
        <v>2.2121006126533654E-3</v>
      </c>
    </row>
    <row r="686" spans="1:21">
      <c r="A686" s="270" t="s">
        <v>11765</v>
      </c>
      <c r="B686" s="3305">
        <v>6850</v>
      </c>
      <c r="C686" s="4834">
        <f t="shared" si="42"/>
        <v>3.1861261697744702E-4</v>
      </c>
      <c r="D686" s="3" t="str">
        <f t="shared" si="43"/>
        <v>2014</v>
      </c>
      <c r="J686" s="270" t="s">
        <v>11769</v>
      </c>
      <c r="K686" s="4837">
        <v>39215.873127083978</v>
      </c>
      <c r="L686" s="4834">
        <f t="shared" si="45"/>
        <v>3.7523089527185165E-5</v>
      </c>
      <c r="S686" s="270" t="s">
        <v>11765</v>
      </c>
      <c r="T686" s="4838">
        <v>599.28991603922555</v>
      </c>
      <c r="U686" s="4839">
        <f t="shared" si="44"/>
        <v>2.2121006126533654E-3</v>
      </c>
    </row>
    <row r="687" spans="1:21">
      <c r="A687" s="270" t="s">
        <v>11766</v>
      </c>
      <c r="B687" s="3305">
        <v>6895.5</v>
      </c>
      <c r="C687" s="4834">
        <f t="shared" si="42"/>
        <v>3.1587383463939578E-4</v>
      </c>
      <c r="D687" s="3" t="str">
        <f t="shared" si="43"/>
        <v>2014</v>
      </c>
      <c r="J687" s="270" t="s">
        <v>11770</v>
      </c>
      <c r="K687" s="4837">
        <v>39014.930961030055</v>
      </c>
      <c r="L687" s="4834">
        <f t="shared" si="45"/>
        <v>3.6688271723476942E-5</v>
      </c>
      <c r="S687" s="270" t="s">
        <v>11766</v>
      </c>
      <c r="T687" s="4838">
        <v>602.82649816177468</v>
      </c>
      <c r="U687" s="4839">
        <f t="shared" si="44"/>
        <v>2.2234555671117192E-3</v>
      </c>
    </row>
    <row r="688" spans="1:21">
      <c r="A688" s="270" t="s">
        <v>11767</v>
      </c>
      <c r="B688" s="3305">
        <v>6958.5</v>
      </c>
      <c r="C688" s="4834">
        <f t="shared" si="42"/>
        <v>3.1140913185418942E-4</v>
      </c>
      <c r="D688" s="3" t="str">
        <f t="shared" si="43"/>
        <v>2014</v>
      </c>
      <c r="J688" s="270" t="s">
        <v>11771</v>
      </c>
      <c r="K688" s="4837">
        <v>39288.212306863395</v>
      </c>
      <c r="L688" s="4834">
        <f t="shared" si="45"/>
        <v>3.7821663175327495E-5</v>
      </c>
      <c r="S688" s="270" t="s">
        <v>11767</v>
      </c>
      <c r="T688" s="4838">
        <v>598.96840857353925</v>
      </c>
      <c r="U688" s="4839">
        <f t="shared" si="44"/>
        <v>2.2110260566383286E-3</v>
      </c>
    </row>
    <row r="689" spans="1:21">
      <c r="A689" s="270" t="s">
        <v>11768</v>
      </c>
      <c r="B689" s="3305">
        <v>6920</v>
      </c>
      <c r="C689" s="4834">
        <f t="shared" si="42"/>
        <v>3.1422892885883929E-4</v>
      </c>
      <c r="D689" s="3" t="str">
        <f t="shared" si="43"/>
        <v>2014</v>
      </c>
      <c r="J689" s="270" t="s">
        <v>11772</v>
      </c>
      <c r="K689" s="4837">
        <v>39135.49626066241</v>
      </c>
      <c r="L689" s="4834">
        <f t="shared" si="45"/>
        <v>3.7190082135322315E-5</v>
      </c>
      <c r="S689" s="270" t="s">
        <v>11768</v>
      </c>
      <c r="T689" s="4838">
        <v>594.78881151961764</v>
      </c>
      <c r="U689" s="4839">
        <f t="shared" si="44"/>
        <v>2.1964236239381115E-3</v>
      </c>
    </row>
    <row r="690" spans="1:21">
      <c r="A690" s="270" t="s">
        <v>11769</v>
      </c>
      <c r="B690" s="3305">
        <v>6868.5</v>
      </c>
      <c r="C690" s="4834">
        <f t="shared" si="42"/>
        <v>3.1754913567312793E-4</v>
      </c>
      <c r="D690" s="3" t="str">
        <f t="shared" si="43"/>
        <v>2014</v>
      </c>
      <c r="J690" s="270" t="s">
        <v>11773</v>
      </c>
      <c r="K690" s="4837">
        <v>39022.968647672213</v>
      </c>
      <c r="L690" s="4834">
        <f t="shared" si="45"/>
        <v>3.6721806724760219E-5</v>
      </c>
      <c r="S690" s="270" t="s">
        <v>11769</v>
      </c>
      <c r="T690" s="4838">
        <v>593.18127419118628</v>
      </c>
      <c r="U690" s="4839">
        <f t="shared" si="44"/>
        <v>2.1904973855946105E-3</v>
      </c>
    </row>
    <row r="691" spans="1:21">
      <c r="A691" s="270" t="s">
        <v>11770</v>
      </c>
      <c r="B691" s="3305">
        <v>6782</v>
      </c>
      <c r="C691" s="4834">
        <f t="shared" si="42"/>
        <v>3.2191963110314418E-4</v>
      </c>
      <c r="D691" s="3" t="str">
        <f t="shared" si="43"/>
        <v>2014</v>
      </c>
      <c r="J691" s="270" t="s">
        <v>11774</v>
      </c>
      <c r="K691" s="4837">
        <v>39022.968647672213</v>
      </c>
      <c r="L691" s="4834">
        <f t="shared" si="45"/>
        <v>3.6721806724760219E-5</v>
      </c>
      <c r="S691" s="270" t="s">
        <v>11770</v>
      </c>
      <c r="T691" s="4838">
        <v>570.35424412746033</v>
      </c>
      <c r="U691" s="4839">
        <f t="shared" si="44"/>
        <v>2.0887746343769241E-3</v>
      </c>
    </row>
    <row r="692" spans="1:21">
      <c r="A692" s="270" t="s">
        <v>11771</v>
      </c>
      <c r="B692" s="3305">
        <v>6797</v>
      </c>
      <c r="C692" s="4834">
        <f t="shared" si="42"/>
        <v>3.212724512841421E-4</v>
      </c>
      <c r="D692" s="3" t="str">
        <f t="shared" si="43"/>
        <v>2014</v>
      </c>
      <c r="J692" s="270" t="s">
        <v>11775</v>
      </c>
      <c r="K692" s="4837">
        <v>39207.835440441828</v>
      </c>
      <c r="L692" s="4834">
        <f t="shared" si="45"/>
        <v>3.7489847108502701E-5</v>
      </c>
      <c r="S692" s="270" t="s">
        <v>11771</v>
      </c>
      <c r="T692" s="4838">
        <v>576.14137850981353</v>
      </c>
      <c r="U692" s="4839">
        <f t="shared" si="44"/>
        <v>2.1175437655958484E-3</v>
      </c>
    </row>
    <row r="693" spans="1:21">
      <c r="A693" s="270" t="s">
        <v>11772</v>
      </c>
      <c r="B693" s="3305">
        <v>6750</v>
      </c>
      <c r="C693" s="4834">
        <f t="shared" si="42"/>
        <v>3.2314236885807928E-4</v>
      </c>
      <c r="D693" s="3" t="str">
        <f t="shared" si="43"/>
        <v>2014</v>
      </c>
      <c r="J693" s="270" t="s">
        <v>11776</v>
      </c>
      <c r="K693" s="4837">
        <v>39111.383200735938</v>
      </c>
      <c r="L693" s="4834">
        <f t="shared" si="45"/>
        <v>3.7089934000171614E-5</v>
      </c>
      <c r="S693" s="270" t="s">
        <v>11772</v>
      </c>
      <c r="T693" s="4838">
        <v>570.99725905883304</v>
      </c>
      <c r="U693" s="4839">
        <f t="shared" si="44"/>
        <v>2.0920657665781544E-3</v>
      </c>
    </row>
    <row r="694" spans="1:21">
      <c r="A694" s="270" t="s">
        <v>11773</v>
      </c>
      <c r="B694" s="3305">
        <v>6766</v>
      </c>
      <c r="C694" s="4834">
        <f t="shared" si="42"/>
        <v>3.2255798344596101E-4</v>
      </c>
      <c r="D694" s="3" t="str">
        <f t="shared" si="43"/>
        <v>2014</v>
      </c>
      <c r="J694" s="270" t="s">
        <v>11777</v>
      </c>
      <c r="K694" s="4837">
        <v>39111.383200735938</v>
      </c>
      <c r="L694" s="4834">
        <f t="shared" si="45"/>
        <v>3.7089934000171614E-5</v>
      </c>
      <c r="S694" s="270" t="s">
        <v>11773</v>
      </c>
      <c r="T694" s="4838">
        <v>563.28107988236218</v>
      </c>
      <c r="U694" s="4839">
        <f t="shared" si="44"/>
        <v>2.0510677096177553E-3</v>
      </c>
    </row>
    <row r="695" spans="1:21">
      <c r="A695" s="270" t="s">
        <v>11774</v>
      </c>
      <c r="B695" s="3305">
        <v>6771</v>
      </c>
      <c r="C695" s="4834">
        <f t="shared" si="42"/>
        <v>3.2236428083898391E-4</v>
      </c>
      <c r="D695" s="3" t="str">
        <f t="shared" si="43"/>
        <v>2014</v>
      </c>
      <c r="J695" s="270" t="s">
        <v>11778</v>
      </c>
      <c r="K695" s="4837">
        <v>38958.66715453496</v>
      </c>
      <c r="L695" s="4834">
        <f t="shared" si="45"/>
        <v>3.6453220603452923E-5</v>
      </c>
      <c r="S695" s="270" t="s">
        <v>11774</v>
      </c>
      <c r="T695" s="4838">
        <v>563.92409481373477</v>
      </c>
      <c r="U695" s="4839">
        <f t="shared" si="44"/>
        <v>2.05460719814908E-3</v>
      </c>
    </row>
    <row r="696" spans="1:21">
      <c r="A696" s="270" t="s">
        <v>11775</v>
      </c>
      <c r="B696" s="3305">
        <v>6735.5</v>
      </c>
      <c r="C696" s="4834">
        <f t="shared" si="42"/>
        <v>3.2362510351170883E-4</v>
      </c>
      <c r="D696" s="3" t="str">
        <f t="shared" si="43"/>
        <v>2014</v>
      </c>
      <c r="J696" s="270" t="s">
        <v>11779</v>
      </c>
      <c r="K696" s="4837">
        <v>38420.142149510437</v>
      </c>
      <c r="L696" s="4834">
        <f t="shared" si="45"/>
        <v>3.418164857122486E-5</v>
      </c>
      <c r="S696" s="270" t="s">
        <v>11775</v>
      </c>
      <c r="T696" s="4838">
        <v>565.21012467647995</v>
      </c>
      <c r="U696" s="4839">
        <f t="shared" si="44"/>
        <v>2.061620278458806E-3</v>
      </c>
    </row>
    <row r="697" spans="1:21">
      <c r="A697" s="270" t="s">
        <v>11776</v>
      </c>
      <c r="B697" s="3305">
        <v>6736</v>
      </c>
      <c r="C697" s="4834">
        <f t="shared" si="42"/>
        <v>3.2360920165128165E-4</v>
      </c>
      <c r="D697" s="3" t="str">
        <f t="shared" si="43"/>
        <v>2014</v>
      </c>
      <c r="J697" s="270" t="s">
        <v>11780</v>
      </c>
      <c r="K697" s="4837">
        <v>38444.255209436909</v>
      </c>
      <c r="L697" s="4834">
        <f t="shared" si="45"/>
        <v>3.4284012487247902E-5</v>
      </c>
      <c r="S697" s="270" t="s">
        <v>11776</v>
      </c>
      <c r="T697" s="4838">
        <v>550.09927378922475</v>
      </c>
      <c r="U697" s="4839">
        <f t="shared" si="44"/>
        <v>1.9739039918026569E-3</v>
      </c>
    </row>
    <row r="698" spans="1:21">
      <c r="A698" s="270" t="s">
        <v>11777</v>
      </c>
      <c r="B698" s="3305">
        <v>6755</v>
      </c>
      <c r="C698" s="4834">
        <f t="shared" si="42"/>
        <v>3.2296556417323377E-4</v>
      </c>
      <c r="D698" s="3" t="str">
        <f t="shared" si="43"/>
        <v>2014</v>
      </c>
      <c r="J698" s="270" t="s">
        <v>11781</v>
      </c>
      <c r="K698" s="4837">
        <v>38918.478721324173</v>
      </c>
      <c r="L698" s="4834">
        <f t="shared" si="45"/>
        <v>3.6285010193386468E-5</v>
      </c>
      <c r="S698" s="270" t="s">
        <v>11777</v>
      </c>
      <c r="T698" s="4838">
        <v>547.8487215294208</v>
      </c>
      <c r="U698" s="4839">
        <f t="shared" si="44"/>
        <v>1.9599015411960389E-3</v>
      </c>
    </row>
    <row r="699" spans="1:21">
      <c r="A699" s="270" t="s">
        <v>11778</v>
      </c>
      <c r="B699" s="3305">
        <v>6693.5</v>
      </c>
      <c r="C699" s="4834">
        <f t="shared" si="42"/>
        <v>3.2477008260952452E-4</v>
      </c>
      <c r="D699" s="3" t="str">
        <f t="shared" si="43"/>
        <v>2014</v>
      </c>
      <c r="J699" s="270" t="s">
        <v>11782</v>
      </c>
      <c r="K699" s="4837">
        <v>39127.458574020253</v>
      </c>
      <c r="L699" s="4834">
        <f t="shared" si="45"/>
        <v>3.7156711715207779E-5</v>
      </c>
      <c r="S699" s="270" t="s">
        <v>11778</v>
      </c>
      <c r="T699" s="4838">
        <v>549.45625885785216</v>
      </c>
      <c r="U699" s="4839">
        <f t="shared" si="44"/>
        <v>1.9699266490636747E-3</v>
      </c>
    </row>
    <row r="700" spans="1:21">
      <c r="A700" s="270" t="s">
        <v>11779</v>
      </c>
      <c r="B700" s="3305">
        <v>6665</v>
      </c>
      <c r="C700" s="4834">
        <f t="shared" si="42"/>
        <v>3.2533106545642684E-4</v>
      </c>
      <c r="D700" s="3" t="str">
        <f t="shared" si="43"/>
        <v>2014</v>
      </c>
      <c r="J700" s="270" t="s">
        <v>11783</v>
      </c>
      <c r="K700" s="4837">
        <v>39440.928353064381</v>
      </c>
      <c r="L700" s="4834">
        <f t="shared" si="45"/>
        <v>3.8448165131604878E-5</v>
      </c>
      <c r="S700" s="270" t="s">
        <v>11779</v>
      </c>
      <c r="T700" s="4838">
        <v>545.59816926961685</v>
      </c>
      <c r="U700" s="4839">
        <f t="shared" si="44"/>
        <v>1.9456737993403825E-3</v>
      </c>
    </row>
    <row r="701" spans="1:21">
      <c r="A701" s="270" t="s">
        <v>11780</v>
      </c>
      <c r="B701" s="3305">
        <v>6712.5</v>
      </c>
      <c r="C701" s="4834">
        <f t="shared" si="42"/>
        <v>3.24298918212171E-4</v>
      </c>
      <c r="D701" s="3" t="str">
        <f t="shared" si="43"/>
        <v>2014</v>
      </c>
      <c r="J701" s="270" t="s">
        <v>11784</v>
      </c>
      <c r="K701" s="4837">
        <v>39191.760067157513</v>
      </c>
      <c r="L701" s="4834">
        <f t="shared" si="45"/>
        <v>3.742332277953703E-5</v>
      </c>
      <c r="S701" s="270" t="s">
        <v>11780</v>
      </c>
      <c r="T701" s="4838">
        <v>547.20570659804821</v>
      </c>
      <c r="U701" s="4839">
        <f t="shared" si="44"/>
        <v>1.9558591838603361E-3</v>
      </c>
    </row>
    <row r="702" spans="1:21">
      <c r="A702" s="270" t="s">
        <v>11781</v>
      </c>
      <c r="B702" s="3305">
        <v>6715</v>
      </c>
      <c r="C702" s="4834">
        <f t="shared" si="42"/>
        <v>3.2423115635310729E-4</v>
      </c>
      <c r="D702" s="3" t="str">
        <f t="shared" si="43"/>
        <v>2014</v>
      </c>
      <c r="J702" s="270" t="s">
        <v>11785</v>
      </c>
      <c r="K702" s="4837">
        <v>39513.267532843791</v>
      </c>
      <c r="L702" s="4834">
        <f t="shared" si="45"/>
        <v>3.8742982962172198E-5</v>
      </c>
      <c r="S702" s="270" t="s">
        <v>11781</v>
      </c>
      <c r="T702" s="4838">
        <v>558.13696043138168</v>
      </c>
      <c r="U702" s="4839">
        <f t="shared" si="44"/>
        <v>2.0219788676589918E-3</v>
      </c>
    </row>
    <row r="703" spans="1:21">
      <c r="A703" s="270" t="s">
        <v>11782</v>
      </c>
      <c r="B703" s="3305">
        <v>6755</v>
      </c>
      <c r="C703" s="4834">
        <f t="shared" si="42"/>
        <v>3.2296556417323377E-4</v>
      </c>
      <c r="D703" s="3" t="str">
        <f t="shared" si="43"/>
        <v>2014</v>
      </c>
      <c r="J703" s="270" t="s">
        <v>11786</v>
      </c>
      <c r="K703" s="4837">
        <v>39698.134325613406</v>
      </c>
      <c r="L703" s="4834">
        <f t="shared" si="45"/>
        <v>3.9490169666313283E-5</v>
      </c>
      <c r="S703" s="270" t="s">
        <v>11782</v>
      </c>
      <c r="T703" s="4838">
        <v>557.81545296569561</v>
      </c>
      <c r="U703" s="4839">
        <f t="shared" si="44"/>
        <v>2.0201161115958044E-3</v>
      </c>
    </row>
    <row r="704" spans="1:21">
      <c r="A704" s="270" t="s">
        <v>11783</v>
      </c>
      <c r="B704" s="3305">
        <v>6767</v>
      </c>
      <c r="C704" s="4834">
        <f t="shared" si="42"/>
        <v>3.22519664252709E-4</v>
      </c>
      <c r="D704" s="3" t="str">
        <f t="shared" si="43"/>
        <v>2014</v>
      </c>
      <c r="J704" s="270" t="s">
        <v>11787</v>
      </c>
      <c r="K704" s="4837">
        <v>39786.548878677124</v>
      </c>
      <c r="L704" s="4834">
        <f t="shared" si="45"/>
        <v>3.984411333373717E-5</v>
      </c>
      <c r="S704" s="270" t="s">
        <v>11783</v>
      </c>
      <c r="T704" s="4838">
        <v>567.13916947059761</v>
      </c>
      <c r="U704" s="4839">
        <f t="shared" si="44"/>
        <v>2.0719731658996586E-3</v>
      </c>
    </row>
    <row r="705" spans="1:21">
      <c r="A705" s="270" t="s">
        <v>11784</v>
      </c>
      <c r="B705" s="3305">
        <v>6697</v>
      </c>
      <c r="C705" s="4834">
        <f t="shared" si="42"/>
        <v>3.2468911751755897E-4</v>
      </c>
      <c r="D705" s="3" t="str">
        <f t="shared" si="43"/>
        <v>2014</v>
      </c>
      <c r="J705" s="270" t="s">
        <v>11788</v>
      </c>
      <c r="K705" s="4837">
        <v>39794.586565319289</v>
      </c>
      <c r="L705" s="4834">
        <f t="shared" si="45"/>
        <v>3.9876174524315019E-5</v>
      </c>
      <c r="S705" s="270" t="s">
        <v>11784</v>
      </c>
      <c r="T705" s="4838">
        <v>554.92188577451896</v>
      </c>
      <c r="U705" s="4839">
        <f t="shared" si="44"/>
        <v>2.0031214187305152E-3</v>
      </c>
    </row>
    <row r="706" spans="1:21">
      <c r="A706" s="270" t="s">
        <v>11785</v>
      </c>
      <c r="B706" s="3305">
        <v>6802</v>
      </c>
      <c r="C706" s="4834">
        <f t="shared" si="42"/>
        <v>3.2104629699883304E-4</v>
      </c>
      <c r="D706" s="3" t="str">
        <f t="shared" si="43"/>
        <v>2014</v>
      </c>
      <c r="J706" s="270" t="s">
        <v>11789</v>
      </c>
      <c r="K706" s="4837">
        <v>39682.058952329084</v>
      </c>
      <c r="L706" s="4834">
        <f t="shared" si="45"/>
        <v>3.9425571390697021E-5</v>
      </c>
      <c r="S706" s="270" t="s">
        <v>11785</v>
      </c>
      <c r="T706" s="4838">
        <v>559.74449775981316</v>
      </c>
      <c r="U706" s="4839">
        <f t="shared" si="44"/>
        <v>2.0312147075755584E-3</v>
      </c>
    </row>
    <row r="707" spans="1:21">
      <c r="A707" s="270" t="s">
        <v>11786</v>
      </c>
      <c r="B707" s="3305">
        <v>6780.5</v>
      </c>
      <c r="C707" s="4834">
        <f t="shared" si="42"/>
        <v>3.2198176060809663E-4</v>
      </c>
      <c r="D707" s="3" t="str">
        <f t="shared" si="43"/>
        <v>2014</v>
      </c>
      <c r="J707" s="270" t="s">
        <v>11790</v>
      </c>
      <c r="K707" s="4837">
        <v>40011.604104657519</v>
      </c>
      <c r="L707" s="4834">
        <f t="shared" si="45"/>
        <v>4.0734113568413605E-5</v>
      </c>
      <c r="S707" s="270" t="s">
        <v>11786</v>
      </c>
      <c r="T707" s="4838">
        <v>562.6380649509897</v>
      </c>
      <c r="U707" s="4839">
        <f t="shared" si="44"/>
        <v>2.0475064340619202E-3</v>
      </c>
    </row>
    <row r="708" spans="1:21">
      <c r="A708" s="270" t="s">
        <v>11787</v>
      </c>
      <c r="B708" s="3305">
        <v>6781</v>
      </c>
      <c r="C708" s="4834">
        <f t="shared" ref="C708:C771" si="46">_xlfn.NORM.DIST(B708,$F$4,$F$3,FALSE)</f>
        <v>3.2196110317738136E-4</v>
      </c>
      <c r="D708" s="3" t="str">
        <f t="shared" ref="D708:D771" si="47">LEFT(A708,4)</f>
        <v>2014</v>
      </c>
      <c r="J708" s="270" t="s">
        <v>11791</v>
      </c>
      <c r="K708" s="4837">
        <v>40196.470897427134</v>
      </c>
      <c r="L708" s="4834">
        <f t="shared" si="45"/>
        <v>4.1452350089893817E-5</v>
      </c>
      <c r="S708" s="270" t="s">
        <v>11787</v>
      </c>
      <c r="T708" s="4838">
        <v>546.88419913236191</v>
      </c>
      <c r="U708" s="4839">
        <f t="shared" ref="U708:U771" si="48">_xlfn.NORM.DIST(T708,$X$4,$X$3,FALSE)</f>
        <v>1.9538311545726755E-3</v>
      </c>
    </row>
    <row r="709" spans="1:21">
      <c r="A709" s="270" t="s">
        <v>11788</v>
      </c>
      <c r="B709" s="3305">
        <v>6630</v>
      </c>
      <c r="C709" s="4834">
        <f t="shared" si="46"/>
        <v>3.257795365008296E-4</v>
      </c>
      <c r="D709" s="3" t="str">
        <f t="shared" si="47"/>
        <v>2014</v>
      </c>
      <c r="J709" s="270" t="s">
        <v>11792</v>
      </c>
      <c r="K709" s="4837">
        <v>39987.491044731054</v>
      </c>
      <c r="L709" s="4834">
        <f t="shared" ref="L709:L772" si="49">_xlfn.NORM.DIST(K709,$O$4,$O$3,FALSE)</f>
        <v>4.0639548222043176E-5</v>
      </c>
      <c r="S709" s="270" t="s">
        <v>11788</v>
      </c>
      <c r="T709" s="4838">
        <v>561.35203508824463</v>
      </c>
      <c r="U709" s="4839">
        <f t="shared" si="48"/>
        <v>2.0403190615007919E-3</v>
      </c>
    </row>
    <row r="710" spans="1:21">
      <c r="A710" s="270" t="s">
        <v>11789</v>
      </c>
      <c r="B710" s="3305">
        <v>6629</v>
      </c>
      <c r="C710" s="4834">
        <f t="shared" si="46"/>
        <v>3.2578844399644305E-4</v>
      </c>
      <c r="D710" s="3" t="str">
        <f t="shared" si="47"/>
        <v>2014</v>
      </c>
      <c r="J710" s="270" t="s">
        <v>11793</v>
      </c>
      <c r="K710" s="4837">
        <v>39633.832832476146</v>
      </c>
      <c r="L710" s="4834">
        <f t="shared" si="49"/>
        <v>3.9231337954471588E-5</v>
      </c>
      <c r="S710" s="270" t="s">
        <v>11789</v>
      </c>
      <c r="T710" s="4838">
        <v>558.13696043138168</v>
      </c>
      <c r="U710" s="4839">
        <f t="shared" si="48"/>
        <v>2.0219788676589918E-3</v>
      </c>
    </row>
    <row r="711" spans="1:21">
      <c r="A711" s="270" t="s">
        <v>11790</v>
      </c>
      <c r="B711" s="3305">
        <v>6615</v>
      </c>
      <c r="C711" s="4834">
        <f t="shared" si="46"/>
        <v>3.258903289555186E-4</v>
      </c>
      <c r="D711" s="3" t="str">
        <f t="shared" si="47"/>
        <v>2014</v>
      </c>
      <c r="J711" s="270" t="s">
        <v>11794</v>
      </c>
      <c r="K711" s="4837">
        <v>39633.832832476146</v>
      </c>
      <c r="L711" s="4834">
        <f t="shared" si="49"/>
        <v>3.9231337954471588E-5</v>
      </c>
      <c r="S711" s="270" t="s">
        <v>11790</v>
      </c>
      <c r="T711" s="4838">
        <v>558.77997536275427</v>
      </c>
      <c r="U711" s="4839">
        <f t="shared" si="48"/>
        <v>2.0256888438148998E-3</v>
      </c>
    </row>
    <row r="712" spans="1:21">
      <c r="A712" s="270" t="s">
        <v>11791</v>
      </c>
      <c r="B712" s="3305">
        <v>6660</v>
      </c>
      <c r="C712" s="4834">
        <f t="shared" si="46"/>
        <v>3.2541138822333955E-4</v>
      </c>
      <c r="D712" s="3" t="str">
        <f t="shared" si="47"/>
        <v>2014</v>
      </c>
      <c r="J712" s="270" t="s">
        <v>11795</v>
      </c>
      <c r="K712" s="4837">
        <v>39505.229846201626</v>
      </c>
      <c r="L712" s="4834">
        <f t="shared" si="49"/>
        <v>3.8710290385576134E-5</v>
      </c>
      <c r="S712" s="270" t="s">
        <v>11791</v>
      </c>
      <c r="T712" s="4838">
        <v>558.13696043138168</v>
      </c>
      <c r="U712" s="4839">
        <f t="shared" si="48"/>
        <v>2.0219788676589918E-3</v>
      </c>
    </row>
    <row r="713" spans="1:21">
      <c r="A713" s="270" t="s">
        <v>11792</v>
      </c>
      <c r="B713" s="3305">
        <v>6730.5</v>
      </c>
      <c r="C713" s="4834">
        <f t="shared" si="46"/>
        <v>3.2378119287206894E-4</v>
      </c>
      <c r="D713" s="3" t="str">
        <f t="shared" si="47"/>
        <v>2014</v>
      </c>
      <c r="J713" s="270" t="s">
        <v>11796</v>
      </c>
      <c r="K713" s="4837">
        <v>39521.305219485948</v>
      </c>
      <c r="L713" s="4834">
        <f t="shared" si="49"/>
        <v>3.8775659004313082E-5</v>
      </c>
      <c r="S713" s="270" t="s">
        <v>11792</v>
      </c>
      <c r="T713" s="4838">
        <v>558.13696043138168</v>
      </c>
      <c r="U713" s="4839">
        <f t="shared" si="48"/>
        <v>2.0219788676589918E-3</v>
      </c>
    </row>
    <row r="714" spans="1:21">
      <c r="A714" s="270" t="s">
        <v>11793</v>
      </c>
      <c r="B714" s="3305">
        <v>6718.5</v>
      </c>
      <c r="C714" s="4834">
        <f t="shared" si="46"/>
        <v>3.241340413645412E-4</v>
      </c>
      <c r="D714" s="3" t="str">
        <f t="shared" si="47"/>
        <v>2014</v>
      </c>
      <c r="J714" s="270" t="s">
        <v>11797</v>
      </c>
      <c r="K714" s="4837">
        <v>39336.438426716333</v>
      </c>
      <c r="L714" s="4834">
        <f t="shared" si="49"/>
        <v>3.8020083126382092E-5</v>
      </c>
      <c r="S714" s="270" t="s">
        <v>11793</v>
      </c>
      <c r="T714" s="4838">
        <v>548.81324392647969</v>
      </c>
      <c r="U714" s="4839">
        <f t="shared" si="48"/>
        <v>1.9659305469550891E-3</v>
      </c>
    </row>
    <row r="715" spans="1:21">
      <c r="A715" s="270" t="s">
        <v>11794</v>
      </c>
      <c r="B715" s="3305">
        <v>6759.5</v>
      </c>
      <c r="C715" s="4834">
        <f t="shared" si="46"/>
        <v>3.2280191616897689E-4</v>
      </c>
      <c r="D715" s="3" t="str">
        <f t="shared" si="47"/>
        <v>2014</v>
      </c>
      <c r="J715" s="270" t="s">
        <v>11798</v>
      </c>
      <c r="K715" s="4837">
        <v>38645.197375490832</v>
      </c>
      <c r="L715" s="4834">
        <f t="shared" si="49"/>
        <v>3.5135051365355384E-5</v>
      </c>
      <c r="S715" s="270" t="s">
        <v>11794</v>
      </c>
      <c r="T715" s="4838">
        <v>552.67133351471512</v>
      </c>
      <c r="U715" s="4839">
        <f t="shared" si="48"/>
        <v>1.9896228499632928E-3</v>
      </c>
    </row>
    <row r="716" spans="1:21">
      <c r="A716" s="270" t="s">
        <v>11795</v>
      </c>
      <c r="B716" s="3305">
        <v>6800.5</v>
      </c>
      <c r="C716" s="4834">
        <f t="shared" si="46"/>
        <v>3.2111468931271E-4</v>
      </c>
      <c r="D716" s="3" t="str">
        <f t="shared" si="47"/>
        <v>2014</v>
      </c>
      <c r="J716" s="270" t="s">
        <v>11799</v>
      </c>
      <c r="K716" s="4837">
        <v>37431.506692525123</v>
      </c>
      <c r="L716" s="4834">
        <f t="shared" si="49"/>
        <v>2.997211823303382E-5</v>
      </c>
      <c r="S716" s="270" t="s">
        <v>11795</v>
      </c>
      <c r="T716" s="4838">
        <v>552.34982604902871</v>
      </c>
      <c r="U716" s="4839">
        <f t="shared" si="48"/>
        <v>1.9876748532502023E-3</v>
      </c>
    </row>
    <row r="717" spans="1:21">
      <c r="A717" s="270" t="s">
        <v>11796</v>
      </c>
      <c r="B717" s="3305">
        <v>6859.5</v>
      </c>
      <c r="C717" s="4834">
        <f t="shared" si="46"/>
        <v>3.1807513872738187E-4</v>
      </c>
      <c r="D717" s="3" t="str">
        <f t="shared" si="47"/>
        <v>2014</v>
      </c>
      <c r="J717" s="270" t="s">
        <v>11800</v>
      </c>
      <c r="K717" s="4837">
        <v>37544.034305515328</v>
      </c>
      <c r="L717" s="4834">
        <f t="shared" si="49"/>
        <v>3.0450266153213728E-5</v>
      </c>
      <c r="S717" s="270" t="s">
        <v>11796</v>
      </c>
      <c r="T717" s="4838">
        <v>552.34982604902871</v>
      </c>
      <c r="U717" s="4839">
        <f t="shared" si="48"/>
        <v>1.9876748532502023E-3</v>
      </c>
    </row>
    <row r="718" spans="1:21">
      <c r="A718" s="270" t="s">
        <v>11797</v>
      </c>
      <c r="B718" s="3305">
        <v>6855</v>
      </c>
      <c r="C718" s="4834">
        <f t="shared" si="46"/>
        <v>3.1833201144720636E-4</v>
      </c>
      <c r="D718" s="3" t="str">
        <f t="shared" si="47"/>
        <v>2014</v>
      </c>
      <c r="J718" s="270" t="s">
        <v>11801</v>
      </c>
      <c r="K718" s="4837">
        <v>37503.845872304541</v>
      </c>
      <c r="L718" s="4834">
        <f t="shared" si="49"/>
        <v>3.0279405255392747E-5</v>
      </c>
      <c r="S718" s="270" t="s">
        <v>11797</v>
      </c>
      <c r="T718" s="4838">
        <v>552.9928409804013</v>
      </c>
      <c r="U718" s="4839">
        <f t="shared" si="48"/>
        <v>1.9915659751492303E-3</v>
      </c>
    </row>
    <row r="719" spans="1:21">
      <c r="A719" s="270" t="s">
        <v>11798</v>
      </c>
      <c r="B719" s="3305">
        <v>6785</v>
      </c>
      <c r="C719" s="4834">
        <f t="shared" si="46"/>
        <v>3.2179395792164442E-4</v>
      </c>
      <c r="D719" s="3" t="str">
        <f t="shared" si="47"/>
        <v>2014</v>
      </c>
      <c r="J719" s="270" t="s">
        <v>11802</v>
      </c>
      <c r="K719" s="4837">
        <v>36716.15258137315</v>
      </c>
      <c r="L719" s="4834">
        <f t="shared" si="49"/>
        <v>2.6962142945689035E-5</v>
      </c>
      <c r="S719" s="270" t="s">
        <v>11798</v>
      </c>
      <c r="T719" s="4838">
        <v>539.48952742157746</v>
      </c>
      <c r="U719" s="4839">
        <f t="shared" si="48"/>
        <v>1.9059706200824579E-3</v>
      </c>
    </row>
    <row r="720" spans="1:21">
      <c r="A720" s="270" t="s">
        <v>11799</v>
      </c>
      <c r="B720" s="3305">
        <v>6835.5</v>
      </c>
      <c r="C720" s="4834">
        <f t="shared" si="46"/>
        <v>3.1939762511557087E-4</v>
      </c>
      <c r="D720" s="3" t="str">
        <f t="shared" si="47"/>
        <v>2014</v>
      </c>
      <c r="J720" s="270" t="s">
        <v>11803</v>
      </c>
      <c r="K720" s="4837">
        <v>36812.60482107904</v>
      </c>
      <c r="L720" s="4834">
        <f t="shared" si="49"/>
        <v>2.7364032392200271E-5</v>
      </c>
      <c r="S720" s="270" t="s">
        <v>11799</v>
      </c>
      <c r="T720" s="4838">
        <v>520.84209441177336</v>
      </c>
      <c r="U720" s="4839">
        <f t="shared" si="48"/>
        <v>1.7761583469600207E-3</v>
      </c>
    </row>
    <row r="721" spans="1:21">
      <c r="A721" s="270" t="s">
        <v>11800</v>
      </c>
      <c r="B721" s="3305">
        <v>6801</v>
      </c>
      <c r="C721" s="4834">
        <f t="shared" si="46"/>
        <v>3.2109194384746283E-4</v>
      </c>
      <c r="D721" s="3" t="str">
        <f t="shared" si="47"/>
        <v>2014</v>
      </c>
      <c r="J721" s="270" t="s">
        <v>11804</v>
      </c>
      <c r="K721" s="4837">
        <v>37118.03691348101</v>
      </c>
      <c r="L721" s="4834">
        <f t="shared" si="49"/>
        <v>2.8645631632546591E-5</v>
      </c>
      <c r="S721" s="270" t="s">
        <v>11800</v>
      </c>
      <c r="T721" s="4838">
        <v>519.23455708334188</v>
      </c>
      <c r="U721" s="4839">
        <f t="shared" si="48"/>
        <v>1.7644440435841534E-3</v>
      </c>
    </row>
    <row r="722" spans="1:21">
      <c r="A722" s="270" t="s">
        <v>11801</v>
      </c>
      <c r="B722" s="3305">
        <v>6705.5</v>
      </c>
      <c r="C722" s="4834">
        <f t="shared" si="46"/>
        <v>3.2448152378802283E-4</v>
      </c>
      <c r="D722" s="3" t="str">
        <f t="shared" si="47"/>
        <v>2014</v>
      </c>
      <c r="J722" s="270" t="s">
        <v>11805</v>
      </c>
      <c r="K722" s="4837">
        <v>37359.167512745713</v>
      </c>
      <c r="L722" s="4834">
        <f t="shared" si="49"/>
        <v>2.9665213950813498E-5</v>
      </c>
      <c r="S722" s="270" t="s">
        <v>11801</v>
      </c>
      <c r="T722" s="4838">
        <v>518.27003468628311</v>
      </c>
      <c r="U722" s="4839">
        <f t="shared" si="48"/>
        <v>1.7573807776506635E-3</v>
      </c>
    </row>
    <row r="723" spans="1:21">
      <c r="A723" s="270" t="s">
        <v>11802</v>
      </c>
      <c r="B723" s="3305">
        <v>6646</v>
      </c>
      <c r="C723" s="4834">
        <f t="shared" si="46"/>
        <v>3.2560748463082587E-4</v>
      </c>
      <c r="D723" s="3" t="str">
        <f t="shared" si="47"/>
        <v>2014</v>
      </c>
      <c r="J723" s="270" t="s">
        <v>11806</v>
      </c>
      <c r="K723" s="4837">
        <v>37182.338406618255</v>
      </c>
      <c r="L723" s="4834">
        <f t="shared" si="49"/>
        <v>2.8916940043069491E-5</v>
      </c>
      <c r="S723" s="270" t="s">
        <v>11802</v>
      </c>
      <c r="T723" s="4838">
        <v>492.54943743138068</v>
      </c>
      <c r="U723" s="4839">
        <f t="shared" si="48"/>
        <v>1.5613598290858152E-3</v>
      </c>
    </row>
    <row r="724" spans="1:21">
      <c r="A724" s="270" t="s">
        <v>11803</v>
      </c>
      <c r="B724" s="3305">
        <v>6681</v>
      </c>
      <c r="C724" s="4834">
        <f t="shared" si="46"/>
        <v>3.2503770778938518E-4</v>
      </c>
      <c r="D724" s="3" t="str">
        <f t="shared" si="47"/>
        <v>2014</v>
      </c>
      <c r="J724" s="270" t="s">
        <v>11807</v>
      </c>
      <c r="K724" s="4837">
        <v>37439.544379167288</v>
      </c>
      <c r="L724" s="4834">
        <f t="shared" si="49"/>
        <v>3.0006243299284545E-5</v>
      </c>
      <c r="S724" s="270" t="s">
        <v>11803</v>
      </c>
      <c r="T724" s="4838">
        <v>491.2634075686355</v>
      </c>
      <c r="U724" s="4839">
        <f t="shared" si="48"/>
        <v>1.5512666228322265E-3</v>
      </c>
    </row>
    <row r="725" spans="1:21">
      <c r="A725" s="270" t="s">
        <v>11804</v>
      </c>
      <c r="B725" s="3305">
        <v>6720.5</v>
      </c>
      <c r="C725" s="4834">
        <f t="shared" si="46"/>
        <v>3.240773701707379E-4</v>
      </c>
      <c r="D725" s="3" t="str">
        <f t="shared" si="47"/>
        <v>2014</v>
      </c>
      <c r="J725" s="270" t="s">
        <v>11808</v>
      </c>
      <c r="K725" s="4837">
        <v>37351.129826103563</v>
      </c>
      <c r="L725" s="4834">
        <f t="shared" si="49"/>
        <v>2.9631139383057659E-5</v>
      </c>
      <c r="S725" s="270" t="s">
        <v>11804</v>
      </c>
      <c r="T725" s="4838">
        <v>495.76451208824346</v>
      </c>
      <c r="U725" s="4839">
        <f t="shared" si="48"/>
        <v>1.5865029381448349E-3</v>
      </c>
    </row>
    <row r="726" spans="1:21">
      <c r="A726" s="270" t="s">
        <v>11805</v>
      </c>
      <c r="B726" s="3305">
        <v>6735.5</v>
      </c>
      <c r="C726" s="4834">
        <f t="shared" si="46"/>
        <v>3.2362510351170883E-4</v>
      </c>
      <c r="D726" s="3" t="str">
        <f t="shared" si="47"/>
        <v>2014</v>
      </c>
      <c r="J726" s="270" t="s">
        <v>11809</v>
      </c>
      <c r="K726" s="4837">
        <v>37584.222738726108</v>
      </c>
      <c r="L726" s="4834">
        <f t="shared" si="49"/>
        <v>3.0621219643435049E-5</v>
      </c>
      <c r="S726" s="270" t="s">
        <v>11805</v>
      </c>
      <c r="T726" s="4838">
        <v>503.80219873040045</v>
      </c>
      <c r="U726" s="4839">
        <f t="shared" si="48"/>
        <v>1.6486887638721788E-3</v>
      </c>
    </row>
    <row r="727" spans="1:21">
      <c r="A727" s="270" t="s">
        <v>11806</v>
      </c>
      <c r="B727" s="3305">
        <v>6688</v>
      </c>
      <c r="C727" s="4834">
        <f t="shared" si="46"/>
        <v>3.2489198587824542E-4</v>
      </c>
      <c r="D727" s="3" t="str">
        <f t="shared" si="47"/>
        <v>2014</v>
      </c>
      <c r="J727" s="270" t="s">
        <v>11810</v>
      </c>
      <c r="K727" s="4837">
        <v>38018.257817402584</v>
      </c>
      <c r="L727" s="4834">
        <f t="shared" si="49"/>
        <v>3.2470867277034442E-5</v>
      </c>
      <c r="S727" s="270" t="s">
        <v>11806</v>
      </c>
      <c r="T727" s="4838">
        <v>500.58712407353767</v>
      </c>
      <c r="U727" s="4839">
        <f t="shared" si="48"/>
        <v>1.6239417842373051E-3</v>
      </c>
    </row>
    <row r="728" spans="1:21">
      <c r="A728" s="270" t="s">
        <v>11807</v>
      </c>
      <c r="B728" s="3305">
        <v>6752.5</v>
      </c>
      <c r="C728" s="4834">
        <f t="shared" si="46"/>
        <v>3.2305462840679131E-4</v>
      </c>
      <c r="D728" s="3" t="str">
        <f t="shared" si="47"/>
        <v>2014</v>
      </c>
      <c r="J728" s="270" t="s">
        <v>11811</v>
      </c>
      <c r="K728" s="4837">
        <v>38347.802969731027</v>
      </c>
      <c r="L728" s="4834">
        <f t="shared" si="49"/>
        <v>3.3874304421115413E-5</v>
      </c>
      <c r="S728" s="270" t="s">
        <v>11807</v>
      </c>
      <c r="T728" s="4838">
        <v>502.19466140196903</v>
      </c>
      <c r="U728" s="4839">
        <f t="shared" si="48"/>
        <v>1.6363381288779289E-3</v>
      </c>
    </row>
    <row r="729" spans="1:21">
      <c r="A729" s="270" t="s">
        <v>11808</v>
      </c>
      <c r="B729" s="3305">
        <v>6755.5</v>
      </c>
      <c r="C729" s="4834">
        <f t="shared" si="46"/>
        <v>3.2294759256987768E-4</v>
      </c>
      <c r="D729" s="3" t="str">
        <f t="shared" si="47"/>
        <v>2014</v>
      </c>
      <c r="J729" s="270" t="s">
        <v>11812</v>
      </c>
      <c r="K729" s="4837">
        <v>38452.292896079067</v>
      </c>
      <c r="L729" s="4834">
        <f t="shared" si="49"/>
        <v>3.4318123729310881E-5</v>
      </c>
      <c r="S729" s="270" t="s">
        <v>11808</v>
      </c>
      <c r="T729" s="4838">
        <v>506.0527509902044</v>
      </c>
      <c r="U729" s="4839">
        <f t="shared" si="48"/>
        <v>1.665898184512959E-3</v>
      </c>
    </row>
    <row r="730" spans="1:21">
      <c r="A730" s="270" t="s">
        <v>11809</v>
      </c>
      <c r="B730" s="3305">
        <v>6695</v>
      </c>
      <c r="C730" s="4834">
        <f t="shared" si="46"/>
        <v>3.2473570600970191E-4</v>
      </c>
      <c r="D730" s="3" t="str">
        <f t="shared" si="47"/>
        <v>2014</v>
      </c>
      <c r="J730" s="270" t="s">
        <v>11813</v>
      </c>
      <c r="K730" s="4837">
        <v>38259.388416667301</v>
      </c>
      <c r="L730" s="4834">
        <f t="shared" si="49"/>
        <v>3.3498216658734854E-5</v>
      </c>
      <c r="S730" s="270" t="s">
        <v>11809</v>
      </c>
      <c r="T730" s="4838">
        <v>493.51395982843951</v>
      </c>
      <c r="U730" s="4839">
        <f t="shared" si="48"/>
        <v>1.5689167186012736E-3</v>
      </c>
    </row>
    <row r="731" spans="1:21">
      <c r="A731" s="270" t="s">
        <v>11810</v>
      </c>
      <c r="B731" s="3305">
        <v>6752</v>
      </c>
      <c r="C731" s="4834">
        <f t="shared" si="46"/>
        <v>3.2307228243480388E-4</v>
      </c>
      <c r="D731" s="3" t="str">
        <f t="shared" si="47"/>
        <v>2014</v>
      </c>
      <c r="J731" s="270" t="s">
        <v>11814</v>
      </c>
      <c r="K731" s="4837">
        <v>38701.461181985935</v>
      </c>
      <c r="L731" s="4834">
        <f t="shared" si="49"/>
        <v>3.5372595042221483E-5</v>
      </c>
      <c r="S731" s="270" t="s">
        <v>11810</v>
      </c>
      <c r="T731" s="4838">
        <v>520.84209441177336</v>
      </c>
      <c r="U731" s="4839">
        <f t="shared" si="48"/>
        <v>1.7761583469600207E-3</v>
      </c>
    </row>
    <row r="732" spans="1:21">
      <c r="A732" s="270" t="s">
        <v>11811</v>
      </c>
      <c r="B732" s="3305">
        <v>6684</v>
      </c>
      <c r="C732" s="4834">
        <f t="shared" si="46"/>
        <v>3.249765492918442E-4</v>
      </c>
      <c r="D732" s="3" t="str">
        <f t="shared" si="47"/>
        <v>2014</v>
      </c>
      <c r="J732" s="270" t="s">
        <v>11815</v>
      </c>
      <c r="K732" s="4837">
        <v>38500.519015932005</v>
      </c>
      <c r="L732" s="4834">
        <f t="shared" si="49"/>
        <v>3.4522679720089735E-5</v>
      </c>
      <c r="S732" s="270" t="s">
        <v>11811</v>
      </c>
      <c r="T732" s="4838">
        <v>523.09264667157731</v>
      </c>
      <c r="U732" s="4839">
        <f t="shared" si="48"/>
        <v>1.7924328153754313E-3</v>
      </c>
    </row>
    <row r="733" spans="1:21">
      <c r="A733" s="270" t="s">
        <v>11812</v>
      </c>
      <c r="B733" s="3305">
        <v>6715</v>
      </c>
      <c r="C733" s="4834">
        <f t="shared" si="46"/>
        <v>3.2423115635310729E-4</v>
      </c>
      <c r="D733" s="3" t="str">
        <f t="shared" si="47"/>
        <v>2014</v>
      </c>
      <c r="J733" s="270" t="s">
        <v>11816</v>
      </c>
      <c r="K733" s="4837">
        <v>38548.74513578495</v>
      </c>
      <c r="L733" s="4834">
        <f t="shared" si="49"/>
        <v>3.4727031674587718E-5</v>
      </c>
      <c r="S733" s="270" t="s">
        <v>11812</v>
      </c>
      <c r="T733" s="4838">
        <v>522.77113920589102</v>
      </c>
      <c r="U733" s="4839">
        <f t="shared" si="48"/>
        <v>1.7901170774994798E-3</v>
      </c>
    </row>
    <row r="734" spans="1:21">
      <c r="A734" s="270" t="s">
        <v>11813</v>
      </c>
      <c r="B734" s="3305">
        <v>6688</v>
      </c>
      <c r="C734" s="4834">
        <f t="shared" si="46"/>
        <v>3.2489198587824542E-4</v>
      </c>
      <c r="D734" s="3" t="str">
        <f t="shared" si="47"/>
        <v>2014</v>
      </c>
      <c r="J734" s="270" t="s">
        <v>11817</v>
      </c>
      <c r="K734" s="4837">
        <v>38500.519015932005</v>
      </c>
      <c r="L734" s="4834">
        <f t="shared" si="49"/>
        <v>3.4522679720089735E-5</v>
      </c>
      <c r="S734" s="270" t="s">
        <v>11813</v>
      </c>
      <c r="T734" s="4838">
        <v>520.84209441177336</v>
      </c>
      <c r="U734" s="4839">
        <f t="shared" si="48"/>
        <v>1.7761583469600207E-3</v>
      </c>
    </row>
    <row r="735" spans="1:21">
      <c r="A735" s="270" t="s">
        <v>11814</v>
      </c>
      <c r="B735" s="3305">
        <v>6790</v>
      </c>
      <c r="C735" s="4834">
        <f t="shared" si="46"/>
        <v>3.2158031777250549E-4</v>
      </c>
      <c r="D735" s="3" t="str">
        <f t="shared" si="47"/>
        <v>2014</v>
      </c>
      <c r="J735" s="270" t="s">
        <v>11818</v>
      </c>
      <c r="K735" s="4837">
        <v>38412.104462868279</v>
      </c>
      <c r="L735" s="4834">
        <f t="shared" si="49"/>
        <v>3.4147517478067175E-5</v>
      </c>
      <c r="S735" s="270" t="s">
        <v>11814</v>
      </c>
      <c r="T735" s="4838">
        <v>524.05716906863609</v>
      </c>
      <c r="U735" s="4839">
        <f t="shared" si="48"/>
        <v>1.7993612608995055E-3</v>
      </c>
    </row>
    <row r="736" spans="1:21">
      <c r="A736" s="270" t="s">
        <v>11815</v>
      </c>
      <c r="B736" s="3305">
        <v>6731</v>
      </c>
      <c r="C736" s="4834">
        <f t="shared" si="46"/>
        <v>3.2376582371833015E-4</v>
      </c>
      <c r="D736" s="3" t="str">
        <f t="shared" si="47"/>
        <v>2014</v>
      </c>
      <c r="J736" s="270" t="s">
        <v>11819</v>
      </c>
      <c r="K736" s="4837">
        <v>38026.295504044749</v>
      </c>
      <c r="L736" s="4834">
        <f t="shared" si="49"/>
        <v>3.2505135769783723E-5</v>
      </c>
      <c r="S736" s="270" t="s">
        <v>11815</v>
      </c>
      <c r="T736" s="4838">
        <v>525.02169146569486</v>
      </c>
      <c r="U736" s="4839">
        <f t="shared" si="48"/>
        <v>1.8062611391763458E-3</v>
      </c>
    </row>
    <row r="737" spans="1:21">
      <c r="A737" s="270" t="s">
        <v>11816</v>
      </c>
      <c r="B737" s="3305">
        <v>6696</v>
      </c>
      <c r="C737" s="4834">
        <f t="shared" si="46"/>
        <v>3.2471251931945409E-4</v>
      </c>
      <c r="D737" s="3" t="str">
        <f t="shared" si="47"/>
        <v>2014</v>
      </c>
      <c r="J737" s="270" t="s">
        <v>11820</v>
      </c>
      <c r="K737" s="4837">
        <v>38387.991402941807</v>
      </c>
      <c r="L737" s="4834">
        <f t="shared" si="49"/>
        <v>3.4045095990240493E-5</v>
      </c>
      <c r="S737" s="270" t="s">
        <v>11816</v>
      </c>
      <c r="T737" s="4838">
        <v>535.63143783334226</v>
      </c>
      <c r="U737" s="4839">
        <f t="shared" si="48"/>
        <v>1.880122414065648E-3</v>
      </c>
    </row>
    <row r="738" spans="1:21">
      <c r="A738" s="270" t="s">
        <v>11817</v>
      </c>
      <c r="B738" s="3305">
        <v>6649</v>
      </c>
      <c r="C738" s="4834">
        <f t="shared" si="46"/>
        <v>3.2556904035758164E-4</v>
      </c>
      <c r="D738" s="3" t="str">
        <f t="shared" si="47"/>
        <v>2014</v>
      </c>
      <c r="J738" s="270" t="s">
        <v>11821</v>
      </c>
      <c r="K738" s="4837">
        <v>38420.142149510437</v>
      </c>
      <c r="L738" s="4834">
        <f t="shared" si="49"/>
        <v>3.418164857122486E-5</v>
      </c>
      <c r="S738" s="270" t="s">
        <v>11817</v>
      </c>
      <c r="T738" s="4838">
        <v>534.02390050491078</v>
      </c>
      <c r="U738" s="4839">
        <f t="shared" si="48"/>
        <v>1.8691855742600859E-3</v>
      </c>
    </row>
    <row r="739" spans="1:21">
      <c r="A739" s="270" t="s">
        <v>11818</v>
      </c>
      <c r="B739" s="3305">
        <v>6621.5</v>
      </c>
      <c r="C739" s="4834">
        <f t="shared" si="46"/>
        <v>3.2584832378247831E-4</v>
      </c>
      <c r="D739" s="3" t="str">
        <f t="shared" si="47"/>
        <v>2014</v>
      </c>
      <c r="J739" s="270" t="s">
        <v>11822</v>
      </c>
      <c r="K739" s="4837">
        <v>38733.611928554557</v>
      </c>
      <c r="L739" s="4834">
        <f t="shared" si="49"/>
        <v>3.550816529621406E-5</v>
      </c>
      <c r="S739" s="270" t="s">
        <v>11818</v>
      </c>
      <c r="T739" s="4838">
        <v>527.91525865687152</v>
      </c>
      <c r="U739" s="4839">
        <f t="shared" si="48"/>
        <v>1.8267840417939066E-3</v>
      </c>
    </row>
    <row r="740" spans="1:21">
      <c r="A740" s="270" t="s">
        <v>11819</v>
      </c>
      <c r="B740" s="3305">
        <v>6515.5</v>
      </c>
      <c r="C740" s="4834">
        <f t="shared" si="46"/>
        <v>3.2538641206237147E-4</v>
      </c>
      <c r="D740" s="3" t="str">
        <f t="shared" si="47"/>
        <v>2014</v>
      </c>
      <c r="J740" s="270" t="s">
        <v>11823</v>
      </c>
      <c r="K740" s="4837">
        <v>38870.252601471228</v>
      </c>
      <c r="L740" s="4834">
        <f t="shared" si="49"/>
        <v>3.6082826325803333E-5</v>
      </c>
      <c r="S740" s="270" t="s">
        <v>11819</v>
      </c>
      <c r="T740" s="4838">
        <v>513.44742270098891</v>
      </c>
      <c r="U740" s="4839">
        <f t="shared" si="48"/>
        <v>1.7216947912086188E-3</v>
      </c>
    </row>
    <row r="741" spans="1:21">
      <c r="A741" s="270" t="s">
        <v>11820</v>
      </c>
      <c r="B741" s="3305">
        <v>6385</v>
      </c>
      <c r="C741" s="4834">
        <f t="shared" si="46"/>
        <v>3.2148941218739522E-4</v>
      </c>
      <c r="D741" s="3" t="str">
        <f t="shared" si="47"/>
        <v>2014</v>
      </c>
      <c r="J741" s="270" t="s">
        <v>11824</v>
      </c>
      <c r="K741" s="4837">
        <v>38387.991402941807</v>
      </c>
      <c r="L741" s="4834">
        <f t="shared" si="49"/>
        <v>3.4045095990240493E-5</v>
      </c>
      <c r="S741" s="270" t="s">
        <v>11820</v>
      </c>
      <c r="T741" s="4838">
        <v>505.73124352451816</v>
      </c>
      <c r="U741" s="4839">
        <f t="shared" si="48"/>
        <v>1.6634457315749477E-3</v>
      </c>
    </row>
    <row r="742" spans="1:21">
      <c r="A742" s="270" t="s">
        <v>11821</v>
      </c>
      <c r="B742" s="3305">
        <v>6455</v>
      </c>
      <c r="C742" s="4834">
        <f t="shared" si="46"/>
        <v>3.2403166931155135E-4</v>
      </c>
      <c r="D742" s="3" t="str">
        <f t="shared" si="47"/>
        <v>2014</v>
      </c>
      <c r="J742" s="270" t="s">
        <v>11825</v>
      </c>
      <c r="K742" s="4837">
        <v>38355.840656373184</v>
      </c>
      <c r="L742" s="4834">
        <f t="shared" si="49"/>
        <v>3.390847126040921E-5</v>
      </c>
      <c r="S742" s="270" t="s">
        <v>11821</v>
      </c>
      <c r="T742" s="4838">
        <v>519.55606454902818</v>
      </c>
      <c r="U742" s="4839">
        <f t="shared" si="48"/>
        <v>1.7667927377972941E-3</v>
      </c>
    </row>
    <row r="743" spans="1:21">
      <c r="A743" s="270" t="s">
        <v>11822</v>
      </c>
      <c r="B743" s="3305">
        <v>6451</v>
      </c>
      <c r="C743" s="4834">
        <f t="shared" si="46"/>
        <v>3.2391440114785399E-4</v>
      </c>
      <c r="D743" s="3" t="str">
        <f t="shared" si="47"/>
        <v>2014</v>
      </c>
      <c r="J743" s="270" t="s">
        <v>11826</v>
      </c>
      <c r="K743" s="4837">
        <v>39448.966039706531</v>
      </c>
      <c r="L743" s="4834">
        <f t="shared" si="49"/>
        <v>3.8480986804494588E-5</v>
      </c>
      <c r="S743" s="270" t="s">
        <v>11822</v>
      </c>
      <c r="T743" s="4838">
        <v>524.05716906863609</v>
      </c>
      <c r="U743" s="4839">
        <f t="shared" si="48"/>
        <v>1.7993612608995055E-3</v>
      </c>
    </row>
    <row r="744" spans="1:21">
      <c r="A744" s="270" t="s">
        <v>11823</v>
      </c>
      <c r="B744" s="3305">
        <v>6491</v>
      </c>
      <c r="C744" s="4834">
        <f t="shared" si="46"/>
        <v>3.2493276810298763E-4</v>
      </c>
      <c r="D744" s="3" t="str">
        <f t="shared" si="47"/>
        <v>2014</v>
      </c>
      <c r="J744" s="270" t="s">
        <v>11827</v>
      </c>
      <c r="K744" s="4837">
        <v>39513.267532843791</v>
      </c>
      <c r="L744" s="4834">
        <f t="shared" si="49"/>
        <v>3.8742982962172198E-5</v>
      </c>
      <c r="S744" s="270" t="s">
        <v>11823</v>
      </c>
      <c r="T744" s="4838">
        <v>527.91525865687152</v>
      </c>
      <c r="U744" s="4839">
        <f t="shared" si="48"/>
        <v>1.8267840417939066E-3</v>
      </c>
    </row>
    <row r="745" spans="1:21">
      <c r="A745" s="270" t="s">
        <v>11824</v>
      </c>
      <c r="B745" s="3305">
        <v>6536</v>
      </c>
      <c r="C745" s="4834">
        <f t="shared" si="46"/>
        <v>3.2566617818101097E-4</v>
      </c>
      <c r="D745" s="3" t="str">
        <f t="shared" si="47"/>
        <v>2014</v>
      </c>
      <c r="J745" s="270" t="s">
        <v>11828</v>
      </c>
      <c r="K745" s="4837">
        <v>39103.34551409378</v>
      </c>
      <c r="L745" s="4834">
        <f t="shared" si="49"/>
        <v>3.705652687930406E-5</v>
      </c>
      <c r="S745" s="270" t="s">
        <v>11824</v>
      </c>
      <c r="T745" s="4838">
        <v>525.02169146569486</v>
      </c>
      <c r="U745" s="4839">
        <f t="shared" si="48"/>
        <v>1.8062611391763458E-3</v>
      </c>
    </row>
    <row r="746" spans="1:21">
      <c r="A746" s="270" t="s">
        <v>11825</v>
      </c>
      <c r="B746" s="3305">
        <v>6465.5</v>
      </c>
      <c r="C746" s="4834">
        <f t="shared" si="46"/>
        <v>3.2432321705244189E-4</v>
      </c>
      <c r="D746" s="3" t="str">
        <f t="shared" si="47"/>
        <v>2014</v>
      </c>
      <c r="J746" s="270" t="s">
        <v>11829</v>
      </c>
      <c r="K746" s="4837">
        <v>39127.458574020253</v>
      </c>
      <c r="L746" s="4834">
        <f t="shared" si="49"/>
        <v>3.7156711715207779E-5</v>
      </c>
      <c r="S746" s="270" t="s">
        <v>11825</v>
      </c>
      <c r="T746" s="4838">
        <v>522.77113920589102</v>
      </c>
      <c r="U746" s="4839">
        <f t="shared" si="48"/>
        <v>1.7901170774994798E-3</v>
      </c>
    </row>
    <row r="747" spans="1:21">
      <c r="A747" s="270" t="s">
        <v>11826</v>
      </c>
      <c r="B747" s="3305">
        <v>6401</v>
      </c>
      <c r="C747" s="4834">
        <f t="shared" si="46"/>
        <v>3.2216163642791342E-4</v>
      </c>
      <c r="D747" s="3" t="str">
        <f t="shared" si="47"/>
        <v>2014</v>
      </c>
      <c r="J747" s="270" t="s">
        <v>11830</v>
      </c>
      <c r="K747" s="4837">
        <v>38878.290288113385</v>
      </c>
      <c r="L747" s="4834">
        <f t="shared" si="49"/>
        <v>3.6116548025159186E-5</v>
      </c>
      <c r="S747" s="270" t="s">
        <v>11826</v>
      </c>
      <c r="T747" s="4838">
        <v>526.30772132844004</v>
      </c>
      <c r="U747" s="4839">
        <f t="shared" si="48"/>
        <v>1.8154156174470489E-3</v>
      </c>
    </row>
    <row r="748" spans="1:21">
      <c r="A748" s="270" t="s">
        <v>11827</v>
      </c>
      <c r="B748" s="3305">
        <v>6476</v>
      </c>
      <c r="C748" s="4834">
        <f t="shared" si="46"/>
        <v>3.2459113486862115E-4</v>
      </c>
      <c r="D748" s="3" t="str">
        <f t="shared" si="47"/>
        <v>2014</v>
      </c>
      <c r="J748" s="270" t="s">
        <v>11831</v>
      </c>
      <c r="K748" s="4837">
        <v>38661.272748775147</v>
      </c>
      <c r="L748" s="4834">
        <f t="shared" si="49"/>
        <v>3.520295812600763E-5</v>
      </c>
      <c r="S748" s="270" t="s">
        <v>11827</v>
      </c>
      <c r="T748" s="4838">
        <v>548.49173646079328</v>
      </c>
      <c r="U748" s="4839">
        <f t="shared" si="48"/>
        <v>1.9639255069898802E-3</v>
      </c>
    </row>
    <row r="749" spans="1:21">
      <c r="A749" s="270" t="s">
        <v>11828</v>
      </c>
      <c r="B749" s="3305">
        <v>6471.5</v>
      </c>
      <c r="C749" s="4834">
        <f t="shared" si="46"/>
        <v>3.2447921030879205E-4</v>
      </c>
      <c r="D749" s="3" t="str">
        <f t="shared" si="47"/>
        <v>2014</v>
      </c>
      <c r="J749" s="270" t="s">
        <v>11832</v>
      </c>
      <c r="K749" s="4837">
        <v>38444.255209436909</v>
      </c>
      <c r="L749" s="4834">
        <f t="shared" si="49"/>
        <v>3.4284012487247902E-5</v>
      </c>
      <c r="S749" s="270" t="s">
        <v>11828</v>
      </c>
      <c r="T749" s="4838">
        <v>545.91967673530314</v>
      </c>
      <c r="U749" s="4839">
        <f t="shared" si="48"/>
        <v>1.9477198866897996E-3</v>
      </c>
    </row>
    <row r="750" spans="1:21">
      <c r="A750" s="270" t="s">
        <v>11829</v>
      </c>
      <c r="B750" s="3305">
        <v>6526.5</v>
      </c>
      <c r="C750" s="4834">
        <f t="shared" si="46"/>
        <v>3.2554785641377901E-4</v>
      </c>
      <c r="D750" s="3" t="str">
        <f t="shared" si="47"/>
        <v>2014</v>
      </c>
      <c r="J750" s="270" t="s">
        <v>11833</v>
      </c>
      <c r="K750" s="4837">
        <v>38548.74513578495</v>
      </c>
      <c r="L750" s="4834">
        <f t="shared" si="49"/>
        <v>3.4727031674587718E-5</v>
      </c>
      <c r="S750" s="270" t="s">
        <v>11829</v>
      </c>
      <c r="T750" s="4838">
        <v>548.81324392647969</v>
      </c>
      <c r="U750" s="4839">
        <f t="shared" si="48"/>
        <v>1.9659305469550891E-3</v>
      </c>
    </row>
    <row r="751" spans="1:21">
      <c r="A751" s="270" t="s">
        <v>11830</v>
      </c>
      <c r="B751" s="3305">
        <v>6560</v>
      </c>
      <c r="C751" s="4834">
        <f t="shared" si="46"/>
        <v>3.2587781676641841E-4</v>
      </c>
      <c r="D751" s="3" t="str">
        <f t="shared" si="47"/>
        <v>2014</v>
      </c>
      <c r="J751" s="270" t="s">
        <v>11834</v>
      </c>
      <c r="K751" s="4837">
        <v>38436.217522794752</v>
      </c>
      <c r="L751" s="4834">
        <f t="shared" si="49"/>
        <v>3.4249896158420933E-5</v>
      </c>
      <c r="S751" s="270" t="s">
        <v>11830</v>
      </c>
      <c r="T751" s="4838">
        <v>541.74007968138153</v>
      </c>
      <c r="U751" s="4839">
        <f t="shared" si="48"/>
        <v>1.9207776043148738E-3</v>
      </c>
    </row>
    <row r="752" spans="1:21">
      <c r="A752" s="270" t="s">
        <v>11831</v>
      </c>
      <c r="B752" s="3305">
        <v>6390</v>
      </c>
      <c r="C752" s="4834">
        <f t="shared" si="46"/>
        <v>3.2170523770776806E-4</v>
      </c>
      <c r="D752" s="3" t="str">
        <f t="shared" si="47"/>
        <v>2014</v>
      </c>
      <c r="J752" s="270" t="s">
        <v>11835</v>
      </c>
      <c r="K752" s="4837">
        <v>38428.179836152594</v>
      </c>
      <c r="L752" s="4834">
        <f t="shared" si="49"/>
        <v>3.4215774825533754E-5</v>
      </c>
      <c r="S752" s="270" t="s">
        <v>11831</v>
      </c>
      <c r="T752" s="4838">
        <v>523.73566160294979</v>
      </c>
      <c r="U752" s="4839">
        <f t="shared" si="48"/>
        <v>1.7970549268485419E-3</v>
      </c>
    </row>
    <row r="753" spans="1:21">
      <c r="A753" s="270" t="s">
        <v>11832</v>
      </c>
      <c r="B753" s="3305">
        <v>6306</v>
      </c>
      <c r="C753" s="4834">
        <f t="shared" si="46"/>
        <v>3.1739466802651093E-4</v>
      </c>
      <c r="D753" s="3" t="str">
        <f t="shared" si="47"/>
        <v>2014</v>
      </c>
      <c r="J753" s="270" t="s">
        <v>11836</v>
      </c>
      <c r="K753" s="4837">
        <v>37801.240278064346</v>
      </c>
      <c r="L753" s="4834">
        <f t="shared" si="49"/>
        <v>3.1545571965096776E-5</v>
      </c>
      <c r="S753" s="270" t="s">
        <v>11832</v>
      </c>
      <c r="T753" s="4838">
        <v>512.80440776961632</v>
      </c>
      <c r="U753" s="4839">
        <f t="shared" si="48"/>
        <v>1.7168923598626586E-3</v>
      </c>
    </row>
    <row r="754" spans="1:21">
      <c r="A754" s="270" t="s">
        <v>11833</v>
      </c>
      <c r="B754" s="3305">
        <v>6350.5</v>
      </c>
      <c r="C754" s="4834">
        <f t="shared" si="46"/>
        <v>3.1985862178635381E-4</v>
      </c>
      <c r="D754" s="3" t="str">
        <f t="shared" si="47"/>
        <v>2014</v>
      </c>
      <c r="J754" s="270" t="s">
        <v>11837</v>
      </c>
      <c r="K754" s="4837">
        <v>37841.428711275134</v>
      </c>
      <c r="L754" s="4834">
        <f t="shared" si="49"/>
        <v>3.171689680238703E-5</v>
      </c>
      <c r="S754" s="270" t="s">
        <v>11833</v>
      </c>
      <c r="T754" s="4838">
        <v>516.98400482353793</v>
      </c>
      <c r="U754" s="4839">
        <f t="shared" si="48"/>
        <v>1.7479237361073426E-3</v>
      </c>
    </row>
    <row r="755" spans="1:21">
      <c r="A755" s="270" t="s">
        <v>11834</v>
      </c>
      <c r="B755" s="3305">
        <v>6445.5</v>
      </c>
      <c r="C755" s="4834">
        <f t="shared" si="46"/>
        <v>3.2374758004664563E-4</v>
      </c>
      <c r="D755" s="3" t="str">
        <f t="shared" si="47"/>
        <v>2014</v>
      </c>
      <c r="J755" s="270" t="s">
        <v>11838</v>
      </c>
      <c r="K755" s="4837">
        <v>38114.710057108474</v>
      </c>
      <c r="L755" s="4834">
        <f t="shared" si="49"/>
        <v>3.2882013732071328E-5</v>
      </c>
      <c r="S755" s="270" t="s">
        <v>11834</v>
      </c>
      <c r="T755" s="4838">
        <v>509.91084057843972</v>
      </c>
      <c r="U755" s="4839">
        <f t="shared" si="48"/>
        <v>1.6951609407766337E-3</v>
      </c>
    </row>
    <row r="756" spans="1:21">
      <c r="A756" s="270" t="s">
        <v>11835</v>
      </c>
      <c r="B756" s="3305">
        <v>6426.5</v>
      </c>
      <c r="C756" s="4834">
        <f t="shared" si="46"/>
        <v>3.2312173684079996E-4</v>
      </c>
      <c r="D756" s="3" t="str">
        <f t="shared" si="47"/>
        <v>2014</v>
      </c>
      <c r="J756" s="270" t="s">
        <v>11839</v>
      </c>
      <c r="K756" s="4837">
        <v>38773.800361765345</v>
      </c>
      <c r="L756" s="4834">
        <f t="shared" si="49"/>
        <v>3.567744511528473E-5</v>
      </c>
      <c r="S756" s="270" t="s">
        <v>11835</v>
      </c>
      <c r="T756" s="4838">
        <v>517.30551228922411</v>
      </c>
      <c r="U756" s="4839">
        <f t="shared" si="48"/>
        <v>1.750292153420261E-3</v>
      </c>
    </row>
    <row r="757" spans="1:21">
      <c r="A757" s="270" t="s">
        <v>11836</v>
      </c>
      <c r="B757" s="3305">
        <v>6363</v>
      </c>
      <c r="C757" s="4834">
        <f t="shared" si="46"/>
        <v>3.2047794758561658E-4</v>
      </c>
      <c r="D757" s="3" t="str">
        <f t="shared" si="47"/>
        <v>2014</v>
      </c>
      <c r="J757" s="270" t="s">
        <v>11840</v>
      </c>
      <c r="K757" s="4837">
        <v>38556.782822427107</v>
      </c>
      <c r="L757" s="4834">
        <f t="shared" si="49"/>
        <v>3.4761069233551693E-5</v>
      </c>
      <c r="S757" s="270" t="s">
        <v>11836</v>
      </c>
      <c r="T757" s="4838">
        <v>505.08822859314563</v>
      </c>
      <c r="U757" s="4839">
        <f t="shared" si="48"/>
        <v>1.6585347111438514E-3</v>
      </c>
    </row>
    <row r="758" spans="1:21">
      <c r="A758" s="270" t="s">
        <v>11837</v>
      </c>
      <c r="B758" s="3305">
        <v>6361</v>
      </c>
      <c r="C758" s="4834">
        <f t="shared" si="46"/>
        <v>3.2038102078146466E-4</v>
      </c>
      <c r="D758" s="3" t="str">
        <f t="shared" si="47"/>
        <v>2014</v>
      </c>
      <c r="J758" s="270" t="s">
        <v>11841</v>
      </c>
      <c r="K758" s="4837">
        <v>37680.674978431998</v>
      </c>
      <c r="L758" s="4834">
        <f t="shared" si="49"/>
        <v>3.1031830390088378E-5</v>
      </c>
      <c r="S758" s="270" t="s">
        <v>11837</v>
      </c>
      <c r="T758" s="4838">
        <v>507.01727338726323</v>
      </c>
      <c r="U758" s="4839">
        <f t="shared" si="48"/>
        <v>1.6732430774757741E-3</v>
      </c>
    </row>
    <row r="759" spans="1:21">
      <c r="A759" s="270" t="s">
        <v>11838</v>
      </c>
      <c r="B759" s="3305">
        <v>6332</v>
      </c>
      <c r="C759" s="4834">
        <f t="shared" si="46"/>
        <v>3.1888316304606786E-4</v>
      </c>
      <c r="D759" s="3" t="str">
        <f t="shared" si="47"/>
        <v>2014</v>
      </c>
      <c r="J759" s="270" t="s">
        <v>11842</v>
      </c>
      <c r="K759" s="4837">
        <v>38580.89588235358</v>
      </c>
      <c r="L759" s="4834">
        <f t="shared" si="49"/>
        <v>3.4863144068042281E-5</v>
      </c>
      <c r="S759" s="270" t="s">
        <v>11838</v>
      </c>
      <c r="T759" s="4838">
        <v>514.41194509804768</v>
      </c>
      <c r="U759" s="4839">
        <f t="shared" si="48"/>
        <v>1.7288794896497311E-3</v>
      </c>
    </row>
    <row r="760" spans="1:21">
      <c r="A760" s="270" t="s">
        <v>11839</v>
      </c>
      <c r="B760" s="3305">
        <v>6330</v>
      </c>
      <c r="C760" s="4834">
        <f t="shared" si="46"/>
        <v>3.1877352359856382E-4</v>
      </c>
      <c r="D760" s="3" t="str">
        <f t="shared" si="47"/>
        <v>2014</v>
      </c>
      <c r="J760" s="270" t="s">
        <v>11843</v>
      </c>
      <c r="K760" s="4837">
        <v>38910.441034682015</v>
      </c>
      <c r="L760" s="4834">
        <f t="shared" si="49"/>
        <v>3.6251337556430259E-5</v>
      </c>
      <c r="S760" s="270" t="s">
        <v>11839</v>
      </c>
      <c r="T760" s="4838">
        <v>507.66028831863576</v>
      </c>
      <c r="U760" s="4839">
        <f t="shared" si="48"/>
        <v>1.6781290871359111E-3</v>
      </c>
    </row>
    <row r="761" spans="1:21">
      <c r="A761" s="270" t="s">
        <v>11840</v>
      </c>
      <c r="B761" s="3305">
        <v>6359</v>
      </c>
      <c r="C761" s="4834">
        <f t="shared" si="46"/>
        <v>3.2028326798820951E-4</v>
      </c>
      <c r="D761" s="3" t="str">
        <f t="shared" si="47"/>
        <v>2014</v>
      </c>
      <c r="J761" s="270" t="s">
        <v>11844</v>
      </c>
      <c r="K761" s="4837">
        <v>38918.478721324173</v>
      </c>
      <c r="L761" s="4834">
        <f t="shared" si="49"/>
        <v>3.6285010193386468E-5</v>
      </c>
      <c r="S761" s="270" t="s">
        <v>11840</v>
      </c>
      <c r="T761" s="4838">
        <v>513.44742270098891</v>
      </c>
      <c r="U761" s="4839">
        <f t="shared" si="48"/>
        <v>1.7216947912086188E-3</v>
      </c>
    </row>
    <row r="762" spans="1:21">
      <c r="A762" s="270" t="s">
        <v>11841</v>
      </c>
      <c r="B762" s="3305">
        <v>6309</v>
      </c>
      <c r="C762" s="4834">
        <f t="shared" si="46"/>
        <v>3.1757337672503954E-4</v>
      </c>
      <c r="D762" s="3" t="str">
        <f t="shared" si="47"/>
        <v>2015</v>
      </c>
      <c r="J762" s="270" t="s">
        <v>11845</v>
      </c>
      <c r="K762" s="4837">
        <v>39079.232454167308</v>
      </c>
      <c r="L762" s="4834">
        <f t="shared" si="49"/>
        <v>3.6956233506853986E-5</v>
      </c>
      <c r="S762" s="270" t="s">
        <v>11841</v>
      </c>
      <c r="T762" s="4838">
        <v>505.08822859314563</v>
      </c>
      <c r="U762" s="4839">
        <f t="shared" si="48"/>
        <v>1.6585347111438514E-3</v>
      </c>
    </row>
    <row r="763" spans="1:21">
      <c r="A763" s="270" t="s">
        <v>11842</v>
      </c>
      <c r="B763" s="3305">
        <v>6216</v>
      </c>
      <c r="C763" s="4834">
        <f t="shared" si="46"/>
        <v>3.1120919260182968E-4</v>
      </c>
      <c r="D763" s="3" t="str">
        <f t="shared" si="47"/>
        <v>2015</v>
      </c>
      <c r="J763" s="270" t="s">
        <v>11846</v>
      </c>
      <c r="K763" s="4837">
        <v>39151.571633946725</v>
      </c>
      <c r="L763" s="4834">
        <f t="shared" si="49"/>
        <v>3.7256785665337608E-5</v>
      </c>
      <c r="S763" s="270" t="s">
        <v>11842</v>
      </c>
      <c r="T763" s="4838">
        <v>510.55385550981237</v>
      </c>
      <c r="U763" s="4839">
        <f t="shared" si="48"/>
        <v>1.7000067659005739E-3</v>
      </c>
    </row>
    <row r="764" spans="1:21">
      <c r="A764" s="270" t="s">
        <v>11843</v>
      </c>
      <c r="B764" s="3305">
        <v>6191</v>
      </c>
      <c r="C764" s="4834">
        <f t="shared" si="46"/>
        <v>3.0921560374188396E-4</v>
      </c>
      <c r="D764" s="3" t="str">
        <f t="shared" si="47"/>
        <v>2015</v>
      </c>
      <c r="J764" s="270" t="s">
        <v>11847</v>
      </c>
      <c r="K764" s="4837">
        <v>39432.890666422216</v>
      </c>
      <c r="L764" s="4834">
        <f t="shared" si="49"/>
        <v>3.8415327718799611E-5</v>
      </c>
      <c r="S764" s="270" t="s">
        <v>11843</v>
      </c>
      <c r="T764" s="4838">
        <v>523.73566160294979</v>
      </c>
      <c r="U764" s="4839">
        <f t="shared" si="48"/>
        <v>1.7970549268485419E-3</v>
      </c>
    </row>
    <row r="765" spans="1:21">
      <c r="A765" s="270" t="s">
        <v>11844</v>
      </c>
      <c r="B765" s="3305">
        <v>6170</v>
      </c>
      <c r="C765" s="4834">
        <f t="shared" si="46"/>
        <v>3.0745170558792926E-4</v>
      </c>
      <c r="D765" s="3" t="str">
        <f t="shared" si="47"/>
        <v>2015</v>
      </c>
      <c r="J765" s="270" t="s">
        <v>11848</v>
      </c>
      <c r="K765" s="4837">
        <v>39593.644399265359</v>
      </c>
      <c r="L765" s="4834">
        <f t="shared" si="49"/>
        <v>3.9068984745116809E-5</v>
      </c>
      <c r="S765" s="270" t="s">
        <v>11844</v>
      </c>
      <c r="T765" s="4838">
        <v>525.02169146569486</v>
      </c>
      <c r="U765" s="4839">
        <f t="shared" si="48"/>
        <v>1.8062611391763458E-3</v>
      </c>
    </row>
    <row r="766" spans="1:21">
      <c r="A766" s="270" t="s">
        <v>11845</v>
      </c>
      <c r="B766" s="3305">
        <v>6230.5</v>
      </c>
      <c r="C766" s="4834">
        <f t="shared" si="46"/>
        <v>3.1231164217971041E-4</v>
      </c>
      <c r="D766" s="3" t="str">
        <f t="shared" si="47"/>
        <v>2015</v>
      </c>
      <c r="J766" s="270" t="s">
        <v>11849</v>
      </c>
      <c r="K766" s="4837">
        <v>39706.172012255556</v>
      </c>
      <c r="L766" s="4834">
        <f t="shared" si="49"/>
        <v>3.952244099206784E-5</v>
      </c>
      <c r="S766" s="270" t="s">
        <v>11845</v>
      </c>
      <c r="T766" s="4838">
        <v>526.30772132844004</v>
      </c>
      <c r="U766" s="4839">
        <f t="shared" si="48"/>
        <v>1.8154156174470489E-3</v>
      </c>
    </row>
    <row r="767" spans="1:21">
      <c r="A767" s="270" t="s">
        <v>11846</v>
      </c>
      <c r="B767" s="3305">
        <v>6151</v>
      </c>
      <c r="C767" s="4834">
        <f t="shared" si="46"/>
        <v>3.0578688355449964E-4</v>
      </c>
      <c r="D767" s="3" t="str">
        <f t="shared" si="47"/>
        <v>2015</v>
      </c>
      <c r="J767" s="270" t="s">
        <v>11850</v>
      </c>
      <c r="K767" s="4837">
        <v>40477.789929902625</v>
      </c>
      <c r="L767" s="4834">
        <f t="shared" si="49"/>
        <v>4.2520529283374107E-5</v>
      </c>
      <c r="S767" s="270" t="s">
        <v>11846</v>
      </c>
      <c r="T767" s="4838">
        <v>522.12812427451843</v>
      </c>
      <c r="U767" s="4839">
        <f t="shared" si="48"/>
        <v>1.7854763363817786E-3</v>
      </c>
    </row>
    <row r="768" spans="1:21">
      <c r="A768" s="270" t="s">
        <v>11847</v>
      </c>
      <c r="B768" s="3305">
        <v>6131</v>
      </c>
      <c r="C768" s="4834">
        <f t="shared" si="46"/>
        <v>3.0396502385603228E-4</v>
      </c>
      <c r="D768" s="3" t="str">
        <f t="shared" si="47"/>
        <v>2015</v>
      </c>
      <c r="J768" s="270" t="s">
        <v>11851</v>
      </c>
      <c r="K768" s="4837">
        <v>41072.57874142225</v>
      </c>
      <c r="L768" s="4834">
        <f t="shared" si="49"/>
        <v>4.4664907282500036E-5</v>
      </c>
      <c r="S768" s="270" t="s">
        <v>11847</v>
      </c>
      <c r="T768" s="4838">
        <v>531.13033331373424</v>
      </c>
      <c r="U768" s="4839">
        <f t="shared" si="48"/>
        <v>1.849262638934128E-3</v>
      </c>
    </row>
    <row r="769" spans="1:21">
      <c r="A769" s="270" t="s">
        <v>11848</v>
      </c>
      <c r="B769" s="3305">
        <v>5915</v>
      </c>
      <c r="C769" s="4834">
        <f t="shared" si="46"/>
        <v>2.8015927794174545E-4</v>
      </c>
      <c r="D769" s="3" t="str">
        <f t="shared" si="47"/>
        <v>2015</v>
      </c>
      <c r="J769" s="270" t="s">
        <v>11852</v>
      </c>
      <c r="K769" s="4837">
        <v>40952.013441789895</v>
      </c>
      <c r="L769" s="4834">
        <f t="shared" si="49"/>
        <v>4.424395237385723E-5</v>
      </c>
      <c r="S769" s="270" t="s">
        <v>11848</v>
      </c>
      <c r="T769" s="4838">
        <v>546.56269166667573</v>
      </c>
      <c r="U769" s="4839">
        <f t="shared" si="48"/>
        <v>1.9517985829047644E-3</v>
      </c>
    </row>
    <row r="770" spans="1:21">
      <c r="A770" s="270" t="s">
        <v>11849</v>
      </c>
      <c r="B770" s="3305">
        <v>5627</v>
      </c>
      <c r="C770" s="4834">
        <f t="shared" si="46"/>
        <v>2.3940732055170404E-4</v>
      </c>
      <c r="D770" s="3" t="str">
        <f t="shared" si="47"/>
        <v>2015</v>
      </c>
      <c r="J770" s="270" t="s">
        <v>11853</v>
      </c>
      <c r="K770" s="4837">
        <v>41434.274640319309</v>
      </c>
      <c r="L770" s="4834">
        <f t="shared" si="49"/>
        <v>4.5881384945788953E-5</v>
      </c>
      <c r="S770" s="270" t="s">
        <v>11849</v>
      </c>
      <c r="T770" s="4838">
        <v>534.98842290196956</v>
      </c>
      <c r="U770" s="4839">
        <f t="shared" si="48"/>
        <v>1.8757591788280833E-3</v>
      </c>
    </row>
    <row r="771" spans="1:21">
      <c r="A771" s="270" t="s">
        <v>11850</v>
      </c>
      <c r="B771" s="3305">
        <v>5719</v>
      </c>
      <c r="C771" s="4834">
        <f t="shared" si="46"/>
        <v>2.5325570467242981E-4</v>
      </c>
      <c r="D771" s="3" t="str">
        <f t="shared" si="47"/>
        <v>2015</v>
      </c>
      <c r="J771" s="270" t="s">
        <v>11854</v>
      </c>
      <c r="K771" s="4837">
        <v>41586.990686520294</v>
      </c>
      <c r="L771" s="4834">
        <f t="shared" si="49"/>
        <v>4.6372795090624452E-5</v>
      </c>
      <c r="S771" s="270" t="s">
        <v>11850</v>
      </c>
      <c r="T771" s="4838">
        <v>550.42078125491116</v>
      </c>
      <c r="U771" s="4839">
        <f t="shared" si="48"/>
        <v>1.9758855826659785E-3</v>
      </c>
    </row>
    <row r="772" spans="1:21">
      <c r="A772" s="270" t="s">
        <v>11851</v>
      </c>
      <c r="B772" s="3305">
        <v>5660</v>
      </c>
      <c r="C772" s="4834">
        <f t="shared" ref="C772:C835" si="50">_xlfn.NORM.DIST(B772,$F$4,$F$3,FALSE)</f>
        <v>2.4444416854296915E-4</v>
      </c>
      <c r="D772" s="3" t="str">
        <f t="shared" ref="D772:D835" si="51">LEFT(A772,4)</f>
        <v>2015</v>
      </c>
      <c r="J772" s="270" t="s">
        <v>11855</v>
      </c>
      <c r="K772" s="4837">
        <v>41659.329866299704</v>
      </c>
      <c r="L772" s="4834">
        <f t="shared" si="49"/>
        <v>4.6600716703854882E-5</v>
      </c>
      <c r="S772" s="270" t="s">
        <v>11851</v>
      </c>
      <c r="T772" s="4838">
        <v>543.99063194118548</v>
      </c>
      <c r="U772" s="4839">
        <f t="shared" ref="U772:U835" si="52">_xlfn.NORM.DIST(T772,$X$4,$X$3,FALSE)</f>
        <v>1.9353767164819039E-3</v>
      </c>
    </row>
    <row r="773" spans="1:21">
      <c r="A773" s="270" t="s">
        <v>11852</v>
      </c>
      <c r="B773" s="3305">
        <v>5671</v>
      </c>
      <c r="C773" s="4834">
        <f t="shared" si="50"/>
        <v>2.4610679258560327E-4</v>
      </c>
      <c r="D773" s="3" t="str">
        <f t="shared" si="51"/>
        <v>2015</v>
      </c>
      <c r="J773" s="270" t="s">
        <v>11856</v>
      </c>
      <c r="K773" s="4837">
        <v>41627.179119731081</v>
      </c>
      <c r="L773" s="4834">
        <f t="shared" ref="L773:L836" si="53">_xlfn.NORM.DIST(K773,$O$4,$O$3,FALSE)</f>
        <v>4.6499809616820413E-5</v>
      </c>
      <c r="S773" s="270" t="s">
        <v>11852</v>
      </c>
      <c r="T773" s="4838">
        <v>567.46067693628379</v>
      </c>
      <c r="U773" s="4839">
        <f t="shared" si="52"/>
        <v>2.0736789837983169E-3</v>
      </c>
    </row>
    <row r="774" spans="1:21">
      <c r="A774" s="270" t="s">
        <v>11853</v>
      </c>
      <c r="B774" s="3305">
        <v>5760.5</v>
      </c>
      <c r="C774" s="4834">
        <f t="shared" si="50"/>
        <v>2.5928203312100057E-4</v>
      </c>
      <c r="D774" s="3" t="str">
        <f t="shared" si="51"/>
        <v>2015</v>
      </c>
      <c r="J774" s="270" t="s">
        <v>11857</v>
      </c>
      <c r="K774" s="4837">
        <v>41193.144041054598</v>
      </c>
      <c r="L774" s="4834">
        <f t="shared" si="53"/>
        <v>4.507831881576161E-5</v>
      </c>
      <c r="S774" s="270" t="s">
        <v>11853</v>
      </c>
      <c r="T774" s="4838">
        <v>572.28328892157811</v>
      </c>
      <c r="U774" s="4839">
        <f t="shared" si="52"/>
        <v>2.0985778546043642E-3</v>
      </c>
    </row>
    <row r="775" spans="1:21">
      <c r="A775" s="270" t="s">
        <v>11854</v>
      </c>
      <c r="B775" s="3305">
        <v>5630.5</v>
      </c>
      <c r="C775" s="4834">
        <f t="shared" si="50"/>
        <v>2.3994484355609086E-4</v>
      </c>
      <c r="D775" s="3" t="str">
        <f t="shared" si="51"/>
        <v>2015</v>
      </c>
      <c r="J775" s="270" t="s">
        <v>11858</v>
      </c>
      <c r="K775" s="4837">
        <v>41426.236953677151</v>
      </c>
      <c r="L775" s="4834">
        <f t="shared" si="53"/>
        <v>4.5855143941537353E-5</v>
      </c>
      <c r="S775" s="270" t="s">
        <v>11854</v>
      </c>
      <c r="T775" s="4838">
        <v>585.78660248040183</v>
      </c>
      <c r="U775" s="4839">
        <f t="shared" si="52"/>
        <v>2.1610714814080697E-3</v>
      </c>
    </row>
    <row r="776" spans="1:21">
      <c r="A776" s="270" t="s">
        <v>11855</v>
      </c>
      <c r="B776" s="3305">
        <v>5742</v>
      </c>
      <c r="C776" s="4834">
        <f t="shared" si="50"/>
        <v>2.5661452930262637E-4</v>
      </c>
      <c r="D776" s="3" t="str">
        <f t="shared" si="51"/>
        <v>2015</v>
      </c>
      <c r="J776" s="270" t="s">
        <v>11859</v>
      </c>
      <c r="K776" s="4837">
        <v>41410.161580392836</v>
      </c>
      <c r="L776" s="4834">
        <f t="shared" si="53"/>
        <v>4.5802550514377797E-5</v>
      </c>
      <c r="S776" s="270" t="s">
        <v>11855</v>
      </c>
      <c r="T776" s="4838">
        <v>581.28549796079392</v>
      </c>
      <c r="U776" s="4839">
        <f t="shared" si="52"/>
        <v>2.1414647406130679E-3</v>
      </c>
    </row>
    <row r="777" spans="1:21">
      <c r="A777" s="270" t="s">
        <v>11856</v>
      </c>
      <c r="B777" s="3305">
        <v>5581</v>
      </c>
      <c r="C777" s="4834">
        <f t="shared" si="50"/>
        <v>2.3227702079340557E-4</v>
      </c>
      <c r="D777" s="3" t="str">
        <f t="shared" si="51"/>
        <v>2015</v>
      </c>
      <c r="J777" s="270" t="s">
        <v>11860</v>
      </c>
      <c r="K777" s="4837">
        <v>40791.259708946753</v>
      </c>
      <c r="L777" s="4834">
        <f t="shared" si="53"/>
        <v>4.3671439254878377E-5</v>
      </c>
      <c r="S777" s="270" t="s">
        <v>11856</v>
      </c>
      <c r="T777" s="4838">
        <v>586.10810994608812</v>
      </c>
      <c r="U777" s="4839">
        <f t="shared" si="52"/>
        <v>2.1624235944388017E-3</v>
      </c>
    </row>
    <row r="778" spans="1:21">
      <c r="A778" s="270" t="s">
        <v>11857</v>
      </c>
      <c r="B778" s="3305">
        <v>5490</v>
      </c>
      <c r="C778" s="4834">
        <f t="shared" si="50"/>
        <v>2.1788232488212381E-4</v>
      </c>
      <c r="D778" s="3" t="str">
        <f t="shared" si="51"/>
        <v>2015</v>
      </c>
      <c r="J778" s="270" t="s">
        <v>11861</v>
      </c>
      <c r="K778" s="4837">
        <v>40517.978363113412</v>
      </c>
      <c r="L778" s="4834">
        <f t="shared" si="53"/>
        <v>4.2670498793391223E-5</v>
      </c>
      <c r="S778" s="270" t="s">
        <v>11857</v>
      </c>
      <c r="T778" s="4838">
        <v>573.24781131863688</v>
      </c>
      <c r="U778" s="4839">
        <f t="shared" si="52"/>
        <v>2.1034000238350494E-3</v>
      </c>
    </row>
    <row r="779" spans="1:21">
      <c r="A779" s="270" t="s">
        <v>11858</v>
      </c>
      <c r="B779" s="3305">
        <v>5557</v>
      </c>
      <c r="C779" s="4834">
        <f t="shared" si="50"/>
        <v>2.2851338653508786E-4</v>
      </c>
      <c r="D779" s="3" t="str">
        <f t="shared" si="51"/>
        <v>2015</v>
      </c>
      <c r="J779" s="270" t="s">
        <v>11862</v>
      </c>
      <c r="K779" s="4837">
        <v>40911.825008579108</v>
      </c>
      <c r="L779" s="4834">
        <f t="shared" si="53"/>
        <v>4.4102007062943619E-5</v>
      </c>
      <c r="S779" s="270" t="s">
        <v>11858</v>
      </c>
      <c r="T779" s="4838">
        <v>574.53384118138206</v>
      </c>
      <c r="U779" s="4839">
        <f t="shared" si="52"/>
        <v>2.109746259286244E-3</v>
      </c>
    </row>
    <row r="780" spans="1:21">
      <c r="A780" s="270" t="s">
        <v>11859</v>
      </c>
      <c r="B780" s="3305">
        <v>5485.5</v>
      </c>
      <c r="C780" s="4834">
        <f t="shared" si="50"/>
        <v>2.1716296036352101E-4</v>
      </c>
      <c r="D780" s="3" t="str">
        <f t="shared" si="51"/>
        <v>2015</v>
      </c>
      <c r="J780" s="270" t="s">
        <v>11863</v>
      </c>
      <c r="K780" s="4837">
        <v>40646.581349387925</v>
      </c>
      <c r="L780" s="4834">
        <f t="shared" si="53"/>
        <v>4.3145711974348321E-5</v>
      </c>
      <c r="S780" s="270" t="s">
        <v>11859</v>
      </c>
      <c r="T780" s="4838">
        <v>579.03494570098997</v>
      </c>
      <c r="U780" s="4839">
        <f t="shared" si="52"/>
        <v>2.1311947947266099E-3</v>
      </c>
    </row>
    <row r="781" spans="1:21">
      <c r="A781" s="270" t="s">
        <v>11860</v>
      </c>
      <c r="B781" s="3305">
        <v>5390.5</v>
      </c>
      <c r="C781" s="4834">
        <f t="shared" si="50"/>
        <v>2.018806248967861E-4</v>
      </c>
      <c r="D781" s="3" t="str">
        <f t="shared" si="51"/>
        <v>2015</v>
      </c>
      <c r="J781" s="270" t="s">
        <v>11864</v>
      </c>
      <c r="K781" s="4837">
        <v>40783.222022304595</v>
      </c>
      <c r="L781" s="4834">
        <f t="shared" si="53"/>
        <v>4.3642487167179447E-5</v>
      </c>
      <c r="S781" s="270" t="s">
        <v>11860</v>
      </c>
      <c r="T781" s="4838">
        <v>560.38751269118575</v>
      </c>
      <c r="U781" s="4839">
        <f t="shared" si="52"/>
        <v>2.0348723479946939E-3</v>
      </c>
    </row>
    <row r="782" spans="1:21">
      <c r="A782" s="270" t="s">
        <v>11861</v>
      </c>
      <c r="B782" s="3305">
        <v>5505</v>
      </c>
      <c r="C782" s="4834">
        <f t="shared" si="50"/>
        <v>2.202759526011892E-4</v>
      </c>
      <c r="D782" s="3" t="str">
        <f t="shared" si="51"/>
        <v>2015</v>
      </c>
      <c r="J782" s="270" t="s">
        <v>11865</v>
      </c>
      <c r="K782" s="4837">
        <v>40485.827616544782</v>
      </c>
      <c r="L782" s="4834">
        <f t="shared" si="53"/>
        <v>4.255057784409897E-5</v>
      </c>
      <c r="S782" s="270" t="s">
        <v>11861</v>
      </c>
      <c r="T782" s="4838">
        <v>543.99063194118548</v>
      </c>
      <c r="U782" s="4839">
        <f t="shared" si="52"/>
        <v>1.9353767164819039E-3</v>
      </c>
    </row>
    <row r="783" spans="1:21">
      <c r="A783" s="270" t="s">
        <v>11862</v>
      </c>
      <c r="B783" s="3305">
        <v>5535.5</v>
      </c>
      <c r="C783" s="4834">
        <f t="shared" si="50"/>
        <v>2.2512008773975097E-4</v>
      </c>
      <c r="D783" s="3" t="str">
        <f t="shared" si="51"/>
        <v>2015</v>
      </c>
      <c r="J783" s="270" t="s">
        <v>11866</v>
      </c>
      <c r="K783" s="4837">
        <v>39899.076491667322</v>
      </c>
      <c r="L783" s="4834">
        <f t="shared" si="53"/>
        <v>4.029115084546734E-5</v>
      </c>
      <c r="S783" s="270" t="s">
        <v>11862</v>
      </c>
      <c r="T783" s="4838">
        <v>553.63585591177377</v>
      </c>
      <c r="U783" s="4839">
        <f t="shared" si="52"/>
        <v>1.9954375389899916E-3</v>
      </c>
    </row>
    <row r="784" spans="1:21">
      <c r="A784" s="270" t="s">
        <v>11863</v>
      </c>
      <c r="B784" s="3305">
        <v>5695</v>
      </c>
      <c r="C784" s="4834">
        <f t="shared" si="50"/>
        <v>2.4970366787146391E-4</v>
      </c>
      <c r="D784" s="3" t="str">
        <f t="shared" si="51"/>
        <v>2015</v>
      </c>
      <c r="J784" s="270" t="s">
        <v>11867</v>
      </c>
      <c r="K784" s="4837">
        <v>39818.699625245754</v>
      </c>
      <c r="L784" s="4834">
        <f t="shared" si="53"/>
        <v>3.9972239927141837E-5</v>
      </c>
      <c r="S784" s="270" t="s">
        <v>11863</v>
      </c>
      <c r="T784" s="4838">
        <v>565.53163214216613</v>
      </c>
      <c r="U784" s="4839">
        <f t="shared" si="52"/>
        <v>2.0633597229444715E-3</v>
      </c>
    </row>
    <row r="785" spans="1:21">
      <c r="A785" s="270" t="s">
        <v>11864</v>
      </c>
      <c r="B785" s="3305">
        <v>5708</v>
      </c>
      <c r="C785" s="4834">
        <f t="shared" si="50"/>
        <v>2.5163346998701282E-4</v>
      </c>
      <c r="D785" s="3" t="str">
        <f t="shared" si="51"/>
        <v>2015</v>
      </c>
      <c r="J785" s="270" t="s">
        <v>11868</v>
      </c>
      <c r="K785" s="4837">
        <v>39690.096638971241</v>
      </c>
      <c r="L785" s="4834">
        <f t="shared" si="53"/>
        <v>3.9457879769630748E-5</v>
      </c>
      <c r="S785" s="270" t="s">
        <v>11864</v>
      </c>
      <c r="T785" s="4838">
        <v>559.10148282844068</v>
      </c>
      <c r="U785" s="4839">
        <f t="shared" si="52"/>
        <v>2.0275360291307234E-3</v>
      </c>
    </row>
    <row r="786" spans="1:21">
      <c r="A786" s="270" t="s">
        <v>11865</v>
      </c>
      <c r="B786" s="3305">
        <v>5595</v>
      </c>
      <c r="C786" s="4834">
        <f t="shared" si="50"/>
        <v>2.3445939484442841E-4</v>
      </c>
      <c r="D786" s="3" t="str">
        <f t="shared" si="51"/>
        <v>2015</v>
      </c>
      <c r="J786" s="270" t="s">
        <v>11869</v>
      </c>
      <c r="K786" s="4837">
        <v>39344.476113358491</v>
      </c>
      <c r="L786" s="4834">
        <f t="shared" si="53"/>
        <v>3.8053102546710059E-5</v>
      </c>
      <c r="S786" s="270" t="s">
        <v>11865</v>
      </c>
      <c r="T786" s="4838">
        <v>546.56269166667573</v>
      </c>
      <c r="U786" s="4839">
        <f t="shared" si="52"/>
        <v>1.9517985829047644E-3</v>
      </c>
    </row>
    <row r="787" spans="1:21">
      <c r="A787" s="270" t="s">
        <v>11866</v>
      </c>
      <c r="B787" s="3305">
        <v>5692</v>
      </c>
      <c r="C787" s="4834">
        <f t="shared" si="50"/>
        <v>2.4925644101701403E-4</v>
      </c>
      <c r="D787" s="3" t="str">
        <f t="shared" si="51"/>
        <v>2015</v>
      </c>
      <c r="J787" s="270" t="s">
        <v>11870</v>
      </c>
      <c r="K787" s="4837">
        <v>39304.28768014771</v>
      </c>
      <c r="L787" s="4834">
        <f t="shared" si="53"/>
        <v>3.7887860369580266E-5</v>
      </c>
      <c r="S787" s="270" t="s">
        <v>11866</v>
      </c>
      <c r="T787" s="4838">
        <v>553.63585591177377</v>
      </c>
      <c r="U787" s="4839">
        <f t="shared" si="52"/>
        <v>1.9954375389899916E-3</v>
      </c>
    </row>
    <row r="788" spans="1:21">
      <c r="A788" s="270" t="s">
        <v>11867</v>
      </c>
      <c r="B788" s="3305">
        <v>5666</v>
      </c>
      <c r="C788" s="4834">
        <f t="shared" si="50"/>
        <v>2.4535211409400725E-4</v>
      </c>
      <c r="D788" s="3" t="str">
        <f t="shared" si="51"/>
        <v>2015</v>
      </c>
      <c r="J788" s="270" t="s">
        <v>11871</v>
      </c>
      <c r="K788" s="4837">
        <v>39625.795145833988</v>
      </c>
      <c r="L788" s="4834">
        <f t="shared" si="53"/>
        <v>3.9198902681882048E-5</v>
      </c>
      <c r="S788" s="270" t="s">
        <v>11867</v>
      </c>
      <c r="T788" s="4838">
        <v>545.59816926961685</v>
      </c>
      <c r="U788" s="4839">
        <f t="shared" si="52"/>
        <v>1.9456737993403825E-3</v>
      </c>
    </row>
    <row r="789" spans="1:21">
      <c r="A789" s="270" t="s">
        <v>11868</v>
      </c>
      <c r="B789" s="3305">
        <v>5591</v>
      </c>
      <c r="C789" s="4834">
        <f t="shared" si="50"/>
        <v>2.3383689770821304E-4</v>
      </c>
      <c r="D789" s="3" t="str">
        <f t="shared" si="51"/>
        <v>2015</v>
      </c>
      <c r="J789" s="270" t="s">
        <v>11872</v>
      </c>
      <c r="K789" s="4837">
        <v>39521.305219485948</v>
      </c>
      <c r="L789" s="4834">
        <f t="shared" si="53"/>
        <v>3.8775659004313082E-5</v>
      </c>
      <c r="S789" s="270" t="s">
        <v>11868</v>
      </c>
      <c r="T789" s="4838">
        <v>540.13254235295017</v>
      </c>
      <c r="U789" s="4839">
        <f t="shared" si="52"/>
        <v>1.9102220190335393E-3</v>
      </c>
    </row>
    <row r="790" spans="1:21">
      <c r="A790" s="270" t="s">
        <v>11869</v>
      </c>
      <c r="B790" s="3305">
        <v>5645.5</v>
      </c>
      <c r="C790" s="4834">
        <f t="shared" si="50"/>
        <v>2.4223977668815847E-4</v>
      </c>
      <c r="D790" s="3" t="str">
        <f t="shared" si="51"/>
        <v>2015</v>
      </c>
      <c r="J790" s="270" t="s">
        <v>11873</v>
      </c>
      <c r="K790" s="4837">
        <v>38886.327974755543</v>
      </c>
      <c r="L790" s="4834">
        <f t="shared" si="53"/>
        <v>3.6150260083717974E-5</v>
      </c>
      <c r="S790" s="270" t="s">
        <v>11869</v>
      </c>
      <c r="T790" s="4838">
        <v>544.95515433824426</v>
      </c>
      <c r="U790" s="4839">
        <f t="shared" si="52"/>
        <v>1.9415682393493046E-3</v>
      </c>
    </row>
    <row r="791" spans="1:21">
      <c r="A791" s="270" t="s">
        <v>11870</v>
      </c>
      <c r="B791" s="3305">
        <v>5695</v>
      </c>
      <c r="C791" s="4834">
        <f t="shared" si="50"/>
        <v>2.4970366787146391E-4</v>
      </c>
      <c r="D791" s="3" t="str">
        <f t="shared" si="51"/>
        <v>2015</v>
      </c>
      <c r="J791" s="270" t="s">
        <v>11874</v>
      </c>
      <c r="K791" s="4837">
        <v>38773.800361765345</v>
      </c>
      <c r="L791" s="4834">
        <f t="shared" si="53"/>
        <v>3.567744511528473E-5</v>
      </c>
      <c r="S791" s="270" t="s">
        <v>11870</v>
      </c>
      <c r="T791" s="4838">
        <v>543.02610954412671</v>
      </c>
      <c r="U791" s="4839">
        <f t="shared" si="52"/>
        <v>1.9291458240787342E-3</v>
      </c>
    </row>
    <row r="792" spans="1:21">
      <c r="A792" s="270" t="s">
        <v>11871</v>
      </c>
      <c r="B792" s="3305">
        <v>5731</v>
      </c>
      <c r="C792" s="4834">
        <f t="shared" si="50"/>
        <v>2.5501384944378203E-4</v>
      </c>
      <c r="D792" s="3" t="str">
        <f t="shared" si="51"/>
        <v>2015</v>
      </c>
      <c r="J792" s="270" t="s">
        <v>11875</v>
      </c>
      <c r="K792" s="4837">
        <v>38886.327974755543</v>
      </c>
      <c r="L792" s="4834">
        <f t="shared" si="53"/>
        <v>3.6150260083717974E-5</v>
      </c>
      <c r="S792" s="270" t="s">
        <v>11871</v>
      </c>
      <c r="T792" s="4838">
        <v>542.06158714706771</v>
      </c>
      <c r="U792" s="4839">
        <f t="shared" si="52"/>
        <v>1.92287607012287E-3</v>
      </c>
    </row>
    <row r="793" spans="1:21">
      <c r="A793" s="270" t="s">
        <v>11872</v>
      </c>
      <c r="B793" s="3305">
        <v>5712</v>
      </c>
      <c r="C793" s="4834">
        <f t="shared" si="50"/>
        <v>2.5222452513204565E-4</v>
      </c>
      <c r="D793" s="3" t="str">
        <f t="shared" si="51"/>
        <v>2015</v>
      </c>
      <c r="J793" s="270" t="s">
        <v>11876</v>
      </c>
      <c r="K793" s="4837">
        <v>38846.139541544755</v>
      </c>
      <c r="L793" s="4834">
        <f t="shared" si="53"/>
        <v>3.5981604240192346E-5</v>
      </c>
      <c r="S793" s="270" t="s">
        <v>11872</v>
      </c>
      <c r="T793" s="4838">
        <v>555.24339324020525</v>
      </c>
      <c r="U793" s="4839">
        <f t="shared" si="52"/>
        <v>2.0050299411867581E-3</v>
      </c>
    </row>
    <row r="794" spans="1:21">
      <c r="A794" s="270" t="s">
        <v>11873</v>
      </c>
      <c r="B794" s="3305">
        <v>5665.5</v>
      </c>
      <c r="C794" s="4834">
        <f t="shared" si="50"/>
        <v>2.4527654848636744E-4</v>
      </c>
      <c r="D794" s="3" t="str">
        <f t="shared" si="51"/>
        <v>2015</v>
      </c>
      <c r="J794" s="270" t="s">
        <v>11877</v>
      </c>
      <c r="K794" s="4837">
        <v>38725.574241912407</v>
      </c>
      <c r="L794" s="4834">
        <f t="shared" si="53"/>
        <v>3.5474284678010229E-5</v>
      </c>
      <c r="S794" s="270" t="s">
        <v>11873</v>
      </c>
      <c r="T794" s="4838">
        <v>540.77555728432264</v>
      </c>
      <c r="U794" s="4839">
        <f t="shared" si="52"/>
        <v>1.914456828465761E-3</v>
      </c>
    </row>
    <row r="795" spans="1:21">
      <c r="A795" s="270" t="s">
        <v>11874</v>
      </c>
      <c r="B795" s="3305">
        <v>5690</v>
      </c>
      <c r="C795" s="4834">
        <f t="shared" si="50"/>
        <v>2.4895790382674105E-4</v>
      </c>
      <c r="D795" s="3" t="str">
        <f t="shared" si="51"/>
        <v>2015</v>
      </c>
      <c r="J795" s="270" t="s">
        <v>11878</v>
      </c>
      <c r="K795" s="4837">
        <v>38339.765283088869</v>
      </c>
      <c r="L795" s="4834">
        <f t="shared" si="53"/>
        <v>3.3840133483127283E-5</v>
      </c>
      <c r="S795" s="270" t="s">
        <v>11874</v>
      </c>
      <c r="T795" s="4838">
        <v>527.91525865687152</v>
      </c>
      <c r="U795" s="4839">
        <f t="shared" si="52"/>
        <v>1.8267840417939066E-3</v>
      </c>
    </row>
    <row r="796" spans="1:21">
      <c r="A796" s="270" t="s">
        <v>11875</v>
      </c>
      <c r="B796" s="3305">
        <v>5720</v>
      </c>
      <c r="C796" s="4834">
        <f t="shared" si="50"/>
        <v>2.5340268307997524E-4</v>
      </c>
      <c r="D796" s="3" t="str">
        <f t="shared" si="51"/>
        <v>2015</v>
      </c>
      <c r="J796" s="270" t="s">
        <v>11879</v>
      </c>
      <c r="K796" s="4837">
        <v>38733.611928554557</v>
      </c>
      <c r="L796" s="4834">
        <f t="shared" si="53"/>
        <v>3.550816529621406E-5</v>
      </c>
      <c r="S796" s="270" t="s">
        <v>11875</v>
      </c>
      <c r="T796" s="4838">
        <v>537.88199009314621</v>
      </c>
      <c r="U796" s="4839">
        <f t="shared" si="52"/>
        <v>1.8952705457351237E-3</v>
      </c>
    </row>
    <row r="797" spans="1:21">
      <c r="A797" s="270" t="s">
        <v>11876</v>
      </c>
      <c r="B797" s="3305">
        <v>5707</v>
      </c>
      <c r="C797" s="4834">
        <f t="shared" si="50"/>
        <v>2.5148550300461113E-4</v>
      </c>
      <c r="D797" s="3" t="str">
        <f t="shared" si="51"/>
        <v>2015</v>
      </c>
      <c r="J797" s="270" t="s">
        <v>11880</v>
      </c>
      <c r="K797" s="4837">
        <v>38846.139541544755</v>
      </c>
      <c r="L797" s="4834">
        <f t="shared" si="53"/>
        <v>3.5981604240192346E-5</v>
      </c>
      <c r="S797" s="270" t="s">
        <v>11876</v>
      </c>
      <c r="T797" s="4838">
        <v>525.34319893138127</v>
      </c>
      <c r="U797" s="4839">
        <f t="shared" si="52"/>
        <v>1.8085546581486016E-3</v>
      </c>
    </row>
    <row r="798" spans="1:21">
      <c r="A798" s="270" t="s">
        <v>11877</v>
      </c>
      <c r="B798" s="3305">
        <v>5657</v>
      </c>
      <c r="C798" s="4834">
        <f t="shared" si="50"/>
        <v>2.4398925748308719E-4</v>
      </c>
      <c r="D798" s="3" t="str">
        <f t="shared" si="51"/>
        <v>2015</v>
      </c>
      <c r="J798" s="270" t="s">
        <v>11881</v>
      </c>
      <c r="K798" s="4837">
        <v>39031.00633431437</v>
      </c>
      <c r="L798" s="4834">
        <f t="shared" si="53"/>
        <v>3.6755330534064979E-5</v>
      </c>
      <c r="S798" s="270" t="s">
        <v>11877</v>
      </c>
      <c r="T798" s="4838">
        <v>520.84209441177336</v>
      </c>
      <c r="U798" s="4839">
        <f t="shared" si="52"/>
        <v>1.7761583469600207E-3</v>
      </c>
    </row>
    <row r="799" spans="1:21">
      <c r="A799" s="270" t="s">
        <v>11878</v>
      </c>
      <c r="B799" s="3305">
        <v>5715</v>
      </c>
      <c r="C799" s="4834">
        <f t="shared" si="50"/>
        <v>2.5266695620410057E-4</v>
      </c>
      <c r="D799" s="3" t="str">
        <f t="shared" si="51"/>
        <v>2015</v>
      </c>
      <c r="J799" s="270" t="s">
        <v>11882</v>
      </c>
      <c r="K799" s="4837">
        <v>38982.780214461425</v>
      </c>
      <c r="L799" s="4834">
        <f t="shared" si="53"/>
        <v>3.6554021528793623E-5</v>
      </c>
      <c r="S799" s="270" t="s">
        <v>11878</v>
      </c>
      <c r="T799" s="4838">
        <v>524.70018400000856</v>
      </c>
      <c r="U799" s="4839">
        <f t="shared" si="52"/>
        <v>1.8039643868155882E-3</v>
      </c>
    </row>
    <row r="800" spans="1:21">
      <c r="A800" s="270" t="s">
        <v>11879</v>
      </c>
      <c r="B800" s="3305">
        <v>5805</v>
      </c>
      <c r="C800" s="4834">
        <f t="shared" si="50"/>
        <v>2.6556394420453131E-4</v>
      </c>
      <c r="D800" s="3" t="str">
        <f t="shared" si="51"/>
        <v>2015</v>
      </c>
      <c r="J800" s="270" t="s">
        <v>11883</v>
      </c>
      <c r="K800" s="4837">
        <v>38990.817901103583</v>
      </c>
      <c r="L800" s="4834">
        <f t="shared" si="53"/>
        <v>3.6587600432977115E-5</v>
      </c>
      <c r="S800" s="270" t="s">
        <v>11879</v>
      </c>
      <c r="T800" s="4838">
        <v>530.80882584804806</v>
      </c>
      <c r="U800" s="4839">
        <f t="shared" si="52"/>
        <v>1.8470306862203123E-3</v>
      </c>
    </row>
    <row r="801" spans="1:21">
      <c r="A801" s="270" t="s">
        <v>11880</v>
      </c>
      <c r="B801" s="3305">
        <v>5935.5</v>
      </c>
      <c r="C801" s="4834">
        <f t="shared" si="50"/>
        <v>2.8271412245774299E-4</v>
      </c>
      <c r="D801" s="3" t="str">
        <f t="shared" si="51"/>
        <v>2015</v>
      </c>
      <c r="J801" s="270" t="s">
        <v>11884</v>
      </c>
      <c r="K801" s="4837">
        <v>38564.820509069265</v>
      </c>
      <c r="L801" s="4834">
        <f t="shared" si="53"/>
        <v>3.4795100541222091E-5</v>
      </c>
      <c r="S801" s="270" t="s">
        <v>11880</v>
      </c>
      <c r="T801" s="4838">
        <v>540.77555728432264</v>
      </c>
      <c r="U801" s="4839">
        <f t="shared" si="52"/>
        <v>1.914456828465761E-3</v>
      </c>
    </row>
    <row r="802" spans="1:21">
      <c r="A802" s="270" t="s">
        <v>11881</v>
      </c>
      <c r="B802" s="3305">
        <v>5880.5</v>
      </c>
      <c r="C802" s="4834">
        <f t="shared" si="50"/>
        <v>2.7573696989139398E-4</v>
      </c>
      <c r="D802" s="3" t="str">
        <f t="shared" si="51"/>
        <v>2015</v>
      </c>
      <c r="J802" s="270" t="s">
        <v>11885</v>
      </c>
      <c r="K802" s="4837">
        <v>38645.197375490832</v>
      </c>
      <c r="L802" s="4834">
        <f t="shared" si="53"/>
        <v>3.5135051365355384E-5</v>
      </c>
      <c r="S802" s="270" t="s">
        <v>11881</v>
      </c>
      <c r="T802" s="4838">
        <v>531.45184077942054</v>
      </c>
      <c r="U802" s="4839">
        <f t="shared" si="52"/>
        <v>1.8514909850128481E-3</v>
      </c>
    </row>
    <row r="803" spans="1:21">
      <c r="A803" s="270" t="s">
        <v>11882</v>
      </c>
      <c r="B803" s="3305">
        <v>5896</v>
      </c>
      <c r="C803" s="4834">
        <f t="shared" si="50"/>
        <v>2.7774240396163702E-4</v>
      </c>
      <c r="D803" s="3" t="str">
        <f t="shared" si="51"/>
        <v>2015</v>
      </c>
      <c r="J803" s="270" t="s">
        <v>11886</v>
      </c>
      <c r="K803" s="4837">
        <v>37801.240278064346</v>
      </c>
      <c r="L803" s="4834">
        <f t="shared" si="53"/>
        <v>3.1545571965096776E-5</v>
      </c>
      <c r="S803" s="270" t="s">
        <v>11882</v>
      </c>
      <c r="T803" s="4838">
        <v>534.66691543628326</v>
      </c>
      <c r="U803" s="4839">
        <f t="shared" si="52"/>
        <v>1.8735717915030889E-3</v>
      </c>
    </row>
    <row r="804" spans="1:21">
      <c r="A804" s="270" t="s">
        <v>11883</v>
      </c>
      <c r="B804" s="3305">
        <v>5855</v>
      </c>
      <c r="C804" s="4834">
        <f t="shared" si="50"/>
        <v>2.7237409139370795E-4</v>
      </c>
      <c r="D804" s="3" t="str">
        <f t="shared" si="51"/>
        <v>2015</v>
      </c>
      <c r="J804" s="270" t="s">
        <v>11887</v>
      </c>
      <c r="K804" s="4837">
        <v>37568.147365441793</v>
      </c>
      <c r="L804" s="4834">
        <f t="shared" si="53"/>
        <v>3.0552827726201384E-5</v>
      </c>
      <c r="S804" s="270" t="s">
        <v>11883</v>
      </c>
      <c r="T804" s="4838">
        <v>527.91525865687152</v>
      </c>
      <c r="U804" s="4839">
        <f t="shared" si="52"/>
        <v>1.8267840417939066E-3</v>
      </c>
    </row>
    <row r="805" spans="1:21">
      <c r="A805" s="270" t="s">
        <v>11884</v>
      </c>
      <c r="B805" s="3305">
        <v>5882</v>
      </c>
      <c r="C805" s="4834">
        <f t="shared" si="50"/>
        <v>2.7593234389538423E-4</v>
      </c>
      <c r="D805" s="3" t="str">
        <f t="shared" si="51"/>
        <v>2015</v>
      </c>
      <c r="J805" s="270" t="s">
        <v>11888</v>
      </c>
      <c r="K805" s="4837">
        <v>37359.167512745713</v>
      </c>
      <c r="L805" s="4834">
        <f t="shared" si="53"/>
        <v>2.9665213950813498E-5</v>
      </c>
      <c r="S805" s="270" t="s">
        <v>11884</v>
      </c>
      <c r="T805" s="4838">
        <v>524.70018400000856</v>
      </c>
      <c r="U805" s="4839">
        <f t="shared" si="52"/>
        <v>1.8039643868155882E-3</v>
      </c>
    </row>
    <row r="806" spans="1:21">
      <c r="A806" s="270" t="s">
        <v>11885</v>
      </c>
      <c r="B806" s="3305">
        <v>5856</v>
      </c>
      <c r="C806" s="4834">
        <f t="shared" si="50"/>
        <v>2.7250742167871675E-4</v>
      </c>
      <c r="D806" s="3" t="str">
        <f t="shared" si="51"/>
        <v>2015</v>
      </c>
      <c r="J806" s="270" t="s">
        <v>11889</v>
      </c>
      <c r="K806" s="4837">
        <v>36973.358553922175</v>
      </c>
      <c r="L806" s="4834">
        <f t="shared" si="53"/>
        <v>2.8036988274501355E-5</v>
      </c>
      <c r="S806" s="270" t="s">
        <v>11885</v>
      </c>
      <c r="T806" s="4838">
        <v>520.52058694608706</v>
      </c>
      <c r="U806" s="4839">
        <f t="shared" si="52"/>
        <v>1.7738213594760614E-3</v>
      </c>
    </row>
    <row r="807" spans="1:21">
      <c r="A807" s="270" t="s">
        <v>11886</v>
      </c>
      <c r="B807" s="3305">
        <v>5826.5</v>
      </c>
      <c r="C807" s="4834">
        <f t="shared" si="50"/>
        <v>2.6852610674775256E-4</v>
      </c>
      <c r="D807" s="3" t="str">
        <f t="shared" si="51"/>
        <v>2015</v>
      </c>
      <c r="J807" s="270" t="s">
        <v>11890</v>
      </c>
      <c r="K807" s="4837">
        <v>37045.697733701592</v>
      </c>
      <c r="L807" s="4834">
        <f t="shared" si="53"/>
        <v>2.8340982755107537E-5</v>
      </c>
      <c r="S807" s="270" t="s">
        <v>11886</v>
      </c>
      <c r="T807" s="4838">
        <v>514.09043763236139</v>
      </c>
      <c r="U807" s="4839">
        <f t="shared" si="52"/>
        <v>1.7264871431072325E-3</v>
      </c>
    </row>
    <row r="808" spans="1:21">
      <c r="A808" s="270" t="s">
        <v>11887</v>
      </c>
      <c r="B808" s="3305">
        <v>5800</v>
      </c>
      <c r="C808" s="4834">
        <f t="shared" si="50"/>
        <v>2.648680504189852E-4</v>
      </c>
      <c r="D808" s="3" t="str">
        <f t="shared" si="51"/>
        <v>2015</v>
      </c>
      <c r="J808" s="270" t="s">
        <v>11891</v>
      </c>
      <c r="K808" s="4837">
        <v>37037.660047059435</v>
      </c>
      <c r="L808" s="4834">
        <f t="shared" si="53"/>
        <v>2.8307172377031687E-5</v>
      </c>
      <c r="S808" s="270" t="s">
        <v>11887</v>
      </c>
      <c r="T808" s="4838">
        <v>511.83988537255743</v>
      </c>
      <c r="U808" s="4839">
        <f t="shared" si="52"/>
        <v>1.7096701611077486E-3</v>
      </c>
    </row>
    <row r="809" spans="1:21">
      <c r="A809" s="270" t="s">
        <v>11888</v>
      </c>
      <c r="B809" s="3305">
        <v>5783.5</v>
      </c>
      <c r="C809" s="4834">
        <f t="shared" si="50"/>
        <v>2.6255342009631093E-4</v>
      </c>
      <c r="D809" s="3" t="str">
        <f t="shared" si="51"/>
        <v>2015</v>
      </c>
      <c r="J809" s="270" t="s">
        <v>11892</v>
      </c>
      <c r="K809" s="4837">
        <v>36997.471613848655</v>
      </c>
      <c r="L809" s="4834">
        <f t="shared" si="53"/>
        <v>2.8138244033724056E-5</v>
      </c>
      <c r="S809" s="270" t="s">
        <v>11888</v>
      </c>
      <c r="T809" s="4838">
        <v>507.33878085294947</v>
      </c>
      <c r="U809" s="4839">
        <f t="shared" si="52"/>
        <v>1.6756871540394374E-3</v>
      </c>
    </row>
    <row r="810" spans="1:21">
      <c r="A810" s="270" t="s">
        <v>11889</v>
      </c>
      <c r="B810" s="3305">
        <v>5786</v>
      </c>
      <c r="C810" s="4834">
        <f t="shared" si="50"/>
        <v>2.6290588867542558E-4</v>
      </c>
      <c r="D810" s="3" t="str">
        <f t="shared" si="51"/>
        <v>2015</v>
      </c>
      <c r="J810" s="270" t="s">
        <v>11893</v>
      </c>
      <c r="K810" s="4837">
        <v>36997.471613848655</v>
      </c>
      <c r="L810" s="4834">
        <f t="shared" si="53"/>
        <v>2.8138244033724056E-5</v>
      </c>
      <c r="S810" s="270" t="s">
        <v>11889</v>
      </c>
      <c r="T810" s="4838">
        <v>502.83767633334162</v>
      </c>
      <c r="U810" s="4839">
        <f t="shared" si="52"/>
        <v>1.6412840053868347E-3</v>
      </c>
    </row>
    <row r="811" spans="1:21">
      <c r="A811" s="270" t="s">
        <v>11890</v>
      </c>
      <c r="B811" s="3305">
        <v>5865.5</v>
      </c>
      <c r="C811" s="4834">
        <f t="shared" si="50"/>
        <v>2.7376820319746745E-4</v>
      </c>
      <c r="D811" s="3" t="str">
        <f t="shared" si="51"/>
        <v>2015</v>
      </c>
      <c r="J811" s="270" t="s">
        <v>11894</v>
      </c>
      <c r="K811" s="4837">
        <v>36884.944000858457</v>
      </c>
      <c r="L811" s="4834">
        <f t="shared" si="53"/>
        <v>2.7666399192223703E-5</v>
      </c>
      <c r="S811" s="270" t="s">
        <v>11890</v>
      </c>
      <c r="T811" s="4838">
        <v>504.12370619608669</v>
      </c>
      <c r="U811" s="4839">
        <f t="shared" si="52"/>
        <v>1.6511531897555264E-3</v>
      </c>
    </row>
    <row r="812" spans="1:21">
      <c r="A812" s="270" t="s">
        <v>11891</v>
      </c>
      <c r="B812" s="3305">
        <v>5860</v>
      </c>
      <c r="C812" s="4834">
        <f t="shared" si="50"/>
        <v>2.7303957294785619E-4</v>
      </c>
      <c r="D812" s="3" t="str">
        <f t="shared" si="51"/>
        <v>2015</v>
      </c>
      <c r="J812" s="270" t="s">
        <v>11895</v>
      </c>
      <c r="K812" s="4837">
        <v>37487.770499020226</v>
      </c>
      <c r="L812" s="4834">
        <f t="shared" si="53"/>
        <v>3.0211088880249531E-5</v>
      </c>
      <c r="S812" s="270" t="s">
        <v>11891</v>
      </c>
      <c r="T812" s="4838">
        <v>498.33657181373371</v>
      </c>
      <c r="U812" s="4839">
        <f t="shared" si="52"/>
        <v>1.6065147699858584E-3</v>
      </c>
    </row>
    <row r="813" spans="1:21">
      <c r="A813" s="270" t="s">
        <v>11892</v>
      </c>
      <c r="B813" s="3305">
        <v>5853</v>
      </c>
      <c r="C813" s="4834">
        <f t="shared" si="50"/>
        <v>2.7210708150774842E-4</v>
      </c>
      <c r="D813" s="3" t="str">
        <f t="shared" si="51"/>
        <v>2015</v>
      </c>
      <c r="J813" s="270" t="s">
        <v>11896</v>
      </c>
      <c r="K813" s="4837">
        <v>38037.548265343758</v>
      </c>
      <c r="L813" s="4834">
        <f t="shared" si="53"/>
        <v>3.2553110164556708E-5</v>
      </c>
      <c r="S813" s="270" t="s">
        <v>11892</v>
      </c>
      <c r="T813" s="4838">
        <v>500.90863153922396</v>
      </c>
      <c r="U813" s="4839">
        <f t="shared" si="52"/>
        <v>1.6264245923052832E-3</v>
      </c>
    </row>
    <row r="814" spans="1:21">
      <c r="A814" s="270" t="s">
        <v>11893</v>
      </c>
      <c r="B814" s="3305">
        <v>5765</v>
      </c>
      <c r="C814" s="4834">
        <f t="shared" si="50"/>
        <v>2.5992608682221761E-4</v>
      </c>
      <c r="D814" s="3" t="str">
        <f t="shared" si="51"/>
        <v>2015</v>
      </c>
      <c r="J814" s="270" t="s">
        <v>11897</v>
      </c>
      <c r="K814" s="4837">
        <v>38138.823117034946</v>
      </c>
      <c r="L814" s="4834">
        <f t="shared" si="53"/>
        <v>3.2984766281551024E-5</v>
      </c>
      <c r="S814" s="270" t="s">
        <v>11893</v>
      </c>
      <c r="T814" s="4838">
        <v>500.26561660785143</v>
      </c>
      <c r="U814" s="4839">
        <f t="shared" si="52"/>
        <v>1.6214572457468113E-3</v>
      </c>
    </row>
    <row r="815" spans="1:21">
      <c r="A815" s="270" t="s">
        <v>11894</v>
      </c>
      <c r="B815" s="3305">
        <v>5692.5</v>
      </c>
      <c r="C815" s="4834">
        <f t="shared" si="50"/>
        <v>2.4933102719812476E-4</v>
      </c>
      <c r="D815" s="3" t="str">
        <f t="shared" si="51"/>
        <v>2015</v>
      </c>
      <c r="J815" s="270" t="s">
        <v>11898</v>
      </c>
      <c r="K815" s="4837">
        <v>38307.614536520239</v>
      </c>
      <c r="L815" s="4834">
        <f t="shared" si="53"/>
        <v>3.3703410381199684E-5</v>
      </c>
      <c r="S815" s="270" t="s">
        <v>11894</v>
      </c>
      <c r="T815" s="4838">
        <v>497.37204941667488</v>
      </c>
      <c r="U815" s="4839">
        <f t="shared" si="52"/>
        <v>1.5990217522554044E-3</v>
      </c>
    </row>
    <row r="816" spans="1:21">
      <c r="A816" s="270" t="s">
        <v>11895</v>
      </c>
      <c r="B816" s="3305">
        <v>5835</v>
      </c>
      <c r="C816" s="4834">
        <f t="shared" si="50"/>
        <v>2.6968333064996634E-4</v>
      </c>
      <c r="D816" s="3" t="str">
        <f t="shared" si="51"/>
        <v>2015</v>
      </c>
      <c r="J816" s="270" t="s">
        <v>11899</v>
      </c>
      <c r="K816" s="4837">
        <v>38439.43259745161</v>
      </c>
      <c r="L816" s="4834">
        <f t="shared" si="53"/>
        <v>3.4263543295068873E-5</v>
      </c>
      <c r="S816" s="270" t="s">
        <v>11895</v>
      </c>
      <c r="T816" s="4838">
        <v>510.55385550981237</v>
      </c>
      <c r="U816" s="4839">
        <f t="shared" si="52"/>
        <v>1.7000067659005739E-3</v>
      </c>
    </row>
    <row r="817" spans="1:21">
      <c r="A817" s="270" t="s">
        <v>11896</v>
      </c>
      <c r="B817" s="3305">
        <v>5920</v>
      </c>
      <c r="C817" s="4834">
        <f t="shared" si="50"/>
        <v>2.8078753777767022E-4</v>
      </c>
      <c r="D817" s="3" t="str">
        <f t="shared" si="51"/>
        <v>2015</v>
      </c>
      <c r="J817" s="270" t="s">
        <v>11900</v>
      </c>
      <c r="K817" s="4837">
        <v>38682.170734044761</v>
      </c>
      <c r="L817" s="4834">
        <f t="shared" si="53"/>
        <v>3.5291192901001499E-5</v>
      </c>
      <c r="S817" s="270" t="s">
        <v>11896</v>
      </c>
      <c r="T817" s="4838">
        <v>519.87757201471447</v>
      </c>
      <c r="U817" s="4839">
        <f t="shared" si="52"/>
        <v>1.7691385350698877E-3</v>
      </c>
    </row>
    <row r="818" spans="1:21">
      <c r="A818" s="270" t="s">
        <v>11897</v>
      </c>
      <c r="B818" s="3305">
        <v>6093.5</v>
      </c>
      <c r="C818" s="4834">
        <f t="shared" si="50"/>
        <v>3.0036197251388281E-4</v>
      </c>
      <c r="D818" s="3" t="str">
        <f t="shared" si="51"/>
        <v>2015</v>
      </c>
      <c r="J818" s="270" t="s">
        <v>11901</v>
      </c>
      <c r="K818" s="4837">
        <v>38444.255209436909</v>
      </c>
      <c r="L818" s="4834">
        <f t="shared" si="53"/>
        <v>3.4284012487247902E-5</v>
      </c>
      <c r="S818" s="270" t="s">
        <v>11897</v>
      </c>
      <c r="T818" s="4838">
        <v>537.88199009314621</v>
      </c>
      <c r="U818" s="4839">
        <f t="shared" si="52"/>
        <v>1.8952705457351237E-3</v>
      </c>
    </row>
    <row r="819" spans="1:21">
      <c r="A819" s="270" t="s">
        <v>11898</v>
      </c>
      <c r="B819" s="3305">
        <v>6128</v>
      </c>
      <c r="C819" s="4834">
        <f t="shared" si="50"/>
        <v>3.0368568790780634E-4</v>
      </c>
      <c r="D819" s="3" t="str">
        <f t="shared" si="51"/>
        <v>2015</v>
      </c>
      <c r="J819" s="270" t="s">
        <v>11902</v>
      </c>
      <c r="K819" s="4837">
        <v>38114.710057108474</v>
      </c>
      <c r="L819" s="4834">
        <f t="shared" si="53"/>
        <v>3.2882013732071328E-5</v>
      </c>
      <c r="S819" s="270" t="s">
        <v>11898</v>
      </c>
      <c r="T819" s="4838">
        <v>545.59816926961685</v>
      </c>
      <c r="U819" s="4839">
        <f t="shared" si="52"/>
        <v>1.9456737993403825E-3</v>
      </c>
    </row>
    <row r="820" spans="1:21">
      <c r="A820" s="270" t="s">
        <v>11899</v>
      </c>
      <c r="B820" s="3305">
        <v>6134.5</v>
      </c>
      <c r="C820" s="4834">
        <f t="shared" si="50"/>
        <v>3.042889297403606E-4</v>
      </c>
      <c r="D820" s="3" t="str">
        <f t="shared" si="51"/>
        <v>2015</v>
      </c>
      <c r="J820" s="270" t="s">
        <v>11903</v>
      </c>
      <c r="K820" s="4837">
        <v>38162.936176961419</v>
      </c>
      <c r="L820" s="4834">
        <f t="shared" si="53"/>
        <v>3.3087500898298652E-5</v>
      </c>
      <c r="S820" s="270" t="s">
        <v>11899</v>
      </c>
      <c r="T820" s="4838">
        <v>544.63364687255796</v>
      </c>
      <c r="U820" s="4839">
        <f t="shared" si="52"/>
        <v>1.9395088040621263E-3</v>
      </c>
    </row>
    <row r="821" spans="1:21">
      <c r="A821" s="270" t="s">
        <v>11900</v>
      </c>
      <c r="B821" s="3305">
        <v>6230</v>
      </c>
      <c r="C821" s="4834">
        <f t="shared" si="50"/>
        <v>3.1227429141880713E-4</v>
      </c>
      <c r="D821" s="3" t="str">
        <f t="shared" si="51"/>
        <v>2015</v>
      </c>
      <c r="J821" s="270" t="s">
        <v>11904</v>
      </c>
      <c r="K821" s="4837">
        <v>38484.44364264769</v>
      </c>
      <c r="L821" s="4834">
        <f t="shared" si="53"/>
        <v>3.4454516173580901E-5</v>
      </c>
      <c r="S821" s="270" t="s">
        <v>11900</v>
      </c>
      <c r="T821" s="4838">
        <v>550.74228872059723</v>
      </c>
      <c r="U821" s="4839">
        <f t="shared" si="52"/>
        <v>1.9778624288553262E-3</v>
      </c>
    </row>
    <row r="822" spans="1:21">
      <c r="A822" s="270" t="s">
        <v>11901</v>
      </c>
      <c r="B822" s="3305">
        <v>6146</v>
      </c>
      <c r="C822" s="4834">
        <f t="shared" si="50"/>
        <v>3.0533804167408231E-4</v>
      </c>
      <c r="D822" s="3" t="str">
        <f t="shared" si="51"/>
        <v>2015</v>
      </c>
      <c r="J822" s="270" t="s">
        <v>11905</v>
      </c>
      <c r="K822" s="4837">
        <v>38532.669762500642</v>
      </c>
      <c r="L822" s="4834">
        <f t="shared" si="53"/>
        <v>3.465893813705596E-5</v>
      </c>
      <c r="S822" s="270" t="s">
        <v>11901</v>
      </c>
      <c r="T822" s="4838">
        <v>551.06379618628364</v>
      </c>
      <c r="U822" s="4839">
        <f t="shared" si="52"/>
        <v>1.9798345121559914E-3</v>
      </c>
    </row>
    <row r="823" spans="1:21">
      <c r="A823" s="270" t="s">
        <v>11902</v>
      </c>
      <c r="B823" s="3305">
        <v>6110</v>
      </c>
      <c r="C823" s="4834">
        <f t="shared" si="50"/>
        <v>3.0197694912856326E-4</v>
      </c>
      <c r="D823" s="3" t="str">
        <f t="shared" si="51"/>
        <v>2015</v>
      </c>
      <c r="J823" s="270" t="s">
        <v>11906</v>
      </c>
      <c r="K823" s="4837">
        <v>38934.554094608488</v>
      </c>
      <c r="L823" s="4834">
        <f t="shared" si="53"/>
        <v>3.6352325170566682E-5</v>
      </c>
      <c r="S823" s="270" t="s">
        <v>11902</v>
      </c>
      <c r="T823" s="4838">
        <v>535.30993036765585</v>
      </c>
      <c r="U823" s="4839">
        <f t="shared" si="52"/>
        <v>1.8779427261313587E-3</v>
      </c>
    </row>
    <row r="824" spans="1:21">
      <c r="A824" s="270" t="s">
        <v>11903</v>
      </c>
      <c r="B824" s="3305">
        <v>6050.5</v>
      </c>
      <c r="C824" s="4834">
        <f t="shared" si="50"/>
        <v>2.9594085767426051E-4</v>
      </c>
      <c r="D824" s="3" t="str">
        <f t="shared" si="51"/>
        <v>2015</v>
      </c>
      <c r="J824" s="270" t="s">
        <v>11907</v>
      </c>
      <c r="K824" s="4837">
        <v>38813.988794976132</v>
      </c>
      <c r="L824" s="4834">
        <f t="shared" si="53"/>
        <v>3.5846511684771575E-5</v>
      </c>
      <c r="S824" s="270" t="s">
        <v>11903</v>
      </c>
      <c r="T824" s="4838">
        <v>533.70239303922449</v>
      </c>
      <c r="U824" s="4839">
        <f t="shared" si="52"/>
        <v>1.8669867831188328E-3</v>
      </c>
    </row>
    <row r="825" spans="1:21">
      <c r="A825" s="270" t="s">
        <v>11904</v>
      </c>
      <c r="B825" s="3305">
        <v>6019.5</v>
      </c>
      <c r="C825" s="4834">
        <f t="shared" si="50"/>
        <v>2.9256984433622952E-4</v>
      </c>
      <c r="D825" s="3" t="str">
        <f t="shared" si="51"/>
        <v>2015</v>
      </c>
      <c r="J825" s="270" t="s">
        <v>11908</v>
      </c>
      <c r="K825" s="4837">
        <v>38413.712000196712</v>
      </c>
      <c r="L825" s="4834">
        <f t="shared" si="53"/>
        <v>3.4154344079845323E-5</v>
      </c>
      <c r="S825" s="270" t="s">
        <v>11904</v>
      </c>
      <c r="T825" s="4838">
        <v>532.41636317647931</v>
      </c>
      <c r="U825" s="4839">
        <f t="shared" si="52"/>
        <v>1.8581541882200102E-3</v>
      </c>
    </row>
    <row r="826" spans="1:21">
      <c r="A826" s="270" t="s">
        <v>11905</v>
      </c>
      <c r="B826" s="3305">
        <v>6001.5</v>
      </c>
      <c r="C826" s="4834">
        <f t="shared" si="50"/>
        <v>2.905445768130665E-4</v>
      </c>
      <c r="D826" s="3" t="str">
        <f t="shared" si="51"/>
        <v>2015</v>
      </c>
      <c r="J826" s="270" t="s">
        <v>11909</v>
      </c>
      <c r="K826" s="4837">
        <v>38817.203869632991</v>
      </c>
      <c r="L826" s="4834">
        <f t="shared" si="53"/>
        <v>3.5860027478966753E-5</v>
      </c>
      <c r="S826" s="270" t="s">
        <v>11905</v>
      </c>
      <c r="T826" s="4838">
        <v>541.41857221569524</v>
      </c>
      <c r="U826" s="4839">
        <f t="shared" si="52"/>
        <v>1.9186748961293682E-3</v>
      </c>
    </row>
    <row r="827" spans="1:21">
      <c r="A827" s="270" t="s">
        <v>11906</v>
      </c>
      <c r="B827" s="3305">
        <v>6041</v>
      </c>
      <c r="C827" s="4834">
        <f t="shared" si="50"/>
        <v>2.9492380540734357E-4</v>
      </c>
      <c r="D827" s="3" t="str">
        <f t="shared" si="51"/>
        <v>2015</v>
      </c>
      <c r="J827" s="270" t="s">
        <v>11910</v>
      </c>
      <c r="K827" s="4837">
        <v>38545.530061128091</v>
      </c>
      <c r="L827" s="4834">
        <f t="shared" si="53"/>
        <v>3.4713414919364916E-5</v>
      </c>
      <c r="S827" s="270" t="s">
        <v>11906</v>
      </c>
      <c r="T827" s="4838">
        <v>542.06158714706771</v>
      </c>
      <c r="U827" s="4839">
        <f t="shared" si="52"/>
        <v>1.92287607012287E-3</v>
      </c>
    </row>
    <row r="828" spans="1:21">
      <c r="A828" s="270" t="s">
        <v>11907</v>
      </c>
      <c r="B828" s="3305">
        <v>6055</v>
      </c>
      <c r="C828" s="4834">
        <f t="shared" si="50"/>
        <v>2.9641760901512933E-4</v>
      </c>
      <c r="D828" s="3" t="str">
        <f t="shared" si="51"/>
        <v>2015</v>
      </c>
      <c r="J828" s="270" t="s">
        <v>11911</v>
      </c>
      <c r="K828" s="4837">
        <v>38412.104462868279</v>
      </c>
      <c r="L828" s="4834">
        <f t="shared" si="53"/>
        <v>3.4147517478067175E-5</v>
      </c>
      <c r="S828" s="270" t="s">
        <v>11907</v>
      </c>
      <c r="T828" s="4838">
        <v>541.41857221569524</v>
      </c>
      <c r="U828" s="4839">
        <f t="shared" si="52"/>
        <v>1.9186748961293682E-3</v>
      </c>
    </row>
    <row r="829" spans="1:21">
      <c r="A829" s="270" t="s">
        <v>11908</v>
      </c>
      <c r="B829" s="3305">
        <v>6050</v>
      </c>
      <c r="C829" s="4834">
        <f t="shared" si="50"/>
        <v>2.9588768573499515E-4</v>
      </c>
      <c r="D829" s="3" t="str">
        <f t="shared" si="51"/>
        <v>2015</v>
      </c>
      <c r="J829" s="270" t="s">
        <v>11912</v>
      </c>
      <c r="K829" s="4837">
        <v>38352.625581716326</v>
      </c>
      <c r="L829" s="4834">
        <f t="shared" si="53"/>
        <v>3.38948050217795E-5</v>
      </c>
      <c r="S829" s="270" t="s">
        <v>11908</v>
      </c>
      <c r="T829" s="4838">
        <v>524.05716906863609</v>
      </c>
      <c r="U829" s="4839">
        <f t="shared" si="52"/>
        <v>1.7993612608995055E-3</v>
      </c>
    </row>
    <row r="830" spans="1:21">
      <c r="A830" s="270" t="s">
        <v>11909</v>
      </c>
      <c r="B830" s="3305">
        <v>6055</v>
      </c>
      <c r="C830" s="4834">
        <f t="shared" si="50"/>
        <v>2.9641760901512933E-4</v>
      </c>
      <c r="D830" s="3" t="str">
        <f t="shared" si="51"/>
        <v>2015</v>
      </c>
      <c r="J830" s="270" t="s">
        <v>11913</v>
      </c>
      <c r="K830" s="4837">
        <v>38720.751629927108</v>
      </c>
      <c r="L830" s="4834">
        <f t="shared" si="53"/>
        <v>3.5453952452038701E-5</v>
      </c>
      <c r="S830" s="270" t="s">
        <v>11909</v>
      </c>
      <c r="T830" s="4838">
        <v>532.09485571079301</v>
      </c>
      <c r="U830" s="4839">
        <f t="shared" si="52"/>
        <v>1.8559367791639559E-3</v>
      </c>
    </row>
    <row r="831" spans="1:21">
      <c r="A831" s="270" t="s">
        <v>11910</v>
      </c>
      <c r="B831" s="3305">
        <v>6011.5</v>
      </c>
      <c r="C831" s="4834">
        <f t="shared" si="50"/>
        <v>2.9167577735812218E-4</v>
      </c>
      <c r="D831" s="3" t="str">
        <f t="shared" si="51"/>
        <v>2015</v>
      </c>
      <c r="J831" s="270" t="s">
        <v>11914</v>
      </c>
      <c r="K831" s="4837">
        <v>38688.600883358478</v>
      </c>
      <c r="L831" s="4834">
        <f t="shared" si="53"/>
        <v>3.5318331846013623E-5</v>
      </c>
      <c r="S831" s="270" t="s">
        <v>11910</v>
      </c>
      <c r="T831" s="4838">
        <v>523.09264667157731</v>
      </c>
      <c r="U831" s="4839">
        <f t="shared" si="52"/>
        <v>1.7924328153754313E-3</v>
      </c>
    </row>
    <row r="832" spans="1:21">
      <c r="A832" s="270" t="s">
        <v>11911</v>
      </c>
      <c r="B832" s="3305">
        <v>5916.5</v>
      </c>
      <c r="C832" s="4834">
        <f t="shared" si="50"/>
        <v>2.8034809945419361E-4</v>
      </c>
      <c r="D832" s="3" t="str">
        <f t="shared" si="51"/>
        <v>2015</v>
      </c>
      <c r="J832" s="270" t="s">
        <v>11915</v>
      </c>
      <c r="K832" s="4837">
        <v>38468.368269363382</v>
      </c>
      <c r="L832" s="4834">
        <f t="shared" si="53"/>
        <v>3.4386330622005386E-5</v>
      </c>
      <c r="S832" s="270" t="s">
        <v>11911</v>
      </c>
      <c r="T832" s="4838">
        <v>516.98400482353793</v>
      </c>
      <c r="U832" s="4839">
        <f t="shared" si="52"/>
        <v>1.7479237361073426E-3</v>
      </c>
    </row>
    <row r="833" spans="1:21">
      <c r="A833" s="270" t="s">
        <v>11912</v>
      </c>
      <c r="B833" s="3305">
        <v>5920.5</v>
      </c>
      <c r="C833" s="4834">
        <f t="shared" si="50"/>
        <v>2.8085018338539066E-4</v>
      </c>
      <c r="D833" s="3" t="str">
        <f t="shared" si="51"/>
        <v>2015</v>
      </c>
      <c r="J833" s="270" t="s">
        <v>11916</v>
      </c>
      <c r="K833" s="4837">
        <v>38429.787373481027</v>
      </c>
      <c r="L833" s="4834">
        <f t="shared" si="53"/>
        <v>3.4222599488468428E-5</v>
      </c>
      <c r="S833" s="270" t="s">
        <v>11912</v>
      </c>
      <c r="T833" s="4838">
        <v>520.19907948040077</v>
      </c>
      <c r="U833" s="4839">
        <f t="shared" si="52"/>
        <v>1.7714814155717121E-3</v>
      </c>
    </row>
    <row r="834" spans="1:21">
      <c r="A834" s="270" t="s">
        <v>11913</v>
      </c>
      <c r="B834" s="3305">
        <v>6054</v>
      </c>
      <c r="C834" s="4834">
        <f t="shared" si="50"/>
        <v>2.9631194413169394E-4</v>
      </c>
      <c r="D834" s="3" t="str">
        <f t="shared" si="51"/>
        <v>2015</v>
      </c>
      <c r="J834" s="270" t="s">
        <v>11917</v>
      </c>
      <c r="K834" s="4837">
        <v>38235.275356740829</v>
      </c>
      <c r="L834" s="4834">
        <f t="shared" si="53"/>
        <v>3.3395575477670293E-5</v>
      </c>
      <c r="S834" s="270" t="s">
        <v>11913</v>
      </c>
      <c r="T834" s="4838">
        <v>529.52279598530288</v>
      </c>
      <c r="U834" s="4839">
        <f t="shared" si="52"/>
        <v>1.8380672000459363E-3</v>
      </c>
    </row>
    <row r="835" spans="1:21">
      <c r="A835" s="270" t="s">
        <v>11914</v>
      </c>
      <c r="B835" s="3305">
        <v>6081</v>
      </c>
      <c r="C835" s="4834">
        <f t="shared" si="50"/>
        <v>2.9910806208717115E-4</v>
      </c>
      <c r="D835" s="3" t="str">
        <f t="shared" si="51"/>
        <v>2015</v>
      </c>
      <c r="J835" s="270" t="s">
        <v>11918</v>
      </c>
      <c r="K835" s="4837">
        <v>38122.747743750631</v>
      </c>
      <c r="L835" s="4834">
        <f t="shared" si="53"/>
        <v>3.2916266441072392E-5</v>
      </c>
      <c r="S835" s="270" t="s">
        <v>11914</v>
      </c>
      <c r="T835" s="4838">
        <v>525.98621386275374</v>
      </c>
      <c r="U835" s="4839">
        <f t="shared" si="52"/>
        <v>1.8131319170043444E-3</v>
      </c>
    </row>
    <row r="836" spans="1:21">
      <c r="A836" s="270" t="s">
        <v>11915</v>
      </c>
      <c r="B836" s="3305">
        <v>6002</v>
      </c>
      <c r="C836" s="4834">
        <f t="shared" ref="C836:C899" si="54">_xlfn.NORM.DIST(B836,$F$4,$F$3,FALSE)</f>
        <v>2.90601493277466E-4</v>
      </c>
      <c r="D836" s="3" t="str">
        <f t="shared" ref="D836:D899" si="55">LEFT(A836,4)</f>
        <v>2015</v>
      </c>
      <c r="J836" s="270" t="s">
        <v>11919</v>
      </c>
      <c r="K836" s="4837">
        <v>38034.333190686899</v>
      </c>
      <c r="L836" s="4834">
        <f t="shared" si="53"/>
        <v>3.2539403383137631E-5</v>
      </c>
      <c r="S836" s="270" t="s">
        <v>11915</v>
      </c>
      <c r="T836" s="4838">
        <v>517.30551228922411</v>
      </c>
      <c r="U836" s="4839">
        <f t="shared" ref="U836:U899" si="56">_xlfn.NORM.DIST(T836,$X$4,$X$3,FALSE)</f>
        <v>1.750292153420261E-3</v>
      </c>
    </row>
    <row r="837" spans="1:21">
      <c r="A837" s="270" t="s">
        <v>11916</v>
      </c>
      <c r="B837" s="3305">
        <v>5975</v>
      </c>
      <c r="C837" s="4834">
        <f t="shared" si="54"/>
        <v>2.8747523375404681E-4</v>
      </c>
      <c r="D837" s="3" t="str">
        <f t="shared" si="55"/>
        <v>2015</v>
      </c>
      <c r="J837" s="270" t="s">
        <v>11920</v>
      </c>
      <c r="K837" s="4837">
        <v>38580.89588235358</v>
      </c>
      <c r="L837" s="4834">
        <f t="shared" ref="L837:L900" si="57">_xlfn.NORM.DIST(K837,$O$4,$O$3,FALSE)</f>
        <v>3.4863144068042281E-5</v>
      </c>
      <c r="S837" s="270" t="s">
        <v>11916</v>
      </c>
      <c r="T837" s="4838">
        <v>516.98400482353793</v>
      </c>
      <c r="U837" s="4839">
        <f t="shared" si="56"/>
        <v>1.7479237361073426E-3</v>
      </c>
    </row>
    <row r="838" spans="1:21">
      <c r="A838" s="270" t="s">
        <v>11917</v>
      </c>
      <c r="B838" s="3305">
        <v>5927</v>
      </c>
      <c r="C838" s="4834">
        <f t="shared" si="54"/>
        <v>2.8166157132482046E-4</v>
      </c>
      <c r="D838" s="3" t="str">
        <f t="shared" si="55"/>
        <v>2015</v>
      </c>
      <c r="J838" s="270" t="s">
        <v>11921</v>
      </c>
      <c r="K838" s="4837">
        <v>38870.252601471228</v>
      </c>
      <c r="L838" s="4834">
        <f t="shared" si="57"/>
        <v>3.6082826325803333E-5</v>
      </c>
      <c r="S838" s="270" t="s">
        <v>11917</v>
      </c>
      <c r="T838" s="4838">
        <v>516.01948242647916</v>
      </c>
      <c r="U838" s="4839">
        <f t="shared" si="56"/>
        <v>1.7408021343373E-3</v>
      </c>
    </row>
    <row r="839" spans="1:21">
      <c r="A839" s="270" t="s">
        <v>11918</v>
      </c>
      <c r="B839" s="3305">
        <v>5935</v>
      </c>
      <c r="C839" s="4834">
        <f t="shared" si="54"/>
        <v>2.8265247635333497E-4</v>
      </c>
      <c r="D839" s="3" t="str">
        <f t="shared" si="55"/>
        <v>2015</v>
      </c>
      <c r="J839" s="270" t="s">
        <v>11922</v>
      </c>
      <c r="K839" s="4837">
        <v>38870.252601471228</v>
      </c>
      <c r="L839" s="4834">
        <f t="shared" si="57"/>
        <v>3.6082826325803333E-5</v>
      </c>
      <c r="S839" s="270" t="s">
        <v>11918</v>
      </c>
      <c r="T839" s="4838">
        <v>509.91084057843972</v>
      </c>
      <c r="U839" s="4839">
        <f t="shared" si="56"/>
        <v>1.6951609407766337E-3</v>
      </c>
    </row>
    <row r="840" spans="1:21">
      <c r="A840" s="270" t="s">
        <v>11919</v>
      </c>
      <c r="B840" s="3305">
        <v>6025.5</v>
      </c>
      <c r="C840" s="4834">
        <f t="shared" si="54"/>
        <v>2.9323397026602215E-4</v>
      </c>
      <c r="D840" s="3" t="str">
        <f t="shared" si="55"/>
        <v>2015</v>
      </c>
      <c r="J840" s="270" t="s">
        <v>11923</v>
      </c>
      <c r="K840" s="4837">
        <v>37945.918637623174</v>
      </c>
      <c r="L840" s="4834">
        <f t="shared" si="57"/>
        <v>3.2162424263448485E-5</v>
      </c>
      <c r="S840" s="270" t="s">
        <v>11919</v>
      </c>
      <c r="T840" s="4838">
        <v>508.94631818138095</v>
      </c>
      <c r="U840" s="4839">
        <f t="shared" si="56"/>
        <v>1.6878749894784402E-3</v>
      </c>
    </row>
    <row r="841" spans="1:21">
      <c r="A841" s="270" t="s">
        <v>11920</v>
      </c>
      <c r="B841" s="3305">
        <v>6061</v>
      </c>
      <c r="C841" s="4834">
        <f t="shared" si="54"/>
        <v>2.9704822545197491E-4</v>
      </c>
      <c r="D841" s="3" t="str">
        <f t="shared" si="55"/>
        <v>2015</v>
      </c>
      <c r="J841" s="270" t="s">
        <v>11924</v>
      </c>
      <c r="K841" s="4837">
        <v>37807.670427378078</v>
      </c>
      <c r="L841" s="4834">
        <f t="shared" si="57"/>
        <v>3.1572982006139622E-5</v>
      </c>
      <c r="S841" s="270" t="s">
        <v>11920</v>
      </c>
      <c r="T841" s="4838">
        <v>509.26782564706718</v>
      </c>
      <c r="U841" s="4839">
        <f t="shared" si="56"/>
        <v>1.6903059086548519E-3</v>
      </c>
    </row>
    <row r="842" spans="1:21">
      <c r="A842" s="270" t="s">
        <v>11921</v>
      </c>
      <c r="B842" s="3305">
        <v>6090.5</v>
      </c>
      <c r="C842" s="4834">
        <f t="shared" si="54"/>
        <v>3.0006341007974234E-4</v>
      </c>
      <c r="D842" s="3" t="str">
        <f t="shared" si="55"/>
        <v>2015</v>
      </c>
      <c r="J842" s="270" t="s">
        <v>11925</v>
      </c>
      <c r="K842" s="4837">
        <v>38484.44364264769</v>
      </c>
      <c r="L842" s="4834">
        <f t="shared" si="57"/>
        <v>3.4454516173580901E-5</v>
      </c>
      <c r="S842" s="270" t="s">
        <v>11921</v>
      </c>
      <c r="T842" s="4838">
        <v>524.70018400000856</v>
      </c>
      <c r="U842" s="4839">
        <f t="shared" si="56"/>
        <v>1.8039643868155882E-3</v>
      </c>
    </row>
    <row r="843" spans="1:21">
      <c r="A843" s="270" t="s">
        <v>11922</v>
      </c>
      <c r="B843" s="3305">
        <v>6103</v>
      </c>
      <c r="C843" s="4834">
        <f t="shared" si="54"/>
        <v>3.0129743791181159E-4</v>
      </c>
      <c r="D843" s="3" t="str">
        <f t="shared" si="55"/>
        <v>2015</v>
      </c>
      <c r="J843" s="270" t="s">
        <v>11926</v>
      </c>
      <c r="K843" s="4837">
        <v>38396.029089583972</v>
      </c>
      <c r="L843" s="4834">
        <f t="shared" si="57"/>
        <v>3.4079241105167431E-5</v>
      </c>
      <c r="S843" s="270" t="s">
        <v>11922</v>
      </c>
      <c r="T843" s="4838">
        <v>529.84430345098906</v>
      </c>
      <c r="U843" s="4839">
        <f t="shared" si="56"/>
        <v>1.8403133837522805E-3</v>
      </c>
    </row>
    <row r="844" spans="1:21">
      <c r="A844" s="270" t="s">
        <v>11923</v>
      </c>
      <c r="B844" s="3305">
        <v>6245</v>
      </c>
      <c r="C844" s="4834">
        <f t="shared" si="54"/>
        <v>3.1337400703001969E-4</v>
      </c>
      <c r="D844" s="3" t="str">
        <f t="shared" si="55"/>
        <v>2015</v>
      </c>
      <c r="J844" s="270" t="s">
        <v>11927</v>
      </c>
      <c r="K844" s="4837">
        <v>38162.936176961419</v>
      </c>
      <c r="L844" s="4834">
        <f t="shared" si="57"/>
        <v>3.3087500898298652E-5</v>
      </c>
      <c r="S844" s="270" t="s">
        <v>11923</v>
      </c>
      <c r="T844" s="4838">
        <v>531.13033331373424</v>
      </c>
      <c r="U844" s="4839">
        <f t="shared" si="56"/>
        <v>1.849262638934128E-3</v>
      </c>
    </row>
    <row r="845" spans="1:21">
      <c r="A845" s="270" t="s">
        <v>11924</v>
      </c>
      <c r="B845" s="3305">
        <v>6362</v>
      </c>
      <c r="C845" s="4834">
        <f t="shared" si="54"/>
        <v>3.2042958748030616E-4</v>
      </c>
      <c r="D845" s="3" t="str">
        <f t="shared" si="55"/>
        <v>2015</v>
      </c>
      <c r="J845" s="270" t="s">
        <v>11928</v>
      </c>
      <c r="K845" s="4837">
        <v>38130.785430392782</v>
      </c>
      <c r="L845" s="4834">
        <f t="shared" si="57"/>
        <v>3.2950517317543689E-5</v>
      </c>
      <c r="S845" s="270" t="s">
        <v>11924</v>
      </c>
      <c r="T845" s="4838">
        <v>519.87757201471447</v>
      </c>
      <c r="U845" s="4839">
        <f t="shared" si="56"/>
        <v>1.7691385350698877E-3</v>
      </c>
    </row>
    <row r="846" spans="1:21">
      <c r="A846" s="270" t="s">
        <v>11925</v>
      </c>
      <c r="B846" s="3305">
        <v>6410</v>
      </c>
      <c r="C846" s="4834">
        <f t="shared" si="54"/>
        <v>3.2251615606052937E-4</v>
      </c>
      <c r="D846" s="3" t="str">
        <f t="shared" si="55"/>
        <v>2015</v>
      </c>
      <c r="J846" s="270" t="s">
        <v>11929</v>
      </c>
      <c r="K846" s="4837">
        <v>38235.275356740829</v>
      </c>
      <c r="L846" s="4834">
        <f t="shared" si="57"/>
        <v>3.3395575477670293E-5</v>
      </c>
      <c r="S846" s="270" t="s">
        <v>11925</v>
      </c>
      <c r="T846" s="4838">
        <v>527.91525865687152</v>
      </c>
      <c r="U846" s="4839">
        <f t="shared" si="56"/>
        <v>1.8267840417939066E-3</v>
      </c>
    </row>
    <row r="847" spans="1:21">
      <c r="A847" s="270" t="s">
        <v>11926</v>
      </c>
      <c r="B847" s="3305">
        <v>6400.5</v>
      </c>
      <c r="C847" s="4834">
        <f t="shared" si="54"/>
        <v>3.2214144154026059E-4</v>
      </c>
      <c r="D847" s="3" t="str">
        <f t="shared" si="55"/>
        <v>2015</v>
      </c>
      <c r="J847" s="270" t="s">
        <v>11930</v>
      </c>
      <c r="K847" s="4837">
        <v>38307.614536520239</v>
      </c>
      <c r="L847" s="4834">
        <f t="shared" si="57"/>
        <v>3.3703410381199684E-5</v>
      </c>
      <c r="S847" s="270" t="s">
        <v>11926</v>
      </c>
      <c r="T847" s="4838">
        <v>527.59375119118511</v>
      </c>
      <c r="U847" s="4839">
        <f t="shared" si="56"/>
        <v>1.8245170995868309E-3</v>
      </c>
    </row>
    <row r="848" spans="1:21">
      <c r="A848" s="270" t="s">
        <v>11927</v>
      </c>
      <c r="B848" s="3305">
        <v>6437</v>
      </c>
      <c r="C848" s="4834">
        <f t="shared" si="54"/>
        <v>3.2347708483789682E-4</v>
      </c>
      <c r="D848" s="3" t="str">
        <f t="shared" si="55"/>
        <v>2015</v>
      </c>
      <c r="J848" s="270" t="s">
        <v>11931</v>
      </c>
      <c r="K848" s="4837">
        <v>38918.478721324173</v>
      </c>
      <c r="L848" s="4834">
        <f t="shared" si="57"/>
        <v>3.6285010193386468E-5</v>
      </c>
      <c r="S848" s="270" t="s">
        <v>11927</v>
      </c>
      <c r="T848" s="4838">
        <v>525.66470639706756</v>
      </c>
      <c r="U848" s="4839">
        <f t="shared" si="56"/>
        <v>1.8108449239994827E-3</v>
      </c>
    </row>
    <row r="849" spans="1:21">
      <c r="A849" s="270" t="s">
        <v>11928</v>
      </c>
      <c r="B849" s="3305">
        <v>6396.5</v>
      </c>
      <c r="C849" s="4834">
        <f t="shared" si="54"/>
        <v>3.2197799338554292E-4</v>
      </c>
      <c r="D849" s="3" t="str">
        <f t="shared" si="55"/>
        <v>2015</v>
      </c>
      <c r="J849" s="270" t="s">
        <v>11932</v>
      </c>
      <c r="K849" s="4837">
        <v>39384.664546569278</v>
      </c>
      <c r="L849" s="4834">
        <f t="shared" si="57"/>
        <v>3.8217977640243029E-5</v>
      </c>
      <c r="S849" s="270" t="s">
        <v>11928</v>
      </c>
      <c r="T849" s="4838">
        <v>524.37867653432238</v>
      </c>
      <c r="U849" s="4839">
        <f t="shared" si="56"/>
        <v>1.8016644208071464E-3</v>
      </c>
    </row>
    <row r="850" spans="1:21">
      <c r="A850" s="270" t="s">
        <v>11929</v>
      </c>
      <c r="B850" s="3305">
        <v>6363</v>
      </c>
      <c r="C850" s="4834">
        <f t="shared" si="54"/>
        <v>3.2047794758561658E-4</v>
      </c>
      <c r="D850" s="3" t="str">
        <f t="shared" si="55"/>
        <v>2015</v>
      </c>
      <c r="J850" s="270" t="s">
        <v>11933</v>
      </c>
      <c r="K850" s="4837">
        <v>39239.986187010451</v>
      </c>
      <c r="L850" s="4834">
        <f t="shared" si="57"/>
        <v>3.7622736750865577E-5</v>
      </c>
      <c r="S850" s="270" t="s">
        <v>11929</v>
      </c>
      <c r="T850" s="4838">
        <v>526.95073625981263</v>
      </c>
      <c r="U850" s="4839">
        <f t="shared" si="56"/>
        <v>1.8199730618256287E-3</v>
      </c>
    </row>
    <row r="851" spans="1:21">
      <c r="A851" s="270" t="s">
        <v>11930</v>
      </c>
      <c r="B851" s="3305">
        <v>6448</v>
      </c>
      <c r="C851" s="4834">
        <f t="shared" si="54"/>
        <v>3.2382420787700484E-4</v>
      </c>
      <c r="D851" s="3" t="str">
        <f t="shared" si="55"/>
        <v>2015</v>
      </c>
      <c r="J851" s="270" t="s">
        <v>11934</v>
      </c>
      <c r="K851" s="4837">
        <v>39336.438426716333</v>
      </c>
      <c r="L851" s="4834">
        <f t="shared" si="57"/>
        <v>3.8020083126382092E-5</v>
      </c>
      <c r="S851" s="270" t="s">
        <v>11930</v>
      </c>
      <c r="T851" s="4838">
        <v>529.20128851961658</v>
      </c>
      <c r="U851" s="4839">
        <f t="shared" si="56"/>
        <v>1.8358175075412972E-3</v>
      </c>
    </row>
    <row r="852" spans="1:21">
      <c r="A852" s="270" t="s">
        <v>11931</v>
      </c>
      <c r="B852" s="3305">
        <v>6416</v>
      </c>
      <c r="C852" s="4834">
        <f t="shared" si="54"/>
        <v>3.2274302299205705E-4</v>
      </c>
      <c r="D852" s="3" t="str">
        <f t="shared" si="55"/>
        <v>2015</v>
      </c>
      <c r="J852" s="270" t="s">
        <v>11935</v>
      </c>
      <c r="K852" s="4837">
        <v>39040.651558284953</v>
      </c>
      <c r="L852" s="4834">
        <f t="shared" si="57"/>
        <v>3.6795544209906518E-5</v>
      </c>
      <c r="S852" s="270" t="s">
        <v>11931</v>
      </c>
      <c r="T852" s="4838">
        <v>535.30993036765585</v>
      </c>
      <c r="U852" s="4839">
        <f t="shared" si="56"/>
        <v>1.8779427261313587E-3</v>
      </c>
    </row>
    <row r="853" spans="1:21">
      <c r="A853" s="270" t="s">
        <v>11932</v>
      </c>
      <c r="B853" s="3305">
        <v>6399</v>
      </c>
      <c r="C853" s="4834">
        <f t="shared" si="54"/>
        <v>3.2208054193395917E-4</v>
      </c>
      <c r="D853" s="3" t="str">
        <f t="shared" si="55"/>
        <v>2015</v>
      </c>
      <c r="J853" s="270" t="s">
        <v>11936</v>
      </c>
      <c r="K853" s="4837">
        <v>38918.478721324173</v>
      </c>
      <c r="L853" s="4834">
        <f t="shared" si="57"/>
        <v>3.6285010193386468E-5</v>
      </c>
      <c r="S853" s="270" t="s">
        <v>11932</v>
      </c>
      <c r="T853" s="4838">
        <v>559.42299029412675</v>
      </c>
      <c r="U853" s="4839">
        <f t="shared" si="56"/>
        <v>2.0293779894825911E-3</v>
      </c>
    </row>
    <row r="854" spans="1:21">
      <c r="A854" s="270" t="s">
        <v>11933</v>
      </c>
      <c r="B854" s="3305">
        <v>6356</v>
      </c>
      <c r="C854" s="4834">
        <f t="shared" si="54"/>
        <v>3.201350917636919E-4</v>
      </c>
      <c r="D854" s="3" t="str">
        <f t="shared" si="55"/>
        <v>2015</v>
      </c>
      <c r="J854" s="270" t="s">
        <v>11937</v>
      </c>
      <c r="K854" s="4837">
        <v>38741.649615196722</v>
      </c>
      <c r="L854" s="4834">
        <f t="shared" si="57"/>
        <v>3.5542037809532475E-5</v>
      </c>
      <c r="S854" s="270" t="s">
        <v>11933</v>
      </c>
      <c r="T854" s="4838">
        <v>554.60037830883266</v>
      </c>
      <c r="U854" s="4839">
        <f t="shared" si="56"/>
        <v>2.0012078994689924E-3</v>
      </c>
    </row>
    <row r="855" spans="1:21">
      <c r="A855" s="270" t="s">
        <v>11934</v>
      </c>
      <c r="B855" s="3305">
        <v>6383</v>
      </c>
      <c r="C855" s="4834">
        <f t="shared" si="54"/>
        <v>3.2140162051665869E-4</v>
      </c>
      <c r="D855" s="3" t="str">
        <f t="shared" si="55"/>
        <v>2015</v>
      </c>
      <c r="J855" s="270" t="s">
        <v>11938</v>
      </c>
      <c r="K855" s="4837">
        <v>38712.713943284944</v>
      </c>
      <c r="L855" s="4834">
        <f t="shared" si="57"/>
        <v>3.5420059042463813E-5</v>
      </c>
      <c r="S855" s="270" t="s">
        <v>11934</v>
      </c>
      <c r="T855" s="4838">
        <v>569.06821426471527</v>
      </c>
      <c r="U855" s="4839">
        <f t="shared" si="56"/>
        <v>2.0821228251107771E-3</v>
      </c>
    </row>
    <row r="856" spans="1:21">
      <c r="A856" s="270" t="s">
        <v>11935</v>
      </c>
      <c r="B856" s="3305">
        <v>6270</v>
      </c>
      <c r="C856" s="4834">
        <f t="shared" si="54"/>
        <v>3.1511027568342461E-4</v>
      </c>
      <c r="D856" s="3" t="str">
        <f t="shared" si="55"/>
        <v>2015</v>
      </c>
      <c r="J856" s="270" t="s">
        <v>11939</v>
      </c>
      <c r="K856" s="4837">
        <v>38111.494982451608</v>
      </c>
      <c r="L856" s="4834">
        <f t="shared" si="57"/>
        <v>3.2868312153253215E-5</v>
      </c>
      <c r="S856" s="270" t="s">
        <v>11935</v>
      </c>
      <c r="T856" s="4838">
        <v>559.42299029412675</v>
      </c>
      <c r="U856" s="4839">
        <f t="shared" si="56"/>
        <v>2.0293779894825911E-3</v>
      </c>
    </row>
    <row r="857" spans="1:21">
      <c r="A857" s="270" t="s">
        <v>11936</v>
      </c>
      <c r="B857" s="3305">
        <v>6208</v>
      </c>
      <c r="C857" s="4834">
        <f t="shared" si="54"/>
        <v>3.1058394919791316E-4</v>
      </c>
      <c r="D857" s="3" t="str">
        <f t="shared" si="55"/>
        <v>2015</v>
      </c>
      <c r="J857" s="270" t="s">
        <v>11940</v>
      </c>
      <c r="K857" s="4837">
        <v>38125.96281840749</v>
      </c>
      <c r="L857" s="4834">
        <f t="shared" si="57"/>
        <v>3.2929967016039078E-5</v>
      </c>
      <c r="S857" s="270" t="s">
        <v>11936</v>
      </c>
      <c r="T857" s="4838">
        <v>548.81324392647969</v>
      </c>
      <c r="U857" s="4839">
        <f t="shared" si="56"/>
        <v>1.9659305469550891E-3</v>
      </c>
    </row>
    <row r="858" spans="1:21">
      <c r="A858" s="270" t="s">
        <v>11937</v>
      </c>
      <c r="B858" s="3305">
        <v>6240</v>
      </c>
      <c r="C858" s="4834">
        <f t="shared" si="54"/>
        <v>3.1301222976469543E-4</v>
      </c>
      <c r="D858" s="3" t="str">
        <f t="shared" si="55"/>
        <v>2015</v>
      </c>
      <c r="J858" s="270" t="s">
        <v>11941</v>
      </c>
      <c r="K858" s="4837">
        <v>38098.634683824159</v>
      </c>
      <c r="L858" s="4834">
        <f t="shared" si="57"/>
        <v>3.2813503135832489E-5</v>
      </c>
      <c r="S858" s="270" t="s">
        <v>11937</v>
      </c>
      <c r="T858" s="4838">
        <v>552.34982604902871</v>
      </c>
      <c r="U858" s="4839">
        <f t="shared" si="56"/>
        <v>1.9876748532502023E-3</v>
      </c>
    </row>
    <row r="859" spans="1:21">
      <c r="A859" s="270" t="s">
        <v>11938</v>
      </c>
      <c r="B859" s="3305">
        <v>6197.5</v>
      </c>
      <c r="C859" s="4834">
        <f t="shared" si="54"/>
        <v>3.0974513799410789E-4</v>
      </c>
      <c r="D859" s="3" t="str">
        <f t="shared" si="55"/>
        <v>2015</v>
      </c>
      <c r="J859" s="270" t="s">
        <v>11942</v>
      </c>
      <c r="K859" s="4837">
        <v>38304.399461863381</v>
      </c>
      <c r="L859" s="4834">
        <f t="shared" si="57"/>
        <v>3.3689734737681438E-5</v>
      </c>
      <c r="S859" s="270" t="s">
        <v>11938</v>
      </c>
      <c r="T859" s="4838">
        <v>554.60037830883266</v>
      </c>
      <c r="U859" s="4839">
        <f t="shared" si="56"/>
        <v>2.0012078994689924E-3</v>
      </c>
    </row>
    <row r="860" spans="1:21">
      <c r="A860" s="270" t="s">
        <v>11939</v>
      </c>
      <c r="B860" s="3305">
        <v>6134.5</v>
      </c>
      <c r="C860" s="4834">
        <f t="shared" si="54"/>
        <v>3.042889297403606E-4</v>
      </c>
      <c r="D860" s="3" t="str">
        <f t="shared" si="55"/>
        <v>2015</v>
      </c>
      <c r="J860" s="270" t="s">
        <v>11943</v>
      </c>
      <c r="K860" s="4837">
        <v>38577.680807696714</v>
      </c>
      <c r="L860" s="4834">
        <f t="shared" si="57"/>
        <v>3.4849537422003809E-5</v>
      </c>
      <c r="S860" s="270" t="s">
        <v>11939</v>
      </c>
      <c r="T860" s="4838">
        <v>539.81103488726376</v>
      </c>
      <c r="U860" s="4839">
        <f t="shared" si="56"/>
        <v>1.9080983837188891E-3</v>
      </c>
    </row>
    <row r="861" spans="1:21">
      <c r="A861" s="270" t="s">
        <v>11940</v>
      </c>
      <c r="B861" s="3305">
        <v>6085</v>
      </c>
      <c r="C861" s="4834">
        <f t="shared" si="54"/>
        <v>2.9951214212200865E-4</v>
      </c>
      <c r="D861" s="3" t="str">
        <f t="shared" si="55"/>
        <v>2015</v>
      </c>
      <c r="J861" s="270" t="s">
        <v>11944</v>
      </c>
      <c r="K861" s="4837">
        <v>38349.410507059452</v>
      </c>
      <c r="L861" s="4834">
        <f t="shared" si="57"/>
        <v>3.3881138119491711E-5</v>
      </c>
      <c r="S861" s="270" t="s">
        <v>11940</v>
      </c>
      <c r="T861" s="4838">
        <v>535.63143783334226</v>
      </c>
      <c r="U861" s="4839">
        <f t="shared" si="56"/>
        <v>1.880122414065648E-3</v>
      </c>
    </row>
    <row r="862" spans="1:21">
      <c r="A862" s="270" t="s">
        <v>11941</v>
      </c>
      <c r="B862" s="3305">
        <v>6117</v>
      </c>
      <c r="C862" s="4834">
        <f t="shared" si="54"/>
        <v>3.0264809211433253E-4</v>
      </c>
      <c r="D862" s="3" t="str">
        <f t="shared" si="55"/>
        <v>2015</v>
      </c>
      <c r="J862" s="270" t="s">
        <v>11945</v>
      </c>
      <c r="K862" s="4837">
        <v>38259.388416667301</v>
      </c>
      <c r="L862" s="4834">
        <f t="shared" si="57"/>
        <v>3.3498216658734854E-5</v>
      </c>
      <c r="S862" s="270" t="s">
        <v>11941</v>
      </c>
      <c r="T862" s="4838">
        <v>536.27445276471474</v>
      </c>
      <c r="U862" s="4839">
        <f t="shared" si="56"/>
        <v>1.8844701345232433E-3</v>
      </c>
    </row>
    <row r="863" spans="1:21">
      <c r="A863" s="270" t="s">
        <v>11942</v>
      </c>
      <c r="B863" s="3305">
        <v>6088.5</v>
      </c>
      <c r="C863" s="4834">
        <f t="shared" si="54"/>
        <v>2.99863532381665E-4</v>
      </c>
      <c r="D863" s="3" t="str">
        <f t="shared" si="55"/>
        <v>2015</v>
      </c>
      <c r="J863" s="270" t="s">
        <v>11946</v>
      </c>
      <c r="K863" s="4837">
        <v>37809.277964706504</v>
      </c>
      <c r="L863" s="4834">
        <f t="shared" si="57"/>
        <v>3.1579834641688632E-5</v>
      </c>
      <c r="S863" s="270" t="s">
        <v>11942</v>
      </c>
      <c r="T863" s="4838">
        <v>535.95294529902844</v>
      </c>
      <c r="U863" s="4839">
        <f t="shared" si="56"/>
        <v>1.8822982233006348E-3</v>
      </c>
    </row>
    <row r="864" spans="1:21">
      <c r="A864" s="270" t="s">
        <v>11943</v>
      </c>
      <c r="B864" s="3305">
        <v>5970.5</v>
      </c>
      <c r="C864" s="4834">
        <f t="shared" si="54"/>
        <v>2.8694389239862441E-4</v>
      </c>
      <c r="D864" s="3" t="str">
        <f t="shared" si="55"/>
        <v>2015</v>
      </c>
      <c r="J864" s="270" t="s">
        <v>11947</v>
      </c>
      <c r="K864" s="4837">
        <v>37442.759453824146</v>
      </c>
      <c r="L864" s="4834">
        <f t="shared" si="57"/>
        <v>3.0019894632814711E-5</v>
      </c>
      <c r="S864" s="270" t="s">
        <v>11943</v>
      </c>
      <c r="T864" s="4838">
        <v>534.02390050491078</v>
      </c>
      <c r="U864" s="4839">
        <f t="shared" si="56"/>
        <v>1.8691855742600859E-3</v>
      </c>
    </row>
    <row r="865" spans="1:21">
      <c r="A865" s="270" t="s">
        <v>11944</v>
      </c>
      <c r="B865" s="3305">
        <v>5998.5</v>
      </c>
      <c r="C865" s="4834">
        <f t="shared" si="54"/>
        <v>2.9020229489422876E-4</v>
      </c>
      <c r="D865" s="3" t="str">
        <f t="shared" si="55"/>
        <v>2015</v>
      </c>
      <c r="J865" s="270" t="s">
        <v>11948</v>
      </c>
      <c r="K865" s="4837">
        <v>37706.395575686896</v>
      </c>
      <c r="L865" s="4834">
        <f t="shared" si="57"/>
        <v>3.1141391225903079E-5</v>
      </c>
      <c r="S865" s="270" t="s">
        <v>11944</v>
      </c>
      <c r="T865" s="4838">
        <v>536.91746769608733</v>
      </c>
      <c r="U865" s="4839">
        <f t="shared" si="56"/>
        <v>1.8888021857668951E-3</v>
      </c>
    </row>
    <row r="866" spans="1:21">
      <c r="A866" s="270" t="s">
        <v>11945</v>
      </c>
      <c r="B866" s="3305">
        <v>5992</v>
      </c>
      <c r="C866" s="4834">
        <f t="shared" si="54"/>
        <v>2.8945610024349341E-4</v>
      </c>
      <c r="D866" s="3" t="str">
        <f t="shared" si="55"/>
        <v>2015</v>
      </c>
      <c r="J866" s="270" t="s">
        <v>11949</v>
      </c>
      <c r="K866" s="4837">
        <v>37854.28900990259</v>
      </c>
      <c r="L866" s="4834">
        <f t="shared" si="57"/>
        <v>3.1771726040514545E-5</v>
      </c>
      <c r="S866" s="270" t="s">
        <v>11945</v>
      </c>
      <c r="T866" s="4838">
        <v>533.70239303922449</v>
      </c>
      <c r="U866" s="4839">
        <f t="shared" si="56"/>
        <v>1.8669867831188328E-3</v>
      </c>
    </row>
    <row r="867" spans="1:21">
      <c r="A867" s="270" t="s">
        <v>11946</v>
      </c>
      <c r="B867" s="3305">
        <v>5954</v>
      </c>
      <c r="C867" s="4834">
        <f t="shared" si="54"/>
        <v>2.8497106634974901E-4</v>
      </c>
      <c r="D867" s="3" t="str">
        <f t="shared" si="55"/>
        <v>2015</v>
      </c>
      <c r="J867" s="270" t="s">
        <v>11950</v>
      </c>
      <c r="K867" s="4837">
        <v>38211.162296814357</v>
      </c>
      <c r="L867" s="4834">
        <f t="shared" si="57"/>
        <v>3.3292907669889512E-5</v>
      </c>
      <c r="S867" s="270" t="s">
        <v>11946</v>
      </c>
      <c r="T867" s="4838">
        <v>529.52279598530288</v>
      </c>
      <c r="U867" s="4839">
        <f t="shared" si="56"/>
        <v>1.8380672000459363E-3</v>
      </c>
    </row>
    <row r="868" spans="1:21">
      <c r="A868" s="270" t="s">
        <v>11947</v>
      </c>
      <c r="B868" s="3305">
        <v>5924.5</v>
      </c>
      <c r="C868" s="4834">
        <f t="shared" si="54"/>
        <v>2.813501611630048E-4</v>
      </c>
      <c r="D868" s="3" t="str">
        <f t="shared" si="55"/>
        <v>2015</v>
      </c>
      <c r="J868" s="270" t="s">
        <v>11951</v>
      </c>
      <c r="K868" s="4837">
        <v>37889.654831128079</v>
      </c>
      <c r="L868" s="4834">
        <f t="shared" si="57"/>
        <v>3.1922515939584306E-5</v>
      </c>
      <c r="S868" s="270" t="s">
        <v>11947</v>
      </c>
      <c r="T868" s="4838">
        <v>519.23455708334188</v>
      </c>
      <c r="U868" s="4839">
        <f t="shared" si="56"/>
        <v>1.7644440435841534E-3</v>
      </c>
    </row>
    <row r="869" spans="1:21">
      <c r="A869" s="270" t="s">
        <v>11948</v>
      </c>
      <c r="B869" s="3305">
        <v>5915</v>
      </c>
      <c r="C869" s="4834">
        <f t="shared" si="54"/>
        <v>2.8015927794174545E-4</v>
      </c>
      <c r="D869" s="3" t="str">
        <f t="shared" si="55"/>
        <v>2015</v>
      </c>
      <c r="J869" s="270" t="s">
        <v>11952</v>
      </c>
      <c r="K869" s="4837">
        <v>38027.903041373174</v>
      </c>
      <c r="L869" s="4834">
        <f t="shared" si="57"/>
        <v>3.2511989365332743E-5</v>
      </c>
      <c r="S869" s="270" t="s">
        <v>11948</v>
      </c>
      <c r="T869" s="4838">
        <v>516.34098989216534</v>
      </c>
      <c r="U869" s="4839">
        <f t="shared" si="56"/>
        <v>1.7431787067159132E-3</v>
      </c>
    </row>
    <row r="870" spans="1:21">
      <c r="A870" s="270" t="s">
        <v>11949</v>
      </c>
      <c r="B870" s="3305">
        <v>5989</v>
      </c>
      <c r="C870" s="4834">
        <f t="shared" si="54"/>
        <v>2.8910959968245193E-4</v>
      </c>
      <c r="D870" s="3" t="str">
        <f t="shared" si="55"/>
        <v>2015</v>
      </c>
      <c r="J870" s="270" t="s">
        <v>11953</v>
      </c>
      <c r="K870" s="4837">
        <v>37982.891996177103</v>
      </c>
      <c r="L870" s="4834">
        <f t="shared" si="57"/>
        <v>3.2320077459954543E-5</v>
      </c>
      <c r="S870" s="270" t="s">
        <v>11949</v>
      </c>
      <c r="T870" s="4838">
        <v>518.59154215196929</v>
      </c>
      <c r="U870" s="4839">
        <f t="shared" si="56"/>
        <v>1.7597380436730583E-3</v>
      </c>
    </row>
    <row r="871" spans="1:21">
      <c r="A871" s="270" t="s">
        <v>11950</v>
      </c>
      <c r="B871" s="3305">
        <v>6045.5</v>
      </c>
      <c r="C871" s="4834">
        <f t="shared" si="54"/>
        <v>2.954073492675523E-4</v>
      </c>
      <c r="D871" s="3" t="str">
        <f t="shared" si="55"/>
        <v>2015</v>
      </c>
      <c r="J871" s="270" t="s">
        <v>11954</v>
      </c>
      <c r="K871" s="4837">
        <v>37865.541771201606</v>
      </c>
      <c r="L871" s="4834">
        <f t="shared" si="57"/>
        <v>3.181970329657535E-5</v>
      </c>
      <c r="S871" s="270" t="s">
        <v>11950</v>
      </c>
      <c r="T871" s="4838">
        <v>518.59154215196929</v>
      </c>
      <c r="U871" s="4839">
        <f t="shared" si="56"/>
        <v>1.7597380436730583E-3</v>
      </c>
    </row>
    <row r="872" spans="1:21">
      <c r="A872" s="270" t="s">
        <v>11951</v>
      </c>
      <c r="B872" s="3305">
        <v>5906</v>
      </c>
      <c r="C872" s="4834">
        <f t="shared" si="54"/>
        <v>2.7902021479732196E-4</v>
      </c>
      <c r="D872" s="3" t="str">
        <f t="shared" si="55"/>
        <v>2015</v>
      </c>
      <c r="J872" s="270" t="s">
        <v>11955</v>
      </c>
      <c r="K872" s="4837">
        <v>37873.579457843764</v>
      </c>
      <c r="L872" s="4834">
        <f t="shared" si="57"/>
        <v>3.1853973597463773E-5</v>
      </c>
      <c r="S872" s="270" t="s">
        <v>11951</v>
      </c>
      <c r="T872" s="4838">
        <v>510.23234804412596</v>
      </c>
      <c r="U872" s="4839">
        <f t="shared" si="56"/>
        <v>1.6975850141175339E-3</v>
      </c>
    </row>
    <row r="873" spans="1:21">
      <c r="A873" s="270" t="s">
        <v>11952</v>
      </c>
      <c r="B873" s="3305">
        <v>5888.5</v>
      </c>
      <c r="C873" s="4834">
        <f t="shared" si="54"/>
        <v>2.7677576119691897E-4</v>
      </c>
      <c r="D873" s="3" t="str">
        <f t="shared" si="55"/>
        <v>2015</v>
      </c>
      <c r="J873" s="270" t="s">
        <v>11956</v>
      </c>
      <c r="K873" s="4837">
        <v>38640.374763505533</v>
      </c>
      <c r="L873" s="4834">
        <f t="shared" si="57"/>
        <v>3.5114673710257649E-5</v>
      </c>
      <c r="S873" s="270" t="s">
        <v>11952</v>
      </c>
      <c r="T873" s="4838">
        <v>512.16139283824373</v>
      </c>
      <c r="U873" s="4839">
        <f t="shared" si="56"/>
        <v>1.7120800078068443E-3</v>
      </c>
    </row>
    <row r="874" spans="1:21">
      <c r="A874" s="270" t="s">
        <v>11953</v>
      </c>
      <c r="B874" s="3305">
        <v>5760.5</v>
      </c>
      <c r="C874" s="4834">
        <f t="shared" si="54"/>
        <v>2.5928203312100057E-4</v>
      </c>
      <c r="D874" s="3" t="str">
        <f t="shared" si="55"/>
        <v>2015</v>
      </c>
      <c r="J874" s="270" t="s">
        <v>11957</v>
      </c>
      <c r="K874" s="4837">
        <v>38690.208420686911</v>
      </c>
      <c r="L874" s="4834">
        <f t="shared" si="57"/>
        <v>3.5325115820910674E-5</v>
      </c>
      <c r="S874" s="270" t="s">
        <v>11953</v>
      </c>
      <c r="T874" s="4838">
        <v>512.16139283824373</v>
      </c>
      <c r="U874" s="4839">
        <f t="shared" si="56"/>
        <v>1.7120800078068443E-3</v>
      </c>
    </row>
    <row r="875" spans="1:21">
      <c r="A875" s="270" t="s">
        <v>11954</v>
      </c>
      <c r="B875" s="3305">
        <v>5752</v>
      </c>
      <c r="C875" s="4834">
        <f t="shared" si="54"/>
        <v>2.5806031926501168E-4</v>
      </c>
      <c r="D875" s="3" t="str">
        <f t="shared" si="55"/>
        <v>2015</v>
      </c>
      <c r="J875" s="270" t="s">
        <v>11958</v>
      </c>
      <c r="K875" s="4837">
        <v>38114.710057108474</v>
      </c>
      <c r="L875" s="4834">
        <f t="shared" si="57"/>
        <v>3.2882013732071328E-5</v>
      </c>
      <c r="S875" s="270" t="s">
        <v>11954</v>
      </c>
      <c r="T875" s="4838">
        <v>515.37646749510657</v>
      </c>
      <c r="U875" s="4839">
        <f t="shared" si="56"/>
        <v>1.7360409734682801E-3</v>
      </c>
    </row>
    <row r="876" spans="1:21">
      <c r="A876" s="270" t="s">
        <v>11955</v>
      </c>
      <c r="B876" s="3305">
        <v>5749</v>
      </c>
      <c r="C876" s="4834">
        <f t="shared" si="54"/>
        <v>2.5762753500796628E-4</v>
      </c>
      <c r="D876" s="3" t="str">
        <f t="shared" si="55"/>
        <v>2015</v>
      </c>
      <c r="J876" s="270" t="s">
        <v>11959</v>
      </c>
      <c r="K876" s="4837">
        <v>37873.579457843764</v>
      </c>
      <c r="L876" s="4834">
        <f t="shared" si="57"/>
        <v>3.1853973597463773E-5</v>
      </c>
      <c r="S876" s="270" t="s">
        <v>11955</v>
      </c>
      <c r="T876" s="4838">
        <v>513.76893016667509</v>
      </c>
      <c r="U876" s="4839">
        <f t="shared" si="56"/>
        <v>1.7240922370112303E-3</v>
      </c>
    </row>
    <row r="877" spans="1:21">
      <c r="A877" s="270" t="s">
        <v>11956</v>
      </c>
      <c r="B877" s="3305">
        <v>5761</v>
      </c>
      <c r="C877" s="4834">
        <f t="shared" si="54"/>
        <v>2.5935368891134001E-4</v>
      </c>
      <c r="D877" s="3" t="str">
        <f t="shared" si="55"/>
        <v>2015</v>
      </c>
      <c r="J877" s="270" t="s">
        <v>11960</v>
      </c>
      <c r="K877" s="4837">
        <v>37736.938784927093</v>
      </c>
      <c r="L877" s="4834">
        <f t="shared" si="57"/>
        <v>3.1271523730880976E-5</v>
      </c>
      <c r="S877" s="270" t="s">
        <v>11956</v>
      </c>
      <c r="T877" s="4838">
        <v>522.12812427451843</v>
      </c>
      <c r="U877" s="4839">
        <f t="shared" si="56"/>
        <v>1.7854763363817786E-3</v>
      </c>
    </row>
    <row r="878" spans="1:21">
      <c r="A878" s="270" t="s">
        <v>11957</v>
      </c>
      <c r="B878" s="3305">
        <v>5663</v>
      </c>
      <c r="C878" s="4834">
        <f t="shared" si="54"/>
        <v>2.4489845628749619E-4</v>
      </c>
      <c r="D878" s="3" t="str">
        <f t="shared" si="55"/>
        <v>2015</v>
      </c>
      <c r="J878" s="270" t="s">
        <v>11961</v>
      </c>
      <c r="K878" s="4837">
        <v>37701.572963701605</v>
      </c>
      <c r="L878" s="4834">
        <f t="shared" si="57"/>
        <v>3.1120846781276771E-5</v>
      </c>
      <c r="S878" s="270" t="s">
        <v>11957</v>
      </c>
      <c r="T878" s="4838">
        <v>518.27003468628311</v>
      </c>
      <c r="U878" s="4839">
        <f t="shared" si="56"/>
        <v>1.7573807776506635E-3</v>
      </c>
    </row>
    <row r="879" spans="1:21">
      <c r="A879" s="270" t="s">
        <v>11958</v>
      </c>
      <c r="B879" s="3305">
        <v>5646</v>
      </c>
      <c r="C879" s="4834">
        <f t="shared" si="54"/>
        <v>2.4231602444851078E-4</v>
      </c>
      <c r="D879" s="3" t="str">
        <f t="shared" si="55"/>
        <v>2015</v>
      </c>
      <c r="J879" s="270" t="s">
        <v>11962</v>
      </c>
      <c r="K879" s="4837">
        <v>37632.448858579053</v>
      </c>
      <c r="L879" s="4834">
        <f t="shared" si="57"/>
        <v>3.0826473041588525E-5</v>
      </c>
      <c r="S879" s="270" t="s">
        <v>11958</v>
      </c>
      <c r="T879" s="4838">
        <v>520.52058694608706</v>
      </c>
      <c r="U879" s="4839">
        <f t="shared" si="56"/>
        <v>1.7738213594760614E-3</v>
      </c>
    </row>
    <row r="880" spans="1:21">
      <c r="A880" s="270" t="s">
        <v>11959</v>
      </c>
      <c r="B880" s="3305">
        <v>5725</v>
      </c>
      <c r="C880" s="4834">
        <f t="shared" si="54"/>
        <v>2.5413631061588525E-4</v>
      </c>
      <c r="D880" s="3" t="str">
        <f t="shared" si="55"/>
        <v>2015</v>
      </c>
      <c r="J880" s="270" t="s">
        <v>11963</v>
      </c>
      <c r="K880" s="4837">
        <v>37809.277964706504</v>
      </c>
      <c r="L880" s="4834">
        <f t="shared" si="57"/>
        <v>3.1579834641688632E-5</v>
      </c>
      <c r="S880" s="270" t="s">
        <v>11959</v>
      </c>
      <c r="T880" s="4838">
        <v>513.12591523530261</v>
      </c>
      <c r="U880" s="4839">
        <f t="shared" si="56"/>
        <v>1.7192948255446473E-3</v>
      </c>
    </row>
    <row r="881" spans="1:21">
      <c r="A881" s="270" t="s">
        <v>11960</v>
      </c>
      <c r="B881" s="3305">
        <v>5765</v>
      </c>
      <c r="C881" s="4834">
        <f t="shared" si="54"/>
        <v>2.5992608682221761E-4</v>
      </c>
      <c r="D881" s="3" t="str">
        <f t="shared" si="55"/>
        <v>2015</v>
      </c>
      <c r="J881" s="270" t="s">
        <v>11964</v>
      </c>
      <c r="K881" s="4837">
        <v>37648.524231863368</v>
      </c>
      <c r="L881" s="4834">
        <f t="shared" si="57"/>
        <v>3.0894914738410133E-5</v>
      </c>
      <c r="S881" s="270" t="s">
        <v>11960</v>
      </c>
      <c r="T881" s="4838">
        <v>510.8753629754986</v>
      </c>
      <c r="U881" s="4839">
        <f t="shared" si="56"/>
        <v>1.7024261763115799E-3</v>
      </c>
    </row>
    <row r="882" spans="1:21">
      <c r="A882" s="270" t="s">
        <v>11961</v>
      </c>
      <c r="B882" s="3305">
        <v>5715.5</v>
      </c>
      <c r="C882" s="4834">
        <f t="shared" si="54"/>
        <v>2.5274062248947966E-4</v>
      </c>
      <c r="D882" s="3" t="str">
        <f t="shared" si="55"/>
        <v>2015</v>
      </c>
      <c r="J882" s="270" t="s">
        <v>11965</v>
      </c>
      <c r="K882" s="4837">
        <v>37552.071992157478</v>
      </c>
      <c r="L882" s="4834">
        <f t="shared" si="57"/>
        <v>3.0484449738647068E-5</v>
      </c>
      <c r="S882" s="270" t="s">
        <v>11961</v>
      </c>
      <c r="T882" s="4838">
        <v>507.01727338726323</v>
      </c>
      <c r="U882" s="4839">
        <f t="shared" si="56"/>
        <v>1.6732430774757741E-3</v>
      </c>
    </row>
    <row r="883" spans="1:21">
      <c r="A883" s="270" t="s">
        <v>11962</v>
      </c>
      <c r="B883" s="3305">
        <v>5731</v>
      </c>
      <c r="C883" s="4834">
        <f t="shared" si="54"/>
        <v>2.5501384944378203E-4</v>
      </c>
      <c r="D883" s="3" t="str">
        <f t="shared" si="55"/>
        <v>2015</v>
      </c>
      <c r="J883" s="270" t="s">
        <v>11966</v>
      </c>
      <c r="K883" s="4837">
        <v>37463.65743909376</v>
      </c>
      <c r="L883" s="4834">
        <f t="shared" si="57"/>
        <v>3.0108646128965653E-5</v>
      </c>
      <c r="S883" s="270" t="s">
        <v>11962</v>
      </c>
      <c r="T883" s="4838">
        <v>508.94631818138095</v>
      </c>
      <c r="U883" s="4839">
        <f t="shared" si="56"/>
        <v>1.6878749894784402E-3</v>
      </c>
    </row>
    <row r="884" spans="1:21">
      <c r="A884" s="270" t="s">
        <v>11963</v>
      </c>
      <c r="B884" s="3305">
        <v>5767</v>
      </c>
      <c r="C884" s="4834">
        <f t="shared" si="54"/>
        <v>2.6021171700924749E-4</v>
      </c>
      <c r="D884" s="3" t="str">
        <f t="shared" si="55"/>
        <v>2015</v>
      </c>
      <c r="J884" s="270" t="s">
        <v>11967</v>
      </c>
      <c r="K884" s="4837">
        <v>37550.464454829053</v>
      </c>
      <c r="L884" s="4834">
        <f t="shared" si="57"/>
        <v>3.0477612728786644E-5</v>
      </c>
      <c r="S884" s="270" t="s">
        <v>11963</v>
      </c>
      <c r="T884" s="4838">
        <v>508.94631818138095</v>
      </c>
      <c r="U884" s="4839">
        <f t="shared" si="56"/>
        <v>1.6878749894784402E-3</v>
      </c>
    </row>
    <row r="885" spans="1:21">
      <c r="A885" s="270" t="s">
        <v>11964</v>
      </c>
      <c r="B885" s="3305">
        <v>5721</v>
      </c>
      <c r="C885" s="4834">
        <f t="shared" si="54"/>
        <v>2.5354957751386962E-4</v>
      </c>
      <c r="D885" s="3" t="str">
        <f t="shared" si="55"/>
        <v>2015</v>
      </c>
      <c r="J885" s="270" t="s">
        <v>11968</v>
      </c>
      <c r="K885" s="4837">
        <v>37487.770499020226</v>
      </c>
      <c r="L885" s="4834">
        <f t="shared" si="57"/>
        <v>3.0211088880249531E-5</v>
      </c>
      <c r="S885" s="270" t="s">
        <v>11964</v>
      </c>
      <c r="T885" s="4838">
        <v>504.76672112745922</v>
      </c>
      <c r="U885" s="4839">
        <f t="shared" si="56"/>
        <v>1.656076183078898E-3</v>
      </c>
    </row>
    <row r="886" spans="1:21">
      <c r="A886" s="270" t="s">
        <v>11965</v>
      </c>
      <c r="B886" s="3305">
        <v>5755.5</v>
      </c>
      <c r="C886" s="4834">
        <f t="shared" si="54"/>
        <v>2.5856418962536502E-4</v>
      </c>
      <c r="D886" s="3" t="str">
        <f t="shared" si="55"/>
        <v>2015</v>
      </c>
      <c r="J886" s="270" t="s">
        <v>11969</v>
      </c>
      <c r="K886" s="4837">
        <v>37174.300719976105</v>
      </c>
      <c r="L886" s="4834">
        <f t="shared" si="57"/>
        <v>2.8883001550420678E-5</v>
      </c>
      <c r="S886" s="270" t="s">
        <v>11965</v>
      </c>
      <c r="T886" s="4838">
        <v>502.51616886765538</v>
      </c>
      <c r="U886" s="4839">
        <f t="shared" si="56"/>
        <v>1.6388119911254417E-3</v>
      </c>
    </row>
    <row r="887" spans="1:21">
      <c r="A887" s="270" t="s">
        <v>11966</v>
      </c>
      <c r="B887" s="3305">
        <v>5761</v>
      </c>
      <c r="C887" s="4834">
        <f t="shared" si="54"/>
        <v>2.5935368891134001E-4</v>
      </c>
      <c r="D887" s="3" t="str">
        <f t="shared" si="55"/>
        <v>2015</v>
      </c>
      <c r="J887" s="270" t="s">
        <v>11970</v>
      </c>
      <c r="K887" s="4837">
        <v>37246.639899755515</v>
      </c>
      <c r="L887" s="4834">
        <f t="shared" si="57"/>
        <v>2.9188691249752299E-5</v>
      </c>
      <c r="S887" s="270" t="s">
        <v>11966</v>
      </c>
      <c r="T887" s="4838">
        <v>501.87315393628273</v>
      </c>
      <c r="U887" s="4839">
        <f t="shared" si="56"/>
        <v>1.6338624382665468E-3</v>
      </c>
    </row>
    <row r="888" spans="1:21">
      <c r="A888" s="270" t="s">
        <v>11967</v>
      </c>
      <c r="B888" s="3305">
        <v>5761.5</v>
      </c>
      <c r="C888" s="4834">
        <f t="shared" si="54"/>
        <v>2.594253212056152E-4</v>
      </c>
      <c r="D888" s="3" t="str">
        <f t="shared" si="55"/>
        <v>2015</v>
      </c>
      <c r="J888" s="270" t="s">
        <v>11971</v>
      </c>
      <c r="K888" s="4837">
        <v>37431.506692525123</v>
      </c>
      <c r="L888" s="4834">
        <f t="shared" si="57"/>
        <v>2.997211823303382E-5</v>
      </c>
      <c r="S888" s="270" t="s">
        <v>11967</v>
      </c>
      <c r="T888" s="4838">
        <v>502.83767633334162</v>
      </c>
      <c r="U888" s="4839">
        <f t="shared" si="56"/>
        <v>1.6412840053868347E-3</v>
      </c>
    </row>
    <row r="889" spans="1:21">
      <c r="A889" s="270" t="s">
        <v>11968</v>
      </c>
      <c r="B889" s="3305">
        <v>5570</v>
      </c>
      <c r="C889" s="4834">
        <f t="shared" si="54"/>
        <v>2.3055539330310486E-4</v>
      </c>
      <c r="D889" s="3" t="str">
        <f t="shared" si="55"/>
        <v>2015</v>
      </c>
      <c r="J889" s="270" t="s">
        <v>11972</v>
      </c>
      <c r="K889" s="4837">
        <v>37272.360497010421</v>
      </c>
      <c r="L889" s="4834">
        <f t="shared" si="57"/>
        <v>2.9297507749859987E-5</v>
      </c>
      <c r="S889" s="270" t="s">
        <v>11968</v>
      </c>
      <c r="T889" s="4838">
        <v>501.2301390049102</v>
      </c>
      <c r="U889" s="4839">
        <f t="shared" si="56"/>
        <v>1.6289056503859581E-3</v>
      </c>
    </row>
    <row r="890" spans="1:21">
      <c r="A890" s="270" t="s">
        <v>11969</v>
      </c>
      <c r="B890" s="3305">
        <v>5440.5</v>
      </c>
      <c r="C890" s="4834">
        <f t="shared" si="54"/>
        <v>2.0994249658925205E-4</v>
      </c>
      <c r="D890" s="3" t="str">
        <f t="shared" si="55"/>
        <v>2015</v>
      </c>
      <c r="J890" s="270" t="s">
        <v>11973</v>
      </c>
      <c r="K890" s="4837">
        <v>37101.961540196688</v>
      </c>
      <c r="L890" s="4834">
        <f t="shared" si="57"/>
        <v>2.8577877850715372E-5</v>
      </c>
      <c r="S890" s="270" t="s">
        <v>11969</v>
      </c>
      <c r="T890" s="4838">
        <v>501.87315393628273</v>
      </c>
      <c r="U890" s="4839">
        <f t="shared" si="56"/>
        <v>1.6338624382665468E-3</v>
      </c>
    </row>
    <row r="891" spans="1:21">
      <c r="A891" s="270" t="s">
        <v>11970</v>
      </c>
      <c r="B891" s="3305">
        <v>5375</v>
      </c>
      <c r="C891" s="4834">
        <f t="shared" si="54"/>
        <v>1.9937728908680678E-4</v>
      </c>
      <c r="D891" s="3" t="str">
        <f t="shared" si="55"/>
        <v>2015</v>
      </c>
      <c r="J891" s="270" t="s">
        <v>11974</v>
      </c>
      <c r="K891" s="4837">
        <v>37211.274078530034</v>
      </c>
      <c r="L891" s="4834">
        <f t="shared" si="57"/>
        <v>2.9039175410932799E-5</v>
      </c>
      <c r="S891" s="270" t="s">
        <v>11970</v>
      </c>
      <c r="T891" s="4838">
        <v>481.93969106373345</v>
      </c>
      <c r="U891" s="4839">
        <f t="shared" si="56"/>
        <v>1.4776069072222611E-3</v>
      </c>
    </row>
    <row r="892" spans="1:21">
      <c r="A892" s="270" t="s">
        <v>11971</v>
      </c>
      <c r="B892" s="3305">
        <v>5576</v>
      </c>
      <c r="C892" s="4834">
        <f t="shared" si="54"/>
        <v>2.3149519310958349E-4</v>
      </c>
      <c r="D892" s="3" t="str">
        <f t="shared" si="55"/>
        <v>2015</v>
      </c>
      <c r="J892" s="270" t="s">
        <v>11975</v>
      </c>
      <c r="K892" s="4837">
        <v>36889.766612843749</v>
      </c>
      <c r="L892" s="4834">
        <f t="shared" si="57"/>
        <v>2.7686584588529584E-5</v>
      </c>
      <c r="S892" s="270" t="s">
        <v>11971</v>
      </c>
      <c r="T892" s="4838">
        <v>494.4784822254984</v>
      </c>
      <c r="U892" s="4839">
        <f t="shared" si="56"/>
        <v>1.5764618762748807E-3</v>
      </c>
    </row>
    <row r="893" spans="1:21">
      <c r="A893" s="270" t="s">
        <v>11972</v>
      </c>
      <c r="B893" s="3305">
        <v>5561.5</v>
      </c>
      <c r="C893" s="4834">
        <f t="shared" si="54"/>
        <v>2.2922110686225336E-4</v>
      </c>
      <c r="D893" s="3" t="str">
        <f t="shared" si="55"/>
        <v>2015</v>
      </c>
      <c r="J893" s="270" t="s">
        <v>11976</v>
      </c>
      <c r="K893" s="4837">
        <v>36793.314373137866</v>
      </c>
      <c r="L893" s="4834">
        <f t="shared" si="57"/>
        <v>2.7283535926539173E-5</v>
      </c>
      <c r="S893" s="270" t="s">
        <v>11972</v>
      </c>
      <c r="T893" s="4838">
        <v>496.72903448530229</v>
      </c>
      <c r="U893" s="4839">
        <f t="shared" si="56"/>
        <v>1.5940186972499104E-3</v>
      </c>
    </row>
    <row r="894" spans="1:21">
      <c r="A894" s="270" t="s">
        <v>11973</v>
      </c>
      <c r="B894" s="3305">
        <v>5605.5</v>
      </c>
      <c r="C894" s="4834">
        <f t="shared" si="54"/>
        <v>2.3608934673414683E-4</v>
      </c>
      <c r="D894" s="3" t="str">
        <f t="shared" si="55"/>
        <v>2015</v>
      </c>
      <c r="J894" s="270" t="s">
        <v>11977</v>
      </c>
      <c r="K894" s="4837">
        <v>36420.365712941777</v>
      </c>
      <c r="L894" s="4834">
        <f t="shared" si="57"/>
        <v>2.5739790183826326E-5</v>
      </c>
      <c r="S894" s="270" t="s">
        <v>11973</v>
      </c>
      <c r="T894" s="4838">
        <v>496.72903448530229</v>
      </c>
      <c r="U894" s="4839">
        <f t="shared" si="56"/>
        <v>1.5940186972499104E-3</v>
      </c>
    </row>
    <row r="895" spans="1:21">
      <c r="A895" s="270" t="s">
        <v>11974</v>
      </c>
      <c r="B895" s="3305">
        <v>5502.5</v>
      </c>
      <c r="C895" s="4834">
        <f t="shared" si="54"/>
        <v>2.19877489920828E-4</v>
      </c>
      <c r="D895" s="3" t="str">
        <f t="shared" si="55"/>
        <v>2015</v>
      </c>
      <c r="J895" s="270" t="s">
        <v>11978</v>
      </c>
      <c r="K895" s="4837">
        <v>35513.714659706464</v>
      </c>
      <c r="L895" s="4834">
        <f t="shared" si="57"/>
        <v>2.2114186995277815E-5</v>
      </c>
      <c r="S895" s="270" t="s">
        <v>11974</v>
      </c>
      <c r="T895" s="4838">
        <v>491.2634075686355</v>
      </c>
      <c r="U895" s="4839">
        <f t="shared" si="56"/>
        <v>1.5512666228322265E-3</v>
      </c>
    </row>
    <row r="896" spans="1:21">
      <c r="A896" s="270" t="s">
        <v>11975</v>
      </c>
      <c r="B896" s="3305">
        <v>5597</v>
      </c>
      <c r="C896" s="4834">
        <f t="shared" si="54"/>
        <v>2.3477032414989321E-4</v>
      </c>
      <c r="D896" s="3" t="str">
        <f t="shared" si="55"/>
        <v>2015</v>
      </c>
      <c r="J896" s="270" t="s">
        <v>11979</v>
      </c>
      <c r="K896" s="4837">
        <v>35545.865406275094</v>
      </c>
      <c r="L896" s="4834">
        <f t="shared" si="57"/>
        <v>2.2239071518438312E-5</v>
      </c>
      <c r="S896" s="270" t="s">
        <v>11975</v>
      </c>
      <c r="T896" s="4838">
        <v>492.22792996569444</v>
      </c>
      <c r="U896" s="4839">
        <f t="shared" si="56"/>
        <v>1.5588383484977486E-3</v>
      </c>
    </row>
    <row r="897" spans="1:21">
      <c r="A897" s="270" t="s">
        <v>11976</v>
      </c>
      <c r="B897" s="3305">
        <v>5530</v>
      </c>
      <c r="C897" s="4834">
        <f t="shared" si="54"/>
        <v>2.2424904197738881E-4</v>
      </c>
      <c r="D897" s="3" t="str">
        <f t="shared" si="55"/>
        <v>2015</v>
      </c>
      <c r="J897" s="270" t="s">
        <v>11980</v>
      </c>
      <c r="K897" s="4837">
        <v>34999.302714608421</v>
      </c>
      <c r="L897" s="4834">
        <f t="shared" si="57"/>
        <v>2.0158783328249168E-5</v>
      </c>
      <c r="S897" s="270" t="s">
        <v>11976</v>
      </c>
      <c r="T897" s="4838">
        <v>480.01064626961573</v>
      </c>
      <c r="U897" s="4839">
        <f t="shared" si="56"/>
        <v>1.4622864045026438E-3</v>
      </c>
    </row>
    <row r="898" spans="1:21">
      <c r="A898" s="270" t="s">
        <v>11977</v>
      </c>
      <c r="B898" s="3305">
        <v>5465</v>
      </c>
      <c r="C898" s="4834">
        <f t="shared" si="54"/>
        <v>2.1387920007672997E-4</v>
      </c>
      <c r="D898" s="3" t="str">
        <f t="shared" si="55"/>
        <v>2015</v>
      </c>
      <c r="J898" s="270" t="s">
        <v>11981</v>
      </c>
      <c r="K898" s="4837">
        <v>35282.229284412351</v>
      </c>
      <c r="L898" s="4834">
        <f t="shared" si="57"/>
        <v>2.1224066454873839E-5</v>
      </c>
      <c r="S898" s="270" t="s">
        <v>11977</v>
      </c>
      <c r="T898" s="4838">
        <v>482.58270599510598</v>
      </c>
      <c r="U898" s="4839">
        <f t="shared" si="56"/>
        <v>1.482708942972648E-3</v>
      </c>
    </row>
    <row r="899" spans="1:21">
      <c r="A899" s="270" t="s">
        <v>11978</v>
      </c>
      <c r="B899" s="3305">
        <v>5426</v>
      </c>
      <c r="C899" s="4834">
        <f t="shared" si="54"/>
        <v>2.0760763595005432E-4</v>
      </c>
      <c r="D899" s="3" t="str">
        <f t="shared" si="55"/>
        <v>2015</v>
      </c>
      <c r="J899" s="270" t="s">
        <v>11982</v>
      </c>
      <c r="K899" s="4837">
        <v>34748.52689137312</v>
      </c>
      <c r="L899" s="4834">
        <f t="shared" si="57"/>
        <v>1.9236642882586128E-5</v>
      </c>
      <c r="S899" s="270" t="s">
        <v>11978</v>
      </c>
      <c r="T899" s="4838">
        <v>477.11707907843925</v>
      </c>
      <c r="U899" s="4839">
        <f t="shared" si="56"/>
        <v>1.4392721740064478E-3</v>
      </c>
    </row>
    <row r="900" spans="1:21">
      <c r="A900" s="270" t="s">
        <v>11979</v>
      </c>
      <c r="B900" s="3305">
        <v>5475.5</v>
      </c>
      <c r="C900" s="4834">
        <f t="shared" ref="C900:C963" si="58">_xlfn.NORM.DIST(B900,$F$4,$F$3,FALSE)</f>
        <v>2.1556243052262843E-4</v>
      </c>
      <c r="D900" s="3" t="str">
        <f t="shared" ref="D900:D963" si="59">LEFT(A900,4)</f>
        <v>2015</v>
      </c>
      <c r="J900" s="270" t="s">
        <v>11983</v>
      </c>
      <c r="K900" s="4837">
        <v>35365.821225490778</v>
      </c>
      <c r="L900" s="4834">
        <f t="shared" si="57"/>
        <v>2.1543635163390213E-5</v>
      </c>
      <c r="S900" s="270" t="s">
        <v>11979</v>
      </c>
      <c r="T900" s="4838">
        <v>474.22351188726276</v>
      </c>
      <c r="U900" s="4839">
        <f t="shared" ref="U900:U963" si="60">_xlfn.NORM.DIST(T900,$X$4,$X$3,FALSE)</f>
        <v>1.4162295342761055E-3</v>
      </c>
    </row>
    <row r="901" spans="1:21">
      <c r="A901" s="270" t="s">
        <v>11980</v>
      </c>
      <c r="B901" s="3305">
        <v>5350.5</v>
      </c>
      <c r="C901" s="4834">
        <f t="shared" si="58"/>
        <v>1.9541962359387747E-4</v>
      </c>
      <c r="D901" s="3" t="str">
        <f t="shared" si="59"/>
        <v>2015</v>
      </c>
      <c r="J901" s="270" t="s">
        <v>11984</v>
      </c>
      <c r="K901" s="4837">
        <v>35243.648388529997</v>
      </c>
      <c r="L901" s="4834">
        <f t="shared" ref="L901:L964" si="61">_xlfn.NORM.DIST(K901,$O$4,$O$3,FALSE)</f>
        <v>2.1077300914180863E-5</v>
      </c>
      <c r="S901" s="270" t="s">
        <v>11980</v>
      </c>
      <c r="T901" s="4838">
        <v>475.18803428432153</v>
      </c>
      <c r="U901" s="4839">
        <f t="shared" si="60"/>
        <v>1.4239127605803288E-3</v>
      </c>
    </row>
    <row r="902" spans="1:21">
      <c r="A902" s="270" t="s">
        <v>11981</v>
      </c>
      <c r="B902" s="3305">
        <v>5340</v>
      </c>
      <c r="C902" s="4834">
        <f t="shared" si="58"/>
        <v>1.9372385555256703E-4</v>
      </c>
      <c r="D902" s="3" t="str">
        <f t="shared" si="59"/>
        <v>2015</v>
      </c>
      <c r="J902" s="270" t="s">
        <v>11985</v>
      </c>
      <c r="K902" s="4837">
        <v>35052.351446446657</v>
      </c>
      <c r="L902" s="4834">
        <f t="shared" si="61"/>
        <v>2.0356555035638485E-5</v>
      </c>
      <c r="S902" s="270" t="s">
        <v>11981</v>
      </c>
      <c r="T902" s="4838">
        <v>478.40310894118437</v>
      </c>
      <c r="U902" s="4839">
        <f t="shared" si="60"/>
        <v>1.4495050114835383E-3</v>
      </c>
    </row>
    <row r="903" spans="1:21">
      <c r="A903" s="270" t="s">
        <v>11982</v>
      </c>
      <c r="B903" s="3305">
        <v>5224.5</v>
      </c>
      <c r="C903" s="4834">
        <f t="shared" si="58"/>
        <v>1.7516107127774443E-4</v>
      </c>
      <c r="D903" s="3" t="str">
        <f t="shared" si="59"/>
        <v>2015</v>
      </c>
      <c r="J903" s="270" t="s">
        <v>11986</v>
      </c>
      <c r="K903" s="4837">
        <v>34963.936893382932</v>
      </c>
      <c r="L903" s="4834">
        <f t="shared" si="61"/>
        <v>2.0027452357619434E-5</v>
      </c>
      <c r="S903" s="270" t="s">
        <v>11982</v>
      </c>
      <c r="T903" s="4838">
        <v>465.86431777941942</v>
      </c>
      <c r="U903" s="4839">
        <f t="shared" si="60"/>
        <v>1.3496210188883476E-3</v>
      </c>
    </row>
    <row r="904" spans="1:21">
      <c r="A904" s="270" t="s">
        <v>11983</v>
      </c>
      <c r="B904" s="3305">
        <v>5190</v>
      </c>
      <c r="C904" s="4834">
        <f t="shared" si="58"/>
        <v>1.6967604343340225E-4</v>
      </c>
      <c r="D904" s="3" t="str">
        <f t="shared" si="59"/>
        <v>2015</v>
      </c>
      <c r="J904" s="270" t="s">
        <v>11987</v>
      </c>
      <c r="K904" s="4837">
        <v>35314.380030980981</v>
      </c>
      <c r="L904" s="4834">
        <f t="shared" si="61"/>
        <v>2.134672370467295E-5</v>
      </c>
      <c r="S904" s="270" t="s">
        <v>11983</v>
      </c>
      <c r="T904" s="4838">
        <v>472.29446709314504</v>
      </c>
      <c r="U904" s="4839">
        <f t="shared" si="60"/>
        <v>1.4008584493020954E-3</v>
      </c>
    </row>
    <row r="905" spans="1:21">
      <c r="A905" s="270" t="s">
        <v>11984</v>
      </c>
      <c r="B905" s="3305">
        <v>5239.5</v>
      </c>
      <c r="C905" s="4834">
        <f t="shared" si="58"/>
        <v>1.7755682523448019E-4</v>
      </c>
      <c r="D905" s="3" t="str">
        <f t="shared" si="59"/>
        <v>2015</v>
      </c>
      <c r="J905" s="270" t="s">
        <v>11988</v>
      </c>
      <c r="K905" s="4837">
        <v>35105.400178284894</v>
      </c>
      <c r="L905" s="4834">
        <f t="shared" si="61"/>
        <v>2.0555247628601542E-5</v>
      </c>
      <c r="S905" s="270" t="s">
        <v>11984</v>
      </c>
      <c r="T905" s="4838">
        <v>467.47185510785084</v>
      </c>
      <c r="U905" s="4839">
        <f t="shared" si="60"/>
        <v>1.3624258874740845E-3</v>
      </c>
    </row>
    <row r="906" spans="1:21">
      <c r="A906" s="270" t="s">
        <v>11985</v>
      </c>
      <c r="B906" s="3305">
        <v>5302</v>
      </c>
      <c r="C906" s="4834">
        <f t="shared" si="58"/>
        <v>1.8759341084359016E-4</v>
      </c>
      <c r="D906" s="3" t="str">
        <f t="shared" si="59"/>
        <v>2015</v>
      </c>
      <c r="J906" s="270" t="s">
        <v>11989</v>
      </c>
      <c r="K906" s="4837">
        <v>35065.211745074106</v>
      </c>
      <c r="L906" s="4834">
        <f t="shared" si="61"/>
        <v>2.0404638781696609E-5</v>
      </c>
      <c r="S906" s="270" t="s">
        <v>11985</v>
      </c>
      <c r="T906" s="4838">
        <v>469.7224073676548</v>
      </c>
      <c r="U906" s="4839">
        <f t="shared" si="60"/>
        <v>1.380359663275203E-3</v>
      </c>
    </row>
    <row r="907" spans="1:21">
      <c r="A907" s="270" t="s">
        <v>11986</v>
      </c>
      <c r="B907" s="3305">
        <v>5241</v>
      </c>
      <c r="C907" s="4834">
        <f t="shared" si="58"/>
        <v>1.7779672659561002E-4</v>
      </c>
      <c r="D907" s="3" t="str">
        <f t="shared" si="59"/>
        <v>2015</v>
      </c>
      <c r="J907" s="270" t="s">
        <v>11990</v>
      </c>
      <c r="K907" s="4837">
        <v>34886.775101618223</v>
      </c>
      <c r="L907" s="4834">
        <f t="shared" si="61"/>
        <v>1.9742363838322502E-5</v>
      </c>
      <c r="S907" s="270" t="s">
        <v>11986</v>
      </c>
      <c r="T907" s="4838">
        <v>470.68692976471368</v>
      </c>
      <c r="U907" s="4839">
        <f t="shared" si="60"/>
        <v>1.3880467621197531E-3</v>
      </c>
    </row>
    <row r="908" spans="1:21">
      <c r="A908" s="270" t="s">
        <v>11987</v>
      </c>
      <c r="B908" s="3305">
        <v>5220</v>
      </c>
      <c r="C908" s="4834">
        <f t="shared" si="58"/>
        <v>1.7444355874668887E-4</v>
      </c>
      <c r="D908" s="3" t="str">
        <f t="shared" si="59"/>
        <v>2015</v>
      </c>
      <c r="J908" s="270" t="s">
        <v>11991</v>
      </c>
      <c r="K908" s="4837">
        <v>35036.276073162342</v>
      </c>
      <c r="L908" s="4834">
        <f t="shared" si="61"/>
        <v>2.0296526478698162E-5</v>
      </c>
      <c r="S908" s="270" t="s">
        <v>11987</v>
      </c>
      <c r="T908" s="4838">
        <v>468.11487003922343</v>
      </c>
      <c r="U908" s="4839">
        <f t="shared" si="60"/>
        <v>1.3675491948668286E-3</v>
      </c>
    </row>
    <row r="909" spans="1:21">
      <c r="A909" s="270" t="s">
        <v>11988</v>
      </c>
      <c r="B909" s="3305">
        <v>5176.5</v>
      </c>
      <c r="C909" s="4834">
        <f t="shared" si="58"/>
        <v>1.6754053980570311E-4</v>
      </c>
      <c r="D909" s="3" t="str">
        <f t="shared" si="59"/>
        <v>2015</v>
      </c>
      <c r="J909" s="270" t="s">
        <v>11992</v>
      </c>
      <c r="K909" s="4837">
        <v>35156.841372794697</v>
      </c>
      <c r="L909" s="4834">
        <f t="shared" si="61"/>
        <v>2.0748788462255157E-5</v>
      </c>
      <c r="S909" s="270" t="s">
        <v>11988</v>
      </c>
      <c r="T909" s="4838">
        <v>473.58049695589017</v>
      </c>
      <c r="U909" s="4839">
        <f t="shared" si="60"/>
        <v>1.4111064072574303E-3</v>
      </c>
    </row>
    <row r="910" spans="1:21">
      <c r="A910" s="270" t="s">
        <v>11989</v>
      </c>
      <c r="B910" s="3305">
        <v>5215.5</v>
      </c>
      <c r="C910" s="4834">
        <f t="shared" si="58"/>
        <v>1.7372663670345769E-4</v>
      </c>
      <c r="D910" s="3" t="str">
        <f t="shared" si="59"/>
        <v>2015</v>
      </c>
      <c r="J910" s="270" t="s">
        <v>11993</v>
      </c>
      <c r="K910" s="4837">
        <v>35269.368985784895</v>
      </c>
      <c r="L910" s="4834">
        <f t="shared" si="61"/>
        <v>2.1175093121196287E-5</v>
      </c>
      <c r="S910" s="270" t="s">
        <v>11989</v>
      </c>
      <c r="T910" s="4838">
        <v>467.47185510785084</v>
      </c>
      <c r="U910" s="4839">
        <f t="shared" si="60"/>
        <v>1.3624258874740845E-3</v>
      </c>
    </row>
    <row r="911" spans="1:21">
      <c r="A911" s="270" t="s">
        <v>11990</v>
      </c>
      <c r="B911" s="3305">
        <v>5171.5</v>
      </c>
      <c r="C911" s="4834">
        <f t="shared" si="58"/>
        <v>1.6675130238508353E-4</v>
      </c>
      <c r="D911" s="3" t="str">
        <f t="shared" si="59"/>
        <v>2015</v>
      </c>
      <c r="J911" s="270" t="s">
        <v>11994</v>
      </c>
      <c r="K911" s="4837">
        <v>35631.06488468196</v>
      </c>
      <c r="L911" s="4834">
        <f t="shared" si="61"/>
        <v>2.2571448390220408E-5</v>
      </c>
      <c r="S911" s="270" t="s">
        <v>11990</v>
      </c>
      <c r="T911" s="4838">
        <v>466.82884017647831</v>
      </c>
      <c r="U911" s="4839">
        <f t="shared" si="60"/>
        <v>1.3573032889359299E-3</v>
      </c>
    </row>
    <row r="912" spans="1:21">
      <c r="A912" s="270" t="s">
        <v>11991</v>
      </c>
      <c r="B912" s="3305">
        <v>5165</v>
      </c>
      <c r="C912" s="4834">
        <f t="shared" si="58"/>
        <v>1.6572671406968475E-4</v>
      </c>
      <c r="D912" s="3" t="str">
        <f t="shared" si="59"/>
        <v>2015</v>
      </c>
      <c r="J912" s="270" t="s">
        <v>11995</v>
      </c>
      <c r="K912" s="4837">
        <v>35976.685410294711</v>
      </c>
      <c r="L912" s="4834">
        <f t="shared" si="61"/>
        <v>2.3940071338874086E-5</v>
      </c>
      <c r="S912" s="270" t="s">
        <v>11993</v>
      </c>
      <c r="T912" s="4838">
        <v>478.40310894118437</v>
      </c>
      <c r="U912" s="4839">
        <f t="shared" si="60"/>
        <v>1.4495050114835383E-3</v>
      </c>
    </row>
    <row r="913" spans="1:21">
      <c r="A913" s="270" t="s">
        <v>11992</v>
      </c>
      <c r="B913" s="3305">
        <v>5135.5</v>
      </c>
      <c r="C913" s="4834">
        <f t="shared" si="58"/>
        <v>1.610980903189922E-4</v>
      </c>
      <c r="D913" s="3" t="str">
        <f t="shared" si="59"/>
        <v>2015</v>
      </c>
      <c r="J913" s="270" t="s">
        <v>11996</v>
      </c>
      <c r="K913" s="4837">
        <v>35904.346230515301</v>
      </c>
      <c r="L913" s="4834">
        <f t="shared" si="61"/>
        <v>2.3651030175719217E-5</v>
      </c>
      <c r="S913" s="270" t="s">
        <v>11994</v>
      </c>
      <c r="T913" s="4838">
        <v>492.22792996569444</v>
      </c>
      <c r="U913" s="4839">
        <f t="shared" si="60"/>
        <v>1.5588383484977486E-3</v>
      </c>
    </row>
    <row r="914" spans="1:21">
      <c r="A914" s="270" t="s">
        <v>11993</v>
      </c>
      <c r="B914" s="3305">
        <v>5150</v>
      </c>
      <c r="C914" s="4834">
        <f t="shared" si="58"/>
        <v>1.6336865429621996E-4</v>
      </c>
      <c r="D914" s="3" t="str">
        <f t="shared" si="59"/>
        <v>2015</v>
      </c>
      <c r="J914" s="270" t="s">
        <v>11997</v>
      </c>
      <c r="K914" s="4837">
        <v>35952.572350368246</v>
      </c>
      <c r="L914" s="4834">
        <f t="shared" si="61"/>
        <v>2.3843578217575876E-5</v>
      </c>
      <c r="S914" s="270" t="s">
        <v>11995</v>
      </c>
      <c r="T914" s="4838">
        <v>493.83546729412575</v>
      </c>
      <c r="U914" s="4839">
        <f t="shared" si="60"/>
        <v>1.5714331003436515E-3</v>
      </c>
    </row>
    <row r="915" spans="1:21">
      <c r="A915" s="270" t="s">
        <v>11994</v>
      </c>
      <c r="B915" s="3305">
        <v>5140</v>
      </c>
      <c r="C915" s="4834">
        <f t="shared" si="58"/>
        <v>1.6180178078634277E-4</v>
      </c>
      <c r="D915" s="3" t="str">
        <f t="shared" si="59"/>
        <v>2015</v>
      </c>
      <c r="J915" s="270" t="s">
        <v>11998</v>
      </c>
      <c r="K915" s="4837">
        <v>35970.255260980986</v>
      </c>
      <c r="L915" s="4834">
        <f t="shared" si="61"/>
        <v>2.3914325681272066E-5</v>
      </c>
      <c r="S915" s="270" t="s">
        <v>11996</v>
      </c>
      <c r="T915" s="4838">
        <v>492.87094489706698</v>
      </c>
      <c r="U915" s="4839">
        <f t="shared" si="60"/>
        <v>1.5638800637594421E-3</v>
      </c>
    </row>
    <row r="916" spans="1:21">
      <c r="A916" s="270" t="s">
        <v>11995</v>
      </c>
      <c r="B916" s="3305">
        <v>5103</v>
      </c>
      <c r="C916" s="4834">
        <f t="shared" si="58"/>
        <v>1.5604328534062721E-4</v>
      </c>
      <c r="D916" s="3" t="str">
        <f t="shared" si="59"/>
        <v>2015</v>
      </c>
      <c r="J916" s="270" t="s">
        <v>11999</v>
      </c>
      <c r="K916" s="4837">
        <v>35733.947273701575</v>
      </c>
      <c r="L916" s="4834">
        <f t="shared" si="61"/>
        <v>2.2975519465876499E-5</v>
      </c>
      <c r="S916" s="270" t="s">
        <v>11997</v>
      </c>
      <c r="T916" s="4838">
        <v>499.94410914216513</v>
      </c>
      <c r="U916" s="4839">
        <f t="shared" si="60"/>
        <v>1.618970996386348E-3</v>
      </c>
    </row>
    <row r="917" spans="1:21">
      <c r="A917" s="270" t="s">
        <v>11996</v>
      </c>
      <c r="B917" s="3305">
        <v>5148</v>
      </c>
      <c r="C917" s="4834">
        <f t="shared" si="58"/>
        <v>1.6305494125505379E-4</v>
      </c>
      <c r="D917" s="3" t="str">
        <f t="shared" si="59"/>
        <v>2015</v>
      </c>
      <c r="J917" s="270" t="s">
        <v>12000</v>
      </c>
      <c r="K917" s="4837">
        <v>36206.563248260405</v>
      </c>
      <c r="L917" s="4834">
        <f t="shared" si="61"/>
        <v>2.4867010308729996E-5</v>
      </c>
      <c r="S917" s="270" t="s">
        <v>11998</v>
      </c>
      <c r="T917" s="4838">
        <v>489.65587024020419</v>
      </c>
      <c r="U917" s="4839">
        <f t="shared" si="60"/>
        <v>1.5386239470718877E-3</v>
      </c>
    </row>
    <row r="918" spans="1:21">
      <c r="A918" s="270" t="s">
        <v>11997</v>
      </c>
      <c r="B918" s="3305">
        <v>5156</v>
      </c>
      <c r="C918" s="4834">
        <f t="shared" si="58"/>
        <v>1.64310786785281E-4</v>
      </c>
      <c r="D918" s="3" t="str">
        <f t="shared" si="59"/>
        <v>2015</v>
      </c>
      <c r="J918" s="270" t="s">
        <v>12001</v>
      </c>
      <c r="K918" s="4837">
        <v>36899.411836814339</v>
      </c>
      <c r="L918" s="4834">
        <f t="shared" si="61"/>
        <v>2.7726965482131918E-5</v>
      </c>
      <c r="S918" s="270" t="s">
        <v>11999</v>
      </c>
      <c r="T918" s="4838">
        <v>489.65587024020419</v>
      </c>
      <c r="U918" s="4839">
        <f t="shared" si="60"/>
        <v>1.5386239470718877E-3</v>
      </c>
    </row>
    <row r="919" spans="1:21">
      <c r="A919" s="270" t="s">
        <v>11998</v>
      </c>
      <c r="B919" s="3305">
        <v>5101</v>
      </c>
      <c r="C919" s="4834">
        <f t="shared" si="58"/>
        <v>1.5573386553231357E-4</v>
      </c>
      <c r="D919" s="3" t="str">
        <f t="shared" si="59"/>
        <v>2015</v>
      </c>
      <c r="J919" s="270" t="s">
        <v>12002</v>
      </c>
      <c r="K919" s="4837">
        <v>37182.338406618255</v>
      </c>
      <c r="L919" s="4834">
        <f t="shared" si="61"/>
        <v>2.8916940043069491E-5</v>
      </c>
      <c r="S919" s="270" t="s">
        <v>12000</v>
      </c>
      <c r="T919" s="4838">
        <v>477.11707907843925</v>
      </c>
      <c r="U919" s="4839">
        <f t="shared" si="60"/>
        <v>1.4392721740064478E-3</v>
      </c>
    </row>
    <row r="920" spans="1:21">
      <c r="A920" s="270" t="s">
        <v>11999</v>
      </c>
      <c r="B920" s="3305">
        <v>5000.5</v>
      </c>
      <c r="C920" s="4834">
        <f t="shared" si="58"/>
        <v>1.4046660516709743E-4</v>
      </c>
      <c r="D920" s="3" t="str">
        <f t="shared" si="59"/>
        <v>2015</v>
      </c>
      <c r="J920" s="270" t="s">
        <v>12003</v>
      </c>
      <c r="K920" s="4837">
        <v>37503.845872304541</v>
      </c>
      <c r="L920" s="4834">
        <f t="shared" si="61"/>
        <v>3.0279405255392747E-5</v>
      </c>
      <c r="S920" s="270" t="s">
        <v>12001</v>
      </c>
      <c r="T920" s="4838">
        <v>498.33657181373371</v>
      </c>
      <c r="U920" s="4839">
        <f t="shared" si="60"/>
        <v>1.6065147699858584E-3</v>
      </c>
    </row>
    <row r="921" spans="1:21">
      <c r="A921" s="270" t="s">
        <v>12000</v>
      </c>
      <c r="B921" s="3305">
        <v>5006.5</v>
      </c>
      <c r="C921" s="4834">
        <f t="shared" si="58"/>
        <v>1.4136129246671727E-4</v>
      </c>
      <c r="D921" s="3" t="str">
        <f t="shared" si="59"/>
        <v>2015</v>
      </c>
      <c r="J921" s="270" t="s">
        <v>12004</v>
      </c>
      <c r="K921" s="4837">
        <v>36571.474221814329</v>
      </c>
      <c r="L921" s="4834">
        <f t="shared" si="61"/>
        <v>2.6362244122786042E-5</v>
      </c>
      <c r="S921" s="270" t="s">
        <v>12002</v>
      </c>
      <c r="T921" s="4838">
        <v>497.05054195098865</v>
      </c>
      <c r="U921" s="4839">
        <f t="shared" si="60"/>
        <v>1.5965209827885278E-3</v>
      </c>
    </row>
    <row r="922" spans="1:21">
      <c r="A922" s="270" t="s">
        <v>12001</v>
      </c>
      <c r="B922" s="3305">
        <v>5060.5</v>
      </c>
      <c r="C922" s="4834">
        <f t="shared" si="58"/>
        <v>1.495125298844679E-4</v>
      </c>
      <c r="D922" s="3" t="str">
        <f t="shared" si="59"/>
        <v>2015</v>
      </c>
      <c r="J922" s="270" t="s">
        <v>12005</v>
      </c>
      <c r="K922" s="4837">
        <v>36032.949216789806</v>
      </c>
      <c r="L922" s="4834">
        <f t="shared" si="61"/>
        <v>2.4165780363000605E-5</v>
      </c>
      <c r="S922" s="270" t="s">
        <v>12003</v>
      </c>
      <c r="T922" s="4838">
        <v>480.33215373530203</v>
      </c>
      <c r="U922" s="4839">
        <f t="shared" si="60"/>
        <v>1.464841213845378E-3</v>
      </c>
    </row>
    <row r="923" spans="1:21">
      <c r="A923" s="270" t="s">
        <v>12002</v>
      </c>
      <c r="B923" s="3305">
        <v>5046</v>
      </c>
      <c r="C923" s="4834">
        <f t="shared" si="58"/>
        <v>1.4730686248291014E-4</v>
      </c>
      <c r="D923" s="3" t="str">
        <f t="shared" si="59"/>
        <v>2015</v>
      </c>
      <c r="J923" s="270" t="s">
        <v>12006</v>
      </c>
      <c r="K923" s="4837">
        <v>35976.685410294711</v>
      </c>
      <c r="L923" s="4834">
        <f t="shared" si="61"/>
        <v>2.3940071338874086E-5</v>
      </c>
      <c r="S923" s="270" t="s">
        <v>12004</v>
      </c>
      <c r="T923" s="4838">
        <v>478.08160147549808</v>
      </c>
      <c r="U923" s="4839">
        <f t="shared" si="60"/>
        <v>1.4469473912217916E-3</v>
      </c>
    </row>
    <row r="924" spans="1:21">
      <c r="A924" s="270" t="s">
        <v>12003</v>
      </c>
      <c r="B924" s="3305">
        <v>4888</v>
      </c>
      <c r="C924" s="4834">
        <f t="shared" si="58"/>
        <v>1.2414773640202694E-4</v>
      </c>
      <c r="D924" s="3" t="str">
        <f t="shared" si="59"/>
        <v>2015</v>
      </c>
      <c r="J924" s="270" t="s">
        <v>12007</v>
      </c>
      <c r="K924" s="4837">
        <v>36491.097355392762</v>
      </c>
      <c r="L924" s="4834">
        <f t="shared" si="61"/>
        <v>2.6030604399447801E-5</v>
      </c>
      <c r="S924" s="270" t="s">
        <v>12005</v>
      </c>
      <c r="T924" s="4838">
        <v>463.29225805392923</v>
      </c>
      <c r="U924" s="4839">
        <f t="shared" si="60"/>
        <v>1.3291477441709464E-3</v>
      </c>
    </row>
    <row r="925" spans="1:21">
      <c r="A925" s="270" t="s">
        <v>12004</v>
      </c>
      <c r="B925" s="3305">
        <v>5032</v>
      </c>
      <c r="C925" s="4834">
        <f t="shared" si="58"/>
        <v>1.4518879415329673E-4</v>
      </c>
      <c r="D925" s="3" t="str">
        <f t="shared" si="59"/>
        <v>2015</v>
      </c>
      <c r="J925" s="270" t="s">
        <v>13493</v>
      </c>
      <c r="K925" s="4837">
        <v>36491.097355392762</v>
      </c>
      <c r="L925" s="4834">
        <f t="shared" si="61"/>
        <v>2.6030604399447801E-5</v>
      </c>
      <c r="S925" s="270" t="s">
        <v>12006</v>
      </c>
      <c r="T925" s="4838">
        <v>458.79115353432127</v>
      </c>
      <c r="U925" s="4839">
        <f t="shared" si="60"/>
        <v>1.2933856664641616E-3</v>
      </c>
    </row>
    <row r="926" spans="1:21">
      <c r="A926" s="270" t="s">
        <v>12005</v>
      </c>
      <c r="B926" s="3305">
        <v>4959</v>
      </c>
      <c r="C926" s="4834">
        <f t="shared" si="58"/>
        <v>1.3434303396776779E-4</v>
      </c>
      <c r="D926" s="3" t="str">
        <f t="shared" si="59"/>
        <v>2015</v>
      </c>
      <c r="J926" s="270" t="s">
        <v>12008</v>
      </c>
      <c r="K926" s="4837">
        <v>36725.79780534374</v>
      </c>
      <c r="L926" s="4834">
        <f t="shared" si="61"/>
        <v>2.7002264040137021E-5</v>
      </c>
      <c r="S926" s="270" t="s">
        <v>12007</v>
      </c>
      <c r="T926" s="4838">
        <v>464.25678045098806</v>
      </c>
      <c r="U926" s="4839">
        <f t="shared" si="60"/>
        <v>1.3368227070145098E-3</v>
      </c>
    </row>
    <row r="927" spans="1:21">
      <c r="A927" s="270" t="s">
        <v>12006</v>
      </c>
      <c r="B927" s="3305">
        <v>5029</v>
      </c>
      <c r="C927" s="4834">
        <f t="shared" si="58"/>
        <v>1.4473643559023407E-4</v>
      </c>
      <c r="D927" s="3" t="str">
        <f t="shared" si="59"/>
        <v>2015</v>
      </c>
      <c r="J927" s="270" t="s">
        <v>12009</v>
      </c>
      <c r="K927" s="4837">
        <v>36579.511908456487</v>
      </c>
      <c r="L927" s="4834">
        <f t="shared" si="61"/>
        <v>2.6395474321611617E-5</v>
      </c>
      <c r="S927" s="270" t="s">
        <v>12008</v>
      </c>
      <c r="T927" s="4838">
        <v>471.97295962745875</v>
      </c>
      <c r="U927" s="4839">
        <f t="shared" si="60"/>
        <v>1.3982962078987323E-3</v>
      </c>
    </row>
    <row r="928" spans="1:21">
      <c r="A928" s="270" t="s">
        <v>12007</v>
      </c>
      <c r="B928" s="3305">
        <v>5095</v>
      </c>
      <c r="C928" s="4834">
        <f t="shared" si="58"/>
        <v>1.5480680210327086E-4</v>
      </c>
      <c r="D928" s="3" t="str">
        <f t="shared" si="59"/>
        <v>2015</v>
      </c>
      <c r="J928" s="270" t="s">
        <v>12010</v>
      </c>
      <c r="K928" s="4837">
        <v>36266.042129412359</v>
      </c>
      <c r="L928" s="4834">
        <f t="shared" si="61"/>
        <v>2.510882931069309E-5</v>
      </c>
      <c r="S928" s="270" t="s">
        <v>12009</v>
      </c>
      <c r="T928" s="4838">
        <v>468.11487003922343</v>
      </c>
      <c r="U928" s="4839">
        <f t="shared" si="60"/>
        <v>1.3675491948668286E-3</v>
      </c>
    </row>
    <row r="929" spans="1:21">
      <c r="A929" s="270" t="s">
        <v>12008</v>
      </c>
      <c r="B929" s="3305">
        <v>5095</v>
      </c>
      <c r="C929" s="4834">
        <f t="shared" si="58"/>
        <v>1.5480680210327086E-4</v>
      </c>
      <c r="D929" s="3" t="str">
        <f t="shared" si="59"/>
        <v>2015</v>
      </c>
      <c r="J929" s="270" t="s">
        <v>12011</v>
      </c>
      <c r="K929" s="4837">
        <v>35952.572350368246</v>
      </c>
      <c r="L929" s="4834">
        <f t="shared" si="61"/>
        <v>2.3843578217575876E-5</v>
      </c>
      <c r="S929" s="270" t="s">
        <v>12010</v>
      </c>
      <c r="T929" s="4838">
        <v>472.93748202451764</v>
      </c>
      <c r="U929" s="4839">
        <f t="shared" si="60"/>
        <v>1.4059826650872464E-3</v>
      </c>
    </row>
    <row r="930" spans="1:21">
      <c r="A930" s="270" t="s">
        <v>12009</v>
      </c>
      <c r="B930" s="3305">
        <v>5090.5</v>
      </c>
      <c r="C930" s="4834">
        <f t="shared" si="58"/>
        <v>1.5411269722545394E-4</v>
      </c>
      <c r="D930" s="3" t="str">
        <f t="shared" si="59"/>
        <v>2015</v>
      </c>
      <c r="J930" s="270" t="s">
        <v>12012</v>
      </c>
      <c r="K930" s="4837">
        <v>35992.760783579026</v>
      </c>
      <c r="L930" s="4834">
        <f t="shared" si="61"/>
        <v>2.4004480291714538E-5</v>
      </c>
      <c r="S930" s="270" t="s">
        <v>12011</v>
      </c>
      <c r="T930" s="4838">
        <v>472.29446709314504</v>
      </c>
      <c r="U930" s="4839">
        <f t="shared" si="60"/>
        <v>1.4008584493020954E-3</v>
      </c>
    </row>
    <row r="931" spans="1:21">
      <c r="A931" s="270" t="s">
        <v>12010</v>
      </c>
      <c r="B931" s="3305">
        <v>5250</v>
      </c>
      <c r="C931" s="4834">
        <f t="shared" si="58"/>
        <v>1.7923730288871262E-4</v>
      </c>
      <c r="D931" s="3" t="str">
        <f t="shared" si="59"/>
        <v>2015</v>
      </c>
      <c r="J931" s="270" t="s">
        <v>12013</v>
      </c>
      <c r="K931" s="4837">
        <v>36045.809515417262</v>
      </c>
      <c r="L931" s="4834">
        <f t="shared" si="61"/>
        <v>2.4217479377109191E-5</v>
      </c>
      <c r="S931" s="270" t="s">
        <v>12012</v>
      </c>
      <c r="T931" s="4838">
        <v>467.47185510785084</v>
      </c>
      <c r="U931" s="4839">
        <f t="shared" si="60"/>
        <v>1.3624258874740845E-3</v>
      </c>
    </row>
    <row r="932" spans="1:21">
      <c r="A932" s="270" t="s">
        <v>12011</v>
      </c>
      <c r="B932" s="3305">
        <v>5155.5</v>
      </c>
      <c r="C932" s="4834">
        <f t="shared" si="58"/>
        <v>1.6423221941771134E-4</v>
      </c>
      <c r="D932" s="3" t="str">
        <f t="shared" si="59"/>
        <v>2015</v>
      </c>
      <c r="J932" s="270" t="s">
        <v>12014</v>
      </c>
      <c r="K932" s="4837">
        <v>35682.506079191764</v>
      </c>
      <c r="L932" s="4834">
        <f t="shared" si="61"/>
        <v>2.2773118695741645E-5</v>
      </c>
      <c r="S932" s="270" t="s">
        <v>12013</v>
      </c>
      <c r="T932" s="4838">
        <v>470.36542229902739</v>
      </c>
      <c r="U932" s="4839">
        <f t="shared" si="60"/>
        <v>1.3854843681536885E-3</v>
      </c>
    </row>
    <row r="933" spans="1:21">
      <c r="A933" s="270" t="s">
        <v>12012</v>
      </c>
      <c r="B933" s="3305">
        <v>5176</v>
      </c>
      <c r="C933" s="4834">
        <f t="shared" si="58"/>
        <v>1.6746157403285013E-4</v>
      </c>
      <c r="D933" s="3" t="str">
        <f t="shared" si="59"/>
        <v>2015</v>
      </c>
      <c r="J933" s="270" t="s">
        <v>12015</v>
      </c>
      <c r="K933" s="4837">
        <v>35671.253317892748</v>
      </c>
      <c r="L933" s="4834">
        <f t="shared" si="61"/>
        <v>2.2728940470049948E-5</v>
      </c>
      <c r="S933" s="270" t="s">
        <v>12014</v>
      </c>
      <c r="T933" s="4838">
        <v>474.86652681863529</v>
      </c>
      <c r="U933" s="4839">
        <f t="shared" si="60"/>
        <v>1.4213519041170813E-3</v>
      </c>
    </row>
    <row r="934" spans="1:21">
      <c r="A934" s="270" t="s">
        <v>12013</v>
      </c>
      <c r="B934" s="3305">
        <v>5280</v>
      </c>
      <c r="C934" s="4834">
        <f t="shared" si="58"/>
        <v>1.8405215856376309E-4</v>
      </c>
      <c r="D934" s="3" t="str">
        <f t="shared" si="59"/>
        <v>2015</v>
      </c>
      <c r="J934" s="270" t="s">
        <v>12016</v>
      </c>
      <c r="K934" s="4837">
        <v>35406.009658701565</v>
      </c>
      <c r="L934" s="4834">
        <f t="shared" si="61"/>
        <v>2.1698031211216982E-5</v>
      </c>
      <c r="S934" s="270" t="s">
        <v>12015</v>
      </c>
      <c r="T934" s="4838">
        <v>473.25898949020387</v>
      </c>
      <c r="U934" s="4839">
        <f t="shared" si="60"/>
        <v>1.4085446042086973E-3</v>
      </c>
    </row>
    <row r="935" spans="1:21">
      <c r="A935" s="270" t="s">
        <v>12014</v>
      </c>
      <c r="B935" s="3305">
        <v>5366</v>
      </c>
      <c r="C935" s="4834">
        <f t="shared" si="58"/>
        <v>1.9792344035139922E-4</v>
      </c>
      <c r="D935" s="3" t="str">
        <f t="shared" si="59"/>
        <v>2015</v>
      </c>
      <c r="J935" s="270" t="s">
        <v>12017</v>
      </c>
      <c r="K935" s="4837">
        <v>35520.144809020196</v>
      </c>
      <c r="L935" s="4834">
        <f t="shared" si="61"/>
        <v>2.2139139931863019E-5</v>
      </c>
      <c r="S935" s="270" t="s">
        <v>12016</v>
      </c>
      <c r="T935" s="4838">
        <v>468.75788497059597</v>
      </c>
      <c r="U935" s="4839">
        <f t="shared" si="60"/>
        <v>1.3726730739729413E-3</v>
      </c>
    </row>
    <row r="936" spans="1:21">
      <c r="A936" s="270" t="s">
        <v>12015</v>
      </c>
      <c r="B936" s="3305">
        <v>5400</v>
      </c>
      <c r="C936" s="4834">
        <f t="shared" si="58"/>
        <v>2.0341431103237793E-4</v>
      </c>
      <c r="D936" s="3" t="str">
        <f t="shared" si="59"/>
        <v>2015</v>
      </c>
      <c r="J936" s="270" t="s">
        <v>12018</v>
      </c>
      <c r="K936" s="4837">
        <v>35557.118167574117</v>
      </c>
      <c r="L936" s="4834">
        <f t="shared" si="61"/>
        <v>2.2282851622397901E-5</v>
      </c>
      <c r="S936" s="270" t="s">
        <v>12017</v>
      </c>
      <c r="T936" s="4838">
        <v>463.93527298530176</v>
      </c>
      <c r="U936" s="4839">
        <f t="shared" si="60"/>
        <v>1.3342640171708528E-3</v>
      </c>
    </row>
    <row r="937" spans="1:21">
      <c r="A937" s="270" t="s">
        <v>12016</v>
      </c>
      <c r="B937" s="3305">
        <v>5352</v>
      </c>
      <c r="C937" s="4834">
        <f t="shared" si="58"/>
        <v>1.9566190926075102E-4</v>
      </c>
      <c r="D937" s="3" t="str">
        <f t="shared" si="59"/>
        <v>2015</v>
      </c>
      <c r="J937" s="270" t="s">
        <v>12019</v>
      </c>
      <c r="K937" s="4837">
        <v>35931.674365098632</v>
      </c>
      <c r="L937" s="4834">
        <f t="shared" si="61"/>
        <v>2.3760068575265234E-5</v>
      </c>
      <c r="S937" s="270" t="s">
        <v>12018</v>
      </c>
      <c r="T937" s="4838">
        <v>461.36321325981152</v>
      </c>
      <c r="U937" s="4839">
        <f t="shared" si="60"/>
        <v>1.3138089770364217E-3</v>
      </c>
    </row>
    <row r="938" spans="1:21">
      <c r="A938" s="270" t="s">
        <v>12017</v>
      </c>
      <c r="B938" s="3305">
        <v>5324</v>
      </c>
      <c r="C938" s="4834">
        <f t="shared" si="58"/>
        <v>1.9114102602651279E-4</v>
      </c>
      <c r="D938" s="3" t="str">
        <f t="shared" si="59"/>
        <v>2015</v>
      </c>
      <c r="J938" s="270" t="s">
        <v>12020</v>
      </c>
      <c r="K938" s="4837">
        <v>35928.459290441773</v>
      </c>
      <c r="L938" s="4834">
        <f t="shared" si="61"/>
        <v>2.3747230702516303E-5</v>
      </c>
      <c r="S938" s="270" t="s">
        <v>12019</v>
      </c>
      <c r="T938" s="4838">
        <v>466.50733271079196</v>
      </c>
      <c r="U938" s="4839">
        <f t="shared" si="60"/>
        <v>1.3547422981954574E-3</v>
      </c>
    </row>
    <row r="939" spans="1:21">
      <c r="A939" s="270" t="s">
        <v>12018</v>
      </c>
      <c r="B939" s="3305">
        <v>5290</v>
      </c>
      <c r="C939" s="4834">
        <f t="shared" si="58"/>
        <v>1.8566089170702038E-4</v>
      </c>
      <c r="D939" s="3" t="str">
        <f t="shared" si="59"/>
        <v>2015</v>
      </c>
      <c r="J939" s="270" t="s">
        <v>12021</v>
      </c>
      <c r="K939" s="4837">
        <v>36700.077208088842</v>
      </c>
      <c r="L939" s="4834">
        <f t="shared" si="61"/>
        <v>2.6895308903607157E-5</v>
      </c>
      <c r="S939" s="270" t="s">
        <v>12020</v>
      </c>
      <c r="T939" s="4838">
        <v>474.545019352949</v>
      </c>
      <c r="U939" s="4839">
        <f t="shared" si="60"/>
        <v>1.4187908227394062E-3</v>
      </c>
    </row>
    <row r="940" spans="1:21">
      <c r="A940" s="270" t="s">
        <v>12019</v>
      </c>
      <c r="B940" s="3305">
        <v>5350</v>
      </c>
      <c r="C940" s="4834">
        <f t="shared" si="58"/>
        <v>1.9533886318869129E-4</v>
      </c>
      <c r="D940" s="3" t="str">
        <f t="shared" si="59"/>
        <v>2015</v>
      </c>
      <c r="J940" s="270" t="s">
        <v>12022</v>
      </c>
      <c r="K940" s="4837">
        <v>36434.833548897659</v>
      </c>
      <c r="L940" s="4834">
        <f t="shared" si="61"/>
        <v>2.5799194441356714E-5</v>
      </c>
      <c r="S940" s="270" t="s">
        <v>12021</v>
      </c>
      <c r="T940" s="4838">
        <v>490.62039263726297</v>
      </c>
      <c r="U940" s="4839">
        <f t="shared" si="60"/>
        <v>1.5462129270622201E-3</v>
      </c>
    </row>
    <row r="941" spans="1:21">
      <c r="A941" s="270" t="s">
        <v>12020</v>
      </c>
      <c r="B941" s="3305">
        <v>5369</v>
      </c>
      <c r="C941" s="4834">
        <f t="shared" si="58"/>
        <v>1.9840806696785706E-4</v>
      </c>
      <c r="D941" s="3" t="str">
        <f t="shared" si="59"/>
        <v>2015</v>
      </c>
      <c r="J941" s="270" t="s">
        <v>12023</v>
      </c>
      <c r="K941" s="4837">
        <v>36102.073321912365</v>
      </c>
      <c r="L941" s="4834">
        <f t="shared" si="61"/>
        <v>2.4444128475735684E-5</v>
      </c>
      <c r="S941" s="270" t="s">
        <v>12022</v>
      </c>
      <c r="T941" s="4838">
        <v>488.04833291177272</v>
      </c>
      <c r="U941" s="4839">
        <f t="shared" si="60"/>
        <v>1.5259544180855375E-3</v>
      </c>
    </row>
    <row r="942" spans="1:21">
      <c r="A942" s="270" t="s">
        <v>12021</v>
      </c>
      <c r="B942" s="3305">
        <v>5358</v>
      </c>
      <c r="C942" s="4834">
        <f t="shared" si="58"/>
        <v>1.9663110588541226E-4</v>
      </c>
      <c r="D942" s="3" t="str">
        <f t="shared" si="59"/>
        <v>2015</v>
      </c>
      <c r="J942" s="270" t="s">
        <v>12024</v>
      </c>
      <c r="K942" s="4837">
        <v>36373.747130417265</v>
      </c>
      <c r="L942" s="4834">
        <f t="shared" si="61"/>
        <v>2.5548664264792003E-5</v>
      </c>
      <c r="S942" s="270" t="s">
        <v>12023</v>
      </c>
      <c r="T942" s="4838">
        <v>480.33215373530203</v>
      </c>
      <c r="U942" s="4839">
        <f t="shared" si="60"/>
        <v>1.464841213845378E-3</v>
      </c>
    </row>
    <row r="943" spans="1:21">
      <c r="A943" s="270" t="s">
        <v>12022</v>
      </c>
      <c r="B943" s="3305">
        <v>5267</v>
      </c>
      <c r="C943" s="4834">
        <f t="shared" si="58"/>
        <v>1.8196346458278741E-4</v>
      </c>
      <c r="D943" s="3" t="str">
        <f t="shared" si="59"/>
        <v>2015</v>
      </c>
      <c r="J943" s="270" t="s">
        <v>12025</v>
      </c>
      <c r="K943" s="4837">
        <v>37118.03691348101</v>
      </c>
      <c r="L943" s="4834">
        <f t="shared" si="61"/>
        <v>2.8645631632546591E-5</v>
      </c>
      <c r="S943" s="270" t="s">
        <v>12024</v>
      </c>
      <c r="T943" s="4838">
        <v>475.83104921569412</v>
      </c>
      <c r="U943" s="4839">
        <f t="shared" si="60"/>
        <v>1.429033727299263E-3</v>
      </c>
    </row>
    <row r="944" spans="1:21">
      <c r="A944" s="270" t="s">
        <v>12023</v>
      </c>
      <c r="B944" s="3305">
        <v>5131</v>
      </c>
      <c r="C944" s="4834">
        <f t="shared" si="58"/>
        <v>1.603952918351621E-4</v>
      </c>
      <c r="D944" s="3" t="str">
        <f t="shared" si="59"/>
        <v>2015</v>
      </c>
      <c r="J944" s="270" t="s">
        <v>12026</v>
      </c>
      <c r="K944" s="4837">
        <v>36865.653552917283</v>
      </c>
      <c r="L944" s="4834">
        <f t="shared" si="61"/>
        <v>2.7585691605371945E-5</v>
      </c>
      <c r="S944" s="270" t="s">
        <v>12025</v>
      </c>
      <c r="T944" s="4838">
        <v>475.50954175000783</v>
      </c>
      <c r="U944" s="4839">
        <f t="shared" si="60"/>
        <v>1.4264733742704956E-3</v>
      </c>
    </row>
    <row r="945" spans="1:21">
      <c r="A945" s="270" t="s">
        <v>12024</v>
      </c>
      <c r="B945" s="3305">
        <v>5112</v>
      </c>
      <c r="C945" s="4834">
        <f t="shared" si="58"/>
        <v>1.5743809699279379E-4</v>
      </c>
      <c r="D945" s="3" t="str">
        <f t="shared" si="59"/>
        <v>2015</v>
      </c>
      <c r="J945" s="270" t="s">
        <v>12027</v>
      </c>
      <c r="K945" s="4837">
        <v>36364.101906446675</v>
      </c>
      <c r="L945" s="4834">
        <f t="shared" si="61"/>
        <v>2.5509176531490427E-5</v>
      </c>
      <c r="S945" s="270" t="s">
        <v>12026</v>
      </c>
      <c r="T945" s="4838">
        <v>481.93969106373345</v>
      </c>
      <c r="U945" s="4839">
        <f t="shared" si="60"/>
        <v>1.4776069072222611E-3</v>
      </c>
    </row>
    <row r="946" spans="1:21">
      <c r="A946" s="270" t="s">
        <v>12025</v>
      </c>
      <c r="B946" s="3305">
        <v>5046</v>
      </c>
      <c r="C946" s="4834">
        <f t="shared" si="58"/>
        <v>1.4730686248291014E-4</v>
      </c>
      <c r="D946" s="3" t="str">
        <f t="shared" si="59"/>
        <v>2015</v>
      </c>
      <c r="J946" s="270" t="s">
        <v>12028</v>
      </c>
      <c r="K946" s="4837">
        <v>36397.860190343737</v>
      </c>
      <c r="L946" s="4834">
        <f t="shared" si="61"/>
        <v>2.5647467279609026E-5</v>
      </c>
      <c r="S946" s="270" t="s">
        <v>12027</v>
      </c>
      <c r="T946" s="4838">
        <v>472.61597455883128</v>
      </c>
      <c r="U946" s="4839">
        <f t="shared" si="60"/>
        <v>1.4034206075697964E-3</v>
      </c>
    </row>
    <row r="947" spans="1:21">
      <c r="A947" s="270" t="s">
        <v>12026</v>
      </c>
      <c r="B947" s="3305">
        <v>5098</v>
      </c>
      <c r="C947" s="4834">
        <f t="shared" si="58"/>
        <v>1.5527010839273107E-4</v>
      </c>
      <c r="D947" s="3" t="str">
        <f t="shared" si="59"/>
        <v>2015</v>
      </c>
      <c r="J947" s="270" t="s">
        <v>12029</v>
      </c>
      <c r="K947" s="4837">
        <v>35815.931677451576</v>
      </c>
      <c r="L947" s="4834">
        <f t="shared" si="61"/>
        <v>2.3299574538962994E-5</v>
      </c>
      <c r="S947" s="270" t="s">
        <v>12028</v>
      </c>
      <c r="T947" s="4838">
        <v>468.11487003922343</v>
      </c>
      <c r="U947" s="4839">
        <f t="shared" si="60"/>
        <v>1.3675491948668286E-3</v>
      </c>
    </row>
    <row r="948" spans="1:21">
      <c r="A948" s="270" t="s">
        <v>12027</v>
      </c>
      <c r="B948" s="3305">
        <v>4965</v>
      </c>
      <c r="C948" s="4834">
        <f t="shared" si="58"/>
        <v>1.352211945850646E-4</v>
      </c>
      <c r="D948" s="3" t="str">
        <f t="shared" si="59"/>
        <v>2015</v>
      </c>
      <c r="J948" s="270" t="s">
        <v>12030</v>
      </c>
      <c r="K948" s="4837">
        <v>35976.685410294711</v>
      </c>
      <c r="L948" s="4834">
        <f t="shared" si="61"/>
        <v>2.3940071338874086E-5</v>
      </c>
      <c r="S948" s="270" t="s">
        <v>12029</v>
      </c>
      <c r="T948" s="4838">
        <v>471.00843723039992</v>
      </c>
      <c r="U948" s="4839">
        <f t="shared" si="60"/>
        <v>1.3906091605493831E-3</v>
      </c>
    </row>
    <row r="949" spans="1:21">
      <c r="A949" s="270" t="s">
        <v>12028</v>
      </c>
      <c r="B949" s="3305">
        <v>5010</v>
      </c>
      <c r="C949" s="4834">
        <f t="shared" si="58"/>
        <v>1.4188424792679877E-4</v>
      </c>
      <c r="D949" s="3" t="str">
        <f t="shared" si="59"/>
        <v>2015</v>
      </c>
      <c r="J949" s="270" t="s">
        <v>12031</v>
      </c>
      <c r="K949" s="4837">
        <v>36675.964148162369</v>
      </c>
      <c r="L949" s="4834">
        <f t="shared" si="61"/>
        <v>2.6795139550159873E-5</v>
      </c>
      <c r="S949" s="270" t="s">
        <v>12030</v>
      </c>
      <c r="T949" s="4838">
        <v>467.79336257353714</v>
      </c>
      <c r="U949" s="4839">
        <f t="shared" si="60"/>
        <v>1.3649874611222814E-3</v>
      </c>
    </row>
    <row r="950" spans="1:21">
      <c r="A950" s="270" t="s">
        <v>12029</v>
      </c>
      <c r="B950" s="3305">
        <v>5093</v>
      </c>
      <c r="C950" s="4834">
        <f t="shared" si="58"/>
        <v>1.5449818379775166E-4</v>
      </c>
      <c r="D950" s="3" t="str">
        <f t="shared" si="59"/>
        <v>2015</v>
      </c>
      <c r="J950" s="270" t="s">
        <v>12032</v>
      </c>
      <c r="K950" s="4837">
        <v>36643.813401593739</v>
      </c>
      <c r="L950" s="4834">
        <f t="shared" si="61"/>
        <v>2.6661735554704789E-5</v>
      </c>
      <c r="S950" s="270" t="s">
        <v>12031</v>
      </c>
      <c r="T950" s="4838">
        <v>463.93527298530176</v>
      </c>
      <c r="U950" s="4839">
        <f t="shared" si="60"/>
        <v>1.3342640171708528E-3</v>
      </c>
    </row>
    <row r="951" spans="1:21">
      <c r="A951" s="270" t="s">
        <v>12030</v>
      </c>
      <c r="B951" s="3305">
        <v>5178</v>
      </c>
      <c r="C951" s="4834">
        <f t="shared" si="58"/>
        <v>1.6777749259419273E-4</v>
      </c>
      <c r="D951" s="3" t="str">
        <f t="shared" si="59"/>
        <v>2015</v>
      </c>
      <c r="J951" s="270" t="s">
        <v>12033</v>
      </c>
      <c r="K951" s="4837">
        <v>36892.981687500607</v>
      </c>
      <c r="L951" s="4834">
        <f t="shared" si="61"/>
        <v>2.7700043393434187E-5</v>
      </c>
      <c r="S951" s="270" t="s">
        <v>12032</v>
      </c>
      <c r="T951" s="4838">
        <v>490.29888517157673</v>
      </c>
      <c r="U951" s="4839">
        <f t="shared" si="60"/>
        <v>1.5436843728566594E-3</v>
      </c>
    </row>
    <row r="952" spans="1:21">
      <c r="A952" s="270" t="s">
        <v>12031</v>
      </c>
      <c r="B952" s="3305">
        <v>5081</v>
      </c>
      <c r="C952" s="4834">
        <f t="shared" si="58"/>
        <v>1.5265079058421571E-4</v>
      </c>
      <c r="D952" s="3" t="str">
        <f t="shared" si="59"/>
        <v>2015</v>
      </c>
      <c r="J952" s="270" t="s">
        <v>12034</v>
      </c>
      <c r="K952" s="4837">
        <v>36799.744522451583</v>
      </c>
      <c r="L952" s="4834">
        <f t="shared" si="61"/>
        <v>2.7310361635509205E-5</v>
      </c>
      <c r="S952" s="270" t="s">
        <v>12033</v>
      </c>
      <c r="T952" s="4838">
        <v>503.80219873040045</v>
      </c>
      <c r="U952" s="4839">
        <f t="shared" si="60"/>
        <v>1.6486887638721788E-3</v>
      </c>
    </row>
    <row r="953" spans="1:21">
      <c r="A953" s="270" t="s">
        <v>12032</v>
      </c>
      <c r="B953" s="3305">
        <v>5144.5</v>
      </c>
      <c r="C953" s="4834">
        <f t="shared" si="58"/>
        <v>1.6250634806539552E-4</v>
      </c>
      <c r="D953" s="3" t="str">
        <f t="shared" si="59"/>
        <v>2015</v>
      </c>
      <c r="J953" s="270" t="s">
        <v>12035</v>
      </c>
      <c r="K953" s="4837">
        <v>36651.851088235904</v>
      </c>
      <c r="L953" s="4834">
        <f t="shared" si="61"/>
        <v>2.6695069744870081E-5</v>
      </c>
      <c r="S953" s="270" t="s">
        <v>12034</v>
      </c>
      <c r="T953" s="4838">
        <v>508.62481071569465</v>
      </c>
      <c r="U953" s="4839">
        <f t="shared" si="60"/>
        <v>1.6854418279525804E-3</v>
      </c>
    </row>
    <row r="954" spans="1:21">
      <c r="A954" s="270" t="s">
        <v>12033</v>
      </c>
      <c r="B954" s="3305">
        <v>5175</v>
      </c>
      <c r="C954" s="4834">
        <f t="shared" si="58"/>
        <v>1.6730367035406522E-4</v>
      </c>
      <c r="D954" s="3" t="str">
        <f t="shared" si="59"/>
        <v>2015</v>
      </c>
      <c r="J954" s="270" t="s">
        <v>12036</v>
      </c>
      <c r="K954" s="4837">
        <v>37023.192211103546</v>
      </c>
      <c r="L954" s="4834">
        <f t="shared" si="61"/>
        <v>2.8246334272070795E-5</v>
      </c>
      <c r="S954" s="270" t="s">
        <v>12035</v>
      </c>
      <c r="T954" s="4838">
        <v>501.87315393628273</v>
      </c>
      <c r="U954" s="4839">
        <f t="shared" si="60"/>
        <v>1.6338624382665468E-3</v>
      </c>
    </row>
    <row r="955" spans="1:21">
      <c r="A955" s="270" t="s">
        <v>12034</v>
      </c>
      <c r="B955" s="3305">
        <v>5241</v>
      </c>
      <c r="C955" s="4834">
        <f t="shared" si="58"/>
        <v>1.7779672659561002E-4</v>
      </c>
      <c r="D955" s="3" t="str">
        <f t="shared" si="59"/>
        <v>2015</v>
      </c>
      <c r="J955" s="270" t="s">
        <v>12037</v>
      </c>
      <c r="K955" s="4837">
        <v>37452.404677794737</v>
      </c>
      <c r="L955" s="4834">
        <f t="shared" si="61"/>
        <v>3.0060853054382467E-5</v>
      </c>
      <c r="S955" s="270" t="s">
        <v>12036</v>
      </c>
      <c r="T955" s="4838">
        <v>514.09043763236139</v>
      </c>
      <c r="U955" s="4839">
        <f t="shared" si="60"/>
        <v>1.7264871431072325E-3</v>
      </c>
    </row>
    <row r="956" spans="1:21">
      <c r="A956" s="270" t="s">
        <v>12035</v>
      </c>
      <c r="B956" s="3305">
        <v>5160</v>
      </c>
      <c r="C956" s="4834">
        <f t="shared" si="58"/>
        <v>1.6493968928505621E-4</v>
      </c>
      <c r="D956" s="3" t="str">
        <f t="shared" si="59"/>
        <v>2015</v>
      </c>
      <c r="J956" s="270" t="s">
        <v>12038</v>
      </c>
      <c r="K956" s="4837">
        <v>37462.049901765327</v>
      </c>
      <c r="L956" s="4834">
        <f t="shared" si="61"/>
        <v>3.0101818009934503E-5</v>
      </c>
      <c r="S956" s="270" t="s">
        <v>12037</v>
      </c>
      <c r="T956" s="4838">
        <v>513.12591523530261</v>
      </c>
      <c r="U956" s="4839">
        <f t="shared" si="60"/>
        <v>1.7192948255446473E-3</v>
      </c>
    </row>
    <row r="957" spans="1:21">
      <c r="A957" s="270" t="s">
        <v>12036</v>
      </c>
      <c r="B957" s="3305">
        <v>5319</v>
      </c>
      <c r="C957" s="4834">
        <f t="shared" si="58"/>
        <v>1.9033430421072067E-4</v>
      </c>
      <c r="D957" s="3" t="str">
        <f t="shared" si="59"/>
        <v>2015</v>
      </c>
      <c r="J957" s="270" t="s">
        <v>12039</v>
      </c>
      <c r="K957" s="4837">
        <v>37741.761396912385</v>
      </c>
      <c r="L957" s="4834">
        <f t="shared" si="61"/>
        <v>3.1292073594923224E-5</v>
      </c>
      <c r="S957" s="270" t="s">
        <v>12038</v>
      </c>
      <c r="T957" s="4838">
        <v>501.87315393628273</v>
      </c>
      <c r="U957" s="4839">
        <f t="shared" si="60"/>
        <v>1.6338624382665468E-3</v>
      </c>
    </row>
    <row r="958" spans="1:21">
      <c r="A958" s="270" t="s">
        <v>12037</v>
      </c>
      <c r="B958" s="3305">
        <v>5335</v>
      </c>
      <c r="C958" s="4834">
        <f t="shared" si="58"/>
        <v>1.9291653598868733E-4</v>
      </c>
      <c r="D958" s="3" t="str">
        <f t="shared" si="59"/>
        <v>2015</v>
      </c>
      <c r="J958" s="270" t="s">
        <v>12040</v>
      </c>
      <c r="K958" s="4837">
        <v>38074.521623897686</v>
      </c>
      <c r="L958" s="4834">
        <f t="shared" si="61"/>
        <v>3.2710725491422841E-5</v>
      </c>
      <c r="S958" s="270" t="s">
        <v>12039</v>
      </c>
      <c r="T958" s="4838">
        <v>509.26782564706718</v>
      </c>
      <c r="U958" s="4839">
        <f t="shared" si="60"/>
        <v>1.6903059086548519E-3</v>
      </c>
    </row>
    <row r="959" spans="1:21">
      <c r="A959" s="270" t="s">
        <v>12038</v>
      </c>
      <c r="B959" s="3305">
        <v>5260.5</v>
      </c>
      <c r="C959" s="4834">
        <f t="shared" si="58"/>
        <v>1.8092036829732446E-4</v>
      </c>
      <c r="D959" s="3" t="str">
        <f t="shared" si="59"/>
        <v>2015</v>
      </c>
      <c r="J959" s="270" t="s">
        <v>12041</v>
      </c>
      <c r="K959" s="4837">
        <v>37965.209085564347</v>
      </c>
      <c r="L959" s="4834">
        <f t="shared" si="61"/>
        <v>3.2244678835052974E-5</v>
      </c>
      <c r="S959" s="270" t="s">
        <v>12040</v>
      </c>
      <c r="T959" s="4838">
        <v>520.19907948040077</v>
      </c>
      <c r="U959" s="4839">
        <f t="shared" si="60"/>
        <v>1.7714814155717121E-3</v>
      </c>
    </row>
    <row r="960" spans="1:21">
      <c r="A960" s="270" t="s">
        <v>12039</v>
      </c>
      <c r="B960" s="3305">
        <v>5278</v>
      </c>
      <c r="C960" s="4834">
        <f t="shared" si="58"/>
        <v>1.8373061661640564E-4</v>
      </c>
      <c r="D960" s="3" t="str">
        <f t="shared" si="59"/>
        <v>2015</v>
      </c>
      <c r="J960" s="270" t="s">
        <v>12042</v>
      </c>
      <c r="K960" s="4837">
        <v>37789.98751676533</v>
      </c>
      <c r="L960" s="4834">
        <f t="shared" si="61"/>
        <v>3.1497606417096158E-5</v>
      </c>
      <c r="S960" s="270" t="s">
        <v>12041</v>
      </c>
      <c r="T960" s="4838">
        <v>515.69797496079286</v>
      </c>
      <c r="U960" s="4839">
        <f t="shared" si="60"/>
        <v>1.7384228833043894E-3</v>
      </c>
    </row>
    <row r="961" spans="1:21">
      <c r="A961" s="270" t="s">
        <v>12040</v>
      </c>
      <c r="B961" s="3305">
        <v>5344</v>
      </c>
      <c r="C961" s="4834">
        <f t="shared" si="58"/>
        <v>1.943698072646334E-4</v>
      </c>
      <c r="D961" s="3" t="str">
        <f t="shared" si="59"/>
        <v>2015</v>
      </c>
      <c r="J961" s="270" t="s">
        <v>12043</v>
      </c>
      <c r="K961" s="4837">
        <v>37865.541771201606</v>
      </c>
      <c r="L961" s="4834">
        <f t="shared" si="61"/>
        <v>3.181970329657535E-5</v>
      </c>
      <c r="S961" s="270" t="s">
        <v>12042</v>
      </c>
      <c r="T961" s="4838">
        <v>509.91084057843972</v>
      </c>
      <c r="U961" s="4839">
        <f t="shared" si="60"/>
        <v>1.6951609407766337E-3</v>
      </c>
    </row>
    <row r="962" spans="1:21">
      <c r="A962" s="270" t="s">
        <v>12041</v>
      </c>
      <c r="B962" s="3305">
        <v>5270</v>
      </c>
      <c r="C962" s="4834">
        <f t="shared" si="58"/>
        <v>1.8244518422241704E-4</v>
      </c>
      <c r="D962" s="3" t="str">
        <f t="shared" si="59"/>
        <v>2015</v>
      </c>
      <c r="J962" s="270" t="s">
        <v>12044</v>
      </c>
      <c r="K962" s="4837">
        <v>37523.136320245714</v>
      </c>
      <c r="L962" s="4834">
        <f t="shared" si="61"/>
        <v>3.0361406349006516E-5</v>
      </c>
      <c r="S962" s="270" t="s">
        <v>12043</v>
      </c>
      <c r="T962" s="4838">
        <v>509.91084057843972</v>
      </c>
      <c r="U962" s="4839">
        <f t="shared" si="60"/>
        <v>1.6951609407766337E-3</v>
      </c>
    </row>
    <row r="963" spans="1:21">
      <c r="A963" s="270" t="s">
        <v>12042</v>
      </c>
      <c r="B963" s="3305">
        <v>5240</v>
      </c>
      <c r="C963" s="4834">
        <f t="shared" si="58"/>
        <v>1.7763678601490874E-4</v>
      </c>
      <c r="D963" s="3" t="str">
        <f t="shared" si="59"/>
        <v>2015</v>
      </c>
      <c r="J963" s="270" t="s">
        <v>12045</v>
      </c>
      <c r="K963" s="4837">
        <v>37519.921245588856</v>
      </c>
      <c r="L963" s="4834">
        <f t="shared" si="61"/>
        <v>3.0347737914634364E-5</v>
      </c>
      <c r="S963" s="270" t="s">
        <v>12044</v>
      </c>
      <c r="T963" s="4838">
        <v>506.3742584558907</v>
      </c>
      <c r="U963" s="4839">
        <f t="shared" si="60"/>
        <v>1.6683485729666807E-3</v>
      </c>
    </row>
    <row r="964" spans="1:21">
      <c r="A964" s="270" t="s">
        <v>12043</v>
      </c>
      <c r="B964" s="3305">
        <v>5189</v>
      </c>
      <c r="C964" s="4834">
        <f t="shared" ref="C964:C1027" si="62">_xlfn.NORM.DIST(B964,$F$4,$F$3,FALSE)</f>
        <v>1.6951763608290902E-4</v>
      </c>
      <c r="D964" s="3" t="str">
        <f t="shared" ref="D964:D1027" si="63">LEFT(A964,4)</f>
        <v>2015</v>
      </c>
      <c r="J964" s="270" t="s">
        <v>12046</v>
      </c>
      <c r="K964" s="4837">
        <v>37335.05445281924</v>
      </c>
      <c r="L964" s="4834">
        <f t="shared" si="61"/>
        <v>2.9563006650910984E-5</v>
      </c>
      <c r="S964" s="270" t="s">
        <v>12045</v>
      </c>
      <c r="T964" s="4838">
        <v>507.01727338726323</v>
      </c>
      <c r="U964" s="4839">
        <f t="shared" ref="U964:U1027" si="64">_xlfn.NORM.DIST(T964,$X$4,$X$3,FALSE)</f>
        <v>1.6732430774757741E-3</v>
      </c>
    </row>
    <row r="965" spans="1:21">
      <c r="A965" s="270" t="s">
        <v>12044</v>
      </c>
      <c r="B965" s="3305">
        <v>5185.5</v>
      </c>
      <c r="C965" s="4834">
        <f t="shared" si="62"/>
        <v>1.6896348573919003E-4</v>
      </c>
      <c r="D965" s="3" t="str">
        <f t="shared" si="63"/>
        <v>2015</v>
      </c>
      <c r="J965" s="270" t="s">
        <v>12047</v>
      </c>
      <c r="K965" s="4837">
        <v>37500.630797647682</v>
      </c>
      <c r="L965" s="4834">
        <f t="shared" ref="L965:L1028" si="65">_xlfn.NORM.DIST(K965,$O$4,$O$3,FALSE)</f>
        <v>3.0265740658901546E-5</v>
      </c>
      <c r="S965" s="270" t="s">
        <v>12046</v>
      </c>
      <c r="T965" s="4838">
        <v>513.76893016667509</v>
      </c>
      <c r="U965" s="4839">
        <f t="shared" si="64"/>
        <v>1.7240922370112303E-3</v>
      </c>
    </row>
    <row r="966" spans="1:21">
      <c r="A966" s="270" t="s">
        <v>12045</v>
      </c>
      <c r="B966" s="3305">
        <v>5274</v>
      </c>
      <c r="C966" s="4834">
        <f t="shared" si="62"/>
        <v>1.8308775016628986E-4</v>
      </c>
      <c r="D966" s="3" t="str">
        <f t="shared" si="63"/>
        <v>2015</v>
      </c>
      <c r="J966" s="270" t="s">
        <v>12048</v>
      </c>
      <c r="K966" s="4837">
        <v>37478.125275049642</v>
      </c>
      <c r="L966" s="4834">
        <f t="shared" si="65"/>
        <v>3.0170107114856929E-5</v>
      </c>
      <c r="S966" s="270" t="s">
        <v>12047</v>
      </c>
      <c r="T966" s="4838">
        <v>517.62701975491052</v>
      </c>
      <c r="U966" s="4839">
        <f t="shared" si="64"/>
        <v>1.7526578126796342E-3</v>
      </c>
    </row>
    <row r="967" spans="1:21">
      <c r="A967" s="270" t="s">
        <v>12046</v>
      </c>
      <c r="B967" s="3305">
        <v>5295</v>
      </c>
      <c r="C967" s="4834">
        <f t="shared" si="62"/>
        <v>1.8646585529730219E-4</v>
      </c>
      <c r="D967" s="3" t="str">
        <f t="shared" si="63"/>
        <v>2015</v>
      </c>
      <c r="J967" s="270" t="s">
        <v>12049</v>
      </c>
      <c r="K967" s="4837">
        <v>37925.020652353567</v>
      </c>
      <c r="L967" s="4834">
        <f t="shared" si="65"/>
        <v>3.2073314567345211E-5</v>
      </c>
      <c r="S967" s="270" t="s">
        <v>12048</v>
      </c>
      <c r="T967" s="4838">
        <v>507.98179578432212</v>
      </c>
      <c r="U967" s="4839">
        <f t="shared" si="64"/>
        <v>1.6805688570015367E-3</v>
      </c>
    </row>
    <row r="968" spans="1:21">
      <c r="A968" s="270" t="s">
        <v>12047</v>
      </c>
      <c r="B968" s="3305">
        <v>5233</v>
      </c>
      <c r="C968" s="4834">
        <f t="shared" si="62"/>
        <v>1.7651792357012907E-4</v>
      </c>
      <c r="D968" s="3" t="str">
        <f t="shared" si="63"/>
        <v>2015</v>
      </c>
      <c r="J968" s="270" t="s">
        <v>12050</v>
      </c>
      <c r="K968" s="4837">
        <v>36928.347508726096</v>
      </c>
      <c r="L968" s="4834">
        <f t="shared" si="65"/>
        <v>2.7848187954132413E-5</v>
      </c>
      <c r="S968" s="270" t="s">
        <v>12049</v>
      </c>
      <c r="T968" s="4838">
        <v>515.37646749510657</v>
      </c>
      <c r="U968" s="4839">
        <f t="shared" si="64"/>
        <v>1.7360409734682801E-3</v>
      </c>
    </row>
    <row r="969" spans="1:21">
      <c r="A969" s="270" t="s">
        <v>12048</v>
      </c>
      <c r="B969" s="3305">
        <v>5219.5</v>
      </c>
      <c r="C969" s="4834">
        <f t="shared" si="62"/>
        <v>1.74363871271759E-4</v>
      </c>
      <c r="D969" s="3" t="str">
        <f t="shared" si="63"/>
        <v>2015</v>
      </c>
      <c r="J969" s="270" t="s">
        <v>12051</v>
      </c>
      <c r="K969" s="4837">
        <v>36727.405342672173</v>
      </c>
      <c r="L969" s="4834">
        <f t="shared" si="65"/>
        <v>2.7008952386375862E-5</v>
      </c>
      <c r="S969" s="270" t="s">
        <v>12050</v>
      </c>
      <c r="T969" s="4838">
        <v>508.62481071569465</v>
      </c>
      <c r="U969" s="4839">
        <f t="shared" si="64"/>
        <v>1.6854418279525804E-3</v>
      </c>
    </row>
    <row r="970" spans="1:21">
      <c r="A970" s="270" t="s">
        <v>12049</v>
      </c>
      <c r="B970" s="3305">
        <v>5179</v>
      </c>
      <c r="C970" s="4834">
        <f t="shared" si="62"/>
        <v>1.6793550712456903E-4</v>
      </c>
      <c r="D970" s="3" t="str">
        <f t="shared" si="63"/>
        <v>2015</v>
      </c>
      <c r="J970" s="270" t="s">
        <v>12052</v>
      </c>
      <c r="K970" s="4837">
        <v>36458.946608824132</v>
      </c>
      <c r="L970" s="4834">
        <f t="shared" si="65"/>
        <v>2.5898294066931679E-5</v>
      </c>
      <c r="S970" s="270" t="s">
        <v>12051</v>
      </c>
      <c r="T970" s="4838">
        <v>502.51616886765538</v>
      </c>
      <c r="U970" s="4839">
        <f t="shared" si="64"/>
        <v>1.6388119911254417E-3</v>
      </c>
    </row>
    <row r="971" spans="1:21">
      <c r="A971" s="270" t="s">
        <v>12050</v>
      </c>
      <c r="B971" s="3305">
        <v>5161</v>
      </c>
      <c r="C971" s="4834">
        <f t="shared" si="62"/>
        <v>1.6509701511254181E-4</v>
      </c>
      <c r="D971" s="3" t="str">
        <f t="shared" si="63"/>
        <v>2015</v>
      </c>
      <c r="J971" s="270" t="s">
        <v>12053</v>
      </c>
      <c r="K971" s="4837">
        <v>36108.503471226089</v>
      </c>
      <c r="L971" s="4834">
        <f t="shared" si="65"/>
        <v>2.4470079003442176E-5</v>
      </c>
      <c r="S971" s="270" t="s">
        <v>12052</v>
      </c>
      <c r="T971" s="4838">
        <v>495.12149715687093</v>
      </c>
      <c r="U971" s="4839">
        <f t="shared" si="64"/>
        <v>1.5814852070053606E-3</v>
      </c>
    </row>
    <row r="972" spans="1:21">
      <c r="A972" s="270" t="s">
        <v>12051</v>
      </c>
      <c r="B972" s="3305">
        <v>5135.5</v>
      </c>
      <c r="C972" s="4834">
        <f t="shared" si="62"/>
        <v>1.610980903189922E-4</v>
      </c>
      <c r="D972" s="3" t="str">
        <f t="shared" si="63"/>
        <v>2015</v>
      </c>
      <c r="J972" s="270" t="s">
        <v>12054</v>
      </c>
      <c r="K972" s="4837">
        <v>35838.437200049608</v>
      </c>
      <c r="L972" s="4834">
        <f t="shared" si="65"/>
        <v>2.3388843044843452E-5</v>
      </c>
      <c r="S972" s="270" t="s">
        <v>12053</v>
      </c>
      <c r="T972" s="4838">
        <v>494.4784822254984</v>
      </c>
      <c r="U972" s="4839">
        <f t="shared" si="64"/>
        <v>1.5764618762748807E-3</v>
      </c>
    </row>
    <row r="973" spans="1:21">
      <c r="A973" s="270" t="s">
        <v>12052</v>
      </c>
      <c r="B973" s="3305">
        <v>5137.5</v>
      </c>
      <c r="C973" s="4834">
        <f t="shared" si="62"/>
        <v>1.614107324158801E-4</v>
      </c>
      <c r="D973" s="3" t="str">
        <f t="shared" si="63"/>
        <v>2015</v>
      </c>
      <c r="J973" s="270" t="s">
        <v>12055</v>
      </c>
      <c r="K973" s="4837">
        <v>35568.370928873133</v>
      </c>
      <c r="L973" s="4834">
        <f t="shared" si="65"/>
        <v>2.2326668092753716E-5</v>
      </c>
      <c r="S973" s="270" t="s">
        <v>12054</v>
      </c>
      <c r="T973" s="4838">
        <v>490.62039263726297</v>
      </c>
      <c r="U973" s="4839">
        <f t="shared" si="64"/>
        <v>1.5462129270622201E-3</v>
      </c>
    </row>
    <row r="974" spans="1:21">
      <c r="A974" s="270" t="s">
        <v>12053</v>
      </c>
      <c r="B974" s="3305">
        <v>5149</v>
      </c>
      <c r="C974" s="4834">
        <f t="shared" si="62"/>
        <v>1.6321177688252497E-4</v>
      </c>
      <c r="D974" s="3" t="str">
        <f t="shared" si="63"/>
        <v>2015</v>
      </c>
      <c r="J974" s="270" t="s">
        <v>12056</v>
      </c>
      <c r="K974" s="4837">
        <v>35008.947938579011</v>
      </c>
      <c r="L974" s="4834">
        <f t="shared" si="65"/>
        <v>2.0194672845047155E-5</v>
      </c>
      <c r="S974" s="270" t="s">
        <v>12055</v>
      </c>
      <c r="T974" s="4838">
        <v>482.90421346079228</v>
      </c>
      <c r="U974" s="4839">
        <f t="shared" si="64"/>
        <v>1.4852589781211613E-3</v>
      </c>
    </row>
    <row r="975" spans="1:21">
      <c r="A975" s="270" t="s">
        <v>12054</v>
      </c>
      <c r="B975" s="3305">
        <v>5165.5</v>
      </c>
      <c r="C975" s="4834">
        <f t="shared" si="62"/>
        <v>1.6580547059349046E-4</v>
      </c>
      <c r="D975" s="3" t="str">
        <f t="shared" si="63"/>
        <v>2015</v>
      </c>
      <c r="J975" s="270" t="s">
        <v>12057</v>
      </c>
      <c r="K975" s="4837">
        <v>35031.453461177043</v>
      </c>
      <c r="L975" s="4834">
        <f t="shared" si="65"/>
        <v>2.0278534446016669E-5</v>
      </c>
      <c r="S975" s="270" t="s">
        <v>12056</v>
      </c>
      <c r="T975" s="4838">
        <v>484.83325825490999</v>
      </c>
      <c r="U975" s="4839">
        <f t="shared" si="64"/>
        <v>1.5005442627571621E-3</v>
      </c>
    </row>
    <row r="976" spans="1:21">
      <c r="A976" s="270" t="s">
        <v>12055</v>
      </c>
      <c r="B976" s="3305">
        <v>5053</v>
      </c>
      <c r="C976" s="4834">
        <f t="shared" si="62"/>
        <v>1.4837017516407489E-4</v>
      </c>
      <c r="D976" s="3" t="str">
        <f t="shared" si="63"/>
        <v>2015</v>
      </c>
      <c r="J976" s="270" t="s">
        <v>12058</v>
      </c>
      <c r="K976" s="4837">
        <v>34951.076594755476</v>
      </c>
      <c r="L976" s="4834">
        <f t="shared" si="65"/>
        <v>1.9979798884148467E-5</v>
      </c>
      <c r="S976" s="270" t="s">
        <v>12057</v>
      </c>
      <c r="T976" s="4838">
        <v>475.18803428432153</v>
      </c>
      <c r="U976" s="4839">
        <f t="shared" si="64"/>
        <v>1.4239127605803288E-3</v>
      </c>
    </row>
    <row r="977" spans="1:21">
      <c r="A977" s="270" t="s">
        <v>12056</v>
      </c>
      <c r="B977" s="3305">
        <v>5000</v>
      </c>
      <c r="C977" s="4834">
        <f t="shared" si="62"/>
        <v>1.4039215168134195E-4</v>
      </c>
      <c r="D977" s="3" t="str">
        <f t="shared" si="63"/>
        <v>2015</v>
      </c>
      <c r="J977" s="270" t="s">
        <v>12059</v>
      </c>
      <c r="K977" s="4837">
        <v>34912.495698873128</v>
      </c>
      <c r="L977" s="4834">
        <f t="shared" si="65"/>
        <v>1.9837170814955869E-5</v>
      </c>
      <c r="S977" s="270" t="s">
        <v>12058</v>
      </c>
      <c r="T977" s="4838">
        <v>467.79336257353714</v>
      </c>
      <c r="U977" s="4839">
        <f t="shared" si="64"/>
        <v>1.3649874611222814E-3</v>
      </c>
    </row>
    <row r="978" spans="1:21">
      <c r="A978" s="270" t="s">
        <v>12057</v>
      </c>
      <c r="B978" s="3305">
        <v>4990</v>
      </c>
      <c r="C978" s="4834">
        <f t="shared" si="62"/>
        <v>1.3890647285003818E-4</v>
      </c>
      <c r="D978" s="3" t="str">
        <f t="shared" si="63"/>
        <v>2015</v>
      </c>
      <c r="J978" s="270" t="s">
        <v>12060</v>
      </c>
      <c r="K978" s="4837">
        <v>34960.721818726073</v>
      </c>
      <c r="L978" s="4834">
        <f t="shared" si="65"/>
        <v>2.0015533813319591E-5</v>
      </c>
      <c r="S978" s="270" t="s">
        <v>12059</v>
      </c>
      <c r="T978" s="4838">
        <v>464.25678045098806</v>
      </c>
      <c r="U978" s="4839">
        <f t="shared" si="64"/>
        <v>1.3368227070145098E-3</v>
      </c>
    </row>
    <row r="979" spans="1:21">
      <c r="A979" s="270" t="s">
        <v>12058</v>
      </c>
      <c r="B979" s="3305">
        <v>4933.5</v>
      </c>
      <c r="C979" s="4834">
        <f t="shared" si="62"/>
        <v>1.3063899639832968E-4</v>
      </c>
      <c r="D979" s="3" t="str">
        <f t="shared" si="63"/>
        <v>2015</v>
      </c>
      <c r="J979" s="270" t="s">
        <v>12061</v>
      </c>
      <c r="K979" s="4837">
        <v>34771.032413971167</v>
      </c>
      <c r="L979" s="4834">
        <f t="shared" si="65"/>
        <v>1.9318521257086326E-5</v>
      </c>
      <c r="S979" s="270" t="s">
        <v>12060</v>
      </c>
      <c r="T979" s="4838">
        <v>462.6492431225567</v>
      </c>
      <c r="U979" s="4839">
        <f t="shared" si="64"/>
        <v>1.3240330579553385E-3</v>
      </c>
    </row>
    <row r="980" spans="1:21">
      <c r="A980" s="270" t="s">
        <v>12059</v>
      </c>
      <c r="B980" s="3305">
        <v>4931</v>
      </c>
      <c r="C980" s="4834">
        <f t="shared" si="62"/>
        <v>1.3027835441787808E-4</v>
      </c>
      <c r="D980" s="3" t="str">
        <f t="shared" si="63"/>
        <v>2015</v>
      </c>
      <c r="J980" s="270" t="s">
        <v>12062</v>
      </c>
      <c r="K980" s="4837">
        <v>34875.522340319199</v>
      </c>
      <c r="L980" s="4834">
        <f t="shared" si="65"/>
        <v>1.9700956173801823E-5</v>
      </c>
      <c r="S980" s="270" t="s">
        <v>12061</v>
      </c>
      <c r="T980" s="4838">
        <v>462.6492431225567</v>
      </c>
      <c r="U980" s="4839">
        <f t="shared" si="64"/>
        <v>1.3240330579553385E-3</v>
      </c>
    </row>
    <row r="981" spans="1:21">
      <c r="A981" s="270" t="s">
        <v>12060</v>
      </c>
      <c r="B981" s="3305">
        <v>4872.5</v>
      </c>
      <c r="C981" s="4834">
        <f t="shared" si="62"/>
        <v>1.2197240064905036E-4</v>
      </c>
      <c r="D981" s="3" t="str">
        <f t="shared" si="63"/>
        <v>2015</v>
      </c>
      <c r="J981" s="270" t="s">
        <v>12063</v>
      </c>
      <c r="K981" s="4837">
        <v>34697.085696863316</v>
      </c>
      <c r="L981" s="4834">
        <f t="shared" si="65"/>
        <v>1.9050154567453131E-5</v>
      </c>
      <c r="S981" s="270" t="s">
        <v>12062</v>
      </c>
      <c r="T981" s="4838">
        <v>461.68472072549775</v>
      </c>
      <c r="U981" s="4839">
        <f t="shared" si="64"/>
        <v>1.316364294489718E-3</v>
      </c>
    </row>
    <row r="982" spans="1:21">
      <c r="A982" s="270" t="s">
        <v>12061</v>
      </c>
      <c r="B982" s="3305">
        <v>4825</v>
      </c>
      <c r="C982" s="4834">
        <f t="shared" si="62"/>
        <v>1.1542522777972276E-4</v>
      </c>
      <c r="D982" s="3" t="str">
        <f t="shared" si="63"/>
        <v>2015</v>
      </c>
      <c r="J982" s="270" t="s">
        <v>12064</v>
      </c>
      <c r="K982" s="4837">
        <v>34328.959648652526</v>
      </c>
      <c r="L982" s="4834">
        <f t="shared" si="65"/>
        <v>1.7743159690902621E-5</v>
      </c>
      <c r="S982" s="270" t="s">
        <v>12063</v>
      </c>
      <c r="T982" s="4838">
        <v>458.14813860294873</v>
      </c>
      <c r="U982" s="4839">
        <f t="shared" si="64"/>
        <v>1.28828577696545E-3</v>
      </c>
    </row>
    <row r="983" spans="1:21">
      <c r="A983" s="270" t="s">
        <v>12062</v>
      </c>
      <c r="B983" s="3305">
        <v>4765</v>
      </c>
      <c r="C983" s="4834">
        <f t="shared" si="62"/>
        <v>1.0742351686422434E-4</v>
      </c>
      <c r="D983" s="3" t="str">
        <f t="shared" si="63"/>
        <v>2015</v>
      </c>
      <c r="J983" s="270" t="s">
        <v>12065</v>
      </c>
      <c r="K983" s="4837">
        <v>34806.398235196655</v>
      </c>
      <c r="L983" s="4834">
        <f t="shared" si="65"/>
        <v>1.9447541260712752E-5</v>
      </c>
      <c r="S983" s="270" t="s">
        <v>12064</v>
      </c>
      <c r="T983" s="4838">
        <v>455.57607887745849</v>
      </c>
      <c r="U983" s="4839">
        <f t="shared" si="64"/>
        <v>1.2679138340946209E-3</v>
      </c>
    </row>
    <row r="984" spans="1:21">
      <c r="A984" s="270" t="s">
        <v>12063</v>
      </c>
      <c r="B984" s="3305">
        <v>4700</v>
      </c>
      <c r="C984" s="4834">
        <f t="shared" si="62"/>
        <v>9.9110574035101155E-5</v>
      </c>
      <c r="D984" s="3" t="str">
        <f t="shared" si="63"/>
        <v>2015</v>
      </c>
      <c r="J984" s="270" t="s">
        <v>12066</v>
      </c>
      <c r="K984" s="4837">
        <v>34779.070100613317</v>
      </c>
      <c r="L984" s="4834">
        <f t="shared" si="65"/>
        <v>1.9347806064929556E-5</v>
      </c>
      <c r="S984" s="270" t="s">
        <v>12065</v>
      </c>
      <c r="T984" s="4838">
        <v>456.86210874020367</v>
      </c>
      <c r="U984" s="4839">
        <f t="shared" si="64"/>
        <v>1.2780940271578255E-3</v>
      </c>
    </row>
    <row r="985" spans="1:21">
      <c r="A985" s="270" t="s">
        <v>12064</v>
      </c>
      <c r="B985" s="3305">
        <v>4669</v>
      </c>
      <c r="C985" s="4834">
        <f t="shared" si="62"/>
        <v>9.5280952020268685E-5</v>
      </c>
      <c r="D985" s="3" t="str">
        <f t="shared" si="63"/>
        <v>2015</v>
      </c>
      <c r="J985" s="270" t="s">
        <v>12067</v>
      </c>
      <c r="K985" s="4837">
        <v>34417.374201716259</v>
      </c>
      <c r="L985" s="4834">
        <f t="shared" si="65"/>
        <v>1.8052576623073528E-5</v>
      </c>
      <c r="S985" s="270" t="s">
        <v>12066</v>
      </c>
      <c r="T985" s="4838">
        <v>459.43416846569386</v>
      </c>
      <c r="U985" s="4839">
        <f t="shared" si="64"/>
        <v>1.2984880608905458E-3</v>
      </c>
    </row>
    <row r="986" spans="1:21">
      <c r="A986" s="270" t="s">
        <v>12065</v>
      </c>
      <c r="B986" s="3305">
        <v>4610</v>
      </c>
      <c r="C986" s="4834">
        <f t="shared" si="62"/>
        <v>8.8239831607955628E-5</v>
      </c>
      <c r="D986" s="3" t="str">
        <f t="shared" si="63"/>
        <v>2015</v>
      </c>
      <c r="J986" s="270" t="s">
        <v>12068</v>
      </c>
      <c r="K986" s="4837">
        <v>34607.063606471165</v>
      </c>
      <c r="L986" s="4834">
        <f t="shared" si="65"/>
        <v>1.8726038406479203E-5</v>
      </c>
      <c r="S986" s="270" t="s">
        <v>12067</v>
      </c>
      <c r="T986" s="4838">
        <v>454.61155648039971</v>
      </c>
      <c r="U986" s="4839">
        <f t="shared" si="64"/>
        <v>1.2602868829498239E-3</v>
      </c>
    </row>
    <row r="987" spans="1:21">
      <c r="A987" s="270" t="s">
        <v>12066</v>
      </c>
      <c r="B987" s="3305">
        <v>4690</v>
      </c>
      <c r="C987" s="4834">
        <f t="shared" si="62"/>
        <v>9.786554551642809E-5</v>
      </c>
      <c r="D987" s="3" t="str">
        <f t="shared" si="63"/>
        <v>2015</v>
      </c>
      <c r="J987" s="270" t="s">
        <v>12069</v>
      </c>
      <c r="K987" s="4837">
        <v>34336.997335294684</v>
      </c>
      <c r="L987" s="4834">
        <f t="shared" si="65"/>
        <v>1.7771169137760045E-5</v>
      </c>
      <c r="S987" s="270" t="s">
        <v>12069</v>
      </c>
      <c r="T987" s="4838">
        <v>452.3610042205957</v>
      </c>
      <c r="U987" s="4839">
        <f t="shared" si="64"/>
        <v>1.2425205325816639E-3</v>
      </c>
    </row>
    <row r="988" spans="1:21">
      <c r="A988" s="270" t="s">
        <v>12067</v>
      </c>
      <c r="B988" s="3305">
        <v>4515.5</v>
      </c>
      <c r="C988" s="4834">
        <f t="shared" si="62"/>
        <v>7.7653133353813611E-5</v>
      </c>
      <c r="D988" s="3" t="str">
        <f t="shared" si="63"/>
        <v>2015</v>
      </c>
      <c r="J988" s="270" t="s">
        <v>12070</v>
      </c>
      <c r="K988" s="4837">
        <v>34433.449575000566</v>
      </c>
      <c r="L988" s="4834">
        <f t="shared" si="65"/>
        <v>1.8109143209064814E-5</v>
      </c>
      <c r="S988" s="270" t="s">
        <v>12070</v>
      </c>
      <c r="T988" s="4838">
        <v>459.43416846569386</v>
      </c>
      <c r="U988" s="4839">
        <f t="shared" si="64"/>
        <v>1.2984880608905458E-3</v>
      </c>
    </row>
    <row r="989" spans="1:21">
      <c r="A989" s="270" t="s">
        <v>12068</v>
      </c>
      <c r="B989" s="3305">
        <v>4527</v>
      </c>
      <c r="C989" s="4834">
        <f t="shared" si="62"/>
        <v>7.8895461181415657E-5</v>
      </c>
      <c r="D989" s="3" t="str">
        <f t="shared" si="63"/>
        <v>2015</v>
      </c>
      <c r="J989" s="270" t="s">
        <v>12071</v>
      </c>
      <c r="K989" s="4837">
        <v>33996.199421667225</v>
      </c>
      <c r="L989" s="4834">
        <f t="shared" si="65"/>
        <v>1.6604904965727276E-5</v>
      </c>
      <c r="S989" s="270" t="s">
        <v>12071</v>
      </c>
      <c r="T989" s="4838">
        <v>453.64703408334077</v>
      </c>
      <c r="U989" s="4839">
        <f t="shared" si="64"/>
        <v>1.2526674257513019E-3</v>
      </c>
    </row>
    <row r="990" spans="1:21">
      <c r="A990" s="270" t="s">
        <v>12069</v>
      </c>
      <c r="B990" s="3305">
        <v>4541</v>
      </c>
      <c r="C990" s="4834">
        <f t="shared" si="62"/>
        <v>8.042513251440951E-5</v>
      </c>
      <c r="D990" s="3" t="str">
        <f t="shared" si="63"/>
        <v>2015</v>
      </c>
      <c r="J990" s="270" t="s">
        <v>12072</v>
      </c>
      <c r="K990" s="4837">
        <v>34140.87778122606</v>
      </c>
      <c r="L990" s="4834">
        <f t="shared" si="65"/>
        <v>1.7094637592263762E-5</v>
      </c>
      <c r="S990" s="270" t="s">
        <v>12072</v>
      </c>
      <c r="T990" s="4838">
        <v>452.682511686282</v>
      </c>
      <c r="U990" s="4839">
        <f t="shared" si="64"/>
        <v>1.2450558827247487E-3</v>
      </c>
    </row>
    <row r="991" spans="1:21">
      <c r="A991" s="270" t="s">
        <v>12070</v>
      </c>
      <c r="B991" s="3305">
        <v>4667</v>
      </c>
      <c r="C991" s="4834">
        <f t="shared" si="62"/>
        <v>9.5036929609562806E-5</v>
      </c>
      <c r="D991" s="3" t="str">
        <f t="shared" si="63"/>
        <v>2015</v>
      </c>
      <c r="J991" s="270" t="s">
        <v>12073</v>
      </c>
      <c r="K991" s="4837">
        <v>34253.40539421625</v>
      </c>
      <c r="L991" s="4834">
        <f t="shared" si="65"/>
        <v>1.7481046443843519E-5</v>
      </c>
      <c r="S991" s="270" t="s">
        <v>12073</v>
      </c>
      <c r="T991" s="4838">
        <v>456.86210874020367</v>
      </c>
      <c r="U991" s="4839">
        <f t="shared" si="64"/>
        <v>1.2780940271578255E-3</v>
      </c>
    </row>
    <row r="992" spans="1:21">
      <c r="A992" s="270" t="s">
        <v>12071</v>
      </c>
      <c r="B992" s="3305">
        <v>4636</v>
      </c>
      <c r="C992" s="4834">
        <f t="shared" si="62"/>
        <v>9.1302334765455212E-5</v>
      </c>
      <c r="D992" s="3" t="str">
        <f t="shared" si="63"/>
        <v>2015</v>
      </c>
      <c r="J992" s="270" t="s">
        <v>12074</v>
      </c>
      <c r="K992" s="4837">
        <v>33931.897928529979</v>
      </c>
      <c r="L992" s="4834">
        <f t="shared" si="65"/>
        <v>1.6389832965695081E-5</v>
      </c>
      <c r="S992" s="270" t="s">
        <v>12074</v>
      </c>
      <c r="T992" s="4838">
        <v>454.61155648039971</v>
      </c>
      <c r="U992" s="4839">
        <f t="shared" si="64"/>
        <v>1.2602868829498239E-3</v>
      </c>
    </row>
    <row r="993" spans="1:21">
      <c r="A993" s="270" t="s">
        <v>12072</v>
      </c>
      <c r="B993" s="3305">
        <v>4595.5</v>
      </c>
      <c r="C993" s="4834">
        <f t="shared" si="62"/>
        <v>8.6559769461534564E-5</v>
      </c>
      <c r="D993" s="3" t="str">
        <f t="shared" si="63"/>
        <v>2015</v>
      </c>
      <c r="J993" s="270" t="s">
        <v>12075</v>
      </c>
      <c r="K993" s="4837">
        <v>33933.505465858405</v>
      </c>
      <c r="L993" s="4834">
        <f t="shared" si="65"/>
        <v>1.6395190222956498E-5</v>
      </c>
      <c r="S993" s="270" t="s">
        <v>12075</v>
      </c>
      <c r="T993" s="4838">
        <v>447.8598997009878</v>
      </c>
      <c r="U993" s="4839">
        <f t="shared" si="64"/>
        <v>1.2071313572905736E-3</v>
      </c>
    </row>
    <row r="994" spans="1:21">
      <c r="A994" s="270" t="s">
        <v>12073</v>
      </c>
      <c r="B994" s="3305">
        <v>4619</v>
      </c>
      <c r="C994" s="4834">
        <f t="shared" si="62"/>
        <v>8.9292685839628862E-5</v>
      </c>
      <c r="D994" s="3" t="str">
        <f t="shared" si="63"/>
        <v>2015</v>
      </c>
      <c r="J994" s="270" t="s">
        <v>12076</v>
      </c>
      <c r="K994" s="4837">
        <v>34698.693234191749</v>
      </c>
      <c r="L994" s="4834">
        <f t="shared" si="65"/>
        <v>1.9055968320640535E-5</v>
      </c>
      <c r="S994" s="270" t="s">
        <v>12076</v>
      </c>
      <c r="T994" s="4838">
        <v>454.29004901471342</v>
      </c>
      <c r="U994" s="4839">
        <f t="shared" si="64"/>
        <v>1.2577462104040812E-3</v>
      </c>
    </row>
    <row r="995" spans="1:21">
      <c r="A995" s="270" t="s">
        <v>12074</v>
      </c>
      <c r="B995" s="3305">
        <v>4589</v>
      </c>
      <c r="C995" s="4834">
        <f t="shared" si="62"/>
        <v>8.5813148359624255E-5</v>
      </c>
      <c r="D995" s="3" t="str">
        <f t="shared" si="63"/>
        <v>2015</v>
      </c>
      <c r="J995" s="270" t="s">
        <v>13494</v>
      </c>
      <c r="K995" s="4837">
        <v>34587.773158529984</v>
      </c>
      <c r="L995" s="4834">
        <f t="shared" si="65"/>
        <v>1.8656958961953715E-5</v>
      </c>
      <c r="S995" s="270" t="s">
        <v>13494</v>
      </c>
      <c r="T995" s="4838">
        <v>465.86431777941942</v>
      </c>
      <c r="U995" s="4839">
        <f t="shared" si="64"/>
        <v>1.3496210188883476E-3</v>
      </c>
    </row>
    <row r="996" spans="1:21">
      <c r="A996" s="270" t="s">
        <v>12075</v>
      </c>
      <c r="B996" s="3305">
        <v>4525</v>
      </c>
      <c r="C996" s="4834">
        <f t="shared" si="62"/>
        <v>7.8678484318250036E-5</v>
      </c>
      <c r="D996" s="3" t="str">
        <f t="shared" si="63"/>
        <v>2015</v>
      </c>
      <c r="J996" s="270" t="s">
        <v>12077</v>
      </c>
      <c r="K996" s="4837">
        <v>34587.773158529984</v>
      </c>
      <c r="L996" s="4834">
        <f t="shared" si="65"/>
        <v>1.8656958961953715E-5</v>
      </c>
      <c r="S996" s="270" t="s">
        <v>12077</v>
      </c>
      <c r="T996" s="4838">
        <v>465.86431777941942</v>
      </c>
      <c r="U996" s="4839">
        <f t="shared" si="64"/>
        <v>1.3496210188883476E-3</v>
      </c>
    </row>
    <row r="997" spans="1:21">
      <c r="A997" s="270" t="s">
        <v>12076</v>
      </c>
      <c r="B997" s="3305">
        <v>4637</v>
      </c>
      <c r="C997" s="4834">
        <f t="shared" si="62"/>
        <v>9.1421398800024001E-5</v>
      </c>
      <c r="D997" s="3" t="str">
        <f t="shared" si="63"/>
        <v>2015</v>
      </c>
      <c r="J997" s="270" t="s">
        <v>12078</v>
      </c>
      <c r="K997" s="4837">
        <v>34468.815396226055</v>
      </c>
      <c r="L997" s="4834">
        <f t="shared" si="65"/>
        <v>1.8233922107559024E-5</v>
      </c>
      <c r="S997" s="270" t="s">
        <v>12078</v>
      </c>
      <c r="T997" s="4838">
        <v>457.82663113726244</v>
      </c>
      <c r="U997" s="4839">
        <f t="shared" si="64"/>
        <v>1.2857368118241288E-3</v>
      </c>
    </row>
    <row r="998" spans="1:21">
      <c r="A998" s="270" t="s">
        <v>12077</v>
      </c>
      <c r="B998" s="3305">
        <v>4592.5</v>
      </c>
      <c r="C998" s="4834">
        <f t="shared" si="62"/>
        <v>8.6214673493391033E-5</v>
      </c>
      <c r="D998" s="3" t="str">
        <f t="shared" si="63"/>
        <v>2015</v>
      </c>
      <c r="J998" s="270" t="s">
        <v>12079</v>
      </c>
      <c r="K998" s="4837">
        <v>34754.957040686844</v>
      </c>
      <c r="L998" s="4834">
        <f t="shared" si="65"/>
        <v>1.9260018769867851E-5</v>
      </c>
      <c r="S998" s="270" t="s">
        <v>12079</v>
      </c>
      <c r="T998" s="4838">
        <v>458.79115353432127</v>
      </c>
      <c r="U998" s="4839">
        <f t="shared" si="64"/>
        <v>1.2933856664641616E-3</v>
      </c>
    </row>
    <row r="999" spans="1:21">
      <c r="A999" s="270" t="s">
        <v>12078</v>
      </c>
      <c r="B999" s="3305">
        <v>4567.5</v>
      </c>
      <c r="C999" s="4834">
        <f t="shared" si="62"/>
        <v>8.3372376487629945E-5</v>
      </c>
      <c r="D999" s="3" t="str">
        <f t="shared" si="63"/>
        <v>2015</v>
      </c>
      <c r="J999" s="270" t="s">
        <v>12080</v>
      </c>
      <c r="K999" s="4837">
        <v>34433.449575000566</v>
      </c>
      <c r="L999" s="4834">
        <f t="shared" si="65"/>
        <v>1.8109143209064814E-5</v>
      </c>
      <c r="S999" s="270" t="s">
        <v>12080</v>
      </c>
      <c r="T999" s="4838">
        <v>455.57607887745849</v>
      </c>
      <c r="U999" s="4839">
        <f t="shared" si="64"/>
        <v>1.2679138340946209E-3</v>
      </c>
    </row>
    <row r="1000" spans="1:21">
      <c r="A1000" s="270" t="s">
        <v>12079</v>
      </c>
      <c r="B1000" s="3305">
        <v>4620</v>
      </c>
      <c r="C1000" s="4834">
        <f t="shared" si="62"/>
        <v>8.9410143914355638E-5</v>
      </c>
      <c r="D1000" s="3" t="str">
        <f t="shared" si="63"/>
        <v>2015</v>
      </c>
      <c r="J1000" s="270" t="s">
        <v>12081</v>
      </c>
      <c r="K1000" s="4837">
        <v>34481.675694853504</v>
      </c>
      <c r="L1000" s="4834">
        <f t="shared" si="65"/>
        <v>1.8279409218302228E-5</v>
      </c>
      <c r="S1000" s="270" t="s">
        <v>12081</v>
      </c>
      <c r="T1000" s="4838">
        <v>447.5383922353015</v>
      </c>
      <c r="U1000" s="4839">
        <f t="shared" si="64"/>
        <v>1.204611713000573E-3</v>
      </c>
    </row>
    <row r="1001" spans="1:21">
      <c r="A1001" s="270" t="s">
        <v>12080</v>
      </c>
      <c r="B1001" s="3305">
        <v>4572</v>
      </c>
      <c r="C1001" s="4834">
        <f t="shared" si="62"/>
        <v>8.3879566204609851E-5</v>
      </c>
      <c r="D1001" s="3" t="str">
        <f t="shared" si="63"/>
        <v>2015</v>
      </c>
      <c r="J1001" s="270" t="s">
        <v>12082</v>
      </c>
      <c r="K1001" s="4837">
        <v>34345.035021936841</v>
      </c>
      <c r="L1001" s="4834">
        <f t="shared" si="65"/>
        <v>1.7799202536678089E-5</v>
      </c>
      <c r="S1001" s="270" t="s">
        <v>12082</v>
      </c>
      <c r="T1001" s="4838">
        <v>440.78673545588964</v>
      </c>
      <c r="U1001" s="4839">
        <f t="shared" si="64"/>
        <v>1.1519909578239272E-3</v>
      </c>
    </row>
    <row r="1002" spans="1:21">
      <c r="A1002" s="270" t="s">
        <v>12081</v>
      </c>
      <c r="B1002" s="3305">
        <v>4667</v>
      </c>
      <c r="C1002" s="4834">
        <f t="shared" si="62"/>
        <v>9.5036929609562806E-5</v>
      </c>
      <c r="D1002" s="3" t="str">
        <f t="shared" si="63"/>
        <v>2015</v>
      </c>
      <c r="J1002" s="270" t="s">
        <v>12083</v>
      </c>
      <c r="K1002" s="4837">
        <v>34128.017482598603</v>
      </c>
      <c r="L1002" s="4834">
        <f t="shared" si="65"/>
        <v>1.7050781764775613E-5</v>
      </c>
      <c r="S1002" s="270" t="s">
        <v>12083</v>
      </c>
      <c r="T1002" s="4838">
        <v>441.75125785294847</v>
      </c>
      <c r="U1002" s="4839">
        <f t="shared" si="64"/>
        <v>1.1594716592992517E-3</v>
      </c>
    </row>
    <row r="1003" spans="1:21">
      <c r="A1003" s="270" t="s">
        <v>12082</v>
      </c>
      <c r="B1003" s="3305">
        <v>4640</v>
      </c>
      <c r="C1003" s="4834">
        <f t="shared" si="62"/>
        <v>9.1779155676940282E-5</v>
      </c>
      <c r="D1003" s="3" t="str">
        <f t="shared" si="63"/>
        <v>2015</v>
      </c>
      <c r="J1003" s="270" t="s">
        <v>12084</v>
      </c>
      <c r="K1003" s="4837">
        <v>34570.090247917236</v>
      </c>
      <c r="L1003" s="4834">
        <f t="shared" si="65"/>
        <v>1.859375291026066E-5</v>
      </c>
      <c r="S1003" s="270" t="s">
        <v>12084</v>
      </c>
      <c r="T1003" s="4838">
        <v>441.75125785294847</v>
      </c>
      <c r="U1003" s="4839">
        <f t="shared" si="64"/>
        <v>1.1594716592992517E-3</v>
      </c>
    </row>
    <row r="1004" spans="1:21">
      <c r="A1004" s="270" t="s">
        <v>12083</v>
      </c>
      <c r="B1004" s="3305">
        <v>4586</v>
      </c>
      <c r="C1004" s="4834">
        <f t="shared" si="62"/>
        <v>8.5469916320217462E-5</v>
      </c>
      <c r="D1004" s="3" t="str">
        <f t="shared" si="63"/>
        <v>2015</v>
      </c>
      <c r="J1004" s="270" t="s">
        <v>12085</v>
      </c>
      <c r="K1004" s="4837">
        <v>33738.993449118207</v>
      </c>
      <c r="L1004" s="4834">
        <f t="shared" si="65"/>
        <v>1.5754298365309068E-5</v>
      </c>
      <c r="S1004" s="270" t="s">
        <v>12085</v>
      </c>
      <c r="T1004" s="4838">
        <v>452.682511686282</v>
      </c>
      <c r="U1004" s="4839">
        <f t="shared" si="64"/>
        <v>1.2450558827247487E-3</v>
      </c>
    </row>
    <row r="1005" spans="1:21">
      <c r="A1005" s="270" t="s">
        <v>12084</v>
      </c>
      <c r="B1005" s="3305">
        <v>4583</v>
      </c>
      <c r="C1005" s="4834">
        <f t="shared" si="62"/>
        <v>8.5127545633809009E-5</v>
      </c>
      <c r="D1005" s="3" t="str">
        <f t="shared" si="63"/>
        <v>2015</v>
      </c>
      <c r="J1005" s="270" t="s">
        <v>12086</v>
      </c>
      <c r="K1005" s="4837">
        <v>34160.168229167233</v>
      </c>
      <c r="L1005" s="4834">
        <f t="shared" si="65"/>
        <v>1.7160539148341842E-5</v>
      </c>
      <c r="S1005" s="270" t="s">
        <v>12086</v>
      </c>
      <c r="T1005" s="4838">
        <v>444.32331757843872</v>
      </c>
      <c r="U1005" s="4839">
        <f t="shared" si="64"/>
        <v>1.1794818383838682E-3</v>
      </c>
    </row>
    <row r="1006" spans="1:21">
      <c r="A1006" s="270" t="s">
        <v>12085</v>
      </c>
      <c r="B1006" s="3305">
        <v>4550</v>
      </c>
      <c r="C1006" s="4834">
        <f t="shared" si="62"/>
        <v>8.1418492012173677E-5</v>
      </c>
      <c r="D1006" s="3" t="str">
        <f t="shared" si="63"/>
        <v>2015</v>
      </c>
      <c r="J1006" s="270" t="s">
        <v>12087</v>
      </c>
      <c r="K1006" s="4837">
        <v>34682.617860907434</v>
      </c>
      <c r="L1006" s="4834">
        <f t="shared" si="65"/>
        <v>1.8997871609508355E-5</v>
      </c>
      <c r="S1006" s="270" t="s">
        <v>12087</v>
      </c>
      <c r="T1006" s="4838">
        <v>456.54060127451731</v>
      </c>
      <c r="U1006" s="4839">
        <f t="shared" si="64"/>
        <v>1.2755478557194759E-3</v>
      </c>
    </row>
    <row r="1007" spans="1:21">
      <c r="A1007" s="270" t="s">
        <v>12086</v>
      </c>
      <c r="B1007" s="3305">
        <v>4650</v>
      </c>
      <c r="C1007" s="4834">
        <f t="shared" si="62"/>
        <v>9.2977785675094199E-5</v>
      </c>
      <c r="D1007" s="3" t="str">
        <f t="shared" si="63"/>
        <v>2015</v>
      </c>
      <c r="J1007" s="270" t="s">
        <v>12088</v>
      </c>
      <c r="K1007" s="4837">
        <v>34558.83748661822</v>
      </c>
      <c r="L1007" s="4834">
        <f t="shared" si="65"/>
        <v>1.8553589182989584E-5</v>
      </c>
      <c r="S1007" s="270" t="s">
        <v>12088</v>
      </c>
      <c r="T1007" s="4838">
        <v>457.82663113726244</v>
      </c>
      <c r="U1007" s="4839">
        <f t="shared" si="64"/>
        <v>1.2857368118241288E-3</v>
      </c>
    </row>
    <row r="1008" spans="1:21">
      <c r="A1008" s="270" t="s">
        <v>12087</v>
      </c>
      <c r="B1008" s="3305">
        <v>4691</v>
      </c>
      <c r="C1008" s="4834">
        <f t="shared" si="62"/>
        <v>9.7989635688358533E-5</v>
      </c>
      <c r="D1008" s="3" t="str">
        <f t="shared" si="63"/>
        <v>2015</v>
      </c>
      <c r="J1008" s="270" t="s">
        <v>12089</v>
      </c>
      <c r="K1008" s="4837">
        <v>34345.035021936841</v>
      </c>
      <c r="L1008" s="4834">
        <f t="shared" si="65"/>
        <v>1.7799202536678089E-5</v>
      </c>
      <c r="S1008" s="270" t="s">
        <v>12089</v>
      </c>
      <c r="T1008" s="4838">
        <v>460.72019832843898</v>
      </c>
      <c r="U1008" s="4839">
        <f t="shared" si="64"/>
        <v>1.3086998464514343E-3</v>
      </c>
    </row>
    <row r="1009" spans="1:21">
      <c r="A1009" s="270" t="s">
        <v>12088</v>
      </c>
      <c r="B1009" s="3305">
        <v>4672.5</v>
      </c>
      <c r="C1009" s="4834">
        <f t="shared" si="62"/>
        <v>9.5708884874718515E-5</v>
      </c>
      <c r="D1009" s="3" t="str">
        <f t="shared" si="63"/>
        <v>2015</v>
      </c>
      <c r="J1009" s="270" t="s">
        <v>12090</v>
      </c>
      <c r="K1009" s="4837">
        <v>34345.035021936841</v>
      </c>
      <c r="L1009" s="4834">
        <f t="shared" si="65"/>
        <v>1.7799202536678089E-5</v>
      </c>
      <c r="S1009" s="270" t="s">
        <v>12090</v>
      </c>
      <c r="T1009" s="4838">
        <v>456.54060127451731</v>
      </c>
      <c r="U1009" s="4839">
        <f t="shared" si="64"/>
        <v>1.2755478557194759E-3</v>
      </c>
    </row>
    <row r="1010" spans="1:21">
      <c r="A1010" s="270" t="s">
        <v>12089</v>
      </c>
      <c r="B1010" s="3305">
        <v>4680</v>
      </c>
      <c r="C1010" s="4834">
        <f t="shared" si="62"/>
        <v>9.6629705710620949E-5</v>
      </c>
      <c r="D1010" s="3" t="str">
        <f t="shared" si="63"/>
        <v>2015</v>
      </c>
      <c r="J1010" s="270" t="s">
        <v>12091</v>
      </c>
      <c r="K1010" s="4837">
        <v>34404.513903088795</v>
      </c>
      <c r="L1010" s="4834">
        <f t="shared" si="65"/>
        <v>1.8007391558125322E-5</v>
      </c>
      <c r="S1010" s="270" t="s">
        <v>12091</v>
      </c>
      <c r="T1010" s="4838">
        <v>447.8598997009878</v>
      </c>
      <c r="U1010" s="4839">
        <f t="shared" si="64"/>
        <v>1.2071313572905736E-3</v>
      </c>
    </row>
    <row r="1011" spans="1:21">
      <c r="A1011" s="270" t="s">
        <v>12090</v>
      </c>
      <c r="B1011" s="3305">
        <v>4665.5</v>
      </c>
      <c r="C1011" s="4834">
        <f t="shared" si="62"/>
        <v>9.4854156789280815E-5</v>
      </c>
      <c r="D1011" s="3" t="str">
        <f t="shared" si="63"/>
        <v>2015</v>
      </c>
      <c r="J1011" s="270" t="s">
        <v>12092</v>
      </c>
      <c r="K1011" s="4837">
        <v>34079.791362745658</v>
      </c>
      <c r="L1011" s="4834">
        <f t="shared" si="65"/>
        <v>1.6886883769290982E-5</v>
      </c>
      <c r="S1011" s="270" t="s">
        <v>12092</v>
      </c>
      <c r="T1011" s="4838">
        <v>444.32331757843872</v>
      </c>
      <c r="U1011" s="4839">
        <f t="shared" si="64"/>
        <v>1.1794818383838682E-3</v>
      </c>
    </row>
    <row r="1012" spans="1:21">
      <c r="A1012" s="270" t="s">
        <v>12091</v>
      </c>
      <c r="B1012" s="3305">
        <v>4685</v>
      </c>
      <c r="C1012" s="4834">
        <f t="shared" si="62"/>
        <v>9.7246473971201829E-5</v>
      </c>
      <c r="D1012" s="3" t="str">
        <f t="shared" si="63"/>
        <v>2015</v>
      </c>
      <c r="J1012" s="270" t="s">
        <v>12093</v>
      </c>
      <c r="K1012" s="4837">
        <v>34079.791362745658</v>
      </c>
      <c r="L1012" s="4834">
        <f t="shared" si="65"/>
        <v>1.6886883769290982E-5</v>
      </c>
      <c r="S1012" s="270" t="s">
        <v>12093</v>
      </c>
      <c r="T1012" s="4838">
        <v>444.32331757843872</v>
      </c>
      <c r="U1012" s="4839">
        <f t="shared" si="64"/>
        <v>1.1794818383838682E-3</v>
      </c>
    </row>
    <row r="1013" spans="1:21">
      <c r="A1013" s="270" t="s">
        <v>12092</v>
      </c>
      <c r="B1013" s="3305">
        <v>4715</v>
      </c>
      <c r="C1013" s="4834">
        <f t="shared" si="62"/>
        <v>1.0099523473391788E-4</v>
      </c>
      <c r="D1013" s="3" t="str">
        <f t="shared" si="63"/>
        <v>2015</v>
      </c>
      <c r="J1013" s="270" t="s">
        <v>12094</v>
      </c>
      <c r="K1013" s="4837">
        <v>34795.145473897632</v>
      </c>
      <c r="L1013" s="4834">
        <f t="shared" si="65"/>
        <v>1.9406442644950587E-5</v>
      </c>
      <c r="S1013" s="270" t="s">
        <v>12094</v>
      </c>
      <c r="T1013" s="4838">
        <v>450.11045196079175</v>
      </c>
      <c r="U1013" s="4839">
        <f t="shared" si="64"/>
        <v>1.22480028658601E-3</v>
      </c>
    </row>
    <row r="1014" spans="1:21">
      <c r="A1014" s="270" t="s">
        <v>12093</v>
      </c>
      <c r="B1014" s="3305">
        <v>4702</v>
      </c>
      <c r="C1014" s="4834">
        <f t="shared" si="62"/>
        <v>9.9360677993226595E-5</v>
      </c>
      <c r="D1014" s="3" t="str">
        <f t="shared" si="63"/>
        <v>2015</v>
      </c>
      <c r="J1014" s="270" t="s">
        <v>12095</v>
      </c>
      <c r="K1014" s="4837">
        <v>34626.354054412339</v>
      </c>
      <c r="L1014" s="4834">
        <f t="shared" si="65"/>
        <v>1.8795250373766413E-5</v>
      </c>
      <c r="S1014" s="270" t="s">
        <v>12095</v>
      </c>
      <c r="T1014" s="4838">
        <v>450.43195942647799</v>
      </c>
      <c r="U1014" s="4839">
        <f t="shared" si="64"/>
        <v>1.2273287289548188E-3</v>
      </c>
    </row>
    <row r="1015" spans="1:21">
      <c r="A1015" s="270" t="s">
        <v>12094</v>
      </c>
      <c r="B1015" s="3305">
        <v>4645</v>
      </c>
      <c r="C1015" s="4834">
        <f t="shared" si="62"/>
        <v>9.237729749817292E-5</v>
      </c>
      <c r="D1015" s="3" t="str">
        <f t="shared" si="63"/>
        <v>2016</v>
      </c>
      <c r="J1015" s="270" t="s">
        <v>12096</v>
      </c>
      <c r="K1015" s="4837">
        <v>35089.324805000579</v>
      </c>
      <c r="L1015" s="4834">
        <f t="shared" si="65"/>
        <v>2.0494941146361193E-5</v>
      </c>
      <c r="S1015" s="270" t="s">
        <v>12096</v>
      </c>
      <c r="T1015" s="4838">
        <v>450.43195942647799</v>
      </c>
      <c r="U1015" s="4839">
        <f t="shared" si="64"/>
        <v>1.2273287289548188E-3</v>
      </c>
    </row>
    <row r="1016" spans="1:21">
      <c r="A1016" s="270" t="s">
        <v>12095</v>
      </c>
      <c r="B1016" s="3305">
        <v>4647</v>
      </c>
      <c r="C1016" s="4834">
        <f t="shared" si="62"/>
        <v>9.2617211474944623E-5</v>
      </c>
      <c r="D1016" s="3" t="str">
        <f t="shared" si="63"/>
        <v>2016</v>
      </c>
      <c r="J1016" s="270" t="s">
        <v>12097</v>
      </c>
      <c r="K1016" s="4837">
        <v>35569.978466201559</v>
      </c>
      <c r="L1016" s="4834">
        <f t="shared" si="65"/>
        <v>2.2332930549966837E-5</v>
      </c>
      <c r="S1016" s="270" t="s">
        <v>12097</v>
      </c>
      <c r="T1016" s="4838">
        <v>451.07497435785052</v>
      </c>
      <c r="U1016" s="4839">
        <f t="shared" si="64"/>
        <v>1.2323886957009325E-3</v>
      </c>
    </row>
    <row r="1017" spans="1:21">
      <c r="A1017" s="270" t="s">
        <v>12096</v>
      </c>
      <c r="B1017" s="3305">
        <v>4600</v>
      </c>
      <c r="C1017" s="4834">
        <f t="shared" si="62"/>
        <v>8.7079024104016347E-5</v>
      </c>
      <c r="D1017" s="3" t="str">
        <f t="shared" si="63"/>
        <v>2016</v>
      </c>
      <c r="J1017" s="270" t="s">
        <v>12098</v>
      </c>
      <c r="K1017" s="4837">
        <v>35425.300106642739</v>
      </c>
      <c r="L1017" s="4834">
        <f t="shared" si="65"/>
        <v>2.177231374777781E-5</v>
      </c>
      <c r="S1017" s="270" t="s">
        <v>12098</v>
      </c>
      <c r="T1017" s="4838">
        <v>451.39648182353682</v>
      </c>
      <c r="U1017" s="4839">
        <f t="shared" si="64"/>
        <v>1.2349201898085222E-3</v>
      </c>
    </row>
    <row r="1018" spans="1:21">
      <c r="A1018" s="270" t="s">
        <v>12097</v>
      </c>
      <c r="B1018" s="3305">
        <v>4514</v>
      </c>
      <c r="C1018" s="4834">
        <f t="shared" si="62"/>
        <v>7.749203502196361E-5</v>
      </c>
      <c r="D1018" s="3" t="str">
        <f t="shared" si="63"/>
        <v>2016</v>
      </c>
      <c r="J1018" s="270" t="s">
        <v>13495</v>
      </c>
      <c r="K1018" s="4837">
        <v>35389.93428541725</v>
      </c>
      <c r="L1018" s="4834">
        <f t="shared" si="65"/>
        <v>2.1636214349836184E-5</v>
      </c>
      <c r="S1018" s="270" t="s">
        <v>13495</v>
      </c>
      <c r="T1018" s="4838">
        <v>449.14592956373292</v>
      </c>
      <c r="U1018" s="4839">
        <f t="shared" si="64"/>
        <v>1.2172213042403292E-3</v>
      </c>
    </row>
    <row r="1019" spans="1:21">
      <c r="A1019" s="270" t="s">
        <v>12098</v>
      </c>
      <c r="B1019" s="3305">
        <v>4486.5</v>
      </c>
      <c r="C1019" s="4834">
        <f t="shared" si="62"/>
        <v>7.457723561605988E-5</v>
      </c>
      <c r="D1019" s="3" t="str">
        <f t="shared" si="63"/>
        <v>2016</v>
      </c>
      <c r="J1019" s="270" t="s">
        <v>12099</v>
      </c>
      <c r="K1019" s="4837">
        <v>35389.93428541725</v>
      </c>
      <c r="L1019" s="4834">
        <f t="shared" si="65"/>
        <v>2.1636214349836184E-5</v>
      </c>
      <c r="S1019" s="270" t="s">
        <v>12099</v>
      </c>
      <c r="T1019" s="4838">
        <v>449.14592956373292</v>
      </c>
      <c r="U1019" s="4839">
        <f t="shared" si="64"/>
        <v>1.2172213042403292E-3</v>
      </c>
    </row>
    <row r="1020" spans="1:21">
      <c r="A1020" s="270" t="s">
        <v>12099</v>
      </c>
      <c r="B1020" s="3305">
        <v>4402.5</v>
      </c>
      <c r="C1020" s="4834">
        <f t="shared" si="62"/>
        <v>6.6128383540525458E-5</v>
      </c>
      <c r="D1020" s="3" t="str">
        <f t="shared" si="63"/>
        <v>2016</v>
      </c>
      <c r="J1020" s="270" t="s">
        <v>12100</v>
      </c>
      <c r="K1020" s="4837">
        <v>34896.420325588813</v>
      </c>
      <c r="L1020" s="4834">
        <f t="shared" si="65"/>
        <v>1.9777890259162597E-5</v>
      </c>
      <c r="S1020" s="270" t="s">
        <v>12100</v>
      </c>
      <c r="T1020" s="4838">
        <v>446.25236237255638</v>
      </c>
      <c r="U1020" s="4839">
        <f t="shared" si="64"/>
        <v>1.194544947679646E-3</v>
      </c>
    </row>
    <row r="1021" spans="1:21">
      <c r="A1021" s="270" t="s">
        <v>12100</v>
      </c>
      <c r="B1021" s="3305">
        <v>4355</v>
      </c>
      <c r="C1021" s="4834">
        <f t="shared" si="62"/>
        <v>6.1652989018013359E-5</v>
      </c>
      <c r="D1021" s="3" t="str">
        <f t="shared" si="63"/>
        <v>2016</v>
      </c>
      <c r="J1021" s="270" t="s">
        <v>12101</v>
      </c>
      <c r="K1021" s="4837">
        <v>34984.834878652538</v>
      </c>
      <c r="L1021" s="4834">
        <f t="shared" si="65"/>
        <v>2.0105006808899213E-5</v>
      </c>
      <c r="S1021" s="270" t="s">
        <v>12101</v>
      </c>
      <c r="T1021" s="4838">
        <v>444.64482504412501</v>
      </c>
      <c r="U1021" s="4839">
        <f t="shared" si="64"/>
        <v>1.1819891615450497E-3</v>
      </c>
    </row>
    <row r="1022" spans="1:21">
      <c r="A1022" s="270" t="s">
        <v>12101</v>
      </c>
      <c r="B1022" s="3305">
        <v>4380</v>
      </c>
      <c r="C1022" s="4834">
        <f t="shared" si="62"/>
        <v>6.3981358393772785E-5</v>
      </c>
      <c r="D1022" s="3" t="str">
        <f t="shared" si="63"/>
        <v>2016</v>
      </c>
      <c r="J1022" s="270" t="s">
        <v>12102</v>
      </c>
      <c r="K1022" s="4837">
        <v>34992.872565294696</v>
      </c>
      <c r="L1022" s="4834">
        <f t="shared" si="65"/>
        <v>2.0134874086877305E-5</v>
      </c>
      <c r="S1022" s="270" t="s">
        <v>12102</v>
      </c>
      <c r="T1022" s="4838">
        <v>450.75346689216428</v>
      </c>
      <c r="U1022" s="4839">
        <f t="shared" si="64"/>
        <v>1.229858203697825E-3</v>
      </c>
    </row>
    <row r="1023" spans="1:21">
      <c r="A1023" s="270" t="s">
        <v>12102</v>
      </c>
      <c r="B1023" s="3305">
        <v>4365.5</v>
      </c>
      <c r="C1023" s="4834">
        <f t="shared" si="62"/>
        <v>6.2623584529002268E-5</v>
      </c>
      <c r="D1023" s="3" t="str">
        <f t="shared" si="63"/>
        <v>2016</v>
      </c>
      <c r="J1023" s="270" t="s">
        <v>12103</v>
      </c>
      <c r="K1023" s="4837">
        <v>35164.879059436855</v>
      </c>
      <c r="L1023" s="4834">
        <f t="shared" si="65"/>
        <v>2.0779105868000858E-5</v>
      </c>
      <c r="S1023" s="270" t="s">
        <v>12103</v>
      </c>
      <c r="T1023" s="4838">
        <v>443.68030264706613</v>
      </c>
      <c r="U1023" s="4839">
        <f t="shared" si="64"/>
        <v>1.1744711408155854E-3</v>
      </c>
    </row>
    <row r="1024" spans="1:21">
      <c r="A1024" s="270" t="s">
        <v>12103</v>
      </c>
      <c r="B1024" s="3305">
        <v>4310.5</v>
      </c>
      <c r="C1024" s="4834">
        <f t="shared" si="62"/>
        <v>5.7656594814045713E-5</v>
      </c>
      <c r="D1024" s="3" t="str">
        <f t="shared" si="63"/>
        <v>2016</v>
      </c>
      <c r="J1024" s="270" t="s">
        <v>12104</v>
      </c>
      <c r="K1024" s="4837">
        <v>35018.593162549601</v>
      </c>
      <c r="L1024" s="4834">
        <f t="shared" si="65"/>
        <v>2.0230593091551959E-5</v>
      </c>
      <c r="S1024" s="270" t="s">
        <v>12104</v>
      </c>
      <c r="T1024" s="4838">
        <v>446.25236237255638</v>
      </c>
      <c r="U1024" s="4839">
        <f t="shared" si="64"/>
        <v>1.194544947679646E-3</v>
      </c>
    </row>
    <row r="1025" spans="1:21">
      <c r="A1025" s="270" t="s">
        <v>12104</v>
      </c>
      <c r="B1025" s="3305">
        <v>4360</v>
      </c>
      <c r="C1025" s="4834">
        <f t="shared" si="62"/>
        <v>6.2113856964334787E-5</v>
      </c>
      <c r="D1025" s="3" t="str">
        <f t="shared" si="63"/>
        <v>2016</v>
      </c>
      <c r="J1025" s="270" t="s">
        <v>12105</v>
      </c>
      <c r="K1025" s="4837">
        <v>34923.748460172144</v>
      </c>
      <c r="L1025" s="4834">
        <f t="shared" si="65"/>
        <v>1.9878719030973175E-5</v>
      </c>
      <c r="S1025" s="270" t="s">
        <v>12105</v>
      </c>
      <c r="T1025" s="4838">
        <v>451.07497435785052</v>
      </c>
      <c r="U1025" s="4839">
        <f t="shared" si="64"/>
        <v>1.2323886957009325E-3</v>
      </c>
    </row>
    <row r="1026" spans="1:21">
      <c r="A1026" s="270" t="s">
        <v>12105</v>
      </c>
      <c r="B1026" s="3305">
        <v>4440.5</v>
      </c>
      <c r="C1026" s="4834">
        <f t="shared" si="62"/>
        <v>6.9865683704053086E-5</v>
      </c>
      <c r="D1026" s="3" t="str">
        <f t="shared" si="63"/>
        <v>2016</v>
      </c>
      <c r="J1026" s="270" t="s">
        <v>12106</v>
      </c>
      <c r="K1026" s="4837">
        <v>35422.08503198588</v>
      </c>
      <c r="L1026" s="4834">
        <f t="shared" si="65"/>
        <v>2.1759925597662372E-5</v>
      </c>
      <c r="S1026" s="270" t="s">
        <v>12106</v>
      </c>
      <c r="T1026" s="4838">
        <v>451.71798928922317</v>
      </c>
      <c r="U1026" s="4839">
        <f t="shared" si="64"/>
        <v>1.2374526708235707E-3</v>
      </c>
    </row>
    <row r="1027" spans="1:21">
      <c r="A1027" s="270" t="s">
        <v>12106</v>
      </c>
      <c r="B1027" s="3305">
        <v>4347</v>
      </c>
      <c r="C1027" s="4834">
        <f t="shared" si="62"/>
        <v>6.0920587379654599E-5</v>
      </c>
      <c r="D1027" s="3" t="str">
        <f t="shared" si="63"/>
        <v>2016</v>
      </c>
      <c r="J1027" s="270" t="s">
        <v>12107</v>
      </c>
      <c r="K1027" s="4837">
        <v>35253.293612500587</v>
      </c>
      <c r="L1027" s="4834">
        <f t="shared" si="65"/>
        <v>2.1113948799039511E-5</v>
      </c>
      <c r="S1027" s="270" t="s">
        <v>12107</v>
      </c>
      <c r="T1027" s="4838">
        <v>450.43195942647799</v>
      </c>
      <c r="U1027" s="4839">
        <f t="shared" si="64"/>
        <v>1.2273287289548188E-3</v>
      </c>
    </row>
    <row r="1028" spans="1:21">
      <c r="A1028" s="270" t="s">
        <v>12107</v>
      </c>
      <c r="B1028" s="3305">
        <v>4376</v>
      </c>
      <c r="C1028" s="4834">
        <f t="shared" ref="C1028:C1091" si="66">_xlfn.NORM.DIST(B1028,$F$4,$F$3,FALSE)</f>
        <v>6.3604778237408879E-5</v>
      </c>
      <c r="D1028" s="3" t="str">
        <f t="shared" ref="D1028:D1091" si="67">LEFT(A1028,4)</f>
        <v>2016</v>
      </c>
      <c r="J1028" s="270" t="s">
        <v>12108</v>
      </c>
      <c r="K1028" s="4837">
        <v>35245.255925858422</v>
      </c>
      <c r="L1028" s="4834">
        <f t="shared" si="65"/>
        <v>2.1083406874889237E-5</v>
      </c>
      <c r="S1028" s="270" t="s">
        <v>12108</v>
      </c>
      <c r="T1028" s="4838">
        <v>455.57607887745849</v>
      </c>
      <c r="U1028" s="4839">
        <f t="shared" ref="U1028:U1091" si="68">_xlfn.NORM.DIST(T1028,$X$4,$X$3,FALSE)</f>
        <v>1.2679138340946209E-3</v>
      </c>
    </row>
    <row r="1029" spans="1:21">
      <c r="A1029" s="270" t="s">
        <v>12108</v>
      </c>
      <c r="B1029" s="3305">
        <v>4468</v>
      </c>
      <c r="C1029" s="4834">
        <f t="shared" si="66"/>
        <v>7.2657671223511186E-5</v>
      </c>
      <c r="D1029" s="3" t="str">
        <f t="shared" si="67"/>
        <v>2016</v>
      </c>
      <c r="J1029" s="270" t="s">
        <v>12109</v>
      </c>
      <c r="K1029" s="4837">
        <v>35578.016152843724</v>
      </c>
      <c r="L1029" s="4834">
        <f t="shared" ref="L1029:L1092" si="69">_xlfn.NORM.DIST(K1029,$O$4,$O$3,FALSE)</f>
        <v>2.2364253917875171E-5</v>
      </c>
      <c r="S1029" s="270" t="s">
        <v>12109</v>
      </c>
      <c r="T1029" s="4838">
        <v>457.1836162058899</v>
      </c>
      <c r="U1029" s="4839">
        <f t="shared" si="68"/>
        <v>1.2806409209415242E-3</v>
      </c>
    </row>
    <row r="1030" spans="1:21">
      <c r="A1030" s="270" t="s">
        <v>12109</v>
      </c>
      <c r="B1030" s="3305">
        <v>4454</v>
      </c>
      <c r="C1030" s="4834">
        <f t="shared" si="66"/>
        <v>7.1227120598479365E-5</v>
      </c>
      <c r="D1030" s="3" t="str">
        <f t="shared" si="67"/>
        <v>2016</v>
      </c>
      <c r="J1030" s="270" t="s">
        <v>12110</v>
      </c>
      <c r="K1030" s="4837">
        <v>35803.071378824112</v>
      </c>
      <c r="L1030" s="4834">
        <f t="shared" si="69"/>
        <v>2.3248623853811802E-5</v>
      </c>
      <c r="S1030" s="270" t="s">
        <v>12110</v>
      </c>
      <c r="T1030" s="4838">
        <v>460.72019832843898</v>
      </c>
      <c r="U1030" s="4839">
        <f t="shared" si="68"/>
        <v>1.3086998464514343E-3</v>
      </c>
    </row>
    <row r="1031" spans="1:21">
      <c r="A1031" s="270" t="s">
        <v>12110</v>
      </c>
      <c r="B1031" s="3305">
        <v>4501</v>
      </c>
      <c r="C1031" s="4834">
        <f t="shared" si="66"/>
        <v>7.6104986436804963E-5</v>
      </c>
      <c r="D1031" s="3" t="str">
        <f t="shared" si="67"/>
        <v>2016</v>
      </c>
      <c r="J1031" s="270" t="s">
        <v>12111</v>
      </c>
      <c r="K1031" s="4837">
        <v>35888.270857230986</v>
      </c>
      <c r="L1031" s="4834">
        <f t="shared" si="69"/>
        <v>2.3586978829242727E-5</v>
      </c>
      <c r="S1031" s="270" t="s">
        <v>12111</v>
      </c>
      <c r="T1031" s="4838">
        <v>462.3277356568704</v>
      </c>
      <c r="U1031" s="4839">
        <f t="shared" si="68"/>
        <v>1.3214763514566876E-3</v>
      </c>
    </row>
    <row r="1032" spans="1:21">
      <c r="A1032" s="270" t="s">
        <v>12111</v>
      </c>
      <c r="B1032" s="3305">
        <v>4507.5</v>
      </c>
      <c r="C1032" s="4834">
        <f t="shared" si="66"/>
        <v>7.6796462331156596E-5</v>
      </c>
      <c r="D1032" s="3" t="str">
        <f t="shared" si="67"/>
        <v>2016</v>
      </c>
      <c r="J1032" s="270" t="s">
        <v>12112</v>
      </c>
      <c r="K1032" s="4837">
        <v>35815.931677451576</v>
      </c>
      <c r="L1032" s="4834">
        <f t="shared" si="69"/>
        <v>2.3299574538962994E-5</v>
      </c>
      <c r="S1032" s="270" t="s">
        <v>12112</v>
      </c>
      <c r="T1032" s="4838">
        <v>436.60713840196797</v>
      </c>
      <c r="U1032" s="4839">
        <f t="shared" si="68"/>
        <v>1.1197317692809186E-3</v>
      </c>
    </row>
    <row r="1033" spans="1:21">
      <c r="A1033" s="270" t="s">
        <v>12112</v>
      </c>
      <c r="B1033" s="3305">
        <v>4553.5</v>
      </c>
      <c r="C1033" s="4834">
        <f t="shared" si="66"/>
        <v>8.1806908944231414E-5</v>
      </c>
      <c r="D1033" s="3" t="str">
        <f t="shared" si="67"/>
        <v>2016</v>
      </c>
      <c r="J1033" s="270" t="s">
        <v>12113</v>
      </c>
      <c r="K1033" s="4837">
        <v>35745.200035000584</v>
      </c>
      <c r="L1033" s="4834">
        <f t="shared" si="69"/>
        <v>2.301989078075541E-5</v>
      </c>
      <c r="S1033" s="270" t="s">
        <v>12113</v>
      </c>
      <c r="T1033" s="4838">
        <v>452.682511686282</v>
      </c>
      <c r="U1033" s="4839">
        <f t="shared" si="68"/>
        <v>1.2450558827247487E-3</v>
      </c>
    </row>
    <row r="1034" spans="1:21">
      <c r="A1034" s="270" t="s">
        <v>12113</v>
      </c>
      <c r="B1034" s="3305">
        <v>4541.5</v>
      </c>
      <c r="C1034" s="4834">
        <f t="shared" si="66"/>
        <v>8.0480114001527187E-5</v>
      </c>
      <c r="D1034" s="3" t="str">
        <f t="shared" si="67"/>
        <v>2016</v>
      </c>
      <c r="J1034" s="270" t="s">
        <v>12114</v>
      </c>
      <c r="K1034" s="4837">
        <v>36217.816009559421</v>
      </c>
      <c r="L1034" s="4834">
        <f t="shared" si="69"/>
        <v>2.4912699661165048E-5</v>
      </c>
      <c r="S1034" s="270" t="s">
        <v>12114</v>
      </c>
      <c r="T1034" s="4838">
        <v>460.72019832843898</v>
      </c>
      <c r="U1034" s="4839">
        <f t="shared" si="68"/>
        <v>1.3086998464514343E-3</v>
      </c>
    </row>
    <row r="1035" spans="1:21">
      <c r="A1035" s="270" t="s">
        <v>12114</v>
      </c>
      <c r="B1035" s="3305">
        <v>4534</v>
      </c>
      <c r="C1035" s="4834">
        <f t="shared" si="66"/>
        <v>7.9657928005848923E-5</v>
      </c>
      <c r="D1035" s="3" t="str">
        <f t="shared" si="67"/>
        <v>2016</v>
      </c>
      <c r="J1035" s="270" t="s">
        <v>12115</v>
      </c>
      <c r="K1035" s="4837">
        <v>36282.117502696681</v>
      </c>
      <c r="L1035" s="4834">
        <f t="shared" si="69"/>
        <v>2.5174319105928283E-5</v>
      </c>
      <c r="S1035" s="270" t="s">
        <v>12115</v>
      </c>
      <c r="T1035" s="4838">
        <v>458.46964606863497</v>
      </c>
      <c r="U1035" s="4839">
        <f t="shared" si="68"/>
        <v>1.2908354005372335E-3</v>
      </c>
    </row>
    <row r="1036" spans="1:21">
      <c r="A1036" s="270" t="s">
        <v>12115</v>
      </c>
      <c r="B1036" s="3305">
        <v>4605.5</v>
      </c>
      <c r="C1036" s="4834">
        <f t="shared" si="66"/>
        <v>8.7716290228265247E-5</v>
      </c>
      <c r="D1036" s="3" t="str">
        <f t="shared" si="67"/>
        <v>2016</v>
      </c>
      <c r="J1036" s="270" t="s">
        <v>12116</v>
      </c>
      <c r="K1036" s="4837">
        <v>36394.645115686879</v>
      </c>
      <c r="L1036" s="4834">
        <f t="shared" si="69"/>
        <v>2.5634286675399625E-5</v>
      </c>
      <c r="S1036" s="270" t="s">
        <v>12116</v>
      </c>
      <c r="T1036" s="4838">
        <v>463.29225805392923</v>
      </c>
      <c r="U1036" s="4839">
        <f t="shared" si="68"/>
        <v>1.3291477441709464E-3</v>
      </c>
    </row>
    <row r="1037" spans="1:21">
      <c r="A1037" s="270" t="s">
        <v>12116</v>
      </c>
      <c r="B1037" s="3305">
        <v>4578.5</v>
      </c>
      <c r="C1037" s="4834">
        <f t="shared" si="66"/>
        <v>8.4615606070398826E-5</v>
      </c>
      <c r="D1037" s="3" t="str">
        <f t="shared" si="67"/>
        <v>2016</v>
      </c>
      <c r="J1037" s="270" t="s">
        <v>12117</v>
      </c>
      <c r="K1037" s="4837">
        <v>37177.515794632956</v>
      </c>
      <c r="L1037" s="4834">
        <f t="shared" si="69"/>
        <v>2.8896576112745982E-5</v>
      </c>
      <c r="S1037" s="270" t="s">
        <v>12117</v>
      </c>
      <c r="T1037" s="4838">
        <v>473.90200442157641</v>
      </c>
      <c r="U1037" s="4839">
        <f t="shared" si="68"/>
        <v>1.4136680565259364E-3</v>
      </c>
    </row>
    <row r="1038" spans="1:21">
      <c r="A1038" s="270" t="s">
        <v>12117</v>
      </c>
      <c r="B1038" s="3305">
        <v>4685</v>
      </c>
      <c r="C1038" s="4834">
        <f t="shared" si="66"/>
        <v>9.7246473971201829E-5</v>
      </c>
      <c r="D1038" s="3" t="str">
        <f t="shared" si="67"/>
        <v>2016</v>
      </c>
      <c r="J1038" s="270" t="s">
        <v>12118</v>
      </c>
      <c r="K1038" s="4837">
        <v>36984.611315221191</v>
      </c>
      <c r="L1038" s="4834">
        <f t="shared" si="69"/>
        <v>2.8084231348060264E-5</v>
      </c>
      <c r="S1038" s="270" t="s">
        <v>12118</v>
      </c>
      <c r="T1038" s="4838">
        <v>479.3676313382432</v>
      </c>
      <c r="U1038" s="4839">
        <f t="shared" si="68"/>
        <v>1.4571752617874136E-3</v>
      </c>
    </row>
    <row r="1039" spans="1:21">
      <c r="A1039" s="270" t="s">
        <v>12118</v>
      </c>
      <c r="B1039" s="3305">
        <v>4669</v>
      </c>
      <c r="C1039" s="4834">
        <f t="shared" si="66"/>
        <v>9.5280952020268685E-5</v>
      </c>
      <c r="D1039" s="3" t="str">
        <f t="shared" si="67"/>
        <v>2016</v>
      </c>
      <c r="J1039" s="270" t="s">
        <v>12119</v>
      </c>
      <c r="K1039" s="4837">
        <v>38363.878343015334</v>
      </c>
      <c r="L1039" s="4834">
        <f t="shared" si="69"/>
        <v>3.3942633919039787E-5</v>
      </c>
      <c r="S1039" s="270" t="s">
        <v>12119</v>
      </c>
      <c r="T1039" s="4838">
        <v>480.33215373530203</v>
      </c>
      <c r="U1039" s="4839">
        <f t="shared" si="68"/>
        <v>1.464841213845378E-3</v>
      </c>
    </row>
    <row r="1040" spans="1:21">
      <c r="A1040" s="270" t="s">
        <v>12119</v>
      </c>
      <c r="B1040" s="3305">
        <v>4572.5</v>
      </c>
      <c r="C1040" s="4834">
        <f t="shared" si="66"/>
        <v>8.3936040689074293E-5</v>
      </c>
      <c r="D1040" s="3" t="str">
        <f t="shared" si="67"/>
        <v>2016</v>
      </c>
      <c r="J1040" s="270" t="s">
        <v>12120</v>
      </c>
      <c r="K1040" s="4837">
        <v>38291.539163235924</v>
      </c>
      <c r="L1040" s="4834">
        <f t="shared" si="69"/>
        <v>3.3635026364186075E-5</v>
      </c>
      <c r="S1040" s="270" t="s">
        <v>12120</v>
      </c>
      <c r="T1040" s="4838">
        <v>493.19245236275322</v>
      </c>
      <c r="U1040" s="4839">
        <f t="shared" si="68"/>
        <v>1.5663990333326038E-3</v>
      </c>
    </row>
    <row r="1041" spans="1:21">
      <c r="A1041" s="270" t="s">
        <v>12120</v>
      </c>
      <c r="B1041" s="3305">
        <v>4530.5</v>
      </c>
      <c r="C1041" s="4834">
        <f t="shared" si="66"/>
        <v>7.9276102102634579E-5</v>
      </c>
      <c r="D1041" s="3" t="str">
        <f t="shared" si="67"/>
        <v>2016</v>
      </c>
      <c r="J1041" s="270" t="s">
        <v>12121</v>
      </c>
      <c r="K1041" s="4837">
        <v>38259.388416667301</v>
      </c>
      <c r="L1041" s="4834">
        <f t="shared" si="69"/>
        <v>3.3498216658734854E-5</v>
      </c>
      <c r="S1041" s="270" t="s">
        <v>12121</v>
      </c>
      <c r="T1041" s="4838">
        <v>486.11928811765506</v>
      </c>
      <c r="U1041" s="4839">
        <f t="shared" si="68"/>
        <v>1.5107188715567032E-3</v>
      </c>
    </row>
    <row r="1042" spans="1:21">
      <c r="A1042" s="270" t="s">
        <v>12121</v>
      </c>
      <c r="B1042" s="3305">
        <v>4507</v>
      </c>
      <c r="C1042" s="4834">
        <f t="shared" si="66"/>
        <v>7.6743126402330626E-5</v>
      </c>
      <c r="D1042" s="3" t="str">
        <f t="shared" si="67"/>
        <v>2016</v>
      </c>
      <c r="J1042" s="270" t="s">
        <v>12122</v>
      </c>
      <c r="K1042" s="4837">
        <v>39899.076491667322</v>
      </c>
      <c r="L1042" s="4834">
        <f t="shared" si="69"/>
        <v>4.029115084546734E-5</v>
      </c>
      <c r="S1042" s="270" t="s">
        <v>12122</v>
      </c>
      <c r="T1042" s="4838">
        <v>503.15918379902791</v>
      </c>
      <c r="U1042" s="4839">
        <f t="shared" si="68"/>
        <v>1.6437541520291175E-3</v>
      </c>
    </row>
    <row r="1043" spans="1:21">
      <c r="A1043" s="270" t="s">
        <v>12122</v>
      </c>
      <c r="B1043" s="3305">
        <v>4474</v>
      </c>
      <c r="C1043" s="4834">
        <f t="shared" si="66"/>
        <v>7.3276591087562625E-5</v>
      </c>
      <c r="D1043" s="3" t="str">
        <f t="shared" si="67"/>
        <v>2016</v>
      </c>
      <c r="J1043" s="270" t="s">
        <v>12123</v>
      </c>
      <c r="K1043" s="4837">
        <v>39858.888058456541</v>
      </c>
      <c r="L1043" s="4834">
        <f t="shared" si="69"/>
        <v>4.0131949709274113E-5</v>
      </c>
      <c r="S1043" s="270" t="s">
        <v>12123</v>
      </c>
      <c r="T1043" s="4838">
        <v>502.83767633334162</v>
      </c>
      <c r="U1043" s="4839">
        <f t="shared" si="68"/>
        <v>1.6412840053868347E-3</v>
      </c>
    </row>
    <row r="1044" spans="1:21">
      <c r="A1044" s="270" t="s">
        <v>12123</v>
      </c>
      <c r="B1044" s="3305">
        <v>4488.5</v>
      </c>
      <c r="C1044" s="4834">
        <f t="shared" si="66"/>
        <v>7.4786746606286925E-5</v>
      </c>
      <c r="D1044" s="3" t="str">
        <f t="shared" si="67"/>
        <v>2016</v>
      </c>
      <c r="J1044" s="270" t="s">
        <v>12124</v>
      </c>
      <c r="K1044" s="4837">
        <v>38844.532004216329</v>
      </c>
      <c r="L1044" s="4834">
        <f t="shared" si="69"/>
        <v>3.5974853100192503E-5</v>
      </c>
      <c r="S1044" s="270" t="s">
        <v>12124</v>
      </c>
      <c r="T1044" s="4838">
        <v>490.62039263726297</v>
      </c>
      <c r="U1044" s="4839">
        <f t="shared" si="68"/>
        <v>1.5462129270622201E-3</v>
      </c>
    </row>
    <row r="1045" spans="1:21">
      <c r="A1045" s="270" t="s">
        <v>12124</v>
      </c>
      <c r="B1045" s="3305">
        <v>4562</v>
      </c>
      <c r="C1045" s="4834">
        <f t="shared" si="66"/>
        <v>8.2755121511883566E-5</v>
      </c>
      <c r="D1045" s="3" t="str">
        <f t="shared" si="67"/>
        <v>2016</v>
      </c>
      <c r="J1045" s="270" t="s">
        <v>12125</v>
      </c>
      <c r="K1045" s="4837">
        <v>38886.327974755543</v>
      </c>
      <c r="L1045" s="4834">
        <f t="shared" si="69"/>
        <v>3.6150260083717974E-5</v>
      </c>
      <c r="S1045" s="270" t="s">
        <v>12125</v>
      </c>
      <c r="T1045" s="4838">
        <v>493.51395982843951</v>
      </c>
      <c r="U1045" s="4839">
        <f t="shared" si="68"/>
        <v>1.5689167186012736E-3</v>
      </c>
    </row>
    <row r="1046" spans="1:21">
      <c r="A1046" s="270" t="s">
        <v>12125</v>
      </c>
      <c r="B1046" s="3305">
        <v>4583.5</v>
      </c>
      <c r="C1046" s="4834">
        <f t="shared" si="66"/>
        <v>8.5184547570646082E-5</v>
      </c>
      <c r="D1046" s="3" t="str">
        <f t="shared" si="67"/>
        <v>2016</v>
      </c>
      <c r="J1046" s="270" t="s">
        <v>12126</v>
      </c>
      <c r="K1046" s="4837">
        <v>38902.403348039858</v>
      </c>
      <c r="L1046" s="4834">
        <f t="shared" si="69"/>
        <v>3.6217654935218352E-5</v>
      </c>
      <c r="S1046" s="270" t="s">
        <v>12126</v>
      </c>
      <c r="T1046" s="4838">
        <v>490.29888517157673</v>
      </c>
      <c r="U1046" s="4839">
        <f t="shared" si="68"/>
        <v>1.5436843728566594E-3</v>
      </c>
    </row>
    <row r="1047" spans="1:21">
      <c r="A1047" s="270" t="s">
        <v>12126</v>
      </c>
      <c r="B1047" s="3305">
        <v>4562</v>
      </c>
      <c r="C1047" s="4834">
        <f t="shared" si="66"/>
        <v>8.2755121511883566E-5</v>
      </c>
      <c r="D1047" s="3" t="str">
        <f t="shared" si="67"/>
        <v>2016</v>
      </c>
      <c r="J1047" s="270" t="s">
        <v>12127</v>
      </c>
      <c r="K1047" s="4837">
        <v>38905.618422696716</v>
      </c>
      <c r="L1047" s="4834">
        <f t="shared" si="69"/>
        <v>3.6231129176312963E-5</v>
      </c>
      <c r="S1047" s="270" t="s">
        <v>12127</v>
      </c>
      <c r="T1047" s="4838">
        <v>490.29888517157673</v>
      </c>
      <c r="U1047" s="4839">
        <f t="shared" si="68"/>
        <v>1.5436843728566594E-3</v>
      </c>
    </row>
    <row r="1048" spans="1:21">
      <c r="A1048" s="270" t="s">
        <v>12127</v>
      </c>
      <c r="B1048" s="3305">
        <v>4577</v>
      </c>
      <c r="C1048" s="4834">
        <f t="shared" si="66"/>
        <v>8.4445390924555404E-5</v>
      </c>
      <c r="D1048" s="3" t="str">
        <f t="shared" si="67"/>
        <v>2016</v>
      </c>
      <c r="J1048" s="270" t="s">
        <v>12128</v>
      </c>
      <c r="K1048" s="4837">
        <v>39582.391637966342</v>
      </c>
      <c r="L1048" s="4834">
        <f t="shared" si="69"/>
        <v>3.9023447333423459E-5</v>
      </c>
      <c r="S1048" s="270" t="s">
        <v>12128</v>
      </c>
      <c r="T1048" s="4838">
        <v>494.1569747598121</v>
      </c>
      <c r="U1048" s="4839">
        <f t="shared" si="68"/>
        <v>1.5739481593204012E-3</v>
      </c>
    </row>
    <row r="1049" spans="1:21">
      <c r="A1049" s="270" t="s">
        <v>12128</v>
      </c>
      <c r="B1049" s="3305">
        <v>4590</v>
      </c>
      <c r="C1049" s="4834">
        <f t="shared" si="66"/>
        <v>8.5927750335258003E-5</v>
      </c>
      <c r="D1049" s="3" t="str">
        <f t="shared" si="67"/>
        <v>2016</v>
      </c>
      <c r="J1049" s="270" t="s">
        <v>12129</v>
      </c>
      <c r="K1049" s="4837">
        <v>38934.554094608488</v>
      </c>
      <c r="L1049" s="4834">
        <f t="shared" si="69"/>
        <v>3.6352325170566682E-5</v>
      </c>
      <c r="S1049" s="270" t="s">
        <v>12129</v>
      </c>
      <c r="T1049" s="4838">
        <v>482.26119852941974</v>
      </c>
      <c r="U1049" s="4839">
        <f t="shared" si="68"/>
        <v>1.4801582465092647E-3</v>
      </c>
    </row>
    <row r="1050" spans="1:21">
      <c r="A1050" s="270" t="s">
        <v>12129</v>
      </c>
      <c r="B1050" s="3305">
        <v>4696</v>
      </c>
      <c r="C1050" s="4834">
        <f t="shared" si="66"/>
        <v>9.8611463151942723E-5</v>
      </c>
      <c r="D1050" s="3" t="str">
        <f t="shared" si="67"/>
        <v>2016</v>
      </c>
      <c r="J1050" s="270" t="s">
        <v>12130</v>
      </c>
      <c r="K1050" s="4837">
        <v>39267.314321593782</v>
      </c>
      <c r="L1050" s="4834">
        <f t="shared" si="69"/>
        <v>3.7735522797278291E-5</v>
      </c>
      <c r="S1050" s="270" t="s">
        <v>12130</v>
      </c>
      <c r="T1050" s="4838">
        <v>489.0128553088316</v>
      </c>
      <c r="U1050" s="4839">
        <f t="shared" si="68"/>
        <v>1.5335592249130024E-3</v>
      </c>
    </row>
    <row r="1051" spans="1:21">
      <c r="A1051" s="270" t="s">
        <v>12130</v>
      </c>
      <c r="B1051" s="3305">
        <v>4663.5</v>
      </c>
      <c r="C1051" s="4834">
        <f t="shared" si="66"/>
        <v>9.4610785290794147E-5</v>
      </c>
      <c r="D1051" s="3" t="str">
        <f t="shared" si="67"/>
        <v>2016</v>
      </c>
      <c r="J1051" s="270" t="s">
        <v>12131</v>
      </c>
      <c r="K1051" s="4837">
        <v>40212.546270711449</v>
      </c>
      <c r="L1051" s="4834">
        <f t="shared" si="69"/>
        <v>4.1514219170153878E-5</v>
      </c>
      <c r="S1051" s="270" t="s">
        <v>12131</v>
      </c>
      <c r="T1051" s="4838">
        <v>492.54943743138068</v>
      </c>
      <c r="U1051" s="4839">
        <f t="shared" si="68"/>
        <v>1.5613598290858152E-3</v>
      </c>
    </row>
    <row r="1052" spans="1:21">
      <c r="A1052" s="270" t="s">
        <v>12131</v>
      </c>
      <c r="B1052" s="3305">
        <v>4585.5</v>
      </c>
      <c r="C1052" s="4834">
        <f t="shared" si="66"/>
        <v>8.5412794705036764E-5</v>
      </c>
      <c r="D1052" s="3" t="str">
        <f t="shared" si="67"/>
        <v>2016</v>
      </c>
      <c r="J1052" s="270" t="s">
        <v>12132</v>
      </c>
      <c r="K1052" s="4837">
        <v>39738.322758824179</v>
      </c>
      <c r="L1052" s="4834">
        <f t="shared" si="69"/>
        <v>3.9651338811964328E-5</v>
      </c>
      <c r="S1052" s="270" t="s">
        <v>12132</v>
      </c>
      <c r="T1052" s="4838">
        <v>487.40531798040018</v>
      </c>
      <c r="U1052" s="4839">
        <f t="shared" si="68"/>
        <v>1.5208796186691905E-3</v>
      </c>
    </row>
    <row r="1053" spans="1:21">
      <c r="A1053" s="270" t="s">
        <v>12132</v>
      </c>
      <c r="B1053" s="3305">
        <v>4655</v>
      </c>
      <c r="C1053" s="4834">
        <f t="shared" si="66"/>
        <v>9.3580615350213542E-5</v>
      </c>
      <c r="D1053" s="3" t="str">
        <f t="shared" si="67"/>
        <v>2016</v>
      </c>
      <c r="J1053" s="270" t="s">
        <v>12133</v>
      </c>
      <c r="K1053" s="4837">
        <v>39432.890666422216</v>
      </c>
      <c r="L1053" s="4834">
        <f t="shared" si="69"/>
        <v>3.8415327718799611E-5</v>
      </c>
      <c r="S1053" s="270" t="s">
        <v>12133</v>
      </c>
      <c r="T1053" s="4838">
        <v>487.72682544608648</v>
      </c>
      <c r="U1053" s="4839">
        <f t="shared" si="68"/>
        <v>1.5234174985977061E-3</v>
      </c>
    </row>
    <row r="1054" spans="1:21">
      <c r="A1054" s="270" t="s">
        <v>12133</v>
      </c>
      <c r="B1054" s="3305">
        <v>4681</v>
      </c>
      <c r="C1054" s="4834">
        <f t="shared" si="66"/>
        <v>9.675287481386318E-5</v>
      </c>
      <c r="D1054" s="3" t="str">
        <f t="shared" si="67"/>
        <v>2016</v>
      </c>
      <c r="J1054" s="270" t="s">
        <v>12134</v>
      </c>
      <c r="K1054" s="4837">
        <v>39702.956937598698</v>
      </c>
      <c r="L1054" s="4834">
        <f t="shared" si="69"/>
        <v>3.9509534695953066E-5</v>
      </c>
      <c r="S1054" s="270" t="s">
        <v>12134</v>
      </c>
      <c r="T1054" s="4838">
        <v>474.22351188726276</v>
      </c>
      <c r="U1054" s="4839">
        <f t="shared" si="68"/>
        <v>1.4162295342761055E-3</v>
      </c>
    </row>
    <row r="1055" spans="1:21">
      <c r="A1055" s="270" t="s">
        <v>12134</v>
      </c>
      <c r="B1055" s="3305">
        <v>4705</v>
      </c>
      <c r="C1055" s="4834">
        <f t="shared" si="66"/>
        <v>9.9736518410215223E-5</v>
      </c>
      <c r="D1055" s="3" t="str">
        <f t="shared" si="67"/>
        <v>2016</v>
      </c>
      <c r="J1055" s="270" t="s">
        <v>12135</v>
      </c>
      <c r="K1055" s="4837">
        <v>39754.398132108501</v>
      </c>
      <c r="L1055" s="4834">
        <f t="shared" si="69"/>
        <v>3.9715673990122524E-5</v>
      </c>
      <c r="S1055" s="270" t="s">
        <v>12135</v>
      </c>
      <c r="T1055" s="4838">
        <v>481.93969106373345</v>
      </c>
      <c r="U1055" s="4839">
        <f t="shared" si="68"/>
        <v>1.4776069072222611E-3</v>
      </c>
    </row>
    <row r="1056" spans="1:21">
      <c r="A1056" s="270" t="s">
        <v>12135</v>
      </c>
      <c r="B1056" s="3305">
        <v>4726</v>
      </c>
      <c r="C1056" s="4834">
        <f t="shared" si="66"/>
        <v>1.0239028260144614E-4</v>
      </c>
      <c r="D1056" s="3" t="str">
        <f t="shared" si="67"/>
        <v>2016</v>
      </c>
      <c r="J1056" s="270" t="s">
        <v>12136</v>
      </c>
      <c r="K1056" s="4837">
        <v>39841.205147843793</v>
      </c>
      <c r="L1056" s="4834">
        <f t="shared" si="69"/>
        <v>4.0061739414041695E-5</v>
      </c>
      <c r="S1056" s="270" t="s">
        <v>12136</v>
      </c>
      <c r="T1056" s="4838">
        <v>476.47406414706666</v>
      </c>
      <c r="U1056" s="4839">
        <f t="shared" si="68"/>
        <v>1.4341535796721543E-3</v>
      </c>
    </row>
    <row r="1057" spans="1:21">
      <c r="A1057" s="270" t="s">
        <v>12136</v>
      </c>
      <c r="B1057" s="3305">
        <v>4780</v>
      </c>
      <c r="C1057" s="4834">
        <f t="shared" si="66"/>
        <v>1.0939502326936805E-4</v>
      </c>
      <c r="D1057" s="3" t="str">
        <f t="shared" si="67"/>
        <v>2016</v>
      </c>
      <c r="J1057" s="270" t="s">
        <v>12137</v>
      </c>
      <c r="K1057" s="4837">
        <v>40196.470897427134</v>
      </c>
      <c r="L1057" s="4834">
        <f t="shared" si="69"/>
        <v>4.1452350089893817E-5</v>
      </c>
      <c r="S1057" s="270" t="s">
        <v>12137</v>
      </c>
      <c r="T1057" s="4838">
        <v>481.29667613236086</v>
      </c>
      <c r="U1057" s="4839">
        <f t="shared" si="68"/>
        <v>1.4725023740157787E-3</v>
      </c>
    </row>
    <row r="1058" spans="1:21">
      <c r="A1058" s="270" t="s">
        <v>12137</v>
      </c>
      <c r="B1058" s="3305">
        <v>4830</v>
      </c>
      <c r="C1058" s="4834">
        <f t="shared" si="66"/>
        <v>1.1610575296868E-4</v>
      </c>
      <c r="D1058" s="3" t="str">
        <f t="shared" si="67"/>
        <v>2016</v>
      </c>
      <c r="J1058" s="270" t="s">
        <v>12138</v>
      </c>
      <c r="K1058" s="4837">
        <v>41072.57874142225</v>
      </c>
      <c r="L1058" s="4834">
        <f t="shared" si="69"/>
        <v>4.4664907282500036E-5</v>
      </c>
      <c r="S1058" s="270" t="s">
        <v>12138</v>
      </c>
      <c r="T1058" s="4838">
        <v>496.0860195539297</v>
      </c>
      <c r="U1058" s="4839">
        <f t="shared" si="68"/>
        <v>1.5890096555492051E-3</v>
      </c>
    </row>
    <row r="1059" spans="1:21">
      <c r="A1059" s="270" t="s">
        <v>12138</v>
      </c>
      <c r="B1059" s="3305">
        <v>4918</v>
      </c>
      <c r="C1059" s="4834">
        <f t="shared" si="66"/>
        <v>1.284103656627046E-4</v>
      </c>
      <c r="D1059" s="3" t="str">
        <f t="shared" si="67"/>
        <v>2016</v>
      </c>
      <c r="J1059" s="270" t="s">
        <v>12139</v>
      </c>
      <c r="K1059" s="4837">
        <v>40763.931574363422</v>
      </c>
      <c r="L1059" s="4834">
        <f t="shared" si="69"/>
        <v>4.3572878049447992E-5</v>
      </c>
      <c r="S1059" s="270" t="s">
        <v>12139</v>
      </c>
      <c r="T1059" s="4838">
        <v>503.48069126471415</v>
      </c>
      <c r="U1059" s="4839">
        <f t="shared" si="68"/>
        <v>1.6462224114088062E-3</v>
      </c>
    </row>
    <row r="1060" spans="1:21">
      <c r="A1060" s="270" t="s">
        <v>12139</v>
      </c>
      <c r="B1060" s="3305">
        <v>5000</v>
      </c>
      <c r="C1060" s="4834">
        <f t="shared" si="66"/>
        <v>1.4039215168134195E-4</v>
      </c>
      <c r="D1060" s="3" t="str">
        <f t="shared" si="67"/>
        <v>2016</v>
      </c>
      <c r="J1060" s="270" t="s">
        <v>12140</v>
      </c>
      <c r="K1060" s="4837">
        <v>40734.99590245165</v>
      </c>
      <c r="L1060" s="4834">
        <f t="shared" si="69"/>
        <v>4.3468138027374365E-5</v>
      </c>
      <c r="S1060" s="270" t="s">
        <v>12140</v>
      </c>
      <c r="T1060" s="4838">
        <v>503.48069126471415</v>
      </c>
      <c r="U1060" s="4839">
        <f t="shared" si="68"/>
        <v>1.6462224114088062E-3</v>
      </c>
    </row>
    <row r="1061" spans="1:21">
      <c r="A1061" s="270" t="s">
        <v>12140</v>
      </c>
      <c r="B1061" s="3305">
        <v>4980.5</v>
      </c>
      <c r="C1061" s="4834">
        <f t="shared" si="66"/>
        <v>1.3750113998396176E-4</v>
      </c>
      <c r="D1061" s="3" t="str">
        <f t="shared" si="67"/>
        <v>2016</v>
      </c>
      <c r="J1061" s="270" t="s">
        <v>12141</v>
      </c>
      <c r="K1061" s="4837">
        <v>40072.690523137921</v>
      </c>
      <c r="L1061" s="4834">
        <f t="shared" si="69"/>
        <v>4.0972786166819524E-5</v>
      </c>
      <c r="S1061" s="270" t="s">
        <v>12141</v>
      </c>
      <c r="T1061" s="4838">
        <v>490.94190010294926</v>
      </c>
      <c r="U1061" s="4839">
        <f t="shared" si="68"/>
        <v>1.5487403500784602E-3</v>
      </c>
    </row>
    <row r="1062" spans="1:21">
      <c r="A1062" s="270" t="s">
        <v>12141</v>
      </c>
      <c r="B1062" s="3305">
        <v>4935.5</v>
      </c>
      <c r="C1062" s="4834">
        <f t="shared" si="66"/>
        <v>1.3092783531545762E-4</v>
      </c>
      <c r="D1062" s="3" t="str">
        <f t="shared" si="67"/>
        <v>2016</v>
      </c>
      <c r="J1062" s="270" t="s">
        <v>12142</v>
      </c>
      <c r="K1062" s="4837">
        <v>40718.920529167342</v>
      </c>
      <c r="L1062" s="4834">
        <f t="shared" si="69"/>
        <v>4.3409781199712805E-5</v>
      </c>
      <c r="S1062" s="270" t="s">
        <v>12142</v>
      </c>
      <c r="T1062" s="4838">
        <v>490.94190010294926</v>
      </c>
      <c r="U1062" s="4839">
        <f t="shared" si="68"/>
        <v>1.5487403500784602E-3</v>
      </c>
    </row>
    <row r="1063" spans="1:21">
      <c r="A1063" s="270" t="s">
        <v>12142</v>
      </c>
      <c r="B1063" s="3305">
        <v>4920.5</v>
      </c>
      <c r="C1063" s="4834">
        <f t="shared" si="66"/>
        <v>1.2876863052180008E-4</v>
      </c>
      <c r="D1063" s="3" t="str">
        <f t="shared" si="67"/>
        <v>2016</v>
      </c>
      <c r="J1063" s="270" t="s">
        <v>12143</v>
      </c>
      <c r="K1063" s="4837">
        <v>40662.65672267224</v>
      </c>
      <c r="L1063" s="4834">
        <f t="shared" si="69"/>
        <v>4.3204599163807546E-5</v>
      </c>
      <c r="S1063" s="270" t="s">
        <v>12143</v>
      </c>
      <c r="T1063" s="4838">
        <v>498.33657181373371</v>
      </c>
      <c r="U1063" s="4839">
        <f t="shared" si="68"/>
        <v>1.6065147699858584E-3</v>
      </c>
    </row>
    <row r="1064" spans="1:21">
      <c r="A1064" s="270" t="s">
        <v>12143</v>
      </c>
      <c r="B1064" s="3305">
        <v>4941</v>
      </c>
      <c r="C1064" s="4834">
        <f t="shared" si="66"/>
        <v>1.3172362565350287E-4</v>
      </c>
      <c r="D1064" s="3" t="str">
        <f t="shared" si="67"/>
        <v>2016</v>
      </c>
      <c r="J1064" s="270" t="s">
        <v>12144</v>
      </c>
      <c r="K1064" s="4837">
        <v>39955.340298162424</v>
      </c>
      <c r="L1064" s="4834">
        <f t="shared" si="69"/>
        <v>4.051315678070035E-5</v>
      </c>
      <c r="S1064" s="270" t="s">
        <v>12144</v>
      </c>
      <c r="T1064" s="4838">
        <v>501.55164647059649</v>
      </c>
      <c r="U1064" s="4839">
        <f t="shared" si="68"/>
        <v>1.6313849389025525E-3</v>
      </c>
    </row>
    <row r="1065" spans="1:21">
      <c r="A1065" s="270" t="s">
        <v>12144</v>
      </c>
      <c r="B1065" s="3305">
        <v>4994</v>
      </c>
      <c r="C1065" s="4834">
        <f t="shared" si="66"/>
        <v>1.3949996595104394E-4</v>
      </c>
      <c r="D1065" s="3" t="str">
        <f t="shared" si="67"/>
        <v>2016</v>
      </c>
      <c r="J1065" s="270" t="s">
        <v>12145</v>
      </c>
      <c r="K1065" s="4837">
        <v>39609.719772549674</v>
      </c>
      <c r="L1065" s="4834">
        <f t="shared" si="69"/>
        <v>3.9133978905645819E-5</v>
      </c>
      <c r="S1065" s="270" t="s">
        <v>12145</v>
      </c>
      <c r="T1065" s="4838">
        <v>492.54943743138068</v>
      </c>
      <c r="U1065" s="4839">
        <f t="shared" si="68"/>
        <v>1.5613598290858152E-3</v>
      </c>
    </row>
    <row r="1066" spans="1:21">
      <c r="A1066" s="270" t="s">
        <v>12145</v>
      </c>
      <c r="B1066" s="3305">
        <v>4920</v>
      </c>
      <c r="C1066" s="4834">
        <f t="shared" si="66"/>
        <v>1.2869694063434302E-4</v>
      </c>
      <c r="D1066" s="3" t="str">
        <f t="shared" si="67"/>
        <v>2016</v>
      </c>
      <c r="J1066" s="270" t="s">
        <v>12146</v>
      </c>
      <c r="K1066" s="4837">
        <v>39497.192159559476</v>
      </c>
      <c r="L1066" s="4834">
        <f t="shared" si="69"/>
        <v>3.8677581362884627E-5</v>
      </c>
      <c r="S1066" s="270" t="s">
        <v>12146</v>
      </c>
      <c r="T1066" s="4838">
        <v>491.5849150343218</v>
      </c>
      <c r="U1066" s="4839">
        <f t="shared" si="68"/>
        <v>1.5537917262309817E-3</v>
      </c>
    </row>
    <row r="1067" spans="1:21">
      <c r="A1067" s="270" t="s">
        <v>12146</v>
      </c>
      <c r="B1067" s="3305">
        <v>4945</v>
      </c>
      <c r="C1067" s="4834">
        <f t="shared" si="66"/>
        <v>1.3230374038752582E-4</v>
      </c>
      <c r="D1067" s="3" t="str">
        <f t="shared" si="67"/>
        <v>2016</v>
      </c>
      <c r="J1067" s="270" t="s">
        <v>12147</v>
      </c>
      <c r="K1067" s="4837">
        <v>40718.920529167342</v>
      </c>
      <c r="L1067" s="4834">
        <f t="shared" si="69"/>
        <v>4.3409781199712805E-5</v>
      </c>
      <c r="S1067" s="270" t="s">
        <v>12147</v>
      </c>
      <c r="T1067" s="4838">
        <v>505.73124352451816</v>
      </c>
      <c r="U1067" s="4839">
        <f t="shared" si="68"/>
        <v>1.6634457315749477E-3</v>
      </c>
    </row>
    <row r="1068" spans="1:21">
      <c r="A1068" s="270" t="s">
        <v>12147</v>
      </c>
      <c r="B1068" s="3305">
        <v>5029</v>
      </c>
      <c r="C1068" s="4834">
        <f t="shared" si="66"/>
        <v>1.4473643559023407E-4</v>
      </c>
      <c r="D1068" s="3" t="str">
        <f t="shared" si="67"/>
        <v>2016</v>
      </c>
      <c r="J1068" s="270" t="s">
        <v>12148</v>
      </c>
      <c r="K1068" s="4837">
        <v>40255.949778579095</v>
      </c>
      <c r="L1068" s="4834">
        <f t="shared" si="69"/>
        <v>4.1680779219261958E-5</v>
      </c>
      <c r="S1068" s="270" t="s">
        <v>12148</v>
      </c>
      <c r="T1068" s="4838">
        <v>512.48290030392991</v>
      </c>
      <c r="U1068" s="4839">
        <f t="shared" si="68"/>
        <v>1.7144874140038169E-3</v>
      </c>
    </row>
    <row r="1069" spans="1:21">
      <c r="A1069" s="270" t="s">
        <v>12148</v>
      </c>
      <c r="B1069" s="3305">
        <v>5103</v>
      </c>
      <c r="C1069" s="4834">
        <f t="shared" si="66"/>
        <v>1.5604328534062721E-4</v>
      </c>
      <c r="D1069" s="3" t="str">
        <f t="shared" si="67"/>
        <v>2016</v>
      </c>
      <c r="J1069" s="270" t="s">
        <v>12149</v>
      </c>
      <c r="K1069" s="4837">
        <v>40024.464403284976</v>
      </c>
      <c r="L1069" s="4834">
        <f t="shared" si="69"/>
        <v>4.0784467492831055E-5</v>
      </c>
      <c r="S1069" s="270" t="s">
        <v>12149</v>
      </c>
      <c r="T1069" s="4838">
        <v>508.30330325000841</v>
      </c>
      <c r="U1069" s="4839">
        <f t="shared" si="68"/>
        <v>1.6830064438659968E-3</v>
      </c>
    </row>
    <row r="1070" spans="1:21">
      <c r="A1070" s="270" t="s">
        <v>12149</v>
      </c>
      <c r="B1070" s="3305">
        <v>5079.5</v>
      </c>
      <c r="C1070" s="4834">
        <f t="shared" si="66"/>
        <v>1.5242039477785397E-4</v>
      </c>
      <c r="D1070" s="3" t="str">
        <f t="shared" si="67"/>
        <v>2016</v>
      </c>
      <c r="J1070" s="270" t="s">
        <v>12150</v>
      </c>
      <c r="K1070" s="4837">
        <v>40268.810077206545</v>
      </c>
      <c r="L1070" s="4834">
        <f t="shared" si="69"/>
        <v>4.1729992512719248E-5</v>
      </c>
      <c r="S1070" s="270" t="s">
        <v>12150</v>
      </c>
      <c r="T1070" s="4838">
        <v>510.8753629754986</v>
      </c>
      <c r="U1070" s="4839">
        <f t="shared" si="68"/>
        <v>1.7024261763115799E-3</v>
      </c>
    </row>
    <row r="1071" spans="1:21">
      <c r="A1071" s="270" t="s">
        <v>12150</v>
      </c>
      <c r="B1071" s="3305">
        <v>5070</v>
      </c>
      <c r="C1071" s="4834">
        <f t="shared" si="66"/>
        <v>1.5096400876874104E-4</v>
      </c>
      <c r="D1071" s="3" t="str">
        <f t="shared" si="67"/>
        <v>2016</v>
      </c>
      <c r="J1071" s="270" t="s">
        <v>12151</v>
      </c>
      <c r="K1071" s="4837">
        <v>39146.749021961426</v>
      </c>
      <c r="L1071" s="4834">
        <f t="shared" si="69"/>
        <v>3.7236779859035484E-5</v>
      </c>
      <c r="S1071" s="270" t="s">
        <v>12151</v>
      </c>
      <c r="T1071" s="4838">
        <v>500.90863153922396</v>
      </c>
      <c r="U1071" s="4839">
        <f t="shared" si="68"/>
        <v>1.6264245923052832E-3</v>
      </c>
    </row>
    <row r="1072" spans="1:21">
      <c r="A1072" s="270" t="s">
        <v>12151</v>
      </c>
      <c r="B1072" s="3305">
        <v>5060.5</v>
      </c>
      <c r="C1072" s="4834">
        <f t="shared" si="66"/>
        <v>1.495125298844679E-4</v>
      </c>
      <c r="D1072" s="3" t="str">
        <f t="shared" si="67"/>
        <v>2016</v>
      </c>
      <c r="J1072" s="270" t="s">
        <v>12152</v>
      </c>
      <c r="K1072" s="4837">
        <v>39256.061560294766</v>
      </c>
      <c r="L1072" s="4834">
        <f t="shared" si="69"/>
        <v>3.7689100664739325E-5</v>
      </c>
      <c r="S1072" s="270" t="s">
        <v>12152</v>
      </c>
      <c r="T1072" s="4838">
        <v>491.2634075686355</v>
      </c>
      <c r="U1072" s="4839">
        <f t="shared" si="68"/>
        <v>1.5512666228322265E-3</v>
      </c>
    </row>
    <row r="1073" spans="1:21">
      <c r="A1073" s="270" t="s">
        <v>12152</v>
      </c>
      <c r="B1073" s="3305">
        <v>4931</v>
      </c>
      <c r="C1073" s="4834">
        <f t="shared" si="66"/>
        <v>1.3027835441787808E-4</v>
      </c>
      <c r="D1073" s="3" t="str">
        <f t="shared" si="67"/>
        <v>2016</v>
      </c>
      <c r="J1073" s="270" t="s">
        <v>12153</v>
      </c>
      <c r="K1073" s="4837">
        <v>39416.815293137908</v>
      </c>
      <c r="L1073" s="4834">
        <f t="shared" si="69"/>
        <v>3.8349606026139063E-5</v>
      </c>
      <c r="S1073" s="270" t="s">
        <v>12153</v>
      </c>
      <c r="T1073" s="4838">
        <v>484.19024332353746</v>
      </c>
      <c r="U1073" s="4839">
        <f t="shared" si="68"/>
        <v>1.4954521348683454E-3</v>
      </c>
    </row>
    <row r="1074" spans="1:21">
      <c r="A1074" s="270" t="s">
        <v>12153</v>
      </c>
      <c r="B1074" s="3305">
        <v>4939.5</v>
      </c>
      <c r="C1074" s="4834">
        <f t="shared" si="66"/>
        <v>1.3150637685341331E-4</v>
      </c>
      <c r="D1074" s="3" t="str">
        <f t="shared" si="67"/>
        <v>2016</v>
      </c>
      <c r="J1074" s="270" t="s">
        <v>12154</v>
      </c>
      <c r="K1074" s="4837">
        <v>39746.360445466344</v>
      </c>
      <c r="L1074" s="4834">
        <f t="shared" si="69"/>
        <v>3.9683515952625682E-5</v>
      </c>
      <c r="S1074" s="270" t="s">
        <v>12154</v>
      </c>
      <c r="T1074" s="4838">
        <v>494.4784822254984</v>
      </c>
      <c r="U1074" s="4839">
        <f t="shared" si="68"/>
        <v>1.5764618762748807E-3</v>
      </c>
    </row>
    <row r="1075" spans="1:21">
      <c r="A1075" s="270" t="s">
        <v>12154</v>
      </c>
      <c r="B1075" s="3305">
        <v>4940</v>
      </c>
      <c r="C1075" s="4834">
        <f t="shared" si="66"/>
        <v>1.3157877524036605E-4</v>
      </c>
      <c r="D1075" s="3" t="str">
        <f t="shared" si="67"/>
        <v>2016</v>
      </c>
      <c r="J1075" s="270" t="s">
        <v>12155</v>
      </c>
      <c r="K1075" s="4837">
        <v>39770.473505392816</v>
      </c>
      <c r="L1075" s="4834">
        <f t="shared" si="69"/>
        <v>3.9779932400689243E-5</v>
      </c>
      <c r="S1075" s="270" t="s">
        <v>12155</v>
      </c>
      <c r="T1075" s="4838">
        <v>494.4784822254984</v>
      </c>
      <c r="U1075" s="4839">
        <f t="shared" si="68"/>
        <v>1.5764618762748807E-3</v>
      </c>
    </row>
    <row r="1076" spans="1:21">
      <c r="A1076" s="270" t="s">
        <v>12155</v>
      </c>
      <c r="B1076" s="3305">
        <v>4855.5</v>
      </c>
      <c r="C1076" s="4834">
        <f t="shared" si="66"/>
        <v>1.196082905541796E-4</v>
      </c>
      <c r="D1076" s="3" t="str">
        <f t="shared" si="67"/>
        <v>2016</v>
      </c>
      <c r="J1076" s="270" t="s">
        <v>12156</v>
      </c>
      <c r="K1076" s="4837">
        <v>39018.146035686921</v>
      </c>
      <c r="L1076" s="4834">
        <f t="shared" si="69"/>
        <v>3.6701687061488038E-5</v>
      </c>
      <c r="S1076" s="270" t="s">
        <v>12156</v>
      </c>
      <c r="T1076" s="4838">
        <v>494.4784822254984</v>
      </c>
      <c r="U1076" s="4839">
        <f t="shared" si="68"/>
        <v>1.5764618762748807E-3</v>
      </c>
    </row>
    <row r="1077" spans="1:21">
      <c r="A1077" s="270" t="s">
        <v>12156</v>
      </c>
      <c r="B1077" s="3305">
        <v>4880</v>
      </c>
      <c r="C1077" s="4834">
        <f t="shared" si="66"/>
        <v>1.2302264507275655E-4</v>
      </c>
      <c r="D1077" s="3" t="str">
        <f t="shared" si="67"/>
        <v>2016</v>
      </c>
      <c r="J1077" s="270" t="s">
        <v>12157</v>
      </c>
      <c r="K1077" s="4837">
        <v>39215.873127083978</v>
      </c>
      <c r="L1077" s="4834">
        <f t="shared" si="69"/>
        <v>3.7523089527185165E-5</v>
      </c>
      <c r="S1077" s="270" t="s">
        <v>12157</v>
      </c>
      <c r="T1077" s="4838">
        <v>480.97516866667462</v>
      </c>
      <c r="U1077" s="4839">
        <f t="shared" si="68"/>
        <v>1.4699492169515627E-3</v>
      </c>
    </row>
    <row r="1078" spans="1:21">
      <c r="A1078" s="270" t="s">
        <v>12157</v>
      </c>
      <c r="B1078" s="3305">
        <v>4816</v>
      </c>
      <c r="C1078" s="4834">
        <f t="shared" si="66"/>
        <v>1.1420551477279523E-4</v>
      </c>
      <c r="D1078" s="3" t="str">
        <f t="shared" si="67"/>
        <v>2016</v>
      </c>
      <c r="J1078" s="270" t="s">
        <v>12158</v>
      </c>
      <c r="K1078" s="4837">
        <v>39585.606712623201</v>
      </c>
      <c r="L1078" s="4834">
        <f t="shared" si="69"/>
        <v>3.9036461492111029E-5</v>
      </c>
      <c r="S1078" s="270" t="s">
        <v>12158</v>
      </c>
      <c r="T1078" s="4838">
        <v>488.36984037745901</v>
      </c>
      <c r="U1078" s="4839">
        <f t="shared" si="68"/>
        <v>1.528490358244176E-3</v>
      </c>
    </row>
    <row r="1079" spans="1:21">
      <c r="A1079" s="270" t="s">
        <v>12158</v>
      </c>
      <c r="B1079" s="3305">
        <v>4776</v>
      </c>
      <c r="C1079" s="4834">
        <f t="shared" si="66"/>
        <v>1.0886737650854819E-4</v>
      </c>
      <c r="D1079" s="3" t="str">
        <f t="shared" si="67"/>
        <v>2016</v>
      </c>
      <c r="J1079" s="270" t="s">
        <v>12159</v>
      </c>
      <c r="K1079" s="4837">
        <v>39268.921858922222</v>
      </c>
      <c r="L1079" s="4834">
        <f t="shared" si="69"/>
        <v>3.7742152321599763E-5</v>
      </c>
      <c r="S1079" s="270" t="s">
        <v>12159</v>
      </c>
      <c r="T1079" s="4838">
        <v>484.5117507892237</v>
      </c>
      <c r="U1079" s="4839">
        <f t="shared" si="68"/>
        <v>1.4979985852035321E-3</v>
      </c>
    </row>
    <row r="1080" spans="1:21">
      <c r="A1080" s="270" t="s">
        <v>12159</v>
      </c>
      <c r="B1080" s="3305">
        <v>4775</v>
      </c>
      <c r="C1080" s="4834">
        <f t="shared" si="66"/>
        <v>1.0873568147228403E-4</v>
      </c>
      <c r="D1080" s="3" t="str">
        <f t="shared" si="67"/>
        <v>2016</v>
      </c>
      <c r="J1080" s="270" t="s">
        <v>12160</v>
      </c>
      <c r="K1080" s="4837">
        <v>39934.44231289281</v>
      </c>
      <c r="L1080" s="4834">
        <f t="shared" si="69"/>
        <v>4.0430818280437073E-5</v>
      </c>
      <c r="S1080" s="270" t="s">
        <v>12160</v>
      </c>
      <c r="T1080" s="4838">
        <v>489.3343627745179</v>
      </c>
      <c r="U1080" s="4839">
        <f t="shared" si="68"/>
        <v>1.5360921135400042E-3</v>
      </c>
    </row>
    <row r="1081" spans="1:21">
      <c r="A1081" s="270" t="s">
        <v>12160</v>
      </c>
      <c r="B1081" s="3305">
        <v>4715</v>
      </c>
      <c r="C1081" s="4834">
        <f t="shared" si="66"/>
        <v>1.0099523473391788E-4</v>
      </c>
      <c r="D1081" s="3" t="str">
        <f t="shared" si="67"/>
        <v>2016</v>
      </c>
      <c r="J1081" s="270" t="s">
        <v>12161</v>
      </c>
      <c r="K1081" s="4837">
        <v>39850.850371814384</v>
      </c>
      <c r="L1081" s="4834">
        <f t="shared" si="69"/>
        <v>4.0100048089394621E-5</v>
      </c>
      <c r="S1081" s="270" t="s">
        <v>12161</v>
      </c>
      <c r="T1081" s="4838">
        <v>487.40531798040018</v>
      </c>
      <c r="U1081" s="4839">
        <f t="shared" si="68"/>
        <v>1.5208796186691905E-3</v>
      </c>
    </row>
    <row r="1082" spans="1:21">
      <c r="A1082" s="270" t="s">
        <v>12161</v>
      </c>
      <c r="B1082" s="3305">
        <v>4654</v>
      </c>
      <c r="C1082" s="4834">
        <f t="shared" si="66"/>
        <v>9.3459862333499869E-5</v>
      </c>
      <c r="D1082" s="3" t="str">
        <f t="shared" si="67"/>
        <v>2016</v>
      </c>
      <c r="J1082" s="270" t="s">
        <v>12162</v>
      </c>
      <c r="K1082" s="4837">
        <v>40341.149256985955</v>
      </c>
      <c r="L1082" s="4834">
        <f t="shared" si="69"/>
        <v>4.2005620789236709E-5</v>
      </c>
      <c r="S1082" s="270" t="s">
        <v>12162</v>
      </c>
      <c r="T1082" s="4838">
        <v>500.26561660785143</v>
      </c>
      <c r="U1082" s="4839">
        <f t="shared" si="68"/>
        <v>1.6214572457468113E-3</v>
      </c>
    </row>
    <row r="1083" spans="1:21">
      <c r="A1083" s="270" t="s">
        <v>12162</v>
      </c>
      <c r="B1083" s="3305">
        <v>4645</v>
      </c>
      <c r="C1083" s="4834">
        <f t="shared" si="66"/>
        <v>9.237729749817292E-5</v>
      </c>
      <c r="D1083" s="3" t="str">
        <f t="shared" si="67"/>
        <v>2016</v>
      </c>
      <c r="J1083" s="270" t="s">
        <v>12163</v>
      </c>
      <c r="K1083" s="4837">
        <v>40336.326645000663</v>
      </c>
      <c r="L1083" s="4834">
        <f t="shared" si="69"/>
        <v>4.1987309523153849E-5</v>
      </c>
      <c r="S1083" s="270" t="s">
        <v>12163</v>
      </c>
      <c r="T1083" s="4838">
        <v>513.12591523530261</v>
      </c>
      <c r="U1083" s="4839">
        <f t="shared" si="68"/>
        <v>1.7192948255446473E-3</v>
      </c>
    </row>
    <row r="1084" spans="1:21">
      <c r="A1084" s="270" t="s">
        <v>12163</v>
      </c>
      <c r="B1084" s="3305">
        <v>4715.5</v>
      </c>
      <c r="C1084" s="4834">
        <f t="shared" si="66"/>
        <v>1.0105840878496488E-4</v>
      </c>
      <c r="D1084" s="3" t="str">
        <f t="shared" si="67"/>
        <v>2016</v>
      </c>
      <c r="J1084" s="270" t="s">
        <v>12164</v>
      </c>
      <c r="K1084" s="4837">
        <v>40051.792537868307</v>
      </c>
      <c r="L1084" s="4834">
        <f t="shared" si="69"/>
        <v>4.0891280647424169E-5</v>
      </c>
      <c r="S1084" s="270" t="s">
        <v>12164</v>
      </c>
      <c r="T1084" s="4838">
        <v>513.76893016667509</v>
      </c>
      <c r="U1084" s="4839">
        <f t="shared" si="68"/>
        <v>1.7240922370112303E-3</v>
      </c>
    </row>
    <row r="1085" spans="1:21">
      <c r="A1085" s="270" t="s">
        <v>12164</v>
      </c>
      <c r="B1085" s="3305">
        <v>4838</v>
      </c>
      <c r="C1085" s="4834">
        <f t="shared" si="66"/>
        <v>1.1719887983860082E-4</v>
      </c>
      <c r="D1085" s="3" t="str">
        <f t="shared" si="67"/>
        <v>2016</v>
      </c>
      <c r="J1085" s="270" t="s">
        <v>12165</v>
      </c>
      <c r="K1085" s="4837">
        <v>39669.198653701635</v>
      </c>
      <c r="L1085" s="4834">
        <f t="shared" si="69"/>
        <v>3.9373839762630226E-5</v>
      </c>
      <c r="S1085" s="270" t="s">
        <v>12165</v>
      </c>
      <c r="T1085" s="4838">
        <v>518.59154215196929</v>
      </c>
      <c r="U1085" s="4839">
        <f t="shared" si="68"/>
        <v>1.7597380436730583E-3</v>
      </c>
    </row>
    <row r="1086" spans="1:21">
      <c r="A1086" s="270" t="s">
        <v>12165</v>
      </c>
      <c r="B1086" s="3305">
        <v>4830.5</v>
      </c>
      <c r="C1086" s="4834">
        <f t="shared" si="66"/>
        <v>1.161739191277342E-4</v>
      </c>
      <c r="D1086" s="3" t="str">
        <f t="shared" si="67"/>
        <v>2016</v>
      </c>
      <c r="J1086" s="270" t="s">
        <v>12166</v>
      </c>
      <c r="K1086" s="4837">
        <v>39452.181114363389</v>
      </c>
      <c r="L1086" s="4834">
        <f t="shared" si="69"/>
        <v>3.8494111046717789E-5</v>
      </c>
      <c r="S1086" s="270" t="s">
        <v>12166</v>
      </c>
      <c r="T1086" s="4838">
        <v>519.87757201471447</v>
      </c>
      <c r="U1086" s="4839">
        <f t="shared" si="68"/>
        <v>1.7691385350698877E-3</v>
      </c>
    </row>
    <row r="1087" spans="1:21">
      <c r="A1087" s="270" t="s">
        <v>12166</v>
      </c>
      <c r="B1087" s="3305">
        <v>4813.5</v>
      </c>
      <c r="C1087" s="4834">
        <f t="shared" si="66"/>
        <v>1.1386790603423985E-4</v>
      </c>
      <c r="D1087" s="3" t="str">
        <f t="shared" si="67"/>
        <v>2016</v>
      </c>
      <c r="J1087" s="270" t="s">
        <v>12167</v>
      </c>
      <c r="K1087" s="4837">
        <v>39683.666489657517</v>
      </c>
      <c r="L1087" s="4834">
        <f t="shared" si="69"/>
        <v>3.9432034540807698E-5</v>
      </c>
      <c r="S1087" s="270" t="s">
        <v>12167</v>
      </c>
      <c r="T1087" s="4838">
        <v>520.84209441177336</v>
      </c>
      <c r="U1087" s="4839">
        <f t="shared" si="68"/>
        <v>1.7761583469600207E-3</v>
      </c>
    </row>
    <row r="1088" spans="1:21">
      <c r="A1088" s="270" t="s">
        <v>12167</v>
      </c>
      <c r="B1088" s="3305">
        <v>4798</v>
      </c>
      <c r="C1088" s="4834">
        <f t="shared" si="66"/>
        <v>1.1178648251955239E-4</v>
      </c>
      <c r="D1088" s="3" t="str">
        <f t="shared" si="67"/>
        <v>2016</v>
      </c>
      <c r="J1088" s="270" t="s">
        <v>12168</v>
      </c>
      <c r="K1088" s="4837">
        <v>40362.047242255569</v>
      </c>
      <c r="L1088" s="4834">
        <f t="shared" si="69"/>
        <v>4.2084862618871596E-5</v>
      </c>
      <c r="S1088" s="270" t="s">
        <v>12168</v>
      </c>
      <c r="T1088" s="4838">
        <v>534.34540797059708</v>
      </c>
      <c r="U1088" s="4839">
        <f t="shared" si="68"/>
        <v>1.8713805835203149E-3</v>
      </c>
    </row>
    <row r="1089" spans="1:21">
      <c r="A1089" s="270" t="s">
        <v>12168</v>
      </c>
      <c r="B1089" s="3305">
        <v>4812</v>
      </c>
      <c r="C1089" s="4834">
        <f t="shared" si="66"/>
        <v>1.136655923762653E-4</v>
      </c>
      <c r="D1089" s="3" t="str">
        <f t="shared" si="67"/>
        <v>2016</v>
      </c>
      <c r="J1089" s="270" t="s">
        <v>12169</v>
      </c>
      <c r="K1089" s="4837">
        <v>40252.73470392223</v>
      </c>
      <c r="L1089" s="4834">
        <f t="shared" si="69"/>
        <v>4.1668465991835629E-5</v>
      </c>
      <c r="S1089" s="270" t="s">
        <v>12169</v>
      </c>
      <c r="T1089" s="4838">
        <v>545.59816926961685</v>
      </c>
      <c r="U1089" s="4839">
        <f t="shared" si="68"/>
        <v>1.9456737993403825E-3</v>
      </c>
    </row>
    <row r="1090" spans="1:21">
      <c r="A1090" s="270" t="s">
        <v>12169</v>
      </c>
      <c r="B1090" s="3305">
        <v>4938.5</v>
      </c>
      <c r="C1090" s="4834">
        <f t="shared" si="66"/>
        <v>1.3136163379033863E-4</v>
      </c>
      <c r="D1090" s="3" t="str">
        <f t="shared" si="67"/>
        <v>2016</v>
      </c>
      <c r="J1090" s="270" t="s">
        <v>12170</v>
      </c>
      <c r="K1090" s="4837">
        <v>40164.320150858504</v>
      </c>
      <c r="L1090" s="4834">
        <f t="shared" si="69"/>
        <v>4.1328323789739894E-5</v>
      </c>
      <c r="S1090" s="270" t="s">
        <v>12170</v>
      </c>
      <c r="T1090" s="4838">
        <v>556.85093056863661</v>
      </c>
      <c r="U1090" s="4839">
        <f t="shared" si="68"/>
        <v>2.0144969808995696E-3</v>
      </c>
    </row>
    <row r="1091" spans="1:21">
      <c r="A1091" s="270" t="s">
        <v>12170</v>
      </c>
      <c r="B1091" s="3305">
        <v>5025.5</v>
      </c>
      <c r="C1091" s="4834">
        <f t="shared" si="66"/>
        <v>1.4420936979608824E-4</v>
      </c>
      <c r="D1091" s="3" t="str">
        <f t="shared" si="67"/>
        <v>2016</v>
      </c>
      <c r="J1091" s="270" t="s">
        <v>12171</v>
      </c>
      <c r="K1091" s="4837">
        <v>39971.415671446732</v>
      </c>
      <c r="L1091" s="4834">
        <f t="shared" si="69"/>
        <v>4.057639567879695E-5</v>
      </c>
      <c r="S1091" s="270" t="s">
        <v>12171</v>
      </c>
      <c r="T1091" s="4838">
        <v>552.67133351471512</v>
      </c>
      <c r="U1091" s="4839">
        <f t="shared" si="68"/>
        <v>1.9896228499632928E-3</v>
      </c>
    </row>
    <row r="1092" spans="1:21">
      <c r="A1092" s="270" t="s">
        <v>12171</v>
      </c>
      <c r="B1092" s="3305">
        <v>5015.5</v>
      </c>
      <c r="C1092" s="4834">
        <f t="shared" ref="C1092:C1155" si="70">_xlfn.NORM.DIST(B1092,$F$4,$F$3,FALSE)</f>
        <v>1.4270758854037028E-4</v>
      </c>
      <c r="D1092" s="3" t="str">
        <f t="shared" ref="D1092:D1155" si="71">LEFT(A1092,4)</f>
        <v>2016</v>
      </c>
      <c r="J1092" s="270" t="s">
        <v>12172</v>
      </c>
      <c r="K1092" s="4837">
        <v>39831.55992387321</v>
      </c>
      <c r="L1092" s="4834">
        <f t="shared" si="69"/>
        <v>4.0023401721944819E-5</v>
      </c>
      <c r="S1092" s="270" t="s">
        <v>12172</v>
      </c>
      <c r="T1092" s="4838">
        <v>542.06158714706771</v>
      </c>
      <c r="U1092" s="4839">
        <f t="shared" ref="U1092:U1155" si="72">_xlfn.NORM.DIST(T1092,$X$4,$X$3,FALSE)</f>
        <v>1.92287607012287E-3</v>
      </c>
    </row>
    <row r="1093" spans="1:21">
      <c r="A1093" s="270" t="s">
        <v>12172</v>
      </c>
      <c r="B1093" s="3305">
        <v>5000.5</v>
      </c>
      <c r="C1093" s="4834">
        <f t="shared" si="70"/>
        <v>1.4046660516709743E-4</v>
      </c>
      <c r="D1093" s="3" t="str">
        <f t="shared" si="71"/>
        <v>2016</v>
      </c>
      <c r="J1093" s="270" t="s">
        <v>12173</v>
      </c>
      <c r="K1093" s="4837">
        <v>39921.582014265368</v>
      </c>
      <c r="L1093" s="4834">
        <f t="shared" ref="L1093:L1156" si="73">_xlfn.NORM.DIST(K1093,$O$4,$O$3,FALSE)</f>
        <v>4.0380077168603982E-5</v>
      </c>
      <c r="S1093" s="270" t="s">
        <v>12173</v>
      </c>
      <c r="T1093" s="4838">
        <v>544.95515433824426</v>
      </c>
      <c r="U1093" s="4839">
        <f t="shared" si="72"/>
        <v>1.9415682393493046E-3</v>
      </c>
    </row>
    <row r="1094" spans="1:21">
      <c r="A1094" s="270" t="s">
        <v>12173</v>
      </c>
      <c r="B1094" s="3305">
        <v>4935.5</v>
      </c>
      <c r="C1094" s="4834">
        <f t="shared" si="70"/>
        <v>1.3092783531545762E-4</v>
      </c>
      <c r="D1094" s="3" t="str">
        <f t="shared" si="71"/>
        <v>2016</v>
      </c>
      <c r="J1094" s="270" t="s">
        <v>12174</v>
      </c>
      <c r="K1094" s="4837">
        <v>40104.841269706551</v>
      </c>
      <c r="L1094" s="4834">
        <f t="shared" si="73"/>
        <v>4.1097879000898344E-5</v>
      </c>
      <c r="S1094" s="270" t="s">
        <v>12174</v>
      </c>
      <c r="T1094" s="4838">
        <v>557.4939455000092</v>
      </c>
      <c r="U1094" s="4839">
        <f t="shared" si="72"/>
        <v>2.0182482001219115E-3</v>
      </c>
    </row>
    <row r="1095" spans="1:21">
      <c r="A1095" s="270" t="s">
        <v>12174</v>
      </c>
      <c r="B1095" s="3305">
        <v>4932</v>
      </c>
      <c r="C1095" s="4834">
        <f t="shared" si="70"/>
        <v>1.304225568892833E-4</v>
      </c>
      <c r="D1095" s="3" t="str">
        <f t="shared" si="71"/>
        <v>2016</v>
      </c>
      <c r="J1095" s="270" t="s">
        <v>12175</v>
      </c>
      <c r="K1095" s="4837">
        <v>40381.337690196742</v>
      </c>
      <c r="L1095" s="4834">
        <f t="shared" si="73"/>
        <v>4.2157853624207456E-5</v>
      </c>
      <c r="S1095" s="270" t="s">
        <v>12175</v>
      </c>
      <c r="T1095" s="4838">
        <v>557.81545296569561</v>
      </c>
      <c r="U1095" s="4839">
        <f t="shared" si="72"/>
        <v>2.0201161115958044E-3</v>
      </c>
    </row>
    <row r="1096" spans="1:21">
      <c r="A1096" s="270" t="s">
        <v>12175</v>
      </c>
      <c r="B1096" s="3305">
        <v>4912.5</v>
      </c>
      <c r="C1096" s="4834">
        <f t="shared" si="70"/>
        <v>1.2762381323545515E-4</v>
      </c>
      <c r="D1096" s="3" t="str">
        <f t="shared" si="71"/>
        <v>2016</v>
      </c>
      <c r="J1096" s="270" t="s">
        <v>12176</v>
      </c>
      <c r="K1096" s="4837">
        <v>41334.607325956567</v>
      </c>
      <c r="L1096" s="4834">
        <f t="shared" si="73"/>
        <v>4.5553389479397826E-5</v>
      </c>
      <c r="S1096" s="270" t="s">
        <v>12176</v>
      </c>
      <c r="T1096" s="4838">
        <v>574.21233371569565</v>
      </c>
      <c r="U1096" s="4839">
        <f t="shared" si="72"/>
        <v>2.1081686740072767E-3</v>
      </c>
    </row>
    <row r="1097" spans="1:21">
      <c r="A1097" s="270" t="s">
        <v>12176</v>
      </c>
      <c r="B1097" s="3305">
        <v>5045</v>
      </c>
      <c r="C1097" s="4834">
        <f t="shared" si="70"/>
        <v>1.4715519104712056E-4</v>
      </c>
      <c r="D1097" s="3" t="str">
        <f t="shared" si="71"/>
        <v>2016</v>
      </c>
      <c r="J1097" s="270" t="s">
        <v>12177</v>
      </c>
      <c r="K1097" s="4837">
        <v>41603.066059804609</v>
      </c>
      <c r="L1097" s="4834">
        <f t="shared" si="73"/>
        <v>4.6423717770258363E-5</v>
      </c>
      <c r="S1097" s="270" t="s">
        <v>12177</v>
      </c>
      <c r="T1097" s="4838">
        <v>562.31655748530329</v>
      </c>
      <c r="U1097" s="4839">
        <f t="shared" si="72"/>
        <v>2.0457176682317896E-3</v>
      </c>
    </row>
    <row r="1098" spans="1:21">
      <c r="A1098" s="270" t="s">
        <v>12177</v>
      </c>
      <c r="B1098" s="3305">
        <v>4960</v>
      </c>
      <c r="C1098" s="4834">
        <f t="shared" si="70"/>
        <v>1.3448922149261793E-4</v>
      </c>
      <c r="D1098" s="3" t="str">
        <f t="shared" si="71"/>
        <v>2016</v>
      </c>
      <c r="J1098" s="270" t="s">
        <v>12178</v>
      </c>
      <c r="K1098" s="4837">
        <v>41249.407847549701</v>
      </c>
      <c r="L1098" s="4834">
        <f t="shared" si="73"/>
        <v>4.5268583051301312E-5</v>
      </c>
      <c r="S1098" s="270" t="s">
        <v>12178</v>
      </c>
      <c r="T1098" s="4838">
        <v>552.34982604902871</v>
      </c>
      <c r="U1098" s="4839">
        <f t="shared" si="72"/>
        <v>1.9876748532502023E-3</v>
      </c>
    </row>
    <row r="1099" spans="1:21">
      <c r="A1099" s="270" t="s">
        <v>12178</v>
      </c>
      <c r="B1099" s="3305">
        <v>4892</v>
      </c>
      <c r="C1099" s="4834">
        <f t="shared" si="70"/>
        <v>1.2471213648741281E-4</v>
      </c>
      <c r="D1099" s="3" t="str">
        <f t="shared" si="71"/>
        <v>2016</v>
      </c>
      <c r="J1099" s="270" t="s">
        <v>12179</v>
      </c>
      <c r="K1099" s="4837">
        <v>41160.993294485976</v>
      </c>
      <c r="L1099" s="4834">
        <f t="shared" si="73"/>
        <v>4.4968829337396088E-5</v>
      </c>
      <c r="S1099" s="270" t="s">
        <v>12179</v>
      </c>
      <c r="T1099" s="4838">
        <v>558.77997536275427</v>
      </c>
      <c r="U1099" s="4839">
        <f t="shared" si="72"/>
        <v>2.0256888438148998E-3</v>
      </c>
    </row>
    <row r="1100" spans="1:21">
      <c r="A1100" s="270" t="s">
        <v>12179</v>
      </c>
      <c r="B1100" s="3305">
        <v>4826</v>
      </c>
      <c r="C1100" s="4834">
        <f t="shared" si="70"/>
        <v>1.1556116726905001E-4</v>
      </c>
      <c r="D1100" s="3" t="str">
        <f t="shared" si="71"/>
        <v>2016</v>
      </c>
      <c r="J1100" s="270" t="s">
        <v>12180</v>
      </c>
      <c r="K1100" s="4837">
        <v>41442.312326961473</v>
      </c>
      <c r="L1100" s="4834">
        <f t="shared" si="73"/>
        <v>4.5907588702414988E-5</v>
      </c>
      <c r="S1100" s="270" t="s">
        <v>12180</v>
      </c>
      <c r="T1100" s="4838">
        <v>556.52942310295032</v>
      </c>
      <c r="U1100" s="4839">
        <f t="shared" si="72"/>
        <v>2.0126137082202796E-3</v>
      </c>
    </row>
    <row r="1101" spans="1:21">
      <c r="A1101" s="270" t="s">
        <v>12180</v>
      </c>
      <c r="B1101" s="3305">
        <v>4810</v>
      </c>
      <c r="C1101" s="4834">
        <f t="shared" si="70"/>
        <v>1.1339613491249868E-4</v>
      </c>
      <c r="D1101" s="3" t="str">
        <f t="shared" si="71"/>
        <v>2016</v>
      </c>
      <c r="J1101" s="270" t="s">
        <v>12181</v>
      </c>
      <c r="K1101" s="4837">
        <v>40678.732095956555</v>
      </c>
      <c r="L1101" s="4834">
        <f t="shared" si="73"/>
        <v>4.3263369709139749E-5</v>
      </c>
      <c r="S1101" s="270" t="s">
        <v>12181</v>
      </c>
      <c r="T1101" s="4838">
        <v>557.17243803432279</v>
      </c>
      <c r="U1101" s="4839">
        <f t="shared" si="72"/>
        <v>2.0163751507176375E-3</v>
      </c>
    </row>
    <row r="1102" spans="1:21">
      <c r="A1102" s="270" t="s">
        <v>12181</v>
      </c>
      <c r="B1102" s="3305">
        <v>4739.5</v>
      </c>
      <c r="C1102" s="4834">
        <f t="shared" si="70"/>
        <v>1.0411725513622709E-4</v>
      </c>
      <c r="D1102" s="3" t="str">
        <f t="shared" si="71"/>
        <v>2016</v>
      </c>
      <c r="J1102" s="270" t="s">
        <v>12182</v>
      </c>
      <c r="K1102" s="4837">
        <v>40599.962766863413</v>
      </c>
      <c r="L1102" s="4834">
        <f t="shared" si="73"/>
        <v>4.2974285924018625E-5</v>
      </c>
      <c r="S1102" s="270" t="s">
        <v>12182</v>
      </c>
      <c r="T1102" s="4838">
        <v>547.8487215294208</v>
      </c>
      <c r="U1102" s="4839">
        <f t="shared" si="72"/>
        <v>1.9599015411960389E-3</v>
      </c>
    </row>
    <row r="1103" spans="1:21">
      <c r="A1103" s="270" t="s">
        <v>12182</v>
      </c>
      <c r="B1103" s="3305">
        <v>4710</v>
      </c>
      <c r="C1103" s="4834">
        <f t="shared" si="70"/>
        <v>1.0036474087219663E-4</v>
      </c>
      <c r="D1103" s="3" t="str">
        <f t="shared" si="71"/>
        <v>2016</v>
      </c>
      <c r="J1103" s="270" t="s">
        <v>12183</v>
      </c>
      <c r="K1103" s="4837">
        <v>41051.680756152637</v>
      </c>
      <c r="L1103" s="4834">
        <f t="shared" si="73"/>
        <v>4.4592474238502495E-5</v>
      </c>
      <c r="S1103" s="270" t="s">
        <v>12183</v>
      </c>
      <c r="T1103" s="4838">
        <v>562.959572416676</v>
      </c>
      <c r="U1103" s="4839">
        <f t="shared" si="72"/>
        <v>2.0492897868117262E-3</v>
      </c>
    </row>
    <row r="1104" spans="1:21">
      <c r="A1104" s="270" t="s">
        <v>12183</v>
      </c>
      <c r="B1104" s="3305">
        <v>4748</v>
      </c>
      <c r="C1104" s="4834">
        <f t="shared" si="70"/>
        <v>1.0521295310533221E-4</v>
      </c>
      <c r="D1104" s="3" t="str">
        <f t="shared" si="71"/>
        <v>2016</v>
      </c>
      <c r="J1104" s="270" t="s">
        <v>12184</v>
      </c>
      <c r="K1104" s="4837">
        <v>41128.842547917346</v>
      </c>
      <c r="L1104" s="4834">
        <f t="shared" si="73"/>
        <v>4.4858788664106742E-5</v>
      </c>
      <c r="S1104" s="270" t="s">
        <v>12184</v>
      </c>
      <c r="T1104" s="4838">
        <v>553.95736337746018</v>
      </c>
      <c r="U1104" s="4839">
        <f t="shared" si="72"/>
        <v>1.9973659417513168E-3</v>
      </c>
    </row>
    <row r="1105" spans="1:21">
      <c r="A1105" s="270" t="s">
        <v>12184</v>
      </c>
      <c r="B1105" s="3305">
        <v>4744</v>
      </c>
      <c r="C1105" s="4834">
        <f t="shared" si="70"/>
        <v>1.0469653060270729E-4</v>
      </c>
      <c r="D1105" s="3" t="str">
        <f t="shared" si="71"/>
        <v>2016</v>
      </c>
      <c r="J1105" s="270" t="s">
        <v>12185</v>
      </c>
      <c r="K1105" s="4837">
        <v>40699.630081226169</v>
      </c>
      <c r="L1105" s="4834">
        <f t="shared" si="73"/>
        <v>4.333959589340956E-5</v>
      </c>
      <c r="S1105" s="270" t="s">
        <v>12185</v>
      </c>
      <c r="T1105" s="4838">
        <v>549.45625885785216</v>
      </c>
      <c r="U1105" s="4839">
        <f t="shared" si="72"/>
        <v>1.9699266490636747E-3</v>
      </c>
    </row>
    <row r="1106" spans="1:21">
      <c r="A1106" s="270" t="s">
        <v>12185</v>
      </c>
      <c r="B1106" s="3305">
        <v>4660</v>
      </c>
      <c r="C1106" s="4834">
        <f t="shared" si="70"/>
        <v>9.4185781516885298E-5</v>
      </c>
      <c r="D1106" s="3" t="str">
        <f t="shared" si="71"/>
        <v>2016</v>
      </c>
      <c r="J1106" s="270" t="s">
        <v>12186</v>
      </c>
      <c r="K1106" s="4837">
        <v>41337.822400613426</v>
      </c>
      <c r="L1106" s="4834">
        <f t="shared" si="73"/>
        <v>4.5564057784509829E-5</v>
      </c>
      <c r="S1106" s="270" t="s">
        <v>12186</v>
      </c>
      <c r="T1106" s="4838">
        <v>556.85093056863661</v>
      </c>
      <c r="U1106" s="4839">
        <f t="shared" si="72"/>
        <v>2.0144969808995696E-3</v>
      </c>
    </row>
    <row r="1107" spans="1:21">
      <c r="A1107" s="270" t="s">
        <v>12186</v>
      </c>
      <c r="B1107" s="3305">
        <v>4640.5</v>
      </c>
      <c r="C1107" s="4834">
        <f t="shared" si="70"/>
        <v>9.1838864137690695E-5</v>
      </c>
      <c r="D1107" s="3" t="str">
        <f t="shared" si="71"/>
        <v>2016</v>
      </c>
      <c r="J1107" s="270" t="s">
        <v>12187</v>
      </c>
      <c r="K1107" s="4837">
        <v>41056.503368137935</v>
      </c>
      <c r="L1107" s="4834">
        <f t="shared" si="73"/>
        <v>4.4609209595188657E-5</v>
      </c>
      <c r="S1107" s="270" t="s">
        <v>12187</v>
      </c>
      <c r="T1107" s="4838">
        <v>549.13475139216587</v>
      </c>
      <c r="U1107" s="4839">
        <f t="shared" si="72"/>
        <v>1.9679309337673296E-3</v>
      </c>
    </row>
    <row r="1108" spans="1:21">
      <c r="A1108" s="270" t="s">
        <v>12187</v>
      </c>
      <c r="B1108" s="3305">
        <v>4634</v>
      </c>
      <c r="C1108" s="4834">
        <f t="shared" si="70"/>
        <v>9.1064489300790675E-5</v>
      </c>
      <c r="D1108" s="3" t="str">
        <f t="shared" si="71"/>
        <v>2016</v>
      </c>
      <c r="J1108" s="270" t="s">
        <v>12188</v>
      </c>
      <c r="K1108" s="4837">
        <v>40924.685307206557</v>
      </c>
      <c r="L1108" s="4834">
        <f t="shared" si="73"/>
        <v>4.4147516653624169E-5</v>
      </c>
      <c r="S1108" s="270" t="s">
        <v>12188</v>
      </c>
      <c r="T1108" s="4838">
        <v>548.1702289951071</v>
      </c>
      <c r="U1108" s="4839">
        <f t="shared" si="72"/>
        <v>1.9619158322634429E-3</v>
      </c>
    </row>
    <row r="1109" spans="1:21">
      <c r="A1109" s="270" t="s">
        <v>12188</v>
      </c>
      <c r="B1109" s="3305">
        <v>4600.5</v>
      </c>
      <c r="C1109" s="4834">
        <f t="shared" si="70"/>
        <v>8.7136838284235512E-5</v>
      </c>
      <c r="D1109" s="3" t="str">
        <f t="shared" si="71"/>
        <v>2016</v>
      </c>
      <c r="J1109" s="270" t="s">
        <v>12189</v>
      </c>
      <c r="K1109" s="4837">
        <v>40067.867911152622</v>
      </c>
      <c r="L1109" s="4834">
        <f t="shared" si="73"/>
        <v>4.095399076799154E-5</v>
      </c>
      <c r="S1109" s="270" t="s">
        <v>12189</v>
      </c>
      <c r="T1109" s="4838">
        <v>533.70239303922449</v>
      </c>
      <c r="U1109" s="4839">
        <f t="shared" si="72"/>
        <v>1.8669867831188328E-3</v>
      </c>
    </row>
    <row r="1110" spans="1:21">
      <c r="A1110" s="270" t="s">
        <v>12189</v>
      </c>
      <c r="B1110" s="3305">
        <v>4596</v>
      </c>
      <c r="C1110" s="4834">
        <f t="shared" si="70"/>
        <v>8.661736900485643E-5</v>
      </c>
      <c r="D1110" s="3" t="str">
        <f t="shared" si="71"/>
        <v>2016</v>
      </c>
      <c r="J1110" s="270" t="s">
        <v>12190</v>
      </c>
      <c r="K1110" s="4837">
        <v>40323.466346373214</v>
      </c>
      <c r="L1110" s="4834">
        <f t="shared" si="73"/>
        <v>4.1938434463362663E-5</v>
      </c>
      <c r="S1110" s="270" t="s">
        <v>12190</v>
      </c>
      <c r="T1110" s="4838">
        <v>532.41636317647931</v>
      </c>
      <c r="U1110" s="4839">
        <f t="shared" si="72"/>
        <v>1.8581541882200102E-3</v>
      </c>
    </row>
    <row r="1111" spans="1:21">
      <c r="A1111" s="270" t="s">
        <v>12190</v>
      </c>
      <c r="B1111" s="3305">
        <v>4630.5</v>
      </c>
      <c r="C1111" s="4834">
        <f t="shared" si="70"/>
        <v>9.0649167172549762E-5</v>
      </c>
      <c r="D1111" s="3" t="str">
        <f t="shared" si="71"/>
        <v>2016</v>
      </c>
      <c r="J1111" s="270" t="s">
        <v>12191</v>
      </c>
      <c r="K1111" s="4837">
        <v>40056.615149853606</v>
      </c>
      <c r="L1111" s="4834">
        <f t="shared" si="73"/>
        <v>4.09101031557945E-5</v>
      </c>
      <c r="S1111" s="270" t="s">
        <v>12191</v>
      </c>
      <c r="T1111" s="4838">
        <v>524.37867653432238</v>
      </c>
      <c r="U1111" s="4839">
        <f t="shared" si="72"/>
        <v>1.8016644208071464E-3</v>
      </c>
    </row>
    <row r="1112" spans="1:21">
      <c r="A1112" s="270" t="s">
        <v>12191</v>
      </c>
      <c r="B1112" s="3305">
        <v>4572</v>
      </c>
      <c r="C1112" s="4834">
        <f t="shared" si="70"/>
        <v>8.3879566204609851E-5</v>
      </c>
      <c r="D1112" s="3" t="str">
        <f t="shared" si="71"/>
        <v>2016</v>
      </c>
      <c r="J1112" s="270" t="s">
        <v>12192</v>
      </c>
      <c r="K1112" s="4837">
        <v>39765.650893407517</v>
      </c>
      <c r="L1112" s="4834">
        <f t="shared" si="73"/>
        <v>3.9760662980355177E-5</v>
      </c>
      <c r="S1112" s="270" t="s">
        <v>12192</v>
      </c>
      <c r="T1112" s="4838">
        <v>523.09264667157731</v>
      </c>
      <c r="U1112" s="4839">
        <f t="shared" si="72"/>
        <v>1.7924328153754313E-3</v>
      </c>
    </row>
    <row r="1113" spans="1:21">
      <c r="A1113" s="270" t="s">
        <v>12192</v>
      </c>
      <c r="B1113" s="3305">
        <v>4637</v>
      </c>
      <c r="C1113" s="4834">
        <f t="shared" si="70"/>
        <v>9.1421398800024001E-5</v>
      </c>
      <c r="D1113" s="3" t="str">
        <f t="shared" si="71"/>
        <v>2016</v>
      </c>
      <c r="J1113" s="270" t="s">
        <v>12193</v>
      </c>
      <c r="K1113" s="4837">
        <v>39243.201261667309</v>
      </c>
      <c r="L1113" s="4834">
        <f t="shared" si="73"/>
        <v>3.7636013889773104E-5</v>
      </c>
      <c r="S1113" s="270" t="s">
        <v>12193</v>
      </c>
      <c r="T1113" s="4838">
        <v>521.16360187745954</v>
      </c>
      <c r="U1113" s="4839">
        <f t="shared" si="72"/>
        <v>1.7784923582047404E-3</v>
      </c>
    </row>
    <row r="1114" spans="1:21">
      <c r="A1114" s="270" t="s">
        <v>12193</v>
      </c>
      <c r="B1114" s="3305">
        <v>4636</v>
      </c>
      <c r="C1114" s="4834">
        <f t="shared" si="70"/>
        <v>9.1302334765455212E-5</v>
      </c>
      <c r="D1114" s="3" t="str">
        <f t="shared" si="71"/>
        <v>2016</v>
      </c>
      <c r="J1114" s="270" t="s">
        <v>12194</v>
      </c>
      <c r="K1114" s="4837">
        <v>39347.691188015357</v>
      </c>
      <c r="L1114" s="4834">
        <f t="shared" si="73"/>
        <v>3.8066306208442382E-5</v>
      </c>
      <c r="S1114" s="270" t="s">
        <v>12194</v>
      </c>
      <c r="T1114" s="4838">
        <v>529.20128851961658</v>
      </c>
      <c r="U1114" s="4839">
        <f t="shared" si="72"/>
        <v>1.8358175075412972E-3</v>
      </c>
    </row>
    <row r="1115" spans="1:21">
      <c r="A1115" s="270" t="s">
        <v>12194</v>
      </c>
      <c r="B1115" s="3305">
        <v>4705.5</v>
      </c>
      <c r="C1115" s="4834">
        <f t="shared" si="70"/>
        <v>9.979923825162047E-5</v>
      </c>
      <c r="D1115" s="3" t="str">
        <f t="shared" si="71"/>
        <v>2016</v>
      </c>
      <c r="J1115" s="270" t="s">
        <v>12195</v>
      </c>
      <c r="K1115" s="4837">
        <v>39103.34551409378</v>
      </c>
      <c r="L1115" s="4834">
        <f t="shared" si="73"/>
        <v>3.705652687930406E-5</v>
      </c>
      <c r="S1115" s="270" t="s">
        <v>12195</v>
      </c>
      <c r="T1115" s="4838">
        <v>524.05716906863609</v>
      </c>
      <c r="U1115" s="4839">
        <f t="shared" si="72"/>
        <v>1.7993612608995055E-3</v>
      </c>
    </row>
    <row r="1116" spans="1:21">
      <c r="A1116" s="270" t="s">
        <v>12195</v>
      </c>
      <c r="B1116" s="3305">
        <v>4725.5</v>
      </c>
      <c r="C1116" s="4834">
        <f t="shared" si="70"/>
        <v>1.0232663461567545E-4</v>
      </c>
      <c r="D1116" s="3" t="str">
        <f t="shared" si="71"/>
        <v>2016</v>
      </c>
      <c r="J1116" s="270" t="s">
        <v>12196</v>
      </c>
      <c r="K1116" s="4837">
        <v>38969.919915833976</v>
      </c>
      <c r="L1116" s="4834">
        <f t="shared" si="73"/>
        <v>3.6500272937881863E-5</v>
      </c>
      <c r="S1116" s="270" t="s">
        <v>12196</v>
      </c>
      <c r="T1116" s="4838">
        <v>516.34098989216534</v>
      </c>
      <c r="U1116" s="4839">
        <f t="shared" si="72"/>
        <v>1.7431787067159132E-3</v>
      </c>
    </row>
    <row r="1117" spans="1:21">
      <c r="A1117" s="270" t="s">
        <v>12196</v>
      </c>
      <c r="B1117" s="3305">
        <v>4700</v>
      </c>
      <c r="C1117" s="4834">
        <f t="shared" si="70"/>
        <v>9.9110574035101155E-5</v>
      </c>
      <c r="D1117" s="3" t="str">
        <f t="shared" si="71"/>
        <v>2016</v>
      </c>
      <c r="J1117" s="270" t="s">
        <v>12197</v>
      </c>
      <c r="K1117" s="4837">
        <v>39047.081707598685</v>
      </c>
      <c r="L1117" s="4834">
        <f t="shared" si="73"/>
        <v>3.6822344230364273E-5</v>
      </c>
      <c r="S1117" s="270" t="s">
        <v>12197</v>
      </c>
      <c r="T1117" s="4838">
        <v>512.80440776961632</v>
      </c>
      <c r="U1117" s="4839">
        <f t="shared" si="72"/>
        <v>1.7168923598626586E-3</v>
      </c>
    </row>
    <row r="1118" spans="1:21">
      <c r="A1118" s="270" t="s">
        <v>12197</v>
      </c>
      <c r="B1118" s="3305">
        <v>4601</v>
      </c>
      <c r="C1118" s="4834">
        <f t="shared" si="70"/>
        <v>8.7194676295785479E-5</v>
      </c>
      <c r="D1118" s="3" t="str">
        <f t="shared" si="71"/>
        <v>2016</v>
      </c>
      <c r="J1118" s="270" t="s">
        <v>12198</v>
      </c>
      <c r="K1118" s="4837">
        <v>38979.565139804574</v>
      </c>
      <c r="L1118" s="4834">
        <f t="shared" si="73"/>
        <v>3.6540586949574216E-5</v>
      </c>
      <c r="S1118" s="270" t="s">
        <v>12198</v>
      </c>
      <c r="T1118" s="4838">
        <v>513.76893016667509</v>
      </c>
      <c r="U1118" s="4839">
        <f t="shared" si="72"/>
        <v>1.7240922370112303E-3</v>
      </c>
    </row>
    <row r="1119" spans="1:21">
      <c r="A1119" s="270" t="s">
        <v>12198</v>
      </c>
      <c r="B1119" s="3305">
        <v>4600</v>
      </c>
      <c r="C1119" s="4834">
        <f t="shared" si="70"/>
        <v>8.7079024104016347E-5</v>
      </c>
      <c r="D1119" s="3" t="str">
        <f t="shared" si="71"/>
        <v>2016</v>
      </c>
      <c r="J1119" s="270" t="s">
        <v>12199</v>
      </c>
      <c r="K1119" s="4837">
        <v>39883.001118383014</v>
      </c>
      <c r="L1119" s="4834">
        <f t="shared" si="73"/>
        <v>4.0227532138766279E-5</v>
      </c>
      <c r="S1119" s="270" t="s">
        <v>12199</v>
      </c>
      <c r="T1119" s="4838">
        <v>517.62701975491052</v>
      </c>
      <c r="U1119" s="4839">
        <f t="shared" si="72"/>
        <v>1.7526578126796342E-3</v>
      </c>
    </row>
    <row r="1120" spans="1:21">
      <c r="A1120" s="270" t="s">
        <v>12199</v>
      </c>
      <c r="B1120" s="3305">
        <v>4688</v>
      </c>
      <c r="C1120" s="4834">
        <f t="shared" si="70"/>
        <v>9.7617640889085397E-5</v>
      </c>
      <c r="D1120" s="3" t="str">
        <f t="shared" si="71"/>
        <v>2016</v>
      </c>
      <c r="J1120" s="270" t="s">
        <v>12200</v>
      </c>
      <c r="K1120" s="4837">
        <v>39995.528731373204</v>
      </c>
      <c r="L1120" s="4834">
        <f t="shared" si="73"/>
        <v>4.0671091888711562E-5</v>
      </c>
      <c r="S1120" s="270" t="s">
        <v>12200</v>
      </c>
      <c r="T1120" s="4838">
        <v>527.27224372549881</v>
      </c>
      <c r="U1120" s="4839">
        <f t="shared" si="72"/>
        <v>1.8222467663742657E-3</v>
      </c>
    </row>
    <row r="1121" spans="1:21">
      <c r="A1121" s="270" t="s">
        <v>12200</v>
      </c>
      <c r="B1121" s="3305">
        <v>4706</v>
      </c>
      <c r="C1121" s="4834">
        <f t="shared" si="70"/>
        <v>9.9861980867405823E-5</v>
      </c>
      <c r="D1121" s="3" t="str">
        <f t="shared" si="71"/>
        <v>2016</v>
      </c>
      <c r="J1121" s="270" t="s">
        <v>12201</v>
      </c>
      <c r="K1121" s="4837">
        <v>39899.076491667322</v>
      </c>
      <c r="L1121" s="4834">
        <f t="shared" si="73"/>
        <v>4.029115084546734E-5</v>
      </c>
      <c r="S1121" s="270" t="s">
        <v>12201</v>
      </c>
      <c r="T1121" s="4838">
        <v>524.37867653432238</v>
      </c>
      <c r="U1121" s="4839">
        <f t="shared" si="72"/>
        <v>1.8016644208071464E-3</v>
      </c>
    </row>
    <row r="1122" spans="1:21">
      <c r="A1122" s="270" t="s">
        <v>12201</v>
      </c>
      <c r="B1122" s="3305">
        <v>4589</v>
      </c>
      <c r="C1122" s="4834">
        <f t="shared" si="70"/>
        <v>8.5813148359624255E-5</v>
      </c>
      <c r="D1122" s="3" t="str">
        <f t="shared" si="71"/>
        <v>2016</v>
      </c>
      <c r="J1122" s="270" t="s">
        <v>12202</v>
      </c>
      <c r="K1122" s="4837">
        <v>40606.392916177145</v>
      </c>
      <c r="L1122" s="4834">
        <f t="shared" si="73"/>
        <v>4.2997988244784998E-5</v>
      </c>
      <c r="S1122" s="270" t="s">
        <v>12202</v>
      </c>
      <c r="T1122" s="4838">
        <v>538.52500502451869</v>
      </c>
      <c r="U1122" s="4839">
        <f t="shared" si="72"/>
        <v>1.8995627501868727E-3</v>
      </c>
    </row>
    <row r="1123" spans="1:21">
      <c r="A1123" s="270" t="s">
        <v>12202</v>
      </c>
      <c r="B1123" s="3305">
        <v>4590.5</v>
      </c>
      <c r="C1123" s="4834">
        <f t="shared" si="70"/>
        <v>8.5985087176830354E-5</v>
      </c>
      <c r="D1123" s="3" t="str">
        <f t="shared" si="71"/>
        <v>2016</v>
      </c>
      <c r="J1123" s="270" t="s">
        <v>12203</v>
      </c>
      <c r="K1123" s="4837">
        <v>40635.328588088909</v>
      </c>
      <c r="L1123" s="4834">
        <f t="shared" si="73"/>
        <v>4.3104421910589262E-5</v>
      </c>
      <c r="S1123" s="270" t="s">
        <v>12203</v>
      </c>
      <c r="T1123" s="4838">
        <v>548.1702289951071</v>
      </c>
      <c r="U1123" s="4839">
        <f t="shared" si="72"/>
        <v>1.9619158322634429E-3</v>
      </c>
    </row>
    <row r="1124" spans="1:21">
      <c r="A1124" s="270" t="s">
        <v>12203</v>
      </c>
      <c r="B1124" s="3305">
        <v>4546</v>
      </c>
      <c r="C1124" s="4834">
        <f t="shared" si="70"/>
        <v>8.0976033715549021E-5</v>
      </c>
      <c r="D1124" s="3" t="str">
        <f t="shared" si="71"/>
        <v>2016</v>
      </c>
      <c r="J1124" s="270" t="s">
        <v>12204</v>
      </c>
      <c r="K1124" s="4837">
        <v>41008.27724828499</v>
      </c>
      <c r="L1124" s="4834">
        <f t="shared" si="73"/>
        <v>4.4441318625975278E-5</v>
      </c>
      <c r="S1124" s="270" t="s">
        <v>12204</v>
      </c>
      <c r="T1124" s="4838">
        <v>556.85093056863661</v>
      </c>
      <c r="U1124" s="4839">
        <f t="shared" si="72"/>
        <v>2.0144969808995696E-3</v>
      </c>
    </row>
    <row r="1125" spans="1:21">
      <c r="A1125" s="270" t="s">
        <v>12204</v>
      </c>
      <c r="B1125" s="3305">
        <v>4504</v>
      </c>
      <c r="C1125" s="4834">
        <f t="shared" si="70"/>
        <v>7.6423619955483065E-5</v>
      </c>
      <c r="D1125" s="3" t="str">
        <f t="shared" si="71"/>
        <v>2016</v>
      </c>
      <c r="J1125" s="270" t="s">
        <v>12205</v>
      </c>
      <c r="K1125" s="4837">
        <v>41178.676205098716</v>
      </c>
      <c r="L1125" s="4834">
        <f t="shared" si="73"/>
        <v>4.5029117102418798E-5</v>
      </c>
      <c r="S1125" s="270" t="s">
        <v>12205</v>
      </c>
      <c r="T1125" s="4838">
        <v>556.85093056863661</v>
      </c>
      <c r="U1125" s="4839">
        <f t="shared" si="72"/>
        <v>2.0144969808995696E-3</v>
      </c>
    </row>
    <row r="1126" spans="1:21">
      <c r="A1126" s="270" t="s">
        <v>12205</v>
      </c>
      <c r="B1126" s="3305">
        <v>4515</v>
      </c>
      <c r="C1126" s="4834">
        <f t="shared" si="70"/>
        <v>7.759940968386775E-5</v>
      </c>
      <c r="D1126" s="3" t="str">
        <f t="shared" si="71"/>
        <v>2016</v>
      </c>
      <c r="J1126" s="270" t="s">
        <v>12206</v>
      </c>
      <c r="K1126" s="4837">
        <v>41382.833445809512</v>
      </c>
      <c r="L1126" s="4834">
        <f t="shared" si="73"/>
        <v>4.5712802337404556E-5</v>
      </c>
      <c r="S1126" s="270" t="s">
        <v>12206</v>
      </c>
      <c r="T1126" s="4838">
        <v>554.60037830883266</v>
      </c>
      <c r="U1126" s="4839">
        <f t="shared" si="72"/>
        <v>2.0012078994689924E-3</v>
      </c>
    </row>
    <row r="1127" spans="1:21">
      <c r="A1127" s="270" t="s">
        <v>12206</v>
      </c>
      <c r="B1127" s="3305">
        <v>4510.5</v>
      </c>
      <c r="C1127" s="4834">
        <f t="shared" si="70"/>
        <v>7.7116986942703816E-5</v>
      </c>
      <c r="D1127" s="3" t="str">
        <f t="shared" si="71"/>
        <v>2016</v>
      </c>
      <c r="J1127" s="270" t="s">
        <v>12207</v>
      </c>
      <c r="K1127" s="4837">
        <v>41259.053071520284</v>
      </c>
      <c r="L1127" s="4834">
        <f t="shared" si="73"/>
        <v>4.5301026573845499E-5</v>
      </c>
      <c r="S1127" s="270" t="s">
        <v>12207</v>
      </c>
      <c r="T1127" s="4838">
        <v>559.74449775981316</v>
      </c>
      <c r="U1127" s="4839">
        <f t="shared" si="72"/>
        <v>2.0312147075755584E-3</v>
      </c>
    </row>
    <row r="1128" spans="1:21">
      <c r="A1128" s="270" t="s">
        <v>12207</v>
      </c>
      <c r="B1128" s="3305">
        <v>4632</v>
      </c>
      <c r="C1128" s="4834">
        <f t="shared" si="70"/>
        <v>9.0827020881022825E-5</v>
      </c>
      <c r="D1128" s="3" t="str">
        <f t="shared" si="71"/>
        <v>2016</v>
      </c>
      <c r="J1128" s="270" t="s">
        <v>12208</v>
      </c>
      <c r="K1128" s="4837">
        <v>42141.591064829132</v>
      </c>
      <c r="L1128" s="4834">
        <f t="shared" si="73"/>
        <v>4.8035753817617732E-5</v>
      </c>
      <c r="S1128" s="270" t="s">
        <v>12208</v>
      </c>
      <c r="T1128" s="4838">
        <v>569.38972173040156</v>
      </c>
      <c r="U1128" s="4839">
        <f t="shared" si="72"/>
        <v>2.0837944308023022E-3</v>
      </c>
    </row>
    <row r="1129" spans="1:21">
      <c r="A1129" s="270" t="s">
        <v>12208</v>
      </c>
      <c r="B1129" s="3305">
        <v>4524.5</v>
      </c>
      <c r="C1129" s="4834">
        <f t="shared" si="70"/>
        <v>7.8624300598345624E-5</v>
      </c>
      <c r="D1129" s="3" t="str">
        <f t="shared" si="71"/>
        <v>2016</v>
      </c>
      <c r="J1129" s="270" t="s">
        <v>12209</v>
      </c>
      <c r="K1129" s="4837">
        <v>41496.968596128136</v>
      </c>
      <c r="L1129" s="4834">
        <f t="shared" si="73"/>
        <v>4.608478015208537E-5</v>
      </c>
      <c r="S1129" s="270" t="s">
        <v>12209</v>
      </c>
      <c r="T1129" s="4838">
        <v>558.45846789706809</v>
      </c>
      <c r="U1129" s="4839">
        <f t="shared" si="72"/>
        <v>2.0238364508676867E-3</v>
      </c>
    </row>
    <row r="1130" spans="1:21">
      <c r="A1130" s="270" t="s">
        <v>12209</v>
      </c>
      <c r="B1130" s="3305">
        <v>4521.5</v>
      </c>
      <c r="C1130" s="4834">
        <f t="shared" si="70"/>
        <v>7.8299706552818033E-5</v>
      </c>
      <c r="D1130" s="3" t="str">
        <f t="shared" si="71"/>
        <v>2016</v>
      </c>
      <c r="J1130" s="270" t="s">
        <v>12210</v>
      </c>
      <c r="K1130" s="4837">
        <v>41210.826951667346</v>
      </c>
      <c r="L1130" s="4834">
        <f t="shared" si="73"/>
        <v>4.513830114814032E-5</v>
      </c>
      <c r="S1130" s="270" t="s">
        <v>12210</v>
      </c>
      <c r="T1130" s="4838">
        <v>557.4939455000092</v>
      </c>
      <c r="U1130" s="4839">
        <f t="shared" si="72"/>
        <v>2.0182482001219115E-3</v>
      </c>
    </row>
    <row r="1131" spans="1:21">
      <c r="A1131" s="270" t="s">
        <v>12210</v>
      </c>
      <c r="B1131" s="3305">
        <v>4585</v>
      </c>
      <c r="C1131" s="4834">
        <f t="shared" si="70"/>
        <v>8.5355697019439737E-5</v>
      </c>
      <c r="D1131" s="3" t="str">
        <f t="shared" si="71"/>
        <v>2016</v>
      </c>
      <c r="J1131" s="270" t="s">
        <v>12211</v>
      </c>
      <c r="K1131" s="4837">
        <v>40915.040083235966</v>
      </c>
      <c r="L1131" s="4834">
        <f t="shared" si="73"/>
        <v>4.4113392113749079E-5</v>
      </c>
      <c r="S1131" s="270" t="s">
        <v>12211</v>
      </c>
      <c r="T1131" s="4838">
        <v>558.13696043138168</v>
      </c>
      <c r="U1131" s="4839">
        <f t="shared" si="72"/>
        <v>2.0219788676589918E-3</v>
      </c>
    </row>
    <row r="1132" spans="1:21">
      <c r="A1132" s="270" t="s">
        <v>12211</v>
      </c>
      <c r="B1132" s="3305">
        <v>4587</v>
      </c>
      <c r="C1132" s="4834">
        <f t="shared" si="70"/>
        <v>8.5584231327033591E-5</v>
      </c>
      <c r="D1132" s="3" t="str">
        <f t="shared" si="71"/>
        <v>2016</v>
      </c>
      <c r="J1132" s="270" t="s">
        <v>12212</v>
      </c>
      <c r="K1132" s="4837">
        <v>40665.871797329099</v>
      </c>
      <c r="L1132" s="4834">
        <f t="shared" si="73"/>
        <v>4.3216362626631083E-5</v>
      </c>
      <c r="S1132" s="270" t="s">
        <v>12212</v>
      </c>
      <c r="T1132" s="4838">
        <v>552.9928409804013</v>
      </c>
      <c r="U1132" s="4839">
        <f t="shared" si="72"/>
        <v>1.9915659751492303E-3</v>
      </c>
    </row>
    <row r="1133" spans="1:21">
      <c r="A1133" s="270" t="s">
        <v>12212</v>
      </c>
      <c r="B1133" s="3305">
        <v>4687.5</v>
      </c>
      <c r="C1133" s="4834">
        <f t="shared" si="70"/>
        <v>9.7555722208878445E-5</v>
      </c>
      <c r="D1133" s="3" t="str">
        <f t="shared" si="71"/>
        <v>2016</v>
      </c>
      <c r="J1133" s="270" t="s">
        <v>12213</v>
      </c>
      <c r="K1133" s="4837">
        <v>40579.064781593806</v>
      </c>
      <c r="L1133" s="4834">
        <f t="shared" si="73"/>
        <v>4.2897127719636021E-5</v>
      </c>
      <c r="S1133" s="270" t="s">
        <v>12213</v>
      </c>
      <c r="T1133" s="4838">
        <v>555.88640817157773</v>
      </c>
      <c r="U1133" s="4839">
        <f t="shared" si="72"/>
        <v>2.0088319246666458E-3</v>
      </c>
    </row>
    <row r="1134" spans="1:21">
      <c r="A1134" s="270" t="s">
        <v>12213</v>
      </c>
      <c r="B1134" s="3305">
        <v>4747</v>
      </c>
      <c r="C1134" s="4834">
        <f t="shared" si="70"/>
        <v>1.0508371439394473E-4</v>
      </c>
      <c r="D1134" s="3" t="str">
        <f t="shared" si="71"/>
        <v>2016</v>
      </c>
      <c r="J1134" s="270" t="s">
        <v>12214</v>
      </c>
      <c r="K1134" s="4837">
        <v>42294.30711103011</v>
      </c>
      <c r="L1134" s="4834">
        <f t="shared" si="73"/>
        <v>4.8457909987398342E-5</v>
      </c>
      <c r="S1134" s="270" t="s">
        <v>12214</v>
      </c>
      <c r="T1134" s="4838">
        <v>579.99946809804885</v>
      </c>
      <c r="U1134" s="4839">
        <f t="shared" si="72"/>
        <v>2.1356337817479152E-3</v>
      </c>
    </row>
    <row r="1135" spans="1:21">
      <c r="A1135" s="270" t="s">
        <v>12214</v>
      </c>
      <c r="B1135" s="3305">
        <v>4663</v>
      </c>
      <c r="C1135" s="4834">
        <f t="shared" si="70"/>
        <v>9.4550000594007558E-5</v>
      </c>
      <c r="D1135" s="3" t="str">
        <f t="shared" si="71"/>
        <v>2016</v>
      </c>
      <c r="J1135" s="270" t="s">
        <v>12215</v>
      </c>
      <c r="K1135" s="4837">
        <v>42585.271367476191</v>
      </c>
      <c r="L1135" s="4834">
        <f t="shared" si="73"/>
        <v>4.9216510080579904E-5</v>
      </c>
      <c r="S1135" s="270" t="s">
        <v>12215</v>
      </c>
      <c r="T1135" s="4838">
        <v>569.06821426471527</v>
      </c>
      <c r="U1135" s="4839">
        <f t="shared" si="72"/>
        <v>2.0821228251107771E-3</v>
      </c>
    </row>
    <row r="1136" spans="1:21">
      <c r="A1136" s="270" t="s">
        <v>12215</v>
      </c>
      <c r="B1136" s="3305">
        <v>4692</v>
      </c>
      <c r="C1136" s="4834">
        <f t="shared" si="70"/>
        <v>9.8113817700168482E-5</v>
      </c>
      <c r="D1136" s="3" t="str">
        <f t="shared" si="71"/>
        <v>2016</v>
      </c>
      <c r="J1136" s="270" t="s">
        <v>12216</v>
      </c>
      <c r="K1136" s="4837">
        <v>42107.832780932069</v>
      </c>
      <c r="L1136" s="4834">
        <f t="shared" si="73"/>
        <v>4.7940273422726292E-5</v>
      </c>
      <c r="S1136" s="270" t="s">
        <v>12216</v>
      </c>
      <c r="T1136" s="4838">
        <v>564.88861721079365</v>
      </c>
      <c r="U1136" s="4839">
        <f t="shared" si="72"/>
        <v>2.059875287143131E-3</v>
      </c>
    </row>
    <row r="1137" spans="1:21">
      <c r="A1137" s="270" t="s">
        <v>12216</v>
      </c>
      <c r="B1137" s="3305">
        <v>4777.5</v>
      </c>
      <c r="C1137" s="4834">
        <f t="shared" si="70"/>
        <v>1.0906508166471142E-4</v>
      </c>
      <c r="D1137" s="3" t="str">
        <f t="shared" si="71"/>
        <v>2016</v>
      </c>
      <c r="J1137" s="270" t="s">
        <v>12217</v>
      </c>
      <c r="K1137" s="4837">
        <v>42487.211590441882</v>
      </c>
      <c r="L1137" s="4834">
        <f t="shared" si="73"/>
        <v>4.8967692547177267E-5</v>
      </c>
      <c r="S1137" s="270" t="s">
        <v>12217</v>
      </c>
      <c r="T1137" s="4838">
        <v>585.46509501471553</v>
      </c>
      <c r="U1137" s="4839">
        <f t="shared" si="72"/>
        <v>2.1597128606985505E-3</v>
      </c>
    </row>
    <row r="1138" spans="1:21">
      <c r="A1138" s="270" t="s">
        <v>12217</v>
      </c>
      <c r="B1138" s="3305">
        <v>4780</v>
      </c>
      <c r="C1138" s="4834">
        <f t="shared" si="70"/>
        <v>1.0939502326936805E-4</v>
      </c>
      <c r="D1138" s="3" t="str">
        <f t="shared" si="71"/>
        <v>2016</v>
      </c>
      <c r="J1138" s="270" t="s">
        <v>12218</v>
      </c>
      <c r="K1138" s="4837">
        <v>42471.136217157567</v>
      </c>
      <c r="L1138" s="4834">
        <f t="shared" si="73"/>
        <v>4.8926232009114522E-5</v>
      </c>
      <c r="S1138" s="270" t="s">
        <v>12218</v>
      </c>
      <c r="T1138" s="4838">
        <v>590.28770700000973</v>
      </c>
      <c r="U1138" s="4839">
        <f t="shared" si="72"/>
        <v>2.1794029022597018E-3</v>
      </c>
    </row>
    <row r="1139" spans="1:21">
      <c r="A1139" s="270" t="s">
        <v>12218</v>
      </c>
      <c r="B1139" s="3305">
        <v>4827</v>
      </c>
      <c r="C1139" s="4834">
        <f t="shared" si="70"/>
        <v>1.1569718961694023E-4</v>
      </c>
      <c r="D1139" s="3" t="str">
        <f t="shared" si="71"/>
        <v>2016</v>
      </c>
      <c r="J1139" s="270" t="s">
        <v>12219</v>
      </c>
      <c r="K1139" s="4837">
        <v>43082.000401961493</v>
      </c>
      <c r="L1139" s="4834">
        <f t="shared" si="73"/>
        <v>5.0365188905306629E-5</v>
      </c>
      <c r="S1139" s="270" t="s">
        <v>12219</v>
      </c>
      <c r="T1139" s="4838">
        <v>618.58036398040224</v>
      </c>
      <c r="U1139" s="4839">
        <f t="shared" si="72"/>
        <v>2.263392660425917E-3</v>
      </c>
    </row>
    <row r="1140" spans="1:21">
      <c r="A1140" s="270" t="s">
        <v>12219</v>
      </c>
      <c r="B1140" s="3305">
        <v>4783.5</v>
      </c>
      <c r="C1140" s="4834">
        <f t="shared" si="70"/>
        <v>1.0985784895456812E-4</v>
      </c>
      <c r="D1140" s="3" t="str">
        <f t="shared" si="71"/>
        <v>2016</v>
      </c>
      <c r="J1140" s="270" t="s">
        <v>12220</v>
      </c>
      <c r="K1140" s="4837">
        <v>43427.620927574244</v>
      </c>
      <c r="L1140" s="4834">
        <f t="shared" si="73"/>
        <v>5.1049091934350492E-5</v>
      </c>
      <c r="S1140" s="270" t="s">
        <v>12220</v>
      </c>
      <c r="T1140" s="4838">
        <v>654.58920013726561</v>
      </c>
      <c r="U1140" s="4839">
        <f t="shared" si="72"/>
        <v>2.286127562156163E-3</v>
      </c>
    </row>
    <row r="1141" spans="1:21">
      <c r="A1141" s="270" t="s">
        <v>12220</v>
      </c>
      <c r="B1141" s="3305">
        <v>4920</v>
      </c>
      <c r="C1141" s="4834">
        <f t="shared" si="70"/>
        <v>1.2869694063434302E-4</v>
      </c>
      <c r="D1141" s="3" t="str">
        <f t="shared" si="71"/>
        <v>2016</v>
      </c>
      <c r="J1141" s="270" t="s">
        <v>12221</v>
      </c>
      <c r="K1141" s="4837">
        <v>43427.620927574244</v>
      </c>
      <c r="L1141" s="4834">
        <f t="shared" si="73"/>
        <v>5.1049091934350492E-5</v>
      </c>
      <c r="S1141" s="270" t="s">
        <v>12221</v>
      </c>
      <c r="T1141" s="4838">
        <v>634.33422979903014</v>
      </c>
      <c r="U1141" s="4839">
        <f t="shared" si="72"/>
        <v>2.2852891704000255E-3</v>
      </c>
    </row>
    <row r="1142" spans="1:21">
      <c r="A1142" s="270" t="s">
        <v>12221</v>
      </c>
      <c r="B1142" s="3305">
        <v>4840.5</v>
      </c>
      <c r="C1142" s="4834">
        <f t="shared" si="70"/>
        <v>1.1754155809823277E-4</v>
      </c>
      <c r="D1142" s="3" t="str">
        <f t="shared" si="71"/>
        <v>2016</v>
      </c>
      <c r="J1142" s="270" t="s">
        <v>12222</v>
      </c>
      <c r="K1142" s="4837">
        <v>43925.95749938798</v>
      </c>
      <c r="L1142" s="4834">
        <f t="shared" si="73"/>
        <v>5.1859034686172242E-5</v>
      </c>
      <c r="S1142" s="270" t="s">
        <v>12222</v>
      </c>
      <c r="T1142" s="4838">
        <v>656.83975239706956</v>
      </c>
      <c r="U1142" s="4839">
        <f t="shared" si="72"/>
        <v>2.2843144929099671E-3</v>
      </c>
    </row>
    <row r="1143" spans="1:21">
      <c r="A1143" s="270" t="s">
        <v>12222</v>
      </c>
      <c r="B1143" s="3305">
        <v>4706</v>
      </c>
      <c r="C1143" s="4834">
        <f t="shared" si="70"/>
        <v>9.9861980867405823E-5</v>
      </c>
      <c r="D1143" s="3" t="str">
        <f t="shared" si="71"/>
        <v>2016</v>
      </c>
      <c r="J1143" s="270" t="s">
        <v>12223</v>
      </c>
      <c r="K1143" s="4837">
        <v>43618.917869657584</v>
      </c>
      <c r="L1143" s="4834">
        <f t="shared" si="73"/>
        <v>5.138508476674676E-5</v>
      </c>
      <c r="S1143" s="270" t="s">
        <v>12223</v>
      </c>
      <c r="T1143" s="4838">
        <v>641.40739404412818</v>
      </c>
      <c r="U1143" s="4839">
        <f t="shared" si="72"/>
        <v>2.289094128810162E-3</v>
      </c>
    </row>
    <row r="1144" spans="1:21">
      <c r="A1144" s="270" t="s">
        <v>12223</v>
      </c>
      <c r="B1144" s="3305">
        <v>4725</v>
      </c>
      <c r="C1144" s="4834">
        <f t="shared" si="70"/>
        <v>1.0226300912678473E-4</v>
      </c>
      <c r="D1144" s="3" t="str">
        <f t="shared" si="71"/>
        <v>2016</v>
      </c>
      <c r="J1144" s="270" t="s">
        <v>12224</v>
      </c>
      <c r="K1144" s="4837">
        <v>43540.148540564442</v>
      </c>
      <c r="L1144" s="4834">
        <f t="shared" si="73"/>
        <v>5.1250470226662538E-5</v>
      </c>
      <c r="S1144" s="270" t="s">
        <v>12224</v>
      </c>
      <c r="T1144" s="4838">
        <v>634.01272233334373</v>
      </c>
      <c r="U1144" s="4839">
        <f t="shared" si="72"/>
        <v>2.2850268990622868E-3</v>
      </c>
    </row>
    <row r="1145" spans="1:21">
      <c r="A1145" s="270" t="s">
        <v>12224</v>
      </c>
      <c r="B1145" s="3305">
        <v>4710</v>
      </c>
      <c r="C1145" s="4834">
        <f t="shared" si="70"/>
        <v>1.0036474087219663E-4</v>
      </c>
      <c r="D1145" s="3" t="str">
        <f t="shared" si="71"/>
        <v>2016</v>
      </c>
      <c r="J1145" s="270" t="s">
        <v>12225</v>
      </c>
      <c r="K1145" s="4837">
        <v>43631.778168285033</v>
      </c>
      <c r="L1145" s="4834">
        <f t="shared" si="73"/>
        <v>5.1406562454826294E-5</v>
      </c>
      <c r="S1145" s="270" t="s">
        <v>12225</v>
      </c>
      <c r="T1145" s="4838">
        <v>658.12578225981474</v>
      </c>
      <c r="U1145" s="4839">
        <f t="shared" si="72"/>
        <v>2.283108081512233E-3</v>
      </c>
    </row>
    <row r="1146" spans="1:21">
      <c r="A1146" s="270" t="s">
        <v>12225</v>
      </c>
      <c r="B1146" s="3305">
        <v>4746</v>
      </c>
      <c r="C1146" s="4834">
        <f t="shared" si="70"/>
        <v>1.0495456436418907E-4</v>
      </c>
      <c r="D1146" s="3" t="str">
        <f t="shared" si="71"/>
        <v>2016</v>
      </c>
      <c r="J1146" s="270" t="s">
        <v>12226</v>
      </c>
      <c r="K1146" s="4837">
        <v>43159.162193726203</v>
      </c>
      <c r="L1146" s="4834">
        <f t="shared" si="73"/>
        <v>5.0526296600089267E-5</v>
      </c>
      <c r="S1146" s="270" t="s">
        <v>12226</v>
      </c>
      <c r="T1146" s="4838">
        <v>654.26769267157943</v>
      </c>
      <c r="U1146" s="4839">
        <f t="shared" si="72"/>
        <v>2.2863555521318276E-3</v>
      </c>
    </row>
    <row r="1147" spans="1:21">
      <c r="A1147" s="270" t="s">
        <v>12226</v>
      </c>
      <c r="B1147" s="3305">
        <v>4811.5</v>
      </c>
      <c r="C1147" s="4834">
        <f t="shared" si="70"/>
        <v>1.1359819648165566E-4</v>
      </c>
      <c r="D1147" s="3" t="str">
        <f t="shared" si="71"/>
        <v>2016</v>
      </c>
      <c r="J1147" s="270" t="s">
        <v>12227</v>
      </c>
      <c r="K1147" s="4837">
        <v>43170.414955025226</v>
      </c>
      <c r="L1147" s="4834">
        <f t="shared" si="73"/>
        <v>5.0549391363240636E-5</v>
      </c>
      <c r="S1147" s="270" t="s">
        <v>12227</v>
      </c>
      <c r="T1147" s="4838">
        <v>652.33864787746177</v>
      </c>
      <c r="U1147" s="4839">
        <f t="shared" si="72"/>
        <v>2.2875604075069597E-3</v>
      </c>
    </row>
    <row r="1148" spans="1:21">
      <c r="A1148" s="270" t="s">
        <v>12227</v>
      </c>
      <c r="B1148" s="3305">
        <v>4918.5</v>
      </c>
      <c r="C1148" s="4834">
        <f t="shared" si="70"/>
        <v>1.28481981691627E-4</v>
      </c>
      <c r="D1148" s="3" t="str">
        <f t="shared" si="71"/>
        <v>2016</v>
      </c>
      <c r="J1148" s="270" t="s">
        <v>12228</v>
      </c>
      <c r="K1148" s="4837">
        <v>42554.728158235994</v>
      </c>
      <c r="L1148" s="4834">
        <f t="shared" si="73"/>
        <v>4.9139767124601477E-5</v>
      </c>
      <c r="S1148" s="270" t="s">
        <v>12228</v>
      </c>
      <c r="T1148" s="4838">
        <v>651.05261801471659</v>
      </c>
      <c r="U1148" s="4839">
        <f t="shared" si="72"/>
        <v>2.288208179932113E-3</v>
      </c>
    </row>
    <row r="1149" spans="1:21">
      <c r="A1149" s="270" t="s">
        <v>12228</v>
      </c>
      <c r="B1149" s="3305">
        <v>4911.5</v>
      </c>
      <c r="C1149" s="4834">
        <f t="shared" si="70"/>
        <v>1.2748104559106733E-4</v>
      </c>
      <c r="D1149" s="3" t="str">
        <f t="shared" si="71"/>
        <v>2016</v>
      </c>
      <c r="J1149" s="270" t="s">
        <v>12229</v>
      </c>
      <c r="K1149" s="4837">
        <v>42664.040696569333</v>
      </c>
      <c r="L1149" s="4834">
        <f t="shared" si="73"/>
        <v>4.94112308467596E-5</v>
      </c>
      <c r="S1149" s="270" t="s">
        <v>12229</v>
      </c>
      <c r="T1149" s="4838">
        <v>647.51603589216757</v>
      </c>
      <c r="U1149" s="4839">
        <f t="shared" si="72"/>
        <v>2.2893473656647218E-3</v>
      </c>
    </row>
    <row r="1150" spans="1:21">
      <c r="A1150" s="270" t="s">
        <v>12229</v>
      </c>
      <c r="B1150" s="3305">
        <v>4945.5</v>
      </c>
      <c r="C1150" s="4834">
        <f t="shared" si="70"/>
        <v>1.3237633471293014E-4</v>
      </c>
      <c r="D1150" s="3" t="str">
        <f t="shared" si="71"/>
        <v>2016</v>
      </c>
      <c r="J1150" s="270" t="s">
        <v>12230</v>
      </c>
      <c r="K1150" s="4837">
        <v>42911.601445147768</v>
      </c>
      <c r="L1150" s="4834">
        <f t="shared" si="73"/>
        <v>4.9992641858023327E-5</v>
      </c>
      <c r="S1150" s="270" t="s">
        <v>12230</v>
      </c>
      <c r="T1150" s="4838">
        <v>634.01272233334373</v>
      </c>
      <c r="U1150" s="4839">
        <f t="shared" si="72"/>
        <v>2.2850268990622868E-3</v>
      </c>
    </row>
    <row r="1151" spans="1:21">
      <c r="A1151" s="270" t="s">
        <v>12230</v>
      </c>
      <c r="B1151" s="3305">
        <v>4839</v>
      </c>
      <c r="C1151" s="4834">
        <f t="shared" si="70"/>
        <v>1.1733588984593553E-4</v>
      </c>
      <c r="D1151" s="3" t="str">
        <f t="shared" si="71"/>
        <v>2016</v>
      </c>
      <c r="J1151" s="270" t="s">
        <v>12231</v>
      </c>
      <c r="K1151" s="4837">
        <v>42789.42860818698</v>
      </c>
      <c r="L1151" s="4834">
        <f t="shared" si="73"/>
        <v>4.9711571141907733E-5</v>
      </c>
      <c r="S1151" s="270" t="s">
        <v>12231</v>
      </c>
      <c r="T1151" s="4838">
        <v>642.69342390687336</v>
      </c>
      <c r="U1151" s="4839">
        <f t="shared" si="72"/>
        <v>2.2893812652391185E-3</v>
      </c>
    </row>
    <row r="1152" spans="1:21">
      <c r="A1152" s="270" t="s">
        <v>12231</v>
      </c>
      <c r="B1152" s="3305">
        <v>4938</v>
      </c>
      <c r="C1152" s="4834">
        <f t="shared" si="70"/>
        <v>1.312892891428059E-4</v>
      </c>
      <c r="D1152" s="3" t="str">
        <f t="shared" si="71"/>
        <v>2016</v>
      </c>
      <c r="J1152" s="270" t="s">
        <v>12232</v>
      </c>
      <c r="K1152" s="4837">
        <v>42307.167409657566</v>
      </c>
      <c r="L1152" s="4834">
        <f t="shared" si="73"/>
        <v>4.8492719071094541E-5</v>
      </c>
      <c r="S1152" s="270" t="s">
        <v>12232</v>
      </c>
      <c r="T1152" s="4838">
        <v>633.36970740197114</v>
      </c>
      <c r="U1152" s="4839">
        <f t="shared" si="72"/>
        <v>2.2844791128659248E-3</v>
      </c>
    </row>
    <row r="1153" spans="1:21">
      <c r="A1153" s="270" t="s">
        <v>12232</v>
      </c>
      <c r="B1153" s="3305">
        <v>4900.5</v>
      </c>
      <c r="C1153" s="4834">
        <f t="shared" si="70"/>
        <v>1.2591555477052657E-4</v>
      </c>
      <c r="D1153" s="3" t="str">
        <f t="shared" si="71"/>
        <v>2016</v>
      </c>
      <c r="J1153" s="270" t="s">
        <v>12233</v>
      </c>
      <c r="K1153" s="4837">
        <v>42475.958829142859</v>
      </c>
      <c r="L1153" s="4834">
        <f t="shared" si="73"/>
        <v>4.8938689883542693E-5</v>
      </c>
      <c r="S1153" s="270" t="s">
        <v>12233</v>
      </c>
      <c r="T1153" s="4838">
        <v>621.79543863726519</v>
      </c>
      <c r="U1153" s="4839">
        <f t="shared" si="72"/>
        <v>2.2693503769284015E-3</v>
      </c>
    </row>
    <row r="1154" spans="1:21">
      <c r="A1154" s="270" t="s">
        <v>12233</v>
      </c>
      <c r="B1154" s="3305">
        <v>4953.5</v>
      </c>
      <c r="C1154" s="4834">
        <f t="shared" si="70"/>
        <v>1.3354024472582142E-4</v>
      </c>
      <c r="D1154" s="3" t="str">
        <f t="shared" si="71"/>
        <v>2016</v>
      </c>
      <c r="J1154" s="270" t="s">
        <v>12234</v>
      </c>
      <c r="K1154" s="4837">
        <v>42463.09853051541</v>
      </c>
      <c r="L1154" s="4834">
        <f t="shared" si="73"/>
        <v>4.8905431390208474E-5</v>
      </c>
      <c r="S1154" s="270" t="s">
        <v>12234</v>
      </c>
      <c r="T1154" s="4838">
        <v>633.36970740197114</v>
      </c>
      <c r="U1154" s="4839">
        <f t="shared" si="72"/>
        <v>2.2844791128659248E-3</v>
      </c>
    </row>
    <row r="1155" spans="1:21">
      <c r="A1155" s="270" t="s">
        <v>12234</v>
      </c>
      <c r="B1155" s="3305">
        <v>4956</v>
      </c>
      <c r="C1155" s="4834">
        <f t="shared" si="70"/>
        <v>1.3390488774071111E-4</v>
      </c>
      <c r="D1155" s="3" t="str">
        <f t="shared" si="71"/>
        <v>2016</v>
      </c>
      <c r="J1155" s="270" t="s">
        <v>12235</v>
      </c>
      <c r="K1155" s="4837">
        <v>42218.752856593841</v>
      </c>
      <c r="L1155" s="4834">
        <f t="shared" si="73"/>
        <v>4.825107056739202E-5</v>
      </c>
      <c r="S1155" s="270" t="s">
        <v>12235</v>
      </c>
      <c r="T1155" s="4838">
        <v>624.04599089706915</v>
      </c>
      <c r="U1155" s="4839">
        <f t="shared" si="72"/>
        <v>2.2730695864630343E-3</v>
      </c>
    </row>
    <row r="1156" spans="1:21">
      <c r="A1156" s="270" t="s">
        <v>12235</v>
      </c>
      <c r="B1156" s="3305">
        <v>4920</v>
      </c>
      <c r="C1156" s="4834">
        <f t="shared" ref="C1156:C1219" si="74">_xlfn.NORM.DIST(B1156,$F$4,$F$3,FALSE)</f>
        <v>1.2869694063434302E-4</v>
      </c>
      <c r="D1156" s="3" t="str">
        <f t="shared" ref="D1156:D1219" si="75">LEFT(A1156,4)</f>
        <v>2016</v>
      </c>
      <c r="J1156" s="270" t="s">
        <v>12236</v>
      </c>
      <c r="K1156" s="4837">
        <v>42535.43771029482</v>
      </c>
      <c r="L1156" s="4834">
        <f t="shared" si="73"/>
        <v>4.909094374526908E-5</v>
      </c>
      <c r="S1156" s="270" t="s">
        <v>12236</v>
      </c>
      <c r="T1156" s="4838">
        <v>632.72669247059866</v>
      </c>
      <c r="U1156" s="4839">
        <f t="shared" ref="U1156:U1219" si="76">_xlfn.NORM.DIST(T1156,$X$4,$X$3,FALSE)</f>
        <v>2.2839003540636692E-3</v>
      </c>
    </row>
    <row r="1157" spans="1:21">
      <c r="A1157" s="270" t="s">
        <v>12236</v>
      </c>
      <c r="B1157" s="3305">
        <v>4862</v>
      </c>
      <c r="C1157" s="4834">
        <f t="shared" si="74"/>
        <v>1.2050950093160319E-4</v>
      </c>
      <c r="D1157" s="3" t="str">
        <f t="shared" si="75"/>
        <v>2016</v>
      </c>
      <c r="J1157" s="270" t="s">
        <v>12237</v>
      </c>
      <c r="K1157" s="4837">
        <v>42728.342189706585</v>
      </c>
      <c r="L1157" s="4834">
        <f t="shared" ref="L1157:L1220" si="77">_xlfn.NORM.DIST(K1157,$O$4,$O$3,FALSE)</f>
        <v>4.956673959176803E-5</v>
      </c>
      <c r="S1157" s="270" t="s">
        <v>12237</v>
      </c>
      <c r="T1157" s="4838">
        <v>629.51161781373582</v>
      </c>
      <c r="U1157" s="4839">
        <f t="shared" si="76"/>
        <v>2.2805428412595312E-3</v>
      </c>
    </row>
    <row r="1158" spans="1:21">
      <c r="A1158" s="270" t="s">
        <v>12237</v>
      </c>
      <c r="B1158" s="3305">
        <v>4869.5</v>
      </c>
      <c r="C1158" s="4834">
        <f t="shared" si="74"/>
        <v>1.2155353950976643E-4</v>
      </c>
      <c r="D1158" s="3" t="str">
        <f t="shared" si="75"/>
        <v>2016</v>
      </c>
      <c r="J1158" s="270" t="s">
        <v>12238</v>
      </c>
      <c r="K1158" s="4837">
        <v>43138.264208456596</v>
      </c>
      <c r="L1158" s="4834">
        <f t="shared" si="77"/>
        <v>5.0483135453314415E-5</v>
      </c>
      <c r="S1158" s="270" t="s">
        <v>12238</v>
      </c>
      <c r="T1158" s="4838">
        <v>656.19673746569708</v>
      </c>
      <c r="U1158" s="4839">
        <f t="shared" si="76"/>
        <v>2.2848712617599817E-3</v>
      </c>
    </row>
    <row r="1159" spans="1:21">
      <c r="A1159" s="270" t="s">
        <v>12238</v>
      </c>
      <c r="B1159" s="3305">
        <v>4862</v>
      </c>
      <c r="C1159" s="4834">
        <f t="shared" si="74"/>
        <v>1.2050950093160319E-4</v>
      </c>
      <c r="D1159" s="3" t="str">
        <f t="shared" si="75"/>
        <v>2016</v>
      </c>
      <c r="J1159" s="270" t="s">
        <v>12239</v>
      </c>
      <c r="K1159" s="4837">
        <v>43146.301895098753</v>
      </c>
      <c r="L1159" s="4834">
        <f t="shared" si="77"/>
        <v>5.0499777523204836E-5</v>
      </c>
      <c r="S1159" s="270" t="s">
        <v>12239</v>
      </c>
      <c r="T1159" s="4838">
        <v>644.30096123530473</v>
      </c>
      <c r="U1159" s="4839">
        <f t="shared" si="76"/>
        <v>2.2895648373872238E-3</v>
      </c>
    </row>
    <row r="1160" spans="1:21">
      <c r="A1160" s="270" t="s">
        <v>12239</v>
      </c>
      <c r="B1160" s="3305">
        <v>4853</v>
      </c>
      <c r="C1160" s="4834">
        <f t="shared" si="74"/>
        <v>1.1926257275065651E-4</v>
      </c>
      <c r="D1160" s="3" t="str">
        <f t="shared" si="75"/>
        <v>2016</v>
      </c>
      <c r="J1160" s="270" t="s">
        <v>12240</v>
      </c>
      <c r="K1160" s="4837">
        <v>43392.255106348755</v>
      </c>
      <c r="L1160" s="4834">
        <f t="shared" si="77"/>
        <v>5.0983615543665446E-5</v>
      </c>
      <c r="S1160" s="270" t="s">
        <v>12240</v>
      </c>
      <c r="T1160" s="4838">
        <v>659.41181212255992</v>
      </c>
      <c r="U1160" s="4839">
        <f t="shared" si="76"/>
        <v>2.2817780046270474E-3</v>
      </c>
    </row>
    <row r="1161" spans="1:21">
      <c r="A1161" s="270" t="s">
        <v>12240</v>
      </c>
      <c r="B1161" s="3305">
        <v>4907</v>
      </c>
      <c r="C1161" s="4834">
        <f t="shared" si="74"/>
        <v>1.2683951708767735E-4</v>
      </c>
      <c r="D1161" s="3" t="str">
        <f t="shared" si="75"/>
        <v>2016</v>
      </c>
      <c r="J1161" s="270" t="s">
        <v>12241</v>
      </c>
      <c r="K1161" s="4837">
        <v>43845.580632966412</v>
      </c>
      <c r="L1161" s="4834">
        <f t="shared" si="77"/>
        <v>5.1742848549047942E-5</v>
      </c>
      <c r="S1161" s="270" t="s">
        <v>12241</v>
      </c>
      <c r="T1161" s="4838">
        <v>665.84196143628549</v>
      </c>
      <c r="U1161" s="4839">
        <f t="shared" si="76"/>
        <v>2.2732809295603388E-3</v>
      </c>
    </row>
    <row r="1162" spans="1:21">
      <c r="A1162" s="270" t="s">
        <v>12241</v>
      </c>
      <c r="B1162" s="3305">
        <v>4885.5</v>
      </c>
      <c r="C1162" s="4834">
        <f t="shared" si="74"/>
        <v>1.2379561265498022E-4</v>
      </c>
      <c r="D1162" s="3" t="str">
        <f t="shared" si="75"/>
        <v>2016</v>
      </c>
      <c r="J1162" s="270" t="s">
        <v>12242</v>
      </c>
      <c r="K1162" s="4837">
        <v>43689.649512108568</v>
      </c>
      <c r="L1162" s="4834">
        <f t="shared" si="77"/>
        <v>5.1501465680731478E-5</v>
      </c>
      <c r="S1162" s="270" t="s">
        <v>12242</v>
      </c>
      <c r="T1162" s="4838">
        <v>661.98387184805006</v>
      </c>
      <c r="U1162" s="4839">
        <f t="shared" si="76"/>
        <v>2.2787477420664047E-3</v>
      </c>
    </row>
    <row r="1163" spans="1:21">
      <c r="A1163" s="270" t="s">
        <v>12242</v>
      </c>
      <c r="B1163" s="3305">
        <v>4844.5</v>
      </c>
      <c r="C1163" s="4834">
        <f t="shared" si="74"/>
        <v>1.1809090369130728E-4</v>
      </c>
      <c r="D1163" s="3" t="str">
        <f t="shared" si="75"/>
        <v>2016</v>
      </c>
      <c r="J1163" s="270" t="s">
        <v>12243</v>
      </c>
      <c r="K1163" s="4837">
        <v>43813.429886397782</v>
      </c>
      <c r="L1163" s="4834">
        <f t="shared" si="77"/>
        <v>5.1694799108413742E-5</v>
      </c>
      <c r="S1163" s="270" t="s">
        <v>12243</v>
      </c>
      <c r="T1163" s="4838">
        <v>648.15905082354004</v>
      </c>
      <c r="U1163" s="4839">
        <f t="shared" si="76"/>
        <v>2.2892103438009546E-3</v>
      </c>
    </row>
    <row r="1164" spans="1:21">
      <c r="A1164" s="270" t="s">
        <v>12243</v>
      </c>
      <c r="B1164" s="3305">
        <v>4787</v>
      </c>
      <c r="C1164" s="4834">
        <f t="shared" si="74"/>
        <v>1.1032173050556494E-4</v>
      </c>
      <c r="D1164" s="3" t="str">
        <f t="shared" si="75"/>
        <v>2016</v>
      </c>
      <c r="J1164" s="270" t="s">
        <v>12244</v>
      </c>
      <c r="K1164" s="4837">
        <v>43094.860700588943</v>
      </c>
      <c r="L1164" s="4834">
        <f t="shared" si="77"/>
        <v>5.0392371636132155E-5</v>
      </c>
      <c r="S1164" s="270" t="s">
        <v>12244</v>
      </c>
      <c r="T1164" s="4838">
        <v>650.08809561765781</v>
      </c>
      <c r="U1164" s="4839">
        <f t="shared" si="76"/>
        <v>2.2886123124647027E-3</v>
      </c>
    </row>
    <row r="1165" spans="1:21">
      <c r="A1165" s="270" t="s">
        <v>12244</v>
      </c>
      <c r="B1165" s="3305">
        <v>4792.5</v>
      </c>
      <c r="C1165" s="4834">
        <f t="shared" si="74"/>
        <v>1.1105281293040009E-4</v>
      </c>
      <c r="D1165" s="3" t="str">
        <f t="shared" si="75"/>
        <v>2016</v>
      </c>
      <c r="J1165" s="270" t="s">
        <v>12245</v>
      </c>
      <c r="K1165" s="4837">
        <v>42979.118012941879</v>
      </c>
      <c r="L1165" s="4834">
        <f t="shared" si="77"/>
        <v>5.0142992929809055E-5</v>
      </c>
      <c r="S1165" s="270" t="s">
        <v>12245</v>
      </c>
      <c r="T1165" s="4838">
        <v>632.08367753922607</v>
      </c>
      <c r="U1165" s="4839">
        <f t="shared" si="76"/>
        <v>2.2832906462640001E-3</v>
      </c>
    </row>
    <row r="1166" spans="1:21">
      <c r="A1166" s="270" t="s">
        <v>12245</v>
      </c>
      <c r="B1166" s="3305">
        <v>4796</v>
      </c>
      <c r="C1166" s="4834">
        <f t="shared" si="74"/>
        <v>1.1151939502920889E-4</v>
      </c>
      <c r="D1166" s="3" t="str">
        <f t="shared" si="75"/>
        <v>2016</v>
      </c>
      <c r="J1166" s="270" t="s">
        <v>12246</v>
      </c>
      <c r="K1166" s="4837">
        <v>43114.151148530116</v>
      </c>
      <c r="L1166" s="4834">
        <f t="shared" si="77"/>
        <v>5.0432897644444074E-5</v>
      </c>
      <c r="S1166" s="270" t="s">
        <v>12246</v>
      </c>
      <c r="T1166" s="4838">
        <v>633.36970740197114</v>
      </c>
      <c r="U1166" s="4839">
        <f t="shared" si="76"/>
        <v>2.2844791128659248E-3</v>
      </c>
    </row>
    <row r="1167" spans="1:21">
      <c r="A1167" s="270" t="s">
        <v>12246</v>
      </c>
      <c r="B1167" s="3305">
        <v>4779</v>
      </c>
      <c r="C1167" s="4834">
        <f t="shared" si="74"/>
        <v>1.0926298172947199E-4</v>
      </c>
      <c r="D1167" s="3" t="str">
        <f t="shared" si="75"/>
        <v>2016</v>
      </c>
      <c r="J1167" s="270" t="s">
        <v>12247</v>
      </c>
      <c r="K1167" s="4837">
        <v>43329.561150539928</v>
      </c>
      <c r="L1167" s="4834">
        <f t="shared" si="77"/>
        <v>5.0864994746672715E-5</v>
      </c>
      <c r="S1167" s="270" t="s">
        <v>12247</v>
      </c>
      <c r="T1167" s="4838">
        <v>653.94618520589313</v>
      </c>
      <c r="U1167" s="4839">
        <f t="shared" si="76"/>
        <v>2.2865757797936627E-3</v>
      </c>
    </row>
    <row r="1168" spans="1:21">
      <c r="A1168" s="270" t="s">
        <v>12247</v>
      </c>
      <c r="B1168" s="3305">
        <v>4874.5</v>
      </c>
      <c r="C1168" s="4834">
        <f t="shared" si="74"/>
        <v>1.222520348778306E-4</v>
      </c>
      <c r="D1168" s="3" t="str">
        <f t="shared" si="75"/>
        <v>2016</v>
      </c>
      <c r="J1168" s="270" t="s">
        <v>12248</v>
      </c>
      <c r="K1168" s="4837">
        <v>43564.261600490914</v>
      </c>
      <c r="L1168" s="4834">
        <f t="shared" si="77"/>
        <v>5.1292236883065521E-5</v>
      </c>
      <c r="S1168" s="270" t="s">
        <v>12248</v>
      </c>
      <c r="T1168" s="4838">
        <v>649.76658815197152</v>
      </c>
      <c r="U1168" s="4839">
        <f t="shared" si="76"/>
        <v>2.2887314543628889E-3</v>
      </c>
    </row>
    <row r="1169" spans="1:21">
      <c r="A1169" s="270" t="s">
        <v>12248</v>
      </c>
      <c r="B1169" s="3305">
        <v>4810</v>
      </c>
      <c r="C1169" s="4834">
        <f t="shared" si="74"/>
        <v>1.1339613491249868E-4</v>
      </c>
      <c r="D1169" s="3" t="str">
        <f t="shared" si="75"/>
        <v>2016</v>
      </c>
      <c r="J1169" s="270" t="s">
        <v>12249</v>
      </c>
      <c r="K1169" s="4837">
        <v>43474.239510098756</v>
      </c>
      <c r="L1169" s="4834">
        <f t="shared" si="77"/>
        <v>5.1133808215973686E-5</v>
      </c>
      <c r="S1169" s="270" t="s">
        <v>12249</v>
      </c>
      <c r="T1169" s="4838">
        <v>638.83533431863805</v>
      </c>
      <c r="U1169" s="4839">
        <f t="shared" si="76"/>
        <v>2.2881459950200417E-3</v>
      </c>
    </row>
    <row r="1170" spans="1:21">
      <c r="A1170" s="270" t="s">
        <v>12249</v>
      </c>
      <c r="B1170" s="3305">
        <v>4746</v>
      </c>
      <c r="C1170" s="4834">
        <f t="shared" si="74"/>
        <v>1.0495456436418907E-4</v>
      </c>
      <c r="D1170" s="3" t="str">
        <f t="shared" si="75"/>
        <v>2016</v>
      </c>
      <c r="J1170" s="270" t="s">
        <v>12250</v>
      </c>
      <c r="K1170" s="4837">
        <v>43062.70995402032</v>
      </c>
      <c r="L1170" s="4834">
        <f t="shared" si="77"/>
        <v>5.0324167295531067E-5</v>
      </c>
      <c r="S1170" s="270" t="s">
        <v>12250</v>
      </c>
      <c r="T1170" s="4838">
        <v>639.79985671569682</v>
      </c>
      <c r="U1170" s="4839">
        <f t="shared" si="76"/>
        <v>2.2885599368619078E-3</v>
      </c>
    </row>
    <row r="1171" spans="1:21">
      <c r="A1171" s="270" t="s">
        <v>12250</v>
      </c>
      <c r="B1171" s="3305">
        <v>4746</v>
      </c>
      <c r="C1171" s="4834">
        <f t="shared" si="74"/>
        <v>1.0495456436418907E-4</v>
      </c>
      <c r="D1171" s="3" t="str">
        <f t="shared" si="75"/>
        <v>2016</v>
      </c>
      <c r="J1171" s="270" t="s">
        <v>12251</v>
      </c>
      <c r="K1171" s="4837">
        <v>43210.603388236006</v>
      </c>
      <c r="L1171" s="4834">
        <f t="shared" si="77"/>
        <v>5.0631036591439192E-5</v>
      </c>
      <c r="S1171" s="270" t="s">
        <v>12251</v>
      </c>
      <c r="T1171" s="4838">
        <v>644.30096123530473</v>
      </c>
      <c r="U1171" s="4839">
        <f t="shared" si="76"/>
        <v>2.2895648373872238E-3</v>
      </c>
    </row>
    <row r="1172" spans="1:21">
      <c r="A1172" s="270" t="s">
        <v>12251</v>
      </c>
      <c r="B1172" s="3305">
        <v>4798</v>
      </c>
      <c r="C1172" s="4834">
        <f t="shared" si="74"/>
        <v>1.1178648251955239E-4</v>
      </c>
      <c r="D1172" s="3" t="str">
        <f t="shared" si="75"/>
        <v>2016</v>
      </c>
      <c r="J1172" s="270" t="s">
        <v>12252</v>
      </c>
      <c r="K1172" s="4837">
        <v>43189.7054029664</v>
      </c>
      <c r="L1172" s="4834">
        <f t="shared" si="77"/>
        <v>5.0588744320503714E-5</v>
      </c>
      <c r="S1172" s="270" t="s">
        <v>12252</v>
      </c>
      <c r="T1172" s="4838">
        <v>629.19011034804964</v>
      </c>
      <c r="U1172" s="4839">
        <f t="shared" si="76"/>
        <v>2.2801646635150614E-3</v>
      </c>
    </row>
    <row r="1173" spans="1:21">
      <c r="A1173" s="270" t="s">
        <v>12252</v>
      </c>
      <c r="B1173" s="3305">
        <v>4755.5</v>
      </c>
      <c r="C1173" s="4834">
        <f t="shared" si="74"/>
        <v>1.0618506370585159E-4</v>
      </c>
      <c r="D1173" s="3" t="str">
        <f t="shared" si="75"/>
        <v>2016</v>
      </c>
      <c r="J1173" s="270" t="s">
        <v>12253</v>
      </c>
      <c r="K1173" s="4837">
        <v>43405.115404976204</v>
      </c>
      <c r="L1173" s="4834">
        <f t="shared" si="77"/>
        <v>5.1007545495245825E-5</v>
      </c>
      <c r="S1173" s="270" t="s">
        <v>12253</v>
      </c>
      <c r="T1173" s="4838">
        <v>635.9417671274615</v>
      </c>
      <c r="U1173" s="4839">
        <f t="shared" si="76"/>
        <v>2.2864842048363684E-3</v>
      </c>
    </row>
    <row r="1174" spans="1:21">
      <c r="A1174" s="270" t="s">
        <v>12253</v>
      </c>
      <c r="B1174" s="3305">
        <v>4802.5</v>
      </c>
      <c r="C1174" s="4834">
        <f t="shared" si="74"/>
        <v>1.123886731515626E-4</v>
      </c>
      <c r="D1174" s="3" t="str">
        <f t="shared" si="75"/>
        <v>2016</v>
      </c>
      <c r="J1174" s="270" t="s">
        <v>12254</v>
      </c>
      <c r="K1174" s="4837">
        <v>43287.765180000715</v>
      </c>
      <c r="L1174" s="4834">
        <f t="shared" si="77"/>
        <v>5.0784113363684407E-5</v>
      </c>
      <c r="S1174" s="270" t="s">
        <v>12254</v>
      </c>
      <c r="T1174" s="4838">
        <v>624.36749836275544</v>
      </c>
      <c r="U1174" s="4839">
        <f t="shared" si="76"/>
        <v>2.2735704362138072E-3</v>
      </c>
    </row>
    <row r="1175" spans="1:21">
      <c r="A1175" s="270" t="s">
        <v>12254</v>
      </c>
      <c r="B1175" s="3305">
        <v>4774</v>
      </c>
      <c r="C1175" s="4834">
        <f t="shared" si="74"/>
        <v>1.0860407323962046E-4</v>
      </c>
      <c r="D1175" s="3" t="str">
        <f t="shared" si="75"/>
        <v>2016</v>
      </c>
      <c r="J1175" s="270" t="s">
        <v>12255</v>
      </c>
      <c r="K1175" s="4837">
        <v>42950.182341030122</v>
      </c>
      <c r="L1175" s="4834">
        <f t="shared" si="77"/>
        <v>5.0078994058906957E-5</v>
      </c>
      <c r="S1175" s="270" t="s">
        <v>12255</v>
      </c>
      <c r="T1175" s="4838">
        <v>607.97061761275518</v>
      </c>
      <c r="U1175" s="4839">
        <f t="shared" si="76"/>
        <v>2.2384292273661525E-3</v>
      </c>
    </row>
    <row r="1176" spans="1:21">
      <c r="A1176" s="270" t="s">
        <v>12255</v>
      </c>
      <c r="B1176" s="3305">
        <v>4732</v>
      </c>
      <c r="C1176" s="4834">
        <f t="shared" si="74"/>
        <v>1.0315581052906006E-4</v>
      </c>
      <c r="D1176" s="3" t="str">
        <f t="shared" si="75"/>
        <v>2016</v>
      </c>
      <c r="J1176" s="270" t="s">
        <v>12256</v>
      </c>
      <c r="K1176" s="4837">
        <v>43146.301895098753</v>
      </c>
      <c r="L1176" s="4834">
        <f t="shared" si="77"/>
        <v>5.0499777523204836E-5</v>
      </c>
      <c r="S1176" s="270" t="s">
        <v>12256</v>
      </c>
      <c r="T1176" s="4838">
        <v>610.22116987255913</v>
      </c>
      <c r="U1176" s="4839">
        <f t="shared" si="76"/>
        <v>2.2443966533215618E-3</v>
      </c>
    </row>
    <row r="1177" spans="1:21">
      <c r="A1177" s="270" t="s">
        <v>12256</v>
      </c>
      <c r="B1177" s="3305">
        <v>4719</v>
      </c>
      <c r="C1177" s="4834">
        <f t="shared" si="74"/>
        <v>1.0150126063768345E-4</v>
      </c>
      <c r="D1177" s="3" t="str">
        <f t="shared" si="75"/>
        <v>2016</v>
      </c>
      <c r="J1177" s="270" t="s">
        <v>12257</v>
      </c>
      <c r="K1177" s="4837">
        <v>42672.078383211483</v>
      </c>
      <c r="L1177" s="4834">
        <f t="shared" si="77"/>
        <v>4.9430839690419382E-5</v>
      </c>
      <c r="S1177" s="270" t="s">
        <v>12257</v>
      </c>
      <c r="T1177" s="4838">
        <v>605.72006535295122</v>
      </c>
      <c r="U1177" s="4839">
        <f t="shared" si="76"/>
        <v>2.2321052570229843E-3</v>
      </c>
    </row>
    <row r="1178" spans="1:21">
      <c r="A1178" s="270" t="s">
        <v>12257</v>
      </c>
      <c r="B1178" s="3305">
        <v>4658.5</v>
      </c>
      <c r="C1178" s="4834">
        <f t="shared" si="74"/>
        <v>9.4003986639175444E-5</v>
      </c>
      <c r="D1178" s="3" t="str">
        <f t="shared" si="75"/>
        <v>2016</v>
      </c>
      <c r="J1178" s="270" t="s">
        <v>12258</v>
      </c>
      <c r="K1178" s="4837">
        <v>42480.781441128151</v>
      </c>
      <c r="L1178" s="4834">
        <f t="shared" si="77"/>
        <v>4.8951130867546379E-5</v>
      </c>
      <c r="S1178" s="270" t="s">
        <v>12258</v>
      </c>
      <c r="T1178" s="4838">
        <v>594.78881151961764</v>
      </c>
      <c r="U1178" s="4839">
        <f t="shared" si="76"/>
        <v>2.1964236239381115E-3</v>
      </c>
    </row>
    <row r="1179" spans="1:21">
      <c r="A1179" s="270" t="s">
        <v>12258</v>
      </c>
      <c r="B1179" s="3305">
        <v>4639.5</v>
      </c>
      <c r="C1179" s="4834">
        <f t="shared" si="74"/>
        <v>9.1719470726958518E-5</v>
      </c>
      <c r="D1179" s="3" t="str">
        <f t="shared" si="75"/>
        <v>2016</v>
      </c>
      <c r="J1179" s="270" t="s">
        <v>12259</v>
      </c>
      <c r="K1179" s="4837">
        <v>42398.79703737815</v>
      </c>
      <c r="L1179" s="4834">
        <f t="shared" si="77"/>
        <v>4.8737346948960119E-5</v>
      </c>
      <c r="S1179" s="270" t="s">
        <v>12259</v>
      </c>
      <c r="T1179" s="4838">
        <v>600.25443843628443</v>
      </c>
      <c r="U1179" s="4839">
        <f t="shared" si="76"/>
        <v>2.2152821608121681E-3</v>
      </c>
    </row>
    <row r="1180" spans="1:21">
      <c r="A1180" s="270" t="s">
        <v>12259</v>
      </c>
      <c r="B1180" s="3305">
        <v>4622</v>
      </c>
      <c r="C1180" s="4834">
        <f t="shared" si="74"/>
        <v>8.9645344244117654E-5</v>
      </c>
      <c r="D1180" s="3" t="str">
        <f t="shared" si="75"/>
        <v>2016</v>
      </c>
      <c r="J1180" s="270" t="s">
        <v>12260</v>
      </c>
      <c r="K1180" s="4837">
        <v>42379.506589436976</v>
      </c>
      <c r="L1180" s="4834">
        <f t="shared" si="77"/>
        <v>4.8686342614102061E-5</v>
      </c>
      <c r="S1180" s="270" t="s">
        <v>12260</v>
      </c>
      <c r="T1180" s="4838">
        <v>603.79102055883345</v>
      </c>
      <c r="U1180" s="4839">
        <f t="shared" si="76"/>
        <v>2.2264032868441418E-3</v>
      </c>
    </row>
    <row r="1181" spans="1:21">
      <c r="A1181" s="270" t="s">
        <v>12260</v>
      </c>
      <c r="B1181" s="3305">
        <v>4609</v>
      </c>
      <c r="C1181" s="4834">
        <f t="shared" si="74"/>
        <v>8.8123322646101252E-5</v>
      </c>
      <c r="D1181" s="3" t="str">
        <f t="shared" si="75"/>
        <v>2016</v>
      </c>
      <c r="J1181" s="270" t="s">
        <v>12261</v>
      </c>
      <c r="K1181" s="4837">
        <v>42093.364944976187</v>
      </c>
      <c r="L1181" s="4834">
        <f t="shared" si="77"/>
        <v>4.7899116902061209E-5</v>
      </c>
      <c r="S1181" s="270" t="s">
        <v>12261</v>
      </c>
      <c r="T1181" s="4838">
        <v>602.50499069608827</v>
      </c>
      <c r="U1181" s="4839">
        <f t="shared" si="76"/>
        <v>2.2224587278647256E-3</v>
      </c>
    </row>
    <row r="1182" spans="1:21">
      <c r="A1182" s="270" t="s">
        <v>12261</v>
      </c>
      <c r="B1182" s="3305">
        <v>4602.5</v>
      </c>
      <c r="C1182" s="4834">
        <f t="shared" si="74"/>
        <v>8.7368333283400682E-5</v>
      </c>
      <c r="D1182" s="3" t="str">
        <f t="shared" si="75"/>
        <v>2016</v>
      </c>
      <c r="J1182" s="270" t="s">
        <v>12262</v>
      </c>
      <c r="K1182" s="4837">
        <v>42101.402631618344</v>
      </c>
      <c r="L1182" s="4834">
        <f t="shared" si="77"/>
        <v>4.7921999094785389E-5</v>
      </c>
      <c r="S1182" s="270" t="s">
        <v>12262</v>
      </c>
      <c r="T1182" s="4838">
        <v>599.61142350491184</v>
      </c>
      <c r="U1182" s="4839">
        <f t="shared" si="76"/>
        <v>2.2131681557798289E-3</v>
      </c>
    </row>
    <row r="1183" spans="1:21">
      <c r="A1183" s="270" t="s">
        <v>12262</v>
      </c>
      <c r="B1183" s="3305">
        <v>4620</v>
      </c>
      <c r="C1183" s="4834">
        <f t="shared" si="74"/>
        <v>8.9410143914355638E-5</v>
      </c>
      <c r="D1183" s="3" t="str">
        <f t="shared" si="75"/>
        <v>2016</v>
      </c>
      <c r="J1183" s="270" t="s">
        <v>12263</v>
      </c>
      <c r="K1183" s="4837">
        <v>42590.093979461482</v>
      </c>
      <c r="L1183" s="4834">
        <f t="shared" si="77"/>
        <v>4.9228564361054848E-5</v>
      </c>
      <c r="S1183" s="270" t="s">
        <v>12263</v>
      </c>
      <c r="T1183" s="4838">
        <v>602.82649816177468</v>
      </c>
      <c r="U1183" s="4839">
        <f t="shared" si="76"/>
        <v>2.2234555671117192E-3</v>
      </c>
    </row>
    <row r="1184" spans="1:21">
      <c r="A1184" s="270" t="s">
        <v>12263</v>
      </c>
      <c r="B1184" s="3305">
        <v>4607</v>
      </c>
      <c r="C1184" s="4834">
        <f t="shared" si="74"/>
        <v>8.7890589991781776E-5</v>
      </c>
      <c r="D1184" s="3" t="str">
        <f t="shared" si="75"/>
        <v>2016</v>
      </c>
      <c r="J1184" s="270" t="s">
        <v>12264</v>
      </c>
      <c r="K1184" s="4837">
        <v>42643.142711299719</v>
      </c>
      <c r="L1184" s="4834">
        <f t="shared" si="77"/>
        <v>4.9360021257799037E-5</v>
      </c>
      <c r="S1184" s="270" t="s">
        <v>12264</v>
      </c>
      <c r="T1184" s="4838">
        <v>625.65352822550062</v>
      </c>
      <c r="U1184" s="4839">
        <f t="shared" si="76"/>
        <v>2.275497464522571E-3</v>
      </c>
    </row>
    <row r="1185" spans="1:21">
      <c r="A1185" s="270" t="s">
        <v>12264</v>
      </c>
      <c r="B1185" s="3305">
        <v>4603</v>
      </c>
      <c r="C1185" s="4834">
        <f t="shared" si="74"/>
        <v>8.7426266585182937E-5</v>
      </c>
      <c r="D1185" s="3" t="str">
        <f t="shared" si="75"/>
        <v>2016</v>
      </c>
      <c r="J1185" s="270" t="s">
        <v>12265</v>
      </c>
      <c r="K1185" s="4837">
        <v>42993.585848897768</v>
      </c>
      <c r="L1185" s="4834">
        <f t="shared" si="77"/>
        <v>5.0174745414278071E-5</v>
      </c>
      <c r="S1185" s="270" t="s">
        <v>12265</v>
      </c>
      <c r="T1185" s="4838">
        <v>630.15463274510853</v>
      </c>
      <c r="U1185" s="4839">
        <f t="shared" si="76"/>
        <v>2.2812760838271592E-3</v>
      </c>
    </row>
    <row r="1186" spans="1:21">
      <c r="A1186" s="270" t="s">
        <v>12265</v>
      </c>
      <c r="B1186" s="3305">
        <v>4623</v>
      </c>
      <c r="C1186" s="4834">
        <f t="shared" si="74"/>
        <v>8.9763086433908521E-5</v>
      </c>
      <c r="D1186" s="3" t="str">
        <f t="shared" si="75"/>
        <v>2016</v>
      </c>
      <c r="J1186" s="270" t="s">
        <v>12266</v>
      </c>
      <c r="K1186" s="4837">
        <v>43350.459135809535</v>
      </c>
      <c r="L1186" s="4834">
        <f t="shared" si="77"/>
        <v>5.0904896079369728E-5</v>
      </c>
      <c r="S1186" s="270" t="s">
        <v>12266</v>
      </c>
      <c r="T1186" s="4838">
        <v>640.44287164706952</v>
      </c>
      <c r="U1186" s="4839">
        <f t="shared" si="76"/>
        <v>2.2887969763605823E-3</v>
      </c>
    </row>
    <row r="1187" spans="1:21">
      <c r="A1187" s="270" t="s">
        <v>12266</v>
      </c>
      <c r="B1187" s="3305">
        <v>4643</v>
      </c>
      <c r="C1187" s="4834">
        <f t="shared" si="74"/>
        <v>9.2137758939974805E-5</v>
      </c>
      <c r="D1187" s="3" t="str">
        <f t="shared" si="75"/>
        <v>2016</v>
      </c>
      <c r="J1187" s="270" t="s">
        <v>12267</v>
      </c>
      <c r="K1187" s="4837">
        <v>43191.312940294833</v>
      </c>
      <c r="L1187" s="4834">
        <f t="shared" si="77"/>
        <v>5.0592010140878039E-5</v>
      </c>
      <c r="S1187" s="270" t="s">
        <v>12267</v>
      </c>
      <c r="T1187" s="4838">
        <v>640.76437911275559</v>
      </c>
      <c r="U1187" s="4839">
        <f t="shared" si="76"/>
        <v>2.288903815841254E-3</v>
      </c>
    </row>
    <row r="1188" spans="1:21">
      <c r="A1188" s="270" t="s">
        <v>12267</v>
      </c>
      <c r="B1188" s="3305">
        <v>4617.5</v>
      </c>
      <c r="C1188" s="4834">
        <f t="shared" si="74"/>
        <v>8.9116676431082647E-5</v>
      </c>
      <c r="D1188" s="3" t="str">
        <f t="shared" si="75"/>
        <v>2016</v>
      </c>
      <c r="J1188" s="270" t="s">
        <v>12268</v>
      </c>
      <c r="K1188" s="4837">
        <v>42787.821070858547</v>
      </c>
      <c r="L1188" s="4834">
        <f t="shared" si="77"/>
        <v>4.9707796246034185E-5</v>
      </c>
      <c r="S1188" s="270" t="s">
        <v>12268</v>
      </c>
      <c r="T1188" s="4838">
        <v>624.04599089706915</v>
      </c>
      <c r="U1188" s="4839">
        <f t="shared" si="76"/>
        <v>2.2730695864630343E-3</v>
      </c>
    </row>
    <row r="1189" spans="1:21">
      <c r="A1189" s="270" t="s">
        <v>12268</v>
      </c>
      <c r="B1189" s="3305">
        <v>4622.5</v>
      </c>
      <c r="C1189" s="4834">
        <f t="shared" si="74"/>
        <v>8.9704203507023252E-5</v>
      </c>
      <c r="D1189" s="3" t="str">
        <f t="shared" si="75"/>
        <v>2016</v>
      </c>
      <c r="J1189" s="270" t="s">
        <v>12269</v>
      </c>
      <c r="K1189" s="4837">
        <v>42586.878904804624</v>
      </c>
      <c r="L1189" s="4834">
        <f t="shared" si="77"/>
        <v>4.922053008751069E-5</v>
      </c>
      <c r="S1189" s="270" t="s">
        <v>12269</v>
      </c>
      <c r="T1189" s="4838">
        <v>601.86197576471579</v>
      </c>
      <c r="U1189" s="4839">
        <f t="shared" si="76"/>
        <v>2.2204437101512433E-3</v>
      </c>
    </row>
    <row r="1190" spans="1:21">
      <c r="A1190" s="270" t="s">
        <v>12269</v>
      </c>
      <c r="B1190" s="3305">
        <v>4573</v>
      </c>
      <c r="C1190" s="4834">
        <f t="shared" si="74"/>
        <v>8.399253917805407E-5</v>
      </c>
      <c r="D1190" s="3" t="str">
        <f t="shared" si="75"/>
        <v>2016</v>
      </c>
      <c r="J1190" s="270" t="s">
        <v>12270</v>
      </c>
      <c r="K1190" s="4837">
        <v>42556.335695564427</v>
      </c>
      <c r="L1190" s="4834">
        <f t="shared" si="77"/>
        <v>4.9143823384067932E-5</v>
      </c>
      <c r="S1190" s="270" t="s">
        <v>12270</v>
      </c>
      <c r="T1190" s="4838">
        <v>616.0083042549121</v>
      </c>
      <c r="U1190" s="4839">
        <f t="shared" si="76"/>
        <v>2.2580841443348753E-3</v>
      </c>
    </row>
    <row r="1191" spans="1:21">
      <c r="A1191" s="270" t="s">
        <v>12270</v>
      </c>
      <c r="B1191" s="3305">
        <v>4641.5</v>
      </c>
      <c r="C1191" s="4834">
        <f t="shared" si="74"/>
        <v>9.1958351572913566E-5</v>
      </c>
      <c r="D1191" s="3" t="str">
        <f t="shared" si="75"/>
        <v>2016</v>
      </c>
      <c r="J1191" s="270" t="s">
        <v>12271</v>
      </c>
      <c r="K1191" s="4837">
        <v>42495.249277084033</v>
      </c>
      <c r="L1191" s="4834">
        <f t="shared" si="77"/>
        <v>4.8988352332166724E-5</v>
      </c>
      <c r="S1191" s="270" t="s">
        <v>12271</v>
      </c>
      <c r="T1191" s="4838">
        <v>612.15021466667679</v>
      </c>
      <c r="U1191" s="4839">
        <f t="shared" si="76"/>
        <v>2.2492255733097418E-3</v>
      </c>
    </row>
    <row r="1192" spans="1:21">
      <c r="A1192" s="270" t="s">
        <v>12271</v>
      </c>
      <c r="B1192" s="3305">
        <v>4694.5</v>
      </c>
      <c r="C1192" s="4834">
        <f t="shared" si="74"/>
        <v>9.842467420353197E-5</v>
      </c>
      <c r="D1192" s="3" t="str">
        <f t="shared" si="75"/>
        <v>2016</v>
      </c>
      <c r="J1192" s="270" t="s">
        <v>12272</v>
      </c>
      <c r="K1192" s="4837">
        <v>42143.198602157558</v>
      </c>
      <c r="L1192" s="4834">
        <f t="shared" si="77"/>
        <v>4.8040281178817826E-5</v>
      </c>
      <c r="S1192" s="270" t="s">
        <v>12272</v>
      </c>
      <c r="T1192" s="4838">
        <v>609.57815494118654</v>
      </c>
      <c r="U1192" s="4839">
        <f t="shared" si="76"/>
        <v>2.2427282314372399E-3</v>
      </c>
    </row>
    <row r="1193" spans="1:21">
      <c r="A1193" s="270" t="s">
        <v>12272</v>
      </c>
      <c r="B1193" s="3305">
        <v>4727</v>
      </c>
      <c r="C1193" s="4834">
        <f t="shared" si="74"/>
        <v>1.0251764603457349E-4</v>
      </c>
      <c r="D1193" s="3" t="str">
        <f t="shared" si="75"/>
        <v>2016</v>
      </c>
      <c r="J1193" s="270" t="s">
        <v>12273</v>
      </c>
      <c r="K1193" s="4837">
        <v>42064.429273064423</v>
      </c>
      <c r="L1193" s="4834">
        <f t="shared" si="77"/>
        <v>4.7816380694682027E-5</v>
      </c>
      <c r="S1193" s="270" t="s">
        <v>12273</v>
      </c>
      <c r="T1193" s="4838">
        <v>607.97061761275518</v>
      </c>
      <c r="U1193" s="4839">
        <f t="shared" si="76"/>
        <v>2.2384292273661525E-3</v>
      </c>
    </row>
    <row r="1194" spans="1:21">
      <c r="A1194" s="270" t="s">
        <v>12273</v>
      </c>
      <c r="B1194" s="3305">
        <v>4733.5</v>
      </c>
      <c r="C1194" s="4834">
        <f t="shared" si="74"/>
        <v>1.0334769703954102E-4</v>
      </c>
      <c r="D1194" s="3" t="str">
        <f t="shared" si="75"/>
        <v>2016</v>
      </c>
      <c r="J1194" s="270" t="s">
        <v>12274</v>
      </c>
      <c r="K1194" s="4837">
        <v>42273.409125760503</v>
      </c>
      <c r="L1194" s="4834">
        <f t="shared" si="77"/>
        <v>4.8401097646944959E-5</v>
      </c>
      <c r="S1194" s="270" t="s">
        <v>12274</v>
      </c>
      <c r="T1194" s="4838">
        <v>614.72227439216704</v>
      </c>
      <c r="U1194" s="4839">
        <f t="shared" si="76"/>
        <v>2.2552502682938232E-3</v>
      </c>
    </row>
    <row r="1195" spans="1:21">
      <c r="A1195" s="270" t="s">
        <v>12274</v>
      </c>
      <c r="B1195" s="3305">
        <v>4731.5</v>
      </c>
      <c r="C1195" s="4834">
        <f t="shared" si="74"/>
        <v>1.0309189315148905E-4</v>
      </c>
      <c r="D1195" s="3" t="str">
        <f t="shared" si="75"/>
        <v>2016</v>
      </c>
      <c r="J1195" s="270" t="s">
        <v>12275</v>
      </c>
      <c r="K1195" s="4837">
        <v>42239.65084186344</v>
      </c>
      <c r="L1195" s="4834">
        <f t="shared" si="77"/>
        <v>4.830867916004471E-5</v>
      </c>
      <c r="S1195" s="270" t="s">
        <v>12275</v>
      </c>
      <c r="T1195" s="4838">
        <v>616.3298117205984</v>
      </c>
      <c r="U1195" s="4839">
        <f t="shared" si="76"/>
        <v>2.2587739435350192E-3</v>
      </c>
    </row>
    <row r="1196" spans="1:21">
      <c r="A1196" s="270" t="s">
        <v>12275</v>
      </c>
      <c r="B1196" s="3305">
        <v>4732.5</v>
      </c>
      <c r="C1196" s="4834">
        <f t="shared" si="74"/>
        <v>1.0321975030790511E-4</v>
      </c>
      <c r="D1196" s="3" t="str">
        <f t="shared" si="75"/>
        <v>2016</v>
      </c>
      <c r="J1196" s="270" t="s">
        <v>12276</v>
      </c>
      <c r="K1196" s="4837">
        <v>42635.105024657561</v>
      </c>
      <c r="L1196" s="4834">
        <f t="shared" si="77"/>
        <v>4.9340238286968328E-5</v>
      </c>
      <c r="S1196" s="270" t="s">
        <v>12276</v>
      </c>
      <c r="T1196" s="4838">
        <v>624.68900582844162</v>
      </c>
      <c r="U1196" s="4839">
        <f t="shared" si="76"/>
        <v>2.2740636538711883E-3</v>
      </c>
    </row>
    <row r="1197" spans="1:21">
      <c r="A1197" s="270" t="s">
        <v>12276</v>
      </c>
      <c r="B1197" s="3305">
        <v>4733</v>
      </c>
      <c r="C1197" s="4834">
        <f t="shared" si="74"/>
        <v>1.0328371248055905E-4</v>
      </c>
      <c r="D1197" s="3" t="str">
        <f t="shared" si="75"/>
        <v>2016</v>
      </c>
      <c r="J1197" s="270" t="s">
        <v>12277</v>
      </c>
      <c r="K1197" s="4837">
        <v>43053.064730049729</v>
      </c>
      <c r="L1197" s="4834">
        <f t="shared" si="77"/>
        <v>5.0303545320680338E-5</v>
      </c>
      <c r="S1197" s="270" t="s">
        <v>12277</v>
      </c>
      <c r="T1197" s="4838">
        <v>639.15684178432423</v>
      </c>
      <c r="U1197" s="4839">
        <f t="shared" si="76"/>
        <v>2.2882917581808207E-3</v>
      </c>
    </row>
    <row r="1198" spans="1:21">
      <c r="A1198" s="270" t="s">
        <v>12277</v>
      </c>
      <c r="B1198" s="3305">
        <v>4815.5</v>
      </c>
      <c r="C1198" s="4834">
        <f t="shared" si="74"/>
        <v>1.14137951141451E-4</v>
      </c>
      <c r="D1198" s="3" t="str">
        <f t="shared" si="75"/>
        <v>2016</v>
      </c>
      <c r="J1198" s="270" t="s">
        <v>12278</v>
      </c>
      <c r="K1198" s="4837">
        <v>43038.596894093847</v>
      </c>
      <c r="L1198" s="4834">
        <f t="shared" si="77"/>
        <v>5.0272473671343436E-5</v>
      </c>
      <c r="S1198" s="270" t="s">
        <v>12278</v>
      </c>
      <c r="T1198" s="4838">
        <v>637.22779699020657</v>
      </c>
      <c r="U1198" s="4839">
        <f t="shared" si="76"/>
        <v>2.2873005029235317E-3</v>
      </c>
    </row>
    <row r="1199" spans="1:21">
      <c r="A1199" s="270" t="s">
        <v>12278</v>
      </c>
      <c r="B1199" s="3305">
        <v>4815</v>
      </c>
      <c r="C1199" s="4834">
        <f t="shared" si="74"/>
        <v>1.1407040844177859E-4</v>
      </c>
      <c r="D1199" s="3" t="str">
        <f t="shared" si="75"/>
        <v>2016</v>
      </c>
      <c r="J1199" s="270" t="s">
        <v>12279</v>
      </c>
      <c r="K1199" s="4837">
        <v>43098.075775245808</v>
      </c>
      <c r="L1199" s="4834">
        <f t="shared" si="77"/>
        <v>5.0399146659756547E-5</v>
      </c>
      <c r="S1199" s="270" t="s">
        <v>12279</v>
      </c>
      <c r="T1199" s="4838">
        <v>625.01051329412803</v>
      </c>
      <c r="U1199" s="4839">
        <f t="shared" si="76"/>
        <v>2.2745492344206607E-3</v>
      </c>
    </row>
    <row r="1200" spans="1:21">
      <c r="A1200" s="270" t="s">
        <v>12279</v>
      </c>
      <c r="B1200" s="3305">
        <v>4794</v>
      </c>
      <c r="C1200" s="4834">
        <f t="shared" si="74"/>
        <v>1.1125264858566568E-4</v>
      </c>
      <c r="D1200" s="3" t="str">
        <f t="shared" si="75"/>
        <v>2016</v>
      </c>
      <c r="J1200" s="270" t="s">
        <v>12280</v>
      </c>
      <c r="K1200" s="4837">
        <v>42664.040696569333</v>
      </c>
      <c r="L1200" s="4834">
        <f t="shared" si="77"/>
        <v>4.94112308467596E-5</v>
      </c>
      <c r="S1200" s="270" t="s">
        <v>12280</v>
      </c>
      <c r="T1200" s="4838">
        <v>624.36749836275544</v>
      </c>
      <c r="U1200" s="4839">
        <f t="shared" si="76"/>
        <v>2.2735704362138072E-3</v>
      </c>
    </row>
    <row r="1201" spans="1:21">
      <c r="A1201" s="270" t="s">
        <v>12280</v>
      </c>
      <c r="B1201" s="3305">
        <v>4775</v>
      </c>
      <c r="C1201" s="4834">
        <f t="shared" si="74"/>
        <v>1.0873568147228403E-4</v>
      </c>
      <c r="D1201" s="3" t="str">
        <f t="shared" si="75"/>
        <v>2016</v>
      </c>
      <c r="J1201" s="270" t="s">
        <v>12281</v>
      </c>
      <c r="K1201" s="4837">
        <v>42519.362337010505</v>
      </c>
      <c r="L1201" s="4834">
        <f t="shared" si="77"/>
        <v>4.9050048948742161E-5</v>
      </c>
      <c r="S1201" s="270" t="s">
        <v>12281</v>
      </c>
      <c r="T1201" s="4838">
        <v>614.72227439216704</v>
      </c>
      <c r="U1201" s="4839">
        <f t="shared" si="76"/>
        <v>2.2552502682938232E-3</v>
      </c>
    </row>
    <row r="1202" spans="1:21">
      <c r="A1202" s="270" t="s">
        <v>12281</v>
      </c>
      <c r="B1202" s="3305">
        <v>4807.5</v>
      </c>
      <c r="C1202" s="4834">
        <f t="shared" si="74"/>
        <v>1.1305978661210126E-4</v>
      </c>
      <c r="D1202" s="3" t="str">
        <f t="shared" si="75"/>
        <v>2016</v>
      </c>
      <c r="J1202" s="270" t="s">
        <v>12282</v>
      </c>
      <c r="K1202" s="4837">
        <v>42377.899052108536</v>
      </c>
      <c r="L1202" s="4834">
        <f t="shared" si="77"/>
        <v>4.8682080253045826E-5</v>
      </c>
      <c r="S1202" s="270" t="s">
        <v>12282</v>
      </c>
      <c r="T1202" s="4838">
        <v>611.1856922696179</v>
      </c>
      <c r="U1202" s="4839">
        <f t="shared" si="76"/>
        <v>2.2468442396834185E-3</v>
      </c>
    </row>
    <row r="1203" spans="1:21">
      <c r="A1203" s="270" t="s">
        <v>12282</v>
      </c>
      <c r="B1203" s="3305">
        <v>4816.5</v>
      </c>
      <c r="C1203" s="4834">
        <f t="shared" si="74"/>
        <v>1.1427309932564193E-4</v>
      </c>
      <c r="D1203" s="3" t="str">
        <f t="shared" si="75"/>
        <v>2016</v>
      </c>
      <c r="J1203" s="270" t="s">
        <v>12283</v>
      </c>
      <c r="K1203" s="4837">
        <v>42519.362337010505</v>
      </c>
      <c r="L1203" s="4834">
        <f t="shared" si="77"/>
        <v>4.9050048948742161E-5</v>
      </c>
      <c r="S1203" s="270" t="s">
        <v>12283</v>
      </c>
      <c r="T1203" s="4838">
        <v>622.11694610295137</v>
      </c>
      <c r="U1203" s="4839">
        <f t="shared" si="76"/>
        <v>2.269904504482135E-3</v>
      </c>
    </row>
    <row r="1204" spans="1:21">
      <c r="A1204" s="270" t="s">
        <v>12283</v>
      </c>
      <c r="B1204" s="3305">
        <v>4832</v>
      </c>
      <c r="C1204" s="4834">
        <f t="shared" si="74"/>
        <v>1.163785412786174E-4</v>
      </c>
      <c r="D1204" s="3" t="str">
        <f t="shared" si="75"/>
        <v>2016</v>
      </c>
      <c r="J1204" s="270" t="s">
        <v>12284</v>
      </c>
      <c r="K1204" s="4837">
        <v>42223.575468579125</v>
      </c>
      <c r="L1204" s="4834">
        <f t="shared" si="77"/>
        <v>4.8264391725905474E-5</v>
      </c>
      <c r="S1204" s="270" t="s">
        <v>12284</v>
      </c>
      <c r="T1204" s="4838">
        <v>616.6513191862847</v>
      </c>
      <c r="U1204" s="4839">
        <f t="shared" si="76"/>
        <v>2.2594562607373869E-3</v>
      </c>
    </row>
    <row r="1205" spans="1:21">
      <c r="A1205" s="270" t="s">
        <v>12284</v>
      </c>
      <c r="B1205" s="3305">
        <v>4807</v>
      </c>
      <c r="C1205" s="4834">
        <f t="shared" si="74"/>
        <v>1.1299258018877474E-4</v>
      </c>
      <c r="D1205" s="3" t="str">
        <f t="shared" si="75"/>
        <v>2016</v>
      </c>
      <c r="J1205" s="270" t="s">
        <v>12285</v>
      </c>
      <c r="K1205" s="4837">
        <v>41259.053071520284</v>
      </c>
      <c r="L1205" s="4834">
        <f t="shared" si="77"/>
        <v>4.5301026573845499E-5</v>
      </c>
      <c r="S1205" s="270" t="s">
        <v>12285</v>
      </c>
      <c r="T1205" s="4838">
        <v>602.50499069608827</v>
      </c>
      <c r="U1205" s="4839">
        <f t="shared" si="76"/>
        <v>2.2224587278647256E-3</v>
      </c>
    </row>
    <row r="1206" spans="1:21">
      <c r="A1206" s="270" t="s">
        <v>12285</v>
      </c>
      <c r="B1206" s="3305">
        <v>4790.5</v>
      </c>
      <c r="C1206" s="4834">
        <f t="shared" si="74"/>
        <v>1.1078666477732515E-4</v>
      </c>
      <c r="D1206" s="3" t="str">
        <f t="shared" si="75"/>
        <v>2016</v>
      </c>
      <c r="J1206" s="270" t="s">
        <v>12286</v>
      </c>
      <c r="K1206" s="4837">
        <v>40812.157694216359</v>
      </c>
      <c r="L1206" s="4834">
        <f t="shared" si="77"/>
        <v>4.374657151823575E-5</v>
      </c>
      <c r="S1206" s="270" t="s">
        <v>12286</v>
      </c>
      <c r="T1206" s="4838">
        <v>572.28328892157811</v>
      </c>
      <c r="U1206" s="4839">
        <f t="shared" si="76"/>
        <v>2.0985778546043642E-3</v>
      </c>
    </row>
    <row r="1207" spans="1:21">
      <c r="A1207" s="270" t="s">
        <v>12286</v>
      </c>
      <c r="B1207" s="3305">
        <v>4777.5</v>
      </c>
      <c r="C1207" s="4834">
        <f t="shared" si="74"/>
        <v>1.0906508166471142E-4</v>
      </c>
      <c r="D1207" s="3" t="str">
        <f t="shared" si="75"/>
        <v>2016</v>
      </c>
      <c r="J1207" s="270" t="s">
        <v>12287</v>
      </c>
      <c r="K1207" s="4837">
        <v>40333.111570343804</v>
      </c>
      <c r="L1207" s="4834">
        <f t="shared" si="77"/>
        <v>4.197509688982415E-5</v>
      </c>
      <c r="S1207" s="270" t="s">
        <v>12287</v>
      </c>
      <c r="T1207" s="4838">
        <v>570.99725905883304</v>
      </c>
      <c r="U1207" s="4839">
        <f t="shared" si="76"/>
        <v>2.0920657665781544E-3</v>
      </c>
    </row>
    <row r="1208" spans="1:21">
      <c r="A1208" s="270" t="s">
        <v>12287</v>
      </c>
      <c r="B1208" s="3305">
        <v>4742</v>
      </c>
      <c r="C1208" s="4834">
        <f t="shared" si="74"/>
        <v>1.0443885232459994E-4</v>
      </c>
      <c r="D1208" s="3" t="str">
        <f t="shared" si="75"/>
        <v>2016</v>
      </c>
      <c r="J1208" s="270" t="s">
        <v>12288</v>
      </c>
      <c r="K1208" s="4837">
        <v>40469.752243260475</v>
      </c>
      <c r="L1208" s="4834">
        <f t="shared" si="77"/>
        <v>4.2490453568505652E-5</v>
      </c>
      <c r="S1208" s="270" t="s">
        <v>12288</v>
      </c>
      <c r="T1208" s="4838">
        <v>557.17243803432279</v>
      </c>
      <c r="U1208" s="4839">
        <f t="shared" si="76"/>
        <v>2.0163751507176375E-3</v>
      </c>
    </row>
    <row r="1209" spans="1:21">
      <c r="A1209" s="270" t="s">
        <v>12288</v>
      </c>
      <c r="B1209" s="3305">
        <v>4742</v>
      </c>
      <c r="C1209" s="4834">
        <f t="shared" si="74"/>
        <v>1.0443885232459994E-4</v>
      </c>
      <c r="D1209" s="3" t="str">
        <f t="shared" si="75"/>
        <v>2016</v>
      </c>
      <c r="J1209" s="270" t="s">
        <v>12289</v>
      </c>
      <c r="K1209" s="4837">
        <v>40493.865303186947</v>
      </c>
      <c r="L1209" s="4834">
        <f t="shared" si="77"/>
        <v>4.2580599163048144E-5</v>
      </c>
      <c r="S1209" s="270" t="s">
        <v>12289</v>
      </c>
      <c r="T1209" s="4838">
        <v>571.64027399020551</v>
      </c>
      <c r="U1209" s="4839">
        <f t="shared" si="76"/>
        <v>2.0953335485031444E-3</v>
      </c>
    </row>
    <row r="1210" spans="1:21">
      <c r="A1210" s="270" t="s">
        <v>12289</v>
      </c>
      <c r="B1210" s="3305">
        <v>4786</v>
      </c>
      <c r="C1210" s="4834">
        <f t="shared" si="74"/>
        <v>1.1018908536080866E-4</v>
      </c>
      <c r="D1210" s="3" t="str">
        <f t="shared" si="75"/>
        <v>2016</v>
      </c>
      <c r="J1210" s="270" t="s">
        <v>12290</v>
      </c>
      <c r="K1210" s="4837">
        <v>40299.353286446749</v>
      </c>
      <c r="L1210" s="4834">
        <f t="shared" si="77"/>
        <v>4.1846618293879439E-5</v>
      </c>
      <c r="S1210" s="270" t="s">
        <v>12290</v>
      </c>
      <c r="T1210" s="4838">
        <v>561.99505001961711</v>
      </c>
      <c r="U1210" s="4839">
        <f t="shared" si="76"/>
        <v>2.0439235062253481E-3</v>
      </c>
    </row>
    <row r="1211" spans="1:21">
      <c r="A1211" s="270" t="s">
        <v>12290</v>
      </c>
      <c r="B1211" s="3305">
        <v>4801.5</v>
      </c>
      <c r="C1211" s="4834">
        <f t="shared" si="74"/>
        <v>1.1225470443018874E-4</v>
      </c>
      <c r="D1211" s="3" t="str">
        <f t="shared" si="75"/>
        <v>2016</v>
      </c>
      <c r="J1211" s="270" t="s">
        <v>12291</v>
      </c>
      <c r="K1211" s="4837">
        <v>40397.413063481057</v>
      </c>
      <c r="L1211" s="4834">
        <f t="shared" si="77"/>
        <v>4.2218564672417374E-5</v>
      </c>
      <c r="S1211" s="270" t="s">
        <v>12291</v>
      </c>
      <c r="T1211" s="4838">
        <v>560.70902015687204</v>
      </c>
      <c r="U1211" s="4839">
        <f t="shared" si="76"/>
        <v>2.0366932359214751E-3</v>
      </c>
    </row>
    <row r="1212" spans="1:21">
      <c r="A1212" s="270" t="s">
        <v>12291</v>
      </c>
      <c r="B1212" s="3305">
        <v>4805</v>
      </c>
      <c r="C1212" s="4834">
        <f t="shared" si="74"/>
        <v>1.1272396561443124E-4</v>
      </c>
      <c r="D1212" s="3" t="str">
        <f t="shared" si="75"/>
        <v>2016</v>
      </c>
      <c r="J1212" s="270" t="s">
        <v>12292</v>
      </c>
      <c r="K1212" s="4837">
        <v>40543.698960368318</v>
      </c>
      <c r="L1212" s="4834">
        <f t="shared" si="77"/>
        <v>4.2766117962281135E-5</v>
      </c>
      <c r="S1212" s="270" t="s">
        <v>12292</v>
      </c>
      <c r="T1212" s="4838">
        <v>565.53163214216613</v>
      </c>
      <c r="U1212" s="4839">
        <f t="shared" si="76"/>
        <v>2.0633597229444715E-3</v>
      </c>
    </row>
    <row r="1213" spans="1:21">
      <c r="A1213" s="270" t="s">
        <v>12292</v>
      </c>
      <c r="B1213" s="3305">
        <v>4754.5</v>
      </c>
      <c r="C1213" s="4834">
        <f t="shared" si="74"/>
        <v>1.0605516192724811E-4</v>
      </c>
      <c r="D1213" s="3" t="str">
        <f t="shared" si="75"/>
        <v>2016</v>
      </c>
      <c r="J1213" s="270" t="s">
        <v>12293</v>
      </c>
      <c r="K1213" s="4837">
        <v>40244.697017280072</v>
      </c>
      <c r="L1213" s="4834">
        <f t="shared" si="77"/>
        <v>4.1637665652998008E-5</v>
      </c>
      <c r="S1213" s="270" t="s">
        <v>12293</v>
      </c>
      <c r="T1213" s="4838">
        <v>561.67354255393082</v>
      </c>
      <c r="U1213" s="4839">
        <f t="shared" si="76"/>
        <v>2.0421239649869027E-3</v>
      </c>
    </row>
    <row r="1214" spans="1:21">
      <c r="A1214" s="270" t="s">
        <v>12293</v>
      </c>
      <c r="B1214" s="3305">
        <v>4672.5</v>
      </c>
      <c r="C1214" s="4834">
        <f t="shared" si="74"/>
        <v>9.5708884874718515E-5</v>
      </c>
      <c r="D1214" s="3" t="str">
        <f t="shared" si="75"/>
        <v>2016</v>
      </c>
      <c r="J1214" s="270" t="s">
        <v>12294</v>
      </c>
      <c r="K1214" s="4837">
        <v>40342.756794314388</v>
      </c>
      <c r="L1214" s="4834">
        <f t="shared" si="77"/>
        <v>4.2011722492734762E-5</v>
      </c>
      <c r="S1214" s="270" t="s">
        <v>12294</v>
      </c>
      <c r="T1214" s="4838">
        <v>559.42299029412675</v>
      </c>
      <c r="U1214" s="4839">
        <f t="shared" si="76"/>
        <v>2.0293779894825911E-3</v>
      </c>
    </row>
    <row r="1215" spans="1:21">
      <c r="A1215" s="270" t="s">
        <v>12294</v>
      </c>
      <c r="B1215" s="3305">
        <v>4671.5</v>
      </c>
      <c r="C1215" s="4834">
        <f t="shared" si="74"/>
        <v>9.5586502371292572E-5</v>
      </c>
      <c r="D1215" s="3" t="str">
        <f t="shared" si="75"/>
        <v>2016</v>
      </c>
      <c r="J1215" s="270" t="s">
        <v>12295</v>
      </c>
      <c r="K1215" s="4837">
        <v>40452.069332647727</v>
      </c>
      <c r="L1215" s="4834">
        <f t="shared" si="77"/>
        <v>4.2424191845256741E-5</v>
      </c>
      <c r="S1215" s="270" t="s">
        <v>12295</v>
      </c>
      <c r="T1215" s="4838">
        <v>567.46067693628379</v>
      </c>
      <c r="U1215" s="4839">
        <f t="shared" si="76"/>
        <v>2.0736789837983169E-3</v>
      </c>
    </row>
    <row r="1216" spans="1:21">
      <c r="A1216" s="270" t="s">
        <v>12295</v>
      </c>
      <c r="B1216" s="3305">
        <v>4665.5</v>
      </c>
      <c r="C1216" s="4834">
        <f t="shared" si="74"/>
        <v>9.4854156789280815E-5</v>
      </c>
      <c r="D1216" s="3" t="str">
        <f t="shared" si="75"/>
        <v>2016</v>
      </c>
      <c r="J1216" s="270" t="s">
        <v>12296</v>
      </c>
      <c r="K1216" s="4837">
        <v>40800.904932917343</v>
      </c>
      <c r="L1216" s="4834">
        <f t="shared" si="77"/>
        <v>4.3706141433374559E-5</v>
      </c>
      <c r="S1216" s="270" t="s">
        <v>12296</v>
      </c>
      <c r="T1216" s="4838">
        <v>568.74670679902908</v>
      </c>
      <c r="U1216" s="4839">
        <f t="shared" si="76"/>
        <v>2.0804454771262155E-3</v>
      </c>
    </row>
    <row r="1217" spans="1:21">
      <c r="A1217" s="270" t="s">
        <v>12296</v>
      </c>
      <c r="B1217" s="3305">
        <v>4642.5</v>
      </c>
      <c r="C1217" s="4834">
        <f t="shared" si="74"/>
        <v>9.2077932995311292E-5</v>
      </c>
      <c r="D1217" s="3" t="str">
        <f t="shared" si="75"/>
        <v>2016</v>
      </c>
      <c r="J1217" s="270" t="s">
        <v>12297</v>
      </c>
      <c r="K1217" s="4837">
        <v>40884.496873995769</v>
      </c>
      <c r="L1217" s="4834">
        <f t="shared" si="77"/>
        <v>4.4005029053552983E-5</v>
      </c>
      <c r="S1217" s="270" t="s">
        <v>12297</v>
      </c>
      <c r="T1217" s="4838">
        <v>565.85313960785254</v>
      </c>
      <c r="U1217" s="4839">
        <f t="shared" si="76"/>
        <v>2.0650936040706703E-3</v>
      </c>
    </row>
    <row r="1218" spans="1:21">
      <c r="A1218" s="270" t="s">
        <v>12297</v>
      </c>
      <c r="B1218" s="3305">
        <v>4633.5</v>
      </c>
      <c r="C1218" s="4834">
        <f t="shared" si="74"/>
        <v>9.1005086836754056E-5</v>
      </c>
      <c r="D1218" s="3" t="str">
        <f t="shared" si="75"/>
        <v>2016</v>
      </c>
      <c r="J1218" s="270" t="s">
        <v>12298</v>
      </c>
      <c r="K1218" s="4837">
        <v>40704.452693211453</v>
      </c>
      <c r="L1218" s="4834">
        <f t="shared" si="77"/>
        <v>4.335715822916575E-5</v>
      </c>
      <c r="S1218" s="270" t="s">
        <v>12298</v>
      </c>
      <c r="T1218" s="4838">
        <v>562.959572416676</v>
      </c>
      <c r="U1218" s="4839">
        <f t="shared" si="76"/>
        <v>2.0492897868117262E-3</v>
      </c>
    </row>
    <row r="1219" spans="1:21">
      <c r="A1219" s="270" t="s">
        <v>12298</v>
      </c>
      <c r="B1219" s="3305">
        <v>4637</v>
      </c>
      <c r="C1219" s="4834">
        <f t="shared" si="74"/>
        <v>9.1421398800024001E-5</v>
      </c>
      <c r="D1219" s="3" t="str">
        <f t="shared" si="75"/>
        <v>2016</v>
      </c>
      <c r="J1219" s="270" t="s">
        <v>12299</v>
      </c>
      <c r="K1219" s="4837">
        <v>40688.377319927138</v>
      </c>
      <c r="L1219" s="4834">
        <f t="shared" si="77"/>
        <v>4.3298575758302652E-5</v>
      </c>
      <c r="S1219" s="270" t="s">
        <v>12299</v>
      </c>
      <c r="T1219" s="4838">
        <v>567.13916947059761</v>
      </c>
      <c r="U1219" s="4839">
        <f t="shared" si="76"/>
        <v>2.0719731658996586E-3</v>
      </c>
    </row>
    <row r="1220" spans="1:21">
      <c r="A1220" s="270" t="s">
        <v>12299</v>
      </c>
      <c r="B1220" s="3305">
        <v>4620.5</v>
      </c>
      <c r="C1220" s="4834">
        <f t="shared" ref="C1220:C1283" si="78">_xlfn.NORM.DIST(B1220,$F$4,$F$3,FALSE)</f>
        <v>8.9468908480347013E-5</v>
      </c>
      <c r="D1220" s="3" t="str">
        <f t="shared" ref="D1220:D1283" si="79">LEFT(A1220,4)</f>
        <v>2016</v>
      </c>
      <c r="J1220" s="270" t="s">
        <v>12300</v>
      </c>
      <c r="K1220" s="4837">
        <v>40812.157694216359</v>
      </c>
      <c r="L1220" s="4834">
        <f t="shared" si="77"/>
        <v>4.374657151823575E-5</v>
      </c>
      <c r="S1220" s="270" t="s">
        <v>12300</v>
      </c>
      <c r="T1220" s="4838">
        <v>570.03273666177415</v>
      </c>
      <c r="U1220" s="4839">
        <f t="shared" ref="U1220:U1283" si="80">_xlfn.NORM.DIST(T1220,$X$4,$X$3,FALSE)</f>
        <v>2.0871203513634249E-3</v>
      </c>
    </row>
    <row r="1221" spans="1:21">
      <c r="A1221" s="270" t="s">
        <v>12300</v>
      </c>
      <c r="B1221" s="3305">
        <v>4720</v>
      </c>
      <c r="C1221" s="4834">
        <f t="shared" si="78"/>
        <v>1.016279931520989E-4</v>
      </c>
      <c r="D1221" s="3" t="str">
        <f t="shared" si="79"/>
        <v>2016</v>
      </c>
      <c r="J1221" s="270" t="s">
        <v>12301</v>
      </c>
      <c r="K1221" s="4837">
        <v>40847.523515441848</v>
      </c>
      <c r="L1221" s="4834">
        <f t="shared" ref="L1221:L1284" si="81">_xlfn.NORM.DIST(K1221,$O$4,$O$3,FALSE)</f>
        <v>4.3873243795380143E-5</v>
      </c>
      <c r="S1221" s="270" t="s">
        <v>12301</v>
      </c>
      <c r="T1221" s="4838">
        <v>567.7821844019702</v>
      </c>
      <c r="U1221" s="4839">
        <f t="shared" si="80"/>
        <v>2.0753791400713972E-3</v>
      </c>
    </row>
    <row r="1222" spans="1:21">
      <c r="A1222" s="270" t="s">
        <v>12301</v>
      </c>
      <c r="B1222" s="3305">
        <v>4717.5</v>
      </c>
      <c r="C1222" s="4834">
        <f t="shared" si="78"/>
        <v>1.0131133130726997E-4</v>
      </c>
      <c r="D1222" s="3" t="str">
        <f t="shared" si="79"/>
        <v>2016</v>
      </c>
      <c r="J1222" s="270" t="s">
        <v>12302</v>
      </c>
      <c r="K1222" s="4837">
        <v>40710.882842525178</v>
      </c>
      <c r="L1222" s="4834">
        <f t="shared" si="81"/>
        <v>4.3380558090891258E-5</v>
      </c>
      <c r="S1222" s="270" t="s">
        <v>12302</v>
      </c>
      <c r="T1222" s="4838">
        <v>567.7821844019702</v>
      </c>
      <c r="U1222" s="4839">
        <f t="shared" si="80"/>
        <v>2.0753791400713972E-3</v>
      </c>
    </row>
    <row r="1223" spans="1:21">
      <c r="A1223" s="270" t="s">
        <v>12302</v>
      </c>
      <c r="B1223" s="3305">
        <v>4774</v>
      </c>
      <c r="C1223" s="4834">
        <f t="shared" si="78"/>
        <v>1.0860407323962046E-4</v>
      </c>
      <c r="D1223" s="3" t="str">
        <f t="shared" si="79"/>
        <v>2016</v>
      </c>
      <c r="J1223" s="270" t="s">
        <v>12303</v>
      </c>
      <c r="K1223" s="4837">
        <v>40927.900381863423</v>
      </c>
      <c r="L1223" s="4834">
        <f t="shared" si="81"/>
        <v>4.4158881277868037E-5</v>
      </c>
      <c r="S1223" s="270" t="s">
        <v>12303</v>
      </c>
      <c r="T1223" s="4838">
        <v>566.17464707353872</v>
      </c>
      <c r="U1223" s="4839">
        <f t="shared" si="80"/>
        <v>2.0668219053508736E-3</v>
      </c>
    </row>
    <row r="1224" spans="1:21">
      <c r="A1224" s="270" t="s">
        <v>12303</v>
      </c>
      <c r="B1224" s="3305">
        <v>4787</v>
      </c>
      <c r="C1224" s="4834">
        <f t="shared" si="78"/>
        <v>1.1032173050556494E-4</v>
      </c>
      <c r="D1224" s="3" t="str">
        <f t="shared" si="79"/>
        <v>2016</v>
      </c>
      <c r="J1224" s="270" t="s">
        <v>12304</v>
      </c>
      <c r="K1224" s="4837">
        <v>40895.749635294793</v>
      </c>
      <c r="L1224" s="4834">
        <f t="shared" si="81"/>
        <v>4.4045005523427807E-5</v>
      </c>
      <c r="S1224" s="270" t="s">
        <v>12304</v>
      </c>
      <c r="T1224" s="4838">
        <v>570.99725905883304</v>
      </c>
      <c r="U1224" s="4839">
        <f t="shared" si="80"/>
        <v>2.0920657665781544E-3</v>
      </c>
    </row>
    <row r="1225" spans="1:21">
      <c r="A1225" s="270" t="s">
        <v>12304</v>
      </c>
      <c r="B1225" s="3305">
        <v>4827.5</v>
      </c>
      <c r="C1225" s="4834">
        <f t="shared" si="78"/>
        <v>1.1576523183654479E-4</v>
      </c>
      <c r="D1225" s="3" t="str">
        <f t="shared" si="79"/>
        <v>2016</v>
      </c>
      <c r="J1225" s="270" t="s">
        <v>12305</v>
      </c>
      <c r="K1225" s="4837">
        <v>41424.629416348725</v>
      </c>
      <c r="L1225" s="4834">
        <f t="shared" si="81"/>
        <v>4.5849891278101643E-5</v>
      </c>
      <c r="S1225" s="270" t="s">
        <v>12305</v>
      </c>
      <c r="T1225" s="4838">
        <v>586.4296174117743</v>
      </c>
      <c r="U1225" s="4839">
        <f t="shared" si="80"/>
        <v>2.1637691865092354E-3</v>
      </c>
    </row>
    <row r="1226" spans="1:21">
      <c r="A1226" s="270" t="s">
        <v>12305</v>
      </c>
      <c r="B1226" s="3305">
        <v>4862.5</v>
      </c>
      <c r="C1226" s="4834">
        <f t="shared" si="78"/>
        <v>1.2057896453795631E-4</v>
      </c>
      <c r="D1226" s="3" t="str">
        <f t="shared" si="79"/>
        <v>2016</v>
      </c>
      <c r="J1226" s="270" t="s">
        <v>12306</v>
      </c>
      <c r="K1226" s="4837">
        <v>41916.535838848729</v>
      </c>
      <c r="L1226" s="4834">
        <f t="shared" si="81"/>
        <v>4.7384813411436215E-5</v>
      </c>
      <c r="S1226" s="270" t="s">
        <v>12306</v>
      </c>
      <c r="T1226" s="4838">
        <v>596.07484138236282</v>
      </c>
      <c r="U1226" s="4839">
        <f t="shared" si="80"/>
        <v>2.2010412634067612E-3</v>
      </c>
    </row>
    <row r="1227" spans="1:21">
      <c r="A1227" s="270" t="s">
        <v>12306</v>
      </c>
      <c r="B1227" s="3305">
        <v>4871</v>
      </c>
      <c r="C1227" s="4834">
        <f t="shared" si="78"/>
        <v>1.2176288142243708E-4</v>
      </c>
      <c r="D1227" s="3" t="str">
        <f t="shared" si="79"/>
        <v>2016</v>
      </c>
      <c r="J1227" s="270" t="s">
        <v>12307</v>
      </c>
      <c r="K1227" s="4837">
        <v>41828.121285785004</v>
      </c>
      <c r="L1227" s="4834">
        <f t="shared" si="81"/>
        <v>4.7119998721124885E-5</v>
      </c>
      <c r="S1227" s="270" t="s">
        <v>12307</v>
      </c>
      <c r="T1227" s="4838">
        <v>580.96399049510762</v>
      </c>
      <c r="U1227" s="4839">
        <f t="shared" si="80"/>
        <v>2.1400164391062494E-3</v>
      </c>
    </row>
    <row r="1228" spans="1:21">
      <c r="A1228" s="270" t="s">
        <v>12307</v>
      </c>
      <c r="B1228" s="3305">
        <v>4918</v>
      </c>
      <c r="C1228" s="4834">
        <f t="shared" si="78"/>
        <v>1.284103656627046E-4</v>
      </c>
      <c r="D1228" s="3" t="str">
        <f t="shared" si="79"/>
        <v>2016</v>
      </c>
      <c r="J1228" s="270" t="s">
        <v>12308</v>
      </c>
      <c r="K1228" s="4837">
        <v>41885.992629608532</v>
      </c>
      <c r="L1228" s="4834">
        <f t="shared" si="81"/>
        <v>4.7293900695934438E-5</v>
      </c>
      <c r="S1228" s="270" t="s">
        <v>12308</v>
      </c>
      <c r="T1228" s="4838">
        <v>588.35866220589207</v>
      </c>
      <c r="U1228" s="4839">
        <f t="shared" si="80"/>
        <v>2.1717050623789409E-3</v>
      </c>
    </row>
    <row r="1229" spans="1:21">
      <c r="A1229" s="270" t="s">
        <v>12308</v>
      </c>
      <c r="B1229" s="3305">
        <v>4943</v>
      </c>
      <c r="C1229" s="4834">
        <f t="shared" si="78"/>
        <v>1.3201354063468443E-4</v>
      </c>
      <c r="D1229" s="3" t="str">
        <f t="shared" si="79"/>
        <v>2016</v>
      </c>
      <c r="J1229" s="270" t="s">
        <v>12309</v>
      </c>
      <c r="K1229" s="4837">
        <v>41251.015384878126</v>
      </c>
      <c r="L1229" s="4834">
        <f t="shared" si="81"/>
        <v>4.5273993845338707E-5</v>
      </c>
      <c r="S1229" s="270" t="s">
        <v>12309</v>
      </c>
      <c r="T1229" s="4838">
        <v>585.78660248040183</v>
      </c>
      <c r="U1229" s="4839">
        <f t="shared" si="80"/>
        <v>2.1610714814080697E-3</v>
      </c>
    </row>
    <row r="1230" spans="1:21">
      <c r="A1230" s="270" t="s">
        <v>12309</v>
      </c>
      <c r="B1230" s="3305">
        <v>5032</v>
      </c>
      <c r="C1230" s="4834">
        <f t="shared" si="78"/>
        <v>1.4518879415329673E-4</v>
      </c>
      <c r="D1230" s="3" t="str">
        <f t="shared" si="79"/>
        <v>2016</v>
      </c>
      <c r="J1230" s="270" t="s">
        <v>12310</v>
      </c>
      <c r="K1230" s="4837">
        <v>41228.509862280094</v>
      </c>
      <c r="L1230" s="4834">
        <f t="shared" si="81"/>
        <v>4.519811424423233E-5</v>
      </c>
      <c r="S1230" s="270" t="s">
        <v>12310</v>
      </c>
      <c r="T1230" s="4838">
        <v>587.07263234314701</v>
      </c>
      <c r="U1230" s="4839">
        <f t="shared" si="80"/>
        <v>2.1664407549350849E-3</v>
      </c>
    </row>
    <row r="1231" spans="1:21">
      <c r="A1231" s="270" t="s">
        <v>12310</v>
      </c>
      <c r="B1231" s="3305">
        <v>5044</v>
      </c>
      <c r="C1231" s="4834">
        <f t="shared" si="78"/>
        <v>1.4700357763491415E-4</v>
      </c>
      <c r="D1231" s="3" t="str">
        <f t="shared" si="79"/>
        <v>2016</v>
      </c>
      <c r="J1231" s="270" t="s">
        <v>12311</v>
      </c>
      <c r="K1231" s="4837">
        <v>41197.966653039897</v>
      </c>
      <c r="L1231" s="4834">
        <f t="shared" si="81"/>
        <v>4.5094694366915717E-5</v>
      </c>
      <c r="S1231" s="270" t="s">
        <v>12311</v>
      </c>
      <c r="T1231" s="4838">
        <v>604.75554295589234</v>
      </c>
      <c r="U1231" s="4839">
        <f t="shared" si="80"/>
        <v>2.2292866035541013E-3</v>
      </c>
    </row>
    <row r="1232" spans="1:21">
      <c r="A1232" s="270" t="s">
        <v>12311</v>
      </c>
      <c r="B1232" s="3305">
        <v>5335</v>
      </c>
      <c r="C1232" s="4834">
        <f t="shared" si="78"/>
        <v>1.9291653598868733E-4</v>
      </c>
      <c r="D1232" s="3" t="str">
        <f t="shared" si="79"/>
        <v>2016</v>
      </c>
      <c r="J1232" s="270" t="s">
        <v>12312</v>
      </c>
      <c r="K1232" s="4837">
        <v>40751.071275735965</v>
      </c>
      <c r="L1232" s="4834">
        <f t="shared" si="81"/>
        <v>4.3526375091862948E-5</v>
      </c>
      <c r="S1232" s="270" t="s">
        <v>12312</v>
      </c>
      <c r="T1232" s="4838">
        <v>602.82649816177468</v>
      </c>
      <c r="U1232" s="4839">
        <f t="shared" si="80"/>
        <v>2.2234555671117192E-3</v>
      </c>
    </row>
    <row r="1233" spans="1:21">
      <c r="A1233" s="270" t="s">
        <v>12312</v>
      </c>
      <c r="B1233" s="3305">
        <v>5619</v>
      </c>
      <c r="C1233" s="4834">
        <f t="shared" si="78"/>
        <v>2.3817589937195625E-4</v>
      </c>
      <c r="D1233" s="3" t="str">
        <f t="shared" si="79"/>
        <v>2016</v>
      </c>
      <c r="J1233" s="270" t="s">
        <v>12313</v>
      </c>
      <c r="K1233" s="4837">
        <v>39752.790594780068</v>
      </c>
      <c r="L1233" s="4834">
        <f t="shared" si="81"/>
        <v>3.9709243915135338E-5</v>
      </c>
      <c r="S1233" s="270" t="s">
        <v>12313</v>
      </c>
      <c r="T1233" s="4838">
        <v>597.68237871079418</v>
      </c>
      <c r="U1233" s="4839">
        <f t="shared" si="80"/>
        <v>2.2066579191220887E-3</v>
      </c>
    </row>
    <row r="1234" spans="1:21">
      <c r="A1234" s="270" t="s">
        <v>12313</v>
      </c>
      <c r="B1234" s="3305">
        <v>5900</v>
      </c>
      <c r="C1234" s="4834">
        <f t="shared" si="78"/>
        <v>2.7825505375826405E-4</v>
      </c>
      <c r="D1234" s="3" t="str">
        <f t="shared" si="79"/>
        <v>2016</v>
      </c>
      <c r="J1234" s="270" t="s">
        <v>12314</v>
      </c>
      <c r="K1234" s="4837">
        <v>39018.146035686921</v>
      </c>
      <c r="L1234" s="4834">
        <f t="shared" si="81"/>
        <v>3.6701687061488038E-5</v>
      </c>
      <c r="S1234" s="270" t="s">
        <v>12314</v>
      </c>
      <c r="T1234" s="4838">
        <v>552.9928409804013</v>
      </c>
      <c r="U1234" s="4839">
        <f t="shared" si="80"/>
        <v>1.9915659751492303E-3</v>
      </c>
    </row>
    <row r="1235" spans="1:21">
      <c r="A1235" s="270" t="s">
        <v>12314</v>
      </c>
      <c r="B1235" s="3305">
        <v>5620</v>
      </c>
      <c r="C1235" s="4834">
        <f t="shared" si="78"/>
        <v>2.3833003685398729E-4</v>
      </c>
      <c r="D1235" s="3" t="str">
        <f t="shared" si="79"/>
        <v>2016</v>
      </c>
      <c r="J1235" s="270" t="s">
        <v>12315</v>
      </c>
      <c r="K1235" s="4837">
        <v>39447.358502378098</v>
      </c>
      <c r="L1235" s="4834">
        <f t="shared" si="81"/>
        <v>3.8474423733343218E-5</v>
      </c>
      <c r="S1235" s="270" t="s">
        <v>12315</v>
      </c>
      <c r="T1235" s="4838">
        <v>546.56269166667573</v>
      </c>
      <c r="U1235" s="4839">
        <f t="shared" si="80"/>
        <v>1.9517985829047644E-3</v>
      </c>
    </row>
    <row r="1236" spans="1:21">
      <c r="A1236" s="270" t="s">
        <v>12315</v>
      </c>
      <c r="B1236" s="3305">
        <v>5448</v>
      </c>
      <c r="C1236" s="4834">
        <f t="shared" si="78"/>
        <v>2.1114883831934507E-4</v>
      </c>
      <c r="D1236" s="3" t="str">
        <f t="shared" si="79"/>
        <v>2016</v>
      </c>
      <c r="J1236" s="270" t="s">
        <v>12316</v>
      </c>
      <c r="K1236" s="4837">
        <v>39519.697682157515</v>
      </c>
      <c r="L1236" s="4834">
        <f t="shared" si="81"/>
        <v>3.8769125122883186E-5</v>
      </c>
      <c r="S1236" s="270" t="s">
        <v>12316</v>
      </c>
      <c r="T1236" s="4838">
        <v>544.95515433824426</v>
      </c>
      <c r="U1236" s="4839">
        <f t="shared" si="80"/>
        <v>1.9415682393493046E-3</v>
      </c>
    </row>
    <row r="1237" spans="1:21">
      <c r="A1237" s="270" t="s">
        <v>12316</v>
      </c>
      <c r="B1237" s="3305">
        <v>5459</v>
      </c>
      <c r="C1237" s="4834">
        <f t="shared" si="78"/>
        <v>2.1291622557301592E-4</v>
      </c>
      <c r="D1237" s="3" t="str">
        <f t="shared" si="79"/>
        <v>2016</v>
      </c>
      <c r="J1237" s="270" t="s">
        <v>12317</v>
      </c>
      <c r="K1237" s="4837">
        <v>39440.928353064381</v>
      </c>
      <c r="L1237" s="4834">
        <f t="shared" si="81"/>
        <v>3.8448165131604878E-5</v>
      </c>
      <c r="S1237" s="270" t="s">
        <v>12317</v>
      </c>
      <c r="T1237" s="4838">
        <v>547.8487215294208</v>
      </c>
      <c r="U1237" s="4839">
        <f t="shared" si="80"/>
        <v>1.9599015411960389E-3</v>
      </c>
    </row>
    <row r="1238" spans="1:21">
      <c r="A1238" s="270" t="s">
        <v>12317</v>
      </c>
      <c r="B1238" s="3305">
        <v>5426</v>
      </c>
      <c r="C1238" s="4834">
        <f t="shared" si="78"/>
        <v>2.0760763595005432E-4</v>
      </c>
      <c r="D1238" s="3" t="str">
        <f t="shared" si="79"/>
        <v>2016</v>
      </c>
      <c r="J1238" s="270" t="s">
        <v>12318</v>
      </c>
      <c r="K1238" s="4837">
        <v>38934.554094608488</v>
      </c>
      <c r="L1238" s="4834">
        <f t="shared" si="81"/>
        <v>3.6352325170566682E-5</v>
      </c>
      <c r="S1238" s="270" t="s">
        <v>12318</v>
      </c>
      <c r="T1238" s="4838">
        <v>530.80882584804806</v>
      </c>
      <c r="U1238" s="4839">
        <f t="shared" si="80"/>
        <v>1.8470306862203123E-3</v>
      </c>
    </row>
    <row r="1239" spans="1:21">
      <c r="A1239" s="270" t="s">
        <v>12318</v>
      </c>
      <c r="B1239" s="3305">
        <v>5446</v>
      </c>
      <c r="C1239" s="4834">
        <f t="shared" si="78"/>
        <v>2.1082724519399428E-4</v>
      </c>
      <c r="D1239" s="3" t="str">
        <f t="shared" si="79"/>
        <v>2016</v>
      </c>
      <c r="J1239" s="270" t="s">
        <v>12319</v>
      </c>
      <c r="K1239" s="4837">
        <v>39039.044020956528</v>
      </c>
      <c r="L1239" s="4834">
        <f t="shared" si="81"/>
        <v>3.6788843064807663E-5</v>
      </c>
      <c r="S1239" s="270" t="s">
        <v>12319</v>
      </c>
      <c r="T1239" s="4838">
        <v>536.27445276471474</v>
      </c>
      <c r="U1239" s="4839">
        <f t="shared" si="80"/>
        <v>1.8844701345232433E-3</v>
      </c>
    </row>
    <row r="1240" spans="1:21">
      <c r="A1240" s="270" t="s">
        <v>12319</v>
      </c>
      <c r="B1240" s="3305">
        <v>5535.5</v>
      </c>
      <c r="C1240" s="4834">
        <f t="shared" si="78"/>
        <v>2.2512008773975097E-4</v>
      </c>
      <c r="D1240" s="3" t="str">
        <f t="shared" si="79"/>
        <v>2016</v>
      </c>
      <c r="J1240" s="270" t="s">
        <v>12320</v>
      </c>
      <c r="K1240" s="4837">
        <v>38974.742527819275</v>
      </c>
      <c r="L1240" s="4834">
        <f t="shared" si="81"/>
        <v>3.6520431864930044E-5</v>
      </c>
      <c r="S1240" s="270" t="s">
        <v>12320</v>
      </c>
      <c r="T1240" s="4838">
        <v>538.84651249020499</v>
      </c>
      <c r="U1240" s="4839">
        <f t="shared" si="80"/>
        <v>1.9017027842014886E-3</v>
      </c>
    </row>
    <row r="1241" spans="1:21">
      <c r="A1241" s="270" t="s">
        <v>12320</v>
      </c>
      <c r="B1241" s="3305">
        <v>5618</v>
      </c>
      <c r="C1241" s="4834">
        <f t="shared" si="78"/>
        <v>2.3802170266996496E-4</v>
      </c>
      <c r="D1241" s="3" t="str">
        <f t="shared" si="79"/>
        <v>2016</v>
      </c>
      <c r="J1241" s="270" t="s">
        <v>12321</v>
      </c>
      <c r="K1241" s="4837">
        <v>38109.887445123175</v>
      </c>
      <c r="L1241" s="4834">
        <f t="shared" si="81"/>
        <v>3.2861461260280293E-5</v>
      </c>
      <c r="S1241" s="270" t="s">
        <v>12321</v>
      </c>
      <c r="T1241" s="4838">
        <v>532.41636317647931</v>
      </c>
      <c r="U1241" s="4839">
        <f t="shared" si="80"/>
        <v>1.8581541882200102E-3</v>
      </c>
    </row>
    <row r="1242" spans="1:21">
      <c r="A1242" s="270" t="s">
        <v>12321</v>
      </c>
      <c r="B1242" s="3305">
        <v>5564</v>
      </c>
      <c r="C1242" s="4834">
        <f t="shared" si="78"/>
        <v>2.2961389016280779E-4</v>
      </c>
      <c r="D1242" s="3" t="str">
        <f t="shared" si="79"/>
        <v>2016</v>
      </c>
      <c r="J1242" s="270" t="s">
        <v>12322</v>
      </c>
      <c r="K1242" s="4837">
        <v>38134.000505049647</v>
      </c>
      <c r="L1242" s="4834">
        <f t="shared" si="81"/>
        <v>3.2964217137121202E-5</v>
      </c>
      <c r="S1242" s="270" t="s">
        <v>12322</v>
      </c>
      <c r="T1242" s="4838">
        <v>524.37867653432238</v>
      </c>
      <c r="U1242" s="4839">
        <f t="shared" si="80"/>
        <v>1.8016644208071464E-3</v>
      </c>
    </row>
    <row r="1243" spans="1:21">
      <c r="A1243" s="270" t="s">
        <v>12322</v>
      </c>
      <c r="B1243" s="3305">
        <v>5834.5</v>
      </c>
      <c r="C1243" s="4834">
        <f t="shared" si="78"/>
        <v>2.6961548081209583E-4</v>
      </c>
      <c r="D1243" s="3" t="str">
        <f t="shared" si="79"/>
        <v>2016</v>
      </c>
      <c r="J1243" s="270" t="s">
        <v>12323</v>
      </c>
      <c r="K1243" s="4837">
        <v>38185.441699559458</v>
      </c>
      <c r="L1243" s="4834">
        <f t="shared" si="81"/>
        <v>3.3183368452002961E-5</v>
      </c>
      <c r="S1243" s="270" t="s">
        <v>12323</v>
      </c>
      <c r="T1243" s="4838">
        <v>529.52279598530288</v>
      </c>
      <c r="U1243" s="4839">
        <f t="shared" si="80"/>
        <v>1.8380672000459363E-3</v>
      </c>
    </row>
    <row r="1244" spans="1:21">
      <c r="A1244" s="270" t="s">
        <v>12323</v>
      </c>
      <c r="B1244" s="3305">
        <v>5822.5</v>
      </c>
      <c r="C1244" s="4834">
        <f t="shared" si="78"/>
        <v>2.6797877763326278E-4</v>
      </c>
      <c r="D1244" s="3" t="str">
        <f t="shared" si="79"/>
        <v>2016</v>
      </c>
      <c r="J1244" s="270" t="s">
        <v>12324</v>
      </c>
      <c r="K1244" s="4837">
        <v>38162.936176961419</v>
      </c>
      <c r="L1244" s="4834">
        <f t="shared" si="81"/>
        <v>3.3087500898298652E-5</v>
      </c>
      <c r="S1244" s="270" t="s">
        <v>12324</v>
      </c>
      <c r="T1244" s="4838">
        <v>536.27445276471474</v>
      </c>
      <c r="U1244" s="4839">
        <f t="shared" si="80"/>
        <v>1.8844701345232433E-3</v>
      </c>
    </row>
    <row r="1245" spans="1:21">
      <c r="A1245" s="270" t="s">
        <v>12324</v>
      </c>
      <c r="B1245" s="3305">
        <v>5935.5</v>
      </c>
      <c r="C1245" s="4834">
        <f t="shared" si="78"/>
        <v>2.8271412245774299E-4</v>
      </c>
      <c r="D1245" s="3" t="str">
        <f t="shared" si="79"/>
        <v>2016</v>
      </c>
      <c r="J1245" s="270" t="s">
        <v>12325</v>
      </c>
      <c r="K1245" s="4837">
        <v>38148.46834100553</v>
      </c>
      <c r="L1245" s="4834">
        <f t="shared" si="81"/>
        <v>3.3025862401246549E-5</v>
      </c>
      <c r="S1245" s="270" t="s">
        <v>12325</v>
      </c>
      <c r="T1245" s="4838">
        <v>531.77334824510683</v>
      </c>
      <c r="U1245" s="4839">
        <f t="shared" si="80"/>
        <v>1.8537157049278205E-3</v>
      </c>
    </row>
    <row r="1246" spans="1:21">
      <c r="A1246" s="270" t="s">
        <v>12325</v>
      </c>
      <c r="B1246" s="3305">
        <v>5778</v>
      </c>
      <c r="C1246" s="4834">
        <f t="shared" si="78"/>
        <v>2.6177580681344457E-4</v>
      </c>
      <c r="D1246" s="3" t="str">
        <f t="shared" si="79"/>
        <v>2016</v>
      </c>
      <c r="J1246" s="270" t="s">
        <v>12326</v>
      </c>
      <c r="K1246" s="4837">
        <v>37876.794532500622</v>
      </c>
      <c r="L1246" s="4834">
        <f t="shared" si="81"/>
        <v>3.1867681891811061E-5</v>
      </c>
      <c r="S1246" s="270" t="s">
        <v>12326</v>
      </c>
      <c r="T1246" s="4838">
        <v>535.95294529902844</v>
      </c>
      <c r="U1246" s="4839">
        <f t="shared" si="80"/>
        <v>1.8822982233006348E-3</v>
      </c>
    </row>
    <row r="1247" spans="1:21">
      <c r="A1247" s="270" t="s">
        <v>12326</v>
      </c>
      <c r="B1247" s="3305">
        <v>5740</v>
      </c>
      <c r="C1247" s="4834">
        <f t="shared" si="78"/>
        <v>2.5632429125750883E-4</v>
      </c>
      <c r="D1247" s="3" t="str">
        <f t="shared" si="79"/>
        <v>2016</v>
      </c>
      <c r="J1247" s="270" t="s">
        <v>12327</v>
      </c>
      <c r="K1247" s="4837">
        <v>37354.344900760414</v>
      </c>
      <c r="L1247" s="4834">
        <f t="shared" si="81"/>
        <v>2.9644768560870564E-5</v>
      </c>
      <c r="S1247" s="270" t="s">
        <v>12327</v>
      </c>
      <c r="T1247" s="4838">
        <v>524.05716906863609</v>
      </c>
      <c r="U1247" s="4839">
        <f t="shared" si="80"/>
        <v>1.7993612608995055E-3</v>
      </c>
    </row>
    <row r="1248" spans="1:21">
      <c r="A1248" s="270" t="s">
        <v>12327</v>
      </c>
      <c r="B1248" s="3305">
        <v>5773</v>
      </c>
      <c r="C1248" s="4834">
        <f t="shared" si="78"/>
        <v>2.6106630917453375E-4</v>
      </c>
      <c r="D1248" s="3" t="str">
        <f t="shared" si="79"/>
        <v>2016</v>
      </c>
      <c r="J1248" s="270" t="s">
        <v>12328</v>
      </c>
      <c r="K1248" s="4837">
        <v>37728.901098284936</v>
      </c>
      <c r="L1248" s="4834">
        <f t="shared" si="81"/>
        <v>3.1237275492647391E-5</v>
      </c>
      <c r="S1248" s="270" t="s">
        <v>12328</v>
      </c>
      <c r="T1248" s="4838">
        <v>525.66470639706756</v>
      </c>
      <c r="U1248" s="4839">
        <f t="shared" si="80"/>
        <v>1.8108449239994827E-3</v>
      </c>
    </row>
    <row r="1249" spans="1:21">
      <c r="A1249" s="270" t="s">
        <v>12328</v>
      </c>
      <c r="B1249" s="3305">
        <v>5736</v>
      </c>
      <c r="C1249" s="4834">
        <f t="shared" si="78"/>
        <v>2.5574275073861634E-4</v>
      </c>
      <c r="D1249" s="3" t="str">
        <f t="shared" si="79"/>
        <v>2016</v>
      </c>
      <c r="J1249" s="270" t="s">
        <v>12329</v>
      </c>
      <c r="K1249" s="4837">
        <v>37365.597662059445</v>
      </c>
      <c r="L1249" s="4834">
        <f t="shared" si="81"/>
        <v>2.9692477476764246E-5</v>
      </c>
      <c r="S1249" s="270" t="s">
        <v>12329</v>
      </c>
      <c r="T1249" s="4838">
        <v>534.34540797059708</v>
      </c>
      <c r="U1249" s="4839">
        <f t="shared" si="80"/>
        <v>1.8713805835203149E-3</v>
      </c>
    </row>
    <row r="1250" spans="1:21">
      <c r="A1250" s="270" t="s">
        <v>12329</v>
      </c>
      <c r="B1250" s="3305">
        <v>5851.5</v>
      </c>
      <c r="C1250" s="4834">
        <f t="shared" si="78"/>
        <v>2.7190651936831553E-4</v>
      </c>
      <c r="D1250" s="3" t="str">
        <f t="shared" si="79"/>
        <v>2016</v>
      </c>
      <c r="J1250" s="270" t="s">
        <v>12330</v>
      </c>
      <c r="K1250" s="4837">
        <v>37696.750351716313</v>
      </c>
      <c r="L1250" s="4834">
        <f t="shared" si="81"/>
        <v>3.1100303143735385E-5</v>
      </c>
      <c r="S1250" s="270" t="s">
        <v>12330</v>
      </c>
      <c r="T1250" s="4838">
        <v>539.81103488726376</v>
      </c>
      <c r="U1250" s="4839">
        <f t="shared" si="80"/>
        <v>1.9080983837188891E-3</v>
      </c>
    </row>
    <row r="1251" spans="1:21">
      <c r="A1251" s="270" t="s">
        <v>12330</v>
      </c>
      <c r="B1251" s="3305">
        <v>5856</v>
      </c>
      <c r="C1251" s="4834">
        <f t="shared" si="78"/>
        <v>2.7250742167871675E-4</v>
      </c>
      <c r="D1251" s="3" t="str">
        <f t="shared" si="79"/>
        <v>2016</v>
      </c>
      <c r="J1251" s="270" t="s">
        <v>12331</v>
      </c>
      <c r="K1251" s="4837">
        <v>37862.326696544747</v>
      </c>
      <c r="L1251" s="4834">
        <f t="shared" si="81"/>
        <v>3.180599536320461E-5</v>
      </c>
      <c r="S1251" s="270" t="s">
        <v>12331</v>
      </c>
      <c r="T1251" s="4838">
        <v>539.16801995589128</v>
      </c>
      <c r="U1251" s="4839">
        <f t="shared" si="80"/>
        <v>1.903838747208396E-3</v>
      </c>
    </row>
    <row r="1252" spans="1:21">
      <c r="A1252" s="270" t="s">
        <v>12331</v>
      </c>
      <c r="B1252" s="3305">
        <v>5903.5</v>
      </c>
      <c r="C1252" s="4834">
        <f t="shared" si="78"/>
        <v>2.787019563599743E-4</v>
      </c>
      <c r="D1252" s="3" t="str">
        <f t="shared" si="79"/>
        <v>2016</v>
      </c>
      <c r="J1252" s="270" t="s">
        <v>12332</v>
      </c>
      <c r="K1252" s="4837">
        <v>37650.131769191794</v>
      </c>
      <c r="L1252" s="4834">
        <f t="shared" si="81"/>
        <v>3.0901759520373509E-5</v>
      </c>
      <c r="S1252" s="270" t="s">
        <v>12332</v>
      </c>
      <c r="T1252" s="4838">
        <v>550.74228872059723</v>
      </c>
      <c r="U1252" s="4839">
        <f t="shared" si="80"/>
        <v>1.9778624288553262E-3</v>
      </c>
    </row>
    <row r="1253" spans="1:21">
      <c r="A1253" s="270" t="s">
        <v>12332</v>
      </c>
      <c r="B1253" s="3305">
        <v>5838</v>
      </c>
      <c r="C1253" s="4834">
        <f t="shared" si="78"/>
        <v>2.7008984173606263E-4</v>
      </c>
      <c r="D1253" s="3" t="str">
        <f t="shared" si="79"/>
        <v>2016</v>
      </c>
      <c r="J1253" s="270" t="s">
        <v>12333</v>
      </c>
      <c r="K1253" s="4837">
        <v>37410.608707255509</v>
      </c>
      <c r="L1253" s="4834">
        <f t="shared" si="81"/>
        <v>2.9883415358066682E-5</v>
      </c>
      <c r="S1253" s="270" t="s">
        <v>12333</v>
      </c>
      <c r="T1253" s="4838">
        <v>544.95515433824426</v>
      </c>
      <c r="U1253" s="4839">
        <f t="shared" si="80"/>
        <v>1.9415682393493046E-3</v>
      </c>
    </row>
    <row r="1254" spans="1:21">
      <c r="A1254" s="270" t="s">
        <v>12333</v>
      </c>
      <c r="B1254" s="3305">
        <v>5824</v>
      </c>
      <c r="C1254" s="4834">
        <f t="shared" si="78"/>
        <v>2.6818423090057755E-4</v>
      </c>
      <c r="D1254" s="3" t="str">
        <f t="shared" si="79"/>
        <v>2016</v>
      </c>
      <c r="J1254" s="270" t="s">
        <v>12334</v>
      </c>
      <c r="K1254" s="4837">
        <v>37169.478107990806</v>
      </c>
      <c r="L1254" s="4834">
        <f t="shared" si="81"/>
        <v>2.8862641804820572E-5</v>
      </c>
      <c r="S1254" s="270" t="s">
        <v>12334</v>
      </c>
      <c r="T1254" s="4838">
        <v>542.06158714706771</v>
      </c>
      <c r="U1254" s="4839">
        <f t="shared" si="80"/>
        <v>1.92287607012287E-3</v>
      </c>
    </row>
    <row r="1255" spans="1:21">
      <c r="A1255" s="270" t="s">
        <v>12334</v>
      </c>
      <c r="B1255" s="3305">
        <v>5757</v>
      </c>
      <c r="C1255" s="4834">
        <f t="shared" si="78"/>
        <v>2.5877978725347475E-4</v>
      </c>
      <c r="D1255" s="3" t="str">
        <f t="shared" si="79"/>
        <v>2016</v>
      </c>
      <c r="J1255" s="270" t="s">
        <v>12335</v>
      </c>
      <c r="K1255" s="4837">
        <v>37248.247437083948</v>
      </c>
      <c r="L1255" s="4834">
        <f t="shared" si="81"/>
        <v>2.9195490396050378E-5</v>
      </c>
      <c r="S1255" s="270" t="s">
        <v>12335</v>
      </c>
      <c r="T1255" s="4838">
        <v>546.88419913236191</v>
      </c>
      <c r="U1255" s="4839">
        <f t="shared" si="80"/>
        <v>1.9538311545726755E-3</v>
      </c>
    </row>
    <row r="1256" spans="1:21">
      <c r="A1256" s="270" t="s">
        <v>12335</v>
      </c>
      <c r="B1256" s="3305">
        <v>5765.5</v>
      </c>
      <c r="C1256" s="4834">
        <f t="shared" si="78"/>
        <v>2.5999753005371455E-4</v>
      </c>
      <c r="D1256" s="3" t="str">
        <f t="shared" si="79"/>
        <v>2016</v>
      </c>
      <c r="J1256" s="270" t="s">
        <v>12336</v>
      </c>
      <c r="K1256" s="4837">
        <v>37367.20519938787</v>
      </c>
      <c r="L1256" s="4834">
        <f t="shared" si="81"/>
        <v>2.9699293891231739E-5</v>
      </c>
      <c r="S1256" s="270" t="s">
        <v>12336</v>
      </c>
      <c r="T1256" s="4838">
        <v>550.09927378922475</v>
      </c>
      <c r="U1256" s="4839">
        <f t="shared" si="80"/>
        <v>1.9739039918026569E-3</v>
      </c>
    </row>
    <row r="1257" spans="1:21">
      <c r="A1257" s="270" t="s">
        <v>12336</v>
      </c>
      <c r="B1257" s="3305">
        <v>5735</v>
      </c>
      <c r="C1257" s="4834">
        <f t="shared" si="78"/>
        <v>2.5559714527798315E-4</v>
      </c>
      <c r="D1257" s="3" t="str">
        <f t="shared" si="79"/>
        <v>2016</v>
      </c>
      <c r="J1257" s="270" t="s">
        <v>12337</v>
      </c>
      <c r="K1257" s="4837">
        <v>36232.283845515303</v>
      </c>
      <c r="L1257" s="4834">
        <f t="shared" si="81"/>
        <v>2.4971484610717212E-5</v>
      </c>
      <c r="S1257" s="270" t="s">
        <v>12337</v>
      </c>
      <c r="T1257" s="4838">
        <v>518.91304961765559</v>
      </c>
      <c r="U1257" s="4839">
        <f t="shared" si="80"/>
        <v>1.7620924722639307E-3</v>
      </c>
    </row>
    <row r="1258" spans="1:21">
      <c r="A1258" s="270" t="s">
        <v>12337</v>
      </c>
      <c r="B1258" s="3305">
        <v>5682.5</v>
      </c>
      <c r="C1258" s="4834">
        <f t="shared" si="78"/>
        <v>2.4783567586350206E-4</v>
      </c>
      <c r="D1258" s="3" t="str">
        <f t="shared" si="79"/>
        <v>2016</v>
      </c>
      <c r="J1258" s="270" t="s">
        <v>12338</v>
      </c>
      <c r="K1258" s="4837">
        <v>36381.784817059422</v>
      </c>
      <c r="L1258" s="4834">
        <f t="shared" si="81"/>
        <v>2.5581585362715169E-5</v>
      </c>
      <c r="S1258" s="270" t="s">
        <v>12338</v>
      </c>
      <c r="T1258" s="4838">
        <v>516.01948242647916</v>
      </c>
      <c r="U1258" s="4839">
        <f t="shared" si="80"/>
        <v>1.7408021343373E-3</v>
      </c>
    </row>
    <row r="1259" spans="1:21">
      <c r="A1259" s="270" t="s">
        <v>12338</v>
      </c>
      <c r="B1259" s="3305">
        <v>5649</v>
      </c>
      <c r="C1259" s="4834">
        <f t="shared" si="78"/>
        <v>2.4277316435662166E-4</v>
      </c>
      <c r="D1259" s="3" t="str">
        <f t="shared" si="79"/>
        <v>2016</v>
      </c>
      <c r="J1259" s="270" t="s">
        <v>12339</v>
      </c>
      <c r="K1259" s="4837">
        <v>36531.285788603542</v>
      </c>
      <c r="L1259" s="4834">
        <f t="shared" si="81"/>
        <v>2.6196272239068119E-5</v>
      </c>
      <c r="S1259" s="270" t="s">
        <v>12339</v>
      </c>
      <c r="T1259" s="4838">
        <v>514.41194509804768</v>
      </c>
      <c r="U1259" s="4839">
        <f t="shared" si="80"/>
        <v>1.7288794896497311E-3</v>
      </c>
    </row>
    <row r="1260" spans="1:21">
      <c r="A1260" s="270" t="s">
        <v>12339</v>
      </c>
      <c r="B1260" s="3305">
        <v>5561</v>
      </c>
      <c r="C1260" s="4834">
        <f t="shared" si="78"/>
        <v>2.2914251613338223E-4</v>
      </c>
      <c r="D1260" s="3" t="str">
        <f t="shared" si="79"/>
        <v>2016</v>
      </c>
      <c r="J1260" s="270" t="s">
        <v>12340</v>
      </c>
      <c r="K1260" s="4837">
        <v>36192.095412304516</v>
      </c>
      <c r="L1260" s="4834">
        <f t="shared" si="81"/>
        <v>2.4808308617726715E-5</v>
      </c>
      <c r="S1260" s="270" t="s">
        <v>12340</v>
      </c>
      <c r="T1260" s="4838">
        <v>507.98179578432212</v>
      </c>
      <c r="U1260" s="4839">
        <f t="shared" si="80"/>
        <v>1.6805688570015367E-3</v>
      </c>
    </row>
    <row r="1261" spans="1:21">
      <c r="A1261" s="270" t="s">
        <v>12340</v>
      </c>
      <c r="B1261" s="3305">
        <v>5485.5</v>
      </c>
      <c r="C1261" s="4834">
        <f t="shared" si="78"/>
        <v>2.1716296036352101E-4</v>
      </c>
      <c r="D1261" s="3" t="str">
        <f t="shared" si="79"/>
        <v>2016</v>
      </c>
      <c r="J1261" s="270" t="s">
        <v>12341</v>
      </c>
      <c r="K1261" s="4837">
        <v>36447.693847525115</v>
      </c>
      <c r="L1261" s="4834">
        <f t="shared" si="81"/>
        <v>2.5852033256098761E-5</v>
      </c>
      <c r="S1261" s="270" t="s">
        <v>12341</v>
      </c>
      <c r="T1261" s="4838">
        <v>515.37646749510657</v>
      </c>
      <c r="U1261" s="4839">
        <f t="shared" si="80"/>
        <v>1.7360409734682801E-3</v>
      </c>
    </row>
    <row r="1262" spans="1:21">
      <c r="A1262" s="270" t="s">
        <v>12341</v>
      </c>
      <c r="B1262" s="3305">
        <v>5498.5</v>
      </c>
      <c r="C1262" s="4834">
        <f t="shared" si="78"/>
        <v>2.1923954554550382E-4</v>
      </c>
      <c r="D1262" s="3" t="str">
        <f t="shared" si="79"/>
        <v>2016</v>
      </c>
      <c r="J1262" s="270" t="s">
        <v>12342</v>
      </c>
      <c r="K1262" s="4837">
        <v>36373.747130417265</v>
      </c>
      <c r="L1262" s="4834">
        <f t="shared" si="81"/>
        <v>2.5548664264792003E-5</v>
      </c>
      <c r="S1262" s="270" t="s">
        <v>12342</v>
      </c>
      <c r="T1262" s="4838">
        <v>507.01727338726323</v>
      </c>
      <c r="U1262" s="4839">
        <f t="shared" si="80"/>
        <v>1.6732430774757741E-3</v>
      </c>
    </row>
    <row r="1263" spans="1:21">
      <c r="A1263" s="270" t="s">
        <v>12342</v>
      </c>
      <c r="B1263" s="3305">
        <v>5426</v>
      </c>
      <c r="C1263" s="4834">
        <f t="shared" si="78"/>
        <v>2.0760763595005432E-4</v>
      </c>
      <c r="D1263" s="3" t="str">
        <f t="shared" si="79"/>
        <v>2016</v>
      </c>
      <c r="J1263" s="270" t="s">
        <v>12344</v>
      </c>
      <c r="K1263" s="4837">
        <v>36478.237056765305</v>
      </c>
      <c r="L1263" s="4834">
        <f t="shared" si="81"/>
        <v>2.5977656128233328E-5</v>
      </c>
      <c r="S1263" s="270" t="s">
        <v>12343</v>
      </c>
      <c r="T1263" s="4838">
        <v>506.0527509902044</v>
      </c>
      <c r="U1263" s="4839">
        <f t="shared" si="80"/>
        <v>1.665898184512959E-3</v>
      </c>
    </row>
    <row r="1264" spans="1:21">
      <c r="A1264" s="270" t="s">
        <v>12343</v>
      </c>
      <c r="B1264" s="3305">
        <v>5482</v>
      </c>
      <c r="C1264" s="4834">
        <f t="shared" si="78"/>
        <v>2.1660307253883247E-4</v>
      </c>
      <c r="D1264" s="3" t="str">
        <f t="shared" si="79"/>
        <v>2016</v>
      </c>
      <c r="J1264" s="270" t="s">
        <v>12345</v>
      </c>
      <c r="K1264" s="4837">
        <v>36841.540492990811</v>
      </c>
      <c r="L1264" s="4834">
        <f t="shared" si="81"/>
        <v>2.7484884670474243E-5</v>
      </c>
      <c r="S1264" s="270" t="s">
        <v>12344</v>
      </c>
      <c r="T1264" s="4838">
        <v>509.58933311275348</v>
      </c>
      <c r="U1264" s="4839">
        <f t="shared" si="80"/>
        <v>1.6927345656874801E-3</v>
      </c>
    </row>
    <row r="1265" spans="1:21">
      <c r="A1265" s="270" t="s">
        <v>12344</v>
      </c>
      <c r="B1265" s="3305">
        <v>5486</v>
      </c>
      <c r="C1265" s="4834">
        <f t="shared" si="78"/>
        <v>2.1724291735796352E-4</v>
      </c>
      <c r="D1265" s="3" t="str">
        <f t="shared" si="79"/>
        <v>2016</v>
      </c>
      <c r="J1265" s="270" t="s">
        <v>12347</v>
      </c>
      <c r="K1265" s="4837">
        <v>37005.509300490805</v>
      </c>
      <c r="L1265" s="4834">
        <f t="shared" si="81"/>
        <v>2.8172013006015116E-5</v>
      </c>
      <c r="S1265" s="270" t="s">
        <v>12345</v>
      </c>
      <c r="T1265" s="4838">
        <v>516.34098989216534</v>
      </c>
      <c r="U1265" s="4839">
        <f t="shared" si="80"/>
        <v>1.7431787067159132E-3</v>
      </c>
    </row>
    <row r="1266" spans="1:21">
      <c r="A1266" s="270" t="s">
        <v>12345</v>
      </c>
      <c r="B1266" s="3305">
        <v>5514</v>
      </c>
      <c r="C1266" s="4834">
        <f t="shared" si="78"/>
        <v>2.2170874663865253E-4</v>
      </c>
      <c r="D1266" s="3" t="str">
        <f t="shared" si="79"/>
        <v>2016</v>
      </c>
      <c r="J1266" s="270" t="s">
        <v>12348</v>
      </c>
      <c r="K1266" s="4837">
        <v>37431.506692525123</v>
      </c>
      <c r="L1266" s="4834">
        <f t="shared" si="81"/>
        <v>2.997211823303382E-5</v>
      </c>
      <c r="S1266" s="270" t="s">
        <v>12346</v>
      </c>
      <c r="T1266" s="4838">
        <v>522.12812427451843</v>
      </c>
      <c r="U1266" s="4839">
        <f t="shared" si="80"/>
        <v>1.7854763363817786E-3</v>
      </c>
    </row>
    <row r="1267" spans="1:21">
      <c r="A1267" s="270" t="s">
        <v>12346</v>
      </c>
      <c r="B1267" s="3305">
        <v>5501</v>
      </c>
      <c r="C1267" s="4834">
        <f t="shared" si="78"/>
        <v>2.1963831847330101E-4</v>
      </c>
      <c r="D1267" s="3" t="str">
        <f t="shared" si="79"/>
        <v>2016</v>
      </c>
      <c r="J1267" s="270" t="s">
        <v>12349</v>
      </c>
      <c r="K1267" s="4837">
        <v>37831.78348730455</v>
      </c>
      <c r="L1267" s="4834">
        <f t="shared" si="81"/>
        <v>3.1675776393313258E-5</v>
      </c>
      <c r="S1267" s="270" t="s">
        <v>12347</v>
      </c>
      <c r="T1267" s="4838">
        <v>512.80440776961632</v>
      </c>
      <c r="U1267" s="4839">
        <f t="shared" si="80"/>
        <v>1.7168923598626586E-3</v>
      </c>
    </row>
    <row r="1268" spans="1:21">
      <c r="A1268" s="4845" t="s">
        <v>12347</v>
      </c>
      <c r="B1268" s="4846">
        <v>5574</v>
      </c>
      <c r="C1268" s="4847">
        <f t="shared" si="78"/>
        <v>2.3118211898772933E-4</v>
      </c>
      <c r="D1268" s="4848" t="str">
        <f t="shared" si="79"/>
        <v>2017</v>
      </c>
      <c r="H1268" s="3" t="s">
        <v>3358</v>
      </c>
      <c r="J1268" s="270" t="s">
        <v>12350</v>
      </c>
      <c r="K1268" s="4837">
        <v>37804.455352721205</v>
      </c>
      <c r="L1268" s="4834">
        <f t="shared" si="81"/>
        <v>3.1559276884161107E-5</v>
      </c>
      <c r="S1268" s="270" t="s">
        <v>12348</v>
      </c>
      <c r="T1268" s="4838">
        <v>527.91525865687152</v>
      </c>
      <c r="U1268" s="4839">
        <f t="shared" si="80"/>
        <v>1.8267840417939066E-3</v>
      </c>
    </row>
    <row r="1269" spans="1:21">
      <c r="A1269" s="270" t="s">
        <v>12348</v>
      </c>
      <c r="B1269" s="3305">
        <v>5500.5</v>
      </c>
      <c r="C1269" s="4834">
        <f t="shared" si="78"/>
        <v>2.1955857919417129E-4</v>
      </c>
      <c r="D1269" s="3" t="str">
        <f t="shared" si="79"/>
        <v>2017</v>
      </c>
      <c r="J1269" s="270" t="s">
        <v>12351</v>
      </c>
      <c r="K1269" s="4837">
        <v>37889.654831128079</v>
      </c>
      <c r="L1269" s="4834">
        <f t="shared" si="81"/>
        <v>3.1922515939584306E-5</v>
      </c>
      <c r="S1269" s="270" t="s">
        <v>12349</v>
      </c>
      <c r="T1269" s="4838">
        <v>533.38088557353819</v>
      </c>
      <c r="U1269" s="4839">
        <f t="shared" si="80"/>
        <v>1.8647842295088075E-3</v>
      </c>
    </row>
    <row r="1270" spans="1:21">
      <c r="A1270" s="270" t="s">
        <v>12349</v>
      </c>
      <c r="B1270" s="3305">
        <v>5611</v>
      </c>
      <c r="C1270" s="4834">
        <f t="shared" si="78"/>
        <v>2.3694068810150101E-4</v>
      </c>
      <c r="D1270" s="3" t="str">
        <f t="shared" si="79"/>
        <v>2017</v>
      </c>
      <c r="J1270" s="270" t="s">
        <v>12352</v>
      </c>
      <c r="K1270" s="4837">
        <v>38243.313043382987</v>
      </c>
      <c r="L1270" s="4834">
        <f t="shared" si="81"/>
        <v>3.3429792271165354E-5</v>
      </c>
      <c r="S1270" s="270" t="s">
        <v>12350</v>
      </c>
      <c r="T1270" s="4838">
        <v>528.87978105393029</v>
      </c>
      <c r="U1270" s="4839">
        <f t="shared" si="80"/>
        <v>1.8335643258424611E-3</v>
      </c>
    </row>
    <row r="1271" spans="1:21">
      <c r="A1271" s="270" t="s">
        <v>12350</v>
      </c>
      <c r="B1271" s="3305">
        <v>5546.5</v>
      </c>
      <c r="C1271" s="4834">
        <f t="shared" si="78"/>
        <v>2.2685859768599729E-4</v>
      </c>
      <c r="D1271" s="3" t="str">
        <f t="shared" si="79"/>
        <v>2017</v>
      </c>
      <c r="J1271" s="270" t="s">
        <v>12353</v>
      </c>
      <c r="K1271" s="4837">
        <v>37891.262368456511</v>
      </c>
      <c r="L1271" s="4834">
        <f t="shared" si="81"/>
        <v>3.192937028324709E-5</v>
      </c>
      <c r="S1271" s="270" t="s">
        <v>12351</v>
      </c>
      <c r="T1271" s="4838">
        <v>531.13033331373424</v>
      </c>
      <c r="U1271" s="4839">
        <f t="shared" si="80"/>
        <v>1.849262638934128E-3</v>
      </c>
    </row>
    <row r="1272" spans="1:21">
      <c r="A1272" s="270" t="s">
        <v>12351</v>
      </c>
      <c r="B1272" s="3305">
        <v>5551.5</v>
      </c>
      <c r="C1272" s="4834">
        <f t="shared" si="78"/>
        <v>2.2764718224373826E-4</v>
      </c>
      <c r="D1272" s="3" t="str">
        <f t="shared" si="79"/>
        <v>2017</v>
      </c>
      <c r="J1272" s="270" t="s">
        <v>12354</v>
      </c>
      <c r="K1272" s="4837">
        <v>38743.257152525148</v>
      </c>
      <c r="L1272" s="4834">
        <f t="shared" si="81"/>
        <v>3.5548811332140156E-5</v>
      </c>
      <c r="S1272" s="270" t="s">
        <v>12352</v>
      </c>
      <c r="T1272" s="4838">
        <v>535.63143783334226</v>
      </c>
      <c r="U1272" s="4839">
        <f t="shared" si="80"/>
        <v>1.880122414065648E-3</v>
      </c>
    </row>
    <row r="1273" spans="1:21">
      <c r="A1273" s="270" t="s">
        <v>12352</v>
      </c>
      <c r="B1273" s="3305">
        <v>5642</v>
      </c>
      <c r="C1273" s="4834">
        <f t="shared" si="78"/>
        <v>2.4170558416212865E-4</v>
      </c>
      <c r="D1273" s="3" t="str">
        <f t="shared" si="79"/>
        <v>2017</v>
      </c>
      <c r="J1273" s="270" t="s">
        <v>12355</v>
      </c>
      <c r="K1273" s="4837">
        <v>38270.64117796631</v>
      </c>
      <c r="L1273" s="4834">
        <f t="shared" si="81"/>
        <v>3.3546106148746287E-5</v>
      </c>
      <c r="S1273" s="270" t="s">
        <v>12353</v>
      </c>
      <c r="T1273" s="4838">
        <v>539.81103488726376</v>
      </c>
      <c r="U1273" s="4839">
        <f t="shared" si="80"/>
        <v>1.9080983837188891E-3</v>
      </c>
    </row>
    <row r="1274" spans="1:21">
      <c r="A1274" s="270" t="s">
        <v>12353</v>
      </c>
      <c r="B1274" s="3305">
        <v>5709.5</v>
      </c>
      <c r="C1274" s="4834">
        <f t="shared" si="78"/>
        <v>2.5185526844652542E-4</v>
      </c>
      <c r="D1274" s="3" t="str">
        <f t="shared" si="79"/>
        <v>2017</v>
      </c>
      <c r="J1274" s="270" t="s">
        <v>12356</v>
      </c>
      <c r="K1274" s="4837">
        <v>38677.348122059462</v>
      </c>
      <c r="L1274" s="4834">
        <f t="shared" si="81"/>
        <v>3.5270835513483187E-5</v>
      </c>
      <c r="S1274" s="270" t="s">
        <v>12354</v>
      </c>
      <c r="T1274" s="4838">
        <v>543.66912447549919</v>
      </c>
      <c r="U1274" s="4839">
        <f t="shared" si="80"/>
        <v>1.9333041016951213E-3</v>
      </c>
    </row>
    <row r="1275" spans="1:21">
      <c r="A1275" s="270" t="s">
        <v>12354</v>
      </c>
      <c r="B1275" s="3305">
        <v>5752.5</v>
      </c>
      <c r="C1275" s="4834">
        <f t="shared" si="78"/>
        <v>2.5813236983342647E-4</v>
      </c>
      <c r="D1275" s="3" t="str">
        <f t="shared" si="79"/>
        <v>2017</v>
      </c>
      <c r="J1275" s="270" t="s">
        <v>12357</v>
      </c>
      <c r="K1275" s="4837">
        <v>39096.915364780056</v>
      </c>
      <c r="L1275" s="4834">
        <f t="shared" si="81"/>
        <v>3.7029792495530768E-5</v>
      </c>
      <c r="S1275" s="270" t="s">
        <v>12355</v>
      </c>
      <c r="T1275" s="4838">
        <v>538.84651249020499</v>
      </c>
      <c r="U1275" s="4839">
        <f t="shared" si="80"/>
        <v>1.9017027842014886E-3</v>
      </c>
    </row>
    <row r="1276" spans="1:21">
      <c r="A1276" s="270" t="s">
        <v>12355</v>
      </c>
      <c r="B1276" s="3305">
        <v>5797</v>
      </c>
      <c r="C1276" s="4834">
        <f t="shared" si="78"/>
        <v>2.6444927114568516E-4</v>
      </c>
      <c r="D1276" s="3" t="str">
        <f t="shared" si="79"/>
        <v>2017</v>
      </c>
      <c r="J1276" s="270" t="s">
        <v>12358</v>
      </c>
      <c r="K1276" s="4837">
        <v>39055.119394240843</v>
      </c>
      <c r="L1276" s="4834">
        <f t="shared" si="81"/>
        <v>3.6855833944070713E-5</v>
      </c>
      <c r="S1276" s="270" t="s">
        <v>12356</v>
      </c>
      <c r="T1276" s="4838">
        <v>540.77555728432264</v>
      </c>
      <c r="U1276" s="4839">
        <f t="shared" si="80"/>
        <v>1.914456828465761E-3</v>
      </c>
    </row>
    <row r="1277" spans="1:21">
      <c r="A1277" s="270" t="s">
        <v>12356</v>
      </c>
      <c r="B1277" s="3305">
        <v>5857</v>
      </c>
      <c r="C1277" s="4834">
        <f t="shared" si="78"/>
        <v>2.7264063521156373E-4</v>
      </c>
      <c r="D1277" s="3" t="str">
        <f t="shared" si="79"/>
        <v>2017</v>
      </c>
      <c r="J1277" s="270" t="s">
        <v>12359</v>
      </c>
      <c r="K1277" s="4837">
        <v>38453.9004334075</v>
      </c>
      <c r="L1277" s="4834">
        <f t="shared" si="81"/>
        <v>3.4324945360029291E-5</v>
      </c>
      <c r="S1277" s="270" t="s">
        <v>12357</v>
      </c>
      <c r="T1277" s="4838">
        <v>546.56269166667573</v>
      </c>
      <c r="U1277" s="4839">
        <f t="shared" si="80"/>
        <v>1.9517985829047644E-3</v>
      </c>
    </row>
    <row r="1278" spans="1:21">
      <c r="A1278" s="270" t="s">
        <v>12357</v>
      </c>
      <c r="B1278" s="3305">
        <v>5771.5</v>
      </c>
      <c r="C1278" s="4834">
        <f t="shared" si="78"/>
        <v>2.6085298612049689E-4</v>
      </c>
      <c r="D1278" s="3" t="str">
        <f t="shared" si="79"/>
        <v>2017</v>
      </c>
      <c r="J1278" s="270" t="s">
        <v>12360</v>
      </c>
      <c r="K1278" s="4837">
        <v>38598.57879296632</v>
      </c>
      <c r="L1278" s="4834">
        <f t="shared" si="81"/>
        <v>3.4937961880529038E-5</v>
      </c>
      <c r="S1278" s="270" t="s">
        <v>12358</v>
      </c>
      <c r="T1278" s="4838">
        <v>550.42078125491116</v>
      </c>
      <c r="U1278" s="4839">
        <f t="shared" si="80"/>
        <v>1.9758855826659785E-3</v>
      </c>
    </row>
    <row r="1279" spans="1:21">
      <c r="A1279" s="270" t="s">
        <v>12358</v>
      </c>
      <c r="B1279" s="3305">
        <v>5721</v>
      </c>
      <c r="C1279" s="4834">
        <f t="shared" si="78"/>
        <v>2.5354957751386962E-4</v>
      </c>
      <c r="D1279" s="3" t="str">
        <f t="shared" si="79"/>
        <v>2017</v>
      </c>
      <c r="J1279" s="270" t="s">
        <v>12361</v>
      </c>
      <c r="K1279" s="4837">
        <v>38994.032975760449</v>
      </c>
      <c r="L1279" s="4834">
        <f t="shared" si="81"/>
        <v>3.6601028962593314E-5</v>
      </c>
      <c r="S1279" s="270" t="s">
        <v>12359</v>
      </c>
      <c r="T1279" s="4838">
        <v>544.95515433824426</v>
      </c>
      <c r="U1279" s="4839">
        <f t="shared" si="80"/>
        <v>1.9415682393493046E-3</v>
      </c>
    </row>
    <row r="1280" spans="1:21">
      <c r="A1280" s="270" t="s">
        <v>12359</v>
      </c>
      <c r="B1280" s="3305">
        <v>5710</v>
      </c>
      <c r="C1280" s="4834">
        <f t="shared" si="78"/>
        <v>2.5192916060670184E-4</v>
      </c>
      <c r="D1280" s="3" t="str">
        <f t="shared" si="79"/>
        <v>2017</v>
      </c>
      <c r="J1280" s="270" t="s">
        <v>12362</v>
      </c>
      <c r="K1280" s="4837">
        <v>39121.028424706521</v>
      </c>
      <c r="L1280" s="4834">
        <f t="shared" si="81"/>
        <v>3.7130006504092863E-5</v>
      </c>
      <c r="S1280" s="270" t="s">
        <v>12360</v>
      </c>
      <c r="T1280" s="4838">
        <v>543.02610954412671</v>
      </c>
      <c r="U1280" s="4839">
        <f t="shared" si="80"/>
        <v>1.9291458240787342E-3</v>
      </c>
    </row>
    <row r="1281" spans="1:21">
      <c r="A1281" s="270" t="s">
        <v>12360</v>
      </c>
      <c r="B1281" s="3305">
        <v>5706</v>
      </c>
      <c r="C1281" s="4834">
        <f t="shared" si="78"/>
        <v>2.5133745523404699E-4</v>
      </c>
      <c r="D1281" s="3" t="str">
        <f t="shared" si="79"/>
        <v>2017</v>
      </c>
      <c r="J1281" s="270" t="s">
        <v>12363</v>
      </c>
      <c r="K1281" s="4837">
        <v>38420.142149510437</v>
      </c>
      <c r="L1281" s="4834">
        <f t="shared" si="81"/>
        <v>3.418164857122486E-5</v>
      </c>
      <c r="S1281" s="270" t="s">
        <v>12361</v>
      </c>
      <c r="T1281" s="4838">
        <v>551.06379618628364</v>
      </c>
      <c r="U1281" s="4839">
        <f t="shared" si="80"/>
        <v>1.9798345121559914E-3</v>
      </c>
    </row>
    <row r="1282" spans="1:21">
      <c r="A1282" s="270" t="s">
        <v>12361</v>
      </c>
      <c r="B1282" s="3305">
        <v>5775</v>
      </c>
      <c r="C1282" s="4834">
        <f t="shared" si="78"/>
        <v>2.6135040062479737E-4</v>
      </c>
      <c r="D1282" s="3" t="str">
        <f t="shared" si="79"/>
        <v>2017</v>
      </c>
      <c r="J1282" s="270" t="s">
        <v>12364</v>
      </c>
      <c r="K1282" s="4837">
        <v>38249.743192696711</v>
      </c>
      <c r="L1282" s="4834">
        <f t="shared" si="81"/>
        <v>3.3457163521442658E-5</v>
      </c>
      <c r="S1282" s="270" t="s">
        <v>12362</v>
      </c>
      <c r="T1282" s="4838">
        <v>550.09927378922475</v>
      </c>
      <c r="U1282" s="4839">
        <f t="shared" si="80"/>
        <v>1.9739039918026569E-3</v>
      </c>
    </row>
    <row r="1283" spans="1:21">
      <c r="A1283" s="270" t="s">
        <v>12362</v>
      </c>
      <c r="B1283" s="3305">
        <v>5879</v>
      </c>
      <c r="C1283" s="4834">
        <f t="shared" si="78"/>
        <v>2.7554132032216075E-4</v>
      </c>
      <c r="D1283" s="3" t="str">
        <f t="shared" si="79"/>
        <v>2017</v>
      </c>
      <c r="J1283" s="270" t="s">
        <v>12365</v>
      </c>
      <c r="K1283" s="4837">
        <v>38093.81207183886</v>
      </c>
      <c r="L1283" s="4834">
        <f t="shared" si="81"/>
        <v>3.2792948685264603E-5</v>
      </c>
      <c r="S1283" s="270" t="s">
        <v>12363</v>
      </c>
      <c r="T1283" s="4838">
        <v>544.31213940687178</v>
      </c>
      <c r="U1283" s="4839">
        <f t="shared" si="80"/>
        <v>1.9374449568594287E-3</v>
      </c>
    </row>
    <row r="1284" spans="1:21">
      <c r="A1284" s="270" t="s">
        <v>12363</v>
      </c>
      <c r="B1284" s="3305">
        <v>5867</v>
      </c>
      <c r="C1284" s="4834">
        <f t="shared" ref="C1284:C1347" si="82">_xlfn.NORM.DIST(B1284,$F$4,$F$3,FALSE)</f>
        <v>2.7396629753360122E-4</v>
      </c>
      <c r="D1284" s="3" t="str">
        <f t="shared" ref="D1284:D1347" si="83">LEFT(A1284,4)</f>
        <v>2017</v>
      </c>
      <c r="J1284" s="270" t="s">
        <v>12366</v>
      </c>
      <c r="K1284" s="4837">
        <v>38349.410507059452</v>
      </c>
      <c r="L1284" s="4834">
        <f t="shared" si="81"/>
        <v>3.3881138119491711E-5</v>
      </c>
      <c r="S1284" s="270" t="s">
        <v>12364</v>
      </c>
      <c r="T1284" s="4838">
        <v>542.06158714706771</v>
      </c>
      <c r="U1284" s="4839">
        <f t="shared" ref="U1284:U1347" si="84">_xlfn.NORM.DIST(T1284,$X$4,$X$3,FALSE)</f>
        <v>1.92287607012287E-3</v>
      </c>
    </row>
    <row r="1285" spans="1:21">
      <c r="A1285" s="270" t="s">
        <v>12364</v>
      </c>
      <c r="B1285" s="3305">
        <v>5890</v>
      </c>
      <c r="C1285" s="4834">
        <f t="shared" si="82"/>
        <v>2.7696965232247762E-4</v>
      </c>
      <c r="D1285" s="3" t="str">
        <f t="shared" si="83"/>
        <v>2017</v>
      </c>
      <c r="J1285" s="270" t="s">
        <v>12367</v>
      </c>
      <c r="K1285" s="4837">
        <v>38992.425438432016</v>
      </c>
      <c r="L1285" s="4834">
        <f t="shared" ref="L1285:L1348" si="85">_xlfn.NORM.DIST(K1285,$O$4,$O$3,FALSE)</f>
        <v>3.6594314915051869E-5</v>
      </c>
      <c r="S1285" s="270" t="s">
        <v>12365</v>
      </c>
      <c r="T1285" s="4838">
        <v>536.91746769608733</v>
      </c>
      <c r="U1285" s="4839">
        <f t="shared" si="84"/>
        <v>1.8888021857668951E-3</v>
      </c>
    </row>
    <row r="1286" spans="1:21">
      <c r="A1286" s="270" t="s">
        <v>12365</v>
      </c>
      <c r="B1286" s="3305">
        <v>5847</v>
      </c>
      <c r="C1286" s="4834">
        <f t="shared" si="82"/>
        <v>2.7130327427322715E-4</v>
      </c>
      <c r="D1286" s="3" t="str">
        <f t="shared" si="83"/>
        <v>2017</v>
      </c>
      <c r="J1286" s="270" t="s">
        <v>12368</v>
      </c>
      <c r="K1286" s="4837">
        <v>38698.246107329069</v>
      </c>
      <c r="L1286" s="4834">
        <f t="shared" si="85"/>
        <v>3.5359031093431132E-5</v>
      </c>
      <c r="S1286" s="270" t="s">
        <v>12366</v>
      </c>
      <c r="T1286" s="4838">
        <v>549.77776632353846</v>
      </c>
      <c r="U1286" s="4839">
        <f t="shared" si="84"/>
        <v>1.9719176745102767E-3</v>
      </c>
    </row>
    <row r="1287" spans="1:21">
      <c r="A1287" s="270" t="s">
        <v>12366</v>
      </c>
      <c r="B1287" s="3305">
        <v>5857</v>
      </c>
      <c r="C1287" s="4834">
        <f t="shared" si="82"/>
        <v>2.7264063521156373E-4</v>
      </c>
      <c r="D1287" s="3" t="str">
        <f t="shared" si="83"/>
        <v>2017</v>
      </c>
      <c r="J1287" s="270" t="s">
        <v>12369</v>
      </c>
      <c r="K1287" s="4837">
        <v>39286.604769534963</v>
      </c>
      <c r="L1287" s="4834">
        <f t="shared" si="85"/>
        <v>3.7815040349225957E-5</v>
      </c>
      <c r="S1287" s="270" t="s">
        <v>12367</v>
      </c>
      <c r="T1287" s="4838">
        <v>555.88640817157773</v>
      </c>
      <c r="U1287" s="4839">
        <f t="shared" si="84"/>
        <v>2.0088319246666458E-3</v>
      </c>
    </row>
    <row r="1288" spans="1:21">
      <c r="A1288" s="270" t="s">
        <v>12367</v>
      </c>
      <c r="B1288" s="3305">
        <v>5921</v>
      </c>
      <c r="C1288" s="4834">
        <f t="shared" si="82"/>
        <v>2.8091279608440795E-4</v>
      </c>
      <c r="D1288" s="3" t="str">
        <f t="shared" si="83"/>
        <v>2017</v>
      </c>
      <c r="J1288" s="270" t="s">
        <v>12370</v>
      </c>
      <c r="K1288" s="4837">
        <v>39069.587230196725</v>
      </c>
      <c r="L1288" s="4834">
        <f t="shared" si="85"/>
        <v>3.6916086293296033E-5</v>
      </c>
      <c r="S1288" s="270" t="s">
        <v>12368</v>
      </c>
      <c r="T1288" s="4838">
        <v>565.85313960785254</v>
      </c>
      <c r="U1288" s="4839">
        <f t="shared" si="84"/>
        <v>2.0650936040706703E-3</v>
      </c>
    </row>
    <row r="1289" spans="1:21">
      <c r="A1289" s="270" t="s">
        <v>12368</v>
      </c>
      <c r="B1289" s="3305">
        <v>5931</v>
      </c>
      <c r="C1289" s="4834">
        <f t="shared" si="82"/>
        <v>2.8215809582333502E-4</v>
      </c>
      <c r="D1289" s="3" t="str">
        <f t="shared" si="83"/>
        <v>2017</v>
      </c>
      <c r="J1289" s="270" t="s">
        <v>12371</v>
      </c>
      <c r="K1289" s="4837">
        <v>39440.928353064381</v>
      </c>
      <c r="L1289" s="4834">
        <f t="shared" si="85"/>
        <v>3.8448165131604878E-5</v>
      </c>
      <c r="S1289" s="270" t="s">
        <v>12369</v>
      </c>
      <c r="T1289" s="4838">
        <v>569.38972173040156</v>
      </c>
      <c r="U1289" s="4839">
        <f t="shared" si="84"/>
        <v>2.0837944308023022E-3</v>
      </c>
    </row>
    <row r="1290" spans="1:21">
      <c r="A1290" s="270" t="s">
        <v>12369</v>
      </c>
      <c r="B1290" s="3305">
        <v>5903</v>
      </c>
      <c r="C1290" s="4834">
        <f t="shared" si="82"/>
        <v>2.7863820873031824E-4</v>
      </c>
      <c r="D1290" s="3" t="str">
        <f t="shared" si="83"/>
        <v>2017</v>
      </c>
      <c r="J1290" s="270" t="s">
        <v>12372</v>
      </c>
      <c r="K1290" s="4837">
        <v>39577.569025981044</v>
      </c>
      <c r="L1290" s="4834">
        <f t="shared" si="85"/>
        <v>3.9003920908646391E-5</v>
      </c>
      <c r="S1290" s="270" t="s">
        <v>12370</v>
      </c>
      <c r="T1290" s="4838">
        <v>555.56490070589155</v>
      </c>
      <c r="U1290" s="4839">
        <f t="shared" si="84"/>
        <v>2.0069334490749441E-3</v>
      </c>
    </row>
    <row r="1291" spans="1:21">
      <c r="A1291" s="270" t="s">
        <v>12370</v>
      </c>
      <c r="B1291" s="3305">
        <v>5836</v>
      </c>
      <c r="C1291" s="4834">
        <f t="shared" si="82"/>
        <v>2.6981894645276806E-4</v>
      </c>
      <c r="D1291" s="3" t="str">
        <f t="shared" si="83"/>
        <v>2017</v>
      </c>
      <c r="J1291" s="270" t="s">
        <v>12373</v>
      </c>
      <c r="K1291" s="4837">
        <v>39934.44231289281</v>
      </c>
      <c r="L1291" s="4834">
        <f t="shared" si="85"/>
        <v>4.0430818280437073E-5</v>
      </c>
      <c r="S1291" s="270" t="s">
        <v>12371</v>
      </c>
      <c r="T1291" s="4838">
        <v>565.85313960785254</v>
      </c>
      <c r="U1291" s="4839">
        <f t="shared" si="84"/>
        <v>2.0650936040706703E-3</v>
      </c>
    </row>
    <row r="1292" spans="1:21">
      <c r="A1292" s="270" t="s">
        <v>12371</v>
      </c>
      <c r="B1292" s="3305">
        <v>5786</v>
      </c>
      <c r="C1292" s="4834">
        <f t="shared" si="82"/>
        <v>2.6290588867542558E-4</v>
      </c>
      <c r="D1292" s="3" t="str">
        <f t="shared" si="83"/>
        <v>2017</v>
      </c>
      <c r="J1292" s="270" t="s">
        <v>12374</v>
      </c>
      <c r="K1292" s="4837">
        <v>39764.043356079084</v>
      </c>
      <c r="L1292" s="4834">
        <f t="shared" si="85"/>
        <v>3.9754238294006759E-5</v>
      </c>
      <c r="S1292" s="270" t="s">
        <v>12372</v>
      </c>
      <c r="T1292" s="4838">
        <v>565.85313960785254</v>
      </c>
      <c r="U1292" s="4839">
        <f t="shared" si="84"/>
        <v>2.0650936040706703E-3</v>
      </c>
    </row>
    <row r="1293" spans="1:21">
      <c r="A1293" s="270" t="s">
        <v>12372</v>
      </c>
      <c r="B1293" s="3305">
        <v>5802</v>
      </c>
      <c r="C1293" s="4834">
        <f t="shared" si="82"/>
        <v>2.6514671988643303E-4</v>
      </c>
      <c r="D1293" s="3" t="str">
        <f t="shared" si="83"/>
        <v>2017</v>
      </c>
      <c r="J1293" s="270" t="s">
        <v>12375</v>
      </c>
      <c r="K1293" s="4837">
        <v>39490.762010245744</v>
      </c>
      <c r="L1293" s="4834">
        <f t="shared" si="85"/>
        <v>3.8651402362908508E-5</v>
      </c>
      <c r="S1293" s="270" t="s">
        <v>12373</v>
      </c>
      <c r="T1293" s="4838">
        <v>570.35424412746033</v>
      </c>
      <c r="U1293" s="4839">
        <f t="shared" si="84"/>
        <v>2.0887746343769241E-3</v>
      </c>
    </row>
    <row r="1294" spans="1:21">
      <c r="A1294" s="270" t="s">
        <v>12373</v>
      </c>
      <c r="B1294" s="3305">
        <v>5865</v>
      </c>
      <c r="C1294" s="4834">
        <f t="shared" si="82"/>
        <v>2.73702112223289E-4</v>
      </c>
      <c r="D1294" s="3" t="str">
        <f t="shared" si="83"/>
        <v>2017</v>
      </c>
      <c r="J1294" s="270" t="s">
        <v>12376</v>
      </c>
      <c r="K1294" s="4837">
        <v>39296.249993505546</v>
      </c>
      <c r="L1294" s="4834">
        <f t="shared" si="85"/>
        <v>3.7854768850628183E-5</v>
      </c>
      <c r="S1294" s="270" t="s">
        <v>12374</v>
      </c>
      <c r="T1294" s="4838">
        <v>569.71122919608774</v>
      </c>
      <c r="U1294" s="4839">
        <f t="shared" si="84"/>
        <v>2.0854602782035799E-3</v>
      </c>
    </row>
    <row r="1295" spans="1:21">
      <c r="A1295" s="270" t="s">
        <v>12374</v>
      </c>
      <c r="B1295" s="3305">
        <v>5863</v>
      </c>
      <c r="C1295" s="4834">
        <f t="shared" si="82"/>
        <v>2.7343745146235162E-4</v>
      </c>
      <c r="D1295" s="3" t="str">
        <f t="shared" si="83"/>
        <v>2017</v>
      </c>
      <c r="J1295" s="270" t="s">
        <v>12377</v>
      </c>
      <c r="K1295" s="4837">
        <v>39569.531339338886</v>
      </c>
      <c r="L1295" s="4834">
        <f t="shared" si="85"/>
        <v>3.8971363083231236E-5</v>
      </c>
      <c r="S1295" s="270" t="s">
        <v>12375</v>
      </c>
      <c r="T1295" s="4838">
        <v>566.49615453922513</v>
      </c>
      <c r="U1295" s="4839">
        <f t="shared" si="84"/>
        <v>2.0685446103417462E-3</v>
      </c>
    </row>
    <row r="1296" spans="1:21">
      <c r="A1296" s="270" t="s">
        <v>12375</v>
      </c>
      <c r="B1296" s="3305">
        <v>5872</v>
      </c>
      <c r="C1296" s="4834">
        <f t="shared" si="82"/>
        <v>2.7462466844213683E-4</v>
      </c>
      <c r="D1296" s="3" t="str">
        <f t="shared" si="83"/>
        <v>2017</v>
      </c>
      <c r="J1296" s="270" t="s">
        <v>12378</v>
      </c>
      <c r="K1296" s="4837">
        <v>39365.374098628105</v>
      </c>
      <c r="L1296" s="4834">
        <f t="shared" si="85"/>
        <v>3.8138884102306331E-5</v>
      </c>
      <c r="S1296" s="270" t="s">
        <v>12376</v>
      </c>
      <c r="T1296" s="4838">
        <v>577.74891583824478</v>
      </c>
      <c r="U1296" s="4839">
        <f t="shared" si="84"/>
        <v>2.1251891941296412E-3</v>
      </c>
    </row>
    <row r="1297" spans="1:21">
      <c r="A1297" s="270" t="s">
        <v>12376</v>
      </c>
      <c r="B1297" s="3305">
        <v>6111</v>
      </c>
      <c r="C1297" s="4834">
        <f t="shared" si="82"/>
        <v>3.0207334050509692E-4</v>
      </c>
      <c r="D1297" s="3" t="str">
        <f t="shared" si="83"/>
        <v>2017</v>
      </c>
      <c r="J1297" s="270" t="s">
        <v>12379</v>
      </c>
      <c r="K1297" s="4837">
        <v>39884.608655711439</v>
      </c>
      <c r="L1297" s="4834">
        <f t="shared" si="85"/>
        <v>4.0233897731349483E-5</v>
      </c>
      <c r="S1297" s="270" t="s">
        <v>12377</v>
      </c>
      <c r="T1297" s="4838">
        <v>575.81987104412713</v>
      </c>
      <c r="U1297" s="4839">
        <f t="shared" si="84"/>
        <v>2.1159963706955135E-3</v>
      </c>
    </row>
    <row r="1298" spans="1:21">
      <c r="A1298" s="270" t="s">
        <v>12377</v>
      </c>
      <c r="B1298" s="3305">
        <v>6145</v>
      </c>
      <c r="C1298" s="4834">
        <f t="shared" si="82"/>
        <v>3.052477410235532E-4</v>
      </c>
      <c r="D1298" s="3" t="str">
        <f t="shared" si="83"/>
        <v>2017</v>
      </c>
      <c r="J1298" s="270" t="s">
        <v>12380</v>
      </c>
      <c r="K1298" s="4837">
        <v>39929.619700907526</v>
      </c>
      <c r="L1298" s="4834">
        <f t="shared" si="85"/>
        <v>4.0411796698084427E-5</v>
      </c>
      <c r="S1298" s="270" t="s">
        <v>12378</v>
      </c>
      <c r="T1298" s="4838">
        <v>574.85534864706824</v>
      </c>
      <c r="U1298" s="4839">
        <f t="shared" si="84"/>
        <v>2.1113178367500713E-3</v>
      </c>
    </row>
    <row r="1299" spans="1:21">
      <c r="A1299" s="270" t="s">
        <v>12378</v>
      </c>
      <c r="B1299" s="3305">
        <v>6016</v>
      </c>
      <c r="C1299" s="4834">
        <f t="shared" si="82"/>
        <v>2.9217988943114218E-4</v>
      </c>
      <c r="D1299" s="3" t="str">
        <f t="shared" si="83"/>
        <v>2017</v>
      </c>
      <c r="J1299" s="270" t="s">
        <v>12381</v>
      </c>
      <c r="K1299" s="4837">
        <v>39780.118729363399</v>
      </c>
      <c r="L1299" s="4834">
        <f t="shared" si="85"/>
        <v>3.9818450303259386E-5</v>
      </c>
      <c r="S1299" s="270" t="s">
        <v>12379</v>
      </c>
      <c r="T1299" s="4838">
        <v>581.92851289216651</v>
      </c>
      <c r="U1299" s="4839">
        <f t="shared" si="84"/>
        <v>2.1443423823456998E-3</v>
      </c>
    </row>
    <row r="1300" spans="1:21">
      <c r="A1300" s="270" t="s">
        <v>12379</v>
      </c>
      <c r="B1300" s="3305">
        <v>6015</v>
      </c>
      <c r="C1300" s="4834">
        <f t="shared" si="82"/>
        <v>2.9206813051424956E-4</v>
      </c>
      <c r="D1300" s="3" t="str">
        <f t="shared" si="83"/>
        <v>2017</v>
      </c>
      <c r="J1300" s="270" t="s">
        <v>12382</v>
      </c>
      <c r="K1300" s="4837">
        <v>39648.300668432028</v>
      </c>
      <c r="L1300" s="4834">
        <f t="shared" si="85"/>
        <v>3.9289676373852871E-5</v>
      </c>
      <c r="S1300" s="270" t="s">
        <v>12380</v>
      </c>
      <c r="T1300" s="4838">
        <v>579.03494570098997</v>
      </c>
      <c r="U1300" s="4839">
        <f t="shared" si="84"/>
        <v>2.1311947947266099E-3</v>
      </c>
    </row>
    <row r="1301" spans="1:21">
      <c r="A1301" s="270" t="s">
        <v>12380</v>
      </c>
      <c r="B1301" s="3305">
        <v>5939</v>
      </c>
      <c r="C1301" s="4834">
        <f t="shared" si="82"/>
        <v>2.831446985873119E-4</v>
      </c>
      <c r="D1301" s="3" t="str">
        <f t="shared" si="83"/>
        <v>2017</v>
      </c>
      <c r="J1301" s="270" t="s">
        <v>12383</v>
      </c>
      <c r="K1301" s="4837">
        <v>39759.220744093793</v>
      </c>
      <c r="L1301" s="4834">
        <f t="shared" si="85"/>
        <v>3.9734959606189489E-5</v>
      </c>
      <c r="S1301" s="270" t="s">
        <v>12381</v>
      </c>
      <c r="T1301" s="4838">
        <v>578.07042330393108</v>
      </c>
      <c r="U1301" s="4839">
        <f t="shared" si="84"/>
        <v>2.1266998668777576E-3</v>
      </c>
    </row>
    <row r="1302" spans="1:21">
      <c r="A1302" s="270" t="s">
        <v>12381</v>
      </c>
      <c r="B1302" s="3305">
        <v>6002</v>
      </c>
      <c r="C1302" s="4834">
        <f t="shared" si="82"/>
        <v>2.90601493277466E-4</v>
      </c>
      <c r="D1302" s="3" t="str">
        <f t="shared" si="83"/>
        <v>2017</v>
      </c>
      <c r="J1302" s="270" t="s">
        <v>12384</v>
      </c>
      <c r="K1302" s="4837">
        <v>40120.916642990866</v>
      </c>
      <c r="L1302" s="4834">
        <f t="shared" si="85"/>
        <v>4.1160287405606169E-5</v>
      </c>
      <c r="S1302" s="270" t="s">
        <v>12382</v>
      </c>
      <c r="T1302" s="4838">
        <v>575.17685611275465</v>
      </c>
      <c r="U1302" s="4839">
        <f t="shared" si="84"/>
        <v>2.112883391218086E-3</v>
      </c>
    </row>
    <row r="1303" spans="1:21">
      <c r="A1303" s="270" t="s">
        <v>12382</v>
      </c>
      <c r="B1303" s="3305">
        <v>6034</v>
      </c>
      <c r="C1303" s="4834">
        <f t="shared" si="82"/>
        <v>2.9416529405554433E-4</v>
      </c>
      <c r="D1303" s="3" t="str">
        <f t="shared" si="83"/>
        <v>2017</v>
      </c>
      <c r="J1303" s="270" t="s">
        <v>12385</v>
      </c>
      <c r="K1303" s="4837">
        <v>40305.783435760473</v>
      </c>
      <c r="L1303" s="4834">
        <f t="shared" si="85"/>
        <v>4.1871124881433054E-5</v>
      </c>
      <c r="S1303" s="270" t="s">
        <v>12383</v>
      </c>
      <c r="T1303" s="4838">
        <v>578.71343823530367</v>
      </c>
      <c r="U1303" s="4839">
        <f t="shared" si="84"/>
        <v>2.1297026817643427E-3</v>
      </c>
    </row>
    <row r="1304" spans="1:21">
      <c r="A1304" s="270" t="s">
        <v>12383</v>
      </c>
      <c r="B1304" s="3305">
        <v>5976</v>
      </c>
      <c r="C1304" s="4834">
        <f t="shared" si="82"/>
        <v>2.8759291515880489E-4</v>
      </c>
      <c r="D1304" s="3" t="str">
        <f t="shared" si="83"/>
        <v>2017</v>
      </c>
      <c r="J1304" s="270" t="s">
        <v>12386</v>
      </c>
      <c r="K1304" s="4837">
        <v>40419.918586079097</v>
      </c>
      <c r="L1304" s="4834">
        <f t="shared" si="85"/>
        <v>4.2303383406349243E-5</v>
      </c>
      <c r="S1304" s="270" t="s">
        <v>12384</v>
      </c>
      <c r="T1304" s="4838">
        <v>578.71343823530367</v>
      </c>
      <c r="U1304" s="4839">
        <f t="shared" si="84"/>
        <v>2.1297026817643427E-3</v>
      </c>
    </row>
    <row r="1305" spans="1:21">
      <c r="A1305" s="270" t="s">
        <v>12384</v>
      </c>
      <c r="B1305" s="3305">
        <v>5991</v>
      </c>
      <c r="C1305" s="4834">
        <f t="shared" si="82"/>
        <v>2.893407471063538E-4</v>
      </c>
      <c r="D1305" s="3" t="str">
        <f t="shared" si="83"/>
        <v>2017</v>
      </c>
      <c r="J1305" s="270" t="s">
        <v>12387</v>
      </c>
      <c r="K1305" s="4837">
        <v>40368.477391569293</v>
      </c>
      <c r="L1305" s="4834">
        <f t="shared" si="85"/>
        <v>4.2109209583064817E-5</v>
      </c>
      <c r="S1305" s="270" t="s">
        <v>12385</v>
      </c>
      <c r="T1305" s="4838">
        <v>587.39413980883319</v>
      </c>
      <c r="U1305" s="4839">
        <f t="shared" si="84"/>
        <v>2.1677667050200387E-3</v>
      </c>
    </row>
    <row r="1306" spans="1:21">
      <c r="A1306" s="270" t="s">
        <v>12385</v>
      </c>
      <c r="B1306" s="3305">
        <v>5881</v>
      </c>
      <c r="C1306" s="4834">
        <f t="shared" si="82"/>
        <v>2.7580212521640301E-4</v>
      </c>
      <c r="D1306" s="3" t="str">
        <f t="shared" si="83"/>
        <v>2017</v>
      </c>
      <c r="J1306" s="270" t="s">
        <v>12388</v>
      </c>
      <c r="K1306" s="4837">
        <v>39879.786043726148</v>
      </c>
      <c r="L1306" s="4834">
        <f t="shared" si="85"/>
        <v>4.0214798480847663E-5</v>
      </c>
      <c r="S1306" s="270" t="s">
        <v>12386</v>
      </c>
      <c r="T1306" s="4838">
        <v>589.64469206863714</v>
      </c>
      <c r="U1306" s="4839">
        <f t="shared" si="84"/>
        <v>2.1768635744543593E-3</v>
      </c>
    </row>
    <row r="1307" spans="1:21">
      <c r="A1307" s="270" t="s">
        <v>12386</v>
      </c>
      <c r="B1307" s="3305">
        <v>5927</v>
      </c>
      <c r="C1307" s="4834">
        <f t="shared" si="82"/>
        <v>2.8166157132482046E-4</v>
      </c>
      <c r="D1307" s="3" t="str">
        <f t="shared" si="83"/>
        <v>2017</v>
      </c>
      <c r="J1307" s="270" t="s">
        <v>12389</v>
      </c>
      <c r="K1307" s="4837">
        <v>39805.839326618297</v>
      </c>
      <c r="L1307" s="4834">
        <f t="shared" si="85"/>
        <v>3.9921027183363375E-5</v>
      </c>
      <c r="S1307" s="270" t="s">
        <v>12387</v>
      </c>
      <c r="T1307" s="4838">
        <v>587.71564727451948</v>
      </c>
      <c r="U1307" s="4839">
        <f t="shared" si="84"/>
        <v>2.1690860816042041E-3</v>
      </c>
    </row>
    <row r="1308" spans="1:21">
      <c r="A1308" s="270" t="s">
        <v>12387</v>
      </c>
      <c r="B1308" s="3305">
        <v>5936</v>
      </c>
      <c r="C1308" s="4834">
        <f t="shared" si="82"/>
        <v>2.8277573481078386E-4</v>
      </c>
      <c r="D1308" s="3" t="str">
        <f t="shared" si="83"/>
        <v>2017</v>
      </c>
      <c r="J1308" s="270" t="s">
        <v>12390</v>
      </c>
      <c r="K1308" s="4837">
        <v>39432.890666422216</v>
      </c>
      <c r="L1308" s="4834">
        <f t="shared" si="85"/>
        <v>3.8415327718799611E-5</v>
      </c>
      <c r="S1308" s="270" t="s">
        <v>12388</v>
      </c>
      <c r="T1308" s="4838">
        <v>589.32318460295085</v>
      </c>
      <c r="U1308" s="4839">
        <f t="shared" si="84"/>
        <v>2.1755839095289643E-3</v>
      </c>
    </row>
    <row r="1309" spans="1:21">
      <c r="A1309" s="270" t="s">
        <v>12388</v>
      </c>
      <c r="B1309" s="3305">
        <v>6040</v>
      </c>
      <c r="C1309" s="4834">
        <f t="shared" si="82"/>
        <v>2.9481591748462248E-4</v>
      </c>
      <c r="D1309" s="3" t="str">
        <f t="shared" si="83"/>
        <v>2017</v>
      </c>
      <c r="J1309" s="270" t="s">
        <v>12391</v>
      </c>
      <c r="K1309" s="4837">
        <v>39575.961488652618</v>
      </c>
      <c r="L1309" s="4834">
        <f t="shared" si="85"/>
        <v>3.8997410720087416E-5</v>
      </c>
      <c r="S1309" s="270" t="s">
        <v>12389</v>
      </c>
      <c r="T1309" s="4838">
        <v>589.32318460295085</v>
      </c>
      <c r="U1309" s="4839">
        <f t="shared" si="84"/>
        <v>2.1755839095289643E-3</v>
      </c>
    </row>
    <row r="1310" spans="1:21">
      <c r="A1310" s="270" t="s">
        <v>12389</v>
      </c>
      <c r="B1310" s="3305">
        <v>5994</v>
      </c>
      <c r="C1310" s="4834">
        <f t="shared" si="82"/>
        <v>2.8968636430461587E-4</v>
      </c>
      <c r="D1310" s="3" t="str">
        <f t="shared" si="83"/>
        <v>2017</v>
      </c>
      <c r="J1310" s="270" t="s">
        <v>12392</v>
      </c>
      <c r="K1310" s="4837">
        <v>39116.205812721237</v>
      </c>
      <c r="L1310" s="4834">
        <f t="shared" si="85"/>
        <v>3.7109972447909483E-5</v>
      </c>
      <c r="S1310" s="270" t="s">
        <v>12390</v>
      </c>
      <c r="T1310" s="4838">
        <v>567.7821844019702</v>
      </c>
      <c r="U1310" s="4839">
        <f t="shared" si="84"/>
        <v>2.0753791400713972E-3</v>
      </c>
    </row>
    <row r="1311" spans="1:21">
      <c r="A1311" s="270" t="s">
        <v>12390</v>
      </c>
      <c r="B1311" s="3305">
        <v>5910</v>
      </c>
      <c r="C1311" s="4834">
        <f t="shared" si="82"/>
        <v>2.7952775837394378E-4</v>
      </c>
      <c r="D1311" s="3" t="str">
        <f t="shared" si="83"/>
        <v>2017</v>
      </c>
      <c r="J1311" s="270" t="s">
        <v>12393</v>
      </c>
      <c r="K1311" s="4837">
        <v>38876.682750784959</v>
      </c>
      <c r="L1311" s="4834">
        <f t="shared" si="85"/>
        <v>3.6109804453807194E-5</v>
      </c>
      <c r="S1311" s="270" t="s">
        <v>12391</v>
      </c>
      <c r="T1311" s="4838">
        <v>572.6047963872644</v>
      </c>
      <c r="U1311" s="4839">
        <f t="shared" si="84"/>
        <v>2.1001911651963136E-3</v>
      </c>
    </row>
    <row r="1312" spans="1:21">
      <c r="A1312" s="270" t="s">
        <v>12391</v>
      </c>
      <c r="B1312" s="3305">
        <v>5856</v>
      </c>
      <c r="C1312" s="4834">
        <f t="shared" si="82"/>
        <v>2.7250742167871675E-4</v>
      </c>
      <c r="D1312" s="3" t="str">
        <f t="shared" si="83"/>
        <v>2017</v>
      </c>
      <c r="J1312" s="270" t="s">
        <v>12394</v>
      </c>
      <c r="K1312" s="4837">
        <v>38791.483272378086</v>
      </c>
      <c r="L1312" s="4834">
        <f t="shared" si="85"/>
        <v>3.5751861307689996E-5</v>
      </c>
      <c r="S1312" s="270" t="s">
        <v>12392</v>
      </c>
      <c r="T1312" s="4838">
        <v>569.06821426471527</v>
      </c>
      <c r="U1312" s="4839">
        <f t="shared" si="84"/>
        <v>2.0821228251107771E-3</v>
      </c>
    </row>
    <row r="1313" spans="1:21">
      <c r="A1313" s="270" t="s">
        <v>12392</v>
      </c>
      <c r="B1313" s="3305">
        <v>5807</v>
      </c>
      <c r="C1313" s="4834">
        <f t="shared" si="82"/>
        <v>2.6584157102388736E-4</v>
      </c>
      <c r="D1313" s="3" t="str">
        <f t="shared" si="83"/>
        <v>2017</v>
      </c>
      <c r="J1313" s="270" t="s">
        <v>12395</v>
      </c>
      <c r="K1313" s="4837">
        <v>38666.095360760446</v>
      </c>
      <c r="L1313" s="4834">
        <f t="shared" si="85"/>
        <v>3.5223324457149066E-5</v>
      </c>
      <c r="S1313" s="270" t="s">
        <v>12393</v>
      </c>
      <c r="T1313" s="4838">
        <v>559.42299029412675</v>
      </c>
      <c r="U1313" s="4839">
        <f t="shared" si="84"/>
        <v>2.0293779894825911E-3</v>
      </c>
    </row>
    <row r="1314" spans="1:21">
      <c r="A1314" s="270" t="s">
        <v>12393</v>
      </c>
      <c r="B1314" s="3305">
        <v>5782</v>
      </c>
      <c r="C1314" s="4834">
        <f t="shared" si="82"/>
        <v>2.6234164037988044E-4</v>
      </c>
      <c r="D1314" s="3" t="str">
        <f t="shared" si="83"/>
        <v>2017</v>
      </c>
      <c r="J1314" s="270" t="s">
        <v>12396</v>
      </c>
      <c r="K1314" s="4837">
        <v>38715.929017941817</v>
      </c>
      <c r="L1314" s="4834">
        <f t="shared" si="85"/>
        <v>3.543361735716828E-5</v>
      </c>
      <c r="S1314" s="270" t="s">
        <v>12394</v>
      </c>
      <c r="T1314" s="4838">
        <v>551.06379618628364</v>
      </c>
      <c r="U1314" s="4839">
        <f t="shared" si="84"/>
        <v>1.9798345121559914E-3</v>
      </c>
    </row>
    <row r="1315" spans="1:21">
      <c r="A1315" s="270" t="s">
        <v>12394</v>
      </c>
      <c r="B1315" s="3305">
        <v>5655</v>
      </c>
      <c r="C1315" s="4834">
        <f t="shared" si="82"/>
        <v>2.4368564042682352E-4</v>
      </c>
      <c r="D1315" s="3" t="str">
        <f t="shared" si="83"/>
        <v>2017</v>
      </c>
      <c r="J1315" s="270" t="s">
        <v>12397</v>
      </c>
      <c r="K1315" s="4837">
        <v>38728.789316569266</v>
      </c>
      <c r="L1315" s="4834">
        <f t="shared" si="85"/>
        <v>3.5487837892447036E-5</v>
      </c>
      <c r="S1315" s="270" t="s">
        <v>12395</v>
      </c>
      <c r="T1315" s="4838">
        <v>543.02610954412671</v>
      </c>
      <c r="U1315" s="4839">
        <f t="shared" si="84"/>
        <v>1.9291458240787342E-3</v>
      </c>
    </row>
    <row r="1316" spans="1:21">
      <c r="A1316" s="270" t="s">
        <v>12395</v>
      </c>
      <c r="B1316" s="3305">
        <v>5714.5</v>
      </c>
      <c r="C1316" s="4834">
        <f t="shared" si="82"/>
        <v>2.5259326923149442E-4</v>
      </c>
      <c r="D1316" s="3" t="str">
        <f t="shared" si="83"/>
        <v>2017</v>
      </c>
      <c r="J1316" s="270" t="s">
        <v>12398</v>
      </c>
      <c r="K1316" s="4837">
        <v>38542.314986471225</v>
      </c>
      <c r="L1316" s="4834">
        <f t="shared" si="85"/>
        <v>3.4699797182655968E-5</v>
      </c>
      <c r="S1316" s="270" t="s">
        <v>12396</v>
      </c>
      <c r="T1316" s="4838">
        <v>547.20570659804821</v>
      </c>
      <c r="U1316" s="4839">
        <f t="shared" si="84"/>
        <v>1.9558591838603361E-3</v>
      </c>
    </row>
    <row r="1317" spans="1:21">
      <c r="A1317" s="270" t="s">
        <v>12396</v>
      </c>
      <c r="B1317" s="3305">
        <v>5794</v>
      </c>
      <c r="C1317" s="4834">
        <f t="shared" si="82"/>
        <v>2.6402956756425773E-4</v>
      </c>
      <c r="D1317" s="3" t="str">
        <f t="shared" si="83"/>
        <v>2017</v>
      </c>
      <c r="J1317" s="270" t="s">
        <v>12399</v>
      </c>
      <c r="K1317" s="4837">
        <v>39524.5202941428</v>
      </c>
      <c r="L1317" s="4834">
        <f t="shared" si="85"/>
        <v>3.8788724771725941E-5</v>
      </c>
      <c r="S1317" s="270" t="s">
        <v>12397</v>
      </c>
      <c r="T1317" s="4838">
        <v>546.56269166667573</v>
      </c>
      <c r="U1317" s="4839">
        <f t="shared" si="84"/>
        <v>1.9517985829047644E-3</v>
      </c>
    </row>
    <row r="1318" spans="1:21">
      <c r="A1318" s="270" t="s">
        <v>12397</v>
      </c>
      <c r="B1318" s="3305">
        <v>5747</v>
      </c>
      <c r="C1318" s="4834">
        <f t="shared" si="82"/>
        <v>2.5733855645559522E-4</v>
      </c>
      <c r="D1318" s="3" t="str">
        <f t="shared" si="83"/>
        <v>2017</v>
      </c>
      <c r="J1318" s="270" t="s">
        <v>12400</v>
      </c>
      <c r="K1318" s="4837">
        <v>39532.557980784964</v>
      </c>
      <c r="L1318" s="4834">
        <f t="shared" si="85"/>
        <v>3.8821377517151098E-5</v>
      </c>
      <c r="S1318" s="270" t="s">
        <v>12398</v>
      </c>
      <c r="T1318" s="4838">
        <v>543.66912447549919</v>
      </c>
      <c r="U1318" s="4839">
        <f t="shared" si="84"/>
        <v>1.9333041016951213E-3</v>
      </c>
    </row>
    <row r="1319" spans="1:21">
      <c r="A1319" s="270" t="s">
        <v>12398</v>
      </c>
      <c r="B1319" s="3305">
        <v>5850</v>
      </c>
      <c r="C1319" s="4834">
        <f t="shared" si="82"/>
        <v>2.7170569691908219E-4</v>
      </c>
      <c r="D1319" s="3" t="str">
        <f t="shared" si="83"/>
        <v>2017</v>
      </c>
      <c r="J1319" s="270" t="s">
        <v>12401</v>
      </c>
      <c r="K1319" s="4837">
        <v>39622.580071177123</v>
      </c>
      <c r="L1319" s="4834">
        <f t="shared" si="85"/>
        <v>3.9185923591386386E-5</v>
      </c>
      <c r="S1319" s="270" t="s">
        <v>12399</v>
      </c>
      <c r="T1319" s="4838">
        <v>561.35203508824463</v>
      </c>
      <c r="U1319" s="4839">
        <f t="shared" si="84"/>
        <v>2.0403190615007919E-3</v>
      </c>
    </row>
    <row r="1320" spans="1:21">
      <c r="A1320" s="270" t="s">
        <v>12399</v>
      </c>
      <c r="B1320" s="3305">
        <v>5911</v>
      </c>
      <c r="C1320" s="4834">
        <f t="shared" si="82"/>
        <v>2.7965432170405104E-4</v>
      </c>
      <c r="D1320" s="3" t="str">
        <f t="shared" si="83"/>
        <v>2017</v>
      </c>
      <c r="J1320" s="270" t="s">
        <v>12402</v>
      </c>
      <c r="K1320" s="4837">
        <v>39918.366939608495</v>
      </c>
      <c r="L1320" s="4834">
        <f t="shared" si="85"/>
        <v>4.0367383461104478E-5</v>
      </c>
      <c r="S1320" s="270" t="s">
        <v>12400</v>
      </c>
      <c r="T1320" s="4838">
        <v>559.42299029412675</v>
      </c>
      <c r="U1320" s="4839">
        <f t="shared" si="84"/>
        <v>2.0293779894825911E-3</v>
      </c>
    </row>
    <row r="1321" spans="1:21">
      <c r="A1321" s="270" t="s">
        <v>12400</v>
      </c>
      <c r="B1321" s="3305">
        <v>5889</v>
      </c>
      <c r="C1321" s="4834">
        <f t="shared" si="82"/>
        <v>2.7684042269169039E-4</v>
      </c>
      <c r="D1321" s="3" t="str">
        <f t="shared" si="83"/>
        <v>2017</v>
      </c>
      <c r="J1321" s="270" t="s">
        <v>12403</v>
      </c>
      <c r="K1321" s="4837">
        <v>40157.89000154478</v>
      </c>
      <c r="L1321" s="4834">
        <f t="shared" si="85"/>
        <v>4.1303472812495543E-5</v>
      </c>
      <c r="S1321" s="270" t="s">
        <v>12401</v>
      </c>
      <c r="T1321" s="4838">
        <v>553.95736337746018</v>
      </c>
      <c r="U1321" s="4839">
        <f t="shared" si="84"/>
        <v>1.9973659417513168E-3</v>
      </c>
    </row>
    <row r="1322" spans="1:21">
      <c r="A1322" s="270" t="s">
        <v>12401</v>
      </c>
      <c r="B1322" s="3305">
        <v>5891</v>
      </c>
      <c r="C1322" s="4834">
        <f t="shared" si="82"/>
        <v>2.7709875728270544E-4</v>
      </c>
      <c r="D1322" s="3" t="str">
        <f t="shared" si="83"/>
        <v>2017</v>
      </c>
      <c r="J1322" s="270" t="s">
        <v>12404</v>
      </c>
      <c r="K1322" s="4837">
        <v>40108.056344363402</v>
      </c>
      <c r="L1322" s="4834">
        <f t="shared" si="85"/>
        <v>4.1110368084094255E-5</v>
      </c>
      <c r="S1322" s="270" t="s">
        <v>12402</v>
      </c>
      <c r="T1322" s="4838">
        <v>556.52942310295032</v>
      </c>
      <c r="U1322" s="4839">
        <f t="shared" si="84"/>
        <v>2.0126137082202796E-3</v>
      </c>
    </row>
    <row r="1323" spans="1:21">
      <c r="A1323" s="270" t="s">
        <v>12402</v>
      </c>
      <c r="B1323" s="3305">
        <v>5765.5</v>
      </c>
      <c r="C1323" s="4834">
        <f t="shared" si="82"/>
        <v>2.5999753005371455E-4</v>
      </c>
      <c r="D1323" s="3" t="str">
        <f t="shared" si="83"/>
        <v>2017</v>
      </c>
      <c r="J1323" s="270" t="s">
        <v>12405</v>
      </c>
      <c r="K1323" s="4837">
        <v>40108.056344363402</v>
      </c>
      <c r="L1323" s="4834">
        <f t="shared" si="85"/>
        <v>4.1110368084094255E-5</v>
      </c>
      <c r="S1323" s="270" t="s">
        <v>12403</v>
      </c>
      <c r="T1323" s="4838">
        <v>565.21012467647995</v>
      </c>
      <c r="U1323" s="4839">
        <f t="shared" si="84"/>
        <v>2.061620278458806E-3</v>
      </c>
    </row>
    <row r="1324" spans="1:21">
      <c r="A1324" s="270" t="s">
        <v>12403</v>
      </c>
      <c r="B1324" s="3305">
        <v>5712</v>
      </c>
      <c r="C1324" s="4834">
        <f t="shared" si="82"/>
        <v>2.5222452513204565E-4</v>
      </c>
      <c r="D1324" s="3" t="str">
        <f t="shared" si="83"/>
        <v>2017</v>
      </c>
      <c r="J1324" s="270" t="s">
        <v>12406</v>
      </c>
      <c r="K1324" s="4837">
        <v>40431.17134737812</v>
      </c>
      <c r="L1324" s="4834">
        <f t="shared" si="85"/>
        <v>4.2345714918298371E-5</v>
      </c>
      <c r="S1324" s="270" t="s">
        <v>12404</v>
      </c>
      <c r="T1324" s="4838">
        <v>564.24560227942106</v>
      </c>
      <c r="U1324" s="4839">
        <f t="shared" si="84"/>
        <v>2.0563687303526623E-3</v>
      </c>
    </row>
    <row r="1325" spans="1:21">
      <c r="A1325" s="270" t="s">
        <v>12404</v>
      </c>
      <c r="B1325" s="3305">
        <v>5790.5</v>
      </c>
      <c r="C1325" s="4834">
        <f t="shared" si="82"/>
        <v>2.6353875384390826E-4</v>
      </c>
      <c r="D1325" s="3" t="str">
        <f t="shared" si="83"/>
        <v>2017</v>
      </c>
      <c r="J1325" s="270" t="s">
        <v>12407</v>
      </c>
      <c r="K1325" s="4837">
        <v>40421.52612340753</v>
      </c>
      <c r="L1325" s="4834">
        <f t="shared" si="85"/>
        <v>4.2309433953498879E-5</v>
      </c>
      <c r="S1325" s="270" t="s">
        <v>12405</v>
      </c>
      <c r="T1325" s="4838">
        <v>566.8176620049112</v>
      </c>
      <c r="U1325" s="4839">
        <f t="shared" si="84"/>
        <v>2.0702617026433982E-3</v>
      </c>
    </row>
    <row r="1326" spans="1:21">
      <c r="A1326" s="270" t="s">
        <v>12405</v>
      </c>
      <c r="B1326" s="3305">
        <v>5782.5</v>
      </c>
      <c r="C1326" s="4834">
        <f t="shared" si="82"/>
        <v>2.6241225842889407E-4</v>
      </c>
      <c r="D1326" s="3" t="str">
        <f t="shared" si="83"/>
        <v>2017</v>
      </c>
      <c r="J1326" s="270" t="s">
        <v>12408</v>
      </c>
      <c r="K1326" s="4837">
        <v>40223.799032010458</v>
      </c>
      <c r="L1326" s="4834">
        <f t="shared" si="85"/>
        <v>4.1557469859311251E-5</v>
      </c>
      <c r="S1326" s="270" t="s">
        <v>12406</v>
      </c>
      <c r="T1326" s="4838">
        <v>576.78439344118601</v>
      </c>
      <c r="U1326" s="4839">
        <f t="shared" si="84"/>
        <v>2.1206202908290984E-3</v>
      </c>
    </row>
    <row r="1327" spans="1:21">
      <c r="A1327" s="270" t="s">
        <v>12406</v>
      </c>
      <c r="B1327" s="3305">
        <v>5673.5</v>
      </c>
      <c r="C1327" s="4834">
        <f t="shared" si="82"/>
        <v>2.46483459162354E-4</v>
      </c>
      <c r="D1327" s="3" t="str">
        <f t="shared" si="83"/>
        <v>2017</v>
      </c>
      <c r="J1327" s="270" t="s">
        <v>12409</v>
      </c>
      <c r="K1327" s="4837">
        <v>40149.852314902622</v>
      </c>
      <c r="L1327" s="4834">
        <f t="shared" si="85"/>
        <v>4.1272387815027779E-5</v>
      </c>
      <c r="S1327" s="270" t="s">
        <v>12407</v>
      </c>
      <c r="T1327" s="4838">
        <v>576.78439344118601</v>
      </c>
      <c r="U1327" s="4839">
        <f t="shared" si="84"/>
        <v>2.1206202908290984E-3</v>
      </c>
    </row>
    <row r="1328" spans="1:21">
      <c r="A1328" s="270" t="s">
        <v>12407</v>
      </c>
      <c r="B1328" s="3305">
        <v>5774.5</v>
      </c>
      <c r="C1328" s="4834">
        <f t="shared" si="82"/>
        <v>2.6127941420551082E-4</v>
      </c>
      <c r="D1328" s="3" t="str">
        <f t="shared" si="83"/>
        <v>2017</v>
      </c>
      <c r="J1328" s="270" t="s">
        <v>12410</v>
      </c>
      <c r="K1328" s="4837">
        <v>40022.856865956543</v>
      </c>
      <c r="L1328" s="4834">
        <f t="shared" si="85"/>
        <v>4.0778176349241845E-5</v>
      </c>
      <c r="S1328" s="270" t="s">
        <v>12408</v>
      </c>
      <c r="T1328" s="4838">
        <v>582.89303528922528</v>
      </c>
      <c r="U1328" s="4839">
        <f t="shared" si="84"/>
        <v>2.1486112314460181E-3</v>
      </c>
    </row>
    <row r="1329" spans="1:21">
      <c r="A1329" s="270" t="s">
        <v>12408</v>
      </c>
      <c r="B1329" s="3305">
        <v>5847</v>
      </c>
      <c r="C1329" s="4834">
        <f t="shared" si="82"/>
        <v>2.7130327427322715E-4</v>
      </c>
      <c r="D1329" s="3" t="str">
        <f t="shared" si="83"/>
        <v>2017</v>
      </c>
      <c r="J1329" s="270" t="s">
        <v>12411</v>
      </c>
      <c r="K1329" s="4837">
        <v>40100.018657721252</v>
      </c>
      <c r="L1329" s="4834">
        <f t="shared" si="85"/>
        <v>4.1079138459532038E-5</v>
      </c>
      <c r="S1329" s="270" t="s">
        <v>12409</v>
      </c>
      <c r="T1329" s="4838">
        <v>581.92851289216651</v>
      </c>
      <c r="U1329" s="4839">
        <f t="shared" si="84"/>
        <v>2.1443423823456998E-3</v>
      </c>
    </row>
    <row r="1330" spans="1:21">
      <c r="A1330" s="270" t="s">
        <v>12409</v>
      </c>
      <c r="B1330" s="3305">
        <v>5860</v>
      </c>
      <c r="C1330" s="4834">
        <f t="shared" si="82"/>
        <v>2.7303957294785619E-4</v>
      </c>
      <c r="D1330" s="3" t="str">
        <f t="shared" si="83"/>
        <v>2017</v>
      </c>
      <c r="J1330" s="270" t="s">
        <v>12412</v>
      </c>
      <c r="K1330" s="4837">
        <v>40434.386422034986</v>
      </c>
      <c r="L1330" s="4834">
        <f t="shared" si="85"/>
        <v>4.2357800054234628E-5</v>
      </c>
      <c r="S1330" s="270" t="s">
        <v>12410</v>
      </c>
      <c r="T1330" s="4838">
        <v>580.64248302942133</v>
      </c>
      <c r="U1330" s="4839">
        <f t="shared" si="84"/>
        <v>2.1385618359941578E-3</v>
      </c>
    </row>
    <row r="1331" spans="1:21">
      <c r="A1331" s="270" t="s">
        <v>12410</v>
      </c>
      <c r="B1331" s="3305">
        <v>5849</v>
      </c>
      <c r="C1331" s="4834">
        <f t="shared" si="82"/>
        <v>2.715716710624495E-4</v>
      </c>
      <c r="D1331" s="3" t="str">
        <f t="shared" si="83"/>
        <v>2017</v>
      </c>
      <c r="J1331" s="270" t="s">
        <v>12413</v>
      </c>
      <c r="K1331" s="4837">
        <v>40053.40007519674</v>
      </c>
      <c r="L1331" s="4834">
        <f t="shared" si="85"/>
        <v>4.0897555716866795E-5</v>
      </c>
      <c r="S1331" s="270" t="s">
        <v>12411</v>
      </c>
      <c r="T1331" s="4838">
        <v>583.85755768628417</v>
      </c>
      <c r="U1331" s="4839">
        <f t="shared" si="84"/>
        <v>2.152822610878216E-3</v>
      </c>
    </row>
    <row r="1332" spans="1:21">
      <c r="A1332" s="270" t="s">
        <v>12411</v>
      </c>
      <c r="B1332" s="3305">
        <v>5817</v>
      </c>
      <c r="C1332" s="4834">
        <f t="shared" si="82"/>
        <v>2.6722336041346153E-4</v>
      </c>
      <c r="D1332" s="3" t="str">
        <f t="shared" si="83"/>
        <v>2017</v>
      </c>
      <c r="J1332" s="270" t="s">
        <v>12414</v>
      </c>
      <c r="K1332" s="4837">
        <v>40268.810077206545</v>
      </c>
      <c r="L1332" s="4834">
        <f t="shared" si="85"/>
        <v>4.1729992512719248E-5</v>
      </c>
      <c r="S1332" s="270" t="s">
        <v>12412</v>
      </c>
      <c r="T1332" s="4838">
        <v>589.64469206863714</v>
      </c>
      <c r="U1332" s="4839">
        <f t="shared" si="84"/>
        <v>2.1768635744543593E-3</v>
      </c>
    </row>
    <row r="1333" spans="1:21">
      <c r="A1333" s="270" t="s">
        <v>12412</v>
      </c>
      <c r="B1333" s="3305">
        <v>5724.5</v>
      </c>
      <c r="C1333" s="4834">
        <f t="shared" si="82"/>
        <v>2.5406304320488949E-4</v>
      </c>
      <c r="D1333" s="3" t="str">
        <f t="shared" si="83"/>
        <v>2017</v>
      </c>
      <c r="J1333" s="270" t="s">
        <v>12415</v>
      </c>
      <c r="K1333" s="4837">
        <v>40717.31299183891</v>
      </c>
      <c r="L1333" s="4834">
        <f t="shared" si="85"/>
        <v>4.3403938956605167E-5</v>
      </c>
      <c r="S1333" s="270" t="s">
        <v>12413</v>
      </c>
      <c r="T1333" s="4838">
        <v>587.07263234314701</v>
      </c>
      <c r="U1333" s="4839">
        <f t="shared" si="84"/>
        <v>2.1664407549350849E-3</v>
      </c>
    </row>
    <row r="1334" spans="1:21">
      <c r="A1334" s="270" t="s">
        <v>12413</v>
      </c>
      <c r="B1334" s="3305">
        <v>5808.5</v>
      </c>
      <c r="C1334" s="4834">
        <f t="shared" si="82"/>
        <v>2.6604951534129462E-4</v>
      </c>
      <c r="D1334" s="3" t="str">
        <f t="shared" si="83"/>
        <v>2017</v>
      </c>
      <c r="J1334" s="270" t="s">
        <v>12416</v>
      </c>
      <c r="K1334" s="4837">
        <v>40190.040748113403</v>
      </c>
      <c r="L1334" s="4834">
        <f t="shared" si="85"/>
        <v>4.1427575459054454E-5</v>
      </c>
      <c r="S1334" s="270" t="s">
        <v>12414</v>
      </c>
      <c r="T1334" s="4838">
        <v>585.78660248040183</v>
      </c>
      <c r="U1334" s="4839">
        <f t="shared" si="84"/>
        <v>2.1610714814080697E-3</v>
      </c>
    </row>
    <row r="1335" spans="1:21">
      <c r="A1335" s="270" t="s">
        <v>12414</v>
      </c>
      <c r="B1335" s="3305">
        <v>5870.5</v>
      </c>
      <c r="C1335" s="4834">
        <f t="shared" si="82"/>
        <v>2.7442747214833859E-4</v>
      </c>
      <c r="D1335" s="3" t="str">
        <f t="shared" si="83"/>
        <v>2017</v>
      </c>
      <c r="J1335" s="270" t="s">
        <v>12417</v>
      </c>
      <c r="K1335" s="4837">
        <v>40281.670375834001</v>
      </c>
      <c r="L1335" s="4834">
        <f t="shared" si="85"/>
        <v>4.1779142148874141E-5</v>
      </c>
      <c r="S1335" s="270" t="s">
        <v>12415</v>
      </c>
      <c r="T1335" s="4838">
        <v>591.5737368627548</v>
      </c>
      <c r="U1335" s="4839">
        <f t="shared" si="84"/>
        <v>2.1844011999377498E-3</v>
      </c>
    </row>
    <row r="1336" spans="1:21">
      <c r="A1336" s="270" t="s">
        <v>12415</v>
      </c>
      <c r="B1336" s="3305">
        <v>5770</v>
      </c>
      <c r="C1336" s="4834">
        <f t="shared" si="82"/>
        <v>2.6063944586216832E-4</v>
      </c>
      <c r="D1336" s="3" t="str">
        <f t="shared" si="83"/>
        <v>2017</v>
      </c>
      <c r="J1336" s="270" t="s">
        <v>12418</v>
      </c>
      <c r="K1336" s="4837">
        <v>40969.696352402636</v>
      </c>
      <c r="L1336" s="4834">
        <f t="shared" si="85"/>
        <v>4.4306153462280121E-5</v>
      </c>
      <c r="S1336" s="270" t="s">
        <v>12416</v>
      </c>
      <c r="T1336" s="4838">
        <v>576.78439344118601</v>
      </c>
      <c r="U1336" s="4839">
        <f t="shared" si="84"/>
        <v>2.1206202908290984E-3</v>
      </c>
    </row>
    <row r="1337" spans="1:21">
      <c r="A1337" s="270" t="s">
        <v>12416</v>
      </c>
      <c r="B1337" s="3305">
        <v>5731</v>
      </c>
      <c r="C1337" s="4834">
        <f t="shared" si="82"/>
        <v>2.5501384944378203E-4</v>
      </c>
      <c r="D1337" s="3" t="str">
        <f t="shared" si="83"/>
        <v>2017</v>
      </c>
      <c r="J1337" s="270" t="s">
        <v>12419</v>
      </c>
      <c r="K1337" s="4837">
        <v>41286.38120610363</v>
      </c>
      <c r="L1337" s="4834">
        <f t="shared" si="85"/>
        <v>4.5392672090017952E-5</v>
      </c>
      <c r="S1337" s="270" t="s">
        <v>12417</v>
      </c>
      <c r="T1337" s="4838">
        <v>576.78439344118601</v>
      </c>
      <c r="U1337" s="4839">
        <f t="shared" si="84"/>
        <v>2.1206202908290984E-3</v>
      </c>
    </row>
    <row r="1338" spans="1:21">
      <c r="A1338" s="270" t="s">
        <v>12417</v>
      </c>
      <c r="B1338" s="3305">
        <v>5746</v>
      </c>
      <c r="C1338" s="4834">
        <f t="shared" si="82"/>
        <v>2.5719393119670749E-4</v>
      </c>
      <c r="D1338" s="3" t="str">
        <f t="shared" si="83"/>
        <v>2017</v>
      </c>
      <c r="J1338" s="270" t="s">
        <v>12420</v>
      </c>
      <c r="K1338" s="4837">
        <v>41119.197323946755</v>
      </c>
      <c r="L1338" s="4834">
        <f t="shared" si="85"/>
        <v>4.4825669778905012E-5</v>
      </c>
      <c r="S1338" s="270" t="s">
        <v>12418</v>
      </c>
      <c r="T1338" s="4838">
        <v>588.68016967157837</v>
      </c>
      <c r="U1338" s="4839">
        <f t="shared" si="84"/>
        <v>2.1730046407726399E-3</v>
      </c>
    </row>
    <row r="1339" spans="1:21">
      <c r="A1339" s="270" t="s">
        <v>12418</v>
      </c>
      <c r="B1339" s="3305">
        <v>5685</v>
      </c>
      <c r="C1339" s="4834">
        <f t="shared" si="82"/>
        <v>2.4821022432529278E-4</v>
      </c>
      <c r="D1339" s="3" t="str">
        <f t="shared" si="83"/>
        <v>2017</v>
      </c>
      <c r="J1339" s="270" t="s">
        <v>12421</v>
      </c>
      <c r="K1339" s="4837">
        <v>41122.412398603614</v>
      </c>
      <c r="L1339" s="4834">
        <f t="shared" si="85"/>
        <v>4.4836714856803373E-5</v>
      </c>
      <c r="S1339" s="270" t="s">
        <v>12419</v>
      </c>
      <c r="T1339" s="4838">
        <v>596.7178563137353</v>
      </c>
      <c r="U1339" s="4839">
        <f t="shared" si="84"/>
        <v>2.2033087126147504E-3</v>
      </c>
    </row>
    <row r="1340" spans="1:21">
      <c r="A1340" s="270" t="s">
        <v>12419</v>
      </c>
      <c r="B1340" s="3305">
        <v>5655</v>
      </c>
      <c r="C1340" s="4834">
        <f t="shared" si="82"/>
        <v>2.4368564042682352E-4</v>
      </c>
      <c r="D1340" s="3" t="str">
        <f t="shared" si="83"/>
        <v>2017</v>
      </c>
      <c r="J1340" s="270" t="s">
        <v>12422</v>
      </c>
      <c r="K1340" s="4837">
        <v>41220.472175637929</v>
      </c>
      <c r="L1340" s="4834">
        <f t="shared" si="85"/>
        <v>4.5170947509468695E-5</v>
      </c>
      <c r="S1340" s="270" t="s">
        <v>12420</v>
      </c>
      <c r="T1340" s="4838">
        <v>592.2167517941275</v>
      </c>
      <c r="U1340" s="4839">
        <f t="shared" si="84"/>
        <v>2.1868599721591884E-3</v>
      </c>
    </row>
    <row r="1341" spans="1:21">
      <c r="A1341" s="270" t="s">
        <v>12420</v>
      </c>
      <c r="B1341" s="3305">
        <v>5620.5</v>
      </c>
      <c r="C1341" s="4834">
        <f t="shared" si="82"/>
        <v>2.3840708331120675E-4</v>
      </c>
      <c r="D1341" s="3" t="str">
        <f t="shared" si="83"/>
        <v>2017</v>
      </c>
      <c r="J1341" s="270" t="s">
        <v>12423</v>
      </c>
      <c r="K1341" s="4837">
        <v>41212.434488995772</v>
      </c>
      <c r="L1341" s="4834">
        <f t="shared" si="85"/>
        <v>4.5143745708858207E-5</v>
      </c>
      <c r="S1341" s="270" t="s">
        <v>12421</v>
      </c>
      <c r="T1341" s="4838">
        <v>585.78660248040183</v>
      </c>
      <c r="U1341" s="4839">
        <f t="shared" si="84"/>
        <v>2.1610714814080697E-3</v>
      </c>
    </row>
    <row r="1342" spans="1:21">
      <c r="A1342" s="270" t="s">
        <v>12421</v>
      </c>
      <c r="B1342" s="3305">
        <v>5600.5</v>
      </c>
      <c r="C1342" s="4834">
        <f t="shared" si="82"/>
        <v>2.3531393087444593E-4</v>
      </c>
      <c r="D1342" s="3" t="str">
        <f t="shared" si="83"/>
        <v>2017</v>
      </c>
      <c r="J1342" s="270" t="s">
        <v>12424</v>
      </c>
      <c r="K1342" s="4837">
        <v>40812.157694216359</v>
      </c>
      <c r="L1342" s="4834">
        <f t="shared" si="85"/>
        <v>4.374657151823575E-5</v>
      </c>
      <c r="S1342" s="270" t="s">
        <v>12422</v>
      </c>
      <c r="T1342" s="4838">
        <v>584.82208008334305</v>
      </c>
      <c r="U1342" s="4839">
        <f t="shared" si="84"/>
        <v>2.1569761496595743E-3</v>
      </c>
    </row>
    <row r="1343" spans="1:21">
      <c r="A1343" s="270" t="s">
        <v>12422</v>
      </c>
      <c r="B1343" s="3305">
        <v>5611.5</v>
      </c>
      <c r="C1343" s="4834">
        <f t="shared" si="82"/>
        <v>2.3701799747897288E-4</v>
      </c>
      <c r="D1343" s="3" t="str">
        <f t="shared" si="83"/>
        <v>2017</v>
      </c>
      <c r="J1343" s="270" t="s">
        <v>12425</v>
      </c>
      <c r="K1343" s="4837">
        <v>40760.716499706556</v>
      </c>
      <c r="L1343" s="4834">
        <f t="shared" si="85"/>
        <v>4.3561259556657334E-5</v>
      </c>
      <c r="S1343" s="270" t="s">
        <v>12423</v>
      </c>
      <c r="T1343" s="4838">
        <v>578.07042330393108</v>
      </c>
      <c r="U1343" s="4839">
        <f t="shared" si="84"/>
        <v>2.1266998668777576E-3</v>
      </c>
    </row>
    <row r="1344" spans="1:21">
      <c r="A1344" s="270" t="s">
        <v>12423</v>
      </c>
      <c r="B1344" s="3305">
        <v>5601</v>
      </c>
      <c r="C1344" s="4834">
        <f t="shared" si="82"/>
        <v>2.3539153451122456E-4</v>
      </c>
      <c r="D1344" s="3" t="str">
        <f t="shared" si="83"/>
        <v>2017</v>
      </c>
      <c r="J1344" s="270" t="s">
        <v>12426</v>
      </c>
      <c r="K1344" s="4837">
        <v>40569.419557623216</v>
      </c>
      <c r="L1344" s="4834">
        <f t="shared" si="85"/>
        <v>4.2861451724414075E-5</v>
      </c>
      <c r="S1344" s="270" t="s">
        <v>12424</v>
      </c>
      <c r="T1344" s="4838">
        <v>572.6047963872644</v>
      </c>
      <c r="U1344" s="4839">
        <f t="shared" si="84"/>
        <v>2.1001911651963136E-3</v>
      </c>
    </row>
    <row r="1345" spans="1:21">
      <c r="A1345" s="270" t="s">
        <v>12424</v>
      </c>
      <c r="B1345" s="3305">
        <v>5612</v>
      </c>
      <c r="C1345" s="4834">
        <f t="shared" si="82"/>
        <v>2.3709529250900532E-4</v>
      </c>
      <c r="D1345" s="3" t="str">
        <f t="shared" si="83"/>
        <v>2017</v>
      </c>
      <c r="J1345" s="270" t="s">
        <v>12427</v>
      </c>
      <c r="K1345" s="4837">
        <v>40599.962766863413</v>
      </c>
      <c r="L1345" s="4834">
        <f t="shared" si="85"/>
        <v>4.2974285924018625E-5</v>
      </c>
      <c r="S1345" s="270" t="s">
        <v>12425</v>
      </c>
      <c r="T1345" s="4838">
        <v>573.56931878432317</v>
      </c>
      <c r="U1345" s="4839">
        <f t="shared" si="84"/>
        <v>2.1049955409764573E-3</v>
      </c>
    </row>
    <row r="1346" spans="1:21">
      <c r="A1346" s="270" t="s">
        <v>12425</v>
      </c>
      <c r="B1346" s="3305">
        <v>5652.5</v>
      </c>
      <c r="C1346" s="4834">
        <f t="shared" si="82"/>
        <v>2.4330573666134917E-4</v>
      </c>
      <c r="D1346" s="3" t="str">
        <f t="shared" si="83"/>
        <v>2017</v>
      </c>
      <c r="J1346" s="270" t="s">
        <v>12428</v>
      </c>
      <c r="K1346" s="4837">
        <v>40717.31299183891</v>
      </c>
      <c r="L1346" s="4834">
        <f t="shared" si="85"/>
        <v>4.3403938956605167E-5</v>
      </c>
      <c r="S1346" s="270" t="s">
        <v>12426</v>
      </c>
      <c r="T1346" s="4838">
        <v>565.53163214216613</v>
      </c>
      <c r="U1346" s="4839">
        <f t="shared" si="84"/>
        <v>2.0633597229444715E-3</v>
      </c>
    </row>
    <row r="1347" spans="1:21">
      <c r="A1347" s="270" t="s">
        <v>12426</v>
      </c>
      <c r="B1347" s="3305">
        <v>5677.5</v>
      </c>
      <c r="C1347" s="4834">
        <f t="shared" si="82"/>
        <v>2.4708518068943783E-4</v>
      </c>
      <c r="D1347" s="3" t="str">
        <f t="shared" si="83"/>
        <v>2017</v>
      </c>
      <c r="J1347" s="270" t="s">
        <v>12429</v>
      </c>
      <c r="K1347" s="4837">
        <v>40363.654779584002</v>
      </c>
      <c r="L1347" s="4834">
        <f t="shared" si="85"/>
        <v>4.2090950915023141E-5</v>
      </c>
      <c r="S1347" s="270" t="s">
        <v>12427</v>
      </c>
      <c r="T1347" s="4838">
        <v>561.35203508824463</v>
      </c>
      <c r="U1347" s="4839">
        <f t="shared" si="84"/>
        <v>2.0403190615007919E-3</v>
      </c>
    </row>
    <row r="1348" spans="1:21">
      <c r="A1348" s="270" t="s">
        <v>12427</v>
      </c>
      <c r="B1348" s="3305">
        <v>5686.5</v>
      </c>
      <c r="C1348" s="4834">
        <f t="shared" ref="C1348:C1411" si="86">_xlfn.NORM.DIST(B1348,$F$4,$F$3,FALSE)</f>
        <v>2.484347274736961E-4</v>
      </c>
      <c r="D1348" s="3" t="str">
        <f t="shared" ref="D1348:D1411" si="87">LEFT(A1348,4)</f>
        <v>2017</v>
      </c>
      <c r="J1348" s="270" t="s">
        <v>12430</v>
      </c>
      <c r="K1348" s="4837">
        <v>40198.078434755567</v>
      </c>
      <c r="L1348" s="4834">
        <f t="shared" si="85"/>
        <v>4.1458541342310031E-5</v>
      </c>
      <c r="S1348" s="270" t="s">
        <v>12428</v>
      </c>
      <c r="T1348" s="4838">
        <v>559.74449775981316</v>
      </c>
      <c r="U1348" s="4839">
        <f t="shared" ref="U1348:U1411" si="88">_xlfn.NORM.DIST(T1348,$X$4,$X$3,FALSE)</f>
        <v>2.0312147075755584E-3</v>
      </c>
    </row>
    <row r="1349" spans="1:21">
      <c r="A1349" s="270" t="s">
        <v>12428</v>
      </c>
      <c r="B1349" s="3305">
        <v>5688.5</v>
      </c>
      <c r="C1349" s="4834">
        <f t="shared" si="86"/>
        <v>2.4873379970370008E-4</v>
      </c>
      <c r="D1349" s="3" t="str">
        <f t="shared" si="87"/>
        <v>2017</v>
      </c>
      <c r="J1349" s="270" t="s">
        <v>12431</v>
      </c>
      <c r="K1349" s="4837">
        <v>39495.584622231043</v>
      </c>
      <c r="L1349" s="4834">
        <f t="shared" ref="L1349:L1412" si="89">_xlfn.NORM.DIST(K1349,$O$4,$O$3,FALSE)</f>
        <v>3.8671037592589201E-5</v>
      </c>
      <c r="S1349" s="270" t="s">
        <v>12429</v>
      </c>
      <c r="T1349" s="4838">
        <v>544.95515433824426</v>
      </c>
      <c r="U1349" s="4839">
        <f t="shared" si="88"/>
        <v>1.9415682393493046E-3</v>
      </c>
    </row>
    <row r="1350" spans="1:21">
      <c r="A1350" s="270" t="s">
        <v>12429</v>
      </c>
      <c r="B1350" s="3305">
        <v>5746.5</v>
      </c>
      <c r="C1350" s="4834">
        <f t="shared" si="86"/>
        <v>2.5726625513263396E-4</v>
      </c>
      <c r="D1350" s="3" t="str">
        <f t="shared" si="87"/>
        <v>2017</v>
      </c>
      <c r="J1350" s="270" t="s">
        <v>12432</v>
      </c>
      <c r="K1350" s="4837">
        <v>39482.724323603594</v>
      </c>
      <c r="L1350" s="4834">
        <f t="shared" si="89"/>
        <v>3.8618663959852202E-5</v>
      </c>
      <c r="S1350" s="270" t="s">
        <v>12430</v>
      </c>
      <c r="T1350" s="4838">
        <v>541.74007968138153</v>
      </c>
      <c r="U1350" s="4839">
        <f t="shared" si="88"/>
        <v>1.9207776043148738E-3</v>
      </c>
    </row>
    <row r="1351" spans="1:21">
      <c r="A1351" s="270" t="s">
        <v>12430</v>
      </c>
      <c r="B1351" s="3305">
        <v>5636.5</v>
      </c>
      <c r="C1351" s="4834">
        <f t="shared" si="86"/>
        <v>2.4086453788377171E-4</v>
      </c>
      <c r="D1351" s="3" t="str">
        <f t="shared" si="87"/>
        <v>2017</v>
      </c>
      <c r="J1351" s="270" t="s">
        <v>12433</v>
      </c>
      <c r="K1351" s="4837">
        <v>39538.988130098689</v>
      </c>
      <c r="L1351" s="4834">
        <f t="shared" si="89"/>
        <v>3.8847487660189346E-5</v>
      </c>
      <c r="S1351" s="270" t="s">
        <v>12431</v>
      </c>
      <c r="T1351" s="4838">
        <v>530.48731838236176</v>
      </c>
      <c r="U1351" s="4839">
        <f t="shared" si="88"/>
        <v>1.8447951464133283E-3</v>
      </c>
    </row>
    <row r="1352" spans="1:21">
      <c r="A1352" s="270" t="s">
        <v>12431</v>
      </c>
      <c r="B1352" s="3305">
        <v>5543</v>
      </c>
      <c r="C1352" s="4834">
        <f t="shared" si="86"/>
        <v>2.2630596702294484E-4</v>
      </c>
      <c r="D1352" s="3" t="str">
        <f t="shared" si="87"/>
        <v>2017</v>
      </c>
      <c r="J1352" s="270" t="s">
        <v>12434</v>
      </c>
      <c r="K1352" s="4837">
        <v>39236.771112353592</v>
      </c>
      <c r="L1352" s="4834">
        <f t="shared" si="89"/>
        <v>3.7609457445097906E-5</v>
      </c>
      <c r="S1352" s="270" t="s">
        <v>12432</v>
      </c>
      <c r="T1352" s="4838">
        <v>523.09264667157731</v>
      </c>
      <c r="U1352" s="4839">
        <f t="shared" si="88"/>
        <v>1.7924328153754313E-3</v>
      </c>
    </row>
    <row r="1353" spans="1:21">
      <c r="A1353" s="270" t="s">
        <v>12432</v>
      </c>
      <c r="B1353" s="3305">
        <v>5530.5</v>
      </c>
      <c r="C1353" s="4834">
        <f t="shared" si="86"/>
        <v>2.2432827569703824E-4</v>
      </c>
      <c r="D1353" s="3" t="str">
        <f t="shared" si="87"/>
        <v>2017</v>
      </c>
      <c r="J1353" s="270" t="s">
        <v>12435</v>
      </c>
      <c r="K1353" s="4837">
        <v>39318.755516103593</v>
      </c>
      <c r="L1353" s="4834">
        <f t="shared" si="89"/>
        <v>3.7947389149563147E-5</v>
      </c>
      <c r="S1353" s="270" t="s">
        <v>12433</v>
      </c>
      <c r="T1353" s="4838">
        <v>526.62922879412633</v>
      </c>
      <c r="U1353" s="4839">
        <f t="shared" si="88"/>
        <v>1.8176960056202408E-3</v>
      </c>
    </row>
    <row r="1354" spans="1:21">
      <c r="A1354" s="270" t="s">
        <v>12433</v>
      </c>
      <c r="B1354" s="3305">
        <v>5466</v>
      </c>
      <c r="C1354" s="4834">
        <f t="shared" si="86"/>
        <v>2.1403961859471702E-4</v>
      </c>
      <c r="D1354" s="3" t="str">
        <f t="shared" si="87"/>
        <v>2017</v>
      </c>
      <c r="J1354" s="270" t="s">
        <v>12436</v>
      </c>
      <c r="K1354" s="4837">
        <v>39646.693131103595</v>
      </c>
      <c r="L1354" s="4834">
        <f t="shared" si="89"/>
        <v>3.9283197201209846E-5</v>
      </c>
      <c r="S1354" s="270" t="s">
        <v>12434</v>
      </c>
      <c r="T1354" s="4838">
        <v>521.48510934314584</v>
      </c>
      <c r="U1354" s="4839">
        <f t="shared" si="88"/>
        <v>1.7808233733957171E-3</v>
      </c>
    </row>
    <row r="1355" spans="1:21">
      <c r="A1355" s="270" t="s">
        <v>12434</v>
      </c>
      <c r="B1355" s="3305">
        <v>5496</v>
      </c>
      <c r="C1355" s="4834">
        <f t="shared" si="86"/>
        <v>2.1884058349147561E-4</v>
      </c>
      <c r="D1355" s="3" t="str">
        <f t="shared" si="87"/>
        <v>2017</v>
      </c>
      <c r="J1355" s="270" t="s">
        <v>12437</v>
      </c>
      <c r="K1355" s="4837">
        <v>39585.606712623201</v>
      </c>
      <c r="L1355" s="4834">
        <f t="shared" si="89"/>
        <v>3.9036461492111029E-5</v>
      </c>
      <c r="S1355" s="270" t="s">
        <v>12435</v>
      </c>
      <c r="T1355" s="4838">
        <v>523.73566160294979</v>
      </c>
      <c r="U1355" s="4839">
        <f t="shared" si="88"/>
        <v>1.7970549268485419E-3</v>
      </c>
    </row>
    <row r="1356" spans="1:21">
      <c r="A1356" s="270" t="s">
        <v>12435</v>
      </c>
      <c r="B1356" s="3305">
        <v>5512</v>
      </c>
      <c r="C1356" s="4834">
        <f t="shared" si="86"/>
        <v>2.2139057930930966E-4</v>
      </c>
      <c r="D1356" s="3" t="str">
        <f t="shared" si="87"/>
        <v>2017</v>
      </c>
      <c r="J1356" s="270" t="s">
        <v>12438</v>
      </c>
      <c r="K1356" s="4837">
        <v>39651.515743088887</v>
      </c>
      <c r="L1356" s="4834">
        <f t="shared" si="89"/>
        <v>3.9302632555874811E-5</v>
      </c>
      <c r="S1356" s="270" t="s">
        <v>12436</v>
      </c>
      <c r="T1356" s="4838">
        <v>526.30772132844004</v>
      </c>
      <c r="U1356" s="4839">
        <f t="shared" si="88"/>
        <v>1.8154156174470489E-3</v>
      </c>
    </row>
    <row r="1357" spans="1:21">
      <c r="A1357" s="270" t="s">
        <v>12436</v>
      </c>
      <c r="B1357" s="3305">
        <v>5580.5</v>
      </c>
      <c r="C1357" s="4834">
        <f t="shared" si="86"/>
        <v>2.3219889374774877E-4</v>
      </c>
      <c r="D1357" s="3" t="str">
        <f t="shared" si="87"/>
        <v>2017</v>
      </c>
      <c r="J1357" s="270" t="s">
        <v>12439</v>
      </c>
      <c r="K1357" s="4837">
        <v>39680.451415000651</v>
      </c>
      <c r="L1357" s="4834">
        <f t="shared" si="89"/>
        <v>3.9419107504843003E-5</v>
      </c>
      <c r="S1357" s="270" t="s">
        <v>12437</v>
      </c>
      <c r="T1357" s="4838">
        <v>524.05716906863609</v>
      </c>
      <c r="U1357" s="4839">
        <f t="shared" si="88"/>
        <v>1.7993612608995055E-3</v>
      </c>
    </row>
    <row r="1358" spans="1:21">
      <c r="A1358" s="270" t="s">
        <v>12437</v>
      </c>
      <c r="B1358" s="3305">
        <v>5520</v>
      </c>
      <c r="C1358" s="4834">
        <f t="shared" si="86"/>
        <v>2.2266242705323906E-4</v>
      </c>
      <c r="D1358" s="3" t="str">
        <f t="shared" si="87"/>
        <v>2017</v>
      </c>
      <c r="J1358" s="270" t="s">
        <v>12440</v>
      </c>
      <c r="K1358" s="4837">
        <v>40426.348735392829</v>
      </c>
      <c r="L1358" s="4834">
        <f t="shared" si="89"/>
        <v>4.2327579222564677E-5</v>
      </c>
      <c r="S1358" s="270" t="s">
        <v>12438</v>
      </c>
      <c r="T1358" s="4838">
        <v>533.38088557353819</v>
      </c>
      <c r="U1358" s="4839">
        <f t="shared" si="88"/>
        <v>1.8647842295088075E-3</v>
      </c>
    </row>
    <row r="1359" spans="1:21">
      <c r="A1359" s="270" t="s">
        <v>12438</v>
      </c>
      <c r="B1359" s="3305">
        <v>5586</v>
      </c>
      <c r="C1359" s="4834">
        <f t="shared" si="86"/>
        <v>2.3305759909243208E-4</v>
      </c>
      <c r="D1359" s="3" t="str">
        <f t="shared" si="87"/>
        <v>2017</v>
      </c>
      <c r="J1359" s="270" t="s">
        <v>12441</v>
      </c>
      <c r="K1359" s="4837">
        <v>40378.122615539884</v>
      </c>
      <c r="L1359" s="4834">
        <f t="shared" si="89"/>
        <v>4.2145698863909625E-5</v>
      </c>
      <c r="S1359" s="270" t="s">
        <v>12439</v>
      </c>
      <c r="T1359" s="4838">
        <v>537.56048262745981</v>
      </c>
      <c r="U1359" s="4839">
        <f t="shared" si="88"/>
        <v>1.893118413647472E-3</v>
      </c>
    </row>
    <row r="1360" spans="1:21">
      <c r="A1360" s="270" t="s">
        <v>12439</v>
      </c>
      <c r="B1360" s="3305">
        <v>5584</v>
      </c>
      <c r="C1360" s="4834">
        <f t="shared" si="86"/>
        <v>2.3274551963723994E-4</v>
      </c>
      <c r="D1360" s="3" t="str">
        <f t="shared" si="87"/>
        <v>2017</v>
      </c>
      <c r="J1360" s="270" t="s">
        <v>12442</v>
      </c>
      <c r="K1360" s="4837">
        <v>40252.73470392223</v>
      </c>
      <c r="L1360" s="4834">
        <f t="shared" si="89"/>
        <v>4.1668465991835629E-5</v>
      </c>
      <c r="S1360" s="270" t="s">
        <v>12440</v>
      </c>
      <c r="T1360" s="4838">
        <v>543.34761700981278</v>
      </c>
      <c r="U1360" s="4839">
        <f t="shared" si="88"/>
        <v>1.9312271312892401E-3</v>
      </c>
    </row>
    <row r="1361" spans="1:21">
      <c r="A1361" s="270" t="s">
        <v>12440</v>
      </c>
      <c r="B1361" s="3305">
        <v>5575</v>
      </c>
      <c r="C1361" s="4834">
        <f t="shared" si="86"/>
        <v>2.3133868031016331E-4</v>
      </c>
      <c r="D1361" s="3" t="str">
        <f t="shared" si="87"/>
        <v>2017</v>
      </c>
      <c r="J1361" s="270" t="s">
        <v>12443</v>
      </c>
      <c r="K1361" s="4837">
        <v>40472.967317917333</v>
      </c>
      <c r="L1361" s="4834">
        <f t="shared" si="89"/>
        <v>4.2502487107340528E-5</v>
      </c>
      <c r="S1361" s="270" t="s">
        <v>12441</v>
      </c>
      <c r="T1361" s="4838">
        <v>540.45404981863635</v>
      </c>
      <c r="U1361" s="4839">
        <f t="shared" si="88"/>
        <v>1.912341506963173E-3</v>
      </c>
    </row>
    <row r="1362" spans="1:21">
      <c r="A1362" s="270" t="s">
        <v>12441</v>
      </c>
      <c r="B1362" s="3305">
        <v>5490</v>
      </c>
      <c r="C1362" s="4834">
        <f t="shared" si="86"/>
        <v>2.1788232488212381E-4</v>
      </c>
      <c r="D1362" s="3" t="str">
        <f t="shared" si="87"/>
        <v>2017</v>
      </c>
      <c r="J1362" s="270" t="s">
        <v>12444</v>
      </c>
      <c r="K1362" s="4837">
        <v>40516.370825784979</v>
      </c>
      <c r="L1362" s="4834">
        <f t="shared" si="89"/>
        <v>4.2664513184321817E-5</v>
      </c>
      <c r="S1362" s="270" t="s">
        <v>12442</v>
      </c>
      <c r="T1362" s="4838">
        <v>539.16801995589128</v>
      </c>
      <c r="U1362" s="4839">
        <f t="shared" si="88"/>
        <v>1.903838747208396E-3</v>
      </c>
    </row>
    <row r="1363" spans="1:21">
      <c r="A1363" s="270" t="s">
        <v>12442</v>
      </c>
      <c r="B1363" s="3305">
        <v>5596</v>
      </c>
      <c r="C1363" s="4834">
        <f t="shared" si="86"/>
        <v>2.3461488630491492E-4</v>
      </c>
      <c r="D1363" s="3" t="str">
        <f t="shared" si="87"/>
        <v>2017</v>
      </c>
      <c r="J1363" s="270" t="s">
        <v>12445</v>
      </c>
      <c r="K1363" s="4837">
        <v>40270.417614534977</v>
      </c>
      <c r="L1363" s="4834">
        <f t="shared" si="89"/>
        <v>4.1736139705914943E-5</v>
      </c>
      <c r="S1363" s="270" t="s">
        <v>12443</v>
      </c>
      <c r="T1363" s="4838">
        <v>544.95515433824426</v>
      </c>
      <c r="U1363" s="4839">
        <f t="shared" si="88"/>
        <v>1.9415682393493046E-3</v>
      </c>
    </row>
    <row r="1364" spans="1:21">
      <c r="A1364" s="270" t="s">
        <v>12443</v>
      </c>
      <c r="B1364" s="3305">
        <v>5677</v>
      </c>
      <c r="C1364" s="4834">
        <f t="shared" si="86"/>
        <v>2.4701002953346718E-4</v>
      </c>
      <c r="D1364" s="3" t="str">
        <f t="shared" si="87"/>
        <v>2017</v>
      </c>
      <c r="J1364" s="270" t="s">
        <v>12446</v>
      </c>
      <c r="K1364" s="4837">
        <v>40411.880899436946</v>
      </c>
      <c r="L1364" s="4834">
        <f t="shared" si="89"/>
        <v>4.2273114771272218E-5</v>
      </c>
      <c r="S1364" s="270" t="s">
        <v>12444</v>
      </c>
      <c r="T1364" s="4838">
        <v>551.06379618628364</v>
      </c>
      <c r="U1364" s="4839">
        <f t="shared" si="88"/>
        <v>1.9798345121559914E-3</v>
      </c>
    </row>
    <row r="1365" spans="1:21">
      <c r="A1365" s="270" t="s">
        <v>12444</v>
      </c>
      <c r="B1365" s="3305">
        <v>5660.5</v>
      </c>
      <c r="C1365" s="4834">
        <f t="shared" si="86"/>
        <v>2.4451992663168578E-4</v>
      </c>
      <c r="D1365" s="3" t="str">
        <f t="shared" si="87"/>
        <v>2017</v>
      </c>
      <c r="J1365" s="270" t="s">
        <v>12447</v>
      </c>
      <c r="K1365" s="4837">
        <v>40672.301946642823</v>
      </c>
      <c r="L1365" s="4834">
        <f t="shared" si="89"/>
        <v>4.3239875532751846E-5</v>
      </c>
      <c r="S1365" s="270" t="s">
        <v>12445</v>
      </c>
      <c r="T1365" s="4838">
        <v>547.52721406373462</v>
      </c>
      <c r="U1365" s="4839">
        <f t="shared" si="88"/>
        <v>1.9578826522361785E-3</v>
      </c>
    </row>
    <row r="1366" spans="1:21">
      <c r="A1366" s="270" t="s">
        <v>12445</v>
      </c>
      <c r="B1366" s="3305">
        <v>5662.5</v>
      </c>
      <c r="C1366" s="4834">
        <f t="shared" si="86"/>
        <v>2.4482278523023897E-4</v>
      </c>
      <c r="D1366" s="3" t="str">
        <f t="shared" si="87"/>
        <v>2017</v>
      </c>
      <c r="J1366" s="270" t="s">
        <v>12448</v>
      </c>
      <c r="K1366" s="4837">
        <v>40596.747692206554</v>
      </c>
      <c r="L1366" s="4834">
        <f t="shared" si="89"/>
        <v>4.2962427925026658E-5</v>
      </c>
      <c r="S1366" s="270" t="s">
        <v>12446</v>
      </c>
      <c r="T1366" s="4838">
        <v>551.38530365196982</v>
      </c>
      <c r="U1366" s="4839">
        <f t="shared" si="88"/>
        <v>1.9818018143837389E-3</v>
      </c>
    </row>
    <row r="1367" spans="1:21">
      <c r="A1367" s="270" t="s">
        <v>12446</v>
      </c>
      <c r="B1367" s="3305">
        <v>5665</v>
      </c>
      <c r="C1367" s="4834">
        <f t="shared" si="86"/>
        <v>2.4520096522712902E-4</v>
      </c>
      <c r="D1367" s="3" t="str">
        <f t="shared" si="87"/>
        <v>2017</v>
      </c>
      <c r="J1367" s="270" t="s">
        <v>12449</v>
      </c>
      <c r="K1367" s="4837">
        <v>40709.275305196752</v>
      </c>
      <c r="L1367" s="4834">
        <f t="shared" si="89"/>
        <v>4.3374709904604396E-5</v>
      </c>
      <c r="S1367" s="270" t="s">
        <v>12447</v>
      </c>
      <c r="T1367" s="4838">
        <v>555.88640817157773</v>
      </c>
      <c r="U1367" s="4839">
        <f t="shared" si="88"/>
        <v>2.0088319246666458E-3</v>
      </c>
    </row>
    <row r="1368" spans="1:21">
      <c r="A1368" s="270" t="s">
        <v>12447</v>
      </c>
      <c r="B1368" s="3305">
        <v>5671</v>
      </c>
      <c r="C1368" s="4834">
        <f t="shared" si="86"/>
        <v>2.4610679258560327E-4</v>
      </c>
      <c r="D1368" s="3" t="str">
        <f t="shared" si="87"/>
        <v>2017</v>
      </c>
      <c r="J1368" s="270" t="s">
        <v>12450</v>
      </c>
      <c r="K1368" s="4837">
        <v>40665.871797329099</v>
      </c>
      <c r="L1368" s="4834">
        <f t="shared" si="89"/>
        <v>4.3216362626631083E-5</v>
      </c>
      <c r="S1368" s="270" t="s">
        <v>12448</v>
      </c>
      <c r="T1368" s="4838">
        <v>555.24339324020525</v>
      </c>
      <c r="U1368" s="4839">
        <f t="shared" si="88"/>
        <v>2.0050299411867581E-3</v>
      </c>
    </row>
    <row r="1369" spans="1:21">
      <c r="A1369" s="270" t="s">
        <v>12448</v>
      </c>
      <c r="B1369" s="3305">
        <v>5608</v>
      </c>
      <c r="C1369" s="4834">
        <f t="shared" si="86"/>
        <v>2.3647653224723769E-4</v>
      </c>
      <c r="D1369" s="3" t="str">
        <f t="shared" si="87"/>
        <v>2017</v>
      </c>
      <c r="J1369" s="270" t="s">
        <v>12451</v>
      </c>
      <c r="K1369" s="4837">
        <v>40990.59433767225</v>
      </c>
      <c r="L1369" s="4834">
        <f t="shared" si="89"/>
        <v>4.4379461315848453E-5</v>
      </c>
      <c r="S1369" s="270" t="s">
        <v>12449</v>
      </c>
      <c r="T1369" s="4838">
        <v>556.52942310295032</v>
      </c>
      <c r="U1369" s="4839">
        <f t="shared" si="88"/>
        <v>2.0126137082202796E-3</v>
      </c>
    </row>
    <row r="1370" spans="1:21">
      <c r="A1370" s="270" t="s">
        <v>12449</v>
      </c>
      <c r="B1370" s="3305">
        <v>5615.5</v>
      </c>
      <c r="C1370" s="4834">
        <f t="shared" si="86"/>
        <v>2.3763595342986591E-4</v>
      </c>
      <c r="D1370" s="3" t="str">
        <f t="shared" si="87"/>
        <v>2017</v>
      </c>
      <c r="J1370" s="270" t="s">
        <v>12452</v>
      </c>
      <c r="K1370" s="4837">
        <v>41151.348070515392</v>
      </c>
      <c r="L1370" s="4834">
        <f t="shared" si="89"/>
        <v>4.4935874767653031E-5</v>
      </c>
      <c r="S1370" s="270" t="s">
        <v>12450</v>
      </c>
      <c r="T1370" s="4838">
        <v>550.74228872059723</v>
      </c>
      <c r="U1370" s="4839">
        <f t="shared" si="88"/>
        <v>1.9778624288553262E-3</v>
      </c>
    </row>
    <row r="1371" spans="1:21">
      <c r="A1371" s="270" t="s">
        <v>12450</v>
      </c>
      <c r="B1371" s="3305">
        <v>5636.5</v>
      </c>
      <c r="C1371" s="4834">
        <f t="shared" si="86"/>
        <v>2.4086453788377171E-4</v>
      </c>
      <c r="D1371" s="3" t="str">
        <f t="shared" si="87"/>
        <v>2017</v>
      </c>
      <c r="J1371" s="270" t="s">
        <v>12453</v>
      </c>
      <c r="K1371" s="4837">
        <v>41586.990686520294</v>
      </c>
      <c r="L1371" s="4834">
        <f t="shared" si="89"/>
        <v>4.6372795090624452E-5</v>
      </c>
      <c r="S1371" s="270" t="s">
        <v>12451</v>
      </c>
      <c r="T1371" s="4838">
        <v>552.67133351471512</v>
      </c>
      <c r="U1371" s="4839">
        <f t="shared" si="88"/>
        <v>1.9896228499632928E-3</v>
      </c>
    </row>
    <row r="1372" spans="1:21">
      <c r="A1372" s="270" t="s">
        <v>12451</v>
      </c>
      <c r="B1372" s="3305">
        <v>5559.5</v>
      </c>
      <c r="C1372" s="4834">
        <f t="shared" si="86"/>
        <v>2.2890667635126074E-4</v>
      </c>
      <c r="D1372" s="3" t="str">
        <f t="shared" si="87"/>
        <v>2017</v>
      </c>
      <c r="J1372" s="270" t="s">
        <v>12454</v>
      </c>
      <c r="K1372" s="4837">
        <v>41506.613820098719</v>
      </c>
      <c r="L1372" s="4834">
        <f t="shared" si="89"/>
        <v>4.6115868143604207E-5</v>
      </c>
      <c r="S1372" s="270" t="s">
        <v>12452</v>
      </c>
      <c r="T1372" s="4838">
        <v>563.28107988236218</v>
      </c>
      <c r="U1372" s="4839">
        <f t="shared" si="88"/>
        <v>2.0510677096177553E-3</v>
      </c>
    </row>
    <row r="1373" spans="1:21">
      <c r="A1373" s="270" t="s">
        <v>12452</v>
      </c>
      <c r="B1373" s="3305">
        <v>5586.5</v>
      </c>
      <c r="C1373" s="4834">
        <f t="shared" si="86"/>
        <v>2.3313558704001074E-4</v>
      </c>
      <c r="D1373" s="3" t="str">
        <f t="shared" si="87"/>
        <v>2017</v>
      </c>
      <c r="J1373" s="270" t="s">
        <v>12455</v>
      </c>
      <c r="K1373" s="4837">
        <v>40931.115456520281</v>
      </c>
      <c r="L1373" s="4834">
        <f t="shared" si="89"/>
        <v>4.4170240781824362E-5</v>
      </c>
      <c r="S1373" s="270" t="s">
        <v>12453</v>
      </c>
      <c r="T1373" s="4838">
        <v>564.56710974510725</v>
      </c>
      <c r="U1373" s="4839">
        <f t="shared" si="88"/>
        <v>2.058124765569571E-3</v>
      </c>
    </row>
    <row r="1374" spans="1:21">
      <c r="A1374" s="270" t="s">
        <v>12453</v>
      </c>
      <c r="B1374" s="3305">
        <v>5540.5</v>
      </c>
      <c r="C1374" s="4834">
        <f t="shared" si="86"/>
        <v>2.2591092407692938E-4</v>
      </c>
      <c r="D1374" s="3" t="str">
        <f t="shared" si="87"/>
        <v>2017</v>
      </c>
      <c r="J1374" s="270" t="s">
        <v>12456</v>
      </c>
      <c r="K1374" s="4837">
        <v>40720.528066495768</v>
      </c>
      <c r="L1374" s="4834">
        <f t="shared" si="89"/>
        <v>4.3415622252107368E-5</v>
      </c>
      <c r="S1374" s="270" t="s">
        <v>12454</v>
      </c>
      <c r="T1374" s="4838">
        <v>565.85313960785254</v>
      </c>
      <c r="U1374" s="4839">
        <f t="shared" si="88"/>
        <v>2.0650936040706703E-3</v>
      </c>
    </row>
    <row r="1375" spans="1:21">
      <c r="A1375" s="270" t="s">
        <v>12454</v>
      </c>
      <c r="B1375" s="3305">
        <v>5575.5</v>
      </c>
      <c r="C1375" s="4834">
        <f t="shared" si="86"/>
        <v>2.3141694279036601E-4</v>
      </c>
      <c r="D1375" s="3" t="str">
        <f t="shared" si="87"/>
        <v>2017</v>
      </c>
      <c r="J1375" s="270" t="s">
        <v>12457</v>
      </c>
      <c r="K1375" s="4837">
        <v>40715.705454510477</v>
      </c>
      <c r="L1375" s="4834">
        <f t="shared" si="89"/>
        <v>4.3398095523476777E-5</v>
      </c>
      <c r="S1375" s="270" t="s">
        <v>12455</v>
      </c>
      <c r="T1375" s="4838">
        <v>565.85313960785254</v>
      </c>
      <c r="U1375" s="4839">
        <f t="shared" si="88"/>
        <v>2.0650936040706703E-3</v>
      </c>
    </row>
    <row r="1376" spans="1:21">
      <c r="A1376" s="270" t="s">
        <v>12455</v>
      </c>
      <c r="B1376" s="3305">
        <v>5647.5</v>
      </c>
      <c r="C1376" s="4834">
        <f t="shared" si="86"/>
        <v>2.4254466886934489E-4</v>
      </c>
      <c r="D1376" s="3" t="str">
        <f t="shared" si="87"/>
        <v>2017</v>
      </c>
      <c r="J1376" s="270" t="s">
        <v>12458</v>
      </c>
      <c r="K1376" s="4837">
        <v>40574.242169608508</v>
      </c>
      <c r="L1376" s="4834">
        <f t="shared" si="89"/>
        <v>4.28792947986692E-5</v>
      </c>
      <c r="S1376" s="270" t="s">
        <v>12456</v>
      </c>
      <c r="T1376" s="4838">
        <v>557.81545296569561</v>
      </c>
      <c r="U1376" s="4839">
        <f t="shared" si="88"/>
        <v>2.0201161115958044E-3</v>
      </c>
    </row>
    <row r="1377" spans="1:21">
      <c r="A1377" s="270" t="s">
        <v>12456</v>
      </c>
      <c r="B1377" s="3305">
        <v>5739</v>
      </c>
      <c r="C1377" s="4834">
        <f t="shared" si="86"/>
        <v>2.5617903881498165E-4</v>
      </c>
      <c r="D1377" s="3" t="str">
        <f t="shared" si="87"/>
        <v>2017</v>
      </c>
      <c r="J1377" s="270" t="s">
        <v>12459</v>
      </c>
      <c r="K1377" s="4837">
        <v>41008.27724828499</v>
      </c>
      <c r="L1377" s="4834">
        <f t="shared" si="89"/>
        <v>4.4441318625975278E-5</v>
      </c>
      <c r="S1377" s="270" t="s">
        <v>12457</v>
      </c>
      <c r="T1377" s="4838">
        <v>550.74228872059723</v>
      </c>
      <c r="U1377" s="4839">
        <f t="shared" si="88"/>
        <v>1.9778624288553262E-3</v>
      </c>
    </row>
    <row r="1378" spans="1:21">
      <c r="A1378" s="270" t="s">
        <v>12457</v>
      </c>
      <c r="B1378" s="3305">
        <v>5752</v>
      </c>
      <c r="C1378" s="4834">
        <f t="shared" si="86"/>
        <v>2.5806031926501168E-4</v>
      </c>
      <c r="D1378" s="3" t="str">
        <f t="shared" si="87"/>
        <v>2017</v>
      </c>
      <c r="J1378" s="270" t="s">
        <v>12460</v>
      </c>
      <c r="K1378" s="4837">
        <v>40334.719107672237</v>
      </c>
      <c r="L1378" s="4834">
        <f t="shared" si="89"/>
        <v>4.1981203718279798E-5</v>
      </c>
      <c r="S1378" s="270" t="s">
        <v>12458</v>
      </c>
      <c r="T1378" s="4838">
        <v>540.77555728432264</v>
      </c>
      <c r="U1378" s="4839">
        <f t="shared" si="88"/>
        <v>1.914456828465761E-3</v>
      </c>
    </row>
    <row r="1379" spans="1:21">
      <c r="A1379" s="270" t="s">
        <v>12458</v>
      </c>
      <c r="B1379" s="3305">
        <v>5659</v>
      </c>
      <c r="C1379" s="4834">
        <f t="shared" si="86"/>
        <v>2.4429260045325473E-4</v>
      </c>
      <c r="D1379" s="3" t="str">
        <f t="shared" si="87"/>
        <v>2017</v>
      </c>
      <c r="J1379" s="270" t="s">
        <v>12461</v>
      </c>
      <c r="K1379" s="4837">
        <v>40362.047242255569</v>
      </c>
      <c r="L1379" s="4834">
        <f t="shared" si="89"/>
        <v>4.2084862618871596E-5</v>
      </c>
      <c r="S1379" s="270" t="s">
        <v>12459</v>
      </c>
      <c r="T1379" s="4838">
        <v>545.27666180393066</v>
      </c>
      <c r="U1379" s="4839">
        <f t="shared" si="88"/>
        <v>1.9436232440054244E-3</v>
      </c>
    </row>
    <row r="1380" spans="1:21">
      <c r="A1380" s="270" t="s">
        <v>12459</v>
      </c>
      <c r="B1380" s="3305">
        <v>5684.5</v>
      </c>
      <c r="C1380" s="4834">
        <f t="shared" si="86"/>
        <v>2.4813535220591447E-4</v>
      </c>
      <c r="D1380" s="3" t="str">
        <f t="shared" si="87"/>
        <v>2017</v>
      </c>
      <c r="J1380" s="270" t="s">
        <v>12462</v>
      </c>
      <c r="K1380" s="4837">
        <v>40128.954329633016</v>
      </c>
      <c r="L1380" s="4834">
        <f t="shared" si="89"/>
        <v>4.119145679470069E-5</v>
      </c>
      <c r="S1380" s="270" t="s">
        <v>12460</v>
      </c>
      <c r="T1380" s="4838">
        <v>542.06158714706771</v>
      </c>
      <c r="U1380" s="4839">
        <f t="shared" si="88"/>
        <v>1.92287607012287E-3</v>
      </c>
    </row>
    <row r="1381" spans="1:21">
      <c r="A1381" s="270" t="s">
        <v>12460</v>
      </c>
      <c r="B1381" s="3305">
        <v>5637</v>
      </c>
      <c r="C1381" s="4834">
        <f t="shared" si="86"/>
        <v>2.4094107662162313E-4</v>
      </c>
      <c r="D1381" s="3" t="str">
        <f t="shared" si="87"/>
        <v>2017</v>
      </c>
      <c r="J1381" s="270" t="s">
        <v>12463</v>
      </c>
      <c r="K1381" s="4837">
        <v>39937.657387549676</v>
      </c>
      <c r="L1381" s="4834">
        <f t="shared" si="89"/>
        <v>4.0443495100445544E-5</v>
      </c>
      <c r="S1381" s="270" t="s">
        <v>12461</v>
      </c>
      <c r="T1381" s="4838">
        <v>538.84651249020499</v>
      </c>
      <c r="U1381" s="4839">
        <f t="shared" si="88"/>
        <v>1.9017027842014886E-3</v>
      </c>
    </row>
    <row r="1382" spans="1:21">
      <c r="A1382" s="270" t="s">
        <v>12461</v>
      </c>
      <c r="B1382" s="3305">
        <v>5655.5</v>
      </c>
      <c r="C1382" s="4834">
        <f t="shared" si="86"/>
        <v>2.4376157027917878E-4</v>
      </c>
      <c r="D1382" s="3" t="str">
        <f t="shared" si="87"/>
        <v>2017</v>
      </c>
      <c r="J1382" s="270" t="s">
        <v>12464</v>
      </c>
      <c r="K1382" s="4837">
        <v>39947.302611520267</v>
      </c>
      <c r="L1382" s="4834">
        <f t="shared" si="89"/>
        <v>4.0481505170486186E-5</v>
      </c>
      <c r="S1382" s="270" t="s">
        <v>12462</v>
      </c>
      <c r="T1382" s="4838">
        <v>535.95294529902844</v>
      </c>
      <c r="U1382" s="4839">
        <f t="shared" si="88"/>
        <v>1.8822982233006348E-3</v>
      </c>
    </row>
    <row r="1383" spans="1:21">
      <c r="A1383" s="270" t="s">
        <v>12462</v>
      </c>
      <c r="B1383" s="3305">
        <v>5687</v>
      </c>
      <c r="C1383" s="4834">
        <f t="shared" si="86"/>
        <v>2.4850952401767295E-4</v>
      </c>
      <c r="D1383" s="3" t="str">
        <f t="shared" si="87"/>
        <v>2017</v>
      </c>
      <c r="J1383" s="270" t="s">
        <v>12465</v>
      </c>
      <c r="K1383" s="4837">
        <v>40214.153808039875</v>
      </c>
      <c r="L1383" s="4834">
        <f t="shared" si="89"/>
        <v>4.1520400755396962E-5</v>
      </c>
      <c r="S1383" s="270" t="s">
        <v>12463</v>
      </c>
      <c r="T1383" s="4838">
        <v>533.38088557353819</v>
      </c>
      <c r="U1383" s="4839">
        <f t="shared" si="88"/>
        <v>1.8647842295088075E-3</v>
      </c>
    </row>
    <row r="1384" spans="1:21">
      <c r="A1384" s="270" t="s">
        <v>12463</v>
      </c>
      <c r="B1384" s="3305">
        <v>5673.5</v>
      </c>
      <c r="C1384" s="4834">
        <f t="shared" si="86"/>
        <v>2.46483459162354E-4</v>
      </c>
      <c r="D1384" s="3" t="str">
        <f t="shared" si="87"/>
        <v>2017</v>
      </c>
      <c r="J1384" s="270" t="s">
        <v>12466</v>
      </c>
      <c r="K1384" s="4837">
        <v>40371.692466226159</v>
      </c>
      <c r="L1384" s="4834">
        <f t="shared" si="89"/>
        <v>4.2121376837705855E-5</v>
      </c>
      <c r="S1384" s="270" t="s">
        <v>12464</v>
      </c>
      <c r="T1384" s="4838">
        <v>530.80882584804806</v>
      </c>
      <c r="U1384" s="4839">
        <f t="shared" si="88"/>
        <v>1.8470306862203123E-3</v>
      </c>
    </row>
    <row r="1385" spans="1:21">
      <c r="A1385" s="270" t="s">
        <v>12464</v>
      </c>
      <c r="B1385" s="3305">
        <v>5650</v>
      </c>
      <c r="C1385" s="4834">
        <f t="shared" si="86"/>
        <v>2.4292541153217217E-4</v>
      </c>
      <c r="D1385" s="3" t="str">
        <f t="shared" si="87"/>
        <v>2017</v>
      </c>
      <c r="J1385" s="270" t="s">
        <v>12467</v>
      </c>
      <c r="K1385" s="4837">
        <v>40035.717164583992</v>
      </c>
      <c r="L1385" s="4834">
        <f t="shared" si="89"/>
        <v>4.0828480622885962E-5</v>
      </c>
      <c r="S1385" s="270" t="s">
        <v>12465</v>
      </c>
      <c r="T1385" s="4838">
        <v>533.0593781078519</v>
      </c>
      <c r="U1385" s="4839">
        <f t="shared" si="88"/>
        <v>1.8625779328578019E-3</v>
      </c>
    </row>
    <row r="1386" spans="1:21">
      <c r="A1386" s="270" t="s">
        <v>12465</v>
      </c>
      <c r="B1386" s="3305">
        <v>5736</v>
      </c>
      <c r="C1386" s="4834">
        <f t="shared" si="86"/>
        <v>2.5574275073861634E-4</v>
      </c>
      <c r="D1386" s="3" t="str">
        <f t="shared" si="87"/>
        <v>2017</v>
      </c>
      <c r="J1386" s="270" t="s">
        <v>12468</v>
      </c>
      <c r="K1386" s="4837">
        <v>40173.965374829095</v>
      </c>
      <c r="L1386" s="4834">
        <f t="shared" si="89"/>
        <v>4.1365571781482351E-5</v>
      </c>
      <c r="S1386" s="270" t="s">
        <v>12466</v>
      </c>
      <c r="T1386" s="4838">
        <v>537.23897516177351</v>
      </c>
      <c r="U1386" s="4839">
        <f t="shared" si="88"/>
        <v>1.8909622872505135E-3</v>
      </c>
    </row>
    <row r="1387" spans="1:21">
      <c r="A1387" s="270" t="s">
        <v>12466</v>
      </c>
      <c r="B1387" s="3305">
        <v>5774</v>
      </c>
      <c r="C1387" s="4834">
        <f t="shared" si="86"/>
        <v>2.6120840347049792E-4</v>
      </c>
      <c r="D1387" s="3" t="str">
        <f t="shared" si="87"/>
        <v>2017</v>
      </c>
      <c r="J1387" s="270" t="s">
        <v>12469</v>
      </c>
      <c r="K1387" s="4837">
        <v>40124.131717647724</v>
      </c>
      <c r="L1387" s="4834">
        <f t="shared" si="89"/>
        <v>4.1172757954810621E-5</v>
      </c>
      <c r="S1387" s="270" t="s">
        <v>12467</v>
      </c>
      <c r="T1387" s="4838">
        <v>531.45184077942054</v>
      </c>
      <c r="U1387" s="4839">
        <f t="shared" si="88"/>
        <v>1.8514909850128481E-3</v>
      </c>
    </row>
    <row r="1388" spans="1:21">
      <c r="A1388" s="270" t="s">
        <v>12467</v>
      </c>
      <c r="B1388" s="3305">
        <v>5771</v>
      </c>
      <c r="C1388" s="4834">
        <f t="shared" si="86"/>
        <v>2.6078183012775562E-4</v>
      </c>
      <c r="D1388" s="3" t="str">
        <f t="shared" si="87"/>
        <v>2017</v>
      </c>
      <c r="J1388" s="270" t="s">
        <v>12470</v>
      </c>
      <c r="K1388" s="4837">
        <v>39979.453358088896</v>
      </c>
      <c r="L1388" s="4834">
        <f t="shared" si="89"/>
        <v>4.0607982789154772E-5</v>
      </c>
      <c r="S1388" s="270" t="s">
        <v>12468</v>
      </c>
      <c r="T1388" s="4838">
        <v>535.63143783334226</v>
      </c>
      <c r="U1388" s="4839">
        <f t="shared" si="88"/>
        <v>1.880122414065648E-3</v>
      </c>
    </row>
    <row r="1389" spans="1:21">
      <c r="A1389" s="270" t="s">
        <v>12468</v>
      </c>
      <c r="B1389" s="3305">
        <v>5789</v>
      </c>
      <c r="C1389" s="4834">
        <f t="shared" si="86"/>
        <v>2.6332802525204417E-4</v>
      </c>
      <c r="D1389" s="3" t="str">
        <f t="shared" si="87"/>
        <v>2017</v>
      </c>
      <c r="J1389" s="270" t="s">
        <v>12471</v>
      </c>
      <c r="K1389" s="4837">
        <v>39939.264924878109</v>
      </c>
      <c r="L1389" s="4834">
        <f t="shared" si="89"/>
        <v>4.0449832237851196E-5</v>
      </c>
      <c r="S1389" s="270" t="s">
        <v>12469</v>
      </c>
      <c r="T1389" s="4838">
        <v>539.48952742157746</v>
      </c>
      <c r="U1389" s="4839">
        <f t="shared" si="88"/>
        <v>1.9059706200824579E-3</v>
      </c>
    </row>
    <row r="1390" spans="1:21">
      <c r="A1390" s="270" t="s">
        <v>12469</v>
      </c>
      <c r="B1390" s="3305">
        <v>5822</v>
      </c>
      <c r="C1390" s="4834">
        <f t="shared" si="86"/>
        <v>2.6791023876321591E-4</v>
      </c>
      <c r="D1390" s="3" t="str">
        <f t="shared" si="87"/>
        <v>2017</v>
      </c>
      <c r="J1390" s="270" t="s">
        <v>12472</v>
      </c>
      <c r="K1390" s="4837">
        <v>39521.305219485948</v>
      </c>
      <c r="L1390" s="4834">
        <f t="shared" si="89"/>
        <v>3.8775659004313082E-5</v>
      </c>
      <c r="S1390" s="270" t="s">
        <v>12470</v>
      </c>
      <c r="T1390" s="4838">
        <v>541.09706475000883</v>
      </c>
      <c r="U1390" s="4839">
        <f t="shared" si="88"/>
        <v>1.9165679645207526E-3</v>
      </c>
    </row>
    <row r="1391" spans="1:21">
      <c r="A1391" s="270" t="s">
        <v>12470</v>
      </c>
      <c r="B1391" s="3305">
        <v>5905.5</v>
      </c>
      <c r="C1391" s="4834">
        <f t="shared" si="86"/>
        <v>2.7895662716650852E-4</v>
      </c>
      <c r="D1391" s="3" t="str">
        <f t="shared" si="87"/>
        <v>2017</v>
      </c>
      <c r="J1391" s="270" t="s">
        <v>12473</v>
      </c>
      <c r="K1391" s="4837">
        <v>39344.476113358491</v>
      </c>
      <c r="L1391" s="4834">
        <f t="shared" si="89"/>
        <v>3.8053102546710059E-5</v>
      </c>
      <c r="S1391" s="270" t="s">
        <v>12471</v>
      </c>
      <c r="T1391" s="4838">
        <v>529.52279598530288</v>
      </c>
      <c r="U1391" s="4839">
        <f t="shared" si="88"/>
        <v>1.8380672000459363E-3</v>
      </c>
    </row>
    <row r="1392" spans="1:21">
      <c r="A1392" s="270" t="s">
        <v>12471</v>
      </c>
      <c r="B1392" s="3305">
        <v>5907.5</v>
      </c>
      <c r="C1392" s="4834">
        <f t="shared" si="86"/>
        <v>2.7921078506318412E-4</v>
      </c>
      <c r="D1392" s="3" t="str">
        <f t="shared" si="87"/>
        <v>2017</v>
      </c>
      <c r="J1392" s="270" t="s">
        <v>12474</v>
      </c>
      <c r="K1392" s="4837">
        <v>39233.556037696719</v>
      </c>
      <c r="L1392" s="4834">
        <f t="shared" si="89"/>
        <v>3.7596175978071739E-5</v>
      </c>
      <c r="S1392" s="270" t="s">
        <v>12472</v>
      </c>
      <c r="T1392" s="4838">
        <v>529.84430345098906</v>
      </c>
      <c r="U1392" s="4839">
        <f t="shared" si="88"/>
        <v>1.8403133837522805E-3</v>
      </c>
    </row>
    <row r="1393" spans="1:21">
      <c r="A1393" s="270" t="s">
        <v>12472</v>
      </c>
      <c r="B1393" s="3305">
        <v>5894</v>
      </c>
      <c r="C1393" s="4834">
        <f t="shared" si="86"/>
        <v>2.7748532183536723E-4</v>
      </c>
      <c r="D1393" s="3" t="str">
        <f t="shared" si="87"/>
        <v>2017</v>
      </c>
      <c r="J1393" s="270" t="s">
        <v>12475</v>
      </c>
      <c r="K1393" s="4837">
        <v>39381.44947191242</v>
      </c>
      <c r="L1393" s="4834">
        <f t="shared" si="89"/>
        <v>3.8204801400313321E-5</v>
      </c>
      <c r="S1393" s="270" t="s">
        <v>12473</v>
      </c>
      <c r="T1393" s="4838">
        <v>519.23455708334188</v>
      </c>
      <c r="U1393" s="4839">
        <f t="shared" si="88"/>
        <v>1.7644440435841534E-3</v>
      </c>
    </row>
    <row r="1394" spans="1:21">
      <c r="A1394" s="270" t="s">
        <v>12473</v>
      </c>
      <c r="B1394" s="3305">
        <v>5847</v>
      </c>
      <c r="C1394" s="4834">
        <f t="shared" si="86"/>
        <v>2.7130327427322715E-4</v>
      </c>
      <c r="D1394" s="3" t="str">
        <f t="shared" si="87"/>
        <v>2017</v>
      </c>
      <c r="J1394" s="270" t="s">
        <v>12476</v>
      </c>
      <c r="K1394" s="4837">
        <v>39084.055066152607</v>
      </c>
      <c r="L1394" s="4834">
        <f t="shared" si="89"/>
        <v>3.6976300751605382E-5</v>
      </c>
      <c r="S1394" s="270" t="s">
        <v>12474</v>
      </c>
      <c r="T1394" s="4838">
        <v>512.80440776961632</v>
      </c>
      <c r="U1394" s="4839">
        <f t="shared" si="88"/>
        <v>1.7168923598626586E-3</v>
      </c>
    </row>
    <row r="1395" spans="1:21">
      <c r="A1395" s="270" t="s">
        <v>12474</v>
      </c>
      <c r="B1395" s="3305">
        <v>5818</v>
      </c>
      <c r="C1395" s="4834">
        <f t="shared" si="86"/>
        <v>2.6736095204299122E-4</v>
      </c>
      <c r="D1395" s="3" t="str">
        <f t="shared" si="87"/>
        <v>2017</v>
      </c>
      <c r="J1395" s="270" t="s">
        <v>12477</v>
      </c>
      <c r="K1395" s="4837">
        <v>38963.489766520252</v>
      </c>
      <c r="L1395" s="4834">
        <f t="shared" si="89"/>
        <v>3.6473388423628908E-5</v>
      </c>
      <c r="S1395" s="270" t="s">
        <v>12475</v>
      </c>
      <c r="T1395" s="4838">
        <v>514.73345256373409</v>
      </c>
      <c r="U1395" s="4839">
        <f t="shared" si="88"/>
        <v>1.7312692567904603E-3</v>
      </c>
    </row>
    <row r="1396" spans="1:21">
      <c r="A1396" s="270" t="s">
        <v>12475</v>
      </c>
      <c r="B1396" s="3305">
        <v>5828.5</v>
      </c>
      <c r="C1396" s="4834">
        <f t="shared" si="86"/>
        <v>2.6879911364168543E-4</v>
      </c>
      <c r="D1396" s="3" t="str">
        <f t="shared" si="87"/>
        <v>2017</v>
      </c>
      <c r="J1396" s="270" t="s">
        <v>12478</v>
      </c>
      <c r="K1396" s="4837">
        <v>38936.161631936913</v>
      </c>
      <c r="L1396" s="4834">
        <f t="shared" si="89"/>
        <v>3.6359054426333864E-5</v>
      </c>
      <c r="S1396" s="270" t="s">
        <v>12476</v>
      </c>
      <c r="T1396" s="4838">
        <v>509.26782564706718</v>
      </c>
      <c r="U1396" s="4839">
        <f t="shared" si="88"/>
        <v>1.6903059086548519E-3</v>
      </c>
    </row>
    <row r="1397" spans="1:21">
      <c r="A1397" s="270" t="s">
        <v>12476</v>
      </c>
      <c r="B1397" s="3305">
        <v>5809</v>
      </c>
      <c r="C1397" s="4834">
        <f t="shared" si="86"/>
        <v>2.6611877742096997E-4</v>
      </c>
      <c r="D1397" s="3" t="str">
        <f t="shared" si="87"/>
        <v>2017</v>
      </c>
      <c r="J1397" s="270" t="s">
        <v>12479</v>
      </c>
      <c r="K1397" s="4837">
        <v>39185.329917843781</v>
      </c>
      <c r="L1397" s="4834">
        <f t="shared" si="89"/>
        <v>3.7396698428376269E-5</v>
      </c>
      <c r="S1397" s="270" t="s">
        <v>12477</v>
      </c>
      <c r="T1397" s="4838">
        <v>489.3343627745179</v>
      </c>
      <c r="U1397" s="4839">
        <f t="shared" si="88"/>
        <v>1.5360921135400042E-3</v>
      </c>
    </row>
    <row r="1398" spans="1:21">
      <c r="A1398" s="270" t="s">
        <v>12477</v>
      </c>
      <c r="B1398" s="3305">
        <v>5780</v>
      </c>
      <c r="C1398" s="4834">
        <f t="shared" si="86"/>
        <v>2.6205892078752583E-4</v>
      </c>
      <c r="D1398" s="3" t="str">
        <f t="shared" si="87"/>
        <v>2017</v>
      </c>
      <c r="J1398" s="270" t="s">
        <v>12480</v>
      </c>
      <c r="K1398" s="4837">
        <v>39188.544992500654</v>
      </c>
      <c r="L1398" s="4834">
        <f t="shared" si="89"/>
        <v>3.7410011642621772E-5</v>
      </c>
      <c r="S1398" s="270" t="s">
        <v>12478</v>
      </c>
      <c r="T1398" s="4838">
        <v>498.65807927941995</v>
      </c>
      <c r="U1398" s="4839">
        <f t="shared" si="88"/>
        <v>1.6090092808535808E-3</v>
      </c>
    </row>
    <row r="1399" spans="1:21">
      <c r="A1399" s="270" t="s">
        <v>12478</v>
      </c>
      <c r="B1399" s="3305">
        <v>5795</v>
      </c>
      <c r="C1399" s="4834">
        <f t="shared" si="86"/>
        <v>2.641695710574604E-4</v>
      </c>
      <c r="D1399" s="3" t="str">
        <f t="shared" si="87"/>
        <v>2017</v>
      </c>
      <c r="J1399" s="270" t="s">
        <v>12481</v>
      </c>
      <c r="K1399" s="4837">
        <v>39555.063503383004</v>
      </c>
      <c r="L1399" s="4834">
        <f t="shared" si="89"/>
        <v>3.8912715830229825E-5</v>
      </c>
      <c r="S1399" s="270" t="s">
        <v>12479</v>
      </c>
      <c r="T1399" s="4838">
        <v>508.94631818138095</v>
      </c>
      <c r="U1399" s="4839">
        <f t="shared" si="88"/>
        <v>1.6878749894784402E-3</v>
      </c>
    </row>
    <row r="1400" spans="1:21">
      <c r="A1400" s="270" t="s">
        <v>12479</v>
      </c>
      <c r="B1400" s="3305">
        <v>5882.5</v>
      </c>
      <c r="C1400" s="4834">
        <f t="shared" si="86"/>
        <v>2.7599740719140819E-4</v>
      </c>
      <c r="D1400" s="3" t="str">
        <f t="shared" si="87"/>
        <v>2017</v>
      </c>
      <c r="J1400" s="270" t="s">
        <v>12482</v>
      </c>
      <c r="K1400" s="4837">
        <v>39677.236340343792</v>
      </c>
      <c r="L1400" s="4834">
        <f t="shared" si="89"/>
        <v>3.9406177528742163E-5</v>
      </c>
      <c r="S1400" s="270" t="s">
        <v>12480</v>
      </c>
      <c r="T1400" s="4838">
        <v>512.80440776961632</v>
      </c>
      <c r="U1400" s="4839">
        <f t="shared" si="88"/>
        <v>1.7168923598626586E-3</v>
      </c>
    </row>
    <row r="1401" spans="1:21">
      <c r="A1401" s="270" t="s">
        <v>12480</v>
      </c>
      <c r="B1401" s="3305">
        <v>5902</v>
      </c>
      <c r="C1401" s="4834">
        <f t="shared" si="86"/>
        <v>2.7851061775742875E-4</v>
      </c>
      <c r="D1401" s="3" t="str">
        <f t="shared" si="87"/>
        <v>2017</v>
      </c>
      <c r="J1401" s="270" t="s">
        <v>12483</v>
      </c>
      <c r="K1401" s="4837">
        <v>39891.038805025171</v>
      </c>
      <c r="L1401" s="4834">
        <f t="shared" si="89"/>
        <v>4.0259351842602235E-5</v>
      </c>
      <c r="S1401" s="270" t="s">
        <v>12481</v>
      </c>
      <c r="T1401" s="4838">
        <v>505.08822859314563</v>
      </c>
      <c r="U1401" s="4839">
        <f t="shared" si="88"/>
        <v>1.6585347111438514E-3</v>
      </c>
    </row>
    <row r="1402" spans="1:21">
      <c r="A1402" s="270" t="s">
        <v>12481</v>
      </c>
      <c r="B1402" s="3305">
        <v>5858</v>
      </c>
      <c r="C1402" s="4834">
        <f t="shared" si="86"/>
        <v>2.727737317572612E-4</v>
      </c>
      <c r="D1402" s="3" t="str">
        <f t="shared" si="87"/>
        <v>2017</v>
      </c>
      <c r="J1402" s="270" t="s">
        <v>12484</v>
      </c>
      <c r="K1402" s="4837">
        <v>39936.04985022125</v>
      </c>
      <c r="L1402" s="4834">
        <f t="shared" si="89"/>
        <v>4.0437157114404128E-5</v>
      </c>
      <c r="S1402" s="270" t="s">
        <v>12482</v>
      </c>
      <c r="T1402" s="4838">
        <v>516.66249735785163</v>
      </c>
      <c r="U1402" s="4839">
        <f t="shared" si="88"/>
        <v>1.7455525805893748E-3</v>
      </c>
    </row>
    <row r="1403" spans="1:21">
      <c r="A1403" s="270" t="s">
        <v>12482</v>
      </c>
      <c r="B1403" s="3305">
        <v>5965.5</v>
      </c>
      <c r="C1403" s="4834">
        <f t="shared" si="86"/>
        <v>2.8635012449936784E-4</v>
      </c>
      <c r="D1403" s="3" t="str">
        <f t="shared" si="87"/>
        <v>2017</v>
      </c>
      <c r="J1403" s="270" t="s">
        <v>12485</v>
      </c>
      <c r="K1403" s="4837">
        <v>39825.129774559478</v>
      </c>
      <c r="L1403" s="4834">
        <f t="shared" si="89"/>
        <v>3.999782721589114E-5</v>
      </c>
      <c r="S1403" s="270" t="s">
        <v>12483</v>
      </c>
      <c r="T1403" s="4838">
        <v>519.87757201471447</v>
      </c>
      <c r="U1403" s="4839">
        <f t="shared" si="88"/>
        <v>1.7691385350698877E-3</v>
      </c>
    </row>
    <row r="1404" spans="1:21">
      <c r="A1404" s="270" t="s">
        <v>12483</v>
      </c>
      <c r="B1404" s="3305">
        <v>5940.5</v>
      </c>
      <c r="C1404" s="4834">
        <f t="shared" si="86"/>
        <v>2.833287225726893E-4</v>
      </c>
      <c r="D1404" s="3" t="str">
        <f t="shared" si="87"/>
        <v>2017</v>
      </c>
      <c r="J1404" s="270" t="s">
        <v>12486</v>
      </c>
      <c r="K1404" s="4837">
        <v>40141.814628260465</v>
      </c>
      <c r="L1404" s="4834">
        <f t="shared" si="89"/>
        <v>4.1241279260302539E-5</v>
      </c>
      <c r="S1404" s="270" t="s">
        <v>12484</v>
      </c>
      <c r="T1404" s="4838">
        <v>521.80661680883213</v>
      </c>
      <c r="U1404" s="4839">
        <f t="shared" si="88"/>
        <v>1.7831513727230616E-3</v>
      </c>
    </row>
    <row r="1405" spans="1:21">
      <c r="A1405" s="270" t="s">
        <v>12484</v>
      </c>
      <c r="B1405" s="3305">
        <v>5956</v>
      </c>
      <c r="C1405" s="4834">
        <f t="shared" si="86"/>
        <v>2.8521223346973602E-4</v>
      </c>
      <c r="D1405" s="3" t="str">
        <f t="shared" si="87"/>
        <v>2017</v>
      </c>
      <c r="J1405" s="270" t="s">
        <v>12487</v>
      </c>
      <c r="K1405" s="4837">
        <v>40366.86985424086</v>
      </c>
      <c r="L1405" s="4834">
        <f t="shared" si="89"/>
        <v>4.2103124397824032E-5</v>
      </c>
      <c r="S1405" s="270" t="s">
        <v>12485</v>
      </c>
      <c r="T1405" s="4838">
        <v>520.19907948040077</v>
      </c>
      <c r="U1405" s="4839">
        <f t="shared" si="88"/>
        <v>1.7714814155717121E-3</v>
      </c>
    </row>
    <row r="1406" spans="1:21">
      <c r="A1406" s="270" t="s">
        <v>12485</v>
      </c>
      <c r="B1406" s="3305">
        <v>5930</v>
      </c>
      <c r="C1406" s="4834">
        <f t="shared" si="86"/>
        <v>2.8203416513512505E-4</v>
      </c>
      <c r="D1406" s="3" t="str">
        <f t="shared" si="87"/>
        <v>2017</v>
      </c>
      <c r="J1406" s="270" t="s">
        <v>12488</v>
      </c>
      <c r="K1406" s="4837">
        <v>40329.896495686946</v>
      </c>
      <c r="L1406" s="4834">
        <f t="shared" si="89"/>
        <v>4.1962880164988408E-5</v>
      </c>
      <c r="S1406" s="270" t="s">
        <v>12486</v>
      </c>
      <c r="T1406" s="4838">
        <v>528.23676612255781</v>
      </c>
      <c r="U1406" s="4839">
        <f t="shared" si="88"/>
        <v>1.8290475733362577E-3</v>
      </c>
    </row>
    <row r="1407" spans="1:21">
      <c r="A1407" s="270" t="s">
        <v>12486</v>
      </c>
      <c r="B1407" s="3305">
        <v>6001.5</v>
      </c>
      <c r="C1407" s="4834">
        <f t="shared" si="86"/>
        <v>2.905445768130665E-4</v>
      </c>
      <c r="D1407" s="3" t="str">
        <f t="shared" si="87"/>
        <v>2017</v>
      </c>
      <c r="J1407" s="270" t="s">
        <v>12489</v>
      </c>
      <c r="K1407" s="4837">
        <v>40127.346792304576</v>
      </c>
      <c r="L1407" s="4834">
        <f t="shared" si="89"/>
        <v>4.118522478020452E-5</v>
      </c>
      <c r="S1407" s="270" t="s">
        <v>12487</v>
      </c>
      <c r="T1407" s="4838">
        <v>530.48731838236176</v>
      </c>
      <c r="U1407" s="4839">
        <f t="shared" si="88"/>
        <v>1.8447951464133283E-3</v>
      </c>
    </row>
    <row r="1408" spans="1:21">
      <c r="A1408" s="270" t="s">
        <v>12487</v>
      </c>
      <c r="B1408" s="3305">
        <v>6000</v>
      </c>
      <c r="C1408" s="4834">
        <f t="shared" si="86"/>
        <v>2.9037360350964977E-4</v>
      </c>
      <c r="D1408" s="3" t="str">
        <f t="shared" si="87"/>
        <v>2017</v>
      </c>
      <c r="J1408" s="270" t="s">
        <v>12490</v>
      </c>
      <c r="K1408" s="4837">
        <v>40545.306497696743</v>
      </c>
      <c r="L1408" s="4834">
        <f t="shared" si="89"/>
        <v>4.2772084713649408E-5</v>
      </c>
      <c r="S1408" s="270" t="s">
        <v>12488</v>
      </c>
      <c r="T1408" s="4838">
        <v>524.37867653432238</v>
      </c>
      <c r="U1408" s="4839">
        <f t="shared" si="88"/>
        <v>1.8016644208071464E-3</v>
      </c>
    </row>
    <row r="1409" spans="1:21">
      <c r="A1409" s="270" t="s">
        <v>12488</v>
      </c>
      <c r="B1409" s="3305">
        <v>6150</v>
      </c>
      <c r="C1409" s="4834">
        <f t="shared" si="86"/>
        <v>3.0569747060203614E-4</v>
      </c>
      <c r="D1409" s="3" t="str">
        <f t="shared" si="87"/>
        <v>2017</v>
      </c>
      <c r="J1409" s="270" t="s">
        <v>12491</v>
      </c>
      <c r="K1409" s="4837">
        <v>40667.479334657539</v>
      </c>
      <c r="L1409" s="4834">
        <f t="shared" si="89"/>
        <v>4.3222242606643773E-5</v>
      </c>
      <c r="S1409" s="270" t="s">
        <v>12489</v>
      </c>
      <c r="T1409" s="4838">
        <v>526.30772132844004</v>
      </c>
      <c r="U1409" s="4839">
        <f t="shared" si="88"/>
        <v>1.8154156174470489E-3</v>
      </c>
    </row>
    <row r="1410" spans="1:21">
      <c r="A1410" s="270" t="s">
        <v>12489</v>
      </c>
      <c r="B1410" s="3305">
        <v>6238</v>
      </c>
      <c r="C1410" s="4834">
        <f t="shared" si="86"/>
        <v>3.1286617370823516E-4</v>
      </c>
      <c r="D1410" s="3" t="str">
        <f t="shared" si="87"/>
        <v>2017</v>
      </c>
      <c r="J1410" s="270" t="s">
        <v>12492</v>
      </c>
      <c r="K1410" s="4837">
        <v>40752.678813064398</v>
      </c>
      <c r="L1410" s="4834">
        <f t="shared" si="89"/>
        <v>4.3532192184719279E-5</v>
      </c>
      <c r="S1410" s="270" t="s">
        <v>12490</v>
      </c>
      <c r="T1410" s="4838">
        <v>539.81103488726376</v>
      </c>
      <c r="U1410" s="4839">
        <f t="shared" si="88"/>
        <v>1.9080983837188891E-3</v>
      </c>
    </row>
    <row r="1411" spans="1:21">
      <c r="A1411" s="270" t="s">
        <v>12490</v>
      </c>
      <c r="B1411" s="3305">
        <v>6325</v>
      </c>
      <c r="C1411" s="4834">
        <f t="shared" si="86"/>
        <v>3.18495868784564E-4</v>
      </c>
      <c r="D1411" s="3" t="str">
        <f t="shared" si="87"/>
        <v>2017</v>
      </c>
      <c r="J1411" s="270" t="s">
        <v>12493</v>
      </c>
      <c r="K1411" s="4837">
        <v>40861.991351397737</v>
      </c>
      <c r="L1411" s="4834">
        <f t="shared" si="89"/>
        <v>4.3924890889966096E-5</v>
      </c>
      <c r="S1411" s="270" t="s">
        <v>12491</v>
      </c>
      <c r="T1411" s="4838">
        <v>532.41636317647931</v>
      </c>
      <c r="U1411" s="4839">
        <f t="shared" si="88"/>
        <v>1.8581541882200102E-3</v>
      </c>
    </row>
    <row r="1412" spans="1:21">
      <c r="A1412" s="270" t="s">
        <v>12491</v>
      </c>
      <c r="B1412" s="3305">
        <v>6283</v>
      </c>
      <c r="C1412" s="4834">
        <f t="shared" ref="C1412:C1475" si="90">_xlfn.NORM.DIST(B1412,$F$4,$F$3,FALSE)</f>
        <v>3.1596482666851848E-4</v>
      </c>
      <c r="D1412" s="3" t="str">
        <f t="shared" ref="D1412:D1475" si="91">LEFT(A1412,4)</f>
        <v>2017</v>
      </c>
      <c r="J1412" s="270" t="s">
        <v>12494</v>
      </c>
      <c r="K1412" s="4837">
        <v>40818.587843530084</v>
      </c>
      <c r="L1412" s="4834">
        <f t="shared" si="89"/>
        <v>4.3769647362650404E-5</v>
      </c>
      <c r="S1412" s="270" t="s">
        <v>12492</v>
      </c>
      <c r="T1412" s="4838">
        <v>538.84651249020499</v>
      </c>
      <c r="U1412" s="4839">
        <f t="shared" ref="U1412:U1475" si="92">_xlfn.NORM.DIST(T1412,$X$4,$X$3,FALSE)</f>
        <v>1.9017027842014886E-3</v>
      </c>
    </row>
    <row r="1413" spans="1:21">
      <c r="A1413" s="270" t="s">
        <v>12492</v>
      </c>
      <c r="B1413" s="3305">
        <v>6347</v>
      </c>
      <c r="C1413" s="4834">
        <f t="shared" si="90"/>
        <v>3.1967944924871729E-4</v>
      </c>
      <c r="D1413" s="3" t="str">
        <f t="shared" si="91"/>
        <v>2017</v>
      </c>
      <c r="J1413" s="270" t="s">
        <v>12495</v>
      </c>
      <c r="K1413" s="4837">
        <v>40770.361723677139</v>
      </c>
      <c r="L1413" s="4834">
        <f t="shared" ref="L1413:L1476" si="93">_xlfn.NORM.DIST(K1413,$O$4,$O$3,FALSE)</f>
        <v>4.3596100508679485E-5</v>
      </c>
      <c r="S1413" s="270" t="s">
        <v>12493</v>
      </c>
      <c r="T1413" s="4838">
        <v>538.2034975588324</v>
      </c>
      <c r="U1413" s="4839">
        <f t="shared" si="92"/>
        <v>1.897418664309754E-3</v>
      </c>
    </row>
    <row r="1414" spans="1:21">
      <c r="A1414" s="270" t="s">
        <v>12493</v>
      </c>
      <c r="B1414" s="3305">
        <v>6300.5</v>
      </c>
      <c r="C1414" s="4834">
        <f t="shared" si="90"/>
        <v>3.1706234861046396E-4</v>
      </c>
      <c r="D1414" s="3" t="str">
        <f t="shared" si="91"/>
        <v>2017</v>
      </c>
      <c r="J1414" s="270" t="s">
        <v>12496</v>
      </c>
      <c r="K1414" s="4837">
        <v>40435.993959363412</v>
      </c>
      <c r="L1414" s="4834">
        <f t="shared" si="93"/>
        <v>4.236384102172927E-5</v>
      </c>
      <c r="S1414" s="270" t="s">
        <v>12494</v>
      </c>
      <c r="T1414" s="4838">
        <v>535.95294529902844</v>
      </c>
      <c r="U1414" s="4839">
        <f t="shared" si="92"/>
        <v>1.8822982233006348E-3</v>
      </c>
    </row>
    <row r="1415" spans="1:21">
      <c r="A1415" s="270" t="s">
        <v>12494</v>
      </c>
      <c r="B1415" s="3305">
        <v>6300</v>
      </c>
      <c r="C1415" s="4834">
        <f t="shared" si="90"/>
        <v>3.1703183753074572E-4</v>
      </c>
      <c r="D1415" s="3" t="str">
        <f t="shared" si="91"/>
        <v>2017</v>
      </c>
      <c r="J1415" s="270" t="s">
        <v>12497</v>
      </c>
      <c r="K1415" s="4837">
        <v>40445.639183334002</v>
      </c>
      <c r="L1415" s="4834">
        <f t="shared" si="93"/>
        <v>4.2400064375818187E-5</v>
      </c>
      <c r="S1415" s="270" t="s">
        <v>12495</v>
      </c>
      <c r="T1415" s="4838">
        <v>529.52279598530288</v>
      </c>
      <c r="U1415" s="4839">
        <f t="shared" si="92"/>
        <v>1.8380672000459363E-3</v>
      </c>
    </row>
    <row r="1416" spans="1:21">
      <c r="A1416" s="270" t="s">
        <v>12495</v>
      </c>
      <c r="B1416" s="3305">
        <v>6290</v>
      </c>
      <c r="C1416" s="4834">
        <f t="shared" si="90"/>
        <v>3.1641114181284576E-4</v>
      </c>
      <c r="D1416" s="3" t="str">
        <f t="shared" si="91"/>
        <v>2017</v>
      </c>
      <c r="J1416" s="270" t="s">
        <v>12498</v>
      </c>
      <c r="K1416" s="4837">
        <v>40567.81202029479</v>
      </c>
      <c r="L1416" s="4834">
        <f t="shared" si="93"/>
        <v>4.2855501779966951E-5</v>
      </c>
      <c r="S1416" s="270" t="s">
        <v>12496</v>
      </c>
      <c r="T1416" s="4838">
        <v>536.91746769608733</v>
      </c>
      <c r="U1416" s="4839">
        <f t="shared" si="92"/>
        <v>1.8888021857668951E-3</v>
      </c>
    </row>
    <row r="1417" spans="1:21">
      <c r="A1417" s="270" t="s">
        <v>12496</v>
      </c>
      <c r="B1417" s="3305">
        <v>6330</v>
      </c>
      <c r="C1417" s="4834">
        <f t="shared" si="90"/>
        <v>3.1877352359856382E-4</v>
      </c>
      <c r="D1417" s="3" t="str">
        <f t="shared" si="91"/>
        <v>2017</v>
      </c>
      <c r="J1417" s="270" t="s">
        <v>12499</v>
      </c>
      <c r="K1417" s="4837">
        <v>40865.206426054589</v>
      </c>
      <c r="L1417" s="4834">
        <f t="shared" si="93"/>
        <v>4.393635426731902E-5</v>
      </c>
      <c r="S1417" s="270" t="s">
        <v>12497</v>
      </c>
      <c r="T1417" s="4838">
        <v>518.59154215196929</v>
      </c>
      <c r="U1417" s="4839">
        <f t="shared" si="92"/>
        <v>1.7597380436730583E-3</v>
      </c>
    </row>
    <row r="1418" spans="1:21">
      <c r="A1418" s="270" t="s">
        <v>12497</v>
      </c>
      <c r="B1418" s="3305">
        <v>6333</v>
      </c>
      <c r="C1418" s="4834">
        <f t="shared" si="90"/>
        <v>3.1893767751883307E-4</v>
      </c>
      <c r="D1418" s="3" t="str">
        <f t="shared" si="91"/>
        <v>2017</v>
      </c>
      <c r="J1418" s="270" t="s">
        <v>12500</v>
      </c>
      <c r="K1418" s="4837">
        <v>41294.41889274578</v>
      </c>
      <c r="L1418" s="4834">
        <f t="shared" si="93"/>
        <v>4.5419548161825461E-5</v>
      </c>
      <c r="S1418" s="270" t="s">
        <v>12498</v>
      </c>
      <c r="T1418" s="4838">
        <v>526.95073625981263</v>
      </c>
      <c r="U1418" s="4839">
        <f t="shared" si="92"/>
        <v>1.8199730618256287E-3</v>
      </c>
    </row>
    <row r="1419" spans="1:21">
      <c r="A1419" s="270" t="s">
        <v>12498</v>
      </c>
      <c r="B1419" s="3305">
        <v>6364</v>
      </c>
      <c r="C1419" s="4834">
        <f t="shared" si="90"/>
        <v>3.2052610100163952E-4</v>
      </c>
      <c r="D1419" s="3" t="str">
        <f t="shared" si="91"/>
        <v>2017</v>
      </c>
      <c r="J1419" s="270" t="s">
        <v>12501</v>
      </c>
      <c r="K1419" s="4837">
        <v>41349.075161912442</v>
      </c>
      <c r="L1419" s="4834">
        <f t="shared" si="93"/>
        <v>4.5601351117813622E-5</v>
      </c>
      <c r="S1419" s="270" t="s">
        <v>12499</v>
      </c>
      <c r="T1419" s="4838">
        <v>533.38088557353819</v>
      </c>
      <c r="U1419" s="4839">
        <f t="shared" si="92"/>
        <v>1.8647842295088075E-3</v>
      </c>
    </row>
    <row r="1420" spans="1:21">
      <c r="A1420" s="270" t="s">
        <v>12499</v>
      </c>
      <c r="B1420" s="3305">
        <v>6465</v>
      </c>
      <c r="C1420" s="4834">
        <f t="shared" si="90"/>
        <v>3.2430986916467789E-4</v>
      </c>
      <c r="D1420" s="3" t="str">
        <f t="shared" si="91"/>
        <v>2017</v>
      </c>
      <c r="J1420" s="270" t="s">
        <v>12502</v>
      </c>
      <c r="K1420" s="4837">
        <v>41226.902324951661</v>
      </c>
      <c r="L1420" s="4834">
        <f t="shared" si="93"/>
        <v>4.5192683706530658E-5</v>
      </c>
      <c r="S1420" s="270" t="s">
        <v>12500</v>
      </c>
      <c r="T1420" s="4838">
        <v>549.13475139216587</v>
      </c>
      <c r="U1420" s="4839">
        <f t="shared" si="92"/>
        <v>1.9679309337673296E-3</v>
      </c>
    </row>
    <row r="1421" spans="1:21">
      <c r="A1421" s="270" t="s">
        <v>12500</v>
      </c>
      <c r="B1421" s="3305">
        <v>6416.5</v>
      </c>
      <c r="C1421" s="4834">
        <f t="shared" si="90"/>
        <v>3.2276158561593532E-4</v>
      </c>
      <c r="D1421" s="3" t="str">
        <f t="shared" si="91"/>
        <v>2017</v>
      </c>
      <c r="J1421" s="270" t="s">
        <v>12503</v>
      </c>
      <c r="K1421" s="4837">
        <v>40841.093366128123</v>
      </c>
      <c r="L1421" s="4834">
        <f t="shared" si="93"/>
        <v>4.3850257109002615E-5</v>
      </c>
      <c r="S1421" s="270" t="s">
        <v>12501</v>
      </c>
      <c r="T1421" s="4838">
        <v>549.45625885785216</v>
      </c>
      <c r="U1421" s="4839">
        <f t="shared" si="92"/>
        <v>1.9699266490636747E-3</v>
      </c>
    </row>
    <row r="1422" spans="1:21">
      <c r="A1422" s="270" t="s">
        <v>12501</v>
      </c>
      <c r="B1422" s="3305">
        <v>6353.5</v>
      </c>
      <c r="C1422" s="4834">
        <f t="shared" si="90"/>
        <v>3.2001019514243121E-4</v>
      </c>
      <c r="D1422" s="3" t="str">
        <f t="shared" si="91"/>
        <v>2017</v>
      </c>
      <c r="J1422" s="270" t="s">
        <v>12504</v>
      </c>
      <c r="K1422" s="4837">
        <v>40919.862695221265</v>
      </c>
      <c r="L1422" s="4834">
        <f t="shared" si="93"/>
        <v>4.4130460128657912E-5</v>
      </c>
      <c r="S1422" s="270" t="s">
        <v>12502</v>
      </c>
      <c r="T1422" s="4838">
        <v>545.59816926961685</v>
      </c>
      <c r="U1422" s="4839">
        <f t="shared" si="92"/>
        <v>1.9456737993403825E-3</v>
      </c>
    </row>
    <row r="1423" spans="1:21">
      <c r="A1423" s="270" t="s">
        <v>12502</v>
      </c>
      <c r="B1423" s="3305">
        <v>6351</v>
      </c>
      <c r="C1423" s="4834">
        <f t="shared" si="90"/>
        <v>3.1988401250028937E-4</v>
      </c>
      <c r="D1423" s="3" t="str">
        <f t="shared" si="91"/>
        <v>2017</v>
      </c>
      <c r="J1423" s="270" t="s">
        <v>12505</v>
      </c>
      <c r="K1423" s="4837">
        <v>41318.531952672252</v>
      </c>
      <c r="L1423" s="4834">
        <f t="shared" si="93"/>
        <v>4.5499961089501426E-5</v>
      </c>
      <c r="S1423" s="270" t="s">
        <v>12503</v>
      </c>
      <c r="T1423" s="4838">
        <v>543.02610954412671</v>
      </c>
      <c r="U1423" s="4839">
        <f t="shared" si="92"/>
        <v>1.9291458240787342E-3</v>
      </c>
    </row>
    <row r="1424" spans="1:21">
      <c r="A1424" s="270" t="s">
        <v>12503</v>
      </c>
      <c r="B1424" s="3305">
        <v>6382</v>
      </c>
      <c r="C1424" s="4834">
        <f t="shared" si="90"/>
        <v>3.213574118575024E-4</v>
      </c>
      <c r="D1424" s="3" t="str">
        <f t="shared" si="91"/>
        <v>2017</v>
      </c>
      <c r="J1424" s="270" t="s">
        <v>12506</v>
      </c>
      <c r="K1424" s="4837">
        <v>41660.937403628137</v>
      </c>
      <c r="L1424" s="4834">
        <f t="shared" si="93"/>
        <v>4.6605745517510002E-5</v>
      </c>
      <c r="S1424" s="270" t="s">
        <v>12504</v>
      </c>
      <c r="T1424" s="4838">
        <v>536.27445276471474</v>
      </c>
      <c r="U1424" s="4839">
        <f t="shared" si="92"/>
        <v>1.8844701345232433E-3</v>
      </c>
    </row>
    <row r="1425" spans="1:21">
      <c r="A1425" s="270" t="s">
        <v>12504</v>
      </c>
      <c r="B1425" s="3305">
        <v>6433</v>
      </c>
      <c r="C1425" s="4834">
        <f t="shared" si="90"/>
        <v>3.2334447440686122E-4</v>
      </c>
      <c r="D1425" s="3" t="str">
        <f t="shared" si="91"/>
        <v>2017</v>
      </c>
      <c r="J1425" s="270" t="s">
        <v>12507</v>
      </c>
      <c r="K1425" s="4837">
        <v>41567.70023857912</v>
      </c>
      <c r="L1425" s="4834">
        <f t="shared" si="93"/>
        <v>4.631148321788908E-5</v>
      </c>
      <c r="S1425" s="270" t="s">
        <v>12505</v>
      </c>
      <c r="T1425" s="4838">
        <v>547.20570659804821</v>
      </c>
      <c r="U1425" s="4839">
        <f t="shared" si="92"/>
        <v>1.9558591838603361E-3</v>
      </c>
    </row>
    <row r="1426" spans="1:21">
      <c r="A1426" s="270" t="s">
        <v>12505</v>
      </c>
      <c r="B1426" s="3305">
        <v>6460</v>
      </c>
      <c r="C1426" s="4834">
        <f t="shared" si="90"/>
        <v>3.2417344466923674E-4</v>
      </c>
      <c r="D1426" s="3" t="str">
        <f t="shared" si="91"/>
        <v>2017</v>
      </c>
      <c r="J1426" s="270" t="s">
        <v>12508</v>
      </c>
      <c r="K1426" s="4837">
        <v>41287.988743432055</v>
      </c>
      <c r="L1426" s="4834">
        <f t="shared" si="93"/>
        <v>4.5398050166541224E-5</v>
      </c>
      <c r="S1426" s="270" t="s">
        <v>12506</v>
      </c>
      <c r="T1426" s="4838">
        <v>551.38530365196982</v>
      </c>
      <c r="U1426" s="4839">
        <f t="shared" si="92"/>
        <v>1.9818018143837389E-3</v>
      </c>
    </row>
    <row r="1427" spans="1:21">
      <c r="A1427" s="270" t="s">
        <v>12506</v>
      </c>
      <c r="B1427" s="3305">
        <v>6453</v>
      </c>
      <c r="C1427" s="4834">
        <f t="shared" si="90"/>
        <v>3.239734625022113E-4</v>
      </c>
      <c r="D1427" s="3" t="str">
        <f t="shared" si="91"/>
        <v>2017</v>
      </c>
      <c r="J1427" s="270" t="s">
        <v>12509</v>
      </c>
      <c r="K1427" s="4837">
        <v>41366.758072525197</v>
      </c>
      <c r="L1427" s="4834">
        <f t="shared" si="93"/>
        <v>4.5659810757855909E-5</v>
      </c>
      <c r="S1427" s="270" t="s">
        <v>12507</v>
      </c>
      <c r="T1427" s="4838">
        <v>547.20570659804821</v>
      </c>
      <c r="U1427" s="4839">
        <f t="shared" si="92"/>
        <v>1.9558591838603361E-3</v>
      </c>
    </row>
    <row r="1428" spans="1:21">
      <c r="A1428" s="270" t="s">
        <v>12507</v>
      </c>
      <c r="B1428" s="3305">
        <v>6514.5</v>
      </c>
      <c r="C1428" s="4834">
        <f t="shared" si="90"/>
        <v>3.2537043593918E-4</v>
      </c>
      <c r="D1428" s="3" t="str">
        <f t="shared" si="91"/>
        <v>2017</v>
      </c>
      <c r="J1428" s="270" t="s">
        <v>12510</v>
      </c>
      <c r="K1428" s="4837">
        <v>41442.312326961473</v>
      </c>
      <c r="L1428" s="4834">
        <f t="shared" si="93"/>
        <v>4.5907588702414988E-5</v>
      </c>
      <c r="S1428" s="270" t="s">
        <v>12508</v>
      </c>
      <c r="T1428" s="4838">
        <v>547.20570659804821</v>
      </c>
      <c r="U1428" s="4839">
        <f t="shared" si="92"/>
        <v>1.9558591838603361E-3</v>
      </c>
    </row>
    <row r="1429" spans="1:21">
      <c r="A1429" s="270" t="s">
        <v>12508</v>
      </c>
      <c r="B1429" s="3305">
        <v>6584</v>
      </c>
      <c r="C1429" s="4834">
        <f t="shared" si="90"/>
        <v>3.2596422057287169E-4</v>
      </c>
      <c r="D1429" s="3" t="str">
        <f t="shared" si="91"/>
        <v>2017</v>
      </c>
      <c r="J1429" s="270" t="s">
        <v>12511</v>
      </c>
      <c r="K1429" s="4837">
        <v>41323.354564657544</v>
      </c>
      <c r="L1429" s="4834">
        <f t="shared" si="93"/>
        <v>4.551600478705945E-5</v>
      </c>
      <c r="S1429" s="270" t="s">
        <v>12509</v>
      </c>
      <c r="T1429" s="4838">
        <v>548.49173646079328</v>
      </c>
      <c r="U1429" s="4839">
        <f t="shared" si="92"/>
        <v>1.9639255069898802E-3</v>
      </c>
    </row>
    <row r="1430" spans="1:21">
      <c r="A1430" s="270" t="s">
        <v>12509</v>
      </c>
      <c r="B1430" s="3305">
        <v>6555</v>
      </c>
      <c r="C1430" s="4834">
        <f t="shared" si="90"/>
        <v>3.2584404695575807E-4</v>
      </c>
      <c r="D1430" s="3" t="str">
        <f t="shared" si="91"/>
        <v>2017</v>
      </c>
      <c r="J1430" s="270" t="s">
        <v>12512</v>
      </c>
      <c r="K1430" s="4837">
        <v>42395.581962721284</v>
      </c>
      <c r="L1430" s="4834">
        <f t="shared" si="93"/>
        <v>4.8728864707852507E-5</v>
      </c>
      <c r="S1430" s="270" t="s">
        <v>12510</v>
      </c>
      <c r="T1430" s="4838">
        <v>544.31213940687178</v>
      </c>
      <c r="U1430" s="4839">
        <f t="shared" si="92"/>
        <v>1.9374449568594287E-3</v>
      </c>
    </row>
    <row r="1431" spans="1:21">
      <c r="A1431" s="270" t="s">
        <v>12510</v>
      </c>
      <c r="B1431" s="3305">
        <v>6577</v>
      </c>
      <c r="C1431" s="4834">
        <f t="shared" si="90"/>
        <v>3.2595196464853097E-4</v>
      </c>
      <c r="D1431" s="3" t="str">
        <f t="shared" si="91"/>
        <v>2017</v>
      </c>
      <c r="J1431" s="270" t="s">
        <v>12513</v>
      </c>
      <c r="K1431" s="4837">
        <v>42069.251885049714</v>
      </c>
      <c r="L1431" s="4834">
        <f t="shared" si="93"/>
        <v>4.7830209139319294E-5</v>
      </c>
      <c r="S1431" s="270" t="s">
        <v>12511</v>
      </c>
      <c r="T1431" s="4838">
        <v>547.20570659804821</v>
      </c>
      <c r="U1431" s="4839">
        <f t="shared" si="92"/>
        <v>1.9558591838603361E-3</v>
      </c>
    </row>
    <row r="1432" spans="1:21">
      <c r="A1432" s="270" t="s">
        <v>12511</v>
      </c>
      <c r="B1432" s="3305">
        <v>6714</v>
      </c>
      <c r="C1432" s="4834">
        <f t="shared" si="90"/>
        <v>3.2425842175718008E-4</v>
      </c>
      <c r="D1432" s="3" t="str">
        <f t="shared" si="91"/>
        <v>2017</v>
      </c>
      <c r="J1432" s="270" t="s">
        <v>12514</v>
      </c>
      <c r="K1432" s="4837">
        <v>42173.741811397755</v>
      </c>
      <c r="L1432" s="4834">
        <f t="shared" si="93"/>
        <v>4.8125965756879555E-5</v>
      </c>
      <c r="S1432" s="270" t="s">
        <v>13498</v>
      </c>
      <c r="T1432" s="4838">
        <v>547.20570659804821</v>
      </c>
      <c r="U1432" s="4839">
        <f t="shared" si="92"/>
        <v>1.9558591838603361E-3</v>
      </c>
    </row>
    <row r="1433" spans="1:21">
      <c r="A1433" s="270" t="s">
        <v>12512</v>
      </c>
      <c r="B1433" s="3305">
        <v>6797</v>
      </c>
      <c r="C1433" s="4834">
        <f t="shared" si="90"/>
        <v>3.212724512841421E-4</v>
      </c>
      <c r="D1433" s="3" t="str">
        <f t="shared" si="91"/>
        <v>2017</v>
      </c>
      <c r="J1433" s="270" t="s">
        <v>12515</v>
      </c>
      <c r="K1433" s="4837">
        <v>42451.845769216394</v>
      </c>
      <c r="L1433" s="4834">
        <f t="shared" si="93"/>
        <v>4.8876231897612459E-5</v>
      </c>
      <c r="S1433" s="270" t="s">
        <v>12512</v>
      </c>
      <c r="T1433" s="4838">
        <v>565.85313960785254</v>
      </c>
      <c r="U1433" s="4839">
        <f t="shared" si="92"/>
        <v>2.0650936040706703E-3</v>
      </c>
    </row>
    <row r="1434" spans="1:21">
      <c r="A1434" s="270" t="s">
        <v>12513</v>
      </c>
      <c r="B1434" s="3305">
        <v>6755</v>
      </c>
      <c r="C1434" s="4834">
        <f t="shared" si="90"/>
        <v>3.2296556417323377E-4</v>
      </c>
      <c r="D1434" s="3" t="str">
        <f t="shared" si="91"/>
        <v>2017</v>
      </c>
      <c r="J1434" s="270" t="s">
        <v>12516</v>
      </c>
      <c r="K1434" s="4837">
        <v>42860.160250637964</v>
      </c>
      <c r="L1434" s="4834">
        <f t="shared" si="93"/>
        <v>4.9875702064882479E-5</v>
      </c>
      <c r="S1434" s="270" t="s">
        <v>12513</v>
      </c>
      <c r="T1434" s="4838">
        <v>560.70902015687204</v>
      </c>
      <c r="U1434" s="4839">
        <f t="shared" si="92"/>
        <v>2.0366932359214751E-3</v>
      </c>
    </row>
    <row r="1435" spans="1:21">
      <c r="A1435" s="270" t="s">
        <v>12514</v>
      </c>
      <c r="B1435" s="3305">
        <v>6792</v>
      </c>
      <c r="C1435" s="4834">
        <f t="shared" si="90"/>
        <v>3.2149339899336288E-4</v>
      </c>
      <c r="D1435" s="3" t="str">
        <f t="shared" si="91"/>
        <v>2017</v>
      </c>
      <c r="J1435" s="270" t="s">
        <v>12517</v>
      </c>
      <c r="K1435" s="4837">
        <v>42938.929579731099</v>
      </c>
      <c r="L1435" s="4834">
        <f t="shared" si="93"/>
        <v>5.00539282275713E-5</v>
      </c>
      <c r="S1435" s="270" t="s">
        <v>12514</v>
      </c>
      <c r="T1435" s="4838">
        <v>557.4939455000092</v>
      </c>
      <c r="U1435" s="4839">
        <f t="shared" si="92"/>
        <v>2.0182482001219115E-3</v>
      </c>
    </row>
    <row r="1436" spans="1:21">
      <c r="A1436" s="270" t="s">
        <v>12515</v>
      </c>
      <c r="B1436" s="3305">
        <v>6776</v>
      </c>
      <c r="C1436" s="4834">
        <f t="shared" si="90"/>
        <v>3.2216531745399366E-4</v>
      </c>
      <c r="D1436" s="3" t="str">
        <f t="shared" si="91"/>
        <v>2017</v>
      </c>
      <c r="J1436" s="270" t="s">
        <v>12518</v>
      </c>
      <c r="K1436" s="4837">
        <v>43012.876296838942</v>
      </c>
      <c r="L1436" s="4834">
        <f t="shared" si="93"/>
        <v>5.0216825201415726E-5</v>
      </c>
      <c r="S1436" s="270" t="s">
        <v>12515</v>
      </c>
      <c r="T1436" s="4838">
        <v>562.6380649509897</v>
      </c>
      <c r="U1436" s="4839">
        <f t="shared" si="92"/>
        <v>2.0475064340619202E-3</v>
      </c>
    </row>
    <row r="1437" spans="1:21">
      <c r="A1437" s="270" t="s">
        <v>12516</v>
      </c>
      <c r="B1437" s="3305">
        <v>6873</v>
      </c>
      <c r="C1437" s="4834">
        <f t="shared" si="90"/>
        <v>3.1728002631168219E-4</v>
      </c>
      <c r="D1437" s="3" t="str">
        <f t="shared" si="91"/>
        <v>2017</v>
      </c>
      <c r="J1437" s="270" t="s">
        <v>12519</v>
      </c>
      <c r="K1437" s="4837">
        <v>43194.528014951691</v>
      </c>
      <c r="L1437" s="4834">
        <f t="shared" si="93"/>
        <v>5.0598535501560574E-5</v>
      </c>
      <c r="S1437" s="270" t="s">
        <v>12516</v>
      </c>
      <c r="T1437" s="4838">
        <v>572.28328892157811</v>
      </c>
      <c r="U1437" s="4839">
        <f t="shared" si="92"/>
        <v>2.0985778546043642E-3</v>
      </c>
    </row>
    <row r="1438" spans="1:21">
      <c r="A1438" s="270" t="s">
        <v>12517</v>
      </c>
      <c r="B1438" s="3305">
        <v>6904</v>
      </c>
      <c r="C1438" s="4834">
        <f t="shared" si="90"/>
        <v>3.1531649420516225E-4</v>
      </c>
      <c r="D1438" s="3" t="str">
        <f t="shared" si="91"/>
        <v>2017</v>
      </c>
      <c r="J1438" s="270" t="s">
        <v>12520</v>
      </c>
      <c r="K1438" s="4837">
        <v>43282.942568015424</v>
      </c>
      <c r="L1438" s="4834">
        <f t="shared" si="93"/>
        <v>5.0774688595039582E-5</v>
      </c>
      <c r="S1438" s="270" t="s">
        <v>12517</v>
      </c>
      <c r="T1438" s="4838">
        <v>574.85534864706824</v>
      </c>
      <c r="U1438" s="4839">
        <f t="shared" si="92"/>
        <v>2.1113178367500713E-3</v>
      </c>
    </row>
    <row r="1439" spans="1:21">
      <c r="A1439" s="270" t="s">
        <v>12518</v>
      </c>
      <c r="B1439" s="3305">
        <v>6864</v>
      </c>
      <c r="C1439" s="4834">
        <f t="shared" si="90"/>
        <v>3.1781417666665047E-4</v>
      </c>
      <c r="D1439" s="3" t="str">
        <f t="shared" si="91"/>
        <v>2017</v>
      </c>
      <c r="J1439" s="270" t="s">
        <v>12521</v>
      </c>
      <c r="K1439" s="4837">
        <v>42895.526071863453</v>
      </c>
      <c r="L1439" s="4834">
        <f t="shared" si="93"/>
        <v>4.9956318993047953E-5</v>
      </c>
      <c r="S1439" s="270" t="s">
        <v>12518</v>
      </c>
      <c r="T1439" s="4838">
        <v>571.31876652451922</v>
      </c>
      <c r="U1439" s="4839">
        <f t="shared" si="92"/>
        <v>2.0937025841897268E-3</v>
      </c>
    </row>
    <row r="1440" spans="1:21">
      <c r="A1440" s="270" t="s">
        <v>12519</v>
      </c>
      <c r="B1440" s="3305">
        <v>6842.5</v>
      </c>
      <c r="C1440" s="4834">
        <f t="shared" si="90"/>
        <v>3.1902400529274275E-4</v>
      </c>
      <c r="D1440" s="3" t="str">
        <f t="shared" si="91"/>
        <v>2017</v>
      </c>
      <c r="J1440" s="270" t="s">
        <v>12522</v>
      </c>
      <c r="K1440" s="4837">
        <v>42647.965323285011</v>
      </c>
      <c r="L1440" s="4834">
        <f t="shared" si="93"/>
        <v>4.9371867867500953E-5</v>
      </c>
      <c r="S1440" s="270" t="s">
        <v>12519</v>
      </c>
      <c r="T1440" s="4838">
        <v>571.9617814558917</v>
      </c>
      <c r="U1440" s="4839">
        <f t="shared" si="92"/>
        <v>2.0969586438486713E-3</v>
      </c>
    </row>
    <row r="1441" spans="1:21">
      <c r="A1441" s="270" t="s">
        <v>12520</v>
      </c>
      <c r="B1441" s="3305">
        <v>6780</v>
      </c>
      <c r="C1441" s="4834">
        <f t="shared" si="90"/>
        <v>3.2200236562085672E-4</v>
      </c>
      <c r="D1441" s="3" t="str">
        <f t="shared" si="91"/>
        <v>2017</v>
      </c>
      <c r="J1441" s="270" t="s">
        <v>12523</v>
      </c>
      <c r="K1441" s="4837">
        <v>42681.723607182073</v>
      </c>
      <c r="L1441" s="4834">
        <f t="shared" si="93"/>
        <v>4.9454306256246726E-5</v>
      </c>
      <c r="S1441" s="270" t="s">
        <v>12520</v>
      </c>
      <c r="T1441" s="4838">
        <v>585.46509501471553</v>
      </c>
      <c r="U1441" s="4839">
        <f t="shared" si="92"/>
        <v>2.1597128606985505E-3</v>
      </c>
    </row>
    <row r="1442" spans="1:21">
      <c r="A1442" s="270" t="s">
        <v>12521</v>
      </c>
      <c r="B1442" s="3305">
        <v>6737</v>
      </c>
      <c r="C1442" s="4834">
        <f t="shared" si="90"/>
        <v>3.2357723825581343E-4</v>
      </c>
      <c r="D1442" s="3" t="str">
        <f t="shared" si="91"/>
        <v>2017</v>
      </c>
      <c r="J1442" s="270" t="s">
        <v>12524</v>
      </c>
      <c r="K1442" s="4837">
        <v>42585.271367476191</v>
      </c>
      <c r="L1442" s="4834">
        <f t="shared" si="93"/>
        <v>4.9216510080579904E-5</v>
      </c>
      <c r="S1442" s="270" t="s">
        <v>12521</v>
      </c>
      <c r="T1442" s="4838">
        <v>573.89082625000958</v>
      </c>
      <c r="U1442" s="4839">
        <f t="shared" si="92"/>
        <v>2.1065850961438622E-3</v>
      </c>
    </row>
    <row r="1443" spans="1:21">
      <c r="A1443" s="270" t="s">
        <v>12522</v>
      </c>
      <c r="B1443" s="3305">
        <v>6601.5</v>
      </c>
      <c r="C1443" s="4834">
        <f t="shared" si="90"/>
        <v>3.2594820940380382E-4</v>
      </c>
      <c r="D1443" s="3" t="str">
        <f t="shared" si="91"/>
        <v>2017</v>
      </c>
      <c r="J1443" s="270" t="s">
        <v>12525</v>
      </c>
      <c r="K1443" s="4837">
        <v>42530.615098309529</v>
      </c>
      <c r="L1443" s="4834">
        <f t="shared" si="93"/>
        <v>4.9078695194837122E-5</v>
      </c>
      <c r="S1443" s="270" t="s">
        <v>12522</v>
      </c>
      <c r="T1443" s="4838">
        <v>570.67575159314663</v>
      </c>
      <c r="U1443" s="4839">
        <f t="shared" si="92"/>
        <v>2.0904231113856994E-3</v>
      </c>
    </row>
    <row r="1444" spans="1:21">
      <c r="A1444" s="270" t="s">
        <v>12523</v>
      </c>
      <c r="B1444" s="3305">
        <v>6527</v>
      </c>
      <c r="C1444" s="4834">
        <f t="shared" si="90"/>
        <v>3.2555457182906471E-4</v>
      </c>
      <c r="D1444" s="3" t="str">
        <f t="shared" si="91"/>
        <v>2017</v>
      </c>
      <c r="J1444" s="270" t="s">
        <v>12526</v>
      </c>
      <c r="K1444" s="4837">
        <v>42184.994572696771</v>
      </c>
      <c r="L1444" s="4834">
        <f t="shared" si="93"/>
        <v>4.8157372703714713E-5</v>
      </c>
      <c r="S1444" s="270" t="s">
        <v>12523</v>
      </c>
      <c r="T1444" s="4838">
        <v>575.81987104412713</v>
      </c>
      <c r="U1444" s="4839">
        <f t="shared" si="92"/>
        <v>2.1159963706955135E-3</v>
      </c>
    </row>
    <row r="1445" spans="1:21">
      <c r="A1445" s="270" t="s">
        <v>12524</v>
      </c>
      <c r="B1445" s="3305">
        <v>6418.5</v>
      </c>
      <c r="C1445" s="4834">
        <f t="shared" si="90"/>
        <v>3.2283530796415336E-4</v>
      </c>
      <c r="D1445" s="3" t="str">
        <f t="shared" si="91"/>
        <v>2017</v>
      </c>
      <c r="J1445" s="270" t="s">
        <v>12527</v>
      </c>
      <c r="K1445" s="4837">
        <v>42104.617706275196</v>
      </c>
      <c r="L1445" s="4834">
        <f t="shared" si="93"/>
        <v>4.7931139753280535E-5</v>
      </c>
      <c r="S1445" s="270" t="s">
        <v>12524</v>
      </c>
      <c r="T1445" s="4838">
        <v>570.67575159314663</v>
      </c>
      <c r="U1445" s="4839">
        <f t="shared" si="92"/>
        <v>2.0904231113856994E-3</v>
      </c>
    </row>
    <row r="1446" spans="1:21">
      <c r="A1446" s="270" t="s">
        <v>12525</v>
      </c>
      <c r="B1446" s="3305">
        <v>6457</v>
      </c>
      <c r="C1446" s="4834">
        <f t="shared" si="90"/>
        <v>3.2408902111143672E-4</v>
      </c>
      <c r="D1446" s="3" t="str">
        <f t="shared" si="91"/>
        <v>2017</v>
      </c>
      <c r="J1446" s="270" t="s">
        <v>12528</v>
      </c>
      <c r="K1446" s="4837">
        <v>42159.273975441873</v>
      </c>
      <c r="L1446" s="4834">
        <f t="shared" si="93"/>
        <v>4.8085457829897865E-5</v>
      </c>
      <c r="S1446" s="270" t="s">
        <v>12525</v>
      </c>
      <c r="T1446" s="4838">
        <v>569.06821426471527</v>
      </c>
      <c r="U1446" s="4839">
        <f t="shared" si="92"/>
        <v>2.0821228251107771E-3</v>
      </c>
    </row>
    <row r="1447" spans="1:21">
      <c r="A1447" s="270" t="s">
        <v>12526</v>
      </c>
      <c r="B1447" s="3305">
        <v>6487</v>
      </c>
      <c r="C1447" s="4834">
        <f t="shared" si="90"/>
        <v>3.2484640191706734E-4</v>
      </c>
      <c r="D1447" s="3" t="str">
        <f t="shared" si="91"/>
        <v>2017</v>
      </c>
      <c r="J1447" s="270" t="s">
        <v>12529</v>
      </c>
      <c r="K1447" s="4837">
        <v>41541.979641324207</v>
      </c>
      <c r="L1447" s="4834">
        <f t="shared" si="93"/>
        <v>4.6229388562096602E-5</v>
      </c>
      <c r="S1447" s="270" t="s">
        <v>12526</v>
      </c>
      <c r="T1447" s="4838">
        <v>563.60258734804859</v>
      </c>
      <c r="U1447" s="4839">
        <f t="shared" si="92"/>
        <v>2.0528401856573855E-3</v>
      </c>
    </row>
    <row r="1448" spans="1:21">
      <c r="A1448" s="270" t="s">
        <v>12527</v>
      </c>
      <c r="B1448" s="3305">
        <v>6492</v>
      </c>
      <c r="C1448" s="4834">
        <f t="shared" si="90"/>
        <v>3.2495382087692563E-4</v>
      </c>
      <c r="D1448" s="3" t="str">
        <f t="shared" si="91"/>
        <v>2017</v>
      </c>
      <c r="J1448" s="270" t="s">
        <v>12530</v>
      </c>
      <c r="K1448" s="4837">
        <v>41628.786657059507</v>
      </c>
      <c r="L1448" s="4834">
        <f t="shared" si="93"/>
        <v>4.6504869896668527E-5</v>
      </c>
      <c r="S1448" s="270" t="s">
        <v>12527</v>
      </c>
      <c r="T1448" s="4838">
        <v>551.38530365196982</v>
      </c>
      <c r="U1448" s="4839">
        <f t="shared" si="92"/>
        <v>1.9818018143837389E-3</v>
      </c>
    </row>
    <row r="1449" spans="1:21">
      <c r="A1449" s="270" t="s">
        <v>12528</v>
      </c>
      <c r="B1449" s="3305">
        <v>6520</v>
      </c>
      <c r="C1449" s="4834">
        <f t="shared" si="90"/>
        <v>3.2545562548764236E-4</v>
      </c>
      <c r="D1449" s="3" t="str">
        <f t="shared" si="91"/>
        <v>2017</v>
      </c>
      <c r="J1449" s="270" t="s">
        <v>12531</v>
      </c>
      <c r="K1449" s="4837">
        <v>41580.560537206562</v>
      </c>
      <c r="L1449" s="4834">
        <f t="shared" si="93"/>
        <v>4.6352382559209327E-5</v>
      </c>
      <c r="S1449" s="270" t="s">
        <v>12528</v>
      </c>
      <c r="T1449" s="4838">
        <v>558.77997536275427</v>
      </c>
      <c r="U1449" s="4839">
        <f t="shared" si="92"/>
        <v>2.0256888438148998E-3</v>
      </c>
    </row>
    <row r="1450" spans="1:21">
      <c r="A1450" s="270" t="s">
        <v>12529</v>
      </c>
      <c r="B1450" s="3305">
        <v>6407.5</v>
      </c>
      <c r="C1450" s="4834">
        <f t="shared" si="90"/>
        <v>3.2241938818641726E-4</v>
      </c>
      <c r="D1450" s="3" t="str">
        <f t="shared" si="91"/>
        <v>2017</v>
      </c>
      <c r="J1450" s="270" t="s">
        <v>12532</v>
      </c>
      <c r="K1450" s="4837">
        <v>41797.5780765448</v>
      </c>
      <c r="L1450" s="4834">
        <f t="shared" si="93"/>
        <v>4.702735609449817E-5</v>
      </c>
      <c r="S1450" s="270" t="s">
        <v>12529</v>
      </c>
      <c r="T1450" s="4838">
        <v>544.95515433824426</v>
      </c>
      <c r="U1450" s="4839">
        <f t="shared" si="92"/>
        <v>1.9415682393493046E-3</v>
      </c>
    </row>
    <row r="1451" spans="1:21">
      <c r="A1451" s="270" t="s">
        <v>12530</v>
      </c>
      <c r="B1451" s="3305">
        <v>6405</v>
      </c>
      <c r="C1451" s="4834">
        <f t="shared" si="90"/>
        <v>3.2232130442902998E-4</v>
      </c>
      <c r="D1451" s="3" t="str">
        <f t="shared" si="91"/>
        <v>2017</v>
      </c>
      <c r="J1451" s="270" t="s">
        <v>12533</v>
      </c>
      <c r="K1451" s="4837">
        <v>41234.940011593812</v>
      </c>
      <c r="L1451" s="4834">
        <f t="shared" si="93"/>
        <v>4.5219822328878787E-5</v>
      </c>
      <c r="S1451" s="270" t="s">
        <v>12530</v>
      </c>
      <c r="T1451" s="4838">
        <v>545.59816926961685</v>
      </c>
      <c r="U1451" s="4839">
        <f t="shared" si="92"/>
        <v>1.9456737993403825E-3</v>
      </c>
    </row>
    <row r="1452" spans="1:21">
      <c r="A1452" s="270" t="s">
        <v>12531</v>
      </c>
      <c r="B1452" s="3305">
        <v>6416</v>
      </c>
      <c r="C1452" s="4834">
        <f t="shared" si="90"/>
        <v>3.2274302299205705E-4</v>
      </c>
      <c r="D1452" s="3" t="str">
        <f t="shared" si="91"/>
        <v>2017</v>
      </c>
      <c r="J1452" s="270" t="s">
        <v>12534</v>
      </c>
      <c r="K1452" s="4837">
        <v>41260.660608848717</v>
      </c>
      <c r="L1452" s="4834">
        <f t="shared" si="93"/>
        <v>4.5306428866579859E-5</v>
      </c>
      <c r="S1452" s="270" t="s">
        <v>12531</v>
      </c>
      <c r="T1452" s="4838">
        <v>544.95515433824426</v>
      </c>
      <c r="U1452" s="4839">
        <f t="shared" si="92"/>
        <v>1.9415682393493046E-3</v>
      </c>
    </row>
    <row r="1453" spans="1:21">
      <c r="A1453" s="270" t="s">
        <v>12532</v>
      </c>
      <c r="B1453" s="3305">
        <v>6423</v>
      </c>
      <c r="C1453" s="4834">
        <f t="shared" si="90"/>
        <v>3.2299809109718352E-4</v>
      </c>
      <c r="D1453" s="3" t="str">
        <f t="shared" si="91"/>
        <v>2017</v>
      </c>
      <c r="J1453" s="270" t="s">
        <v>12535</v>
      </c>
      <c r="K1453" s="4837">
        <v>41252.622922206559</v>
      </c>
      <c r="L1453" s="4834">
        <f t="shared" si="93"/>
        <v>4.5279403224146379E-5</v>
      </c>
      <c r="S1453" s="270" t="s">
        <v>12532</v>
      </c>
      <c r="T1453" s="4838">
        <v>546.88419913236191</v>
      </c>
      <c r="U1453" s="4839">
        <f t="shared" si="92"/>
        <v>1.9538311545726755E-3</v>
      </c>
    </row>
    <row r="1454" spans="1:21">
      <c r="A1454" s="270" t="s">
        <v>12533</v>
      </c>
      <c r="B1454" s="3305">
        <v>6426</v>
      </c>
      <c r="C1454" s="4834">
        <f t="shared" si="90"/>
        <v>3.2310423204741059E-4</v>
      </c>
      <c r="D1454" s="3" t="str">
        <f t="shared" si="91"/>
        <v>2017</v>
      </c>
      <c r="J1454" s="270" t="s">
        <v>12536</v>
      </c>
      <c r="K1454" s="4837">
        <v>40950.405904461462</v>
      </c>
      <c r="L1454" s="4834">
        <f t="shared" si="93"/>
        <v>4.4238289974084043E-5</v>
      </c>
      <c r="S1454" s="270" t="s">
        <v>12533</v>
      </c>
      <c r="T1454" s="4838">
        <v>543.02610954412671</v>
      </c>
      <c r="U1454" s="4839">
        <f t="shared" si="92"/>
        <v>1.9291458240787342E-3</v>
      </c>
    </row>
    <row r="1455" spans="1:21">
      <c r="A1455" s="270" t="s">
        <v>12534</v>
      </c>
      <c r="B1455" s="3305">
        <v>6405</v>
      </c>
      <c r="C1455" s="4834">
        <f t="shared" si="90"/>
        <v>3.2232130442902998E-4</v>
      </c>
      <c r="D1455" s="3" t="str">
        <f t="shared" si="91"/>
        <v>2017</v>
      </c>
      <c r="J1455" s="270" t="s">
        <v>12537</v>
      </c>
      <c r="K1455" s="4837">
        <v>40871.63657536832</v>
      </c>
      <c r="L1455" s="4834">
        <f t="shared" si="93"/>
        <v>4.39592659756791E-5</v>
      </c>
      <c r="S1455" s="270" t="s">
        <v>12534</v>
      </c>
      <c r="T1455" s="4838">
        <v>540.77555728432264</v>
      </c>
      <c r="U1455" s="4839">
        <f t="shared" si="92"/>
        <v>1.914456828465761E-3</v>
      </c>
    </row>
    <row r="1456" spans="1:21">
      <c r="A1456" s="270" t="s">
        <v>12535</v>
      </c>
      <c r="B1456" s="3305">
        <v>6485</v>
      </c>
      <c r="C1456" s="4834">
        <f t="shared" si="90"/>
        <v>3.2480192637559342E-4</v>
      </c>
      <c r="D1456" s="3" t="str">
        <f t="shared" si="91"/>
        <v>2017</v>
      </c>
      <c r="J1456" s="270" t="s">
        <v>12538</v>
      </c>
      <c r="K1456" s="4837">
        <v>40968.088815074203</v>
      </c>
      <c r="L1456" s="4834">
        <f t="shared" si="93"/>
        <v>4.43005052931599E-5</v>
      </c>
      <c r="S1456" s="270" t="s">
        <v>12535</v>
      </c>
      <c r="T1456" s="4838">
        <v>542.06158714706771</v>
      </c>
      <c r="U1456" s="4839">
        <f t="shared" si="92"/>
        <v>1.92287607012287E-3</v>
      </c>
    </row>
    <row r="1457" spans="1:21">
      <c r="A1457" s="270" t="s">
        <v>12536</v>
      </c>
      <c r="B1457" s="3305">
        <v>6455</v>
      </c>
      <c r="C1457" s="4834">
        <f t="shared" si="90"/>
        <v>3.2403166931155135E-4</v>
      </c>
      <c r="D1457" s="3" t="str">
        <f t="shared" si="91"/>
        <v>2017</v>
      </c>
      <c r="J1457" s="270" t="s">
        <v>12539</v>
      </c>
      <c r="K1457" s="4837">
        <v>40976.126501716368</v>
      </c>
      <c r="L1457" s="4834">
        <f t="shared" si="93"/>
        <v>4.4328733154199161E-5</v>
      </c>
      <c r="S1457" s="270" t="s">
        <v>12536</v>
      </c>
      <c r="T1457" s="4838">
        <v>533.0593781078519</v>
      </c>
      <c r="U1457" s="4839">
        <f t="shared" si="92"/>
        <v>1.8625779328578019E-3</v>
      </c>
    </row>
    <row r="1458" spans="1:21">
      <c r="A1458" s="270" t="s">
        <v>12537</v>
      </c>
      <c r="B1458" s="3305">
        <v>6447</v>
      </c>
      <c r="C1458" s="4834">
        <f t="shared" si="90"/>
        <v>3.2379371669563714E-4</v>
      </c>
      <c r="D1458" s="3" t="str">
        <f t="shared" si="91"/>
        <v>2017</v>
      </c>
      <c r="J1458" s="270" t="s">
        <v>12540</v>
      </c>
      <c r="K1458" s="4837">
        <v>40567.81202029479</v>
      </c>
      <c r="L1458" s="4834">
        <f t="shared" si="93"/>
        <v>4.2855501779966951E-5</v>
      </c>
      <c r="S1458" s="270" t="s">
        <v>12537</v>
      </c>
      <c r="T1458" s="4838">
        <v>534.02390050491078</v>
      </c>
      <c r="U1458" s="4839">
        <f t="shared" si="92"/>
        <v>1.8691855742600859E-3</v>
      </c>
    </row>
    <row r="1459" spans="1:21">
      <c r="A1459" s="270" t="s">
        <v>12538</v>
      </c>
      <c r="B1459" s="3305">
        <v>6453</v>
      </c>
      <c r="C1459" s="4834">
        <f t="shared" si="90"/>
        <v>3.239734625022113E-4</v>
      </c>
      <c r="D1459" s="3" t="str">
        <f t="shared" si="91"/>
        <v>2017</v>
      </c>
      <c r="J1459" s="270" t="s">
        <v>12541</v>
      </c>
      <c r="K1459" s="4837">
        <v>41112.767174633031</v>
      </c>
      <c r="L1459" s="4834">
        <f t="shared" si="93"/>
        <v>4.4803563301441426E-5</v>
      </c>
      <c r="S1459" s="270" t="s">
        <v>12538</v>
      </c>
      <c r="T1459" s="4838">
        <v>541.09706475000883</v>
      </c>
      <c r="U1459" s="4839">
        <f t="shared" si="92"/>
        <v>1.9165679645207526E-3</v>
      </c>
    </row>
    <row r="1460" spans="1:21">
      <c r="A1460" s="270" t="s">
        <v>12539</v>
      </c>
      <c r="B1460" s="3305">
        <v>6511</v>
      </c>
      <c r="C1460" s="4834">
        <f t="shared" si="90"/>
        <v>3.2531281536016065E-4</v>
      </c>
      <c r="D1460" s="3" t="str">
        <f t="shared" si="91"/>
        <v>2017</v>
      </c>
      <c r="J1460" s="270" t="s">
        <v>12542</v>
      </c>
      <c r="K1460" s="4837">
        <v>41519.474118726182</v>
      </c>
      <c r="L1460" s="4834">
        <f t="shared" si="93"/>
        <v>4.6157233714934571E-5</v>
      </c>
      <c r="S1460" s="270" t="s">
        <v>12539</v>
      </c>
      <c r="T1460" s="4838">
        <v>535.63143783334226</v>
      </c>
      <c r="U1460" s="4839">
        <f t="shared" si="92"/>
        <v>1.880122414065648E-3</v>
      </c>
    </row>
    <row r="1461" spans="1:21">
      <c r="A1461" s="270" t="s">
        <v>12540</v>
      </c>
      <c r="B1461" s="3305">
        <v>6639</v>
      </c>
      <c r="C1461" s="4834">
        <f t="shared" si="90"/>
        <v>3.2568959527345053E-4</v>
      </c>
      <c r="D1461" s="3" t="str">
        <f t="shared" si="91"/>
        <v>2017</v>
      </c>
      <c r="J1461" s="270" t="s">
        <v>12543</v>
      </c>
      <c r="K1461" s="4837">
        <v>41450.350013603624</v>
      </c>
      <c r="L1461" s="4834">
        <f t="shared" si="93"/>
        <v>4.5933755130461384E-5</v>
      </c>
      <c r="S1461" s="270" t="s">
        <v>12540</v>
      </c>
      <c r="T1461" s="4838">
        <v>534.66691543628326</v>
      </c>
      <c r="U1461" s="4839">
        <f t="shared" si="92"/>
        <v>1.8735717915030889E-3</v>
      </c>
    </row>
    <row r="1462" spans="1:21">
      <c r="A1462" s="270" t="s">
        <v>12541</v>
      </c>
      <c r="B1462" s="3305">
        <v>6607</v>
      </c>
      <c r="C1462" s="4834">
        <f t="shared" si="90"/>
        <v>3.259294142985097E-4</v>
      </c>
      <c r="D1462" s="3" t="str">
        <f t="shared" si="91"/>
        <v>2017</v>
      </c>
      <c r="J1462" s="270" t="s">
        <v>12544</v>
      </c>
      <c r="K1462" s="4837">
        <v>41482.500760172254</v>
      </c>
      <c r="L1462" s="4834">
        <f t="shared" si="93"/>
        <v>4.6038045940625872E-5</v>
      </c>
      <c r="S1462" s="270" t="s">
        <v>12541</v>
      </c>
      <c r="T1462" s="4838">
        <v>543.99063194118548</v>
      </c>
      <c r="U1462" s="4839">
        <f t="shared" si="92"/>
        <v>1.9353767164819039E-3</v>
      </c>
    </row>
    <row r="1463" spans="1:21">
      <c r="A1463" s="270" t="s">
        <v>12542</v>
      </c>
      <c r="B1463" s="3305">
        <v>6641</v>
      </c>
      <c r="C1463" s="4834">
        <f t="shared" si="90"/>
        <v>3.256672200760601E-4</v>
      </c>
      <c r="D1463" s="3" t="str">
        <f t="shared" si="91"/>
        <v>2017</v>
      </c>
      <c r="J1463" s="270" t="s">
        <v>12545</v>
      </c>
      <c r="K1463" s="4837">
        <v>41783.110240588918</v>
      </c>
      <c r="L1463" s="4834">
        <f t="shared" si="93"/>
        <v>4.6983266756390686E-5</v>
      </c>
      <c r="S1463" s="270" t="s">
        <v>12542</v>
      </c>
      <c r="T1463" s="4838">
        <v>550.42078125491116</v>
      </c>
      <c r="U1463" s="4839">
        <f t="shared" si="92"/>
        <v>1.9758855826659785E-3</v>
      </c>
    </row>
    <row r="1464" spans="1:21">
      <c r="A1464" s="270" t="s">
        <v>12543</v>
      </c>
      <c r="B1464" s="3305">
        <v>6685</v>
      </c>
      <c r="C1464" s="4834">
        <f t="shared" si="90"/>
        <v>3.2495573179274975E-4</v>
      </c>
      <c r="D1464" s="3" t="str">
        <f t="shared" si="91"/>
        <v>2017</v>
      </c>
      <c r="J1464" s="270" t="s">
        <v>12546</v>
      </c>
      <c r="K1464" s="4837">
        <v>41902.068002892847</v>
      </c>
      <c r="L1464" s="4834">
        <f t="shared" si="93"/>
        <v>4.7341824744143347E-5</v>
      </c>
      <c r="S1464" s="270" t="s">
        <v>12543</v>
      </c>
      <c r="T1464" s="4838">
        <v>551.38530365196982</v>
      </c>
      <c r="U1464" s="4839">
        <f t="shared" si="92"/>
        <v>1.9818018143837389E-3</v>
      </c>
    </row>
    <row r="1465" spans="1:21">
      <c r="A1465" s="270" t="s">
        <v>12544</v>
      </c>
      <c r="B1465" s="3305">
        <v>6813</v>
      </c>
      <c r="C1465" s="4834">
        <f t="shared" si="90"/>
        <v>3.2053048604644617E-4</v>
      </c>
      <c r="D1465" s="3" t="str">
        <f t="shared" si="91"/>
        <v>2017</v>
      </c>
      <c r="J1465" s="270" t="s">
        <v>12547</v>
      </c>
      <c r="K1465" s="4837">
        <v>41305.671654044803</v>
      </c>
      <c r="L1465" s="4834">
        <f t="shared" si="93"/>
        <v>4.5457114455506984E-5</v>
      </c>
      <c r="S1465" s="270" t="s">
        <v>12544</v>
      </c>
      <c r="T1465" s="4838">
        <v>552.67133351471512</v>
      </c>
      <c r="U1465" s="4839">
        <f t="shared" si="92"/>
        <v>1.9896228499632928E-3</v>
      </c>
    </row>
    <row r="1466" spans="1:21">
      <c r="A1466" s="270" t="s">
        <v>12545</v>
      </c>
      <c r="B1466" s="3305">
        <v>6858</v>
      </c>
      <c r="C1466" s="4834">
        <f t="shared" si="90"/>
        <v>3.1816121784798739E-4</v>
      </c>
      <c r="D1466" s="3" t="str">
        <f t="shared" si="91"/>
        <v>2017</v>
      </c>
      <c r="J1466" s="270" t="s">
        <v>12548</v>
      </c>
      <c r="K1466" s="4837">
        <v>41159.385757157543</v>
      </c>
      <c r="L1466" s="4834">
        <f t="shared" si="93"/>
        <v>4.4963340350184894E-5</v>
      </c>
      <c r="S1466" s="270" t="s">
        <v>12545</v>
      </c>
      <c r="T1466" s="4838">
        <v>552.9928409804013</v>
      </c>
      <c r="U1466" s="4839">
        <f t="shared" si="92"/>
        <v>1.9915659751492303E-3</v>
      </c>
    </row>
    <row r="1467" spans="1:21">
      <c r="A1467" s="270" t="s">
        <v>12546</v>
      </c>
      <c r="B1467" s="3305">
        <v>7063</v>
      </c>
      <c r="C1467" s="4834">
        <f t="shared" si="90"/>
        <v>3.023702311117602E-4</v>
      </c>
      <c r="D1467" s="3" t="str">
        <f t="shared" si="91"/>
        <v>2017</v>
      </c>
      <c r="J1467" s="270" t="s">
        <v>12549</v>
      </c>
      <c r="K1467" s="4837">
        <v>41358.72038588304</v>
      </c>
      <c r="L1467" s="4834">
        <f t="shared" si="93"/>
        <v>4.5633260080585284E-5</v>
      </c>
      <c r="S1467" s="270" t="s">
        <v>12546</v>
      </c>
      <c r="T1467" s="4838">
        <v>559.74449775981316</v>
      </c>
      <c r="U1467" s="4839">
        <f t="shared" si="92"/>
        <v>2.0312147075755584E-3</v>
      </c>
    </row>
    <row r="1468" spans="1:21">
      <c r="A1468" s="270" t="s">
        <v>12547</v>
      </c>
      <c r="B1468" s="3305">
        <v>7046</v>
      </c>
      <c r="C1468" s="4834">
        <f t="shared" si="90"/>
        <v>3.0397349831702092E-4</v>
      </c>
      <c r="D1468" s="3" t="str">
        <f t="shared" si="91"/>
        <v>2017</v>
      </c>
      <c r="J1468" s="270" t="s">
        <v>12550</v>
      </c>
      <c r="K1468" s="4837">
        <v>41191.536503726173</v>
      </c>
      <c r="L1468" s="4834">
        <f t="shared" si="93"/>
        <v>4.5072857515162324E-5</v>
      </c>
      <c r="S1468" s="270" t="s">
        <v>12547</v>
      </c>
      <c r="T1468" s="4838">
        <v>550.09927378922475</v>
      </c>
      <c r="U1468" s="4839">
        <f t="shared" si="92"/>
        <v>1.9739039918026569E-3</v>
      </c>
    </row>
    <row r="1469" spans="1:21">
      <c r="A1469" s="270" t="s">
        <v>12548</v>
      </c>
      <c r="B1469" s="3305">
        <v>6971.5</v>
      </c>
      <c r="C1469" s="4834">
        <f t="shared" si="90"/>
        <v>3.1039334292960692E-4</v>
      </c>
      <c r="D1469" s="3" t="str">
        <f t="shared" si="91"/>
        <v>2017</v>
      </c>
      <c r="J1469" s="270" t="s">
        <v>12551</v>
      </c>
      <c r="K1469" s="4837">
        <v>40988.986800343817</v>
      </c>
      <c r="L1469" s="4834">
        <f t="shared" si="93"/>
        <v>4.437383007081617E-5</v>
      </c>
      <c r="S1469" s="270" t="s">
        <v>12548</v>
      </c>
      <c r="T1469" s="4838">
        <v>544.95515433824426</v>
      </c>
      <c r="U1469" s="4839">
        <f t="shared" si="92"/>
        <v>1.9415682393493046E-3</v>
      </c>
    </row>
    <row r="1470" spans="1:21">
      <c r="A1470" s="270" t="s">
        <v>12549</v>
      </c>
      <c r="B1470" s="3305">
        <v>6920</v>
      </c>
      <c r="C1470" s="4834">
        <f t="shared" si="90"/>
        <v>3.1422892885883929E-4</v>
      </c>
      <c r="D1470" s="3" t="str">
        <f t="shared" si="91"/>
        <v>2017</v>
      </c>
      <c r="J1470" s="270" t="s">
        <v>12552</v>
      </c>
      <c r="K1470" s="4837">
        <v>41038.820457525188</v>
      </c>
      <c r="L1470" s="4834">
        <f t="shared" si="93"/>
        <v>4.4547788047908422E-5</v>
      </c>
      <c r="S1470" s="270" t="s">
        <v>12549</v>
      </c>
      <c r="T1470" s="4838">
        <v>547.20570659804821</v>
      </c>
      <c r="U1470" s="4839">
        <f t="shared" si="92"/>
        <v>1.9558591838603361E-3</v>
      </c>
    </row>
    <row r="1471" spans="1:21">
      <c r="A1471" s="270" t="s">
        <v>12550</v>
      </c>
      <c r="B1471" s="3305">
        <v>7008.5</v>
      </c>
      <c r="C1471" s="4834">
        <f t="shared" si="90"/>
        <v>3.0733050201707215E-4</v>
      </c>
      <c r="D1471" s="3" t="str">
        <f t="shared" si="91"/>
        <v>2017</v>
      </c>
      <c r="J1471" s="270" t="s">
        <v>12553</v>
      </c>
      <c r="K1471" s="4837">
        <v>40992.201875000675</v>
      </c>
      <c r="L1471" s="4834">
        <f t="shared" si="93"/>
        <v>4.4385091254274742E-5</v>
      </c>
      <c r="S1471" s="270" t="s">
        <v>12550</v>
      </c>
      <c r="T1471" s="4838">
        <v>548.81324392647969</v>
      </c>
      <c r="U1471" s="4839">
        <f t="shared" si="92"/>
        <v>1.9659305469550891E-3</v>
      </c>
    </row>
    <row r="1472" spans="1:21">
      <c r="A1472" s="270" t="s">
        <v>12551</v>
      </c>
      <c r="B1472" s="3305">
        <v>6959</v>
      </c>
      <c r="C1472" s="4834">
        <f t="shared" si="90"/>
        <v>3.1137065126007034E-4</v>
      </c>
      <c r="D1472" s="3" t="str">
        <f t="shared" si="91"/>
        <v>2017</v>
      </c>
      <c r="J1472" s="270" t="s">
        <v>12554</v>
      </c>
      <c r="K1472" s="4837">
        <v>40952.013441789895</v>
      </c>
      <c r="L1472" s="4834">
        <f t="shared" si="93"/>
        <v>4.424395237385723E-5</v>
      </c>
      <c r="S1472" s="270" t="s">
        <v>12551</v>
      </c>
      <c r="T1472" s="4838">
        <v>546.24118420098932</v>
      </c>
      <c r="U1472" s="4839">
        <f t="shared" si="92"/>
        <v>1.9497614874152925E-3</v>
      </c>
    </row>
    <row r="1473" spans="1:21">
      <c r="A1473" s="270" t="s">
        <v>12552</v>
      </c>
      <c r="B1473" s="3305">
        <v>7073.5</v>
      </c>
      <c r="C1473" s="4834">
        <f t="shared" si="90"/>
        <v>3.0135515706382484E-4</v>
      </c>
      <c r="D1473" s="3" t="str">
        <f t="shared" si="91"/>
        <v>2017</v>
      </c>
      <c r="J1473" s="270" t="s">
        <v>12555</v>
      </c>
      <c r="K1473" s="4837">
        <v>40717.31299183891</v>
      </c>
      <c r="L1473" s="4834">
        <f t="shared" si="93"/>
        <v>4.3403938956605167E-5</v>
      </c>
      <c r="S1473" s="270" t="s">
        <v>12552</v>
      </c>
      <c r="T1473" s="4838">
        <v>547.52721406373462</v>
      </c>
      <c r="U1473" s="4839">
        <f t="shared" si="92"/>
        <v>1.9578826522361785E-3</v>
      </c>
    </row>
    <row r="1474" spans="1:21">
      <c r="A1474" s="270" t="s">
        <v>12553</v>
      </c>
      <c r="B1474" s="3305">
        <v>6970.5</v>
      </c>
      <c r="C1474" s="4834">
        <f t="shared" si="90"/>
        <v>3.1047260641872676E-4</v>
      </c>
      <c r="D1474" s="3" t="str">
        <f t="shared" si="91"/>
        <v>2017</v>
      </c>
      <c r="J1474" s="270" t="s">
        <v>12556</v>
      </c>
      <c r="K1474" s="4837">
        <v>40895.749635294793</v>
      </c>
      <c r="L1474" s="4834">
        <f t="shared" si="93"/>
        <v>4.4045005523427807E-5</v>
      </c>
      <c r="S1474" s="270" t="s">
        <v>12553</v>
      </c>
      <c r="T1474" s="4838">
        <v>543.02610954412671</v>
      </c>
      <c r="U1474" s="4839">
        <f t="shared" si="92"/>
        <v>1.9291458240787342E-3</v>
      </c>
    </row>
    <row r="1475" spans="1:21">
      <c r="A1475" s="270" t="s">
        <v>12554</v>
      </c>
      <c r="B1475" s="3305">
        <v>6965</v>
      </c>
      <c r="C1475" s="4834">
        <f t="shared" si="90"/>
        <v>3.1090520731398981E-4</v>
      </c>
      <c r="D1475" s="3" t="str">
        <f t="shared" si="91"/>
        <v>2017</v>
      </c>
      <c r="J1475" s="270" t="s">
        <v>12557</v>
      </c>
      <c r="K1475" s="4837">
        <v>40836.270754142832</v>
      </c>
      <c r="L1475" s="4834">
        <f t="shared" si="93"/>
        <v>4.3833004039106159E-5</v>
      </c>
      <c r="S1475" s="270" t="s">
        <v>12554</v>
      </c>
      <c r="T1475" s="4838">
        <v>545.59816926961685</v>
      </c>
      <c r="U1475" s="4839">
        <f t="shared" si="92"/>
        <v>1.9456737993403825E-3</v>
      </c>
    </row>
    <row r="1476" spans="1:21">
      <c r="A1476" s="270" t="s">
        <v>12555</v>
      </c>
      <c r="B1476" s="3305">
        <v>6831.5</v>
      </c>
      <c r="C1476" s="4834">
        <f t="shared" ref="C1476:C1539" si="94">_xlfn.NORM.DIST(B1476,$F$4,$F$3,FALSE)</f>
        <v>3.1960662431687305E-4</v>
      </c>
      <c r="D1476" s="3" t="str">
        <f t="shared" ref="D1476:D1539" si="95">LEFT(A1476,4)</f>
        <v>2017</v>
      </c>
      <c r="J1476" s="270" t="s">
        <v>12558</v>
      </c>
      <c r="K1476" s="4837">
        <v>41058.110905466361</v>
      </c>
      <c r="L1476" s="4834">
        <f t="shared" si="93"/>
        <v>4.4614785379618914E-5</v>
      </c>
      <c r="S1476" s="270" t="s">
        <v>12555</v>
      </c>
      <c r="T1476" s="4838">
        <v>537.56048262745981</v>
      </c>
      <c r="U1476" s="4839">
        <f t="shared" ref="U1476:U1539" si="96">_xlfn.NORM.DIST(T1476,$X$4,$X$3,FALSE)</f>
        <v>1.893118413647472E-3</v>
      </c>
    </row>
    <row r="1477" spans="1:21">
      <c r="A1477" s="270" t="s">
        <v>12556</v>
      </c>
      <c r="B1477" s="3305">
        <v>6823</v>
      </c>
      <c r="C1477" s="4834">
        <f t="shared" si="94"/>
        <v>3.2003985075518537E-4</v>
      </c>
      <c r="D1477" s="3" t="str">
        <f t="shared" si="95"/>
        <v>2017</v>
      </c>
      <c r="J1477" s="270" t="s">
        <v>12559</v>
      </c>
      <c r="K1477" s="4837">
        <v>41127.235010588913</v>
      </c>
      <c r="L1477" s="4834">
        <f t="shared" ref="L1477:L1540" si="97">_xlfn.NORM.DIST(K1477,$O$4,$O$3,FALSE)</f>
        <v>4.4853272257518653E-5</v>
      </c>
      <c r="S1477" s="270" t="s">
        <v>12556</v>
      </c>
      <c r="T1477" s="4838">
        <v>537.88199009314621</v>
      </c>
      <c r="U1477" s="4839">
        <f t="shared" si="96"/>
        <v>1.8952705457351237E-3</v>
      </c>
    </row>
    <row r="1478" spans="1:21">
      <c r="A1478" s="270" t="s">
        <v>12557</v>
      </c>
      <c r="B1478" s="3305">
        <v>6802</v>
      </c>
      <c r="C1478" s="4834">
        <f t="shared" si="94"/>
        <v>3.2104629699883304E-4</v>
      </c>
      <c r="D1478" s="3" t="str">
        <f t="shared" si="95"/>
        <v>2017</v>
      </c>
      <c r="J1478" s="270" t="s">
        <v>12560</v>
      </c>
      <c r="K1478" s="4837">
        <v>40741.426051765382</v>
      </c>
      <c r="L1478" s="4834">
        <f t="shared" si="97"/>
        <v>4.3491447263474684E-5</v>
      </c>
      <c r="S1478" s="270" t="s">
        <v>12557</v>
      </c>
      <c r="T1478" s="4838">
        <v>540.77555728432264</v>
      </c>
      <c r="U1478" s="4839">
        <f t="shared" si="96"/>
        <v>1.914456828465761E-3</v>
      </c>
    </row>
    <row r="1479" spans="1:21">
      <c r="A1479" s="270" t="s">
        <v>12558</v>
      </c>
      <c r="B1479" s="3305">
        <v>6918</v>
      </c>
      <c r="C1479" s="4834">
        <f t="shared" si="94"/>
        <v>3.1436760737572574E-4</v>
      </c>
      <c r="D1479" s="3" t="str">
        <f t="shared" si="95"/>
        <v>2017</v>
      </c>
      <c r="J1479" s="270" t="s">
        <v>12561</v>
      </c>
      <c r="K1479" s="4837">
        <v>40860.383814069304</v>
      </c>
      <c r="L1479" s="4834">
        <f t="shared" si="97"/>
        <v>4.3919157322895309E-5</v>
      </c>
      <c r="S1479" s="270" t="s">
        <v>12558</v>
      </c>
      <c r="T1479" s="4838">
        <v>544.63364687255796</v>
      </c>
      <c r="U1479" s="4839">
        <f t="shared" si="96"/>
        <v>1.9395088040621263E-3</v>
      </c>
    </row>
    <row r="1480" spans="1:21">
      <c r="A1480" s="270" t="s">
        <v>12559</v>
      </c>
      <c r="B1480" s="3305">
        <v>6855</v>
      </c>
      <c r="C1480" s="4834">
        <f t="shared" si="94"/>
        <v>3.1833201144720636E-4</v>
      </c>
      <c r="D1480" s="3" t="str">
        <f t="shared" si="95"/>
        <v>2017</v>
      </c>
      <c r="J1480" s="270" t="s">
        <v>12562</v>
      </c>
      <c r="K1480" s="4837">
        <v>41011.492322941849</v>
      </c>
      <c r="L1480" s="4834">
        <f t="shared" si="97"/>
        <v>4.4452548353226881E-5</v>
      </c>
      <c r="S1480" s="270" t="s">
        <v>12559</v>
      </c>
      <c r="T1480" s="4838">
        <v>549.13475139216587</v>
      </c>
      <c r="U1480" s="4839">
        <f t="shared" si="96"/>
        <v>1.9679309337673296E-3</v>
      </c>
    </row>
    <row r="1481" spans="1:21">
      <c r="A1481" s="270" t="s">
        <v>12560</v>
      </c>
      <c r="B1481" s="3305">
        <v>6914.5</v>
      </c>
      <c r="C1481" s="4834">
        <f t="shared" si="94"/>
        <v>3.1460842045224476E-4</v>
      </c>
      <c r="D1481" s="3" t="str">
        <f t="shared" si="95"/>
        <v>2017</v>
      </c>
      <c r="J1481" s="270" t="s">
        <v>12563</v>
      </c>
      <c r="K1481" s="4837">
        <v>41281.558594118331</v>
      </c>
      <c r="L1481" s="4834">
        <f t="shared" si="97"/>
        <v>4.5376529284510162E-5</v>
      </c>
      <c r="S1481" s="270" t="s">
        <v>12560</v>
      </c>
      <c r="T1481" s="4838">
        <v>549.45625885785216</v>
      </c>
      <c r="U1481" s="4839">
        <f t="shared" si="96"/>
        <v>1.9699266490636747E-3</v>
      </c>
    </row>
    <row r="1482" spans="1:21">
      <c r="A1482" s="270" t="s">
        <v>12561</v>
      </c>
      <c r="B1482" s="3305">
        <v>6902.5</v>
      </c>
      <c r="C1482" s="4834">
        <f t="shared" si="94"/>
        <v>3.1541588241537567E-4</v>
      </c>
      <c r="D1482" s="3" t="str">
        <f t="shared" si="95"/>
        <v>2017</v>
      </c>
      <c r="J1482" s="270" t="s">
        <v>12564</v>
      </c>
      <c r="K1482" s="4837">
        <v>41307.279191373229</v>
      </c>
      <c r="L1482" s="4834">
        <f t="shared" si="97"/>
        <v>4.5462475323491761E-5</v>
      </c>
      <c r="S1482" s="270" t="s">
        <v>12561</v>
      </c>
      <c r="T1482" s="4838">
        <v>543.99063194118548</v>
      </c>
      <c r="U1482" s="4839">
        <f t="shared" si="96"/>
        <v>1.9353767164819039E-3</v>
      </c>
    </row>
    <row r="1483" spans="1:21">
      <c r="A1483" s="270" t="s">
        <v>12562</v>
      </c>
      <c r="B1483" s="3305">
        <v>6863</v>
      </c>
      <c r="C1483" s="4834">
        <f t="shared" si="94"/>
        <v>3.178725211049737E-4</v>
      </c>
      <c r="D1483" s="3" t="str">
        <f t="shared" si="95"/>
        <v>2017</v>
      </c>
      <c r="J1483" s="270" t="s">
        <v>12565</v>
      </c>
      <c r="K1483" s="4837">
        <v>41291.203818088914</v>
      </c>
      <c r="L1483" s="4834">
        <f t="shared" si="97"/>
        <v>4.5408802027663198E-5</v>
      </c>
      <c r="S1483" s="270" t="s">
        <v>12562</v>
      </c>
      <c r="T1483" s="4838">
        <v>546.88419913236191</v>
      </c>
      <c r="U1483" s="4839">
        <f t="shared" si="96"/>
        <v>1.9538311545726755E-3</v>
      </c>
    </row>
    <row r="1484" spans="1:21">
      <c r="A1484" s="270" t="s">
        <v>12563</v>
      </c>
      <c r="B1484" s="3305">
        <v>6812</v>
      </c>
      <c r="C1484" s="4834">
        <f t="shared" si="94"/>
        <v>3.2057841379822357E-4</v>
      </c>
      <c r="D1484" s="3" t="str">
        <f t="shared" si="95"/>
        <v>2017</v>
      </c>
      <c r="J1484" s="270" t="s">
        <v>12566</v>
      </c>
      <c r="K1484" s="4837">
        <v>41087.046577378132</v>
      </c>
      <c r="L1484" s="4834">
        <f t="shared" si="97"/>
        <v>4.4714920557059542E-5</v>
      </c>
      <c r="S1484" s="270" t="s">
        <v>12563</v>
      </c>
      <c r="T1484" s="4838">
        <v>546.56269166667573</v>
      </c>
      <c r="U1484" s="4839">
        <f t="shared" si="96"/>
        <v>1.9517985829047644E-3</v>
      </c>
    </row>
    <row r="1485" spans="1:21">
      <c r="A1485" s="270" t="s">
        <v>12564</v>
      </c>
      <c r="B1485" s="3305">
        <v>6777</v>
      </c>
      <c r="C1485" s="4834">
        <f t="shared" si="94"/>
        <v>3.221248943491141E-4</v>
      </c>
      <c r="D1485" s="3" t="str">
        <f t="shared" si="95"/>
        <v>2017</v>
      </c>
      <c r="J1485" s="270" t="s">
        <v>12567</v>
      </c>
      <c r="K1485" s="4837">
        <v>40979.341576373219</v>
      </c>
      <c r="L1485" s="4834">
        <f t="shared" si="97"/>
        <v>4.4340015199907385E-5</v>
      </c>
      <c r="S1485" s="270" t="s">
        <v>12564</v>
      </c>
      <c r="T1485" s="4838">
        <v>549.77776632353846</v>
      </c>
      <c r="U1485" s="4839">
        <f t="shared" si="96"/>
        <v>1.9719176745102767E-3</v>
      </c>
    </row>
    <row r="1486" spans="1:21">
      <c r="A1486" s="270" t="s">
        <v>12565</v>
      </c>
      <c r="B1486" s="3305">
        <v>6797</v>
      </c>
      <c r="C1486" s="4834">
        <f t="shared" si="94"/>
        <v>3.212724512841421E-4</v>
      </c>
      <c r="D1486" s="3" t="str">
        <f t="shared" si="95"/>
        <v>2017</v>
      </c>
      <c r="J1486" s="270" t="s">
        <v>12568</v>
      </c>
      <c r="K1486" s="4837">
        <v>41223.687250294803</v>
      </c>
      <c r="L1486" s="4834">
        <f t="shared" si="97"/>
        <v>4.518181841592339E-5</v>
      </c>
      <c r="S1486" s="270" t="s">
        <v>12565</v>
      </c>
      <c r="T1486" s="4838">
        <v>546.56269166667573</v>
      </c>
      <c r="U1486" s="4839">
        <f t="shared" si="96"/>
        <v>1.9517985829047644E-3</v>
      </c>
    </row>
    <row r="1487" spans="1:21">
      <c r="A1487" s="270" t="s">
        <v>12566</v>
      </c>
      <c r="B1487" s="3305">
        <v>6768</v>
      </c>
      <c r="C1487" s="4834">
        <f t="shared" si="94"/>
        <v>3.2248113431855953E-4</v>
      </c>
      <c r="D1487" s="3" t="str">
        <f t="shared" si="95"/>
        <v>2017</v>
      </c>
      <c r="J1487" s="270" t="s">
        <v>12569</v>
      </c>
      <c r="K1487" s="4837">
        <v>41152.955607843818</v>
      </c>
      <c r="L1487" s="4834">
        <f t="shared" si="97"/>
        <v>4.4941370634794986E-5</v>
      </c>
      <c r="S1487" s="270" t="s">
        <v>12566</v>
      </c>
      <c r="T1487" s="4838">
        <v>544.31213940687178</v>
      </c>
      <c r="U1487" s="4839">
        <f t="shared" si="96"/>
        <v>1.9374449568594287E-3</v>
      </c>
    </row>
    <row r="1488" spans="1:21">
      <c r="A1488" s="270" t="s">
        <v>12567</v>
      </c>
      <c r="B1488" s="3305">
        <v>6822.5</v>
      </c>
      <c r="C1488" s="4834">
        <f t="shared" si="94"/>
        <v>3.2006487216303006E-4</v>
      </c>
      <c r="D1488" s="3" t="str">
        <f t="shared" si="95"/>
        <v>2017</v>
      </c>
      <c r="J1488" s="270" t="s">
        <v>12570</v>
      </c>
      <c r="K1488" s="4837">
        <v>41292.81135541734</v>
      </c>
      <c r="L1488" s="4834">
        <f t="shared" si="97"/>
        <v>4.5414175810943734E-5</v>
      </c>
      <c r="S1488" s="270" t="s">
        <v>12567</v>
      </c>
      <c r="T1488" s="4838">
        <v>544.63364687255796</v>
      </c>
      <c r="U1488" s="4839">
        <f t="shared" si="96"/>
        <v>1.9395088040621263E-3</v>
      </c>
    </row>
    <row r="1489" spans="1:21">
      <c r="A1489" s="270" t="s">
        <v>12568</v>
      </c>
      <c r="B1489" s="3305">
        <v>6715.5</v>
      </c>
      <c r="C1489" s="4834">
        <f t="shared" si="94"/>
        <v>3.2421744334121331E-4</v>
      </c>
      <c r="D1489" s="3" t="str">
        <f t="shared" si="95"/>
        <v>2017</v>
      </c>
      <c r="J1489" s="270" t="s">
        <v>12571</v>
      </c>
      <c r="K1489" s="4837">
        <v>41352.290236569308</v>
      </c>
      <c r="L1489" s="4834">
        <f t="shared" si="97"/>
        <v>4.5611993267258238E-5</v>
      </c>
      <c r="S1489" s="270" t="s">
        <v>12568</v>
      </c>
      <c r="T1489" s="4838">
        <v>550.42078125491116</v>
      </c>
      <c r="U1489" s="4839">
        <f t="shared" si="96"/>
        <v>1.9758855826659785E-3</v>
      </c>
    </row>
    <row r="1490" spans="1:21">
      <c r="A1490" s="270" t="s">
        <v>12569</v>
      </c>
      <c r="B1490" s="3305">
        <v>6764</v>
      </c>
      <c r="C1490" s="4834">
        <f t="shared" si="94"/>
        <v>3.2263398930535998E-4</v>
      </c>
      <c r="D1490" s="3" t="str">
        <f t="shared" si="95"/>
        <v>2017</v>
      </c>
      <c r="J1490" s="270" t="s">
        <v>12572</v>
      </c>
      <c r="K1490" s="4837">
        <v>41259.053071520284</v>
      </c>
      <c r="L1490" s="4834">
        <f t="shared" si="97"/>
        <v>4.5301026573845499E-5</v>
      </c>
      <c r="S1490" s="270" t="s">
        <v>12569</v>
      </c>
      <c r="T1490" s="4838">
        <v>547.8487215294208</v>
      </c>
      <c r="U1490" s="4839">
        <f t="shared" si="96"/>
        <v>1.9599015411960389E-3</v>
      </c>
    </row>
    <row r="1491" spans="1:21">
      <c r="A1491" s="270" t="s">
        <v>12570</v>
      </c>
      <c r="B1491" s="3305">
        <v>6728.5</v>
      </c>
      <c r="C1491" s="4834">
        <f t="shared" si="94"/>
        <v>3.2384213627843262E-4</v>
      </c>
      <c r="D1491" s="3" t="str">
        <f t="shared" si="95"/>
        <v>2017</v>
      </c>
      <c r="J1491" s="270" t="s">
        <v>12573</v>
      </c>
      <c r="K1491" s="4837">
        <v>41376.403296495781</v>
      </c>
      <c r="L1491" s="4834">
        <f t="shared" si="97"/>
        <v>4.5691623298313075E-5</v>
      </c>
      <c r="S1491" s="270" t="s">
        <v>12570</v>
      </c>
      <c r="T1491" s="4838">
        <v>549.45625885785216</v>
      </c>
      <c r="U1491" s="4839">
        <f t="shared" si="96"/>
        <v>1.9699266490636747E-3</v>
      </c>
    </row>
    <row r="1492" spans="1:21">
      <c r="A1492" s="270" t="s">
        <v>12571</v>
      </c>
      <c r="B1492" s="3305">
        <v>6752</v>
      </c>
      <c r="C1492" s="4834">
        <f t="shared" si="94"/>
        <v>3.2307228243480388E-4</v>
      </c>
      <c r="D1492" s="3" t="str">
        <f t="shared" si="95"/>
        <v>2017</v>
      </c>
      <c r="J1492" s="270" t="s">
        <v>12574</v>
      </c>
      <c r="K1492" s="4837">
        <v>41485.715834829112</v>
      </c>
      <c r="L1492" s="4834">
        <f t="shared" si="97"/>
        <v>4.6048441902467747E-5</v>
      </c>
      <c r="S1492" s="270" t="s">
        <v>12571</v>
      </c>
      <c r="T1492" s="4838">
        <v>551.38530365196982</v>
      </c>
      <c r="U1492" s="4839">
        <f t="shared" si="96"/>
        <v>1.9818018143837389E-3</v>
      </c>
    </row>
    <row r="1493" spans="1:21">
      <c r="A1493" s="270" t="s">
        <v>12572</v>
      </c>
      <c r="B1493" s="3305">
        <v>6828</v>
      </c>
      <c r="C1493" s="4834">
        <f t="shared" si="94"/>
        <v>3.1978680867563347E-4</v>
      </c>
      <c r="D1493" s="3" t="str">
        <f t="shared" si="95"/>
        <v>2017</v>
      </c>
      <c r="J1493" s="270" t="s">
        <v>12575</v>
      </c>
      <c r="K1493" s="4837">
        <v>41490.538446814411</v>
      </c>
      <c r="L1493" s="4834">
        <f t="shared" si="97"/>
        <v>4.6064024514325138E-5</v>
      </c>
      <c r="S1493" s="270" t="s">
        <v>12572</v>
      </c>
      <c r="T1493" s="4838">
        <v>546.56269166667573</v>
      </c>
      <c r="U1493" s="4839">
        <f t="shared" si="96"/>
        <v>1.9517985829047644E-3</v>
      </c>
    </row>
    <row r="1494" spans="1:21">
      <c r="A1494" s="270" t="s">
        <v>12573</v>
      </c>
      <c r="B1494" s="3305">
        <v>6872.5</v>
      </c>
      <c r="C1494" s="4834">
        <f t="shared" si="94"/>
        <v>3.1731012792690145E-4</v>
      </c>
      <c r="D1494" s="3" t="str">
        <f t="shared" si="95"/>
        <v>2017</v>
      </c>
      <c r="J1494" s="270" t="s">
        <v>12576</v>
      </c>
      <c r="K1494" s="4837">
        <v>41632.00173171638</v>
      </c>
      <c r="L1494" s="4834">
        <f t="shared" si="97"/>
        <v>4.6514985753770232E-5</v>
      </c>
      <c r="S1494" s="270" t="s">
        <v>12573</v>
      </c>
      <c r="T1494" s="4838">
        <v>545.59816926961685</v>
      </c>
      <c r="U1494" s="4839">
        <f t="shared" si="96"/>
        <v>1.9456737993403825E-3</v>
      </c>
    </row>
    <row r="1495" spans="1:21">
      <c r="A1495" s="270" t="s">
        <v>12574</v>
      </c>
      <c r="B1495" s="3305">
        <v>6895.5</v>
      </c>
      <c r="C1495" s="4834">
        <f t="shared" si="94"/>
        <v>3.1587383463939578E-4</v>
      </c>
      <c r="D1495" s="3" t="str">
        <f t="shared" si="95"/>
        <v>2017</v>
      </c>
      <c r="J1495" s="270" t="s">
        <v>12577</v>
      </c>
      <c r="K1495" s="4837">
        <v>41533.941954682057</v>
      </c>
      <c r="L1495" s="4834">
        <f t="shared" si="97"/>
        <v>4.620365337566945E-5</v>
      </c>
      <c r="S1495" s="270" t="s">
        <v>12574</v>
      </c>
      <c r="T1495" s="4838">
        <v>549.77776632353846</v>
      </c>
      <c r="U1495" s="4839">
        <f t="shared" si="96"/>
        <v>1.9719176745102767E-3</v>
      </c>
    </row>
    <row r="1496" spans="1:21">
      <c r="A1496" s="270" t="s">
        <v>12575</v>
      </c>
      <c r="B1496" s="3305">
        <v>6967.5</v>
      </c>
      <c r="C1496" s="4834">
        <f t="shared" si="94"/>
        <v>3.1070927374683775E-4</v>
      </c>
      <c r="D1496" s="3" t="str">
        <f t="shared" si="95"/>
        <v>2017</v>
      </c>
      <c r="J1496" s="270" t="s">
        <v>12578</v>
      </c>
      <c r="K1496" s="4837">
        <v>41276.735982133032</v>
      </c>
      <c r="L1496" s="4834">
        <f t="shared" si="97"/>
        <v>4.5360373628945863E-5</v>
      </c>
      <c r="S1496" s="270" t="s">
        <v>12575</v>
      </c>
      <c r="T1496" s="4838">
        <v>548.1702289951071</v>
      </c>
      <c r="U1496" s="4839">
        <f t="shared" si="96"/>
        <v>1.9619158322634429E-3</v>
      </c>
    </row>
    <row r="1497" spans="1:21">
      <c r="A1497" s="270" t="s">
        <v>12576</v>
      </c>
      <c r="B1497" s="3305">
        <v>6892</v>
      </c>
      <c r="C1497" s="4834">
        <f t="shared" si="94"/>
        <v>3.1609918228509958E-4</v>
      </c>
      <c r="D1497" s="3" t="str">
        <f t="shared" si="95"/>
        <v>2017</v>
      </c>
      <c r="J1497" s="270" t="s">
        <v>12579</v>
      </c>
      <c r="K1497" s="4837">
        <v>41159.385757157543</v>
      </c>
      <c r="L1497" s="4834">
        <f t="shared" si="97"/>
        <v>4.4963340350184894E-5</v>
      </c>
      <c r="S1497" s="270" t="s">
        <v>12576</v>
      </c>
      <c r="T1497" s="4838">
        <v>549.77776632353846</v>
      </c>
      <c r="U1497" s="4839">
        <f t="shared" si="96"/>
        <v>1.9719176745102767E-3</v>
      </c>
    </row>
    <row r="1498" spans="1:21">
      <c r="A1498" s="270" t="s">
        <v>12577</v>
      </c>
      <c r="B1498" s="3305">
        <v>6800</v>
      </c>
      <c r="C1498" s="4834">
        <f t="shared" si="94"/>
        <v>3.2113738279020392E-4</v>
      </c>
      <c r="D1498" s="3" t="str">
        <f t="shared" si="95"/>
        <v>2017</v>
      </c>
      <c r="J1498" s="270" t="s">
        <v>12580</v>
      </c>
      <c r="K1498" s="4837">
        <v>41008.27724828499</v>
      </c>
      <c r="L1498" s="4834">
        <f t="shared" si="97"/>
        <v>4.4441318625975278E-5</v>
      </c>
      <c r="S1498" s="270" t="s">
        <v>12577</v>
      </c>
      <c r="T1498" s="4838">
        <v>548.81324392647969</v>
      </c>
      <c r="U1498" s="4839">
        <f t="shared" si="96"/>
        <v>1.9659305469550891E-3</v>
      </c>
    </row>
    <row r="1499" spans="1:21">
      <c r="A1499" s="270" t="s">
        <v>12578</v>
      </c>
      <c r="B1499" s="3305">
        <v>6756.5</v>
      </c>
      <c r="C1499" s="4834">
        <f t="shared" si="94"/>
        <v>3.229114906779083E-4</v>
      </c>
      <c r="D1499" s="3" t="str">
        <f t="shared" si="95"/>
        <v>2017</v>
      </c>
      <c r="J1499" s="270" t="s">
        <v>12581</v>
      </c>
      <c r="K1499" s="4837">
        <v>40942.368217819305</v>
      </c>
      <c r="L1499" s="4834">
        <f t="shared" si="97"/>
        <v>4.4209958644648374E-5</v>
      </c>
      <c r="S1499" s="270" t="s">
        <v>12578</v>
      </c>
      <c r="T1499" s="4838">
        <v>543.34761700981278</v>
      </c>
      <c r="U1499" s="4839">
        <f t="shared" si="96"/>
        <v>1.9312271312892401E-3</v>
      </c>
    </row>
    <row r="1500" spans="1:21">
      <c r="A1500" s="270" t="s">
        <v>12579</v>
      </c>
      <c r="B1500" s="3305">
        <v>6761</v>
      </c>
      <c r="C1500" s="4834">
        <f t="shared" si="94"/>
        <v>3.2274641564600129E-4</v>
      </c>
      <c r="D1500" s="3" t="str">
        <f t="shared" si="95"/>
        <v>2017</v>
      </c>
      <c r="J1500" s="270" t="s">
        <v>12582</v>
      </c>
      <c r="K1500" s="4837">
        <v>40712.490379853611</v>
      </c>
      <c r="L1500" s="4834">
        <f t="shared" si="97"/>
        <v>4.3386405089927335E-5</v>
      </c>
      <c r="S1500" s="270" t="s">
        <v>12579</v>
      </c>
      <c r="T1500" s="4838">
        <v>532.73787064216572</v>
      </c>
      <c r="U1500" s="4839">
        <f t="shared" si="96"/>
        <v>1.8603679126088634E-3</v>
      </c>
    </row>
    <row r="1501" spans="1:21">
      <c r="A1501" s="270" t="s">
        <v>12580</v>
      </c>
      <c r="B1501" s="3305">
        <v>6734</v>
      </c>
      <c r="C1501" s="4834">
        <f t="shared" si="94"/>
        <v>3.2367248964875508E-4</v>
      </c>
      <c r="D1501" s="3" t="str">
        <f t="shared" si="95"/>
        <v>2017</v>
      </c>
      <c r="J1501" s="270" t="s">
        <v>12583</v>
      </c>
      <c r="K1501" s="4837">
        <v>40628.898438775184</v>
      </c>
      <c r="L1501" s="4834">
        <f t="shared" si="97"/>
        <v>4.3080802171413524E-5</v>
      </c>
      <c r="S1501" s="270" t="s">
        <v>12580</v>
      </c>
      <c r="T1501" s="4838">
        <v>527.91525865687152</v>
      </c>
      <c r="U1501" s="4839">
        <f t="shared" si="96"/>
        <v>1.8267840417939066E-3</v>
      </c>
    </row>
    <row r="1502" spans="1:21">
      <c r="A1502" s="270" t="s">
        <v>12581</v>
      </c>
      <c r="B1502" s="3305">
        <v>6807</v>
      </c>
      <c r="C1502" s="4834">
        <f t="shared" si="94"/>
        <v>3.2081494734898994E-4</v>
      </c>
      <c r="D1502" s="3" t="str">
        <f t="shared" si="95"/>
        <v>2017</v>
      </c>
      <c r="J1502" s="270" t="s">
        <v>12584</v>
      </c>
      <c r="K1502" s="4837">
        <v>40349.186943628119</v>
      </c>
      <c r="L1502" s="4834">
        <f t="shared" si="97"/>
        <v>4.2036119028616426E-5</v>
      </c>
      <c r="S1502" s="270" t="s">
        <v>12581</v>
      </c>
      <c r="T1502" s="4838">
        <v>525.02169146569486</v>
      </c>
      <c r="U1502" s="4839">
        <f t="shared" si="96"/>
        <v>1.8062611391763458E-3</v>
      </c>
    </row>
    <row r="1503" spans="1:21">
      <c r="A1503" s="270" t="s">
        <v>12582</v>
      </c>
      <c r="B1503" s="3305">
        <v>6645</v>
      </c>
      <c r="C1503" s="4834">
        <f t="shared" si="94"/>
        <v>3.2561986562001222E-4</v>
      </c>
      <c r="D1503" s="3" t="str">
        <f t="shared" si="95"/>
        <v>2017</v>
      </c>
      <c r="J1503" s="270" t="s">
        <v>12585</v>
      </c>
      <c r="K1503" s="4837">
        <v>40209.331196054583</v>
      </c>
      <c r="L1503" s="4834">
        <f t="shared" si="97"/>
        <v>4.1501853090671097E-5</v>
      </c>
      <c r="S1503" s="270" t="s">
        <v>12582</v>
      </c>
      <c r="T1503" s="4838">
        <v>523.73566160294979</v>
      </c>
      <c r="U1503" s="4839">
        <f t="shared" si="96"/>
        <v>1.7970549268485419E-3</v>
      </c>
    </row>
    <row r="1504" spans="1:21">
      <c r="A1504" s="270" t="s">
        <v>12583</v>
      </c>
      <c r="B1504" s="3305">
        <v>6539</v>
      </c>
      <c r="C1504" s="4834">
        <f t="shared" si="94"/>
        <v>3.2569947482643299E-4</v>
      </c>
      <c r="D1504" s="3" t="str">
        <f t="shared" si="95"/>
        <v>2017</v>
      </c>
      <c r="J1504" s="270" t="s">
        <v>12586</v>
      </c>
      <c r="K1504" s="4837">
        <v>40096.803583064393</v>
      </c>
      <c r="L1504" s="4834">
        <f t="shared" si="97"/>
        <v>4.1066640162511633E-5</v>
      </c>
      <c r="S1504" s="270" t="s">
        <v>12583</v>
      </c>
      <c r="T1504" s="4838">
        <v>518.27003468628311</v>
      </c>
      <c r="U1504" s="4839">
        <f t="shared" si="96"/>
        <v>1.7573807776506635E-3</v>
      </c>
    </row>
    <row r="1505" spans="1:21">
      <c r="A1505" s="270" t="s">
        <v>12584</v>
      </c>
      <c r="B1505" s="3305">
        <v>6530.5</v>
      </c>
      <c r="C1505" s="4834">
        <f t="shared" si="94"/>
        <v>3.2560006198426299E-4</v>
      </c>
      <c r="D1505" s="3" t="str">
        <f t="shared" si="95"/>
        <v>2017</v>
      </c>
      <c r="J1505" s="270" t="s">
        <v>12587</v>
      </c>
      <c r="K1505" s="4837">
        <v>39895.861417010463</v>
      </c>
      <c r="L1505" s="4834">
        <f t="shared" si="97"/>
        <v>4.027843373411996E-5</v>
      </c>
      <c r="S1505" s="270" t="s">
        <v>12584</v>
      </c>
      <c r="T1505" s="4838">
        <v>511.51837790687114</v>
      </c>
      <c r="U1505" s="4839">
        <f t="shared" si="96"/>
        <v>1.7072578937395633E-3</v>
      </c>
    </row>
    <row r="1506" spans="1:21">
      <c r="A1506" s="270" t="s">
        <v>12585</v>
      </c>
      <c r="B1506" s="3305">
        <v>6538.5</v>
      </c>
      <c r="C1506" s="4834">
        <f t="shared" si="94"/>
        <v>3.2569406104788752E-4</v>
      </c>
      <c r="D1506" s="3" t="str">
        <f t="shared" si="95"/>
        <v>2017</v>
      </c>
      <c r="J1506" s="270" t="s">
        <v>12588</v>
      </c>
      <c r="K1506" s="4837">
        <v>39952.125223505558</v>
      </c>
      <c r="L1506" s="4834">
        <f t="shared" si="97"/>
        <v>4.0500498700986419E-5</v>
      </c>
      <c r="S1506" s="270" t="s">
        <v>12585</v>
      </c>
      <c r="T1506" s="4838">
        <v>508.94631818138095</v>
      </c>
      <c r="U1506" s="4839">
        <f t="shared" si="96"/>
        <v>1.6878749894784402E-3</v>
      </c>
    </row>
    <row r="1507" spans="1:21">
      <c r="A1507" s="270" t="s">
        <v>12586</v>
      </c>
      <c r="B1507" s="3305">
        <v>6547.5</v>
      </c>
      <c r="C1507" s="4834">
        <f t="shared" si="94"/>
        <v>3.2578320344293698E-4</v>
      </c>
      <c r="D1507" s="3" t="str">
        <f t="shared" si="95"/>
        <v>2017</v>
      </c>
      <c r="J1507" s="270" t="s">
        <v>12589</v>
      </c>
      <c r="K1507" s="4837">
        <v>40220.583957353607</v>
      </c>
      <c r="L1507" s="4834">
        <f t="shared" si="97"/>
        <v>4.15451173832071E-5</v>
      </c>
      <c r="S1507" s="270" t="s">
        <v>12586</v>
      </c>
      <c r="T1507" s="4838">
        <v>509.26782564706718</v>
      </c>
      <c r="U1507" s="4839">
        <f t="shared" si="96"/>
        <v>1.6903059086548519E-3</v>
      </c>
    </row>
    <row r="1508" spans="1:21">
      <c r="A1508" s="270" t="s">
        <v>12587</v>
      </c>
      <c r="B1508" s="3305">
        <v>6614</v>
      </c>
      <c r="C1508" s="4834">
        <f t="shared" si="94"/>
        <v>3.2589597587117801E-4</v>
      </c>
      <c r="D1508" s="3" t="str">
        <f t="shared" si="95"/>
        <v>2017</v>
      </c>
      <c r="J1508" s="270" t="s">
        <v>12590</v>
      </c>
      <c r="K1508" s="4837">
        <v>40336.326645000663</v>
      </c>
      <c r="L1508" s="4834">
        <f t="shared" si="97"/>
        <v>4.1987309523153849E-5</v>
      </c>
      <c r="S1508" s="270" t="s">
        <v>12587</v>
      </c>
      <c r="T1508" s="4838">
        <v>507.33878085294947</v>
      </c>
      <c r="U1508" s="4839">
        <f t="shared" si="96"/>
        <v>1.6756871540394374E-3</v>
      </c>
    </row>
    <row r="1509" spans="1:21">
      <c r="A1509" s="270" t="s">
        <v>12588</v>
      </c>
      <c r="B1509" s="3305">
        <v>6685</v>
      </c>
      <c r="C1509" s="4834">
        <f t="shared" si="94"/>
        <v>3.2495573179274975E-4</v>
      </c>
      <c r="D1509" s="3" t="str">
        <f t="shared" si="95"/>
        <v>2017</v>
      </c>
      <c r="J1509" s="270" t="s">
        <v>12591</v>
      </c>
      <c r="K1509" s="4837">
        <v>40529.231124412436</v>
      </c>
      <c r="L1509" s="4834">
        <f t="shared" si="97"/>
        <v>4.2712367114658172E-5</v>
      </c>
      <c r="S1509" s="270" t="s">
        <v>12588</v>
      </c>
      <c r="T1509" s="4838">
        <v>505.08822859314563</v>
      </c>
      <c r="U1509" s="4839">
        <f t="shared" si="96"/>
        <v>1.6585347111438514E-3</v>
      </c>
    </row>
    <row r="1510" spans="1:21">
      <c r="A1510" s="270" t="s">
        <v>12589</v>
      </c>
      <c r="B1510" s="3305">
        <v>6723</v>
      </c>
      <c r="C1510" s="4834">
        <f t="shared" si="94"/>
        <v>3.2400532836223897E-4</v>
      </c>
      <c r="D1510" s="3" t="str">
        <f t="shared" si="95"/>
        <v>2017</v>
      </c>
      <c r="J1510" s="270" t="s">
        <v>12592</v>
      </c>
      <c r="K1510" s="4837">
        <v>40521.193437770271</v>
      </c>
      <c r="L1510" s="4834">
        <f t="shared" si="97"/>
        <v>4.2682466699791296E-5</v>
      </c>
      <c r="S1510" s="270" t="s">
        <v>12589</v>
      </c>
      <c r="T1510" s="4838">
        <v>514.73345256373409</v>
      </c>
      <c r="U1510" s="4839">
        <f t="shared" si="96"/>
        <v>1.7312692567904603E-3</v>
      </c>
    </row>
    <row r="1511" spans="1:21">
      <c r="A1511" s="270" t="s">
        <v>12590</v>
      </c>
      <c r="B1511" s="3305">
        <v>6735.5</v>
      </c>
      <c r="C1511" s="4834">
        <f t="shared" si="94"/>
        <v>3.2362510351170883E-4</v>
      </c>
      <c r="D1511" s="3" t="str">
        <f t="shared" si="95"/>
        <v>2017</v>
      </c>
      <c r="J1511" s="270" t="s">
        <v>12593</v>
      </c>
      <c r="K1511" s="4837">
        <v>40656.226573358508</v>
      </c>
      <c r="L1511" s="4834">
        <f t="shared" si="97"/>
        <v>4.3181058246416464E-5</v>
      </c>
      <c r="S1511" s="270" t="s">
        <v>12590</v>
      </c>
      <c r="T1511" s="4838">
        <v>514.09043763236139</v>
      </c>
      <c r="U1511" s="4839">
        <f t="shared" si="96"/>
        <v>1.7264871431072325E-3</v>
      </c>
    </row>
    <row r="1512" spans="1:21">
      <c r="A1512" s="270" t="s">
        <v>12591</v>
      </c>
      <c r="B1512" s="3305">
        <v>6844</v>
      </c>
      <c r="C1512" s="4834">
        <f t="shared" si="94"/>
        <v>3.1894264334407193E-4</v>
      </c>
      <c r="D1512" s="3" t="str">
        <f t="shared" si="95"/>
        <v>2017</v>
      </c>
      <c r="J1512" s="270" t="s">
        <v>12594</v>
      </c>
      <c r="K1512" s="4837">
        <v>40656.226573358508</v>
      </c>
      <c r="L1512" s="4834">
        <f t="shared" si="97"/>
        <v>4.3181058246416464E-5</v>
      </c>
      <c r="S1512" s="270" t="s">
        <v>12591</v>
      </c>
      <c r="T1512" s="4838">
        <v>517.30551228922411</v>
      </c>
      <c r="U1512" s="4839">
        <f t="shared" si="96"/>
        <v>1.750292153420261E-3</v>
      </c>
    </row>
    <row r="1513" spans="1:21">
      <c r="A1513" s="270" t="s">
        <v>12592</v>
      </c>
      <c r="B1513" s="3305">
        <v>6845</v>
      </c>
      <c r="C1513" s="4834">
        <f t="shared" si="94"/>
        <v>3.1888814745506734E-4</v>
      </c>
      <c r="D1513" s="3" t="str">
        <f t="shared" si="95"/>
        <v>2017</v>
      </c>
      <c r="J1513" s="270" t="s">
        <v>12596</v>
      </c>
      <c r="K1513" s="4837">
        <v>41133.665159902645</v>
      </c>
      <c r="L1513" s="4834">
        <f t="shared" si="97"/>
        <v>4.4875329693537207E-5</v>
      </c>
      <c r="S1513" s="270" t="s">
        <v>12592</v>
      </c>
      <c r="T1513" s="4838">
        <v>519.55606454902818</v>
      </c>
      <c r="U1513" s="4839">
        <f t="shared" si="96"/>
        <v>1.7667927377972941E-3</v>
      </c>
    </row>
    <row r="1514" spans="1:21">
      <c r="A1514" s="270" t="s">
        <v>12593</v>
      </c>
      <c r="B1514" s="3305">
        <v>6925</v>
      </c>
      <c r="C1514" s="4834">
        <f t="shared" si="94"/>
        <v>3.1387883300512361E-4</v>
      </c>
      <c r="D1514" s="3" t="str">
        <f t="shared" si="95"/>
        <v>2017</v>
      </c>
      <c r="J1514" s="270" t="s">
        <v>12597</v>
      </c>
      <c r="K1514" s="4837">
        <v>41506.613820098719</v>
      </c>
      <c r="L1514" s="4834">
        <f t="shared" si="97"/>
        <v>4.6115868143604207E-5</v>
      </c>
      <c r="S1514" s="270" t="s">
        <v>12593</v>
      </c>
      <c r="T1514" s="4838">
        <v>520.52058694608706</v>
      </c>
      <c r="U1514" s="4839">
        <f t="shared" si="96"/>
        <v>1.7738213594760614E-3</v>
      </c>
    </row>
    <row r="1515" spans="1:21">
      <c r="A1515" s="270" t="s">
        <v>12594</v>
      </c>
      <c r="B1515" s="3305">
        <v>6977</v>
      </c>
      <c r="C1515" s="4834">
        <f t="shared" si="94"/>
        <v>3.0995405642580205E-4</v>
      </c>
      <c r="D1515" s="3" t="str">
        <f t="shared" si="95"/>
        <v>2017</v>
      </c>
      <c r="J1515" s="270" t="s">
        <v>12599</v>
      </c>
      <c r="K1515" s="4837">
        <v>42183.387035368338</v>
      </c>
      <c r="L1515" s="4834">
        <f t="shared" si="97"/>
        <v>4.8152891320922698E-5</v>
      </c>
      <c r="S1515" s="270" t="s">
        <v>12594</v>
      </c>
      <c r="T1515" s="4838">
        <v>519.23455708334188</v>
      </c>
      <c r="U1515" s="4839">
        <f t="shared" si="96"/>
        <v>1.7644440435841534E-3</v>
      </c>
    </row>
    <row r="1516" spans="1:21">
      <c r="A1516" s="270" t="s">
        <v>12595</v>
      </c>
      <c r="B1516" s="3305">
        <v>7019</v>
      </c>
      <c r="C1516" s="4834">
        <f t="shared" si="94"/>
        <v>3.0641581752279272E-4</v>
      </c>
      <c r="D1516" s="3" t="str">
        <f t="shared" si="95"/>
        <v>2017</v>
      </c>
      <c r="J1516" s="270" t="s">
        <v>12600</v>
      </c>
      <c r="K1516" s="4837">
        <v>42275.016663088936</v>
      </c>
      <c r="L1516" s="4834">
        <f t="shared" si="97"/>
        <v>4.8405478687152621E-5</v>
      </c>
      <c r="S1516" s="270" t="s">
        <v>12595</v>
      </c>
      <c r="T1516" s="4838">
        <v>520.19907948040077</v>
      </c>
      <c r="U1516" s="4839">
        <f t="shared" si="96"/>
        <v>1.7714814155717121E-3</v>
      </c>
    </row>
    <row r="1517" spans="1:21">
      <c r="A1517" s="270" t="s">
        <v>12596</v>
      </c>
      <c r="B1517" s="3305">
        <v>7140</v>
      </c>
      <c r="C1517" s="4834">
        <f t="shared" si="94"/>
        <v>2.9450120811672494E-4</v>
      </c>
      <c r="D1517" s="3" t="str">
        <f t="shared" si="95"/>
        <v>2017</v>
      </c>
      <c r="J1517" s="270" t="s">
        <v>12601</v>
      </c>
      <c r="K1517" s="4837">
        <v>42262.15636446148</v>
      </c>
      <c r="L1517" s="4834">
        <f t="shared" si="97"/>
        <v>4.83703797896633E-5</v>
      </c>
      <c r="S1517" s="270" t="s">
        <v>12596</v>
      </c>
      <c r="T1517" s="4838">
        <v>530.48731838236176</v>
      </c>
      <c r="U1517" s="4839">
        <f t="shared" si="96"/>
        <v>1.8447951464133283E-3</v>
      </c>
    </row>
    <row r="1518" spans="1:21">
      <c r="A1518" s="270" t="s">
        <v>12597</v>
      </c>
      <c r="B1518" s="3305">
        <v>7216</v>
      </c>
      <c r="C1518" s="4834">
        <f t="shared" si="94"/>
        <v>2.8582363469172614E-4</v>
      </c>
      <c r="D1518" s="3" t="str">
        <f t="shared" si="95"/>
        <v>2017</v>
      </c>
      <c r="J1518" s="270" t="s">
        <v>12602</v>
      </c>
      <c r="K1518" s="4837">
        <v>42347.355842868346</v>
      </c>
      <c r="L1518" s="4834">
        <f t="shared" si="97"/>
        <v>4.8600745743711354E-5</v>
      </c>
      <c r="S1518" s="270" t="s">
        <v>12597</v>
      </c>
      <c r="T1518" s="4838">
        <v>538.2034975588324</v>
      </c>
      <c r="U1518" s="4839">
        <f t="shared" si="96"/>
        <v>1.897418664309754E-3</v>
      </c>
    </row>
    <row r="1519" spans="1:21">
      <c r="A1519" s="270" t="s">
        <v>12598</v>
      </c>
      <c r="B1519" s="3305">
        <v>7157</v>
      </c>
      <c r="C1519" s="4834">
        <f t="shared" si="94"/>
        <v>2.9263553703249776E-4</v>
      </c>
      <c r="D1519" s="3" t="str">
        <f t="shared" si="95"/>
        <v>2017</v>
      </c>
      <c r="J1519" s="270" t="s">
        <v>12603</v>
      </c>
      <c r="K1519" s="4837">
        <v>42437.377933260505</v>
      </c>
      <c r="L1519" s="4834">
        <f t="shared" si="97"/>
        <v>4.8838555177216383E-5</v>
      </c>
      <c r="S1519" s="270" t="s">
        <v>12598</v>
      </c>
      <c r="T1519" s="4838">
        <v>542.38309461275401</v>
      </c>
      <c r="U1519" s="4839">
        <f t="shared" si="96"/>
        <v>1.9249702746215731E-3</v>
      </c>
    </row>
    <row r="1520" spans="1:21">
      <c r="A1520" s="270" t="s">
        <v>12599</v>
      </c>
      <c r="B1520" s="3305">
        <v>7181</v>
      </c>
      <c r="C1520" s="4834">
        <f t="shared" si="94"/>
        <v>2.899265052371507E-4</v>
      </c>
      <c r="D1520" s="3" t="str">
        <f t="shared" si="95"/>
        <v>2018</v>
      </c>
      <c r="J1520" s="270" t="s">
        <v>12604</v>
      </c>
      <c r="K1520" s="4837">
        <v>42149.628751471282</v>
      </c>
      <c r="L1520" s="4834">
        <f t="shared" si="97"/>
        <v>4.8058373005911836E-5</v>
      </c>
      <c r="S1520" s="270" t="s">
        <v>12599</v>
      </c>
      <c r="T1520" s="4838">
        <v>548.49173646079328</v>
      </c>
      <c r="U1520" s="4839">
        <f t="shared" si="96"/>
        <v>1.9639255069898802E-3</v>
      </c>
    </row>
    <row r="1521" spans="1:21">
      <c r="A1521" s="270" t="s">
        <v>12600</v>
      </c>
      <c r="B1521" s="3305">
        <v>7115.5</v>
      </c>
      <c r="C1521" s="4834">
        <f t="shared" si="94"/>
        <v>2.9711005642916332E-4</v>
      </c>
      <c r="D1521" s="3" t="str">
        <f t="shared" si="95"/>
        <v>2018</v>
      </c>
      <c r="J1521" s="270" t="s">
        <v>12605</v>
      </c>
      <c r="K1521" s="4837">
        <v>42430.94778394678</v>
      </c>
      <c r="L1521" s="4834">
        <f t="shared" si="97"/>
        <v>4.882176148684042E-5</v>
      </c>
      <c r="S1521" s="270" t="s">
        <v>12600</v>
      </c>
      <c r="T1521" s="4838">
        <v>550.74228872059723</v>
      </c>
      <c r="U1521" s="4839">
        <f t="shared" si="96"/>
        <v>1.9778624288553262E-3</v>
      </c>
    </row>
    <row r="1522" spans="1:21">
      <c r="A1522" s="270" t="s">
        <v>12601</v>
      </c>
      <c r="B1522" s="3305">
        <v>7202.5</v>
      </c>
      <c r="C1522" s="4834">
        <f t="shared" si="94"/>
        <v>2.8742709338331972E-4</v>
      </c>
      <c r="D1522" s="3" t="str">
        <f t="shared" si="95"/>
        <v>2018</v>
      </c>
      <c r="J1522" s="270" t="s">
        <v>12606</v>
      </c>
      <c r="K1522" s="4837">
        <v>42537.045247623246</v>
      </c>
      <c r="L1522" s="4834">
        <f t="shared" si="97"/>
        <v>4.909502280323676E-5</v>
      </c>
      <c r="S1522" s="270" t="s">
        <v>12601</v>
      </c>
      <c r="T1522" s="4838">
        <v>550.74228872059723</v>
      </c>
      <c r="U1522" s="4839">
        <f t="shared" si="96"/>
        <v>1.9778624288553262E-3</v>
      </c>
    </row>
    <row r="1523" spans="1:21">
      <c r="A1523" s="270" t="s">
        <v>12602</v>
      </c>
      <c r="B1523" s="3305">
        <v>7097</v>
      </c>
      <c r="C1523" s="4834">
        <f t="shared" si="94"/>
        <v>2.9901589375495136E-4</v>
      </c>
      <c r="D1523" s="3" t="str">
        <f t="shared" si="95"/>
        <v>2018</v>
      </c>
      <c r="J1523" s="270" t="s">
        <v>12607</v>
      </c>
      <c r="K1523" s="4837">
        <v>42657.610547255601</v>
      </c>
      <c r="L1523" s="4834">
        <f t="shared" si="97"/>
        <v>4.939550888332917E-5</v>
      </c>
      <c r="S1523" s="270" t="s">
        <v>12602</v>
      </c>
      <c r="T1523" s="4838">
        <v>551.70681111765623</v>
      </c>
      <c r="U1523" s="4839">
        <f t="shared" si="96"/>
        <v>1.9837643173850968E-3</v>
      </c>
    </row>
    <row r="1524" spans="1:21">
      <c r="A1524" s="270" t="s">
        <v>12603</v>
      </c>
      <c r="B1524" s="3305">
        <v>7084.5</v>
      </c>
      <c r="C1524" s="4834">
        <f t="shared" si="94"/>
        <v>3.0027169488355522E-4</v>
      </c>
      <c r="D1524" s="3" t="str">
        <f t="shared" si="95"/>
        <v>2018</v>
      </c>
      <c r="J1524" s="270" t="s">
        <v>12608</v>
      </c>
      <c r="K1524" s="4837">
        <v>43057.887342035021</v>
      </c>
      <c r="L1524" s="4834">
        <f t="shared" si="97"/>
        <v>5.0313865562086419E-5</v>
      </c>
      <c r="S1524" s="270" t="s">
        <v>12603</v>
      </c>
      <c r="T1524" s="4838">
        <v>552.02831858334241</v>
      </c>
      <c r="U1524" s="4839">
        <f t="shared" si="96"/>
        <v>1.9857220030376254E-3</v>
      </c>
    </row>
    <row r="1525" spans="1:21">
      <c r="A1525" s="270" t="s">
        <v>12604</v>
      </c>
      <c r="B1525" s="3305">
        <v>7092</v>
      </c>
      <c r="C1525" s="4834">
        <f t="shared" si="94"/>
        <v>2.995213320453654E-4</v>
      </c>
      <c r="D1525" s="3" t="str">
        <f t="shared" si="95"/>
        <v>2018</v>
      </c>
      <c r="J1525" s="270" t="s">
        <v>12609</v>
      </c>
      <c r="K1525" s="4837">
        <v>42884.273310564429</v>
      </c>
      <c r="L1525" s="4834">
        <f t="shared" si="97"/>
        <v>4.9930773401199472E-5</v>
      </c>
      <c r="S1525" s="270" t="s">
        <v>12604</v>
      </c>
      <c r="T1525" s="4838">
        <v>548.49173646079328</v>
      </c>
      <c r="U1525" s="4839">
        <f t="shared" si="96"/>
        <v>1.9639255069898802E-3</v>
      </c>
    </row>
    <row r="1526" spans="1:21">
      <c r="A1526" s="270" t="s">
        <v>12605</v>
      </c>
      <c r="B1526" s="3305">
        <v>7140.5</v>
      </c>
      <c r="C1526" s="4834">
        <f t="shared" si="94"/>
        <v>2.9444697691398939E-4</v>
      </c>
      <c r="D1526" s="3" t="str">
        <f t="shared" si="95"/>
        <v>2018</v>
      </c>
      <c r="J1526" s="270" t="s">
        <v>12610</v>
      </c>
      <c r="K1526" s="4837">
        <v>42942.144654387965</v>
      </c>
      <c r="L1526" s="4834">
        <f t="shared" si="97"/>
        <v>5.0061100011751384E-5</v>
      </c>
      <c r="S1526" s="270" t="s">
        <v>12605</v>
      </c>
      <c r="T1526" s="4838">
        <v>551.06379618628364</v>
      </c>
      <c r="U1526" s="4839">
        <f t="shared" si="96"/>
        <v>1.9798345121559914E-3</v>
      </c>
    </row>
    <row r="1527" spans="1:21">
      <c r="A1527" s="270" t="s">
        <v>12606</v>
      </c>
      <c r="B1527" s="3305">
        <v>7123</v>
      </c>
      <c r="C1527" s="4834">
        <f t="shared" si="94"/>
        <v>2.9632159564156081E-4</v>
      </c>
      <c r="D1527" s="3" t="str">
        <f t="shared" si="95"/>
        <v>2018</v>
      </c>
      <c r="J1527" s="270" t="s">
        <v>12611</v>
      </c>
      <c r="K1527" s="4837">
        <v>42831.2245787262</v>
      </c>
      <c r="L1527" s="4834">
        <f t="shared" si="97"/>
        <v>4.9809022963187928E-5</v>
      </c>
      <c r="S1527" s="270" t="s">
        <v>12606</v>
      </c>
      <c r="T1527" s="4838">
        <v>546.88419913236191</v>
      </c>
      <c r="U1527" s="4839">
        <f t="shared" si="96"/>
        <v>1.9538311545726755E-3</v>
      </c>
    </row>
    <row r="1528" spans="1:21">
      <c r="A1528" s="270" t="s">
        <v>12607</v>
      </c>
      <c r="B1528" s="3305">
        <v>7070.5</v>
      </c>
      <c r="C1528" s="4834">
        <f t="shared" si="94"/>
        <v>3.0164709555961956E-4</v>
      </c>
      <c r="D1528" s="3" t="str">
        <f t="shared" si="95"/>
        <v>2018</v>
      </c>
      <c r="J1528" s="270" t="s">
        <v>12612</v>
      </c>
      <c r="K1528" s="4837">
        <v>42919.639131789925</v>
      </c>
      <c r="L1528" s="4834">
        <f t="shared" si="97"/>
        <v>5.0010727789734007E-5</v>
      </c>
      <c r="S1528" s="270" t="s">
        <v>12607</v>
      </c>
      <c r="T1528" s="4838">
        <v>550.42078125491116</v>
      </c>
      <c r="U1528" s="4839">
        <f t="shared" si="96"/>
        <v>1.9758855826659785E-3</v>
      </c>
    </row>
    <row r="1529" spans="1:21">
      <c r="A1529" s="270" t="s">
        <v>12608</v>
      </c>
      <c r="B1529" s="3305">
        <v>7180</v>
      </c>
      <c r="C1529" s="4834">
        <f t="shared" si="94"/>
        <v>2.9004110604736181E-4</v>
      </c>
      <c r="D1529" s="3" t="str">
        <f t="shared" si="95"/>
        <v>2018</v>
      </c>
      <c r="J1529" s="270" t="s">
        <v>12613</v>
      </c>
      <c r="K1529" s="4837">
        <v>42844.084877353642</v>
      </c>
      <c r="L1529" s="4834">
        <f t="shared" si="97"/>
        <v>4.9838737890484086E-5</v>
      </c>
      <c r="S1529" s="270" t="s">
        <v>12608</v>
      </c>
      <c r="T1529" s="4838">
        <v>557.17243803432279</v>
      </c>
      <c r="U1529" s="4839">
        <f t="shared" si="96"/>
        <v>2.0163751507176375E-3</v>
      </c>
    </row>
    <row r="1530" spans="1:21">
      <c r="A1530" s="270" t="s">
        <v>12609</v>
      </c>
      <c r="B1530" s="3305">
        <v>7023</v>
      </c>
      <c r="C1530" s="4834">
        <f t="shared" si="94"/>
        <v>3.0606215712729122E-4</v>
      </c>
      <c r="D1530" s="3" t="str">
        <f t="shared" si="95"/>
        <v>2018</v>
      </c>
      <c r="J1530" s="270" t="s">
        <v>12614</v>
      </c>
      <c r="K1530" s="4837">
        <v>42869.805474608555</v>
      </c>
      <c r="L1530" s="4834">
        <f t="shared" si="97"/>
        <v>4.9897784658177538E-5</v>
      </c>
      <c r="S1530" s="270" t="s">
        <v>12609</v>
      </c>
      <c r="T1530" s="4838">
        <v>549.77776632353846</v>
      </c>
      <c r="U1530" s="4839">
        <f t="shared" si="96"/>
        <v>1.9719176745102767E-3</v>
      </c>
    </row>
    <row r="1531" spans="1:21">
      <c r="A1531" s="270" t="s">
        <v>12610</v>
      </c>
      <c r="B1531" s="3305">
        <v>7047</v>
      </c>
      <c r="C1531" s="4834">
        <f t="shared" si="94"/>
        <v>3.0388057659346885E-4</v>
      </c>
      <c r="D1531" s="3" t="str">
        <f t="shared" si="95"/>
        <v>2018</v>
      </c>
      <c r="J1531" s="270" t="s">
        <v>12615</v>
      </c>
      <c r="K1531" s="4837">
        <v>43522.465629951694</v>
      </c>
      <c r="L1531" s="4834">
        <f t="shared" si="97"/>
        <v>5.1219529418137793E-5</v>
      </c>
      <c r="S1531" s="270" t="s">
        <v>12610</v>
      </c>
      <c r="T1531" s="4838">
        <v>553.31434844608759</v>
      </c>
      <c r="U1531" s="4839">
        <f t="shared" si="96"/>
        <v>1.9935042108124969E-3</v>
      </c>
    </row>
    <row r="1532" spans="1:21">
      <c r="A1532" s="270" t="s">
        <v>12611</v>
      </c>
      <c r="B1532" s="3305">
        <v>7047</v>
      </c>
      <c r="C1532" s="4834">
        <f t="shared" si="94"/>
        <v>3.0388057659346885E-4</v>
      </c>
      <c r="D1532" s="3" t="str">
        <f t="shared" si="95"/>
        <v>2018</v>
      </c>
      <c r="J1532" s="270" t="s">
        <v>12616</v>
      </c>
      <c r="K1532" s="4837">
        <v>43562.654063162481</v>
      </c>
      <c r="L1532" s="4834">
        <f t="shared" si="97"/>
        <v>5.128946773022665E-5</v>
      </c>
      <c r="S1532" s="270" t="s">
        <v>12611</v>
      </c>
      <c r="T1532" s="4838">
        <v>549.45625885785216</v>
      </c>
      <c r="U1532" s="4839">
        <f t="shared" si="96"/>
        <v>1.9699266490636747E-3</v>
      </c>
    </row>
    <row r="1533" spans="1:21">
      <c r="A1533" s="270" t="s">
        <v>12612</v>
      </c>
      <c r="B1533" s="3305">
        <v>7079</v>
      </c>
      <c r="C1533" s="4834">
        <f t="shared" si="94"/>
        <v>3.0081597569961958E-4</v>
      </c>
      <c r="D1533" s="3" t="str">
        <f t="shared" si="95"/>
        <v>2018</v>
      </c>
      <c r="J1533" s="270" t="s">
        <v>12617</v>
      </c>
      <c r="K1533" s="4837">
        <v>43504.782719338953</v>
      </c>
      <c r="L1533" s="4834">
        <f t="shared" si="97"/>
        <v>5.1188325231641638E-5</v>
      </c>
      <c r="S1533" s="270" t="s">
        <v>12612</v>
      </c>
      <c r="T1533" s="4838">
        <v>547.8487215294208</v>
      </c>
      <c r="U1533" s="4839">
        <f t="shared" si="96"/>
        <v>1.9599015411960389E-3</v>
      </c>
    </row>
    <row r="1534" spans="1:21">
      <c r="A1534" s="270" t="s">
        <v>12613</v>
      </c>
      <c r="B1534" s="3305">
        <v>7049</v>
      </c>
      <c r="C1534" s="4834">
        <f t="shared" si="94"/>
        <v>3.0369421010093326E-4</v>
      </c>
      <c r="D1534" s="3" t="str">
        <f t="shared" si="95"/>
        <v>2018</v>
      </c>
      <c r="J1534" s="270" t="s">
        <v>12618</v>
      </c>
      <c r="K1534" s="4837">
        <v>43205.780776250715</v>
      </c>
      <c r="L1534" s="4834">
        <f t="shared" si="97"/>
        <v>5.0621308277918657E-5</v>
      </c>
      <c r="S1534" s="270" t="s">
        <v>12613</v>
      </c>
      <c r="T1534" s="4838">
        <v>547.8487215294208</v>
      </c>
      <c r="U1534" s="4839">
        <f t="shared" si="96"/>
        <v>1.9599015411960389E-3</v>
      </c>
    </row>
    <row r="1535" spans="1:21">
      <c r="A1535" s="270" t="s">
        <v>12614</v>
      </c>
      <c r="B1535" s="3305">
        <v>6905</v>
      </c>
      <c r="C1535" s="4834">
        <f t="shared" si="94"/>
        <v>3.1524998971561933E-4</v>
      </c>
      <c r="D1535" s="3" t="str">
        <f t="shared" si="95"/>
        <v>2018</v>
      </c>
      <c r="J1535" s="270" t="s">
        <v>12619</v>
      </c>
      <c r="K1535" s="4837">
        <v>43239.539060147777</v>
      </c>
      <c r="L1535" s="4834">
        <f t="shared" si="97"/>
        <v>5.0689009473838782E-5</v>
      </c>
      <c r="S1535" s="270" t="s">
        <v>12614</v>
      </c>
      <c r="T1535" s="4838">
        <v>545.91967673530314</v>
      </c>
      <c r="U1535" s="4839">
        <f t="shared" si="96"/>
        <v>1.9477198866897996E-3</v>
      </c>
    </row>
    <row r="1536" spans="1:21">
      <c r="A1536" s="270" t="s">
        <v>12615</v>
      </c>
      <c r="B1536" s="3305">
        <v>6943</v>
      </c>
      <c r="C1536" s="4834">
        <f t="shared" si="94"/>
        <v>3.1257851433957298E-4</v>
      </c>
      <c r="D1536" s="3" t="str">
        <f t="shared" si="95"/>
        <v>2018</v>
      </c>
      <c r="J1536" s="270" t="s">
        <v>12620</v>
      </c>
      <c r="K1536" s="4837">
        <v>43244.361672133069</v>
      </c>
      <c r="L1536" s="4834">
        <f t="shared" si="97"/>
        <v>5.0698605346851613E-5</v>
      </c>
      <c r="S1536" s="270" t="s">
        <v>12615</v>
      </c>
      <c r="T1536" s="4838">
        <v>552.67133351471512</v>
      </c>
      <c r="U1536" s="4839">
        <f t="shared" si="96"/>
        <v>1.9896228499632928E-3</v>
      </c>
    </row>
    <row r="1537" spans="1:21">
      <c r="A1537" s="270" t="s">
        <v>12616</v>
      </c>
      <c r="B1537" s="3305">
        <v>7112</v>
      </c>
      <c r="C1537" s="4834">
        <f t="shared" si="94"/>
        <v>2.9747489937900377E-4</v>
      </c>
      <c r="D1537" s="3" t="str">
        <f t="shared" si="95"/>
        <v>2018</v>
      </c>
      <c r="J1537" s="270" t="s">
        <v>12621</v>
      </c>
      <c r="K1537" s="4837">
        <v>43125.40390982914</v>
      </c>
      <c r="L1537" s="4834">
        <f t="shared" si="97"/>
        <v>5.0456400066800617E-5</v>
      </c>
      <c r="S1537" s="270" t="s">
        <v>12616</v>
      </c>
      <c r="T1537" s="4838">
        <v>563.28107988236218</v>
      </c>
      <c r="U1537" s="4839">
        <f t="shared" si="96"/>
        <v>2.0510677096177553E-3</v>
      </c>
    </row>
    <row r="1538" spans="1:21">
      <c r="A1538" s="270" t="s">
        <v>12617</v>
      </c>
      <c r="B1538" s="3305">
        <v>7063.5</v>
      </c>
      <c r="C1538" s="4834">
        <f t="shared" si="94"/>
        <v>3.0232232139831659E-4</v>
      </c>
      <c r="D1538" s="3" t="str">
        <f t="shared" si="95"/>
        <v>2018</v>
      </c>
      <c r="J1538" s="270" t="s">
        <v>12622</v>
      </c>
      <c r="K1538" s="4837">
        <v>42797.466294829144</v>
      </c>
      <c r="L1538" s="4834">
        <f t="shared" si="97"/>
        <v>4.9730415951942161E-5</v>
      </c>
      <c r="S1538" s="270" t="s">
        <v>12617</v>
      </c>
      <c r="T1538" s="4838">
        <v>559.42299029412675</v>
      </c>
      <c r="U1538" s="4839">
        <f t="shared" si="96"/>
        <v>2.0293779894825911E-3</v>
      </c>
    </row>
    <row r="1539" spans="1:21">
      <c r="A1539" s="270" t="s">
        <v>12618</v>
      </c>
      <c r="B1539" s="3305">
        <v>7062</v>
      </c>
      <c r="C1539" s="4834">
        <f t="shared" si="94"/>
        <v>3.0246592186893619E-4</v>
      </c>
      <c r="D1539" s="3" t="str">
        <f t="shared" si="95"/>
        <v>2018</v>
      </c>
      <c r="J1539" s="270" t="s">
        <v>12623</v>
      </c>
      <c r="K1539" s="4837">
        <v>42876.235623922272</v>
      </c>
      <c r="L1539" s="4834">
        <f t="shared" si="97"/>
        <v>4.9912466359563623E-5</v>
      </c>
      <c r="S1539" s="270" t="s">
        <v>12618</v>
      </c>
      <c r="T1539" s="4838">
        <v>557.4939455000092</v>
      </c>
      <c r="U1539" s="4839">
        <f t="shared" si="96"/>
        <v>2.0182482001219115E-3</v>
      </c>
    </row>
    <row r="1540" spans="1:21">
      <c r="A1540" s="270" t="s">
        <v>12619</v>
      </c>
      <c r="B1540" s="3305">
        <v>7049</v>
      </c>
      <c r="C1540" s="4834">
        <f t="shared" ref="C1540:C1603" si="98">_xlfn.NORM.DIST(B1540,$F$4,$F$3,FALSE)</f>
        <v>3.0369421010093326E-4</v>
      </c>
      <c r="D1540" s="3" t="str">
        <f t="shared" ref="D1540:D1603" si="99">LEFT(A1540,4)</f>
        <v>2018</v>
      </c>
      <c r="J1540" s="270" t="s">
        <v>12624</v>
      </c>
      <c r="K1540" s="4837">
        <v>42805.503981471295</v>
      </c>
      <c r="L1540" s="4834">
        <f t="shared" si="97"/>
        <v>4.9749211267895086E-5</v>
      </c>
      <c r="S1540" s="270" t="s">
        <v>12619</v>
      </c>
      <c r="T1540" s="4838">
        <v>556.20791563726414</v>
      </c>
      <c r="U1540" s="4839">
        <f t="shared" ref="U1540:U1603" si="100">_xlfn.NORM.DIST(T1540,$X$4,$X$3,FALSE)</f>
        <v>2.0107253502680603E-3</v>
      </c>
    </row>
    <row r="1541" spans="1:21">
      <c r="A1541" s="270" t="s">
        <v>12620</v>
      </c>
      <c r="B1541" s="3305">
        <v>7100.5</v>
      </c>
      <c r="C1541" s="4834">
        <f t="shared" si="98"/>
        <v>2.986596285917365E-4</v>
      </c>
      <c r="D1541" s="3" t="str">
        <f t="shared" si="99"/>
        <v>2018</v>
      </c>
      <c r="J1541" s="270" t="s">
        <v>12625</v>
      </c>
      <c r="K1541" s="4837">
        <v>42588.486442133064</v>
      </c>
      <c r="L1541" s="4834">
        <f t="shared" ref="L1541:L1604" si="101">_xlfn.NORM.DIST(K1541,$O$4,$O$3,FALSE)</f>
        <v>4.9224548181176411E-5</v>
      </c>
      <c r="S1541" s="270" t="s">
        <v>12620</v>
      </c>
      <c r="T1541" s="4838">
        <v>553.95736337746018</v>
      </c>
      <c r="U1541" s="4839">
        <f t="shared" si="100"/>
        <v>1.9973659417513168E-3</v>
      </c>
    </row>
    <row r="1542" spans="1:21">
      <c r="A1542" s="270" t="s">
        <v>12621</v>
      </c>
      <c r="B1542" s="3305">
        <v>7027</v>
      </c>
      <c r="C1542" s="4834">
        <f t="shared" si="98"/>
        <v>3.0570563940769772E-4</v>
      </c>
      <c r="D1542" s="3" t="str">
        <f t="shared" si="99"/>
        <v>2018</v>
      </c>
      <c r="J1542" s="270" t="s">
        <v>12626</v>
      </c>
      <c r="K1542" s="4837">
        <v>42292.699573701684</v>
      </c>
      <c r="L1542" s="4834">
        <f t="shared" si="101"/>
        <v>4.8453550679888176E-5</v>
      </c>
      <c r="S1542" s="270" t="s">
        <v>12621</v>
      </c>
      <c r="T1542" s="4838">
        <v>552.67133351471512</v>
      </c>
      <c r="U1542" s="4839">
        <f t="shared" si="100"/>
        <v>1.9896228499632928E-3</v>
      </c>
    </row>
    <row r="1543" spans="1:21">
      <c r="A1543" s="270" t="s">
        <v>12622</v>
      </c>
      <c r="B1543" s="3305">
        <v>7066</v>
      </c>
      <c r="C1543" s="4834">
        <f t="shared" si="98"/>
        <v>3.020821303945154E-4</v>
      </c>
      <c r="D1543" s="3" t="str">
        <f t="shared" si="99"/>
        <v>2018</v>
      </c>
      <c r="J1543" s="270" t="s">
        <v>12627</v>
      </c>
      <c r="K1543" s="4837">
        <v>42249.296065834023</v>
      </c>
      <c r="L1543" s="4834">
        <f t="shared" si="101"/>
        <v>4.8335165470682536E-5</v>
      </c>
      <c r="S1543" s="270" t="s">
        <v>12622</v>
      </c>
      <c r="T1543" s="4838">
        <v>551.06379618628364</v>
      </c>
      <c r="U1543" s="4839">
        <f t="shared" si="100"/>
        <v>1.9798345121559914E-3</v>
      </c>
    </row>
    <row r="1544" spans="1:21">
      <c r="A1544" s="270" t="s">
        <v>12623</v>
      </c>
      <c r="B1544" s="3305">
        <v>7050</v>
      </c>
      <c r="C1544" s="4834">
        <f t="shared" si="98"/>
        <v>3.0360076568767749E-4</v>
      </c>
      <c r="D1544" s="3" t="str">
        <f t="shared" si="99"/>
        <v>2018</v>
      </c>
      <c r="J1544" s="270" t="s">
        <v>12628</v>
      </c>
      <c r="K1544" s="4837">
        <v>42512.932187696773</v>
      </c>
      <c r="L1544" s="4834">
        <f t="shared" si="101"/>
        <v>4.9033638048542897E-5</v>
      </c>
      <c r="S1544" s="270" t="s">
        <v>12623</v>
      </c>
      <c r="T1544" s="4838">
        <v>542.7046020784403</v>
      </c>
      <c r="U1544" s="4839">
        <f t="shared" si="100"/>
        <v>1.9270601989020964E-3</v>
      </c>
    </row>
    <row r="1545" spans="1:21">
      <c r="A1545" s="270" t="s">
        <v>12624</v>
      </c>
      <c r="B1545" s="3305">
        <v>7060</v>
      </c>
      <c r="C1545" s="4834">
        <f t="shared" si="98"/>
        <v>3.0265678806756465E-4</v>
      </c>
      <c r="D1545" s="3" t="str">
        <f t="shared" si="99"/>
        <v>2018</v>
      </c>
      <c r="J1545" s="270" t="s">
        <v>12629</v>
      </c>
      <c r="K1545" s="4837">
        <v>42610.991964731089</v>
      </c>
      <c r="L1545" s="4834">
        <f t="shared" si="101"/>
        <v>4.9280600307652352E-5</v>
      </c>
      <c r="S1545" s="270" t="s">
        <v>12624</v>
      </c>
      <c r="T1545" s="4838">
        <v>540.45404981863635</v>
      </c>
      <c r="U1545" s="4839">
        <f t="shared" si="100"/>
        <v>1.912341506963173E-3</v>
      </c>
    </row>
    <row r="1546" spans="1:21">
      <c r="A1546" s="270" t="s">
        <v>12625</v>
      </c>
      <c r="B1546" s="3305">
        <v>7006</v>
      </c>
      <c r="C1546" s="4834">
        <f t="shared" si="98"/>
        <v>3.0754534968351576E-4</v>
      </c>
      <c r="D1546" s="3" t="str">
        <f t="shared" si="99"/>
        <v>2018</v>
      </c>
      <c r="J1546" s="270" t="s">
        <v>12630</v>
      </c>
      <c r="K1546" s="4837">
        <v>42961.435102329138</v>
      </c>
      <c r="L1546" s="4834">
        <f t="shared" si="101"/>
        <v>5.010396064083201E-5</v>
      </c>
      <c r="S1546" s="270" t="s">
        <v>12625</v>
      </c>
      <c r="T1546" s="4838">
        <v>536.59596023040103</v>
      </c>
      <c r="U1546" s="4839">
        <f t="shared" si="100"/>
        <v>1.8866381284379152E-3</v>
      </c>
    </row>
    <row r="1547" spans="1:21">
      <c r="A1547" s="270" t="s">
        <v>12626</v>
      </c>
      <c r="B1547" s="3305">
        <v>6838</v>
      </c>
      <c r="C1547" s="4834">
        <f t="shared" si="98"/>
        <v>3.192653382060355E-4</v>
      </c>
      <c r="D1547" s="3" t="str">
        <f t="shared" si="99"/>
        <v>2018</v>
      </c>
      <c r="J1547" s="270" t="s">
        <v>12631</v>
      </c>
      <c r="K1547" s="4837">
        <v>43482.277196740913</v>
      </c>
      <c r="L1547" s="4834">
        <f t="shared" si="101"/>
        <v>5.114823068990255E-5</v>
      </c>
      <c r="S1547" s="270" t="s">
        <v>12626</v>
      </c>
      <c r="T1547" s="4838">
        <v>525.66470639706756</v>
      </c>
      <c r="U1547" s="4839">
        <f t="shared" si="100"/>
        <v>1.8108449239994827E-3</v>
      </c>
    </row>
    <row r="1548" spans="1:21">
      <c r="A1548" s="270" t="s">
        <v>12627</v>
      </c>
      <c r="B1548" s="3305">
        <v>6755</v>
      </c>
      <c r="C1548" s="4834">
        <f t="shared" si="98"/>
        <v>3.2296556417323377E-4</v>
      </c>
      <c r="D1548" s="3" t="str">
        <f t="shared" si="99"/>
        <v>2018</v>
      </c>
      <c r="J1548" s="270" t="s">
        <v>12632</v>
      </c>
      <c r="K1548" s="4837">
        <v>43471.02443544189</v>
      </c>
      <c r="L1548" s="4834">
        <f t="shared" si="101"/>
        <v>5.1128024067049808E-5</v>
      </c>
      <c r="S1548" s="270" t="s">
        <v>12627</v>
      </c>
      <c r="T1548" s="4838">
        <v>525.98621386275374</v>
      </c>
      <c r="U1548" s="4839">
        <f t="shared" si="100"/>
        <v>1.8131319170043444E-3</v>
      </c>
    </row>
    <row r="1549" spans="1:21">
      <c r="A1549" s="270" t="s">
        <v>12628</v>
      </c>
      <c r="B1549" s="3305">
        <v>6786.5</v>
      </c>
      <c r="C1549" s="4834">
        <f t="shared" si="98"/>
        <v>3.2173041480663988E-4</v>
      </c>
      <c r="D1549" s="3" t="str">
        <f t="shared" si="99"/>
        <v>2018</v>
      </c>
      <c r="J1549" s="270" t="s">
        <v>12633</v>
      </c>
      <c r="K1549" s="4837">
        <v>43294.195329314432</v>
      </c>
      <c r="L1549" s="4834">
        <f t="shared" si="101"/>
        <v>5.0796650058292622E-5</v>
      </c>
      <c r="S1549" s="270" t="s">
        <v>12628</v>
      </c>
      <c r="T1549" s="4838">
        <v>528.23676612255781</v>
      </c>
      <c r="U1549" s="4839">
        <f t="shared" si="100"/>
        <v>1.8290475733362577E-3</v>
      </c>
    </row>
    <row r="1550" spans="1:21">
      <c r="A1550" s="270" t="s">
        <v>12629</v>
      </c>
      <c r="B1550" s="3305">
        <v>6908</v>
      </c>
      <c r="C1550" s="4834">
        <f t="shared" si="98"/>
        <v>3.1504929840400487E-4</v>
      </c>
      <c r="D1550" s="3" t="str">
        <f t="shared" si="99"/>
        <v>2018</v>
      </c>
      <c r="J1550" s="270" t="s">
        <v>12634</v>
      </c>
      <c r="K1550" s="4837">
        <v>43077.177789976195</v>
      </c>
      <c r="L1550" s="4834">
        <f t="shared" si="101"/>
        <v>5.0354961325851313E-5</v>
      </c>
      <c r="S1550" s="270" t="s">
        <v>12629</v>
      </c>
      <c r="T1550" s="4838">
        <v>534.02390050491078</v>
      </c>
      <c r="U1550" s="4839">
        <f t="shared" si="100"/>
        <v>1.8691855742600859E-3</v>
      </c>
    </row>
    <row r="1551" spans="1:21">
      <c r="A1551" s="270" t="s">
        <v>12630</v>
      </c>
      <c r="B1551" s="3305">
        <v>6962</v>
      </c>
      <c r="C1551" s="4834">
        <f t="shared" si="98"/>
        <v>3.11138776994373E-4</v>
      </c>
      <c r="D1551" s="3" t="str">
        <f t="shared" si="99"/>
        <v>2018</v>
      </c>
      <c r="J1551" s="270" t="s">
        <v>12635</v>
      </c>
      <c r="K1551" s="4837">
        <v>42776.56830955953</v>
      </c>
      <c r="L1551" s="4834">
        <f t="shared" si="101"/>
        <v>4.9681316652109638E-5</v>
      </c>
      <c r="S1551" s="270" t="s">
        <v>12630</v>
      </c>
      <c r="T1551" s="4838">
        <v>533.0593781078519</v>
      </c>
      <c r="U1551" s="4839">
        <f t="shared" si="100"/>
        <v>1.8625779328578019E-3</v>
      </c>
    </row>
    <row r="1552" spans="1:21">
      <c r="A1552" s="270" t="s">
        <v>12631</v>
      </c>
      <c r="B1552" s="3305">
        <v>7098</v>
      </c>
      <c r="C1552" s="4834">
        <f t="shared" si="98"/>
        <v>2.989143098142816E-4</v>
      </c>
      <c r="D1552" s="3" t="str">
        <f t="shared" si="99"/>
        <v>2018</v>
      </c>
      <c r="J1552" s="270" t="s">
        <v>12636</v>
      </c>
      <c r="K1552" s="4837">
        <v>42707.444204436972</v>
      </c>
      <c r="L1552" s="4834">
        <f t="shared" si="101"/>
        <v>4.9516541376831377E-5</v>
      </c>
      <c r="S1552" s="270" t="s">
        <v>12631</v>
      </c>
      <c r="T1552" s="4838">
        <v>541.09706475000883</v>
      </c>
      <c r="U1552" s="4839">
        <f t="shared" si="100"/>
        <v>1.9165679645207526E-3</v>
      </c>
    </row>
    <row r="1553" spans="1:21">
      <c r="A1553" s="270" t="s">
        <v>12632</v>
      </c>
      <c r="B1553" s="3305">
        <v>7159</v>
      </c>
      <c r="C1553" s="4834">
        <f t="shared" si="98"/>
        <v>2.9241311561202109E-4</v>
      </c>
      <c r="D1553" s="3" t="str">
        <f t="shared" si="99"/>
        <v>2018</v>
      </c>
      <c r="J1553" s="270" t="s">
        <v>12637</v>
      </c>
      <c r="K1553" s="4837">
        <v>42694.58390580953</v>
      </c>
      <c r="L1553" s="4834">
        <f t="shared" si="101"/>
        <v>4.9485486144839342E-5</v>
      </c>
      <c r="S1553" s="270" t="s">
        <v>12632</v>
      </c>
      <c r="T1553" s="4838">
        <v>541.41857221569524</v>
      </c>
      <c r="U1553" s="4839">
        <f t="shared" si="100"/>
        <v>1.9186748961293682E-3</v>
      </c>
    </row>
    <row r="1554" spans="1:21">
      <c r="A1554" s="270" t="s">
        <v>12633</v>
      </c>
      <c r="B1554" s="3305">
        <v>7093</v>
      </c>
      <c r="C1554" s="4834">
        <f t="shared" si="98"/>
        <v>2.9942057587921552E-4</v>
      </c>
      <c r="D1554" s="3" t="str">
        <f t="shared" si="99"/>
        <v>2018</v>
      </c>
      <c r="J1554" s="270" t="s">
        <v>12638</v>
      </c>
      <c r="K1554" s="4837">
        <v>42873.020549265413</v>
      </c>
      <c r="L1554" s="4834">
        <f t="shared" si="101"/>
        <v>4.9905129514189288E-5</v>
      </c>
      <c r="S1554" s="270" t="s">
        <v>12633</v>
      </c>
      <c r="T1554" s="4838">
        <v>537.56048262745981</v>
      </c>
      <c r="U1554" s="4839">
        <f t="shared" si="100"/>
        <v>1.893118413647472E-3</v>
      </c>
    </row>
    <row r="1555" spans="1:21">
      <c r="A1555" s="270" t="s">
        <v>12634</v>
      </c>
      <c r="B1555" s="3305">
        <v>7027</v>
      </c>
      <c r="C1555" s="4834">
        <f t="shared" si="98"/>
        <v>3.0570563940769772E-4</v>
      </c>
      <c r="D1555" s="3" t="str">
        <f t="shared" si="99"/>
        <v>2018</v>
      </c>
      <c r="J1555" s="270" t="s">
        <v>12639</v>
      </c>
      <c r="K1555" s="4837">
        <v>42623.852263358545</v>
      </c>
      <c r="L1555" s="4834">
        <f t="shared" si="101"/>
        <v>4.931246113123553E-5</v>
      </c>
      <c r="S1555" s="270" t="s">
        <v>12634</v>
      </c>
      <c r="T1555" s="4838">
        <v>532.73787064216572</v>
      </c>
      <c r="U1555" s="4839">
        <f t="shared" si="100"/>
        <v>1.8603679126088634E-3</v>
      </c>
    </row>
    <row r="1556" spans="1:21">
      <c r="A1556" s="270" t="s">
        <v>12635</v>
      </c>
      <c r="B1556" s="3305">
        <v>7003</v>
      </c>
      <c r="C1556" s="4834">
        <f t="shared" si="98"/>
        <v>3.0780166982934695E-4</v>
      </c>
      <c r="D1556" s="3" t="str">
        <f t="shared" si="99"/>
        <v>2018</v>
      </c>
      <c r="J1556" s="270" t="s">
        <v>12640</v>
      </c>
      <c r="K1556" s="4837">
        <v>42369.861365466386</v>
      </c>
      <c r="L1556" s="4834">
        <f t="shared" si="101"/>
        <v>4.8660740805311976E-5</v>
      </c>
      <c r="S1556" s="270" t="s">
        <v>12635</v>
      </c>
      <c r="T1556" s="4838">
        <v>528.55827358824399</v>
      </c>
      <c r="U1556" s="4839">
        <f t="shared" si="100"/>
        <v>1.8313076745651163E-3</v>
      </c>
    </row>
    <row r="1557" spans="1:21">
      <c r="A1557" s="270" t="s">
        <v>12636</v>
      </c>
      <c r="B1557" s="3305">
        <v>7032</v>
      </c>
      <c r="C1557" s="4834">
        <f t="shared" si="98"/>
        <v>3.0525599082070526E-4</v>
      </c>
      <c r="D1557" s="3" t="str">
        <f t="shared" si="99"/>
        <v>2018</v>
      </c>
      <c r="J1557" s="270" t="s">
        <v>12641</v>
      </c>
      <c r="K1557" s="4837">
        <v>42045.138825123249</v>
      </c>
      <c r="L1557" s="4834">
        <f t="shared" si="101"/>
        <v>4.7760911137262111E-5</v>
      </c>
      <c r="S1557" s="270" t="s">
        <v>12636</v>
      </c>
      <c r="T1557" s="4838">
        <v>529.52279598530288</v>
      </c>
      <c r="U1557" s="4839">
        <f t="shared" si="100"/>
        <v>1.8380672000459363E-3</v>
      </c>
    </row>
    <row r="1558" spans="1:21">
      <c r="A1558" s="270" t="s">
        <v>12637</v>
      </c>
      <c r="B1558" s="3305">
        <v>7073.5</v>
      </c>
      <c r="C1558" s="4834">
        <f t="shared" si="98"/>
        <v>3.0135515706382484E-4</v>
      </c>
      <c r="D1558" s="3" t="str">
        <f t="shared" si="99"/>
        <v>2018</v>
      </c>
      <c r="J1558" s="270" t="s">
        <v>12642</v>
      </c>
      <c r="K1558" s="4837">
        <v>42512.932187696773</v>
      </c>
      <c r="L1558" s="4834">
        <f t="shared" si="101"/>
        <v>4.9033638048542897E-5</v>
      </c>
      <c r="S1558" s="270" t="s">
        <v>12637</v>
      </c>
      <c r="T1558" s="4838">
        <v>534.02390050491078</v>
      </c>
      <c r="U1558" s="4839">
        <f t="shared" si="100"/>
        <v>1.8691855742600859E-3</v>
      </c>
    </row>
    <row r="1559" spans="1:21">
      <c r="A1559" s="270" t="s">
        <v>12638</v>
      </c>
      <c r="B1559" s="3305">
        <v>7111</v>
      </c>
      <c r="C1559" s="4834">
        <f t="shared" si="98"/>
        <v>2.9757877548353373E-4</v>
      </c>
      <c r="D1559" s="3" t="str">
        <f t="shared" si="99"/>
        <v>2018</v>
      </c>
      <c r="J1559" s="270" t="s">
        <v>12643</v>
      </c>
      <c r="K1559" s="4837">
        <v>42451.845769216394</v>
      </c>
      <c r="L1559" s="4834">
        <f t="shared" si="101"/>
        <v>4.8876231897612459E-5</v>
      </c>
      <c r="S1559" s="270" t="s">
        <v>12638</v>
      </c>
      <c r="T1559" s="4838">
        <v>535.95294529902844</v>
      </c>
      <c r="U1559" s="4839">
        <f t="shared" si="100"/>
        <v>1.8822982233006348E-3</v>
      </c>
    </row>
    <row r="1560" spans="1:21">
      <c r="A1560" s="270" t="s">
        <v>12639</v>
      </c>
      <c r="B1560" s="3305">
        <v>7028</v>
      </c>
      <c r="C1560" s="4834">
        <f t="shared" si="98"/>
        <v>3.0561606480126351E-4</v>
      </c>
      <c r="D1560" s="3" t="str">
        <f t="shared" si="99"/>
        <v>2018</v>
      </c>
      <c r="J1560" s="270" t="s">
        <v>12644</v>
      </c>
      <c r="K1560" s="4837">
        <v>42805.503981471295</v>
      </c>
      <c r="L1560" s="4834">
        <f t="shared" si="101"/>
        <v>4.9749211267895086E-5</v>
      </c>
      <c r="S1560" s="270" t="s">
        <v>12639</v>
      </c>
      <c r="T1560" s="4838">
        <v>534.02390050491078</v>
      </c>
      <c r="U1560" s="4839">
        <f t="shared" si="100"/>
        <v>1.8691855742600859E-3</v>
      </c>
    </row>
    <row r="1561" spans="1:21">
      <c r="A1561" s="270" t="s">
        <v>12640</v>
      </c>
      <c r="B1561" s="3305">
        <v>6953</v>
      </c>
      <c r="C1561" s="4834">
        <f t="shared" si="98"/>
        <v>3.1182929737114844E-4</v>
      </c>
      <c r="D1561" s="3" t="str">
        <f t="shared" si="99"/>
        <v>2018</v>
      </c>
      <c r="J1561" s="270" t="s">
        <v>12645</v>
      </c>
      <c r="K1561" s="4837">
        <v>42741.202488334042</v>
      </c>
      <c r="L1561" s="4834">
        <f t="shared" si="101"/>
        <v>4.9597466368854776E-5</v>
      </c>
      <c r="S1561" s="270" t="s">
        <v>12640</v>
      </c>
      <c r="T1561" s="4838">
        <v>528.55827358824399</v>
      </c>
      <c r="U1561" s="4839">
        <f t="shared" si="100"/>
        <v>1.8313076745651163E-3</v>
      </c>
    </row>
    <row r="1562" spans="1:21">
      <c r="A1562" s="270" t="s">
        <v>12641</v>
      </c>
      <c r="B1562" s="3305">
        <v>6852</v>
      </c>
      <c r="C1562" s="4834">
        <f t="shared" si="98"/>
        <v>3.1850098300247021E-4</v>
      </c>
      <c r="D1562" s="3" t="str">
        <f t="shared" si="99"/>
        <v>2018</v>
      </c>
      <c r="J1562" s="270" t="s">
        <v>12646</v>
      </c>
      <c r="K1562" s="4837">
        <v>42471.136217157567</v>
      </c>
      <c r="L1562" s="4834">
        <f t="shared" si="101"/>
        <v>4.8926232009114522E-5</v>
      </c>
      <c r="S1562" s="270" t="s">
        <v>12641</v>
      </c>
      <c r="T1562" s="4838">
        <v>524.70018400000856</v>
      </c>
      <c r="U1562" s="4839">
        <f t="shared" si="100"/>
        <v>1.8039643868155882E-3</v>
      </c>
    </row>
    <row r="1563" spans="1:21">
      <c r="A1563" s="270" t="s">
        <v>12642</v>
      </c>
      <c r="B1563" s="3305">
        <v>6883</v>
      </c>
      <c r="C1563" s="4834">
        <f t="shared" si="98"/>
        <v>3.1666749400716088E-4</v>
      </c>
      <c r="D1563" s="3" t="str">
        <f t="shared" si="99"/>
        <v>2018</v>
      </c>
      <c r="J1563" s="270" t="s">
        <v>12647</v>
      </c>
      <c r="K1563" s="4837">
        <v>42458.275918530104</v>
      </c>
      <c r="L1563" s="4834">
        <f t="shared" si="101"/>
        <v>4.8892928545632364E-5</v>
      </c>
      <c r="S1563" s="270" t="s">
        <v>12642</v>
      </c>
      <c r="T1563" s="4838">
        <v>528.87978105393029</v>
      </c>
      <c r="U1563" s="4839">
        <f t="shared" si="100"/>
        <v>1.8335643258424611E-3</v>
      </c>
    </row>
    <row r="1564" spans="1:21">
      <c r="A1564" s="270" t="s">
        <v>12643</v>
      </c>
      <c r="B1564" s="3305">
        <v>6850</v>
      </c>
      <c r="C1564" s="4834">
        <f t="shared" si="98"/>
        <v>3.1861261697744702E-4</v>
      </c>
      <c r="D1564" s="3" t="str">
        <f t="shared" si="99"/>
        <v>2018</v>
      </c>
      <c r="J1564" s="270" t="s">
        <v>12648</v>
      </c>
      <c r="K1564" s="4837">
        <v>42411.657336005606</v>
      </c>
      <c r="L1564" s="4834">
        <f t="shared" si="101"/>
        <v>4.8771201841946217E-5</v>
      </c>
      <c r="S1564" s="270" t="s">
        <v>12643</v>
      </c>
      <c r="T1564" s="4838">
        <v>530.80882584804806</v>
      </c>
      <c r="U1564" s="4839">
        <f t="shared" si="100"/>
        <v>1.8470306862203123E-3</v>
      </c>
    </row>
    <row r="1565" spans="1:21">
      <c r="A1565" s="270" t="s">
        <v>12644</v>
      </c>
      <c r="B1565" s="3305">
        <v>6968.5</v>
      </c>
      <c r="C1565" s="4834">
        <f t="shared" si="98"/>
        <v>3.1063057198042331E-4</v>
      </c>
      <c r="D1565" s="3" t="str">
        <f t="shared" si="99"/>
        <v>2018</v>
      </c>
      <c r="J1565" s="270" t="s">
        <v>12649</v>
      </c>
      <c r="K1565" s="4837">
        <v>42527.400023652663</v>
      </c>
      <c r="L1565" s="4834">
        <f t="shared" si="101"/>
        <v>4.907052001940427E-5</v>
      </c>
      <c r="S1565" s="270" t="s">
        <v>12644</v>
      </c>
      <c r="T1565" s="4838">
        <v>534.34540797059708</v>
      </c>
      <c r="U1565" s="4839">
        <f t="shared" si="100"/>
        <v>1.8713805835203149E-3</v>
      </c>
    </row>
    <row r="1566" spans="1:21">
      <c r="A1566" s="270" t="s">
        <v>12645</v>
      </c>
      <c r="B1566" s="3305">
        <v>6873</v>
      </c>
      <c r="C1566" s="4834">
        <f t="shared" si="98"/>
        <v>3.1728002631168219E-4</v>
      </c>
      <c r="D1566" s="3" t="str">
        <f t="shared" si="99"/>
        <v>2018</v>
      </c>
      <c r="J1566" s="270" t="s">
        <v>12650</v>
      </c>
      <c r="K1566" s="4837">
        <v>42553.120620907561</v>
      </c>
      <c r="L1566" s="4834">
        <f t="shared" si="101"/>
        <v>4.9135708962358936E-5</v>
      </c>
      <c r="S1566" s="270" t="s">
        <v>12645</v>
      </c>
      <c r="T1566" s="4838">
        <v>535.30993036765585</v>
      </c>
      <c r="U1566" s="4839">
        <f t="shared" si="100"/>
        <v>1.8779427261313587E-3</v>
      </c>
    </row>
    <row r="1567" spans="1:21">
      <c r="A1567" s="270" t="s">
        <v>12646</v>
      </c>
      <c r="B1567" s="3305">
        <v>6830</v>
      </c>
      <c r="C1567" s="4834">
        <f t="shared" si="98"/>
        <v>3.1968415388840347E-4</v>
      </c>
      <c r="D1567" s="3" t="str">
        <f t="shared" si="99"/>
        <v>2018</v>
      </c>
      <c r="J1567" s="270" t="s">
        <v>12651</v>
      </c>
      <c r="K1567" s="4837">
        <v>42398.79703737815</v>
      </c>
      <c r="L1567" s="4834">
        <f t="shared" si="101"/>
        <v>4.8737346948960119E-5</v>
      </c>
      <c r="S1567" s="270" t="s">
        <v>12646</v>
      </c>
      <c r="T1567" s="4838">
        <v>529.84430345098906</v>
      </c>
      <c r="U1567" s="4839">
        <f t="shared" si="100"/>
        <v>1.8403133837522805E-3</v>
      </c>
    </row>
    <row r="1568" spans="1:21">
      <c r="A1568" s="270" t="s">
        <v>12647</v>
      </c>
      <c r="B1568" s="3305">
        <v>6808</v>
      </c>
      <c r="C1568" s="4834">
        <f t="shared" si="98"/>
        <v>3.2076805497964934E-4</v>
      </c>
      <c r="D1568" s="3" t="str">
        <f t="shared" si="99"/>
        <v>2018</v>
      </c>
      <c r="J1568" s="270" t="s">
        <v>12652</v>
      </c>
      <c r="K1568" s="4837">
        <v>42120.693079559518</v>
      </c>
      <c r="L1568" s="4834">
        <f t="shared" si="101"/>
        <v>4.7976738116866282E-5</v>
      </c>
      <c r="S1568" s="270" t="s">
        <v>12647</v>
      </c>
      <c r="T1568" s="4838">
        <v>530.16581091667535</v>
      </c>
      <c r="U1568" s="4839">
        <f t="shared" si="100"/>
        <v>1.8425560390681031E-3</v>
      </c>
    </row>
    <row r="1569" spans="1:21">
      <c r="A1569" s="270" t="s">
        <v>12648</v>
      </c>
      <c r="B1569" s="3305">
        <v>6857</v>
      </c>
      <c r="C1569" s="4834">
        <f t="shared" si="98"/>
        <v>3.1821835131069369E-4</v>
      </c>
      <c r="D1569" s="3" t="str">
        <f t="shared" si="99"/>
        <v>2018</v>
      </c>
      <c r="J1569" s="270" t="s">
        <v>12653</v>
      </c>
      <c r="K1569" s="4837">
        <v>42194.639796667369</v>
      </c>
      <c r="L1569" s="4834">
        <f t="shared" si="101"/>
        <v>4.8184223680994833E-5</v>
      </c>
      <c r="S1569" s="270" t="s">
        <v>12648</v>
      </c>
      <c r="T1569" s="4838">
        <v>529.20128851961658</v>
      </c>
      <c r="U1569" s="4839">
        <f t="shared" si="100"/>
        <v>1.8358175075412972E-3</v>
      </c>
    </row>
    <row r="1570" spans="1:21">
      <c r="A1570" s="270" t="s">
        <v>12649</v>
      </c>
      <c r="B1570" s="3305">
        <v>6883</v>
      </c>
      <c r="C1570" s="4834">
        <f t="shared" si="98"/>
        <v>3.1666749400716088E-4</v>
      </c>
      <c r="D1570" s="3" t="str">
        <f t="shared" si="99"/>
        <v>2018</v>
      </c>
      <c r="J1570" s="270" t="s">
        <v>12654</v>
      </c>
      <c r="K1570" s="4837">
        <v>42149.628751471282</v>
      </c>
      <c r="L1570" s="4834">
        <f t="shared" si="101"/>
        <v>4.8058373005911836E-5</v>
      </c>
      <c r="S1570" s="270" t="s">
        <v>12649</v>
      </c>
      <c r="T1570" s="4838">
        <v>530.80882584804806</v>
      </c>
      <c r="U1570" s="4839">
        <f t="shared" si="100"/>
        <v>1.8470306862203123E-3</v>
      </c>
    </row>
    <row r="1571" spans="1:21">
      <c r="A1571" s="270" t="s">
        <v>12650</v>
      </c>
      <c r="B1571" s="3305">
        <v>7015</v>
      </c>
      <c r="C1571" s="4834">
        <f t="shared" si="98"/>
        <v>3.067666097327062E-4</v>
      </c>
      <c r="D1571" s="3" t="str">
        <f t="shared" si="99"/>
        <v>2018</v>
      </c>
      <c r="J1571" s="270" t="s">
        <v>12655</v>
      </c>
      <c r="K1571" s="4837">
        <v>42482.388978456584</v>
      </c>
      <c r="L1571" s="4834">
        <f t="shared" si="101"/>
        <v>4.8955274106281172E-5</v>
      </c>
      <c r="S1571" s="270" t="s">
        <v>12650</v>
      </c>
      <c r="T1571" s="4838">
        <v>534.02390050491078</v>
      </c>
      <c r="U1571" s="4839">
        <f t="shared" si="100"/>
        <v>1.8691855742600859E-3</v>
      </c>
    </row>
    <row r="1572" spans="1:21">
      <c r="A1572" s="270" t="s">
        <v>12651</v>
      </c>
      <c r="B1572" s="3305">
        <v>6885.5</v>
      </c>
      <c r="C1572" s="4834">
        <f t="shared" si="98"/>
        <v>3.1651124409534616E-4</v>
      </c>
      <c r="D1572" s="3" t="str">
        <f t="shared" si="99"/>
        <v>2018</v>
      </c>
      <c r="J1572" s="270" t="s">
        <v>12656</v>
      </c>
      <c r="K1572" s="4837">
        <v>42733.164801691884</v>
      </c>
      <c r="L1572" s="4834">
        <f t="shared" si="101"/>
        <v>4.9578276834721581E-5</v>
      </c>
      <c r="S1572" s="270" t="s">
        <v>12651</v>
      </c>
      <c r="T1572" s="4838">
        <v>531.13033331373424</v>
      </c>
      <c r="U1572" s="4839">
        <f t="shared" si="100"/>
        <v>1.849262638934128E-3</v>
      </c>
    </row>
    <row r="1573" spans="1:21">
      <c r="A1573" s="270" t="s">
        <v>12652</v>
      </c>
      <c r="B1573" s="3305">
        <v>6923</v>
      </c>
      <c r="C1573" s="4834">
        <f t="shared" si="98"/>
        <v>3.1401945344658889E-4</v>
      </c>
      <c r="D1573" s="3" t="str">
        <f t="shared" si="99"/>
        <v>2018</v>
      </c>
      <c r="J1573" s="270" t="s">
        <v>12657</v>
      </c>
      <c r="K1573" s="4837">
        <v>43294.195329314432</v>
      </c>
      <c r="L1573" s="4834">
        <f t="shared" si="101"/>
        <v>5.0796650058292622E-5</v>
      </c>
      <c r="S1573" s="270" t="s">
        <v>12652</v>
      </c>
      <c r="T1573" s="4838">
        <v>529.84430345098906</v>
      </c>
      <c r="U1573" s="4839">
        <f t="shared" si="100"/>
        <v>1.8403133837522805E-3</v>
      </c>
    </row>
    <row r="1574" spans="1:21">
      <c r="A1574" s="270" t="s">
        <v>12653</v>
      </c>
      <c r="B1574" s="3305">
        <v>6791.5</v>
      </c>
      <c r="C1574" s="4834">
        <f t="shared" si="98"/>
        <v>3.2151520697849877E-4</v>
      </c>
      <c r="D1574" s="3" t="str">
        <f t="shared" si="99"/>
        <v>2018</v>
      </c>
      <c r="J1574" s="270" t="s">
        <v>12658</v>
      </c>
      <c r="K1574" s="4837">
        <v>43480.669659412488</v>
      </c>
      <c r="L1574" s="4834">
        <f t="shared" si="101"/>
        <v>5.1145350527900704E-5</v>
      </c>
      <c r="S1574" s="270" t="s">
        <v>12653</v>
      </c>
      <c r="T1574" s="4838">
        <v>523.73566160294979</v>
      </c>
      <c r="U1574" s="4839">
        <f t="shared" si="100"/>
        <v>1.7970549268485419E-3</v>
      </c>
    </row>
    <row r="1575" spans="1:21">
      <c r="A1575" s="270" t="s">
        <v>12654</v>
      </c>
      <c r="B1575" s="3305">
        <v>6784</v>
      </c>
      <c r="C1575" s="4834">
        <f t="shared" si="98"/>
        <v>3.2183605839228844E-4</v>
      </c>
      <c r="D1575" s="3" t="str">
        <f t="shared" si="99"/>
        <v>2018</v>
      </c>
      <c r="J1575" s="270" t="s">
        <v>12659</v>
      </c>
      <c r="K1575" s="4837">
        <v>43128.618984486013</v>
      </c>
      <c r="L1575" s="4834">
        <f t="shared" si="101"/>
        <v>5.0463096373873367E-5</v>
      </c>
      <c r="S1575" s="270" t="s">
        <v>12654</v>
      </c>
      <c r="T1575" s="4838">
        <v>522.44963174020461</v>
      </c>
      <c r="U1575" s="4839">
        <f t="shared" si="100"/>
        <v>1.7877982445720431E-3</v>
      </c>
    </row>
    <row r="1576" spans="1:21">
      <c r="A1576" s="270" t="s">
        <v>12655</v>
      </c>
      <c r="B1576" s="3305">
        <v>6675</v>
      </c>
      <c r="C1576" s="4834">
        <f t="shared" si="98"/>
        <v>3.2515419816645739E-4</v>
      </c>
      <c r="D1576" s="3" t="str">
        <f t="shared" si="99"/>
        <v>2018</v>
      </c>
      <c r="J1576" s="270" t="s">
        <v>12660</v>
      </c>
      <c r="K1576" s="4837">
        <v>42839.262265368357</v>
      </c>
      <c r="L1576" s="4834">
        <f t="shared" si="101"/>
        <v>4.9827609734016026E-5</v>
      </c>
      <c r="S1576" s="270" t="s">
        <v>12655</v>
      </c>
      <c r="T1576" s="4838">
        <v>522.44963174020461</v>
      </c>
      <c r="U1576" s="4839">
        <f t="shared" si="100"/>
        <v>1.7877982445720431E-3</v>
      </c>
    </row>
    <row r="1577" spans="1:21">
      <c r="A1577" s="270" t="s">
        <v>12656</v>
      </c>
      <c r="B1577" s="3305">
        <v>6746.5</v>
      </c>
      <c r="C1577" s="4834">
        <f t="shared" si="98"/>
        <v>3.2326297945990364E-4</v>
      </c>
      <c r="D1577" s="3" t="str">
        <f t="shared" si="99"/>
        <v>2018</v>
      </c>
      <c r="J1577" s="270" t="s">
        <v>12661</v>
      </c>
      <c r="K1577" s="4837">
        <v>42562.765844878151</v>
      </c>
      <c r="L1577" s="4834">
        <f t="shared" si="101"/>
        <v>4.9160029383645938E-5</v>
      </c>
      <c r="S1577" s="270" t="s">
        <v>12656</v>
      </c>
      <c r="T1577" s="4838">
        <v>531.13033331373424</v>
      </c>
      <c r="U1577" s="4839">
        <f t="shared" si="100"/>
        <v>1.849262638934128E-3</v>
      </c>
    </row>
    <row r="1578" spans="1:21">
      <c r="A1578" s="270" t="s">
        <v>12657</v>
      </c>
      <c r="B1578" s="3305">
        <v>6658</v>
      </c>
      <c r="C1578" s="4834">
        <f t="shared" si="98"/>
        <v>3.2544200199057996E-4</v>
      </c>
      <c r="D1578" s="3" t="str">
        <f t="shared" si="99"/>
        <v>2018</v>
      </c>
      <c r="J1578" s="270" t="s">
        <v>12662</v>
      </c>
      <c r="K1578" s="4837">
        <v>42871.41301193698</v>
      </c>
      <c r="L1578" s="4834">
        <f t="shared" si="101"/>
        <v>4.9901458087272259E-5</v>
      </c>
      <c r="S1578" s="270" t="s">
        <v>12657</v>
      </c>
      <c r="T1578" s="4838">
        <v>531.45184077942054</v>
      </c>
      <c r="U1578" s="4839">
        <f t="shared" si="100"/>
        <v>1.8514909850128481E-3</v>
      </c>
    </row>
    <row r="1579" spans="1:21">
      <c r="A1579" s="270" t="s">
        <v>12658</v>
      </c>
      <c r="B1579" s="3305">
        <v>6500</v>
      </c>
      <c r="C1579" s="4834">
        <f t="shared" si="98"/>
        <v>3.2511447824679345E-4</v>
      </c>
      <c r="D1579" s="3" t="str">
        <f t="shared" si="99"/>
        <v>2018</v>
      </c>
      <c r="J1579" s="270" t="s">
        <v>12663</v>
      </c>
      <c r="K1579" s="4837">
        <v>42995.193386226201</v>
      </c>
      <c r="L1579" s="4834">
        <f t="shared" si="101"/>
        <v>5.0178263283789274E-5</v>
      </c>
      <c r="S1579" s="270" t="s">
        <v>12658</v>
      </c>
      <c r="T1579" s="4838">
        <v>534.02390050491078</v>
      </c>
      <c r="U1579" s="4839">
        <f t="shared" si="100"/>
        <v>1.8691855742600859E-3</v>
      </c>
    </row>
    <row r="1580" spans="1:21">
      <c r="A1580" s="270" t="s">
        <v>12659</v>
      </c>
      <c r="B1580" s="3305">
        <v>6641.5</v>
      </c>
      <c r="C1580" s="4834">
        <f t="shared" si="98"/>
        <v>3.2566149063167855E-4</v>
      </c>
      <c r="D1580" s="3" t="str">
        <f t="shared" si="99"/>
        <v>2018</v>
      </c>
      <c r="J1580" s="270" t="s">
        <v>12664</v>
      </c>
      <c r="K1580" s="4837">
        <v>42686.546219167372</v>
      </c>
      <c r="L1580" s="4834">
        <f t="shared" si="101"/>
        <v>4.9466013306165879E-5</v>
      </c>
      <c r="S1580" s="270" t="s">
        <v>12659</v>
      </c>
      <c r="T1580" s="4838">
        <v>534.98842290196956</v>
      </c>
      <c r="U1580" s="4839">
        <f t="shared" si="100"/>
        <v>1.8757591788280833E-3</v>
      </c>
    </row>
    <row r="1581" spans="1:21">
      <c r="A1581" s="270" t="s">
        <v>12660</v>
      </c>
      <c r="B1581" s="3305">
        <v>6601.5</v>
      </c>
      <c r="C1581" s="4834">
        <f t="shared" si="98"/>
        <v>3.2594820940380382E-4</v>
      </c>
      <c r="D1581" s="3" t="str">
        <f t="shared" si="99"/>
        <v>2018</v>
      </c>
      <c r="J1581" s="270" t="s">
        <v>12665</v>
      </c>
      <c r="K1581" s="4837">
        <v>42799.07383215757</v>
      </c>
      <c r="L1581" s="4834">
        <f t="shared" si="101"/>
        <v>4.9734178976629668E-5</v>
      </c>
      <c r="S1581" s="270" t="s">
        <v>12660</v>
      </c>
      <c r="T1581" s="4838">
        <v>529.20128851961658</v>
      </c>
      <c r="U1581" s="4839">
        <f t="shared" si="100"/>
        <v>1.8358175075412972E-3</v>
      </c>
    </row>
    <row r="1582" spans="1:21">
      <c r="A1582" s="270" t="s">
        <v>12661</v>
      </c>
      <c r="B1582" s="3305">
        <v>6685</v>
      </c>
      <c r="C1582" s="4834">
        <f t="shared" si="98"/>
        <v>3.2495573179274975E-4</v>
      </c>
      <c r="D1582" s="3" t="str">
        <f t="shared" si="99"/>
        <v>2018</v>
      </c>
      <c r="J1582" s="270" t="s">
        <v>12666</v>
      </c>
      <c r="K1582" s="4837">
        <v>42823.186892084035</v>
      </c>
      <c r="L1582" s="4834">
        <f t="shared" si="101"/>
        <v>4.9790386440920736E-5</v>
      </c>
      <c r="S1582" s="270" t="s">
        <v>12661</v>
      </c>
      <c r="T1582" s="4838">
        <v>523.41415413726361</v>
      </c>
      <c r="U1582" s="4839">
        <f t="shared" si="100"/>
        <v>1.7947454384172441E-3</v>
      </c>
    </row>
    <row r="1583" spans="1:21">
      <c r="A1583" s="270" t="s">
        <v>12662</v>
      </c>
      <c r="B1583" s="3305">
        <v>6756</v>
      </c>
      <c r="C1583" s="4834">
        <f t="shared" si="98"/>
        <v>3.2292956806844624E-4</v>
      </c>
      <c r="D1583" s="3" t="str">
        <f t="shared" si="99"/>
        <v>2018</v>
      </c>
      <c r="J1583" s="270" t="s">
        <v>12667</v>
      </c>
      <c r="K1583" s="4837">
        <v>43048.242118064438</v>
      </c>
      <c r="L1583" s="4834">
        <f t="shared" si="101"/>
        <v>5.0293206583567711E-5</v>
      </c>
      <c r="S1583" s="270" t="s">
        <v>12662</v>
      </c>
      <c r="T1583" s="4838">
        <v>531.13033331373424</v>
      </c>
      <c r="U1583" s="4839">
        <f t="shared" si="100"/>
        <v>1.849262638934128E-3</v>
      </c>
    </row>
    <row r="1584" spans="1:21">
      <c r="A1584" s="270" t="s">
        <v>12663</v>
      </c>
      <c r="B1584" s="3305">
        <v>6625</v>
      </c>
      <c r="C1584" s="4834">
        <f t="shared" si="98"/>
        <v>3.2582190117312469E-4</v>
      </c>
      <c r="D1584" s="3" t="str">
        <f t="shared" si="99"/>
        <v>2018</v>
      </c>
      <c r="J1584" s="270" t="s">
        <v>12668</v>
      </c>
      <c r="K1584" s="4837">
        <v>43427.620927574244</v>
      </c>
      <c r="L1584" s="4834">
        <f t="shared" si="101"/>
        <v>5.1049091934350492E-5</v>
      </c>
      <c r="S1584" s="270" t="s">
        <v>12663</v>
      </c>
      <c r="T1584" s="4838">
        <v>529.20128851961658</v>
      </c>
      <c r="U1584" s="4839">
        <f t="shared" si="100"/>
        <v>1.8358175075412972E-3</v>
      </c>
    </row>
    <row r="1585" spans="1:21">
      <c r="A1585" s="270" t="s">
        <v>12664</v>
      </c>
      <c r="B1585" s="3305">
        <v>6767</v>
      </c>
      <c r="C1585" s="4834">
        <f t="shared" si="98"/>
        <v>3.22519664252709E-4</v>
      </c>
      <c r="D1585" s="3" t="str">
        <f t="shared" si="99"/>
        <v>2018</v>
      </c>
      <c r="J1585" s="270" t="s">
        <v>12669</v>
      </c>
      <c r="K1585" s="4837">
        <v>43125.40390982914</v>
      </c>
      <c r="L1585" s="4834">
        <f t="shared" si="101"/>
        <v>5.0456400066800617E-5</v>
      </c>
      <c r="S1585" s="270" t="s">
        <v>12664</v>
      </c>
      <c r="T1585" s="4838">
        <v>524.37867653432238</v>
      </c>
      <c r="U1585" s="4839">
        <f t="shared" si="100"/>
        <v>1.8016644208071464E-3</v>
      </c>
    </row>
    <row r="1586" spans="1:21">
      <c r="A1586" s="270" t="s">
        <v>12665</v>
      </c>
      <c r="B1586" s="3305">
        <v>6703</v>
      </c>
      <c r="C1586" s="4834">
        <f t="shared" si="98"/>
        <v>3.2454419200942037E-4</v>
      </c>
      <c r="D1586" s="3" t="str">
        <f t="shared" si="99"/>
        <v>2018</v>
      </c>
      <c r="J1586" s="270" t="s">
        <v>12670</v>
      </c>
      <c r="K1586" s="4837">
        <v>43200.958164265423</v>
      </c>
      <c r="L1586" s="4834">
        <f t="shared" si="101"/>
        <v>5.0611561090566045E-5</v>
      </c>
      <c r="S1586" s="270" t="s">
        <v>12665</v>
      </c>
      <c r="T1586" s="4838">
        <v>523.41415413726361</v>
      </c>
      <c r="U1586" s="4839">
        <f t="shared" si="100"/>
        <v>1.7947454384172441E-3</v>
      </c>
    </row>
    <row r="1587" spans="1:21">
      <c r="A1587" s="270" t="s">
        <v>12666</v>
      </c>
      <c r="B1587" s="3305">
        <v>6767</v>
      </c>
      <c r="C1587" s="4834">
        <f t="shared" si="98"/>
        <v>3.22519664252709E-4</v>
      </c>
      <c r="D1587" s="3" t="str">
        <f t="shared" si="99"/>
        <v>2018</v>
      </c>
      <c r="J1587" s="270" t="s">
        <v>12671</v>
      </c>
      <c r="K1587" s="4837">
        <v>43382.609882378165</v>
      </c>
      <c r="L1587" s="4834">
        <f t="shared" si="101"/>
        <v>5.0965577969699462E-5</v>
      </c>
      <c r="S1587" s="270" t="s">
        <v>12666</v>
      </c>
      <c r="T1587" s="4838">
        <v>523.41415413726361</v>
      </c>
      <c r="U1587" s="4839">
        <f t="shared" si="100"/>
        <v>1.7947454384172441E-3</v>
      </c>
    </row>
    <row r="1588" spans="1:21">
      <c r="A1588" s="270" t="s">
        <v>12667</v>
      </c>
      <c r="B1588" s="3305">
        <v>6888</v>
      </c>
      <c r="C1588" s="4834">
        <f t="shared" si="98"/>
        <v>3.1635375126294255E-4</v>
      </c>
      <c r="D1588" s="3" t="str">
        <f t="shared" si="99"/>
        <v>2018</v>
      </c>
      <c r="J1588" s="270" t="s">
        <v>12672</v>
      </c>
      <c r="K1588" s="4837">
        <v>43149.516969755612</v>
      </c>
      <c r="L1588" s="4834">
        <f t="shared" si="101"/>
        <v>5.0506419787222989E-5</v>
      </c>
      <c r="S1588" s="270" t="s">
        <v>12667</v>
      </c>
      <c r="T1588" s="4838">
        <v>530.16581091667535</v>
      </c>
      <c r="U1588" s="4839">
        <f t="shared" si="100"/>
        <v>1.8425560390681031E-3</v>
      </c>
    </row>
    <row r="1589" spans="1:21">
      <c r="A1589" s="270" t="s">
        <v>12668</v>
      </c>
      <c r="B1589" s="3305">
        <v>6930.5</v>
      </c>
      <c r="C1589" s="4834">
        <f t="shared" si="98"/>
        <v>3.1348813478072261E-4</v>
      </c>
      <c r="D1589" s="3" t="str">
        <f t="shared" si="99"/>
        <v>2018</v>
      </c>
      <c r="J1589" s="270" t="s">
        <v>12673</v>
      </c>
      <c r="K1589" s="4837">
        <v>43450.126450172284</v>
      </c>
      <c r="L1589" s="4834">
        <f t="shared" si="101"/>
        <v>5.1090216202081568E-5</v>
      </c>
      <c r="S1589" s="270" t="s">
        <v>12668</v>
      </c>
      <c r="T1589" s="4838">
        <v>532.73787064216572</v>
      </c>
      <c r="U1589" s="4839">
        <f t="shared" si="100"/>
        <v>1.8603679126088634E-3</v>
      </c>
    </row>
    <row r="1590" spans="1:21">
      <c r="A1590" s="270" t="s">
        <v>12669</v>
      </c>
      <c r="B1590" s="3305">
        <v>6756</v>
      </c>
      <c r="C1590" s="4834">
        <f t="shared" si="98"/>
        <v>3.2292956806844624E-4</v>
      </c>
      <c r="D1590" s="3" t="str">
        <f t="shared" si="99"/>
        <v>2018</v>
      </c>
      <c r="J1590" s="270" t="s">
        <v>12674</v>
      </c>
      <c r="K1590" s="4837">
        <v>43358.496822451692</v>
      </c>
      <c r="L1590" s="4834">
        <f t="shared" si="101"/>
        <v>5.0920146731324221E-5</v>
      </c>
      <c r="S1590" s="270" t="s">
        <v>12669</v>
      </c>
      <c r="T1590" s="4838">
        <v>535.63143783334226</v>
      </c>
      <c r="U1590" s="4839">
        <f t="shared" si="100"/>
        <v>1.880122414065648E-3</v>
      </c>
    </row>
    <row r="1591" spans="1:21">
      <c r="A1591" s="270" t="s">
        <v>12670</v>
      </c>
      <c r="B1591" s="3305">
        <v>6830</v>
      </c>
      <c r="C1591" s="4834">
        <f t="shared" si="98"/>
        <v>3.1968415388840347E-4</v>
      </c>
      <c r="D1591" s="3" t="str">
        <f t="shared" si="99"/>
        <v>2018</v>
      </c>
      <c r="J1591" s="270" t="s">
        <v>12675</v>
      </c>
      <c r="K1591" s="4837">
        <v>42977.510475613453</v>
      </c>
      <c r="L1591" s="4834">
        <f t="shared" si="101"/>
        <v>5.013945470017694E-5</v>
      </c>
      <c r="S1591" s="270" t="s">
        <v>12670</v>
      </c>
      <c r="T1591" s="4838">
        <v>530.80882584804806</v>
      </c>
      <c r="U1591" s="4839">
        <f t="shared" si="100"/>
        <v>1.8470306862203123E-3</v>
      </c>
    </row>
    <row r="1592" spans="1:21">
      <c r="A1592" s="270" t="s">
        <v>12671</v>
      </c>
      <c r="B1592" s="3305">
        <v>6811.5</v>
      </c>
      <c r="C1592" s="4834">
        <f t="shared" si="98"/>
        <v>3.2060230009693593E-4</v>
      </c>
      <c r="D1592" s="3" t="str">
        <f t="shared" si="99"/>
        <v>2018</v>
      </c>
      <c r="J1592" s="270" t="s">
        <v>12676</v>
      </c>
      <c r="K1592" s="4837">
        <v>42577.233680834033</v>
      </c>
      <c r="L1592" s="4834">
        <f t="shared" si="101"/>
        <v>4.9196381365240807E-5</v>
      </c>
      <c r="S1592" s="270" t="s">
        <v>12671</v>
      </c>
      <c r="T1592" s="4838">
        <v>533.70239303922449</v>
      </c>
      <c r="U1592" s="4839">
        <f t="shared" si="100"/>
        <v>1.8669867831188328E-3</v>
      </c>
    </row>
    <row r="1593" spans="1:21">
      <c r="A1593" s="270" t="s">
        <v>12672</v>
      </c>
      <c r="B1593" s="3305">
        <v>6784</v>
      </c>
      <c r="C1593" s="4834">
        <f t="shared" si="98"/>
        <v>3.2183605839228844E-4</v>
      </c>
      <c r="D1593" s="3" t="str">
        <f t="shared" si="99"/>
        <v>2018</v>
      </c>
      <c r="J1593" s="270" t="s">
        <v>12677</v>
      </c>
      <c r="K1593" s="4837">
        <v>42723.519577721294</v>
      </c>
      <c r="L1593" s="4834">
        <f t="shared" si="101"/>
        <v>4.9555184723529579E-5</v>
      </c>
      <c r="S1593" s="270" t="s">
        <v>12672</v>
      </c>
      <c r="T1593" s="4838">
        <v>534.66691543628326</v>
      </c>
      <c r="U1593" s="4839">
        <f t="shared" si="100"/>
        <v>1.8735717915030889E-3</v>
      </c>
    </row>
    <row r="1594" spans="1:21">
      <c r="A1594" s="270" t="s">
        <v>12673</v>
      </c>
      <c r="B1594" s="3305">
        <v>6936</v>
      </c>
      <c r="C1594" s="4834">
        <f t="shared" si="98"/>
        <v>3.1309159982068671E-4</v>
      </c>
      <c r="D1594" s="3" t="str">
        <f t="shared" si="99"/>
        <v>2018</v>
      </c>
      <c r="J1594" s="270" t="s">
        <v>12678</v>
      </c>
      <c r="K1594" s="4837">
        <v>42492.034202427174</v>
      </c>
      <c r="L1594" s="4834">
        <f t="shared" si="101"/>
        <v>4.898009406385864E-5</v>
      </c>
      <c r="S1594" s="270" t="s">
        <v>12673</v>
      </c>
      <c r="T1594" s="4838">
        <v>544.95515433824426</v>
      </c>
      <c r="U1594" s="4839">
        <f t="shared" si="100"/>
        <v>1.9415682393493046E-3</v>
      </c>
    </row>
    <row r="1595" spans="1:21">
      <c r="A1595" s="270" t="s">
        <v>12674</v>
      </c>
      <c r="B1595" s="3305">
        <v>6942</v>
      </c>
      <c r="C1595" s="4834">
        <f t="shared" si="98"/>
        <v>3.1265238694703281E-4</v>
      </c>
      <c r="D1595" s="3" t="str">
        <f t="shared" si="99"/>
        <v>2018</v>
      </c>
      <c r="J1595" s="270" t="s">
        <v>12679</v>
      </c>
      <c r="K1595" s="4837">
        <v>42461.490993186977</v>
      </c>
      <c r="L1595" s="4834">
        <f t="shared" si="101"/>
        <v>4.8901265647041702E-5</v>
      </c>
      <c r="S1595" s="270" t="s">
        <v>12674</v>
      </c>
      <c r="T1595" s="4838">
        <v>552.9928409804013</v>
      </c>
      <c r="U1595" s="4839">
        <f t="shared" si="100"/>
        <v>1.9915659751492303E-3</v>
      </c>
    </row>
    <row r="1596" spans="1:21">
      <c r="A1596" s="270" t="s">
        <v>12675</v>
      </c>
      <c r="B1596" s="3305">
        <v>6939</v>
      </c>
      <c r="C1596" s="4834">
        <f t="shared" si="98"/>
        <v>3.1287285626397407E-4</v>
      </c>
      <c r="D1596" s="3" t="str">
        <f t="shared" si="99"/>
        <v>2018</v>
      </c>
      <c r="J1596" s="270" t="s">
        <v>12680</v>
      </c>
      <c r="K1596" s="4837">
        <v>42487.211590441882</v>
      </c>
      <c r="L1596" s="4834">
        <f t="shared" si="101"/>
        <v>4.8967692547177267E-5</v>
      </c>
      <c r="S1596" s="270" t="s">
        <v>12675</v>
      </c>
      <c r="T1596" s="4838">
        <v>550.09927378922475</v>
      </c>
      <c r="U1596" s="4839">
        <f t="shared" si="100"/>
        <v>1.9739039918026569E-3</v>
      </c>
    </row>
    <row r="1597" spans="1:21">
      <c r="A1597" s="270" t="s">
        <v>12676</v>
      </c>
      <c r="B1597" s="3305">
        <v>6923</v>
      </c>
      <c r="C1597" s="4834">
        <f t="shared" si="98"/>
        <v>3.1401945344658889E-4</v>
      </c>
      <c r="D1597" s="3" t="str">
        <f t="shared" si="99"/>
        <v>2018</v>
      </c>
      <c r="J1597" s="270" t="s">
        <v>12681</v>
      </c>
      <c r="K1597" s="4837">
        <v>42220.360393922267</v>
      </c>
      <c r="L1597" s="4834">
        <f t="shared" si="101"/>
        <v>4.8255512742482571E-5</v>
      </c>
      <c r="S1597" s="270" t="s">
        <v>12676</v>
      </c>
      <c r="T1597" s="4838">
        <v>544.63364687255796</v>
      </c>
      <c r="U1597" s="4839">
        <f t="shared" si="100"/>
        <v>1.9395088040621263E-3</v>
      </c>
    </row>
    <row r="1598" spans="1:21">
      <c r="A1598" s="270" t="s">
        <v>12677</v>
      </c>
      <c r="B1598" s="3305">
        <v>6987</v>
      </c>
      <c r="C1598" s="4834">
        <f t="shared" si="98"/>
        <v>3.0914095046742673E-4</v>
      </c>
      <c r="D1598" s="3" t="str">
        <f t="shared" si="99"/>
        <v>2018</v>
      </c>
      <c r="J1598" s="270" t="s">
        <v>12682</v>
      </c>
      <c r="K1598" s="4837">
        <v>42024.240839853635</v>
      </c>
      <c r="L1598" s="4834">
        <f t="shared" si="101"/>
        <v>4.7700538742180622E-5</v>
      </c>
      <c r="S1598" s="270" t="s">
        <v>12677</v>
      </c>
      <c r="T1598" s="4838">
        <v>533.70239303922449</v>
      </c>
      <c r="U1598" s="4839">
        <f t="shared" si="100"/>
        <v>1.8669867831188328E-3</v>
      </c>
    </row>
    <row r="1599" spans="1:21">
      <c r="A1599" s="270" t="s">
        <v>12678</v>
      </c>
      <c r="B1599" s="3305">
        <v>6960.5</v>
      </c>
      <c r="C1599" s="4834">
        <f t="shared" si="98"/>
        <v>3.1125492630788967E-4</v>
      </c>
      <c r="D1599" s="3" t="str">
        <f t="shared" si="99"/>
        <v>2018</v>
      </c>
      <c r="J1599" s="270" t="s">
        <v>12683</v>
      </c>
      <c r="K1599" s="4837">
        <v>41931.003674804611</v>
      </c>
      <c r="L1599" s="4834">
        <f t="shared" si="101"/>
        <v>4.7427666171059802E-5</v>
      </c>
      <c r="S1599" s="270" t="s">
        <v>12678</v>
      </c>
      <c r="T1599" s="4838">
        <v>532.73787064216572</v>
      </c>
      <c r="U1599" s="4839">
        <f t="shared" si="100"/>
        <v>1.8603679126088634E-3</v>
      </c>
    </row>
    <row r="1600" spans="1:21">
      <c r="A1600" s="270" t="s">
        <v>12679</v>
      </c>
      <c r="B1600" s="3305">
        <v>6885.5</v>
      </c>
      <c r="C1600" s="4834">
        <f t="shared" si="98"/>
        <v>3.1651124409534616E-4</v>
      </c>
      <c r="D1600" s="3" t="str">
        <f t="shared" si="99"/>
        <v>2018</v>
      </c>
      <c r="J1600" s="270" t="s">
        <v>12684</v>
      </c>
      <c r="K1600" s="4837">
        <v>42279.83927507422</v>
      </c>
      <c r="L1600" s="4834">
        <f t="shared" si="101"/>
        <v>4.8418610957715974E-5</v>
      </c>
      <c r="S1600" s="270" t="s">
        <v>12679</v>
      </c>
      <c r="T1600" s="4838">
        <v>532.73787064216572</v>
      </c>
      <c r="U1600" s="4839">
        <f t="shared" si="100"/>
        <v>1.8603679126088634E-3</v>
      </c>
    </row>
    <row r="1601" spans="1:21">
      <c r="A1601" s="270" t="s">
        <v>12680</v>
      </c>
      <c r="B1601" s="3305">
        <v>6797</v>
      </c>
      <c r="C1601" s="4834">
        <f t="shared" si="98"/>
        <v>3.212724512841421E-4</v>
      </c>
      <c r="D1601" s="3" t="str">
        <f t="shared" si="99"/>
        <v>2018</v>
      </c>
      <c r="J1601" s="270" t="s">
        <v>12685</v>
      </c>
      <c r="K1601" s="4837">
        <v>42098.187556961486</v>
      </c>
      <c r="L1601" s="4834">
        <f t="shared" si="101"/>
        <v>4.7912851451903305E-5</v>
      </c>
      <c r="S1601" s="270" t="s">
        <v>12680</v>
      </c>
      <c r="T1601" s="4838">
        <v>531.45184077942054</v>
      </c>
      <c r="U1601" s="4839">
        <f t="shared" si="100"/>
        <v>1.8514909850128481E-3</v>
      </c>
    </row>
    <row r="1602" spans="1:21">
      <c r="A1602" s="270" t="s">
        <v>12681</v>
      </c>
      <c r="B1602" s="3305">
        <v>6783</v>
      </c>
      <c r="C1602" s="4834">
        <f t="shared" si="98"/>
        <v>3.2187794948051893E-4</v>
      </c>
      <c r="D1602" s="3" t="str">
        <f t="shared" si="99"/>
        <v>2018</v>
      </c>
      <c r="J1602" s="270" t="s">
        <v>12686</v>
      </c>
      <c r="K1602" s="4837">
        <v>42008.165466569313</v>
      </c>
      <c r="L1602" s="4834">
        <f t="shared" si="101"/>
        <v>4.7653900811477372E-5</v>
      </c>
      <c r="S1602" s="270" t="s">
        <v>12681</v>
      </c>
      <c r="T1602" s="4838">
        <v>526.62922879412633</v>
      </c>
      <c r="U1602" s="4839">
        <f t="shared" si="100"/>
        <v>1.8176960056202408E-3</v>
      </c>
    </row>
    <row r="1603" spans="1:21">
      <c r="A1603" s="270" t="s">
        <v>12682</v>
      </c>
      <c r="B1603" s="3305">
        <v>6777.5</v>
      </c>
      <c r="C1603" s="4834">
        <f t="shared" si="98"/>
        <v>3.2210460405807752E-4</v>
      </c>
      <c r="D1603" s="3" t="str">
        <f t="shared" si="99"/>
        <v>2018</v>
      </c>
      <c r="J1603" s="270" t="s">
        <v>12687</v>
      </c>
      <c r="K1603" s="4837">
        <v>42241.258379191866</v>
      </c>
      <c r="L1603" s="4834">
        <f t="shared" si="101"/>
        <v>4.8313098037319273E-5</v>
      </c>
      <c r="S1603" s="270" t="s">
        <v>12682</v>
      </c>
      <c r="T1603" s="4838">
        <v>522.44963174020461</v>
      </c>
      <c r="U1603" s="4839">
        <f t="shared" si="100"/>
        <v>1.7877982445720431E-3</v>
      </c>
    </row>
    <row r="1604" spans="1:21">
      <c r="A1604" s="270" t="s">
        <v>12683</v>
      </c>
      <c r="B1604" s="3305">
        <v>6785</v>
      </c>
      <c r="C1604" s="4834">
        <f t="shared" ref="C1604:C1667" si="102">_xlfn.NORM.DIST(B1604,$F$4,$F$3,FALSE)</f>
        <v>3.2179395792164442E-4</v>
      </c>
      <c r="D1604" s="3" t="str">
        <f t="shared" ref="D1604:D1667" si="103">LEFT(A1604,4)</f>
        <v>2018</v>
      </c>
      <c r="J1604" s="270" t="s">
        <v>12688</v>
      </c>
      <c r="K1604" s="4837">
        <v>42400.404574706576</v>
      </c>
      <c r="L1604" s="4834">
        <f t="shared" si="101"/>
        <v>4.8741585293748268E-5</v>
      </c>
      <c r="S1604" s="270" t="s">
        <v>12683</v>
      </c>
      <c r="T1604" s="4838">
        <v>525.66470639706756</v>
      </c>
      <c r="U1604" s="4839">
        <f t="shared" ref="U1604:U1667" si="104">_xlfn.NORM.DIST(T1604,$X$4,$X$3,FALSE)</f>
        <v>1.8108449239994827E-3</v>
      </c>
    </row>
    <row r="1605" spans="1:21">
      <c r="A1605" s="270" t="s">
        <v>12684</v>
      </c>
      <c r="B1605" s="3305">
        <v>6837</v>
      </c>
      <c r="C1605" s="4834">
        <f t="shared" si="102"/>
        <v>3.1931840627991224E-4</v>
      </c>
      <c r="D1605" s="3" t="str">
        <f t="shared" si="103"/>
        <v>2018</v>
      </c>
      <c r="J1605" s="270" t="s">
        <v>12689</v>
      </c>
      <c r="K1605" s="4837">
        <v>42578.841218162466</v>
      </c>
      <c r="L1605" s="4834">
        <f t="shared" ref="L1605:L1668" si="105">_xlfn.NORM.DIST(K1605,$O$4,$O$3,FALSE)</f>
        <v>4.9200410930656903E-5</v>
      </c>
      <c r="S1605" s="270" t="s">
        <v>12684</v>
      </c>
      <c r="T1605" s="4838">
        <v>529.52279598530288</v>
      </c>
      <c r="U1605" s="4839">
        <f t="shared" si="104"/>
        <v>1.8380672000459363E-3</v>
      </c>
    </row>
    <row r="1606" spans="1:21">
      <c r="A1606" s="270" t="s">
        <v>12685</v>
      </c>
      <c r="B1606" s="3305">
        <v>6783</v>
      </c>
      <c r="C1606" s="4834">
        <f t="shared" si="102"/>
        <v>3.2187794948051893E-4</v>
      </c>
      <c r="D1606" s="3" t="str">
        <f t="shared" si="103"/>
        <v>2018</v>
      </c>
      <c r="J1606" s="270" t="s">
        <v>12690</v>
      </c>
      <c r="K1606" s="4837">
        <v>42434.162858603639</v>
      </c>
      <c r="L1606" s="4834">
        <f t="shared" si="105"/>
        <v>4.8830162057385623E-5</v>
      </c>
      <c r="S1606" s="270" t="s">
        <v>12685</v>
      </c>
      <c r="T1606" s="4838">
        <v>527.91525865687152</v>
      </c>
      <c r="U1606" s="4839">
        <f t="shared" si="104"/>
        <v>1.8267840417939066E-3</v>
      </c>
    </row>
    <row r="1607" spans="1:21">
      <c r="A1607" s="270" t="s">
        <v>12686</v>
      </c>
      <c r="B1607" s="3305">
        <v>6722</v>
      </c>
      <c r="C1607" s="4834">
        <f t="shared" si="102"/>
        <v>3.24034305411114E-4</v>
      </c>
      <c r="D1607" s="3" t="str">
        <f t="shared" si="103"/>
        <v>2018</v>
      </c>
      <c r="J1607" s="270" t="s">
        <v>12691</v>
      </c>
      <c r="K1607" s="4837">
        <v>41635.216806373239</v>
      </c>
      <c r="L1607" s="4834">
        <f t="shared" si="105"/>
        <v>4.6525095336538163E-5</v>
      </c>
      <c r="S1607" s="270" t="s">
        <v>12686</v>
      </c>
      <c r="T1607" s="4838">
        <v>528.87978105393029</v>
      </c>
      <c r="U1607" s="4839">
        <f t="shared" si="104"/>
        <v>1.8335643258424611E-3</v>
      </c>
    </row>
    <row r="1608" spans="1:21">
      <c r="A1608" s="270" t="s">
        <v>12687</v>
      </c>
      <c r="B1608" s="3305">
        <v>6786</v>
      </c>
      <c r="C1608" s="4834">
        <f t="shared" si="102"/>
        <v>3.2175164815218698E-4</v>
      </c>
      <c r="D1608" s="3" t="str">
        <f t="shared" si="103"/>
        <v>2018</v>
      </c>
      <c r="J1608" s="270" t="s">
        <v>12692</v>
      </c>
      <c r="K1608" s="4837">
        <v>41514.651506740884</v>
      </c>
      <c r="L1608" s="4834">
        <f t="shared" si="105"/>
        <v>4.614173303851638E-5</v>
      </c>
      <c r="S1608" s="270" t="s">
        <v>12687</v>
      </c>
      <c r="T1608" s="4838">
        <v>528.55827358824399</v>
      </c>
      <c r="U1608" s="4839">
        <f t="shared" si="104"/>
        <v>1.8313076745651163E-3</v>
      </c>
    </row>
    <row r="1609" spans="1:21">
      <c r="A1609" s="270" t="s">
        <v>12688</v>
      </c>
      <c r="B1609" s="3305">
        <v>6862</v>
      </c>
      <c r="C1609" s="4834">
        <f t="shared" si="102"/>
        <v>3.1793066399901507E-4</v>
      </c>
      <c r="D1609" s="3" t="str">
        <f t="shared" si="103"/>
        <v>2018</v>
      </c>
      <c r="J1609" s="270" t="s">
        <v>12693</v>
      </c>
      <c r="K1609" s="4837">
        <v>41458.387700245781</v>
      </c>
      <c r="L1609" s="4834">
        <f t="shared" si="105"/>
        <v>4.5959884149055488E-5</v>
      </c>
      <c r="S1609" s="270" t="s">
        <v>12688</v>
      </c>
      <c r="T1609" s="4838">
        <v>533.70239303922449</v>
      </c>
      <c r="U1609" s="4839">
        <f t="shared" si="104"/>
        <v>1.8669867831188328E-3</v>
      </c>
    </row>
    <row r="1610" spans="1:21">
      <c r="A1610" s="270" t="s">
        <v>12689</v>
      </c>
      <c r="B1610" s="3305">
        <v>6869</v>
      </c>
      <c r="C1610" s="4834">
        <f t="shared" si="102"/>
        <v>3.1751943534528596E-4</v>
      </c>
      <c r="D1610" s="3" t="str">
        <f t="shared" si="103"/>
        <v>2018</v>
      </c>
      <c r="J1610" s="270" t="s">
        <v>12694</v>
      </c>
      <c r="K1610" s="4837">
        <v>41419.806804363427</v>
      </c>
      <c r="L1610" s="4834">
        <f t="shared" si="105"/>
        <v>4.583412437429846E-5</v>
      </c>
      <c r="S1610" s="270" t="s">
        <v>12689</v>
      </c>
      <c r="T1610" s="4838">
        <v>538.84651249020499</v>
      </c>
      <c r="U1610" s="4839">
        <f t="shared" si="104"/>
        <v>1.9017027842014886E-3</v>
      </c>
    </row>
    <row r="1611" spans="1:21">
      <c r="A1611" s="270" t="s">
        <v>12690</v>
      </c>
      <c r="B1611" s="3305">
        <v>6828</v>
      </c>
      <c r="C1611" s="4834">
        <f t="shared" si="102"/>
        <v>3.1978680867563347E-4</v>
      </c>
      <c r="D1611" s="3" t="str">
        <f t="shared" si="103"/>
        <v>2018</v>
      </c>
      <c r="J1611" s="270" t="s">
        <v>12695</v>
      </c>
      <c r="K1611" s="4837">
        <v>41421.41434169186</v>
      </c>
      <c r="L1611" s="4834">
        <f t="shared" si="105"/>
        <v>4.5839381493833322E-5</v>
      </c>
      <c r="S1611" s="270" t="s">
        <v>12690</v>
      </c>
      <c r="T1611" s="4838">
        <v>535.30993036765585</v>
      </c>
      <c r="U1611" s="4839">
        <f t="shared" si="104"/>
        <v>1.8779427261313587E-3</v>
      </c>
    </row>
    <row r="1612" spans="1:21">
      <c r="A1612" s="270" t="s">
        <v>12691</v>
      </c>
      <c r="B1612" s="3305">
        <v>6822.5</v>
      </c>
      <c r="C1612" s="4834">
        <f t="shared" si="102"/>
        <v>3.2006487216303006E-4</v>
      </c>
      <c r="D1612" s="3" t="str">
        <f t="shared" si="103"/>
        <v>2018</v>
      </c>
      <c r="J1612" s="270" t="s">
        <v>12696</v>
      </c>
      <c r="K1612" s="4837">
        <v>41571.879835633044</v>
      </c>
      <c r="L1612" s="4834">
        <f t="shared" si="105"/>
        <v>4.6324786353058825E-5</v>
      </c>
      <c r="S1612" s="270" t="s">
        <v>12691</v>
      </c>
      <c r="T1612" s="4838">
        <v>527.59375119118511</v>
      </c>
      <c r="U1612" s="4839">
        <f t="shared" si="104"/>
        <v>1.8245170995868309E-3</v>
      </c>
    </row>
    <row r="1613" spans="1:21">
      <c r="A1613" s="270" t="s">
        <v>12692</v>
      </c>
      <c r="B1613" s="3305">
        <v>6773.5</v>
      </c>
      <c r="C1613" s="4834">
        <f t="shared" si="102"/>
        <v>3.2226545613186591E-4</v>
      </c>
      <c r="D1613" s="3" t="str">
        <f t="shared" si="103"/>
        <v>2018</v>
      </c>
      <c r="J1613" s="270" t="s">
        <v>12697</v>
      </c>
      <c r="K1613" s="4837">
        <v>41442.312326961473</v>
      </c>
      <c r="L1613" s="4834">
        <f t="shared" si="105"/>
        <v>4.5907588702414988E-5</v>
      </c>
      <c r="S1613" s="270" t="s">
        <v>12692</v>
      </c>
      <c r="T1613" s="4838">
        <v>522.77113920589102</v>
      </c>
      <c r="U1613" s="4839">
        <f t="shared" si="104"/>
        <v>1.7901170774994798E-3</v>
      </c>
    </row>
    <row r="1614" spans="1:21">
      <c r="A1614" s="270" t="s">
        <v>12693</v>
      </c>
      <c r="B1614" s="3305">
        <v>6838</v>
      </c>
      <c r="C1614" s="4834">
        <f t="shared" si="102"/>
        <v>3.192653382060355E-4</v>
      </c>
      <c r="D1614" s="3" t="str">
        <f t="shared" si="103"/>
        <v>2018</v>
      </c>
      <c r="J1614" s="270" t="s">
        <v>12698</v>
      </c>
      <c r="K1614" s="4837">
        <v>41951.901660074218</v>
      </c>
      <c r="L1614" s="4834">
        <f t="shared" si="105"/>
        <v>4.7489323775893031E-5</v>
      </c>
      <c r="S1614" s="270" t="s">
        <v>12693</v>
      </c>
      <c r="T1614" s="4838">
        <v>526.95073625981263</v>
      </c>
      <c r="U1614" s="4839">
        <f t="shared" si="104"/>
        <v>1.8199730618256287E-3</v>
      </c>
    </row>
    <row r="1615" spans="1:21">
      <c r="A1615" s="270" t="s">
        <v>12694</v>
      </c>
      <c r="B1615" s="3305">
        <v>6783.5</v>
      </c>
      <c r="C1615" s="4834">
        <f t="shared" si="102"/>
        <v>3.2185703011441443E-4</v>
      </c>
      <c r="D1615" s="3" t="str">
        <f t="shared" si="103"/>
        <v>2018</v>
      </c>
      <c r="J1615" s="270" t="s">
        <v>12699</v>
      </c>
      <c r="K1615" s="4837">
        <v>41908.498152206579</v>
      </c>
      <c r="L1615" s="4834">
        <f t="shared" si="105"/>
        <v>4.7360947569060632E-5</v>
      </c>
      <c r="S1615" s="270" t="s">
        <v>12694</v>
      </c>
      <c r="T1615" s="4838">
        <v>526.95073625981263</v>
      </c>
      <c r="U1615" s="4839">
        <f t="shared" si="104"/>
        <v>1.8199730618256287E-3</v>
      </c>
    </row>
    <row r="1616" spans="1:21">
      <c r="A1616" s="270" t="s">
        <v>12695</v>
      </c>
      <c r="B1616" s="3305">
        <v>6861</v>
      </c>
      <c r="C1616" s="4834">
        <f t="shared" si="102"/>
        <v>3.1798860523426858E-4</v>
      </c>
      <c r="D1616" s="3" t="str">
        <f t="shared" si="103"/>
        <v>2018</v>
      </c>
      <c r="J1616" s="270" t="s">
        <v>12700</v>
      </c>
      <c r="K1616" s="4837">
        <v>41651.292179657554</v>
      </c>
      <c r="L1616" s="4834">
        <f t="shared" si="105"/>
        <v>4.6575548958806269E-5</v>
      </c>
      <c r="S1616" s="270" t="s">
        <v>12695</v>
      </c>
      <c r="T1616" s="4838">
        <v>525.34319893138127</v>
      </c>
      <c r="U1616" s="4839">
        <f t="shared" si="104"/>
        <v>1.8085546581486016E-3</v>
      </c>
    </row>
    <row r="1617" spans="1:21">
      <c r="A1617" s="270" t="s">
        <v>12696</v>
      </c>
      <c r="B1617" s="3305">
        <v>6931.5</v>
      </c>
      <c r="C1617" s="4834">
        <f t="shared" si="102"/>
        <v>3.1341647097160385E-4</v>
      </c>
      <c r="D1617" s="3" t="str">
        <f t="shared" si="103"/>
        <v>2018</v>
      </c>
      <c r="J1617" s="270" t="s">
        <v>12701</v>
      </c>
      <c r="K1617" s="4837">
        <v>41818.476061814414</v>
      </c>
      <c r="L1617" s="4834">
        <f t="shared" si="105"/>
        <v>4.7090807088937056E-5</v>
      </c>
      <c r="S1617" s="270" t="s">
        <v>12696</v>
      </c>
      <c r="T1617" s="4838">
        <v>533.0593781078519</v>
      </c>
      <c r="U1617" s="4839">
        <f t="shared" si="104"/>
        <v>1.8625779328578019E-3</v>
      </c>
    </row>
    <row r="1618" spans="1:21">
      <c r="A1618" s="270" t="s">
        <v>12697</v>
      </c>
      <c r="B1618" s="3305">
        <v>6800</v>
      </c>
      <c r="C1618" s="4834">
        <f t="shared" si="102"/>
        <v>3.2113738279020392E-4</v>
      </c>
      <c r="D1618" s="3" t="str">
        <f t="shared" si="103"/>
        <v>2018</v>
      </c>
      <c r="J1618" s="270" t="s">
        <v>12702</v>
      </c>
      <c r="K1618" s="4837">
        <v>41967.977033358533</v>
      </c>
      <c r="L1618" s="4834">
        <f t="shared" si="105"/>
        <v>4.7536558294979305E-5</v>
      </c>
      <c r="S1618" s="270" t="s">
        <v>12697</v>
      </c>
      <c r="T1618" s="4838">
        <v>531.45184077942054</v>
      </c>
      <c r="U1618" s="4839">
        <f t="shared" si="104"/>
        <v>1.8514909850128481E-3</v>
      </c>
    </row>
    <row r="1619" spans="1:21">
      <c r="A1619" s="270" t="s">
        <v>12698</v>
      </c>
      <c r="B1619" s="3305">
        <v>6835</v>
      </c>
      <c r="C1619" s="4834">
        <f t="shared" si="102"/>
        <v>3.194239291352253E-4</v>
      </c>
      <c r="D1619" s="3" t="str">
        <f t="shared" si="103"/>
        <v>2018</v>
      </c>
      <c r="J1619" s="270" t="s">
        <v>12703</v>
      </c>
      <c r="K1619" s="4837">
        <v>41622.356507745782</v>
      </c>
      <c r="L1619" s="4834">
        <f t="shared" si="105"/>
        <v>4.6484619379664017E-5</v>
      </c>
      <c r="S1619" s="270" t="s">
        <v>12698</v>
      </c>
      <c r="T1619" s="4838">
        <v>530.80882584804806</v>
      </c>
      <c r="U1619" s="4839">
        <f t="shared" si="104"/>
        <v>1.8470306862203123E-3</v>
      </c>
    </row>
    <row r="1620" spans="1:21">
      <c r="A1620" s="270" t="s">
        <v>12699</v>
      </c>
      <c r="B1620" s="3305">
        <v>6886</v>
      </c>
      <c r="C1620" s="4834">
        <f t="shared" si="102"/>
        <v>3.1647984490088449E-4</v>
      </c>
      <c r="D1620" s="3" t="str">
        <f t="shared" si="103"/>
        <v>2018</v>
      </c>
      <c r="J1620" s="270" t="s">
        <v>12704</v>
      </c>
      <c r="K1620" s="4837">
        <v>41649.684642329121</v>
      </c>
      <c r="L1620" s="4834">
        <f t="shared" si="105"/>
        <v>4.6570510678844261E-5</v>
      </c>
      <c r="S1620" s="270" t="s">
        <v>12699</v>
      </c>
      <c r="T1620" s="4838">
        <v>535.95294529902844</v>
      </c>
      <c r="U1620" s="4839">
        <f t="shared" si="104"/>
        <v>1.8822982233006348E-3</v>
      </c>
    </row>
    <row r="1621" spans="1:21">
      <c r="A1621" s="270" t="s">
        <v>12700</v>
      </c>
      <c r="B1621" s="3305">
        <v>6841.5</v>
      </c>
      <c r="C1621" s="4834">
        <f t="shared" si="102"/>
        <v>3.1907799184582441E-4</v>
      </c>
      <c r="D1621" s="3" t="str">
        <f t="shared" si="103"/>
        <v>2018</v>
      </c>
      <c r="J1621" s="270" t="s">
        <v>12705</v>
      </c>
      <c r="K1621" s="4837">
        <v>41540.372103995782</v>
      </c>
      <c r="L1621" s="4834">
        <f t="shared" si="105"/>
        <v>4.6224244588296804E-5</v>
      </c>
      <c r="S1621" s="270" t="s">
        <v>12700</v>
      </c>
      <c r="T1621" s="4838">
        <v>529.84430345098906</v>
      </c>
      <c r="U1621" s="4839">
        <f t="shared" si="104"/>
        <v>1.8403133837522805E-3</v>
      </c>
    </row>
    <row r="1622" spans="1:21">
      <c r="A1622" s="270" t="s">
        <v>12701</v>
      </c>
      <c r="B1622" s="3305">
        <v>6810</v>
      </c>
      <c r="C1622" s="4834">
        <f t="shared" si="102"/>
        <v>3.2067364854251244E-4</v>
      </c>
      <c r="D1622" s="3" t="str">
        <f t="shared" si="103"/>
        <v>2018</v>
      </c>
      <c r="J1622" s="270" t="s">
        <v>12706</v>
      </c>
      <c r="K1622" s="4837">
        <v>41799.185613873233</v>
      </c>
      <c r="L1622" s="4834">
        <f t="shared" si="105"/>
        <v>4.7032246754137407E-5</v>
      </c>
      <c r="S1622" s="270" t="s">
        <v>12701</v>
      </c>
      <c r="T1622" s="4838">
        <v>526.30772132844004</v>
      </c>
      <c r="U1622" s="4839">
        <f t="shared" si="104"/>
        <v>1.8154156174470489E-3</v>
      </c>
    </row>
    <row r="1623" spans="1:21">
      <c r="A1623" s="270" t="s">
        <v>12702</v>
      </c>
      <c r="B1623" s="3305">
        <v>6825</v>
      </c>
      <c r="C1623" s="4834">
        <f t="shared" si="102"/>
        <v>3.199392506924182E-4</v>
      </c>
      <c r="D1623" s="3" t="str">
        <f t="shared" si="103"/>
        <v>2018</v>
      </c>
      <c r="J1623" s="270" t="s">
        <v>12707</v>
      </c>
      <c r="K1623" s="4837">
        <v>41707.555986152649</v>
      </c>
      <c r="L1623" s="4834">
        <f t="shared" si="105"/>
        <v>4.6750891302181635E-5</v>
      </c>
      <c r="S1623" s="270" t="s">
        <v>12702</v>
      </c>
      <c r="T1623" s="4838">
        <v>532.09485571079301</v>
      </c>
      <c r="U1623" s="4839">
        <f t="shared" si="104"/>
        <v>1.8559367791639559E-3</v>
      </c>
    </row>
    <row r="1624" spans="1:21">
      <c r="A1624" s="270" t="s">
        <v>12703</v>
      </c>
      <c r="B1624" s="3305">
        <v>6814</v>
      </c>
      <c r="C1624" s="4834">
        <f t="shared" si="102"/>
        <v>3.2048235150134065E-4</v>
      </c>
      <c r="D1624" s="3" t="str">
        <f t="shared" si="103"/>
        <v>2018</v>
      </c>
      <c r="J1624" s="270" t="s">
        <v>12708</v>
      </c>
      <c r="K1624" s="4837">
        <v>41739.706732721272</v>
      </c>
      <c r="L1624" s="4834">
        <f t="shared" si="105"/>
        <v>4.6850209706174416E-5</v>
      </c>
      <c r="S1624" s="270" t="s">
        <v>12703</v>
      </c>
      <c r="T1624" s="4838">
        <v>527.91525865687152</v>
      </c>
      <c r="U1624" s="4839">
        <f t="shared" si="104"/>
        <v>1.8267840417939066E-3</v>
      </c>
    </row>
    <row r="1625" spans="1:21">
      <c r="A1625" s="270" t="s">
        <v>12704</v>
      </c>
      <c r="B1625" s="3305">
        <v>6935</v>
      </c>
      <c r="C1625" s="4834">
        <f t="shared" si="102"/>
        <v>3.1316413017346397E-4</v>
      </c>
      <c r="D1625" s="3" t="str">
        <f t="shared" si="103"/>
        <v>2018</v>
      </c>
      <c r="J1625" s="270" t="s">
        <v>12709</v>
      </c>
      <c r="K1625" s="4837">
        <v>41783.110240588918</v>
      </c>
      <c r="L1625" s="4834">
        <f t="shared" si="105"/>
        <v>4.6983266756390686E-5</v>
      </c>
      <c r="S1625" s="270" t="s">
        <v>12704</v>
      </c>
      <c r="T1625" s="4838">
        <v>528.55827358824399</v>
      </c>
      <c r="U1625" s="4839">
        <f t="shared" si="104"/>
        <v>1.8313076745651163E-3</v>
      </c>
    </row>
    <row r="1626" spans="1:21">
      <c r="A1626" s="270" t="s">
        <v>12705</v>
      </c>
      <c r="B1626" s="3305">
        <v>6971</v>
      </c>
      <c r="C1626" s="4834">
        <f t="shared" si="102"/>
        <v>3.1043299805054626E-4</v>
      </c>
      <c r="D1626" s="3" t="str">
        <f t="shared" si="103"/>
        <v>2018</v>
      </c>
      <c r="J1626" s="270" t="s">
        <v>12710</v>
      </c>
      <c r="K1626" s="4837">
        <v>41752.567031348735</v>
      </c>
      <c r="L1626" s="4834">
        <f t="shared" si="105"/>
        <v>4.6889756967159979E-5</v>
      </c>
      <c r="S1626" s="270" t="s">
        <v>12705</v>
      </c>
      <c r="T1626" s="4838">
        <v>526.95073625981263</v>
      </c>
      <c r="U1626" s="4839">
        <f t="shared" si="104"/>
        <v>1.8199730618256287E-3</v>
      </c>
    </row>
    <row r="1627" spans="1:21">
      <c r="A1627" s="270" t="s">
        <v>12706</v>
      </c>
      <c r="B1627" s="3305">
        <v>7147</v>
      </c>
      <c r="C1627" s="4834">
        <f t="shared" si="102"/>
        <v>2.9373841797675611E-4</v>
      </c>
      <c r="D1627" s="3" t="str">
        <f t="shared" si="103"/>
        <v>2018</v>
      </c>
      <c r="J1627" s="270" t="s">
        <v>12711</v>
      </c>
      <c r="K1627" s="4837">
        <v>41672.19016492716</v>
      </c>
      <c r="L1627" s="4834">
        <f t="shared" si="105"/>
        <v>4.6640902940208633E-5</v>
      </c>
      <c r="S1627" s="270" t="s">
        <v>12706</v>
      </c>
      <c r="T1627" s="4838">
        <v>532.09485571079301</v>
      </c>
      <c r="U1627" s="4839">
        <f t="shared" si="104"/>
        <v>1.8559367791639559E-3</v>
      </c>
    </row>
    <row r="1628" spans="1:21">
      <c r="A1628" s="270" t="s">
        <v>12707</v>
      </c>
      <c r="B1628" s="3305">
        <v>7245.5</v>
      </c>
      <c r="C1628" s="4834">
        <f t="shared" si="102"/>
        <v>2.8223131027496032E-4</v>
      </c>
      <c r="D1628" s="3" t="str">
        <f t="shared" si="103"/>
        <v>2018</v>
      </c>
      <c r="J1628" s="270" t="s">
        <v>12712</v>
      </c>
      <c r="K1628" s="4837">
        <v>41884.385092280107</v>
      </c>
      <c r="L1628" s="4834">
        <f t="shared" si="105"/>
        <v>4.7289099116012477E-5</v>
      </c>
      <c r="S1628" s="270" t="s">
        <v>12707</v>
      </c>
      <c r="T1628" s="4838">
        <v>538.52500502451869</v>
      </c>
      <c r="U1628" s="4839">
        <f t="shared" si="104"/>
        <v>1.8995627501868727E-3</v>
      </c>
    </row>
    <row r="1629" spans="1:21">
      <c r="A1629" s="270" t="s">
        <v>12708</v>
      </c>
      <c r="B1629" s="3305">
        <v>7262.5</v>
      </c>
      <c r="C1629" s="4834">
        <f t="shared" si="102"/>
        <v>2.8010777669743215E-4</v>
      </c>
      <c r="D1629" s="3" t="str">
        <f t="shared" si="103"/>
        <v>2018</v>
      </c>
      <c r="J1629" s="270" t="s">
        <v>12713</v>
      </c>
      <c r="K1629" s="4837">
        <v>41321.747027329111</v>
      </c>
      <c r="L1629" s="4834">
        <f t="shared" si="105"/>
        <v>4.5510658331893207E-5</v>
      </c>
      <c r="S1629" s="270" t="s">
        <v>12708</v>
      </c>
      <c r="T1629" s="4838">
        <v>537.56048262745981</v>
      </c>
      <c r="U1629" s="4839">
        <f t="shared" si="104"/>
        <v>1.893118413647472E-3</v>
      </c>
    </row>
    <row r="1630" spans="1:21">
      <c r="A1630" s="270" t="s">
        <v>12709</v>
      </c>
      <c r="B1630" s="3305">
        <v>7223.5</v>
      </c>
      <c r="C1630" s="4834">
        <f t="shared" si="102"/>
        <v>2.8492171264913138E-4</v>
      </c>
      <c r="D1630" s="3" t="str">
        <f t="shared" si="103"/>
        <v>2018</v>
      </c>
      <c r="J1630" s="270" t="s">
        <v>12714</v>
      </c>
      <c r="K1630" s="4837">
        <v>41202.789265025189</v>
      </c>
      <c r="L1630" s="4834">
        <f t="shared" si="105"/>
        <v>4.511105737812525E-5</v>
      </c>
      <c r="S1630" s="270" t="s">
        <v>12709</v>
      </c>
      <c r="T1630" s="4838">
        <v>538.84651249020499</v>
      </c>
      <c r="U1630" s="4839">
        <f t="shared" si="104"/>
        <v>1.9017027842014886E-3</v>
      </c>
    </row>
    <row r="1631" spans="1:21">
      <c r="A1631" s="270" t="s">
        <v>12710</v>
      </c>
      <c r="B1631" s="3305">
        <v>7200.5</v>
      </c>
      <c r="C1631" s="4834">
        <f t="shared" si="102"/>
        <v>2.8766242988598412E-4</v>
      </c>
      <c r="D1631" s="3" t="str">
        <f t="shared" si="103"/>
        <v>2018</v>
      </c>
      <c r="J1631" s="270" t="s">
        <v>12715</v>
      </c>
      <c r="K1631" s="4837">
        <v>41029.175233554604</v>
      </c>
      <c r="L1631" s="4834">
        <f t="shared" si="105"/>
        <v>4.4514217655352909E-5</v>
      </c>
      <c r="S1631" s="270" t="s">
        <v>12710</v>
      </c>
      <c r="T1631" s="4838">
        <v>542.06158714706771</v>
      </c>
      <c r="U1631" s="4839">
        <f t="shared" si="104"/>
        <v>1.92287607012287E-3</v>
      </c>
    </row>
    <row r="1632" spans="1:21">
      <c r="A1632" s="270" t="s">
        <v>12711</v>
      </c>
      <c r="B1632" s="3305">
        <v>7201.5</v>
      </c>
      <c r="C1632" s="4834">
        <f t="shared" si="102"/>
        <v>2.8754483354324304E-4</v>
      </c>
      <c r="D1632" s="3" t="str">
        <f t="shared" si="103"/>
        <v>2018</v>
      </c>
      <c r="J1632" s="270" t="s">
        <v>12716</v>
      </c>
      <c r="K1632" s="4837">
        <v>40966.481277745777</v>
      </c>
      <c r="L1632" s="4834">
        <f t="shared" si="105"/>
        <v>4.4294855826943025E-5</v>
      </c>
      <c r="S1632" s="270" t="s">
        <v>12711</v>
      </c>
      <c r="T1632" s="4838">
        <v>543.66912447549919</v>
      </c>
      <c r="U1632" s="4839">
        <f t="shared" si="104"/>
        <v>1.9333041016951213E-3</v>
      </c>
    </row>
    <row r="1633" spans="1:21">
      <c r="A1633" s="270" t="s">
        <v>12712</v>
      </c>
      <c r="B1633" s="3305">
        <v>7197</v>
      </c>
      <c r="C1633" s="4834">
        <f t="shared" si="102"/>
        <v>2.8807288141050372E-4</v>
      </c>
      <c r="D1633" s="3" t="str">
        <f t="shared" si="103"/>
        <v>2018</v>
      </c>
      <c r="J1633" s="270" t="s">
        <v>12717</v>
      </c>
      <c r="K1633" s="4837">
        <v>40707.667767868319</v>
      </c>
      <c r="L1633" s="4834">
        <f t="shared" si="105"/>
        <v>4.3368860531759351E-5</v>
      </c>
      <c r="S1633" s="270" t="s">
        <v>12712</v>
      </c>
      <c r="T1633" s="4838">
        <v>550.74228872059723</v>
      </c>
      <c r="U1633" s="4839">
        <f t="shared" si="104"/>
        <v>1.9778624288553262E-3</v>
      </c>
    </row>
    <row r="1634" spans="1:21">
      <c r="A1634" s="270" t="s">
        <v>12713</v>
      </c>
      <c r="B1634" s="3305">
        <v>7136</v>
      </c>
      <c r="C1634" s="4834">
        <f t="shared" si="102"/>
        <v>2.9493364534883296E-4</v>
      </c>
      <c r="D1634" s="3" t="str">
        <f t="shared" si="103"/>
        <v>2018</v>
      </c>
      <c r="J1634" s="270" t="s">
        <v>12718</v>
      </c>
      <c r="K1634" s="4837">
        <v>40804.120007574209</v>
      </c>
      <c r="L1634" s="4834">
        <f t="shared" si="105"/>
        <v>4.3717699026146844E-5</v>
      </c>
      <c r="S1634" s="270" t="s">
        <v>12713</v>
      </c>
      <c r="T1634" s="4838">
        <v>553.95736337746018</v>
      </c>
      <c r="U1634" s="4839">
        <f t="shared" si="104"/>
        <v>1.9973659417513168E-3</v>
      </c>
    </row>
    <row r="1635" spans="1:21">
      <c r="A1635" s="270" t="s">
        <v>12714</v>
      </c>
      <c r="B1635" s="3305">
        <v>6987</v>
      </c>
      <c r="C1635" s="4834">
        <f t="shared" si="102"/>
        <v>3.0914095046742673E-4</v>
      </c>
      <c r="D1635" s="3" t="str">
        <f t="shared" si="103"/>
        <v>2018</v>
      </c>
      <c r="J1635" s="270" t="s">
        <v>12719</v>
      </c>
      <c r="K1635" s="4837">
        <v>40789.65217161832</v>
      </c>
      <c r="L1635" s="4834">
        <f t="shared" si="105"/>
        <v>4.3665651278168205E-5</v>
      </c>
      <c r="S1635" s="270" t="s">
        <v>12714</v>
      </c>
      <c r="T1635" s="4838">
        <v>534.02390050491078</v>
      </c>
      <c r="U1635" s="4839">
        <f t="shared" si="104"/>
        <v>1.8691855742600859E-3</v>
      </c>
    </row>
    <row r="1636" spans="1:21">
      <c r="A1636" s="270" t="s">
        <v>12715</v>
      </c>
      <c r="B1636" s="3305">
        <v>6820</v>
      </c>
      <c r="C1636" s="4834">
        <f t="shared" si="102"/>
        <v>3.2018920693670325E-4</v>
      </c>
      <c r="D1636" s="3" t="str">
        <f t="shared" si="103"/>
        <v>2018</v>
      </c>
      <c r="J1636" s="270" t="s">
        <v>12720</v>
      </c>
      <c r="K1636" s="4837">
        <v>40519.585900441845</v>
      </c>
      <c r="L1636" s="4834">
        <f t="shared" si="105"/>
        <v>4.2676483298781023E-5</v>
      </c>
      <c r="S1636" s="270" t="s">
        <v>12715</v>
      </c>
      <c r="T1636" s="4838">
        <v>525.98621386275374</v>
      </c>
      <c r="U1636" s="4839">
        <f t="shared" si="104"/>
        <v>1.8131319170043444E-3</v>
      </c>
    </row>
    <row r="1637" spans="1:21">
      <c r="A1637" s="270" t="s">
        <v>12716</v>
      </c>
      <c r="B1637" s="3305">
        <v>6819</v>
      </c>
      <c r="C1637" s="4834">
        <f t="shared" si="102"/>
        <v>3.2023858022607778E-4</v>
      </c>
      <c r="D1637" s="3" t="str">
        <f t="shared" si="103"/>
        <v>2018</v>
      </c>
      <c r="J1637" s="270" t="s">
        <v>12721</v>
      </c>
      <c r="K1637" s="4837">
        <v>40336.326645000663</v>
      </c>
      <c r="L1637" s="4834">
        <f t="shared" si="105"/>
        <v>4.1987309523153849E-5</v>
      </c>
      <c r="S1637" s="270" t="s">
        <v>12716</v>
      </c>
      <c r="T1637" s="4838">
        <v>523.73566160294979</v>
      </c>
      <c r="U1637" s="4839">
        <f t="shared" si="104"/>
        <v>1.7970549268485419E-3</v>
      </c>
    </row>
    <row r="1638" spans="1:21">
      <c r="A1638" s="270" t="s">
        <v>12717</v>
      </c>
      <c r="B1638" s="3305">
        <v>6801</v>
      </c>
      <c r="C1638" s="4834">
        <f t="shared" si="102"/>
        <v>3.2109194384746283E-4</v>
      </c>
      <c r="D1638" s="3" t="str">
        <f t="shared" si="103"/>
        <v>2018</v>
      </c>
      <c r="J1638" s="270" t="s">
        <v>12722</v>
      </c>
      <c r="K1638" s="4837">
        <v>40238.266867966347</v>
      </c>
      <c r="L1638" s="4834">
        <f t="shared" si="105"/>
        <v>4.1613007664871765E-5</v>
      </c>
      <c r="S1638" s="270" t="s">
        <v>12717</v>
      </c>
      <c r="T1638" s="4838">
        <v>522.44963174020461</v>
      </c>
      <c r="U1638" s="4839">
        <f t="shared" si="104"/>
        <v>1.7877982445720431E-3</v>
      </c>
    </row>
    <row r="1639" spans="1:21">
      <c r="A1639" s="270" t="s">
        <v>12718</v>
      </c>
      <c r="B1639" s="3305">
        <v>6811</v>
      </c>
      <c r="C1639" s="4834">
        <f t="shared" si="102"/>
        <v>3.2062613466175231E-4</v>
      </c>
      <c r="D1639" s="3" t="str">
        <f t="shared" si="103"/>
        <v>2018</v>
      </c>
      <c r="J1639" s="270" t="s">
        <v>12723</v>
      </c>
      <c r="K1639" s="4837">
        <v>40202.901046740866</v>
      </c>
      <c r="L1639" s="4834">
        <f t="shared" si="105"/>
        <v>4.1477109315530142E-5</v>
      </c>
      <c r="S1639" s="270" t="s">
        <v>12718</v>
      </c>
      <c r="T1639" s="4838">
        <v>528.23676612255781</v>
      </c>
      <c r="U1639" s="4839">
        <f t="shared" si="104"/>
        <v>1.8290475733362577E-3</v>
      </c>
    </row>
    <row r="1640" spans="1:21">
      <c r="A1640" s="270" t="s">
        <v>12719</v>
      </c>
      <c r="B1640" s="3305">
        <v>6783</v>
      </c>
      <c r="C1640" s="4834">
        <f t="shared" si="102"/>
        <v>3.2187794948051893E-4</v>
      </c>
      <c r="D1640" s="3" t="str">
        <f t="shared" si="103"/>
        <v>2018</v>
      </c>
      <c r="J1640" s="270" t="s">
        <v>12724</v>
      </c>
      <c r="K1640" s="4837">
        <v>40117.701568333992</v>
      </c>
      <c r="L1640" s="4834">
        <f t="shared" si="105"/>
        <v>4.1147813138261461E-5</v>
      </c>
      <c r="S1640" s="270" t="s">
        <v>12719</v>
      </c>
      <c r="T1640" s="4838">
        <v>526.62922879412633</v>
      </c>
      <c r="U1640" s="4839">
        <f t="shared" si="104"/>
        <v>1.8176960056202408E-3</v>
      </c>
    </row>
    <row r="1641" spans="1:21">
      <c r="A1641" s="270" t="s">
        <v>12720</v>
      </c>
      <c r="B1641" s="3305">
        <v>6712</v>
      </c>
      <c r="C1641" s="4834">
        <f t="shared" si="102"/>
        <v>3.2431230989656739E-4</v>
      </c>
      <c r="D1641" s="3" t="str">
        <f t="shared" si="103"/>
        <v>2018</v>
      </c>
      <c r="J1641" s="270" t="s">
        <v>12725</v>
      </c>
      <c r="K1641" s="4837">
        <v>40244.697017280072</v>
      </c>
      <c r="L1641" s="4834">
        <f t="shared" si="105"/>
        <v>4.1637665652998008E-5</v>
      </c>
      <c r="S1641" s="270" t="s">
        <v>12720</v>
      </c>
      <c r="T1641" s="4838">
        <v>521.80661680883213</v>
      </c>
      <c r="U1641" s="4839">
        <f t="shared" si="104"/>
        <v>1.7831513727230616E-3</v>
      </c>
    </row>
    <row r="1642" spans="1:21">
      <c r="A1642" s="270" t="s">
        <v>12721</v>
      </c>
      <c r="B1642" s="3305">
        <v>6688</v>
      </c>
      <c r="C1642" s="4834">
        <f t="shared" si="102"/>
        <v>3.2489198587824542E-4</v>
      </c>
      <c r="D1642" s="3" t="str">
        <f t="shared" si="103"/>
        <v>2018</v>
      </c>
      <c r="J1642" s="270" t="s">
        <v>12726</v>
      </c>
      <c r="K1642" s="4837">
        <v>40370.084928897726</v>
      </c>
      <c r="L1642" s="4834">
        <f t="shared" si="105"/>
        <v>4.2115293729926828E-5</v>
      </c>
      <c r="S1642" s="270" t="s">
        <v>12721</v>
      </c>
      <c r="T1642" s="4838">
        <v>521.16360187745954</v>
      </c>
      <c r="U1642" s="4839">
        <f t="shared" si="104"/>
        <v>1.7784923582047404E-3</v>
      </c>
    </row>
    <row r="1643" spans="1:21">
      <c r="A1643" s="270" t="s">
        <v>12722</v>
      </c>
      <c r="B1643" s="3305">
        <v>6650</v>
      </c>
      <c r="C1643" s="4834">
        <f t="shared" si="102"/>
        <v>3.2555579191675889E-4</v>
      </c>
      <c r="D1643" s="3" t="str">
        <f t="shared" si="103"/>
        <v>2018</v>
      </c>
      <c r="J1643" s="270" t="s">
        <v>12727</v>
      </c>
      <c r="K1643" s="4837">
        <v>40365.262316912427</v>
      </c>
      <c r="L1643" s="4834">
        <f t="shared" si="105"/>
        <v>4.2097038174908703E-5</v>
      </c>
      <c r="S1643" s="270" t="s">
        <v>12722</v>
      </c>
      <c r="T1643" s="4838">
        <v>517.94852722059682</v>
      </c>
      <c r="U1643" s="4839">
        <f t="shared" si="104"/>
        <v>1.7550206940382903E-3</v>
      </c>
    </row>
    <row r="1644" spans="1:21">
      <c r="A1644" s="270" t="s">
        <v>12723</v>
      </c>
      <c r="B1644" s="3305">
        <v>6646</v>
      </c>
      <c r="C1644" s="4834">
        <f t="shared" si="102"/>
        <v>3.2560748463082587E-4</v>
      </c>
      <c r="D1644" s="3" t="str">
        <f t="shared" si="103"/>
        <v>2018</v>
      </c>
      <c r="J1644" s="270" t="s">
        <v>12728</v>
      </c>
      <c r="K1644" s="4837">
        <v>40360.439704927128</v>
      </c>
      <c r="L1644" s="4834">
        <f t="shared" si="105"/>
        <v>4.207877328715844E-5</v>
      </c>
      <c r="S1644" s="270" t="s">
        <v>12723</v>
      </c>
      <c r="T1644" s="4838">
        <v>515.37646749510657</v>
      </c>
      <c r="U1644" s="4839">
        <f t="shared" si="104"/>
        <v>1.7360409734682801E-3</v>
      </c>
    </row>
    <row r="1645" spans="1:21">
      <c r="A1645" s="270" t="s">
        <v>12724</v>
      </c>
      <c r="B1645" s="3305">
        <v>6595</v>
      </c>
      <c r="C1645" s="4834">
        <f t="shared" si="102"/>
        <v>3.2596193602886438E-4</v>
      </c>
      <c r="D1645" s="3" t="str">
        <f t="shared" si="103"/>
        <v>2018</v>
      </c>
      <c r="J1645" s="270" t="s">
        <v>12729</v>
      </c>
      <c r="K1645" s="4837">
        <v>40575.84970693694</v>
      </c>
      <c r="L1645" s="4834">
        <f t="shared" si="105"/>
        <v>4.2885240234731915E-5</v>
      </c>
      <c r="S1645" s="270" t="s">
        <v>12724</v>
      </c>
      <c r="T1645" s="4838">
        <v>513.76893016667509</v>
      </c>
      <c r="U1645" s="4839">
        <f t="shared" si="104"/>
        <v>1.7240922370112303E-3</v>
      </c>
    </row>
    <row r="1646" spans="1:21">
      <c r="A1646" s="270" t="s">
        <v>12725</v>
      </c>
      <c r="B1646" s="3305">
        <v>6584.5</v>
      </c>
      <c r="C1646" s="4834">
        <f t="shared" si="102"/>
        <v>3.2596468797829086E-4</v>
      </c>
      <c r="D1646" s="3" t="str">
        <f t="shared" si="103"/>
        <v>2018</v>
      </c>
      <c r="J1646" s="270" t="s">
        <v>12730</v>
      </c>
      <c r="K1646" s="4837">
        <v>40317.036197059489</v>
      </c>
      <c r="L1646" s="4834">
        <f t="shared" si="105"/>
        <v>4.1913972463410467E-5</v>
      </c>
      <c r="S1646" s="270" t="s">
        <v>12725</v>
      </c>
      <c r="T1646" s="4838">
        <v>512.16139283824373</v>
      </c>
      <c r="U1646" s="4839">
        <f t="shared" si="104"/>
        <v>1.7120800078068443E-3</v>
      </c>
    </row>
    <row r="1647" spans="1:21">
      <c r="A1647" s="270" t="s">
        <v>12726</v>
      </c>
      <c r="B1647" s="3305">
        <v>6459</v>
      </c>
      <c r="C1647" s="4834">
        <f t="shared" si="102"/>
        <v>3.241455174441977E-4</v>
      </c>
      <c r="D1647" s="3" t="str">
        <f t="shared" si="103"/>
        <v>2018</v>
      </c>
      <c r="J1647" s="270" t="s">
        <v>12731</v>
      </c>
      <c r="K1647" s="4837">
        <v>40233.444255981056</v>
      </c>
      <c r="L1647" s="4834">
        <f t="shared" si="105"/>
        <v>4.1594503868519711E-5</v>
      </c>
      <c r="S1647" s="270" t="s">
        <v>12726</v>
      </c>
      <c r="T1647" s="4838">
        <v>516.01948242647916</v>
      </c>
      <c r="U1647" s="4839">
        <f t="shared" si="104"/>
        <v>1.7408021343373E-3</v>
      </c>
    </row>
    <row r="1648" spans="1:21">
      <c r="A1648" s="270" t="s">
        <v>12727</v>
      </c>
      <c r="B1648" s="3305">
        <v>6399.5</v>
      </c>
      <c r="C1648" s="4834">
        <f t="shared" si="102"/>
        <v>3.2210089428321256E-4</v>
      </c>
      <c r="D1648" s="3" t="str">
        <f t="shared" si="103"/>
        <v>2018</v>
      </c>
      <c r="J1648" s="270" t="s">
        <v>12732</v>
      </c>
      <c r="K1648" s="4837">
        <v>40056.615149853606</v>
      </c>
      <c r="L1648" s="4834">
        <f t="shared" si="105"/>
        <v>4.09101031557945E-5</v>
      </c>
      <c r="S1648" s="270" t="s">
        <v>12727</v>
      </c>
      <c r="T1648" s="4838">
        <v>512.80440776961632</v>
      </c>
      <c r="U1648" s="4839">
        <f t="shared" si="104"/>
        <v>1.7168923598626586E-3</v>
      </c>
    </row>
    <row r="1649" spans="1:21">
      <c r="A1649" s="270" t="s">
        <v>12728</v>
      </c>
      <c r="B1649" s="3305">
        <v>6326</v>
      </c>
      <c r="C1649" s="4834">
        <f t="shared" si="102"/>
        <v>3.185518057327078E-4</v>
      </c>
      <c r="D1649" s="3" t="str">
        <f t="shared" si="103"/>
        <v>2018</v>
      </c>
      <c r="J1649" s="270" t="s">
        <v>12733</v>
      </c>
      <c r="K1649" s="4837">
        <v>39921.582014265368</v>
      </c>
      <c r="L1649" s="4834">
        <f t="shared" si="105"/>
        <v>4.0380077168603982E-5</v>
      </c>
      <c r="S1649" s="270" t="s">
        <v>12728</v>
      </c>
      <c r="T1649" s="4838">
        <v>514.41194509804768</v>
      </c>
      <c r="U1649" s="4839">
        <f t="shared" si="104"/>
        <v>1.7288794896497311E-3</v>
      </c>
    </row>
    <row r="1650" spans="1:21">
      <c r="A1650" s="270" t="s">
        <v>12729</v>
      </c>
      <c r="B1650" s="3305">
        <v>6383</v>
      </c>
      <c r="C1650" s="4834">
        <f t="shared" si="102"/>
        <v>3.2140162051665869E-4</v>
      </c>
      <c r="D1650" s="3" t="str">
        <f t="shared" si="103"/>
        <v>2018</v>
      </c>
      <c r="J1650" s="270" t="s">
        <v>12734</v>
      </c>
      <c r="K1650" s="4837">
        <v>39902.291566324187</v>
      </c>
      <c r="L1650" s="4834">
        <f t="shared" si="105"/>
        <v>4.030386463045405E-5</v>
      </c>
      <c r="S1650" s="270" t="s">
        <v>12729</v>
      </c>
      <c r="T1650" s="4838">
        <v>521.16360187745954</v>
      </c>
      <c r="U1650" s="4839">
        <f t="shared" si="104"/>
        <v>1.7784923582047404E-3</v>
      </c>
    </row>
    <row r="1651" spans="1:21">
      <c r="A1651" s="270" t="s">
        <v>12730</v>
      </c>
      <c r="B1651" s="3305">
        <v>6308</v>
      </c>
      <c r="C1651" s="4834">
        <f t="shared" si="102"/>
        <v>3.1751400795833567E-4</v>
      </c>
      <c r="D1651" s="3" t="str">
        <f t="shared" si="103"/>
        <v>2018</v>
      </c>
      <c r="J1651" s="270" t="s">
        <v>12735</v>
      </c>
      <c r="K1651" s="4837">
        <v>39635.440369804579</v>
      </c>
      <c r="L1651" s="4834">
        <f t="shared" si="105"/>
        <v>3.9237822868408419E-5</v>
      </c>
      <c r="S1651" s="270" t="s">
        <v>12730</v>
      </c>
      <c r="T1651" s="4838">
        <v>512.16139283824373</v>
      </c>
      <c r="U1651" s="4839">
        <f t="shared" si="104"/>
        <v>1.7120800078068443E-3</v>
      </c>
    </row>
    <row r="1652" spans="1:21">
      <c r="A1652" s="270" t="s">
        <v>12731</v>
      </c>
      <c r="B1652" s="3305">
        <v>6182</v>
      </c>
      <c r="C1652" s="4834">
        <f t="shared" si="102"/>
        <v>3.0846953209997212E-4</v>
      </c>
      <c r="D1652" s="3" t="str">
        <f t="shared" si="103"/>
        <v>2018</v>
      </c>
      <c r="J1652" s="270" t="s">
        <v>12736</v>
      </c>
      <c r="K1652" s="4837">
        <v>39368.589173284963</v>
      </c>
      <c r="L1652" s="4834">
        <f t="shared" si="105"/>
        <v>3.8152072356248627E-5</v>
      </c>
      <c r="S1652" s="270" t="s">
        <v>12731</v>
      </c>
      <c r="T1652" s="4838">
        <v>511.83988537255743</v>
      </c>
      <c r="U1652" s="4839">
        <f t="shared" si="104"/>
        <v>1.7096701611077486E-3</v>
      </c>
    </row>
    <row r="1653" spans="1:21">
      <c r="A1653" s="270" t="s">
        <v>12732</v>
      </c>
      <c r="B1653" s="3305">
        <v>6173</v>
      </c>
      <c r="C1653" s="4834">
        <f t="shared" si="102"/>
        <v>3.077086202324339E-4</v>
      </c>
      <c r="D1653" s="3" t="str">
        <f t="shared" si="103"/>
        <v>2018</v>
      </c>
      <c r="J1653" s="270" t="s">
        <v>12737</v>
      </c>
      <c r="K1653" s="4837">
        <v>39145.141484632994</v>
      </c>
      <c r="L1653" s="4834">
        <f t="shared" si="105"/>
        <v>3.7230110253631536E-5</v>
      </c>
      <c r="S1653" s="270" t="s">
        <v>12732</v>
      </c>
      <c r="T1653" s="4838">
        <v>509.26782564706718</v>
      </c>
      <c r="U1653" s="4839">
        <f t="shared" si="104"/>
        <v>1.6903059086548519E-3</v>
      </c>
    </row>
    <row r="1654" spans="1:21">
      <c r="A1654" s="270" t="s">
        <v>12733</v>
      </c>
      <c r="B1654" s="3305">
        <v>6166</v>
      </c>
      <c r="C1654" s="4834">
        <f t="shared" si="102"/>
        <v>3.0710661595577366E-4</v>
      </c>
      <c r="D1654" s="3" t="str">
        <f t="shared" si="103"/>
        <v>2018</v>
      </c>
      <c r="J1654" s="270" t="s">
        <v>12738</v>
      </c>
      <c r="K1654" s="4837">
        <v>39505.229846201626</v>
      </c>
      <c r="L1654" s="4834">
        <f t="shared" si="105"/>
        <v>3.8710290385576134E-5</v>
      </c>
      <c r="S1654" s="270" t="s">
        <v>12733</v>
      </c>
      <c r="T1654" s="4838">
        <v>508.30330325000841</v>
      </c>
      <c r="U1654" s="4839">
        <f t="shared" si="104"/>
        <v>1.6830064438659968E-3</v>
      </c>
    </row>
    <row r="1655" spans="1:21">
      <c r="A1655" s="270" t="s">
        <v>12734</v>
      </c>
      <c r="B1655" s="3305">
        <v>6143</v>
      </c>
      <c r="C1655" s="4834">
        <f t="shared" si="102"/>
        <v>3.0506660882988559E-4</v>
      </c>
      <c r="D1655" s="3" t="str">
        <f t="shared" si="103"/>
        <v>2018</v>
      </c>
      <c r="J1655" s="270" t="s">
        <v>12739</v>
      </c>
      <c r="K1655" s="4837">
        <v>39383.057009240845</v>
      </c>
      <c r="L1655" s="4834">
        <f t="shared" si="105"/>
        <v>3.8211389822388661E-5</v>
      </c>
      <c r="S1655" s="270" t="s">
        <v>12734</v>
      </c>
      <c r="T1655" s="4838">
        <v>508.30330325000841</v>
      </c>
      <c r="U1655" s="4839">
        <f t="shared" si="104"/>
        <v>1.6830064438659968E-3</v>
      </c>
    </row>
    <row r="1656" spans="1:21">
      <c r="A1656" s="270" t="s">
        <v>12735</v>
      </c>
      <c r="B1656" s="3305">
        <v>6141.5</v>
      </c>
      <c r="C1656" s="4834">
        <f t="shared" si="102"/>
        <v>3.0493029583656203E-4</v>
      </c>
      <c r="D1656" s="3" t="str">
        <f t="shared" si="103"/>
        <v>2018</v>
      </c>
      <c r="J1656" s="270" t="s">
        <v>12740</v>
      </c>
      <c r="K1656" s="4837">
        <v>39492.369547574177</v>
      </c>
      <c r="L1656" s="4834">
        <f t="shared" si="105"/>
        <v>3.865794809189455E-5</v>
      </c>
      <c r="S1656" s="270" t="s">
        <v>12735</v>
      </c>
      <c r="T1656" s="4838">
        <v>507.01727338726323</v>
      </c>
      <c r="U1656" s="4839">
        <f t="shared" si="104"/>
        <v>1.6732430774757741E-3</v>
      </c>
    </row>
    <row r="1657" spans="1:21">
      <c r="A1657" s="270" t="s">
        <v>12736</v>
      </c>
      <c r="B1657" s="3305">
        <v>6068</v>
      </c>
      <c r="C1657" s="4834">
        <f t="shared" si="102"/>
        <v>2.9777659494033097E-4</v>
      </c>
      <c r="D1657" s="3" t="str">
        <f t="shared" si="103"/>
        <v>2018</v>
      </c>
      <c r="J1657" s="270" t="s">
        <v>12741</v>
      </c>
      <c r="K1657" s="4837">
        <v>39593.644399265359</v>
      </c>
      <c r="L1657" s="4834">
        <f t="shared" si="105"/>
        <v>3.9068984745116809E-5</v>
      </c>
      <c r="S1657" s="270" t="s">
        <v>12736</v>
      </c>
      <c r="T1657" s="4838">
        <v>496.407527019616</v>
      </c>
      <c r="U1657" s="4839">
        <f t="shared" si="104"/>
        <v>1.5915149150412821E-3</v>
      </c>
    </row>
    <row r="1658" spans="1:21">
      <c r="A1658" s="270" t="s">
        <v>12737</v>
      </c>
      <c r="B1658" s="3305">
        <v>5982</v>
      </c>
      <c r="C1658" s="4834">
        <f t="shared" si="102"/>
        <v>2.8829597402776853E-4</v>
      </c>
      <c r="D1658" s="3" t="str">
        <f t="shared" si="103"/>
        <v>2018</v>
      </c>
      <c r="J1658" s="270" t="s">
        <v>12742</v>
      </c>
      <c r="K1658" s="4837">
        <v>39489.154472917318</v>
      </c>
      <c r="L1658" s="4834">
        <f t="shared" si="105"/>
        <v>3.8644855982438757E-5</v>
      </c>
      <c r="S1658" s="270" t="s">
        <v>12737</v>
      </c>
      <c r="T1658" s="4838">
        <v>490.62039263726297</v>
      </c>
      <c r="U1658" s="4839">
        <f t="shared" si="104"/>
        <v>1.5462129270622201E-3</v>
      </c>
    </row>
    <row r="1659" spans="1:21">
      <c r="A1659" s="270" t="s">
        <v>12738</v>
      </c>
      <c r="B1659" s="3305">
        <v>6073</v>
      </c>
      <c r="C1659" s="4834">
        <f t="shared" si="102"/>
        <v>2.9829197768160414E-4</v>
      </c>
      <c r="D1659" s="3" t="str">
        <f t="shared" si="103"/>
        <v>2018</v>
      </c>
      <c r="J1659" s="270" t="s">
        <v>12743</v>
      </c>
      <c r="K1659" s="4837">
        <v>39350.906262672215</v>
      </c>
      <c r="L1659" s="4834">
        <f t="shared" si="105"/>
        <v>3.8079507515222094E-5</v>
      </c>
      <c r="S1659" s="270" t="s">
        <v>12738</v>
      </c>
      <c r="T1659" s="4838">
        <v>494.1569747598121</v>
      </c>
      <c r="U1659" s="4839">
        <f t="shared" si="104"/>
        <v>1.5739481593204012E-3</v>
      </c>
    </row>
    <row r="1660" spans="1:21">
      <c r="A1660" s="270" t="s">
        <v>12739</v>
      </c>
      <c r="B1660" s="3305">
        <v>6153</v>
      </c>
      <c r="C1660" s="4834">
        <f t="shared" si="102"/>
        <v>3.0596517512289541E-4</v>
      </c>
      <c r="D1660" s="3" t="str">
        <f t="shared" si="103"/>
        <v>2018</v>
      </c>
      <c r="J1660" s="270" t="s">
        <v>12744</v>
      </c>
      <c r="K1660" s="4837">
        <v>39346.083650686924</v>
      </c>
      <c r="L1660" s="4834">
        <f t="shared" si="105"/>
        <v>3.8059704671593642E-5</v>
      </c>
      <c r="S1660" s="270" t="s">
        <v>12739</v>
      </c>
      <c r="T1660" s="4838">
        <v>498.01506434804742</v>
      </c>
      <c r="U1660" s="4839">
        <f t="shared" si="104"/>
        <v>1.6040186652926316E-3</v>
      </c>
    </row>
    <row r="1661" spans="1:21">
      <c r="A1661" s="270" t="s">
        <v>12740</v>
      </c>
      <c r="B1661" s="3305">
        <v>6167</v>
      </c>
      <c r="C1661" s="4834">
        <f t="shared" si="102"/>
        <v>3.0719315966388019E-4</v>
      </c>
      <c r="D1661" s="3" t="str">
        <f t="shared" si="103"/>
        <v>2018</v>
      </c>
      <c r="J1661" s="270" t="s">
        <v>12745</v>
      </c>
      <c r="K1661" s="4837">
        <v>39254.454022966333</v>
      </c>
      <c r="L1661" s="4834">
        <f t="shared" si="105"/>
        <v>3.7682466731032142E-5</v>
      </c>
      <c r="S1661" s="270" t="s">
        <v>12740</v>
      </c>
      <c r="T1661" s="4838">
        <v>498.65807927941995</v>
      </c>
      <c r="U1661" s="4839">
        <f t="shared" si="104"/>
        <v>1.6090092808535808E-3</v>
      </c>
    </row>
    <row r="1662" spans="1:21">
      <c r="A1662" s="270" t="s">
        <v>12741</v>
      </c>
      <c r="B1662" s="3305">
        <v>6252</v>
      </c>
      <c r="C1662" s="4834">
        <f t="shared" si="102"/>
        <v>3.1387239673943133E-4</v>
      </c>
      <c r="D1662" s="3" t="str">
        <f t="shared" si="103"/>
        <v>2018</v>
      </c>
      <c r="J1662" s="270" t="s">
        <v>12746</v>
      </c>
      <c r="K1662" s="4837">
        <v>39191.760067157513</v>
      </c>
      <c r="L1662" s="4834">
        <f t="shared" si="105"/>
        <v>3.742332277953703E-5</v>
      </c>
      <c r="S1662" s="270" t="s">
        <v>12741</v>
      </c>
      <c r="T1662" s="4838">
        <v>500.58712407353767</v>
      </c>
      <c r="U1662" s="4839">
        <f t="shared" si="104"/>
        <v>1.6239417842373051E-3</v>
      </c>
    </row>
    <row r="1663" spans="1:21">
      <c r="A1663" s="270" t="s">
        <v>12742</v>
      </c>
      <c r="B1663" s="3305">
        <v>6255</v>
      </c>
      <c r="C1663" s="4834">
        <f t="shared" si="102"/>
        <v>3.1408308958830124E-4</v>
      </c>
      <c r="D1663" s="3" t="str">
        <f t="shared" si="103"/>
        <v>2018</v>
      </c>
      <c r="J1663" s="270" t="s">
        <v>12747</v>
      </c>
      <c r="K1663" s="4837">
        <v>39077.624916838882</v>
      </c>
      <c r="L1663" s="4834">
        <f t="shared" si="105"/>
        <v>3.694954348043208E-5</v>
      </c>
      <c r="S1663" s="270" t="s">
        <v>12742</v>
      </c>
      <c r="T1663" s="4838">
        <v>499.62260167647884</v>
      </c>
      <c r="U1663" s="4839">
        <f t="shared" si="104"/>
        <v>1.6164830556959788E-3</v>
      </c>
    </row>
    <row r="1664" spans="1:21">
      <c r="A1664" s="270" t="s">
        <v>12743</v>
      </c>
      <c r="B1664" s="3305">
        <v>6251.5</v>
      </c>
      <c r="C1664" s="4834">
        <f t="shared" si="102"/>
        <v>3.138371116762831E-4</v>
      </c>
      <c r="D1664" s="3" t="str">
        <f t="shared" si="103"/>
        <v>2018</v>
      </c>
      <c r="J1664" s="270" t="s">
        <v>12748</v>
      </c>
      <c r="K1664" s="4837">
        <v>39104.953051422213</v>
      </c>
      <c r="L1664" s="4834">
        <f t="shared" si="105"/>
        <v>3.7063209271027462E-5</v>
      </c>
      <c r="S1664" s="270" t="s">
        <v>12743</v>
      </c>
      <c r="T1664" s="4838">
        <v>493.83546729412575</v>
      </c>
      <c r="U1664" s="4839">
        <f t="shared" si="104"/>
        <v>1.5714331003436515E-3</v>
      </c>
    </row>
    <row r="1665" spans="1:21">
      <c r="A1665" s="270" t="s">
        <v>12744</v>
      </c>
      <c r="B1665" s="3305">
        <v>6185</v>
      </c>
      <c r="C1665" s="4834">
        <f t="shared" si="102"/>
        <v>3.087198773670533E-4</v>
      </c>
      <c r="D1665" s="3" t="str">
        <f t="shared" si="103"/>
        <v>2018</v>
      </c>
      <c r="J1665" s="270" t="s">
        <v>12749</v>
      </c>
      <c r="K1665" s="4837">
        <v>38891.150586740841</v>
      </c>
      <c r="L1665" s="4834">
        <f t="shared" si="105"/>
        <v>3.6170482655581993E-5</v>
      </c>
      <c r="S1665" s="270" t="s">
        <v>12744</v>
      </c>
      <c r="T1665" s="4838">
        <v>498.01506434804742</v>
      </c>
      <c r="U1665" s="4839">
        <f t="shared" si="104"/>
        <v>1.6040186652926316E-3</v>
      </c>
    </row>
    <row r="1666" spans="1:21">
      <c r="A1666" s="270" t="s">
        <v>12745</v>
      </c>
      <c r="B1666" s="3305">
        <v>6213</v>
      </c>
      <c r="C1666" s="4834">
        <f t="shared" si="102"/>
        <v>3.1097613604571308E-4</v>
      </c>
      <c r="D1666" s="3" t="str">
        <f t="shared" si="103"/>
        <v>2018</v>
      </c>
      <c r="J1666" s="270" t="s">
        <v>12750</v>
      </c>
      <c r="K1666" s="4837">
        <v>38977.957602476134</v>
      </c>
      <c r="L1666" s="4834">
        <f t="shared" si="105"/>
        <v>3.6533869016110785E-5</v>
      </c>
      <c r="S1666" s="270" t="s">
        <v>12745</v>
      </c>
      <c r="T1666" s="4838">
        <v>496.0860195539297</v>
      </c>
      <c r="U1666" s="4839">
        <f t="shared" si="104"/>
        <v>1.5890096555492051E-3</v>
      </c>
    </row>
    <row r="1667" spans="1:21">
      <c r="A1667" s="270" t="s">
        <v>12746</v>
      </c>
      <c r="B1667" s="3305">
        <v>6137</v>
      </c>
      <c r="C1667" s="4834">
        <f t="shared" si="102"/>
        <v>3.0451897762087958E-4</v>
      </c>
      <c r="D1667" s="3" t="str">
        <f t="shared" si="103"/>
        <v>2018</v>
      </c>
      <c r="J1667" s="270" t="s">
        <v>12751</v>
      </c>
      <c r="K1667" s="4837">
        <v>38887.935512083968</v>
      </c>
      <c r="L1667" s="4834">
        <f t="shared" si="105"/>
        <v>3.6157001330984937E-5</v>
      </c>
      <c r="S1667" s="270" t="s">
        <v>12746</v>
      </c>
      <c r="T1667" s="4838">
        <v>497.69355688236118</v>
      </c>
      <c r="U1667" s="4839">
        <f t="shared" si="104"/>
        <v>1.6015209862338859E-3</v>
      </c>
    </row>
    <row r="1668" spans="1:21">
      <c r="A1668" s="270" t="s">
        <v>12747</v>
      </c>
      <c r="B1668" s="3305">
        <v>6063</v>
      </c>
      <c r="C1668" s="4834">
        <f t="shared" ref="C1668:C1731" si="106">_xlfn.NORM.DIST(B1668,$F$4,$F$3,FALSE)</f>
        <v>2.972571412963224E-4</v>
      </c>
      <c r="D1668" s="3" t="str">
        <f t="shared" ref="D1668:D1731" si="107">LEFT(A1668,4)</f>
        <v>2018</v>
      </c>
      <c r="J1668" s="270" t="s">
        <v>12752</v>
      </c>
      <c r="K1668" s="4837">
        <v>39042.259095613386</v>
      </c>
      <c r="L1668" s="4834">
        <f t="shared" si="105"/>
        <v>3.6802244899704917E-5</v>
      </c>
      <c r="S1668" s="270" t="s">
        <v>12747</v>
      </c>
      <c r="T1668" s="4838">
        <v>496.72903448530229</v>
      </c>
      <c r="U1668" s="4839">
        <f t="shared" ref="U1668:U1731" si="108">_xlfn.NORM.DIST(T1668,$X$4,$X$3,FALSE)</f>
        <v>1.5940186972499104E-3</v>
      </c>
    </row>
    <row r="1669" spans="1:21">
      <c r="A1669" s="270" t="s">
        <v>12748</v>
      </c>
      <c r="B1669" s="3305">
        <v>6167</v>
      </c>
      <c r="C1669" s="4834">
        <f t="shared" si="106"/>
        <v>3.0719315966388019E-4</v>
      </c>
      <c r="D1669" s="3" t="str">
        <f t="shared" si="107"/>
        <v>2018</v>
      </c>
      <c r="J1669" s="270" t="s">
        <v>12753</v>
      </c>
      <c r="K1669" s="4837">
        <v>39043.866632941819</v>
      </c>
      <c r="L1669" s="4834">
        <f t="shared" ref="L1669:L1732" si="109">_xlfn.NORM.DIST(K1669,$O$4,$O$3,FALSE)</f>
        <v>3.6808945133509559E-5</v>
      </c>
      <c r="S1669" s="270" t="s">
        <v>12748</v>
      </c>
      <c r="T1669" s="4838">
        <v>493.83546729412575</v>
      </c>
      <c r="U1669" s="4839">
        <f t="shared" si="108"/>
        <v>1.5714331003436515E-3</v>
      </c>
    </row>
    <row r="1670" spans="1:21">
      <c r="A1670" s="270" t="s">
        <v>12749</v>
      </c>
      <c r="B1670" s="3305">
        <v>6040</v>
      </c>
      <c r="C1670" s="4834">
        <f t="shared" si="106"/>
        <v>2.9481591748462248E-4</v>
      </c>
      <c r="D1670" s="3" t="str">
        <f t="shared" si="107"/>
        <v>2018</v>
      </c>
      <c r="J1670" s="270" t="s">
        <v>12754</v>
      </c>
      <c r="K1670" s="4837">
        <v>38592.148643652596</v>
      </c>
      <c r="L1670" s="4834">
        <f t="shared" si="109"/>
        <v>3.4910759100944697E-5</v>
      </c>
      <c r="S1670" s="270" t="s">
        <v>12749</v>
      </c>
      <c r="T1670" s="4838">
        <v>493.51395982843951</v>
      </c>
      <c r="U1670" s="4839">
        <f t="shared" si="108"/>
        <v>1.5689167186012736E-3</v>
      </c>
    </row>
    <row r="1671" spans="1:21">
      <c r="A1671" s="270" t="s">
        <v>12750</v>
      </c>
      <c r="B1671" s="3305">
        <v>6132</v>
      </c>
      <c r="C1671" s="4834">
        <f t="shared" si="106"/>
        <v>3.0405778693756003E-4</v>
      </c>
      <c r="D1671" s="3" t="str">
        <f t="shared" si="107"/>
        <v>2018</v>
      </c>
      <c r="J1671" s="270" t="s">
        <v>12755</v>
      </c>
      <c r="K1671" s="4837">
        <v>38484.44364264769</v>
      </c>
      <c r="L1671" s="4834">
        <f t="shared" si="109"/>
        <v>3.4454516173580901E-5</v>
      </c>
      <c r="S1671" s="270" t="s">
        <v>12750</v>
      </c>
      <c r="T1671" s="4838">
        <v>497.37204941667488</v>
      </c>
      <c r="U1671" s="4839">
        <f t="shared" si="108"/>
        <v>1.5990217522554044E-3</v>
      </c>
    </row>
    <row r="1672" spans="1:21">
      <c r="A1672" s="270" t="s">
        <v>12751</v>
      </c>
      <c r="B1672" s="3305">
        <v>6113</v>
      </c>
      <c r="C1672" s="4834">
        <f t="shared" si="106"/>
        <v>3.0226561018141979E-4</v>
      </c>
      <c r="D1672" s="3" t="str">
        <f t="shared" si="107"/>
        <v>2018</v>
      </c>
      <c r="J1672" s="270" t="s">
        <v>12756</v>
      </c>
      <c r="K1672" s="4837">
        <v>38002.182444118276</v>
      </c>
      <c r="L1672" s="4834">
        <f t="shared" si="109"/>
        <v>3.2402327968921388E-5</v>
      </c>
      <c r="S1672" s="270" t="s">
        <v>12751</v>
      </c>
      <c r="T1672" s="4838">
        <v>493.51395982843951</v>
      </c>
      <c r="U1672" s="4839">
        <f t="shared" si="108"/>
        <v>1.5689167186012736E-3</v>
      </c>
    </row>
    <row r="1673" spans="1:21">
      <c r="A1673" s="270" t="s">
        <v>12752</v>
      </c>
      <c r="B1673" s="3305">
        <v>6247</v>
      </c>
      <c r="C1673" s="4834">
        <f t="shared" si="106"/>
        <v>3.1351736982367388E-4</v>
      </c>
      <c r="D1673" s="3" t="str">
        <f t="shared" si="107"/>
        <v>2018</v>
      </c>
      <c r="J1673" s="270" t="s">
        <v>12757</v>
      </c>
      <c r="K1673" s="4837">
        <v>37950.741249608473</v>
      </c>
      <c r="L1673" s="4834">
        <f t="shared" si="109"/>
        <v>3.2182987999285566E-5</v>
      </c>
      <c r="S1673" s="270" t="s">
        <v>12752</v>
      </c>
      <c r="T1673" s="4838">
        <v>497.69355688236118</v>
      </c>
      <c r="U1673" s="4839">
        <f t="shared" si="108"/>
        <v>1.6015209862338859E-3</v>
      </c>
    </row>
    <row r="1674" spans="1:21">
      <c r="A1674" s="270" t="s">
        <v>12753</v>
      </c>
      <c r="B1674" s="3305">
        <v>6120</v>
      </c>
      <c r="C1674" s="4834">
        <f t="shared" si="106"/>
        <v>3.0293314759241509E-4</v>
      </c>
      <c r="D1674" s="3" t="str">
        <f t="shared" si="107"/>
        <v>2018</v>
      </c>
      <c r="J1674" s="270" t="s">
        <v>12758</v>
      </c>
      <c r="K1674" s="4837">
        <v>37886.43975647122</v>
      </c>
      <c r="L1674" s="4834">
        <f t="shared" si="109"/>
        <v>3.1908807306998954E-5</v>
      </c>
      <c r="S1674" s="270" t="s">
        <v>12753</v>
      </c>
      <c r="T1674" s="4838">
        <v>494.4784822254984</v>
      </c>
      <c r="U1674" s="4839">
        <f t="shared" si="108"/>
        <v>1.5764618762748807E-3</v>
      </c>
    </row>
    <row r="1675" spans="1:21">
      <c r="A1675" s="270" t="s">
        <v>12754</v>
      </c>
      <c r="B1675" s="3305">
        <v>6081</v>
      </c>
      <c r="C1675" s="4834">
        <f t="shared" si="106"/>
        <v>2.9910806208717115E-4</v>
      </c>
      <c r="D1675" s="3" t="str">
        <f t="shared" si="107"/>
        <v>2018</v>
      </c>
      <c r="J1675" s="270" t="s">
        <v>12759</v>
      </c>
      <c r="K1675" s="4837">
        <v>38077.736698554545</v>
      </c>
      <c r="L1675" s="4834">
        <f t="shared" si="109"/>
        <v>3.2724429928551521E-5</v>
      </c>
      <c r="S1675" s="270" t="s">
        <v>12754</v>
      </c>
      <c r="T1675" s="4838">
        <v>488.36984037745901</v>
      </c>
      <c r="U1675" s="4839">
        <f t="shared" si="108"/>
        <v>1.528490358244176E-3</v>
      </c>
    </row>
    <row r="1676" spans="1:21">
      <c r="A1676" s="270" t="s">
        <v>12755</v>
      </c>
      <c r="B1676" s="3305">
        <v>6059</v>
      </c>
      <c r="C1676" s="4834">
        <f t="shared" si="106"/>
        <v>2.9683866373998431E-4</v>
      </c>
      <c r="D1676" s="3" t="str">
        <f t="shared" si="107"/>
        <v>2018</v>
      </c>
      <c r="J1676" s="270" t="s">
        <v>12760</v>
      </c>
      <c r="K1676" s="4837">
        <v>38289.931625907499</v>
      </c>
      <c r="L1676" s="4834">
        <f t="shared" si="109"/>
        <v>3.3628187175823049E-5</v>
      </c>
      <c r="S1676" s="270" t="s">
        <v>12755</v>
      </c>
      <c r="T1676" s="4838">
        <v>483.54722839216481</v>
      </c>
      <c r="U1676" s="4839">
        <f t="shared" si="108"/>
        <v>1.4903569903834191E-3</v>
      </c>
    </row>
    <row r="1677" spans="1:21">
      <c r="A1677" s="270" t="s">
        <v>12756</v>
      </c>
      <c r="B1677" s="3305">
        <v>5843</v>
      </c>
      <c r="C1677" s="4834">
        <f t="shared" si="106"/>
        <v>2.7076510700065146E-4</v>
      </c>
      <c r="D1677" s="3" t="str">
        <f t="shared" si="107"/>
        <v>2018</v>
      </c>
      <c r="J1677" s="270" t="s">
        <v>12761</v>
      </c>
      <c r="K1677" s="4837">
        <v>38473.190881348681</v>
      </c>
      <c r="L1677" s="4834">
        <f t="shared" si="109"/>
        <v>3.4406788558485466E-5</v>
      </c>
      <c r="S1677" s="270" t="s">
        <v>12756</v>
      </c>
      <c r="T1677" s="4838">
        <v>476.79557161275301</v>
      </c>
      <c r="U1677" s="4839">
        <f t="shared" si="108"/>
        <v>1.4367130430930437E-3</v>
      </c>
    </row>
    <row r="1678" spans="1:21">
      <c r="A1678" s="270" t="s">
        <v>12757</v>
      </c>
      <c r="B1678" s="3305">
        <v>5860</v>
      </c>
      <c r="C1678" s="4834">
        <f t="shared" si="106"/>
        <v>2.7303957294785619E-4</v>
      </c>
      <c r="D1678" s="3" t="str">
        <f t="shared" si="107"/>
        <v>2018</v>
      </c>
      <c r="J1678" s="270" t="s">
        <v>12762</v>
      </c>
      <c r="K1678" s="4837">
        <v>38334.94267110357</v>
      </c>
      <c r="L1678" s="4834">
        <f t="shared" si="109"/>
        <v>3.3819628987034456E-5</v>
      </c>
      <c r="S1678" s="270" t="s">
        <v>12757</v>
      </c>
      <c r="T1678" s="4838">
        <v>476.79557161275301</v>
      </c>
      <c r="U1678" s="4839">
        <f t="shared" si="108"/>
        <v>1.4367130430930437E-3</v>
      </c>
    </row>
    <row r="1679" spans="1:21">
      <c r="A1679" s="270" t="s">
        <v>12758</v>
      </c>
      <c r="B1679" s="3305">
        <v>5844</v>
      </c>
      <c r="C1679" s="4834">
        <f t="shared" si="106"/>
        <v>2.7089981993998853E-4</v>
      </c>
      <c r="D1679" s="3" t="str">
        <f t="shared" si="107"/>
        <v>2018</v>
      </c>
      <c r="J1679" s="270" t="s">
        <v>12763</v>
      </c>
      <c r="K1679" s="4837">
        <v>38506.949165245736</v>
      </c>
      <c r="L1679" s="4834">
        <f t="shared" si="109"/>
        <v>3.4549938828357019E-5</v>
      </c>
      <c r="S1679" s="270" t="s">
        <v>12758</v>
      </c>
      <c r="T1679" s="4838">
        <v>471.32994469608622</v>
      </c>
      <c r="U1679" s="4839">
        <f t="shared" si="108"/>
        <v>1.3931715459864992E-3</v>
      </c>
    </row>
    <row r="1680" spans="1:21">
      <c r="A1680" s="270" t="s">
        <v>12759</v>
      </c>
      <c r="B1680" s="3305">
        <v>5963</v>
      </c>
      <c r="C1680" s="4834">
        <f t="shared" si="106"/>
        <v>2.8605191108954344E-4</v>
      </c>
      <c r="D1680" s="3" t="str">
        <f t="shared" si="107"/>
        <v>2018</v>
      </c>
      <c r="J1680" s="270" t="s">
        <v>12764</v>
      </c>
      <c r="K1680" s="4837">
        <v>38974.742527819275</v>
      </c>
      <c r="L1680" s="4834">
        <f t="shared" si="109"/>
        <v>3.6520431864930044E-5</v>
      </c>
      <c r="S1680" s="270" t="s">
        <v>12759</v>
      </c>
      <c r="T1680" s="4838">
        <v>474.545019352949</v>
      </c>
      <c r="U1680" s="4839">
        <f t="shared" si="108"/>
        <v>1.4187908227394062E-3</v>
      </c>
    </row>
    <row r="1681" spans="1:21">
      <c r="A1681" s="270" t="s">
        <v>12760</v>
      </c>
      <c r="B1681" s="3305">
        <v>6025.5</v>
      </c>
      <c r="C1681" s="4834">
        <f t="shared" si="106"/>
        <v>2.9323397026602215E-4</v>
      </c>
      <c r="D1681" s="3" t="str">
        <f t="shared" si="107"/>
        <v>2018</v>
      </c>
      <c r="J1681" s="270" t="s">
        <v>12765</v>
      </c>
      <c r="K1681" s="4837">
        <v>38715.929017941817</v>
      </c>
      <c r="L1681" s="4834">
        <f t="shared" si="109"/>
        <v>3.543361735716828E-5</v>
      </c>
      <c r="S1681" s="270" t="s">
        <v>12760</v>
      </c>
      <c r="T1681" s="4838">
        <v>475.50954175000783</v>
      </c>
      <c r="U1681" s="4839">
        <f t="shared" si="108"/>
        <v>1.4264733742704956E-3</v>
      </c>
    </row>
    <row r="1682" spans="1:21">
      <c r="A1682" s="270" t="s">
        <v>12761</v>
      </c>
      <c r="B1682" s="3305">
        <v>6000</v>
      </c>
      <c r="C1682" s="4834">
        <f t="shared" si="106"/>
        <v>2.9037360350964977E-4</v>
      </c>
      <c r="D1682" s="3" t="str">
        <f t="shared" si="107"/>
        <v>2018</v>
      </c>
      <c r="J1682" s="270" t="s">
        <v>12766</v>
      </c>
      <c r="K1682" s="4837">
        <v>38494.08886661828</v>
      </c>
      <c r="L1682" s="4834">
        <f t="shared" si="109"/>
        <v>3.4495416984629173E-5</v>
      </c>
      <c r="S1682" s="270" t="s">
        <v>12761</v>
      </c>
      <c r="T1682" s="4838">
        <v>476.15255668138042</v>
      </c>
      <c r="U1682" s="4839">
        <f t="shared" si="108"/>
        <v>1.4315938017488404E-3</v>
      </c>
    </row>
    <row r="1683" spans="1:21">
      <c r="A1683" s="270" t="s">
        <v>12762</v>
      </c>
      <c r="B1683" s="3305">
        <v>5910.5</v>
      </c>
      <c r="C1683" s="4834">
        <f t="shared" si="106"/>
        <v>2.7959105620989859E-4</v>
      </c>
      <c r="D1683" s="3" t="str">
        <f t="shared" si="107"/>
        <v>2018</v>
      </c>
      <c r="J1683" s="270" t="s">
        <v>12767</v>
      </c>
      <c r="K1683" s="4837">
        <v>38659.665211446714</v>
      </c>
      <c r="L1683" s="4834">
        <f t="shared" si="109"/>
        <v>3.519616876059835E-5</v>
      </c>
      <c r="S1683" s="270" t="s">
        <v>12762</v>
      </c>
      <c r="T1683" s="4838">
        <v>470.36542229902739</v>
      </c>
      <c r="U1683" s="4839">
        <f t="shared" si="108"/>
        <v>1.3854843681536885E-3</v>
      </c>
    </row>
    <row r="1684" spans="1:21">
      <c r="A1684" s="270" t="s">
        <v>12763</v>
      </c>
      <c r="B1684" s="3305">
        <v>6001</v>
      </c>
      <c r="C1684" s="4834">
        <f t="shared" si="106"/>
        <v>2.9048762301274282E-4</v>
      </c>
      <c r="D1684" s="3" t="str">
        <f t="shared" si="107"/>
        <v>2018</v>
      </c>
      <c r="J1684" s="270" t="s">
        <v>12768</v>
      </c>
      <c r="K1684" s="4837">
        <v>38582.503419682005</v>
      </c>
      <c r="L1684" s="4834">
        <f t="shared" si="109"/>
        <v>3.4869947001252408E-5</v>
      </c>
      <c r="S1684" s="270" t="s">
        <v>12763</v>
      </c>
      <c r="T1684" s="4838">
        <v>470.04391483334109</v>
      </c>
      <c r="U1684" s="4839">
        <f t="shared" si="108"/>
        <v>1.3829219960750313E-3</v>
      </c>
    </row>
    <row r="1685" spans="1:21">
      <c r="A1685" s="270" t="s">
        <v>12764</v>
      </c>
      <c r="B1685" s="3305">
        <v>6118</v>
      </c>
      <c r="C1685" s="4834">
        <f t="shared" si="106"/>
        <v>3.02743282906625E-4</v>
      </c>
      <c r="D1685" s="3" t="str">
        <f t="shared" si="107"/>
        <v>2018</v>
      </c>
      <c r="J1685" s="270" t="s">
        <v>12769</v>
      </c>
      <c r="K1685" s="4837">
        <v>38286.716551250625</v>
      </c>
      <c r="L1685" s="4834">
        <f t="shared" si="109"/>
        <v>3.3614508378481389E-5</v>
      </c>
      <c r="S1685" s="270" t="s">
        <v>12764</v>
      </c>
      <c r="T1685" s="4838">
        <v>479.0461238725569</v>
      </c>
      <c r="U1685" s="4839">
        <f t="shared" si="108"/>
        <v>1.4546189649544488E-3</v>
      </c>
    </row>
    <row r="1686" spans="1:21">
      <c r="A1686" s="270" t="s">
        <v>12765</v>
      </c>
      <c r="B1686" s="3305">
        <v>6065</v>
      </c>
      <c r="C1686" s="4834">
        <f t="shared" si="106"/>
        <v>2.9746540970259142E-4</v>
      </c>
      <c r="D1686" s="3" t="str">
        <f t="shared" si="107"/>
        <v>2018</v>
      </c>
      <c r="J1686" s="270" t="s">
        <v>12770</v>
      </c>
      <c r="K1686" s="4837">
        <v>38474.798418677106</v>
      </c>
      <c r="L1686" s="4834">
        <f t="shared" si="109"/>
        <v>3.4413607440728106E-5</v>
      </c>
      <c r="S1686" s="270" t="s">
        <v>12765</v>
      </c>
      <c r="T1686" s="4838">
        <v>472.29446709314504</v>
      </c>
      <c r="U1686" s="4839">
        <f t="shared" si="108"/>
        <v>1.4008584493020954E-3</v>
      </c>
    </row>
    <row r="1687" spans="1:21">
      <c r="A1687" s="270" t="s">
        <v>12766</v>
      </c>
      <c r="B1687" s="3305">
        <v>6066.5</v>
      </c>
      <c r="C1687" s="4834">
        <f t="shared" si="106"/>
        <v>2.9762118518364297E-4</v>
      </c>
      <c r="D1687" s="3" t="str">
        <f t="shared" si="107"/>
        <v>2018</v>
      </c>
      <c r="J1687" s="270" t="s">
        <v>12771</v>
      </c>
      <c r="K1687" s="4837">
        <v>38746.472227182021</v>
      </c>
      <c r="L1687" s="4834">
        <f t="shared" si="109"/>
        <v>3.5562357391864912E-5</v>
      </c>
      <c r="S1687" s="270" t="s">
        <v>12766</v>
      </c>
      <c r="T1687" s="4838">
        <v>471.65145216177251</v>
      </c>
      <c r="U1687" s="4839">
        <f t="shared" si="108"/>
        <v>1.3957339009429577E-3</v>
      </c>
    </row>
    <row r="1688" spans="1:21">
      <c r="A1688" s="270" t="s">
        <v>12767</v>
      </c>
      <c r="B1688" s="3305">
        <v>6019</v>
      </c>
      <c r="C1688" s="4834">
        <f t="shared" si="106"/>
        <v>2.9251425110960778E-4</v>
      </c>
      <c r="D1688" s="3" t="str">
        <f t="shared" si="107"/>
        <v>2018</v>
      </c>
      <c r="J1688" s="270" t="s">
        <v>12772</v>
      </c>
      <c r="K1688" s="4837">
        <v>38545.530061128091</v>
      </c>
      <c r="L1688" s="4834">
        <f t="shared" si="109"/>
        <v>3.4713414919364916E-5</v>
      </c>
      <c r="S1688" s="270" t="s">
        <v>12767</v>
      </c>
      <c r="T1688" s="4838">
        <v>471.32994469608622</v>
      </c>
      <c r="U1688" s="4839">
        <f t="shared" si="108"/>
        <v>1.3931715459864992E-3</v>
      </c>
    </row>
    <row r="1689" spans="1:21">
      <c r="A1689" s="270" t="s">
        <v>12768</v>
      </c>
      <c r="B1689" s="3305">
        <v>5951</v>
      </c>
      <c r="C1689" s="4834">
        <f t="shared" si="106"/>
        <v>2.8460827290509479E-4</v>
      </c>
      <c r="D1689" s="3" t="str">
        <f t="shared" si="107"/>
        <v>2018</v>
      </c>
      <c r="J1689" s="270" t="s">
        <v>12773</v>
      </c>
      <c r="K1689" s="4837">
        <v>38471.58334402024</v>
      </c>
      <c r="L1689" s="4834">
        <f t="shared" si="109"/>
        <v>3.4399969460841636E-5</v>
      </c>
      <c r="S1689" s="270" t="s">
        <v>12768</v>
      </c>
      <c r="T1689" s="4838">
        <v>467.15034764216455</v>
      </c>
      <c r="U1689" s="4839">
        <f t="shared" si="108"/>
        <v>1.3598644910480283E-3</v>
      </c>
    </row>
    <row r="1690" spans="1:21">
      <c r="A1690" s="270" t="s">
        <v>12769</v>
      </c>
      <c r="B1690" s="3305">
        <v>5823</v>
      </c>
      <c r="C1690" s="4834">
        <f t="shared" si="106"/>
        <v>2.6804728929938939E-4</v>
      </c>
      <c r="D1690" s="3" t="str">
        <f t="shared" si="107"/>
        <v>2018</v>
      </c>
      <c r="J1690" s="270" t="s">
        <v>12774</v>
      </c>
      <c r="K1690" s="4837">
        <v>38254.565804682003</v>
      </c>
      <c r="L1690" s="4834">
        <f t="shared" si="109"/>
        <v>3.3477690657619093E-5</v>
      </c>
      <c r="S1690" s="270" t="s">
        <v>12769</v>
      </c>
      <c r="T1690" s="4838">
        <v>458.14813860294873</v>
      </c>
      <c r="U1690" s="4839">
        <f t="shared" si="108"/>
        <v>1.28828577696545E-3</v>
      </c>
    </row>
    <row r="1691" spans="1:21">
      <c r="A1691" s="270" t="s">
        <v>12770</v>
      </c>
      <c r="B1691" s="3305">
        <v>5850</v>
      </c>
      <c r="C1691" s="4834">
        <f t="shared" si="106"/>
        <v>2.7170569691908219E-4</v>
      </c>
      <c r="D1691" s="3" t="str">
        <f t="shared" si="107"/>
        <v>2018</v>
      </c>
      <c r="J1691" s="270" t="s">
        <v>12775</v>
      </c>
      <c r="K1691" s="4837">
        <v>38439.43259745161</v>
      </c>
      <c r="L1691" s="4834">
        <f t="shared" si="109"/>
        <v>3.4263543295068873E-5</v>
      </c>
      <c r="S1691" s="270" t="s">
        <v>12770</v>
      </c>
      <c r="T1691" s="4838">
        <v>455.57607887745849</v>
      </c>
      <c r="U1691" s="4839">
        <f t="shared" si="108"/>
        <v>1.2679138340946209E-3</v>
      </c>
    </row>
    <row r="1692" spans="1:21">
      <c r="A1692" s="270" t="s">
        <v>12771</v>
      </c>
      <c r="B1692" s="3305">
        <v>5940</v>
      </c>
      <c r="C1692" s="4834">
        <f t="shared" si="106"/>
        <v>2.8326741523724598E-4</v>
      </c>
      <c r="D1692" s="3" t="str">
        <f t="shared" si="107"/>
        <v>2018</v>
      </c>
      <c r="J1692" s="270" t="s">
        <v>12776</v>
      </c>
      <c r="K1692" s="4837">
        <v>38895.973198726133</v>
      </c>
      <c r="L1692" s="4834">
        <f t="shared" si="109"/>
        <v>3.6190701707334028E-5</v>
      </c>
      <c r="S1692" s="270" t="s">
        <v>12771</v>
      </c>
      <c r="T1692" s="4838">
        <v>458.79115353432127</v>
      </c>
      <c r="U1692" s="4839">
        <f t="shared" si="108"/>
        <v>1.2933856664641616E-3</v>
      </c>
    </row>
    <row r="1693" spans="1:21">
      <c r="A1693" s="270" t="s">
        <v>12772</v>
      </c>
      <c r="B1693" s="3305">
        <v>5883</v>
      </c>
      <c r="C1693" s="4834">
        <f t="shared" si="106"/>
        <v>2.7606243975316985E-4</v>
      </c>
      <c r="D1693" s="3" t="str">
        <f t="shared" si="107"/>
        <v>2018</v>
      </c>
      <c r="J1693" s="270" t="s">
        <v>12777</v>
      </c>
      <c r="K1693" s="4837">
        <v>38643.589838162407</v>
      </c>
      <c r="L1693" s="4834">
        <f t="shared" si="109"/>
        <v>3.5128259099743091E-5</v>
      </c>
      <c r="S1693" s="270" t="s">
        <v>12772</v>
      </c>
      <c r="T1693" s="4838">
        <v>456.21909380883102</v>
      </c>
      <c r="U1693" s="4839">
        <f t="shared" si="108"/>
        <v>1.2730024225078992E-3</v>
      </c>
    </row>
    <row r="1694" spans="1:21">
      <c r="A1694" s="270" t="s">
        <v>12773</v>
      </c>
      <c r="B1694" s="3305">
        <v>5840.5</v>
      </c>
      <c r="C1694" s="4834">
        <f t="shared" si="106"/>
        <v>2.7042782779032414E-4</v>
      </c>
      <c r="D1694" s="3" t="str">
        <f t="shared" si="107"/>
        <v>2018</v>
      </c>
      <c r="J1694" s="270" t="s">
        <v>12778</v>
      </c>
      <c r="K1694" s="4837">
        <v>38641.982300833974</v>
      </c>
      <c r="L1694" s="4834">
        <f t="shared" si="109"/>
        <v>3.5121466547819202E-5</v>
      </c>
      <c r="S1694" s="270" t="s">
        <v>12773</v>
      </c>
      <c r="T1694" s="4838">
        <v>457.1836162058899</v>
      </c>
      <c r="U1694" s="4839">
        <f t="shared" si="108"/>
        <v>1.2806409209415242E-3</v>
      </c>
    </row>
    <row r="1695" spans="1:21">
      <c r="A1695" s="270" t="s">
        <v>12774</v>
      </c>
      <c r="B1695" s="3305">
        <v>5849</v>
      </c>
      <c r="C1695" s="4834">
        <f t="shared" si="106"/>
        <v>2.715716710624495E-4</v>
      </c>
      <c r="D1695" s="3" t="str">
        <f t="shared" si="107"/>
        <v>2018</v>
      </c>
      <c r="J1695" s="270" t="s">
        <v>12779</v>
      </c>
      <c r="K1695" s="4837">
        <v>38587.326031667304</v>
      </c>
      <c r="L1695" s="4834">
        <f t="shared" si="109"/>
        <v>3.4890354233601422E-5</v>
      </c>
      <c r="S1695" s="270" t="s">
        <v>12774</v>
      </c>
      <c r="T1695" s="4838">
        <v>454.29004901471342</v>
      </c>
      <c r="U1695" s="4839">
        <f t="shared" si="108"/>
        <v>1.2577462104040812E-3</v>
      </c>
    </row>
    <row r="1696" spans="1:21">
      <c r="A1696" s="270" t="s">
        <v>12775</v>
      </c>
      <c r="B1696" s="3305">
        <v>5891</v>
      </c>
      <c r="C1696" s="4834">
        <f t="shared" si="106"/>
        <v>2.7709875728270544E-4</v>
      </c>
      <c r="D1696" s="3" t="str">
        <f t="shared" si="107"/>
        <v>2018</v>
      </c>
      <c r="J1696" s="270" t="s">
        <v>12780</v>
      </c>
      <c r="K1696" s="4837">
        <v>38686.993346030053</v>
      </c>
      <c r="L1696" s="4834">
        <f t="shared" si="109"/>
        <v>3.531154756589779E-5</v>
      </c>
      <c r="S1696" s="270" t="s">
        <v>12775</v>
      </c>
      <c r="T1696" s="4838">
        <v>455.25457141177225</v>
      </c>
      <c r="U1696" s="4839">
        <f t="shared" si="108"/>
        <v>1.2653707104592238E-3</v>
      </c>
    </row>
    <row r="1697" spans="1:21">
      <c r="A1697" s="270" t="s">
        <v>12776</v>
      </c>
      <c r="B1697" s="3305">
        <v>5991</v>
      </c>
      <c r="C1697" s="4834">
        <f t="shared" si="106"/>
        <v>2.893407471063538E-4</v>
      </c>
      <c r="D1697" s="3" t="str">
        <f t="shared" si="107"/>
        <v>2018</v>
      </c>
      <c r="J1697" s="270" t="s">
        <v>12781</v>
      </c>
      <c r="K1697" s="4837">
        <v>38849.354616201614</v>
      </c>
      <c r="L1697" s="4834">
        <f t="shared" si="109"/>
        <v>3.5995105403736727E-5</v>
      </c>
      <c r="S1697" s="270" t="s">
        <v>12776</v>
      </c>
      <c r="T1697" s="4838">
        <v>457.5051236715762</v>
      </c>
      <c r="U1697" s="4839">
        <f t="shared" si="108"/>
        <v>1.2831885211500931E-3</v>
      </c>
    </row>
    <row r="1698" spans="1:21">
      <c r="A1698" s="270" t="s">
        <v>12777</v>
      </c>
      <c r="B1698" s="3305">
        <v>5946.5</v>
      </c>
      <c r="C1698" s="4834">
        <f t="shared" si="106"/>
        <v>2.8406174830136955E-4</v>
      </c>
      <c r="D1698" s="3" t="str">
        <f t="shared" si="107"/>
        <v>2018</v>
      </c>
      <c r="J1698" s="270" t="s">
        <v>12782</v>
      </c>
      <c r="K1698" s="4837">
        <v>38539.099911814359</v>
      </c>
      <c r="L1698" s="4834">
        <f t="shared" si="109"/>
        <v>3.4686178469806045E-5</v>
      </c>
      <c r="S1698" s="270" t="s">
        <v>12777</v>
      </c>
      <c r="T1698" s="4838">
        <v>457.1836162058899</v>
      </c>
      <c r="U1698" s="4839">
        <f t="shared" si="108"/>
        <v>1.2806409209415242E-3</v>
      </c>
    </row>
    <row r="1699" spans="1:21">
      <c r="A1699" s="270" t="s">
        <v>12778</v>
      </c>
      <c r="B1699" s="3305">
        <v>5860</v>
      </c>
      <c r="C1699" s="4834">
        <f t="shared" si="106"/>
        <v>2.7303957294785619E-4</v>
      </c>
      <c r="D1699" s="3" t="str">
        <f t="shared" si="107"/>
        <v>2018</v>
      </c>
      <c r="J1699" s="270" t="s">
        <v>12783</v>
      </c>
      <c r="K1699" s="4837">
        <v>38669.310435417305</v>
      </c>
      <c r="L1699" s="4834">
        <f t="shared" si="109"/>
        <v>3.5236900533586509E-5</v>
      </c>
      <c r="S1699" s="270" t="s">
        <v>12778</v>
      </c>
      <c r="T1699" s="4838">
        <v>455.57607887745849</v>
      </c>
      <c r="U1699" s="4839">
        <f t="shared" si="108"/>
        <v>1.2679138340946209E-3</v>
      </c>
    </row>
    <row r="1700" spans="1:21">
      <c r="A1700" s="270" t="s">
        <v>12779</v>
      </c>
      <c r="B1700" s="3305">
        <v>6003</v>
      </c>
      <c r="C1700" s="4834">
        <f t="shared" si="106"/>
        <v>2.9071521409324594E-4</v>
      </c>
      <c r="D1700" s="3" t="str">
        <f t="shared" si="107"/>
        <v>2018</v>
      </c>
      <c r="J1700" s="270" t="s">
        <v>12784</v>
      </c>
      <c r="K1700" s="4837">
        <v>38641.982300833974</v>
      </c>
      <c r="L1700" s="4834">
        <f t="shared" si="109"/>
        <v>3.5121466547819202E-5</v>
      </c>
      <c r="S1700" s="270" t="s">
        <v>12779</v>
      </c>
      <c r="T1700" s="4838">
        <v>456.86210874020367</v>
      </c>
      <c r="U1700" s="4839">
        <f t="shared" si="108"/>
        <v>1.2780940271578255E-3</v>
      </c>
    </row>
    <row r="1701" spans="1:21">
      <c r="A1701" s="270" t="s">
        <v>12780</v>
      </c>
      <c r="B1701" s="3305">
        <v>6057</v>
      </c>
      <c r="C1701" s="4834">
        <f t="shared" si="106"/>
        <v>2.9662845773485279E-4</v>
      </c>
      <c r="D1701" s="3" t="str">
        <f t="shared" si="107"/>
        <v>2018</v>
      </c>
      <c r="J1701" s="270" t="s">
        <v>12785</v>
      </c>
      <c r="K1701" s="4837">
        <v>38396.029089583972</v>
      </c>
      <c r="L1701" s="4834">
        <f t="shared" si="109"/>
        <v>3.4079241105167431E-5</v>
      </c>
      <c r="S1701" s="270" t="s">
        <v>12780</v>
      </c>
      <c r="T1701" s="4838">
        <v>456.21909380883102</v>
      </c>
      <c r="U1701" s="4839">
        <f t="shared" si="108"/>
        <v>1.2730024225078992E-3</v>
      </c>
    </row>
    <row r="1702" spans="1:21">
      <c r="A1702" s="270" t="s">
        <v>12781</v>
      </c>
      <c r="B1702" s="3305">
        <v>6057</v>
      </c>
      <c r="C1702" s="4834">
        <f t="shared" si="106"/>
        <v>2.9662845773485279E-4</v>
      </c>
      <c r="D1702" s="3" t="str">
        <f t="shared" si="107"/>
        <v>2018</v>
      </c>
      <c r="J1702" s="270" t="s">
        <v>12786</v>
      </c>
      <c r="K1702" s="4837">
        <v>38111.494982451608</v>
      </c>
      <c r="L1702" s="4834">
        <f t="shared" si="109"/>
        <v>3.2868312153253215E-5</v>
      </c>
      <c r="S1702" s="270" t="s">
        <v>12781</v>
      </c>
      <c r="T1702" s="4838">
        <v>457.5051236715762</v>
      </c>
      <c r="U1702" s="4839">
        <f t="shared" si="108"/>
        <v>1.2831885211500931E-3</v>
      </c>
    </row>
    <row r="1703" spans="1:21">
      <c r="A1703" s="270" t="s">
        <v>12782</v>
      </c>
      <c r="B1703" s="3305">
        <v>6203</v>
      </c>
      <c r="C1703" s="4834">
        <f t="shared" si="106"/>
        <v>3.1018707977809154E-4</v>
      </c>
      <c r="D1703" s="3" t="str">
        <f t="shared" si="107"/>
        <v>2018</v>
      </c>
      <c r="J1703" s="270" t="s">
        <v>12787</v>
      </c>
      <c r="K1703" s="4837">
        <v>38170.973863603569</v>
      </c>
      <c r="L1703" s="4834">
        <f t="shared" si="109"/>
        <v>3.3121741411579296E-5</v>
      </c>
      <c r="S1703" s="270" t="s">
        <v>12782</v>
      </c>
      <c r="T1703" s="4838">
        <v>460.72019832843898</v>
      </c>
      <c r="U1703" s="4839">
        <f t="shared" si="108"/>
        <v>1.3086998464514343E-3</v>
      </c>
    </row>
    <row r="1704" spans="1:21">
      <c r="A1704" s="270" t="s">
        <v>12783</v>
      </c>
      <c r="B1704" s="3305">
        <v>6320</v>
      </c>
      <c r="C1704" s="4834">
        <f t="shared" si="106"/>
        <v>3.1821314467397199E-4</v>
      </c>
      <c r="D1704" s="3" t="str">
        <f t="shared" si="107"/>
        <v>2018</v>
      </c>
      <c r="J1704" s="270" t="s">
        <v>12788</v>
      </c>
      <c r="K1704" s="4837">
        <v>38238.490431397688</v>
      </c>
      <c r="L1704" s="4834">
        <f t="shared" si="109"/>
        <v>3.3409262554618636E-5</v>
      </c>
      <c r="S1704" s="270" t="s">
        <v>12783</v>
      </c>
      <c r="T1704" s="4838">
        <v>460.39869086275269</v>
      </c>
      <c r="U1704" s="4839">
        <f t="shared" si="108"/>
        <v>1.3061460661130673E-3</v>
      </c>
    </row>
    <row r="1705" spans="1:21">
      <c r="A1705" s="270" t="s">
        <v>12784</v>
      </c>
      <c r="B1705" s="3305">
        <v>6276</v>
      </c>
      <c r="C1705" s="4834">
        <f t="shared" si="106"/>
        <v>3.1550881963316775E-4</v>
      </c>
      <c r="D1705" s="3" t="str">
        <f t="shared" si="107"/>
        <v>2018</v>
      </c>
      <c r="J1705" s="270" t="s">
        <v>12789</v>
      </c>
      <c r="K1705" s="4837">
        <v>38732.004391226132</v>
      </c>
      <c r="L1705" s="4834">
        <f t="shared" si="109"/>
        <v>3.5501389818248493E-5</v>
      </c>
      <c r="S1705" s="270" t="s">
        <v>12784</v>
      </c>
      <c r="T1705" s="4838">
        <v>459.43416846569386</v>
      </c>
      <c r="U1705" s="4839">
        <f t="shared" si="108"/>
        <v>1.2984880608905458E-3</v>
      </c>
    </row>
    <row r="1706" spans="1:21">
      <c r="A1706" s="270" t="s">
        <v>12785</v>
      </c>
      <c r="B1706" s="3305">
        <v>6257.5</v>
      </c>
      <c r="C1706" s="4834">
        <f t="shared" si="106"/>
        <v>3.1425733259925323E-4</v>
      </c>
      <c r="D1706" s="3" t="str">
        <f t="shared" si="107"/>
        <v>2018</v>
      </c>
      <c r="J1706" s="270" t="s">
        <v>12790</v>
      </c>
      <c r="K1706" s="4837">
        <v>38619.476778235934</v>
      </c>
      <c r="L1706" s="4834">
        <f t="shared" si="109"/>
        <v>3.5026341135414269E-5</v>
      </c>
      <c r="S1706" s="270" t="s">
        <v>12785</v>
      </c>
      <c r="T1706" s="4838">
        <v>465.54281031373318</v>
      </c>
      <c r="U1706" s="4839">
        <f t="shared" si="108"/>
        <v>1.3470607642648205E-3</v>
      </c>
    </row>
    <row r="1707" spans="1:21">
      <c r="A1707" s="270" t="s">
        <v>12786</v>
      </c>
      <c r="B1707" s="3305">
        <v>6222</v>
      </c>
      <c r="C1707" s="4834">
        <f t="shared" si="106"/>
        <v>3.1167021173744751E-4</v>
      </c>
      <c r="D1707" s="3" t="str">
        <f t="shared" si="107"/>
        <v>2018</v>
      </c>
      <c r="J1707" s="270" t="s">
        <v>12791</v>
      </c>
      <c r="K1707" s="4837">
        <v>38691.815958015344</v>
      </c>
      <c r="L1707" s="4834">
        <f t="shared" si="109"/>
        <v>3.5331899489912341E-5</v>
      </c>
      <c r="S1707" s="270" t="s">
        <v>12786</v>
      </c>
      <c r="T1707" s="4838">
        <v>463.61376551961547</v>
      </c>
      <c r="U1707" s="4839">
        <f t="shared" si="108"/>
        <v>1.3317056906539506E-3</v>
      </c>
    </row>
    <row r="1708" spans="1:21">
      <c r="A1708" s="270" t="s">
        <v>12787</v>
      </c>
      <c r="B1708" s="3305">
        <v>6180</v>
      </c>
      <c r="C1708" s="4834">
        <f t="shared" si="106"/>
        <v>3.0830171891278339E-4</v>
      </c>
      <c r="D1708" s="3" t="str">
        <f t="shared" si="107"/>
        <v>2018</v>
      </c>
      <c r="J1708" s="270" t="s">
        <v>12792</v>
      </c>
      <c r="K1708" s="4837">
        <v>38703.06871931436</v>
      </c>
      <c r="L1708" s="4834">
        <f t="shared" si="109"/>
        <v>3.5379376551004659E-5</v>
      </c>
      <c r="S1708" s="270" t="s">
        <v>12787</v>
      </c>
      <c r="T1708" s="4838">
        <v>460.07718339706645</v>
      </c>
      <c r="U1708" s="4839">
        <f t="shared" si="108"/>
        <v>1.3035928308775559E-3</v>
      </c>
    </row>
    <row r="1709" spans="1:21">
      <c r="A1709" s="270" t="s">
        <v>12788</v>
      </c>
      <c r="B1709" s="3305">
        <v>6172</v>
      </c>
      <c r="C1709" s="4834">
        <f t="shared" si="106"/>
        <v>3.076231635462123E-4</v>
      </c>
      <c r="D1709" s="3" t="str">
        <f t="shared" si="107"/>
        <v>2018</v>
      </c>
      <c r="J1709" s="270" t="s">
        <v>12793</v>
      </c>
      <c r="K1709" s="4837">
        <v>38161.328639632986</v>
      </c>
      <c r="L1709" s="4834">
        <f t="shared" si="109"/>
        <v>3.3080652525118067E-5</v>
      </c>
      <c r="S1709" s="270" t="s">
        <v>12788</v>
      </c>
      <c r="T1709" s="4838">
        <v>467.79336257353714</v>
      </c>
      <c r="U1709" s="4839">
        <f t="shared" si="108"/>
        <v>1.3649874611222814E-3</v>
      </c>
    </row>
    <row r="1710" spans="1:21">
      <c r="A1710" s="270" t="s">
        <v>12789</v>
      </c>
      <c r="B1710" s="3305">
        <v>6274</v>
      </c>
      <c r="C1710" s="4834">
        <f t="shared" si="106"/>
        <v>3.1537675787291885E-4</v>
      </c>
      <c r="D1710" s="3" t="str">
        <f t="shared" si="107"/>
        <v>2018</v>
      </c>
      <c r="J1710" s="270" t="s">
        <v>12794</v>
      </c>
      <c r="K1710" s="4837">
        <v>38116.3175944369</v>
      </c>
      <c r="L1710" s="4834">
        <f t="shared" si="109"/>
        <v>3.2888864416639634E-5</v>
      </c>
      <c r="S1710" s="270" t="s">
        <v>12789</v>
      </c>
      <c r="T1710" s="4838">
        <v>466.50733271079196</v>
      </c>
      <c r="U1710" s="4839">
        <f t="shared" si="108"/>
        <v>1.3547422981954574E-3</v>
      </c>
    </row>
    <row r="1711" spans="1:21">
      <c r="A1711" s="270" t="s">
        <v>12790</v>
      </c>
      <c r="B1711" s="3305">
        <v>6275</v>
      </c>
      <c r="C1711" s="4834">
        <f t="shared" si="106"/>
        <v>3.1544288713909686E-4</v>
      </c>
      <c r="D1711" s="3" t="str">
        <f t="shared" si="107"/>
        <v>2018</v>
      </c>
      <c r="J1711" s="270" t="s">
        <v>12795</v>
      </c>
      <c r="K1711" s="4837">
        <v>38214.377371471215</v>
      </c>
      <c r="L1711" s="4834">
        <f t="shared" si="109"/>
        <v>3.3306598170835885E-5</v>
      </c>
      <c r="S1711" s="270" t="s">
        <v>12790</v>
      </c>
      <c r="T1711" s="4838">
        <v>473.90200442157641</v>
      </c>
      <c r="U1711" s="4839">
        <f t="shared" si="108"/>
        <v>1.4136680565259364E-3</v>
      </c>
    </row>
    <row r="1712" spans="1:21">
      <c r="A1712" s="270" t="s">
        <v>12791</v>
      </c>
      <c r="B1712" s="3305">
        <v>6310</v>
      </c>
      <c r="C1712" s="4834">
        <f t="shared" si="106"/>
        <v>3.1763254453636954E-4</v>
      </c>
      <c r="D1712" s="3" t="str">
        <f t="shared" si="107"/>
        <v>2018</v>
      </c>
      <c r="J1712" s="270" t="s">
        <v>12796</v>
      </c>
      <c r="K1712" s="4837">
        <v>38759.332525809463</v>
      </c>
      <c r="L1712" s="4834">
        <f t="shared" si="109"/>
        <v>3.5616528391201527E-5</v>
      </c>
      <c r="S1712" s="270" t="s">
        <v>12791</v>
      </c>
      <c r="T1712" s="4838">
        <v>470.36542229902739</v>
      </c>
      <c r="U1712" s="4839">
        <f t="shared" si="108"/>
        <v>1.3854843681536885E-3</v>
      </c>
    </row>
    <row r="1713" spans="1:21">
      <c r="A1713" s="270" t="s">
        <v>12792</v>
      </c>
      <c r="B1713" s="3305">
        <v>6182.5</v>
      </c>
      <c r="C1713" s="4834">
        <f t="shared" si="106"/>
        <v>3.0851137093802127E-4</v>
      </c>
      <c r="D1713" s="3" t="str">
        <f t="shared" si="107"/>
        <v>2018</v>
      </c>
      <c r="J1713" s="270" t="s">
        <v>12797</v>
      </c>
      <c r="K1713" s="4837">
        <v>39215.873127083978</v>
      </c>
      <c r="L1713" s="4834">
        <f t="shared" si="109"/>
        <v>3.7523089527185165E-5</v>
      </c>
      <c r="S1713" s="270" t="s">
        <v>12792</v>
      </c>
      <c r="T1713" s="4838">
        <v>470.68692976471368</v>
      </c>
      <c r="U1713" s="4839">
        <f t="shared" si="108"/>
        <v>1.3880467621197531E-3</v>
      </c>
    </row>
    <row r="1714" spans="1:21">
      <c r="A1714" s="270" t="s">
        <v>12793</v>
      </c>
      <c r="B1714" s="3305">
        <v>6169</v>
      </c>
      <c r="C1714" s="4834">
        <f t="shared" si="106"/>
        <v>3.0736570464594753E-4</v>
      </c>
      <c r="D1714" s="3" t="str">
        <f t="shared" si="107"/>
        <v>2018</v>
      </c>
      <c r="J1714" s="270" t="s">
        <v>12798</v>
      </c>
      <c r="K1714" s="4837">
        <v>39543.810742083981</v>
      </c>
      <c r="L1714" s="4834">
        <f t="shared" si="109"/>
        <v>3.8867063206667452E-5</v>
      </c>
      <c r="S1714" s="270" t="s">
        <v>12793</v>
      </c>
      <c r="T1714" s="4838">
        <v>465.22130284804689</v>
      </c>
      <c r="U1714" s="4839">
        <f t="shared" si="108"/>
        <v>1.3445007888988109E-3</v>
      </c>
    </row>
    <row r="1715" spans="1:21">
      <c r="A1715" s="270" t="s">
        <v>12794</v>
      </c>
      <c r="B1715" s="3305">
        <v>6219</v>
      </c>
      <c r="C1715" s="4834">
        <f t="shared" si="106"/>
        <v>3.1144055251327944E-4</v>
      </c>
      <c r="D1715" s="3" t="str">
        <f t="shared" si="107"/>
        <v>2018</v>
      </c>
      <c r="J1715" s="270" t="s">
        <v>12799</v>
      </c>
      <c r="K1715" s="4837">
        <v>39567.923802010453</v>
      </c>
      <c r="L1715" s="4834">
        <f t="shared" si="109"/>
        <v>3.8964849456901827E-5</v>
      </c>
      <c r="S1715" s="270" t="s">
        <v>12794</v>
      </c>
      <c r="T1715" s="4838">
        <v>460.72019832843898</v>
      </c>
      <c r="U1715" s="4839">
        <f t="shared" si="108"/>
        <v>1.3086998464514343E-3</v>
      </c>
    </row>
    <row r="1716" spans="1:21">
      <c r="A1716" s="270" t="s">
        <v>12795</v>
      </c>
      <c r="B1716" s="3305">
        <v>6294</v>
      </c>
      <c r="C1716" s="4834">
        <f t="shared" si="106"/>
        <v>3.1666181102613539E-4</v>
      </c>
      <c r="D1716" s="3" t="str">
        <f t="shared" si="107"/>
        <v>2018</v>
      </c>
      <c r="J1716" s="270" t="s">
        <v>12800</v>
      </c>
      <c r="K1716" s="4837">
        <v>39514.875070172217</v>
      </c>
      <c r="L1716" s="4834">
        <f t="shared" si="109"/>
        <v>3.8749519496184593E-5</v>
      </c>
      <c r="S1716" s="270" t="s">
        <v>12795</v>
      </c>
      <c r="T1716" s="4838">
        <v>462.3277356568704</v>
      </c>
      <c r="U1716" s="4839">
        <f t="shared" si="108"/>
        <v>1.3214763514566876E-3</v>
      </c>
    </row>
    <row r="1717" spans="1:21">
      <c r="A1717" s="270" t="s">
        <v>12796</v>
      </c>
      <c r="B1717" s="3305">
        <v>6155</v>
      </c>
      <c r="C1717" s="4834">
        <f t="shared" si="106"/>
        <v>3.0614275310327568E-4</v>
      </c>
      <c r="D1717" s="3" t="str">
        <f t="shared" si="107"/>
        <v>2018</v>
      </c>
      <c r="J1717" s="270" t="s">
        <v>12801</v>
      </c>
      <c r="K1717" s="4837">
        <v>39320.363053432018</v>
      </c>
      <c r="L1717" s="4834">
        <f t="shared" si="109"/>
        <v>3.7954000587389942E-5</v>
      </c>
      <c r="S1717" s="270" t="s">
        <v>12796</v>
      </c>
      <c r="T1717" s="4838">
        <v>462.97075058824294</v>
      </c>
      <c r="U1717" s="4839">
        <f t="shared" si="108"/>
        <v>1.326590194393041E-3</v>
      </c>
    </row>
    <row r="1718" spans="1:21">
      <c r="A1718" s="270" t="s">
        <v>12797</v>
      </c>
      <c r="B1718" s="3305">
        <v>6325</v>
      </c>
      <c r="C1718" s="4834">
        <f t="shared" si="106"/>
        <v>3.18495868784564E-4</v>
      </c>
      <c r="D1718" s="3" t="str">
        <f t="shared" si="107"/>
        <v>2018</v>
      </c>
      <c r="J1718" s="270" t="s">
        <v>12802</v>
      </c>
      <c r="K1718" s="4837">
        <v>39476.294174289862</v>
      </c>
      <c r="L1718" s="4834">
        <f t="shared" si="109"/>
        <v>3.8592461570041688E-5</v>
      </c>
      <c r="S1718" s="270" t="s">
        <v>12797</v>
      </c>
      <c r="T1718" s="4838">
        <v>469.40089990196856</v>
      </c>
      <c r="U1718" s="4839">
        <f t="shared" si="108"/>
        <v>1.3777973871130318E-3</v>
      </c>
    </row>
    <row r="1719" spans="1:21">
      <c r="A1719" s="270" t="s">
        <v>12798</v>
      </c>
      <c r="B1719" s="3305">
        <v>6296</v>
      </c>
      <c r="C1719" s="4834">
        <f t="shared" si="106"/>
        <v>3.1678595114517335E-4</v>
      </c>
      <c r="D1719" s="3" t="str">
        <f t="shared" si="107"/>
        <v>2018</v>
      </c>
      <c r="J1719" s="270" t="s">
        <v>12803</v>
      </c>
      <c r="K1719" s="4837">
        <v>39297.857530833979</v>
      </c>
      <c r="L1719" s="4834">
        <f t="shared" si="109"/>
        <v>3.786138828973425E-5</v>
      </c>
      <c r="S1719" s="270" t="s">
        <v>12798</v>
      </c>
      <c r="T1719" s="4838">
        <v>473.90200442157641</v>
      </c>
      <c r="U1719" s="4839">
        <f t="shared" si="108"/>
        <v>1.4136680565259364E-3</v>
      </c>
    </row>
    <row r="1720" spans="1:21">
      <c r="A1720" s="270" t="s">
        <v>12799</v>
      </c>
      <c r="B1720" s="3305">
        <v>6202</v>
      </c>
      <c r="C1720" s="4834">
        <f t="shared" si="106"/>
        <v>3.1010714567339902E-4</v>
      </c>
      <c r="D1720" s="3" t="str">
        <f t="shared" si="107"/>
        <v>2018</v>
      </c>
      <c r="J1720" s="270" t="s">
        <v>12804</v>
      </c>
      <c r="K1720" s="4837">
        <v>39736.71522149576</v>
      </c>
      <c r="L1720" s="4834">
        <f t="shared" si="109"/>
        <v>3.9644901099260308E-5</v>
      </c>
      <c r="S1720" s="270" t="s">
        <v>12799</v>
      </c>
      <c r="T1720" s="4838">
        <v>474.545019352949</v>
      </c>
      <c r="U1720" s="4839">
        <f t="shared" si="108"/>
        <v>1.4187908227394062E-3</v>
      </c>
    </row>
    <row r="1721" spans="1:21">
      <c r="A1721" s="270" t="s">
        <v>12800</v>
      </c>
      <c r="B1721" s="3305">
        <v>6249</v>
      </c>
      <c r="C1721" s="4834">
        <f t="shared" si="106"/>
        <v>3.13659960586347E-4</v>
      </c>
      <c r="D1721" s="3" t="str">
        <f t="shared" si="107"/>
        <v>2018</v>
      </c>
      <c r="J1721" s="270" t="s">
        <v>12805</v>
      </c>
      <c r="K1721" s="4837">
        <v>39563.101190025161</v>
      </c>
      <c r="L1721" s="4834">
        <f t="shared" si="109"/>
        <v>3.8945304468162841E-5</v>
      </c>
      <c r="S1721" s="270" t="s">
        <v>12800</v>
      </c>
      <c r="T1721" s="4838">
        <v>471.00843723039992</v>
      </c>
      <c r="U1721" s="4839">
        <f t="shared" si="108"/>
        <v>1.3906091605493831E-3</v>
      </c>
    </row>
    <row r="1722" spans="1:21">
      <c r="A1722" s="270" t="s">
        <v>12801</v>
      </c>
      <c r="B1722" s="3305">
        <v>6147</v>
      </c>
      <c r="C1722" s="4834">
        <f t="shared" si="106"/>
        <v>3.0542816512969687E-4</v>
      </c>
      <c r="D1722" s="3" t="str">
        <f t="shared" si="107"/>
        <v>2018</v>
      </c>
      <c r="J1722" s="270" t="s">
        <v>12806</v>
      </c>
      <c r="K1722" s="4837">
        <v>39571.138876667319</v>
      </c>
      <c r="L1722" s="4834">
        <f t="shared" si="109"/>
        <v>3.8977876023422412E-5</v>
      </c>
      <c r="S1722" s="270" t="s">
        <v>12801</v>
      </c>
      <c r="T1722" s="4838">
        <v>466.82884017647831</v>
      </c>
      <c r="U1722" s="4839">
        <f t="shared" si="108"/>
        <v>1.3573032889359299E-3</v>
      </c>
    </row>
    <row r="1723" spans="1:21">
      <c r="A1723" s="270" t="s">
        <v>12802</v>
      </c>
      <c r="B1723" s="3305">
        <v>6191.5</v>
      </c>
      <c r="C1723" s="4834">
        <f t="shared" si="106"/>
        <v>3.0925661468210914E-4</v>
      </c>
      <c r="D1723" s="3" t="str">
        <f t="shared" si="107"/>
        <v>2018</v>
      </c>
      <c r="J1723" s="270" t="s">
        <v>12807</v>
      </c>
      <c r="K1723" s="4837">
        <v>39669.198653701635</v>
      </c>
      <c r="L1723" s="4834">
        <f t="shared" si="109"/>
        <v>3.9373839762630226E-5</v>
      </c>
      <c r="S1723" s="270" t="s">
        <v>12802</v>
      </c>
      <c r="T1723" s="4838">
        <v>469.7224073676548</v>
      </c>
      <c r="U1723" s="4839">
        <f t="shared" si="108"/>
        <v>1.380359663275203E-3</v>
      </c>
    </row>
    <row r="1724" spans="1:21">
      <c r="A1724" s="270" t="s">
        <v>12803</v>
      </c>
      <c r="B1724" s="3305">
        <v>6284</v>
      </c>
      <c r="C1724" s="4834">
        <f t="shared" si="106"/>
        <v>3.1602918036643767E-4</v>
      </c>
      <c r="D1724" s="3" t="str">
        <f t="shared" si="107"/>
        <v>2018</v>
      </c>
      <c r="J1724" s="270" t="s">
        <v>12808</v>
      </c>
      <c r="K1724" s="4837">
        <v>39571.138876667319</v>
      </c>
      <c r="L1724" s="4834">
        <f t="shared" si="109"/>
        <v>3.8977876023422412E-5</v>
      </c>
      <c r="S1724" s="270" t="s">
        <v>12803</v>
      </c>
      <c r="T1724" s="4838">
        <v>470.36542229902739</v>
      </c>
      <c r="U1724" s="4839">
        <f t="shared" si="108"/>
        <v>1.3854843681536885E-3</v>
      </c>
    </row>
    <row r="1725" spans="1:21">
      <c r="A1725" s="270" t="s">
        <v>12804</v>
      </c>
      <c r="B1725" s="3305">
        <v>6167.5</v>
      </c>
      <c r="C1725" s="4834">
        <f t="shared" si="106"/>
        <v>3.0723636374482523E-4</v>
      </c>
      <c r="D1725" s="3" t="str">
        <f t="shared" si="107"/>
        <v>2018</v>
      </c>
      <c r="J1725" s="270" t="s">
        <v>12809</v>
      </c>
      <c r="K1725" s="4837">
        <v>39397.524845196735</v>
      </c>
      <c r="L1725" s="4834">
        <f t="shared" si="109"/>
        <v>3.8270658346607499E-5</v>
      </c>
      <c r="S1725" s="270" t="s">
        <v>12804</v>
      </c>
      <c r="T1725" s="4838">
        <v>473.25898949020387</v>
      </c>
      <c r="U1725" s="4839">
        <f t="shared" si="108"/>
        <v>1.4085446042086973E-3</v>
      </c>
    </row>
    <row r="1726" spans="1:21">
      <c r="A1726" s="270" t="s">
        <v>12805</v>
      </c>
      <c r="B1726" s="3305">
        <v>6215</v>
      </c>
      <c r="C1726" s="4834">
        <f t="shared" si="106"/>
        <v>3.11131695398768E-4</v>
      </c>
      <c r="D1726" s="3" t="str">
        <f t="shared" si="107"/>
        <v>2018</v>
      </c>
      <c r="J1726" s="270" t="s">
        <v>12810</v>
      </c>
      <c r="K1726" s="4837">
        <v>39061.549543554567</v>
      </c>
      <c r="L1726" s="4834">
        <f t="shared" si="109"/>
        <v>3.6882617411440065E-5</v>
      </c>
      <c r="S1726" s="270" t="s">
        <v>12805</v>
      </c>
      <c r="T1726" s="4838">
        <v>474.22351188726276</v>
      </c>
      <c r="U1726" s="4839">
        <f t="shared" si="108"/>
        <v>1.4162295342761055E-3</v>
      </c>
    </row>
    <row r="1727" spans="1:21">
      <c r="A1727" s="270" t="s">
        <v>12806</v>
      </c>
      <c r="B1727" s="3305">
        <v>6210</v>
      </c>
      <c r="C1727" s="4834">
        <f t="shared" si="106"/>
        <v>3.1074138691510072E-4</v>
      </c>
      <c r="D1727" s="3" t="str">
        <f t="shared" si="107"/>
        <v>2018</v>
      </c>
      <c r="J1727" s="270" t="s">
        <v>12811</v>
      </c>
      <c r="K1727" s="4837">
        <v>39582.391637966342</v>
      </c>
      <c r="L1727" s="4834">
        <f t="shared" si="109"/>
        <v>3.9023447333423459E-5</v>
      </c>
      <c r="S1727" s="270" t="s">
        <v>12806</v>
      </c>
      <c r="T1727" s="4838">
        <v>474.22351188726276</v>
      </c>
      <c r="U1727" s="4839">
        <f t="shared" si="108"/>
        <v>1.4162295342761055E-3</v>
      </c>
    </row>
    <row r="1728" spans="1:21">
      <c r="A1728" s="270" t="s">
        <v>12807</v>
      </c>
      <c r="B1728" s="3305">
        <v>6159</v>
      </c>
      <c r="C1728" s="4834">
        <f t="shared" si="106"/>
        <v>3.0649576285349158E-4</v>
      </c>
      <c r="D1728" s="3" t="str">
        <f t="shared" si="107"/>
        <v>2018</v>
      </c>
      <c r="J1728" s="270" t="s">
        <v>12812</v>
      </c>
      <c r="K1728" s="4837">
        <v>39612.934847206532</v>
      </c>
      <c r="L1728" s="4834">
        <f t="shared" si="109"/>
        <v>3.9146969314307565E-5</v>
      </c>
      <c r="S1728" s="270" t="s">
        <v>12807</v>
      </c>
      <c r="T1728" s="4838">
        <v>472.29446709314504</v>
      </c>
      <c r="U1728" s="4839">
        <f t="shared" si="108"/>
        <v>1.4008584493020954E-3</v>
      </c>
    </row>
    <row r="1729" spans="1:21">
      <c r="A1729" s="270" t="s">
        <v>12808</v>
      </c>
      <c r="B1729" s="3305">
        <v>6260</v>
      </c>
      <c r="C1729" s="4834">
        <f t="shared" si="106"/>
        <v>3.1443036028272004E-4</v>
      </c>
      <c r="D1729" s="3" t="str">
        <f t="shared" si="107"/>
        <v>2018</v>
      </c>
      <c r="J1729" s="270" t="s">
        <v>12813</v>
      </c>
      <c r="K1729" s="4837">
        <v>39617.757459191831</v>
      </c>
      <c r="L1729" s="4834">
        <f t="shared" si="109"/>
        <v>3.916644963608101E-5</v>
      </c>
      <c r="S1729" s="270" t="s">
        <v>12808</v>
      </c>
      <c r="T1729" s="4838">
        <v>471.00843723039992</v>
      </c>
      <c r="U1729" s="4839">
        <f t="shared" si="108"/>
        <v>1.3906091605493831E-3</v>
      </c>
    </row>
    <row r="1730" spans="1:21">
      <c r="A1730" s="270" t="s">
        <v>12809</v>
      </c>
      <c r="B1730" s="3305">
        <v>6136</v>
      </c>
      <c r="C1730" s="4834">
        <f t="shared" si="106"/>
        <v>3.0442709003549752E-4</v>
      </c>
      <c r="D1730" s="3" t="str">
        <f t="shared" si="107"/>
        <v>2018</v>
      </c>
      <c r="J1730" s="270" t="s">
        <v>12814</v>
      </c>
      <c r="K1730" s="4837">
        <v>39596.859473922217</v>
      </c>
      <c r="L1730" s="4834">
        <f t="shared" si="109"/>
        <v>3.9081989173961959E-5</v>
      </c>
      <c r="S1730" s="270" t="s">
        <v>12809</v>
      </c>
      <c r="T1730" s="4838">
        <v>463.93527298530176</v>
      </c>
      <c r="U1730" s="4839">
        <f t="shared" si="108"/>
        <v>1.3342640171708528E-3</v>
      </c>
    </row>
    <row r="1731" spans="1:21">
      <c r="A1731" s="270" t="s">
        <v>12810</v>
      </c>
      <c r="B1731" s="3305">
        <v>6073</v>
      </c>
      <c r="C1731" s="4834">
        <f t="shared" si="106"/>
        <v>2.9829197768160414E-4</v>
      </c>
      <c r="D1731" s="3" t="str">
        <f t="shared" si="107"/>
        <v>2018</v>
      </c>
      <c r="J1731" s="270" t="s">
        <v>12815</v>
      </c>
      <c r="K1731" s="4837">
        <v>39543.810742083981</v>
      </c>
      <c r="L1731" s="4834">
        <f t="shared" si="109"/>
        <v>3.8867063206667452E-5</v>
      </c>
      <c r="S1731" s="270" t="s">
        <v>12810</v>
      </c>
      <c r="T1731" s="4838">
        <v>461.04170579412522</v>
      </c>
      <c r="U1731" s="4839">
        <f t="shared" si="108"/>
        <v>1.3112541555519103E-3</v>
      </c>
    </row>
    <row r="1732" spans="1:21">
      <c r="A1732" s="270" t="s">
        <v>12811</v>
      </c>
      <c r="B1732" s="3305">
        <v>6070</v>
      </c>
      <c r="C1732" s="4834">
        <f t="shared" ref="C1732:C1795" si="110">_xlfn.NORM.DIST(B1732,$F$4,$F$3,FALSE)</f>
        <v>2.9798323790761297E-4</v>
      </c>
      <c r="D1732" s="3" t="str">
        <f t="shared" ref="D1732:D1795" si="111">LEFT(A1732,4)</f>
        <v>2018</v>
      </c>
      <c r="J1732" s="270" t="s">
        <v>12816</v>
      </c>
      <c r="K1732" s="4837">
        <v>39357.336411985947</v>
      </c>
      <c r="L1732" s="4834">
        <f t="shared" si="109"/>
        <v>3.8105903041415607E-5</v>
      </c>
      <c r="S1732" s="270" t="s">
        <v>12811</v>
      </c>
      <c r="T1732" s="4838">
        <v>464.5782879166743</v>
      </c>
      <c r="U1732" s="4839">
        <f t="shared" ref="U1732:U1795" si="112">_xlfn.NORM.DIST(T1732,$X$4,$X$3,FALSE)</f>
        <v>1.3393817434419963E-3</v>
      </c>
    </row>
    <row r="1733" spans="1:21">
      <c r="A1733" s="270" t="s">
        <v>12812</v>
      </c>
      <c r="B1733" s="3305">
        <v>6255</v>
      </c>
      <c r="C1733" s="4834">
        <f t="shared" si="110"/>
        <v>3.1408308958830124E-4</v>
      </c>
      <c r="D1733" s="3" t="str">
        <f t="shared" si="111"/>
        <v>2018</v>
      </c>
      <c r="J1733" s="270" t="s">
        <v>12817</v>
      </c>
      <c r="K1733" s="4837">
        <v>38947.414393235937</v>
      </c>
      <c r="L1733" s="4834">
        <f t="shared" ref="L1733:L1796" si="113">_xlfn.NORM.DIST(K1733,$O$4,$O$3,FALSE)</f>
        <v>3.6406147687430892E-5</v>
      </c>
      <c r="S1733" s="270" t="s">
        <v>12812</v>
      </c>
      <c r="T1733" s="4838">
        <v>476.47406414706666</v>
      </c>
      <c r="U1733" s="4839">
        <f t="shared" si="112"/>
        <v>1.4341535796721543E-3</v>
      </c>
    </row>
    <row r="1734" spans="1:21">
      <c r="A1734" s="270" t="s">
        <v>12813</v>
      </c>
      <c r="B1734" s="3305">
        <v>6239</v>
      </c>
      <c r="C1734" s="4834">
        <f t="shared" si="110"/>
        <v>3.129392976768725E-4</v>
      </c>
      <c r="D1734" s="3" t="str">
        <f t="shared" si="111"/>
        <v>2018</v>
      </c>
      <c r="J1734" s="270" t="s">
        <v>12818</v>
      </c>
      <c r="K1734" s="4837">
        <v>38759.332525809463</v>
      </c>
      <c r="L1734" s="4834">
        <f t="shared" si="113"/>
        <v>3.5616528391201527E-5</v>
      </c>
      <c r="S1734" s="270" t="s">
        <v>12813</v>
      </c>
      <c r="T1734" s="4838">
        <v>473.90200442157641</v>
      </c>
      <c r="U1734" s="4839">
        <f t="shared" si="112"/>
        <v>1.4136680565259364E-3</v>
      </c>
    </row>
    <row r="1735" spans="1:21">
      <c r="A1735" s="270" t="s">
        <v>12814</v>
      </c>
      <c r="B1735" s="3305">
        <v>6205</v>
      </c>
      <c r="C1735" s="4834">
        <f t="shared" si="110"/>
        <v>3.1034638822910102E-4</v>
      </c>
      <c r="D1735" s="3" t="str">
        <f t="shared" si="111"/>
        <v>2018</v>
      </c>
      <c r="J1735" s="270" t="s">
        <v>12819</v>
      </c>
      <c r="K1735" s="4837">
        <v>38648.412450147698</v>
      </c>
      <c r="L1735" s="4834">
        <f t="shared" si="113"/>
        <v>3.5148635034949027E-5</v>
      </c>
      <c r="S1735" s="270" t="s">
        <v>12814</v>
      </c>
      <c r="T1735" s="4838">
        <v>472.61597455883128</v>
      </c>
      <c r="U1735" s="4839">
        <f t="shared" si="112"/>
        <v>1.4034206075697964E-3</v>
      </c>
    </row>
    <row r="1736" spans="1:21">
      <c r="A1736" s="270" t="s">
        <v>12815</v>
      </c>
      <c r="B1736" s="3305">
        <v>6210</v>
      </c>
      <c r="C1736" s="4834">
        <f t="shared" si="110"/>
        <v>3.1074138691510072E-4</v>
      </c>
      <c r="D1736" s="3" t="str">
        <f t="shared" si="111"/>
        <v>2018</v>
      </c>
      <c r="J1736" s="270" t="s">
        <v>12820</v>
      </c>
      <c r="K1736" s="4837">
        <v>38685.38580870162</v>
      </c>
      <c r="L1736" s="4834">
        <f t="shared" si="113"/>
        <v>3.5304762981239569E-5</v>
      </c>
      <c r="S1736" s="270" t="s">
        <v>12815</v>
      </c>
      <c r="T1736" s="4838">
        <v>471.65145216177251</v>
      </c>
      <c r="U1736" s="4839">
        <f t="shared" si="112"/>
        <v>1.3957339009429577E-3</v>
      </c>
    </row>
    <row r="1737" spans="1:21">
      <c r="A1737" s="270" t="s">
        <v>12816</v>
      </c>
      <c r="B1737" s="3305">
        <v>6137</v>
      </c>
      <c r="C1737" s="4834">
        <f t="shared" si="110"/>
        <v>3.0451897762087958E-4</v>
      </c>
      <c r="D1737" s="3" t="str">
        <f t="shared" si="111"/>
        <v>2018</v>
      </c>
      <c r="J1737" s="270" t="s">
        <v>12821</v>
      </c>
      <c r="K1737" s="4837">
        <v>38961.882229191819</v>
      </c>
      <c r="L1737" s="4834">
        <f t="shared" si="113"/>
        <v>3.6466666238085587E-5</v>
      </c>
      <c r="S1737" s="270" t="s">
        <v>12816</v>
      </c>
      <c r="T1737" s="4838">
        <v>465.86431777941942</v>
      </c>
      <c r="U1737" s="4839">
        <f t="shared" si="112"/>
        <v>1.3496210188883476E-3</v>
      </c>
    </row>
    <row r="1738" spans="1:21">
      <c r="A1738" s="270" t="s">
        <v>12817</v>
      </c>
      <c r="B1738" s="3305">
        <v>6088</v>
      </c>
      <c r="C1738" s="4834">
        <f t="shared" si="110"/>
        <v>2.9981345866417718E-4</v>
      </c>
      <c r="D1738" s="3" t="str">
        <f t="shared" si="111"/>
        <v>2018</v>
      </c>
      <c r="J1738" s="270" t="s">
        <v>12822</v>
      </c>
      <c r="K1738" s="4837">
        <v>39301.072605490845</v>
      </c>
      <c r="L1738" s="4834">
        <f t="shared" si="113"/>
        <v>3.7874625466376964E-5</v>
      </c>
      <c r="S1738" s="270" t="s">
        <v>12817</v>
      </c>
      <c r="T1738" s="4838">
        <v>461.04170579412522</v>
      </c>
      <c r="U1738" s="4839">
        <f t="shared" si="112"/>
        <v>1.3112541555519103E-3</v>
      </c>
    </row>
    <row r="1739" spans="1:21">
      <c r="A1739" s="270" t="s">
        <v>12818</v>
      </c>
      <c r="B1739" s="3305">
        <v>6083.5</v>
      </c>
      <c r="C1739" s="4834">
        <f t="shared" si="110"/>
        <v>2.9936092290972182E-4</v>
      </c>
      <c r="D1739" s="3" t="str">
        <f t="shared" si="111"/>
        <v>2018</v>
      </c>
      <c r="J1739" s="270" t="s">
        <v>12823</v>
      </c>
      <c r="K1739" s="4837">
        <v>39275.352008235939</v>
      </c>
      <c r="L1739" s="4834">
        <f t="shared" si="113"/>
        <v>3.776866486859629E-5</v>
      </c>
      <c r="S1739" s="270" t="s">
        <v>12818</v>
      </c>
      <c r="T1739" s="4838">
        <v>455.25457141177225</v>
      </c>
      <c r="U1739" s="4839">
        <f t="shared" si="112"/>
        <v>1.2653707104592238E-3</v>
      </c>
    </row>
    <row r="1740" spans="1:21">
      <c r="A1740" s="270" t="s">
        <v>12819</v>
      </c>
      <c r="B1740" s="3305">
        <v>6130</v>
      </c>
      <c r="C1740" s="4834">
        <f t="shared" si="110"/>
        <v>3.0387208620554911E-4</v>
      </c>
      <c r="D1740" s="3" t="str">
        <f t="shared" si="111"/>
        <v>2018</v>
      </c>
      <c r="J1740" s="270" t="s">
        <v>12824</v>
      </c>
      <c r="K1740" s="4837">
        <v>39320.363053432018</v>
      </c>
      <c r="L1740" s="4834">
        <f t="shared" si="113"/>
        <v>3.7954000587389942E-5</v>
      </c>
      <c r="S1740" s="270" t="s">
        <v>12819</v>
      </c>
      <c r="T1740" s="4838">
        <v>450.75346689216428</v>
      </c>
      <c r="U1740" s="4839">
        <f t="shared" si="112"/>
        <v>1.229858203697825E-3</v>
      </c>
    </row>
    <row r="1741" spans="1:21">
      <c r="A1741" s="270" t="s">
        <v>12820</v>
      </c>
      <c r="B1741" s="3305">
        <v>6106</v>
      </c>
      <c r="C1741" s="4834">
        <f t="shared" si="110"/>
        <v>3.0158967764548378E-4</v>
      </c>
      <c r="D1741" s="3" t="str">
        <f t="shared" si="111"/>
        <v>2018</v>
      </c>
      <c r="J1741" s="270" t="s">
        <v>12825</v>
      </c>
      <c r="K1741" s="4837">
        <v>39420.030367794767</v>
      </c>
      <c r="L1741" s="4834">
        <f t="shared" si="113"/>
        <v>3.8362755339375041E-5</v>
      </c>
      <c r="S1741" s="270" t="s">
        <v>12820</v>
      </c>
      <c r="T1741" s="4838">
        <v>449.14592956373292</v>
      </c>
      <c r="U1741" s="4839">
        <f t="shared" si="112"/>
        <v>1.2172213042403292E-3</v>
      </c>
    </row>
    <row r="1742" spans="1:21">
      <c r="A1742" s="270" t="s">
        <v>12821</v>
      </c>
      <c r="B1742" s="3305">
        <v>6188</v>
      </c>
      <c r="C1742" s="4834">
        <f t="shared" si="110"/>
        <v>3.0896856935487549E-4</v>
      </c>
      <c r="D1742" s="3" t="str">
        <f t="shared" si="111"/>
        <v>2018</v>
      </c>
      <c r="J1742" s="270" t="s">
        <v>12826</v>
      </c>
      <c r="K1742" s="4837">
        <v>39450.573577034964</v>
      </c>
      <c r="L1742" s="4834">
        <f t="shared" si="113"/>
        <v>3.8487549242521356E-5</v>
      </c>
      <c r="S1742" s="270" t="s">
        <v>12821</v>
      </c>
      <c r="T1742" s="4838">
        <v>454.29004901471342</v>
      </c>
      <c r="U1742" s="4839">
        <f t="shared" si="112"/>
        <v>1.2577462104040812E-3</v>
      </c>
    </row>
    <row r="1743" spans="1:21">
      <c r="A1743" s="270" t="s">
        <v>12822</v>
      </c>
      <c r="B1743" s="3305">
        <v>6181</v>
      </c>
      <c r="C1743" s="4834">
        <f t="shared" si="110"/>
        <v>3.0838571703294647E-4</v>
      </c>
      <c r="D1743" s="3" t="str">
        <f t="shared" si="111"/>
        <v>2018</v>
      </c>
      <c r="J1743" s="270" t="s">
        <v>12827</v>
      </c>
      <c r="K1743" s="4837">
        <v>39341.261038701632</v>
      </c>
      <c r="L1743" s="4834">
        <f t="shared" si="113"/>
        <v>3.8039896535651388E-5</v>
      </c>
      <c r="S1743" s="270" t="s">
        <v>12822</v>
      </c>
      <c r="T1743" s="4838">
        <v>459.43416846569386</v>
      </c>
      <c r="U1743" s="4839">
        <f t="shared" si="112"/>
        <v>1.2984880608905458E-3</v>
      </c>
    </row>
    <row r="1744" spans="1:21">
      <c r="A1744" s="270" t="s">
        <v>12823</v>
      </c>
      <c r="B1744" s="3305">
        <v>6260</v>
      </c>
      <c r="C1744" s="4834">
        <f t="shared" si="110"/>
        <v>3.1443036028272004E-4</v>
      </c>
      <c r="D1744" s="3" t="str">
        <f t="shared" si="111"/>
        <v>2018</v>
      </c>
      <c r="J1744" s="270" t="s">
        <v>12828</v>
      </c>
      <c r="K1744" s="4837">
        <v>39333.223352059475</v>
      </c>
      <c r="L1744" s="4834">
        <f t="shared" si="113"/>
        <v>3.80068712666178E-5</v>
      </c>
      <c r="S1744" s="270" t="s">
        <v>12823</v>
      </c>
      <c r="T1744" s="4838">
        <v>461.68472072549775</v>
      </c>
      <c r="U1744" s="4839">
        <f t="shared" si="112"/>
        <v>1.316364294489718E-3</v>
      </c>
    </row>
    <row r="1745" spans="1:21">
      <c r="A1745" s="270" t="s">
        <v>12824</v>
      </c>
      <c r="B1745" s="3305">
        <v>6262</v>
      </c>
      <c r="C1745" s="4834">
        <f t="shared" si="110"/>
        <v>3.1456790597296481E-4</v>
      </c>
      <c r="D1745" s="3" t="str">
        <f t="shared" si="111"/>
        <v>2018</v>
      </c>
      <c r="J1745" s="270" t="s">
        <v>12829</v>
      </c>
      <c r="K1745" s="4837">
        <v>39262.49170960849</v>
      </c>
      <c r="L1745" s="4834">
        <f t="shared" si="113"/>
        <v>3.7715630905358474E-5</v>
      </c>
      <c r="S1745" s="270" t="s">
        <v>12824</v>
      </c>
      <c r="T1745" s="4838">
        <v>464.25678045098806</v>
      </c>
      <c r="U1745" s="4839">
        <f t="shared" si="112"/>
        <v>1.3368227070145098E-3</v>
      </c>
    </row>
    <row r="1746" spans="1:21">
      <c r="A1746" s="270" t="s">
        <v>12825</v>
      </c>
      <c r="B1746" s="3305">
        <v>6242</v>
      </c>
      <c r="C1746" s="4834">
        <f t="shared" si="110"/>
        <v>3.1315751772980537E-4</v>
      </c>
      <c r="D1746" s="3" t="str">
        <f t="shared" si="111"/>
        <v>2018</v>
      </c>
      <c r="J1746" s="270" t="s">
        <v>12830</v>
      </c>
      <c r="K1746" s="4837">
        <v>39006.893274387898</v>
      </c>
      <c r="L1746" s="4834">
        <f t="shared" si="113"/>
        <v>3.6654725616757881E-5</v>
      </c>
      <c r="S1746" s="270" t="s">
        <v>12825</v>
      </c>
      <c r="T1746" s="4838">
        <v>463.61376551961547</v>
      </c>
      <c r="U1746" s="4839">
        <f t="shared" si="112"/>
        <v>1.3317056906539506E-3</v>
      </c>
    </row>
    <row r="1747" spans="1:21">
      <c r="A1747" s="270" t="s">
        <v>12826</v>
      </c>
      <c r="B1747" s="3305">
        <v>6246</v>
      </c>
      <c r="C1747" s="4834">
        <f t="shared" si="110"/>
        <v>3.1344578486094347E-4</v>
      </c>
      <c r="D1747" s="3" t="str">
        <f t="shared" si="111"/>
        <v>2018</v>
      </c>
      <c r="J1747" s="270" t="s">
        <v>12831</v>
      </c>
      <c r="K1747" s="4837">
        <v>39424.852979780066</v>
      </c>
      <c r="L1747" s="4834">
        <f t="shared" si="113"/>
        <v>3.8382474654258483E-5</v>
      </c>
      <c r="S1747" s="270" t="s">
        <v>12826</v>
      </c>
      <c r="T1747" s="4838">
        <v>466.82884017647831</v>
      </c>
      <c r="U1747" s="4839">
        <f t="shared" si="112"/>
        <v>1.3573032889359299E-3</v>
      </c>
    </row>
    <row r="1748" spans="1:21">
      <c r="A1748" s="270" t="s">
        <v>12827</v>
      </c>
      <c r="B1748" s="3305">
        <v>6210</v>
      </c>
      <c r="C1748" s="4834">
        <f t="shared" si="110"/>
        <v>3.1074138691510072E-4</v>
      </c>
      <c r="D1748" s="3" t="str">
        <f t="shared" si="111"/>
        <v>2018</v>
      </c>
      <c r="J1748" s="270" t="s">
        <v>12832</v>
      </c>
      <c r="K1748" s="4837">
        <v>39145.141484632994</v>
      </c>
      <c r="L1748" s="4834">
        <f t="shared" si="113"/>
        <v>3.7230110253631536E-5</v>
      </c>
      <c r="S1748" s="270" t="s">
        <v>12827</v>
      </c>
      <c r="T1748" s="4838">
        <v>458.46964606863497</v>
      </c>
      <c r="U1748" s="4839">
        <f t="shared" si="112"/>
        <v>1.2908354005372335E-3</v>
      </c>
    </row>
    <row r="1749" spans="1:21">
      <c r="A1749" s="270" t="s">
        <v>12828</v>
      </c>
      <c r="B1749" s="3305">
        <v>6246</v>
      </c>
      <c r="C1749" s="4834">
        <f t="shared" si="110"/>
        <v>3.1344578486094347E-4</v>
      </c>
      <c r="D1749" s="3" t="str">
        <f t="shared" si="111"/>
        <v>2018</v>
      </c>
      <c r="J1749" s="270" t="s">
        <v>12833</v>
      </c>
      <c r="K1749" s="4837">
        <v>39555.063503383004</v>
      </c>
      <c r="L1749" s="4834">
        <f t="shared" si="113"/>
        <v>3.8912715830229825E-5</v>
      </c>
      <c r="S1749" s="270" t="s">
        <v>12828</v>
      </c>
      <c r="T1749" s="4838">
        <v>462.3277356568704</v>
      </c>
      <c r="U1749" s="4839">
        <f t="shared" si="112"/>
        <v>1.3214763514566876E-3</v>
      </c>
    </row>
    <row r="1750" spans="1:21">
      <c r="A1750" s="270" t="s">
        <v>12829</v>
      </c>
      <c r="B1750" s="3305">
        <v>6169.5</v>
      </c>
      <c r="C1750" s="4834">
        <f t="shared" si="110"/>
        <v>3.0740872776328785E-4</v>
      </c>
      <c r="D1750" s="3" t="str">
        <f t="shared" si="111"/>
        <v>2018</v>
      </c>
      <c r="J1750" s="270" t="s">
        <v>12834</v>
      </c>
      <c r="K1750" s="4837">
        <v>39876.570969069282</v>
      </c>
      <c r="L1750" s="4834">
        <f t="shared" si="113"/>
        <v>4.0202061530661357E-5</v>
      </c>
      <c r="S1750" s="270" t="s">
        <v>12829</v>
      </c>
      <c r="T1750" s="4838">
        <v>459.11266100000751</v>
      </c>
      <c r="U1750" s="4839">
        <f t="shared" si="112"/>
        <v>1.2959365586325603E-3</v>
      </c>
    </row>
    <row r="1751" spans="1:21">
      <c r="A1751" s="270" t="s">
        <v>12830</v>
      </c>
      <c r="B1751" s="3305">
        <v>6198</v>
      </c>
      <c r="C1751" s="4834">
        <f t="shared" si="110"/>
        <v>3.0978554700893107E-4</v>
      </c>
      <c r="D1751" s="3" t="str">
        <f t="shared" si="111"/>
        <v>2018</v>
      </c>
      <c r="J1751" s="270" t="s">
        <v>12835</v>
      </c>
      <c r="K1751" s="4837">
        <v>39735.107684167328</v>
      </c>
      <c r="L1751" s="4834">
        <f t="shared" si="113"/>
        <v>3.9638462626688439E-5</v>
      </c>
      <c r="S1751" s="270" t="s">
        <v>12830</v>
      </c>
      <c r="T1751" s="4838">
        <v>454.93306394608595</v>
      </c>
      <c r="U1751" s="4839">
        <f t="shared" si="112"/>
        <v>1.2628283881829351E-3</v>
      </c>
    </row>
    <row r="1752" spans="1:21">
      <c r="A1752" s="270" t="s">
        <v>12831</v>
      </c>
      <c r="B1752" s="3305">
        <v>6282</v>
      </c>
      <c r="C1752" s="4834">
        <f t="shared" si="110"/>
        <v>3.1590027517542344E-4</v>
      </c>
      <c r="D1752" s="3" t="str">
        <f t="shared" si="111"/>
        <v>2018</v>
      </c>
      <c r="J1752" s="270" t="s">
        <v>12836</v>
      </c>
      <c r="K1752" s="4837">
        <v>39948.910148848699</v>
      </c>
      <c r="L1752" s="4834">
        <f t="shared" si="113"/>
        <v>4.0487837201163329E-5</v>
      </c>
      <c r="S1752" s="270" t="s">
        <v>12831</v>
      </c>
      <c r="T1752" s="4838">
        <v>458.79115353432127</v>
      </c>
      <c r="U1752" s="4839">
        <f t="shared" si="112"/>
        <v>1.2933856664641616E-3</v>
      </c>
    </row>
    <row r="1753" spans="1:21">
      <c r="A1753" s="270" t="s">
        <v>12832</v>
      </c>
      <c r="B1753" s="3305">
        <v>6238</v>
      </c>
      <c r="C1753" s="4834">
        <f t="shared" si="110"/>
        <v>3.1286617370823516E-4</v>
      </c>
      <c r="D1753" s="3" t="str">
        <f t="shared" si="111"/>
        <v>2018</v>
      </c>
      <c r="J1753" s="270" t="s">
        <v>12837</v>
      </c>
      <c r="K1753" s="4837">
        <v>39973.023208775165</v>
      </c>
      <c r="L1753" s="4834">
        <f t="shared" si="113"/>
        <v>4.0582714830805861E-5</v>
      </c>
      <c r="S1753" s="270" t="s">
        <v>12832</v>
      </c>
      <c r="T1753" s="4838">
        <v>457.82663113726244</v>
      </c>
      <c r="U1753" s="4839">
        <f t="shared" si="112"/>
        <v>1.2857368118241288E-3</v>
      </c>
    </row>
    <row r="1754" spans="1:21">
      <c r="A1754" s="270" t="s">
        <v>12833</v>
      </c>
      <c r="B1754" s="3305">
        <v>6307</v>
      </c>
      <c r="C1754" s="4834">
        <f t="shared" si="110"/>
        <v>3.1745443835308902E-4</v>
      </c>
      <c r="D1754" s="3" t="str">
        <f t="shared" si="111"/>
        <v>2018</v>
      </c>
      <c r="J1754" s="270" t="s">
        <v>12838</v>
      </c>
      <c r="K1754" s="4837">
        <v>40038.93223924085</v>
      </c>
      <c r="L1754" s="4834">
        <f t="shared" si="113"/>
        <v>4.0841047786052449E-5</v>
      </c>
      <c r="S1754" s="270" t="s">
        <v>12833</v>
      </c>
      <c r="T1754" s="4838">
        <v>462.6492431225567</v>
      </c>
      <c r="U1754" s="4839">
        <f t="shared" si="112"/>
        <v>1.3240330579553385E-3</v>
      </c>
    </row>
    <row r="1755" spans="1:21">
      <c r="A1755" s="270" t="s">
        <v>12834</v>
      </c>
      <c r="B1755" s="3305">
        <v>6278</v>
      </c>
      <c r="C1755" s="4834">
        <f t="shared" si="110"/>
        <v>3.1564009378866521E-4</v>
      </c>
      <c r="D1755" s="3" t="str">
        <f t="shared" si="111"/>
        <v>2018</v>
      </c>
      <c r="J1755" s="270" t="s">
        <v>12839</v>
      </c>
      <c r="K1755" s="4837">
        <v>40037.324701912425</v>
      </c>
      <c r="L1755" s="4834">
        <f t="shared" si="113"/>
        <v>4.0834764650795965E-5</v>
      </c>
      <c r="S1755" s="270" t="s">
        <v>12834</v>
      </c>
      <c r="T1755" s="4838">
        <v>467.79336257353714</v>
      </c>
      <c r="U1755" s="4839">
        <f t="shared" si="112"/>
        <v>1.3649874611222814E-3</v>
      </c>
    </row>
    <row r="1756" spans="1:21">
      <c r="A1756" s="270" t="s">
        <v>12835</v>
      </c>
      <c r="B1756" s="3305">
        <v>6162</v>
      </c>
      <c r="C1756" s="4834">
        <f t="shared" si="110"/>
        <v>3.0675863689732391E-4</v>
      </c>
      <c r="D1756" s="3" t="str">
        <f t="shared" si="111"/>
        <v>2018</v>
      </c>
      <c r="J1756" s="270" t="s">
        <v>12840</v>
      </c>
      <c r="K1756" s="4837">
        <v>40051.792537868307</v>
      </c>
      <c r="L1756" s="4834">
        <f t="shared" si="113"/>
        <v>4.0891280647424169E-5</v>
      </c>
      <c r="S1756" s="270" t="s">
        <v>12835</v>
      </c>
      <c r="T1756" s="4838">
        <v>465.54281031373318</v>
      </c>
      <c r="U1756" s="4839">
        <f t="shared" si="112"/>
        <v>1.3470607642648205E-3</v>
      </c>
    </row>
    <row r="1757" spans="1:21">
      <c r="A1757" s="270" t="s">
        <v>12836</v>
      </c>
      <c r="B1757" s="3305">
        <v>6112</v>
      </c>
      <c r="C1757" s="4834">
        <f t="shared" si="110"/>
        <v>3.0216956091703393E-4</v>
      </c>
      <c r="D1757" s="3" t="str">
        <f t="shared" si="111"/>
        <v>2018</v>
      </c>
      <c r="J1757" s="270" t="s">
        <v>12841</v>
      </c>
      <c r="K1757" s="4837">
        <v>39955.340298162424</v>
      </c>
      <c r="L1757" s="4834">
        <f t="shared" si="113"/>
        <v>4.051315678070035E-5</v>
      </c>
      <c r="S1757" s="270" t="s">
        <v>12836</v>
      </c>
      <c r="T1757" s="4838">
        <v>462.3277356568704</v>
      </c>
      <c r="U1757" s="4839">
        <f t="shared" si="112"/>
        <v>1.3214763514566876E-3</v>
      </c>
    </row>
    <row r="1758" spans="1:21">
      <c r="A1758" s="270" t="s">
        <v>12837</v>
      </c>
      <c r="B1758" s="3305">
        <v>6173</v>
      </c>
      <c r="C1758" s="4834">
        <f t="shared" si="110"/>
        <v>3.077086202324339E-4</v>
      </c>
      <c r="D1758" s="3" t="str">
        <f t="shared" si="111"/>
        <v>2018</v>
      </c>
      <c r="J1758" s="270" t="s">
        <v>12842</v>
      </c>
      <c r="K1758" s="4837">
        <v>39717.42477355458</v>
      </c>
      <c r="L1758" s="4834">
        <f t="shared" si="113"/>
        <v>3.9567589480106054E-5</v>
      </c>
      <c r="S1758" s="270" t="s">
        <v>12837</v>
      </c>
      <c r="T1758" s="4838">
        <v>465.86431777941942</v>
      </c>
      <c r="U1758" s="4839">
        <f t="shared" si="112"/>
        <v>1.3496210188883476E-3</v>
      </c>
    </row>
    <row r="1759" spans="1:21">
      <c r="A1759" s="270" t="s">
        <v>12838</v>
      </c>
      <c r="B1759" s="3305">
        <v>6112</v>
      </c>
      <c r="C1759" s="4834">
        <f t="shared" si="110"/>
        <v>3.0216956091703393E-4</v>
      </c>
      <c r="D1759" s="3" t="str">
        <f t="shared" si="111"/>
        <v>2018</v>
      </c>
      <c r="J1759" s="270" t="s">
        <v>12843</v>
      </c>
      <c r="K1759" s="4837">
        <v>39919.974476936935</v>
      </c>
      <c r="L1759" s="4834">
        <f t="shared" si="113"/>
        <v>4.0373730735265965E-5</v>
      </c>
      <c r="S1759" s="270" t="s">
        <v>12838</v>
      </c>
      <c r="T1759" s="4838">
        <v>467.15034764216455</v>
      </c>
      <c r="U1759" s="4839">
        <f t="shared" si="112"/>
        <v>1.3598644910480283E-3</v>
      </c>
    </row>
    <row r="1760" spans="1:21">
      <c r="A1760" s="270" t="s">
        <v>12839</v>
      </c>
      <c r="B1760" s="3305">
        <v>6163</v>
      </c>
      <c r="C1760" s="4834">
        <f t="shared" si="110"/>
        <v>3.0684590196165725E-4</v>
      </c>
      <c r="D1760" s="3" t="str">
        <f t="shared" si="111"/>
        <v>2018</v>
      </c>
      <c r="J1760" s="270" t="s">
        <v>12844</v>
      </c>
      <c r="K1760" s="4837">
        <v>40069.475448481047</v>
      </c>
      <c r="L1760" s="4834">
        <f t="shared" si="113"/>
        <v>4.0960256808014423E-5</v>
      </c>
      <c r="S1760" s="270" t="s">
        <v>12839</v>
      </c>
      <c r="T1760" s="4838">
        <v>470.68692976471368</v>
      </c>
      <c r="U1760" s="4839">
        <f t="shared" si="112"/>
        <v>1.3880467621197531E-3</v>
      </c>
    </row>
    <row r="1761" spans="1:21">
      <c r="A1761" s="270" t="s">
        <v>12840</v>
      </c>
      <c r="B1761" s="3305">
        <v>6151</v>
      </c>
      <c r="C1761" s="4834">
        <f t="shared" si="110"/>
        <v>3.0578688355449964E-4</v>
      </c>
      <c r="D1761" s="3" t="str">
        <f t="shared" si="111"/>
        <v>2018</v>
      </c>
      <c r="J1761" s="270" t="s">
        <v>12845</v>
      </c>
      <c r="K1761" s="4837">
        <v>40349.186943628119</v>
      </c>
      <c r="L1761" s="4834">
        <f t="shared" si="113"/>
        <v>4.2036119028616426E-5</v>
      </c>
      <c r="S1761" s="270" t="s">
        <v>12840</v>
      </c>
      <c r="T1761" s="4838">
        <v>471.32994469608622</v>
      </c>
      <c r="U1761" s="4839">
        <f t="shared" si="112"/>
        <v>1.3931715459864992E-3</v>
      </c>
    </row>
    <row r="1762" spans="1:21">
      <c r="A1762" s="270" t="s">
        <v>12841</v>
      </c>
      <c r="B1762" s="3305">
        <v>6196</v>
      </c>
      <c r="C1762" s="4834">
        <f t="shared" si="110"/>
        <v>3.0962363250909059E-4</v>
      </c>
      <c r="D1762" s="3" t="str">
        <f t="shared" si="111"/>
        <v>2018</v>
      </c>
      <c r="J1762" s="270" t="s">
        <v>12846</v>
      </c>
      <c r="K1762" s="4837">
        <v>40501.902989829097</v>
      </c>
      <c r="L1762" s="4834">
        <f t="shared" si="113"/>
        <v>4.2610593152620716E-5</v>
      </c>
      <c r="S1762" s="270" t="s">
        <v>12841</v>
      </c>
      <c r="T1762" s="4838">
        <v>471.97295962745875</v>
      </c>
      <c r="U1762" s="4839">
        <f t="shared" si="112"/>
        <v>1.3982962078987323E-3</v>
      </c>
    </row>
    <row r="1763" spans="1:21">
      <c r="A1763" s="270" t="s">
        <v>12842</v>
      </c>
      <c r="B1763" s="3305">
        <v>6104</v>
      </c>
      <c r="C1763" s="4834">
        <f t="shared" si="110"/>
        <v>3.0139502089400629E-4</v>
      </c>
      <c r="D1763" s="3" t="str">
        <f t="shared" si="111"/>
        <v>2018</v>
      </c>
      <c r="J1763" s="270" t="s">
        <v>12847</v>
      </c>
      <c r="K1763" s="4837">
        <v>40450.461795319301</v>
      </c>
      <c r="L1763" s="4834">
        <f t="shared" si="113"/>
        <v>4.2418161588553247E-5</v>
      </c>
      <c r="S1763" s="270" t="s">
        <v>12842</v>
      </c>
      <c r="T1763" s="4838">
        <v>468.75788497059597</v>
      </c>
      <c r="U1763" s="4839">
        <f t="shared" si="112"/>
        <v>1.3726730739729413E-3</v>
      </c>
    </row>
    <row r="1764" spans="1:21">
      <c r="A1764" s="270" t="s">
        <v>12843</v>
      </c>
      <c r="B1764" s="3305">
        <v>6095.5</v>
      </c>
      <c r="C1764" s="4834">
        <f t="shared" si="110"/>
        <v>3.0056017586346995E-4</v>
      </c>
      <c r="D1764" s="3" t="str">
        <f t="shared" si="111"/>
        <v>2018</v>
      </c>
      <c r="J1764" s="270" t="s">
        <v>12849</v>
      </c>
      <c r="K1764" s="4837">
        <v>40767.14664902028</v>
      </c>
      <c r="L1764" s="4834">
        <f t="shared" si="113"/>
        <v>4.3584491701962568E-5</v>
      </c>
      <c r="S1764" s="270" t="s">
        <v>12843</v>
      </c>
      <c r="T1764" s="4838">
        <v>469.40089990196856</v>
      </c>
      <c r="U1764" s="4839">
        <f t="shared" si="112"/>
        <v>1.3777973871130318E-3</v>
      </c>
    </row>
    <row r="1765" spans="1:21">
      <c r="A1765" s="270" t="s">
        <v>12844</v>
      </c>
      <c r="B1765" s="3305">
        <v>6043</v>
      </c>
      <c r="C1765" s="4834">
        <f t="shared" si="110"/>
        <v>2.9513910859404384E-4</v>
      </c>
      <c r="D1765" s="3" t="str">
        <f t="shared" si="111"/>
        <v>2018</v>
      </c>
      <c r="J1765" s="270" t="s">
        <v>12850</v>
      </c>
      <c r="K1765" s="4837">
        <v>41120.804861275188</v>
      </c>
      <c r="L1765" s="4834">
        <f t="shared" si="113"/>
        <v>4.4831192998482652E-5</v>
      </c>
      <c r="S1765" s="270" t="s">
        <v>12844</v>
      </c>
      <c r="T1765" s="4838">
        <v>471.32994469608622</v>
      </c>
      <c r="U1765" s="4839">
        <f t="shared" si="112"/>
        <v>1.3931715459864992E-3</v>
      </c>
    </row>
    <row r="1766" spans="1:21">
      <c r="A1766" s="270" t="s">
        <v>12845</v>
      </c>
      <c r="B1766" s="3305">
        <v>5987</v>
      </c>
      <c r="C1766" s="4834">
        <f t="shared" si="110"/>
        <v>2.8887786547954349E-4</v>
      </c>
      <c r="D1766" s="3" t="str">
        <f t="shared" si="111"/>
        <v>2018</v>
      </c>
      <c r="J1766" s="270" t="s">
        <v>12852</v>
      </c>
      <c r="K1766" s="4837">
        <v>41246.192772892842</v>
      </c>
      <c r="L1766" s="4834">
        <f t="shared" si="113"/>
        <v>4.5257757220185044E-5</v>
      </c>
      <c r="S1766" s="270" t="s">
        <v>12845</v>
      </c>
      <c r="T1766" s="4838">
        <v>471.00843723039992</v>
      </c>
      <c r="U1766" s="4839">
        <f t="shared" si="112"/>
        <v>1.3906091605493831E-3</v>
      </c>
    </row>
    <row r="1767" spans="1:21">
      <c r="A1767" s="270" t="s">
        <v>12846</v>
      </c>
      <c r="B1767" s="3305">
        <v>6015</v>
      </c>
      <c r="C1767" s="4834">
        <f t="shared" si="110"/>
        <v>2.9206813051424956E-4</v>
      </c>
      <c r="D1767" s="3" t="str">
        <f t="shared" si="111"/>
        <v>2018</v>
      </c>
      <c r="J1767" s="270" t="s">
        <v>12853</v>
      </c>
      <c r="K1767" s="4837">
        <v>41488.930909485978</v>
      </c>
      <c r="L1767" s="4834">
        <f t="shared" si="113"/>
        <v>4.6058831822018267E-5</v>
      </c>
      <c r="S1767" s="270" t="s">
        <v>12846</v>
      </c>
      <c r="T1767" s="4838">
        <v>474.86652681863529</v>
      </c>
      <c r="U1767" s="4839">
        <f t="shared" si="112"/>
        <v>1.4213519041170813E-3</v>
      </c>
    </row>
    <row r="1768" spans="1:21">
      <c r="A1768" s="270" t="s">
        <v>12847</v>
      </c>
      <c r="B1768" s="3305">
        <v>5987</v>
      </c>
      <c r="C1768" s="4834">
        <f t="shared" si="110"/>
        <v>2.8887786547954349E-4</v>
      </c>
      <c r="D1768" s="3" t="str">
        <f t="shared" si="111"/>
        <v>2018</v>
      </c>
      <c r="J1768" s="270" t="s">
        <v>12854</v>
      </c>
      <c r="K1768" s="4837">
        <v>41149.74053318696</v>
      </c>
      <c r="L1768" s="4834">
        <f t="shared" si="113"/>
        <v>4.4930377526530347E-5</v>
      </c>
      <c r="S1768" s="270" t="s">
        <v>12847</v>
      </c>
      <c r="T1768" s="4838">
        <v>472.29446709314504</v>
      </c>
      <c r="U1768" s="4839">
        <f t="shared" si="112"/>
        <v>1.4008584493020954E-3</v>
      </c>
    </row>
    <row r="1769" spans="1:21">
      <c r="A1769" s="270" t="s">
        <v>12848</v>
      </c>
      <c r="B1769" s="3305">
        <v>5931.5</v>
      </c>
      <c r="C1769" s="4834">
        <f t="shared" si="110"/>
        <v>2.8222001093211011E-4</v>
      </c>
      <c r="D1769" s="3" t="str">
        <f t="shared" si="111"/>
        <v>2018</v>
      </c>
      <c r="J1769" s="270" t="s">
        <v>12855</v>
      </c>
      <c r="K1769" s="4837">
        <v>41545.194715981073</v>
      </c>
      <c r="L1769" s="4834">
        <f t="shared" si="113"/>
        <v>4.6239671909993961E-5</v>
      </c>
      <c r="S1769" s="270" t="s">
        <v>12848</v>
      </c>
      <c r="T1769" s="4838">
        <v>471.97295962745875</v>
      </c>
      <c r="U1769" s="4839">
        <f t="shared" si="112"/>
        <v>1.3982962078987323E-3</v>
      </c>
    </row>
    <row r="1770" spans="1:21">
      <c r="A1770" s="270" t="s">
        <v>12849</v>
      </c>
      <c r="B1770" s="3305">
        <v>5990</v>
      </c>
      <c r="C1770" s="4834">
        <f t="shared" si="110"/>
        <v>2.892252468483677E-4</v>
      </c>
      <c r="D1770" s="3" t="str">
        <f t="shared" si="111"/>
        <v>2018</v>
      </c>
      <c r="J1770" s="270" t="s">
        <v>12856</v>
      </c>
      <c r="K1770" s="4837">
        <v>41360.327923211466</v>
      </c>
      <c r="L1770" s="4834">
        <f t="shared" si="113"/>
        <v>4.563857313727556E-5</v>
      </c>
      <c r="S1770" s="270" t="s">
        <v>12849</v>
      </c>
      <c r="T1770" s="4838">
        <v>484.19024332353746</v>
      </c>
      <c r="U1770" s="4839">
        <f t="shared" si="112"/>
        <v>1.4954521348683454E-3</v>
      </c>
    </row>
    <row r="1771" spans="1:21">
      <c r="A1771" s="270" t="s">
        <v>12850</v>
      </c>
      <c r="B1771" s="3305">
        <v>6018</v>
      </c>
      <c r="C1771" s="4834">
        <f t="shared" si="110"/>
        <v>2.9240294993596033E-4</v>
      </c>
      <c r="D1771" s="3" t="str">
        <f t="shared" si="111"/>
        <v>2018</v>
      </c>
      <c r="J1771" s="270" t="s">
        <v>12857</v>
      </c>
      <c r="K1771" s="4837">
        <v>41429.45202833401</v>
      </c>
      <c r="L1771" s="4834">
        <f t="shared" si="113"/>
        <v>4.5865644807768617E-5</v>
      </c>
      <c r="S1771" s="270" t="s">
        <v>12850</v>
      </c>
      <c r="T1771" s="4838">
        <v>491.90642250000815</v>
      </c>
      <c r="U1771" s="4839">
        <f t="shared" si="112"/>
        <v>1.5563156411630306E-3</v>
      </c>
    </row>
    <row r="1772" spans="1:21">
      <c r="A1772" s="270" t="s">
        <v>12851</v>
      </c>
      <c r="B1772" s="3305">
        <v>5965</v>
      </c>
      <c r="C1772" s="4834">
        <f t="shared" si="110"/>
        <v>2.862905525222502E-4</v>
      </c>
      <c r="D1772" s="3" t="str">
        <f t="shared" si="111"/>
        <v>2018</v>
      </c>
      <c r="J1772" s="270" t="s">
        <v>12858</v>
      </c>
      <c r="K1772" s="4837">
        <v>41535.54949201049</v>
      </c>
      <c r="L1772" s="4834">
        <f t="shared" si="113"/>
        <v>4.6208803475161846E-5</v>
      </c>
      <c r="S1772" s="270" t="s">
        <v>12851</v>
      </c>
      <c r="T1772" s="4838">
        <v>497.37204941667488</v>
      </c>
      <c r="U1772" s="4839">
        <f t="shared" si="112"/>
        <v>1.5990217522554044E-3</v>
      </c>
    </row>
    <row r="1773" spans="1:21">
      <c r="A1773" s="270" t="s">
        <v>12852</v>
      </c>
      <c r="B1773" s="3305">
        <v>5839</v>
      </c>
      <c r="C1773" s="4834">
        <f t="shared" si="110"/>
        <v>2.702251207421916E-4</v>
      </c>
      <c r="D1773" s="3" t="str">
        <f t="shared" si="111"/>
        <v>2019</v>
      </c>
      <c r="J1773" s="270" t="s">
        <v>12859</v>
      </c>
      <c r="K1773" s="4837">
        <v>41440.70478963304</v>
      </c>
      <c r="L1773" s="4834">
        <f t="shared" si="113"/>
        <v>4.5902350934786793E-5</v>
      </c>
      <c r="S1773" s="270" t="s">
        <v>12852</v>
      </c>
      <c r="T1773" s="4838">
        <v>489.97737770589043</v>
      </c>
      <c r="U1773" s="4839">
        <f t="shared" si="112"/>
        <v>1.541154706515316E-3</v>
      </c>
    </row>
    <row r="1774" spans="1:21">
      <c r="A1774" s="270" t="s">
        <v>12853</v>
      </c>
      <c r="B1774" s="3305">
        <v>5811</v>
      </c>
      <c r="C1774" s="4834">
        <f t="shared" si="110"/>
        <v>2.6639556147607771E-4</v>
      </c>
      <c r="D1774" s="3" t="str">
        <f t="shared" si="111"/>
        <v>2019</v>
      </c>
      <c r="J1774" s="270" t="s">
        <v>12860</v>
      </c>
      <c r="K1774" s="4837">
        <v>41562.877626593821</v>
      </c>
      <c r="L1774" s="4834">
        <f t="shared" si="113"/>
        <v>4.6296120484145811E-5</v>
      </c>
      <c r="S1774" s="270" t="s">
        <v>12853</v>
      </c>
      <c r="T1774" s="4838">
        <v>499.62260167647884</v>
      </c>
      <c r="U1774" s="4839">
        <f t="shared" si="112"/>
        <v>1.6164830556959788E-3</v>
      </c>
    </row>
    <row r="1775" spans="1:21">
      <c r="A1775" s="270" t="s">
        <v>12854</v>
      </c>
      <c r="B1775" s="3305">
        <v>5840</v>
      </c>
      <c r="C1775" s="4834">
        <f t="shared" si="110"/>
        <v>2.7036028700857623E-4</v>
      </c>
      <c r="D1775" s="3" t="str">
        <f t="shared" si="111"/>
        <v>2019</v>
      </c>
      <c r="J1775" s="270" t="s">
        <v>12861</v>
      </c>
      <c r="K1775" s="4837">
        <v>41615.926358432065</v>
      </c>
      <c r="L1775" s="4834">
        <f t="shared" si="113"/>
        <v>4.646434382594783E-5</v>
      </c>
      <c r="S1775" s="270" t="s">
        <v>12854</v>
      </c>
      <c r="T1775" s="4838">
        <v>505.08822859314563</v>
      </c>
      <c r="U1775" s="4839">
        <f t="shared" si="112"/>
        <v>1.6585347111438514E-3</v>
      </c>
    </row>
    <row r="1776" spans="1:21">
      <c r="A1776" s="270" t="s">
        <v>12855</v>
      </c>
      <c r="B1776" s="3305">
        <v>5889.5</v>
      </c>
      <c r="C1776" s="4834">
        <f t="shared" si="110"/>
        <v>2.7690505307648974E-4</v>
      </c>
      <c r="D1776" s="3" t="str">
        <f t="shared" si="111"/>
        <v>2019</v>
      </c>
      <c r="J1776" s="270" t="s">
        <v>12862</v>
      </c>
      <c r="K1776" s="4837">
        <v>41548.409790637939</v>
      </c>
      <c r="L1776" s="4834">
        <f t="shared" si="113"/>
        <v>4.6249949120696198E-5</v>
      </c>
      <c r="S1776" s="270" t="s">
        <v>12855</v>
      </c>
      <c r="T1776" s="4838">
        <v>506.3742584558907</v>
      </c>
      <c r="U1776" s="4839">
        <f t="shared" si="112"/>
        <v>1.6683485729666807E-3</v>
      </c>
    </row>
    <row r="1777" spans="1:21">
      <c r="A1777" s="270" t="s">
        <v>12856</v>
      </c>
      <c r="B1777" s="3305">
        <v>5904.5</v>
      </c>
      <c r="C1777" s="4834">
        <f t="shared" si="110"/>
        <v>2.7882935576279273E-4</v>
      </c>
      <c r="D1777" s="3" t="str">
        <f t="shared" si="111"/>
        <v>2019</v>
      </c>
      <c r="J1777" s="270" t="s">
        <v>12863</v>
      </c>
      <c r="K1777" s="4837">
        <v>41496.968596128136</v>
      </c>
      <c r="L1777" s="4834">
        <f t="shared" si="113"/>
        <v>4.608478015208537E-5</v>
      </c>
      <c r="S1777" s="270" t="s">
        <v>12856</v>
      </c>
      <c r="T1777" s="4838">
        <v>502.83767633334162</v>
      </c>
      <c r="U1777" s="4839">
        <f t="shared" si="112"/>
        <v>1.6412840053868347E-3</v>
      </c>
    </row>
    <row r="1778" spans="1:21">
      <c r="A1778" s="270" t="s">
        <v>12857</v>
      </c>
      <c r="B1778" s="3305">
        <v>5964</v>
      </c>
      <c r="C1778" s="4834">
        <f t="shared" si="110"/>
        <v>2.8617130245620293E-4</v>
      </c>
      <c r="D1778" s="3" t="str">
        <f t="shared" si="111"/>
        <v>2019</v>
      </c>
      <c r="J1778" s="270" t="s">
        <v>12864</v>
      </c>
      <c r="K1778" s="4837">
        <v>41287.988743432055</v>
      </c>
      <c r="L1778" s="4834">
        <f t="shared" si="113"/>
        <v>4.5398050166541224E-5</v>
      </c>
      <c r="S1778" s="270" t="s">
        <v>12857</v>
      </c>
      <c r="T1778" s="4838">
        <v>502.19466140196903</v>
      </c>
      <c r="U1778" s="4839">
        <f t="shared" si="112"/>
        <v>1.6363381288779289E-3</v>
      </c>
    </row>
    <row r="1779" spans="1:21">
      <c r="A1779" s="270" t="s">
        <v>12858</v>
      </c>
      <c r="B1779" s="3305">
        <v>5908.5</v>
      </c>
      <c r="C1779" s="4834">
        <f t="shared" si="110"/>
        <v>2.7933767109980214E-4</v>
      </c>
      <c r="D1779" s="3" t="str">
        <f t="shared" si="111"/>
        <v>2019</v>
      </c>
      <c r="J1779" s="270" t="s">
        <v>12865</v>
      </c>
      <c r="K1779" s="4837">
        <v>41138.487771887929</v>
      </c>
      <c r="L1779" s="4834">
        <f t="shared" si="113"/>
        <v>4.4891858423398236E-5</v>
      </c>
      <c r="S1779" s="270" t="s">
        <v>12858</v>
      </c>
      <c r="T1779" s="4838">
        <v>505.08822859314563</v>
      </c>
      <c r="U1779" s="4839">
        <f t="shared" si="112"/>
        <v>1.6585347111438514E-3</v>
      </c>
    </row>
    <row r="1780" spans="1:21">
      <c r="A1780" s="270" t="s">
        <v>12859</v>
      </c>
      <c r="B1780" s="3305">
        <v>5926.5</v>
      </c>
      <c r="C1780" s="4834">
        <f t="shared" si="110"/>
        <v>2.8159935572999461E-4</v>
      </c>
      <c r="D1780" s="3" t="str">
        <f t="shared" si="111"/>
        <v>2019</v>
      </c>
      <c r="J1780" s="270" t="s">
        <v>12866</v>
      </c>
      <c r="K1780" s="4837">
        <v>41220.472175637929</v>
      </c>
      <c r="L1780" s="4834">
        <f t="shared" si="113"/>
        <v>4.5170947509468695E-5</v>
      </c>
      <c r="S1780" s="270" t="s">
        <v>12859</v>
      </c>
      <c r="T1780" s="4838">
        <v>504.12370619608669</v>
      </c>
      <c r="U1780" s="4839">
        <f t="shared" si="112"/>
        <v>1.6511531897555264E-3</v>
      </c>
    </row>
    <row r="1781" spans="1:21">
      <c r="A1781" s="270" t="s">
        <v>12860</v>
      </c>
      <c r="B1781" s="3305">
        <v>5861</v>
      </c>
      <c r="C1781" s="4834">
        <f t="shared" si="110"/>
        <v>2.7317231712337928E-4</v>
      </c>
      <c r="D1781" s="3" t="str">
        <f t="shared" si="111"/>
        <v>2019</v>
      </c>
      <c r="J1781" s="270" t="s">
        <v>12867</v>
      </c>
      <c r="K1781" s="4837">
        <v>41146.525458530086</v>
      </c>
      <c r="L1781" s="4834">
        <f t="shared" si="113"/>
        <v>4.4919378925017843E-5</v>
      </c>
      <c r="S1781" s="270" t="s">
        <v>12860</v>
      </c>
      <c r="T1781" s="4838">
        <v>502.19466140196903</v>
      </c>
      <c r="U1781" s="4839">
        <f t="shared" si="112"/>
        <v>1.6363381288779289E-3</v>
      </c>
    </row>
    <row r="1782" spans="1:21">
      <c r="A1782" s="270" t="s">
        <v>12861</v>
      </c>
      <c r="B1782" s="3305">
        <v>5882</v>
      </c>
      <c r="C1782" s="4834">
        <f t="shared" si="110"/>
        <v>2.7593234389538423E-4</v>
      </c>
      <c r="D1782" s="3" t="str">
        <f t="shared" si="111"/>
        <v>2019</v>
      </c>
      <c r="J1782" s="270" t="s">
        <v>12868</v>
      </c>
      <c r="K1782" s="4837">
        <v>41271.91337014774</v>
      </c>
      <c r="L1782" s="4834">
        <f t="shared" si="113"/>
        <v>4.5344205141140523E-5</v>
      </c>
      <c r="S1782" s="270" t="s">
        <v>12861</v>
      </c>
      <c r="T1782" s="4838">
        <v>501.55164647059649</v>
      </c>
      <c r="U1782" s="4839">
        <f t="shared" si="112"/>
        <v>1.6313849389025525E-3</v>
      </c>
    </row>
    <row r="1783" spans="1:21">
      <c r="A1783" s="270" t="s">
        <v>12862</v>
      </c>
      <c r="B1783" s="3305">
        <v>5911</v>
      </c>
      <c r="C1783" s="4834">
        <f t="shared" si="110"/>
        <v>2.7965432170405104E-4</v>
      </c>
      <c r="D1783" s="3" t="str">
        <f t="shared" si="111"/>
        <v>2019</v>
      </c>
      <c r="J1783" s="270" t="s">
        <v>12869</v>
      </c>
      <c r="K1783" s="4837">
        <v>41599.850985147743</v>
      </c>
      <c r="L1783" s="4834">
        <f t="shared" si="113"/>
        <v>4.6413545671655089E-5</v>
      </c>
      <c r="S1783" s="270" t="s">
        <v>12862</v>
      </c>
      <c r="T1783" s="4838">
        <v>499.62260167647884</v>
      </c>
      <c r="U1783" s="4839">
        <f t="shared" si="112"/>
        <v>1.6164830556959788E-3</v>
      </c>
    </row>
    <row r="1784" spans="1:21">
      <c r="A1784" s="270" t="s">
        <v>12863</v>
      </c>
      <c r="B1784" s="3305">
        <v>5933</v>
      </c>
      <c r="C1784" s="4834">
        <f t="shared" si="110"/>
        <v>2.8240555498089637E-4</v>
      </c>
      <c r="D1784" s="3" t="str">
        <f t="shared" si="111"/>
        <v>2019</v>
      </c>
      <c r="J1784" s="270" t="s">
        <v>12870</v>
      </c>
      <c r="K1784" s="4837">
        <v>41865.094644338933</v>
      </c>
      <c r="L1784" s="4834">
        <f t="shared" si="113"/>
        <v>4.7231350400054088E-5</v>
      </c>
      <c r="S1784" s="270" t="s">
        <v>12863</v>
      </c>
      <c r="T1784" s="4838">
        <v>500.90863153922396</v>
      </c>
      <c r="U1784" s="4839">
        <f t="shared" si="112"/>
        <v>1.6264245923052832E-3</v>
      </c>
    </row>
    <row r="1785" spans="1:21">
      <c r="A1785" s="270" t="s">
        <v>12864</v>
      </c>
      <c r="B1785" s="3305">
        <v>6022</v>
      </c>
      <c r="C1785" s="4834">
        <f t="shared" si="110"/>
        <v>2.9284723583460689E-4</v>
      </c>
      <c r="D1785" s="3" t="str">
        <f t="shared" si="111"/>
        <v>2019</v>
      </c>
      <c r="J1785" s="270" t="s">
        <v>12871</v>
      </c>
      <c r="K1785" s="4837">
        <v>42038.708675809517</v>
      </c>
      <c r="L1785" s="4834">
        <f t="shared" si="113"/>
        <v>4.7742366015974248E-5</v>
      </c>
      <c r="S1785" s="270" t="s">
        <v>12864</v>
      </c>
      <c r="T1785" s="4838">
        <v>497.37204941667488</v>
      </c>
      <c r="U1785" s="4839">
        <f t="shared" si="112"/>
        <v>1.5990217522554044E-3</v>
      </c>
    </row>
    <row r="1786" spans="1:21">
      <c r="A1786" s="270" t="s">
        <v>12865</v>
      </c>
      <c r="B1786" s="3305">
        <v>5951.5</v>
      </c>
      <c r="C1786" s="4834">
        <f t="shared" si="110"/>
        <v>2.8466882516974261E-4</v>
      </c>
      <c r="D1786" s="3" t="str">
        <f t="shared" si="111"/>
        <v>2019</v>
      </c>
      <c r="J1786" s="270" t="s">
        <v>12872</v>
      </c>
      <c r="K1786" s="4837">
        <v>42139.983527500699</v>
      </c>
      <c r="L1786" s="4834">
        <f t="shared" si="113"/>
        <v>4.8031224695803306E-5</v>
      </c>
      <c r="S1786" s="270" t="s">
        <v>12865</v>
      </c>
      <c r="T1786" s="4838">
        <v>490.62039263726297</v>
      </c>
      <c r="U1786" s="4839">
        <f t="shared" si="112"/>
        <v>1.5462129270622201E-3</v>
      </c>
    </row>
    <row r="1787" spans="1:21">
      <c r="A1787" s="270" t="s">
        <v>12866</v>
      </c>
      <c r="B1787" s="3305">
        <v>5926.5</v>
      </c>
      <c r="C1787" s="4834">
        <f t="shared" si="110"/>
        <v>2.8159935572999461E-4</v>
      </c>
      <c r="D1787" s="3" t="str">
        <f t="shared" si="111"/>
        <v>2019</v>
      </c>
      <c r="J1787" s="270" t="s">
        <v>12873</v>
      </c>
      <c r="K1787" s="4837">
        <v>42543.475396936978</v>
      </c>
      <c r="L1787" s="4834">
        <f t="shared" si="113"/>
        <v>4.9111320060118048E-5</v>
      </c>
      <c r="S1787" s="270" t="s">
        <v>12866</v>
      </c>
      <c r="T1787" s="4838">
        <v>490.62039263726297</v>
      </c>
      <c r="U1787" s="4839">
        <f t="shared" si="112"/>
        <v>1.5462129270622201E-3</v>
      </c>
    </row>
    <row r="1788" spans="1:21">
      <c r="A1788" s="270" t="s">
        <v>12867</v>
      </c>
      <c r="B1788" s="3305">
        <v>5920.5</v>
      </c>
      <c r="C1788" s="4834">
        <f t="shared" si="110"/>
        <v>2.8085018338539066E-4</v>
      </c>
      <c r="D1788" s="3" t="str">
        <f t="shared" si="111"/>
        <v>2019</v>
      </c>
      <c r="J1788" s="270" t="s">
        <v>12874</v>
      </c>
      <c r="K1788" s="4837">
        <v>42397.189500049717</v>
      </c>
      <c r="L1788" s="4834">
        <f t="shared" si="113"/>
        <v>4.873310675347914E-5</v>
      </c>
      <c r="S1788" s="270" t="s">
        <v>12867</v>
      </c>
      <c r="T1788" s="4838">
        <v>494.79998969118463</v>
      </c>
      <c r="U1788" s="4839">
        <f t="shared" si="112"/>
        <v>1.5789742319333815E-3</v>
      </c>
    </row>
    <row r="1789" spans="1:21">
      <c r="A1789" s="270" t="s">
        <v>12868</v>
      </c>
      <c r="B1789" s="3305">
        <v>5885</v>
      </c>
      <c r="C1789" s="4834">
        <f t="shared" si="110"/>
        <v>2.7632226207866732E-4</v>
      </c>
      <c r="D1789" s="3" t="str">
        <f t="shared" si="111"/>
        <v>2019</v>
      </c>
      <c r="J1789" s="270" t="s">
        <v>12875</v>
      </c>
      <c r="K1789" s="4837">
        <v>42186.602110025204</v>
      </c>
      <c r="L1789" s="4834">
        <f t="shared" si="113"/>
        <v>4.8161852310344089E-5</v>
      </c>
      <c r="S1789" s="270" t="s">
        <v>12868</v>
      </c>
      <c r="T1789" s="4838">
        <v>491.90642250000815</v>
      </c>
      <c r="U1789" s="4839">
        <f t="shared" si="112"/>
        <v>1.5563156411630306E-3</v>
      </c>
    </row>
    <row r="1790" spans="1:21">
      <c r="A1790" s="270" t="s">
        <v>12869</v>
      </c>
      <c r="B1790" s="3305">
        <v>5901</v>
      </c>
      <c r="C1790" s="4834">
        <f t="shared" si="110"/>
        <v>2.7838289935710087E-4</v>
      </c>
      <c r="D1790" s="3" t="str">
        <f t="shared" si="111"/>
        <v>2019</v>
      </c>
      <c r="J1790" s="270" t="s">
        <v>12876</v>
      </c>
      <c r="K1790" s="4837">
        <v>42252.511140490897</v>
      </c>
      <c r="L1790" s="4834">
        <f t="shared" si="113"/>
        <v>4.8343979855389699E-5</v>
      </c>
      <c r="S1790" s="270" t="s">
        <v>12869</v>
      </c>
      <c r="T1790" s="4838">
        <v>494.4784822254984</v>
      </c>
      <c r="U1790" s="4839">
        <f t="shared" si="112"/>
        <v>1.5764618762748807E-3</v>
      </c>
    </row>
    <row r="1791" spans="1:21">
      <c r="A1791" s="270" t="s">
        <v>12870</v>
      </c>
      <c r="B1791" s="3305">
        <v>5996</v>
      </c>
      <c r="C1791" s="4834">
        <f t="shared" si="110"/>
        <v>2.899160373326078E-4</v>
      </c>
      <c r="D1791" s="3" t="str">
        <f t="shared" si="111"/>
        <v>2019</v>
      </c>
      <c r="J1791" s="270" t="s">
        <v>12877</v>
      </c>
      <c r="K1791" s="4837">
        <v>42194.639796667369</v>
      </c>
      <c r="L1791" s="4834">
        <f t="shared" si="113"/>
        <v>4.8184223680994833E-5</v>
      </c>
      <c r="S1791" s="270" t="s">
        <v>12870</v>
      </c>
      <c r="T1791" s="4838">
        <v>504.44521366177298</v>
      </c>
      <c r="U1791" s="4839">
        <f t="shared" si="112"/>
        <v>1.6536156693854071E-3</v>
      </c>
    </row>
    <row r="1792" spans="1:21">
      <c r="A1792" s="270" t="s">
        <v>12871</v>
      </c>
      <c r="B1792" s="3305">
        <v>6007</v>
      </c>
      <c r="C1792" s="4834">
        <f t="shared" si="110"/>
        <v>2.9116859866306521E-4</v>
      </c>
      <c r="D1792" s="3" t="str">
        <f t="shared" si="111"/>
        <v>2019</v>
      </c>
      <c r="J1792" s="270" t="s">
        <v>12878</v>
      </c>
      <c r="K1792" s="4837">
        <v>42117.478004902659</v>
      </c>
      <c r="L1792" s="4834">
        <f t="shared" si="113"/>
        <v>4.796763245018521E-5</v>
      </c>
      <c r="S1792" s="270" t="s">
        <v>12871</v>
      </c>
      <c r="T1792" s="4838">
        <v>509.91084057843972</v>
      </c>
      <c r="U1792" s="4839">
        <f t="shared" si="112"/>
        <v>1.6951609407766337E-3</v>
      </c>
    </row>
    <row r="1793" spans="1:21">
      <c r="A1793" s="270" t="s">
        <v>12872</v>
      </c>
      <c r="B1793" s="3305">
        <v>6077</v>
      </c>
      <c r="C1793" s="4834">
        <f t="shared" si="110"/>
        <v>2.9870133651350848E-4</v>
      </c>
      <c r="D1793" s="3" t="str">
        <f t="shared" si="111"/>
        <v>2019</v>
      </c>
      <c r="J1793" s="270" t="s">
        <v>12879</v>
      </c>
      <c r="K1793" s="4837">
        <v>42273.409125760503</v>
      </c>
      <c r="L1793" s="4834">
        <f t="shared" si="113"/>
        <v>4.8401097646944959E-5</v>
      </c>
      <c r="S1793" s="270" t="s">
        <v>12872</v>
      </c>
      <c r="T1793" s="4838">
        <v>511.83988537255743</v>
      </c>
      <c r="U1793" s="4839">
        <f t="shared" si="112"/>
        <v>1.7096701611077486E-3</v>
      </c>
    </row>
    <row r="1794" spans="1:21">
      <c r="A1794" s="270" t="s">
        <v>12873</v>
      </c>
      <c r="B1794" s="3305">
        <v>6148</v>
      </c>
      <c r="C1794" s="4834">
        <f t="shared" si="110"/>
        <v>3.0551811121774287E-4</v>
      </c>
      <c r="D1794" s="3" t="str">
        <f t="shared" si="111"/>
        <v>2019</v>
      </c>
      <c r="J1794" s="270" t="s">
        <v>12880</v>
      </c>
      <c r="K1794" s="4837">
        <v>42001.735317255596</v>
      </c>
      <c r="L1794" s="4834">
        <f t="shared" si="113"/>
        <v>4.7635197670583034E-5</v>
      </c>
      <c r="S1794" s="270" t="s">
        <v>12873</v>
      </c>
      <c r="T1794" s="4838">
        <v>516.98400482353793</v>
      </c>
      <c r="U1794" s="4839">
        <f t="shared" si="112"/>
        <v>1.7479237361073426E-3</v>
      </c>
    </row>
    <row r="1795" spans="1:21">
      <c r="A1795" s="270" t="s">
        <v>12874</v>
      </c>
      <c r="B1795" s="3305">
        <v>6097.5</v>
      </c>
      <c r="C1795" s="4834">
        <f t="shared" si="110"/>
        <v>3.007577068419782E-4</v>
      </c>
      <c r="D1795" s="3" t="str">
        <f t="shared" si="111"/>
        <v>2019</v>
      </c>
      <c r="J1795" s="270" t="s">
        <v>12881</v>
      </c>
      <c r="K1795" s="4837">
        <v>42117.478004902659</v>
      </c>
      <c r="L1795" s="4834">
        <f t="shared" si="113"/>
        <v>4.796763245018521E-5</v>
      </c>
      <c r="S1795" s="270" t="s">
        <v>12874</v>
      </c>
      <c r="T1795" s="4838">
        <v>514.73345256373409</v>
      </c>
      <c r="U1795" s="4839">
        <f t="shared" si="112"/>
        <v>1.7312692567904603E-3</v>
      </c>
    </row>
    <row r="1796" spans="1:21">
      <c r="A1796" s="270" t="s">
        <v>12875</v>
      </c>
      <c r="B1796" s="3305">
        <v>6076.5</v>
      </c>
      <c r="C1796" s="4834">
        <f t="shared" ref="C1796:C1859" si="114">_xlfn.NORM.DIST(B1796,$F$4,$F$3,FALSE)</f>
        <v>2.9865031041324401E-4</v>
      </c>
      <c r="D1796" s="3" t="str">
        <f t="shared" ref="D1796:D1859" si="115">LEFT(A1796,4)</f>
        <v>2019</v>
      </c>
      <c r="J1796" s="270" t="s">
        <v>12882</v>
      </c>
      <c r="K1796" s="4837">
        <v>42207.50009529481</v>
      </c>
      <c r="L1796" s="4834">
        <f t="shared" si="113"/>
        <v>4.821992530516467E-5</v>
      </c>
      <c r="S1796" s="270" t="s">
        <v>12875</v>
      </c>
      <c r="T1796" s="4838">
        <v>506.3742584558907</v>
      </c>
      <c r="U1796" s="4839">
        <f t="shared" ref="U1796:U1859" si="116">_xlfn.NORM.DIST(T1796,$X$4,$X$3,FALSE)</f>
        <v>1.6683485729666807E-3</v>
      </c>
    </row>
    <row r="1797" spans="1:21">
      <c r="A1797" s="270" t="s">
        <v>12876</v>
      </c>
      <c r="B1797" s="3305">
        <v>6174</v>
      </c>
      <c r="C1797" s="4834">
        <f t="shared" si="114"/>
        <v>3.0779389517051833E-4</v>
      </c>
      <c r="D1797" s="3" t="str">
        <f t="shared" si="115"/>
        <v>2019</v>
      </c>
      <c r="J1797" s="270" t="s">
        <v>12883</v>
      </c>
      <c r="K1797" s="4837">
        <v>42164.096587427164</v>
      </c>
      <c r="L1797" s="4834">
        <f t="shared" ref="L1797:L1860" si="117">_xlfn.NORM.DIST(K1797,$O$4,$O$3,FALSE)</f>
        <v>4.8098976395644884E-5</v>
      </c>
      <c r="S1797" s="270" t="s">
        <v>12876</v>
      </c>
      <c r="T1797" s="4838">
        <v>510.23234804412596</v>
      </c>
      <c r="U1797" s="4839">
        <f t="shared" si="116"/>
        <v>1.6975850141175339E-3</v>
      </c>
    </row>
    <row r="1798" spans="1:21">
      <c r="A1798" s="270" t="s">
        <v>12877</v>
      </c>
      <c r="B1798" s="3305">
        <v>6210</v>
      </c>
      <c r="C1798" s="4834">
        <f t="shared" si="114"/>
        <v>3.1074138691510072E-4</v>
      </c>
      <c r="D1798" s="3" t="str">
        <f t="shared" si="115"/>
        <v>2019</v>
      </c>
      <c r="J1798" s="270" t="s">
        <v>12884</v>
      </c>
      <c r="K1798" s="4837">
        <v>42328.065394927165</v>
      </c>
      <c r="L1798" s="4834">
        <f t="shared" si="117"/>
        <v>4.8549035387298274E-5</v>
      </c>
      <c r="S1798" s="270" t="s">
        <v>12877</v>
      </c>
      <c r="T1798" s="4838">
        <v>505.73124352451816</v>
      </c>
      <c r="U1798" s="4839">
        <f t="shared" si="116"/>
        <v>1.6634457315749477E-3</v>
      </c>
    </row>
    <row r="1799" spans="1:21">
      <c r="A1799" s="270" t="s">
        <v>12878</v>
      </c>
      <c r="B1799" s="3305">
        <v>6227</v>
      </c>
      <c r="C1799" s="4834">
        <f t="shared" si="114"/>
        <v>3.1204918691378957E-4</v>
      </c>
      <c r="D1799" s="3" t="str">
        <f t="shared" si="115"/>
        <v>2019</v>
      </c>
      <c r="J1799" s="270" t="s">
        <v>12885</v>
      </c>
      <c r="K1799" s="4837">
        <v>42615.814576716388</v>
      </c>
      <c r="L1799" s="4834">
        <f t="shared" si="117"/>
        <v>4.9292562538813039E-5</v>
      </c>
      <c r="S1799" s="270" t="s">
        <v>12878</v>
      </c>
      <c r="T1799" s="4838">
        <v>505.08822859314563</v>
      </c>
      <c r="U1799" s="4839">
        <f t="shared" si="116"/>
        <v>1.6585347111438514E-3</v>
      </c>
    </row>
    <row r="1800" spans="1:21">
      <c r="A1800" s="270" t="s">
        <v>12879</v>
      </c>
      <c r="B1800" s="3305">
        <v>6207</v>
      </c>
      <c r="C1800" s="4834">
        <f t="shared" si="114"/>
        <v>3.1050494930760146E-4</v>
      </c>
      <c r="D1800" s="3" t="str">
        <f t="shared" si="115"/>
        <v>2019</v>
      </c>
      <c r="J1800" s="270" t="s">
        <v>12886</v>
      </c>
      <c r="K1800" s="4837">
        <v>42893.918534535027</v>
      </c>
      <c r="L1800" s="4834">
        <f t="shared" si="117"/>
        <v>4.9952675647089247E-5</v>
      </c>
      <c r="S1800" s="270" t="s">
        <v>12879</v>
      </c>
      <c r="T1800" s="4838">
        <v>507.33878085294947</v>
      </c>
      <c r="U1800" s="4839">
        <f t="shared" si="116"/>
        <v>1.6756871540394374E-3</v>
      </c>
    </row>
    <row r="1801" spans="1:21">
      <c r="A1801" s="270" t="s">
        <v>12880</v>
      </c>
      <c r="B1801" s="3305">
        <v>6148</v>
      </c>
      <c r="C1801" s="4834">
        <f t="shared" si="114"/>
        <v>3.0551811121774287E-4</v>
      </c>
      <c r="D1801" s="3" t="str">
        <f t="shared" si="115"/>
        <v>2019</v>
      </c>
      <c r="J1801" s="270" t="s">
        <v>12887</v>
      </c>
      <c r="K1801" s="4837">
        <v>43202.565701593849</v>
      </c>
      <c r="L1801" s="4834">
        <f t="shared" si="117"/>
        <v>5.0614812249392298E-5</v>
      </c>
      <c r="S1801" s="270" t="s">
        <v>12880</v>
      </c>
      <c r="T1801" s="4838">
        <v>505.08822859314563</v>
      </c>
      <c r="U1801" s="4839">
        <f t="shared" si="116"/>
        <v>1.6585347111438514E-3</v>
      </c>
    </row>
    <row r="1802" spans="1:21">
      <c r="A1802" s="270" t="s">
        <v>12881</v>
      </c>
      <c r="B1802" s="3305">
        <v>6102</v>
      </c>
      <c r="C1802" s="4834">
        <f t="shared" si="114"/>
        <v>3.0119968543883377E-4</v>
      </c>
      <c r="D1802" s="3" t="str">
        <f t="shared" si="115"/>
        <v>2019</v>
      </c>
      <c r="J1802" s="270" t="s">
        <v>12888</v>
      </c>
      <c r="K1802" s="4837">
        <v>42800.681369486003</v>
      </c>
      <c r="L1802" s="4834">
        <f t="shared" si="117"/>
        <v>4.9737940021060918E-5</v>
      </c>
      <c r="S1802" s="270" t="s">
        <v>12881</v>
      </c>
      <c r="T1802" s="4838">
        <v>508.30330325000841</v>
      </c>
      <c r="U1802" s="4839">
        <f t="shared" si="116"/>
        <v>1.6830064438659968E-3</v>
      </c>
    </row>
    <row r="1803" spans="1:21">
      <c r="A1803" s="270" t="s">
        <v>12882</v>
      </c>
      <c r="B1803" s="3305">
        <v>6120</v>
      </c>
      <c r="C1803" s="4834">
        <f t="shared" si="114"/>
        <v>3.0293314759241509E-4</v>
      </c>
      <c r="D1803" s="3" t="str">
        <f t="shared" si="115"/>
        <v>2019</v>
      </c>
      <c r="J1803" s="270" t="s">
        <v>12889</v>
      </c>
      <c r="K1803" s="4837">
        <v>42729.949727035018</v>
      </c>
      <c r="L1803" s="4834">
        <f t="shared" si="117"/>
        <v>4.9570587298454248E-5</v>
      </c>
      <c r="S1803" s="270" t="s">
        <v>12882</v>
      </c>
      <c r="T1803" s="4838">
        <v>504.76672112745922</v>
      </c>
      <c r="U1803" s="4839">
        <f t="shared" si="116"/>
        <v>1.656076183078898E-3</v>
      </c>
    </row>
    <row r="1804" spans="1:21">
      <c r="A1804" s="270" t="s">
        <v>12883</v>
      </c>
      <c r="B1804" s="3305">
        <v>6178.5</v>
      </c>
      <c r="C1804" s="4834">
        <f t="shared" si="114"/>
        <v>3.0817537886237273E-4</v>
      </c>
      <c r="D1804" s="3" t="str">
        <f t="shared" si="115"/>
        <v>2019</v>
      </c>
      <c r="J1804" s="270" t="s">
        <v>12890</v>
      </c>
      <c r="K1804" s="4837">
        <v>42794.251220172271</v>
      </c>
      <c r="L1804" s="4834">
        <f t="shared" si="117"/>
        <v>4.9722883963768715E-5</v>
      </c>
      <c r="S1804" s="270" t="s">
        <v>12883</v>
      </c>
      <c r="T1804" s="4838">
        <v>500.90863153922396</v>
      </c>
      <c r="U1804" s="4839">
        <f t="shared" si="116"/>
        <v>1.6264245923052832E-3</v>
      </c>
    </row>
    <row r="1805" spans="1:21">
      <c r="A1805" s="270" t="s">
        <v>12884</v>
      </c>
      <c r="B1805" s="3305">
        <v>6190</v>
      </c>
      <c r="C1805" s="4834">
        <f t="shared" si="114"/>
        <v>3.0913344338975938E-4</v>
      </c>
      <c r="D1805" s="3" t="str">
        <f t="shared" si="115"/>
        <v>2019</v>
      </c>
      <c r="J1805" s="270" t="s">
        <v>12891</v>
      </c>
      <c r="K1805" s="4837">
        <v>42601.346740760506</v>
      </c>
      <c r="L1805" s="4834">
        <f t="shared" si="117"/>
        <v>4.9256623990346079E-5</v>
      </c>
      <c r="S1805" s="270" t="s">
        <v>12884</v>
      </c>
      <c r="T1805" s="4838">
        <v>504.12370619608669</v>
      </c>
      <c r="U1805" s="4839">
        <f t="shared" si="116"/>
        <v>1.6511531897555264E-3</v>
      </c>
    </row>
    <row r="1806" spans="1:21">
      <c r="A1806" s="270" t="s">
        <v>12885</v>
      </c>
      <c r="B1806" s="3305">
        <v>6269.5</v>
      </c>
      <c r="C1806" s="4834">
        <f t="shared" si="114"/>
        <v>3.1507674460216916E-4</v>
      </c>
      <c r="D1806" s="3" t="str">
        <f t="shared" si="115"/>
        <v>2019</v>
      </c>
      <c r="J1806" s="270" t="s">
        <v>12892</v>
      </c>
      <c r="K1806" s="4837">
        <v>42530.615098309529</v>
      </c>
      <c r="L1806" s="4834">
        <f t="shared" si="117"/>
        <v>4.9078695194837122E-5</v>
      </c>
      <c r="S1806" s="270" t="s">
        <v>12885</v>
      </c>
      <c r="T1806" s="4838">
        <v>507.01727338726323</v>
      </c>
      <c r="U1806" s="4839">
        <f t="shared" si="116"/>
        <v>1.6732430774757741E-3</v>
      </c>
    </row>
    <row r="1807" spans="1:21">
      <c r="A1807" s="270" t="s">
        <v>12886</v>
      </c>
      <c r="B1807" s="3305">
        <v>6246.5</v>
      </c>
      <c r="C1807" s="4834">
        <f t="shared" si="114"/>
        <v>3.1348160145956873E-4</v>
      </c>
      <c r="D1807" s="3" t="str">
        <f t="shared" si="115"/>
        <v>2019</v>
      </c>
      <c r="J1807" s="270" t="s">
        <v>12893</v>
      </c>
      <c r="K1807" s="4837">
        <v>42411.657336005606</v>
      </c>
      <c r="L1807" s="4834">
        <f t="shared" si="117"/>
        <v>4.8771201841946217E-5</v>
      </c>
      <c r="S1807" s="270" t="s">
        <v>12886</v>
      </c>
      <c r="T1807" s="4838">
        <v>507.33878085294947</v>
      </c>
      <c r="U1807" s="4839">
        <f t="shared" si="116"/>
        <v>1.6756871540394374E-3</v>
      </c>
    </row>
    <row r="1808" spans="1:21">
      <c r="A1808" s="270" t="s">
        <v>12887</v>
      </c>
      <c r="B1808" s="3305">
        <v>6351.5</v>
      </c>
      <c r="C1808" s="4834">
        <f t="shared" si="114"/>
        <v>3.1990935183573606E-4</v>
      </c>
      <c r="D1808" s="3" t="str">
        <f t="shared" si="115"/>
        <v>2019</v>
      </c>
      <c r="J1808" s="270" t="s">
        <v>12894</v>
      </c>
      <c r="K1808" s="4837">
        <v>42180.171960711486</v>
      </c>
      <c r="L1808" s="4834">
        <f t="shared" si="117"/>
        <v>4.8143923229144599E-5</v>
      </c>
      <c r="S1808" s="270" t="s">
        <v>12887</v>
      </c>
      <c r="T1808" s="4838">
        <v>515.69797496079286</v>
      </c>
      <c r="U1808" s="4839">
        <f t="shared" si="116"/>
        <v>1.7384228833043894E-3</v>
      </c>
    </row>
    <row r="1809" spans="1:21">
      <c r="A1809" s="270" t="s">
        <v>12888</v>
      </c>
      <c r="B1809" s="3305">
        <v>6391</v>
      </c>
      <c r="C1809" s="4834">
        <f t="shared" si="114"/>
        <v>3.217477757845186E-4</v>
      </c>
      <c r="D1809" s="3" t="str">
        <f t="shared" si="115"/>
        <v>2019</v>
      </c>
      <c r="J1809" s="270" t="s">
        <v>12895</v>
      </c>
      <c r="K1809" s="4837">
        <v>41326.56963931441</v>
      </c>
      <c r="L1809" s="4834">
        <f t="shared" si="117"/>
        <v>4.5526693362049474E-5</v>
      </c>
      <c r="S1809" s="270" t="s">
        <v>12888</v>
      </c>
      <c r="T1809" s="4838">
        <v>511.51837790687114</v>
      </c>
      <c r="U1809" s="4839">
        <f t="shared" si="116"/>
        <v>1.7072578937395633E-3</v>
      </c>
    </row>
    <row r="1810" spans="1:21">
      <c r="A1810" s="270" t="s">
        <v>12889</v>
      </c>
      <c r="B1810" s="3305">
        <v>6489</v>
      </c>
      <c r="C1810" s="4834">
        <f t="shared" si="114"/>
        <v>3.2489001594240597E-4</v>
      </c>
      <c r="D1810" s="3" t="str">
        <f t="shared" si="115"/>
        <v>2019</v>
      </c>
      <c r="J1810" s="270" t="s">
        <v>12896</v>
      </c>
      <c r="K1810" s="4837">
        <v>41275.128444804599</v>
      </c>
      <c r="L1810" s="4834">
        <f t="shared" si="117"/>
        <v>4.5354985557935257E-5</v>
      </c>
      <c r="S1810" s="270" t="s">
        <v>12889</v>
      </c>
      <c r="T1810" s="4838">
        <v>510.23234804412596</v>
      </c>
      <c r="U1810" s="4839">
        <f t="shared" si="116"/>
        <v>1.6975850141175339E-3</v>
      </c>
    </row>
    <row r="1811" spans="1:21">
      <c r="A1811" s="270" t="s">
        <v>12890</v>
      </c>
      <c r="B1811" s="3305">
        <v>6546</v>
      </c>
      <c r="C1811" s="4834">
        <f t="shared" si="114"/>
        <v>3.2576956805329375E-4</v>
      </c>
      <c r="D1811" s="3" t="str">
        <f t="shared" si="115"/>
        <v>2019</v>
      </c>
      <c r="J1811" s="270" t="s">
        <v>12897</v>
      </c>
      <c r="K1811" s="4837">
        <v>41341.037475270285</v>
      </c>
      <c r="L1811" s="4834">
        <f t="shared" si="117"/>
        <v>4.5574720286423558E-5</v>
      </c>
      <c r="S1811" s="270" t="s">
        <v>12890</v>
      </c>
      <c r="T1811" s="4838">
        <v>513.12591523530261</v>
      </c>
      <c r="U1811" s="4839">
        <f t="shared" si="116"/>
        <v>1.7192948255446473E-3</v>
      </c>
    </row>
    <row r="1812" spans="1:21">
      <c r="A1812" s="270" t="s">
        <v>12891</v>
      </c>
      <c r="B1812" s="3305">
        <v>6471</v>
      </c>
      <c r="C1812" s="4834">
        <f t="shared" si="114"/>
        <v>3.2446650585587654E-4</v>
      </c>
      <c r="D1812" s="3" t="str">
        <f t="shared" si="115"/>
        <v>2019</v>
      </c>
      <c r="J1812" s="270" t="s">
        <v>12898</v>
      </c>
      <c r="K1812" s="4837">
        <v>41323.354564657544</v>
      </c>
      <c r="L1812" s="4834">
        <f t="shared" si="117"/>
        <v>4.551600478705945E-5</v>
      </c>
      <c r="S1812" s="270" t="s">
        <v>12891</v>
      </c>
      <c r="T1812" s="4838">
        <v>508.94631818138095</v>
      </c>
      <c r="U1812" s="4839">
        <f t="shared" si="116"/>
        <v>1.6878749894784402E-3</v>
      </c>
    </row>
    <row r="1813" spans="1:21">
      <c r="A1813" s="270" t="s">
        <v>12892</v>
      </c>
      <c r="B1813" s="3305">
        <v>6533</v>
      </c>
      <c r="C1813" s="4834">
        <f t="shared" si="114"/>
        <v>3.2563092837046599E-4</v>
      </c>
      <c r="D1813" s="3" t="str">
        <f t="shared" si="115"/>
        <v>2019</v>
      </c>
      <c r="J1813" s="270" t="s">
        <v>12899</v>
      </c>
      <c r="K1813" s="4837">
        <v>41691.480612868334</v>
      </c>
      <c r="L1813" s="4834">
        <f t="shared" si="117"/>
        <v>4.6700992076925605E-5</v>
      </c>
      <c r="S1813" s="270" t="s">
        <v>12892</v>
      </c>
      <c r="T1813" s="4838">
        <v>509.91084057843972</v>
      </c>
      <c r="U1813" s="4839">
        <f t="shared" si="116"/>
        <v>1.6951609407766337E-3</v>
      </c>
    </row>
    <row r="1814" spans="1:21">
      <c r="A1814" s="270" t="s">
        <v>12893</v>
      </c>
      <c r="B1814" s="3305">
        <v>6536</v>
      </c>
      <c r="C1814" s="4834">
        <f t="shared" si="114"/>
        <v>3.2566617818101097E-4</v>
      </c>
      <c r="D1814" s="3" t="str">
        <f t="shared" si="115"/>
        <v>2019</v>
      </c>
      <c r="J1814" s="270" t="s">
        <v>12900</v>
      </c>
      <c r="K1814" s="4837">
        <v>41562.877626593821</v>
      </c>
      <c r="L1814" s="4834">
        <f t="shared" si="117"/>
        <v>4.6296120484145811E-5</v>
      </c>
      <c r="S1814" s="270" t="s">
        <v>12893</v>
      </c>
      <c r="T1814" s="4838">
        <v>508.62481071569465</v>
      </c>
      <c r="U1814" s="4839">
        <f t="shared" si="116"/>
        <v>1.6854418279525804E-3</v>
      </c>
    </row>
    <row r="1815" spans="1:21">
      <c r="A1815" s="270" t="s">
        <v>12894</v>
      </c>
      <c r="B1815" s="3305">
        <v>6572</v>
      </c>
      <c r="C1815" s="4834">
        <f t="shared" si="114"/>
        <v>3.2593668263250107E-4</v>
      </c>
      <c r="D1815" s="3" t="str">
        <f t="shared" si="115"/>
        <v>2019</v>
      </c>
      <c r="J1815" s="270" t="s">
        <v>12901</v>
      </c>
      <c r="K1815" s="4837">
        <v>41701.125836838917</v>
      </c>
      <c r="L1815" s="4834">
        <f t="shared" si="117"/>
        <v>4.6730950754054276E-5</v>
      </c>
      <c r="S1815" s="270" t="s">
        <v>12894</v>
      </c>
      <c r="T1815" s="4838">
        <v>500.26561660785143</v>
      </c>
      <c r="U1815" s="4839">
        <f t="shared" si="116"/>
        <v>1.6214572457468113E-3</v>
      </c>
    </row>
    <row r="1816" spans="1:21">
      <c r="A1816" s="270" t="s">
        <v>12895</v>
      </c>
      <c r="B1816" s="3305">
        <v>6420</v>
      </c>
      <c r="C1816" s="4834">
        <f t="shared" si="114"/>
        <v>3.2289004491430735E-4</v>
      </c>
      <c r="D1816" s="3" t="str">
        <f t="shared" si="115"/>
        <v>2019</v>
      </c>
      <c r="J1816" s="270" t="s">
        <v>12902</v>
      </c>
      <c r="K1816" s="4837">
        <v>42019.418227868344</v>
      </c>
      <c r="L1816" s="4834">
        <f t="shared" si="117"/>
        <v>4.7686565374023515E-5</v>
      </c>
      <c r="S1816" s="270" t="s">
        <v>12895</v>
      </c>
      <c r="T1816" s="4838">
        <v>487.40531798040018</v>
      </c>
      <c r="U1816" s="4839">
        <f t="shared" si="116"/>
        <v>1.5208796186691905E-3</v>
      </c>
    </row>
    <row r="1817" spans="1:21">
      <c r="A1817" s="270" t="s">
        <v>12896</v>
      </c>
      <c r="B1817" s="3305">
        <v>6553.5</v>
      </c>
      <c r="C1817" s="4834">
        <f t="shared" si="114"/>
        <v>3.2583285623098213E-4</v>
      </c>
      <c r="D1817" s="3" t="str">
        <f t="shared" si="115"/>
        <v>2019</v>
      </c>
      <c r="J1817" s="270" t="s">
        <v>12903</v>
      </c>
      <c r="K1817" s="4837">
        <v>41652.899716985979</v>
      </c>
      <c r="L1817" s="4834">
        <f t="shared" si="117"/>
        <v>4.6580585662622943E-5</v>
      </c>
      <c r="S1817" s="270" t="s">
        <v>12896</v>
      </c>
      <c r="T1817" s="4838">
        <v>485.79778065196876</v>
      </c>
      <c r="U1817" s="4839">
        <f t="shared" si="116"/>
        <v>1.5081764719875553E-3</v>
      </c>
    </row>
    <row r="1818" spans="1:21">
      <c r="A1818" s="270" t="s">
        <v>12897</v>
      </c>
      <c r="B1818" s="3305">
        <v>6505</v>
      </c>
      <c r="C1818" s="4834">
        <f t="shared" si="114"/>
        <v>3.2520787317112231E-4</v>
      </c>
      <c r="D1818" s="3" t="str">
        <f t="shared" si="115"/>
        <v>2019</v>
      </c>
      <c r="J1818" s="270" t="s">
        <v>12904</v>
      </c>
      <c r="K1818" s="4837">
        <v>41908.498152206579</v>
      </c>
      <c r="L1818" s="4834">
        <f t="shared" si="117"/>
        <v>4.7360947569060632E-5</v>
      </c>
      <c r="S1818" s="270" t="s">
        <v>12897</v>
      </c>
      <c r="T1818" s="4838">
        <v>485.47627318628253</v>
      </c>
      <c r="U1818" s="4839">
        <f t="shared" si="116"/>
        <v>1.505633224846795E-3</v>
      </c>
    </row>
    <row r="1819" spans="1:21">
      <c r="A1819" s="270" t="s">
        <v>12898</v>
      </c>
      <c r="B1819" s="3305">
        <v>6458</v>
      </c>
      <c r="C1819" s="4834">
        <f t="shared" si="114"/>
        <v>3.2411737623954756E-4</v>
      </c>
      <c r="D1819" s="3" t="str">
        <f t="shared" si="115"/>
        <v>2019</v>
      </c>
      <c r="J1819" s="270" t="s">
        <v>12905</v>
      </c>
      <c r="K1819" s="4837">
        <v>41976.01472000069</v>
      </c>
      <c r="L1819" s="4834">
        <f t="shared" si="117"/>
        <v>4.7560111951068884E-5</v>
      </c>
      <c r="S1819" s="270" t="s">
        <v>12898</v>
      </c>
      <c r="T1819" s="4838">
        <v>484.83325825490999</v>
      </c>
      <c r="U1819" s="4839">
        <f t="shared" si="116"/>
        <v>1.5005442627571621E-3</v>
      </c>
    </row>
    <row r="1820" spans="1:21">
      <c r="A1820" s="270" t="s">
        <v>12899</v>
      </c>
      <c r="B1820" s="3305">
        <v>6398.5</v>
      </c>
      <c r="C1820" s="4834">
        <f t="shared" si="114"/>
        <v>3.2206013711769024E-4</v>
      </c>
      <c r="D1820" s="3" t="str">
        <f t="shared" si="115"/>
        <v>2019</v>
      </c>
      <c r="J1820" s="270" t="s">
        <v>12906</v>
      </c>
      <c r="K1820" s="4837">
        <v>42043.531287794816</v>
      </c>
      <c r="L1820" s="4834">
        <f t="shared" si="117"/>
        <v>4.7756277443837227E-5</v>
      </c>
      <c r="S1820" s="270" t="s">
        <v>12899</v>
      </c>
      <c r="T1820" s="4838">
        <v>486.11928811765506</v>
      </c>
      <c r="U1820" s="4839">
        <f t="shared" si="116"/>
        <v>1.5107188715567032E-3</v>
      </c>
    </row>
    <row r="1821" spans="1:21">
      <c r="A1821" s="270" t="s">
        <v>12900</v>
      </c>
      <c r="B1821" s="3305">
        <v>6435</v>
      </c>
      <c r="C1821" s="4834">
        <f t="shared" si="114"/>
        <v>3.2341120465317354E-4</v>
      </c>
      <c r="D1821" s="3" t="str">
        <f t="shared" si="115"/>
        <v>2019</v>
      </c>
      <c r="J1821" s="270" t="s">
        <v>12907</v>
      </c>
      <c r="K1821" s="4837">
        <v>41914.928301520296</v>
      </c>
      <c r="L1821" s="4834">
        <f t="shared" si="117"/>
        <v>4.738004359629456E-5</v>
      </c>
      <c r="S1821" s="270" t="s">
        <v>12900</v>
      </c>
      <c r="T1821" s="4838">
        <v>491.90642250000815</v>
      </c>
      <c r="U1821" s="4839">
        <f t="shared" si="116"/>
        <v>1.5563156411630306E-3</v>
      </c>
    </row>
    <row r="1822" spans="1:21">
      <c r="A1822" s="270" t="s">
        <v>12901</v>
      </c>
      <c r="B1822" s="3305">
        <v>6510</v>
      </c>
      <c r="C1822" s="4834">
        <f t="shared" si="114"/>
        <v>3.2529586557403727E-4</v>
      </c>
      <c r="D1822" s="3" t="str">
        <f t="shared" si="115"/>
        <v>2019</v>
      </c>
      <c r="J1822" s="270" t="s">
        <v>12908</v>
      </c>
      <c r="K1822" s="4837">
        <v>42104.617706275196</v>
      </c>
      <c r="L1822" s="4834">
        <f t="shared" si="117"/>
        <v>4.7931139753280535E-5</v>
      </c>
      <c r="S1822" s="270" t="s">
        <v>12901</v>
      </c>
      <c r="T1822" s="4838">
        <v>496.72903448530229</v>
      </c>
      <c r="U1822" s="4839">
        <f t="shared" si="116"/>
        <v>1.5940186972499104E-3</v>
      </c>
    </row>
    <row r="1823" spans="1:21">
      <c r="A1823" s="270" t="s">
        <v>12902</v>
      </c>
      <c r="B1823" s="3305">
        <v>6529</v>
      </c>
      <c r="C1823" s="4834">
        <f t="shared" si="114"/>
        <v>3.2558089146877663E-4</v>
      </c>
      <c r="D1823" s="3" t="str">
        <f t="shared" si="115"/>
        <v>2019</v>
      </c>
      <c r="J1823" s="270" t="s">
        <v>12909</v>
      </c>
      <c r="K1823" s="4837">
        <v>42159.273975441873</v>
      </c>
      <c r="L1823" s="4834">
        <f t="shared" si="117"/>
        <v>4.8085457829897865E-5</v>
      </c>
      <c r="S1823" s="270" t="s">
        <v>12902</v>
      </c>
      <c r="T1823" s="4838">
        <v>498.97958674510625</v>
      </c>
      <c r="U1823" s="4839">
        <f t="shared" si="116"/>
        <v>1.6115021784218573E-3</v>
      </c>
    </row>
    <row r="1824" spans="1:21">
      <c r="A1824" s="270" t="s">
        <v>12903</v>
      </c>
      <c r="B1824" s="3305">
        <v>6409</v>
      </c>
      <c r="C1824" s="4834">
        <f t="shared" si="114"/>
        <v>3.2247760689420513E-4</v>
      </c>
      <c r="D1824" s="3" t="str">
        <f t="shared" si="115"/>
        <v>2019</v>
      </c>
      <c r="J1824" s="270" t="s">
        <v>12910</v>
      </c>
      <c r="K1824" s="4837">
        <v>42424.517634633048</v>
      </c>
      <c r="L1824" s="4834">
        <f t="shared" si="117"/>
        <v>4.8804938010977671E-5</v>
      </c>
      <c r="S1824" s="270" t="s">
        <v>12903</v>
      </c>
      <c r="T1824" s="4838">
        <v>489.97737770589043</v>
      </c>
      <c r="U1824" s="4839">
        <f t="shared" si="116"/>
        <v>1.541154706515316E-3</v>
      </c>
    </row>
    <row r="1825" spans="1:21">
      <c r="A1825" s="270" t="s">
        <v>12904</v>
      </c>
      <c r="B1825" s="3305">
        <v>6410</v>
      </c>
      <c r="C1825" s="4834">
        <f t="shared" si="114"/>
        <v>3.2251615606052937E-4</v>
      </c>
      <c r="D1825" s="3" t="str">
        <f t="shared" si="115"/>
        <v>2019</v>
      </c>
      <c r="J1825" s="270" t="s">
        <v>12911</v>
      </c>
      <c r="K1825" s="4837">
        <v>42320.027708285008</v>
      </c>
      <c r="L1825" s="4834">
        <f t="shared" si="117"/>
        <v>4.8527411727363789E-5</v>
      </c>
      <c r="S1825" s="270" t="s">
        <v>12904</v>
      </c>
      <c r="T1825" s="4838">
        <v>493.83546729412575</v>
      </c>
      <c r="U1825" s="4839">
        <f t="shared" si="116"/>
        <v>1.5714331003436515E-3</v>
      </c>
    </row>
    <row r="1826" spans="1:21">
      <c r="A1826" s="270" t="s">
        <v>12905</v>
      </c>
      <c r="B1826" s="3305">
        <v>6492</v>
      </c>
      <c r="C1826" s="4834">
        <f t="shared" si="114"/>
        <v>3.2495382087692563E-4</v>
      </c>
      <c r="D1826" s="3" t="str">
        <f t="shared" si="115"/>
        <v>2019</v>
      </c>
      <c r="J1826" s="270" t="s">
        <v>12912</v>
      </c>
      <c r="K1826" s="4837">
        <v>42107.832780932069</v>
      </c>
      <c r="L1826" s="4834">
        <f t="shared" si="117"/>
        <v>4.7940273422726292E-5</v>
      </c>
      <c r="S1826" s="270" t="s">
        <v>12905</v>
      </c>
      <c r="T1826" s="4838">
        <v>494.4784822254984</v>
      </c>
      <c r="U1826" s="4839">
        <f t="shared" si="116"/>
        <v>1.5764618762748807E-3</v>
      </c>
    </row>
    <row r="1827" spans="1:21">
      <c r="A1827" s="270" t="s">
        <v>12906</v>
      </c>
      <c r="B1827" s="3305">
        <v>6500</v>
      </c>
      <c r="C1827" s="4834">
        <f t="shared" si="114"/>
        <v>3.2511447824679345E-4</v>
      </c>
      <c r="D1827" s="3" t="str">
        <f t="shared" si="115"/>
        <v>2019</v>
      </c>
      <c r="J1827" s="270" t="s">
        <v>12913</v>
      </c>
      <c r="K1827" s="4837">
        <v>41640.03941835853</v>
      </c>
      <c r="L1827" s="4834">
        <f t="shared" si="117"/>
        <v>4.654024793527453E-5</v>
      </c>
      <c r="S1827" s="270" t="s">
        <v>12906</v>
      </c>
      <c r="T1827" s="4838">
        <v>495.44300462255717</v>
      </c>
      <c r="U1827" s="4839">
        <f t="shared" si="116"/>
        <v>1.5839947821836785E-3</v>
      </c>
    </row>
    <row r="1828" spans="1:21">
      <c r="A1828" s="270" t="s">
        <v>12907</v>
      </c>
      <c r="B1828" s="3305">
        <v>6487</v>
      </c>
      <c r="C1828" s="4834">
        <f t="shared" si="114"/>
        <v>3.2484640191706734E-4</v>
      </c>
      <c r="D1828" s="3" t="str">
        <f t="shared" si="115"/>
        <v>2019</v>
      </c>
      <c r="J1828" s="270" t="s">
        <v>12914</v>
      </c>
      <c r="K1828" s="4837">
        <v>41648.077105000688</v>
      </c>
      <c r="L1828" s="4834">
        <f t="shared" si="117"/>
        <v>4.6565470823366302E-5</v>
      </c>
      <c r="S1828" s="270" t="s">
        <v>12907</v>
      </c>
      <c r="T1828" s="4838">
        <v>492.54943743138068</v>
      </c>
      <c r="U1828" s="4839">
        <f t="shared" si="116"/>
        <v>1.5613598290858152E-3</v>
      </c>
    </row>
    <row r="1829" spans="1:21">
      <c r="A1829" s="270" t="s">
        <v>12908</v>
      </c>
      <c r="B1829" s="3305">
        <v>6520</v>
      </c>
      <c r="C1829" s="4834">
        <f t="shared" si="114"/>
        <v>3.2545562548764236E-4</v>
      </c>
      <c r="D1829" s="3" t="str">
        <f t="shared" si="115"/>
        <v>2019</v>
      </c>
      <c r="J1829" s="270" t="s">
        <v>12915</v>
      </c>
      <c r="K1829" s="4837">
        <v>41586.990686520294</v>
      </c>
      <c r="L1829" s="4834">
        <f t="shared" si="117"/>
        <v>4.6372795090624452E-5</v>
      </c>
      <c r="S1829" s="270" t="s">
        <v>12908</v>
      </c>
      <c r="T1829" s="4838">
        <v>499.62260167647884</v>
      </c>
      <c r="U1829" s="4839">
        <f t="shared" si="116"/>
        <v>1.6164830556959788E-3</v>
      </c>
    </row>
    <row r="1830" spans="1:21">
      <c r="A1830" s="270" t="s">
        <v>12909</v>
      </c>
      <c r="B1830" s="3305">
        <v>6375</v>
      </c>
      <c r="C1830" s="4834">
        <f t="shared" si="114"/>
        <v>3.2104212009921725E-4</v>
      </c>
      <c r="D1830" s="3" t="str">
        <f t="shared" si="115"/>
        <v>2019</v>
      </c>
      <c r="J1830" s="270" t="s">
        <v>12916</v>
      </c>
      <c r="K1830" s="4837">
        <v>41484.108297500679</v>
      </c>
      <c r="L1830" s="4834">
        <f t="shared" si="117"/>
        <v>4.6043244676511331E-5</v>
      </c>
      <c r="S1830" s="270" t="s">
        <v>12909</v>
      </c>
      <c r="T1830" s="4838">
        <v>497.05054195098865</v>
      </c>
      <c r="U1830" s="4839">
        <f t="shared" si="116"/>
        <v>1.5965209827885278E-3</v>
      </c>
    </row>
    <row r="1831" spans="1:21">
      <c r="A1831" s="270" t="s">
        <v>12910</v>
      </c>
      <c r="B1831" s="3305">
        <v>6328</v>
      </c>
      <c r="C1831" s="4834">
        <f t="shared" si="114"/>
        <v>3.1866307087023991E-4</v>
      </c>
      <c r="D1831" s="3" t="str">
        <f t="shared" si="115"/>
        <v>2019</v>
      </c>
      <c r="J1831" s="270" t="s">
        <v>12917</v>
      </c>
      <c r="K1831" s="4837">
        <v>41488.930909485978</v>
      </c>
      <c r="L1831" s="4834">
        <f t="shared" si="117"/>
        <v>4.6058831822018267E-5</v>
      </c>
      <c r="S1831" s="270" t="s">
        <v>12910</v>
      </c>
      <c r="T1831" s="4838">
        <v>499.30109421079254</v>
      </c>
      <c r="U1831" s="4839">
        <f t="shared" si="116"/>
        <v>1.6139934432030318E-3</v>
      </c>
    </row>
    <row r="1832" spans="1:21">
      <c r="A1832" s="270" t="s">
        <v>12911</v>
      </c>
      <c r="B1832" s="3305">
        <v>6361</v>
      </c>
      <c r="C1832" s="4834">
        <f t="shared" si="114"/>
        <v>3.2038102078146466E-4</v>
      </c>
      <c r="D1832" s="3" t="str">
        <f t="shared" si="115"/>
        <v>2019</v>
      </c>
      <c r="J1832" s="270" t="s">
        <v>12918</v>
      </c>
      <c r="K1832" s="4837">
        <v>41254.230459534992</v>
      </c>
      <c r="L1832" s="4834">
        <f t="shared" si="117"/>
        <v>4.5284811187062524E-5</v>
      </c>
      <c r="S1832" s="270" t="s">
        <v>12911</v>
      </c>
      <c r="T1832" s="4838">
        <v>496.407527019616</v>
      </c>
      <c r="U1832" s="4839">
        <f t="shared" si="116"/>
        <v>1.5915149150412821E-3</v>
      </c>
    </row>
    <row r="1833" spans="1:21">
      <c r="A1833" s="270" t="s">
        <v>12912</v>
      </c>
      <c r="B1833" s="3305">
        <v>6338.5</v>
      </c>
      <c r="C1833" s="4834">
        <f t="shared" si="114"/>
        <v>3.1923386411302461E-4</v>
      </c>
      <c r="D1833" s="3" t="str">
        <f t="shared" si="115"/>
        <v>2019</v>
      </c>
      <c r="J1833" s="270" t="s">
        <v>12919</v>
      </c>
      <c r="K1833" s="4837">
        <v>41424.629416348725</v>
      </c>
      <c r="L1833" s="4834">
        <f t="shared" si="117"/>
        <v>4.5849891278101643E-5</v>
      </c>
      <c r="S1833" s="270" t="s">
        <v>12912</v>
      </c>
      <c r="T1833" s="4838">
        <v>495.12149715687093</v>
      </c>
      <c r="U1833" s="4839">
        <f t="shared" si="116"/>
        <v>1.5814852070053606E-3</v>
      </c>
    </row>
    <row r="1834" spans="1:21">
      <c r="A1834" s="270" t="s">
        <v>12913</v>
      </c>
      <c r="B1834" s="3305">
        <v>6385</v>
      </c>
      <c r="C1834" s="4834">
        <f t="shared" si="114"/>
        <v>3.2148941218739522E-4</v>
      </c>
      <c r="D1834" s="3" t="str">
        <f t="shared" si="115"/>
        <v>2019</v>
      </c>
      <c r="J1834" s="270" t="s">
        <v>12920</v>
      </c>
      <c r="K1834" s="4837">
        <v>41795.970539216374</v>
      </c>
      <c r="L1834" s="4834">
        <f t="shared" si="117"/>
        <v>4.7022463802075913E-5</v>
      </c>
      <c r="S1834" s="270" t="s">
        <v>12913</v>
      </c>
      <c r="T1834" s="4838">
        <v>488.69134784314525</v>
      </c>
      <c r="U1834" s="4839">
        <f t="shared" si="116"/>
        <v>1.5310253001637004E-3</v>
      </c>
    </row>
    <row r="1835" spans="1:21">
      <c r="A1835" s="270" t="s">
        <v>12914</v>
      </c>
      <c r="B1835" s="3305">
        <v>6485</v>
      </c>
      <c r="C1835" s="4834">
        <f t="shared" si="114"/>
        <v>3.2480192637559342E-4</v>
      </c>
      <c r="D1835" s="3" t="str">
        <f t="shared" si="115"/>
        <v>2019</v>
      </c>
      <c r="J1835" s="270" t="s">
        <v>12921</v>
      </c>
      <c r="K1835" s="4837">
        <v>41892.422778922257</v>
      </c>
      <c r="L1835" s="4834">
        <f t="shared" si="117"/>
        <v>4.7313090345737401E-5</v>
      </c>
      <c r="S1835" s="270" t="s">
        <v>12914</v>
      </c>
      <c r="T1835" s="4838">
        <v>485.47627318628253</v>
      </c>
      <c r="U1835" s="4839">
        <f t="shared" si="116"/>
        <v>1.505633224846795E-3</v>
      </c>
    </row>
    <row r="1836" spans="1:21">
      <c r="A1836" s="270" t="s">
        <v>12915</v>
      </c>
      <c r="B1836" s="3305">
        <v>6498</v>
      </c>
      <c r="C1836" s="4834">
        <f t="shared" si="114"/>
        <v>3.2507560860780378E-4</v>
      </c>
      <c r="D1836" s="3" t="str">
        <f t="shared" si="115"/>
        <v>2019</v>
      </c>
      <c r="J1836" s="270" t="s">
        <v>12922</v>
      </c>
      <c r="K1836" s="4837">
        <v>41971.192108015399</v>
      </c>
      <c r="L1836" s="4834">
        <f t="shared" si="117"/>
        <v>4.7545984852866048E-5</v>
      </c>
      <c r="S1836" s="270" t="s">
        <v>12915</v>
      </c>
      <c r="T1836" s="4838">
        <v>484.5117507892237</v>
      </c>
      <c r="U1836" s="4839">
        <f t="shared" si="116"/>
        <v>1.4979985852035321E-3</v>
      </c>
    </row>
    <row r="1837" spans="1:21">
      <c r="A1837" s="270" t="s">
        <v>12916</v>
      </c>
      <c r="B1837" s="3305">
        <v>6431</v>
      </c>
      <c r="C1837" s="4834">
        <f t="shared" si="114"/>
        <v>3.2327689463071852E-4</v>
      </c>
      <c r="D1837" s="3" t="str">
        <f t="shared" si="115"/>
        <v>2019</v>
      </c>
      <c r="J1837" s="270" t="s">
        <v>12923</v>
      </c>
      <c r="K1837" s="4837">
        <v>41757.38964333402</v>
      </c>
      <c r="L1837" s="4834">
        <f t="shared" si="117"/>
        <v>4.6904560551467382E-5</v>
      </c>
      <c r="S1837" s="270" t="s">
        <v>12916</v>
      </c>
      <c r="T1837" s="4838">
        <v>483.22572092647852</v>
      </c>
      <c r="U1837" s="4839">
        <f t="shared" si="116"/>
        <v>1.4878083334384806E-3</v>
      </c>
    </row>
    <row r="1838" spans="1:21">
      <c r="A1838" s="270" t="s">
        <v>12917</v>
      </c>
      <c r="B1838" s="3305">
        <v>6483</v>
      </c>
      <c r="C1838" s="4834">
        <f t="shared" si="114"/>
        <v>3.2475658967346012E-4</v>
      </c>
      <c r="D1838" s="3" t="str">
        <f t="shared" si="115"/>
        <v>2019</v>
      </c>
      <c r="J1838" s="270" t="s">
        <v>12924</v>
      </c>
      <c r="K1838" s="4837">
        <v>41612.711283775199</v>
      </c>
      <c r="L1838" s="4834">
        <f t="shared" si="117"/>
        <v>4.6454196672965212E-5</v>
      </c>
      <c r="S1838" s="270" t="s">
        <v>12917</v>
      </c>
      <c r="T1838" s="4838">
        <v>487.72682544608648</v>
      </c>
      <c r="U1838" s="4839">
        <f t="shared" si="116"/>
        <v>1.5234174985977061E-3</v>
      </c>
    </row>
    <row r="1839" spans="1:21">
      <c r="A1839" s="270" t="s">
        <v>12918</v>
      </c>
      <c r="B1839" s="3305">
        <v>6444</v>
      </c>
      <c r="C1839" s="4834">
        <f t="shared" si="114"/>
        <v>3.2370096372946017E-4</v>
      </c>
      <c r="D1839" s="3" t="str">
        <f t="shared" si="115"/>
        <v>2019</v>
      </c>
      <c r="J1839" s="270" t="s">
        <v>12925</v>
      </c>
      <c r="K1839" s="4837">
        <v>41334.607325956567</v>
      </c>
      <c r="L1839" s="4834">
        <f t="shared" si="117"/>
        <v>4.5553389479397826E-5</v>
      </c>
      <c r="S1839" s="270" t="s">
        <v>12918</v>
      </c>
      <c r="T1839" s="4838">
        <v>488.69134784314525</v>
      </c>
      <c r="U1839" s="4839">
        <f t="shared" si="116"/>
        <v>1.5310253001637004E-3</v>
      </c>
    </row>
    <row r="1840" spans="1:21">
      <c r="A1840" s="270" t="s">
        <v>12919</v>
      </c>
      <c r="B1840" s="3305">
        <v>6419</v>
      </c>
      <c r="C1840" s="4834">
        <f t="shared" si="114"/>
        <v>3.2285360646854249E-4</v>
      </c>
      <c r="D1840" s="3" t="str">
        <f t="shared" si="115"/>
        <v>2019</v>
      </c>
      <c r="J1840" s="270" t="s">
        <v>12926</v>
      </c>
      <c r="K1840" s="4837">
        <v>41035.605382868322</v>
      </c>
      <c r="L1840" s="4834">
        <f t="shared" si="117"/>
        <v>4.4536603217533109E-5</v>
      </c>
      <c r="S1840" s="270" t="s">
        <v>12919</v>
      </c>
      <c r="T1840" s="4838">
        <v>487.40531798040018</v>
      </c>
      <c r="U1840" s="4839">
        <f t="shared" si="116"/>
        <v>1.5208796186691905E-3</v>
      </c>
    </row>
    <row r="1841" spans="1:21">
      <c r="A1841" s="270" t="s">
        <v>12920</v>
      </c>
      <c r="B1841" s="3305">
        <v>6432.5</v>
      </c>
      <c r="C1841" s="4834">
        <f t="shared" si="114"/>
        <v>3.2332765908532819E-4</v>
      </c>
      <c r="D1841" s="3" t="str">
        <f t="shared" si="115"/>
        <v>2019</v>
      </c>
      <c r="J1841" s="270" t="s">
        <v>12927</v>
      </c>
      <c r="K1841" s="4837">
        <v>41019.530009584007</v>
      </c>
      <c r="L1841" s="4834">
        <f t="shared" si="117"/>
        <v>4.4480599639657367E-5</v>
      </c>
      <c r="S1841" s="270" t="s">
        <v>12920</v>
      </c>
      <c r="T1841" s="4838">
        <v>486.76230304902765</v>
      </c>
      <c r="U1841" s="4839">
        <f t="shared" si="116"/>
        <v>1.5158010529357612E-3</v>
      </c>
    </row>
    <row r="1842" spans="1:21">
      <c r="A1842" s="270" t="s">
        <v>12921</v>
      </c>
      <c r="B1842" s="3305">
        <v>6498</v>
      </c>
      <c r="C1842" s="4834">
        <f t="shared" si="114"/>
        <v>3.2507560860780378E-4</v>
      </c>
      <c r="D1842" s="3" t="str">
        <f t="shared" si="115"/>
        <v>2019</v>
      </c>
      <c r="J1842" s="270" t="s">
        <v>12928</v>
      </c>
      <c r="K1842" s="4837">
        <v>41014.707397598722</v>
      </c>
      <c r="L1842" s="4834">
        <f t="shared" si="117"/>
        <v>4.4463772818799336E-5</v>
      </c>
      <c r="S1842" s="270" t="s">
        <v>12921</v>
      </c>
      <c r="T1842" s="4838">
        <v>490.62039263726297</v>
      </c>
      <c r="U1842" s="4839">
        <f t="shared" si="116"/>
        <v>1.5462129270622201E-3</v>
      </c>
    </row>
    <row r="1843" spans="1:21">
      <c r="A1843" s="270" t="s">
        <v>12922</v>
      </c>
      <c r="B1843" s="3305">
        <v>6447</v>
      </c>
      <c r="C1843" s="4834">
        <f t="shared" si="114"/>
        <v>3.2379371669563714E-4</v>
      </c>
      <c r="D1843" s="3" t="str">
        <f t="shared" si="115"/>
        <v>2019</v>
      </c>
      <c r="J1843" s="270" t="s">
        <v>12929</v>
      </c>
      <c r="K1843" s="4837">
        <v>40815.372768873225</v>
      </c>
      <c r="L1843" s="4834">
        <f t="shared" si="117"/>
        <v>4.3758111904682234E-5</v>
      </c>
      <c r="S1843" s="270" t="s">
        <v>12922</v>
      </c>
      <c r="T1843" s="4838">
        <v>490.29888517157673</v>
      </c>
      <c r="U1843" s="4839">
        <f t="shared" si="116"/>
        <v>1.5436843728566594E-3</v>
      </c>
    </row>
    <row r="1844" spans="1:21">
      <c r="A1844" s="270" t="s">
        <v>12923</v>
      </c>
      <c r="B1844" s="3305">
        <v>6432.5</v>
      </c>
      <c r="C1844" s="4834">
        <f t="shared" si="114"/>
        <v>3.2332765908532819E-4</v>
      </c>
      <c r="D1844" s="3" t="str">
        <f t="shared" si="115"/>
        <v>2019</v>
      </c>
      <c r="J1844" s="270" t="s">
        <v>12930</v>
      </c>
      <c r="K1844" s="4837">
        <v>40884.496873995769</v>
      </c>
      <c r="L1844" s="4834">
        <f t="shared" si="117"/>
        <v>4.4005029053552983E-5</v>
      </c>
      <c r="S1844" s="270" t="s">
        <v>12923</v>
      </c>
      <c r="T1844" s="4838">
        <v>487.40531798040018</v>
      </c>
      <c r="U1844" s="4839">
        <f t="shared" si="116"/>
        <v>1.5208796186691905E-3</v>
      </c>
    </row>
    <row r="1845" spans="1:21">
      <c r="A1845" s="270" t="s">
        <v>12924</v>
      </c>
      <c r="B1845" s="3305">
        <v>6490</v>
      </c>
      <c r="C1845" s="4834">
        <f t="shared" si="114"/>
        <v>3.2491149977731241E-4</v>
      </c>
      <c r="D1845" s="3" t="str">
        <f t="shared" si="115"/>
        <v>2019</v>
      </c>
      <c r="J1845" s="270" t="s">
        <v>12931</v>
      </c>
      <c r="K1845" s="4837">
        <v>41178.676205098716</v>
      </c>
      <c r="L1845" s="4834">
        <f t="shared" si="117"/>
        <v>4.5029117102418798E-5</v>
      </c>
      <c r="S1845" s="270" t="s">
        <v>12924</v>
      </c>
      <c r="T1845" s="4838">
        <v>484.5117507892237</v>
      </c>
      <c r="U1845" s="4839">
        <f t="shared" si="116"/>
        <v>1.4979985852035321E-3</v>
      </c>
    </row>
    <row r="1846" spans="1:21">
      <c r="A1846" s="270" t="s">
        <v>12925</v>
      </c>
      <c r="B1846" s="3305">
        <v>6456</v>
      </c>
      <c r="C1846" s="4834">
        <f t="shared" si="114"/>
        <v>3.2406045211643889E-4</v>
      </c>
      <c r="D1846" s="3" t="str">
        <f t="shared" si="115"/>
        <v>2019</v>
      </c>
      <c r="J1846" s="270" t="s">
        <v>12932</v>
      </c>
      <c r="K1846" s="4837">
        <v>41287.988743432055</v>
      </c>
      <c r="L1846" s="4834">
        <f t="shared" si="117"/>
        <v>4.5398050166541224E-5</v>
      </c>
      <c r="S1846" s="270" t="s">
        <v>12925</v>
      </c>
      <c r="T1846" s="4838">
        <v>480.33215373530203</v>
      </c>
      <c r="U1846" s="4839">
        <f t="shared" si="116"/>
        <v>1.464841213845378E-3</v>
      </c>
    </row>
    <row r="1847" spans="1:21">
      <c r="A1847" s="270" t="s">
        <v>12926</v>
      </c>
      <c r="B1847" s="3305">
        <v>6460</v>
      </c>
      <c r="C1847" s="4834">
        <f t="shared" si="114"/>
        <v>3.2417344466923674E-4</v>
      </c>
      <c r="D1847" s="3" t="str">
        <f t="shared" si="115"/>
        <v>2019</v>
      </c>
      <c r="J1847" s="270" t="s">
        <v>12933</v>
      </c>
      <c r="K1847" s="4837">
        <v>41136.880234559496</v>
      </c>
      <c r="L1847" s="4834">
        <f t="shared" si="117"/>
        <v>4.4886350214512999E-5</v>
      </c>
      <c r="S1847" s="270" t="s">
        <v>12926</v>
      </c>
      <c r="T1847" s="4838">
        <v>480.65366120098827</v>
      </c>
      <c r="U1847" s="4839">
        <f t="shared" si="116"/>
        <v>1.4673954907738376E-3</v>
      </c>
    </row>
    <row r="1848" spans="1:21">
      <c r="A1848" s="270" t="s">
        <v>12927</v>
      </c>
      <c r="B1848" s="3305">
        <v>6509</v>
      </c>
      <c r="C1848" s="4834">
        <f t="shared" si="114"/>
        <v>3.252786995102186E-4</v>
      </c>
      <c r="D1848" s="3" t="str">
        <f t="shared" si="115"/>
        <v>2019</v>
      </c>
      <c r="J1848" s="270" t="s">
        <v>12934</v>
      </c>
      <c r="K1848" s="4837">
        <v>41226.902324951661</v>
      </c>
      <c r="L1848" s="4834">
        <f t="shared" si="117"/>
        <v>4.5192683706530658E-5</v>
      </c>
      <c r="S1848" s="270" t="s">
        <v>12927</v>
      </c>
      <c r="T1848" s="4838">
        <v>482.26119852941974</v>
      </c>
      <c r="U1848" s="4839">
        <f t="shared" si="116"/>
        <v>1.4801582465092647E-3</v>
      </c>
    </row>
    <row r="1849" spans="1:21">
      <c r="A1849" s="270" t="s">
        <v>12928</v>
      </c>
      <c r="B1849" s="3305">
        <v>6448</v>
      </c>
      <c r="C1849" s="4834">
        <f t="shared" si="114"/>
        <v>3.2382420787700484E-4</v>
      </c>
      <c r="D1849" s="3" t="str">
        <f t="shared" si="115"/>
        <v>2019</v>
      </c>
      <c r="J1849" s="270" t="s">
        <v>12935</v>
      </c>
      <c r="K1849" s="4837">
        <v>41275.128444804599</v>
      </c>
      <c r="L1849" s="4834">
        <f t="shared" si="117"/>
        <v>4.5354985557935257E-5</v>
      </c>
      <c r="S1849" s="270" t="s">
        <v>12928</v>
      </c>
      <c r="T1849" s="4838">
        <v>480.97516866667462</v>
      </c>
      <c r="U1849" s="4839">
        <f t="shared" si="116"/>
        <v>1.4699492169515627E-3</v>
      </c>
    </row>
    <row r="1850" spans="1:21">
      <c r="A1850" s="270" t="s">
        <v>12929</v>
      </c>
      <c r="B1850" s="3305">
        <v>6430</v>
      </c>
      <c r="C1850" s="4834">
        <f t="shared" si="114"/>
        <v>3.2324278633696609E-4</v>
      </c>
      <c r="D1850" s="3" t="str">
        <f t="shared" si="115"/>
        <v>2019</v>
      </c>
      <c r="J1850" s="270" t="s">
        <v>12936</v>
      </c>
      <c r="K1850" s="4837">
        <v>40861.991351397737</v>
      </c>
      <c r="L1850" s="4834">
        <f t="shared" si="117"/>
        <v>4.3924890889966096E-5</v>
      </c>
      <c r="S1850" s="270" t="s">
        <v>12929</v>
      </c>
      <c r="T1850" s="4838">
        <v>481.61818359804721</v>
      </c>
      <c r="U1850" s="4839">
        <f t="shared" si="116"/>
        <v>1.4750549435776062E-3</v>
      </c>
    </row>
    <row r="1851" spans="1:21">
      <c r="A1851" s="270" t="s">
        <v>12930</v>
      </c>
      <c r="B1851" s="3305">
        <v>6437.5</v>
      </c>
      <c r="C1851" s="4834">
        <f t="shared" si="114"/>
        <v>3.234934220002769E-4</v>
      </c>
      <c r="D1851" s="3" t="str">
        <f t="shared" si="115"/>
        <v>2019</v>
      </c>
      <c r="J1851" s="270" t="s">
        <v>12937</v>
      </c>
      <c r="K1851" s="4837">
        <v>41106.337025319306</v>
      </c>
      <c r="L1851" s="4834">
        <f t="shared" si="117"/>
        <v>4.478143509754342E-5</v>
      </c>
      <c r="S1851" s="270" t="s">
        <v>12930</v>
      </c>
      <c r="T1851" s="4838">
        <v>476.15255668138042</v>
      </c>
      <c r="U1851" s="4839">
        <f t="shared" si="116"/>
        <v>1.4315938017488404E-3</v>
      </c>
    </row>
    <row r="1852" spans="1:21">
      <c r="A1852" s="270" t="s">
        <v>12931</v>
      </c>
      <c r="B1852" s="3305">
        <v>6375.5</v>
      </c>
      <c r="C1852" s="4834">
        <f t="shared" si="114"/>
        <v>3.2106497899144339E-4</v>
      </c>
      <c r="D1852" s="3" t="str">
        <f t="shared" si="115"/>
        <v>2019</v>
      </c>
      <c r="J1852" s="270" t="s">
        <v>12938</v>
      </c>
      <c r="K1852" s="4837">
        <v>41191.536503726173</v>
      </c>
      <c r="L1852" s="4834">
        <f t="shared" si="117"/>
        <v>4.5072857515162324E-5</v>
      </c>
      <c r="S1852" s="270" t="s">
        <v>12931</v>
      </c>
      <c r="T1852" s="4838">
        <v>478.08160147549808</v>
      </c>
      <c r="U1852" s="4839">
        <f t="shared" si="116"/>
        <v>1.4469473912217916E-3</v>
      </c>
    </row>
    <row r="1853" spans="1:21">
      <c r="A1853" s="270" t="s">
        <v>12932</v>
      </c>
      <c r="B1853" s="3305">
        <v>6393</v>
      </c>
      <c r="C1853" s="4834">
        <f t="shared" si="114"/>
        <v>3.2183222423262387E-4</v>
      </c>
      <c r="D1853" s="3" t="str">
        <f t="shared" si="115"/>
        <v>2019</v>
      </c>
      <c r="J1853" s="270" t="s">
        <v>12939</v>
      </c>
      <c r="K1853" s="4837">
        <v>41320.139490000685</v>
      </c>
      <c r="L1853" s="4834">
        <f t="shared" si="117"/>
        <v>4.5505310432488294E-5</v>
      </c>
      <c r="S1853" s="270" t="s">
        <v>12932</v>
      </c>
      <c r="T1853" s="4838">
        <v>482.26119852941974</v>
      </c>
      <c r="U1853" s="4839">
        <f t="shared" si="116"/>
        <v>1.4801582465092647E-3</v>
      </c>
    </row>
    <row r="1854" spans="1:21">
      <c r="A1854" s="270" t="s">
        <v>12933</v>
      </c>
      <c r="B1854" s="3305">
        <v>6376</v>
      </c>
      <c r="C1854" s="4834">
        <f t="shared" si="114"/>
        <v>3.2108778592055667E-4</v>
      </c>
      <c r="D1854" s="3" t="str">
        <f t="shared" si="115"/>
        <v>2019</v>
      </c>
      <c r="J1854" s="270" t="s">
        <v>12940</v>
      </c>
      <c r="K1854" s="4837">
        <v>41349.075161912442</v>
      </c>
      <c r="L1854" s="4834">
        <f t="shared" si="117"/>
        <v>4.5601351117813622E-5</v>
      </c>
      <c r="S1854" s="270" t="s">
        <v>12933</v>
      </c>
      <c r="T1854" s="4838">
        <v>481.29667613236086</v>
      </c>
      <c r="U1854" s="4839">
        <f t="shared" si="116"/>
        <v>1.4725023740157787E-3</v>
      </c>
    </row>
    <row r="1855" spans="1:21">
      <c r="A1855" s="270" t="s">
        <v>12934</v>
      </c>
      <c r="B1855" s="3305">
        <v>6442</v>
      </c>
      <c r="C1855" s="4834">
        <f t="shared" si="114"/>
        <v>3.2363806285107846E-4</v>
      </c>
      <c r="D1855" s="3" t="str">
        <f t="shared" si="115"/>
        <v>2019</v>
      </c>
      <c r="J1855" s="270" t="s">
        <v>12941</v>
      </c>
      <c r="K1855" s="4837">
        <v>41381.225908481072</v>
      </c>
      <c r="L1855" s="4834">
        <f t="shared" si="117"/>
        <v>4.570750977965891E-5</v>
      </c>
      <c r="S1855" s="270" t="s">
        <v>12934</v>
      </c>
      <c r="T1855" s="4838">
        <v>481.93969106373345</v>
      </c>
      <c r="U1855" s="4839">
        <f t="shared" si="116"/>
        <v>1.4776069072222611E-3</v>
      </c>
    </row>
    <row r="1856" spans="1:21">
      <c r="A1856" s="270" t="s">
        <v>12935</v>
      </c>
      <c r="B1856" s="3305">
        <v>6398</v>
      </c>
      <c r="C1856" s="4834">
        <f t="shared" si="114"/>
        <v>3.2203967984454067E-4</v>
      </c>
      <c r="D1856" s="3" t="str">
        <f t="shared" si="115"/>
        <v>2019</v>
      </c>
      <c r="J1856" s="270" t="s">
        <v>12942</v>
      </c>
      <c r="K1856" s="4837">
        <v>41654.507254314412</v>
      </c>
      <c r="L1856" s="4834">
        <f t="shared" si="117"/>
        <v>4.6585620789665138E-5</v>
      </c>
      <c r="S1856" s="270" t="s">
        <v>12935</v>
      </c>
      <c r="T1856" s="4838">
        <v>478.40310894118437</v>
      </c>
      <c r="U1856" s="4839">
        <f t="shared" si="116"/>
        <v>1.4495050114835383E-3</v>
      </c>
    </row>
    <row r="1857" spans="1:21">
      <c r="A1857" s="270" t="s">
        <v>12936</v>
      </c>
      <c r="B1857" s="3305">
        <v>6214</v>
      </c>
      <c r="C1857" s="4834">
        <f t="shared" si="114"/>
        <v>3.1105400982981329E-4</v>
      </c>
      <c r="D1857" s="3" t="str">
        <f t="shared" si="115"/>
        <v>2019</v>
      </c>
      <c r="J1857" s="270" t="s">
        <v>12943</v>
      </c>
      <c r="K1857" s="4837">
        <v>41744.529344706571</v>
      </c>
      <c r="L1857" s="4834">
        <f t="shared" si="117"/>
        <v>4.6865052025078838E-5</v>
      </c>
      <c r="S1857" s="270" t="s">
        <v>12936</v>
      </c>
      <c r="T1857" s="4838">
        <v>471.97295962745875</v>
      </c>
      <c r="U1857" s="4839">
        <f t="shared" si="116"/>
        <v>1.3982962078987323E-3</v>
      </c>
    </row>
    <row r="1858" spans="1:21">
      <c r="A1858" s="270" t="s">
        <v>12937</v>
      </c>
      <c r="B1858" s="3305">
        <v>6180</v>
      </c>
      <c r="C1858" s="4834">
        <f t="shared" si="114"/>
        <v>3.0830171891278339E-4</v>
      </c>
      <c r="D1858" s="3" t="str">
        <f t="shared" si="115"/>
        <v>2019</v>
      </c>
      <c r="J1858" s="270" t="s">
        <v>12944</v>
      </c>
      <c r="K1858" s="4837">
        <v>41767.03486730461</v>
      </c>
      <c r="L1858" s="4834">
        <f t="shared" si="117"/>
        <v>4.6934124034911988E-5</v>
      </c>
      <c r="S1858" s="270" t="s">
        <v>12937</v>
      </c>
      <c r="T1858" s="4838">
        <v>471.32994469608622</v>
      </c>
      <c r="U1858" s="4839">
        <f t="shared" si="116"/>
        <v>1.3931715459864992E-3</v>
      </c>
    </row>
    <row r="1859" spans="1:21">
      <c r="A1859" s="270" t="s">
        <v>12938</v>
      </c>
      <c r="B1859" s="3305">
        <v>6174</v>
      </c>
      <c r="C1859" s="4834">
        <f t="shared" si="114"/>
        <v>3.0779389517051833E-4</v>
      </c>
      <c r="D1859" s="3" t="str">
        <f t="shared" si="115"/>
        <v>2019</v>
      </c>
      <c r="J1859" s="270" t="s">
        <v>12945</v>
      </c>
      <c r="K1859" s="4837">
        <v>41529.119342696766</v>
      </c>
      <c r="L1859" s="4834">
        <f t="shared" si="117"/>
        <v>4.618819390080453E-5</v>
      </c>
      <c r="S1859" s="270" t="s">
        <v>12938</v>
      </c>
      <c r="T1859" s="4838">
        <v>476.79557161275301</v>
      </c>
      <c r="U1859" s="4839">
        <f t="shared" si="116"/>
        <v>1.4367130430930437E-3</v>
      </c>
    </row>
    <row r="1860" spans="1:21">
      <c r="A1860" s="270" t="s">
        <v>12939</v>
      </c>
      <c r="B1860" s="3305">
        <v>6103</v>
      </c>
      <c r="C1860" s="4834">
        <f t="shared" ref="C1860:C1923" si="118">_xlfn.NORM.DIST(B1860,$F$4,$F$3,FALSE)</f>
        <v>3.0129743791181159E-4</v>
      </c>
      <c r="D1860" s="3" t="str">
        <f t="shared" ref="D1860:D1923" si="119">LEFT(A1860,4)</f>
        <v>2019</v>
      </c>
      <c r="J1860" s="270" t="s">
        <v>12946</v>
      </c>
      <c r="K1860" s="4837">
        <v>41178.676205098716</v>
      </c>
      <c r="L1860" s="4834">
        <f t="shared" si="117"/>
        <v>4.5029117102418798E-5</v>
      </c>
      <c r="S1860" s="270" t="s">
        <v>12939</v>
      </c>
      <c r="T1860" s="4838">
        <v>480.01064626961573</v>
      </c>
      <c r="U1860" s="4839">
        <f t="shared" ref="U1860:U1923" si="120">_xlfn.NORM.DIST(T1860,$X$4,$X$3,FALSE)</f>
        <v>1.4622864045026438E-3</v>
      </c>
    </row>
    <row r="1861" spans="1:21">
      <c r="A1861" s="270" t="s">
        <v>12940</v>
      </c>
      <c r="B1861" s="3305">
        <v>6112</v>
      </c>
      <c r="C1861" s="4834">
        <f t="shared" si="118"/>
        <v>3.0216956091703393E-4</v>
      </c>
      <c r="D1861" s="3" t="str">
        <f t="shared" si="119"/>
        <v>2019</v>
      </c>
      <c r="J1861" s="270" t="s">
        <v>12947</v>
      </c>
      <c r="K1861" s="4837">
        <v>41051.680756152637</v>
      </c>
      <c r="L1861" s="4834">
        <f t="shared" ref="L1861:L1924" si="121">_xlfn.NORM.DIST(K1861,$O$4,$O$3,FALSE)</f>
        <v>4.4592474238502495E-5</v>
      </c>
      <c r="S1861" s="270" t="s">
        <v>12940</v>
      </c>
      <c r="T1861" s="4838">
        <v>476.47406414706666</v>
      </c>
      <c r="U1861" s="4839">
        <f t="shared" si="120"/>
        <v>1.4341535796721543E-3</v>
      </c>
    </row>
    <row r="1862" spans="1:21">
      <c r="A1862" s="270" t="s">
        <v>12941</v>
      </c>
      <c r="B1862" s="3305">
        <v>6135.5</v>
      </c>
      <c r="C1862" s="4834">
        <f t="shared" si="118"/>
        <v>3.0438108043740728E-4</v>
      </c>
      <c r="D1862" s="3" t="str">
        <f t="shared" si="119"/>
        <v>2019</v>
      </c>
      <c r="J1862" s="270" t="s">
        <v>12948</v>
      </c>
      <c r="K1862" s="4837">
        <v>40868.421500711462</v>
      </c>
      <c r="L1862" s="4834">
        <f t="shared" si="121"/>
        <v>4.3947812631050895E-5</v>
      </c>
      <c r="S1862" s="270" t="s">
        <v>12941</v>
      </c>
      <c r="T1862" s="4838">
        <v>475.83104921569412</v>
      </c>
      <c r="U1862" s="4839">
        <f t="shared" si="120"/>
        <v>1.429033727299263E-3</v>
      </c>
    </row>
    <row r="1863" spans="1:21">
      <c r="A1863" s="270" t="s">
        <v>12942</v>
      </c>
      <c r="B1863" s="3305">
        <v>6042.5</v>
      </c>
      <c r="C1863" s="4834">
        <f t="shared" si="118"/>
        <v>2.9508534194263886E-4</v>
      </c>
      <c r="D1863" s="3" t="str">
        <f t="shared" si="119"/>
        <v>2019</v>
      </c>
      <c r="J1863" s="270" t="s">
        <v>12949</v>
      </c>
      <c r="K1863" s="4837">
        <v>40953.620979118321</v>
      </c>
      <c r="L1863" s="4834">
        <f t="shared" si="121"/>
        <v>4.4249613483336962E-5</v>
      </c>
      <c r="S1863" s="270" t="s">
        <v>12942</v>
      </c>
      <c r="T1863" s="4838">
        <v>471.32994469608622</v>
      </c>
      <c r="U1863" s="4839">
        <f t="shared" si="120"/>
        <v>1.3931715459864992E-3</v>
      </c>
    </row>
    <row r="1864" spans="1:21">
      <c r="A1864" s="270" t="s">
        <v>12943</v>
      </c>
      <c r="B1864" s="3305">
        <v>6007</v>
      </c>
      <c r="C1864" s="4834">
        <f t="shared" si="118"/>
        <v>2.9116859866306521E-4</v>
      </c>
      <c r="D1864" s="3" t="str">
        <f t="shared" si="119"/>
        <v>2019</v>
      </c>
      <c r="J1864" s="270" t="s">
        <v>12950</v>
      </c>
      <c r="K1864" s="4837">
        <v>41270.305832819307</v>
      </c>
      <c r="L1864" s="4834">
        <f t="shared" si="121"/>
        <v>4.5338812796676838E-5</v>
      </c>
      <c r="S1864" s="270" t="s">
        <v>12943</v>
      </c>
      <c r="T1864" s="4838">
        <v>474.545019352949</v>
      </c>
      <c r="U1864" s="4839">
        <f t="shared" si="120"/>
        <v>1.4187908227394062E-3</v>
      </c>
    </row>
    <row r="1865" spans="1:21">
      <c r="A1865" s="270" t="s">
        <v>12944</v>
      </c>
      <c r="B1865" s="3305">
        <v>6002</v>
      </c>
      <c r="C1865" s="4834">
        <f t="shared" si="118"/>
        <v>2.90601493277466E-4</v>
      </c>
      <c r="D1865" s="3" t="str">
        <f t="shared" si="119"/>
        <v>2019</v>
      </c>
      <c r="J1865" s="270" t="s">
        <v>12951</v>
      </c>
      <c r="K1865" s="4837">
        <v>41233.332474265386</v>
      </c>
      <c r="L1865" s="4834">
        <f t="shared" si="121"/>
        <v>4.5214397418967741E-5</v>
      </c>
      <c r="S1865" s="270" t="s">
        <v>12944</v>
      </c>
      <c r="T1865" s="4838">
        <v>476.47406414706666</v>
      </c>
      <c r="U1865" s="4839">
        <f t="shared" si="120"/>
        <v>1.4341535796721543E-3</v>
      </c>
    </row>
    <row r="1866" spans="1:21">
      <c r="A1866" s="270" t="s">
        <v>12945</v>
      </c>
      <c r="B1866" s="3305">
        <v>6089</v>
      </c>
      <c r="C1866" s="4834">
        <f t="shared" si="118"/>
        <v>2.9991356440561595E-4</v>
      </c>
      <c r="D1866" s="3" t="str">
        <f t="shared" si="119"/>
        <v>2019</v>
      </c>
      <c r="J1866" s="270" t="s">
        <v>12952</v>
      </c>
      <c r="K1866" s="4837">
        <v>41098.299338677141</v>
      </c>
      <c r="L1866" s="4834">
        <f t="shared" si="121"/>
        <v>4.4753744355334948E-5</v>
      </c>
      <c r="S1866" s="270" t="s">
        <v>12945</v>
      </c>
      <c r="T1866" s="4838">
        <v>475.83104921569412</v>
      </c>
      <c r="U1866" s="4839">
        <f t="shared" si="120"/>
        <v>1.429033727299263E-3</v>
      </c>
    </row>
    <row r="1867" spans="1:21">
      <c r="A1867" s="270" t="s">
        <v>12946</v>
      </c>
      <c r="B1867" s="3305">
        <v>6025</v>
      </c>
      <c r="C1867" s="4834">
        <f t="shared" si="118"/>
        <v>2.9317883803491615E-4</v>
      </c>
      <c r="D1867" s="3" t="str">
        <f t="shared" si="119"/>
        <v>2019</v>
      </c>
      <c r="J1867" s="270" t="s">
        <v>12953</v>
      </c>
      <c r="K1867" s="4837">
        <v>41206.004339682055</v>
      </c>
      <c r="L1867" s="4834">
        <f t="shared" si="121"/>
        <v>4.5121959076756954E-5</v>
      </c>
      <c r="S1867" s="270" t="s">
        <v>12946</v>
      </c>
      <c r="T1867" s="4838">
        <v>465.54281031373318</v>
      </c>
      <c r="U1867" s="4839">
        <f t="shared" si="120"/>
        <v>1.3470607642648205E-3</v>
      </c>
    </row>
    <row r="1868" spans="1:21">
      <c r="A1868" s="270" t="s">
        <v>12947</v>
      </c>
      <c r="B1868" s="3305">
        <v>5985</v>
      </c>
      <c r="C1868" s="4834">
        <f t="shared" si="118"/>
        <v>2.8864554620513296E-4</v>
      </c>
      <c r="D1868" s="3" t="str">
        <f t="shared" si="119"/>
        <v>2019</v>
      </c>
      <c r="J1868" s="270" t="s">
        <v>12954</v>
      </c>
      <c r="K1868" s="4837">
        <v>41183.498817084015</v>
      </c>
      <c r="L1868" s="4834">
        <f t="shared" si="121"/>
        <v>4.504553016552565E-5</v>
      </c>
      <c r="S1868" s="270" t="s">
        <v>12947</v>
      </c>
      <c r="T1868" s="4838">
        <v>463.61376551961547</v>
      </c>
      <c r="U1868" s="4839">
        <f t="shared" si="120"/>
        <v>1.3317056906539506E-3</v>
      </c>
    </row>
    <row r="1869" spans="1:21">
      <c r="A1869" s="270" t="s">
        <v>12948</v>
      </c>
      <c r="B1869" s="3305">
        <v>6004</v>
      </c>
      <c r="C1869" s="4834">
        <f t="shared" si="118"/>
        <v>2.9082878524972579E-4</v>
      </c>
      <c r="D1869" s="3" t="str">
        <f t="shared" si="119"/>
        <v>2019</v>
      </c>
      <c r="J1869" s="270" t="s">
        <v>12955</v>
      </c>
      <c r="K1869" s="4837">
        <v>41652.899716985979</v>
      </c>
      <c r="L1869" s="4834">
        <f t="shared" si="121"/>
        <v>4.6580585662622943E-5</v>
      </c>
      <c r="S1869" s="270" t="s">
        <v>12948</v>
      </c>
      <c r="T1869" s="4838">
        <v>463.93527298530176</v>
      </c>
      <c r="U1869" s="4839">
        <f t="shared" si="120"/>
        <v>1.3342640171708528E-3</v>
      </c>
    </row>
    <row r="1870" spans="1:21">
      <c r="A1870" s="270" t="s">
        <v>12949</v>
      </c>
      <c r="B1870" s="3305">
        <v>5920</v>
      </c>
      <c r="C1870" s="4834">
        <f t="shared" si="118"/>
        <v>2.8078753777767022E-4</v>
      </c>
      <c r="D1870" s="3" t="str">
        <f t="shared" si="119"/>
        <v>2019</v>
      </c>
      <c r="J1870" s="270" t="s">
        <v>12956</v>
      </c>
      <c r="K1870" s="4837">
        <v>42345.748305539913</v>
      </c>
      <c r="L1870" s="4834">
        <f t="shared" si="121"/>
        <v>4.8596446616085762E-5</v>
      </c>
      <c r="S1870" s="270" t="s">
        <v>12949</v>
      </c>
      <c r="T1870" s="4838">
        <v>464.25678045098806</v>
      </c>
      <c r="U1870" s="4839">
        <f t="shared" si="120"/>
        <v>1.3368227070145098E-3</v>
      </c>
    </row>
    <row r="1871" spans="1:21">
      <c r="A1871" s="270" t="s">
        <v>12950</v>
      </c>
      <c r="B1871" s="3305">
        <v>5860</v>
      </c>
      <c r="C1871" s="4834">
        <f t="shared" si="118"/>
        <v>2.7303957294785619E-4</v>
      </c>
      <c r="D1871" s="3" t="str">
        <f t="shared" si="119"/>
        <v>2019</v>
      </c>
      <c r="J1871" s="270" t="s">
        <v>12957</v>
      </c>
      <c r="K1871" s="4837">
        <v>42575.6261435056</v>
      </c>
      <c r="L1871" s="4834">
        <f t="shared" si="121"/>
        <v>4.9192349889697184E-5</v>
      </c>
      <c r="S1871" s="270" t="s">
        <v>12950</v>
      </c>
      <c r="T1871" s="4838">
        <v>465.54281031373318</v>
      </c>
      <c r="U1871" s="4839">
        <f t="shared" si="120"/>
        <v>1.3470607642648205E-3</v>
      </c>
    </row>
    <row r="1872" spans="1:21">
      <c r="A1872" s="270" t="s">
        <v>12951</v>
      </c>
      <c r="B1872" s="3305">
        <v>5919</v>
      </c>
      <c r="C1872" s="4834">
        <f t="shared" si="118"/>
        <v>2.8066214794912896E-4</v>
      </c>
      <c r="D1872" s="3" t="str">
        <f t="shared" si="119"/>
        <v>2019</v>
      </c>
      <c r="J1872" s="270" t="s">
        <v>12958</v>
      </c>
      <c r="K1872" s="4837">
        <v>42922.854206446784</v>
      </c>
      <c r="L1872" s="4834">
        <f t="shared" si="121"/>
        <v>5.001794805006979E-5</v>
      </c>
      <c r="S1872" s="270" t="s">
        <v>12951</v>
      </c>
      <c r="T1872" s="4838">
        <v>467.79336257353714</v>
      </c>
      <c r="U1872" s="4839">
        <f t="shared" si="120"/>
        <v>1.3649874611222814E-3</v>
      </c>
    </row>
    <row r="1873" spans="1:21">
      <c r="A1873" s="270" t="s">
        <v>12952</v>
      </c>
      <c r="B1873" s="3305">
        <v>5956.5</v>
      </c>
      <c r="C1873" s="4834">
        <f t="shared" si="118"/>
        <v>2.8527243810053186E-4</v>
      </c>
      <c r="D1873" s="3" t="str">
        <f t="shared" si="119"/>
        <v>2019</v>
      </c>
      <c r="J1873" s="270" t="s">
        <v>12959</v>
      </c>
      <c r="K1873" s="4837">
        <v>42937.322042402673</v>
      </c>
      <c r="L1873" s="4834">
        <f t="shared" si="121"/>
        <v>5.0050339301940999E-5</v>
      </c>
      <c r="S1873" s="270" t="s">
        <v>12952</v>
      </c>
      <c r="T1873" s="4838">
        <v>465.54281031373318</v>
      </c>
      <c r="U1873" s="4839">
        <f t="shared" si="120"/>
        <v>1.3470607642648205E-3</v>
      </c>
    </row>
    <row r="1874" spans="1:21">
      <c r="A1874" s="270" t="s">
        <v>12953</v>
      </c>
      <c r="B1874" s="3305">
        <v>5864.5</v>
      </c>
      <c r="C1874" s="4834">
        <f t="shared" si="118"/>
        <v>2.7363599153343678E-4</v>
      </c>
      <c r="D1874" s="3" t="str">
        <f t="shared" si="119"/>
        <v>2019</v>
      </c>
      <c r="J1874" s="270" t="s">
        <v>12960</v>
      </c>
      <c r="K1874" s="4837">
        <v>43102.898387231107</v>
      </c>
      <c r="L1874" s="4834">
        <f t="shared" si="121"/>
        <v>5.0409293686328198E-5</v>
      </c>
      <c r="S1874" s="270" t="s">
        <v>12953</v>
      </c>
      <c r="T1874" s="4838">
        <v>462.3277356568704</v>
      </c>
      <c r="U1874" s="4839">
        <f t="shared" si="120"/>
        <v>1.3214763514566876E-3</v>
      </c>
    </row>
    <row r="1875" spans="1:21">
      <c r="A1875" s="270" t="s">
        <v>12954</v>
      </c>
      <c r="B1875" s="3305">
        <v>5823</v>
      </c>
      <c r="C1875" s="4834">
        <f t="shared" si="118"/>
        <v>2.6804728929938939E-4</v>
      </c>
      <c r="D1875" s="3" t="str">
        <f t="shared" si="119"/>
        <v>2019</v>
      </c>
      <c r="J1875" s="270" t="s">
        <v>12961</v>
      </c>
      <c r="K1875" s="4837">
        <v>42715.481891079136</v>
      </c>
      <c r="L1875" s="4834">
        <f t="shared" si="121"/>
        <v>4.9535887479388968E-5</v>
      </c>
      <c r="S1875" s="270" t="s">
        <v>12954</v>
      </c>
      <c r="T1875" s="4838">
        <v>462.97075058824294</v>
      </c>
      <c r="U1875" s="4839">
        <f t="shared" si="120"/>
        <v>1.326590194393041E-3</v>
      </c>
    </row>
    <row r="1876" spans="1:21">
      <c r="A1876" s="270" t="s">
        <v>12955</v>
      </c>
      <c r="B1876" s="3305">
        <v>5780.5</v>
      </c>
      <c r="C1876" s="4834">
        <f t="shared" si="118"/>
        <v>2.6212963773455532E-4</v>
      </c>
      <c r="D1876" s="3" t="str">
        <f t="shared" si="119"/>
        <v>2019</v>
      </c>
      <c r="J1876" s="270" t="s">
        <v>12962</v>
      </c>
      <c r="K1876" s="4837">
        <v>42577.233680834033</v>
      </c>
      <c r="L1876" s="4834">
        <f t="shared" si="121"/>
        <v>4.9196381365240807E-5</v>
      </c>
      <c r="S1876" s="270" t="s">
        <v>12955</v>
      </c>
      <c r="T1876" s="4838">
        <v>465.54281031373318</v>
      </c>
      <c r="U1876" s="4839">
        <f t="shared" si="120"/>
        <v>1.3470607642648205E-3</v>
      </c>
    </row>
    <row r="1877" spans="1:21">
      <c r="A1877" s="270" t="s">
        <v>12956</v>
      </c>
      <c r="B1877" s="3305">
        <v>5796</v>
      </c>
      <c r="C1877" s="4834">
        <f t="shared" si="118"/>
        <v>2.6430947233159745E-4</v>
      </c>
      <c r="D1877" s="3" t="str">
        <f t="shared" si="119"/>
        <v>2019</v>
      </c>
      <c r="J1877" s="270" t="s">
        <v>12963</v>
      </c>
      <c r="K1877" s="4837">
        <v>42836.047190711492</v>
      </c>
      <c r="L1877" s="4834">
        <f t="shared" si="121"/>
        <v>4.9820180999757988E-5</v>
      </c>
      <c r="S1877" s="270" t="s">
        <v>12956</v>
      </c>
      <c r="T1877" s="4838">
        <v>474.545019352949</v>
      </c>
      <c r="U1877" s="4839">
        <f t="shared" si="120"/>
        <v>1.4187908227394062E-3</v>
      </c>
    </row>
    <row r="1878" spans="1:21">
      <c r="A1878" s="270" t="s">
        <v>12957</v>
      </c>
      <c r="B1878" s="3305">
        <v>5804</v>
      </c>
      <c r="C1878" s="4834">
        <f t="shared" si="118"/>
        <v>2.6542497373678104E-4</v>
      </c>
      <c r="D1878" s="3" t="str">
        <f t="shared" si="119"/>
        <v>2019</v>
      </c>
      <c r="J1878" s="270" t="s">
        <v>12964</v>
      </c>
      <c r="K1878" s="4837">
        <v>42950.182341030122</v>
      </c>
      <c r="L1878" s="4834">
        <f t="shared" si="121"/>
        <v>5.0078994058906957E-5</v>
      </c>
      <c r="S1878" s="270" t="s">
        <v>12957</v>
      </c>
      <c r="T1878" s="4838">
        <v>473.25898949020387</v>
      </c>
      <c r="U1878" s="4839">
        <f t="shared" si="120"/>
        <v>1.4085446042086973E-3</v>
      </c>
    </row>
    <row r="1879" spans="1:21">
      <c r="A1879" s="270" t="s">
        <v>12958</v>
      </c>
      <c r="B1879" s="3305">
        <v>5832.5</v>
      </c>
      <c r="C1879" s="4834">
        <f t="shared" si="118"/>
        <v>2.6934380257669647E-4</v>
      </c>
      <c r="D1879" s="3" t="str">
        <f t="shared" si="119"/>
        <v>2019</v>
      </c>
      <c r="J1879" s="270" t="s">
        <v>12965</v>
      </c>
      <c r="K1879" s="4837">
        <v>43443.696300858559</v>
      </c>
      <c r="L1879" s="4834">
        <f t="shared" si="121"/>
        <v>5.1078509552861983E-5</v>
      </c>
      <c r="S1879" s="270" t="s">
        <v>12958</v>
      </c>
      <c r="T1879" s="4838">
        <v>477.11707907843925</v>
      </c>
      <c r="U1879" s="4839">
        <f t="shared" si="120"/>
        <v>1.4392721740064478E-3</v>
      </c>
    </row>
    <row r="1880" spans="1:21">
      <c r="A1880" s="270" t="s">
        <v>12959</v>
      </c>
      <c r="B1880" s="3305">
        <v>5805</v>
      </c>
      <c r="C1880" s="4834">
        <f t="shared" si="118"/>
        <v>2.6556394420453131E-4</v>
      </c>
      <c r="D1880" s="3" t="str">
        <f t="shared" si="119"/>
        <v>2019</v>
      </c>
      <c r="J1880" s="270" t="s">
        <v>12966</v>
      </c>
      <c r="K1880" s="4837">
        <v>43123.796372500707</v>
      </c>
      <c r="L1880" s="4834">
        <f t="shared" si="121"/>
        <v>5.0453048800143755E-5</v>
      </c>
      <c r="S1880" s="270" t="s">
        <v>12959</v>
      </c>
      <c r="T1880" s="4838">
        <v>480.97516866667462</v>
      </c>
      <c r="U1880" s="4839">
        <f t="shared" si="120"/>
        <v>1.4699492169515627E-3</v>
      </c>
    </row>
    <row r="1881" spans="1:21">
      <c r="A1881" s="270" t="s">
        <v>12960</v>
      </c>
      <c r="B1881" s="3305">
        <v>5770</v>
      </c>
      <c r="C1881" s="4834">
        <f t="shared" si="118"/>
        <v>2.6063944586216832E-4</v>
      </c>
      <c r="D1881" s="3" t="str">
        <f t="shared" si="119"/>
        <v>2019</v>
      </c>
      <c r="J1881" s="270" t="s">
        <v>12967</v>
      </c>
      <c r="K1881" s="4837">
        <v>43125.40390982914</v>
      </c>
      <c r="L1881" s="4834">
        <f t="shared" si="121"/>
        <v>5.0456400066800617E-5</v>
      </c>
      <c r="S1881" s="270" t="s">
        <v>12960</v>
      </c>
      <c r="T1881" s="4838">
        <v>479.3676313382432</v>
      </c>
      <c r="U1881" s="4839">
        <f t="shared" si="120"/>
        <v>1.4571752617874136E-3</v>
      </c>
    </row>
    <row r="1882" spans="1:21">
      <c r="A1882" s="270" t="s">
        <v>12961</v>
      </c>
      <c r="B1882" s="3305">
        <v>5788</v>
      </c>
      <c r="C1882" s="4834">
        <f t="shared" si="118"/>
        <v>2.6318741350937194E-4</v>
      </c>
      <c r="D1882" s="3" t="str">
        <f t="shared" si="119"/>
        <v>2019</v>
      </c>
      <c r="J1882" s="270" t="s">
        <v>12968</v>
      </c>
      <c r="K1882" s="4837">
        <v>43212.210925564432</v>
      </c>
      <c r="L1882" s="4834">
        <f t="shared" si="121"/>
        <v>5.0634275166421878E-5</v>
      </c>
      <c r="S1882" s="270" t="s">
        <v>12961</v>
      </c>
      <c r="T1882" s="4838">
        <v>474.22351188726276</v>
      </c>
      <c r="U1882" s="4839">
        <f t="shared" si="120"/>
        <v>1.4162295342761055E-3</v>
      </c>
    </row>
    <row r="1883" spans="1:21">
      <c r="A1883" s="270" t="s">
        <v>12962</v>
      </c>
      <c r="B1883" s="3305">
        <v>5905</v>
      </c>
      <c r="C1883" s="4834">
        <f t="shared" si="118"/>
        <v>2.7889300747881705E-4</v>
      </c>
      <c r="D1883" s="3" t="str">
        <f t="shared" si="119"/>
        <v>2019</v>
      </c>
      <c r="J1883" s="270" t="s">
        <v>12969</v>
      </c>
      <c r="K1883" s="4837">
        <v>44351.954891422305</v>
      </c>
      <c r="L1883" s="4834">
        <f t="shared" si="121"/>
        <v>5.2379539967555899E-5</v>
      </c>
      <c r="S1883" s="270" t="s">
        <v>12962</v>
      </c>
      <c r="T1883" s="4838">
        <v>472.61597455883128</v>
      </c>
      <c r="U1883" s="4839">
        <f t="shared" si="120"/>
        <v>1.4034206075697964E-3</v>
      </c>
    </row>
    <row r="1884" spans="1:21">
      <c r="A1884" s="270" t="s">
        <v>12963</v>
      </c>
      <c r="B1884" s="3305">
        <v>5828.5</v>
      </c>
      <c r="C1884" s="4834">
        <f t="shared" si="118"/>
        <v>2.6879911364168543E-4</v>
      </c>
      <c r="D1884" s="3" t="str">
        <f t="shared" si="119"/>
        <v>2019</v>
      </c>
      <c r="J1884" s="270" t="s">
        <v>12970</v>
      </c>
      <c r="K1884" s="4837">
        <v>44919.415568358585</v>
      </c>
      <c r="L1884" s="4834">
        <f t="shared" si="121"/>
        <v>5.2818004609628646E-5</v>
      </c>
      <c r="S1884" s="270" t="s">
        <v>12963</v>
      </c>
      <c r="T1884" s="4838">
        <v>475.50954175000783</v>
      </c>
      <c r="U1884" s="4839">
        <f t="shared" si="120"/>
        <v>1.4264733742704956E-3</v>
      </c>
    </row>
    <row r="1885" spans="1:21">
      <c r="A1885" s="270" t="s">
        <v>12964</v>
      </c>
      <c r="B1885" s="3305">
        <v>5797.5</v>
      </c>
      <c r="C1885" s="4834">
        <f t="shared" si="118"/>
        <v>2.6451913205492429E-4</v>
      </c>
      <c r="D1885" s="3" t="str">
        <f t="shared" si="119"/>
        <v>2019</v>
      </c>
      <c r="J1885" s="270" t="s">
        <v>12971</v>
      </c>
      <c r="K1885" s="4837">
        <v>45194.304451520351</v>
      </c>
      <c r="L1885" s="4834">
        <f t="shared" si="121"/>
        <v>5.2923636857945857E-5</v>
      </c>
      <c r="S1885" s="270" t="s">
        <v>12964</v>
      </c>
      <c r="T1885" s="4838">
        <v>475.83104921569412</v>
      </c>
      <c r="U1885" s="4839">
        <f t="shared" si="120"/>
        <v>1.429033727299263E-3</v>
      </c>
    </row>
    <row r="1886" spans="1:21">
      <c r="A1886" s="270" t="s">
        <v>12965</v>
      </c>
      <c r="B1886" s="3305">
        <v>5805.5</v>
      </c>
      <c r="C1886" s="4834">
        <f t="shared" si="118"/>
        <v>2.6563339021892329E-4</v>
      </c>
      <c r="D1886" s="3" t="str">
        <f t="shared" si="119"/>
        <v>2019</v>
      </c>
      <c r="J1886" s="270" t="s">
        <v>12972</v>
      </c>
      <c r="K1886" s="4837">
        <v>46020.578638334096</v>
      </c>
      <c r="L1886" s="4834">
        <f t="shared" si="121"/>
        <v>5.2817294681268569E-5</v>
      </c>
      <c r="S1886" s="270" t="s">
        <v>12965</v>
      </c>
      <c r="T1886" s="4838">
        <v>483.22572092647852</v>
      </c>
      <c r="U1886" s="4839">
        <f t="shared" si="120"/>
        <v>1.4878083334384806E-3</v>
      </c>
    </row>
    <row r="1887" spans="1:21">
      <c r="A1887" s="270" t="s">
        <v>12966</v>
      </c>
      <c r="B1887" s="3305">
        <v>5756</v>
      </c>
      <c r="C1887" s="4834">
        <f t="shared" si="118"/>
        <v>2.5863607870338818E-4</v>
      </c>
      <c r="D1887" s="3" t="str">
        <f t="shared" si="119"/>
        <v>2019</v>
      </c>
      <c r="J1887" s="270" t="s">
        <v>12973</v>
      </c>
      <c r="K1887" s="4837">
        <v>45138.040645025256</v>
      </c>
      <c r="L1887" s="4834">
        <f t="shared" si="121"/>
        <v>5.290773297564507E-5</v>
      </c>
      <c r="S1887" s="270" t="s">
        <v>12966</v>
      </c>
      <c r="T1887" s="4838">
        <v>475.18803428432153</v>
      </c>
      <c r="U1887" s="4839">
        <f t="shared" si="120"/>
        <v>1.4239127605803288E-3</v>
      </c>
    </row>
    <row r="1888" spans="1:21">
      <c r="A1888" s="270" t="s">
        <v>12967</v>
      </c>
      <c r="B1888" s="3305">
        <v>5848.5</v>
      </c>
      <c r="C1888" s="4834">
        <f t="shared" si="118"/>
        <v>2.7150461495540631E-4</v>
      </c>
      <c r="D1888" s="3" t="str">
        <f t="shared" si="119"/>
        <v>2019</v>
      </c>
      <c r="J1888" s="270" t="s">
        <v>12974</v>
      </c>
      <c r="K1888" s="4837">
        <v>45091.422062500744</v>
      </c>
      <c r="L1888" s="4834">
        <f t="shared" si="121"/>
        <v>5.2892323824003908E-5</v>
      </c>
      <c r="S1888" s="270" t="s">
        <v>12967</v>
      </c>
      <c r="T1888" s="4838">
        <v>479.0461238725569</v>
      </c>
      <c r="U1888" s="4839">
        <f t="shared" si="120"/>
        <v>1.4546189649544488E-3</v>
      </c>
    </row>
    <row r="1889" spans="1:21">
      <c r="A1889" s="270" t="s">
        <v>12968</v>
      </c>
      <c r="B1889" s="3305">
        <v>5895</v>
      </c>
      <c r="C1889" s="4834">
        <f t="shared" si="118"/>
        <v>2.7761392580940918E-4</v>
      </c>
      <c r="D1889" s="3" t="str">
        <f t="shared" si="119"/>
        <v>2019</v>
      </c>
      <c r="J1889" s="270" t="s">
        <v>12975</v>
      </c>
      <c r="K1889" s="4837">
        <v>45300.401915196824</v>
      </c>
      <c r="L1889" s="4834">
        <f t="shared" si="121"/>
        <v>5.2945603334207649E-5</v>
      </c>
      <c r="S1889" s="270" t="s">
        <v>12968</v>
      </c>
      <c r="T1889" s="4838">
        <v>480.65366120098827</v>
      </c>
      <c r="U1889" s="4839">
        <f t="shared" si="120"/>
        <v>1.4673954907738376E-3</v>
      </c>
    </row>
    <row r="1890" spans="1:21">
      <c r="A1890" s="270" t="s">
        <v>12969</v>
      </c>
      <c r="B1890" s="3305">
        <v>5962</v>
      </c>
      <c r="C1890" s="4834">
        <f t="shared" si="118"/>
        <v>2.8593237864060409E-4</v>
      </c>
      <c r="D1890" s="3" t="str">
        <f t="shared" si="119"/>
        <v>2019</v>
      </c>
      <c r="J1890" s="270" t="s">
        <v>12976</v>
      </c>
      <c r="K1890" s="4837">
        <v>44692.752805049757</v>
      </c>
      <c r="L1890" s="4834">
        <f t="shared" si="121"/>
        <v>5.2678270370925802E-5</v>
      </c>
      <c r="S1890" s="270" t="s">
        <v>12969</v>
      </c>
      <c r="T1890" s="4838">
        <v>492.87094489706698</v>
      </c>
      <c r="U1890" s="4839">
        <f t="shared" si="120"/>
        <v>1.5638800637594421E-3</v>
      </c>
    </row>
    <row r="1891" spans="1:21">
      <c r="A1891" s="270" t="s">
        <v>12970</v>
      </c>
      <c r="B1891" s="3305">
        <v>5941</v>
      </c>
      <c r="C1891" s="4834">
        <f t="shared" si="118"/>
        <v>2.8338999587801161E-4</v>
      </c>
      <c r="D1891" s="3" t="str">
        <f t="shared" si="119"/>
        <v>2019</v>
      </c>
      <c r="J1891" s="270" t="s">
        <v>12977</v>
      </c>
      <c r="K1891" s="4837">
        <v>44723.296014289946</v>
      </c>
      <c r="L1891" s="4834">
        <f t="shared" si="121"/>
        <v>5.2699859622625908E-5</v>
      </c>
      <c r="S1891" s="270" t="s">
        <v>12970</v>
      </c>
      <c r="T1891" s="4838">
        <v>491.5849150343218</v>
      </c>
      <c r="U1891" s="4839">
        <f t="shared" si="120"/>
        <v>1.5537917262309817E-3</v>
      </c>
    </row>
    <row r="1892" spans="1:21">
      <c r="A1892" s="270" t="s">
        <v>12971</v>
      </c>
      <c r="B1892" s="3305">
        <v>5917</v>
      </c>
      <c r="C1892" s="4834">
        <f t="shared" si="118"/>
        <v>2.8041097463127616E-4</v>
      </c>
      <c r="D1892" s="3" t="str">
        <f t="shared" si="119"/>
        <v>2019</v>
      </c>
      <c r="J1892" s="270" t="s">
        <v>12978</v>
      </c>
      <c r="K1892" s="4837">
        <v>45445.080274755652</v>
      </c>
      <c r="L1892" s="4834">
        <f t="shared" si="121"/>
        <v>5.2958639720362942E-5</v>
      </c>
      <c r="S1892" s="270" t="s">
        <v>12971</v>
      </c>
      <c r="T1892" s="4838">
        <v>494.1569747598121</v>
      </c>
      <c r="U1892" s="4839">
        <f t="shared" si="120"/>
        <v>1.5739481593204012E-3</v>
      </c>
    </row>
    <row r="1893" spans="1:21">
      <c r="A1893" s="270" t="s">
        <v>12972</v>
      </c>
      <c r="B1893" s="3305">
        <v>5985.5</v>
      </c>
      <c r="C1893" s="4834">
        <f t="shared" si="118"/>
        <v>2.8870368078068499E-4</v>
      </c>
      <c r="D1893" s="3" t="str">
        <f t="shared" si="119"/>
        <v>2019</v>
      </c>
      <c r="J1893" s="270" t="s">
        <v>12979</v>
      </c>
      <c r="K1893" s="4837">
        <v>45490.091319951731</v>
      </c>
      <c r="L1893" s="4834">
        <f t="shared" si="121"/>
        <v>5.2958711913904547E-5</v>
      </c>
      <c r="S1893" s="270" t="s">
        <v>12972</v>
      </c>
      <c r="T1893" s="4838">
        <v>495.12149715687093</v>
      </c>
      <c r="U1893" s="4839">
        <f t="shared" si="120"/>
        <v>1.5814852070053606E-3</v>
      </c>
    </row>
    <row r="1894" spans="1:21">
      <c r="A1894" s="270" t="s">
        <v>12973</v>
      </c>
      <c r="B1894" s="3305">
        <v>6006</v>
      </c>
      <c r="C1894" s="4834">
        <f t="shared" si="118"/>
        <v>2.9105547774444689E-4</v>
      </c>
      <c r="D1894" s="3" t="str">
        <f t="shared" si="119"/>
        <v>2019</v>
      </c>
      <c r="J1894" s="270" t="s">
        <v>12980</v>
      </c>
      <c r="K1894" s="4837">
        <v>44646.134222525245</v>
      </c>
      <c r="L1894" s="4834">
        <f t="shared" si="121"/>
        <v>5.2643666843495147E-5</v>
      </c>
      <c r="S1894" s="270" t="s">
        <v>12973</v>
      </c>
      <c r="T1894" s="4838">
        <v>490.62039263726297</v>
      </c>
      <c r="U1894" s="4839">
        <f t="shared" si="120"/>
        <v>1.5462129270622201E-3</v>
      </c>
    </row>
    <row r="1895" spans="1:21">
      <c r="A1895" s="270" t="s">
        <v>12974</v>
      </c>
      <c r="B1895" s="3305">
        <v>5953.5</v>
      </c>
      <c r="C1895" s="4834">
        <f t="shared" si="118"/>
        <v>2.8491068755801235E-4</v>
      </c>
      <c r="D1895" s="3" t="str">
        <f t="shared" si="119"/>
        <v>2019</v>
      </c>
      <c r="J1895" s="270" t="s">
        <v>12981</v>
      </c>
      <c r="K1895" s="4837">
        <v>45014.260270736035</v>
      </c>
      <c r="L1895" s="4834">
        <f t="shared" si="121"/>
        <v>5.28623800390976E-5</v>
      </c>
      <c r="S1895" s="270" t="s">
        <v>12974</v>
      </c>
      <c r="T1895" s="4838">
        <v>490.29888517157673</v>
      </c>
      <c r="U1895" s="4839">
        <f t="shared" si="120"/>
        <v>1.5436843728566594E-3</v>
      </c>
    </row>
    <row r="1896" spans="1:21">
      <c r="A1896" s="270" t="s">
        <v>12975</v>
      </c>
      <c r="B1896" s="3305">
        <v>5972</v>
      </c>
      <c r="C1896" s="4834">
        <f t="shared" si="118"/>
        <v>2.8712132826800034E-4</v>
      </c>
      <c r="D1896" s="3" t="str">
        <f t="shared" si="119"/>
        <v>2019</v>
      </c>
      <c r="J1896" s="270" t="s">
        <v>12982</v>
      </c>
      <c r="K1896" s="4837">
        <v>44739.371387574269</v>
      </c>
      <c r="L1896" s="4834">
        <f t="shared" si="121"/>
        <v>5.2710877883785213E-5</v>
      </c>
      <c r="S1896" s="270" t="s">
        <v>12975</v>
      </c>
      <c r="T1896" s="4838">
        <v>489.3343627745179</v>
      </c>
      <c r="U1896" s="4839">
        <f t="shared" si="120"/>
        <v>1.5360921135400042E-3</v>
      </c>
    </row>
    <row r="1897" spans="1:21">
      <c r="A1897" s="270" t="s">
        <v>12976</v>
      </c>
      <c r="B1897" s="3305">
        <v>5999</v>
      </c>
      <c r="C1897" s="4834">
        <f t="shared" si="118"/>
        <v>2.9025943497897684E-4</v>
      </c>
      <c r="D1897" s="3" t="str">
        <f t="shared" si="119"/>
        <v>2019</v>
      </c>
      <c r="J1897" s="270" t="s">
        <v>12983</v>
      </c>
      <c r="K1897" s="4837">
        <v>45277.896392598785</v>
      </c>
      <c r="L1897" s="4834">
        <f t="shared" si="121"/>
        <v>5.2941820576830687E-5</v>
      </c>
      <c r="S1897" s="270" t="s">
        <v>12976</v>
      </c>
      <c r="T1897" s="4838">
        <v>490.62039263726297</v>
      </c>
      <c r="U1897" s="4839">
        <f t="shared" si="120"/>
        <v>1.5462129270622201E-3</v>
      </c>
    </row>
    <row r="1898" spans="1:21">
      <c r="A1898" s="270" t="s">
        <v>12977</v>
      </c>
      <c r="B1898" s="3305">
        <v>5910</v>
      </c>
      <c r="C1898" s="4834">
        <f t="shared" si="118"/>
        <v>2.7952775837394378E-4</v>
      </c>
      <c r="D1898" s="3" t="str">
        <f t="shared" si="119"/>
        <v>2019</v>
      </c>
      <c r="J1898" s="270" t="s">
        <v>12984</v>
      </c>
      <c r="K1898" s="4837">
        <v>45453.117961397809</v>
      </c>
      <c r="L1898" s="4834">
        <f t="shared" si="121"/>
        <v>5.2958791283004672E-5</v>
      </c>
      <c r="S1898" s="270" t="s">
        <v>12977</v>
      </c>
      <c r="T1898" s="4838">
        <v>487.72682544608648</v>
      </c>
      <c r="U1898" s="4839">
        <f t="shared" si="120"/>
        <v>1.5234174985977061E-3</v>
      </c>
    </row>
    <row r="1899" spans="1:21">
      <c r="A1899" s="270" t="s">
        <v>12978</v>
      </c>
      <c r="B1899" s="3305">
        <v>5874</v>
      </c>
      <c r="C1899" s="4834">
        <f t="shared" si="118"/>
        <v>2.7488717495769772E-4</v>
      </c>
      <c r="D1899" s="3" t="str">
        <f t="shared" si="119"/>
        <v>2019</v>
      </c>
      <c r="J1899" s="270" t="s">
        <v>12985</v>
      </c>
      <c r="K1899" s="4837">
        <v>45255.390870000745</v>
      </c>
      <c r="L1899" s="4834">
        <f t="shared" si="121"/>
        <v>5.2937565589393426E-5</v>
      </c>
      <c r="S1899" s="270" t="s">
        <v>12978</v>
      </c>
      <c r="T1899" s="4838">
        <v>492.22792996569444</v>
      </c>
      <c r="U1899" s="4839">
        <f t="shared" si="120"/>
        <v>1.5588383484977486E-3</v>
      </c>
    </row>
    <row r="1900" spans="1:21">
      <c r="A1900" s="270" t="s">
        <v>12979</v>
      </c>
      <c r="B1900" s="3305">
        <v>5900</v>
      </c>
      <c r="C1900" s="4834">
        <f t="shared" si="118"/>
        <v>2.7825505375826405E-4</v>
      </c>
      <c r="D1900" s="3" t="str">
        <f t="shared" si="119"/>
        <v>2019</v>
      </c>
      <c r="J1900" s="270" t="s">
        <v>12986</v>
      </c>
      <c r="K1900" s="4837">
        <v>45409.714453530163</v>
      </c>
      <c r="L1900" s="4834">
        <f t="shared" si="121"/>
        <v>5.2957256599290327E-5</v>
      </c>
      <c r="S1900" s="270" t="s">
        <v>12979</v>
      </c>
      <c r="T1900" s="4838">
        <v>491.2634075686355</v>
      </c>
      <c r="U1900" s="4839">
        <f t="shared" si="120"/>
        <v>1.5512666228322265E-3</v>
      </c>
    </row>
    <row r="1901" spans="1:21">
      <c r="A1901" s="270" t="s">
        <v>12980</v>
      </c>
      <c r="B1901" s="3305">
        <v>5857</v>
      </c>
      <c r="C1901" s="4834">
        <f t="shared" si="118"/>
        <v>2.7264063521156373E-4</v>
      </c>
      <c r="D1901" s="3" t="str">
        <f t="shared" si="119"/>
        <v>2019</v>
      </c>
      <c r="J1901" s="270" t="s">
        <v>12987</v>
      </c>
      <c r="K1901" s="4837">
        <v>45327.730049780155</v>
      </c>
      <c r="L1901" s="4834">
        <f t="shared" si="121"/>
        <v>5.2949561677244853E-5</v>
      </c>
      <c r="S1901" s="270" t="s">
        <v>12980</v>
      </c>
      <c r="T1901" s="4838">
        <v>489.0128553088316</v>
      </c>
      <c r="U1901" s="4839">
        <f t="shared" si="120"/>
        <v>1.5335592249130024E-3</v>
      </c>
    </row>
    <row r="1902" spans="1:21">
      <c r="A1902" s="270" t="s">
        <v>12981</v>
      </c>
      <c r="B1902" s="3305">
        <v>5912</v>
      </c>
      <c r="C1902" s="4834">
        <f t="shared" si="118"/>
        <v>2.7978075555320174E-4</v>
      </c>
      <c r="D1902" s="3" t="str">
        <f t="shared" si="119"/>
        <v>2019</v>
      </c>
      <c r="J1902" s="270" t="s">
        <v>12988</v>
      </c>
      <c r="K1902" s="4837">
        <v>45343.80542306447</v>
      </c>
      <c r="L1902" s="4834">
        <f t="shared" si="121"/>
        <v>5.2951564720301468E-5</v>
      </c>
      <c r="S1902" s="270" t="s">
        <v>12981</v>
      </c>
      <c r="T1902" s="4838">
        <v>484.5117507892237</v>
      </c>
      <c r="U1902" s="4839">
        <f t="shared" si="120"/>
        <v>1.4979985852035321E-3</v>
      </c>
    </row>
    <row r="1903" spans="1:21">
      <c r="A1903" s="270" t="s">
        <v>12982</v>
      </c>
      <c r="B1903" s="3305">
        <v>5805</v>
      </c>
      <c r="C1903" s="4834">
        <f t="shared" si="118"/>
        <v>2.6556394420453131E-4</v>
      </c>
      <c r="D1903" s="3" t="str">
        <f t="shared" si="119"/>
        <v>2019</v>
      </c>
      <c r="J1903" s="270" t="s">
        <v>12989</v>
      </c>
      <c r="K1903" s="4837">
        <v>45572.075723701739</v>
      </c>
      <c r="L1903" s="4834">
        <f t="shared" si="121"/>
        <v>5.2953985314817407E-5</v>
      </c>
      <c r="S1903" s="270" t="s">
        <v>12981</v>
      </c>
      <c r="T1903" s="4838">
        <v>484.5117507892237</v>
      </c>
      <c r="U1903" s="4839">
        <f t="shared" si="120"/>
        <v>1.4979985852035321E-3</v>
      </c>
    </row>
    <row r="1904" spans="1:21">
      <c r="A1904" s="270" t="s">
        <v>12983</v>
      </c>
      <c r="B1904" s="3305">
        <v>5862.5</v>
      </c>
      <c r="C1904" s="4834">
        <f t="shared" si="118"/>
        <v>2.7337121220235758E-4</v>
      </c>
      <c r="D1904" s="3" t="str">
        <f t="shared" si="119"/>
        <v>2019</v>
      </c>
      <c r="J1904" s="270" t="s">
        <v>12990</v>
      </c>
      <c r="K1904" s="4837">
        <v>46287.429834853705</v>
      </c>
      <c r="L1904" s="4834">
        <f t="shared" si="121"/>
        <v>5.2647507643552336E-5</v>
      </c>
      <c r="S1904" s="270" t="s">
        <v>12982</v>
      </c>
      <c r="T1904" s="4838">
        <v>483.22572092647852</v>
      </c>
      <c r="U1904" s="4839">
        <f t="shared" si="120"/>
        <v>1.4878083334384806E-3</v>
      </c>
    </row>
    <row r="1905" spans="1:21">
      <c r="A1905" s="270" t="s">
        <v>12984</v>
      </c>
      <c r="B1905" s="3305">
        <v>5925</v>
      </c>
      <c r="C1905" s="4834">
        <f t="shared" si="118"/>
        <v>2.8141250957663201E-4</v>
      </c>
      <c r="D1905" s="3" t="str">
        <f t="shared" si="119"/>
        <v>2019</v>
      </c>
      <c r="J1905" s="270" t="s">
        <v>12991</v>
      </c>
      <c r="K1905" s="4837">
        <v>45903.2284133586</v>
      </c>
      <c r="L1905" s="4834">
        <f t="shared" si="121"/>
        <v>5.2871125738485483E-5</v>
      </c>
      <c r="S1905" s="270" t="s">
        <v>12983</v>
      </c>
      <c r="T1905" s="4838">
        <v>485.47627318628253</v>
      </c>
      <c r="U1905" s="4839">
        <f t="shared" si="120"/>
        <v>1.505633224846795E-3</v>
      </c>
    </row>
    <row r="1906" spans="1:21">
      <c r="A1906" s="270" t="s">
        <v>12985</v>
      </c>
      <c r="B1906" s="3305">
        <v>5950</v>
      </c>
      <c r="C1906" s="4834">
        <f t="shared" si="118"/>
        <v>2.8448706456771423E-4</v>
      </c>
      <c r="D1906" s="3" t="str">
        <f t="shared" si="119"/>
        <v>2019</v>
      </c>
      <c r="J1906" s="270" t="s">
        <v>12992</v>
      </c>
      <c r="K1906" s="4837">
        <v>45832.496770907615</v>
      </c>
      <c r="L1906" s="4834">
        <f t="shared" si="121"/>
        <v>5.2897397541809508E-5</v>
      </c>
      <c r="S1906" s="270" t="s">
        <v>12984</v>
      </c>
      <c r="T1906" s="4838">
        <v>490.94190010294926</v>
      </c>
      <c r="U1906" s="4839">
        <f t="shared" si="120"/>
        <v>1.5487403500784602E-3</v>
      </c>
    </row>
    <row r="1907" spans="1:21">
      <c r="A1907" s="270" t="s">
        <v>12986</v>
      </c>
      <c r="B1907" s="3305">
        <v>5997.5</v>
      </c>
      <c r="C1907" s="4834">
        <f t="shared" si="118"/>
        <v>2.9008790321788852E-4</v>
      </c>
      <c r="D1907" s="3" t="str">
        <f t="shared" si="119"/>
        <v>2019</v>
      </c>
      <c r="J1907" s="270" t="s">
        <v>12993</v>
      </c>
      <c r="K1907" s="4837">
        <v>45877.507816103702</v>
      </c>
      <c r="L1907" s="4834">
        <f t="shared" si="121"/>
        <v>5.2881217031896636E-5</v>
      </c>
      <c r="S1907" s="270" t="s">
        <v>12985</v>
      </c>
      <c r="T1907" s="4838">
        <v>486.76230304902765</v>
      </c>
      <c r="U1907" s="4839">
        <f t="shared" si="120"/>
        <v>1.5158010529357612E-3</v>
      </c>
    </row>
    <row r="1908" spans="1:21">
      <c r="A1908" s="270" t="s">
        <v>12987</v>
      </c>
      <c r="B1908" s="3305">
        <v>5959</v>
      </c>
      <c r="C1908" s="4834">
        <f t="shared" si="118"/>
        <v>2.8557293698629822E-4</v>
      </c>
      <c r="D1908" s="3" t="str">
        <f t="shared" si="119"/>
        <v>2019</v>
      </c>
      <c r="J1908" s="270" t="s">
        <v>12994</v>
      </c>
      <c r="K1908" s="4837">
        <v>45528.672215834078</v>
      </c>
      <c r="L1908" s="4834">
        <f t="shared" si="121"/>
        <v>5.2957268932856651E-5</v>
      </c>
      <c r="S1908" s="270" t="s">
        <v>12986</v>
      </c>
      <c r="T1908" s="4838">
        <v>492.54943743138068</v>
      </c>
      <c r="U1908" s="4839">
        <f t="shared" si="120"/>
        <v>1.5613598290858152E-3</v>
      </c>
    </row>
    <row r="1909" spans="1:21">
      <c r="A1909" s="270" t="s">
        <v>12988</v>
      </c>
      <c r="B1909" s="3305">
        <v>5922</v>
      </c>
      <c r="C1909" s="4834">
        <f t="shared" si="118"/>
        <v>2.8103792264338496E-4</v>
      </c>
      <c r="D1909" s="3" t="str">
        <f t="shared" si="119"/>
        <v>2019</v>
      </c>
      <c r="J1909" s="270" t="s">
        <v>12995</v>
      </c>
      <c r="K1909" s="4837">
        <v>45666.920426079188</v>
      </c>
      <c r="L1909" s="4834">
        <f t="shared" si="121"/>
        <v>5.2940694036061367E-5</v>
      </c>
      <c r="S1909" s="270" t="s">
        <v>12987</v>
      </c>
      <c r="T1909" s="4838">
        <v>495.12149715687093</v>
      </c>
      <c r="U1909" s="4839">
        <f t="shared" si="120"/>
        <v>1.5814852070053606E-3</v>
      </c>
    </row>
    <row r="1910" spans="1:21">
      <c r="A1910" s="270" t="s">
        <v>12989</v>
      </c>
      <c r="B1910" s="3305">
        <v>5948</v>
      </c>
      <c r="C1910" s="4834">
        <f t="shared" si="118"/>
        <v>2.8424423343354198E-4</v>
      </c>
      <c r="D1910" s="3" t="str">
        <f t="shared" si="119"/>
        <v>2019</v>
      </c>
      <c r="J1910" s="270" t="s">
        <v>12996</v>
      </c>
      <c r="K1910" s="4837">
        <v>45623.516918211535</v>
      </c>
      <c r="L1910" s="4834">
        <f t="shared" si="121"/>
        <v>5.2947817687675158E-5</v>
      </c>
      <c r="S1910" s="270" t="s">
        <v>12988</v>
      </c>
      <c r="T1910" s="4838">
        <v>501.87315393628273</v>
      </c>
      <c r="U1910" s="4839">
        <f t="shared" si="120"/>
        <v>1.6338624382665468E-3</v>
      </c>
    </row>
    <row r="1911" spans="1:21">
      <c r="A1911" s="270" t="s">
        <v>12990</v>
      </c>
      <c r="B1911" s="3305">
        <v>6066</v>
      </c>
      <c r="C1911" s="4834">
        <f t="shared" si="118"/>
        <v>2.9756930062680218E-4</v>
      </c>
      <c r="D1911" s="3" t="str">
        <f t="shared" si="119"/>
        <v>2019</v>
      </c>
      <c r="J1911" s="270" t="s">
        <v>12997</v>
      </c>
      <c r="K1911" s="4837">
        <v>45843.749532206646</v>
      </c>
      <c r="L1911" s="4834">
        <f t="shared" si="121"/>
        <v>5.2893528989384668E-5</v>
      </c>
      <c r="S1911" s="270" t="s">
        <v>12989</v>
      </c>
      <c r="T1911" s="4838">
        <v>515.37646749510657</v>
      </c>
      <c r="U1911" s="4839">
        <f t="shared" si="120"/>
        <v>1.7360409734682801E-3</v>
      </c>
    </row>
    <row r="1912" spans="1:21">
      <c r="A1912" s="270" t="s">
        <v>12991</v>
      </c>
      <c r="B1912" s="3305">
        <v>6007.5</v>
      </c>
      <c r="C1912" s="4834">
        <f t="shared" si="118"/>
        <v>2.912251026985041E-4</v>
      </c>
      <c r="D1912" s="3" t="str">
        <f t="shared" si="119"/>
        <v>2019</v>
      </c>
      <c r="J1912" s="270" t="s">
        <v>12998</v>
      </c>
      <c r="K1912" s="4837">
        <v>45896.798264044875</v>
      </c>
      <c r="L1912" s="4834">
        <f t="shared" si="121"/>
        <v>5.2873706168387024E-5</v>
      </c>
      <c r="S1912" s="270" t="s">
        <v>12990</v>
      </c>
      <c r="T1912" s="4838">
        <v>524.70018400000856</v>
      </c>
      <c r="U1912" s="4839">
        <f t="shared" si="120"/>
        <v>1.8039643868155882E-3</v>
      </c>
    </row>
    <row r="1913" spans="1:21">
      <c r="A1913" s="270" t="s">
        <v>12992</v>
      </c>
      <c r="B1913" s="3305">
        <v>5968.5</v>
      </c>
      <c r="C1913" s="4834">
        <f t="shared" si="118"/>
        <v>2.8670681186343175E-4</v>
      </c>
      <c r="D1913" s="3" t="str">
        <f t="shared" si="119"/>
        <v>2019</v>
      </c>
      <c r="J1913" s="270" t="s">
        <v>12999</v>
      </c>
      <c r="K1913" s="4837">
        <v>45229.67027274584</v>
      </c>
      <c r="L1913" s="4834">
        <f t="shared" si="121"/>
        <v>5.2932124652415872E-5</v>
      </c>
      <c r="S1913" s="270" t="s">
        <v>12991</v>
      </c>
      <c r="T1913" s="4838">
        <v>526.95073625981263</v>
      </c>
      <c r="U1913" s="4839">
        <f t="shared" si="120"/>
        <v>1.8199730618256287E-3</v>
      </c>
    </row>
    <row r="1914" spans="1:21">
      <c r="A1914" s="270" t="s">
        <v>12993</v>
      </c>
      <c r="B1914" s="3305">
        <v>5980</v>
      </c>
      <c r="C1914" s="4834">
        <f t="shared" si="118"/>
        <v>2.8806219956663487E-4</v>
      </c>
      <c r="D1914" s="3" t="str">
        <f t="shared" si="119"/>
        <v>2019</v>
      </c>
      <c r="J1914" s="270" t="s">
        <v>13000</v>
      </c>
      <c r="K1914" s="4837">
        <v>46353.338865319391</v>
      </c>
      <c r="L1914" s="4834">
        <f t="shared" si="121"/>
        <v>5.2595491703349824E-5</v>
      </c>
      <c r="S1914" s="270" t="s">
        <v>12992</v>
      </c>
      <c r="T1914" s="4838">
        <v>528.23676612255781</v>
      </c>
      <c r="U1914" s="4839">
        <f t="shared" si="120"/>
        <v>1.8290475733362577E-3</v>
      </c>
    </row>
    <row r="1915" spans="1:21">
      <c r="A1915" s="270" t="s">
        <v>12994</v>
      </c>
      <c r="B1915" s="3305">
        <v>6010</v>
      </c>
      <c r="C1915" s="4834">
        <f t="shared" si="118"/>
        <v>2.9150705759082191E-4</v>
      </c>
      <c r="D1915" s="3" t="str">
        <f t="shared" si="119"/>
        <v>2019</v>
      </c>
      <c r="J1915" s="270" t="s">
        <v>13001</v>
      </c>
      <c r="K1915" s="4837">
        <v>47108.881409682152</v>
      </c>
      <c r="L1915" s="4834">
        <f t="shared" si="121"/>
        <v>5.171926806601351E-5</v>
      </c>
      <c r="S1915" s="270" t="s">
        <v>12993</v>
      </c>
      <c r="T1915" s="4838">
        <v>531.77334824510683</v>
      </c>
      <c r="U1915" s="4839">
        <f t="shared" si="120"/>
        <v>1.8537157049278205E-3</v>
      </c>
    </row>
    <row r="1916" spans="1:21">
      <c r="A1916" s="270" t="s">
        <v>12995</v>
      </c>
      <c r="B1916" s="3305">
        <v>5945</v>
      </c>
      <c r="C1916" s="4834">
        <f t="shared" si="118"/>
        <v>2.8387895390074393E-4</v>
      </c>
      <c r="D1916" s="3" t="str">
        <f t="shared" si="119"/>
        <v>2019</v>
      </c>
      <c r="J1916" s="270" t="s">
        <v>13002</v>
      </c>
      <c r="K1916" s="4837">
        <v>47108.881409682152</v>
      </c>
      <c r="L1916" s="4834">
        <f t="shared" si="121"/>
        <v>5.171926806601351E-5</v>
      </c>
      <c r="S1916" s="270" t="s">
        <v>12994</v>
      </c>
      <c r="T1916" s="4838">
        <v>531.77334824510683</v>
      </c>
      <c r="U1916" s="4839">
        <f t="shared" si="120"/>
        <v>1.8537157049278205E-3</v>
      </c>
    </row>
    <row r="1917" spans="1:21">
      <c r="A1917" s="270" t="s">
        <v>12996</v>
      </c>
      <c r="B1917" s="3305">
        <v>5949.5</v>
      </c>
      <c r="C1917" s="4834">
        <f t="shared" si="118"/>
        <v>2.8442640855017357E-4</v>
      </c>
      <c r="D1917" s="3" t="str">
        <f t="shared" si="119"/>
        <v>2019</v>
      </c>
      <c r="J1917" s="270" t="s">
        <v>13003</v>
      </c>
      <c r="K1917" s="4837">
        <v>48420.631869682169</v>
      </c>
      <c r="L1917" s="4834">
        <f t="shared" si="121"/>
        <v>4.9046515872001222E-5</v>
      </c>
      <c r="S1917" s="270" t="s">
        <v>12995</v>
      </c>
      <c r="T1917" s="4838">
        <v>528.55827358824399</v>
      </c>
      <c r="U1917" s="4839">
        <f t="shared" si="120"/>
        <v>1.8313076745651163E-3</v>
      </c>
    </row>
    <row r="1918" spans="1:21">
      <c r="A1918" s="270" t="s">
        <v>12997</v>
      </c>
      <c r="B1918" s="3305">
        <v>5943</v>
      </c>
      <c r="C1918" s="4834">
        <f t="shared" si="118"/>
        <v>2.8363474824195408E-4</v>
      </c>
      <c r="D1918" s="3" t="str">
        <f t="shared" si="119"/>
        <v>2019</v>
      </c>
      <c r="J1918" s="270" t="s">
        <v>13004</v>
      </c>
      <c r="K1918" s="4837">
        <v>48089.479180025301</v>
      </c>
      <c r="L1918" s="4834">
        <f t="shared" si="121"/>
        <v>4.9850359565406358E-5</v>
      </c>
      <c r="S1918" s="270" t="s">
        <v>12996</v>
      </c>
      <c r="T1918" s="4838">
        <v>526.95073625981263</v>
      </c>
      <c r="U1918" s="4839">
        <f t="shared" si="120"/>
        <v>1.8199730618256287E-3</v>
      </c>
    </row>
    <row r="1919" spans="1:21">
      <c r="A1919" s="270" t="s">
        <v>12998</v>
      </c>
      <c r="B1919" s="3305">
        <v>5926</v>
      </c>
      <c r="C1919" s="4834">
        <f t="shared" si="118"/>
        <v>2.8153710688826874E-4</v>
      </c>
      <c r="D1919" s="3" t="str">
        <f t="shared" si="119"/>
        <v>2019</v>
      </c>
      <c r="J1919" s="270" t="s">
        <v>13005</v>
      </c>
      <c r="K1919" s="4837">
        <v>48152.173135834128</v>
      </c>
      <c r="L1919" s="4834">
        <f t="shared" si="121"/>
        <v>4.97045415429133E-5</v>
      </c>
      <c r="S1919" s="270" t="s">
        <v>12997</v>
      </c>
      <c r="T1919" s="4838">
        <v>529.20128851961658</v>
      </c>
      <c r="U1919" s="4839">
        <f t="shared" si="120"/>
        <v>1.8358175075412972E-3</v>
      </c>
    </row>
    <row r="1920" spans="1:21">
      <c r="A1920" s="270" t="s">
        <v>12999</v>
      </c>
      <c r="B1920" s="3305">
        <v>5876</v>
      </c>
      <c r="C1920" s="4834">
        <f t="shared" si="118"/>
        <v>2.7514919762105437E-4</v>
      </c>
      <c r="D1920" s="3" t="str">
        <f t="shared" si="119"/>
        <v>2019</v>
      </c>
      <c r="J1920" s="270" t="s">
        <v>13006</v>
      </c>
      <c r="K1920" s="4837">
        <v>48377.228361814523</v>
      </c>
      <c r="L1920" s="4834">
        <f t="shared" si="121"/>
        <v>4.915654047085648E-5</v>
      </c>
      <c r="S1920" s="270" t="s">
        <v>12998</v>
      </c>
      <c r="T1920" s="4838">
        <v>529.84430345098906</v>
      </c>
      <c r="U1920" s="4839">
        <f t="shared" si="120"/>
        <v>1.8403133837522805E-3</v>
      </c>
    </row>
    <row r="1921" spans="1:21">
      <c r="A1921" s="270" t="s">
        <v>13000</v>
      </c>
      <c r="B1921" s="3305">
        <v>5769</v>
      </c>
      <c r="C1921" s="4834">
        <f t="shared" si="118"/>
        <v>2.6049696542536826E-4</v>
      </c>
      <c r="D1921" s="3" t="str">
        <f t="shared" si="119"/>
        <v>2019</v>
      </c>
      <c r="J1921" s="270" t="s">
        <v>13007</v>
      </c>
      <c r="K1921" s="4837">
        <v>48174.678658432174</v>
      </c>
      <c r="L1921" s="4834">
        <f t="shared" si="121"/>
        <v>4.9651461855984341E-5</v>
      </c>
      <c r="S1921" s="270" t="s">
        <v>12999</v>
      </c>
      <c r="T1921" s="4838">
        <v>514.73345256373409</v>
      </c>
      <c r="U1921" s="4839">
        <f t="shared" si="120"/>
        <v>1.7312692567904603E-3</v>
      </c>
    </row>
    <row r="1922" spans="1:21">
      <c r="A1922" s="270" t="s">
        <v>13001</v>
      </c>
      <c r="B1922" s="3305">
        <v>5647</v>
      </c>
      <c r="C1922" s="4834">
        <f t="shared" si="118"/>
        <v>2.4246847056973229E-4</v>
      </c>
      <c r="D1922" s="3" t="str">
        <f t="shared" si="119"/>
        <v>2019</v>
      </c>
      <c r="J1922" s="270" t="s">
        <v>13008</v>
      </c>
      <c r="K1922" s="4837">
        <v>48652.117244976296</v>
      </c>
      <c r="L1922" s="4834">
        <f t="shared" si="121"/>
        <v>4.8436698982408847E-5</v>
      </c>
      <c r="S1922" s="270" t="s">
        <v>13000</v>
      </c>
      <c r="T1922" s="4838">
        <v>520.84209441177336</v>
      </c>
      <c r="U1922" s="4839">
        <f t="shared" si="120"/>
        <v>1.7761583469600207E-3</v>
      </c>
    </row>
    <row r="1923" spans="1:21">
      <c r="A1923" s="270" t="s">
        <v>13002</v>
      </c>
      <c r="B1923" s="3305">
        <v>5667</v>
      </c>
      <c r="C1923" s="4834">
        <f t="shared" si="118"/>
        <v>2.4550319223182507E-4</v>
      </c>
      <c r="D1923" s="3" t="str">
        <f t="shared" si="119"/>
        <v>2019</v>
      </c>
      <c r="J1923" s="270" t="s">
        <v>13009</v>
      </c>
      <c r="K1923" s="4837">
        <v>48729.279036741005</v>
      </c>
      <c r="L1923" s="4834">
        <f t="shared" si="121"/>
        <v>4.8224995585675252E-5</v>
      </c>
      <c r="S1923" s="270" t="s">
        <v>13001</v>
      </c>
      <c r="T1923" s="4838">
        <v>530.16581091667535</v>
      </c>
      <c r="U1923" s="4839">
        <f t="shared" si="120"/>
        <v>1.8425560390681031E-3</v>
      </c>
    </row>
    <row r="1924" spans="1:21">
      <c r="A1924" s="270" t="s">
        <v>13003</v>
      </c>
      <c r="B1924" s="3305">
        <v>5673.5</v>
      </c>
      <c r="C1924" s="4834">
        <f t="shared" ref="C1924:C1987" si="122">_xlfn.NORM.DIST(B1924,$F$4,$F$3,FALSE)</f>
        <v>2.46483459162354E-4</v>
      </c>
      <c r="D1924" s="3" t="str">
        <f t="shared" ref="D1924:D1987" si="123">LEFT(A1924,4)</f>
        <v>2019</v>
      </c>
      <c r="J1924" s="270" t="s">
        <v>13010</v>
      </c>
      <c r="K1924" s="4837">
        <v>48716.418738113549</v>
      </c>
      <c r="L1924" s="4834">
        <f t="shared" si="121"/>
        <v>4.826056675299719E-5</v>
      </c>
      <c r="S1924" s="270" t="s">
        <v>13002</v>
      </c>
      <c r="T1924" s="4838">
        <v>530.16581091667535</v>
      </c>
      <c r="U1924" s="4839">
        <f t="shared" ref="U1924:U1987" si="124">_xlfn.NORM.DIST(T1924,$X$4,$X$3,FALSE)</f>
        <v>1.8425560390681031E-3</v>
      </c>
    </row>
    <row r="1925" spans="1:21">
      <c r="A1925" s="270" t="s">
        <v>13004</v>
      </c>
      <c r="B1925" s="3305">
        <v>5723</v>
      </c>
      <c r="C1925" s="4834">
        <f t="shared" si="122"/>
        <v>2.538431134812407E-4</v>
      </c>
      <c r="D1925" s="3" t="str">
        <f t="shared" si="123"/>
        <v>2019</v>
      </c>
      <c r="J1925" s="270" t="s">
        <v>13011</v>
      </c>
      <c r="K1925" s="4837">
        <v>48116.807314608639</v>
      </c>
      <c r="L1925" s="4834">
        <f t="shared" ref="L1925:L1988" si="125">_xlfn.NORM.DIST(K1925,$O$4,$O$3,FALSE)</f>
        <v>4.9787169314855074E-5</v>
      </c>
      <c r="S1925" s="270" t="s">
        <v>13003</v>
      </c>
      <c r="T1925" s="4838">
        <v>540.77555728432264</v>
      </c>
      <c r="U1925" s="4839">
        <f t="shared" si="124"/>
        <v>1.914456828465761E-3</v>
      </c>
    </row>
    <row r="1926" spans="1:21">
      <c r="A1926" s="270" t="s">
        <v>13005</v>
      </c>
      <c r="B1926" s="3305">
        <v>5744</v>
      </c>
      <c r="C1926" s="4834">
        <f t="shared" si="122"/>
        <v>2.5690440993330862E-4</v>
      </c>
      <c r="D1926" s="3" t="str">
        <f t="shared" si="123"/>
        <v>2019</v>
      </c>
      <c r="J1926" s="270" t="s">
        <v>13012</v>
      </c>
      <c r="K1926" s="4837">
        <v>48372.405749829224</v>
      </c>
      <c r="L1926" s="4834">
        <f t="shared" si="125"/>
        <v>4.9168679893170369E-5</v>
      </c>
      <c r="S1926" s="270" t="s">
        <v>13004</v>
      </c>
      <c r="T1926" s="4838">
        <v>547.20570659804821</v>
      </c>
      <c r="U1926" s="4839">
        <f t="shared" si="124"/>
        <v>1.9558591838603361E-3</v>
      </c>
    </row>
    <row r="1927" spans="1:21">
      <c r="A1927" s="270" t="s">
        <v>13006</v>
      </c>
      <c r="B1927" s="3305">
        <v>5724.5</v>
      </c>
      <c r="C1927" s="4834">
        <f t="shared" si="122"/>
        <v>2.5406304320488949E-4</v>
      </c>
      <c r="D1927" s="3" t="str">
        <f t="shared" si="123"/>
        <v>2019</v>
      </c>
      <c r="J1927" s="270" t="s">
        <v>13013</v>
      </c>
      <c r="K1927" s="4837">
        <v>48330.609779290018</v>
      </c>
      <c r="L1927" s="4834">
        <f t="shared" si="125"/>
        <v>4.9273167944701664E-5</v>
      </c>
      <c r="S1927" s="270" t="s">
        <v>13005</v>
      </c>
      <c r="T1927" s="4838">
        <v>546.56269166667573</v>
      </c>
      <c r="U1927" s="4839">
        <f t="shared" si="124"/>
        <v>1.9517985829047644E-3</v>
      </c>
    </row>
    <row r="1928" spans="1:21">
      <c r="A1928" s="270" t="s">
        <v>13007</v>
      </c>
      <c r="B1928" s="3305">
        <v>5697</v>
      </c>
      <c r="C1928" s="4834">
        <f t="shared" si="122"/>
        <v>2.5000143029142366E-4</v>
      </c>
      <c r="D1928" s="3" t="str">
        <f t="shared" si="123"/>
        <v>2019</v>
      </c>
      <c r="J1928" s="270" t="s">
        <v>13014</v>
      </c>
      <c r="K1928" s="4837">
        <v>48292.028883407664</v>
      </c>
      <c r="L1928" s="4834">
        <f t="shared" si="125"/>
        <v>4.9368466603752068E-5</v>
      </c>
      <c r="S1928" s="270" t="s">
        <v>13006</v>
      </c>
      <c r="T1928" s="4838">
        <v>545.27666180393066</v>
      </c>
      <c r="U1928" s="4839">
        <f t="shared" si="124"/>
        <v>1.9436232440054244E-3</v>
      </c>
    </row>
    <row r="1929" spans="1:21">
      <c r="A1929" s="270" t="s">
        <v>13008</v>
      </c>
      <c r="B1929" s="3305">
        <v>5732</v>
      </c>
      <c r="C1929" s="4834">
        <f t="shared" si="122"/>
        <v>2.5515980401213993E-4</v>
      </c>
      <c r="D1929" s="3" t="str">
        <f t="shared" si="123"/>
        <v>2019</v>
      </c>
      <c r="J1929" s="270" t="s">
        <v>13015</v>
      </c>
      <c r="K1929" s="4837">
        <v>48348.292689902759</v>
      </c>
      <c r="L1929" s="4834">
        <f t="shared" si="125"/>
        <v>4.9229119340150086E-5</v>
      </c>
      <c r="S1929" s="270" t="s">
        <v>13007</v>
      </c>
      <c r="T1929" s="4838">
        <v>561.03052762255822</v>
      </c>
      <c r="U1929" s="4839">
        <f t="shared" si="124"/>
        <v>2.0385088127911162E-3</v>
      </c>
    </row>
    <row r="1930" spans="1:21">
      <c r="A1930" s="270" t="s">
        <v>13009</v>
      </c>
      <c r="B1930" s="3305">
        <v>5696.5</v>
      </c>
      <c r="C1930" s="4834">
        <f t="shared" si="122"/>
        <v>2.4992701898565804E-4</v>
      </c>
      <c r="D1930" s="3" t="str">
        <f t="shared" si="123"/>
        <v>2019</v>
      </c>
      <c r="J1930" s="270" t="s">
        <v>13016</v>
      </c>
      <c r="K1930" s="4837">
        <v>49285.486952378262</v>
      </c>
      <c r="L1930" s="4834">
        <f t="shared" si="125"/>
        <v>4.6581281728468069E-5</v>
      </c>
      <c r="S1930" s="270" t="s">
        <v>13008</v>
      </c>
      <c r="T1930" s="4838">
        <v>550.42078125491116</v>
      </c>
      <c r="U1930" s="4839">
        <f t="shared" si="124"/>
        <v>1.9758855826659785E-3</v>
      </c>
    </row>
    <row r="1931" spans="1:21">
      <c r="A1931" s="270" t="s">
        <v>13010</v>
      </c>
      <c r="B1931" s="3305">
        <v>5710</v>
      </c>
      <c r="C1931" s="4834">
        <f t="shared" si="122"/>
        <v>2.5192916060670184E-4</v>
      </c>
      <c r="D1931" s="3" t="str">
        <f t="shared" si="123"/>
        <v>2019</v>
      </c>
      <c r="J1931" s="270" t="s">
        <v>13017</v>
      </c>
      <c r="K1931" s="4837">
        <v>49420.520087966499</v>
      </c>
      <c r="L1931" s="4834">
        <f t="shared" si="125"/>
        <v>4.6152782411135021E-5</v>
      </c>
      <c r="S1931" s="270" t="s">
        <v>13009</v>
      </c>
      <c r="T1931" s="4838">
        <v>555.88640817157773</v>
      </c>
      <c r="U1931" s="4839">
        <f t="shared" si="124"/>
        <v>2.0088319246666458E-3</v>
      </c>
    </row>
    <row r="1932" spans="1:21">
      <c r="A1932" s="270" t="s">
        <v>13011</v>
      </c>
      <c r="B1932" s="3305">
        <v>5755.5</v>
      </c>
      <c r="C1932" s="4834">
        <f t="shared" si="122"/>
        <v>2.5856418962536502E-4</v>
      </c>
      <c r="D1932" s="3" t="str">
        <f t="shared" si="123"/>
        <v>2019</v>
      </c>
      <c r="J1932" s="270" t="s">
        <v>13018</v>
      </c>
      <c r="K1932" s="4837">
        <v>49518.579865000815</v>
      </c>
      <c r="L1932" s="4834">
        <f t="shared" si="125"/>
        <v>4.5834851119159439E-5</v>
      </c>
      <c r="S1932" s="270" t="s">
        <v>13010</v>
      </c>
      <c r="T1932" s="4838">
        <v>551.70681111765623</v>
      </c>
      <c r="U1932" s="4839">
        <f t="shared" si="124"/>
        <v>1.9837643173850968E-3</v>
      </c>
    </row>
    <row r="1933" spans="1:21">
      <c r="A1933" s="270" t="s">
        <v>13012</v>
      </c>
      <c r="B1933" s="3305">
        <v>5698</v>
      </c>
      <c r="C1933" s="4834">
        <f t="shared" si="122"/>
        <v>2.5015019412051912E-4</v>
      </c>
      <c r="D1933" s="3" t="str">
        <f t="shared" si="123"/>
        <v>2019</v>
      </c>
      <c r="J1933" s="270" t="s">
        <v>13019</v>
      </c>
      <c r="K1933" s="4837">
        <v>49139.201055491008</v>
      </c>
      <c r="L1933" s="4834">
        <f t="shared" si="125"/>
        <v>4.7032922628818485E-5</v>
      </c>
      <c r="S1933" s="270" t="s">
        <v>13011</v>
      </c>
      <c r="T1933" s="4838">
        <v>544.31213940687178</v>
      </c>
      <c r="U1933" s="4839">
        <f t="shared" si="124"/>
        <v>1.9374449568594287E-3</v>
      </c>
    </row>
    <row r="1934" spans="1:21">
      <c r="A1934" s="270" t="s">
        <v>13013</v>
      </c>
      <c r="B1934" s="3305">
        <v>5696.5</v>
      </c>
      <c r="C1934" s="4834">
        <f t="shared" si="122"/>
        <v>2.4992701898565804E-4</v>
      </c>
      <c r="D1934" s="3" t="str">
        <f t="shared" si="123"/>
        <v>2019</v>
      </c>
      <c r="J1934" s="270" t="s">
        <v>13020</v>
      </c>
      <c r="K1934" s="4837">
        <v>49060.431726397874</v>
      </c>
      <c r="L1934" s="4834">
        <f t="shared" si="125"/>
        <v>4.7270540854471865E-5</v>
      </c>
      <c r="S1934" s="270" t="s">
        <v>13012</v>
      </c>
      <c r="T1934" s="4838">
        <v>547.20570659804821</v>
      </c>
      <c r="U1934" s="4839">
        <f t="shared" si="124"/>
        <v>1.9558591838603361E-3</v>
      </c>
    </row>
    <row r="1935" spans="1:21">
      <c r="A1935" s="270" t="s">
        <v>13014</v>
      </c>
      <c r="B1935" s="3305">
        <v>5668</v>
      </c>
      <c r="C1935" s="4834">
        <f t="shared" si="122"/>
        <v>2.456541993952445E-4</v>
      </c>
      <c r="D1935" s="3" t="str">
        <f t="shared" si="123"/>
        <v>2019</v>
      </c>
      <c r="J1935" s="270" t="s">
        <v>13021</v>
      </c>
      <c r="K1935" s="4837">
        <v>49443.025610564539</v>
      </c>
      <c r="L1935" s="4834">
        <f t="shared" si="125"/>
        <v>4.6080310518189984E-5</v>
      </c>
      <c r="S1935" s="270" t="s">
        <v>13013</v>
      </c>
      <c r="T1935" s="4838">
        <v>550.09927378922475</v>
      </c>
      <c r="U1935" s="4839">
        <f t="shared" si="124"/>
        <v>1.9739039918026569E-3</v>
      </c>
    </row>
    <row r="1936" spans="1:21">
      <c r="A1936" s="270" t="s">
        <v>13015</v>
      </c>
      <c r="B1936" s="3305">
        <v>5675</v>
      </c>
      <c r="C1936" s="4834">
        <f t="shared" si="122"/>
        <v>2.4670924164594198E-4</v>
      </c>
      <c r="D1936" s="3" t="str">
        <f t="shared" si="123"/>
        <v>2019</v>
      </c>
      <c r="J1936" s="270" t="s">
        <v>13022</v>
      </c>
      <c r="K1936" s="4837">
        <v>49708.269269755721</v>
      </c>
      <c r="L1936" s="4834">
        <f t="shared" si="125"/>
        <v>4.5204293697899872E-5</v>
      </c>
      <c r="S1936" s="270" t="s">
        <v>13014</v>
      </c>
      <c r="T1936" s="4838">
        <v>545.27666180393066</v>
      </c>
      <c r="U1936" s="4839">
        <f t="shared" si="124"/>
        <v>1.9436232440054244E-3</v>
      </c>
    </row>
    <row r="1937" spans="1:21">
      <c r="A1937" s="270" t="s">
        <v>13016</v>
      </c>
      <c r="B1937" s="3305">
        <v>5662</v>
      </c>
      <c r="C1937" s="4834">
        <f t="shared" si="122"/>
        <v>2.4474709670536791E-4</v>
      </c>
      <c r="D1937" s="3" t="str">
        <f t="shared" si="123"/>
        <v>2019</v>
      </c>
      <c r="J1937" s="270" t="s">
        <v>13023</v>
      </c>
      <c r="K1937" s="4837">
        <v>49161.706578089048</v>
      </c>
      <c r="L1937" s="4834">
        <f t="shared" si="125"/>
        <v>4.696430818735215E-5</v>
      </c>
      <c r="S1937" s="270" t="s">
        <v>13015</v>
      </c>
      <c r="T1937" s="4838">
        <v>548.1702289951071</v>
      </c>
      <c r="U1937" s="4839">
        <f t="shared" si="124"/>
        <v>1.9619158322634429E-3</v>
      </c>
    </row>
    <row r="1938" spans="1:21">
      <c r="A1938" s="270" t="s">
        <v>13017</v>
      </c>
      <c r="B1938" s="3305">
        <v>5653</v>
      </c>
      <c r="C1938" s="4834">
        <f t="shared" si="122"/>
        <v>2.4338175124611483E-4</v>
      </c>
      <c r="D1938" s="3" t="str">
        <f t="shared" si="123"/>
        <v>2019</v>
      </c>
      <c r="J1938" s="270" t="s">
        <v>13024</v>
      </c>
      <c r="K1938" s="4837">
        <v>48988.092546618456</v>
      </c>
      <c r="L1938" s="4834">
        <f t="shared" si="125"/>
        <v>4.7485245291872646E-5</v>
      </c>
      <c r="S1938" s="270" t="s">
        <v>13016</v>
      </c>
      <c r="T1938" s="4838">
        <v>570.03273666177415</v>
      </c>
      <c r="U1938" s="4839">
        <f t="shared" si="124"/>
        <v>2.0871203513634249E-3</v>
      </c>
    </row>
    <row r="1939" spans="1:21">
      <c r="A1939" s="270" t="s">
        <v>13018</v>
      </c>
      <c r="B1939" s="3305">
        <v>5722</v>
      </c>
      <c r="C1939" s="4834">
        <f t="shared" si="122"/>
        <v>2.5369638772924019E-4</v>
      </c>
      <c r="D1939" s="3" t="str">
        <f t="shared" si="123"/>
        <v>2019</v>
      </c>
      <c r="J1939" s="270" t="s">
        <v>13025</v>
      </c>
      <c r="K1939" s="4837">
        <v>48521.906721373351</v>
      </c>
      <c r="L1939" s="4834">
        <f t="shared" si="125"/>
        <v>4.8784449963045725E-5</v>
      </c>
      <c r="S1939" s="270" t="s">
        <v>13017</v>
      </c>
      <c r="T1939" s="4838">
        <v>590.60921446569603</v>
      </c>
      <c r="U1939" s="4839">
        <f t="shared" si="124"/>
        <v>2.1806625400658209E-3</v>
      </c>
    </row>
    <row r="1940" spans="1:21">
      <c r="A1940" s="270" t="s">
        <v>13019</v>
      </c>
      <c r="B1940" s="3305">
        <v>5678</v>
      </c>
      <c r="C1940" s="4834">
        <f t="shared" si="122"/>
        <v>2.4716031345769471E-4</v>
      </c>
      <c r="D1940" s="3" t="str">
        <f t="shared" si="123"/>
        <v>2019</v>
      </c>
      <c r="J1940" s="270" t="s">
        <v>13026</v>
      </c>
      <c r="K1940" s="4837">
        <v>48169.856046446876</v>
      </c>
      <c r="L1940" s="4834">
        <f t="shared" si="125"/>
        <v>4.9662868616733621E-5</v>
      </c>
      <c r="S1940" s="270" t="s">
        <v>13018</v>
      </c>
      <c r="T1940" s="4838">
        <v>594.14579658824505</v>
      </c>
      <c r="U1940" s="4839">
        <f t="shared" si="124"/>
        <v>2.1940736172425123E-3</v>
      </c>
    </row>
    <row r="1941" spans="1:21">
      <c r="A1941" s="270" t="s">
        <v>13020</v>
      </c>
      <c r="B1941" s="3305">
        <v>5610.5</v>
      </c>
      <c r="C1941" s="4834">
        <f t="shared" si="122"/>
        <v>2.3686336440707166E-4</v>
      </c>
      <c r="D1941" s="3" t="str">
        <f t="shared" si="123"/>
        <v>2019</v>
      </c>
      <c r="J1941" s="270" t="s">
        <v>13027</v>
      </c>
      <c r="K1941" s="4837">
        <v>47925.510372525299</v>
      </c>
      <c r="L1941" s="4834">
        <f t="shared" si="125"/>
        <v>5.0217308189164846E-5</v>
      </c>
      <c r="S1941" s="270" t="s">
        <v>13019</v>
      </c>
      <c r="T1941" s="4838">
        <v>591.25222939706862</v>
      </c>
      <c r="U1941" s="4839">
        <f t="shared" si="124"/>
        <v>2.1831617012582024E-3</v>
      </c>
    </row>
    <row r="1942" spans="1:21">
      <c r="A1942" s="270" t="s">
        <v>13021</v>
      </c>
      <c r="B1942" s="3305">
        <v>5537</v>
      </c>
      <c r="C1942" s="4834">
        <f t="shared" si="122"/>
        <v>2.2535744244811382E-4</v>
      </c>
      <c r="D1942" s="3" t="str">
        <f t="shared" si="123"/>
        <v>2019</v>
      </c>
      <c r="J1942" s="270" t="s">
        <v>13028</v>
      </c>
      <c r="K1942" s="4837">
        <v>48714.811200785123</v>
      </c>
      <c r="L1942" s="4834">
        <f t="shared" si="125"/>
        <v>4.8265005102691699E-5</v>
      </c>
      <c r="S1942" s="270" t="s">
        <v>13020</v>
      </c>
      <c r="T1942" s="4838">
        <v>589.96619953432355</v>
      </c>
      <c r="U1942" s="4839">
        <f t="shared" si="124"/>
        <v>2.1781365762203898E-3</v>
      </c>
    </row>
    <row r="1943" spans="1:21">
      <c r="A1943" s="270" t="s">
        <v>13022</v>
      </c>
      <c r="B1943" s="3305">
        <v>5663</v>
      </c>
      <c r="C1943" s="4834">
        <f t="shared" si="122"/>
        <v>2.4489845628749619E-4</v>
      </c>
      <c r="D1943" s="3" t="str">
        <f t="shared" si="123"/>
        <v>2019</v>
      </c>
      <c r="J1943" s="270" t="s">
        <v>13029</v>
      </c>
      <c r="K1943" s="4837">
        <v>48325.787167304719</v>
      </c>
      <c r="L1943" s="4834">
        <f t="shared" si="125"/>
        <v>4.9285140907346182E-5</v>
      </c>
      <c r="S1943" s="270" t="s">
        <v>13021</v>
      </c>
      <c r="T1943" s="4838">
        <v>594.14579658824505</v>
      </c>
      <c r="U1943" s="4839">
        <f t="shared" si="124"/>
        <v>2.1940736172425123E-3</v>
      </c>
    </row>
    <row r="1944" spans="1:21">
      <c r="A1944" s="270" t="s">
        <v>13023</v>
      </c>
      <c r="B1944" s="3305">
        <v>5777</v>
      </c>
      <c r="C1944" s="4834">
        <f t="shared" si="122"/>
        <v>2.6163410253863325E-4</v>
      </c>
      <c r="D1944" s="3" t="str">
        <f t="shared" si="123"/>
        <v>2019</v>
      </c>
      <c r="J1944" s="270" t="s">
        <v>13030</v>
      </c>
      <c r="K1944" s="4837">
        <v>48136.09776254982</v>
      </c>
      <c r="L1944" s="4834">
        <f t="shared" si="125"/>
        <v>4.9742218519121654E-5</v>
      </c>
      <c r="S1944" s="270" t="s">
        <v>13022</v>
      </c>
      <c r="T1944" s="4838">
        <v>620.83091624020631</v>
      </c>
      <c r="U1944" s="4839">
        <f t="shared" si="124"/>
        <v>2.2676424818464957E-3</v>
      </c>
    </row>
    <row r="1945" spans="1:21">
      <c r="A1945" s="270" t="s">
        <v>13024</v>
      </c>
      <c r="B1945" s="3305">
        <v>5787.5</v>
      </c>
      <c r="C1945" s="4834">
        <f t="shared" si="122"/>
        <v>2.6311706992416584E-4</v>
      </c>
      <c r="D1945" s="3" t="str">
        <f t="shared" si="123"/>
        <v>2019</v>
      </c>
      <c r="J1945" s="270" t="s">
        <v>13031</v>
      </c>
      <c r="K1945" s="4837">
        <v>48293.636420736082</v>
      </c>
      <c r="L1945" s="4834">
        <f t="shared" si="125"/>
        <v>4.9364518000757458E-5</v>
      </c>
      <c r="S1945" s="270" t="s">
        <v>13023</v>
      </c>
      <c r="T1945" s="4838">
        <v>617.93734904902976</v>
      </c>
      <c r="U1945" s="4839">
        <f t="shared" si="124"/>
        <v>2.2621105725473593E-3</v>
      </c>
    </row>
    <row r="1946" spans="1:21">
      <c r="A1946" s="270" t="s">
        <v>13025</v>
      </c>
      <c r="B1946" s="3305">
        <v>5771</v>
      </c>
      <c r="C1946" s="4834">
        <f t="shared" si="122"/>
        <v>2.6078183012775562E-4</v>
      </c>
      <c r="D1946" s="3" t="str">
        <f t="shared" si="123"/>
        <v>2019</v>
      </c>
      <c r="J1946" s="270" t="s">
        <v>13032</v>
      </c>
      <c r="K1946" s="4837">
        <v>48338.647465932168</v>
      </c>
      <c r="L1946" s="4834">
        <f t="shared" si="125"/>
        <v>4.9253174611735563E-5</v>
      </c>
      <c r="S1946" s="270" t="s">
        <v>13024</v>
      </c>
      <c r="T1946" s="4838">
        <v>583.53605022059787</v>
      </c>
      <c r="U1946" s="4839">
        <f t="shared" si="124"/>
        <v>2.1514252262471428E-3</v>
      </c>
    </row>
    <row r="1947" spans="1:21">
      <c r="A1947" s="270" t="s">
        <v>13026</v>
      </c>
      <c r="B1947" s="3305">
        <v>5738</v>
      </c>
      <c r="C1947" s="4834">
        <f t="shared" si="122"/>
        <v>2.560336977514595E-4</v>
      </c>
      <c r="D1947" s="3" t="str">
        <f t="shared" si="123"/>
        <v>2019</v>
      </c>
      <c r="J1947" s="270" t="s">
        <v>13033</v>
      </c>
      <c r="K1947" s="4837">
        <v>48248.625375540018</v>
      </c>
      <c r="L1947" s="4834">
        <f t="shared" si="125"/>
        <v>4.9474346716891309E-5</v>
      </c>
      <c r="S1947" s="270" t="s">
        <v>13025</v>
      </c>
      <c r="T1947" s="4838">
        <v>584.17906515197046</v>
      </c>
      <c r="U1947" s="4839">
        <f t="shared" si="124"/>
        <v>2.1542135687324412E-3</v>
      </c>
    </row>
    <row r="1948" spans="1:21">
      <c r="A1948" s="270" t="s">
        <v>13027</v>
      </c>
      <c r="B1948" s="3305">
        <v>5765</v>
      </c>
      <c r="C1948" s="4834">
        <f t="shared" si="122"/>
        <v>2.5992608682221761E-4</v>
      </c>
      <c r="D1948" s="3" t="str">
        <f t="shared" si="123"/>
        <v>2019</v>
      </c>
      <c r="J1948" s="270" t="s">
        <v>13034</v>
      </c>
      <c r="K1948" s="4837">
        <v>48287.206271422372</v>
      </c>
      <c r="L1948" s="4834">
        <f t="shared" si="125"/>
        <v>4.9380300815623718E-5</v>
      </c>
      <c r="S1948" s="270" t="s">
        <v>13026</v>
      </c>
      <c r="T1948" s="4838">
        <v>578.39193076961737</v>
      </c>
      <c r="U1948" s="4839">
        <f t="shared" si="124"/>
        <v>2.1282043676275082E-3</v>
      </c>
    </row>
    <row r="1949" spans="1:21">
      <c r="A1949" s="270" t="s">
        <v>13028</v>
      </c>
      <c r="B1949" s="3305">
        <v>5842.5</v>
      </c>
      <c r="C1949" s="4834">
        <f t="shared" si="122"/>
        <v>2.7069770788366545E-4</v>
      </c>
      <c r="D1949" s="3" t="str">
        <f t="shared" si="123"/>
        <v>2019</v>
      </c>
      <c r="J1949" s="270" t="s">
        <v>13035</v>
      </c>
      <c r="K1949" s="4837">
        <v>48936.651352108645</v>
      </c>
      <c r="L1949" s="4834">
        <f t="shared" si="125"/>
        <v>4.7635844429589309E-5</v>
      </c>
      <c r="S1949" s="270" t="s">
        <v>13027</v>
      </c>
      <c r="T1949" s="4838">
        <v>584.17906515197046</v>
      </c>
      <c r="U1949" s="4839">
        <f t="shared" si="124"/>
        <v>2.1542135687324412E-3</v>
      </c>
    </row>
    <row r="1950" spans="1:21">
      <c r="A1950" s="270" t="s">
        <v>13029</v>
      </c>
      <c r="B1950" s="3305">
        <v>5870</v>
      </c>
      <c r="C1950" s="4834">
        <f t="shared" si="122"/>
        <v>2.7436167993778548E-4</v>
      </c>
      <c r="D1950" s="3" t="str">
        <f t="shared" si="123"/>
        <v>2019</v>
      </c>
      <c r="J1950" s="270" t="s">
        <v>13036</v>
      </c>
      <c r="K1950" s="4837">
        <v>48890.032769584148</v>
      </c>
      <c r="L1950" s="4834">
        <f t="shared" si="125"/>
        <v>4.7770813218284432E-5</v>
      </c>
      <c r="S1950" s="270" t="s">
        <v>13028</v>
      </c>
      <c r="T1950" s="4838">
        <v>584.82208008334305</v>
      </c>
      <c r="U1950" s="4839">
        <f t="shared" si="124"/>
        <v>2.1569761496595743E-3</v>
      </c>
    </row>
    <row r="1951" spans="1:21">
      <c r="A1951" s="270" t="s">
        <v>13030</v>
      </c>
      <c r="B1951" s="3305">
        <v>5877</v>
      </c>
      <c r="C1951" s="4834">
        <f t="shared" si="122"/>
        <v>2.7528002692641274E-4</v>
      </c>
      <c r="D1951" s="3" t="str">
        <f t="shared" si="123"/>
        <v>2019</v>
      </c>
      <c r="J1951" s="270" t="s">
        <v>13037</v>
      </c>
      <c r="K1951" s="4837">
        <v>49150.453816790025</v>
      </c>
      <c r="L1951" s="4834">
        <f t="shared" si="125"/>
        <v>4.6998655322817515E-5</v>
      </c>
      <c r="S1951" s="270" t="s">
        <v>13029</v>
      </c>
      <c r="T1951" s="4838">
        <v>583.53605022059787</v>
      </c>
      <c r="U1951" s="4839">
        <f t="shared" si="124"/>
        <v>2.1514252262471428E-3</v>
      </c>
    </row>
    <row r="1952" spans="1:21">
      <c r="A1952" s="270" t="s">
        <v>13031</v>
      </c>
      <c r="B1952" s="3305">
        <v>5762</v>
      </c>
      <c r="C1952" s="4834">
        <f t="shared" si="122"/>
        <v>2.5949692997342185E-4</v>
      </c>
      <c r="D1952" s="3" t="str">
        <f t="shared" si="123"/>
        <v>2019</v>
      </c>
      <c r="J1952" s="270" t="s">
        <v>13038</v>
      </c>
      <c r="K1952" s="4837">
        <v>48431.884630981192</v>
      </c>
      <c r="L1952" s="4834">
        <f t="shared" si="125"/>
        <v>4.9017765564616389E-5</v>
      </c>
      <c r="S1952" s="270" t="s">
        <v>13030</v>
      </c>
      <c r="T1952" s="4838">
        <v>573.56931878432317</v>
      </c>
      <c r="U1952" s="4839">
        <f t="shared" si="124"/>
        <v>2.1049955409764573E-3</v>
      </c>
    </row>
    <row r="1953" spans="1:21">
      <c r="A1953" s="270" t="s">
        <v>13032</v>
      </c>
      <c r="B1953" s="3305">
        <v>5745</v>
      </c>
      <c r="C1953" s="4834">
        <f t="shared" si="122"/>
        <v>2.5704921560794526E-4</v>
      </c>
      <c r="D1953" s="3" t="str">
        <f t="shared" si="123"/>
        <v>2019</v>
      </c>
      <c r="J1953" s="270" t="s">
        <v>13039</v>
      </c>
      <c r="K1953" s="4837">
        <v>47901.397312598834</v>
      </c>
      <c r="L1953" s="4834">
        <f t="shared" si="125"/>
        <v>5.0269489748233947E-5</v>
      </c>
      <c r="S1953" s="270" t="s">
        <v>13031</v>
      </c>
      <c r="T1953" s="4838">
        <v>573.56931878432317</v>
      </c>
      <c r="U1953" s="4839">
        <f t="shared" si="124"/>
        <v>2.1049955409764573E-3</v>
      </c>
    </row>
    <row r="1954" spans="1:21">
      <c r="A1954" s="270" t="s">
        <v>13033</v>
      </c>
      <c r="B1954" s="3305">
        <v>5758.5</v>
      </c>
      <c r="C1954" s="4834">
        <f t="shared" si="122"/>
        <v>2.5899517560719993E-4</v>
      </c>
      <c r="D1954" s="3" t="str">
        <f t="shared" si="123"/>
        <v>2019</v>
      </c>
      <c r="J1954" s="270" t="s">
        <v>13040</v>
      </c>
      <c r="K1954" s="4837">
        <v>47753.503878383141</v>
      </c>
      <c r="L1954" s="4834">
        <f t="shared" si="125"/>
        <v>5.0579386709146826E-5</v>
      </c>
      <c r="S1954" s="270" t="s">
        <v>13032</v>
      </c>
      <c r="T1954" s="4838">
        <v>573.89082625000958</v>
      </c>
      <c r="U1954" s="4839">
        <f t="shared" si="124"/>
        <v>2.1065850961438622E-3</v>
      </c>
    </row>
    <row r="1955" spans="1:21">
      <c r="A1955" s="270" t="s">
        <v>13034</v>
      </c>
      <c r="B1955" s="3305">
        <v>5777.5</v>
      </c>
      <c r="C1955" s="4834">
        <f t="shared" si="122"/>
        <v>2.6170496692478804E-4</v>
      </c>
      <c r="D1955" s="3" t="str">
        <f t="shared" si="123"/>
        <v>2019</v>
      </c>
      <c r="J1955" s="270" t="s">
        <v>13041</v>
      </c>
      <c r="K1955" s="4837">
        <v>47372.517531544901</v>
      </c>
      <c r="L1955" s="4834">
        <f t="shared" si="125"/>
        <v>5.1295386136752072E-5</v>
      </c>
      <c r="S1955" s="270" t="s">
        <v>13033</v>
      </c>
      <c r="T1955" s="4838">
        <v>570.99725905883304</v>
      </c>
      <c r="U1955" s="4839">
        <f t="shared" si="124"/>
        <v>2.0920657665781544E-3</v>
      </c>
    </row>
    <row r="1956" spans="1:21">
      <c r="A1956" s="270" t="s">
        <v>13035</v>
      </c>
      <c r="B1956" s="3305">
        <v>5695</v>
      </c>
      <c r="C1956" s="4834">
        <f t="shared" si="122"/>
        <v>2.4970366787146391E-4</v>
      </c>
      <c r="D1956" s="3" t="str">
        <f t="shared" si="123"/>
        <v>2019</v>
      </c>
      <c r="J1956" s="270" t="s">
        <v>13042</v>
      </c>
      <c r="K1956" s="4837">
        <v>47988.204328334119</v>
      </c>
      <c r="L1956" s="4834">
        <f t="shared" si="125"/>
        <v>5.0079488014781566E-5</v>
      </c>
      <c r="S1956" s="270" t="s">
        <v>13034</v>
      </c>
      <c r="T1956" s="4838">
        <v>574.85534864706824</v>
      </c>
      <c r="U1956" s="4839">
        <f t="shared" si="124"/>
        <v>2.1113178367500713E-3</v>
      </c>
    </row>
    <row r="1957" spans="1:21">
      <c r="A1957" s="270" t="s">
        <v>13036</v>
      </c>
      <c r="B1957" s="3305">
        <v>5761</v>
      </c>
      <c r="C1957" s="4834">
        <f t="shared" si="122"/>
        <v>2.5935368891134001E-4</v>
      </c>
      <c r="D1957" s="3" t="str">
        <f t="shared" si="123"/>
        <v>2019</v>
      </c>
      <c r="J1957" s="270" t="s">
        <v>13043</v>
      </c>
      <c r="K1957" s="4837">
        <v>48775.89761926551</v>
      </c>
      <c r="L1957" s="4834">
        <f t="shared" si="125"/>
        <v>4.8095094696235634E-5</v>
      </c>
      <c r="S1957" s="270" t="s">
        <v>13035</v>
      </c>
      <c r="T1957" s="4838">
        <v>590.93072193138232</v>
      </c>
      <c r="U1957" s="4839">
        <f t="shared" si="124"/>
        <v>2.1819154771933556E-3</v>
      </c>
    </row>
    <row r="1958" spans="1:21">
      <c r="A1958" s="270" t="s">
        <v>13037</v>
      </c>
      <c r="B1958" s="3305">
        <v>5718.5</v>
      </c>
      <c r="C1958" s="4834">
        <f t="shared" si="122"/>
        <v>2.5318218405506802E-4</v>
      </c>
      <c r="D1958" s="3" t="str">
        <f t="shared" si="123"/>
        <v>2019</v>
      </c>
      <c r="J1958" s="270" t="s">
        <v>13044</v>
      </c>
      <c r="K1958" s="4837">
        <v>48198.79171835864</v>
      </c>
      <c r="L1958" s="4834">
        <f t="shared" si="125"/>
        <v>4.959416244760404E-5</v>
      </c>
      <c r="S1958" s="270" t="s">
        <v>13036</v>
      </c>
      <c r="T1958" s="4838">
        <v>596.7178563137353</v>
      </c>
      <c r="U1958" s="4839">
        <f t="shared" si="124"/>
        <v>2.2033087126147504E-3</v>
      </c>
    </row>
    <row r="1959" spans="1:21">
      <c r="A1959" s="270" t="s">
        <v>13038</v>
      </c>
      <c r="B1959" s="3305">
        <v>5757</v>
      </c>
      <c r="C1959" s="4834">
        <f t="shared" si="122"/>
        <v>2.5877978725347475E-4</v>
      </c>
      <c r="D1959" s="3" t="str">
        <f t="shared" si="123"/>
        <v>2019</v>
      </c>
      <c r="J1959" s="270" t="s">
        <v>13045</v>
      </c>
      <c r="K1959" s="4837">
        <v>48266.308286152758</v>
      </c>
      <c r="L1959" s="4834">
        <f t="shared" si="125"/>
        <v>4.9431381081422699E-5</v>
      </c>
      <c r="S1959" s="270" t="s">
        <v>13037</v>
      </c>
      <c r="T1959" s="4838">
        <v>597.03936377942159</v>
      </c>
      <c r="U1959" s="4839">
        <f t="shared" si="124"/>
        <v>2.2044320549397395E-3</v>
      </c>
    </row>
    <row r="1960" spans="1:21">
      <c r="A1960" s="270" t="s">
        <v>13039</v>
      </c>
      <c r="B1960" s="3305">
        <v>5714</v>
      </c>
      <c r="C1960" s="4834">
        <f t="shared" si="122"/>
        <v>2.525195616022881E-4</v>
      </c>
      <c r="D1960" s="3" t="str">
        <f t="shared" si="123"/>
        <v>2019</v>
      </c>
      <c r="J1960" s="270" t="s">
        <v>13046</v>
      </c>
      <c r="K1960" s="4837">
        <v>48414.201720368445</v>
      </c>
      <c r="L1960" s="4834">
        <f t="shared" si="125"/>
        <v>4.9062903035821351E-5</v>
      </c>
      <c r="S1960" s="270" t="s">
        <v>13038</v>
      </c>
      <c r="T1960" s="4838">
        <v>577.74891583824478</v>
      </c>
      <c r="U1960" s="4839">
        <f t="shared" si="124"/>
        <v>2.1251891941296412E-3</v>
      </c>
    </row>
    <row r="1961" spans="1:21">
      <c r="A1961" s="270" t="s">
        <v>13040</v>
      </c>
      <c r="B1961" s="3305">
        <v>5728</v>
      </c>
      <c r="C1961" s="4834">
        <f t="shared" si="122"/>
        <v>2.5457546672304248E-4</v>
      </c>
      <c r="D1961" s="3" t="str">
        <f t="shared" si="123"/>
        <v>2019</v>
      </c>
      <c r="J1961" s="270" t="s">
        <v>13047</v>
      </c>
      <c r="K1961" s="4837">
        <v>48459.212765564524</v>
      </c>
      <c r="L1961" s="4834">
        <f t="shared" si="125"/>
        <v>4.8947558814133568E-5</v>
      </c>
      <c r="S1961" s="270" t="s">
        <v>13039</v>
      </c>
      <c r="T1961" s="4838">
        <v>563.28107988236218</v>
      </c>
      <c r="U1961" s="4839">
        <f t="shared" si="124"/>
        <v>2.0510677096177553E-3</v>
      </c>
    </row>
    <row r="1962" spans="1:21">
      <c r="A1962" s="270" t="s">
        <v>13041</v>
      </c>
      <c r="B1962" s="3305">
        <v>5610</v>
      </c>
      <c r="C1962" s="4834">
        <f t="shared" si="122"/>
        <v>2.3678602642616416E-4</v>
      </c>
      <c r="D1962" s="3" t="str">
        <f t="shared" si="123"/>
        <v>2019</v>
      </c>
      <c r="J1962" s="270" t="s">
        <v>13048</v>
      </c>
      <c r="K1962" s="4837">
        <v>48058.935970785111</v>
      </c>
      <c r="L1962" s="4834">
        <f t="shared" si="125"/>
        <v>4.9920301401891587E-5</v>
      </c>
      <c r="S1962" s="270" t="s">
        <v>13040</v>
      </c>
      <c r="T1962" s="4838">
        <v>554.92188577451896</v>
      </c>
      <c r="U1962" s="4839">
        <f t="shared" si="124"/>
        <v>2.0031214187305152E-3</v>
      </c>
    </row>
    <row r="1963" spans="1:21">
      <c r="A1963" s="270" t="s">
        <v>13042</v>
      </c>
      <c r="B1963" s="3305">
        <v>5629</v>
      </c>
      <c r="C1963" s="4834">
        <f t="shared" si="122"/>
        <v>2.3971456898853221E-4</v>
      </c>
      <c r="D1963" s="3" t="str">
        <f t="shared" si="123"/>
        <v>2019</v>
      </c>
      <c r="J1963" s="270" t="s">
        <v>13049</v>
      </c>
      <c r="K1963" s="4837">
        <v>47555.776786986076</v>
      </c>
      <c r="L1963" s="4834">
        <f t="shared" si="125"/>
        <v>5.0965994373649147E-5</v>
      </c>
      <c r="S1963" s="270" t="s">
        <v>13041</v>
      </c>
      <c r="T1963" s="4838">
        <v>550.09927378922475</v>
      </c>
      <c r="U1963" s="4839">
        <f t="shared" si="124"/>
        <v>1.9739039918026569E-3</v>
      </c>
    </row>
    <row r="1964" spans="1:21">
      <c r="A1964" s="270" t="s">
        <v>13043</v>
      </c>
      <c r="B1964" s="3305">
        <v>5626</v>
      </c>
      <c r="C1964" s="4834">
        <f t="shared" si="122"/>
        <v>2.3925360444912523E-4</v>
      </c>
      <c r="D1964" s="3" t="str">
        <f t="shared" si="123"/>
        <v>2019</v>
      </c>
      <c r="J1964" s="270" t="s">
        <v>13050</v>
      </c>
      <c r="K1964" s="4837">
        <v>47923.902835196866</v>
      </c>
      <c r="L1964" s="4834">
        <f t="shared" si="125"/>
        <v>5.0220801282880898E-5</v>
      </c>
      <c r="S1964" s="270" t="s">
        <v>13042</v>
      </c>
      <c r="T1964" s="4838">
        <v>554.92188577451896</v>
      </c>
      <c r="U1964" s="4839">
        <f t="shared" si="124"/>
        <v>2.0031214187305152E-3</v>
      </c>
    </row>
    <row r="1965" spans="1:21">
      <c r="A1965" s="270" t="s">
        <v>13044</v>
      </c>
      <c r="B1965" s="3305">
        <v>5599</v>
      </c>
      <c r="C1965" s="4834">
        <f t="shared" si="122"/>
        <v>2.350810380207306E-4</v>
      </c>
      <c r="D1965" s="3" t="str">
        <f t="shared" si="123"/>
        <v>2019</v>
      </c>
      <c r="J1965" s="270" t="s">
        <v>13051</v>
      </c>
      <c r="K1965" s="4837">
        <v>47833.880744804708</v>
      </c>
      <c r="L1965" s="4834">
        <f t="shared" si="125"/>
        <v>5.0413138674880979E-5</v>
      </c>
      <c r="S1965" s="270" t="s">
        <v>13043</v>
      </c>
      <c r="T1965" s="4838">
        <v>565.85313960785254</v>
      </c>
      <c r="U1965" s="4839">
        <f t="shared" si="124"/>
        <v>2.0650936040706703E-3</v>
      </c>
    </row>
    <row r="1966" spans="1:21">
      <c r="A1966" s="270" t="s">
        <v>13045</v>
      </c>
      <c r="B1966" s="3305">
        <v>5626</v>
      </c>
      <c r="C1966" s="4834">
        <f t="shared" si="122"/>
        <v>2.3925360444912523E-4</v>
      </c>
      <c r="D1966" s="3" t="str">
        <f t="shared" si="123"/>
        <v>2019</v>
      </c>
      <c r="J1966" s="270" t="s">
        <v>13052</v>
      </c>
      <c r="K1966" s="4837">
        <v>47747.073729069416</v>
      </c>
      <c r="L1966" s="4834">
        <f t="shared" si="125"/>
        <v>5.0592461388724521E-5</v>
      </c>
      <c r="S1966" s="270" t="s">
        <v>13044</v>
      </c>
      <c r="T1966" s="4838">
        <v>566.17464707353872</v>
      </c>
      <c r="U1966" s="4839">
        <f t="shared" si="124"/>
        <v>2.0668219053508736E-3</v>
      </c>
    </row>
    <row r="1967" spans="1:21">
      <c r="A1967" s="270" t="s">
        <v>13046</v>
      </c>
      <c r="B1967" s="3305">
        <v>5650.5</v>
      </c>
      <c r="C1967" s="4834">
        <f t="shared" si="122"/>
        <v>2.4300151008325058E-4</v>
      </c>
      <c r="D1967" s="3" t="str">
        <f t="shared" si="123"/>
        <v>2019</v>
      </c>
      <c r="J1967" s="270" t="s">
        <v>13053</v>
      </c>
      <c r="K1967" s="4837">
        <v>47989.811865662559</v>
      </c>
      <c r="L1967" s="4834">
        <f t="shared" si="125"/>
        <v>5.0075913534410584E-5</v>
      </c>
      <c r="S1967" s="270" t="s">
        <v>13045</v>
      </c>
      <c r="T1967" s="4838">
        <v>560.38751269118575</v>
      </c>
      <c r="U1967" s="4839">
        <f t="shared" si="124"/>
        <v>2.0348723479946939E-3</v>
      </c>
    </row>
    <row r="1968" spans="1:21">
      <c r="A1968" s="270" t="s">
        <v>13047</v>
      </c>
      <c r="B1968" s="3305">
        <v>5660</v>
      </c>
      <c r="C1968" s="4834">
        <f t="shared" si="122"/>
        <v>2.4444416854296915E-4</v>
      </c>
      <c r="D1968" s="3" t="str">
        <f t="shared" si="123"/>
        <v>2019</v>
      </c>
      <c r="J1968" s="270" t="s">
        <v>13054</v>
      </c>
      <c r="K1968" s="4837">
        <v>47904.612387255685</v>
      </c>
      <c r="L1968" s="4834">
        <f t="shared" si="125"/>
        <v>5.0262558830938177E-5</v>
      </c>
      <c r="S1968" s="270" t="s">
        <v>13046</v>
      </c>
      <c r="T1968" s="4838">
        <v>564.56710974510725</v>
      </c>
      <c r="U1968" s="4839">
        <f t="shared" si="124"/>
        <v>2.058124765569571E-3</v>
      </c>
    </row>
    <row r="1969" spans="1:21">
      <c r="A1969" s="270" t="s">
        <v>13048</v>
      </c>
      <c r="B1969" s="3305">
        <v>5698.5</v>
      </c>
      <c r="C1969" s="4834">
        <f t="shared" si="122"/>
        <v>2.5022454658252236E-4</v>
      </c>
      <c r="D1969" s="3" t="str">
        <f t="shared" si="123"/>
        <v>2019</v>
      </c>
      <c r="J1969" s="270" t="s">
        <v>13055</v>
      </c>
      <c r="K1969" s="4837">
        <v>47957.661119093937</v>
      </c>
      <c r="L1969" s="4834">
        <f t="shared" si="125"/>
        <v>5.0147017750169471E-5</v>
      </c>
      <c r="S1969" s="270" t="s">
        <v>13047</v>
      </c>
      <c r="T1969" s="4838">
        <v>571.64027399020551</v>
      </c>
      <c r="U1969" s="4839">
        <f t="shared" si="124"/>
        <v>2.0953335485031444E-3</v>
      </c>
    </row>
    <row r="1970" spans="1:21">
      <c r="A1970" s="270" t="s">
        <v>13049</v>
      </c>
      <c r="B1970" s="3305">
        <v>5763</v>
      </c>
      <c r="C1970" s="4834">
        <f t="shared" si="122"/>
        <v>2.5964007680802972E-4</v>
      </c>
      <c r="D1970" s="3" t="str">
        <f t="shared" si="123"/>
        <v>2019</v>
      </c>
      <c r="J1970" s="270" t="s">
        <v>13056</v>
      </c>
      <c r="K1970" s="4837">
        <v>47755.111415711566</v>
      </c>
      <c r="L1970" s="4834">
        <f t="shared" si="125"/>
        <v>5.0576112809320972E-5</v>
      </c>
      <c r="S1970" s="270" t="s">
        <v>13048</v>
      </c>
      <c r="T1970" s="4838">
        <v>570.67575159314663</v>
      </c>
      <c r="U1970" s="4839">
        <f t="shared" si="124"/>
        <v>2.0904231113856994E-3</v>
      </c>
    </row>
    <row r="1971" spans="1:21">
      <c r="A1971" s="270" t="s">
        <v>13050</v>
      </c>
      <c r="B1971" s="3305">
        <v>5718.5</v>
      </c>
      <c r="C1971" s="4834">
        <f t="shared" si="122"/>
        <v>2.5318218405506802E-4</v>
      </c>
      <c r="D1971" s="3" t="str">
        <f t="shared" si="123"/>
        <v>2019</v>
      </c>
      <c r="J1971" s="270" t="s">
        <v>13057</v>
      </c>
      <c r="K1971" s="4837">
        <v>48047.683209486087</v>
      </c>
      <c r="L1971" s="4834">
        <f t="shared" si="125"/>
        <v>4.994588719917333E-5</v>
      </c>
      <c r="S1971" s="270" t="s">
        <v>13049</v>
      </c>
      <c r="T1971" s="4838">
        <v>565.85313960785254</v>
      </c>
      <c r="U1971" s="4839">
        <f t="shared" si="124"/>
        <v>2.0650936040706703E-3</v>
      </c>
    </row>
    <row r="1972" spans="1:21">
      <c r="A1972" s="270" t="s">
        <v>13051</v>
      </c>
      <c r="B1972" s="3305">
        <v>5745</v>
      </c>
      <c r="C1972" s="4834">
        <f t="shared" si="122"/>
        <v>2.5704921560794526E-4</v>
      </c>
      <c r="D1972" s="3" t="str">
        <f t="shared" si="123"/>
        <v>2019</v>
      </c>
      <c r="J1972" s="270" t="s">
        <v>13058</v>
      </c>
      <c r="K1972" s="4837">
        <v>48115.199777280206</v>
      </c>
      <c r="L1972" s="4834">
        <f t="shared" si="125"/>
        <v>4.9790902309406374E-5</v>
      </c>
      <c r="S1972" s="270" t="s">
        <v>13050</v>
      </c>
      <c r="T1972" s="4838">
        <v>566.17464707353872</v>
      </c>
      <c r="U1972" s="4839">
        <f t="shared" si="124"/>
        <v>2.0668219053508736E-3</v>
      </c>
    </row>
    <row r="1973" spans="1:21">
      <c r="A1973" s="270" t="s">
        <v>13052</v>
      </c>
      <c r="B1973" s="3305">
        <v>5684</v>
      </c>
      <c r="C1973" s="4834">
        <f t="shared" si="122"/>
        <v>2.4806046126937147E-4</v>
      </c>
      <c r="D1973" s="3" t="str">
        <f t="shared" si="123"/>
        <v>2019</v>
      </c>
      <c r="J1973" s="270" t="s">
        <v>13059</v>
      </c>
      <c r="K1973" s="4837">
        <v>48658.547394290021</v>
      </c>
      <c r="L1973" s="4834">
        <f t="shared" si="125"/>
        <v>4.8419215627303337E-5</v>
      </c>
      <c r="S1973" s="270" t="s">
        <v>13051</v>
      </c>
      <c r="T1973" s="4838">
        <v>568.10369186765649</v>
      </c>
      <c r="U1973" s="4839">
        <f t="shared" si="124"/>
        <v>2.0770736184954055E-3</v>
      </c>
    </row>
    <row r="1974" spans="1:21">
      <c r="A1974" s="270" t="s">
        <v>13053</v>
      </c>
      <c r="B1974" s="3305">
        <v>5726.5</v>
      </c>
      <c r="C1974" s="4834">
        <f t="shared" si="122"/>
        <v>2.5435598492989096E-4</v>
      </c>
      <c r="D1974" s="3" t="str">
        <f t="shared" si="123"/>
        <v>2019</v>
      </c>
      <c r="J1974" s="270" t="s">
        <v>13060</v>
      </c>
      <c r="K1974" s="4837">
        <v>47981.774179020402</v>
      </c>
      <c r="L1974" s="4834">
        <f t="shared" si="125"/>
        <v>5.0093765675926704E-5</v>
      </c>
      <c r="S1974" s="270" t="s">
        <v>13052</v>
      </c>
      <c r="T1974" s="4838">
        <v>554.92188577451896</v>
      </c>
      <c r="U1974" s="4839">
        <f t="shared" si="124"/>
        <v>2.0031214187305152E-3</v>
      </c>
    </row>
    <row r="1975" spans="1:21">
      <c r="A1975" s="270" t="s">
        <v>13054</v>
      </c>
      <c r="B1975" s="3305">
        <v>5751</v>
      </c>
      <c r="C1975" s="4834">
        <f t="shared" si="122"/>
        <v>2.5791614931394409E-4</v>
      </c>
      <c r="D1975" s="3" t="str">
        <f t="shared" si="123"/>
        <v>2019</v>
      </c>
      <c r="J1975" s="270" t="s">
        <v>13061</v>
      </c>
      <c r="K1975" s="4837">
        <v>47800.122460907653</v>
      </c>
      <c r="L1975" s="4834">
        <f t="shared" si="125"/>
        <v>5.0483596216449635E-5</v>
      </c>
      <c r="S1975" s="270" t="s">
        <v>13053</v>
      </c>
      <c r="T1975" s="4838">
        <v>561.03052762255822</v>
      </c>
      <c r="U1975" s="4839">
        <f t="shared" si="124"/>
        <v>2.0385088127911162E-3</v>
      </c>
    </row>
    <row r="1976" spans="1:21">
      <c r="A1976" s="270" t="s">
        <v>13055</v>
      </c>
      <c r="B1976" s="3305">
        <v>5820</v>
      </c>
      <c r="C1976" s="4834">
        <f t="shared" si="122"/>
        <v>2.6763581184058733E-4</v>
      </c>
      <c r="D1976" s="3" t="str">
        <f t="shared" si="123"/>
        <v>2019</v>
      </c>
      <c r="J1976" s="270" t="s">
        <v>13062</v>
      </c>
      <c r="K1976" s="4837">
        <v>47972.128955049811</v>
      </c>
      <c r="L1976" s="4834">
        <f t="shared" si="125"/>
        <v>5.0115121335015606E-5</v>
      </c>
      <c r="S1976" s="270" t="s">
        <v>13054</v>
      </c>
      <c r="T1976" s="4838">
        <v>560.70902015687204</v>
      </c>
      <c r="U1976" s="4839">
        <f t="shared" si="124"/>
        <v>2.0366932359214751E-3</v>
      </c>
    </row>
    <row r="1977" spans="1:21">
      <c r="A1977" s="270" t="s">
        <v>13056</v>
      </c>
      <c r="B1977" s="3305">
        <v>5794</v>
      </c>
      <c r="C1977" s="4834">
        <f t="shared" si="122"/>
        <v>2.6402956756425773E-4</v>
      </c>
      <c r="D1977" s="3" t="str">
        <f t="shared" si="123"/>
        <v>2019</v>
      </c>
      <c r="J1977" s="270" t="s">
        <v>13063</v>
      </c>
      <c r="K1977" s="4837">
        <v>48578.170527868453</v>
      </c>
      <c r="L1977" s="4834">
        <f t="shared" si="125"/>
        <v>4.8635664793274884E-5</v>
      </c>
      <c r="S1977" s="270" t="s">
        <v>13055</v>
      </c>
      <c r="T1977" s="4838">
        <v>570.03273666177415</v>
      </c>
      <c r="U1977" s="4839">
        <f t="shared" si="124"/>
        <v>2.0871203513634249E-3</v>
      </c>
    </row>
    <row r="1978" spans="1:21">
      <c r="A1978" s="270" t="s">
        <v>13057</v>
      </c>
      <c r="B1978" s="3305">
        <v>5773</v>
      </c>
      <c r="C1978" s="4834">
        <f t="shared" si="122"/>
        <v>2.6106630917453375E-4</v>
      </c>
      <c r="D1978" s="3" t="str">
        <f t="shared" si="123"/>
        <v>2019</v>
      </c>
      <c r="J1978" s="270" t="s">
        <v>13064</v>
      </c>
      <c r="K1978" s="4837">
        <v>48509.046422745894</v>
      </c>
      <c r="L1978" s="4834">
        <f t="shared" si="125"/>
        <v>4.8818139483100064E-5</v>
      </c>
      <c r="S1978" s="270" t="s">
        <v>13056</v>
      </c>
      <c r="T1978" s="4838">
        <v>566.8176620049112</v>
      </c>
      <c r="U1978" s="4839">
        <f t="shared" si="124"/>
        <v>2.0702617026433982E-3</v>
      </c>
    </row>
    <row r="1979" spans="1:21">
      <c r="A1979" s="270" t="s">
        <v>13058</v>
      </c>
      <c r="B1979" s="3305">
        <v>5869</v>
      </c>
      <c r="C1979" s="4834">
        <f t="shared" si="122"/>
        <v>2.7423000552269876E-4</v>
      </c>
      <c r="D1979" s="3" t="str">
        <f t="shared" si="123"/>
        <v>2019</v>
      </c>
      <c r="J1979" s="270" t="s">
        <v>13065</v>
      </c>
      <c r="K1979" s="4837">
        <v>48529.944408015508</v>
      </c>
      <c r="L1979" s="4834">
        <f t="shared" si="125"/>
        <v>4.876333365019291E-5</v>
      </c>
      <c r="S1979" s="270" t="s">
        <v>13057</v>
      </c>
      <c r="T1979" s="4838">
        <v>563.92409481373477</v>
      </c>
      <c r="U1979" s="4839">
        <f t="shared" si="124"/>
        <v>2.05460719814908E-3</v>
      </c>
    </row>
    <row r="1980" spans="1:21">
      <c r="A1980" s="270" t="s">
        <v>13059</v>
      </c>
      <c r="B1980" s="3305">
        <v>5867.5</v>
      </c>
      <c r="C1980" s="4834">
        <f t="shared" si="122"/>
        <v>2.7403226935276509E-4</v>
      </c>
      <c r="D1980" s="3" t="str">
        <f t="shared" si="123"/>
        <v>2019</v>
      </c>
      <c r="J1980" s="270" t="s">
        <v>13066</v>
      </c>
      <c r="K1980" s="4837">
        <v>47870.85410335863</v>
      </c>
      <c r="L1980" s="4834">
        <f t="shared" si="125"/>
        <v>5.0334923855520672E-5</v>
      </c>
      <c r="S1980" s="270" t="s">
        <v>13058</v>
      </c>
      <c r="T1980" s="4838">
        <v>563.60258734804859</v>
      </c>
      <c r="U1980" s="4839">
        <f t="shared" si="124"/>
        <v>2.0528401856573855E-3</v>
      </c>
    </row>
    <row r="1981" spans="1:21">
      <c r="A1981" s="270" t="s">
        <v>13060</v>
      </c>
      <c r="B1981" s="3305">
        <v>5888.5</v>
      </c>
      <c r="C1981" s="4834">
        <f t="shared" si="122"/>
        <v>2.7677576119691897E-4</v>
      </c>
      <c r="D1981" s="3" t="str">
        <f t="shared" si="123"/>
        <v>2019</v>
      </c>
      <c r="J1981" s="270" t="s">
        <v>13067</v>
      </c>
      <c r="K1981" s="4837">
        <v>47777.616938309613</v>
      </c>
      <c r="L1981" s="4834">
        <f t="shared" si="125"/>
        <v>5.0530058843376087E-5</v>
      </c>
      <c r="S1981" s="270" t="s">
        <v>13059</v>
      </c>
      <c r="T1981" s="4838">
        <v>582.89303528922528</v>
      </c>
      <c r="U1981" s="4839">
        <f t="shared" si="124"/>
        <v>2.1486112314460181E-3</v>
      </c>
    </row>
    <row r="1982" spans="1:21">
      <c r="A1982" s="270" t="s">
        <v>13061</v>
      </c>
      <c r="B1982" s="3305">
        <v>5879.5</v>
      </c>
      <c r="C1982" s="4834">
        <f t="shared" si="122"/>
        <v>2.7560656741527326E-4</v>
      </c>
      <c r="D1982" s="3" t="str">
        <f t="shared" si="123"/>
        <v>2019</v>
      </c>
      <c r="J1982" s="270" t="s">
        <v>13068</v>
      </c>
      <c r="K1982" s="4837">
        <v>47719.745594486078</v>
      </c>
      <c r="L1982" s="4834">
        <f t="shared" si="125"/>
        <v>5.0647654794504084E-5</v>
      </c>
      <c r="S1982" s="270" t="s">
        <v>13060</v>
      </c>
      <c r="T1982" s="4838">
        <v>580.64248302942133</v>
      </c>
      <c r="U1982" s="4839">
        <f t="shared" si="124"/>
        <v>2.1385618359941578E-3</v>
      </c>
    </row>
    <row r="1983" spans="1:21">
      <c r="A1983" s="270" t="s">
        <v>13062</v>
      </c>
      <c r="B1983" s="3305">
        <v>5883</v>
      </c>
      <c r="C1983" s="4834">
        <f t="shared" si="122"/>
        <v>2.7606243975316985E-4</v>
      </c>
      <c r="D1983" s="3" t="str">
        <f t="shared" si="123"/>
        <v>2019</v>
      </c>
      <c r="J1983" s="270" t="s">
        <v>13069</v>
      </c>
      <c r="K1983" s="4837">
        <v>47073.515588456663</v>
      </c>
      <c r="L1983" s="4834">
        <f t="shared" si="125"/>
        <v>5.1771572211885164E-5</v>
      </c>
      <c r="S1983" s="270" t="s">
        <v>13061</v>
      </c>
      <c r="T1983" s="4838">
        <v>567.7821844019702</v>
      </c>
      <c r="U1983" s="4839">
        <f t="shared" si="124"/>
        <v>2.0753791400713972E-3</v>
      </c>
    </row>
    <row r="1984" spans="1:21">
      <c r="A1984" s="270" t="s">
        <v>13063</v>
      </c>
      <c r="B1984" s="3305">
        <v>5825</v>
      </c>
      <c r="C1984" s="4834">
        <f t="shared" si="122"/>
        <v>2.6832106332823217E-4</v>
      </c>
      <c r="D1984" s="3" t="str">
        <f t="shared" si="123"/>
        <v>2019</v>
      </c>
      <c r="J1984" s="270" t="s">
        <v>13070</v>
      </c>
      <c r="K1984" s="4837">
        <v>46898.294019657638</v>
      </c>
      <c r="L1984" s="4834">
        <f t="shared" si="125"/>
        <v>5.2014582890359535E-5</v>
      </c>
      <c r="S1984" s="270" t="s">
        <v>13062</v>
      </c>
      <c r="T1984" s="4838">
        <v>577.4274083725586</v>
      </c>
      <c r="U1984" s="4839">
        <f t="shared" si="124"/>
        <v>2.1236723640503702E-3</v>
      </c>
    </row>
    <row r="1985" spans="1:21">
      <c r="A1985" s="270" t="s">
        <v>13064</v>
      </c>
      <c r="B1985" s="3305">
        <v>5797</v>
      </c>
      <c r="C1985" s="4834">
        <f t="shared" si="122"/>
        <v>2.6444927114568516E-4</v>
      </c>
      <c r="D1985" s="3" t="str">
        <f t="shared" si="123"/>
        <v>2019</v>
      </c>
      <c r="J1985" s="270" t="s">
        <v>13071</v>
      </c>
      <c r="K1985" s="4837">
        <v>46684.491554976259</v>
      </c>
      <c r="L1985" s="4834">
        <f t="shared" si="125"/>
        <v>5.2274322632435377E-5</v>
      </c>
      <c r="S1985" s="270" t="s">
        <v>13063</v>
      </c>
      <c r="T1985" s="4838">
        <v>580.64248302942133</v>
      </c>
      <c r="U1985" s="4839">
        <f t="shared" si="124"/>
        <v>2.1385618359941578E-3</v>
      </c>
    </row>
    <row r="1986" spans="1:21">
      <c r="A1986" s="270" t="s">
        <v>13065</v>
      </c>
      <c r="B1986" s="3305">
        <v>5846.5</v>
      </c>
      <c r="C1986" s="4834">
        <f t="shared" si="122"/>
        <v>2.712361033571527E-4</v>
      </c>
      <c r="D1986" s="3" t="str">
        <f t="shared" si="123"/>
        <v>2019</v>
      </c>
      <c r="J1986" s="270" t="s">
        <v>13072</v>
      </c>
      <c r="K1986" s="4837">
        <v>47033.327155245875</v>
      </c>
      <c r="L1986" s="4834">
        <f t="shared" si="125"/>
        <v>5.1829686283546594E-5</v>
      </c>
      <c r="S1986" s="270" t="s">
        <v>13064</v>
      </c>
      <c r="T1986" s="4838">
        <v>582.5715278235391</v>
      </c>
      <c r="U1986" s="4839">
        <f t="shared" si="124"/>
        <v>2.1471946488129702E-3</v>
      </c>
    </row>
    <row r="1987" spans="1:21">
      <c r="A1987" s="270" t="s">
        <v>13066</v>
      </c>
      <c r="B1987" s="3305">
        <v>5880</v>
      </c>
      <c r="C1987" s="4834">
        <f t="shared" si="122"/>
        <v>2.7567178394801898E-4</v>
      </c>
      <c r="D1987" s="3" t="str">
        <f t="shared" si="123"/>
        <v>2019</v>
      </c>
      <c r="J1987" s="270" t="s">
        <v>13073</v>
      </c>
      <c r="K1987" s="4837">
        <v>47153.892454878231</v>
      </c>
      <c r="L1987" s="4834">
        <f t="shared" si="125"/>
        <v>5.1651129058671069E-5</v>
      </c>
      <c r="S1987" s="270" t="s">
        <v>13065</v>
      </c>
      <c r="T1987" s="4838">
        <v>584.82208008334305</v>
      </c>
      <c r="U1987" s="4839">
        <f t="shared" si="124"/>
        <v>2.1569761496595743E-3</v>
      </c>
    </row>
    <row r="1988" spans="1:21">
      <c r="A1988" s="270" t="s">
        <v>13067</v>
      </c>
      <c r="B1988" s="3305">
        <v>5913.5</v>
      </c>
      <c r="C1988" s="4834">
        <f t="shared" ref="C1988:C2051" si="126">_xlfn.NORM.DIST(B1988,$F$4,$F$3,FALSE)</f>
        <v>2.7997016305274946E-4</v>
      </c>
      <c r="D1988" s="3" t="str">
        <f t="shared" ref="D1988:D2051" si="127">LEFT(A1988,4)</f>
        <v>2019</v>
      </c>
      <c r="J1988" s="270" t="s">
        <v>13074</v>
      </c>
      <c r="K1988" s="4837">
        <v>47161.930141520388</v>
      </c>
      <c r="L1988" s="4834">
        <f t="shared" si="125"/>
        <v>5.1638776824760831E-5</v>
      </c>
      <c r="S1988" s="270" t="s">
        <v>13066</v>
      </c>
      <c r="T1988" s="4838">
        <v>580.32097556373503</v>
      </c>
      <c r="U1988" s="4839">
        <f t="shared" ref="U1988:U2051" si="128">_xlfn.NORM.DIST(T1988,$X$4,$X$3,FALSE)</f>
        <v>2.1371009454615999E-3</v>
      </c>
    </row>
    <row r="1989" spans="1:21">
      <c r="A1989" s="270" t="s">
        <v>13068</v>
      </c>
      <c r="B1989" s="3305">
        <v>5941</v>
      </c>
      <c r="C1989" s="4834">
        <f t="shared" si="126"/>
        <v>2.8338999587801161E-4</v>
      </c>
      <c r="D1989" s="3" t="str">
        <f t="shared" si="127"/>
        <v>2019</v>
      </c>
      <c r="J1989" s="270" t="s">
        <v>13075</v>
      </c>
      <c r="K1989" s="4837">
        <v>47186.043201446861</v>
      </c>
      <c r="L1989" s="4834">
        <f t="shared" ref="L1989:L2052" si="129">_xlfn.NORM.DIST(K1989,$O$4,$O$3,FALSE)</f>
        <v>5.160138536442884E-5</v>
      </c>
      <c r="S1989" s="270" t="s">
        <v>13067</v>
      </c>
      <c r="T1989" s="4838">
        <v>563.92409481373477</v>
      </c>
      <c r="U1989" s="4839">
        <f t="shared" si="128"/>
        <v>2.05460719814908E-3</v>
      </c>
    </row>
    <row r="1990" spans="1:21">
      <c r="A1990" s="270" t="s">
        <v>13069</v>
      </c>
      <c r="B1990" s="3305">
        <v>5951.5</v>
      </c>
      <c r="C1990" s="4834">
        <f t="shared" si="126"/>
        <v>2.8466882516974261E-4</v>
      </c>
      <c r="D1990" s="3" t="str">
        <f t="shared" si="127"/>
        <v>2019</v>
      </c>
      <c r="J1990" s="270" t="s">
        <v>13076</v>
      </c>
      <c r="K1990" s="4837">
        <v>47211.763798701759</v>
      </c>
      <c r="L1990" s="4834">
        <f t="shared" si="129"/>
        <v>5.1560948671058987E-5</v>
      </c>
      <c r="S1990" s="270" t="s">
        <v>13068</v>
      </c>
      <c r="T1990" s="4838">
        <v>563.60258734804859</v>
      </c>
      <c r="U1990" s="4839">
        <f t="shared" si="128"/>
        <v>2.0528401856573855E-3</v>
      </c>
    </row>
    <row r="1991" spans="1:21">
      <c r="A1991" s="270" t="s">
        <v>13070</v>
      </c>
      <c r="B1991" s="3305">
        <v>5857</v>
      </c>
      <c r="C1991" s="4834">
        <f t="shared" si="126"/>
        <v>2.7264063521156373E-4</v>
      </c>
      <c r="D1991" s="3" t="str">
        <f t="shared" si="127"/>
        <v>2019</v>
      </c>
      <c r="J1991" s="270" t="s">
        <v>13077</v>
      </c>
      <c r="K1991" s="4837">
        <v>47316.253725049806</v>
      </c>
      <c r="L1991" s="4834">
        <f t="shared" si="129"/>
        <v>5.1390839065791613E-5</v>
      </c>
      <c r="S1991" s="270" t="s">
        <v>13069</v>
      </c>
      <c r="T1991" s="4838">
        <v>540.45404981863635</v>
      </c>
      <c r="U1991" s="4839">
        <f t="shared" si="128"/>
        <v>1.912341506963173E-3</v>
      </c>
    </row>
    <row r="1992" spans="1:21">
      <c r="A1992" s="270" t="s">
        <v>13071</v>
      </c>
      <c r="B1992" s="3305">
        <v>5838</v>
      </c>
      <c r="C1992" s="4834">
        <f t="shared" si="126"/>
        <v>2.7008984173606263E-4</v>
      </c>
      <c r="D1992" s="3" t="str">
        <f t="shared" si="127"/>
        <v>2019</v>
      </c>
      <c r="J1992" s="270" t="s">
        <v>13078</v>
      </c>
      <c r="K1992" s="4837">
        <v>47166.75275350568</v>
      </c>
      <c r="L1992" s="4834">
        <f t="shared" si="129"/>
        <v>5.1631338687718056E-5</v>
      </c>
      <c r="S1992" s="270" t="s">
        <v>13070</v>
      </c>
      <c r="T1992" s="4838">
        <v>542.7046020784403</v>
      </c>
      <c r="U1992" s="4839">
        <f t="shared" si="128"/>
        <v>1.9270601989020964E-3</v>
      </c>
    </row>
    <row r="1993" spans="1:21">
      <c r="A1993" s="270" t="s">
        <v>13072</v>
      </c>
      <c r="B1993" s="3305">
        <v>5823</v>
      </c>
      <c r="C1993" s="4834">
        <f t="shared" si="126"/>
        <v>2.6804728929938939E-4</v>
      </c>
      <c r="D1993" s="3" t="str">
        <f t="shared" si="127"/>
        <v>2019</v>
      </c>
      <c r="J1993" s="270" t="s">
        <v>13079</v>
      </c>
      <c r="K1993" s="4837">
        <v>47083.160812427253</v>
      </c>
      <c r="L1993" s="4834">
        <f t="shared" si="129"/>
        <v>5.1757415335317692E-5</v>
      </c>
      <c r="S1993" s="270" t="s">
        <v>13071</v>
      </c>
      <c r="T1993" s="4838">
        <v>538.2034975588324</v>
      </c>
      <c r="U1993" s="4839">
        <f t="shared" si="128"/>
        <v>1.897418664309754E-3</v>
      </c>
    </row>
    <row r="1994" spans="1:21">
      <c r="A1994" s="270" t="s">
        <v>13073</v>
      </c>
      <c r="B1994" s="3305">
        <v>5835</v>
      </c>
      <c r="C1994" s="4834">
        <f t="shared" si="126"/>
        <v>2.6968333064996634E-4</v>
      </c>
      <c r="D1994" s="3" t="str">
        <f t="shared" si="127"/>
        <v>2019</v>
      </c>
      <c r="J1994" s="270" t="s">
        <v>13080</v>
      </c>
      <c r="K1994" s="4837">
        <v>46888.648795687055</v>
      </c>
      <c r="L1994" s="4834">
        <f t="shared" si="129"/>
        <v>5.2027175302056103E-5</v>
      </c>
      <c r="S1994" s="270" t="s">
        <v>13072</v>
      </c>
      <c r="T1994" s="4838">
        <v>544.95515433824426</v>
      </c>
      <c r="U1994" s="4839">
        <f t="shared" si="128"/>
        <v>1.9415682393493046E-3</v>
      </c>
    </row>
    <row r="1995" spans="1:21">
      <c r="A1995" s="270" t="s">
        <v>13074</v>
      </c>
      <c r="B1995" s="3305">
        <v>5812</v>
      </c>
      <c r="C1995" s="4834">
        <f t="shared" si="126"/>
        <v>2.665337945258628E-4</v>
      </c>
      <c r="D1995" s="3" t="str">
        <f t="shared" si="127"/>
        <v>2019</v>
      </c>
      <c r="J1995" s="270" t="s">
        <v>13081</v>
      </c>
      <c r="K1995" s="4837">
        <v>46768.083496054693</v>
      </c>
      <c r="L1995" s="4834">
        <f t="shared" si="129"/>
        <v>5.2177620010436864E-5</v>
      </c>
      <c r="S1995" s="270" t="s">
        <v>13073</v>
      </c>
      <c r="T1995" s="4838">
        <v>547.8487215294208</v>
      </c>
      <c r="U1995" s="4839">
        <f t="shared" si="128"/>
        <v>1.9599015411960389E-3</v>
      </c>
    </row>
    <row r="1996" spans="1:21">
      <c r="A1996" s="270" t="s">
        <v>13075</v>
      </c>
      <c r="B1996" s="3305">
        <v>5828</v>
      </c>
      <c r="C1996" s="4834">
        <f t="shared" si="126"/>
        <v>2.6873090318596819E-4</v>
      </c>
      <c r="D1996" s="3" t="str">
        <f t="shared" si="127"/>
        <v>2019</v>
      </c>
      <c r="J1996" s="270" t="s">
        <v>13082</v>
      </c>
      <c r="K1996" s="4837">
        <v>46758.438272084102</v>
      </c>
      <c r="L1996" s="4834">
        <f t="shared" si="129"/>
        <v>5.21890968418706E-5</v>
      </c>
      <c r="S1996" s="270" t="s">
        <v>13074</v>
      </c>
      <c r="T1996" s="4838">
        <v>542.38309461275401</v>
      </c>
      <c r="U1996" s="4839">
        <f t="shared" si="128"/>
        <v>1.9249702746215731E-3</v>
      </c>
    </row>
    <row r="1997" spans="1:21">
      <c r="A1997" s="270" t="s">
        <v>13076</v>
      </c>
      <c r="B1997" s="3305">
        <v>5821.5</v>
      </c>
      <c r="C1997" s="4834">
        <f t="shared" si="126"/>
        <v>2.6784167271908242E-4</v>
      </c>
      <c r="D1997" s="3" t="str">
        <f t="shared" si="127"/>
        <v>2019</v>
      </c>
      <c r="J1997" s="270" t="s">
        <v>13083</v>
      </c>
      <c r="K1997" s="4837">
        <v>46768.083496054693</v>
      </c>
      <c r="L1997" s="4834">
        <f t="shared" si="129"/>
        <v>5.2177620010436864E-5</v>
      </c>
      <c r="S1997" s="270" t="s">
        <v>13075</v>
      </c>
      <c r="T1997" s="4838">
        <v>540.13254235295017</v>
      </c>
      <c r="U1997" s="4839">
        <f t="shared" si="128"/>
        <v>1.9102220190335393E-3</v>
      </c>
    </row>
    <row r="1998" spans="1:21">
      <c r="A1998" s="270" t="s">
        <v>13077</v>
      </c>
      <c r="B1998" s="3305">
        <v>5873</v>
      </c>
      <c r="C1998" s="4834">
        <f t="shared" si="126"/>
        <v>2.7475598206502843E-4</v>
      </c>
      <c r="D1998" s="3" t="str">
        <f t="shared" si="127"/>
        <v>2019</v>
      </c>
      <c r="J1998" s="270" t="s">
        <v>13084</v>
      </c>
      <c r="K1998" s="4837">
        <v>46944.91260218215</v>
      </c>
      <c r="L1998" s="4834">
        <f t="shared" si="129"/>
        <v>5.1952561837033582E-5</v>
      </c>
      <c r="S1998" s="270" t="s">
        <v>13076</v>
      </c>
      <c r="T1998" s="4838">
        <v>550.74228872059723</v>
      </c>
      <c r="U1998" s="4839">
        <f t="shared" si="128"/>
        <v>1.9778624288553262E-3</v>
      </c>
    </row>
    <row r="1999" spans="1:21">
      <c r="A1999" s="270" t="s">
        <v>13078</v>
      </c>
      <c r="B1999" s="3305">
        <v>5813</v>
      </c>
      <c r="C1999" s="4834">
        <f t="shared" si="126"/>
        <v>2.6667192127089541E-4</v>
      </c>
      <c r="D1999" s="3" t="str">
        <f t="shared" si="127"/>
        <v>2019</v>
      </c>
      <c r="J1999" s="270" t="s">
        <v>13085</v>
      </c>
      <c r="K1999" s="4837">
        <v>46977.063348750773</v>
      </c>
      <c r="L1999" s="4834">
        <f t="shared" si="129"/>
        <v>5.1908673489992276E-5</v>
      </c>
      <c r="S1999" s="270" t="s">
        <v>13077</v>
      </c>
      <c r="T1999" s="4838">
        <v>550.42078125491116</v>
      </c>
      <c r="U1999" s="4839">
        <f t="shared" si="128"/>
        <v>1.9758855826659785E-3</v>
      </c>
    </row>
    <row r="2000" spans="1:21">
      <c r="A2000" s="270" t="s">
        <v>13079</v>
      </c>
      <c r="B2000" s="3305">
        <v>5834</v>
      </c>
      <c r="C2000" s="4834">
        <f t="shared" si="126"/>
        <v>2.695476030561466E-4</v>
      </c>
      <c r="D2000" s="3" t="str">
        <f t="shared" si="127"/>
        <v>2019</v>
      </c>
      <c r="J2000" s="270" t="s">
        <v>13086</v>
      </c>
      <c r="K2000" s="4837">
        <v>47496.297905834115</v>
      </c>
      <c r="L2000" s="4834">
        <f t="shared" si="129"/>
        <v>5.10759829021822E-5</v>
      </c>
      <c r="S2000" s="270" t="s">
        <v>13078</v>
      </c>
      <c r="T2000" s="4838">
        <v>549.45625885785216</v>
      </c>
      <c r="U2000" s="4839">
        <f t="shared" si="128"/>
        <v>1.9699266490636747E-3</v>
      </c>
    </row>
    <row r="2001" spans="1:21">
      <c r="A2001" s="270" t="s">
        <v>13080</v>
      </c>
      <c r="B2001" s="3305">
        <v>5872.5</v>
      </c>
      <c r="C2001" s="4834">
        <f t="shared" si="126"/>
        <v>2.7469034033030144E-4</v>
      </c>
      <c r="D2001" s="3" t="str">
        <f t="shared" si="127"/>
        <v>2019</v>
      </c>
      <c r="J2001" s="270" t="s">
        <v>13087</v>
      </c>
      <c r="K2001" s="4837">
        <v>47425.566263383131</v>
      </c>
      <c r="L2001" s="4834">
        <f t="shared" si="129"/>
        <v>5.1202933804779801E-5</v>
      </c>
      <c r="S2001" s="270" t="s">
        <v>13079</v>
      </c>
      <c r="T2001" s="4838">
        <v>552.34982604902871</v>
      </c>
      <c r="U2001" s="4839">
        <f t="shared" si="128"/>
        <v>1.9876748532502023E-3</v>
      </c>
    </row>
    <row r="2002" spans="1:21">
      <c r="A2002" s="270" t="s">
        <v>13081</v>
      </c>
      <c r="B2002" s="3305">
        <v>5856</v>
      </c>
      <c r="C2002" s="4834">
        <f t="shared" si="126"/>
        <v>2.7250742167871675E-4</v>
      </c>
      <c r="D2002" s="3" t="str">
        <f t="shared" si="127"/>
        <v>2019</v>
      </c>
      <c r="J2002" s="270" t="s">
        <v>13088</v>
      </c>
      <c r="K2002" s="4837">
        <v>47452.894397966469</v>
      </c>
      <c r="L2002" s="4834">
        <f t="shared" si="129"/>
        <v>5.1154381847873069E-5</v>
      </c>
      <c r="S2002" s="270" t="s">
        <v>13080</v>
      </c>
      <c r="T2002" s="4838">
        <v>542.38309461275401</v>
      </c>
      <c r="U2002" s="4839">
        <f t="shared" si="128"/>
        <v>1.9249702746215731E-3</v>
      </c>
    </row>
    <row r="2003" spans="1:21">
      <c r="A2003" s="270" t="s">
        <v>13082</v>
      </c>
      <c r="B2003" s="3305">
        <v>5925.5</v>
      </c>
      <c r="C2003" s="4834">
        <f t="shared" si="126"/>
        <v>2.81474824827769E-4</v>
      </c>
      <c r="D2003" s="3" t="str">
        <f t="shared" si="127"/>
        <v>2019</v>
      </c>
      <c r="J2003" s="270" t="s">
        <v>13089</v>
      </c>
      <c r="K2003" s="4837">
        <v>46928.837228897835</v>
      </c>
      <c r="L2003" s="4834">
        <f t="shared" si="129"/>
        <v>5.1974164897610182E-5</v>
      </c>
      <c r="S2003" s="270" t="s">
        <v>13081</v>
      </c>
      <c r="T2003" s="4838">
        <v>544.63364687255796</v>
      </c>
      <c r="U2003" s="4839">
        <f t="shared" si="128"/>
        <v>1.9395088040621263E-3</v>
      </c>
    </row>
    <row r="2004" spans="1:21">
      <c r="A2004" s="270" t="s">
        <v>13083</v>
      </c>
      <c r="B2004" s="3305">
        <v>5881.5</v>
      </c>
      <c r="C2004" s="4834">
        <f t="shared" si="126"/>
        <v>2.7586724989405923E-4</v>
      </c>
      <c r="D2004" s="3" t="str">
        <f t="shared" si="127"/>
        <v>2019</v>
      </c>
      <c r="J2004" s="270" t="s">
        <v>13090</v>
      </c>
      <c r="K2004" s="4837">
        <v>46994.746259363521</v>
      </c>
      <c r="L2004" s="4834">
        <f t="shared" si="129"/>
        <v>5.1884147857013193E-5</v>
      </c>
      <c r="S2004" s="270" t="s">
        <v>13082</v>
      </c>
      <c r="T2004" s="4838">
        <v>548.49173646079328</v>
      </c>
      <c r="U2004" s="4839">
        <f t="shared" si="128"/>
        <v>1.9639255069898802E-3</v>
      </c>
    </row>
    <row r="2005" spans="1:21">
      <c r="A2005" s="270" t="s">
        <v>13084</v>
      </c>
      <c r="B2005" s="3305">
        <v>5854</v>
      </c>
      <c r="C2005" s="4834">
        <f t="shared" si="126"/>
        <v>2.7224064459164361E-4</v>
      </c>
      <c r="D2005" s="3" t="str">
        <f t="shared" si="127"/>
        <v>2019</v>
      </c>
      <c r="J2005" s="270" t="s">
        <v>13091</v>
      </c>
      <c r="K2005" s="4837">
        <v>47099.236185711561</v>
      </c>
      <c r="L2005" s="4834">
        <f t="shared" si="129"/>
        <v>5.1733640672392953E-5</v>
      </c>
      <c r="S2005" s="270" t="s">
        <v>13083</v>
      </c>
      <c r="T2005" s="4838">
        <v>544.95515433824426</v>
      </c>
      <c r="U2005" s="4839">
        <f t="shared" si="128"/>
        <v>1.9415682393493046E-3</v>
      </c>
    </row>
    <row r="2006" spans="1:21">
      <c r="A2006" s="270" t="s">
        <v>13085</v>
      </c>
      <c r="B2006" s="3305">
        <v>5855.5</v>
      </c>
      <c r="C2006" s="4834">
        <f t="shared" si="126"/>
        <v>2.7244077111554125E-4</v>
      </c>
      <c r="D2006" s="3" t="str">
        <f t="shared" si="127"/>
        <v>2019</v>
      </c>
      <c r="J2006" s="270" t="s">
        <v>13092</v>
      </c>
      <c r="K2006" s="4837">
        <v>47158.715066863522</v>
      </c>
      <c r="L2006" s="4834">
        <f t="shared" si="129"/>
        <v>5.1643724419160509E-5</v>
      </c>
      <c r="S2006" s="270" t="s">
        <v>13084</v>
      </c>
      <c r="T2006" s="4838">
        <v>545.59816926961685</v>
      </c>
      <c r="U2006" s="4839">
        <f t="shared" si="128"/>
        <v>1.9456737993403825E-3</v>
      </c>
    </row>
    <row r="2007" spans="1:21">
      <c r="A2007" s="270" t="s">
        <v>13086</v>
      </c>
      <c r="B2007" s="3305">
        <v>5812</v>
      </c>
      <c r="C2007" s="4834">
        <f t="shared" si="126"/>
        <v>2.665337945258628E-4</v>
      </c>
      <c r="D2007" s="3" t="str">
        <f t="shared" si="127"/>
        <v>2019</v>
      </c>
      <c r="J2007" s="270" t="s">
        <v>13093</v>
      </c>
      <c r="K2007" s="4837">
        <v>47190.865813432145</v>
      </c>
      <c r="L2007" s="4834">
        <f t="shared" si="129"/>
        <v>5.1593846885075128E-5</v>
      </c>
      <c r="S2007" s="270" t="s">
        <v>13085</v>
      </c>
      <c r="T2007" s="4838">
        <v>542.7046020784403</v>
      </c>
      <c r="U2007" s="4839">
        <f t="shared" si="128"/>
        <v>1.9270601989020964E-3</v>
      </c>
    </row>
    <row r="2008" spans="1:21">
      <c r="A2008" s="270" t="s">
        <v>13087</v>
      </c>
      <c r="B2008" s="3305">
        <v>5823</v>
      </c>
      <c r="C2008" s="4834">
        <f t="shared" si="126"/>
        <v>2.6804728929938939E-4</v>
      </c>
      <c r="D2008" s="3" t="str">
        <f t="shared" si="127"/>
        <v>2019</v>
      </c>
      <c r="J2008" s="270" t="s">
        <v>13094</v>
      </c>
      <c r="K2008" s="4837">
        <v>47152.28491754979</v>
      </c>
      <c r="L2008" s="4834">
        <f t="shared" si="129"/>
        <v>5.1653592803291035E-5</v>
      </c>
      <c r="S2008" s="270" t="s">
        <v>13086</v>
      </c>
      <c r="T2008" s="4838">
        <v>546.88419913236191</v>
      </c>
      <c r="U2008" s="4839">
        <f t="shared" si="128"/>
        <v>1.9538311545726755E-3</v>
      </c>
    </row>
    <row r="2009" spans="1:21">
      <c r="A2009" s="270" t="s">
        <v>13088</v>
      </c>
      <c r="B2009" s="3305">
        <v>5855</v>
      </c>
      <c r="C2009" s="4834">
        <f t="shared" si="126"/>
        <v>2.7237409139370795E-4</v>
      </c>
      <c r="D2009" s="3" t="str">
        <f t="shared" si="127"/>
        <v>2019</v>
      </c>
      <c r="J2009" s="270" t="s">
        <v>13095</v>
      </c>
      <c r="K2009" s="4837">
        <v>47515.588353775303</v>
      </c>
      <c r="L2009" s="4834">
        <f t="shared" si="129"/>
        <v>5.104063361104737E-5</v>
      </c>
      <c r="S2009" s="270" t="s">
        <v>13087</v>
      </c>
      <c r="T2009" s="4838">
        <v>550.74228872059723</v>
      </c>
      <c r="U2009" s="4839">
        <f t="shared" si="128"/>
        <v>1.9778624288553262E-3</v>
      </c>
    </row>
    <row r="2010" spans="1:21">
      <c r="A2010" s="270" t="s">
        <v>13089</v>
      </c>
      <c r="B2010" s="3305">
        <v>5867.5</v>
      </c>
      <c r="C2010" s="4834">
        <f t="shared" si="126"/>
        <v>2.7403226935276509E-4</v>
      </c>
      <c r="D2010" s="3" t="str">
        <f t="shared" si="127"/>
        <v>2019</v>
      </c>
      <c r="J2010" s="270" t="s">
        <v>13096</v>
      </c>
      <c r="K2010" s="4837">
        <v>47448.07178598117</v>
      </c>
      <c r="L2010" s="4834">
        <f t="shared" si="129"/>
        <v>5.1162995421428427E-5</v>
      </c>
      <c r="S2010" s="270" t="s">
        <v>13088</v>
      </c>
      <c r="T2010" s="4838">
        <v>542.38309461275401</v>
      </c>
      <c r="U2010" s="4839">
        <f t="shared" si="128"/>
        <v>1.9249702746215731E-3</v>
      </c>
    </row>
    <row r="2011" spans="1:21">
      <c r="A2011" s="270" t="s">
        <v>13090</v>
      </c>
      <c r="B2011" s="3305">
        <v>5985</v>
      </c>
      <c r="C2011" s="4834">
        <f t="shared" si="126"/>
        <v>2.8864554620513296E-4</v>
      </c>
      <c r="D2011" s="3" t="str">
        <f t="shared" si="127"/>
        <v>2019</v>
      </c>
      <c r="J2011" s="270" t="s">
        <v>13097</v>
      </c>
      <c r="K2011" s="4837">
        <v>47391.807979486075</v>
      </c>
      <c r="L2011" s="4834">
        <f t="shared" si="129"/>
        <v>5.1262041942347353E-5</v>
      </c>
      <c r="S2011" s="270" t="s">
        <v>13089</v>
      </c>
      <c r="T2011" s="4838">
        <v>544.63364687255796</v>
      </c>
      <c r="U2011" s="4839">
        <f t="shared" si="128"/>
        <v>1.9395088040621263E-3</v>
      </c>
    </row>
    <row r="2012" spans="1:21">
      <c r="A2012" s="270" t="s">
        <v>13091</v>
      </c>
      <c r="B2012" s="3305">
        <v>6055</v>
      </c>
      <c r="C2012" s="4834">
        <f t="shared" si="126"/>
        <v>2.9641760901512933E-4</v>
      </c>
      <c r="D2012" s="3" t="str">
        <f t="shared" si="127"/>
        <v>2019</v>
      </c>
      <c r="J2012" s="270" t="s">
        <v>13098</v>
      </c>
      <c r="K2012" s="4837">
        <v>47477.007457892942</v>
      </c>
      <c r="L2012" s="4834">
        <f t="shared" si="129"/>
        <v>5.1111021510268202E-5</v>
      </c>
      <c r="S2012" s="270" t="s">
        <v>13090</v>
      </c>
      <c r="T2012" s="4838">
        <v>534.34540797059708</v>
      </c>
      <c r="U2012" s="4839">
        <f t="shared" si="128"/>
        <v>1.8713805835203149E-3</v>
      </c>
    </row>
    <row r="2013" spans="1:21">
      <c r="A2013" s="270" t="s">
        <v>13092</v>
      </c>
      <c r="B2013" s="3305">
        <v>6083</v>
      </c>
      <c r="C2013" s="4834">
        <f t="shared" si="126"/>
        <v>2.9931043356182355E-4</v>
      </c>
      <c r="D2013" s="3" t="str">
        <f t="shared" si="127"/>
        <v>2019</v>
      </c>
      <c r="J2013" s="270" t="s">
        <v>13099</v>
      </c>
      <c r="K2013" s="4837">
        <v>47550.954175000785</v>
      </c>
      <c r="L2013" s="4834">
        <f t="shared" si="129"/>
        <v>5.097502191989097E-5</v>
      </c>
      <c r="S2013" s="270" t="s">
        <v>13091</v>
      </c>
      <c r="T2013" s="4838">
        <v>536.27445276471474</v>
      </c>
      <c r="U2013" s="4839">
        <f t="shared" si="128"/>
        <v>1.8844701345232433E-3</v>
      </c>
    </row>
    <row r="2014" spans="1:21">
      <c r="A2014" s="270" t="s">
        <v>13093</v>
      </c>
      <c r="B2014" s="3305">
        <v>6097</v>
      </c>
      <c r="C2014" s="4834">
        <f t="shared" si="126"/>
        <v>3.0070838721409489E-4</v>
      </c>
      <c r="D2014" s="3" t="str">
        <f t="shared" si="127"/>
        <v>2019</v>
      </c>
      <c r="J2014" s="270" t="s">
        <v>13100</v>
      </c>
      <c r="K2014" s="4837">
        <v>47650.621489363533</v>
      </c>
      <c r="L2014" s="4834">
        <f t="shared" si="129"/>
        <v>5.0784547145155186E-5</v>
      </c>
      <c r="S2014" s="270" t="s">
        <v>13092</v>
      </c>
      <c r="T2014" s="4838">
        <v>535.63143783334226</v>
      </c>
      <c r="U2014" s="4839">
        <f t="shared" si="128"/>
        <v>1.880122414065648E-3</v>
      </c>
    </row>
    <row r="2015" spans="1:21">
      <c r="A2015" s="270" t="s">
        <v>13094</v>
      </c>
      <c r="B2015" s="3305">
        <v>6154</v>
      </c>
      <c r="C2015" s="4834">
        <f t="shared" si="126"/>
        <v>3.0605405339688175E-4</v>
      </c>
      <c r="D2015" s="3" t="str">
        <f t="shared" si="127"/>
        <v>2019</v>
      </c>
      <c r="J2015" s="270" t="s">
        <v>13102</v>
      </c>
      <c r="K2015" s="4837">
        <v>48595.853438481194</v>
      </c>
      <c r="L2015" s="4834">
        <f t="shared" si="129"/>
        <v>4.8588437719058715E-5</v>
      </c>
      <c r="S2015" s="270" t="s">
        <v>13093</v>
      </c>
      <c r="T2015" s="4838">
        <v>542.38309461275401</v>
      </c>
      <c r="U2015" s="4839">
        <f t="shared" si="128"/>
        <v>1.9249702746215731E-3</v>
      </c>
    </row>
    <row r="2016" spans="1:21">
      <c r="A2016" s="270" t="s">
        <v>13095</v>
      </c>
      <c r="B2016" s="3305">
        <v>6155.5</v>
      </c>
      <c r="C2016" s="4834">
        <f t="shared" si="126"/>
        <v>3.0618703594042476E-4</v>
      </c>
      <c r="D2016" s="3" t="str">
        <f t="shared" si="127"/>
        <v>2019</v>
      </c>
      <c r="J2016" s="270" t="s">
        <v>13103</v>
      </c>
      <c r="K2016" s="4837">
        <v>48700.343364829234</v>
      </c>
      <c r="L2016" s="4834">
        <f t="shared" si="129"/>
        <v>4.8304869634168696E-5</v>
      </c>
      <c r="S2016" s="270" t="s">
        <v>13094</v>
      </c>
      <c r="T2016" s="4838">
        <v>544.63364687255796</v>
      </c>
      <c r="U2016" s="4839">
        <f t="shared" si="128"/>
        <v>1.9395088040621263E-3</v>
      </c>
    </row>
    <row r="2017" spans="1:21">
      <c r="A2017" s="270" t="s">
        <v>13096</v>
      </c>
      <c r="B2017" s="3305">
        <v>6175</v>
      </c>
      <c r="C2017" s="4834">
        <f t="shared" si="126"/>
        <v>3.078789881962208E-4</v>
      </c>
      <c r="D2017" s="3" t="str">
        <f t="shared" si="127"/>
        <v>2019</v>
      </c>
      <c r="J2017" s="270" t="s">
        <v>13105</v>
      </c>
      <c r="K2017" s="4837">
        <v>49097.405084951788</v>
      </c>
      <c r="L2017" s="4834">
        <f t="shared" si="129"/>
        <v>4.7159498761341147E-5</v>
      </c>
      <c r="S2017" s="270" t="s">
        <v>13095</v>
      </c>
      <c r="T2017" s="4838">
        <v>547.20570659804821</v>
      </c>
      <c r="U2017" s="4839">
        <f t="shared" si="128"/>
        <v>1.9558591838603361E-3</v>
      </c>
    </row>
    <row r="2018" spans="1:21">
      <c r="A2018" s="270" t="s">
        <v>13097</v>
      </c>
      <c r="B2018" s="3305">
        <v>6126.5</v>
      </c>
      <c r="C2018" s="4834">
        <f t="shared" si="126"/>
        <v>3.0354543226290956E-4</v>
      </c>
      <c r="D2018" s="3" t="str">
        <f t="shared" si="127"/>
        <v>2019</v>
      </c>
      <c r="J2018" s="270" t="s">
        <v>13106</v>
      </c>
      <c r="K2018" s="4837">
        <v>49793.468748162588</v>
      </c>
      <c r="L2018" s="4834">
        <f t="shared" si="129"/>
        <v>4.4914638063705411E-5</v>
      </c>
      <c r="S2018" s="270" t="s">
        <v>13096</v>
      </c>
      <c r="T2018" s="4838">
        <v>548.49173646079328</v>
      </c>
      <c r="U2018" s="4839">
        <f t="shared" si="128"/>
        <v>1.9639255069898802E-3</v>
      </c>
    </row>
    <row r="2019" spans="1:21">
      <c r="A2019" s="270" t="s">
        <v>13098</v>
      </c>
      <c r="B2019" s="3305">
        <v>6161</v>
      </c>
      <c r="C2019" s="4834">
        <f t="shared" si="126"/>
        <v>3.0667119191244601E-4</v>
      </c>
      <c r="D2019" s="3" t="str">
        <f t="shared" si="127"/>
        <v>2019</v>
      </c>
      <c r="J2019" s="270" t="s">
        <v>13107</v>
      </c>
      <c r="K2019" s="4837">
        <v>50576.339427108673</v>
      </c>
      <c r="L2019" s="4834">
        <f t="shared" si="129"/>
        <v>4.2085704225003467E-5</v>
      </c>
      <c r="S2019" s="270" t="s">
        <v>13097</v>
      </c>
      <c r="T2019" s="4838">
        <v>536.91746769608733</v>
      </c>
      <c r="U2019" s="4839">
        <f t="shared" si="128"/>
        <v>1.8888021857668951E-3</v>
      </c>
    </row>
    <row r="2020" spans="1:21">
      <c r="A2020" s="270" t="s">
        <v>13099</v>
      </c>
      <c r="B2020" s="3305">
        <v>6155.5</v>
      </c>
      <c r="C2020" s="4834">
        <f t="shared" si="126"/>
        <v>3.0618703594042476E-4</v>
      </c>
      <c r="D2020" s="3" t="str">
        <f t="shared" si="127"/>
        <v>2019</v>
      </c>
      <c r="J2020" s="270" t="s">
        <v>13108</v>
      </c>
      <c r="K2020" s="4837">
        <v>50407.548007623373</v>
      </c>
      <c r="L2020" s="4834">
        <f t="shared" si="129"/>
        <v>4.2719169915000597E-5</v>
      </c>
      <c r="S2020" s="270" t="s">
        <v>13098</v>
      </c>
      <c r="T2020" s="4838">
        <v>544.63364687255796</v>
      </c>
      <c r="U2020" s="4839">
        <f t="shared" si="128"/>
        <v>1.9395088040621263E-3</v>
      </c>
    </row>
    <row r="2021" spans="1:21">
      <c r="A2021" s="270" t="s">
        <v>13100</v>
      </c>
      <c r="B2021" s="3305">
        <v>6153</v>
      </c>
      <c r="C2021" s="4834">
        <f t="shared" si="126"/>
        <v>3.0596517512289541E-4</v>
      </c>
      <c r="D2021" s="3" t="str">
        <f t="shared" si="127"/>
        <v>2019</v>
      </c>
      <c r="J2021" s="270" t="s">
        <v>13109</v>
      </c>
      <c r="K2021" s="4837">
        <v>50539.366068554758</v>
      </c>
      <c r="L2021" s="4834">
        <f t="shared" si="129"/>
        <v>4.2225468296128197E-5</v>
      </c>
      <c r="S2021" s="270" t="s">
        <v>13099</v>
      </c>
      <c r="T2021" s="4838">
        <v>547.8487215294208</v>
      </c>
      <c r="U2021" s="4839">
        <f t="shared" si="128"/>
        <v>1.9599015411960389E-3</v>
      </c>
    </row>
    <row r="2022" spans="1:21">
      <c r="A2022" s="270" t="s">
        <v>13101</v>
      </c>
      <c r="B2022" s="3305">
        <v>6184.5</v>
      </c>
      <c r="C2022" s="4834">
        <f t="shared" si="126"/>
        <v>3.0867826784983872E-4</v>
      </c>
      <c r="D2022" s="3" t="str">
        <f t="shared" si="127"/>
        <v>2019</v>
      </c>
      <c r="J2022" s="270" t="s">
        <v>13110</v>
      </c>
      <c r="K2022" s="4837">
        <v>49857.770241299841</v>
      </c>
      <c r="L2022" s="4834">
        <f t="shared" si="129"/>
        <v>4.4693473883078788E-5</v>
      </c>
      <c r="S2022" s="270" t="s">
        <v>13100</v>
      </c>
      <c r="T2022" s="4838">
        <v>558.77997536275427</v>
      </c>
      <c r="U2022" s="4839">
        <f t="shared" si="128"/>
        <v>2.0256888438148998E-3</v>
      </c>
    </row>
    <row r="2023" spans="1:21">
      <c r="A2023" s="270" t="s">
        <v>13102</v>
      </c>
      <c r="B2023" s="3305">
        <v>6211</v>
      </c>
      <c r="C2023" s="4834">
        <f t="shared" si="126"/>
        <v>3.1081982443676212E-4</v>
      </c>
      <c r="D2023" s="3" t="str">
        <f t="shared" si="127"/>
        <v>2019</v>
      </c>
      <c r="J2023" s="270" t="s">
        <v>13111</v>
      </c>
      <c r="K2023" s="4837">
        <v>49949.399869020432</v>
      </c>
      <c r="L2023" s="4834">
        <f t="shared" si="129"/>
        <v>4.4374608517932088E-5</v>
      </c>
      <c r="S2023" s="270" t="s">
        <v>13101</v>
      </c>
      <c r="T2023" s="4838">
        <v>565.53163214216613</v>
      </c>
      <c r="U2023" s="4839">
        <f t="shared" si="128"/>
        <v>2.0633597229444715E-3</v>
      </c>
    </row>
    <row r="2024" spans="1:21">
      <c r="A2024" s="270" t="s">
        <v>13103</v>
      </c>
      <c r="B2024" s="3305">
        <v>6183.5</v>
      </c>
      <c r="C2024" s="4834">
        <f t="shared" si="126"/>
        <v>3.0859491112229424E-4</v>
      </c>
      <c r="D2024" s="3" t="str">
        <f t="shared" si="127"/>
        <v>2019</v>
      </c>
      <c r="J2024" s="270" t="s">
        <v>13112</v>
      </c>
      <c r="K2024" s="4837">
        <v>49830.442106716509</v>
      </c>
      <c r="L2024" s="4834">
        <f t="shared" si="129"/>
        <v>4.4787734015982737E-5</v>
      </c>
      <c r="S2024" s="270" t="s">
        <v>13102</v>
      </c>
      <c r="T2024" s="4838">
        <v>573.24781131863688</v>
      </c>
      <c r="U2024" s="4839">
        <f t="shared" si="128"/>
        <v>2.1034000238350494E-3</v>
      </c>
    </row>
    <row r="2025" spans="1:21">
      <c r="A2025" s="270" t="s">
        <v>13104</v>
      </c>
      <c r="B2025" s="3305">
        <v>6156</v>
      </c>
      <c r="C2025" s="4834">
        <f t="shared" si="126"/>
        <v>3.0623127407187356E-4</v>
      </c>
      <c r="D2025" s="3" t="str">
        <f t="shared" si="127"/>
        <v>2019</v>
      </c>
      <c r="J2025" s="270" t="s">
        <v>13113</v>
      </c>
      <c r="K2025" s="4837">
        <v>49676.118523187091</v>
      </c>
      <c r="L2025" s="4834">
        <f t="shared" si="129"/>
        <v>4.5312576155048403E-5</v>
      </c>
      <c r="S2025" s="270" t="s">
        <v>13103</v>
      </c>
      <c r="T2025" s="4838">
        <v>573.24781131863688</v>
      </c>
      <c r="U2025" s="4839">
        <f t="shared" si="128"/>
        <v>2.1034000238350494E-3</v>
      </c>
    </row>
    <row r="2026" spans="1:21">
      <c r="A2026" s="270" t="s">
        <v>13105</v>
      </c>
      <c r="B2026" s="3305">
        <v>6165.5</v>
      </c>
      <c r="C2026" s="4834">
        <f t="shared" si="126"/>
        <v>3.0706327637022792E-4</v>
      </c>
      <c r="D2026" s="3" t="str">
        <f t="shared" si="127"/>
        <v>2020</v>
      </c>
      <c r="J2026" s="270" t="s">
        <v>13114</v>
      </c>
      <c r="K2026" s="4837">
        <v>49801.506434804745</v>
      </c>
      <c r="L2026" s="4834">
        <f t="shared" si="129"/>
        <v>4.4887111658859878E-5</v>
      </c>
      <c r="S2026" s="270" t="s">
        <v>13104</v>
      </c>
      <c r="T2026" s="4838">
        <v>580.32097556373503</v>
      </c>
      <c r="U2026" s="4839">
        <f t="shared" si="128"/>
        <v>2.1371009454615999E-3</v>
      </c>
    </row>
    <row r="2027" spans="1:21">
      <c r="A2027" s="270" t="s">
        <v>13106</v>
      </c>
      <c r="B2027" s="3305">
        <v>6077</v>
      </c>
      <c r="C2027" s="4834">
        <f t="shared" si="126"/>
        <v>2.9870133651350848E-4</v>
      </c>
      <c r="D2027" s="3" t="str">
        <f t="shared" si="127"/>
        <v>2020</v>
      </c>
      <c r="J2027" s="270" t="s">
        <v>13115</v>
      </c>
      <c r="K2027" s="4837">
        <v>49979.943078260629</v>
      </c>
      <c r="L2027" s="4834">
        <f t="shared" si="129"/>
        <v>4.4267370923183222E-5</v>
      </c>
      <c r="S2027" s="270" t="s">
        <v>13105</v>
      </c>
      <c r="T2027" s="4838">
        <v>576.14137850981353</v>
      </c>
      <c r="U2027" s="4839">
        <f t="shared" si="128"/>
        <v>2.1175437655958484E-3</v>
      </c>
    </row>
    <row r="2028" spans="1:21">
      <c r="A2028" s="270" t="s">
        <v>13107</v>
      </c>
      <c r="B2028" s="3305">
        <v>6097.5</v>
      </c>
      <c r="C2028" s="4834">
        <f t="shared" si="126"/>
        <v>3.007577068419782E-4</v>
      </c>
      <c r="D2028" s="3" t="str">
        <f t="shared" si="127"/>
        <v>2020</v>
      </c>
      <c r="J2028" s="270" t="s">
        <v>13116</v>
      </c>
      <c r="K2028" s="4837">
        <v>50078.002855294937</v>
      </c>
      <c r="L2028" s="4834">
        <f t="shared" si="129"/>
        <v>4.3919949910051501E-5</v>
      </c>
      <c r="S2028" s="270" t="s">
        <v>13106</v>
      </c>
      <c r="T2028" s="4838">
        <v>585.46509501471553</v>
      </c>
      <c r="U2028" s="4839">
        <f t="shared" si="128"/>
        <v>2.1597128606985505E-3</v>
      </c>
    </row>
    <row r="2029" spans="1:21">
      <c r="A2029" s="270" t="s">
        <v>13108</v>
      </c>
      <c r="B2029" s="3305">
        <v>6134.5</v>
      </c>
      <c r="C2029" s="4834">
        <f t="shared" si="126"/>
        <v>3.042889297403606E-4</v>
      </c>
      <c r="D2029" s="3" t="str">
        <f t="shared" si="127"/>
        <v>2020</v>
      </c>
      <c r="J2029" s="270" t="s">
        <v>13117</v>
      </c>
      <c r="K2029" s="4837">
        <v>50159.987259044945</v>
      </c>
      <c r="L2029" s="4834">
        <f t="shared" si="129"/>
        <v>4.3625902574124506E-5</v>
      </c>
      <c r="S2029" s="270" t="s">
        <v>13107</v>
      </c>
      <c r="T2029" s="4838">
        <v>592.85976672549998</v>
      </c>
      <c r="U2029" s="4839">
        <f t="shared" si="128"/>
        <v>2.1892916965143222E-3</v>
      </c>
    </row>
    <row r="2030" spans="1:21">
      <c r="A2030" s="270" t="s">
        <v>13109</v>
      </c>
      <c r="B2030" s="3305">
        <v>6154</v>
      </c>
      <c r="C2030" s="4834">
        <f t="shared" si="126"/>
        <v>3.0605405339688175E-4</v>
      </c>
      <c r="D2030" s="3" t="str">
        <f t="shared" si="127"/>
        <v>2020</v>
      </c>
      <c r="J2030" s="270" t="s">
        <v>13118</v>
      </c>
      <c r="K2030" s="4837">
        <v>49875.453151912589</v>
      </c>
      <c r="L2030" s="4834">
        <f t="shared" si="129"/>
        <v>4.4632274764405844E-5</v>
      </c>
      <c r="S2030" s="270" t="s">
        <v>13108</v>
      </c>
      <c r="T2030" s="4838">
        <v>583.53605022059787</v>
      </c>
      <c r="U2030" s="4839">
        <f t="shared" si="128"/>
        <v>2.1514252262471428E-3</v>
      </c>
    </row>
    <row r="2031" spans="1:21">
      <c r="A2031" s="270" t="s">
        <v>13110</v>
      </c>
      <c r="B2031" s="3305">
        <v>6156</v>
      </c>
      <c r="C2031" s="4834">
        <f t="shared" si="126"/>
        <v>3.0623127407187356E-4</v>
      </c>
      <c r="D2031" s="3" t="str">
        <f t="shared" si="127"/>
        <v>2020</v>
      </c>
      <c r="J2031" s="270" t="s">
        <v>13119</v>
      </c>
      <c r="K2031" s="4837">
        <v>50055.497332696912</v>
      </c>
      <c r="L2031" s="4834">
        <f t="shared" si="129"/>
        <v>4.4000103233579222E-5</v>
      </c>
      <c r="S2031" s="270" t="s">
        <v>13109</v>
      </c>
      <c r="T2031" s="4838">
        <v>592.2167517941275</v>
      </c>
      <c r="U2031" s="4839">
        <f t="shared" si="128"/>
        <v>2.1868599721591884E-3</v>
      </c>
    </row>
    <row r="2032" spans="1:21">
      <c r="A2032" s="270" t="s">
        <v>13111</v>
      </c>
      <c r="B2032" s="3305">
        <v>6157</v>
      </c>
      <c r="C2032" s="4834">
        <f t="shared" si="126"/>
        <v>3.0631961613278086E-4</v>
      </c>
      <c r="D2032" s="3" t="str">
        <f t="shared" si="127"/>
        <v>2020</v>
      </c>
      <c r="J2032" s="270" t="s">
        <v>13120</v>
      </c>
      <c r="K2032" s="4837">
        <v>50248.401812108677</v>
      </c>
      <c r="L2032" s="4834">
        <f t="shared" si="129"/>
        <v>4.3305249703441314E-5</v>
      </c>
      <c r="S2032" s="270" t="s">
        <v>13110</v>
      </c>
      <c r="T2032" s="4838">
        <v>575.81987104412713</v>
      </c>
      <c r="U2032" s="4839">
        <f t="shared" si="128"/>
        <v>2.1159963706955135E-3</v>
      </c>
    </row>
    <row r="2033" spans="1:21">
      <c r="A2033" s="270" t="s">
        <v>13112</v>
      </c>
      <c r="B2033" s="3305">
        <v>6177</v>
      </c>
      <c r="C2033" s="4834">
        <f t="shared" si="126"/>
        <v>3.080486278550949E-4</v>
      </c>
      <c r="D2033" s="3" t="str">
        <f t="shared" si="127"/>
        <v>2020</v>
      </c>
      <c r="J2033" s="270" t="s">
        <v>13121</v>
      </c>
      <c r="K2033" s="4837">
        <v>50293.412857304749</v>
      </c>
      <c r="L2033" s="4834">
        <f t="shared" si="129"/>
        <v>4.3140631777039067E-5</v>
      </c>
      <c r="S2033" s="270" t="s">
        <v>13111</v>
      </c>
      <c r="T2033" s="4838">
        <v>576.14137850981353</v>
      </c>
      <c r="U2033" s="4839">
        <f t="shared" si="128"/>
        <v>2.1175437655958484E-3</v>
      </c>
    </row>
    <row r="2034" spans="1:21">
      <c r="A2034" s="270" t="s">
        <v>13113</v>
      </c>
      <c r="B2034" s="3305">
        <v>6247</v>
      </c>
      <c r="C2034" s="4834">
        <f t="shared" si="126"/>
        <v>3.1351736982367388E-4</v>
      </c>
      <c r="D2034" s="3" t="str">
        <f t="shared" si="127"/>
        <v>2020</v>
      </c>
      <c r="J2034" s="270" t="s">
        <v>13122</v>
      </c>
      <c r="K2034" s="4837">
        <v>50801.394653089068</v>
      </c>
      <c r="L2034" s="4834">
        <f t="shared" si="129"/>
        <v>4.1223463546980329E-5</v>
      </c>
      <c r="S2034" s="270" t="s">
        <v>13112</v>
      </c>
      <c r="T2034" s="4838">
        <v>578.39193076961737</v>
      </c>
      <c r="U2034" s="4839">
        <f t="shared" si="128"/>
        <v>2.1282043676275082E-3</v>
      </c>
    </row>
    <row r="2035" spans="1:21">
      <c r="A2035" s="270" t="s">
        <v>13114</v>
      </c>
      <c r="B2035" s="3305">
        <v>6232</v>
      </c>
      <c r="C2035" s="4834">
        <f t="shared" si="126"/>
        <v>3.1242340840171467E-4</v>
      </c>
      <c r="D2035" s="3" t="str">
        <f t="shared" si="127"/>
        <v>2020</v>
      </c>
      <c r="J2035" s="270" t="s">
        <v>13123</v>
      </c>
      <c r="K2035" s="4837">
        <v>50605.275099020444</v>
      </c>
      <c r="L2035" s="4834">
        <f t="shared" si="129"/>
        <v>4.1975941056796884E-5</v>
      </c>
      <c r="S2035" s="270" t="s">
        <v>13113</v>
      </c>
      <c r="T2035" s="4838">
        <v>571.31876652451922</v>
      </c>
      <c r="U2035" s="4839">
        <f t="shared" si="128"/>
        <v>2.0937025841897268E-3</v>
      </c>
    </row>
    <row r="2036" spans="1:21">
      <c r="A2036" s="270" t="s">
        <v>13115</v>
      </c>
      <c r="B2036" s="3305">
        <v>6300.5</v>
      </c>
      <c r="C2036" s="4834">
        <f t="shared" si="126"/>
        <v>3.1706234861046396E-4</v>
      </c>
      <c r="D2036" s="3" t="str">
        <f t="shared" si="127"/>
        <v>2020</v>
      </c>
      <c r="J2036" s="270" t="s">
        <v>13124</v>
      </c>
      <c r="K2036" s="4837">
        <v>50587.592188407696</v>
      </c>
      <c r="L2036" s="4834">
        <f t="shared" si="129"/>
        <v>4.2043058195299894E-5</v>
      </c>
      <c r="S2036" s="270" t="s">
        <v>13114</v>
      </c>
      <c r="T2036" s="4838">
        <v>573.89082625000958</v>
      </c>
      <c r="U2036" s="4839">
        <f t="shared" si="128"/>
        <v>2.1065850961438622E-3</v>
      </c>
    </row>
    <row r="2037" spans="1:21">
      <c r="A2037" s="270" t="s">
        <v>13116</v>
      </c>
      <c r="B2037" s="3305">
        <v>6276.5</v>
      </c>
      <c r="C2037" s="4834">
        <f t="shared" si="126"/>
        <v>3.155417120502822E-4</v>
      </c>
      <c r="D2037" s="3" t="str">
        <f t="shared" si="127"/>
        <v>2020</v>
      </c>
      <c r="J2037" s="270" t="s">
        <v>13125</v>
      </c>
      <c r="K2037" s="4837">
        <v>50741.915771937107</v>
      </c>
      <c r="L2037" s="4834">
        <f t="shared" si="129"/>
        <v>4.1453205922649237E-5</v>
      </c>
      <c r="S2037" s="270" t="s">
        <v>13115</v>
      </c>
      <c r="T2037" s="4838">
        <v>579.03494570098997</v>
      </c>
      <c r="U2037" s="4839">
        <f t="shared" si="128"/>
        <v>2.1311947947266099E-3</v>
      </c>
    </row>
    <row r="2038" spans="1:21">
      <c r="A2038" s="270" t="s">
        <v>13117</v>
      </c>
      <c r="B2038" s="3305">
        <v>6245</v>
      </c>
      <c r="C2038" s="4834">
        <f t="shared" si="126"/>
        <v>3.1337400703001969E-4</v>
      </c>
      <c r="D2038" s="3" t="str">
        <f t="shared" si="127"/>
        <v>2020</v>
      </c>
      <c r="J2038" s="270" t="s">
        <v>13126</v>
      </c>
      <c r="K2038" s="4837">
        <v>50933.212714020447</v>
      </c>
      <c r="L2038" s="4834">
        <f t="shared" si="129"/>
        <v>4.0709786409502513E-5</v>
      </c>
      <c r="S2038" s="270" t="s">
        <v>13116</v>
      </c>
      <c r="T2038" s="4838">
        <v>580.64248302942133</v>
      </c>
      <c r="U2038" s="4839">
        <f t="shared" si="128"/>
        <v>2.1385618359941578E-3</v>
      </c>
    </row>
    <row r="2039" spans="1:21">
      <c r="A2039" s="270" t="s">
        <v>13118</v>
      </c>
      <c r="B2039" s="3305">
        <v>6158.5</v>
      </c>
      <c r="C2039" s="4834">
        <f t="shared" si="126"/>
        <v>3.064517934013384E-4</v>
      </c>
      <c r="D2039" s="3" t="str">
        <f t="shared" si="127"/>
        <v>2020</v>
      </c>
      <c r="J2039" s="270" t="s">
        <v>13127</v>
      </c>
      <c r="K2039" s="4837">
        <v>50629.388158946917</v>
      </c>
      <c r="L2039" s="4834">
        <f t="shared" si="129"/>
        <v>4.1884218389609823E-5</v>
      </c>
      <c r="S2039" s="270" t="s">
        <v>13117</v>
      </c>
      <c r="T2039" s="4838">
        <v>580.64248302942133</v>
      </c>
      <c r="U2039" s="4839">
        <f t="shared" si="128"/>
        <v>2.1385618359941578E-3</v>
      </c>
    </row>
    <row r="2040" spans="1:21">
      <c r="A2040" s="270" t="s">
        <v>13119</v>
      </c>
      <c r="B2040" s="3305">
        <v>6103.5</v>
      </c>
      <c r="C2040" s="4834">
        <f t="shared" si="126"/>
        <v>3.0134625060083904E-4</v>
      </c>
      <c r="D2040" s="3" t="str">
        <f t="shared" si="127"/>
        <v>2020</v>
      </c>
      <c r="J2040" s="270" t="s">
        <v>13128</v>
      </c>
      <c r="K2040" s="4837">
        <v>50102.11591522141</v>
      </c>
      <c r="L2040" s="4834">
        <f t="shared" si="129"/>
        <v>4.3833799210176221E-5</v>
      </c>
      <c r="S2040" s="270" t="s">
        <v>13118</v>
      </c>
      <c r="T2040" s="4838">
        <v>578.39193076961737</v>
      </c>
      <c r="U2040" s="4839">
        <f t="shared" si="128"/>
        <v>2.1282043676275082E-3</v>
      </c>
    </row>
    <row r="2041" spans="1:21">
      <c r="A2041" s="270" t="s">
        <v>13120</v>
      </c>
      <c r="B2041" s="3305">
        <v>6050</v>
      </c>
      <c r="C2041" s="4834">
        <f t="shared" si="126"/>
        <v>2.9588768573499515E-4</v>
      </c>
      <c r="D2041" s="3" t="str">
        <f t="shared" si="127"/>
        <v>2020</v>
      </c>
      <c r="J2041" s="270" t="s">
        <v>13129</v>
      </c>
      <c r="K2041" s="4837">
        <v>49939.754645049848</v>
      </c>
      <c r="L2041" s="4834">
        <f t="shared" si="129"/>
        <v>4.4408375290682109E-5</v>
      </c>
      <c r="S2041" s="270" t="s">
        <v>13119</v>
      </c>
      <c r="T2041" s="4838">
        <v>571.31876652451922</v>
      </c>
      <c r="U2041" s="4839">
        <f t="shared" si="128"/>
        <v>2.0937025841897268E-3</v>
      </c>
    </row>
    <row r="2042" spans="1:21">
      <c r="A2042" s="270" t="s">
        <v>13121</v>
      </c>
      <c r="B2042" s="3305">
        <v>5968</v>
      </c>
      <c r="C2042" s="4834">
        <f t="shared" si="126"/>
        <v>2.86647452736278E-4</v>
      </c>
      <c r="D2042" s="3" t="str">
        <f t="shared" si="127"/>
        <v>2020</v>
      </c>
      <c r="J2042" s="270" t="s">
        <v>13130</v>
      </c>
      <c r="K2042" s="4837">
        <v>50261.262110736119</v>
      </c>
      <c r="L2042" s="4834">
        <f t="shared" si="129"/>
        <v>4.3258309610900338E-5</v>
      </c>
      <c r="S2042" s="270" t="s">
        <v>13120</v>
      </c>
      <c r="T2042" s="4838">
        <v>565.85313960785254</v>
      </c>
      <c r="U2042" s="4839">
        <f t="shared" si="128"/>
        <v>2.0650936040706703E-3</v>
      </c>
    </row>
    <row r="2043" spans="1:21">
      <c r="A2043" s="270" t="s">
        <v>13122</v>
      </c>
      <c r="B2043" s="3305">
        <v>5779</v>
      </c>
      <c r="C2043" s="4834">
        <f t="shared" si="126"/>
        <v>2.6191741297714225E-4</v>
      </c>
      <c r="D2043" s="3" t="str">
        <f t="shared" si="127"/>
        <v>2020</v>
      </c>
      <c r="J2043" s="270" t="s">
        <v>13131</v>
      </c>
      <c r="K2043" s="4837">
        <v>50561.871591152798</v>
      </c>
      <c r="L2043" s="4834">
        <f t="shared" si="129"/>
        <v>4.2140460233383752E-5</v>
      </c>
      <c r="S2043" s="270" t="s">
        <v>13121</v>
      </c>
      <c r="T2043" s="4838">
        <v>573.24781131863688</v>
      </c>
      <c r="U2043" s="4839">
        <f t="shared" si="128"/>
        <v>2.1034000238350494E-3</v>
      </c>
    </row>
    <row r="2044" spans="1:21">
      <c r="A2044" s="270" t="s">
        <v>13123</v>
      </c>
      <c r="B2044" s="3305">
        <v>5715</v>
      </c>
      <c r="C2044" s="4834">
        <f t="shared" si="126"/>
        <v>2.5266695620410057E-4</v>
      </c>
      <c r="D2044" s="3" t="str">
        <f t="shared" si="127"/>
        <v>2020</v>
      </c>
      <c r="J2044" s="270" t="s">
        <v>13132</v>
      </c>
      <c r="K2044" s="4837">
        <v>50579.554501765546</v>
      </c>
      <c r="L2044" s="4834">
        <f t="shared" si="129"/>
        <v>4.2073524812816213E-5</v>
      </c>
      <c r="S2044" s="270" t="s">
        <v>13122</v>
      </c>
      <c r="T2044" s="4838">
        <v>588.35866220589207</v>
      </c>
      <c r="U2044" s="4839">
        <f t="shared" si="128"/>
        <v>2.1717050623789409E-3</v>
      </c>
    </row>
    <row r="2045" spans="1:21">
      <c r="A2045" s="270" t="s">
        <v>13124</v>
      </c>
      <c r="B2045" s="3305">
        <v>5698</v>
      </c>
      <c r="C2045" s="4834">
        <f t="shared" si="126"/>
        <v>2.5015019412051912E-4</v>
      </c>
      <c r="D2045" s="3" t="str">
        <f t="shared" si="127"/>
        <v>2020</v>
      </c>
      <c r="J2045" s="270" t="s">
        <v>13133</v>
      </c>
      <c r="K2045" s="4837">
        <v>50492.747486030246</v>
      </c>
      <c r="L2045" s="4834">
        <f t="shared" si="129"/>
        <v>4.2400898406886944E-5</v>
      </c>
      <c r="S2045" s="270" t="s">
        <v>13123</v>
      </c>
      <c r="T2045" s="4838">
        <v>578.07042330393108</v>
      </c>
      <c r="U2045" s="4839">
        <f t="shared" si="128"/>
        <v>2.1266998668777576E-3</v>
      </c>
    </row>
    <row r="2046" spans="1:21">
      <c r="A2046" s="270" t="s">
        <v>13125</v>
      </c>
      <c r="B2046" s="3305">
        <v>5621</v>
      </c>
      <c r="C2046" s="4834">
        <f t="shared" si="126"/>
        <v>2.3848411487185805E-4</v>
      </c>
      <c r="D2046" s="3" t="str">
        <f t="shared" si="127"/>
        <v>2020</v>
      </c>
      <c r="J2046" s="270" t="s">
        <v>13134</v>
      </c>
      <c r="K2046" s="4837">
        <v>50274.122409363576</v>
      </c>
      <c r="L2046" s="4834">
        <f t="shared" si="129"/>
        <v>4.3211294460031042E-5</v>
      </c>
      <c r="S2046" s="270" t="s">
        <v>13124</v>
      </c>
      <c r="T2046" s="4838">
        <v>561.67354255393082</v>
      </c>
      <c r="U2046" s="4839">
        <f t="shared" si="128"/>
        <v>2.0421239649869027E-3</v>
      </c>
    </row>
    <row r="2047" spans="1:21">
      <c r="A2047" s="270" t="s">
        <v>13126</v>
      </c>
      <c r="B2047" s="3305">
        <v>5570</v>
      </c>
      <c r="C2047" s="4834">
        <f t="shared" si="126"/>
        <v>2.3055539330310486E-4</v>
      </c>
      <c r="D2047" s="3" t="str">
        <f t="shared" si="127"/>
        <v>2020</v>
      </c>
      <c r="J2047" s="270" t="s">
        <v>13135</v>
      </c>
      <c r="K2047" s="4837">
        <v>50639.033382917507</v>
      </c>
      <c r="L2047" s="4834">
        <f t="shared" si="129"/>
        <v>4.1847465408589598E-5</v>
      </c>
      <c r="S2047" s="270" t="s">
        <v>13125</v>
      </c>
      <c r="T2047" s="4838">
        <v>570.03273666177415</v>
      </c>
      <c r="U2047" s="4839">
        <f t="shared" si="128"/>
        <v>2.0871203513634249E-3</v>
      </c>
    </row>
    <row r="2048" spans="1:21">
      <c r="A2048" s="270" t="s">
        <v>13127</v>
      </c>
      <c r="B2048" s="3305">
        <v>5595</v>
      </c>
      <c r="C2048" s="4834">
        <f t="shared" si="126"/>
        <v>2.3445939484442841E-4</v>
      </c>
      <c r="D2048" s="3" t="str">
        <f t="shared" si="127"/>
        <v>2020</v>
      </c>
      <c r="J2048" s="270" t="s">
        <v>13136</v>
      </c>
      <c r="K2048" s="4837">
        <v>50843.190623628296</v>
      </c>
      <c r="L2048" s="4834">
        <f t="shared" si="129"/>
        <v>4.1061253658551729E-5</v>
      </c>
      <c r="S2048" s="270" t="s">
        <v>13126</v>
      </c>
      <c r="T2048" s="4838">
        <v>575.17685611275465</v>
      </c>
      <c r="U2048" s="4839">
        <f t="shared" si="128"/>
        <v>2.112883391218086E-3</v>
      </c>
    </row>
    <row r="2049" spans="1:21">
      <c r="A2049" s="270" t="s">
        <v>13128</v>
      </c>
      <c r="B2049" s="3305">
        <v>5652</v>
      </c>
      <c r="C2049" s="4834">
        <f t="shared" si="126"/>
        <v>2.4322970522203775E-4</v>
      </c>
      <c r="D2049" s="3" t="str">
        <f t="shared" si="127"/>
        <v>2020</v>
      </c>
      <c r="J2049" s="270" t="s">
        <v>13137</v>
      </c>
      <c r="K2049" s="4837">
        <v>50823.900175687115</v>
      </c>
      <c r="L2049" s="4834">
        <f t="shared" si="129"/>
        <v>4.1136197651579769E-5</v>
      </c>
      <c r="S2049" s="270" t="s">
        <v>13127</v>
      </c>
      <c r="T2049" s="4838">
        <v>571.31876652451922</v>
      </c>
      <c r="U2049" s="4839">
        <f t="shared" si="128"/>
        <v>2.0937025841897268E-3</v>
      </c>
    </row>
    <row r="2050" spans="1:21">
      <c r="A2050" s="270" t="s">
        <v>13129</v>
      </c>
      <c r="B2050" s="3305">
        <v>5714</v>
      </c>
      <c r="C2050" s="4834">
        <f t="shared" si="126"/>
        <v>2.525195616022881E-4</v>
      </c>
      <c r="D2050" s="3" t="str">
        <f t="shared" si="127"/>
        <v>2020</v>
      </c>
      <c r="J2050" s="270" t="s">
        <v>13138</v>
      </c>
      <c r="K2050" s="4837">
        <v>51114.864432133196</v>
      </c>
      <c r="L2050" s="4834">
        <f t="shared" si="129"/>
        <v>3.9992315662392756E-5</v>
      </c>
      <c r="S2050" s="270" t="s">
        <v>13128</v>
      </c>
      <c r="T2050" s="4838">
        <v>570.03273666177415</v>
      </c>
      <c r="U2050" s="4839">
        <f t="shared" si="128"/>
        <v>2.0871203513634249E-3</v>
      </c>
    </row>
    <row r="2051" spans="1:21">
      <c r="A2051" s="270" t="s">
        <v>13130</v>
      </c>
      <c r="B2051" s="3305">
        <v>5726</v>
      </c>
      <c r="C2051" s="4834">
        <f t="shared" si="126"/>
        <v>2.5428278150897748E-4</v>
      </c>
      <c r="D2051" s="3" t="str">
        <f t="shared" si="127"/>
        <v>2020</v>
      </c>
      <c r="J2051" s="270" t="s">
        <v>13139</v>
      </c>
      <c r="K2051" s="4837">
        <v>51576.22764539301</v>
      </c>
      <c r="L2051" s="4834">
        <f t="shared" si="129"/>
        <v>3.812660516603063E-5</v>
      </c>
      <c r="S2051" s="270" t="s">
        <v>13129</v>
      </c>
      <c r="T2051" s="4838">
        <v>566.49615453922513</v>
      </c>
      <c r="U2051" s="4839">
        <f t="shared" si="128"/>
        <v>2.0685446103417462E-3</v>
      </c>
    </row>
    <row r="2052" spans="1:21">
      <c r="A2052" s="270" t="s">
        <v>13131</v>
      </c>
      <c r="B2052" s="3305">
        <v>5653</v>
      </c>
      <c r="C2052" s="4834">
        <f t="shared" ref="C2052:C2115" si="130">_xlfn.NORM.DIST(B2052,$F$4,$F$3,FALSE)</f>
        <v>2.4338175124611483E-4</v>
      </c>
      <c r="D2052" s="3" t="str">
        <f t="shared" ref="D2052:D2115" si="131">LEFT(A2052,4)</f>
        <v>2020</v>
      </c>
      <c r="J2052" s="270" t="s">
        <v>13140</v>
      </c>
      <c r="K2052" s="4837">
        <v>52052.058694608706</v>
      </c>
      <c r="L2052" s="4834">
        <f t="shared" si="129"/>
        <v>3.6151191904408427E-5</v>
      </c>
      <c r="S2052" s="270" t="s">
        <v>13130</v>
      </c>
      <c r="T2052" s="4838">
        <v>571.31876652451922</v>
      </c>
      <c r="U2052" s="4839">
        <f t="shared" ref="U2052:U2115" si="132">_xlfn.NORM.DIST(T2052,$X$4,$X$3,FALSE)</f>
        <v>2.0937025841897268E-3</v>
      </c>
    </row>
    <row r="2053" spans="1:21">
      <c r="A2053" s="270" t="s">
        <v>13132</v>
      </c>
      <c r="B2053" s="3305">
        <v>5659.5</v>
      </c>
      <c r="C2053" s="4834">
        <f t="shared" si="130"/>
        <v>2.4436839313993956E-4</v>
      </c>
      <c r="D2053" s="3" t="str">
        <f t="shared" si="131"/>
        <v>2020</v>
      </c>
      <c r="J2053" s="270" t="s">
        <v>13141</v>
      </c>
      <c r="K2053" s="4837">
        <v>52833.321836226358</v>
      </c>
      <c r="L2053" s="4834">
        <f t="shared" ref="L2053:L2116" si="133">_xlfn.NORM.DIST(K2053,$O$4,$O$3,FALSE)</f>
        <v>3.2841855159833896E-5</v>
      </c>
      <c r="S2053" s="270" t="s">
        <v>13131</v>
      </c>
      <c r="T2053" s="4838">
        <v>571.31876652451922</v>
      </c>
      <c r="U2053" s="4839">
        <f t="shared" si="132"/>
        <v>2.0937025841897268E-3</v>
      </c>
    </row>
    <row r="2054" spans="1:21">
      <c r="A2054" s="270" t="s">
        <v>13133</v>
      </c>
      <c r="B2054" s="3305">
        <v>5696</v>
      </c>
      <c r="C2054" s="4834">
        <f t="shared" si="130"/>
        <v>2.498525881266328E-4</v>
      </c>
      <c r="D2054" s="3" t="str">
        <f t="shared" si="131"/>
        <v>2020</v>
      </c>
      <c r="J2054" s="270" t="s">
        <v>13142</v>
      </c>
      <c r="K2054" s="4837">
        <v>53744.795501446963</v>
      </c>
      <c r="L2054" s="4834">
        <f t="shared" si="133"/>
        <v>2.8965404124233804E-5</v>
      </c>
      <c r="S2054" s="270" t="s">
        <v>13132</v>
      </c>
      <c r="T2054" s="4838">
        <v>571.9617814558917</v>
      </c>
      <c r="U2054" s="4839">
        <f t="shared" si="132"/>
        <v>2.0969586438486713E-3</v>
      </c>
    </row>
    <row r="2055" spans="1:21">
      <c r="A2055" s="270" t="s">
        <v>13134</v>
      </c>
      <c r="B2055" s="3305">
        <v>5747</v>
      </c>
      <c r="C2055" s="4834">
        <f t="shared" si="130"/>
        <v>2.5733855645559522E-4</v>
      </c>
      <c r="D2055" s="3" t="str">
        <f t="shared" si="131"/>
        <v>2020</v>
      </c>
      <c r="J2055" s="270" t="s">
        <v>13143</v>
      </c>
      <c r="K2055" s="4837">
        <v>53058.37706220676</v>
      </c>
      <c r="L2055" s="4834">
        <f t="shared" si="133"/>
        <v>3.1882337690685247E-5</v>
      </c>
      <c r="S2055" s="270" t="s">
        <v>13133</v>
      </c>
      <c r="T2055" s="4838">
        <v>569.38972173040156</v>
      </c>
      <c r="U2055" s="4839">
        <f t="shared" si="132"/>
        <v>2.0837944308023022E-3</v>
      </c>
    </row>
    <row r="2056" spans="1:21">
      <c r="A2056" s="270" t="s">
        <v>13135</v>
      </c>
      <c r="B2056" s="3305">
        <v>5716</v>
      </c>
      <c r="C2056" s="4834">
        <f t="shared" si="130"/>
        <v>2.5281426805700636E-4</v>
      </c>
      <c r="D2056" s="3" t="str">
        <f t="shared" si="131"/>
        <v>2020</v>
      </c>
      <c r="J2056" s="270" t="s">
        <v>13144</v>
      </c>
      <c r="K2056" s="4837">
        <v>52563.255565049891</v>
      </c>
      <c r="L2056" s="4834">
        <f t="shared" si="133"/>
        <v>3.3991398649122705E-5</v>
      </c>
      <c r="S2056" s="270" t="s">
        <v>13134</v>
      </c>
      <c r="T2056" s="4838">
        <v>564.56710974510725</v>
      </c>
      <c r="U2056" s="4839">
        <f t="shared" si="132"/>
        <v>2.058124765569571E-3</v>
      </c>
    </row>
    <row r="2057" spans="1:21">
      <c r="A2057" s="270" t="s">
        <v>13136</v>
      </c>
      <c r="B2057" s="3305">
        <v>5737</v>
      </c>
      <c r="C2057" s="4834">
        <f t="shared" si="130"/>
        <v>2.5588826831122937E-4</v>
      </c>
      <c r="D2057" s="3" t="str">
        <f t="shared" si="131"/>
        <v>2020</v>
      </c>
      <c r="J2057" s="270" t="s">
        <v>13145</v>
      </c>
      <c r="K2057" s="4837">
        <v>53113.033331373423</v>
      </c>
      <c r="L2057" s="4834">
        <f t="shared" si="133"/>
        <v>3.1649310845860724E-5</v>
      </c>
      <c r="S2057" s="270" t="s">
        <v>13135</v>
      </c>
      <c r="T2057" s="4838">
        <v>567.13916947059761</v>
      </c>
      <c r="U2057" s="4839">
        <f t="shared" si="132"/>
        <v>2.0719731658996586E-3</v>
      </c>
    </row>
    <row r="2058" spans="1:21">
      <c r="A2058" s="270" t="s">
        <v>13137</v>
      </c>
      <c r="B2058" s="3305">
        <v>5802</v>
      </c>
      <c r="C2058" s="4834">
        <f t="shared" si="130"/>
        <v>2.6514671988643303E-4</v>
      </c>
      <c r="D2058" s="3" t="str">
        <f t="shared" si="131"/>
        <v>2020</v>
      </c>
      <c r="J2058" s="270" t="s">
        <v>13146</v>
      </c>
      <c r="K2058" s="4837">
        <v>51757.879363505752</v>
      </c>
      <c r="L2058" s="4834">
        <f t="shared" si="133"/>
        <v>3.7377645103565549E-5</v>
      </c>
      <c r="S2058" s="270" t="s">
        <v>13136</v>
      </c>
      <c r="T2058" s="4838">
        <v>569.38972173040156</v>
      </c>
      <c r="U2058" s="4839">
        <f t="shared" si="132"/>
        <v>2.0837944308023022E-3</v>
      </c>
    </row>
    <row r="2059" spans="1:21">
      <c r="A2059" s="270" t="s">
        <v>13138</v>
      </c>
      <c r="B2059" s="3305">
        <v>5728</v>
      </c>
      <c r="C2059" s="4834">
        <f t="shared" si="130"/>
        <v>2.5457546672304248E-4</v>
      </c>
      <c r="D2059" s="3" t="str">
        <f t="shared" si="131"/>
        <v>2020</v>
      </c>
      <c r="J2059" s="270" t="s">
        <v>13147</v>
      </c>
      <c r="K2059" s="4837">
        <v>51429.941748505757</v>
      </c>
      <c r="L2059" s="4834">
        <f t="shared" si="133"/>
        <v>3.8724273209294175E-5</v>
      </c>
      <c r="S2059" s="270" t="s">
        <v>13137</v>
      </c>
      <c r="T2059" s="4838">
        <v>572.28328892157811</v>
      </c>
      <c r="U2059" s="4839">
        <f t="shared" si="132"/>
        <v>2.0985778546043642E-3</v>
      </c>
    </row>
    <row r="2060" spans="1:21">
      <c r="A2060" s="270" t="s">
        <v>13139</v>
      </c>
      <c r="B2060" s="3305">
        <v>5745.5</v>
      </c>
      <c r="C2060" s="4834">
        <f t="shared" si="130"/>
        <v>2.571215846783117E-4</v>
      </c>
      <c r="D2060" s="3" t="str">
        <f t="shared" si="131"/>
        <v>2020</v>
      </c>
      <c r="J2060" s="270" t="s">
        <v>13148</v>
      </c>
      <c r="K2060" s="4837">
        <v>51939.531081618501</v>
      </c>
      <c r="L2060" s="4834">
        <f t="shared" si="133"/>
        <v>3.6622096313825821E-5</v>
      </c>
      <c r="S2060" s="270" t="s">
        <v>13138</v>
      </c>
      <c r="T2060" s="4838">
        <v>575.17685611275465</v>
      </c>
      <c r="U2060" s="4839">
        <f t="shared" si="132"/>
        <v>2.112883391218086E-3</v>
      </c>
    </row>
    <row r="2061" spans="1:21">
      <c r="A2061" s="270" t="s">
        <v>13140</v>
      </c>
      <c r="B2061" s="3305">
        <v>5730</v>
      </c>
      <c r="C2061" s="4834">
        <f t="shared" si="130"/>
        <v>2.5486780820975811E-4</v>
      </c>
      <c r="D2061" s="3" t="str">
        <f t="shared" si="131"/>
        <v>2020</v>
      </c>
      <c r="J2061" s="270" t="s">
        <v>13149</v>
      </c>
      <c r="K2061" s="4837">
        <v>52786.703253701853</v>
      </c>
      <c r="L2061" s="4834">
        <f t="shared" si="133"/>
        <v>3.3040507128381263E-5</v>
      </c>
      <c r="S2061" s="270" t="s">
        <v>13139</v>
      </c>
      <c r="T2061" s="4838">
        <v>589.96619953432355</v>
      </c>
      <c r="U2061" s="4839">
        <f t="shared" si="132"/>
        <v>2.1781365762203898E-3</v>
      </c>
    </row>
    <row r="2062" spans="1:21">
      <c r="A2062" s="270" t="s">
        <v>13141</v>
      </c>
      <c r="B2062" s="3305">
        <v>5702</v>
      </c>
      <c r="C2062" s="4834">
        <f t="shared" si="130"/>
        <v>2.5074446117399196E-4</v>
      </c>
      <c r="D2062" s="3" t="str">
        <f t="shared" si="131"/>
        <v>2020</v>
      </c>
      <c r="J2062" s="270" t="s">
        <v>13150</v>
      </c>
      <c r="K2062" s="4837">
        <v>53357.379005294992</v>
      </c>
      <c r="L2062" s="4834">
        <f t="shared" si="133"/>
        <v>3.0608485567530549E-5</v>
      </c>
      <c r="S2062" s="270" t="s">
        <v>13140</v>
      </c>
      <c r="T2062" s="4838">
        <v>591.25222939706862</v>
      </c>
      <c r="U2062" s="4839">
        <f t="shared" si="132"/>
        <v>2.1831617012582024E-3</v>
      </c>
    </row>
    <row r="2063" spans="1:21">
      <c r="A2063" s="270" t="s">
        <v>13142</v>
      </c>
      <c r="B2063" s="3305">
        <v>5657.5</v>
      </c>
      <c r="C2063" s="4834">
        <f t="shared" si="130"/>
        <v>2.4406511899783311E-4</v>
      </c>
      <c r="D2063" s="3" t="str">
        <f t="shared" si="131"/>
        <v>2020</v>
      </c>
      <c r="J2063" s="270" t="s">
        <v>13151</v>
      </c>
      <c r="K2063" s="4837">
        <v>54130.604460270508</v>
      </c>
      <c r="L2063" s="4834">
        <f t="shared" si="133"/>
        <v>2.7344830226466325E-5</v>
      </c>
      <c r="S2063" s="270" t="s">
        <v>13141</v>
      </c>
      <c r="T2063" s="4838">
        <v>596.7178563137353</v>
      </c>
      <c r="U2063" s="4839">
        <f t="shared" si="132"/>
        <v>2.2033087126147504E-3</v>
      </c>
    </row>
    <row r="2064" spans="1:21">
      <c r="A2064" s="270" t="s">
        <v>13143</v>
      </c>
      <c r="B2064" s="3305">
        <v>5663.5</v>
      </c>
      <c r="C2064" s="4834">
        <f t="shared" si="130"/>
        <v>2.4497410984647736E-4</v>
      </c>
      <c r="D2064" s="3" t="str">
        <f t="shared" si="131"/>
        <v>2020</v>
      </c>
      <c r="J2064" s="270" t="s">
        <v>13152</v>
      </c>
      <c r="K2064" s="4837">
        <v>53772.123636030301</v>
      </c>
      <c r="L2064" s="4834">
        <f t="shared" si="133"/>
        <v>2.8850007976546083E-5</v>
      </c>
      <c r="S2064" s="270" t="s">
        <v>13142</v>
      </c>
      <c r="T2064" s="4838">
        <v>603.79102055883345</v>
      </c>
      <c r="U2064" s="4839">
        <f t="shared" si="132"/>
        <v>2.2264032868441418E-3</v>
      </c>
    </row>
    <row r="2065" spans="1:21">
      <c r="A2065" s="270" t="s">
        <v>13144</v>
      </c>
      <c r="B2065" s="3305">
        <v>5614</v>
      </c>
      <c r="C2065" s="4834">
        <f t="shared" si="130"/>
        <v>2.3740432854500449E-4</v>
      </c>
      <c r="D2065" s="3" t="str">
        <f t="shared" si="131"/>
        <v>2020</v>
      </c>
      <c r="J2065" s="270" t="s">
        <v>13153</v>
      </c>
      <c r="K2065" s="4837">
        <v>53231.991093677352</v>
      </c>
      <c r="L2065" s="4834">
        <f t="shared" si="133"/>
        <v>3.1142337818789321E-5</v>
      </c>
      <c r="S2065" s="270" t="s">
        <v>13143</v>
      </c>
      <c r="T2065" s="4838">
        <v>589.32318460295085</v>
      </c>
      <c r="U2065" s="4839">
        <f t="shared" si="132"/>
        <v>2.1755839095289643E-3</v>
      </c>
    </row>
    <row r="2066" spans="1:21">
      <c r="A2066" s="270" t="s">
        <v>13145</v>
      </c>
      <c r="B2066" s="3305">
        <v>5618</v>
      </c>
      <c r="C2066" s="4834">
        <f t="shared" si="130"/>
        <v>2.3802170266996496E-4</v>
      </c>
      <c r="D2066" s="3" t="str">
        <f t="shared" si="131"/>
        <v>2020</v>
      </c>
      <c r="J2066" s="270" t="s">
        <v>13154</v>
      </c>
      <c r="K2066" s="4837">
        <v>53169.297137868525</v>
      </c>
      <c r="L2066" s="4834">
        <f t="shared" si="133"/>
        <v>3.1409482014991855E-5</v>
      </c>
      <c r="S2066" s="270" t="s">
        <v>13144</v>
      </c>
      <c r="T2066" s="4838">
        <v>580.96399049510762</v>
      </c>
      <c r="U2066" s="4839">
        <f t="shared" si="132"/>
        <v>2.1400164391062494E-3</v>
      </c>
    </row>
    <row r="2067" spans="1:21">
      <c r="A2067" s="270" t="s">
        <v>13146</v>
      </c>
      <c r="B2067" s="3305">
        <v>5573</v>
      </c>
      <c r="C2067" s="4834">
        <f t="shared" si="130"/>
        <v>2.3102550938409455E-4</v>
      </c>
      <c r="D2067" s="3" t="str">
        <f t="shared" si="131"/>
        <v>2020</v>
      </c>
      <c r="J2067" s="270" t="s">
        <v>13155</v>
      </c>
      <c r="K2067" s="4837">
        <v>50499.177635343971</v>
      </c>
      <c r="L2067" s="4834">
        <f t="shared" si="133"/>
        <v>4.2376754375353467E-5</v>
      </c>
      <c r="S2067" s="270" t="s">
        <v>13145</v>
      </c>
      <c r="T2067" s="4838">
        <v>580.32097556373503</v>
      </c>
      <c r="U2067" s="4839">
        <f t="shared" si="132"/>
        <v>2.1371009454615999E-3</v>
      </c>
    </row>
    <row r="2068" spans="1:21">
      <c r="A2068" s="270" t="s">
        <v>13147</v>
      </c>
      <c r="B2068" s="3305">
        <v>5640</v>
      </c>
      <c r="C2068" s="4834">
        <f t="shared" si="130"/>
        <v>2.4139997396752181E-4</v>
      </c>
      <c r="D2068" s="3" t="str">
        <f t="shared" si="131"/>
        <v>2020</v>
      </c>
      <c r="J2068" s="270" t="s">
        <v>13156</v>
      </c>
      <c r="K2068" s="4837">
        <v>50245.186737451811</v>
      </c>
      <c r="L2068" s="4834">
        <f t="shared" si="133"/>
        <v>4.3316972957081076E-5</v>
      </c>
      <c r="S2068" s="270" t="s">
        <v>13146</v>
      </c>
      <c r="T2068" s="4838">
        <v>552.67133351471512</v>
      </c>
      <c r="U2068" s="4839">
        <f t="shared" si="132"/>
        <v>1.9896228499632928E-3</v>
      </c>
    </row>
    <row r="2069" spans="1:21">
      <c r="A2069" s="270" t="s">
        <v>13148</v>
      </c>
      <c r="B2069" s="3305">
        <v>5668</v>
      </c>
      <c r="C2069" s="4834">
        <f t="shared" si="130"/>
        <v>2.456541993952445E-4</v>
      </c>
      <c r="D2069" s="3" t="str">
        <f t="shared" si="131"/>
        <v>2020</v>
      </c>
      <c r="J2069" s="270" t="s">
        <v>13157</v>
      </c>
      <c r="K2069" s="4837">
        <v>47830.66567014785</v>
      </c>
      <c r="L2069" s="4834">
        <f t="shared" si="133"/>
        <v>5.0419888303151806E-5</v>
      </c>
      <c r="S2069" s="270" t="s">
        <v>13147</v>
      </c>
      <c r="T2069" s="4838">
        <v>543.99063194118548</v>
      </c>
      <c r="U2069" s="4839">
        <f t="shared" si="132"/>
        <v>1.9353767164819039E-3</v>
      </c>
    </row>
    <row r="2070" spans="1:21">
      <c r="A2070" s="270" t="s">
        <v>13149</v>
      </c>
      <c r="B2070" s="3305">
        <v>5694.5</v>
      </c>
      <c r="C2070" s="4834">
        <f t="shared" si="130"/>
        <v>2.4962917853665233E-4</v>
      </c>
      <c r="D2070" s="3" t="str">
        <f t="shared" si="131"/>
        <v>2020</v>
      </c>
      <c r="J2070" s="270" t="s">
        <v>13158</v>
      </c>
      <c r="K2070" s="4837">
        <v>49389.976878726309</v>
      </c>
      <c r="L2070" s="4834">
        <f t="shared" si="133"/>
        <v>4.625065916886756E-5</v>
      </c>
      <c r="S2070" s="270" t="s">
        <v>13148</v>
      </c>
      <c r="T2070" s="4838">
        <v>540.45404981863635</v>
      </c>
      <c r="U2070" s="4839">
        <f t="shared" si="132"/>
        <v>1.912341506963173E-3</v>
      </c>
    </row>
    <row r="2071" spans="1:21">
      <c r="A2071" s="270" t="s">
        <v>13150</v>
      </c>
      <c r="B2071" s="3305">
        <v>5667.5</v>
      </c>
      <c r="C2071" s="4834">
        <f t="shared" si="130"/>
        <v>2.4557870470066857E-4</v>
      </c>
      <c r="D2071" s="3" t="str">
        <f t="shared" si="131"/>
        <v>2020</v>
      </c>
      <c r="J2071" s="270" t="s">
        <v>13159</v>
      </c>
      <c r="K2071" s="4837">
        <v>48168.248509118443</v>
      </c>
      <c r="L2071" s="4834">
        <f t="shared" si="133"/>
        <v>4.9666666929125704E-5</v>
      </c>
      <c r="S2071" s="270" t="s">
        <v>13149</v>
      </c>
      <c r="T2071" s="4838">
        <v>554.60037830883266</v>
      </c>
      <c r="U2071" s="4839">
        <f t="shared" si="132"/>
        <v>2.0012078994689924E-3</v>
      </c>
    </row>
    <row r="2072" spans="1:21">
      <c r="A2072" s="270" t="s">
        <v>13151</v>
      </c>
      <c r="B2072" s="3305">
        <v>5624</v>
      </c>
      <c r="C2072" s="4834">
        <f t="shared" si="130"/>
        <v>2.3894598969793023E-4</v>
      </c>
      <c r="D2072" s="3" t="str">
        <f t="shared" si="131"/>
        <v>2020</v>
      </c>
      <c r="J2072" s="270" t="s">
        <v>13160</v>
      </c>
      <c r="K2072" s="4837">
        <v>47398.238128799807</v>
      </c>
      <c r="L2072" s="4834">
        <f t="shared" si="133"/>
        <v>5.1250857343588679E-5</v>
      </c>
      <c r="S2072" s="270" t="s">
        <v>13150</v>
      </c>
      <c r="T2072" s="4838">
        <v>552.9928409804013</v>
      </c>
      <c r="U2072" s="4839">
        <f t="shared" si="132"/>
        <v>1.9915659751492303E-3</v>
      </c>
    </row>
    <row r="2073" spans="1:21">
      <c r="A2073" s="270" t="s">
        <v>13152</v>
      </c>
      <c r="B2073" s="3305">
        <v>5483</v>
      </c>
      <c r="C2073" s="4834">
        <f t="shared" si="130"/>
        <v>2.167630739226232E-4</v>
      </c>
      <c r="D2073" s="3" t="str">
        <f t="shared" si="131"/>
        <v>2020</v>
      </c>
      <c r="J2073" s="270" t="s">
        <v>13161</v>
      </c>
      <c r="K2073" s="4837">
        <v>48046.075672157654</v>
      </c>
      <c r="L2073" s="4834">
        <f t="shared" si="133"/>
        <v>4.9949534284871031E-5</v>
      </c>
      <c r="S2073" s="270" t="s">
        <v>13151</v>
      </c>
      <c r="T2073" s="4838">
        <v>561.99505001961711</v>
      </c>
      <c r="U2073" s="4839">
        <f t="shared" si="132"/>
        <v>2.0439235062253481E-3</v>
      </c>
    </row>
    <row r="2074" spans="1:21">
      <c r="A2074" s="270" t="s">
        <v>13153</v>
      </c>
      <c r="B2074" s="3305">
        <v>5598</v>
      </c>
      <c r="C2074" s="4834">
        <f t="shared" si="130"/>
        <v>2.3492570813622786E-4</v>
      </c>
      <c r="D2074" s="3" t="str">
        <f t="shared" si="131"/>
        <v>2020</v>
      </c>
      <c r="J2074" s="270" t="s">
        <v>13162</v>
      </c>
      <c r="K2074" s="4837">
        <v>49042.748815785126</v>
      </c>
      <c r="L2074" s="4834">
        <f t="shared" si="133"/>
        <v>4.7323337335876742E-5</v>
      </c>
      <c r="S2074" s="270" t="s">
        <v>13152</v>
      </c>
      <c r="T2074" s="4838">
        <v>543.02610954412671</v>
      </c>
      <c r="U2074" s="4839">
        <f t="shared" si="132"/>
        <v>1.9291458240787342E-3</v>
      </c>
    </row>
    <row r="2075" spans="1:21">
      <c r="A2075" s="270" t="s">
        <v>13154</v>
      </c>
      <c r="B2075" s="3305">
        <v>5552</v>
      </c>
      <c r="C2075" s="4834">
        <f t="shared" si="130"/>
        <v>2.2772598226306157E-4</v>
      </c>
      <c r="D2075" s="3" t="str">
        <f t="shared" si="131"/>
        <v>2020</v>
      </c>
      <c r="J2075" s="270" t="s">
        <v>13163</v>
      </c>
      <c r="K2075" s="4837">
        <v>51626.061302574381</v>
      </c>
      <c r="L2075" s="4834">
        <f t="shared" si="133"/>
        <v>3.7921851851331476E-5</v>
      </c>
      <c r="S2075" s="270" t="s">
        <v>13153</v>
      </c>
      <c r="T2075" s="4838">
        <v>548.81324392647969</v>
      </c>
      <c r="U2075" s="4839">
        <f t="shared" si="132"/>
        <v>1.9659305469550891E-3</v>
      </c>
    </row>
    <row r="2076" spans="1:21">
      <c r="A2076" s="270" t="s">
        <v>13155</v>
      </c>
      <c r="B2076" s="3305">
        <v>5386.5</v>
      </c>
      <c r="C2076" s="4834">
        <f t="shared" si="130"/>
        <v>2.012346994129316E-4</v>
      </c>
      <c r="D2076" s="3" t="str">
        <f t="shared" si="131"/>
        <v>2020</v>
      </c>
      <c r="J2076" s="270" t="s">
        <v>13164</v>
      </c>
      <c r="K2076" s="4837">
        <v>51616.41607860379</v>
      </c>
      <c r="L2076" s="4834">
        <f t="shared" si="133"/>
        <v>3.7961525178103775E-5</v>
      </c>
      <c r="S2076" s="270" t="s">
        <v>13154</v>
      </c>
      <c r="T2076" s="4838">
        <v>547.20570659804821</v>
      </c>
      <c r="U2076" s="4839">
        <f t="shared" si="132"/>
        <v>1.9558591838603361E-3</v>
      </c>
    </row>
    <row r="2077" spans="1:21">
      <c r="A2077" s="270" t="s">
        <v>13156</v>
      </c>
      <c r="B2077" s="3305">
        <v>5530.5</v>
      </c>
      <c r="C2077" s="4834">
        <f t="shared" si="130"/>
        <v>2.2432827569703824E-4</v>
      </c>
      <c r="D2077" s="3" t="str">
        <f t="shared" si="131"/>
        <v>2020</v>
      </c>
      <c r="J2077" s="270" t="s">
        <v>13165</v>
      </c>
      <c r="K2077" s="4837">
        <v>52560.040490393018</v>
      </c>
      <c r="L2077" s="4834">
        <f t="shared" si="133"/>
        <v>3.4005060046521626E-5</v>
      </c>
      <c r="S2077" s="270" t="s">
        <v>13155</v>
      </c>
      <c r="T2077" s="4838">
        <v>531.45184077942054</v>
      </c>
      <c r="U2077" s="4839">
        <f t="shared" si="132"/>
        <v>1.8514909850128481E-3</v>
      </c>
    </row>
    <row r="2078" spans="1:21">
      <c r="A2078" s="270" t="s">
        <v>13157</v>
      </c>
      <c r="B2078" s="3305">
        <v>5211</v>
      </c>
      <c r="C2078" s="4834">
        <f t="shared" si="130"/>
        <v>1.7301032206573546E-4</v>
      </c>
      <c r="D2078" s="3" t="str">
        <f t="shared" si="131"/>
        <v>2020</v>
      </c>
      <c r="J2078" s="270" t="s">
        <v>13166</v>
      </c>
      <c r="K2078" s="4837">
        <v>51997.402425442036</v>
      </c>
      <c r="L2078" s="4834">
        <f t="shared" si="133"/>
        <v>3.6380169665698531E-5</v>
      </c>
      <c r="S2078" s="270" t="s">
        <v>13156</v>
      </c>
      <c r="T2078" s="4838">
        <v>507.01727338726323</v>
      </c>
      <c r="U2078" s="4839">
        <f t="shared" si="132"/>
        <v>1.6732430774757741E-3</v>
      </c>
    </row>
    <row r="2079" spans="1:21">
      <c r="A2079" s="270" t="s">
        <v>13158</v>
      </c>
      <c r="B2079" s="3305">
        <v>5205</v>
      </c>
      <c r="C2079" s="4834">
        <f t="shared" si="130"/>
        <v>1.7205620979906706E-4</v>
      </c>
      <c r="D2079" s="3" t="str">
        <f t="shared" si="131"/>
        <v>2020</v>
      </c>
      <c r="J2079" s="270" t="s">
        <v>13167</v>
      </c>
      <c r="K2079" s="4837">
        <v>52029.553172010659</v>
      </c>
      <c r="L2079" s="4834">
        <f t="shared" si="133"/>
        <v>3.6245532886584722E-5</v>
      </c>
      <c r="S2079" s="270" t="s">
        <v>13157</v>
      </c>
      <c r="T2079" s="4838">
        <v>416.99518299510498</v>
      </c>
      <c r="U2079" s="4839">
        <f t="shared" si="132"/>
        <v>9.7251607675002808E-4</v>
      </c>
    </row>
    <row r="2080" spans="1:21">
      <c r="A2080" s="270" t="s">
        <v>13159</v>
      </c>
      <c r="B2080" s="3305">
        <v>4860.5</v>
      </c>
      <c r="C2080" s="4834">
        <f t="shared" si="130"/>
        <v>1.2030122964923961E-4</v>
      </c>
      <c r="D2080" s="3" t="str">
        <f t="shared" si="131"/>
        <v>2020</v>
      </c>
      <c r="J2080" s="270" t="s">
        <v>13168</v>
      </c>
      <c r="K2080" s="4837">
        <v>51728.943691593988</v>
      </c>
      <c r="L2080" s="4834">
        <f t="shared" si="133"/>
        <v>3.7497415730617646E-5</v>
      </c>
      <c r="S2080" s="270" t="s">
        <v>13158</v>
      </c>
      <c r="T2080" s="4838">
        <v>399.95528731373207</v>
      </c>
      <c r="U2080" s="4839">
        <f t="shared" si="132"/>
        <v>8.5161073039184568E-4</v>
      </c>
    </row>
    <row r="2081" spans="1:21">
      <c r="A2081" s="270" t="s">
        <v>13160</v>
      </c>
      <c r="B2081" s="3305">
        <v>4685</v>
      </c>
      <c r="C2081" s="4834">
        <f t="shared" si="130"/>
        <v>9.7246473971201829E-5</v>
      </c>
      <c r="D2081" s="3" t="str">
        <f t="shared" si="131"/>
        <v>2020</v>
      </c>
      <c r="J2081" s="270" t="s">
        <v>13169</v>
      </c>
      <c r="K2081" s="4837">
        <v>50687.259502770445</v>
      </c>
      <c r="L2081" s="4834">
        <f t="shared" si="133"/>
        <v>4.1663159147519962E-5</v>
      </c>
      <c r="S2081" s="270" t="s">
        <v>13159</v>
      </c>
      <c r="T2081" s="4838">
        <v>399.31227238235948</v>
      </c>
      <c r="U2081" s="4839">
        <f t="shared" si="132"/>
        <v>8.4719642579929441E-4</v>
      </c>
    </row>
    <row r="2082" spans="1:21">
      <c r="A2082" s="270" t="s">
        <v>13161</v>
      </c>
      <c r="B2082" s="3305">
        <v>4855</v>
      </c>
      <c r="C2082" s="4834">
        <f t="shared" si="130"/>
        <v>1.195391068160841E-4</v>
      </c>
      <c r="D2082" s="3" t="str">
        <f t="shared" si="131"/>
        <v>2020</v>
      </c>
      <c r="J2082" s="270" t="s">
        <v>13170</v>
      </c>
      <c r="K2082" s="4837">
        <v>51981.327052157714</v>
      </c>
      <c r="L2082" s="4834">
        <f t="shared" si="133"/>
        <v>3.6447426517923524E-5</v>
      </c>
      <c r="S2082" s="270" t="s">
        <v>13160</v>
      </c>
      <c r="T2082" s="4838">
        <v>386.13046628922206</v>
      </c>
      <c r="U2082" s="4839">
        <f t="shared" si="132"/>
        <v>7.5929754570534086E-4</v>
      </c>
    </row>
    <row r="2083" spans="1:21">
      <c r="A2083" s="270" t="s">
        <v>13162</v>
      </c>
      <c r="B2083" s="3305">
        <v>4617.5</v>
      </c>
      <c r="C2083" s="4834">
        <f t="shared" si="130"/>
        <v>8.9116676431082647E-5</v>
      </c>
      <c r="D2083" s="3" t="str">
        <f t="shared" si="131"/>
        <v>2020</v>
      </c>
      <c r="J2083" s="270" t="s">
        <v>13171</v>
      </c>
      <c r="K2083" s="4837">
        <v>51862.369289853792</v>
      </c>
      <c r="L2083" s="4834">
        <f t="shared" si="133"/>
        <v>3.6943777793518423E-5</v>
      </c>
      <c r="S2083" s="270" t="s">
        <v>13161</v>
      </c>
      <c r="T2083" s="4838">
        <v>406.0639291617714</v>
      </c>
      <c r="U2083" s="4839">
        <f t="shared" si="132"/>
        <v>8.9410337480507049E-4</v>
      </c>
    </row>
    <row r="2084" spans="1:21">
      <c r="A2084" s="270" t="s">
        <v>13163</v>
      </c>
      <c r="B2084" s="3305">
        <v>4789.5</v>
      </c>
      <c r="C2084" s="4834">
        <f t="shared" si="130"/>
        <v>1.1065371917841129E-4</v>
      </c>
      <c r="D2084" s="3" t="str">
        <f t="shared" si="131"/>
        <v>2020</v>
      </c>
      <c r="J2084" s="270" t="s">
        <v>13172</v>
      </c>
      <c r="K2084" s="4837">
        <v>52994.0755690695</v>
      </c>
      <c r="L2084" s="4834">
        <f t="shared" si="133"/>
        <v>3.2156517140380067E-5</v>
      </c>
      <c r="S2084" s="270" t="s">
        <v>13162</v>
      </c>
      <c r="T2084" s="4838">
        <v>402.20583957353608</v>
      </c>
      <c r="U2084" s="4839">
        <f t="shared" si="132"/>
        <v>8.6714971045539168E-4</v>
      </c>
    </row>
    <row r="2085" spans="1:21">
      <c r="A2085" s="270" t="s">
        <v>13164</v>
      </c>
      <c r="B2085" s="3305">
        <v>4754</v>
      </c>
      <c r="C2085" s="4834">
        <f t="shared" si="130"/>
        <v>1.0599024410824921E-4</v>
      </c>
      <c r="D2085" s="3" t="str">
        <f t="shared" si="131"/>
        <v>2020</v>
      </c>
      <c r="J2085" s="270" t="s">
        <v>13173</v>
      </c>
      <c r="K2085" s="4837">
        <v>53024.618778309705</v>
      </c>
      <c r="L2085" s="4834">
        <f t="shared" si="133"/>
        <v>3.2026280097668076E-5</v>
      </c>
      <c r="S2085" s="270" t="s">
        <v>13163</v>
      </c>
      <c r="T2085" s="4838">
        <v>438.21467573039939</v>
      </c>
      <c r="U2085" s="4839">
        <f t="shared" si="132"/>
        <v>1.1321079249882371E-3</v>
      </c>
    </row>
    <row r="2086" spans="1:21">
      <c r="A2086" s="270" t="s">
        <v>13165</v>
      </c>
      <c r="B2086" s="3305">
        <v>4775.5</v>
      </c>
      <c r="C2086" s="4834">
        <f t="shared" si="130"/>
        <v>1.0880151814438607E-4</v>
      </c>
      <c r="D2086" s="3" t="str">
        <f t="shared" si="131"/>
        <v>2020</v>
      </c>
      <c r="J2086" s="270" t="s">
        <v>13174</v>
      </c>
      <c r="K2086" s="4837">
        <v>52978.000195785185</v>
      </c>
      <c r="L2086" s="4834">
        <f t="shared" si="133"/>
        <v>3.2225062757167021E-5</v>
      </c>
      <c r="S2086" s="270" t="s">
        <v>13164</v>
      </c>
      <c r="T2086" s="4838">
        <v>449.14592956373292</v>
      </c>
      <c r="U2086" s="4839">
        <f t="shared" si="132"/>
        <v>1.2172213042403292E-3</v>
      </c>
    </row>
    <row r="2087" spans="1:21">
      <c r="A2087" s="270" t="s">
        <v>13166</v>
      </c>
      <c r="B2087" s="3305">
        <v>4774</v>
      </c>
      <c r="C2087" s="4834">
        <f t="shared" si="130"/>
        <v>1.0860407323962046E-4</v>
      </c>
      <c r="D2087" s="3" t="str">
        <f t="shared" si="131"/>
        <v>2020</v>
      </c>
      <c r="J2087" s="270" t="s">
        <v>13175</v>
      </c>
      <c r="K2087" s="4837">
        <v>54034.152220564618</v>
      </c>
      <c r="L2087" s="4834">
        <f t="shared" si="133"/>
        <v>2.7748091526416782E-5</v>
      </c>
      <c r="S2087" s="270" t="s">
        <v>13165</v>
      </c>
      <c r="T2087" s="4838">
        <v>463.61376551961547</v>
      </c>
      <c r="U2087" s="4839">
        <f t="shared" si="132"/>
        <v>1.3317056906539506E-3</v>
      </c>
    </row>
    <row r="2088" spans="1:21">
      <c r="A2088" s="270" t="s">
        <v>13167</v>
      </c>
      <c r="B2088" s="3305">
        <v>4763</v>
      </c>
      <c r="C2088" s="4834">
        <f t="shared" si="130"/>
        <v>1.0716213171229321E-4</v>
      </c>
      <c r="D2088" s="3" t="str">
        <f t="shared" si="131"/>
        <v>2020</v>
      </c>
      <c r="J2088" s="270" t="s">
        <v>13176</v>
      </c>
      <c r="K2088" s="4837">
        <v>56003.385447893081</v>
      </c>
      <c r="L2088" s="4834">
        <f t="shared" si="133"/>
        <v>1.9921131505489469E-5</v>
      </c>
      <c r="S2088" s="270" t="s">
        <v>13166</v>
      </c>
      <c r="T2088" s="4838">
        <v>466.82884017647831</v>
      </c>
      <c r="U2088" s="4839">
        <f t="shared" si="132"/>
        <v>1.3573032889359299E-3</v>
      </c>
    </row>
    <row r="2089" spans="1:21">
      <c r="A2089" s="270" t="s">
        <v>13168</v>
      </c>
      <c r="B2089" s="3305">
        <v>4797</v>
      </c>
      <c r="C2089" s="4834">
        <f t="shared" si="130"/>
        <v>1.1165289618164457E-4</v>
      </c>
      <c r="D2089" s="3" t="str">
        <f t="shared" si="131"/>
        <v>2020</v>
      </c>
      <c r="J2089" s="270" t="s">
        <v>13177</v>
      </c>
      <c r="K2089" s="4837">
        <v>55255.880590172485</v>
      </c>
      <c r="L2089" s="4834">
        <f t="shared" si="133"/>
        <v>2.2773991399597427E-5</v>
      </c>
      <c r="S2089" s="270" t="s">
        <v>13167</v>
      </c>
      <c r="T2089" s="4838">
        <v>452.03949675490946</v>
      </c>
      <c r="U2089" s="4839">
        <f t="shared" si="132"/>
        <v>1.2399861235077724E-3</v>
      </c>
    </row>
    <row r="2090" spans="1:21">
      <c r="A2090" s="270" t="s">
        <v>13169</v>
      </c>
      <c r="B2090" s="3305">
        <v>4772</v>
      </c>
      <c r="C2090" s="4834">
        <f t="shared" si="130"/>
        <v>1.0834111746706754E-4</v>
      </c>
      <c r="D2090" s="3" t="str">
        <f t="shared" si="131"/>
        <v>2020</v>
      </c>
      <c r="J2090" s="270" t="s">
        <v>13178</v>
      </c>
      <c r="K2090" s="4837">
        <v>55604.716190442094</v>
      </c>
      <c r="L2090" s="4834">
        <f t="shared" si="133"/>
        <v>2.1421320882290913E-5</v>
      </c>
      <c r="S2090" s="270" t="s">
        <v>13168</v>
      </c>
      <c r="T2090" s="4838">
        <v>447.8598997009878</v>
      </c>
      <c r="U2090" s="4839">
        <f t="shared" si="132"/>
        <v>1.2071313572905736E-3</v>
      </c>
    </row>
    <row r="2091" spans="1:21">
      <c r="A2091" s="270" t="s">
        <v>13170</v>
      </c>
      <c r="B2091" s="3305">
        <v>4821.5</v>
      </c>
      <c r="C2091" s="4834">
        <f t="shared" si="130"/>
        <v>1.149500932876609E-4</v>
      </c>
      <c r="D2091" s="3" t="str">
        <f t="shared" si="131"/>
        <v>2020</v>
      </c>
      <c r="J2091" s="270" t="s">
        <v>13179</v>
      </c>
      <c r="K2091" s="4837">
        <v>54416.74610473129</v>
      </c>
      <c r="L2091" s="4834">
        <f t="shared" si="133"/>
        <v>2.6157400359383189E-5</v>
      </c>
      <c r="S2091" s="270" t="s">
        <v>13169</v>
      </c>
      <c r="T2091" s="4838">
        <v>450.75346689216428</v>
      </c>
      <c r="U2091" s="4839">
        <f t="shared" si="132"/>
        <v>1.229858203697825E-3</v>
      </c>
    </row>
    <row r="2092" spans="1:21">
      <c r="A2092" s="270" t="s">
        <v>13171</v>
      </c>
      <c r="B2092" s="3305">
        <v>4863.5</v>
      </c>
      <c r="C2092" s="4834">
        <f t="shared" si="130"/>
        <v>1.2071795144874668E-4</v>
      </c>
      <c r="D2092" s="3" t="str">
        <f t="shared" si="131"/>
        <v>2020</v>
      </c>
      <c r="J2092" s="270" t="s">
        <v>13180</v>
      </c>
      <c r="K2092" s="4837">
        <v>54212.588864020501</v>
      </c>
      <c r="L2092" s="4834">
        <f t="shared" si="133"/>
        <v>2.7003188500069038E-5</v>
      </c>
      <c r="S2092" s="270" t="s">
        <v>13170</v>
      </c>
      <c r="T2092" s="4838">
        <v>455.89758634314478</v>
      </c>
      <c r="U2092" s="4839">
        <f t="shared" si="132"/>
        <v>1.2704577433653185E-3</v>
      </c>
    </row>
    <row r="2093" spans="1:21">
      <c r="A2093" s="270" t="s">
        <v>13172</v>
      </c>
      <c r="B2093" s="3305">
        <v>4867</v>
      </c>
      <c r="C2093" s="4834">
        <f t="shared" si="130"/>
        <v>1.2120503123107226E-4</v>
      </c>
      <c r="D2093" s="3" t="str">
        <f t="shared" si="131"/>
        <v>2020</v>
      </c>
      <c r="J2093" s="270" t="s">
        <v>13181</v>
      </c>
      <c r="K2093" s="4837">
        <v>54079.16326576069</v>
      </c>
      <c r="L2093" s="4834">
        <f t="shared" si="133"/>
        <v>2.7559730385494152E-5</v>
      </c>
      <c r="S2093" s="270" t="s">
        <v>13171</v>
      </c>
      <c r="T2093" s="4838">
        <v>462.6492431225567</v>
      </c>
      <c r="U2093" s="4839">
        <f t="shared" si="132"/>
        <v>1.3240330579553385E-3</v>
      </c>
    </row>
    <row r="2094" spans="1:21">
      <c r="A2094" s="270" t="s">
        <v>13173</v>
      </c>
      <c r="B2094" s="3305">
        <v>5067.5</v>
      </c>
      <c r="C2094" s="4834">
        <f t="shared" si="130"/>
        <v>1.5058155966398334E-4</v>
      </c>
      <c r="D2094" s="3" t="str">
        <f t="shared" si="131"/>
        <v>2020</v>
      </c>
      <c r="J2094" s="270" t="s">
        <v>13182</v>
      </c>
      <c r="K2094" s="4837">
        <v>54995.459542966593</v>
      </c>
      <c r="L2094" s="4834">
        <f t="shared" si="133"/>
        <v>2.3805909634158036E-5</v>
      </c>
      <c r="S2094" s="270" t="s">
        <v>13172</v>
      </c>
      <c r="T2094" s="4838">
        <v>468.11487003922343</v>
      </c>
      <c r="U2094" s="4839">
        <f t="shared" si="132"/>
        <v>1.3675491948668286E-3</v>
      </c>
    </row>
    <row r="2095" spans="1:21">
      <c r="A2095" s="270" t="s">
        <v>13174</v>
      </c>
      <c r="B2095" s="3305">
        <v>4976</v>
      </c>
      <c r="C2095" s="4834">
        <f t="shared" si="130"/>
        <v>1.3683754961860942E-4</v>
      </c>
      <c r="D2095" s="3" t="str">
        <f t="shared" si="131"/>
        <v>2020</v>
      </c>
      <c r="J2095" s="270" t="s">
        <v>13183</v>
      </c>
      <c r="K2095" s="4837">
        <v>55821.733729780331</v>
      </c>
      <c r="L2095" s="4834">
        <f t="shared" si="133"/>
        <v>2.0598346879080532E-5</v>
      </c>
      <c r="S2095" s="270" t="s">
        <v>13173</v>
      </c>
      <c r="T2095" s="4838">
        <v>484.83325825490999</v>
      </c>
      <c r="U2095" s="4839">
        <f t="shared" si="132"/>
        <v>1.5005442627571621E-3</v>
      </c>
    </row>
    <row r="2096" spans="1:21">
      <c r="A2096" s="270" t="s">
        <v>13175</v>
      </c>
      <c r="B2096" s="3305">
        <v>4963.5</v>
      </c>
      <c r="C2096" s="4834">
        <f t="shared" si="130"/>
        <v>1.3500142192492977E-4</v>
      </c>
      <c r="D2096" s="3" t="str">
        <f t="shared" si="131"/>
        <v>2020</v>
      </c>
      <c r="J2096" s="270" t="s">
        <v>13184</v>
      </c>
      <c r="K2096" s="4837">
        <v>55167.466037108752</v>
      </c>
      <c r="L2096" s="4834">
        <f t="shared" si="133"/>
        <v>2.3122317286127256E-5</v>
      </c>
      <c r="S2096" s="270" t="s">
        <v>13174</v>
      </c>
      <c r="T2096" s="4838">
        <v>484.5117507892237</v>
      </c>
      <c r="U2096" s="4839">
        <f t="shared" si="132"/>
        <v>1.4979985852035321E-3</v>
      </c>
    </row>
    <row r="2097" spans="1:21">
      <c r="A2097" s="270" t="s">
        <v>13176</v>
      </c>
      <c r="B2097" s="3305">
        <v>5119</v>
      </c>
      <c r="C2097" s="4834">
        <f t="shared" si="130"/>
        <v>1.5852563763181138E-4</v>
      </c>
      <c r="D2097" s="3" t="str">
        <f t="shared" si="131"/>
        <v>2020</v>
      </c>
      <c r="J2097" s="270" t="s">
        <v>13185</v>
      </c>
      <c r="K2097" s="4837">
        <v>55136.922827868562</v>
      </c>
      <c r="L2097" s="4834">
        <f t="shared" si="133"/>
        <v>2.3243137949854584E-5</v>
      </c>
      <c r="S2097" s="270" t="s">
        <v>13175</v>
      </c>
      <c r="T2097" s="4838">
        <v>488.04833291177272</v>
      </c>
      <c r="U2097" s="4839">
        <f t="shared" si="132"/>
        <v>1.5259544180855375E-3</v>
      </c>
    </row>
    <row r="2098" spans="1:21">
      <c r="A2098" s="270" t="s">
        <v>13177</v>
      </c>
      <c r="B2098" s="3305">
        <v>5054.5</v>
      </c>
      <c r="C2098" s="4834">
        <f t="shared" si="130"/>
        <v>1.4859839213791456E-4</v>
      </c>
      <c r="D2098" s="3" t="str">
        <f t="shared" si="131"/>
        <v>2020</v>
      </c>
      <c r="J2098" s="270" t="s">
        <v>13186</v>
      </c>
      <c r="K2098" s="4837">
        <v>54384.59535816266</v>
      </c>
      <c r="L2098" s="4834">
        <f t="shared" si="133"/>
        <v>2.6290097270961194E-5</v>
      </c>
      <c r="S2098" s="270" t="s">
        <v>13176</v>
      </c>
      <c r="T2098" s="4838">
        <v>498.97958674510625</v>
      </c>
      <c r="U2098" s="4839">
        <f t="shared" si="132"/>
        <v>1.6115021784218573E-3</v>
      </c>
    </row>
    <row r="2099" spans="1:21">
      <c r="A2099" s="270" t="s">
        <v>13178</v>
      </c>
      <c r="B2099" s="3305">
        <v>5098.5</v>
      </c>
      <c r="C2099" s="4834">
        <f t="shared" si="130"/>
        <v>1.5534737005439881E-4</v>
      </c>
      <c r="D2099" s="3" t="str">
        <f t="shared" si="131"/>
        <v>2020</v>
      </c>
      <c r="J2099" s="270" t="s">
        <v>13187</v>
      </c>
      <c r="K2099" s="4837">
        <v>54763.974167672473</v>
      </c>
      <c r="L2099" s="4834">
        <f t="shared" si="133"/>
        <v>2.4737526647730699E-5</v>
      </c>
      <c r="S2099" s="270" t="s">
        <v>13177</v>
      </c>
      <c r="T2099" s="4838">
        <v>500.58712407353767</v>
      </c>
      <c r="U2099" s="4839">
        <f t="shared" si="132"/>
        <v>1.6239417842373051E-3</v>
      </c>
    </row>
    <row r="2100" spans="1:21">
      <c r="A2100" s="270" t="s">
        <v>13179</v>
      </c>
      <c r="B2100" s="3305">
        <v>5175.5</v>
      </c>
      <c r="C2100" s="4834">
        <f t="shared" si="130"/>
        <v>1.6738261754164626E-4</v>
      </c>
      <c r="D2100" s="3" t="str">
        <f t="shared" si="131"/>
        <v>2020</v>
      </c>
      <c r="J2100" s="270" t="s">
        <v>13188</v>
      </c>
      <c r="K2100" s="4837">
        <v>54744.683719731293</v>
      </c>
      <c r="L2100" s="4834">
        <f t="shared" si="133"/>
        <v>2.4815729971970578E-5</v>
      </c>
      <c r="S2100" s="270" t="s">
        <v>13178</v>
      </c>
      <c r="T2100" s="4838">
        <v>498.33657181373371</v>
      </c>
      <c r="U2100" s="4839">
        <f t="shared" si="132"/>
        <v>1.6065147699858584E-3</v>
      </c>
    </row>
    <row r="2101" spans="1:21">
      <c r="A2101" s="270" t="s">
        <v>13180</v>
      </c>
      <c r="B2101" s="3305">
        <v>5169.5</v>
      </c>
      <c r="C2101" s="4834">
        <f t="shared" si="130"/>
        <v>1.6643587159924714E-4</v>
      </c>
      <c r="D2101" s="3" t="str">
        <f t="shared" si="131"/>
        <v>2020</v>
      </c>
      <c r="J2101" s="270" t="s">
        <v>13189</v>
      </c>
      <c r="K2101" s="4837">
        <v>54214.196401348934</v>
      </c>
      <c r="L2101" s="4834">
        <f t="shared" si="133"/>
        <v>2.6996500521712205E-5</v>
      </c>
      <c r="S2101" s="270" t="s">
        <v>13179</v>
      </c>
      <c r="T2101" s="4838">
        <v>487.40531798040018</v>
      </c>
      <c r="U2101" s="4839">
        <f t="shared" si="132"/>
        <v>1.5208796186691905E-3</v>
      </c>
    </row>
    <row r="2102" spans="1:21">
      <c r="A2102" s="270" t="s">
        <v>13181</v>
      </c>
      <c r="B2102" s="3305">
        <v>4994.5</v>
      </c>
      <c r="C2102" s="4834">
        <f t="shared" si="130"/>
        <v>1.3957422583331578E-4</v>
      </c>
      <c r="D2102" s="3" t="str">
        <f t="shared" si="131"/>
        <v>2020</v>
      </c>
      <c r="J2102" s="270" t="s">
        <v>13190</v>
      </c>
      <c r="K2102" s="4837">
        <v>54948.840960442074</v>
      </c>
      <c r="L2102" s="4834">
        <f t="shared" si="133"/>
        <v>2.3992483946261334E-5</v>
      </c>
      <c r="S2102" s="270" t="s">
        <v>13180</v>
      </c>
      <c r="T2102" s="4838">
        <v>487.08381051471395</v>
      </c>
      <c r="U2102" s="4839">
        <f t="shared" si="132"/>
        <v>1.5183407971668681E-3</v>
      </c>
    </row>
    <row r="2103" spans="1:21">
      <c r="A2103" s="270" t="s">
        <v>13182</v>
      </c>
      <c r="B2103" s="3305">
        <v>5034</v>
      </c>
      <c r="C2103" s="4834">
        <f t="shared" si="130"/>
        <v>1.454906660410852E-4</v>
      </c>
      <c r="D2103" s="3" t="str">
        <f t="shared" si="131"/>
        <v>2020</v>
      </c>
      <c r="J2103" s="270" t="s">
        <v>13191</v>
      </c>
      <c r="K2103" s="4837">
        <v>54641.801330711685</v>
      </c>
      <c r="L2103" s="4834">
        <f t="shared" si="133"/>
        <v>2.5234214013235728E-5</v>
      </c>
      <c r="S2103" s="270" t="s">
        <v>13181</v>
      </c>
      <c r="T2103" s="4838">
        <v>481.29667613236086</v>
      </c>
      <c r="U2103" s="4839">
        <f t="shared" si="132"/>
        <v>1.4725023740157787E-3</v>
      </c>
    </row>
    <row r="2104" spans="1:21">
      <c r="A2104" s="270" t="s">
        <v>13183</v>
      </c>
      <c r="B2104" s="3305">
        <v>5120.5</v>
      </c>
      <c r="C2104" s="4834">
        <f t="shared" si="130"/>
        <v>1.5875898198938447E-4</v>
      </c>
      <c r="D2104" s="3" t="str">
        <f t="shared" si="131"/>
        <v>2020</v>
      </c>
      <c r="J2104" s="270" t="s">
        <v>13192</v>
      </c>
      <c r="K2104" s="4837">
        <v>54382.987820834234</v>
      </c>
      <c r="L2104" s="4834">
        <f t="shared" si="133"/>
        <v>2.62967371850881E-5</v>
      </c>
      <c r="S2104" s="270" t="s">
        <v>13182</v>
      </c>
      <c r="T2104" s="4838">
        <v>479.3676313382432</v>
      </c>
      <c r="U2104" s="4839">
        <f t="shared" si="132"/>
        <v>1.4571752617874136E-3</v>
      </c>
    </row>
    <row r="2105" spans="1:21">
      <c r="A2105" s="270" t="s">
        <v>13184</v>
      </c>
      <c r="B2105" s="3305">
        <v>5118</v>
      </c>
      <c r="C2105" s="4834">
        <f t="shared" si="130"/>
        <v>1.5837013313406737E-4</v>
      </c>
      <c r="D2105" s="3" t="str">
        <f t="shared" si="131"/>
        <v>2020</v>
      </c>
      <c r="J2105" s="270" t="s">
        <v>13193</v>
      </c>
      <c r="K2105" s="4837">
        <v>54786.479690270513</v>
      </c>
      <c r="L2105" s="4834">
        <f t="shared" si="133"/>
        <v>2.464639659203869E-5</v>
      </c>
      <c r="S2105" s="270" t="s">
        <v>13183</v>
      </c>
      <c r="T2105" s="4838">
        <v>492.22792996569444</v>
      </c>
      <c r="U2105" s="4839">
        <f t="shared" si="132"/>
        <v>1.5588383484977486E-3</v>
      </c>
    </row>
    <row r="2106" spans="1:21">
      <c r="A2106" s="270" t="s">
        <v>13185</v>
      </c>
      <c r="B2106" s="3305">
        <v>5165.5</v>
      </c>
      <c r="C2106" s="4834">
        <f t="shared" si="130"/>
        <v>1.6580547059349046E-4</v>
      </c>
      <c r="D2106" s="3" t="str">
        <f t="shared" si="131"/>
        <v>2020</v>
      </c>
      <c r="J2106" s="270" t="s">
        <v>13194</v>
      </c>
      <c r="K2106" s="4837">
        <v>54744.683719731293</v>
      </c>
      <c r="L2106" s="4834">
        <f t="shared" si="133"/>
        <v>2.4815729971970578E-5</v>
      </c>
      <c r="S2106" s="270" t="s">
        <v>13184</v>
      </c>
      <c r="T2106" s="4838">
        <v>492.54943743138068</v>
      </c>
      <c r="U2106" s="4839">
        <f t="shared" si="132"/>
        <v>1.5613598290858152E-3</v>
      </c>
    </row>
    <row r="2107" spans="1:21">
      <c r="A2107" s="270" t="s">
        <v>13186</v>
      </c>
      <c r="B2107" s="3305">
        <v>5169.5</v>
      </c>
      <c r="C2107" s="4834">
        <f t="shared" si="130"/>
        <v>1.6643587159924714E-4</v>
      </c>
      <c r="D2107" s="3" t="str">
        <f t="shared" si="131"/>
        <v>2020</v>
      </c>
      <c r="J2107" s="270" t="s">
        <v>13195</v>
      </c>
      <c r="K2107" s="4837">
        <v>54733.430958432276</v>
      </c>
      <c r="L2107" s="4834">
        <f t="shared" si="133"/>
        <v>2.4861387409693936E-5</v>
      </c>
      <c r="S2107" s="270" t="s">
        <v>13185</v>
      </c>
      <c r="T2107" s="4838">
        <v>489.0128553088316</v>
      </c>
      <c r="U2107" s="4839">
        <f t="shared" si="132"/>
        <v>1.5335592249130024E-3</v>
      </c>
    </row>
    <row r="2108" spans="1:21">
      <c r="A2108" s="270" t="s">
        <v>13187</v>
      </c>
      <c r="B2108" s="3305">
        <v>5184</v>
      </c>
      <c r="C2108" s="4834">
        <f t="shared" si="130"/>
        <v>1.6872612520830958E-4</v>
      </c>
      <c r="D2108" s="3" t="str">
        <f t="shared" si="131"/>
        <v>2020</v>
      </c>
      <c r="J2108" s="270" t="s">
        <v>13196</v>
      </c>
      <c r="K2108" s="4837">
        <v>54926.335437844042</v>
      </c>
      <c r="L2108" s="4834">
        <f t="shared" si="133"/>
        <v>2.4082746837677826E-5</v>
      </c>
      <c r="S2108" s="270" t="s">
        <v>13186</v>
      </c>
      <c r="T2108" s="4838">
        <v>487.08381051471395</v>
      </c>
      <c r="U2108" s="4839">
        <f t="shared" si="132"/>
        <v>1.5183407971668681E-3</v>
      </c>
    </row>
    <row r="2109" spans="1:21">
      <c r="A2109" s="270" t="s">
        <v>13188</v>
      </c>
      <c r="B2109" s="3305">
        <v>5231</v>
      </c>
      <c r="C2109" s="4834">
        <f t="shared" si="130"/>
        <v>1.7619848623052069E-4</v>
      </c>
      <c r="D2109" s="3" t="str">
        <f t="shared" si="131"/>
        <v>2020</v>
      </c>
      <c r="J2109" s="270" t="s">
        <v>13197</v>
      </c>
      <c r="K2109" s="4837">
        <v>55672.232758236212</v>
      </c>
      <c r="L2109" s="4834">
        <f t="shared" si="133"/>
        <v>2.1163703316070073E-5</v>
      </c>
      <c r="S2109" s="270" t="s">
        <v>13187</v>
      </c>
      <c r="T2109" s="4838">
        <v>487.72682544608648</v>
      </c>
      <c r="U2109" s="4839">
        <f t="shared" si="132"/>
        <v>1.5234174985977061E-3</v>
      </c>
    </row>
    <row r="2110" spans="1:21">
      <c r="A2110" s="270" t="s">
        <v>13189</v>
      </c>
      <c r="B2110" s="3305">
        <v>5061</v>
      </c>
      <c r="C2110" s="4834">
        <f t="shared" si="130"/>
        <v>1.4958879910925357E-4</v>
      </c>
      <c r="D2110" s="3" t="str">
        <f t="shared" si="131"/>
        <v>2020</v>
      </c>
      <c r="J2110" s="270" t="s">
        <v>13198</v>
      </c>
      <c r="K2110" s="4837">
        <v>55792.798057868567</v>
      </c>
      <c r="L2110" s="4834">
        <f t="shared" si="133"/>
        <v>2.0707215826499593E-5</v>
      </c>
      <c r="S2110" s="270" t="s">
        <v>13188</v>
      </c>
      <c r="T2110" s="4838">
        <v>493.19245236275322</v>
      </c>
      <c r="U2110" s="4839">
        <f t="shared" si="132"/>
        <v>1.5663990333326038E-3</v>
      </c>
    </row>
    <row r="2111" spans="1:21">
      <c r="A2111" s="270" t="s">
        <v>13190</v>
      </c>
      <c r="B2111" s="3305">
        <v>5058</v>
      </c>
      <c r="C2111" s="4834">
        <f t="shared" si="130"/>
        <v>1.4913139330365347E-4</v>
      </c>
      <c r="D2111" s="3" t="str">
        <f t="shared" si="131"/>
        <v>2020</v>
      </c>
      <c r="J2111" s="270" t="s">
        <v>13199</v>
      </c>
      <c r="K2111" s="4837">
        <v>55771.900072598961</v>
      </c>
      <c r="L2111" s="4834">
        <f t="shared" si="133"/>
        <v>2.0786010344587516E-5</v>
      </c>
      <c r="S2111" s="270" t="s">
        <v>13189</v>
      </c>
      <c r="T2111" s="4838">
        <v>477.43858654412554</v>
      </c>
      <c r="U2111" s="4839">
        <f t="shared" si="132"/>
        <v>1.4418309543786062E-3</v>
      </c>
    </row>
    <row r="2112" spans="1:21">
      <c r="A2112" s="270" t="s">
        <v>13191</v>
      </c>
      <c r="B2112" s="3305">
        <v>5111.5</v>
      </c>
      <c r="C2112" s="4834">
        <f t="shared" si="130"/>
        <v>1.5736050464021815E-4</v>
      </c>
      <c r="D2112" s="3" t="str">
        <f t="shared" si="131"/>
        <v>2020</v>
      </c>
      <c r="J2112" s="270" t="s">
        <v>13200</v>
      </c>
      <c r="K2112" s="4837">
        <v>55876.389998947008</v>
      </c>
      <c r="L2112" s="4834">
        <f t="shared" si="133"/>
        <v>2.0393443808012848E-5</v>
      </c>
      <c r="S2112" s="270" t="s">
        <v>13190</v>
      </c>
      <c r="T2112" s="4838">
        <v>480.01064626961573</v>
      </c>
      <c r="U2112" s="4839">
        <f t="shared" si="132"/>
        <v>1.4622864045026438E-3</v>
      </c>
    </row>
    <row r="2113" spans="1:21">
      <c r="A2113" s="270" t="s">
        <v>13192</v>
      </c>
      <c r="B2113" s="3305">
        <v>5199.5</v>
      </c>
      <c r="C2113" s="4834">
        <f t="shared" si="130"/>
        <v>1.7118261559431633E-4</v>
      </c>
      <c r="D2113" s="3" t="str">
        <f t="shared" si="131"/>
        <v>2020</v>
      </c>
      <c r="J2113" s="270" t="s">
        <v>13201</v>
      </c>
      <c r="K2113" s="4837">
        <v>56209.150225932295</v>
      </c>
      <c r="L2113" s="4834">
        <f t="shared" si="133"/>
        <v>1.9167407560947012E-5</v>
      </c>
      <c r="S2113" s="270" t="s">
        <v>13191</v>
      </c>
      <c r="T2113" s="4838">
        <v>474.22351188726276</v>
      </c>
      <c r="U2113" s="4839">
        <f t="shared" si="132"/>
        <v>1.4162295342761055E-3</v>
      </c>
    </row>
    <row r="2114" spans="1:21">
      <c r="A2114" s="270" t="s">
        <v>13193</v>
      </c>
      <c r="B2114" s="3305">
        <v>5227.5</v>
      </c>
      <c r="C2114" s="4834">
        <f t="shared" si="130"/>
        <v>1.7563973261706343E-4</v>
      </c>
      <c r="D2114" s="3" t="str">
        <f t="shared" si="131"/>
        <v>2020</v>
      </c>
      <c r="J2114" s="270" t="s">
        <v>13202</v>
      </c>
      <c r="K2114" s="4837">
        <v>55456.822756226407</v>
      </c>
      <c r="L2114" s="4834">
        <f t="shared" si="133"/>
        <v>2.1990463193106684E-5</v>
      </c>
      <c r="S2114" s="270" t="s">
        <v>13192</v>
      </c>
      <c r="T2114" s="4838">
        <v>484.83325825490999</v>
      </c>
      <c r="U2114" s="4839">
        <f t="shared" si="132"/>
        <v>1.5005442627571621E-3</v>
      </c>
    </row>
    <row r="2115" spans="1:21">
      <c r="A2115" s="270" t="s">
        <v>13194</v>
      </c>
      <c r="B2115" s="3305">
        <v>5231</v>
      </c>
      <c r="C2115" s="4834">
        <f t="shared" si="130"/>
        <v>1.7619848623052069E-4</v>
      </c>
      <c r="D2115" s="3" t="str">
        <f t="shared" si="131"/>
        <v>2020</v>
      </c>
      <c r="J2115" s="270" t="s">
        <v>13203</v>
      </c>
      <c r="K2115" s="4837">
        <v>55734.926714045039</v>
      </c>
      <c r="L2115" s="4834">
        <f t="shared" si="133"/>
        <v>2.0925756716584149E-5</v>
      </c>
      <c r="S2115" s="270" t="s">
        <v>13193</v>
      </c>
      <c r="T2115" s="4838">
        <v>481.61818359804721</v>
      </c>
      <c r="U2115" s="4839">
        <f t="shared" si="132"/>
        <v>1.4750549435776062E-3</v>
      </c>
    </row>
    <row r="2116" spans="1:21">
      <c r="A2116" s="270" t="s">
        <v>13195</v>
      </c>
      <c r="B2116" s="3305">
        <v>5234</v>
      </c>
      <c r="C2116" s="4834">
        <f t="shared" ref="C2116:C2179" si="134">_xlfn.NORM.DIST(B2116,$F$4,$F$3,FALSE)</f>
        <v>1.766776824157227E-4</v>
      </c>
      <c r="D2116" s="3" t="str">
        <f t="shared" ref="D2116:D2179" si="135">LEFT(A2116,4)</f>
        <v>2020</v>
      </c>
      <c r="J2116" s="270" t="s">
        <v>13204</v>
      </c>
      <c r="K2116" s="4837">
        <v>55307.321784682288</v>
      </c>
      <c r="L2116" s="4834">
        <f t="shared" si="133"/>
        <v>2.2572317912342041E-5</v>
      </c>
      <c r="S2116" s="270" t="s">
        <v>13194</v>
      </c>
      <c r="T2116" s="4838">
        <v>496.72903448530229</v>
      </c>
      <c r="U2116" s="4839">
        <f t="shared" ref="U2116:U2179" si="136">_xlfn.NORM.DIST(T2116,$X$4,$X$3,FALSE)</f>
        <v>1.5940186972499104E-3</v>
      </c>
    </row>
    <row r="2117" spans="1:21">
      <c r="A2117" s="270" t="s">
        <v>13196</v>
      </c>
      <c r="B2117" s="3305">
        <v>5212.5</v>
      </c>
      <c r="C2117" s="4834">
        <f t="shared" si="134"/>
        <v>1.732490250817122E-4</v>
      </c>
      <c r="D2117" s="3" t="str">
        <f t="shared" si="135"/>
        <v>2020</v>
      </c>
      <c r="J2117" s="270" t="s">
        <v>13205</v>
      </c>
      <c r="K2117" s="4837">
        <v>54482.655135196968</v>
      </c>
      <c r="L2117" s="4834">
        <f t="shared" ref="L2117:L2180" si="137">_xlfn.NORM.DIST(K2117,$O$4,$O$3,FALSE)</f>
        <v>2.5885987730868325E-5</v>
      </c>
      <c r="S2117" s="270" t="s">
        <v>13195</v>
      </c>
      <c r="T2117" s="4838">
        <v>498.01506434804742</v>
      </c>
      <c r="U2117" s="4839">
        <f t="shared" si="136"/>
        <v>1.6040186652926316E-3</v>
      </c>
    </row>
    <row r="2118" spans="1:21">
      <c r="A2118" s="270" t="s">
        <v>13197</v>
      </c>
      <c r="B2118" s="3305">
        <v>5155.5</v>
      </c>
      <c r="C2118" s="4834">
        <f t="shared" si="134"/>
        <v>1.6423221941771134E-4</v>
      </c>
      <c r="D2118" s="3" t="str">
        <f t="shared" si="135"/>
        <v>2020</v>
      </c>
      <c r="J2118" s="270" t="s">
        <v>13206</v>
      </c>
      <c r="K2118" s="4837">
        <v>55214.084619633264</v>
      </c>
      <c r="L2118" s="4834">
        <f t="shared" si="137"/>
        <v>2.2938389501238892E-5</v>
      </c>
      <c r="S2118" s="270" t="s">
        <v>13196</v>
      </c>
      <c r="T2118" s="4838">
        <v>500.26561660785143</v>
      </c>
      <c r="U2118" s="4839">
        <f t="shared" si="136"/>
        <v>1.6214572457468113E-3</v>
      </c>
    </row>
    <row r="2119" spans="1:21">
      <c r="A2119" s="270" t="s">
        <v>13198</v>
      </c>
      <c r="B2119" s="3305">
        <v>5165</v>
      </c>
      <c r="C2119" s="4834">
        <f t="shared" si="134"/>
        <v>1.6572671406968475E-4</v>
      </c>
      <c r="D2119" s="3" t="str">
        <f t="shared" si="135"/>
        <v>2020</v>
      </c>
      <c r="J2119" s="270" t="s">
        <v>13207</v>
      </c>
      <c r="K2119" s="4837">
        <v>55578.995593187195</v>
      </c>
      <c r="L2119" s="4834">
        <f t="shared" si="137"/>
        <v>2.1519828985465917E-5</v>
      </c>
      <c r="S2119" s="270" t="s">
        <v>13197</v>
      </c>
      <c r="T2119" s="4838">
        <v>499.30109421079254</v>
      </c>
      <c r="U2119" s="4839">
        <f t="shared" si="136"/>
        <v>1.6139934432030318E-3</v>
      </c>
    </row>
    <row r="2120" spans="1:21">
      <c r="A2120" s="270" t="s">
        <v>13199</v>
      </c>
      <c r="B2120" s="3305">
        <v>5249.5</v>
      </c>
      <c r="C2120" s="4834">
        <f t="shared" si="134"/>
        <v>1.7915721969614668E-4</v>
      </c>
      <c r="D2120" s="3" t="str">
        <f t="shared" si="135"/>
        <v>2020</v>
      </c>
      <c r="J2120" s="270" t="s">
        <v>13208</v>
      </c>
      <c r="K2120" s="4837">
        <v>55640.082011667582</v>
      </c>
      <c r="L2120" s="4834">
        <f t="shared" si="137"/>
        <v>2.1286202906107639E-5</v>
      </c>
      <c r="S2120" s="270" t="s">
        <v>13198</v>
      </c>
      <c r="T2120" s="4838">
        <v>522.44963174020461</v>
      </c>
      <c r="U2120" s="4839">
        <f t="shared" si="136"/>
        <v>1.7877982445720431E-3</v>
      </c>
    </row>
    <row r="2121" spans="1:21">
      <c r="A2121" s="270" t="s">
        <v>13200</v>
      </c>
      <c r="B2121" s="3305">
        <v>5314</v>
      </c>
      <c r="C2121" s="4834">
        <f t="shared" si="134"/>
        <v>1.8952782389704793E-4</v>
      </c>
      <c r="D2121" s="3" t="str">
        <f t="shared" si="135"/>
        <v>2020</v>
      </c>
      <c r="J2121" s="270" t="s">
        <v>13209</v>
      </c>
      <c r="K2121" s="4837">
        <v>56011.423134535245</v>
      </c>
      <c r="L2121" s="4834">
        <f t="shared" si="137"/>
        <v>1.9891418861096296E-5</v>
      </c>
      <c r="S2121" s="270" t="s">
        <v>13199</v>
      </c>
      <c r="T2121" s="4838">
        <v>557.81545296569561</v>
      </c>
      <c r="U2121" s="4839">
        <f t="shared" si="136"/>
        <v>2.0201161115958044E-3</v>
      </c>
    </row>
    <row r="2122" spans="1:21">
      <c r="A2122" s="270" t="s">
        <v>13201</v>
      </c>
      <c r="B2122" s="3305">
        <v>5333</v>
      </c>
      <c r="C2122" s="4834">
        <f t="shared" si="134"/>
        <v>1.9259365093187133E-4</v>
      </c>
      <c r="D2122" s="3" t="str">
        <f t="shared" si="135"/>
        <v>2020</v>
      </c>
      <c r="J2122" s="270" t="s">
        <v>13210</v>
      </c>
      <c r="K2122" s="4837">
        <v>54828.275660809726</v>
      </c>
      <c r="L2122" s="4834">
        <f t="shared" si="137"/>
        <v>2.4477465151602616E-5</v>
      </c>
      <c r="S2122" s="270" t="s">
        <v>13200</v>
      </c>
      <c r="T2122" s="4838">
        <v>550.42078125491116</v>
      </c>
      <c r="U2122" s="4839">
        <f t="shared" si="136"/>
        <v>1.9758855826659785E-3</v>
      </c>
    </row>
    <row r="2123" spans="1:21">
      <c r="A2123" s="270" t="s">
        <v>13202</v>
      </c>
      <c r="B2123" s="3305">
        <v>5387</v>
      </c>
      <c r="C2123" s="4834">
        <f t="shared" si="134"/>
        <v>2.0131544454273214E-4</v>
      </c>
      <c r="D2123" s="3" t="str">
        <f t="shared" si="135"/>
        <v>2020</v>
      </c>
      <c r="J2123" s="270" t="s">
        <v>13211</v>
      </c>
      <c r="K2123" s="4837">
        <v>54657.876703995993</v>
      </c>
      <c r="L2123" s="4834">
        <f t="shared" si="137"/>
        <v>2.5168673141531201E-5</v>
      </c>
      <c r="S2123" s="270" t="s">
        <v>13201</v>
      </c>
      <c r="T2123" s="4838">
        <v>561.67354255393082</v>
      </c>
      <c r="U2123" s="4839">
        <f t="shared" si="136"/>
        <v>2.0421239649869027E-3</v>
      </c>
    </row>
    <row r="2124" spans="1:21">
      <c r="A2124" s="270" t="s">
        <v>13203</v>
      </c>
      <c r="B2124" s="3305">
        <v>5242.5</v>
      </c>
      <c r="C2124" s="4834">
        <f t="shared" si="134"/>
        <v>1.7803668465843445E-4</v>
      </c>
      <c r="D2124" s="3" t="str">
        <f t="shared" si="135"/>
        <v>2020</v>
      </c>
      <c r="J2124" s="270" t="s">
        <v>13212</v>
      </c>
      <c r="K2124" s="4837">
        <v>54124.174310956776</v>
      </c>
      <c r="L2124" s="4834">
        <f t="shared" si="137"/>
        <v>2.7371670639115414E-5</v>
      </c>
      <c r="S2124" s="270" t="s">
        <v>13202</v>
      </c>
      <c r="T2124" s="4838">
        <v>553.31434844608759</v>
      </c>
      <c r="U2124" s="4839">
        <f t="shared" si="136"/>
        <v>1.9935042108124969E-3</v>
      </c>
    </row>
    <row r="2125" spans="1:21">
      <c r="A2125" s="270" t="s">
        <v>13204</v>
      </c>
      <c r="B2125" s="3305">
        <v>5341.5</v>
      </c>
      <c r="C2125" s="4834">
        <f t="shared" si="134"/>
        <v>1.9396607829641607E-4</v>
      </c>
      <c r="D2125" s="3" t="str">
        <f t="shared" si="135"/>
        <v>2020</v>
      </c>
      <c r="J2125" s="270" t="s">
        <v>13213</v>
      </c>
      <c r="K2125" s="4837">
        <v>54346.014462280305</v>
      </c>
      <c r="L2125" s="4834">
        <f t="shared" si="137"/>
        <v>2.6449586481923685E-5</v>
      </c>
      <c r="S2125" s="270" t="s">
        <v>13203</v>
      </c>
      <c r="T2125" s="4838">
        <v>546.56269166667573</v>
      </c>
      <c r="U2125" s="4839">
        <f t="shared" si="136"/>
        <v>1.9517985829047644E-3</v>
      </c>
    </row>
    <row r="2126" spans="1:21">
      <c r="A2126" s="270" t="s">
        <v>13205</v>
      </c>
      <c r="B2126" s="3305">
        <v>5308.5</v>
      </c>
      <c r="C2126" s="4834">
        <f t="shared" si="134"/>
        <v>1.8864100532374722E-4</v>
      </c>
      <c r="D2126" s="3" t="str">
        <f t="shared" si="135"/>
        <v>2020</v>
      </c>
      <c r="J2126" s="270" t="s">
        <v>13214</v>
      </c>
      <c r="K2126" s="4837">
        <v>55090.304245344043</v>
      </c>
      <c r="L2126" s="4834">
        <f t="shared" si="137"/>
        <v>2.3428024166338242E-5</v>
      </c>
      <c r="S2126" s="270" t="s">
        <v>13204</v>
      </c>
      <c r="T2126" s="4838">
        <v>556.20791563726414</v>
      </c>
      <c r="U2126" s="4839">
        <f t="shared" si="136"/>
        <v>2.0107253502680603E-3</v>
      </c>
    </row>
    <row r="2127" spans="1:21">
      <c r="A2127" s="270" t="s">
        <v>13206</v>
      </c>
      <c r="B2127" s="3305">
        <v>5278.5</v>
      </c>
      <c r="C2127" s="4834">
        <f t="shared" si="134"/>
        <v>1.8381099541994029E-4</v>
      </c>
      <c r="D2127" s="3" t="str">
        <f t="shared" si="135"/>
        <v>2020</v>
      </c>
      <c r="J2127" s="270" t="s">
        <v>13215</v>
      </c>
      <c r="K2127" s="4837">
        <v>55365.193128505816</v>
      </c>
      <c r="L2127" s="4834">
        <f t="shared" si="137"/>
        <v>2.2346323561834405E-5</v>
      </c>
      <c r="S2127" s="270" t="s">
        <v>13205</v>
      </c>
      <c r="T2127" s="4838">
        <v>552.67133351471512</v>
      </c>
      <c r="U2127" s="4839">
        <f t="shared" si="136"/>
        <v>1.9896228499632928E-3</v>
      </c>
    </row>
    <row r="2128" spans="1:21">
      <c r="A2128" s="270" t="s">
        <v>13207</v>
      </c>
      <c r="B2128" s="3305">
        <v>5332.5</v>
      </c>
      <c r="C2128" s="4834">
        <f t="shared" si="134"/>
        <v>1.9251293381490617E-4</v>
      </c>
      <c r="D2128" s="3" t="str">
        <f t="shared" si="135"/>
        <v>2020</v>
      </c>
      <c r="J2128" s="270" t="s">
        <v>13216</v>
      </c>
      <c r="K2128" s="4837">
        <v>55886.035222917591</v>
      </c>
      <c r="L2128" s="4834">
        <f t="shared" si="137"/>
        <v>2.03573853634155E-5</v>
      </c>
      <c r="S2128" s="270" t="s">
        <v>13206</v>
      </c>
      <c r="T2128" s="4838">
        <v>557.4939455000092</v>
      </c>
      <c r="U2128" s="4839">
        <f t="shared" si="136"/>
        <v>2.0182482001219115E-3</v>
      </c>
    </row>
    <row r="2129" spans="1:21">
      <c r="A2129" s="270" t="s">
        <v>13208</v>
      </c>
      <c r="B2129" s="3305">
        <v>5376.5</v>
      </c>
      <c r="C2129" s="4834">
        <f t="shared" si="134"/>
        <v>1.9961958386402364E-4</v>
      </c>
      <c r="D2129" s="3" t="str">
        <f t="shared" si="135"/>
        <v>2020</v>
      </c>
      <c r="J2129" s="270" t="s">
        <v>13217</v>
      </c>
      <c r="K2129" s="4837">
        <v>55733.319176716606</v>
      </c>
      <c r="L2129" s="4834">
        <f t="shared" si="137"/>
        <v>2.0931842474323736E-5</v>
      </c>
      <c r="S2129" s="270" t="s">
        <v>13207</v>
      </c>
      <c r="T2129" s="4838">
        <v>565.53163214216613</v>
      </c>
      <c r="U2129" s="4839">
        <f t="shared" si="136"/>
        <v>2.0633597229444715E-3</v>
      </c>
    </row>
    <row r="2130" spans="1:21">
      <c r="A2130" s="270" t="s">
        <v>13209</v>
      </c>
      <c r="B2130" s="3305">
        <v>5463</v>
      </c>
      <c r="C2130" s="4834">
        <f t="shared" si="134"/>
        <v>2.1355829591805601E-4</v>
      </c>
      <c r="D2130" s="3" t="str">
        <f t="shared" si="135"/>
        <v>2020</v>
      </c>
      <c r="J2130" s="270" t="s">
        <v>13218</v>
      </c>
      <c r="K2130" s="4837">
        <v>54992.244468309735</v>
      </c>
      <c r="L2130" s="4834">
        <f t="shared" si="137"/>
        <v>2.3818759405036865E-5</v>
      </c>
      <c r="S2130" s="270" t="s">
        <v>13208</v>
      </c>
      <c r="T2130" s="4838">
        <v>583.85755768628417</v>
      </c>
      <c r="U2130" s="4839">
        <f t="shared" si="136"/>
        <v>2.152822610878216E-3</v>
      </c>
    </row>
    <row r="2131" spans="1:21">
      <c r="A2131" s="270" t="s">
        <v>13210</v>
      </c>
      <c r="B2131" s="3305">
        <v>5499</v>
      </c>
      <c r="C2131" s="4834">
        <f t="shared" si="134"/>
        <v>2.1931931537869524E-4</v>
      </c>
      <c r="D2131" s="3" t="str">
        <f t="shared" si="135"/>
        <v>2020</v>
      </c>
      <c r="J2131" s="270" t="s">
        <v>13219</v>
      </c>
      <c r="K2131" s="4837">
        <v>55294.461486054832</v>
      </c>
      <c r="L2131" s="4834">
        <f t="shared" si="137"/>
        <v>2.2622667134181775E-5</v>
      </c>
      <c r="S2131" s="270" t="s">
        <v>13209</v>
      </c>
      <c r="T2131" s="4838">
        <v>587.39413980883319</v>
      </c>
      <c r="U2131" s="4839">
        <f t="shared" si="136"/>
        <v>2.1677667050200387E-3</v>
      </c>
    </row>
    <row r="2132" spans="1:21">
      <c r="A2132" s="270" t="s">
        <v>13211</v>
      </c>
      <c r="B2132" s="3305">
        <v>5452.5</v>
      </c>
      <c r="C2132" s="4834">
        <f t="shared" si="134"/>
        <v>2.1187214887898189E-4</v>
      </c>
      <c r="D2132" s="3" t="str">
        <f t="shared" si="135"/>
        <v>2020</v>
      </c>
      <c r="J2132" s="270" t="s">
        <v>13220</v>
      </c>
      <c r="K2132" s="4837">
        <v>55439.139845613659</v>
      </c>
      <c r="L2132" s="4834">
        <f t="shared" si="137"/>
        <v>2.2058948037838474E-5</v>
      </c>
      <c r="S2132" s="270" t="s">
        <v>13210</v>
      </c>
      <c r="T2132" s="4838">
        <v>574.21233371569565</v>
      </c>
      <c r="U2132" s="4839">
        <f t="shared" si="136"/>
        <v>2.1081686740072767E-3</v>
      </c>
    </row>
    <row r="2133" spans="1:21">
      <c r="A2133" s="270" t="s">
        <v>13212</v>
      </c>
      <c r="B2133" s="3305">
        <v>5588</v>
      </c>
      <c r="C2133" s="4834">
        <f t="shared" si="134"/>
        <v>2.3336947379872365E-4</v>
      </c>
      <c r="D2133" s="3" t="str">
        <f t="shared" si="135"/>
        <v>2020</v>
      </c>
      <c r="J2133" s="270" t="s">
        <v>13221</v>
      </c>
      <c r="K2133" s="4837">
        <v>55283.208724755816</v>
      </c>
      <c r="L2133" s="4834">
        <f t="shared" si="137"/>
        <v>2.266676063082863E-5</v>
      </c>
      <c r="S2133" s="270" t="s">
        <v>13211</v>
      </c>
      <c r="T2133" s="4838">
        <v>570.67575159314663</v>
      </c>
      <c r="U2133" s="4839">
        <f t="shared" si="136"/>
        <v>2.0904231113856994E-3</v>
      </c>
    </row>
    <row r="2134" spans="1:21">
      <c r="A2134" s="270" t="s">
        <v>13213</v>
      </c>
      <c r="B2134" s="3305">
        <v>5659</v>
      </c>
      <c r="C2134" s="4834">
        <f t="shared" si="134"/>
        <v>2.4429260045325473E-4</v>
      </c>
      <c r="D2134" s="3" t="str">
        <f t="shared" si="135"/>
        <v>2020</v>
      </c>
      <c r="J2134" s="270" t="s">
        <v>13222</v>
      </c>
      <c r="K2134" s="4837">
        <v>55773.507609927394</v>
      </c>
      <c r="L2134" s="4834">
        <f t="shared" si="137"/>
        <v>2.0779944275331062E-5</v>
      </c>
      <c r="S2134" s="270" t="s">
        <v>13212</v>
      </c>
      <c r="T2134" s="4838">
        <v>565.21012467647995</v>
      </c>
      <c r="U2134" s="4839">
        <f t="shared" si="136"/>
        <v>2.061620278458806E-3</v>
      </c>
    </row>
    <row r="2135" spans="1:21">
      <c r="A2135" s="270" t="s">
        <v>13214</v>
      </c>
      <c r="B2135" s="3305">
        <v>5680.5</v>
      </c>
      <c r="C2135" s="4834">
        <f t="shared" si="134"/>
        <v>2.4753570040964804E-4</v>
      </c>
      <c r="D2135" s="3" t="str">
        <f t="shared" si="135"/>
        <v>2020</v>
      </c>
      <c r="J2135" s="270" t="s">
        <v>13223</v>
      </c>
      <c r="K2135" s="4837">
        <v>56644.792841937204</v>
      </c>
      <c r="L2135" s="4834">
        <f t="shared" si="137"/>
        <v>1.7620974396937622E-5</v>
      </c>
      <c r="S2135" s="270" t="s">
        <v>13213</v>
      </c>
      <c r="T2135" s="4838">
        <v>565.21012467647995</v>
      </c>
      <c r="U2135" s="4839">
        <f t="shared" si="136"/>
        <v>2.061620278458806E-3</v>
      </c>
    </row>
    <row r="2136" spans="1:21">
      <c r="A2136" s="270" t="s">
        <v>13215</v>
      </c>
      <c r="B2136" s="3305">
        <v>5801</v>
      </c>
      <c r="C2136" s="4834">
        <f t="shared" si="134"/>
        <v>2.6500743698460323E-4</v>
      </c>
      <c r="D2136" s="3" t="str">
        <f t="shared" si="135"/>
        <v>2020</v>
      </c>
      <c r="J2136" s="270" t="s">
        <v>13224</v>
      </c>
      <c r="K2136" s="4837">
        <v>56871.455605246039</v>
      </c>
      <c r="L2136" s="4834">
        <f t="shared" si="137"/>
        <v>1.6844079771443476E-5</v>
      </c>
      <c r="S2136" s="270" t="s">
        <v>13214</v>
      </c>
      <c r="T2136" s="4838">
        <v>566.8176620049112</v>
      </c>
      <c r="U2136" s="4839">
        <f t="shared" si="136"/>
        <v>2.0702617026433982E-3</v>
      </c>
    </row>
    <row r="2137" spans="1:21">
      <c r="A2137" s="270" t="s">
        <v>13216</v>
      </c>
      <c r="B2137" s="3305">
        <v>5801.5</v>
      </c>
      <c r="C2137" s="4834">
        <f t="shared" si="134"/>
        <v>2.6507709140852529E-4</v>
      </c>
      <c r="D2137" s="3" t="str">
        <f t="shared" si="135"/>
        <v>2020</v>
      </c>
      <c r="J2137" s="270" t="s">
        <v>13225</v>
      </c>
      <c r="K2137" s="4837">
        <v>56779.825977525448</v>
      </c>
      <c r="L2137" s="4834">
        <f t="shared" si="137"/>
        <v>1.7155801739997763E-5</v>
      </c>
      <c r="S2137" s="270" t="s">
        <v>13215</v>
      </c>
      <c r="T2137" s="4838">
        <v>569.71122919608774</v>
      </c>
      <c r="U2137" s="4839">
        <f t="shared" si="136"/>
        <v>2.0854602782035799E-3</v>
      </c>
    </row>
    <row r="2138" spans="1:21">
      <c r="A2138" s="270" t="s">
        <v>13217</v>
      </c>
      <c r="B2138" s="3305">
        <v>5785.5</v>
      </c>
      <c r="C2138" s="4834">
        <f t="shared" si="134"/>
        <v>2.628354448621526E-4</v>
      </c>
      <c r="D2138" s="3" t="str">
        <f t="shared" si="135"/>
        <v>2020</v>
      </c>
      <c r="J2138" s="270" t="s">
        <v>13226</v>
      </c>
      <c r="K2138" s="4837">
        <v>56474.393885123478</v>
      </c>
      <c r="L2138" s="4834">
        <f t="shared" si="137"/>
        <v>1.8217664972174566E-5</v>
      </c>
      <c r="S2138" s="270" t="s">
        <v>13216</v>
      </c>
      <c r="T2138" s="4838">
        <v>574.85534864706824</v>
      </c>
      <c r="U2138" s="4839">
        <f t="shared" si="136"/>
        <v>2.1113178367500713E-3</v>
      </c>
    </row>
    <row r="2139" spans="1:21">
      <c r="A2139" s="270" t="s">
        <v>13218</v>
      </c>
      <c r="B2139" s="3305">
        <v>5646</v>
      </c>
      <c r="C2139" s="4834">
        <f t="shared" si="134"/>
        <v>2.4231602444851078E-4</v>
      </c>
      <c r="D2139" s="3" t="str">
        <f t="shared" si="135"/>
        <v>2020</v>
      </c>
      <c r="J2139" s="270" t="s">
        <v>13227</v>
      </c>
      <c r="K2139" s="4837">
        <v>56186.644703334263</v>
      </c>
      <c r="L2139" s="4834">
        <f t="shared" si="137"/>
        <v>1.9249136812465672E-5</v>
      </c>
      <c r="S2139" s="270" t="s">
        <v>13217</v>
      </c>
      <c r="T2139" s="4838">
        <v>566.8176620049112</v>
      </c>
      <c r="U2139" s="4839">
        <f t="shared" si="136"/>
        <v>2.0702617026433982E-3</v>
      </c>
    </row>
    <row r="2140" spans="1:21">
      <c r="A2140" s="270" t="s">
        <v>13219</v>
      </c>
      <c r="B2140" s="3305">
        <v>5759.5</v>
      </c>
      <c r="C2140" s="4834">
        <f t="shared" si="134"/>
        <v>2.5913865117376195E-4</v>
      </c>
      <c r="D2140" s="3" t="str">
        <f t="shared" si="135"/>
        <v>2020</v>
      </c>
      <c r="J2140" s="270" t="s">
        <v>13228</v>
      </c>
      <c r="K2140" s="4837">
        <v>56958.262620981332</v>
      </c>
      <c r="L2140" s="4834">
        <f t="shared" si="137"/>
        <v>1.655173146612418E-5</v>
      </c>
      <c r="S2140" s="270" t="s">
        <v>13218</v>
      </c>
      <c r="T2140" s="4838">
        <v>549.45625885785216</v>
      </c>
      <c r="U2140" s="4839">
        <f t="shared" si="136"/>
        <v>1.9699266490636747E-3</v>
      </c>
    </row>
    <row r="2141" spans="1:21">
      <c r="A2141" s="270" t="s">
        <v>13220</v>
      </c>
      <c r="B2141" s="3305">
        <v>5734</v>
      </c>
      <c r="C2141" s="4834">
        <f t="shared" si="134"/>
        <v>2.5545145217372947E-4</v>
      </c>
      <c r="D2141" s="3" t="str">
        <f t="shared" si="135"/>
        <v>2020</v>
      </c>
      <c r="J2141" s="270" t="s">
        <v>13229</v>
      </c>
      <c r="K2141" s="4837">
        <v>56845.735007991134</v>
      </c>
      <c r="L2141" s="4834">
        <f t="shared" si="137"/>
        <v>1.6931257282854056E-5</v>
      </c>
      <c r="S2141" s="270" t="s">
        <v>13219</v>
      </c>
      <c r="T2141" s="4838">
        <v>559.74449775981316</v>
      </c>
      <c r="U2141" s="4839">
        <f t="shared" si="136"/>
        <v>2.0312147075755584E-3</v>
      </c>
    </row>
    <row r="2142" spans="1:21">
      <c r="A2142" s="270" t="s">
        <v>13221</v>
      </c>
      <c r="B2142" s="3305">
        <v>5799</v>
      </c>
      <c r="C2142" s="4834">
        <f t="shared" si="134"/>
        <v>2.6472856043016705E-4</v>
      </c>
      <c r="D2142" s="3" t="str">
        <f t="shared" si="135"/>
        <v>2020</v>
      </c>
      <c r="J2142" s="270" t="s">
        <v>13230</v>
      </c>
      <c r="K2142" s="4837">
        <v>56940.579710368584</v>
      </c>
      <c r="L2142" s="4834">
        <f t="shared" si="137"/>
        <v>1.6611048377155137E-5</v>
      </c>
      <c r="S2142" s="270" t="s">
        <v>13220</v>
      </c>
      <c r="T2142" s="4838">
        <v>561.67354255393082</v>
      </c>
      <c r="U2142" s="4839">
        <f t="shared" si="136"/>
        <v>2.0421239649869027E-3</v>
      </c>
    </row>
    <row r="2143" spans="1:21">
      <c r="A2143" s="270" t="s">
        <v>13222</v>
      </c>
      <c r="B2143" s="3305">
        <v>5835.5</v>
      </c>
      <c r="C2143" s="4834">
        <f t="shared" si="134"/>
        <v>2.6975115254008065E-4</v>
      </c>
      <c r="D2143" s="3" t="str">
        <f t="shared" si="135"/>
        <v>2020</v>
      </c>
      <c r="J2143" s="270" t="s">
        <v>13231</v>
      </c>
      <c r="K2143" s="4837">
        <v>57146.344488407805</v>
      </c>
      <c r="L2143" s="4834">
        <f t="shared" si="137"/>
        <v>1.5928341766416011E-5</v>
      </c>
      <c r="S2143" s="270" t="s">
        <v>13221</v>
      </c>
      <c r="T2143" s="4838">
        <v>566.49615453922513</v>
      </c>
      <c r="U2143" s="4839">
        <f t="shared" si="136"/>
        <v>2.0685446103417462E-3</v>
      </c>
    </row>
    <row r="2144" spans="1:21">
      <c r="A2144" s="270" t="s">
        <v>13223</v>
      </c>
      <c r="B2144" s="3305">
        <v>5825</v>
      </c>
      <c r="C2144" s="4834">
        <f t="shared" si="134"/>
        <v>2.6832106332823217E-4</v>
      </c>
      <c r="D2144" s="3" t="str">
        <f t="shared" si="135"/>
        <v>2020</v>
      </c>
      <c r="J2144" s="270" t="s">
        <v>13232</v>
      </c>
      <c r="K2144" s="4837">
        <v>57000.058591520552</v>
      </c>
      <c r="L2144" s="4834">
        <f t="shared" si="137"/>
        <v>1.6412009012686849E-5</v>
      </c>
      <c r="S2144" s="270" t="s">
        <v>13222</v>
      </c>
      <c r="T2144" s="4838">
        <v>563.60258734804859</v>
      </c>
      <c r="U2144" s="4839">
        <f t="shared" si="136"/>
        <v>2.0528401856573855E-3</v>
      </c>
    </row>
    <row r="2145" spans="1:21">
      <c r="A2145" s="270" t="s">
        <v>13224</v>
      </c>
      <c r="B2145" s="3305">
        <v>5895</v>
      </c>
      <c r="C2145" s="4834">
        <f t="shared" si="134"/>
        <v>2.7761392580940918E-4</v>
      </c>
      <c r="D2145" s="3" t="str">
        <f t="shared" si="135"/>
        <v>2020</v>
      </c>
      <c r="J2145" s="270" t="s">
        <v>13233</v>
      </c>
      <c r="K2145" s="4837">
        <v>57482.319790049973</v>
      </c>
      <c r="L2145" s="4834">
        <f t="shared" si="137"/>
        <v>1.4849562619507431E-5</v>
      </c>
      <c r="S2145" s="270" t="s">
        <v>13223</v>
      </c>
      <c r="T2145" s="4838">
        <v>574.21233371569565</v>
      </c>
      <c r="U2145" s="4839">
        <f t="shared" si="136"/>
        <v>2.1081686740072767E-3</v>
      </c>
    </row>
    <row r="2146" spans="1:21">
      <c r="A2146" s="270" t="s">
        <v>13225</v>
      </c>
      <c r="B2146" s="3305">
        <v>5871</v>
      </c>
      <c r="C2146" s="4834">
        <f t="shared" si="134"/>
        <v>2.7449323432201519E-4</v>
      </c>
      <c r="D2146" s="3" t="str">
        <f t="shared" si="135"/>
        <v>2020</v>
      </c>
      <c r="J2146" s="270" t="s">
        <v>13234</v>
      </c>
      <c r="K2146" s="4837">
        <v>57535.368521888202</v>
      </c>
      <c r="L2146" s="4834">
        <f t="shared" si="137"/>
        <v>1.4683368799938583E-5</v>
      </c>
      <c r="S2146" s="270" t="s">
        <v>13224</v>
      </c>
      <c r="T2146" s="4838">
        <v>572.6047963872644</v>
      </c>
      <c r="U2146" s="4839">
        <f t="shared" si="136"/>
        <v>2.1001911651963136E-3</v>
      </c>
    </row>
    <row r="2147" spans="1:21">
      <c r="A2147" s="270" t="s">
        <v>13226</v>
      </c>
      <c r="B2147" s="3305">
        <v>5880.5</v>
      </c>
      <c r="C2147" s="4834">
        <f t="shared" si="134"/>
        <v>2.7573696989139398E-4</v>
      </c>
      <c r="D2147" s="3" t="str">
        <f t="shared" si="135"/>
        <v>2020</v>
      </c>
      <c r="J2147" s="270" t="s">
        <v>13235</v>
      </c>
      <c r="K2147" s="4837">
        <v>58228.217110442129</v>
      </c>
      <c r="L2147" s="4834">
        <f t="shared" si="137"/>
        <v>1.2618522066087265E-5</v>
      </c>
      <c r="S2147" s="270" t="s">
        <v>13225</v>
      </c>
      <c r="T2147" s="4838">
        <v>574.21233371569565</v>
      </c>
      <c r="U2147" s="4839">
        <f t="shared" si="136"/>
        <v>2.1081686740072767E-3</v>
      </c>
    </row>
    <row r="2148" spans="1:21">
      <c r="A2148" s="270" t="s">
        <v>13227</v>
      </c>
      <c r="B2148" s="3305">
        <v>5985.5</v>
      </c>
      <c r="C2148" s="4834">
        <f t="shared" si="134"/>
        <v>2.8870368078068499E-4</v>
      </c>
      <c r="D2148" s="3" t="str">
        <f t="shared" si="135"/>
        <v>2020</v>
      </c>
      <c r="J2148" s="270" t="s">
        <v>13236</v>
      </c>
      <c r="K2148" s="4837">
        <v>58260.367857010766</v>
      </c>
      <c r="L2148" s="4834">
        <f t="shared" si="137"/>
        <v>1.2527520822526541E-5</v>
      </c>
      <c r="S2148" s="270" t="s">
        <v>13226</v>
      </c>
      <c r="T2148" s="4838">
        <v>563.60258734804859</v>
      </c>
      <c r="U2148" s="4839">
        <f t="shared" si="136"/>
        <v>2.0528401856573855E-3</v>
      </c>
    </row>
    <row r="2149" spans="1:21">
      <c r="A2149" s="270" t="s">
        <v>13228</v>
      </c>
      <c r="B2149" s="3305">
        <v>5957</v>
      </c>
      <c r="C2149" s="4834">
        <f t="shared" si="134"/>
        <v>2.8533260781670366E-4</v>
      </c>
      <c r="D2149" s="3" t="str">
        <f t="shared" si="135"/>
        <v>2020</v>
      </c>
      <c r="J2149" s="270" t="s">
        <v>13237</v>
      </c>
      <c r="K2149" s="4837">
        <v>57971.011137893111</v>
      </c>
      <c r="L2149" s="4834">
        <f t="shared" si="137"/>
        <v>1.3361972263426371E-5</v>
      </c>
      <c r="S2149" s="270" t="s">
        <v>13227</v>
      </c>
      <c r="T2149" s="4838">
        <v>573.24781131863688</v>
      </c>
      <c r="U2149" s="4839">
        <f t="shared" si="136"/>
        <v>2.1034000238350494E-3</v>
      </c>
    </row>
    <row r="2150" spans="1:21">
      <c r="A2150" s="270" t="s">
        <v>13229</v>
      </c>
      <c r="B2150" s="3305">
        <v>6038</v>
      </c>
      <c r="C2150" s="4834">
        <f t="shared" si="134"/>
        <v>2.9459966998863536E-4</v>
      </c>
      <c r="D2150" s="3" t="str">
        <f t="shared" si="135"/>
        <v>2020</v>
      </c>
      <c r="J2150" s="270" t="s">
        <v>13238</v>
      </c>
      <c r="K2150" s="4837">
        <v>58112.474422795072</v>
      </c>
      <c r="L2150" s="4834">
        <f t="shared" si="137"/>
        <v>1.2949681265027189E-5</v>
      </c>
      <c r="S2150" s="270" t="s">
        <v>13228</v>
      </c>
      <c r="T2150" s="4838">
        <v>575.81987104412713</v>
      </c>
      <c r="U2150" s="4839">
        <f t="shared" si="136"/>
        <v>2.1159963706955135E-3</v>
      </c>
    </row>
    <row r="2151" spans="1:21">
      <c r="A2151" s="270" t="s">
        <v>13230</v>
      </c>
      <c r="B2151" s="3305">
        <v>6016.5</v>
      </c>
      <c r="C2151" s="4834">
        <f t="shared" si="134"/>
        <v>2.9223571176233268E-4</v>
      </c>
      <c r="D2151" s="3" t="str">
        <f t="shared" si="135"/>
        <v>2020</v>
      </c>
      <c r="J2151" s="270" t="s">
        <v>13239</v>
      </c>
      <c r="K2151" s="4837">
        <v>57932.430242010763</v>
      </c>
      <c r="L2151" s="4834">
        <f t="shared" si="137"/>
        <v>1.3475851267949869E-5</v>
      </c>
      <c r="S2151" s="270" t="s">
        <v>13229</v>
      </c>
      <c r="T2151" s="4838">
        <v>573.89082625000958</v>
      </c>
      <c r="U2151" s="4839">
        <f t="shared" si="136"/>
        <v>2.1065850961438622E-3</v>
      </c>
    </row>
    <row r="2152" spans="1:21">
      <c r="A2152" s="270" t="s">
        <v>13231</v>
      </c>
      <c r="B2152" s="3305">
        <v>6080</v>
      </c>
      <c r="C2152" s="4834">
        <f t="shared" si="134"/>
        <v>2.9900662823447046E-4</v>
      </c>
      <c r="D2152" s="3" t="str">
        <f t="shared" si="135"/>
        <v>2020</v>
      </c>
      <c r="J2152" s="270" t="s">
        <v>13240</v>
      </c>
      <c r="K2152" s="4837">
        <v>58019.237257746048</v>
      </c>
      <c r="L2152" s="4834">
        <f t="shared" si="137"/>
        <v>1.3220488187943886E-5</v>
      </c>
      <c r="S2152" s="270" t="s">
        <v>13230</v>
      </c>
      <c r="T2152" s="4838">
        <v>585.78660248040183</v>
      </c>
      <c r="U2152" s="4839">
        <f t="shared" si="136"/>
        <v>2.1610714814080697E-3</v>
      </c>
    </row>
    <row r="2153" spans="1:21">
      <c r="A2153" s="270" t="s">
        <v>13232</v>
      </c>
      <c r="B2153" s="3305">
        <v>6022.5</v>
      </c>
      <c r="C2153" s="4834">
        <f t="shared" si="134"/>
        <v>2.9290259902683681E-4</v>
      </c>
      <c r="D2153" s="3" t="str">
        <f t="shared" si="135"/>
        <v>2020</v>
      </c>
      <c r="J2153" s="270" t="s">
        <v>13241</v>
      </c>
      <c r="K2153" s="4837">
        <v>58118.904572108804</v>
      </c>
      <c r="L2153" s="4834">
        <f t="shared" si="137"/>
        <v>1.2931137692553286E-5</v>
      </c>
      <c r="S2153" s="270" t="s">
        <v>13231</v>
      </c>
      <c r="T2153" s="4838">
        <v>576.46288597549972</v>
      </c>
      <c r="U2153" s="4839">
        <f t="shared" si="136"/>
        <v>2.119085077282693E-3</v>
      </c>
    </row>
    <row r="2154" spans="1:21">
      <c r="A2154" s="270" t="s">
        <v>13233</v>
      </c>
      <c r="B2154" s="3305">
        <v>6112</v>
      </c>
      <c r="C2154" s="4834">
        <f t="shared" si="134"/>
        <v>3.0216956091703393E-4</v>
      </c>
      <c r="D2154" s="3" t="str">
        <f t="shared" si="135"/>
        <v>2020</v>
      </c>
      <c r="J2154" s="270" t="s">
        <v>13242</v>
      </c>
      <c r="K2154" s="4837">
        <v>58107.651810809781</v>
      </c>
      <c r="L2154" s="4834">
        <f t="shared" si="137"/>
        <v>1.2963600194638687E-5</v>
      </c>
      <c r="S2154" s="270" t="s">
        <v>13232</v>
      </c>
      <c r="T2154" s="4838">
        <v>579.35645316667615</v>
      </c>
      <c r="U2154" s="4839">
        <f t="shared" si="136"/>
        <v>2.1326806920057926E-3</v>
      </c>
    </row>
    <row r="2155" spans="1:21">
      <c r="A2155" s="270" t="s">
        <v>13234</v>
      </c>
      <c r="B2155" s="3305">
        <v>6086</v>
      </c>
      <c r="C2155" s="4834">
        <f t="shared" si="134"/>
        <v>2.9961274733262855E-4</v>
      </c>
      <c r="D2155" s="3" t="str">
        <f t="shared" si="135"/>
        <v>2020</v>
      </c>
      <c r="J2155" s="270" t="s">
        <v>13243</v>
      </c>
      <c r="K2155" s="4837">
        <v>58374.503007329396</v>
      </c>
      <c r="L2155" s="4834">
        <f t="shared" si="137"/>
        <v>1.220793817929455E-5</v>
      </c>
      <c r="S2155" s="270" t="s">
        <v>13233</v>
      </c>
      <c r="T2155" s="4838">
        <v>587.07263234314701</v>
      </c>
      <c r="U2155" s="4839">
        <f t="shared" si="136"/>
        <v>2.1664407549350849E-3</v>
      </c>
    </row>
    <row r="2156" spans="1:21">
      <c r="A2156" s="270" t="s">
        <v>13235</v>
      </c>
      <c r="B2156" s="3305">
        <v>6194</v>
      </c>
      <c r="C2156" s="4834">
        <f t="shared" si="134"/>
        <v>3.094609762329467E-4</v>
      </c>
      <c r="D2156" s="3" t="str">
        <f t="shared" si="135"/>
        <v>2020</v>
      </c>
      <c r="J2156" s="270" t="s">
        <v>13244</v>
      </c>
      <c r="K2156" s="4837">
        <v>59239.358090025482</v>
      </c>
      <c r="L2156" s="4834">
        <f t="shared" si="137"/>
        <v>9.9623533451025589E-6</v>
      </c>
      <c r="S2156" s="270" t="s">
        <v>13234</v>
      </c>
      <c r="T2156" s="4838">
        <v>579.35645316667615</v>
      </c>
      <c r="U2156" s="4839">
        <f t="shared" si="136"/>
        <v>2.1326806920057926E-3</v>
      </c>
    </row>
    <row r="2157" spans="1:21">
      <c r="A2157" s="270" t="s">
        <v>13236</v>
      </c>
      <c r="B2157" s="3305">
        <v>6339.5</v>
      </c>
      <c r="C2157" s="4834">
        <f t="shared" si="134"/>
        <v>3.1928705299245192E-4</v>
      </c>
      <c r="D2157" s="3" t="str">
        <f t="shared" si="135"/>
        <v>2020</v>
      </c>
      <c r="J2157" s="270" t="s">
        <v>13245</v>
      </c>
      <c r="K2157" s="4837">
        <v>59556.042943726476</v>
      </c>
      <c r="L2157" s="4834">
        <f t="shared" si="137"/>
        <v>9.2173145228271876E-6</v>
      </c>
      <c r="S2157" s="270" t="s">
        <v>13235</v>
      </c>
      <c r="T2157" s="4838">
        <v>594.46730405393134</v>
      </c>
      <c r="U2157" s="4839">
        <f t="shared" si="136"/>
        <v>2.1952520431828778E-3</v>
      </c>
    </row>
    <row r="2158" spans="1:21">
      <c r="A2158" s="270" t="s">
        <v>13237</v>
      </c>
      <c r="B2158" s="3305">
        <v>6322.5</v>
      </c>
      <c r="C2158" s="4834">
        <f t="shared" si="134"/>
        <v>3.183551395261674E-4</v>
      </c>
      <c r="D2158" s="3" t="str">
        <f t="shared" si="135"/>
        <v>2020</v>
      </c>
      <c r="J2158" s="270" t="s">
        <v>13246</v>
      </c>
      <c r="K2158" s="4837">
        <v>60388.747279853938</v>
      </c>
      <c r="L2158" s="4834">
        <f t="shared" si="137"/>
        <v>7.4503813751090044E-6</v>
      </c>
      <c r="S2158" s="270" t="s">
        <v>13236</v>
      </c>
      <c r="T2158" s="4838">
        <v>605.72006535295122</v>
      </c>
      <c r="U2158" s="4839">
        <f t="shared" si="136"/>
        <v>2.2321052570229843E-3</v>
      </c>
    </row>
    <row r="2159" spans="1:21">
      <c r="A2159" s="270" t="s">
        <v>13238</v>
      </c>
      <c r="B2159" s="3305">
        <v>6545</v>
      </c>
      <c r="C2159" s="4834">
        <f t="shared" si="134"/>
        <v>3.2576020625770045E-4</v>
      </c>
      <c r="D2159" s="3" t="str">
        <f t="shared" si="135"/>
        <v>2020</v>
      </c>
      <c r="J2159" s="270" t="s">
        <v>13247</v>
      </c>
      <c r="K2159" s="4837">
        <v>61153.935048187275</v>
      </c>
      <c r="L2159" s="4834">
        <f t="shared" si="137"/>
        <v>6.0613291127829367E-6</v>
      </c>
      <c r="S2159" s="270" t="s">
        <v>13237</v>
      </c>
      <c r="T2159" s="4838">
        <v>603.46951309314727</v>
      </c>
      <c r="U2159" s="4839">
        <f t="shared" si="136"/>
        <v>2.2254278564800842E-3</v>
      </c>
    </row>
    <row r="2160" spans="1:21">
      <c r="A2160" s="270" t="s">
        <v>13239</v>
      </c>
      <c r="B2160" s="3305">
        <v>6489.5</v>
      </c>
      <c r="C2160" s="4834">
        <f t="shared" si="134"/>
        <v>3.2490078479583973E-4</v>
      </c>
      <c r="D2160" s="3" t="str">
        <f t="shared" si="135"/>
        <v>2020</v>
      </c>
      <c r="J2160" s="270" t="s">
        <v>13248</v>
      </c>
      <c r="K2160" s="4837">
        <v>62264.743342133384</v>
      </c>
      <c r="L2160" s="4834">
        <f t="shared" si="137"/>
        <v>4.41070185839979E-6</v>
      </c>
      <c r="S2160" s="270" t="s">
        <v>13238</v>
      </c>
      <c r="T2160" s="4838">
        <v>614.07925946079445</v>
      </c>
      <c r="U2160" s="4839">
        <f t="shared" si="136"/>
        <v>2.2537886233178557E-3</v>
      </c>
    </row>
    <row r="2161" spans="1:21">
      <c r="A2161" s="270" t="s">
        <v>13240</v>
      </c>
      <c r="B2161" s="3305">
        <v>6507</v>
      </c>
      <c r="C2161" s="4834">
        <f t="shared" si="134"/>
        <v>3.2524371868725935E-4</v>
      </c>
      <c r="D2161" s="3" t="str">
        <f t="shared" si="135"/>
        <v>2020</v>
      </c>
      <c r="J2161" s="270" t="s">
        <v>13249</v>
      </c>
      <c r="K2161" s="4837">
        <v>62401.384015050047</v>
      </c>
      <c r="L2161" s="4834">
        <f t="shared" si="137"/>
        <v>4.2351876005706305E-6</v>
      </c>
      <c r="S2161" s="270" t="s">
        <v>13239</v>
      </c>
      <c r="T2161" s="4838">
        <v>607.64911014706877</v>
      </c>
      <c r="U2161" s="4839">
        <f t="shared" si="136"/>
        <v>2.2375475614760608E-3</v>
      </c>
    </row>
    <row r="2162" spans="1:21">
      <c r="A2162" s="270" t="s">
        <v>13241</v>
      </c>
      <c r="B2162" s="3305">
        <v>6385</v>
      </c>
      <c r="C2162" s="4834">
        <f t="shared" si="134"/>
        <v>3.2148941218739522E-4</v>
      </c>
      <c r="D2162" s="3" t="str">
        <f t="shared" si="135"/>
        <v>2020</v>
      </c>
      <c r="J2162" s="270" t="s">
        <v>13250</v>
      </c>
      <c r="K2162" s="4837">
        <v>62722.891480736333</v>
      </c>
      <c r="L2162" s="4834">
        <f t="shared" si="137"/>
        <v>3.8442778304027396E-6</v>
      </c>
      <c r="S2162" s="270" t="s">
        <v>13240</v>
      </c>
      <c r="T2162" s="4838">
        <v>621.47393117157878</v>
      </c>
      <c r="U2162" s="4839">
        <f t="shared" si="136"/>
        <v>2.2687886601565799E-3</v>
      </c>
    </row>
    <row r="2163" spans="1:21">
      <c r="A2163" s="270" t="s">
        <v>13242</v>
      </c>
      <c r="B2163" s="3305">
        <v>6454.5</v>
      </c>
      <c r="C2163" s="4834">
        <f t="shared" si="134"/>
        <v>3.240171977483263E-4</v>
      </c>
      <c r="D2163" s="3" t="str">
        <f t="shared" si="135"/>
        <v>2020</v>
      </c>
      <c r="J2163" s="270" t="s">
        <v>13251</v>
      </c>
      <c r="K2163" s="4837">
        <v>62939.90902007457</v>
      </c>
      <c r="L2163" s="4834">
        <f t="shared" si="137"/>
        <v>3.5973151183567252E-6</v>
      </c>
      <c r="S2163" s="270" t="s">
        <v>13241</v>
      </c>
      <c r="T2163" s="4838">
        <v>618.90187144608865</v>
      </c>
      <c r="U2163" s="4839">
        <f t="shared" si="136"/>
        <v>2.2640224144254519E-3</v>
      </c>
    </row>
    <row r="2164" spans="1:21">
      <c r="A2164" s="270" t="s">
        <v>13243</v>
      </c>
      <c r="B2164" s="3305">
        <v>6416.5</v>
      </c>
      <c r="C2164" s="4834">
        <f t="shared" si="134"/>
        <v>3.2276158561593532E-4</v>
      </c>
      <c r="D2164" s="3" t="str">
        <f t="shared" si="135"/>
        <v>2020</v>
      </c>
      <c r="J2164" s="270" t="s">
        <v>13252</v>
      </c>
      <c r="K2164" s="4837">
        <v>63173.001932697123</v>
      </c>
      <c r="L2164" s="4834">
        <f t="shared" si="137"/>
        <v>3.3466068898929792E-6</v>
      </c>
      <c r="S2164" s="270" t="s">
        <v>13242</v>
      </c>
      <c r="T2164" s="4838">
        <v>616.0083042549121</v>
      </c>
      <c r="U2164" s="4839">
        <f t="shared" si="136"/>
        <v>2.2580841443348753E-3</v>
      </c>
    </row>
    <row r="2165" spans="1:21">
      <c r="A2165" s="270" t="s">
        <v>13244</v>
      </c>
      <c r="B2165" s="3305">
        <v>6513</v>
      </c>
      <c r="C2165" s="4834">
        <f t="shared" si="134"/>
        <v>3.2534606596414621E-4</v>
      </c>
      <c r="D2165" s="3" t="str">
        <f t="shared" si="135"/>
        <v>2020</v>
      </c>
      <c r="J2165" s="270" t="s">
        <v>13253</v>
      </c>
      <c r="K2165" s="4837">
        <v>62968.844691986335</v>
      </c>
      <c r="L2165" s="4834">
        <f t="shared" si="137"/>
        <v>3.5653848260041666E-6</v>
      </c>
      <c r="S2165" s="270" t="s">
        <v>13243</v>
      </c>
      <c r="T2165" s="4838">
        <v>625.01051329412803</v>
      </c>
      <c r="U2165" s="4839">
        <f t="shared" si="136"/>
        <v>2.2745492344206607E-3</v>
      </c>
    </row>
    <row r="2166" spans="1:21">
      <c r="A2166" s="270" t="s">
        <v>13245</v>
      </c>
      <c r="B2166" s="3305">
        <v>6527</v>
      </c>
      <c r="C2166" s="4834">
        <f t="shared" si="134"/>
        <v>3.2555457182906471E-4</v>
      </c>
      <c r="D2166" s="3" t="str">
        <f t="shared" si="135"/>
        <v>2020</v>
      </c>
      <c r="J2166" s="270" t="s">
        <v>13254</v>
      </c>
      <c r="K2166" s="4837">
        <v>63590.961638089291</v>
      </c>
      <c r="L2166" s="4834">
        <f t="shared" si="137"/>
        <v>2.9329657756812336E-6</v>
      </c>
      <c r="S2166" s="270" t="s">
        <v>13244</v>
      </c>
      <c r="T2166" s="4838">
        <v>661.01934945099129</v>
      </c>
      <c r="U2166" s="4839">
        <f t="shared" si="136"/>
        <v>2.2799418362849599E-3</v>
      </c>
    </row>
    <row r="2167" spans="1:21">
      <c r="A2167" s="270" t="s">
        <v>13246</v>
      </c>
      <c r="B2167" s="3305">
        <v>6533.5</v>
      </c>
      <c r="C2167" s="4834">
        <f t="shared" si="134"/>
        <v>3.2563693894884426E-4</v>
      </c>
      <c r="D2167" s="3" t="str">
        <f t="shared" si="135"/>
        <v>2020</v>
      </c>
      <c r="J2167" s="270" t="s">
        <v>13255</v>
      </c>
      <c r="K2167" s="4837">
        <v>65849.551584535409</v>
      </c>
      <c r="L2167" s="4834">
        <f t="shared" si="137"/>
        <v>1.3631585740213539E-6</v>
      </c>
      <c r="S2167" s="270" t="s">
        <v>13245</v>
      </c>
      <c r="T2167" s="4838">
        <v>715.35411115197257</v>
      </c>
      <c r="U2167" s="4839">
        <f t="shared" si="136"/>
        <v>2.1104072329474351E-3</v>
      </c>
    </row>
    <row r="2168" spans="1:21">
      <c r="A2168" s="270" t="s">
        <v>13247</v>
      </c>
      <c r="B2168" s="3305">
        <v>6412.5</v>
      </c>
      <c r="C2168" s="4834">
        <f t="shared" si="134"/>
        <v>3.2261160684876475E-4</v>
      </c>
      <c r="D2168" s="3" t="str">
        <f t="shared" si="135"/>
        <v>2020</v>
      </c>
      <c r="J2168" s="270" t="s">
        <v>13256</v>
      </c>
      <c r="K2168" s="4837">
        <v>66460.415769339335</v>
      </c>
      <c r="L2168" s="4834">
        <f t="shared" si="137"/>
        <v>1.0910373927427923E-6</v>
      </c>
      <c r="S2168" s="270" t="s">
        <v>13246</v>
      </c>
      <c r="T2168" s="4838">
        <v>734.96606655883568</v>
      </c>
      <c r="U2168" s="4839">
        <f t="shared" si="136"/>
        <v>2.0039238245450129E-3</v>
      </c>
    </row>
    <row r="2169" spans="1:21">
      <c r="A2169" s="270" t="s">
        <v>13248</v>
      </c>
      <c r="B2169" s="3305">
        <v>6425.5</v>
      </c>
      <c r="C2169" s="4834">
        <f t="shared" si="134"/>
        <v>3.2308667427798852E-4</v>
      </c>
      <c r="D2169" s="3" t="str">
        <f t="shared" si="135"/>
        <v>2020</v>
      </c>
      <c r="J2169" s="270" t="s">
        <v>13257</v>
      </c>
      <c r="K2169" s="4837">
        <v>65302.988892868729</v>
      </c>
      <c r="L2169" s="4834">
        <f t="shared" si="137"/>
        <v>1.6544465432494323E-6</v>
      </c>
      <c r="S2169" s="270" t="s">
        <v>13247</v>
      </c>
      <c r="T2169" s="4838">
        <v>722.74878286275703</v>
      </c>
      <c r="U2169" s="4839">
        <f t="shared" si="136"/>
        <v>2.0726904916976456E-3</v>
      </c>
    </row>
    <row r="2170" spans="1:21">
      <c r="A2170" s="270" t="s">
        <v>13249</v>
      </c>
      <c r="B2170" s="3305">
        <v>6399.5</v>
      </c>
      <c r="C2170" s="4834">
        <f t="shared" si="134"/>
        <v>3.2210089428321256E-4</v>
      </c>
      <c r="D2170" s="3" t="str">
        <f t="shared" si="135"/>
        <v>2020</v>
      </c>
      <c r="J2170" s="270" t="s">
        <v>13258</v>
      </c>
      <c r="K2170" s="4837">
        <v>65732.201359559913</v>
      </c>
      <c r="L2170" s="4834">
        <f t="shared" si="137"/>
        <v>1.4216649234475464E-6</v>
      </c>
      <c r="S2170" s="270" t="s">
        <v>13248</v>
      </c>
      <c r="T2170" s="4838">
        <v>783.83520134315006</v>
      </c>
      <c r="U2170" s="4839">
        <f t="shared" si="136"/>
        <v>1.6669278785015537E-3</v>
      </c>
    </row>
    <row r="2171" spans="1:21">
      <c r="A2171" s="270" t="s">
        <v>13250</v>
      </c>
      <c r="B2171" s="3305">
        <v>6475</v>
      </c>
      <c r="C2171" s="4834">
        <f t="shared" si="134"/>
        <v>3.24566638607479E-4</v>
      </c>
      <c r="D2171" s="3" t="str">
        <f t="shared" si="135"/>
        <v>2020</v>
      </c>
      <c r="J2171" s="270" t="s">
        <v>13259</v>
      </c>
      <c r="K2171" s="4837">
        <v>62361.195581839267</v>
      </c>
      <c r="L2171" s="4834">
        <f t="shared" si="137"/>
        <v>4.2862180890859285E-6</v>
      </c>
      <c r="S2171" s="270" t="s">
        <v>13249</v>
      </c>
      <c r="T2171" s="4838">
        <v>757.15008169118903</v>
      </c>
      <c r="U2171" s="4839">
        <f t="shared" si="136"/>
        <v>1.861296824368549E-3</v>
      </c>
    </row>
    <row r="2172" spans="1:21">
      <c r="A2172" s="270" t="s">
        <v>13251</v>
      </c>
      <c r="B2172" s="3305">
        <v>6433.5</v>
      </c>
      <c r="C2172" s="4834">
        <f t="shared" si="134"/>
        <v>3.2336123663274718E-4</v>
      </c>
      <c r="D2172" s="3" t="str">
        <f t="shared" si="135"/>
        <v>2020</v>
      </c>
      <c r="J2172" s="270" t="s">
        <v>13260</v>
      </c>
      <c r="K2172" s="4837">
        <v>62112.027295932399</v>
      </c>
      <c r="L2172" s="4834">
        <f t="shared" si="137"/>
        <v>4.6136895674620788E-6</v>
      </c>
      <c r="S2172" s="270" t="s">
        <v>13250</v>
      </c>
      <c r="T2172" s="4838">
        <v>782.54917148040499</v>
      </c>
      <c r="U2172" s="4839">
        <f t="shared" si="136"/>
        <v>1.6767133054404733E-3</v>
      </c>
    </row>
    <row r="2173" spans="1:21">
      <c r="A2173" s="270" t="s">
        <v>13252</v>
      </c>
      <c r="B2173" s="3305">
        <v>6446.5</v>
      </c>
      <c r="C2173" s="4834">
        <f t="shared" si="134"/>
        <v>3.2377839112192601E-4</v>
      </c>
      <c r="D2173" s="3" t="str">
        <f t="shared" si="135"/>
        <v>2020</v>
      </c>
      <c r="J2173" s="270" t="s">
        <v>13261</v>
      </c>
      <c r="K2173" s="4837">
        <v>62509.089016054953</v>
      </c>
      <c r="L2173" s="4834">
        <f t="shared" si="137"/>
        <v>4.100826337597718E-6</v>
      </c>
      <c r="S2173" s="270" t="s">
        <v>13251</v>
      </c>
      <c r="T2173" s="4838">
        <v>744.61129052942408</v>
      </c>
      <c r="U2173" s="4839">
        <f t="shared" si="136"/>
        <v>1.9444852531192529E-3</v>
      </c>
    </row>
    <row r="2174" spans="1:21">
      <c r="A2174" s="270" t="s">
        <v>13253</v>
      </c>
      <c r="B2174" s="3305">
        <v>6441</v>
      </c>
      <c r="C2174" s="4834">
        <f t="shared" si="134"/>
        <v>3.236062929290573E-4</v>
      </c>
      <c r="D2174" s="3" t="str">
        <f t="shared" si="135"/>
        <v>2020</v>
      </c>
      <c r="J2174" s="270" t="s">
        <v>13262</v>
      </c>
      <c r="K2174" s="4837">
        <v>62525.164389339268</v>
      </c>
      <c r="L2174" s="4834">
        <f t="shared" si="137"/>
        <v>4.0810697879857189E-6</v>
      </c>
      <c r="S2174" s="270" t="s">
        <v>13252</v>
      </c>
      <c r="T2174" s="4838">
        <v>773.86846990687548</v>
      </c>
      <c r="U2174" s="4839">
        <f t="shared" si="136"/>
        <v>1.7418008920113423E-3</v>
      </c>
    </row>
    <row r="2175" spans="1:21">
      <c r="A2175" s="270" t="s">
        <v>13254</v>
      </c>
      <c r="B2175" s="3305">
        <v>6440</v>
      </c>
      <c r="C2175" s="4834">
        <f t="shared" si="134"/>
        <v>3.2357431010277449E-4</v>
      </c>
      <c r="D2175" s="3" t="str">
        <f t="shared" si="135"/>
        <v>2020</v>
      </c>
      <c r="J2175" s="270" t="s">
        <v>13263</v>
      </c>
      <c r="K2175" s="4837">
        <v>63428.600367917708</v>
      </c>
      <c r="L2175" s="4834">
        <f t="shared" si="137"/>
        <v>3.0883303615813429E-6</v>
      </c>
      <c r="S2175" s="270" t="s">
        <v>13253</v>
      </c>
      <c r="T2175" s="4838">
        <v>779.01258935785597</v>
      </c>
      <c r="U2175" s="4839">
        <f t="shared" si="136"/>
        <v>1.7034419001834215E-3</v>
      </c>
    </row>
    <row r="2176" spans="1:21">
      <c r="A2176" s="270" t="s">
        <v>13255</v>
      </c>
      <c r="B2176" s="3305">
        <v>6525.5</v>
      </c>
      <c r="C2176" s="4834">
        <f t="shared" si="134"/>
        <v>3.2553426300020109E-4</v>
      </c>
      <c r="D2176" s="3" t="str">
        <f t="shared" si="135"/>
        <v>2020</v>
      </c>
      <c r="J2176" s="270" t="s">
        <v>13264</v>
      </c>
      <c r="K2176" s="4837">
        <v>64582.812169731456</v>
      </c>
      <c r="L2176" s="4834">
        <f t="shared" si="137"/>
        <v>2.1182846859402387E-6</v>
      </c>
      <c r="S2176" s="270" t="s">
        <v>13254</v>
      </c>
      <c r="T2176" s="4838">
        <v>782.22766401471881</v>
      </c>
      <c r="U2176" s="4839">
        <f t="shared" si="136"/>
        <v>1.6791543321421503E-3</v>
      </c>
    </row>
    <row r="2177" spans="1:21">
      <c r="A2177" s="270" t="s">
        <v>13256</v>
      </c>
      <c r="B2177" s="3305">
        <v>6453.5</v>
      </c>
      <c r="C2177" s="4834">
        <f t="shared" si="134"/>
        <v>3.2398809433639941E-4</v>
      </c>
      <c r="D2177" s="3" t="str">
        <f t="shared" si="135"/>
        <v>2020</v>
      </c>
      <c r="J2177" s="270" t="s">
        <v>13265</v>
      </c>
      <c r="K2177" s="4837">
        <v>63690.628952452033</v>
      </c>
      <c r="L2177" s="4834">
        <f t="shared" si="137"/>
        <v>2.8408367691643649E-6</v>
      </c>
      <c r="S2177" s="270" t="s">
        <v>13255</v>
      </c>
      <c r="T2177" s="4838">
        <v>866.46262002452409</v>
      </c>
      <c r="U2177" s="4839">
        <f t="shared" si="136"/>
        <v>1.020944763140389E-3</v>
      </c>
    </row>
    <row r="2178" spans="1:21">
      <c r="A2178" s="270" t="s">
        <v>13257</v>
      </c>
      <c r="B2178" s="3305">
        <v>6437</v>
      </c>
      <c r="C2178" s="4834">
        <f t="shared" si="134"/>
        <v>3.2347708483789682E-4</v>
      </c>
      <c r="D2178" s="3" t="str">
        <f t="shared" si="135"/>
        <v>2020</v>
      </c>
      <c r="J2178" s="270" t="s">
        <v>13266</v>
      </c>
      <c r="K2178" s="4837">
        <v>61959.311249731414</v>
      </c>
      <c r="L2178" s="4834">
        <f t="shared" si="137"/>
        <v>4.8240360824785255E-6</v>
      </c>
      <c r="S2178" s="270" t="s">
        <v>13256</v>
      </c>
      <c r="T2178" s="4838">
        <v>896.68432179903448</v>
      </c>
      <c r="U2178" s="4839">
        <f t="shared" si="136"/>
        <v>8.0674062283618575E-4</v>
      </c>
    </row>
    <row r="2179" spans="1:21">
      <c r="A2179" s="270" t="s">
        <v>13258</v>
      </c>
      <c r="B2179" s="3305">
        <v>6363</v>
      </c>
      <c r="C2179" s="4834">
        <f t="shared" si="134"/>
        <v>3.2047794758561658E-4</v>
      </c>
      <c r="D2179" s="3" t="str">
        <f t="shared" si="135"/>
        <v>2020</v>
      </c>
      <c r="J2179" s="270" t="s">
        <v>13267</v>
      </c>
      <c r="K2179" s="4837">
        <v>61869.289159339256</v>
      </c>
      <c r="L2179" s="4834">
        <f t="shared" si="137"/>
        <v>4.9515415074149655E-6</v>
      </c>
      <c r="S2179" s="270" t="s">
        <v>13257</v>
      </c>
      <c r="T2179" s="4838">
        <v>910.83065028923056</v>
      </c>
      <c r="U2179" s="4839">
        <f t="shared" si="136"/>
        <v>7.1511276276276642E-4</v>
      </c>
    </row>
    <row r="2180" spans="1:21">
      <c r="A2180" s="270" t="s">
        <v>13259</v>
      </c>
      <c r="B2180" s="3305">
        <v>6356.5</v>
      </c>
      <c r="C2180" s="4834">
        <f t="shared" ref="C2180:C2243" si="138">_xlfn.NORM.DIST(B2180,$F$4,$F$3,FALSE)</f>
        <v>3.201599166292575E-4</v>
      </c>
      <c r="D2180" s="3" t="str">
        <f t="shared" ref="D2180:D2243" si="139">LEFT(A2180,4)</f>
        <v>2020</v>
      </c>
      <c r="J2180" s="270" t="s">
        <v>13268</v>
      </c>
      <c r="K2180" s="4837">
        <v>62499.443792084363</v>
      </c>
      <c r="L2180" s="4834">
        <f t="shared" si="137"/>
        <v>4.1127171560791794E-6</v>
      </c>
      <c r="S2180" s="270" t="s">
        <v>13258</v>
      </c>
      <c r="T2180" s="4838">
        <v>908.90160549511302</v>
      </c>
      <c r="U2180" s="4839">
        <f t="shared" ref="U2180:U2243" si="140">_xlfn.NORM.DIST(T2180,$X$4,$X$3,FALSE)</f>
        <v>7.2724879548061909E-4</v>
      </c>
    </row>
    <row r="2181" spans="1:21">
      <c r="A2181" s="270" t="s">
        <v>13260</v>
      </c>
      <c r="B2181" s="3305">
        <v>6379</v>
      </c>
      <c r="C2181" s="4834">
        <f t="shared" si="138"/>
        <v>3.2122353563857406E-4</v>
      </c>
      <c r="D2181" s="3" t="str">
        <f t="shared" si="139"/>
        <v>2020</v>
      </c>
      <c r="J2181" s="270" t="s">
        <v>13269</v>
      </c>
      <c r="K2181" s="4837">
        <v>61444.899304633363</v>
      </c>
      <c r="L2181" s="4834">
        <f t="shared" ref="L2181:L2244" si="141">_xlfn.NORM.DIST(K2181,$O$4,$O$3,FALSE)</f>
        <v>5.5887838113688994E-6</v>
      </c>
      <c r="S2181" s="270" t="s">
        <v>13259</v>
      </c>
      <c r="T2181" s="4838">
        <v>909.22311296079943</v>
      </c>
      <c r="U2181" s="4839">
        <f t="shared" si="140"/>
        <v>7.2521808704383364E-4</v>
      </c>
    </row>
    <row r="2182" spans="1:21">
      <c r="A2182" s="270" t="s">
        <v>13261</v>
      </c>
      <c r="B2182" s="3305">
        <v>6380</v>
      </c>
      <c r="C2182" s="4834">
        <f t="shared" si="138"/>
        <v>3.2126836933014577E-4</v>
      </c>
      <c r="D2182" s="3" t="str">
        <f t="shared" si="139"/>
        <v>2020</v>
      </c>
      <c r="J2182" s="270" t="s">
        <v>13270</v>
      </c>
      <c r="K2182" s="4837">
        <v>62145.785579829455</v>
      </c>
      <c r="L2182" s="4834">
        <f t="shared" si="141"/>
        <v>4.5681906506323104E-6</v>
      </c>
      <c r="S2182" s="270" t="s">
        <v>13260</v>
      </c>
      <c r="T2182" s="4838">
        <v>829.81076893628813</v>
      </c>
      <c r="U2182" s="4839">
        <f t="shared" si="140"/>
        <v>1.3046654121363465E-3</v>
      </c>
    </row>
    <row r="2183" spans="1:21">
      <c r="A2183" s="270" t="s">
        <v>13262</v>
      </c>
      <c r="B2183" s="3305">
        <v>6342.5</v>
      </c>
      <c r="C2183" s="4834">
        <f t="shared" si="138"/>
        <v>3.1944539320804627E-4</v>
      </c>
      <c r="D2183" s="3" t="str">
        <f t="shared" si="139"/>
        <v>2020</v>
      </c>
      <c r="J2183" s="270" t="s">
        <v>13271</v>
      </c>
      <c r="K2183" s="4837">
        <v>61853.213786054934</v>
      </c>
      <c r="L2183" s="4834">
        <f t="shared" si="141"/>
        <v>4.9745876772391139E-6</v>
      </c>
      <c r="S2183" s="270" t="s">
        <v>13261</v>
      </c>
      <c r="T2183" s="4838">
        <v>843.95709742648455</v>
      </c>
      <c r="U2183" s="4839">
        <f t="shared" si="140"/>
        <v>1.1930871571067144E-3</v>
      </c>
    </row>
    <row r="2184" spans="1:21">
      <c r="A2184" s="270" t="s">
        <v>13263</v>
      </c>
      <c r="B2184" s="3305">
        <v>6439.5</v>
      </c>
      <c r="C2184" s="4834">
        <f t="shared" si="138"/>
        <v>3.2355823887043856E-4</v>
      </c>
      <c r="D2184" s="3" t="str">
        <f t="shared" si="139"/>
        <v>2020</v>
      </c>
      <c r="J2184" s="270" t="s">
        <v>13272</v>
      </c>
      <c r="K2184" s="4837">
        <v>62930.26379610398</v>
      </c>
      <c r="L2184" s="4834">
        <f t="shared" si="141"/>
        <v>3.608010139046777E-6</v>
      </c>
      <c r="S2184" s="270" t="s">
        <v>13262</v>
      </c>
      <c r="T2184" s="4838">
        <v>858.74644084805345</v>
      </c>
      <c r="U2184" s="4839">
        <f t="shared" si="140"/>
        <v>1.0789953337457282E-3</v>
      </c>
    </row>
    <row r="2185" spans="1:21">
      <c r="A2185" s="270" t="s">
        <v>13264</v>
      </c>
      <c r="B2185" s="3305">
        <v>6492.5</v>
      </c>
      <c r="C2185" s="4834">
        <f t="shared" si="138"/>
        <v>3.2496426641882728E-4</v>
      </c>
      <c r="D2185" s="3" t="str">
        <f t="shared" si="139"/>
        <v>2020</v>
      </c>
      <c r="J2185" s="270" t="s">
        <v>13273</v>
      </c>
      <c r="K2185" s="4837">
        <v>63412.524994633393</v>
      </c>
      <c r="L2185" s="4834">
        <f t="shared" si="141"/>
        <v>3.1040753532258947E-6</v>
      </c>
      <c r="S2185" s="270" t="s">
        <v>13263</v>
      </c>
      <c r="T2185" s="4838">
        <v>865.49809762746531</v>
      </c>
      <c r="U2185" s="4839">
        <f t="shared" si="140"/>
        <v>1.0281369979951026E-3</v>
      </c>
    </row>
    <row r="2186" spans="1:21">
      <c r="A2186" s="270" t="s">
        <v>13265</v>
      </c>
      <c r="B2186" s="3305">
        <v>6667</v>
      </c>
      <c r="C2186" s="4834">
        <f t="shared" si="138"/>
        <v>3.2529742168498348E-4</v>
      </c>
      <c r="D2186" s="3" t="str">
        <f t="shared" si="139"/>
        <v>2020</v>
      </c>
      <c r="J2186" s="270" t="s">
        <v>13274</v>
      </c>
      <c r="K2186" s="4837">
        <v>62599.111106447112</v>
      </c>
      <c r="L2186" s="4834">
        <f t="shared" si="141"/>
        <v>3.9911744230446175E-6</v>
      </c>
      <c r="S2186" s="270" t="s">
        <v>13264</v>
      </c>
      <c r="T2186" s="4838">
        <v>910.83065028923056</v>
      </c>
      <c r="U2186" s="4839">
        <f t="shared" si="140"/>
        <v>7.1511276276276642E-4</v>
      </c>
    </row>
    <row r="2187" spans="1:21">
      <c r="A2187" s="270" t="s">
        <v>13266</v>
      </c>
      <c r="B2187" s="3305">
        <v>6594.5</v>
      </c>
      <c r="C2187" s="4834">
        <f t="shared" si="138"/>
        <v>3.2596261111646273E-4</v>
      </c>
      <c r="D2187" s="3" t="str">
        <f t="shared" si="139"/>
        <v>2020</v>
      </c>
      <c r="J2187" s="270" t="s">
        <v>13275</v>
      </c>
      <c r="K2187" s="4837">
        <v>62386.916179094165</v>
      </c>
      <c r="L2187" s="4834">
        <f t="shared" si="141"/>
        <v>4.2535021520225042E-6</v>
      </c>
      <c r="S2187" s="270" t="s">
        <v>13265</v>
      </c>
      <c r="T2187" s="4838">
        <v>882.21648584315187</v>
      </c>
      <c r="U2187" s="4839">
        <f t="shared" si="140"/>
        <v>9.0640512710754659E-4</v>
      </c>
    </row>
    <row r="2188" spans="1:21">
      <c r="A2188" s="270" t="s">
        <v>13267</v>
      </c>
      <c r="B2188" s="3305">
        <v>6564.5</v>
      </c>
      <c r="C2188" s="4834">
        <f t="shared" si="138"/>
        <v>3.2590356182702528E-4</v>
      </c>
      <c r="D2188" s="3" t="str">
        <f t="shared" si="139"/>
        <v>2020</v>
      </c>
      <c r="J2188" s="270" t="s">
        <v>13276</v>
      </c>
      <c r="K2188" s="4837">
        <v>61931.983115148076</v>
      </c>
      <c r="L2188" s="4834">
        <f t="shared" si="141"/>
        <v>4.8624654720496079E-6</v>
      </c>
      <c r="S2188" s="270" t="s">
        <v>13266</v>
      </c>
      <c r="T2188" s="4838">
        <v>865.49809762746531</v>
      </c>
      <c r="U2188" s="4839">
        <f t="shared" si="140"/>
        <v>1.0281369979951026E-3</v>
      </c>
    </row>
    <row r="2189" spans="1:21">
      <c r="A2189" s="270" t="s">
        <v>13268</v>
      </c>
      <c r="B2189" s="3305">
        <v>6579.5</v>
      </c>
      <c r="C2189" s="4834">
        <f t="shared" si="138"/>
        <v>3.259575657878006E-4</v>
      </c>
      <c r="D2189" s="3" t="str">
        <f t="shared" si="139"/>
        <v>2020</v>
      </c>
      <c r="J2189" s="270" t="s">
        <v>13277</v>
      </c>
      <c r="K2189" s="4837">
        <v>62001.107220270635</v>
      </c>
      <c r="L2189" s="4834">
        <f t="shared" si="141"/>
        <v>4.7657270517250906E-6</v>
      </c>
      <c r="S2189" s="270" t="s">
        <v>13267</v>
      </c>
      <c r="T2189" s="4838">
        <v>863.24754536766136</v>
      </c>
      <c r="U2189" s="4839">
        <f t="shared" si="140"/>
        <v>1.0449920027727486E-3</v>
      </c>
    </row>
    <row r="2190" spans="1:21">
      <c r="A2190" s="270" t="s">
        <v>13269</v>
      </c>
      <c r="B2190" s="3305">
        <v>6544.5</v>
      </c>
      <c r="C2190" s="4834">
        <f t="shared" si="138"/>
        <v>3.2575544390614215E-4</v>
      </c>
      <c r="D2190" s="3" t="str">
        <f t="shared" si="139"/>
        <v>2020</v>
      </c>
      <c r="J2190" s="270" t="s">
        <v>13278</v>
      </c>
      <c r="K2190" s="4837">
        <v>61438.469155319646</v>
      </c>
      <c r="L2190" s="4834">
        <f t="shared" si="141"/>
        <v>5.5989079729384087E-6</v>
      </c>
      <c r="S2190" s="270" t="s">
        <v>13268</v>
      </c>
      <c r="T2190" s="4838">
        <v>864.53357523040643</v>
      </c>
      <c r="U2190" s="4839">
        <f t="shared" si="140"/>
        <v>1.0353481742209948E-3</v>
      </c>
    </row>
    <row r="2191" spans="1:21">
      <c r="A2191" s="270" t="s">
        <v>13270</v>
      </c>
      <c r="B2191" s="3305">
        <v>6603.5</v>
      </c>
      <c r="C2191" s="4834">
        <f t="shared" si="138"/>
        <v>3.259421363066441E-4</v>
      </c>
      <c r="D2191" s="3" t="str">
        <f t="shared" si="139"/>
        <v>2020</v>
      </c>
      <c r="J2191" s="270" t="s">
        <v>13279</v>
      </c>
      <c r="K2191" s="4837">
        <v>62603.93371843241</v>
      </c>
      <c r="L2191" s="4834">
        <f t="shared" si="141"/>
        <v>3.9853676012266572E-6</v>
      </c>
      <c r="S2191" s="270" t="s">
        <v>13269</v>
      </c>
      <c r="T2191" s="4838">
        <v>851.99478406864148</v>
      </c>
      <c r="U2191" s="4839">
        <f t="shared" si="140"/>
        <v>1.1306705218001652E-3</v>
      </c>
    </row>
    <row r="2192" spans="1:21">
      <c r="A2192" s="270" t="s">
        <v>13271</v>
      </c>
      <c r="B2192" s="3305">
        <v>6602.5</v>
      </c>
      <c r="C2192" s="4834">
        <f t="shared" si="138"/>
        <v>3.2594528164395031E-4</v>
      </c>
      <c r="D2192" s="3" t="str">
        <f t="shared" si="139"/>
        <v>2020</v>
      </c>
      <c r="J2192" s="270" t="s">
        <v>13280</v>
      </c>
      <c r="K2192" s="4837">
        <v>63216.405440564769</v>
      </c>
      <c r="L2192" s="4834">
        <f t="shared" si="141"/>
        <v>3.3015415223767926E-6</v>
      </c>
      <c r="S2192" s="270" t="s">
        <v>13270</v>
      </c>
      <c r="T2192" s="4838">
        <v>848.77970941177875</v>
      </c>
      <c r="U2192" s="4839">
        <f t="shared" si="140"/>
        <v>1.1555304846892723E-3</v>
      </c>
    </row>
    <row r="2193" spans="1:21">
      <c r="A2193" s="270" t="s">
        <v>13272</v>
      </c>
      <c r="B2193" s="3305">
        <v>6728</v>
      </c>
      <c r="C2193" s="4834">
        <f t="shared" si="138"/>
        <v>3.2385723878990049E-4</v>
      </c>
      <c r="D2193" s="3" t="str">
        <f t="shared" si="139"/>
        <v>2020</v>
      </c>
      <c r="J2193" s="270" t="s">
        <v>13281</v>
      </c>
      <c r="K2193" s="4837">
        <v>62610.363867746128</v>
      </c>
      <c r="L2193" s="4834">
        <f t="shared" si="141"/>
        <v>3.9776357761148001E-6</v>
      </c>
      <c r="S2193" s="270" t="s">
        <v>13271</v>
      </c>
      <c r="T2193" s="4838">
        <v>876.10784399511249</v>
      </c>
      <c r="U2193" s="4839">
        <f t="shared" si="140"/>
        <v>9.501297240195769E-4</v>
      </c>
    </row>
    <row r="2194" spans="1:21">
      <c r="A2194" s="270" t="s">
        <v>13273</v>
      </c>
      <c r="B2194" s="3305">
        <v>6788.5</v>
      </c>
      <c r="C2194" s="4834">
        <f t="shared" si="138"/>
        <v>3.2164495859854261E-4</v>
      </c>
      <c r="D2194" s="3" t="str">
        <f t="shared" si="139"/>
        <v>2020</v>
      </c>
      <c r="J2194" s="270" t="s">
        <v>13282</v>
      </c>
      <c r="K2194" s="4837">
        <v>62973.667303971633</v>
      </c>
      <c r="L2194" s="4834">
        <f t="shared" si="141"/>
        <v>3.5600856265176995E-6</v>
      </c>
      <c r="S2194" s="270" t="s">
        <v>13272</v>
      </c>
      <c r="T2194" s="4838">
        <v>879.32291865197533</v>
      </c>
      <c r="U2194" s="4839">
        <f t="shared" si="140"/>
        <v>9.2700212976559856E-4</v>
      </c>
    </row>
    <row r="2195" spans="1:21">
      <c r="A2195" s="270" t="s">
        <v>13274</v>
      </c>
      <c r="B2195" s="3305">
        <v>6719</v>
      </c>
      <c r="C2195" s="4834">
        <f t="shared" si="138"/>
        <v>3.2411995378226637E-4</v>
      </c>
      <c r="D2195" s="3" t="str">
        <f t="shared" si="139"/>
        <v>2020</v>
      </c>
      <c r="J2195" s="270" t="s">
        <v>13283</v>
      </c>
      <c r="K2195" s="4837">
        <v>62673.057823554955</v>
      </c>
      <c r="L2195" s="4834">
        <f t="shared" si="141"/>
        <v>3.9028831203701721E-6</v>
      </c>
      <c r="S2195" s="270" t="s">
        <v>13273</v>
      </c>
      <c r="T2195" s="4838">
        <v>928.83506836766242</v>
      </c>
      <c r="U2195" s="4839">
        <f t="shared" si="140"/>
        <v>6.0756833776429771E-4</v>
      </c>
    </row>
    <row r="2196" spans="1:21">
      <c r="A2196" s="270" t="s">
        <v>13275</v>
      </c>
      <c r="B2196" s="3305">
        <v>6613</v>
      </c>
      <c r="C2196" s="4834">
        <f t="shared" si="138"/>
        <v>3.2590140530812709E-4</v>
      </c>
      <c r="D2196" s="3" t="str">
        <f t="shared" si="139"/>
        <v>2020</v>
      </c>
      <c r="J2196" s="270" t="s">
        <v>13284</v>
      </c>
      <c r="K2196" s="4837">
        <v>63073.334618334375</v>
      </c>
      <c r="L2196" s="4834">
        <f t="shared" si="141"/>
        <v>3.4519983860850425E-6</v>
      </c>
      <c r="S2196" s="270" t="s">
        <v>13274</v>
      </c>
      <c r="T2196" s="4838">
        <v>890.89718741668139</v>
      </c>
      <c r="U2196" s="4839">
        <f t="shared" si="140"/>
        <v>8.4591865792862236E-4</v>
      </c>
    </row>
    <row r="2197" spans="1:21">
      <c r="A2197" s="270" t="s">
        <v>13276</v>
      </c>
      <c r="B2197" s="3305">
        <v>6678</v>
      </c>
      <c r="C2197" s="4834">
        <f t="shared" si="138"/>
        <v>3.2509692443607172E-4</v>
      </c>
      <c r="D2197" s="3" t="str">
        <f t="shared" si="139"/>
        <v>2020</v>
      </c>
      <c r="J2197" s="270" t="s">
        <v>13285</v>
      </c>
      <c r="K2197" s="4837">
        <v>62251.883043505928</v>
      </c>
      <c r="L2197" s="4834">
        <f t="shared" si="141"/>
        <v>4.4275157515020411E-6</v>
      </c>
      <c r="S2197" s="270" t="s">
        <v>13275</v>
      </c>
      <c r="T2197" s="4838">
        <v>864.85508269609272</v>
      </c>
      <c r="U2197" s="4839">
        <f t="shared" si="140"/>
        <v>1.0329423633095496E-3</v>
      </c>
    </row>
    <row r="2198" spans="1:21">
      <c r="A2198" s="270" t="s">
        <v>13277</v>
      </c>
      <c r="B2198" s="3305">
        <v>6790.5</v>
      </c>
      <c r="C2198" s="4834">
        <f t="shared" si="138"/>
        <v>3.2155866637885108E-4</v>
      </c>
      <c r="D2198" s="3" t="str">
        <f t="shared" si="139"/>
        <v>2020</v>
      </c>
      <c r="J2198" s="270" t="s">
        <v>13286</v>
      </c>
      <c r="K2198" s="4837">
        <v>62721.2839434079</v>
      </c>
      <c r="L2198" s="4834">
        <f t="shared" si="141"/>
        <v>3.8461571434788123E-6</v>
      </c>
      <c r="S2198" s="270" t="s">
        <v>13276</v>
      </c>
      <c r="T2198" s="4838">
        <v>862.28302297060247</v>
      </c>
      <c r="U2198" s="4839">
        <f t="shared" si="140"/>
        <v>1.052246160831928E-3</v>
      </c>
    </row>
    <row r="2199" spans="1:21">
      <c r="A2199" s="270" t="s">
        <v>13278</v>
      </c>
      <c r="B2199" s="3305">
        <v>6767.5</v>
      </c>
      <c r="C2199" s="4834">
        <f t="shared" si="138"/>
        <v>3.2250042562346738E-4</v>
      </c>
      <c r="D2199" s="3" t="str">
        <f t="shared" si="139"/>
        <v>2020</v>
      </c>
      <c r="J2199" s="270" t="s">
        <v>13287</v>
      </c>
      <c r="K2199" s="4837">
        <v>61387.027960809828</v>
      </c>
      <c r="L2199" s="4834">
        <f t="shared" si="141"/>
        <v>5.68041530538505E-6</v>
      </c>
      <c r="S2199" s="270" t="s">
        <v>13277</v>
      </c>
      <c r="T2199" s="4838">
        <v>862.60453043628866</v>
      </c>
      <c r="U2199" s="4839">
        <f t="shared" si="140"/>
        <v>1.0498261044069195E-3</v>
      </c>
    </row>
    <row r="2200" spans="1:21">
      <c r="A2200" s="270" t="s">
        <v>13279</v>
      </c>
      <c r="B2200" s="3305">
        <v>6709</v>
      </c>
      <c r="C2200" s="4834">
        <f t="shared" si="138"/>
        <v>3.243915346302584E-4</v>
      </c>
      <c r="D2200" s="3" t="str">
        <f t="shared" si="139"/>
        <v>2020</v>
      </c>
      <c r="J2200" s="270" t="s">
        <v>13288</v>
      </c>
      <c r="K2200" s="4837">
        <v>61279.322959804929</v>
      </c>
      <c r="L2200" s="4834">
        <f t="shared" si="141"/>
        <v>5.8540504858869911E-6</v>
      </c>
      <c r="S2200" s="270" t="s">
        <v>13278</v>
      </c>
      <c r="T2200" s="4838">
        <v>857.78191845099445</v>
      </c>
      <c r="U2200" s="4839">
        <f t="shared" si="140"/>
        <v>1.0863301850274141E-3</v>
      </c>
    </row>
    <row r="2201" spans="1:21">
      <c r="A2201" s="270" t="s">
        <v>13280</v>
      </c>
      <c r="B2201" s="3305">
        <v>6710.5</v>
      </c>
      <c r="C2201" s="4834">
        <f t="shared" si="138"/>
        <v>3.2435216345439995E-4</v>
      </c>
      <c r="D2201" s="3" t="str">
        <f t="shared" si="139"/>
        <v>2020</v>
      </c>
      <c r="J2201" s="270" t="s">
        <v>13289</v>
      </c>
      <c r="K2201" s="4837">
        <v>60231.208621667662</v>
      </c>
      <c r="L2201" s="4834">
        <f t="shared" si="141"/>
        <v>7.7637492508409322E-6</v>
      </c>
      <c r="S2201" s="270" t="s">
        <v>13279</v>
      </c>
      <c r="T2201" s="4838">
        <v>853.28081393138655</v>
      </c>
      <c r="U2201" s="4839">
        <f t="shared" si="140"/>
        <v>1.1207700913364073E-3</v>
      </c>
    </row>
    <row r="2202" spans="1:21">
      <c r="A2202" s="270" t="s">
        <v>13281</v>
      </c>
      <c r="B2202" s="3305">
        <v>6757.5</v>
      </c>
      <c r="C2202" s="4834">
        <f t="shared" si="138"/>
        <v>3.2287517726551864E-4</v>
      </c>
      <c r="D2202" s="3" t="str">
        <f t="shared" si="139"/>
        <v>2020</v>
      </c>
      <c r="J2202" s="270" t="s">
        <v>13290</v>
      </c>
      <c r="K2202" s="4837">
        <v>59856.65242414314</v>
      </c>
      <c r="L2202" s="4834">
        <f t="shared" si="141"/>
        <v>8.5477216951606516E-6</v>
      </c>
      <c r="S2202" s="270" t="s">
        <v>13280</v>
      </c>
      <c r="T2202" s="4838">
        <v>871.60673947550458</v>
      </c>
      <c r="U2202" s="4839">
        <f t="shared" si="140"/>
        <v>9.8291856321109359E-4</v>
      </c>
    </row>
    <row r="2203" spans="1:21">
      <c r="A2203" s="270" t="s">
        <v>13282</v>
      </c>
      <c r="B2203" s="3305">
        <v>6788</v>
      </c>
      <c r="C2203" s="4834">
        <f t="shared" si="138"/>
        <v>3.2166640105327275E-4</v>
      </c>
      <c r="D2203" s="3" t="str">
        <f t="shared" si="139"/>
        <v>2020</v>
      </c>
      <c r="J2203" s="270" t="s">
        <v>13291</v>
      </c>
      <c r="K2203" s="4837">
        <v>59790.743393677461</v>
      </c>
      <c r="L2203" s="4834">
        <f t="shared" si="141"/>
        <v>8.6914239076362479E-6</v>
      </c>
      <c r="S2203" s="270" t="s">
        <v>13281</v>
      </c>
      <c r="T2203" s="4838">
        <v>864.21206776472013</v>
      </c>
      <c r="U2203" s="4839">
        <f t="shared" si="140"/>
        <v>1.0377560552477486E-3</v>
      </c>
    </row>
    <row r="2204" spans="1:21">
      <c r="A2204" s="270" t="s">
        <v>13283</v>
      </c>
      <c r="B2204" s="3305">
        <v>6813.5</v>
      </c>
      <c r="C2204" s="4834">
        <f t="shared" si="138"/>
        <v>3.2050644461711127E-4</v>
      </c>
      <c r="D2204" s="3" t="str">
        <f t="shared" si="139"/>
        <v>2020</v>
      </c>
      <c r="J2204" s="270" t="s">
        <v>13292</v>
      </c>
      <c r="K2204" s="4837">
        <v>59938.63682789314</v>
      </c>
      <c r="L2204" s="4834">
        <f t="shared" si="141"/>
        <v>8.3713871582174573E-6</v>
      </c>
      <c r="S2204" s="270" t="s">
        <v>13282</v>
      </c>
      <c r="T2204" s="4838">
        <v>864.53357523040643</v>
      </c>
      <c r="U2204" s="4839">
        <f t="shared" si="140"/>
        <v>1.0353481742209948E-3</v>
      </c>
    </row>
    <row r="2205" spans="1:21">
      <c r="A2205" s="270" t="s">
        <v>13284</v>
      </c>
      <c r="B2205" s="3305">
        <v>6776</v>
      </c>
      <c r="C2205" s="4834">
        <f t="shared" si="138"/>
        <v>3.2216531745399366E-4</v>
      </c>
      <c r="D2205" s="3" t="str">
        <f t="shared" si="139"/>
        <v>2020</v>
      </c>
      <c r="J2205" s="270" t="s">
        <v>13293</v>
      </c>
      <c r="K2205" s="4837">
        <v>60570.398997966688</v>
      </c>
      <c r="L2205" s="4834">
        <f t="shared" si="141"/>
        <v>7.1008609875714339E-6</v>
      </c>
      <c r="S2205" s="270" t="s">
        <v>13283</v>
      </c>
      <c r="T2205" s="4838">
        <v>885.75306796570089</v>
      </c>
      <c r="U2205" s="4839">
        <f t="shared" si="140"/>
        <v>8.8152127292833056E-4</v>
      </c>
    </row>
    <row r="2206" spans="1:21">
      <c r="A2206" s="270" t="s">
        <v>13285</v>
      </c>
      <c r="B2206" s="3305">
        <v>6761</v>
      </c>
      <c r="C2206" s="4834">
        <f t="shared" si="138"/>
        <v>3.2274641564600129E-4</v>
      </c>
      <c r="D2206" s="3" t="str">
        <f t="shared" si="139"/>
        <v>2020</v>
      </c>
      <c r="J2206" s="270" t="s">
        <v>13294</v>
      </c>
      <c r="K2206" s="4837">
        <v>60665.243700344145</v>
      </c>
      <c r="L2206" s="4834">
        <f t="shared" si="141"/>
        <v>6.9233333704911182E-6</v>
      </c>
      <c r="S2206" s="270" t="s">
        <v>13284</v>
      </c>
      <c r="T2206" s="4838">
        <v>880.2874410490341</v>
      </c>
      <c r="U2206" s="4839">
        <f t="shared" si="140"/>
        <v>9.2011316951386385E-4</v>
      </c>
    </row>
    <row r="2207" spans="1:21">
      <c r="A2207" s="270" t="s">
        <v>13286</v>
      </c>
      <c r="B2207" s="3305">
        <v>6833.5</v>
      </c>
      <c r="C2207" s="4834">
        <f t="shared" si="138"/>
        <v>3.1950253423560133E-4</v>
      </c>
      <c r="D2207" s="3" t="str">
        <f t="shared" si="139"/>
        <v>2020</v>
      </c>
      <c r="J2207" s="270" t="s">
        <v>13295</v>
      </c>
      <c r="K2207" s="4837">
        <v>61150.719973530424</v>
      </c>
      <c r="L2207" s="4834">
        <f t="shared" si="141"/>
        <v>6.0667172626956284E-6</v>
      </c>
      <c r="S2207" s="270" t="s">
        <v>13285</v>
      </c>
      <c r="T2207" s="4838">
        <v>860.03247071079852</v>
      </c>
      <c r="U2207" s="4839">
        <f t="shared" si="140"/>
        <v>1.0692415453786321E-3</v>
      </c>
    </row>
    <row r="2208" spans="1:21">
      <c r="A2208" s="270" t="s">
        <v>13287</v>
      </c>
      <c r="B2208" s="3305">
        <v>6837</v>
      </c>
      <c r="C2208" s="4834">
        <f t="shared" si="138"/>
        <v>3.1931840627991224E-4</v>
      </c>
      <c r="D2208" s="3" t="str">
        <f t="shared" si="139"/>
        <v>2020</v>
      </c>
      <c r="J2208" s="270" t="s">
        <v>13296</v>
      </c>
      <c r="K2208" s="4837">
        <v>61184.47825742748</v>
      </c>
      <c r="L2208" s="4834">
        <f t="shared" si="141"/>
        <v>6.0103251610472085E-6</v>
      </c>
      <c r="S2208" s="270" t="s">
        <v>13286</v>
      </c>
      <c r="T2208" s="4838">
        <v>869.99920214707311</v>
      </c>
      <c r="U2208" s="4839">
        <f t="shared" si="140"/>
        <v>9.947402038192046E-4</v>
      </c>
    </row>
    <row r="2209" spans="1:21">
      <c r="A2209" s="270" t="s">
        <v>13288</v>
      </c>
      <c r="B2209" s="3305">
        <v>6810</v>
      </c>
      <c r="C2209" s="4834">
        <f t="shared" si="138"/>
        <v>3.2067364854251244E-4</v>
      </c>
      <c r="D2209" s="3" t="str">
        <f t="shared" si="139"/>
        <v>2020</v>
      </c>
      <c r="J2209" s="270" t="s">
        <v>13297</v>
      </c>
      <c r="K2209" s="4837">
        <v>61395.065647451993</v>
      </c>
      <c r="L2209" s="4834">
        <f t="shared" si="141"/>
        <v>5.6676194258802699E-6</v>
      </c>
      <c r="S2209" s="270" t="s">
        <v>13287</v>
      </c>
      <c r="T2209" s="4838">
        <v>847.49367954903357</v>
      </c>
      <c r="U2209" s="4839">
        <f t="shared" si="140"/>
        <v>1.1655157342029111E-3</v>
      </c>
    </row>
    <row r="2210" spans="1:21">
      <c r="A2210" s="270" t="s">
        <v>13289</v>
      </c>
      <c r="B2210" s="3305">
        <v>6725.5</v>
      </c>
      <c r="C2210" s="4834">
        <f t="shared" si="138"/>
        <v>3.239319509303746E-4</v>
      </c>
      <c r="D2210" s="3" t="str">
        <f t="shared" si="139"/>
        <v>2020</v>
      </c>
      <c r="J2210" s="270" t="s">
        <v>13298</v>
      </c>
      <c r="K2210" s="4837">
        <v>61517.238484412781</v>
      </c>
      <c r="L2210" s="4834">
        <f t="shared" si="141"/>
        <v>5.4758657623470832E-6</v>
      </c>
      <c r="S2210" s="270" t="s">
        <v>13288</v>
      </c>
      <c r="T2210" s="4838">
        <v>781.26314161765993</v>
      </c>
      <c r="U2210" s="4839">
        <f t="shared" si="140"/>
        <v>1.6864643039337761E-3</v>
      </c>
    </row>
    <row r="2211" spans="1:21">
      <c r="A2211" s="270" t="s">
        <v>13290</v>
      </c>
      <c r="B2211" s="3305">
        <v>6538.5</v>
      </c>
      <c r="C2211" s="4834">
        <f t="shared" si="138"/>
        <v>3.2569406104788752E-4</v>
      </c>
      <c r="D2211" s="3" t="str">
        <f t="shared" si="139"/>
        <v>2020</v>
      </c>
      <c r="J2211" s="270" t="s">
        <v>13299</v>
      </c>
      <c r="K2211" s="4837">
        <v>60588.081908579436</v>
      </c>
      <c r="L2211" s="4834">
        <f t="shared" si="141"/>
        <v>7.0675058011386939E-6</v>
      </c>
      <c r="S2211" s="270" t="s">
        <v>13289</v>
      </c>
      <c r="T2211" s="4838">
        <v>752.32746970589471</v>
      </c>
      <c r="U2211" s="4839">
        <f t="shared" si="140"/>
        <v>1.8940230411372526E-3</v>
      </c>
    </row>
    <row r="2212" spans="1:21">
      <c r="A2212" s="270" t="s">
        <v>13291</v>
      </c>
      <c r="B2212" s="3305">
        <v>6529</v>
      </c>
      <c r="C2212" s="4834">
        <f t="shared" si="138"/>
        <v>3.2558089146877663E-4</v>
      </c>
      <c r="D2212" s="3" t="str">
        <f t="shared" si="139"/>
        <v>2020</v>
      </c>
      <c r="J2212" s="270" t="s">
        <v>13300</v>
      </c>
      <c r="K2212" s="4837">
        <v>60682.926610956885</v>
      </c>
      <c r="L2212" s="4834">
        <f t="shared" si="141"/>
        <v>6.8906084402707887E-6</v>
      </c>
      <c r="S2212" s="270" t="s">
        <v>13290</v>
      </c>
      <c r="T2212" s="4838">
        <v>714.3895887549138</v>
      </c>
      <c r="U2212" s="4839">
        <f t="shared" si="140"/>
        <v>2.1150962766667641E-3</v>
      </c>
    </row>
    <row r="2213" spans="1:21">
      <c r="A2213" s="270" t="s">
        <v>13292</v>
      </c>
      <c r="B2213" s="3305">
        <v>6571.5</v>
      </c>
      <c r="C2213" s="4834">
        <f t="shared" si="138"/>
        <v>3.2593485527179447E-4</v>
      </c>
      <c r="D2213" s="3" t="str">
        <f t="shared" si="139"/>
        <v>2020</v>
      </c>
      <c r="J2213" s="270" t="s">
        <v>13301</v>
      </c>
      <c r="K2213" s="4837">
        <v>61833.92333811376</v>
      </c>
      <c r="L2213" s="4834">
        <f t="shared" si="141"/>
        <v>5.0023546446605137E-6</v>
      </c>
      <c r="S2213" s="270" t="s">
        <v>13291</v>
      </c>
      <c r="T2213" s="4838">
        <v>727.57139484805123</v>
      </c>
      <c r="U2213" s="4839">
        <f t="shared" si="140"/>
        <v>2.0464698112632926E-3</v>
      </c>
    </row>
    <row r="2214" spans="1:21">
      <c r="A2214" s="270" t="s">
        <v>13293</v>
      </c>
      <c r="B2214" s="3305">
        <v>6546</v>
      </c>
      <c r="C2214" s="4834">
        <f t="shared" si="138"/>
        <v>3.2576956805329375E-4</v>
      </c>
      <c r="D2214" s="3" t="str">
        <f t="shared" si="139"/>
        <v>2020</v>
      </c>
      <c r="J2214" s="270" t="s">
        <v>13302</v>
      </c>
      <c r="K2214" s="4837">
        <v>61906.262517893178</v>
      </c>
      <c r="L2214" s="4834">
        <f t="shared" si="141"/>
        <v>4.8988550252667167E-6</v>
      </c>
      <c r="S2214" s="270" t="s">
        <v>13292</v>
      </c>
      <c r="T2214" s="4838">
        <v>735.93058895589445</v>
      </c>
      <c r="U2214" s="4839">
        <f t="shared" si="140"/>
        <v>1.9981746162883018E-3</v>
      </c>
    </row>
    <row r="2215" spans="1:21">
      <c r="A2215" s="270" t="s">
        <v>13294</v>
      </c>
      <c r="B2215" s="3305">
        <v>6610</v>
      </c>
      <c r="C2215" s="4834">
        <f t="shared" si="138"/>
        <v>3.2591638864016154E-4</v>
      </c>
      <c r="D2215" s="3" t="str">
        <f t="shared" si="139"/>
        <v>2020</v>
      </c>
      <c r="J2215" s="270" t="s">
        <v>13303</v>
      </c>
      <c r="K2215" s="4837">
        <v>60806.706985246099</v>
      </c>
      <c r="L2215" s="4834">
        <f t="shared" si="141"/>
        <v>6.6647959887164988E-6</v>
      </c>
      <c r="S2215" s="270" t="s">
        <v>13293</v>
      </c>
      <c r="T2215" s="4838">
        <v>766.47379819609102</v>
      </c>
      <c r="U2215" s="4839">
        <f t="shared" si="140"/>
        <v>1.7957160687514986E-3</v>
      </c>
    </row>
    <row r="2216" spans="1:21">
      <c r="A2216" s="270" t="s">
        <v>13295</v>
      </c>
      <c r="B2216" s="3305">
        <v>6614</v>
      </c>
      <c r="C2216" s="4834">
        <f t="shared" si="138"/>
        <v>3.2589597587117801E-4</v>
      </c>
      <c r="D2216" s="3" t="str">
        <f t="shared" si="139"/>
        <v>2020</v>
      </c>
      <c r="J2216" s="270" t="s">
        <v>13304</v>
      </c>
      <c r="K2216" s="4837">
        <v>61409.533483407875</v>
      </c>
      <c r="L2216" s="4834">
        <f t="shared" si="141"/>
        <v>5.644643242470853E-6</v>
      </c>
      <c r="S2216" s="270" t="s">
        <v>13294</v>
      </c>
      <c r="T2216" s="4838">
        <v>762.937216073542</v>
      </c>
      <c r="U2216" s="4839">
        <f t="shared" si="140"/>
        <v>1.8209286852991669E-3</v>
      </c>
    </row>
    <row r="2217" spans="1:21">
      <c r="A2217" s="270" t="s">
        <v>13296</v>
      </c>
      <c r="B2217" s="3305">
        <v>6409.5</v>
      </c>
      <c r="C2217" s="4834">
        <f t="shared" si="138"/>
        <v>3.2249690781432596E-4</v>
      </c>
      <c r="D2217" s="3" t="str">
        <f t="shared" si="139"/>
        <v>2020</v>
      </c>
      <c r="J2217" s="270" t="s">
        <v>13305</v>
      </c>
      <c r="K2217" s="4837">
        <v>60825.99743318728</v>
      </c>
      <c r="L2217" s="4834">
        <f t="shared" si="141"/>
        <v>6.6301159443938937E-6</v>
      </c>
      <c r="S2217" s="270" t="s">
        <v>13295</v>
      </c>
      <c r="T2217" s="4838">
        <v>759.40063395099298</v>
      </c>
      <c r="U2217" s="4839">
        <f t="shared" si="140"/>
        <v>1.8457347626512092E-3</v>
      </c>
    </row>
    <row r="2218" spans="1:21">
      <c r="A2218" s="270" t="s">
        <v>13297</v>
      </c>
      <c r="B2218" s="3305">
        <v>6507.5</v>
      </c>
      <c r="C2218" s="4834">
        <f t="shared" si="138"/>
        <v>3.2525254496903371E-4</v>
      </c>
      <c r="D2218" s="3" t="str">
        <f t="shared" si="139"/>
        <v>2020</v>
      </c>
      <c r="J2218" s="270" t="s">
        <v>13306</v>
      </c>
      <c r="K2218" s="4837">
        <v>61248.77975056474</v>
      </c>
      <c r="L2218" s="4834">
        <f t="shared" si="141"/>
        <v>5.9040296681687122E-6</v>
      </c>
      <c r="S2218" s="270" t="s">
        <v>13296</v>
      </c>
      <c r="T2218" s="4838">
        <v>767.43832059315002</v>
      </c>
      <c r="U2218" s="4839">
        <f t="shared" si="140"/>
        <v>1.7887727934276689E-3</v>
      </c>
    </row>
    <row r="2219" spans="1:21">
      <c r="A2219" s="270" t="s">
        <v>13298</v>
      </c>
      <c r="B2219" s="3305">
        <v>6509</v>
      </c>
      <c r="C2219" s="4834">
        <f t="shared" si="138"/>
        <v>3.252786995102186E-4</v>
      </c>
      <c r="D2219" s="3" t="str">
        <f t="shared" si="139"/>
        <v>2020</v>
      </c>
      <c r="J2219" s="270" t="s">
        <v>13307</v>
      </c>
      <c r="K2219" s="4837">
        <v>61266.46266117748</v>
      </c>
      <c r="L2219" s="4834">
        <f t="shared" si="141"/>
        <v>5.8750543487045974E-6</v>
      </c>
      <c r="S2219" s="270" t="s">
        <v>13297</v>
      </c>
      <c r="T2219" s="4838">
        <v>769.04585792158139</v>
      </c>
      <c r="U2219" s="4839">
        <f t="shared" si="140"/>
        <v>1.7771392603718014E-3</v>
      </c>
    </row>
    <row r="2220" spans="1:21">
      <c r="A2220" s="270" t="s">
        <v>13299</v>
      </c>
      <c r="B2220" s="3305">
        <v>6525</v>
      </c>
      <c r="C2220" s="4834">
        <f t="shared" si="138"/>
        <v>3.2552738500870926E-4</v>
      </c>
      <c r="D2220" s="3" t="str">
        <f t="shared" si="139"/>
        <v>2020</v>
      </c>
      <c r="J2220" s="270" t="s">
        <v>13308</v>
      </c>
      <c r="K2220" s="4837">
        <v>61034.977285883368</v>
      </c>
      <c r="L2220" s="4834">
        <f t="shared" si="141"/>
        <v>6.2631540970153604E-6</v>
      </c>
      <c r="S2220" s="270" t="s">
        <v>13298</v>
      </c>
      <c r="T2220" s="4838">
        <v>781.26314161765993</v>
      </c>
      <c r="U2220" s="4839">
        <f t="shared" si="140"/>
        <v>1.6864643039337761E-3</v>
      </c>
    </row>
    <row r="2221" spans="1:21">
      <c r="A2221" s="270" t="s">
        <v>13300</v>
      </c>
      <c r="B2221" s="3305">
        <v>6611.5</v>
      </c>
      <c r="C2221" s="4834">
        <f t="shared" si="138"/>
        <v>3.2590914166730363E-4</v>
      </c>
      <c r="D2221" s="3" t="str">
        <f t="shared" si="139"/>
        <v>2020</v>
      </c>
      <c r="J2221" s="270" t="s">
        <v>13309</v>
      </c>
      <c r="K2221" s="4837">
        <v>61862.859010025531</v>
      </c>
      <c r="L2221" s="4834">
        <f t="shared" si="141"/>
        <v>4.9607498462974716E-6</v>
      </c>
      <c r="S2221" s="270" t="s">
        <v>13299</v>
      </c>
      <c r="T2221" s="4838">
        <v>756.50706675981633</v>
      </c>
      <c r="U2221" s="4839">
        <f t="shared" si="140"/>
        <v>1.8657100091691301E-3</v>
      </c>
    </row>
    <row r="2222" spans="1:21">
      <c r="A2222" s="270" t="s">
        <v>13301</v>
      </c>
      <c r="B2222" s="3305">
        <v>6740.5</v>
      </c>
      <c r="C2222" s="4834">
        <f t="shared" si="138"/>
        <v>3.2346369062849972E-4</v>
      </c>
      <c r="D2222" s="3" t="str">
        <f t="shared" si="139"/>
        <v>2020</v>
      </c>
      <c r="J2222" s="270" t="s">
        <v>13310</v>
      </c>
      <c r="K2222" s="4837">
        <v>61116.961689633361</v>
      </c>
      <c r="L2222" s="4834">
        <f t="shared" si="141"/>
        <v>6.1235154883532739E-6</v>
      </c>
      <c r="S2222" s="270" t="s">
        <v>13300</v>
      </c>
      <c r="T2222" s="4838">
        <v>770.33188778432645</v>
      </c>
      <c r="U2222" s="4839">
        <f t="shared" si="140"/>
        <v>1.7677785930205986E-3</v>
      </c>
    </row>
    <row r="2223" spans="1:21">
      <c r="A2223" s="270" t="s">
        <v>13302</v>
      </c>
      <c r="B2223" s="3305">
        <v>6769</v>
      </c>
      <c r="C2223" s="4834">
        <f t="shared" si="138"/>
        <v>3.22442393720132E-4</v>
      </c>
      <c r="D2223" s="3" t="str">
        <f t="shared" si="139"/>
        <v>2020</v>
      </c>
      <c r="J2223" s="270" t="s">
        <v>13311</v>
      </c>
      <c r="K2223" s="4837">
        <v>61203.76870536866</v>
      </c>
      <c r="L2223" s="4834">
        <f t="shared" si="141"/>
        <v>5.9782828595827957E-6</v>
      </c>
      <c r="S2223" s="270" t="s">
        <v>13301</v>
      </c>
      <c r="T2223" s="4838">
        <v>781.90615654903252</v>
      </c>
      <c r="U2223" s="4839">
        <f t="shared" si="140"/>
        <v>1.6815931873079976E-3</v>
      </c>
    </row>
    <row r="2224" spans="1:21">
      <c r="A2224" s="270" t="s">
        <v>13303</v>
      </c>
      <c r="B2224" s="3305">
        <v>6699.5</v>
      </c>
      <c r="C2224" s="4834">
        <f t="shared" si="138"/>
        <v>3.2462967220720353E-4</v>
      </c>
      <c r="D2224" s="3" t="str">
        <f t="shared" si="139"/>
        <v>2020</v>
      </c>
      <c r="J2224" s="270" t="s">
        <v>13312</v>
      </c>
      <c r="K2224" s="4837">
        <v>61036.584823211793</v>
      </c>
      <c r="L2224" s="4834">
        <f t="shared" si="141"/>
        <v>6.2603928406031286E-6</v>
      </c>
      <c r="S2224" s="270" t="s">
        <v>13302</v>
      </c>
      <c r="T2224" s="4838">
        <v>805.69770900981723</v>
      </c>
      <c r="U2224" s="4839">
        <f t="shared" si="140"/>
        <v>1.4965220260794044E-3</v>
      </c>
    </row>
    <row r="2225" spans="1:21">
      <c r="A2225" s="270" t="s">
        <v>13304</v>
      </c>
      <c r="B2225" s="3305">
        <v>6702</v>
      </c>
      <c r="C2225" s="4834">
        <f t="shared" si="138"/>
        <v>3.2456888348452779E-4</v>
      </c>
      <c r="D2225" s="3" t="str">
        <f t="shared" si="139"/>
        <v>2020</v>
      </c>
      <c r="J2225" s="270" t="s">
        <v>13313</v>
      </c>
      <c r="K2225" s="4837">
        <v>61269.677735834346</v>
      </c>
      <c r="L2225" s="4834">
        <f t="shared" si="141"/>
        <v>5.8697979323404901E-6</v>
      </c>
      <c r="S2225" s="270" t="s">
        <v>13303</v>
      </c>
      <c r="T2225" s="4838">
        <v>801.83961942158192</v>
      </c>
      <c r="U2225" s="4839">
        <f t="shared" si="140"/>
        <v>1.5270199212745045E-3</v>
      </c>
    </row>
    <row r="2226" spans="1:21">
      <c r="A2226" s="270" t="s">
        <v>13305</v>
      </c>
      <c r="B2226" s="3305">
        <v>6683.5</v>
      </c>
      <c r="C2226" s="4834">
        <f t="shared" si="138"/>
        <v>3.2498687717925939E-4</v>
      </c>
      <c r="D2226" s="3" t="str">
        <f t="shared" si="139"/>
        <v>2020</v>
      </c>
      <c r="J2226" s="270" t="s">
        <v>13314</v>
      </c>
      <c r="K2226" s="4837">
        <v>60120.288546005897</v>
      </c>
      <c r="L2226" s="4834">
        <f t="shared" si="141"/>
        <v>7.9901638268519492E-6</v>
      </c>
      <c r="S2226" s="270" t="s">
        <v>13304</v>
      </c>
      <c r="T2226" s="4838">
        <v>777.40505202942461</v>
      </c>
      <c r="U2226" s="4839">
        <f t="shared" si="140"/>
        <v>1.7154980651675417E-3</v>
      </c>
    </row>
    <row r="2227" spans="1:21">
      <c r="A2227" s="270" t="s">
        <v>13306</v>
      </c>
      <c r="B2227" s="3305">
        <v>6728</v>
      </c>
      <c r="C2227" s="4834">
        <f t="shared" si="138"/>
        <v>3.2385723878990049E-4</v>
      </c>
      <c r="D2227" s="3" t="str">
        <f t="shared" si="139"/>
        <v>2020</v>
      </c>
      <c r="J2227" s="270" t="s">
        <v>13315</v>
      </c>
      <c r="K2227" s="4837">
        <v>60131.541307304913</v>
      </c>
      <c r="L2227" s="4834">
        <f t="shared" si="141"/>
        <v>7.9669751813161048E-6</v>
      </c>
      <c r="S2227" s="270" t="s">
        <v>13305</v>
      </c>
      <c r="T2227" s="4838">
        <v>769.68887285295398</v>
      </c>
      <c r="U2227" s="4839">
        <f t="shared" si="140"/>
        <v>1.7724648165459024E-3</v>
      </c>
    </row>
    <row r="2228" spans="1:21">
      <c r="A2228" s="270" t="s">
        <v>13307</v>
      </c>
      <c r="B2228" s="3305">
        <v>6755</v>
      </c>
      <c r="C2228" s="4834">
        <f t="shared" si="138"/>
        <v>3.2296556417323377E-4</v>
      </c>
      <c r="D2228" s="3" t="str">
        <f t="shared" si="139"/>
        <v>2020</v>
      </c>
      <c r="J2228" s="270" t="s">
        <v>13316</v>
      </c>
      <c r="K2228" s="4837">
        <v>60502.882430172562</v>
      </c>
      <c r="L2228" s="4834">
        <f t="shared" si="141"/>
        <v>7.2293051703387771E-6</v>
      </c>
      <c r="S2228" s="270" t="s">
        <v>13306</v>
      </c>
      <c r="T2228" s="4838">
        <v>783.19218641177758</v>
      </c>
      <c r="U2228" s="4839">
        <f t="shared" si="140"/>
        <v>1.6718248164887684E-3</v>
      </c>
    </row>
    <row r="2229" spans="1:21">
      <c r="A2229" s="270" t="s">
        <v>13308</v>
      </c>
      <c r="B2229" s="3305">
        <v>6814</v>
      </c>
      <c r="C2229" s="4834">
        <f t="shared" si="138"/>
        <v>3.2048235150134065E-4</v>
      </c>
      <c r="D2229" s="3" t="str">
        <f t="shared" si="139"/>
        <v>2020</v>
      </c>
      <c r="J2229" s="270" t="s">
        <v>13317</v>
      </c>
      <c r="K2229" s="4837">
        <v>60761.695940050027</v>
      </c>
      <c r="L2229" s="4834">
        <f t="shared" si="141"/>
        <v>6.7462511360294724E-6</v>
      </c>
      <c r="S2229" s="270" t="s">
        <v>13307</v>
      </c>
      <c r="T2229" s="4838">
        <v>798.62454476471896</v>
      </c>
      <c r="U2229" s="4839">
        <f t="shared" si="140"/>
        <v>1.552327596510148E-3</v>
      </c>
    </row>
    <row r="2230" spans="1:21">
      <c r="A2230" s="270" t="s">
        <v>13309</v>
      </c>
      <c r="B2230" s="3305">
        <v>6953</v>
      </c>
      <c r="C2230" s="4834">
        <f t="shared" si="138"/>
        <v>3.1182929737114844E-4</v>
      </c>
      <c r="D2230" s="3" t="str">
        <f t="shared" si="139"/>
        <v>2020</v>
      </c>
      <c r="J2230" s="270" t="s">
        <v>13318</v>
      </c>
      <c r="K2230" s="4837">
        <v>61353.269676912772</v>
      </c>
      <c r="L2230" s="4834">
        <f t="shared" si="141"/>
        <v>5.7344029421816348E-6</v>
      </c>
      <c r="S2230" s="270" t="s">
        <v>13308</v>
      </c>
      <c r="T2230" s="4838">
        <v>791.87288798530722</v>
      </c>
      <c r="U2230" s="4839">
        <f t="shared" si="140"/>
        <v>1.6050675055757472E-3</v>
      </c>
    </row>
    <row r="2231" spans="1:21">
      <c r="A2231" s="270" t="s">
        <v>13310</v>
      </c>
      <c r="B2231" s="3305">
        <v>6886</v>
      </c>
      <c r="C2231" s="4834">
        <f t="shared" si="138"/>
        <v>3.1647984490088449E-4</v>
      </c>
      <c r="D2231" s="3" t="str">
        <f t="shared" si="139"/>
        <v>2020</v>
      </c>
      <c r="J2231" s="270" t="s">
        <v>13319</v>
      </c>
      <c r="K2231" s="4837">
        <v>61091.241092378463</v>
      </c>
      <c r="L2231" s="4834">
        <f t="shared" si="141"/>
        <v>6.1670638517571001E-6</v>
      </c>
      <c r="S2231" s="270" t="s">
        <v>13309</v>
      </c>
      <c r="T2231" s="4838">
        <v>804.41167914707216</v>
      </c>
      <c r="U2231" s="4839">
        <f t="shared" si="140"/>
        <v>1.506701779456592E-3</v>
      </c>
    </row>
    <row r="2232" spans="1:21">
      <c r="A2232" s="270" t="s">
        <v>13311</v>
      </c>
      <c r="B2232" s="3305">
        <v>6879.5</v>
      </c>
      <c r="C2232" s="4834">
        <f t="shared" si="138"/>
        <v>3.1688415212833816E-4</v>
      </c>
      <c r="D2232" s="3" t="str">
        <f t="shared" si="139"/>
        <v>2020</v>
      </c>
      <c r="J2232" s="270" t="s">
        <v>13320</v>
      </c>
      <c r="K2232" s="4837">
        <v>62322.614685956913</v>
      </c>
      <c r="L2232" s="4834">
        <f t="shared" si="141"/>
        <v>4.3356696431780446E-6</v>
      </c>
      <c r="S2232" s="270" t="s">
        <v>13310</v>
      </c>
      <c r="T2232" s="4838">
        <v>801.19660449020932</v>
      </c>
      <c r="U2232" s="4839">
        <f t="shared" si="140"/>
        <v>1.53208996126373E-3</v>
      </c>
    </row>
    <row r="2233" spans="1:21">
      <c r="A2233" s="270" t="s">
        <v>13312</v>
      </c>
      <c r="B2233" s="3305">
        <v>6806</v>
      </c>
      <c r="C2233" s="4834">
        <f t="shared" si="138"/>
        <v>3.2086163236149002E-4</v>
      </c>
      <c r="D2233" s="3" t="str">
        <f t="shared" si="139"/>
        <v>2020</v>
      </c>
      <c r="J2233" s="270" t="s">
        <v>13321</v>
      </c>
      <c r="K2233" s="4837">
        <v>62398.168940393181</v>
      </c>
      <c r="L2233" s="4834">
        <f t="shared" si="141"/>
        <v>4.2392520253669882E-6</v>
      </c>
      <c r="S2233" s="270" t="s">
        <v>13311</v>
      </c>
      <c r="T2233" s="4838">
        <v>796.05248503922883</v>
      </c>
      <c r="U2233" s="4839">
        <f t="shared" si="140"/>
        <v>1.5724898729190496E-3</v>
      </c>
    </row>
    <row r="2234" spans="1:21">
      <c r="A2234" s="270" t="s">
        <v>13313</v>
      </c>
      <c r="B2234" s="3305">
        <v>6787.5</v>
      </c>
      <c r="C2234" s="4834">
        <f t="shared" si="138"/>
        <v>3.2168779124660526E-4</v>
      </c>
      <c r="D2234" s="3" t="str">
        <f t="shared" si="139"/>
        <v>2020</v>
      </c>
      <c r="J2234" s="270" t="s">
        <v>13322</v>
      </c>
      <c r="K2234" s="4837">
        <v>60035.08906759903</v>
      </c>
      <c r="L2234" s="4834">
        <f t="shared" si="141"/>
        <v>8.1673477016392971E-6</v>
      </c>
      <c r="S2234" s="270" t="s">
        <v>13312</v>
      </c>
      <c r="T2234" s="4838">
        <v>780.62012668628745</v>
      </c>
      <c r="U2234" s="4839">
        <f t="shared" si="140"/>
        <v>1.6913264970596512E-3</v>
      </c>
    </row>
    <row r="2235" spans="1:21">
      <c r="A2235" s="270" t="s">
        <v>13314</v>
      </c>
      <c r="B2235" s="3305">
        <v>6694.5</v>
      </c>
      <c r="C2235" s="4834">
        <f t="shared" si="138"/>
        <v>3.2474721867346601E-4</v>
      </c>
      <c r="D2235" s="3" t="str">
        <f t="shared" si="139"/>
        <v>2020</v>
      </c>
      <c r="J2235" s="270" t="s">
        <v>13323</v>
      </c>
      <c r="K2235" s="4837">
        <v>60401.607578481387</v>
      </c>
      <c r="L2235" s="4834">
        <f t="shared" si="141"/>
        <v>7.4252223974416103E-6</v>
      </c>
      <c r="S2235" s="270" t="s">
        <v>13313</v>
      </c>
      <c r="T2235" s="4838">
        <v>785.76424613726795</v>
      </c>
      <c r="U2235" s="4839">
        <f t="shared" si="140"/>
        <v>1.6521879490063963E-3</v>
      </c>
    </row>
    <row r="2236" spans="1:21">
      <c r="A2236" s="270" t="s">
        <v>13315</v>
      </c>
      <c r="B2236" s="3305">
        <v>6692</v>
      </c>
      <c r="C2236" s="4834">
        <f t="shared" si="138"/>
        <v>3.2480397494948922E-4</v>
      </c>
      <c r="D2236" s="3" t="str">
        <f t="shared" si="139"/>
        <v>2020</v>
      </c>
      <c r="J2236" s="270" t="s">
        <v>13324</v>
      </c>
      <c r="K2236" s="4837">
        <v>59830.931826888249</v>
      </c>
      <c r="L2236" s="4834">
        <f t="shared" si="141"/>
        <v>8.603594096578243E-6</v>
      </c>
      <c r="S2236" s="270" t="s">
        <v>13314</v>
      </c>
      <c r="T2236" s="4838">
        <v>769.36736538726757</v>
      </c>
      <c r="U2236" s="4839">
        <f t="shared" si="140"/>
        <v>1.7748035208323867E-3</v>
      </c>
    </row>
    <row r="2237" spans="1:21">
      <c r="A2237" s="270" t="s">
        <v>13316</v>
      </c>
      <c r="B2237" s="3305">
        <v>6694.5</v>
      </c>
      <c r="C2237" s="4834">
        <f t="shared" si="138"/>
        <v>3.2474721867346601E-4</v>
      </c>
      <c r="D2237" s="3" t="str">
        <f t="shared" si="139"/>
        <v>2020</v>
      </c>
      <c r="J2237" s="270" t="s">
        <v>13325</v>
      </c>
      <c r="K2237" s="4837">
        <v>60277.827204192174</v>
      </c>
      <c r="L2237" s="4834">
        <f t="shared" si="141"/>
        <v>7.6700186725523021E-6</v>
      </c>
      <c r="S2237" s="270" t="s">
        <v>13315</v>
      </c>
      <c r="T2237" s="4838">
        <v>740.11018600981618</v>
      </c>
      <c r="U2237" s="4839">
        <f t="shared" si="140"/>
        <v>1.9727527278582107E-3</v>
      </c>
    </row>
    <row r="2238" spans="1:21">
      <c r="A2238" s="270" t="s">
        <v>13317</v>
      </c>
      <c r="B2238" s="3305">
        <v>6712.5</v>
      </c>
      <c r="C2238" s="4834">
        <f t="shared" si="138"/>
        <v>3.24298918212171E-4</v>
      </c>
      <c r="D2238" s="3" t="str">
        <f t="shared" si="139"/>
        <v>2020</v>
      </c>
      <c r="J2238" s="270" t="s">
        <v>13326</v>
      </c>
      <c r="K2238" s="4837">
        <v>60793.84668661865</v>
      </c>
      <c r="L2238" s="4834">
        <f t="shared" si="141"/>
        <v>6.687992372763336E-6</v>
      </c>
      <c r="S2238" s="270" t="s">
        <v>13316</v>
      </c>
      <c r="T2238" s="4838">
        <v>759.72214141667916</v>
      </c>
      <c r="U2238" s="4839">
        <f t="shared" si="140"/>
        <v>1.8434971516943302E-3</v>
      </c>
    </row>
    <row r="2239" spans="1:21">
      <c r="A2239" s="270" t="s">
        <v>13318</v>
      </c>
      <c r="B2239" s="3305">
        <v>6791.5</v>
      </c>
      <c r="C2239" s="4834">
        <f t="shared" si="138"/>
        <v>3.2151520697849877E-4</v>
      </c>
      <c r="D2239" s="3" t="str">
        <f t="shared" si="139"/>
        <v>2020</v>
      </c>
      <c r="J2239" s="270" t="s">
        <v>13327</v>
      </c>
      <c r="K2239" s="4837">
        <v>60623.447729804917</v>
      </c>
      <c r="L2239" s="4834">
        <f t="shared" si="141"/>
        <v>7.0011490009843985E-6</v>
      </c>
      <c r="S2239" s="270" t="s">
        <v>13317</v>
      </c>
      <c r="T2239" s="4838">
        <v>770.97490271569905</v>
      </c>
      <c r="U2239" s="4839">
        <f t="shared" si="140"/>
        <v>1.763080748411041E-3</v>
      </c>
    </row>
    <row r="2240" spans="1:21">
      <c r="A2240" s="270" t="s">
        <v>13319</v>
      </c>
      <c r="B2240" s="3305">
        <v>6748</v>
      </c>
      <c r="C2240" s="4834">
        <f t="shared" si="138"/>
        <v>3.2321160736161045E-4</v>
      </c>
      <c r="D2240" s="3" t="str">
        <f t="shared" si="139"/>
        <v>2020</v>
      </c>
      <c r="J2240" s="270" t="s">
        <v>13328</v>
      </c>
      <c r="K2240" s="4837">
        <v>60734.367805466689</v>
      </c>
      <c r="L2240" s="4834">
        <f t="shared" si="141"/>
        <v>6.7960725913842068E-6</v>
      </c>
      <c r="S2240" s="270" t="s">
        <v>13318</v>
      </c>
      <c r="T2240" s="4838">
        <v>777.08354456373843</v>
      </c>
      <c r="U2240" s="4839">
        <f t="shared" si="140"/>
        <v>1.7179019714871774E-3</v>
      </c>
    </row>
    <row r="2241" spans="1:21">
      <c r="A2241" s="270" t="s">
        <v>13320</v>
      </c>
      <c r="B2241" s="3305">
        <v>6798</v>
      </c>
      <c r="C2241" s="4834">
        <f t="shared" si="138"/>
        <v>3.212276365980347E-4</v>
      </c>
      <c r="D2241" s="3" t="str">
        <f t="shared" si="139"/>
        <v>2020</v>
      </c>
      <c r="J2241" s="270" t="s">
        <v>13329</v>
      </c>
      <c r="K2241" s="4837">
        <v>60318.015637402954</v>
      </c>
      <c r="L2241" s="4834">
        <f t="shared" si="141"/>
        <v>7.5898918859554947E-6</v>
      </c>
      <c r="S2241" s="270" t="s">
        <v>13319</v>
      </c>
      <c r="T2241" s="4838">
        <v>770.97490271569905</v>
      </c>
      <c r="U2241" s="4839">
        <f t="shared" si="140"/>
        <v>1.763080748411041E-3</v>
      </c>
    </row>
    <row r="2242" spans="1:21">
      <c r="A2242" s="270" t="s">
        <v>13321</v>
      </c>
      <c r="B2242" s="3305">
        <v>6938.5</v>
      </c>
      <c r="C2242" s="4834">
        <f t="shared" si="138"/>
        <v>3.1290943347183763E-4</v>
      </c>
      <c r="D2242" s="3" t="str">
        <f t="shared" si="139"/>
        <v>2020</v>
      </c>
      <c r="J2242" s="270" t="s">
        <v>13330</v>
      </c>
      <c r="K2242" s="4837">
        <v>59715.189139241178</v>
      </c>
      <c r="L2242" s="4834">
        <f t="shared" si="141"/>
        <v>8.858295953276765E-6</v>
      </c>
      <c r="S2242" s="270" t="s">
        <v>13320</v>
      </c>
      <c r="T2242" s="4838">
        <v>789.94384319118944</v>
      </c>
      <c r="U2242" s="4839">
        <f t="shared" si="140"/>
        <v>1.6200157105626626E-3</v>
      </c>
    </row>
    <row r="2243" spans="1:21">
      <c r="A2243" s="270" t="s">
        <v>13322</v>
      </c>
      <c r="B2243" s="3305">
        <v>7034</v>
      </c>
      <c r="C2243" s="4834">
        <f t="shared" si="138"/>
        <v>3.0507489091322954E-4</v>
      </c>
      <c r="D2243" s="3" t="str">
        <f t="shared" si="139"/>
        <v>2020</v>
      </c>
      <c r="J2243" s="270" t="s">
        <v>13331</v>
      </c>
      <c r="K2243" s="4837">
        <v>60305.155338775505</v>
      </c>
      <c r="L2243" s="4834">
        <f t="shared" si="141"/>
        <v>7.6154645460751607E-6</v>
      </c>
      <c r="S2243" s="270" t="s">
        <v>13321</v>
      </c>
      <c r="T2243" s="4838">
        <v>828.84624653922947</v>
      </c>
      <c r="U2243" s="4839">
        <f t="shared" si="140"/>
        <v>1.3123274091931913E-3</v>
      </c>
    </row>
    <row r="2244" spans="1:21">
      <c r="A2244" s="270" t="s">
        <v>13323</v>
      </c>
      <c r="B2244" s="3305">
        <v>6865.5</v>
      </c>
      <c r="C2244" s="4834">
        <f t="shared" ref="C2244:C2307" si="142">_xlfn.NORM.DIST(B2244,$F$4,$F$3,FALSE)</f>
        <v>3.1772628236506097E-4</v>
      </c>
      <c r="D2244" s="3" t="str">
        <f t="shared" ref="D2244:D2307" si="143">LEFT(A2244,4)</f>
        <v>2020</v>
      </c>
      <c r="J2244" s="270" t="s">
        <v>13332</v>
      </c>
      <c r="K2244" s="4837">
        <v>59163.803835589213</v>
      </c>
      <c r="L2244" s="4834">
        <f t="shared" si="141"/>
        <v>1.0146175422540173E-5</v>
      </c>
      <c r="S2244" s="270" t="s">
        <v>13322</v>
      </c>
      <c r="T2244" s="4838">
        <v>807.30524633824859</v>
      </c>
      <c r="U2244" s="4839">
        <f t="shared" ref="U2244:U2307" si="144">_xlfn.NORM.DIST(T2244,$X$4,$X$3,FALSE)</f>
        <v>1.4837803288979569E-3</v>
      </c>
    </row>
    <row r="2245" spans="1:21">
      <c r="A2245" s="270" t="s">
        <v>13324</v>
      </c>
      <c r="B2245" s="3305">
        <v>6912.5</v>
      </c>
      <c r="C2245" s="4834">
        <f t="shared" si="142"/>
        <v>3.1474495503044464E-4</v>
      </c>
      <c r="D2245" s="3" t="str">
        <f t="shared" si="143"/>
        <v>2020</v>
      </c>
      <c r="J2245" s="270" t="s">
        <v>13333</v>
      </c>
      <c r="K2245" s="4837">
        <v>57858.483524902913</v>
      </c>
      <c r="L2245" s="4834">
        <f t="shared" ref="L2245:L2308" si="145">_xlfn.NORM.DIST(K2245,$O$4,$O$3,FALSE)</f>
        <v>1.3695835060649828E-5</v>
      </c>
      <c r="S2245" s="270" t="s">
        <v>13323</v>
      </c>
      <c r="T2245" s="4838">
        <v>778.04806696079709</v>
      </c>
      <c r="U2245" s="4839">
        <f t="shared" si="144"/>
        <v>1.7106828663484527E-3</v>
      </c>
    </row>
    <row r="2246" spans="1:21">
      <c r="A2246" s="270" t="s">
        <v>13325</v>
      </c>
      <c r="B2246" s="3305">
        <v>6904</v>
      </c>
      <c r="C2246" s="4834">
        <f t="shared" si="142"/>
        <v>3.1531649420516225E-4</v>
      </c>
      <c r="D2246" s="3" t="str">
        <f t="shared" si="143"/>
        <v>2020</v>
      </c>
      <c r="J2246" s="270" t="s">
        <v>13334</v>
      </c>
      <c r="K2246" s="4837">
        <v>58199.281438530372</v>
      </c>
      <c r="L2246" s="4834">
        <f t="shared" si="145"/>
        <v>1.2700790433813319E-5</v>
      </c>
      <c r="S2246" s="270" t="s">
        <v>13324</v>
      </c>
      <c r="T2246" s="4838">
        <v>778.3695744264835</v>
      </c>
      <c r="U2246" s="4839">
        <f t="shared" si="144"/>
        <v>1.7082716135204958E-3</v>
      </c>
    </row>
    <row r="2247" spans="1:21">
      <c r="A2247" s="270" t="s">
        <v>13326</v>
      </c>
      <c r="B2247" s="3305">
        <v>6926</v>
      </c>
      <c r="C2247" s="4834">
        <f t="shared" si="142"/>
        <v>3.1380823214574626E-4</v>
      </c>
      <c r="D2247" s="3" t="str">
        <f t="shared" si="143"/>
        <v>2020</v>
      </c>
      <c r="J2247" s="270" t="s">
        <v>13335</v>
      </c>
      <c r="K2247" s="4837">
        <v>58109.259348138214</v>
      </c>
      <c r="L2247" s="4834">
        <f t="shared" si="145"/>
        <v>1.2958959480059311E-5</v>
      </c>
      <c r="S2247" s="270" t="s">
        <v>13325</v>
      </c>
      <c r="T2247" s="4838">
        <v>778.69108189216968</v>
      </c>
      <c r="U2247" s="4839">
        <f t="shared" si="144"/>
        <v>1.7058579515228899E-3</v>
      </c>
    </row>
    <row r="2248" spans="1:21">
      <c r="A2248" s="270" t="s">
        <v>13327</v>
      </c>
      <c r="B2248" s="3305">
        <v>7113</v>
      </c>
      <c r="C2248" s="4834">
        <f t="shared" si="142"/>
        <v>2.9737086100545561E-4</v>
      </c>
      <c r="D2248" s="3" t="str">
        <f t="shared" si="143"/>
        <v>2020</v>
      </c>
      <c r="J2248" s="270" t="s">
        <v>13336</v>
      </c>
      <c r="K2248" s="4837">
        <v>57205.823369559766</v>
      </c>
      <c r="L2248" s="4834">
        <f t="shared" si="145"/>
        <v>1.5734089076950215E-5</v>
      </c>
      <c r="S2248" s="270" t="s">
        <v>13326</v>
      </c>
      <c r="T2248" s="4838">
        <v>779.65560428922856</v>
      </c>
      <c r="U2248" s="4839">
        <f t="shared" si="144"/>
        <v>1.6986027087714825E-3</v>
      </c>
    </row>
    <row r="2249" spans="1:21">
      <c r="A2249" s="270" t="s">
        <v>13328</v>
      </c>
      <c r="B2249" s="3305">
        <v>7050</v>
      </c>
      <c r="C2249" s="4834">
        <f t="shared" si="142"/>
        <v>3.0360076568767749E-4</v>
      </c>
      <c r="D2249" s="3" t="str">
        <f t="shared" si="143"/>
        <v>2020</v>
      </c>
      <c r="J2249" s="270" t="s">
        <v>13337</v>
      </c>
      <c r="K2249" s="4837">
        <v>56667.298364535251</v>
      </c>
      <c r="L2249" s="4834">
        <f t="shared" si="145"/>
        <v>1.7542970271140582E-5</v>
      </c>
      <c r="S2249" s="270" t="s">
        <v>13327</v>
      </c>
      <c r="T2249" s="4838">
        <v>780.29861922060104</v>
      </c>
      <c r="U2249" s="4839">
        <f t="shared" si="144"/>
        <v>1.693754197829001E-3</v>
      </c>
    </row>
    <row r="2250" spans="1:21">
      <c r="A2250" s="270" t="s">
        <v>13329</v>
      </c>
      <c r="B2250" s="3305">
        <v>7083</v>
      </c>
      <c r="C2250" s="4834">
        <f t="shared" si="142"/>
        <v>3.0042063906047655E-4</v>
      </c>
      <c r="D2250" s="3" t="str">
        <f t="shared" si="143"/>
        <v>2020</v>
      </c>
      <c r="J2250" s="270" t="s">
        <v>13338</v>
      </c>
      <c r="K2250" s="4837">
        <v>58216.96434914312</v>
      </c>
      <c r="L2250" s="4834">
        <f t="shared" si="145"/>
        <v>1.2650473987415766E-5</v>
      </c>
      <c r="S2250" s="270" t="s">
        <v>13328</v>
      </c>
      <c r="T2250" s="4838">
        <v>791.87288798530722</v>
      </c>
      <c r="U2250" s="4839">
        <f t="shared" si="144"/>
        <v>1.6050675055757472E-3</v>
      </c>
    </row>
    <row r="2251" spans="1:21">
      <c r="A2251" s="270" t="s">
        <v>13330</v>
      </c>
      <c r="B2251" s="3305">
        <v>7028</v>
      </c>
      <c r="C2251" s="4834">
        <f t="shared" si="142"/>
        <v>3.0561606480126351E-4</v>
      </c>
      <c r="D2251" s="3" t="str">
        <f t="shared" si="143"/>
        <v>2020</v>
      </c>
      <c r="J2251" s="270" t="s">
        <v>13339</v>
      </c>
      <c r="K2251" s="4837">
        <v>58597.950695981352</v>
      </c>
      <c r="L2251" s="4834">
        <f t="shared" si="145"/>
        <v>1.1597977258855241E-5</v>
      </c>
      <c r="S2251" s="270" t="s">
        <v>13329</v>
      </c>
      <c r="T2251" s="4838">
        <v>781.90615654903252</v>
      </c>
      <c r="U2251" s="4839">
        <f t="shared" si="144"/>
        <v>1.6815931873079976E-3</v>
      </c>
    </row>
    <row r="2252" spans="1:21">
      <c r="A2252" s="270" t="s">
        <v>13331</v>
      </c>
      <c r="B2252" s="3305">
        <v>7178.5</v>
      </c>
      <c r="C2252" s="4834">
        <f t="shared" si="142"/>
        <v>2.9021272892180142E-4</v>
      </c>
      <c r="D2252" s="3" t="str">
        <f t="shared" si="143"/>
        <v>2020</v>
      </c>
      <c r="J2252" s="270" t="s">
        <v>13340</v>
      </c>
      <c r="K2252" s="4837">
        <v>58911.420475025479</v>
      </c>
      <c r="L2252" s="4834">
        <f t="shared" si="145"/>
        <v>1.0777302060714825E-5</v>
      </c>
      <c r="S2252" s="270" t="s">
        <v>13330</v>
      </c>
      <c r="T2252" s="4838">
        <v>770.97490271569905</v>
      </c>
      <c r="U2252" s="4839">
        <f t="shared" si="144"/>
        <v>1.763080748411041E-3</v>
      </c>
    </row>
    <row r="2253" spans="1:21">
      <c r="A2253" s="270" t="s">
        <v>13332</v>
      </c>
      <c r="B2253" s="3305">
        <v>7215.5</v>
      </c>
      <c r="C2253" s="4834">
        <f t="shared" si="142"/>
        <v>2.8588348252053418E-4</v>
      </c>
      <c r="D2253" s="3" t="str">
        <f t="shared" si="143"/>
        <v>2020</v>
      </c>
      <c r="J2253" s="270" t="s">
        <v>13341</v>
      </c>
      <c r="K2253" s="4837">
        <v>59253.825925981364</v>
      </c>
      <c r="L2253" s="4834">
        <f t="shared" si="145"/>
        <v>9.9274212430202899E-6</v>
      </c>
      <c r="S2253" s="270" t="s">
        <v>13331</v>
      </c>
      <c r="T2253" s="4838">
        <v>777.08354456373843</v>
      </c>
      <c r="U2253" s="4839">
        <f t="shared" si="144"/>
        <v>1.7179019714871774E-3</v>
      </c>
    </row>
    <row r="2254" spans="1:21">
      <c r="A2254" s="270" t="s">
        <v>13333</v>
      </c>
      <c r="B2254" s="3305">
        <v>7302</v>
      </c>
      <c r="C2254" s="4834">
        <f t="shared" si="142"/>
        <v>2.750302048238951E-4</v>
      </c>
      <c r="D2254" s="3" t="str">
        <f t="shared" si="143"/>
        <v>2020</v>
      </c>
      <c r="J2254" s="270" t="s">
        <v>13342</v>
      </c>
      <c r="K2254" s="4837">
        <v>59798.781080319612</v>
      </c>
      <c r="L2254" s="4834">
        <f t="shared" si="145"/>
        <v>8.6738062574696281E-6</v>
      </c>
      <c r="S2254" s="270" t="s">
        <v>13332</v>
      </c>
      <c r="T2254" s="4838">
        <v>768.72435045589509</v>
      </c>
      <c r="U2254" s="4839">
        <f t="shared" si="144"/>
        <v>1.7794720153470926E-3</v>
      </c>
    </row>
    <row r="2255" spans="1:21">
      <c r="A2255" s="270" t="s">
        <v>13334</v>
      </c>
      <c r="B2255" s="3305">
        <v>7238.5</v>
      </c>
      <c r="C2255" s="4834">
        <f t="shared" si="142"/>
        <v>2.8309450247535707E-4</v>
      </c>
      <c r="D2255" s="3" t="str">
        <f t="shared" si="143"/>
        <v>2020</v>
      </c>
      <c r="J2255" s="270" t="s">
        <v>13343</v>
      </c>
      <c r="K2255" s="4837">
        <v>60062.417202182369</v>
      </c>
      <c r="L2255" s="4834">
        <f t="shared" si="145"/>
        <v>8.1102042588022434E-6</v>
      </c>
      <c r="S2255" s="270" t="s">
        <v>13333</v>
      </c>
      <c r="T2255" s="4838">
        <v>744.61129052942408</v>
      </c>
      <c r="U2255" s="4839">
        <f t="shared" si="144"/>
        <v>1.9444852531192529E-3</v>
      </c>
    </row>
    <row r="2256" spans="1:21">
      <c r="A2256" s="270" t="s">
        <v>13335</v>
      </c>
      <c r="B2256" s="3305">
        <v>7356.5</v>
      </c>
      <c r="C2256" s="4834">
        <f t="shared" si="142"/>
        <v>2.6771698828266234E-4</v>
      </c>
      <c r="D2256" s="3" t="str">
        <f t="shared" si="143"/>
        <v>2020</v>
      </c>
      <c r="J2256" s="270" t="s">
        <v>13344</v>
      </c>
      <c r="K2256" s="4837">
        <v>59213.637492770584</v>
      </c>
      <c r="L2256" s="4834">
        <f t="shared" si="145"/>
        <v>1.0024667333850091E-5</v>
      </c>
      <c r="S2256" s="270" t="s">
        <v>13334</v>
      </c>
      <c r="T2256" s="4838">
        <v>752.64897717158112</v>
      </c>
      <c r="U2256" s="4839">
        <f t="shared" si="144"/>
        <v>1.8918685904633255E-3</v>
      </c>
    </row>
    <row r="2257" spans="1:21">
      <c r="A2257" s="270" t="s">
        <v>13336</v>
      </c>
      <c r="B2257" s="3305">
        <v>7462</v>
      </c>
      <c r="C2257" s="4834">
        <f t="shared" si="142"/>
        <v>2.5268040595482588E-4</v>
      </c>
      <c r="D2257" s="3" t="str">
        <f t="shared" si="143"/>
        <v>2020</v>
      </c>
      <c r="J2257" s="270" t="s">
        <v>13345</v>
      </c>
      <c r="K2257" s="4837">
        <v>59297.22943384901</v>
      </c>
      <c r="L2257" s="4834">
        <f t="shared" si="145"/>
        <v>9.8231407320782523E-6</v>
      </c>
      <c r="S2257" s="270" t="s">
        <v>13335</v>
      </c>
      <c r="T2257" s="4838">
        <v>751.04143984314965</v>
      </c>
      <c r="U2257" s="4839">
        <f t="shared" si="144"/>
        <v>1.9026006281795077E-3</v>
      </c>
    </row>
    <row r="2258" spans="1:21">
      <c r="A2258" s="270" t="s">
        <v>13337</v>
      </c>
      <c r="B2258" s="3305">
        <v>7674.5</v>
      </c>
      <c r="C2258" s="4834">
        <f t="shared" si="142"/>
        <v>2.1989204170635152E-4</v>
      </c>
      <c r="D2258" s="3" t="str">
        <f t="shared" si="143"/>
        <v>2020</v>
      </c>
      <c r="J2258" s="270" t="s">
        <v>13346</v>
      </c>
      <c r="K2258" s="4837">
        <v>59221.675179412741</v>
      </c>
      <c r="L2258" s="4834">
        <f t="shared" si="145"/>
        <v>1.0005164986224283E-5</v>
      </c>
      <c r="S2258" s="270" t="s">
        <v>13336</v>
      </c>
      <c r="T2258" s="4838">
        <v>743.96827559805149</v>
      </c>
      <c r="U2258" s="4839">
        <f t="shared" si="144"/>
        <v>1.9485781383917226E-3</v>
      </c>
    </row>
    <row r="2259" spans="1:21">
      <c r="A2259" s="270" t="s">
        <v>13338</v>
      </c>
      <c r="B2259" s="3305">
        <v>7644</v>
      </c>
      <c r="C2259" s="4834">
        <f t="shared" si="142"/>
        <v>2.2473875666585914E-4</v>
      </c>
      <c r="D2259" s="3" t="str">
        <f t="shared" si="143"/>
        <v>2020</v>
      </c>
      <c r="J2259" s="270" t="s">
        <v>13347</v>
      </c>
      <c r="K2259" s="4837">
        <v>58872.839579143132</v>
      </c>
      <c r="L2259" s="4834">
        <f t="shared" si="145"/>
        <v>1.0876104456868767E-5</v>
      </c>
      <c r="S2259" s="270" t="s">
        <v>13337</v>
      </c>
      <c r="T2259" s="4838">
        <v>712.13903649510974</v>
      </c>
      <c r="U2259" s="4839">
        <f t="shared" si="144"/>
        <v>2.1258245990777133E-3</v>
      </c>
    </row>
    <row r="2260" spans="1:21">
      <c r="A2260" s="270" t="s">
        <v>13339</v>
      </c>
      <c r="B2260" s="3305">
        <v>7616.5</v>
      </c>
      <c r="C2260" s="4834">
        <f t="shared" si="142"/>
        <v>2.2907826421146758E-4</v>
      </c>
      <c r="D2260" s="3" t="str">
        <f t="shared" si="143"/>
        <v>2020</v>
      </c>
      <c r="J2260" s="270" t="s">
        <v>13348</v>
      </c>
      <c r="K2260" s="4837">
        <v>59499.77913723138</v>
      </c>
      <c r="L2260" s="4834">
        <f t="shared" si="145"/>
        <v>9.346693619432781E-6</v>
      </c>
      <c r="S2260" s="270" t="s">
        <v>13338</v>
      </c>
      <c r="T2260" s="4838">
        <v>756.82857422550262</v>
      </c>
      <c r="U2260" s="4839">
        <f t="shared" si="144"/>
        <v>1.8635052826528706E-3</v>
      </c>
    </row>
    <row r="2261" spans="1:21">
      <c r="A2261" s="270" t="s">
        <v>13340</v>
      </c>
      <c r="B2261" s="3305">
        <v>7679</v>
      </c>
      <c r="C2261" s="4834">
        <f t="shared" si="142"/>
        <v>2.1917433253564489E-4</v>
      </c>
      <c r="D2261" s="3" t="str">
        <f t="shared" si="143"/>
        <v>2020</v>
      </c>
      <c r="J2261" s="270" t="s">
        <v>13349</v>
      </c>
      <c r="K2261" s="4837">
        <v>59541.575107770594</v>
      </c>
      <c r="L2261" s="4834">
        <f t="shared" si="145"/>
        <v>9.2504606711244935E-6</v>
      </c>
      <c r="S2261" s="270" t="s">
        <v>13339</v>
      </c>
      <c r="T2261" s="4838">
        <v>770.97490271569905</v>
      </c>
      <c r="U2261" s="4839">
        <f t="shared" si="144"/>
        <v>1.763080748411041E-3</v>
      </c>
    </row>
    <row r="2262" spans="1:21">
      <c r="A2262" s="270" t="s">
        <v>13341</v>
      </c>
      <c r="B2262" s="3305">
        <v>7741.5</v>
      </c>
      <c r="C2262" s="4834">
        <f t="shared" si="142"/>
        <v>2.0915243183270836E-4</v>
      </c>
      <c r="D2262" s="3" t="str">
        <f t="shared" si="143"/>
        <v>2020</v>
      </c>
      <c r="J2262" s="270" t="s">
        <v>13350</v>
      </c>
      <c r="K2262" s="4837">
        <v>60789.024074633351</v>
      </c>
      <c r="L2262" s="4834">
        <f t="shared" si="145"/>
        <v>6.6967067839877331E-6</v>
      </c>
      <c r="S2262" s="270" t="s">
        <v>13340</v>
      </c>
      <c r="T2262" s="4838">
        <v>777.08354456373843</v>
      </c>
      <c r="U2262" s="4839">
        <f t="shared" si="144"/>
        <v>1.7179019714871774E-3</v>
      </c>
    </row>
    <row r="2263" spans="1:21">
      <c r="A2263" s="270" t="s">
        <v>13342</v>
      </c>
      <c r="B2263" s="3305">
        <v>7656.5</v>
      </c>
      <c r="C2263" s="4834">
        <f t="shared" si="142"/>
        <v>2.227563407152524E-4</v>
      </c>
      <c r="D2263" s="3" t="str">
        <f t="shared" si="143"/>
        <v>2020</v>
      </c>
      <c r="J2263" s="270" t="s">
        <v>13351</v>
      </c>
      <c r="K2263" s="4837">
        <v>60435.36586237845</v>
      </c>
      <c r="L2263" s="4834">
        <f t="shared" si="145"/>
        <v>7.3594815082003629E-6</v>
      </c>
      <c r="S2263" s="270" t="s">
        <v>13341</v>
      </c>
      <c r="T2263" s="4838">
        <v>779.01258935785597</v>
      </c>
      <c r="U2263" s="4839">
        <f t="shared" si="144"/>
        <v>1.7034419001834215E-3</v>
      </c>
    </row>
    <row r="2264" spans="1:21">
      <c r="A2264" s="270" t="s">
        <v>13343</v>
      </c>
      <c r="B2264" s="3305">
        <v>7635</v>
      </c>
      <c r="C2264" s="4834">
        <f t="shared" si="142"/>
        <v>2.2616240263693876E-4</v>
      </c>
      <c r="D2264" s="3" t="str">
        <f t="shared" si="143"/>
        <v>2020</v>
      </c>
      <c r="J2264" s="270" t="s">
        <v>13352</v>
      </c>
      <c r="K2264" s="4837">
        <v>60443.403549020601</v>
      </c>
      <c r="L2264" s="4834">
        <f t="shared" si="145"/>
        <v>7.34389316109608E-6</v>
      </c>
      <c r="S2264" s="270" t="s">
        <v>13342</v>
      </c>
      <c r="T2264" s="4838">
        <v>763.58023100491459</v>
      </c>
      <c r="U2264" s="4839">
        <f t="shared" si="144"/>
        <v>1.816374044005145E-3</v>
      </c>
    </row>
    <row r="2265" spans="1:21">
      <c r="A2265" s="270" t="s">
        <v>13344</v>
      </c>
      <c r="B2265" s="3305">
        <v>7704.5</v>
      </c>
      <c r="C2265" s="4834">
        <f t="shared" si="142"/>
        <v>2.1509640336702038E-4</v>
      </c>
      <c r="D2265" s="3" t="str">
        <f t="shared" si="143"/>
        <v>2020</v>
      </c>
      <c r="J2265" s="270" t="s">
        <v>13353</v>
      </c>
      <c r="K2265" s="4837">
        <v>60350.166383971584</v>
      </c>
      <c r="L2265" s="4834">
        <f t="shared" si="145"/>
        <v>7.5262393321048008E-6</v>
      </c>
      <c r="S2265" s="270" t="s">
        <v>13343</v>
      </c>
      <c r="T2265" s="4838">
        <v>787.05027600001301</v>
      </c>
      <c r="U2265" s="4839">
        <f t="shared" si="144"/>
        <v>1.6423219760727825E-3</v>
      </c>
    </row>
    <row r="2266" spans="1:21">
      <c r="A2266" s="270" t="s">
        <v>13345</v>
      </c>
      <c r="B2266" s="3305">
        <v>7712</v>
      </c>
      <c r="C2266" s="4834">
        <f t="shared" si="142"/>
        <v>2.1389384367525164E-4</v>
      </c>
      <c r="D2266" s="3" t="str">
        <f t="shared" si="143"/>
        <v>2020</v>
      </c>
      <c r="J2266" s="270" t="s">
        <v>13354</v>
      </c>
      <c r="K2266" s="4837">
        <v>60282.649816177465</v>
      </c>
      <c r="L2266" s="4834">
        <f t="shared" si="145"/>
        <v>7.6603704814160748E-6</v>
      </c>
      <c r="S2266" s="270" t="s">
        <v>13344</v>
      </c>
      <c r="T2266" s="4838">
        <v>774.51148483824807</v>
      </c>
      <c r="U2266" s="4839">
        <f t="shared" si="144"/>
        <v>1.7370419686444229E-3</v>
      </c>
    </row>
    <row r="2267" spans="1:21">
      <c r="A2267" s="270" t="s">
        <v>13346</v>
      </c>
      <c r="B2267" s="3305">
        <v>7741</v>
      </c>
      <c r="C2267" s="4834">
        <f t="shared" si="142"/>
        <v>2.0923292520822951E-4</v>
      </c>
      <c r="D2267" s="3" t="str">
        <f t="shared" si="143"/>
        <v>2020</v>
      </c>
      <c r="J2267" s="270" t="s">
        <v>13356</v>
      </c>
      <c r="K2267" s="4837">
        <v>60260.144293579426</v>
      </c>
      <c r="L2267" s="4834">
        <f t="shared" si="145"/>
        <v>7.7054724364777458E-6</v>
      </c>
      <c r="S2267" s="270" t="s">
        <v>13345</v>
      </c>
      <c r="T2267" s="4838">
        <v>768.0813355245225</v>
      </c>
      <c r="U2267" s="4839">
        <f t="shared" si="144"/>
        <v>1.7841284923596325E-3</v>
      </c>
    </row>
    <row r="2268" spans="1:21">
      <c r="A2268" s="270" t="s">
        <v>13347</v>
      </c>
      <c r="B2268" s="3305">
        <v>7763</v>
      </c>
      <c r="C2268" s="4834">
        <f t="shared" si="142"/>
        <v>2.0568787492261821E-4</v>
      </c>
      <c r="D2268" s="3" t="str">
        <f t="shared" si="143"/>
        <v>2020</v>
      </c>
      <c r="J2268" s="270" t="s">
        <v>13357</v>
      </c>
      <c r="K2268" s="4837">
        <v>60687.749222942177</v>
      </c>
      <c r="L2268" s="4834">
        <f t="shared" si="145"/>
        <v>6.8817037548571791E-6</v>
      </c>
      <c r="S2268" s="270" t="s">
        <v>13346</v>
      </c>
      <c r="T2268" s="4838">
        <v>765.83078326471855</v>
      </c>
      <c r="U2268" s="4839">
        <f t="shared" si="144"/>
        <v>1.8003292373499201E-3</v>
      </c>
    </row>
    <row r="2269" spans="1:21">
      <c r="A2269" s="270" t="s">
        <v>13348</v>
      </c>
      <c r="B2269" s="3305">
        <v>7753</v>
      </c>
      <c r="C2269" s="4834">
        <f t="shared" si="142"/>
        <v>2.0730005727039616E-4</v>
      </c>
      <c r="D2269" s="3" t="str">
        <f t="shared" si="143"/>
        <v>2020</v>
      </c>
      <c r="J2269" s="270" t="s">
        <v>13359</v>
      </c>
      <c r="K2269" s="4837">
        <v>62475.33073215789</v>
      </c>
      <c r="L2269" s="4834">
        <f t="shared" si="145"/>
        <v>4.1425655538173333E-6</v>
      </c>
      <c r="S2269" s="270" t="s">
        <v>13347</v>
      </c>
      <c r="T2269" s="4838">
        <v>767.11681312746362</v>
      </c>
      <c r="U2269" s="4839">
        <f t="shared" si="144"/>
        <v>1.7910903284921551E-3</v>
      </c>
    </row>
    <row r="2270" spans="1:21">
      <c r="A2270" s="270" t="s">
        <v>13349</v>
      </c>
      <c r="B2270" s="3305">
        <v>7823</v>
      </c>
      <c r="C2270" s="4834">
        <f t="shared" si="142"/>
        <v>1.9599971041727113E-4</v>
      </c>
      <c r="D2270" s="3" t="str">
        <f t="shared" si="143"/>
        <v>2020</v>
      </c>
      <c r="J2270" s="270" t="s">
        <v>13360</v>
      </c>
      <c r="K2270" s="4837">
        <v>62383.701104437299</v>
      </c>
      <c r="L2270" s="4834">
        <f t="shared" si="145"/>
        <v>4.2575806630055688E-6</v>
      </c>
      <c r="S2270" s="270" t="s">
        <v>13348</v>
      </c>
      <c r="T2270" s="4838">
        <v>778.69108189216968</v>
      </c>
      <c r="U2270" s="4839">
        <f t="shared" si="144"/>
        <v>1.7058579515228899E-3</v>
      </c>
    </row>
    <row r="2271" spans="1:21">
      <c r="A2271" s="270" t="s">
        <v>13350</v>
      </c>
      <c r="B2271" s="3305">
        <v>7893</v>
      </c>
      <c r="C2271" s="4834">
        <f t="shared" si="142"/>
        <v>1.8471013473794697E-4</v>
      </c>
      <c r="D2271" s="3" t="str">
        <f t="shared" si="143"/>
        <v>2020</v>
      </c>
      <c r="J2271" s="270" t="s">
        <v>13361</v>
      </c>
      <c r="K2271" s="4837">
        <v>62094.344385319651</v>
      </c>
      <c r="L2271" s="4834">
        <f t="shared" si="145"/>
        <v>4.637665734027095E-6</v>
      </c>
      <c r="S2271" s="270" t="s">
        <v>13349</v>
      </c>
      <c r="T2271" s="4838">
        <v>807.94826126962118</v>
      </c>
      <c r="U2271" s="4839">
        <f t="shared" si="144"/>
        <v>1.4786788365291751E-3</v>
      </c>
    </row>
    <row r="2272" spans="1:21">
      <c r="A2272" s="270" t="s">
        <v>13351</v>
      </c>
      <c r="B2272" s="3305">
        <v>7964</v>
      </c>
      <c r="C2272" s="4834">
        <f t="shared" si="142"/>
        <v>1.7334313721472668E-4</v>
      </c>
      <c r="D2272" s="3" t="str">
        <f t="shared" si="143"/>
        <v>2020</v>
      </c>
      <c r="J2272" s="270" t="s">
        <v>13362</v>
      </c>
      <c r="K2272" s="4837">
        <v>61732.648486422586</v>
      </c>
      <c r="L2272" s="4834">
        <f t="shared" si="145"/>
        <v>5.1501400962122417E-6</v>
      </c>
      <c r="S2272" s="270" t="s">
        <v>13350</v>
      </c>
      <c r="T2272" s="4838">
        <v>827.56021667648417</v>
      </c>
      <c r="U2272" s="4839">
        <f t="shared" si="144"/>
        <v>1.3225504050515342E-3</v>
      </c>
    </row>
    <row r="2273" spans="1:21">
      <c r="A2273" s="270" t="s">
        <v>13352</v>
      </c>
      <c r="B2273" s="3305">
        <v>7838.5</v>
      </c>
      <c r="C2273" s="4834">
        <f t="shared" si="142"/>
        <v>1.934963833064477E-4</v>
      </c>
      <c r="D2273" s="3" t="str">
        <f t="shared" si="143"/>
        <v>2020</v>
      </c>
      <c r="J2273" s="270" t="s">
        <v>13363</v>
      </c>
      <c r="K2273" s="4837">
        <v>59893.625782697069</v>
      </c>
      <c r="L2273" s="4834">
        <f t="shared" si="145"/>
        <v>8.4678672434485181E-6</v>
      </c>
      <c r="S2273" s="270" t="s">
        <v>13351</v>
      </c>
      <c r="T2273" s="4838">
        <v>830.13227640197454</v>
      </c>
      <c r="U2273" s="4839">
        <f t="shared" si="144"/>
        <v>1.3021125004691653E-3</v>
      </c>
    </row>
    <row r="2274" spans="1:21">
      <c r="A2274" s="270" t="s">
        <v>13353</v>
      </c>
      <c r="B2274" s="3305">
        <v>7753</v>
      </c>
      <c r="C2274" s="4834">
        <f t="shared" si="142"/>
        <v>2.0730005727039616E-4</v>
      </c>
      <c r="D2274" s="3" t="str">
        <f t="shared" si="143"/>
        <v>2020</v>
      </c>
      <c r="J2274" s="270" t="s">
        <v>13364</v>
      </c>
      <c r="K2274" s="4837">
        <v>59390.466598898034</v>
      </c>
      <c r="L2274" s="4834">
        <f t="shared" si="145"/>
        <v>9.6017418784821951E-6</v>
      </c>
      <c r="S2274" s="270" t="s">
        <v>13352</v>
      </c>
      <c r="T2274" s="4838">
        <v>841.06353023530801</v>
      </c>
      <c r="U2274" s="4839">
        <f t="shared" si="144"/>
        <v>1.2157574425333108E-3</v>
      </c>
    </row>
    <row r="2275" spans="1:21">
      <c r="A2275" s="270" t="s">
        <v>13354</v>
      </c>
      <c r="B2275" s="3305">
        <v>7764.5</v>
      </c>
      <c r="C2275" s="4834">
        <f t="shared" si="142"/>
        <v>2.054459483689706E-4</v>
      </c>
      <c r="D2275" s="3" t="str">
        <f t="shared" si="143"/>
        <v>2020</v>
      </c>
      <c r="J2275" s="270" t="s">
        <v>13365</v>
      </c>
      <c r="K2275" s="4837">
        <v>59197.562119486269</v>
      </c>
      <c r="L2275" s="4834">
        <f t="shared" si="145"/>
        <v>1.0063751774983611E-5</v>
      </c>
      <c r="S2275" s="270" t="s">
        <v>13353</v>
      </c>
      <c r="T2275" s="4838">
        <v>828.52473907354306</v>
      </c>
      <c r="U2275" s="4839">
        <f t="shared" si="144"/>
        <v>1.314882441042573E-3</v>
      </c>
    </row>
    <row r="2276" spans="1:21">
      <c r="A2276" s="270" t="s">
        <v>13355</v>
      </c>
      <c r="B2276" s="3305">
        <v>7793</v>
      </c>
      <c r="C2276" s="4834">
        <f t="shared" si="142"/>
        <v>2.008456981037172E-4</v>
      </c>
      <c r="D2276" s="3" t="str">
        <f t="shared" si="143"/>
        <v>2020</v>
      </c>
      <c r="J2276" s="270" t="s">
        <v>13366</v>
      </c>
      <c r="K2276" s="4837">
        <v>59763.415259094116</v>
      </c>
      <c r="L2276" s="4834">
        <f t="shared" si="145"/>
        <v>8.7515174902795604E-6</v>
      </c>
      <c r="S2276" s="270" t="s">
        <v>13354</v>
      </c>
      <c r="T2276" s="4838">
        <v>814.05690311766057</v>
      </c>
      <c r="U2276" s="4839">
        <f t="shared" si="144"/>
        <v>1.430109284217323E-3</v>
      </c>
    </row>
    <row r="2277" spans="1:21">
      <c r="A2277" s="270" t="s">
        <v>13356</v>
      </c>
      <c r="B2277" s="3305">
        <v>7840</v>
      </c>
      <c r="C2277" s="4834">
        <f t="shared" si="142"/>
        <v>1.9325418418994082E-4</v>
      </c>
      <c r="D2277" s="3" t="str">
        <f t="shared" si="143"/>
        <v>2020</v>
      </c>
      <c r="J2277" s="270" t="s">
        <v>13367</v>
      </c>
      <c r="K2277" s="4837">
        <v>59213.637492770584</v>
      </c>
      <c r="L2277" s="4834">
        <f t="shared" si="145"/>
        <v>1.0024667333850091E-5</v>
      </c>
      <c r="S2277" s="270" t="s">
        <v>13355</v>
      </c>
      <c r="T2277" s="4838">
        <v>828.84624653922947</v>
      </c>
      <c r="U2277" s="4839">
        <f t="shared" si="144"/>
        <v>1.3123274091931913E-3</v>
      </c>
    </row>
    <row r="2278" spans="1:21">
      <c r="A2278" s="270" t="s">
        <v>13357</v>
      </c>
      <c r="B2278" s="3305">
        <v>7803.5</v>
      </c>
      <c r="C2278" s="4834">
        <f t="shared" si="142"/>
        <v>1.9914973381613511E-4</v>
      </c>
      <c r="D2278" s="3" t="str">
        <f t="shared" si="143"/>
        <v>2020</v>
      </c>
      <c r="J2278" s="270" t="s">
        <v>13368</v>
      </c>
      <c r="K2278" s="4837">
        <v>59125.222939706859</v>
      </c>
      <c r="L2278" s="4834">
        <f t="shared" si="145"/>
        <v>1.0240948968453148E-5</v>
      </c>
      <c r="S2278" s="270" t="s">
        <v>13356</v>
      </c>
      <c r="T2278" s="4838">
        <v>840.7420227696216</v>
      </c>
      <c r="U2278" s="4839">
        <f t="shared" si="144"/>
        <v>1.218282065854492E-3</v>
      </c>
    </row>
    <row r="2279" spans="1:21">
      <c r="A2279" s="270" t="s">
        <v>13358</v>
      </c>
      <c r="B2279" s="3305">
        <v>7741.5</v>
      </c>
      <c r="C2279" s="4834">
        <f t="shared" si="142"/>
        <v>2.0915243183270836E-4</v>
      </c>
      <c r="D2279" s="3" t="str">
        <f t="shared" si="143"/>
        <v>2020</v>
      </c>
      <c r="J2279" s="270" t="s">
        <v>13369</v>
      </c>
      <c r="K2279" s="4837">
        <v>58933.925997623519</v>
      </c>
      <c r="L2279" s="4834">
        <f t="shared" si="145"/>
        <v>1.0719952496090305E-5</v>
      </c>
      <c r="S2279" s="270" t="s">
        <v>13357</v>
      </c>
      <c r="T2279" s="4838">
        <v>845.8861422206021</v>
      </c>
      <c r="U2279" s="4839">
        <f t="shared" si="144"/>
        <v>1.178028475494274E-3</v>
      </c>
    </row>
    <row r="2280" spans="1:21">
      <c r="A2280" s="270" t="s">
        <v>13359</v>
      </c>
      <c r="B2280" s="3305">
        <v>7918.5</v>
      </c>
      <c r="C2280" s="4834">
        <f t="shared" si="142"/>
        <v>1.8061423316073055E-4</v>
      </c>
      <c r="D2280" s="3" t="str">
        <f t="shared" si="143"/>
        <v>2021</v>
      </c>
      <c r="J2280" s="270" t="s">
        <v>13370</v>
      </c>
      <c r="K2280" s="4837">
        <v>58986.974729461755</v>
      </c>
      <c r="L2280" s="4834">
        <f t="shared" si="145"/>
        <v>1.0585602103493568E-5</v>
      </c>
      <c r="S2280" s="270" t="s">
        <v>13358</v>
      </c>
      <c r="T2280" s="4838">
        <v>851.67327660295518</v>
      </c>
      <c r="U2280" s="4839">
        <f t="shared" si="144"/>
        <v>1.1331496193733865E-3</v>
      </c>
    </row>
    <row r="2281" spans="1:21">
      <c r="A2281" s="270" t="s">
        <v>13360</v>
      </c>
      <c r="B2281" s="3305">
        <v>7914</v>
      </c>
      <c r="C2281" s="4834">
        <f t="shared" si="142"/>
        <v>1.8133610156065096E-4</v>
      </c>
      <c r="D2281" s="3" t="str">
        <f t="shared" si="143"/>
        <v>2021</v>
      </c>
      <c r="J2281" s="270" t="s">
        <v>13371</v>
      </c>
      <c r="K2281" s="4837">
        <v>59691.076079314706</v>
      </c>
      <c r="L2281" s="4834">
        <f t="shared" si="145"/>
        <v>8.91203578004497E-6</v>
      </c>
      <c r="S2281" s="270" t="s">
        <v>13359</v>
      </c>
      <c r="T2281" s="4838">
        <v>876.75085892648508</v>
      </c>
      <c r="U2281" s="4839">
        <f t="shared" si="144"/>
        <v>9.4548425129052963E-4</v>
      </c>
    </row>
    <row r="2282" spans="1:21">
      <c r="A2282" s="270" t="s">
        <v>13361</v>
      </c>
      <c r="B2282" s="3305">
        <v>8129.5</v>
      </c>
      <c r="C2282" s="4834">
        <f t="shared" si="142"/>
        <v>1.4754833316119593E-4</v>
      </c>
      <c r="D2282" s="3" t="str">
        <f t="shared" si="143"/>
        <v>2021</v>
      </c>
      <c r="J2282" s="270" t="s">
        <v>13372</v>
      </c>
      <c r="K2282" s="4837">
        <v>59867.905185442163</v>
      </c>
      <c r="L2282" s="4834">
        <f t="shared" si="145"/>
        <v>8.5233605093762031E-6</v>
      </c>
      <c r="S2282" s="270" t="s">
        <v>13360</v>
      </c>
      <c r="T2282" s="4838">
        <v>884.46703810295583</v>
      </c>
      <c r="U2282" s="4839">
        <f t="shared" si="144"/>
        <v>8.9053234950977602E-4</v>
      </c>
    </row>
    <row r="2283" spans="1:21">
      <c r="A2283" s="270" t="s">
        <v>13362</v>
      </c>
      <c r="B2283" s="3305">
        <v>8036.5</v>
      </c>
      <c r="C2283" s="4834">
        <f t="shared" si="142"/>
        <v>1.6189430775734963E-4</v>
      </c>
      <c r="D2283" s="3" t="str">
        <f t="shared" si="143"/>
        <v>2021</v>
      </c>
      <c r="J2283" s="270" t="s">
        <v>13373</v>
      </c>
      <c r="K2283" s="4837">
        <v>59565.688167697059</v>
      </c>
      <c r="L2283" s="4834">
        <f t="shared" si="145"/>
        <v>9.1952642563439943E-6</v>
      </c>
      <c r="S2283" s="270" t="s">
        <v>13361</v>
      </c>
      <c r="T2283" s="4838">
        <v>885.1100530343283</v>
      </c>
      <c r="U2283" s="4839">
        <f t="shared" si="144"/>
        <v>8.8602138878160063E-4</v>
      </c>
    </row>
    <row r="2284" spans="1:21">
      <c r="A2284" s="270" t="s">
        <v>13363</v>
      </c>
      <c r="B2284" s="3305">
        <v>8146</v>
      </c>
      <c r="C2284" s="4834">
        <f t="shared" si="142"/>
        <v>1.4505171436350392E-4</v>
      </c>
      <c r="D2284" s="3" t="str">
        <f t="shared" si="143"/>
        <v>2021</v>
      </c>
      <c r="J2284" s="270" t="s">
        <v>13374</v>
      </c>
      <c r="K2284" s="4837">
        <v>59699.113765956863</v>
      </c>
      <c r="L2284" s="4834">
        <f t="shared" si="145"/>
        <v>8.8940965031187742E-6</v>
      </c>
      <c r="S2284" s="270" t="s">
        <v>13362</v>
      </c>
      <c r="T2284" s="4838">
        <v>872.24975440687717</v>
      </c>
      <c r="U2284" s="4839">
        <f t="shared" si="144"/>
        <v>9.7820602458785185E-4</v>
      </c>
    </row>
    <row r="2285" spans="1:21">
      <c r="A2285" s="270" t="s">
        <v>13364</v>
      </c>
      <c r="B2285" s="3305">
        <v>7951.5</v>
      </c>
      <c r="C2285" s="4834">
        <f t="shared" si="142"/>
        <v>1.7533515956135701E-4</v>
      </c>
      <c r="D2285" s="3" t="str">
        <f t="shared" si="143"/>
        <v>2021</v>
      </c>
      <c r="J2285" s="270" t="s">
        <v>13375</v>
      </c>
      <c r="K2285" s="4837">
        <v>59691.076079314706</v>
      </c>
      <c r="L2285" s="4834">
        <f t="shared" si="145"/>
        <v>8.91203578004497E-6</v>
      </c>
      <c r="S2285" s="270" t="s">
        <v>13363</v>
      </c>
      <c r="T2285" s="4838">
        <v>856.81739605393568</v>
      </c>
      <c r="U2285" s="4839">
        <f t="shared" si="144"/>
        <v>1.0936813844095452E-3</v>
      </c>
    </row>
    <row r="2286" spans="1:21">
      <c r="A2286" s="270" t="s">
        <v>13365</v>
      </c>
      <c r="B2286" s="3305">
        <v>7983</v>
      </c>
      <c r="C2286" s="4834">
        <f t="shared" si="142"/>
        <v>1.7032449078422605E-4</v>
      </c>
      <c r="D2286" s="3" t="str">
        <f t="shared" si="143"/>
        <v>2021</v>
      </c>
      <c r="J2286" s="270" t="s">
        <v>13376</v>
      </c>
      <c r="K2286" s="4837">
        <v>59253.825925981364</v>
      </c>
      <c r="L2286" s="4834">
        <f t="shared" si="145"/>
        <v>9.9274212430202899E-6</v>
      </c>
      <c r="S2286" s="270" t="s">
        <v>13364</v>
      </c>
      <c r="T2286" s="4838">
        <v>804.41167914707216</v>
      </c>
      <c r="U2286" s="4839">
        <f t="shared" si="144"/>
        <v>1.506701779456592E-3</v>
      </c>
    </row>
    <row r="2287" spans="1:21">
      <c r="A2287" s="270" t="s">
        <v>13366</v>
      </c>
      <c r="B2287" s="3305">
        <v>7960.5</v>
      </c>
      <c r="C2287" s="4834">
        <f t="shared" si="142"/>
        <v>1.7390043959506244E-4</v>
      </c>
      <c r="D2287" s="3" t="str">
        <f t="shared" si="143"/>
        <v>2021</v>
      </c>
      <c r="J2287" s="270" t="s">
        <v>13377</v>
      </c>
      <c r="K2287" s="4837">
        <v>59597.838914265696</v>
      </c>
      <c r="L2287" s="4834">
        <f t="shared" si="145"/>
        <v>9.1220356267259838E-6</v>
      </c>
      <c r="S2287" s="270" t="s">
        <v>13365</v>
      </c>
      <c r="T2287" s="4838">
        <v>820.80855989707231</v>
      </c>
      <c r="U2287" s="4839">
        <f t="shared" si="144"/>
        <v>1.3763115906415787E-3</v>
      </c>
    </row>
    <row r="2288" spans="1:21">
      <c r="A2288" s="270" t="s">
        <v>13367</v>
      </c>
      <c r="B2288" s="3305">
        <v>8002.5</v>
      </c>
      <c r="C2288" s="4834">
        <f t="shared" si="142"/>
        <v>1.672391423582917E-4</v>
      </c>
      <c r="D2288" s="3" t="str">
        <f t="shared" si="143"/>
        <v>2021</v>
      </c>
      <c r="J2288" s="270" t="s">
        <v>13378</v>
      </c>
      <c r="K2288" s="4837">
        <v>59922.561454608833</v>
      </c>
      <c r="L2288" s="4834">
        <f t="shared" si="145"/>
        <v>8.4057519365923219E-6</v>
      </c>
      <c r="S2288" s="270" t="s">
        <v>13366</v>
      </c>
      <c r="T2288" s="4838">
        <v>814.69991804903304</v>
      </c>
      <c r="U2288" s="4839">
        <f t="shared" si="144"/>
        <v>1.4249885396757592E-3</v>
      </c>
    </row>
    <row r="2289" spans="1:21">
      <c r="A2289" s="270" t="s">
        <v>13368</v>
      </c>
      <c r="B2289" s="3305">
        <v>7979.5</v>
      </c>
      <c r="C2289" s="4834">
        <f t="shared" si="142"/>
        <v>1.7087967441047777E-4</v>
      </c>
      <c r="D2289" s="3" t="str">
        <f t="shared" si="143"/>
        <v>2021</v>
      </c>
      <c r="J2289" s="270" t="s">
        <v>13379</v>
      </c>
      <c r="K2289" s="4837">
        <v>59895.233320025494</v>
      </c>
      <c r="L2289" s="4834">
        <f t="shared" si="145"/>
        <v>8.4644076587595618E-6</v>
      </c>
      <c r="S2289" s="270" t="s">
        <v>13367</v>
      </c>
      <c r="T2289" s="4838">
        <v>811.80635085785661</v>
      </c>
      <c r="U2289" s="4839">
        <f t="shared" si="144"/>
        <v>1.4480219324902405E-3</v>
      </c>
    </row>
    <row r="2290" spans="1:21">
      <c r="A2290" s="270" t="s">
        <v>13369</v>
      </c>
      <c r="B2290" s="3305">
        <v>7972.5</v>
      </c>
      <c r="C2290" s="4834">
        <f t="shared" si="142"/>
        <v>1.7199125670367411E-4</v>
      </c>
      <c r="D2290" s="3" t="str">
        <f t="shared" si="143"/>
        <v>2021</v>
      </c>
      <c r="J2290" s="270" t="s">
        <v>13380</v>
      </c>
      <c r="K2290" s="4837">
        <v>58935.533534951952</v>
      </c>
      <c r="L2290" s="4834">
        <f t="shared" si="145"/>
        <v>1.0715864135653431E-5</v>
      </c>
      <c r="S2290" s="270" t="s">
        <v>13368</v>
      </c>
      <c r="T2290" s="4838">
        <v>811.80635085785661</v>
      </c>
      <c r="U2290" s="4839">
        <f t="shared" si="144"/>
        <v>1.4480219324902405E-3</v>
      </c>
    </row>
    <row r="2291" spans="1:21">
      <c r="A2291" s="270" t="s">
        <v>13370</v>
      </c>
      <c r="B2291" s="3305">
        <v>7986.5</v>
      </c>
      <c r="C2291" s="4834">
        <f t="shared" si="142"/>
        <v>1.6976972250567988E-4</v>
      </c>
      <c r="D2291" s="3" t="str">
        <f t="shared" si="143"/>
        <v>2021</v>
      </c>
      <c r="J2291" s="270" t="s">
        <v>13381</v>
      </c>
      <c r="K2291" s="4837">
        <v>59011.087789388228</v>
      </c>
      <c r="L2291" s="4834">
        <f t="shared" si="145"/>
        <v>1.0524919092806239E-5</v>
      </c>
      <c r="S2291" s="270" t="s">
        <v>13369</v>
      </c>
      <c r="T2291" s="4838">
        <v>799.58906716177796</v>
      </c>
      <c r="U2291" s="4839">
        <f t="shared" si="144"/>
        <v>1.5447467892920664E-3</v>
      </c>
    </row>
    <row r="2292" spans="1:21">
      <c r="A2292" s="270" t="s">
        <v>13371</v>
      </c>
      <c r="B2292" s="3305">
        <v>8014.5</v>
      </c>
      <c r="C2292" s="4834">
        <f t="shared" si="142"/>
        <v>1.6534744608040955E-4</v>
      </c>
      <c r="D2292" s="3" t="str">
        <f t="shared" si="143"/>
        <v>2021</v>
      </c>
      <c r="J2292" s="270" t="s">
        <v>13382</v>
      </c>
      <c r="K2292" s="4837">
        <v>57418.018296912713</v>
      </c>
      <c r="L2292" s="4834">
        <f t="shared" si="145"/>
        <v>1.5052532771596835E-5</v>
      </c>
      <c r="S2292" s="270" t="s">
        <v>13370</v>
      </c>
      <c r="T2292" s="4838">
        <v>813.41388818628786</v>
      </c>
      <c r="U2292" s="4839">
        <f t="shared" si="144"/>
        <v>1.435228884267916E-3</v>
      </c>
    </row>
    <row r="2293" spans="1:21">
      <c r="A2293" s="270" t="s">
        <v>13372</v>
      </c>
      <c r="B2293" s="3305">
        <v>8051</v>
      </c>
      <c r="C2293" s="4834">
        <f t="shared" si="142"/>
        <v>1.5962969506791059E-4</v>
      </c>
      <c r="D2293" s="3" t="str">
        <f t="shared" si="143"/>
        <v>2021</v>
      </c>
      <c r="J2293" s="270" t="s">
        <v>13383</v>
      </c>
      <c r="K2293" s="4837">
        <v>57966.188525907819</v>
      </c>
      <c r="L2293" s="4834">
        <f t="shared" si="145"/>
        <v>1.3376173530851716E-5</v>
      </c>
      <c r="S2293" s="270" t="s">
        <v>13371</v>
      </c>
      <c r="T2293" s="4838">
        <v>813.41388818628786</v>
      </c>
      <c r="U2293" s="4839">
        <f t="shared" si="144"/>
        <v>1.435228884267916E-3</v>
      </c>
    </row>
    <row r="2294" spans="1:21">
      <c r="A2294" s="270" t="s">
        <v>13373</v>
      </c>
      <c r="B2294" s="3305">
        <v>7872</v>
      </c>
      <c r="C2294" s="4834">
        <f t="shared" si="142"/>
        <v>1.8809156123097897E-4</v>
      </c>
      <c r="D2294" s="3" t="str">
        <f t="shared" si="143"/>
        <v>2021</v>
      </c>
      <c r="J2294" s="270" t="s">
        <v>13384</v>
      </c>
      <c r="K2294" s="4837">
        <v>59004.657640074503</v>
      </c>
      <c r="L2294" s="4834">
        <f t="shared" si="145"/>
        <v>1.0541077692880081E-5</v>
      </c>
      <c r="S2294" s="270" t="s">
        <v>13372</v>
      </c>
      <c r="T2294" s="4838">
        <v>831.7398137304059</v>
      </c>
      <c r="U2294" s="4839">
        <f t="shared" si="144"/>
        <v>1.2893568290837821E-3</v>
      </c>
    </row>
    <row r="2295" spans="1:21">
      <c r="A2295" s="270" t="s">
        <v>13374</v>
      </c>
      <c r="B2295" s="3305">
        <v>7984.5</v>
      </c>
      <c r="C2295" s="4834">
        <f t="shared" si="142"/>
        <v>1.7008668164149397E-4</v>
      </c>
      <c r="D2295" s="3" t="str">
        <f t="shared" si="143"/>
        <v>2021</v>
      </c>
      <c r="J2295" s="270" t="s">
        <v>13385</v>
      </c>
      <c r="K2295" s="4837">
        <v>59144.513387648032</v>
      </c>
      <c r="L2295" s="4834">
        <f t="shared" si="145"/>
        <v>1.0193485473716741E-5</v>
      </c>
      <c r="S2295" s="270" t="s">
        <v>13373</v>
      </c>
      <c r="T2295" s="4838">
        <v>814.05690311766057</v>
      </c>
      <c r="U2295" s="4839">
        <f t="shared" si="144"/>
        <v>1.430109284217323E-3</v>
      </c>
    </row>
    <row r="2296" spans="1:21">
      <c r="A2296" s="270" t="s">
        <v>13375</v>
      </c>
      <c r="B2296" s="3305">
        <v>7957</v>
      </c>
      <c r="C2296" s="4834">
        <f t="shared" si="142"/>
        <v>1.7445810694348836E-4</v>
      </c>
      <c r="D2296" s="3" t="str">
        <f t="shared" si="143"/>
        <v>2021</v>
      </c>
      <c r="J2296" s="270" t="s">
        <v>13386</v>
      </c>
      <c r="K2296" s="4837">
        <v>59242.573164682355</v>
      </c>
      <c r="L2296" s="4834">
        <f t="shared" si="145"/>
        <v>9.95458322169437E-6</v>
      </c>
      <c r="S2296" s="270" t="s">
        <v>13374</v>
      </c>
      <c r="T2296" s="4838">
        <v>824.34514201962145</v>
      </c>
      <c r="U2296" s="4839">
        <f t="shared" si="144"/>
        <v>1.3481363288674381E-3</v>
      </c>
    </row>
    <row r="2297" spans="1:21">
      <c r="A2297" s="270" t="s">
        <v>13376</v>
      </c>
      <c r="B2297" s="3305">
        <v>7895</v>
      </c>
      <c r="C2297" s="4834">
        <f t="shared" si="142"/>
        <v>1.8438845056918947E-4</v>
      </c>
      <c r="D2297" s="3" t="str">
        <f t="shared" si="143"/>
        <v>2021</v>
      </c>
      <c r="J2297" s="270" t="s">
        <v>13387</v>
      </c>
      <c r="K2297" s="4837">
        <v>59160.588760932347</v>
      </c>
      <c r="L2297" s="4834">
        <f t="shared" si="145"/>
        <v>1.0154049779187025E-5</v>
      </c>
      <c r="S2297" s="270" t="s">
        <v>13375</v>
      </c>
      <c r="T2297" s="4838">
        <v>816.6289628431507</v>
      </c>
      <c r="U2297" s="4839">
        <f t="shared" si="144"/>
        <v>1.4096208699622462E-3</v>
      </c>
    </row>
    <row r="2298" spans="1:21">
      <c r="A2298" s="270" t="s">
        <v>13377</v>
      </c>
      <c r="B2298" s="3305">
        <v>7778.5</v>
      </c>
      <c r="C2298" s="4834">
        <f t="shared" si="142"/>
        <v>2.0318692547889163E-4</v>
      </c>
      <c r="D2298" s="3" t="str">
        <f t="shared" si="143"/>
        <v>2021</v>
      </c>
      <c r="J2298" s="270" t="s">
        <v>13388</v>
      </c>
      <c r="K2298" s="4837">
        <v>58397.008529927436</v>
      </c>
      <c r="L2298" s="4834">
        <f t="shared" si="145"/>
        <v>1.214556171493441E-5</v>
      </c>
      <c r="S2298" s="270" t="s">
        <v>13376</v>
      </c>
      <c r="T2298" s="4838">
        <v>809.87730606373884</v>
      </c>
      <c r="U2298" s="4839">
        <f t="shared" si="144"/>
        <v>1.4633597781880902E-3</v>
      </c>
    </row>
    <row r="2299" spans="1:21">
      <c r="A2299" s="270" t="s">
        <v>13378</v>
      </c>
      <c r="B2299" s="3305">
        <v>7877</v>
      </c>
      <c r="C2299" s="4834">
        <f t="shared" si="142"/>
        <v>1.8728588824756749E-4</v>
      </c>
      <c r="D2299" s="3" t="str">
        <f t="shared" si="143"/>
        <v>2021</v>
      </c>
      <c r="J2299" s="270" t="s">
        <v>13389</v>
      </c>
      <c r="K2299" s="4837">
        <v>58427.551739167626</v>
      </c>
      <c r="L2299" s="4834">
        <f t="shared" si="145"/>
        <v>1.2061245217049474E-5</v>
      </c>
      <c r="S2299" s="270" t="s">
        <v>13377</v>
      </c>
      <c r="T2299" s="4838">
        <v>810.52032099511143</v>
      </c>
      <c r="U2299" s="4839">
        <f t="shared" si="144"/>
        <v>1.4582490553022632E-3</v>
      </c>
    </row>
    <row r="2300" spans="1:21">
      <c r="A2300" s="270" t="s">
        <v>13379</v>
      </c>
      <c r="B2300" s="3305">
        <v>7827</v>
      </c>
      <c r="C2300" s="4834">
        <f t="shared" si="142"/>
        <v>1.9535360640964277E-4</v>
      </c>
      <c r="D2300" s="3" t="str">
        <f t="shared" si="143"/>
        <v>2021</v>
      </c>
      <c r="J2300" s="270" t="s">
        <v>13390</v>
      </c>
      <c r="K2300" s="4837">
        <v>57686.477030760754</v>
      </c>
      <c r="L2300" s="4834">
        <f t="shared" si="145"/>
        <v>1.4216228361639554E-5</v>
      </c>
      <c r="S2300" s="270" t="s">
        <v>13378</v>
      </c>
      <c r="T2300" s="4838">
        <v>881.57347091177928</v>
      </c>
      <c r="U2300" s="4839">
        <f t="shared" si="144"/>
        <v>9.1096403734692135E-4</v>
      </c>
    </row>
    <row r="2301" spans="1:21">
      <c r="A2301" s="270" t="s">
        <v>13380</v>
      </c>
      <c r="B2301" s="3305">
        <v>7755.5</v>
      </c>
      <c r="C2301" s="4834">
        <f t="shared" si="142"/>
        <v>2.0689712582439224E-4</v>
      </c>
      <c r="D2301" s="3" t="str">
        <f t="shared" si="143"/>
        <v>2021</v>
      </c>
      <c r="J2301" s="270" t="s">
        <v>13391</v>
      </c>
      <c r="K2301" s="4837">
        <v>57250.834414755853</v>
      </c>
      <c r="L2301" s="4834">
        <f t="shared" si="145"/>
        <v>1.5588017334414469E-5</v>
      </c>
      <c r="S2301" s="270" t="s">
        <v>13379</v>
      </c>
      <c r="T2301" s="4838">
        <v>951.34059096570195</v>
      </c>
      <c r="U2301" s="4839">
        <f t="shared" si="144"/>
        <v>4.8820264934405826E-4</v>
      </c>
    </row>
    <row r="2302" spans="1:21">
      <c r="A2302" s="270" t="s">
        <v>13381</v>
      </c>
      <c r="B2302" s="3305">
        <v>7832.5</v>
      </c>
      <c r="C2302" s="4834">
        <f t="shared" si="142"/>
        <v>1.9446529783256436E-4</v>
      </c>
      <c r="D2302" s="3" t="str">
        <f t="shared" si="143"/>
        <v>2021</v>
      </c>
      <c r="J2302" s="270" t="s">
        <v>13392</v>
      </c>
      <c r="K2302" s="4837">
        <v>57008.096278162709</v>
      </c>
      <c r="L2302" s="4834">
        <f t="shared" si="145"/>
        <v>1.638521701199937E-5</v>
      </c>
      <c r="S2302" s="270" t="s">
        <v>13380</v>
      </c>
      <c r="T2302" s="4838">
        <v>878.67990372060262</v>
      </c>
      <c r="U2302" s="4839">
        <f t="shared" si="144"/>
        <v>9.316075414866437E-4</v>
      </c>
    </row>
    <row r="2303" spans="1:21">
      <c r="A2303" s="270" t="s">
        <v>13382</v>
      </c>
      <c r="B2303" s="3305">
        <v>7833.5</v>
      </c>
      <c r="C2303" s="4834">
        <f t="shared" si="142"/>
        <v>1.9430380010550586E-4</v>
      </c>
      <c r="D2303" s="3" t="str">
        <f t="shared" si="143"/>
        <v>2021</v>
      </c>
      <c r="J2303" s="270" t="s">
        <v>13393</v>
      </c>
      <c r="K2303" s="4837">
        <v>57427.663520883303</v>
      </c>
      <c r="L2303" s="4834">
        <f t="shared" si="145"/>
        <v>1.5021981084262566E-5</v>
      </c>
      <c r="S2303" s="270" t="s">
        <v>13381</v>
      </c>
      <c r="T2303" s="4838">
        <v>861.64000803922988</v>
      </c>
      <c r="U2303" s="4839">
        <f t="shared" si="144"/>
        <v>1.0570922254576438E-3</v>
      </c>
    </row>
    <row r="2304" spans="1:21">
      <c r="A2304" s="270" t="s">
        <v>13383</v>
      </c>
      <c r="B2304" s="3305">
        <v>7936.5</v>
      </c>
      <c r="C2304" s="4834">
        <f t="shared" si="142"/>
        <v>1.7773135228812007E-4</v>
      </c>
      <c r="D2304" s="3" t="str">
        <f t="shared" si="143"/>
        <v>2021</v>
      </c>
      <c r="J2304" s="270" t="s">
        <v>13394</v>
      </c>
      <c r="K2304" s="4837">
        <v>58110.866885466647</v>
      </c>
      <c r="L2304" s="4834">
        <f t="shared" si="145"/>
        <v>1.2954319836842503E-5</v>
      </c>
      <c r="S2304" s="270" t="s">
        <v>13382</v>
      </c>
      <c r="T2304" s="4838">
        <v>848.77970941177875</v>
      </c>
      <c r="U2304" s="4839">
        <f t="shared" si="144"/>
        <v>1.1555304846892723E-3</v>
      </c>
    </row>
    <row r="2305" spans="1:21">
      <c r="A2305" s="270" t="s">
        <v>13384</v>
      </c>
      <c r="B2305" s="3305">
        <v>8007</v>
      </c>
      <c r="C2305" s="4834">
        <f t="shared" si="142"/>
        <v>1.6652910935065335E-4</v>
      </c>
      <c r="D2305" s="3" t="str">
        <f t="shared" si="143"/>
        <v>2021</v>
      </c>
      <c r="J2305" s="270" t="s">
        <v>13395</v>
      </c>
      <c r="K2305" s="4837">
        <v>57860.091062231346</v>
      </c>
      <c r="L2305" s="4834">
        <f t="shared" si="145"/>
        <v>1.3691028858007499E-5</v>
      </c>
      <c r="S2305" s="270" t="s">
        <v>13383</v>
      </c>
      <c r="T2305" s="4838">
        <v>852.95930646570037</v>
      </c>
      <c r="U2305" s="4839">
        <f t="shared" si="144"/>
        <v>1.1232427783014784E-3</v>
      </c>
    </row>
    <row r="2306" spans="1:21">
      <c r="A2306" s="270" t="s">
        <v>13385</v>
      </c>
      <c r="B2306" s="3305">
        <v>8146.5</v>
      </c>
      <c r="C2306" s="4834">
        <f t="shared" si="142"/>
        <v>1.4497631099899796E-4</v>
      </c>
      <c r="D2306" s="3" t="str">
        <f t="shared" si="143"/>
        <v>2021</v>
      </c>
      <c r="J2306" s="270" t="s">
        <v>13396</v>
      </c>
      <c r="K2306" s="4837">
        <v>57485.534864706831</v>
      </c>
      <c r="L2306" s="4834">
        <f t="shared" si="145"/>
        <v>1.4839457881321402E-5</v>
      </c>
      <c r="S2306" s="270" t="s">
        <v>13384</v>
      </c>
      <c r="T2306" s="4838">
        <v>873.85729173530854</v>
      </c>
      <c r="U2306" s="4839">
        <f t="shared" si="144"/>
        <v>9.6646570435409405E-4</v>
      </c>
    </row>
    <row r="2307" spans="1:21">
      <c r="A2307" s="270" t="s">
        <v>13386</v>
      </c>
      <c r="B2307" s="3305">
        <v>8279.5</v>
      </c>
      <c r="C2307" s="4834">
        <f t="shared" si="142"/>
        <v>1.2550312186927466E-4</v>
      </c>
      <c r="D2307" s="3" t="str">
        <f t="shared" si="143"/>
        <v>2021</v>
      </c>
      <c r="J2307" s="270" t="s">
        <v>13397</v>
      </c>
      <c r="K2307" s="4837">
        <v>57217.07613085879</v>
      </c>
      <c r="L2307" s="4834">
        <f t="shared" si="145"/>
        <v>1.5697495855133906E-5</v>
      </c>
      <c r="S2307" s="270" t="s">
        <v>13385</v>
      </c>
      <c r="T2307" s="4838">
        <v>888.64663515687744</v>
      </c>
      <c r="U2307" s="4839">
        <f t="shared" si="144"/>
        <v>8.6140673968002372E-4</v>
      </c>
    </row>
    <row r="2308" spans="1:21">
      <c r="A2308" s="270" t="s">
        <v>13387</v>
      </c>
      <c r="B2308" s="3305">
        <v>8292</v>
      </c>
      <c r="C2308" s="4834">
        <f t="shared" ref="C2308:C2371" si="146">_xlfn.NORM.DIST(B2308,$F$4,$F$3,FALSE)</f>
        <v>1.237380903092308E-4</v>
      </c>
      <c r="D2308" s="3" t="str">
        <f t="shared" ref="D2308:D2371" si="147">LEFT(A2308,4)</f>
        <v>2021</v>
      </c>
      <c r="J2308" s="270" t="s">
        <v>13398</v>
      </c>
      <c r="K2308" s="4837">
        <v>56033.92865713327</v>
      </c>
      <c r="L2308" s="4834">
        <f t="shared" si="145"/>
        <v>1.9808339039016304E-5</v>
      </c>
      <c r="S2308" s="270" t="s">
        <v>13386</v>
      </c>
      <c r="T2308" s="4838">
        <v>875.4648290637399</v>
      </c>
      <c r="U2308" s="4839">
        <f t="shared" ref="U2308:U2371" si="148">_xlfn.NORM.DIST(T2308,$X$4,$X$3,FALSE)</f>
        <v>9.5478501846971392E-4</v>
      </c>
    </row>
    <row r="2309" spans="1:21">
      <c r="A2309" s="270" t="s">
        <v>13388</v>
      </c>
      <c r="B2309" s="3305">
        <v>8270.5</v>
      </c>
      <c r="C2309" s="4834">
        <f t="shared" si="146"/>
        <v>1.2678132415730104E-4</v>
      </c>
      <c r="D2309" s="3" t="str">
        <f t="shared" si="147"/>
        <v>2021</v>
      </c>
      <c r="J2309" s="270" t="s">
        <v>13399</v>
      </c>
      <c r="K2309" s="4837">
        <v>55754.21716198622</v>
      </c>
      <c r="L2309" s="4834">
        <f t="shared" ref="L2309:L2372" si="149">_xlfn.NORM.DIST(K2309,$O$4,$O$3,FALSE)</f>
        <v>2.0852791419015605E-5</v>
      </c>
      <c r="S2309" s="270" t="s">
        <v>13387</v>
      </c>
      <c r="T2309" s="4838">
        <v>872.24975440687717</v>
      </c>
      <c r="U2309" s="4839">
        <f t="shared" si="148"/>
        <v>9.7820602458785185E-4</v>
      </c>
    </row>
    <row r="2310" spans="1:21">
      <c r="A2310" s="270" t="s">
        <v>13389</v>
      </c>
      <c r="B2310" s="3305">
        <v>8416.5</v>
      </c>
      <c r="C2310" s="4834">
        <f t="shared" si="146"/>
        <v>1.0684779496890666E-4</v>
      </c>
      <c r="D2310" s="3" t="str">
        <f t="shared" si="147"/>
        <v>2021</v>
      </c>
      <c r="J2310" s="270" t="s">
        <v>13400</v>
      </c>
      <c r="K2310" s="4837">
        <v>55423.064472329344</v>
      </c>
      <c r="L2310" s="4834">
        <f t="shared" si="149"/>
        <v>2.2121286275254147E-5</v>
      </c>
      <c r="S2310" s="270" t="s">
        <v>13388</v>
      </c>
      <c r="T2310" s="4838">
        <v>870.3207096127594</v>
      </c>
      <c r="U2310" s="4839">
        <f t="shared" si="148"/>
        <v>9.9237131304482978E-4</v>
      </c>
    </row>
    <row r="2311" spans="1:21">
      <c r="A2311" s="270" t="s">
        <v>13390</v>
      </c>
      <c r="B2311" s="3305">
        <v>8439.5</v>
      </c>
      <c r="C2311" s="4834">
        <f t="shared" si="146"/>
        <v>1.0387209432120629E-4</v>
      </c>
      <c r="D2311" s="3" t="str">
        <f t="shared" si="147"/>
        <v>2021</v>
      </c>
      <c r="J2311" s="270" t="s">
        <v>13401</v>
      </c>
      <c r="K2311" s="4837">
        <v>55022.787677549932</v>
      </c>
      <c r="L2311" s="4834">
        <f t="shared" si="149"/>
        <v>2.3696791813960609E-5</v>
      </c>
      <c r="S2311" s="270" t="s">
        <v>13389</v>
      </c>
      <c r="T2311" s="4838">
        <v>886.39608289707348</v>
      </c>
      <c r="U2311" s="4839">
        <f t="shared" si="148"/>
        <v>8.7703206912788107E-4</v>
      </c>
    </row>
    <row r="2312" spans="1:21">
      <c r="A2312" s="270" t="s">
        <v>13391</v>
      </c>
      <c r="B2312" s="3305">
        <v>8413.5</v>
      </c>
      <c r="C2312" s="4834">
        <f t="shared" si="146"/>
        <v>1.0723937087038611E-4</v>
      </c>
      <c r="D2312" s="3" t="str">
        <f t="shared" si="147"/>
        <v>2021</v>
      </c>
      <c r="J2312" s="270" t="s">
        <v>13402</v>
      </c>
      <c r="K2312" s="4837">
        <v>55045.293200147964</v>
      </c>
      <c r="L2312" s="4834">
        <f t="shared" si="149"/>
        <v>2.3607072448120046E-5</v>
      </c>
      <c r="S2312" s="270" t="s">
        <v>13390</v>
      </c>
      <c r="T2312" s="4838">
        <v>886.71759036275967</v>
      </c>
      <c r="U2312" s="4839">
        <f t="shared" si="148"/>
        <v>8.7479158002553876E-4</v>
      </c>
    </row>
    <row r="2313" spans="1:21">
      <c r="A2313" s="270" t="s">
        <v>13392</v>
      </c>
      <c r="B2313" s="3305">
        <v>8650</v>
      </c>
      <c r="C2313" s="4834">
        <f t="shared" si="146"/>
        <v>7.8905373013961168E-5</v>
      </c>
      <c r="D2313" s="3" t="str">
        <f t="shared" si="147"/>
        <v>2021</v>
      </c>
      <c r="J2313" s="270" t="s">
        <v>13403</v>
      </c>
      <c r="K2313" s="4837">
        <v>54535.703867035219</v>
      </c>
      <c r="L2313" s="4834">
        <f t="shared" si="149"/>
        <v>2.5668153356654004E-5</v>
      </c>
      <c r="S2313" s="270" t="s">
        <v>13391</v>
      </c>
      <c r="T2313" s="4838">
        <v>871.92824694119088</v>
      </c>
      <c r="U2313" s="4839">
        <f t="shared" si="148"/>
        <v>9.8056113210653428E-4</v>
      </c>
    </row>
    <row r="2314" spans="1:21">
      <c r="A2314" s="270" t="s">
        <v>13393</v>
      </c>
      <c r="B2314" s="3305">
        <v>8806.5</v>
      </c>
      <c r="C2314" s="4834">
        <f t="shared" si="146"/>
        <v>6.3098024397513928E-5</v>
      </c>
      <c r="D2314" s="3" t="str">
        <f t="shared" si="147"/>
        <v>2021</v>
      </c>
      <c r="J2314" s="270" t="s">
        <v>13404</v>
      </c>
      <c r="K2314" s="4837">
        <v>54239.916998603832</v>
      </c>
      <c r="L2314" s="4834">
        <f t="shared" si="149"/>
        <v>2.6889551330176607E-5</v>
      </c>
      <c r="S2314" s="270" t="s">
        <v>13392</v>
      </c>
      <c r="T2314" s="4838">
        <v>873.53578426962235</v>
      </c>
      <c r="U2314" s="4839">
        <f t="shared" si="148"/>
        <v>9.6880903837165107E-4</v>
      </c>
    </row>
    <row r="2315" spans="1:21">
      <c r="A2315" s="270" t="s">
        <v>13394</v>
      </c>
      <c r="B2315" s="3305">
        <v>9067.5</v>
      </c>
      <c r="C2315" s="4834">
        <f t="shared" si="146"/>
        <v>4.1908030374933328E-5</v>
      </c>
      <c r="D2315" s="3" t="str">
        <f t="shared" si="147"/>
        <v>2021</v>
      </c>
      <c r="J2315" s="270" t="s">
        <v>13405</v>
      </c>
      <c r="K2315" s="4837">
        <v>55199.616783677382</v>
      </c>
      <c r="L2315" s="4834">
        <f t="shared" si="149"/>
        <v>2.2995407666950008E-5</v>
      </c>
      <c r="S2315" s="270" t="s">
        <v>13393</v>
      </c>
      <c r="T2315" s="4838">
        <v>866.46262002452409</v>
      </c>
      <c r="U2315" s="4839">
        <f t="shared" si="148"/>
        <v>1.020944763140389E-3</v>
      </c>
    </row>
    <row r="2316" spans="1:21">
      <c r="A2316" s="270" t="s">
        <v>13395</v>
      </c>
      <c r="B2316" s="3305">
        <v>9158</v>
      </c>
      <c r="C2316" s="4834">
        <f t="shared" si="146"/>
        <v>3.5980146148659822E-5</v>
      </c>
      <c r="D2316" s="3" t="str">
        <f t="shared" si="147"/>
        <v>2021</v>
      </c>
      <c r="J2316" s="270" t="s">
        <v>13406</v>
      </c>
      <c r="K2316" s="4837">
        <v>55177.111261079343</v>
      </c>
      <c r="L2316" s="4834">
        <f t="shared" si="149"/>
        <v>2.3084215184750303E-5</v>
      </c>
      <c r="S2316" s="270" t="s">
        <v>13394</v>
      </c>
      <c r="T2316" s="4838">
        <v>882.53799330883805</v>
      </c>
      <c r="U2316" s="4839">
        <f t="shared" si="148"/>
        <v>9.0412961736265529E-4</v>
      </c>
    </row>
    <row r="2317" spans="1:21">
      <c r="A2317" s="270" t="s">
        <v>13396</v>
      </c>
      <c r="B2317" s="3305">
        <v>9286</v>
      </c>
      <c r="C2317" s="4834">
        <f t="shared" si="146"/>
        <v>2.8729554683642139E-5</v>
      </c>
      <c r="D2317" s="3" t="str">
        <f t="shared" si="147"/>
        <v>2021</v>
      </c>
      <c r="J2317" s="270" t="s">
        <v>13407</v>
      </c>
      <c r="K2317" s="4837">
        <v>55435.924770956794</v>
      </c>
      <c r="L2317" s="4834">
        <f t="shared" si="149"/>
        <v>2.2071409656637174E-5</v>
      </c>
      <c r="S2317" s="270" t="s">
        <v>13395</v>
      </c>
      <c r="T2317" s="4838">
        <v>899.25638152452461</v>
      </c>
      <c r="U2317" s="4839">
        <f t="shared" si="148"/>
        <v>7.8963603365707065E-4</v>
      </c>
    </row>
    <row r="2318" spans="1:21">
      <c r="A2318" s="270" t="s">
        <v>13397</v>
      </c>
      <c r="B2318" s="3305">
        <v>9614.5</v>
      </c>
      <c r="C2318" s="4834">
        <f t="shared" si="146"/>
        <v>1.5337827164772894E-5</v>
      </c>
      <c r="D2318" s="3" t="str">
        <f t="shared" si="147"/>
        <v>2021</v>
      </c>
      <c r="J2318" s="270" t="s">
        <v>13408</v>
      </c>
      <c r="K2318" s="4837">
        <v>54810.592750196978</v>
      </c>
      <c r="L2318" s="4834">
        <f t="shared" si="149"/>
        <v>2.4548886602133042E-5</v>
      </c>
      <c r="S2318" s="270" t="s">
        <v>13396</v>
      </c>
      <c r="T2318" s="4838">
        <v>892.18321727942646</v>
      </c>
      <c r="U2318" s="4839">
        <f t="shared" si="148"/>
        <v>8.3713097278164663E-4</v>
      </c>
    </row>
    <row r="2319" spans="1:21">
      <c r="A2319" s="270" t="s">
        <v>13398</v>
      </c>
      <c r="B2319" s="3305">
        <v>9172.5</v>
      </c>
      <c r="C2319" s="4834">
        <f t="shared" si="146"/>
        <v>3.5093774049830381E-5</v>
      </c>
      <c r="D2319" s="3" t="str">
        <f t="shared" si="147"/>
        <v>2021</v>
      </c>
      <c r="J2319" s="270" t="s">
        <v>13409</v>
      </c>
      <c r="K2319" s="4837">
        <v>55416.63432301562</v>
      </c>
      <c r="L2319" s="4834">
        <f t="shared" si="149"/>
        <v>2.2146242630799642E-5</v>
      </c>
      <c r="S2319" s="270" t="s">
        <v>13397</v>
      </c>
      <c r="T2319" s="4838">
        <v>897.97035166177955</v>
      </c>
      <c r="U2319" s="4839">
        <f t="shared" si="148"/>
        <v>7.9816424917998206E-4</v>
      </c>
    </row>
    <row r="2320" spans="1:21">
      <c r="A2320" s="270" t="s">
        <v>13399</v>
      </c>
      <c r="B2320" s="3305">
        <v>9198</v>
      </c>
      <c r="C2320" s="4834">
        <f t="shared" si="146"/>
        <v>3.3576183966291946E-5</v>
      </c>
      <c r="D2320" s="3" t="str">
        <f t="shared" si="147"/>
        <v>2021</v>
      </c>
      <c r="J2320" s="270" t="s">
        <v>13410</v>
      </c>
      <c r="K2320" s="4837">
        <v>55781.545296569544</v>
      </c>
      <c r="L2320" s="4834">
        <f t="shared" si="149"/>
        <v>2.0749626299364124E-5</v>
      </c>
      <c r="S2320" s="270" t="s">
        <v>13398</v>
      </c>
      <c r="T2320" s="4838">
        <v>858.10342591668086</v>
      </c>
      <c r="U2320" s="4839">
        <f t="shared" si="148"/>
        <v>1.0838834013945067E-3</v>
      </c>
    </row>
    <row r="2321" spans="1:21">
      <c r="A2321" s="270" t="s">
        <v>13400</v>
      </c>
      <c r="B2321" s="3305">
        <v>9213.5</v>
      </c>
      <c r="C2321" s="4834">
        <f t="shared" si="146"/>
        <v>3.2679047126986778E-5</v>
      </c>
      <c r="D2321" s="3" t="str">
        <f t="shared" si="147"/>
        <v>2021</v>
      </c>
      <c r="J2321" s="270" t="s">
        <v>13411</v>
      </c>
      <c r="K2321" s="4837">
        <v>55609.538802427385</v>
      </c>
      <c r="L2321" s="4834">
        <f t="shared" si="149"/>
        <v>2.1402873098268433E-5</v>
      </c>
      <c r="S2321" s="270" t="s">
        <v>13399</v>
      </c>
      <c r="T2321" s="4838">
        <v>864.53357523040643</v>
      </c>
      <c r="U2321" s="4839">
        <f t="shared" si="148"/>
        <v>1.0353481742209948E-3</v>
      </c>
    </row>
    <row r="2322" spans="1:21">
      <c r="A2322" s="270" t="s">
        <v>13401</v>
      </c>
      <c r="B2322" s="3305">
        <v>9266</v>
      </c>
      <c r="C2322" s="4834">
        <f t="shared" si="146"/>
        <v>2.9779196324507304E-5</v>
      </c>
      <c r="D2322" s="3" t="str">
        <f t="shared" si="147"/>
        <v>2021</v>
      </c>
      <c r="J2322" s="270" t="s">
        <v>13412</v>
      </c>
      <c r="K2322" s="4837">
        <v>55488.973502795037</v>
      </c>
      <c r="L2322" s="4834">
        <f t="shared" si="149"/>
        <v>2.1866180874635243E-5</v>
      </c>
      <c r="S2322" s="270" t="s">
        <v>13400</v>
      </c>
      <c r="T2322" s="4838">
        <v>844.27860489217085</v>
      </c>
      <c r="U2322" s="4839">
        <f t="shared" si="148"/>
        <v>1.1905742089066572E-3</v>
      </c>
    </row>
    <row r="2323" spans="1:21">
      <c r="A2323" s="270" t="s">
        <v>13402</v>
      </c>
      <c r="B2323" s="3305">
        <v>8786.5</v>
      </c>
      <c r="C2323" s="4834">
        <f t="shared" si="146"/>
        <v>6.4985924769938146E-5</v>
      </c>
      <c r="D2323" s="3" t="str">
        <f t="shared" si="147"/>
        <v>2021</v>
      </c>
      <c r="J2323" s="270" t="s">
        <v>13413</v>
      </c>
      <c r="K2323" s="4837">
        <v>55787.975445883276</v>
      </c>
      <c r="L2323" s="4834">
        <f t="shared" si="149"/>
        <v>2.0725386781639491E-5</v>
      </c>
      <c r="S2323" s="270" t="s">
        <v>13401</v>
      </c>
      <c r="T2323" s="4838">
        <v>854.88835125981802</v>
      </c>
      <c r="U2323" s="4839">
        <f t="shared" si="148"/>
        <v>1.1084314580891196E-3</v>
      </c>
    </row>
    <row r="2324" spans="1:21">
      <c r="A2324" s="270" t="s">
        <v>13403</v>
      </c>
      <c r="B2324" s="3305">
        <v>9021.5</v>
      </c>
      <c r="C2324" s="4834">
        <f t="shared" si="146"/>
        <v>4.5191113888775541E-5</v>
      </c>
      <c r="D2324" s="3" t="str">
        <f t="shared" si="147"/>
        <v>2021</v>
      </c>
      <c r="J2324" s="270" t="s">
        <v>13414</v>
      </c>
      <c r="K2324" s="4837">
        <v>55818.518655123473</v>
      </c>
      <c r="L2324" s="4834">
        <f t="shared" si="149"/>
        <v>2.0610430124931038E-5</v>
      </c>
      <c r="S2324" s="270" t="s">
        <v>13402</v>
      </c>
      <c r="T2324" s="4838">
        <v>834.63338092158244</v>
      </c>
      <c r="U2324" s="4839">
        <f t="shared" si="148"/>
        <v>1.2664390144359397E-3</v>
      </c>
    </row>
    <row r="2325" spans="1:21">
      <c r="A2325" s="270" t="s">
        <v>13404</v>
      </c>
      <c r="B2325" s="3305">
        <v>8992.5</v>
      </c>
      <c r="C2325" s="4834">
        <f t="shared" si="146"/>
        <v>4.7357430240189884E-5</v>
      </c>
      <c r="D2325" s="3" t="str">
        <f t="shared" si="147"/>
        <v>2021</v>
      </c>
      <c r="J2325" s="270" t="s">
        <v>13415</v>
      </c>
      <c r="K2325" s="4837">
        <v>55498.618726765621</v>
      </c>
      <c r="L2325" s="4834">
        <f t="shared" si="149"/>
        <v>2.1828955791185369E-5</v>
      </c>
      <c r="S2325" s="270" t="s">
        <v>13403</v>
      </c>
      <c r="T2325" s="4838">
        <v>815.34293298040564</v>
      </c>
      <c r="U2325" s="4839">
        <f t="shared" si="148"/>
        <v>1.4198667939661965E-3</v>
      </c>
    </row>
    <row r="2326" spans="1:21">
      <c r="A2326" s="270" t="s">
        <v>13405</v>
      </c>
      <c r="B2326" s="3305">
        <v>8895</v>
      </c>
      <c r="C2326" s="4834">
        <f t="shared" si="146"/>
        <v>5.5203681938545861E-5</v>
      </c>
      <c r="D2326" s="3" t="str">
        <f t="shared" si="147"/>
        <v>2021</v>
      </c>
      <c r="J2326" s="270" t="s">
        <v>13416</v>
      </c>
      <c r="K2326" s="4837">
        <v>55636.866937010724</v>
      </c>
      <c r="L2326" s="4834">
        <f t="shared" si="149"/>
        <v>2.1298470457506843E-5</v>
      </c>
      <c r="S2326" s="270" t="s">
        <v>13404</v>
      </c>
      <c r="T2326" s="4838">
        <v>808.91278366668007</v>
      </c>
      <c r="U2326" s="4839">
        <f t="shared" si="148"/>
        <v>1.4710219031976069E-3</v>
      </c>
    </row>
    <row r="2327" spans="1:21">
      <c r="A2327" s="270" t="s">
        <v>13406</v>
      </c>
      <c r="B2327" s="3305">
        <v>8939</v>
      </c>
      <c r="C2327" s="4834">
        <f t="shared" si="146"/>
        <v>5.1554073269885799E-5</v>
      </c>
      <c r="D2327" s="3" t="str">
        <f t="shared" si="147"/>
        <v>2021</v>
      </c>
      <c r="J2327" s="270" t="s">
        <v>13417</v>
      </c>
      <c r="K2327" s="4837">
        <v>55855.492013677394</v>
      </c>
      <c r="L2327" s="4834">
        <f t="shared" si="149"/>
        <v>2.0471674562511719E-5</v>
      </c>
      <c r="S2327" s="270" t="s">
        <v>13405</v>
      </c>
      <c r="T2327" s="4838">
        <v>828.20323160785676</v>
      </c>
      <c r="U2327" s="4839">
        <f t="shared" si="148"/>
        <v>1.3174379619534163E-3</v>
      </c>
    </row>
    <row r="2328" spans="1:21">
      <c r="A2328" s="270" t="s">
        <v>13407</v>
      </c>
      <c r="B2328" s="3305">
        <v>9062.5</v>
      </c>
      <c r="C2328" s="4834">
        <f t="shared" si="146"/>
        <v>4.2255902483512036E-5</v>
      </c>
      <c r="D2328" s="3" t="str">
        <f t="shared" si="147"/>
        <v>2021</v>
      </c>
      <c r="J2328" s="270" t="s">
        <v>13418</v>
      </c>
      <c r="K2328" s="4837">
        <v>55678.662907549937</v>
      </c>
      <c r="L2328" s="4834">
        <f t="shared" si="149"/>
        <v>2.1139241917339126E-5</v>
      </c>
      <c r="S2328" s="270" t="s">
        <v>13406</v>
      </c>
      <c r="T2328" s="4838">
        <v>824.66664948530763</v>
      </c>
      <c r="U2328" s="4839">
        <f t="shared" si="148"/>
        <v>1.3455762341228643E-3</v>
      </c>
    </row>
    <row r="2329" spans="1:21">
      <c r="A2329" s="270" t="s">
        <v>13408</v>
      </c>
      <c r="B2329" s="3305">
        <v>9052.5</v>
      </c>
      <c r="C2329" s="4834">
        <f t="shared" si="146"/>
        <v>4.2958182552336275E-5</v>
      </c>
      <c r="D2329" s="3" t="str">
        <f t="shared" si="147"/>
        <v>2021</v>
      </c>
      <c r="J2329" s="270" t="s">
        <v>13419</v>
      </c>
      <c r="K2329" s="4837">
        <v>54847.566108750907</v>
      </c>
      <c r="L2329" s="4834">
        <f t="shared" si="149"/>
        <v>2.43996344692269E-5</v>
      </c>
      <c r="S2329" s="270" t="s">
        <v>13407</v>
      </c>
      <c r="T2329" s="4838">
        <v>843.95709742648455</v>
      </c>
      <c r="U2329" s="4839">
        <f t="shared" si="148"/>
        <v>1.1930871571067144E-3</v>
      </c>
    </row>
    <row r="2330" spans="1:21">
      <c r="A2330" s="270" t="s">
        <v>13409</v>
      </c>
      <c r="B2330" s="3305">
        <v>9147.5</v>
      </c>
      <c r="C2330" s="4834">
        <f t="shared" si="146"/>
        <v>3.6632734981670181E-5</v>
      </c>
      <c r="D2330" s="3" t="str">
        <f t="shared" si="147"/>
        <v>2021</v>
      </c>
      <c r="J2330" s="270" t="s">
        <v>13420</v>
      </c>
      <c r="K2330" s="4837">
        <v>54140.249684241091</v>
      </c>
      <c r="L2330" s="4834">
        <f t="shared" si="149"/>
        <v>2.7304581645987422E-5</v>
      </c>
      <c r="S2330" s="270" t="s">
        <v>13408</v>
      </c>
      <c r="T2330" s="4838">
        <v>819.20102256864106</v>
      </c>
      <c r="U2330" s="4839">
        <f t="shared" si="148"/>
        <v>1.3891232608677535E-3</v>
      </c>
    </row>
    <row r="2331" spans="1:21">
      <c r="A2331" s="270" t="s">
        <v>13410</v>
      </c>
      <c r="B2331" s="3305">
        <v>8965.5</v>
      </c>
      <c r="C2331" s="4834">
        <f t="shared" si="146"/>
        <v>4.9442633542122815E-5</v>
      </c>
      <c r="D2331" s="3" t="str">
        <f t="shared" si="147"/>
        <v>2021</v>
      </c>
      <c r="J2331" s="270" t="s">
        <v>13421</v>
      </c>
      <c r="K2331" s="4837">
        <v>54368.519984878345</v>
      </c>
      <c r="L2331" s="4834">
        <f t="shared" si="149"/>
        <v>2.6356517917157115E-5</v>
      </c>
      <c r="S2331" s="270" t="s">
        <v>13409</v>
      </c>
      <c r="T2331" s="4838">
        <v>839.13448544119035</v>
      </c>
      <c r="U2331" s="4839">
        <f t="shared" si="148"/>
        <v>1.2309211746232274E-3</v>
      </c>
    </row>
    <row r="2332" spans="1:21">
      <c r="A2332" s="270" t="s">
        <v>13411</v>
      </c>
      <c r="B2332" s="3305">
        <v>9027</v>
      </c>
      <c r="C2332" s="4834">
        <f t="shared" si="146"/>
        <v>4.478874406751781E-5</v>
      </c>
      <c r="D2332" s="3" t="str">
        <f t="shared" si="147"/>
        <v>2021</v>
      </c>
      <c r="J2332" s="270" t="s">
        <v>13422</v>
      </c>
      <c r="K2332" s="4837">
        <v>55493.796114780322</v>
      </c>
      <c r="L2332" s="4834">
        <f t="shared" si="149"/>
        <v>2.1847564881730024E-5</v>
      </c>
      <c r="S2332" s="270" t="s">
        <v>13410</v>
      </c>
      <c r="T2332" s="4838">
        <v>838.49147050981765</v>
      </c>
      <c r="U2332" s="4839">
        <f t="shared" si="148"/>
        <v>1.2359840000467825E-3</v>
      </c>
    </row>
    <row r="2333" spans="1:21">
      <c r="A2333" s="270" t="s">
        <v>13412</v>
      </c>
      <c r="B2333" s="3305">
        <v>9090</v>
      </c>
      <c r="C2333" s="4834">
        <f t="shared" si="146"/>
        <v>4.0369368635424384E-5</v>
      </c>
      <c r="D2333" s="3" t="str">
        <f t="shared" si="147"/>
        <v>2021</v>
      </c>
      <c r="J2333" s="270" t="s">
        <v>13423</v>
      </c>
      <c r="K2333" s="4837">
        <v>56091.800000956806</v>
      </c>
      <c r="L2333" s="4834">
        <f t="shared" si="149"/>
        <v>1.9595491945764061E-5</v>
      </c>
      <c r="S2333" s="270" t="s">
        <v>13411</v>
      </c>
      <c r="T2333" s="4838">
        <v>831.09679879903331</v>
      </c>
      <c r="U2333" s="4839">
        <f t="shared" si="148"/>
        <v>1.2944572554624474E-3</v>
      </c>
    </row>
    <row r="2334" spans="1:21">
      <c r="A2334" s="270" t="s">
        <v>13413</v>
      </c>
      <c r="B2334" s="3305">
        <v>9036</v>
      </c>
      <c r="C2334" s="4834">
        <f t="shared" si="146"/>
        <v>4.4136111171349686E-5</v>
      </c>
      <c r="D2334" s="3" t="str">
        <f t="shared" si="147"/>
        <v>2021</v>
      </c>
      <c r="J2334" s="270" t="s">
        <v>13424</v>
      </c>
      <c r="K2334" s="4837">
        <v>55879.60507360386</v>
      </c>
      <c r="L2334" s="4834">
        <f t="shared" si="149"/>
        <v>2.0381420948044407E-5</v>
      </c>
      <c r="S2334" s="270" t="s">
        <v>13412</v>
      </c>
      <c r="T2334" s="4838">
        <v>840.09900783824912</v>
      </c>
      <c r="U2334" s="4839">
        <f t="shared" si="148"/>
        <v>1.2233345559485174E-3</v>
      </c>
    </row>
    <row r="2335" spans="1:21">
      <c r="A2335" s="270" t="s">
        <v>13414</v>
      </c>
      <c r="B2335" s="3305">
        <v>9097.5</v>
      </c>
      <c r="C2335" s="4834">
        <f t="shared" si="146"/>
        <v>3.986614492785606E-5</v>
      </c>
      <c r="D2335" s="3" t="str">
        <f t="shared" si="147"/>
        <v>2021</v>
      </c>
      <c r="J2335" s="270" t="s">
        <v>13425</v>
      </c>
      <c r="K2335" s="4837">
        <v>56440.635601226415</v>
      </c>
      <c r="L2335" s="4834">
        <f t="shared" si="149"/>
        <v>1.8337140307762883E-5</v>
      </c>
      <c r="S2335" s="270" t="s">
        <v>13413</v>
      </c>
      <c r="T2335" s="4838">
        <v>841.70654516668048</v>
      </c>
      <c r="U2335" s="4839">
        <f t="shared" si="148"/>
        <v>1.2107115139544772E-3</v>
      </c>
    </row>
    <row r="2336" spans="1:21">
      <c r="A2336" s="270" t="s">
        <v>13415</v>
      </c>
      <c r="B2336" s="3305">
        <v>9016.5</v>
      </c>
      <c r="C2336" s="4834">
        <f t="shared" si="146"/>
        <v>4.5559242149193724E-5</v>
      </c>
      <c r="D2336" s="3" t="str">
        <f t="shared" si="147"/>
        <v>2021</v>
      </c>
      <c r="J2336" s="270" t="s">
        <v>13426</v>
      </c>
      <c r="K2336" s="4837">
        <v>55980.879925295041</v>
      </c>
      <c r="L2336" s="4834">
        <f t="shared" si="149"/>
        <v>2.0004442079062715E-5</v>
      </c>
      <c r="S2336" s="270" t="s">
        <v>13414</v>
      </c>
      <c r="T2336" s="4838">
        <v>827.56021667648417</v>
      </c>
      <c r="U2336" s="4839">
        <f t="shared" si="148"/>
        <v>1.3225504050515342E-3</v>
      </c>
    </row>
    <row r="2337" spans="1:21">
      <c r="A2337" s="270" t="s">
        <v>13416</v>
      </c>
      <c r="B2337" s="3305">
        <v>9016</v>
      </c>
      <c r="C2337" s="4834">
        <f t="shared" si="146"/>
        <v>4.5596177650939222E-5</v>
      </c>
      <c r="D2337" s="3" t="str">
        <f t="shared" si="147"/>
        <v>2021</v>
      </c>
      <c r="J2337" s="270" t="s">
        <v>13427</v>
      </c>
      <c r="K2337" s="4837">
        <v>55712.421191446992</v>
      </c>
      <c r="L2337" s="4834">
        <f t="shared" si="149"/>
        <v>2.1011031502883509E-5</v>
      </c>
      <c r="S2337" s="270" t="s">
        <v>13415</v>
      </c>
      <c r="T2337" s="4838">
        <v>823.70212708824886</v>
      </c>
      <c r="U2337" s="4839">
        <f t="shared" si="148"/>
        <v>1.3532573178835919E-3</v>
      </c>
    </row>
    <row r="2338" spans="1:21">
      <c r="A2338" s="270" t="s">
        <v>13417</v>
      </c>
      <c r="B2338" s="3305">
        <v>8781</v>
      </c>
      <c r="C2338" s="4834">
        <f t="shared" si="146"/>
        <v>6.5511862309793344E-5</v>
      </c>
      <c r="D2338" s="3" t="str">
        <f t="shared" si="147"/>
        <v>2021</v>
      </c>
      <c r="J2338" s="270" t="s">
        <v>13428</v>
      </c>
      <c r="K2338" s="4837">
        <v>56197.897464633279</v>
      </c>
      <c r="L2338" s="4834">
        <f t="shared" si="149"/>
        <v>1.9208250148519692E-5</v>
      </c>
      <c r="S2338" s="270" t="s">
        <v>13416</v>
      </c>
      <c r="T2338" s="4838">
        <v>810.19881352942514</v>
      </c>
      <c r="U2338" s="4839">
        <f t="shared" si="148"/>
        <v>1.4608046684946097E-3</v>
      </c>
    </row>
    <row r="2339" spans="1:21">
      <c r="A2339" s="270" t="s">
        <v>13418</v>
      </c>
      <c r="B2339" s="3305">
        <v>8929</v>
      </c>
      <c r="C2339" s="4834">
        <f t="shared" si="146"/>
        <v>5.2367690902906259E-5</v>
      </c>
      <c r="D2339" s="3" t="str">
        <f t="shared" si="147"/>
        <v>2021</v>
      </c>
      <c r="J2339" s="270" t="s">
        <v>13429</v>
      </c>
      <c r="K2339" s="4837">
        <v>55799.228207182292</v>
      </c>
      <c r="L2339" s="4834">
        <f t="shared" si="149"/>
        <v>2.0682999479749079E-5</v>
      </c>
      <c r="S2339" s="270" t="s">
        <v>13417</v>
      </c>
      <c r="T2339" s="4838">
        <v>793.1589178480524</v>
      </c>
      <c r="U2339" s="4839">
        <f t="shared" si="148"/>
        <v>1.5950701247224894E-3</v>
      </c>
    </row>
    <row r="2340" spans="1:21">
      <c r="A2340" s="270" t="s">
        <v>13419</v>
      </c>
      <c r="B2340" s="3305">
        <v>8942.5</v>
      </c>
      <c r="C2340" s="4834">
        <f t="shared" si="146"/>
        <v>5.1271494943596725E-5</v>
      </c>
      <c r="D2340" s="3" t="str">
        <f t="shared" si="147"/>
        <v>2021</v>
      </c>
      <c r="J2340" s="270" t="s">
        <v>13430</v>
      </c>
      <c r="K2340" s="4837">
        <v>56495.291870393092</v>
      </c>
      <c r="L2340" s="4834">
        <f t="shared" si="149"/>
        <v>1.8143911874006577E-5</v>
      </c>
      <c r="S2340" s="270" t="s">
        <v>13418</v>
      </c>
      <c r="T2340" s="4838">
        <v>805.69770900981723</v>
      </c>
      <c r="U2340" s="4839">
        <f t="shared" si="148"/>
        <v>1.4965220260794044E-3</v>
      </c>
    </row>
    <row r="2341" spans="1:21">
      <c r="A2341" s="270" t="s">
        <v>13420</v>
      </c>
      <c r="B2341" s="3305">
        <v>8788.5</v>
      </c>
      <c r="C2341" s="4834">
        <f t="shared" si="146"/>
        <v>6.4795398955221742E-5</v>
      </c>
      <c r="D2341" s="3" t="str">
        <f t="shared" si="147"/>
        <v>2021</v>
      </c>
      <c r="J2341" s="270" t="s">
        <v>13431</v>
      </c>
      <c r="K2341" s="4837">
        <v>57049.892248701923</v>
      </c>
      <c r="L2341" s="4834">
        <f t="shared" si="149"/>
        <v>1.6246303882784089E-5</v>
      </c>
      <c r="S2341" s="270" t="s">
        <v>13419</v>
      </c>
      <c r="T2341" s="4838">
        <v>798.30303729903278</v>
      </c>
      <c r="U2341" s="4839">
        <f t="shared" si="148"/>
        <v>1.5548522029470166E-3</v>
      </c>
    </row>
    <row r="2342" spans="1:21">
      <c r="A2342" s="270" t="s">
        <v>13421</v>
      </c>
      <c r="B2342" s="3305">
        <v>8850.5</v>
      </c>
      <c r="C2342" s="4834">
        <f t="shared" si="146"/>
        <v>5.90798973998845E-5</v>
      </c>
      <c r="D2342" s="3" t="str">
        <f t="shared" si="147"/>
        <v>2021</v>
      </c>
      <c r="J2342" s="270" t="s">
        <v>13432</v>
      </c>
      <c r="K2342" s="4837">
        <v>57051.499786030356</v>
      </c>
      <c r="L2342" s="4834">
        <f t="shared" si="149"/>
        <v>1.624097466894333E-5</v>
      </c>
      <c r="S2342" s="270" t="s">
        <v>13420</v>
      </c>
      <c r="T2342" s="4838">
        <v>782.54917148040499</v>
      </c>
      <c r="U2342" s="4839">
        <f t="shared" si="148"/>
        <v>1.6767133054404733E-3</v>
      </c>
    </row>
    <row r="2343" spans="1:21">
      <c r="A2343" s="270" t="s">
        <v>13422</v>
      </c>
      <c r="B2343" s="3305">
        <v>8768</v>
      </c>
      <c r="C2343" s="4834">
        <f t="shared" si="146"/>
        <v>6.6766609739805728E-5</v>
      </c>
      <c r="D2343" s="3" t="str">
        <f t="shared" si="147"/>
        <v>2021</v>
      </c>
      <c r="J2343" s="270" t="s">
        <v>13433</v>
      </c>
      <c r="K2343" s="4837">
        <v>57159.204787035247</v>
      </c>
      <c r="L2343" s="4834">
        <f t="shared" si="149"/>
        <v>1.5886222902678954E-5</v>
      </c>
      <c r="S2343" s="270" t="s">
        <v>13421</v>
      </c>
      <c r="T2343" s="4838">
        <v>771.61791764707152</v>
      </c>
      <c r="U2343" s="4839">
        <f t="shared" si="148"/>
        <v>1.7583714413861031E-3</v>
      </c>
    </row>
    <row r="2344" spans="1:21">
      <c r="A2344" s="270" t="s">
        <v>13423</v>
      </c>
      <c r="B2344" s="3305">
        <v>8984.5</v>
      </c>
      <c r="C2344" s="4834">
        <f t="shared" si="146"/>
        <v>4.7968362669332546E-5</v>
      </c>
      <c r="D2344" s="3" t="str">
        <f t="shared" si="147"/>
        <v>2021</v>
      </c>
      <c r="J2344" s="270" t="s">
        <v>13434</v>
      </c>
      <c r="K2344" s="4837">
        <v>57813.472479706841</v>
      </c>
      <c r="L2344" s="4834">
        <f t="shared" si="149"/>
        <v>1.3830840192881649E-5</v>
      </c>
      <c r="S2344" s="270" t="s">
        <v>13422</v>
      </c>
      <c r="T2344" s="4838">
        <v>781.90615654903252</v>
      </c>
      <c r="U2344" s="4839">
        <f t="shared" si="148"/>
        <v>1.6815931873079976E-3</v>
      </c>
    </row>
    <row r="2345" spans="1:21">
      <c r="A2345" s="270" t="s">
        <v>13424</v>
      </c>
      <c r="B2345" s="3305">
        <v>8981.5</v>
      </c>
      <c r="C2345" s="4834">
        <f t="shared" si="146"/>
        <v>4.8198957851941733E-5</v>
      </c>
      <c r="D2345" s="3" t="str">
        <f t="shared" si="147"/>
        <v>2021</v>
      </c>
      <c r="J2345" s="270" t="s">
        <v>13435</v>
      </c>
      <c r="K2345" s="4837">
        <v>57477.497178064674</v>
      </c>
      <c r="L2345" s="4834">
        <f t="shared" si="149"/>
        <v>1.4864727552649517E-5</v>
      </c>
      <c r="S2345" s="270" t="s">
        <v>13423</v>
      </c>
      <c r="T2345" s="4838">
        <v>805.05469407844464</v>
      </c>
      <c r="U2345" s="4839">
        <f t="shared" si="148"/>
        <v>1.5016135013622494E-3</v>
      </c>
    </row>
    <row r="2346" spans="1:21">
      <c r="A2346" s="270" t="s">
        <v>13425</v>
      </c>
      <c r="B2346" s="3305">
        <v>9001.5</v>
      </c>
      <c r="C2346" s="4834">
        <f t="shared" si="146"/>
        <v>4.6677042975515711E-5</v>
      </c>
      <c r="D2346" s="3" t="str">
        <f t="shared" si="147"/>
        <v>2021</v>
      </c>
      <c r="J2346" s="270" t="s">
        <v>13436</v>
      </c>
      <c r="K2346" s="4837">
        <v>57286.200235981334</v>
      </c>
      <c r="L2346" s="4834">
        <f t="shared" si="149"/>
        <v>1.5473811090007362E-5</v>
      </c>
      <c r="S2346" s="270" t="s">
        <v>13424</v>
      </c>
      <c r="T2346" s="4838">
        <v>803.44715675001316</v>
      </c>
      <c r="U2346" s="4839">
        <f t="shared" si="148"/>
        <v>1.5143278743895731E-3</v>
      </c>
    </row>
    <row r="2347" spans="1:21">
      <c r="A2347" s="270" t="s">
        <v>13426</v>
      </c>
      <c r="B2347" s="3305">
        <v>8993</v>
      </c>
      <c r="C2347" s="4834">
        <f t="shared" si="146"/>
        <v>4.7319439217951531E-5</v>
      </c>
      <c r="D2347" s="3" t="str">
        <f t="shared" si="147"/>
        <v>2021</v>
      </c>
      <c r="J2347" s="270" t="s">
        <v>13437</v>
      </c>
      <c r="K2347" s="4837">
        <v>57014.526427476427</v>
      </c>
      <c r="L2347" s="4834">
        <f t="shared" si="149"/>
        <v>1.6363801492143219E-5</v>
      </c>
      <c r="S2347" s="270" t="s">
        <v>13425</v>
      </c>
      <c r="T2347" s="4838">
        <v>814.37841058334675</v>
      </c>
      <c r="U2347" s="4839">
        <f t="shared" si="148"/>
        <v>1.427549046039205E-3</v>
      </c>
    </row>
    <row r="2348" spans="1:21">
      <c r="A2348" s="270" t="s">
        <v>13427</v>
      </c>
      <c r="B2348" s="3305">
        <v>8901</v>
      </c>
      <c r="C2348" s="4834">
        <f t="shared" si="146"/>
        <v>5.4695350308221779E-5</v>
      </c>
      <c r="D2348" s="3" t="str">
        <f t="shared" si="147"/>
        <v>2021</v>
      </c>
      <c r="J2348" s="270" t="s">
        <v>13438</v>
      </c>
      <c r="K2348" s="4837">
        <v>57361.754490417617</v>
      </c>
      <c r="L2348" s="4834">
        <f t="shared" si="149"/>
        <v>1.5231495736474095E-5</v>
      </c>
      <c r="S2348" s="270" t="s">
        <v>13426</v>
      </c>
      <c r="T2348" s="4838">
        <v>811.16333592648391</v>
      </c>
      <c r="U2348" s="4839">
        <f t="shared" si="148"/>
        <v>1.4531363914644933E-3</v>
      </c>
    </row>
    <row r="2349" spans="1:21">
      <c r="A2349" s="270" t="s">
        <v>13428</v>
      </c>
      <c r="B2349" s="3305">
        <v>8904</v>
      </c>
      <c r="C2349" s="4834">
        <f t="shared" si="146"/>
        <v>5.4442451840268507E-5</v>
      </c>
      <c r="D2349" s="3" t="str">
        <f t="shared" si="147"/>
        <v>2021</v>
      </c>
      <c r="J2349" s="270" t="s">
        <v>13439</v>
      </c>
      <c r="K2349" s="4837">
        <v>56977.553068922512</v>
      </c>
      <c r="L2349" s="4834">
        <f t="shared" si="149"/>
        <v>1.6487160047303559E-5</v>
      </c>
      <c r="S2349" s="270" t="s">
        <v>13427</v>
      </c>
      <c r="T2349" s="4838">
        <v>808.91278366668007</v>
      </c>
      <c r="U2349" s="4839">
        <f t="shared" si="148"/>
        <v>1.4710219031976069E-3</v>
      </c>
    </row>
    <row r="2350" spans="1:21">
      <c r="A2350" s="270" t="s">
        <v>13429</v>
      </c>
      <c r="B2350" s="3305">
        <v>9011</v>
      </c>
      <c r="C2350" s="4834">
        <f t="shared" si="146"/>
        <v>4.5966761643948621E-5</v>
      </c>
      <c r="D2350" s="3" t="str">
        <f t="shared" si="147"/>
        <v>2021</v>
      </c>
      <c r="J2350" s="270" t="s">
        <v>13440</v>
      </c>
      <c r="K2350" s="4837">
        <v>56670.513439192116</v>
      </c>
      <c r="L2350" s="4834">
        <f t="shared" si="149"/>
        <v>1.7531842274613474E-5</v>
      </c>
      <c r="S2350" s="270" t="s">
        <v>13428</v>
      </c>
      <c r="T2350" s="4838">
        <v>802.1611268872681</v>
      </c>
      <c r="U2350" s="4839">
        <f t="shared" si="148"/>
        <v>1.5244834109141001E-3</v>
      </c>
    </row>
    <row r="2351" spans="1:21">
      <c r="A2351" s="270" t="s">
        <v>13430</v>
      </c>
      <c r="B2351" s="3305">
        <v>9187.5</v>
      </c>
      <c r="C2351" s="4834">
        <f t="shared" si="146"/>
        <v>3.4194757806409975E-5</v>
      </c>
      <c r="D2351" s="3" t="str">
        <f t="shared" si="147"/>
        <v>2021</v>
      </c>
      <c r="J2351" s="270" t="s">
        <v>13441</v>
      </c>
      <c r="K2351" s="4837">
        <v>56831.267172035252</v>
      </c>
      <c r="L2351" s="4834">
        <f t="shared" si="149"/>
        <v>1.6980405768992374E-5</v>
      </c>
      <c r="S2351" s="270" t="s">
        <v>13429</v>
      </c>
      <c r="T2351" s="4838">
        <v>814.37841058334675</v>
      </c>
      <c r="U2351" s="4839">
        <f t="shared" si="148"/>
        <v>1.427549046039205E-3</v>
      </c>
    </row>
    <row r="2352" spans="1:21">
      <c r="A2352" s="270" t="s">
        <v>13431</v>
      </c>
      <c r="B2352" s="3305">
        <v>9336</v>
      </c>
      <c r="C2352" s="4834">
        <f t="shared" si="146"/>
        <v>2.6233805887617436E-5</v>
      </c>
      <c r="D2352" s="3" t="str">
        <f t="shared" si="147"/>
        <v>2021</v>
      </c>
      <c r="J2352" s="270" t="s">
        <v>13442</v>
      </c>
      <c r="K2352" s="4837">
        <v>57799.004643750952</v>
      </c>
      <c r="L2352" s="4834">
        <f t="shared" si="149"/>
        <v>1.3874411498123007E-5</v>
      </c>
      <c r="S2352" s="270" t="s">
        <v>13430</v>
      </c>
      <c r="T2352" s="4838">
        <v>822.73760469119009</v>
      </c>
      <c r="U2352" s="4839">
        <f t="shared" si="148"/>
        <v>1.3609405456942085E-3</v>
      </c>
    </row>
    <row r="2353" spans="1:21">
      <c r="A2353" s="270" t="s">
        <v>13432</v>
      </c>
      <c r="B2353" s="3305">
        <v>9415</v>
      </c>
      <c r="C2353" s="4834">
        <f t="shared" si="146"/>
        <v>2.2647752331492106E-5</v>
      </c>
      <c r="D2353" s="3" t="str">
        <f t="shared" si="147"/>
        <v>2021</v>
      </c>
      <c r="J2353" s="270" t="s">
        <v>13443</v>
      </c>
      <c r="K2353" s="4837">
        <v>57300.668071937216</v>
      </c>
      <c r="L2353" s="4834">
        <f t="shared" si="149"/>
        <v>1.5427233865591074E-5</v>
      </c>
      <c r="S2353" s="270" t="s">
        <v>13431</v>
      </c>
      <c r="T2353" s="4838">
        <v>840.42051530393542</v>
      </c>
      <c r="U2353" s="4839">
        <f t="shared" si="148"/>
        <v>1.2208077753143808E-3</v>
      </c>
    </row>
    <row r="2354" spans="1:21">
      <c r="A2354" s="270" t="s">
        <v>13433</v>
      </c>
      <c r="B2354" s="3305">
        <v>9396.5</v>
      </c>
      <c r="C2354" s="4834">
        <f t="shared" si="146"/>
        <v>2.3449649056420296E-5</v>
      </c>
      <c r="D2354" s="3" t="str">
        <f t="shared" si="147"/>
        <v>2021</v>
      </c>
      <c r="J2354" s="270" t="s">
        <v>13444</v>
      </c>
      <c r="K2354" s="4837">
        <v>58294.126140907829</v>
      </c>
      <c r="L2354" s="4834">
        <f t="shared" si="149"/>
        <v>1.2432432015595153E-5</v>
      </c>
      <c r="S2354" s="270" t="s">
        <v>13432</v>
      </c>
      <c r="T2354" s="4838">
        <v>839.45599290687653</v>
      </c>
      <c r="U2354" s="4839">
        <f t="shared" si="148"/>
        <v>1.2283912706720444E-3</v>
      </c>
    </row>
    <row r="2355" spans="1:21">
      <c r="A2355" s="270" t="s">
        <v>13434</v>
      </c>
      <c r="B2355" s="3305">
        <v>9382.5</v>
      </c>
      <c r="C2355" s="4834">
        <f t="shared" si="146"/>
        <v>2.4071653271301421E-5</v>
      </c>
      <c r="D2355" s="3" t="str">
        <f t="shared" si="147"/>
        <v>2021</v>
      </c>
      <c r="J2355" s="270" t="s">
        <v>13445</v>
      </c>
      <c r="K2355" s="4837">
        <v>59046.453610613717</v>
      </c>
      <c r="L2355" s="4834">
        <f t="shared" si="149"/>
        <v>1.0436352611318114E-5</v>
      </c>
      <c r="S2355" s="270" t="s">
        <v>13433</v>
      </c>
      <c r="T2355" s="4838">
        <v>832.06132119609208</v>
      </c>
      <c r="U2355" s="4839">
        <f t="shared" si="148"/>
        <v>1.2868075853712528E-3</v>
      </c>
    </row>
    <row r="2356" spans="1:21">
      <c r="A2356" s="270" t="s">
        <v>13435</v>
      </c>
      <c r="B2356" s="3305">
        <v>9475.5</v>
      </c>
      <c r="C2356" s="4834">
        <f t="shared" si="146"/>
        <v>2.0179684853476953E-5</v>
      </c>
      <c r="D2356" s="3" t="str">
        <f t="shared" si="147"/>
        <v>2021</v>
      </c>
      <c r="J2356" s="270" t="s">
        <v>13446</v>
      </c>
      <c r="K2356" s="4837">
        <v>59171.841522231371</v>
      </c>
      <c r="L2356" s="4834">
        <f t="shared" si="149"/>
        <v>1.012650816632679E-5</v>
      </c>
      <c r="S2356" s="270" t="s">
        <v>13434</v>
      </c>
      <c r="T2356" s="4838">
        <v>833.02584359315097</v>
      </c>
      <c r="U2356" s="4839">
        <f t="shared" si="148"/>
        <v>1.2791639246608562E-3</v>
      </c>
    </row>
    <row r="2357" spans="1:21">
      <c r="A2357" s="270" t="s">
        <v>13436</v>
      </c>
      <c r="B2357" s="3305">
        <v>9545.5</v>
      </c>
      <c r="C2357" s="4834">
        <f t="shared" si="146"/>
        <v>1.7603974008652633E-5</v>
      </c>
      <c r="D2357" s="3" t="str">
        <f t="shared" si="147"/>
        <v>2021</v>
      </c>
      <c r="J2357" s="270" t="s">
        <v>13447</v>
      </c>
      <c r="K2357" s="4837">
        <v>58806.930548677432</v>
      </c>
      <c r="L2357" s="4834">
        <f t="shared" si="149"/>
        <v>1.1046321515421087E-5</v>
      </c>
      <c r="S2357" s="270" t="s">
        <v>13435</v>
      </c>
      <c r="T2357" s="4838">
        <v>845.56463475491591</v>
      </c>
      <c r="U2357" s="4839">
        <f t="shared" si="148"/>
        <v>1.1805350398749173E-3</v>
      </c>
    </row>
    <row r="2358" spans="1:21">
      <c r="A2358" s="270" t="s">
        <v>13437</v>
      </c>
      <c r="B2358" s="3305">
        <v>9758</v>
      </c>
      <c r="C2358" s="4834">
        <f t="shared" si="146"/>
        <v>1.1399320903851786E-5</v>
      </c>
      <c r="D2358" s="3" t="str">
        <f t="shared" si="147"/>
        <v>2021</v>
      </c>
      <c r="J2358" s="270" t="s">
        <v>13448</v>
      </c>
      <c r="K2358" s="4837">
        <v>58858.37174318725</v>
      </c>
      <c r="L2358" s="4834">
        <f t="shared" si="149"/>
        <v>1.0913314632220844E-5</v>
      </c>
      <c r="S2358" s="270" t="s">
        <v>13436</v>
      </c>
      <c r="T2358" s="4838">
        <v>840.09900783824912</v>
      </c>
      <c r="U2358" s="4839">
        <f t="shared" si="148"/>
        <v>1.2233345559485174E-3</v>
      </c>
    </row>
    <row r="2359" spans="1:21">
      <c r="A2359" s="270" t="s">
        <v>13438</v>
      </c>
      <c r="B2359" s="3305">
        <v>9898.5</v>
      </c>
      <c r="C2359" s="4834">
        <f t="shared" si="146"/>
        <v>8.412090931204825E-6</v>
      </c>
      <c r="D2359" s="3" t="str">
        <f t="shared" si="147"/>
        <v>2021</v>
      </c>
      <c r="J2359" s="270" t="s">
        <v>13449</v>
      </c>
      <c r="K2359" s="4837">
        <v>58572.230098726461</v>
      </c>
      <c r="L2359" s="4834">
        <f t="shared" si="149"/>
        <v>1.1667129641731456E-5</v>
      </c>
      <c r="S2359" s="270" t="s">
        <v>13437</v>
      </c>
      <c r="T2359" s="4838">
        <v>839.45599290687653</v>
      </c>
      <c r="U2359" s="4839">
        <f t="shared" si="148"/>
        <v>1.2283912706720444E-3</v>
      </c>
    </row>
    <row r="2360" spans="1:21">
      <c r="A2360" s="270" t="s">
        <v>13439</v>
      </c>
      <c r="B2360" s="3305">
        <v>9832.5</v>
      </c>
      <c r="C2360" s="4834">
        <f t="shared" si="146"/>
        <v>9.7187892085073709E-6</v>
      </c>
      <c r="D2360" s="3" t="str">
        <f t="shared" si="147"/>
        <v>2021</v>
      </c>
      <c r="J2360" s="270" t="s">
        <v>13450</v>
      </c>
      <c r="K2360" s="4837">
        <v>59096.287267795095</v>
      </c>
      <c r="L2360" s="4834">
        <f t="shared" si="149"/>
        <v>1.0312432114566958E-5</v>
      </c>
      <c r="S2360" s="270" t="s">
        <v>13438</v>
      </c>
      <c r="T2360" s="4838">
        <v>845.24312728922962</v>
      </c>
      <c r="U2360" s="4839">
        <f t="shared" si="148"/>
        <v>1.1830429097499924E-3</v>
      </c>
    </row>
    <row r="2361" spans="1:21">
      <c r="A2361" s="270" t="s">
        <v>13440</v>
      </c>
      <c r="B2361" s="3305">
        <v>9990</v>
      </c>
      <c r="C2361" s="4834">
        <f t="shared" si="146"/>
        <v>6.852962834382686E-6</v>
      </c>
      <c r="D2361" s="3" t="str">
        <f t="shared" si="147"/>
        <v>2021</v>
      </c>
      <c r="J2361" s="270" t="s">
        <v>13451</v>
      </c>
      <c r="K2361" s="4837">
        <v>59597.838914265696</v>
      </c>
      <c r="L2361" s="4834">
        <f t="shared" si="149"/>
        <v>9.1220356267259838E-6</v>
      </c>
      <c r="S2361" s="270" t="s">
        <v>13439</v>
      </c>
      <c r="T2361" s="4838">
        <v>831.7398137304059</v>
      </c>
      <c r="U2361" s="4839">
        <f t="shared" si="148"/>
        <v>1.2893568290837821E-3</v>
      </c>
    </row>
    <row r="2362" spans="1:21">
      <c r="A2362" s="270" t="s">
        <v>13441</v>
      </c>
      <c r="B2362" s="3305">
        <v>9949</v>
      </c>
      <c r="C2362" s="4834">
        <f t="shared" si="146"/>
        <v>7.5174367483733282E-6</v>
      </c>
      <c r="D2362" s="3" t="str">
        <f t="shared" si="147"/>
        <v>2021</v>
      </c>
      <c r="J2362" s="270" t="s">
        <v>13452</v>
      </c>
      <c r="K2362" s="4837">
        <v>60017.406156986282</v>
      </c>
      <c r="L2362" s="4834">
        <f t="shared" si="149"/>
        <v>8.2044797030032803E-6</v>
      </c>
      <c r="S2362" s="270" t="s">
        <v>13440</v>
      </c>
      <c r="T2362" s="4838">
        <v>845.24312728922962</v>
      </c>
      <c r="U2362" s="4839">
        <f t="shared" si="148"/>
        <v>1.1830429097499924E-3</v>
      </c>
    </row>
    <row r="2363" spans="1:21">
      <c r="A2363" s="270" t="s">
        <v>13442</v>
      </c>
      <c r="B2363" s="3305">
        <v>9961</v>
      </c>
      <c r="C2363" s="4834">
        <f t="shared" si="146"/>
        <v>7.3174016510187954E-6</v>
      </c>
      <c r="D2363" s="3" t="str">
        <f t="shared" si="147"/>
        <v>2021</v>
      </c>
      <c r="J2363" s="270" t="s">
        <v>13453</v>
      </c>
      <c r="K2363" s="4837">
        <v>60715.077357525515</v>
      </c>
      <c r="L2363" s="4834">
        <f t="shared" si="149"/>
        <v>6.8314079115762932E-6</v>
      </c>
      <c r="S2363" s="270" t="s">
        <v>13441</v>
      </c>
      <c r="T2363" s="4838">
        <v>832.06132119609208</v>
      </c>
      <c r="U2363" s="4839">
        <f t="shared" si="148"/>
        <v>1.2868075853712528E-3</v>
      </c>
    </row>
    <row r="2364" spans="1:21">
      <c r="A2364" s="270" t="s">
        <v>13443</v>
      </c>
      <c r="B2364" s="3305">
        <v>9991.5</v>
      </c>
      <c r="C2364" s="4834">
        <f t="shared" si="146"/>
        <v>6.8296542371654763E-6</v>
      </c>
      <c r="D2364" s="3" t="str">
        <f t="shared" si="147"/>
        <v>2021</v>
      </c>
      <c r="J2364" s="270" t="s">
        <v>13454</v>
      </c>
      <c r="K2364" s="4837">
        <v>60388.747279853938</v>
      </c>
      <c r="L2364" s="4834">
        <f t="shared" si="149"/>
        <v>7.4503813751090044E-6</v>
      </c>
      <c r="S2364" s="270" t="s">
        <v>13442</v>
      </c>
      <c r="T2364" s="4838">
        <v>862.60453043628866</v>
      </c>
      <c r="U2364" s="4839">
        <f t="shared" si="148"/>
        <v>1.0498261044069195E-3</v>
      </c>
    </row>
    <row r="2365" spans="1:21">
      <c r="A2365" s="270" t="s">
        <v>13444</v>
      </c>
      <c r="B2365" s="3305">
        <v>10025.5</v>
      </c>
      <c r="C2365" s="4834">
        <f t="shared" si="146"/>
        <v>6.3195302418492659E-6</v>
      </c>
      <c r="D2365" s="3" t="str">
        <f t="shared" si="147"/>
        <v>2021</v>
      </c>
      <c r="J2365" s="270" t="s">
        <v>13455</v>
      </c>
      <c r="K2365" s="4837">
        <v>60311.585488089237</v>
      </c>
      <c r="L2365" s="4834">
        <f t="shared" si="149"/>
        <v>7.6026702335822293E-6</v>
      </c>
      <c r="S2365" s="270" t="s">
        <v>13443</v>
      </c>
      <c r="T2365" s="4838">
        <v>845.56463475491591</v>
      </c>
      <c r="U2365" s="4839">
        <f t="shared" si="148"/>
        <v>1.1805350398749173E-3</v>
      </c>
    </row>
    <row r="2366" spans="1:21">
      <c r="A2366" s="270" t="s">
        <v>13445</v>
      </c>
      <c r="B2366" s="3305">
        <v>10361</v>
      </c>
      <c r="C2366" s="4834">
        <f t="shared" si="146"/>
        <v>2.8186173026394526E-6</v>
      </c>
      <c r="D2366" s="3" t="str">
        <f t="shared" si="147"/>
        <v>2021</v>
      </c>
      <c r="J2366" s="270" t="s">
        <v>13456</v>
      </c>
      <c r="K2366" s="4837">
        <v>60448.226161005899</v>
      </c>
      <c r="L2366" s="4834">
        <f t="shared" si="149"/>
        <v>7.3345519979632656E-6</v>
      </c>
      <c r="S2366" s="270" t="s">
        <v>13444</v>
      </c>
      <c r="T2366" s="4838">
        <v>859.38945577942593</v>
      </c>
      <c r="U2366" s="4839">
        <f t="shared" si="148"/>
        <v>1.0741146820438508E-3</v>
      </c>
    </row>
    <row r="2367" spans="1:21">
      <c r="A2367" s="270" t="s">
        <v>13446</v>
      </c>
      <c r="B2367" s="3305">
        <v>10724.5</v>
      </c>
      <c r="C2367" s="4834">
        <f t="shared" si="146"/>
        <v>1.0796626510067588E-6</v>
      </c>
      <c r="D2367" s="3" t="str">
        <f t="shared" si="147"/>
        <v>2021</v>
      </c>
      <c r="J2367" s="270" t="s">
        <v>13457</v>
      </c>
      <c r="K2367" s="4837">
        <v>60668.458775000996</v>
      </c>
      <c r="L2367" s="4834">
        <f t="shared" si="149"/>
        <v>6.9173746798420238E-6</v>
      </c>
      <c r="S2367" s="270" t="s">
        <v>13445</v>
      </c>
      <c r="T2367" s="4838">
        <v>880.2874410490341</v>
      </c>
      <c r="U2367" s="4839">
        <f t="shared" si="148"/>
        <v>9.2011316951386385E-4</v>
      </c>
    </row>
    <row r="2368" spans="1:21">
      <c r="A2368" s="270" t="s">
        <v>13447</v>
      </c>
      <c r="B2368" s="3305">
        <v>10528</v>
      </c>
      <c r="C2368" s="4834">
        <f t="shared" si="146"/>
        <v>1.8337075087403657E-6</v>
      </c>
      <c r="D2368" s="3" t="str">
        <f t="shared" si="147"/>
        <v>2021</v>
      </c>
      <c r="J2368" s="270" t="s">
        <v>13458</v>
      </c>
      <c r="K2368" s="4837">
        <v>61078.380793751006</v>
      </c>
      <c r="L2368" s="4834">
        <f t="shared" si="149"/>
        <v>6.1889269778561403E-6</v>
      </c>
      <c r="S2368" s="270" t="s">
        <v>13446</v>
      </c>
      <c r="T2368" s="4838">
        <v>891.86170981374016</v>
      </c>
      <c r="U2368" s="4839">
        <f t="shared" si="148"/>
        <v>8.3932358484372076E-4</v>
      </c>
    </row>
    <row r="2369" spans="1:21">
      <c r="A2369" s="270" t="s">
        <v>13448</v>
      </c>
      <c r="B2369" s="3305">
        <v>10537</v>
      </c>
      <c r="C2369" s="4834">
        <f t="shared" si="146"/>
        <v>1.790764297099317E-6</v>
      </c>
      <c r="D2369" s="3" t="str">
        <f t="shared" si="147"/>
        <v>2021</v>
      </c>
      <c r="J2369" s="270" t="s">
        <v>13459</v>
      </c>
      <c r="K2369" s="4837">
        <v>60811.529597231398</v>
      </c>
      <c r="L2369" s="4834">
        <f t="shared" si="149"/>
        <v>6.6561131002960543E-6</v>
      </c>
      <c r="S2369" s="270" t="s">
        <v>13447</v>
      </c>
      <c r="T2369" s="4838">
        <v>883.50251570589694</v>
      </c>
      <c r="U2369" s="4839">
        <f t="shared" si="148"/>
        <v>8.973189758547524E-4</v>
      </c>
    </row>
    <row r="2370" spans="1:21">
      <c r="A2370" s="270" t="s">
        <v>13449</v>
      </c>
      <c r="B2370" s="3305">
        <v>10253.5</v>
      </c>
      <c r="C2370" s="4834">
        <f t="shared" si="146"/>
        <v>3.6808086743598385E-6</v>
      </c>
      <c r="D2370" s="3" t="str">
        <f t="shared" si="147"/>
        <v>2021</v>
      </c>
      <c r="J2370" s="270" t="s">
        <v>13460</v>
      </c>
      <c r="K2370" s="4837">
        <v>61084.810943064731</v>
      </c>
      <c r="L2370" s="4834">
        <f t="shared" si="149"/>
        <v>6.1779879941497565E-6</v>
      </c>
      <c r="S2370" s="270" t="s">
        <v>13448</v>
      </c>
      <c r="T2370" s="4838">
        <v>881.25196344609299</v>
      </c>
      <c r="U2370" s="4839">
        <f t="shared" si="148"/>
        <v>9.1324741996451971E-4</v>
      </c>
    </row>
    <row r="2371" spans="1:21">
      <c r="A2371" s="270" t="s">
        <v>13450</v>
      </c>
      <c r="B2371" s="3305">
        <v>10212</v>
      </c>
      <c r="C2371" s="4834">
        <f t="shared" si="146"/>
        <v>4.071855532853517E-6</v>
      </c>
      <c r="D2371" s="3" t="str">
        <f t="shared" si="147"/>
        <v>2021</v>
      </c>
      <c r="J2371" s="270" t="s">
        <v>13461</v>
      </c>
      <c r="K2371" s="4837">
        <v>61065.52049512355</v>
      </c>
      <c r="L2371" s="4834">
        <f t="shared" si="149"/>
        <v>6.2108495104911336E-6</v>
      </c>
      <c r="S2371" s="270" t="s">
        <v>13449</v>
      </c>
      <c r="T2371" s="4838">
        <v>862.28302297060247</v>
      </c>
      <c r="U2371" s="4839">
        <f t="shared" si="148"/>
        <v>1.052246160831928E-3</v>
      </c>
    </row>
    <row r="2372" spans="1:21">
      <c r="A2372" s="270" t="s">
        <v>13451</v>
      </c>
      <c r="B2372" s="3305">
        <v>10257</v>
      </c>
      <c r="C2372" s="4834">
        <f t="shared" ref="C2372:C2435" si="150">_xlfn.NORM.DIST(B2372,$F$4,$F$3,FALSE)</f>
        <v>3.6494069309849707E-6</v>
      </c>
      <c r="D2372" s="3" t="str">
        <f t="shared" ref="D2372:D2435" si="151">LEFT(A2372,4)</f>
        <v>2021</v>
      </c>
      <c r="J2372" s="270" t="s">
        <v>13462</v>
      </c>
      <c r="K2372" s="4837">
        <v>61174.833033456889</v>
      </c>
      <c r="L2372" s="4834">
        <f t="shared" si="149"/>
        <v>6.0263958373380996E-6</v>
      </c>
      <c r="S2372" s="270" t="s">
        <v>13450</v>
      </c>
      <c r="T2372" s="4838">
        <v>875.4648290637399</v>
      </c>
      <c r="U2372" s="4839">
        <f t="shared" ref="U2372:U2435" si="152">_xlfn.NORM.DIST(T2372,$X$4,$X$3,FALSE)</f>
        <v>9.5478501846971392E-4</v>
      </c>
    </row>
    <row r="2373" spans="1:21">
      <c r="A2373" s="270" t="s">
        <v>13452</v>
      </c>
      <c r="B2373" s="3305">
        <v>10465</v>
      </c>
      <c r="C2373" s="4834">
        <f t="shared" si="150"/>
        <v>2.1612944085491996E-6</v>
      </c>
      <c r="D2373" s="3" t="str">
        <f t="shared" si="151"/>
        <v>2021</v>
      </c>
      <c r="J2373" s="270" t="s">
        <v>13463</v>
      </c>
      <c r="K2373" s="4837">
        <v>60010.976007672551</v>
      </c>
      <c r="L2373" s="4834">
        <f t="shared" ref="L2373:L2436" si="153">_xlfn.NORM.DIST(K2373,$O$4,$O$3,FALSE)</f>
        <v>8.2180128369459904E-6</v>
      </c>
      <c r="S2373" s="270" t="s">
        <v>13451</v>
      </c>
      <c r="T2373" s="4838">
        <v>887.68211275981855</v>
      </c>
      <c r="U2373" s="4839">
        <f t="shared" si="152"/>
        <v>8.6808666246581659E-4</v>
      </c>
    </row>
    <row r="2374" spans="1:21">
      <c r="A2374" s="270" t="s">
        <v>13453</v>
      </c>
      <c r="B2374" s="3305">
        <v>10114.5</v>
      </c>
      <c r="C2374" s="4834">
        <f t="shared" si="150"/>
        <v>5.1386218256957089E-6</v>
      </c>
      <c r="D2374" s="3" t="str">
        <f t="shared" si="151"/>
        <v>2021</v>
      </c>
      <c r="J2374" s="270" t="s">
        <v>13464</v>
      </c>
      <c r="K2374" s="4837">
        <v>60784.20146264806</v>
      </c>
      <c r="L2374" s="4834">
        <f t="shared" si="153"/>
        <v>6.7054298018276827E-6</v>
      </c>
      <c r="S2374" s="270" t="s">
        <v>13452</v>
      </c>
      <c r="T2374" s="4838">
        <v>915.65326227452488</v>
      </c>
      <c r="U2374" s="4839">
        <f t="shared" si="152"/>
        <v>6.8528376164441439E-4</v>
      </c>
    </row>
    <row r="2375" spans="1:21">
      <c r="A2375" s="270" t="s">
        <v>13454</v>
      </c>
      <c r="B2375" s="3305">
        <v>10086</v>
      </c>
      <c r="C2375" s="4834">
        <f t="shared" si="150"/>
        <v>5.4937009606314755E-6</v>
      </c>
      <c r="D2375" s="3" t="str">
        <f t="shared" si="151"/>
        <v>2021</v>
      </c>
      <c r="J2375" s="270" t="s">
        <v>13465</v>
      </c>
      <c r="K2375" s="4837">
        <v>60713.469820197082</v>
      </c>
      <c r="L2375" s="4834">
        <f t="shared" si="153"/>
        <v>6.8343587784569136E-6</v>
      </c>
      <c r="S2375" s="270" t="s">
        <v>13453</v>
      </c>
      <c r="T2375" s="4838">
        <v>889.9326650196225</v>
      </c>
      <c r="U2375" s="4839">
        <f t="shared" si="152"/>
        <v>8.5253942854784958E-4</v>
      </c>
    </row>
    <row r="2376" spans="1:21">
      <c r="A2376" s="270" t="s">
        <v>13455</v>
      </c>
      <c r="B2376" s="3305">
        <v>10011</v>
      </c>
      <c r="C2376" s="4834">
        <f t="shared" si="150"/>
        <v>6.5328664876294944E-6</v>
      </c>
      <c r="D2376" s="3" t="str">
        <f t="shared" si="151"/>
        <v>2021</v>
      </c>
      <c r="J2376" s="270" t="s">
        <v>13466</v>
      </c>
      <c r="K2376" s="4837">
        <v>60866.18586639806</v>
      </c>
      <c r="L2376" s="4834">
        <f t="shared" si="153"/>
        <v>6.5583062241176403E-6</v>
      </c>
      <c r="S2376" s="270" t="s">
        <v>13454</v>
      </c>
      <c r="T2376" s="4838">
        <v>891.86170981374016</v>
      </c>
      <c r="U2376" s="4839">
        <f t="shared" si="152"/>
        <v>8.3932358484372076E-4</v>
      </c>
    </row>
    <row r="2377" spans="1:21">
      <c r="A2377" s="270" t="s">
        <v>13456</v>
      </c>
      <c r="B2377" s="3305">
        <v>9868</v>
      </c>
      <c r="C2377" s="4834">
        <f t="shared" si="150"/>
        <v>8.9957984567591141E-6</v>
      </c>
      <c r="D2377" s="3" t="str">
        <f t="shared" si="151"/>
        <v>2021</v>
      </c>
      <c r="J2377" s="270" t="s">
        <v>13467</v>
      </c>
      <c r="K2377" s="4837">
        <v>60912.804448922572</v>
      </c>
      <c r="L2377" s="4834">
        <f t="shared" si="153"/>
        <v>6.4757498532343257E-6</v>
      </c>
      <c r="S2377" s="270" t="s">
        <v>13455</v>
      </c>
      <c r="T2377" s="4838">
        <v>891.86170981374016</v>
      </c>
      <c r="U2377" s="4839">
        <f t="shared" si="152"/>
        <v>8.3932358484372076E-4</v>
      </c>
    </row>
    <row r="2378" spans="1:21">
      <c r="A2378" s="270" t="s">
        <v>13457</v>
      </c>
      <c r="B2378" s="3305">
        <v>9943</v>
      </c>
      <c r="C2378" s="4834">
        <f t="shared" si="150"/>
        <v>7.6192209892154526E-6</v>
      </c>
      <c r="D2378" s="3" t="str">
        <f t="shared" si="151"/>
        <v>2021</v>
      </c>
      <c r="J2378" s="270" t="s">
        <v>13468</v>
      </c>
      <c r="K2378" s="4837">
        <v>60721.50750683924</v>
      </c>
      <c r="L2378" s="4834">
        <f t="shared" si="153"/>
        <v>6.8196140739328615E-6</v>
      </c>
      <c r="S2378" s="270" t="s">
        <v>13456</v>
      </c>
      <c r="T2378" s="4838">
        <v>888.96814262256362</v>
      </c>
      <c r="U2378" s="4839">
        <f t="shared" si="152"/>
        <v>8.5918569049949357E-4</v>
      </c>
    </row>
    <row r="2379" spans="1:21">
      <c r="A2379" s="270" t="s">
        <v>13458</v>
      </c>
      <c r="B2379" s="3305">
        <v>9965</v>
      </c>
      <c r="C2379" s="4834">
        <f t="shared" si="150"/>
        <v>7.2517582837700115E-6</v>
      </c>
      <c r="D2379" s="3" t="str">
        <f t="shared" si="151"/>
        <v>2021</v>
      </c>
      <c r="J2379" s="270" t="s">
        <v>13469</v>
      </c>
      <c r="K2379" s="4837">
        <v>60477.161832917664</v>
      </c>
      <c r="L2379" s="4834">
        <f t="shared" si="153"/>
        <v>7.2786913583062326E-6</v>
      </c>
      <c r="S2379" s="270" t="s">
        <v>13457</v>
      </c>
      <c r="T2379" s="4838">
        <v>886.07457543138707</v>
      </c>
      <c r="U2379" s="4839">
        <f t="shared" si="152"/>
        <v>8.7927530285360493E-4</v>
      </c>
    </row>
    <row r="2380" spans="1:21">
      <c r="A2380" s="270" t="s">
        <v>13459</v>
      </c>
      <c r="B2380" s="3305">
        <v>10032.5</v>
      </c>
      <c r="C2380" s="4834">
        <f t="shared" si="150"/>
        <v>6.2187355443652843E-6</v>
      </c>
      <c r="D2380" s="3" t="str">
        <f t="shared" si="151"/>
        <v>2021</v>
      </c>
      <c r="J2380" s="270" t="s">
        <v>13470</v>
      </c>
      <c r="K2380" s="4837">
        <v>59980.432798432361</v>
      </c>
      <c r="L2380" s="4834">
        <f t="shared" si="153"/>
        <v>8.2825182830151088E-6</v>
      </c>
      <c r="S2380" s="270" t="s">
        <v>13458</v>
      </c>
      <c r="T2380" s="4838">
        <v>904.07899350981893</v>
      </c>
      <c r="U2380" s="4839">
        <f t="shared" si="152"/>
        <v>7.58090981806094E-4</v>
      </c>
    </row>
    <row r="2381" spans="1:21">
      <c r="A2381" s="270" t="s">
        <v>13460</v>
      </c>
      <c r="B2381" s="3305">
        <v>10159.5</v>
      </c>
      <c r="C2381" s="4834">
        <f t="shared" si="150"/>
        <v>4.619007909737935E-6</v>
      </c>
      <c r="D2381" s="3" t="str">
        <f t="shared" si="151"/>
        <v>2021</v>
      </c>
      <c r="J2381" s="270" t="s">
        <v>13471</v>
      </c>
      <c r="K2381" s="4837">
        <v>59964.357425148046</v>
      </c>
      <c r="L2381" s="4834">
        <f t="shared" si="153"/>
        <v>8.3166167207349779E-6</v>
      </c>
      <c r="S2381" s="270" t="s">
        <v>13459</v>
      </c>
      <c r="T2381" s="4838">
        <v>889.28965008825003</v>
      </c>
      <c r="U2381" s="4839">
        <f t="shared" si="152"/>
        <v>8.5696745037022216E-4</v>
      </c>
    </row>
    <row r="2382" spans="1:21">
      <c r="A2382" s="270" t="s">
        <v>13461</v>
      </c>
      <c r="B2382" s="3305">
        <v>10212.5</v>
      </c>
      <c r="C2382" s="4834">
        <f t="shared" si="150"/>
        <v>4.0669331180366444E-6</v>
      </c>
      <c r="D2382" s="3" t="str">
        <f t="shared" si="151"/>
        <v>2021</v>
      </c>
      <c r="J2382" s="270" t="s">
        <v>13472</v>
      </c>
      <c r="K2382" s="4837">
        <v>59824.501677574517</v>
      </c>
      <c r="L2382" s="4834">
        <f t="shared" si="153"/>
        <v>8.6176034708512278E-6</v>
      </c>
      <c r="S2382" s="270" t="s">
        <v>13460</v>
      </c>
      <c r="T2382" s="4838">
        <v>888.32512769119114</v>
      </c>
      <c r="U2382" s="4839">
        <f t="shared" si="152"/>
        <v>8.6363059002998548E-4</v>
      </c>
    </row>
    <row r="2383" spans="1:21">
      <c r="A2383" s="270" t="s">
        <v>13462</v>
      </c>
      <c r="B2383" s="3305">
        <v>10117.5</v>
      </c>
      <c r="C2383" s="4834">
        <f t="shared" si="150"/>
        <v>5.1024457202526982E-6</v>
      </c>
      <c r="D2383" s="3" t="str">
        <f t="shared" si="151"/>
        <v>2021</v>
      </c>
      <c r="J2383" s="270" t="s">
        <v>13473</v>
      </c>
      <c r="K2383" s="4837">
        <v>57186.532921618593</v>
      </c>
      <c r="L2383" s="4834">
        <f t="shared" si="153"/>
        <v>1.5796936879024588E-5</v>
      </c>
      <c r="S2383" s="270" t="s">
        <v>13461</v>
      </c>
      <c r="T2383" s="4838">
        <v>906.97256070099536</v>
      </c>
      <c r="U2383" s="4839">
        <f t="shared" si="152"/>
        <v>7.3950014161775293E-4</v>
      </c>
    </row>
    <row r="2384" spans="1:21">
      <c r="A2384" s="270" t="s">
        <v>13463</v>
      </c>
      <c r="B2384" s="3305">
        <v>9967</v>
      </c>
      <c r="C2384" s="4834">
        <f t="shared" si="150"/>
        <v>7.2191288427904336E-6</v>
      </c>
      <c r="D2384" s="3" t="str">
        <f t="shared" si="151"/>
        <v>2021</v>
      </c>
      <c r="J2384" s="270" t="s">
        <v>13474</v>
      </c>
      <c r="K2384" s="4837">
        <v>57006.488740834269</v>
      </c>
      <c r="L2384" s="4834">
        <f t="shared" si="153"/>
        <v>1.6390573403702718E-5</v>
      </c>
      <c r="S2384" s="270" t="s">
        <v>13462</v>
      </c>
      <c r="T2384" s="4838">
        <v>892.18321727942646</v>
      </c>
      <c r="U2384" s="4839">
        <f t="shared" si="152"/>
        <v>8.3713097278164663E-4</v>
      </c>
    </row>
    <row r="2385" spans="1:21">
      <c r="A2385" s="270" t="s">
        <v>13464</v>
      </c>
      <c r="B2385" s="3305">
        <v>9852</v>
      </c>
      <c r="C2385" s="4834">
        <f t="shared" si="150"/>
        <v>9.3157149452093915E-6</v>
      </c>
      <c r="D2385" s="3" t="str">
        <f t="shared" si="151"/>
        <v>2021</v>
      </c>
      <c r="J2385" s="270" t="s">
        <v>13475</v>
      </c>
      <c r="K2385" s="4837">
        <v>57069.182696643096</v>
      </c>
      <c r="L2385" s="4834">
        <f t="shared" si="153"/>
        <v>1.6182419929523173E-5</v>
      </c>
      <c r="S2385" s="270" t="s">
        <v>13463</v>
      </c>
      <c r="T2385" s="4838">
        <v>892.50472474511275</v>
      </c>
      <c r="U2385" s="4839">
        <f t="shared" si="152"/>
        <v>8.3494124589820215E-4</v>
      </c>
    </row>
    <row r="2386" spans="1:21">
      <c r="A2386" s="270" t="s">
        <v>13465</v>
      </c>
      <c r="B2386" s="3305">
        <v>9848</v>
      </c>
      <c r="C2386" s="4834">
        <f t="shared" si="150"/>
        <v>9.3972052317999553E-6</v>
      </c>
      <c r="D2386" s="3" t="str">
        <f t="shared" si="151"/>
        <v>2021</v>
      </c>
      <c r="J2386" s="270" t="s">
        <v>13476</v>
      </c>
      <c r="K2386" s="4837">
        <v>57069.182696643096</v>
      </c>
      <c r="L2386" s="4834">
        <f t="shared" si="153"/>
        <v>1.6182419929523173E-5</v>
      </c>
      <c r="S2386" s="270" t="s">
        <v>13464</v>
      </c>
      <c r="T2386" s="4838">
        <v>879.96593358334781</v>
      </c>
      <c r="U2386" s="4839">
        <f t="shared" si="152"/>
        <v>9.2240692289335914E-4</v>
      </c>
    </row>
    <row r="2387" spans="1:21">
      <c r="A2387" s="270" t="s">
        <v>13466</v>
      </c>
      <c r="B2387" s="3305">
        <v>9878.5</v>
      </c>
      <c r="C2387" s="4834">
        <f t="shared" si="150"/>
        <v>8.7910311248738619E-6</v>
      </c>
      <c r="D2387" s="3" t="str">
        <f t="shared" si="151"/>
        <v>2021</v>
      </c>
      <c r="J2387" s="270" t="s">
        <v>13477</v>
      </c>
      <c r="K2387" s="4837">
        <v>57601.277552353888</v>
      </c>
      <c r="L2387" s="4834">
        <f t="shared" si="153"/>
        <v>1.4478474020873408E-5</v>
      </c>
      <c r="S2387" s="270" t="s">
        <v>13465</v>
      </c>
      <c r="T2387" s="4838">
        <v>886.71759036275967</v>
      </c>
      <c r="U2387" s="4839">
        <f t="shared" si="152"/>
        <v>8.7479158002553876E-4</v>
      </c>
    </row>
    <row r="2388" spans="1:21">
      <c r="A2388" s="270" t="s">
        <v>13467</v>
      </c>
      <c r="B2388" s="3305">
        <v>9877</v>
      </c>
      <c r="C2388" s="4834">
        <f t="shared" si="150"/>
        <v>8.8200354731721938E-6</v>
      </c>
      <c r="D2388" s="3" t="str">
        <f t="shared" si="151"/>
        <v>2021</v>
      </c>
      <c r="J2388" s="270" t="s">
        <v>13478</v>
      </c>
      <c r="K2388" s="4837">
        <v>57384.26001301565</v>
      </c>
      <c r="L2388" s="4834">
        <f t="shared" si="153"/>
        <v>1.5159758111226866E-5</v>
      </c>
      <c r="S2388" s="270" t="s">
        <v>13466</v>
      </c>
      <c r="T2388" s="4838">
        <v>891.21869488236757</v>
      </c>
      <c r="U2388" s="4839">
        <f t="shared" si="152"/>
        <v>8.4371743488331286E-4</v>
      </c>
    </row>
    <row r="2389" spans="1:21">
      <c r="A2389" s="270" t="s">
        <v>13468</v>
      </c>
      <c r="B2389" s="3305">
        <v>9808.5</v>
      </c>
      <c r="C2389" s="4834">
        <f t="shared" si="150"/>
        <v>1.0235333773943462E-5</v>
      </c>
      <c r="D2389" s="3" t="str">
        <f t="shared" si="151"/>
        <v>2021</v>
      </c>
      <c r="J2389" s="270" t="s">
        <v>13479</v>
      </c>
      <c r="K2389" s="4837">
        <v>57442.131356839185</v>
      </c>
      <c r="L2389" s="4834">
        <f t="shared" si="153"/>
        <v>1.4976223747558884E-5</v>
      </c>
      <c r="S2389" s="270" t="s">
        <v>13467</v>
      </c>
      <c r="T2389" s="4838">
        <v>886.71759036275967</v>
      </c>
      <c r="U2389" s="4839">
        <f t="shared" si="152"/>
        <v>8.7479158002553876E-4</v>
      </c>
    </row>
    <row r="2390" spans="1:21">
      <c r="A2390" s="270" t="s">
        <v>13469</v>
      </c>
      <c r="B2390" s="3305">
        <v>10029</v>
      </c>
      <c r="C2390" s="4834">
        <f t="shared" si="150"/>
        <v>6.268955953114093E-6</v>
      </c>
      <c r="D2390" s="3" t="str">
        <f t="shared" si="151"/>
        <v>2021</v>
      </c>
      <c r="J2390" s="270" t="s">
        <v>13480</v>
      </c>
      <c r="K2390" s="4837">
        <v>57237.974116128389</v>
      </c>
      <c r="L2390" s="4834">
        <f t="shared" si="153"/>
        <v>1.5629670127443519E-5</v>
      </c>
      <c r="S2390" s="270" t="s">
        <v>13468</v>
      </c>
      <c r="T2390" s="4838">
        <v>889.28965008825003</v>
      </c>
      <c r="U2390" s="4839">
        <f t="shared" si="152"/>
        <v>8.5696745037022216E-4</v>
      </c>
    </row>
    <row r="2391" spans="1:21">
      <c r="A2391" s="270" t="s">
        <v>13470</v>
      </c>
      <c r="B2391" s="3305">
        <v>9900</v>
      </c>
      <c r="C2391" s="4834">
        <f t="shared" si="150"/>
        <v>8.384247573345574E-6</v>
      </c>
      <c r="D2391" s="3" t="str">
        <f t="shared" si="151"/>
        <v>2021</v>
      </c>
      <c r="J2391" s="270" t="s">
        <v>13481</v>
      </c>
      <c r="K2391" s="4837">
        <v>56439.028063897997</v>
      </c>
      <c r="L2391" s="4834">
        <f t="shared" si="153"/>
        <v>1.8342839924705194E-5</v>
      </c>
      <c r="S2391" s="270" t="s">
        <v>13469</v>
      </c>
      <c r="T2391" s="4838">
        <v>904.72200844119141</v>
      </c>
      <c r="U2391" s="4839">
        <f t="shared" si="152"/>
        <v>7.539376702294082E-4</v>
      </c>
    </row>
    <row r="2392" spans="1:21">
      <c r="A2392" s="270" t="s">
        <v>13471</v>
      </c>
      <c r="B2392" s="3305">
        <v>9552.5</v>
      </c>
      <c r="C2392" s="4834">
        <f t="shared" si="150"/>
        <v>1.736209840613868E-5</v>
      </c>
      <c r="D2392" s="3" t="str">
        <f t="shared" si="151"/>
        <v>2021</v>
      </c>
      <c r="J2392" s="270" t="s">
        <v>13482</v>
      </c>
      <c r="K2392" s="4837">
        <v>56686.588812476431</v>
      </c>
      <c r="L2392" s="4834">
        <f t="shared" si="153"/>
        <v>1.7476260333677027E-5</v>
      </c>
      <c r="S2392" s="270" t="s">
        <v>13470</v>
      </c>
      <c r="T2392" s="4838">
        <v>891.54020234805398</v>
      </c>
      <c r="U2392" s="4839">
        <f t="shared" si="152"/>
        <v>8.4151907469150861E-4</v>
      </c>
    </row>
    <row r="2393" spans="1:21">
      <c r="A2393" s="270" t="s">
        <v>13472</v>
      </c>
      <c r="B2393" s="3305">
        <v>9508</v>
      </c>
      <c r="C2393" s="4834">
        <f t="shared" si="150"/>
        <v>1.8947731415818624E-5</v>
      </c>
      <c r="D2393" s="3" t="str">
        <f t="shared" si="151"/>
        <v>2021</v>
      </c>
      <c r="J2393" s="270" t="s">
        <v>5107</v>
      </c>
      <c r="K2393" s="4837">
        <v>57276.555012010744</v>
      </c>
      <c r="L2393" s="4834">
        <f t="shared" si="153"/>
        <v>1.5504908897861334E-5</v>
      </c>
      <c r="S2393" s="270" t="s">
        <v>13471</v>
      </c>
      <c r="T2393" s="4838">
        <v>888.32512769119114</v>
      </c>
      <c r="U2393" s="4839">
        <f t="shared" si="152"/>
        <v>8.6363059002998548E-4</v>
      </c>
    </row>
    <row r="2394" spans="1:21">
      <c r="A2394" s="270" t="s">
        <v>13473</v>
      </c>
      <c r="B2394" s="3305">
        <v>9427.5</v>
      </c>
      <c r="C2394" s="4834">
        <f t="shared" si="150"/>
        <v>2.2118650858312663E-5</v>
      </c>
      <c r="D2394" s="3" t="str">
        <f t="shared" si="151"/>
        <v>2021</v>
      </c>
      <c r="J2394" s="270" t="s">
        <v>5108</v>
      </c>
      <c r="K2394" s="4837">
        <v>57426.055983554877</v>
      </c>
      <c r="L2394" s="4834">
        <f t="shared" si="153"/>
        <v>1.5027070433288984E-5</v>
      </c>
      <c r="S2394" s="270" t="s">
        <v>13472</v>
      </c>
      <c r="T2394" s="4838">
        <v>890.89718741668139</v>
      </c>
      <c r="U2394" s="4839">
        <f t="shared" si="152"/>
        <v>8.4591865792862236E-4</v>
      </c>
    </row>
    <row r="2395" spans="1:21">
      <c r="A2395" s="270" t="s">
        <v>13474</v>
      </c>
      <c r="B2395" s="3305">
        <v>9206</v>
      </c>
      <c r="C2395" s="4834">
        <f t="shared" si="150"/>
        <v>3.3110775263736278E-5</v>
      </c>
      <c r="D2395" s="3" t="str">
        <f t="shared" si="151"/>
        <v>2021</v>
      </c>
      <c r="J2395" s="270" t="s">
        <v>5109</v>
      </c>
      <c r="K2395" s="4837">
        <v>57593.23986571173</v>
      </c>
      <c r="L2395" s="4834">
        <f t="shared" si="153"/>
        <v>1.4503366748514484E-5</v>
      </c>
      <c r="S2395" s="270" t="s">
        <v>13473</v>
      </c>
      <c r="T2395" s="4838">
        <v>855.20985872550432</v>
      </c>
      <c r="U2395" s="4839">
        <f t="shared" si="152"/>
        <v>1.1059687835172013E-3</v>
      </c>
    </row>
    <row r="2396" spans="1:21">
      <c r="A2396" s="270" t="s">
        <v>13475</v>
      </c>
      <c r="B2396" s="3305">
        <v>9042.5</v>
      </c>
      <c r="C2396" s="4834">
        <f t="shared" si="150"/>
        <v>4.3669218781899652E-5</v>
      </c>
      <c r="D2396" s="3" t="str">
        <f t="shared" si="151"/>
        <v>2021</v>
      </c>
      <c r="J2396" s="270" t="s">
        <v>5110</v>
      </c>
      <c r="K2396" s="4837">
        <v>58188.028677231348</v>
      </c>
      <c r="L2396" s="4834">
        <f t="shared" si="153"/>
        <v>1.2732877610735275E-5</v>
      </c>
      <c r="S2396" s="270" t="s">
        <v>13474</v>
      </c>
      <c r="T2396" s="4838">
        <v>848.45820194609246</v>
      </c>
      <c r="U2396" s="4839">
        <f t="shared" si="152"/>
        <v>1.1580246623866949E-3</v>
      </c>
    </row>
    <row r="2397" spans="1:21">
      <c r="A2397" s="270" t="s">
        <v>13476</v>
      </c>
      <c r="B2397" s="3305">
        <v>9190.5</v>
      </c>
      <c r="C2397" s="4834">
        <f t="shared" si="150"/>
        <v>3.4017124144271838E-5</v>
      </c>
      <c r="D2397" s="3" t="str">
        <f t="shared" si="151"/>
        <v>2021</v>
      </c>
      <c r="J2397" s="270" t="s">
        <v>5111</v>
      </c>
      <c r="K2397" s="4837">
        <v>58020.844795074489</v>
      </c>
      <c r="L2397" s="4834">
        <f t="shared" si="153"/>
        <v>1.3215788613063667E-5</v>
      </c>
      <c r="S2397" s="270" t="s">
        <v>13475</v>
      </c>
      <c r="T2397" s="4838">
        <v>834.63338092158244</v>
      </c>
      <c r="U2397" s="4839">
        <f t="shared" si="152"/>
        <v>1.2664390144359397E-3</v>
      </c>
    </row>
    <row r="2398" spans="1:21">
      <c r="A2398" s="270" t="s">
        <v>13477</v>
      </c>
      <c r="B2398" s="3305">
        <v>9289.5</v>
      </c>
      <c r="C2398" s="4834">
        <f t="shared" si="150"/>
        <v>2.8548924808870677E-5</v>
      </c>
      <c r="D2398" s="3" t="str">
        <f t="shared" si="151"/>
        <v>2021</v>
      </c>
      <c r="J2398" s="270" t="s">
        <v>5112</v>
      </c>
      <c r="K2398" s="4837">
        <v>58118.904572108804</v>
      </c>
      <c r="L2398" s="4834">
        <f t="shared" si="153"/>
        <v>1.2931137692553286E-5</v>
      </c>
      <c r="S2398" s="270" t="s">
        <v>13476</v>
      </c>
      <c r="T2398" s="4838">
        <v>834.95488838726862</v>
      </c>
      <c r="U2398" s="4839">
        <f t="shared" si="152"/>
        <v>1.2638963535850801E-3</v>
      </c>
    </row>
    <row r="2399" spans="1:21">
      <c r="A2399" s="270" t="s">
        <v>13478</v>
      </c>
      <c r="B2399" s="3305">
        <v>9390.5</v>
      </c>
      <c r="C2399" s="4834">
        <f t="shared" si="150"/>
        <v>2.3714609609646929E-5</v>
      </c>
      <c r="D2399" s="3" t="str">
        <f t="shared" si="151"/>
        <v>2021</v>
      </c>
      <c r="J2399" s="270" t="s">
        <v>5113</v>
      </c>
      <c r="K2399" s="4837">
        <v>58064.248302942135</v>
      </c>
      <c r="L2399" s="4834">
        <f t="shared" si="153"/>
        <v>1.3089304316733406E-5</v>
      </c>
      <c r="S2399" s="270" t="s">
        <v>13477</v>
      </c>
      <c r="T2399" s="4838">
        <v>834.31187345589603</v>
      </c>
      <c r="U2399" s="4839">
        <f t="shared" si="152"/>
        <v>1.2689824700449581E-3</v>
      </c>
    </row>
    <row r="2400" spans="1:21">
      <c r="A2400" s="270" t="s">
        <v>13479</v>
      </c>
      <c r="B2400" s="3305">
        <v>9432.5</v>
      </c>
      <c r="C2400" s="4834">
        <f t="shared" si="150"/>
        <v>2.1909847712468933E-5</v>
      </c>
      <c r="D2400" s="3" t="str">
        <f t="shared" si="151"/>
        <v>2021</v>
      </c>
      <c r="J2400" s="270" t="s">
        <v>5114</v>
      </c>
      <c r="K2400" s="4837">
        <v>57626.998149608793</v>
      </c>
      <c r="L2400" s="4834">
        <f t="shared" si="153"/>
        <v>1.4398993879499949E-5</v>
      </c>
      <c r="S2400" s="270" t="s">
        <v>13478</v>
      </c>
      <c r="T2400" s="4838">
        <v>835.5979033186411</v>
      </c>
      <c r="U2400" s="4839">
        <f t="shared" si="152"/>
        <v>1.258813478921132E-3</v>
      </c>
    </row>
    <row r="2401" spans="1:21">
      <c r="A2401" s="270" t="s">
        <v>13480</v>
      </c>
      <c r="B2401" s="3305">
        <v>9333.5</v>
      </c>
      <c r="C2401" s="4834">
        <f t="shared" si="150"/>
        <v>2.6354324899885033E-5</v>
      </c>
      <c r="D2401" s="3" t="str">
        <f t="shared" si="151"/>
        <v>2021</v>
      </c>
      <c r="J2401" s="270" t="s">
        <v>5115</v>
      </c>
      <c r="K2401" s="4837">
        <v>58316.631663505861</v>
      </c>
      <c r="L2401" s="4834">
        <f t="shared" si="153"/>
        <v>1.2369302790546315E-5</v>
      </c>
      <c r="S2401" s="270" t="s">
        <v>13479</v>
      </c>
      <c r="T2401" s="4838">
        <v>840.09900783824912</v>
      </c>
      <c r="U2401" s="4839">
        <f t="shared" si="152"/>
        <v>1.2233345559485174E-3</v>
      </c>
    </row>
    <row r="2402" spans="1:21">
      <c r="A2402" s="270" t="s">
        <v>13481</v>
      </c>
      <c r="B2402" s="3305">
        <v>9225.5</v>
      </c>
      <c r="C2402" s="4834">
        <f t="shared" si="150"/>
        <v>3.1997460948459881E-5</v>
      </c>
      <c r="D2402" s="3" t="str">
        <f t="shared" si="151"/>
        <v>2021</v>
      </c>
      <c r="J2402" s="270" t="s">
        <v>5116</v>
      </c>
      <c r="K2402" s="4837">
        <v>58617.241143922533</v>
      </c>
      <c r="L2402" s="4834">
        <f t="shared" si="153"/>
        <v>1.1546293749378718E-5</v>
      </c>
      <c r="S2402" s="270" t="s">
        <v>13480</v>
      </c>
      <c r="T2402" s="4838">
        <v>838.81297797550405</v>
      </c>
      <c r="U2402" s="4839">
        <f t="shared" si="152"/>
        <v>1.2334520894724831E-3</v>
      </c>
    </row>
    <row r="2403" spans="1:21">
      <c r="A2403" s="270" t="s">
        <v>13482</v>
      </c>
      <c r="B2403" s="3305">
        <v>9385</v>
      </c>
      <c r="C2403" s="4834">
        <f t="shared" si="150"/>
        <v>2.3959613412012664E-5</v>
      </c>
      <c r="D2403" s="3" t="str">
        <f t="shared" si="151"/>
        <v>2021</v>
      </c>
      <c r="J2403" s="270" t="s">
        <v>5117</v>
      </c>
      <c r="K2403" s="4837">
        <v>58634.92405453528</v>
      </c>
      <c r="L2403" s="4834">
        <f t="shared" si="153"/>
        <v>1.1499053307118622E-5</v>
      </c>
      <c r="S2403" s="270" t="s">
        <v>13481</v>
      </c>
      <c r="T2403" s="4838">
        <v>834.63338092158244</v>
      </c>
      <c r="U2403" s="4839">
        <f t="shared" si="152"/>
        <v>1.2664390144359397E-3</v>
      </c>
    </row>
    <row r="2404" spans="1:21">
      <c r="A2404" s="270" t="s">
        <v>5107</v>
      </c>
      <c r="B2404" s="3305">
        <v>9342</v>
      </c>
      <c r="C2404" s="4834">
        <f t="shared" si="150"/>
        <v>2.5946362379820726E-5</v>
      </c>
      <c r="D2404" s="3" t="str">
        <f t="shared" si="151"/>
        <v>2021</v>
      </c>
      <c r="J2404" s="270" t="s">
        <v>5118</v>
      </c>
      <c r="K2404" s="4837">
        <v>58652.606965148021</v>
      </c>
      <c r="L2404" s="4834">
        <f t="shared" si="153"/>
        <v>1.145194304174165E-5</v>
      </c>
      <c r="S2404" s="270" t="s">
        <v>13482</v>
      </c>
      <c r="T2404" s="4838">
        <v>828.52473907354306</v>
      </c>
      <c r="U2404" s="4839">
        <f t="shared" si="152"/>
        <v>1.314882441042573E-3</v>
      </c>
    </row>
    <row r="2405" spans="1:21">
      <c r="A2405" s="270" t="s">
        <v>5108</v>
      </c>
      <c r="B2405" s="3305">
        <v>9296.5</v>
      </c>
      <c r="C2405" s="4834">
        <f t="shared" si="150"/>
        <v>2.8190373259797514E-5</v>
      </c>
      <c r="D2405" s="3" t="str">
        <f t="shared" si="151"/>
        <v>2021</v>
      </c>
      <c r="J2405" s="270" t="s">
        <v>5119</v>
      </c>
      <c r="K2405" s="4837">
        <v>58350.389947402924</v>
      </c>
      <c r="L2405" s="4834">
        <f t="shared" si="153"/>
        <v>1.2275004058276036E-5</v>
      </c>
      <c r="S2405" s="270" t="s">
        <v>5107</v>
      </c>
      <c r="T2405" s="4838">
        <v>844.27860489217085</v>
      </c>
      <c r="U2405" s="4839">
        <f t="shared" si="152"/>
        <v>1.1905742089066572E-3</v>
      </c>
    </row>
    <row r="2406" spans="1:21">
      <c r="A2406" s="270" t="s">
        <v>5109</v>
      </c>
      <c r="B2406" s="3305">
        <v>9432</v>
      </c>
      <c r="C2406" s="4834">
        <f t="shared" si="150"/>
        <v>2.19306554889783E-5</v>
      </c>
      <c r="D2406" s="3" t="str">
        <f t="shared" si="151"/>
        <v>2021</v>
      </c>
      <c r="J2406" s="270" t="s">
        <v>5120</v>
      </c>
      <c r="K2406" s="4837">
        <v>58612.418531937234</v>
      </c>
      <c r="L2406" s="4834">
        <f t="shared" si="153"/>
        <v>1.155920010081599E-5</v>
      </c>
      <c r="S2406" s="270" t="s">
        <v>5108</v>
      </c>
      <c r="T2406" s="4838">
        <v>841.38503770099442</v>
      </c>
      <c r="U2406" s="4839">
        <f t="shared" si="152"/>
        <v>1.2132339202732341E-3</v>
      </c>
    </row>
    <row r="2407" spans="1:21">
      <c r="A2407" s="270" t="s">
        <v>5110</v>
      </c>
      <c r="B2407" s="3305">
        <v>9528</v>
      </c>
      <c r="C2407" s="4834">
        <f t="shared" si="150"/>
        <v>1.8220900043534339E-5</v>
      </c>
      <c r="D2407" s="3" t="str">
        <f t="shared" si="151"/>
        <v>2021</v>
      </c>
      <c r="J2407" s="270" t="s">
        <v>5121</v>
      </c>
      <c r="K2407" s="4837">
        <v>57940.467928652921</v>
      </c>
      <c r="L2407" s="4834">
        <f t="shared" si="153"/>
        <v>1.3452075810298219E-5</v>
      </c>
      <c r="S2407" s="270" t="s">
        <v>5109</v>
      </c>
      <c r="T2407" s="4838">
        <v>853.60232139707296</v>
      </c>
      <c r="U2407" s="4839">
        <f t="shared" si="152"/>
        <v>1.1182990402546689E-3</v>
      </c>
    </row>
    <row r="2408" spans="1:21">
      <c r="A2408" s="270" t="s">
        <v>5111</v>
      </c>
      <c r="B2408" s="3305">
        <v>9451.5</v>
      </c>
      <c r="C2408" s="4834">
        <f t="shared" si="150"/>
        <v>2.1130998030946924E-5</v>
      </c>
      <c r="D2408" s="3" t="str">
        <f t="shared" si="151"/>
        <v>2021</v>
      </c>
      <c r="J2408" s="270" t="s">
        <v>5122</v>
      </c>
      <c r="K2408" s="4837">
        <v>57853.660912917629</v>
      </c>
      <c r="L2408" s="4834">
        <f t="shared" si="153"/>
        <v>1.3710260048100406E-5</v>
      </c>
      <c r="S2408" s="270" t="s">
        <v>5110</v>
      </c>
      <c r="T2408" s="4838">
        <v>855.5313661911905</v>
      </c>
      <c r="U2408" s="4839">
        <f t="shared" si="152"/>
        <v>1.1035078233431362E-3</v>
      </c>
    </row>
    <row r="2409" spans="1:21">
      <c r="A2409" s="270" t="s">
        <v>5112</v>
      </c>
      <c r="B2409" s="3305">
        <v>9264.5</v>
      </c>
      <c r="C2409" s="4834">
        <f t="shared" si="150"/>
        <v>2.9859126829710579E-5</v>
      </c>
      <c r="D2409" s="3" t="str">
        <f t="shared" si="151"/>
        <v>2021</v>
      </c>
      <c r="J2409" s="270" t="s">
        <v>5123</v>
      </c>
      <c r="K2409" s="4837">
        <v>57858.483524902913</v>
      </c>
      <c r="L2409" s="4834">
        <f t="shared" si="153"/>
        <v>1.3695835060649828E-5</v>
      </c>
      <c r="S2409" s="270" t="s">
        <v>5111</v>
      </c>
      <c r="T2409" s="4838">
        <v>848.45820194609246</v>
      </c>
      <c r="U2409" s="4839">
        <f t="shared" si="152"/>
        <v>1.1580246623866949E-3</v>
      </c>
    </row>
    <row r="2410" spans="1:21">
      <c r="A2410" s="270" t="s">
        <v>5113</v>
      </c>
      <c r="B2410" s="3305">
        <v>9437.5</v>
      </c>
      <c r="C2410" s="4834">
        <f t="shared" si="150"/>
        <v>2.1702653469267938E-5</v>
      </c>
      <c r="D2410" s="3" t="str">
        <f t="shared" si="151"/>
        <v>2021</v>
      </c>
      <c r="J2410" s="270" t="s">
        <v>5124</v>
      </c>
      <c r="K2410" s="4837">
        <v>57877.773972844094</v>
      </c>
      <c r="L2410" s="4834">
        <f t="shared" si="153"/>
        <v>1.3638230824883496E-5</v>
      </c>
      <c r="S2410" s="270" t="s">
        <v>5112</v>
      </c>
      <c r="T2410" s="4838">
        <v>839.45599290687653</v>
      </c>
      <c r="U2410" s="4839">
        <f t="shared" si="152"/>
        <v>1.2283912706720444E-3</v>
      </c>
    </row>
    <row r="2411" spans="1:21">
      <c r="A2411" s="270" t="s">
        <v>5114</v>
      </c>
      <c r="B2411" s="3305">
        <v>9347</v>
      </c>
      <c r="C2411" s="4834">
        <f t="shared" si="150"/>
        <v>2.5708761470500707E-5</v>
      </c>
      <c r="D2411" s="3" t="str">
        <f t="shared" si="151"/>
        <v>2021</v>
      </c>
      <c r="J2411" s="270" t="s">
        <v>5125</v>
      </c>
      <c r="K2411" s="4837">
        <v>57882.596584829385</v>
      </c>
      <c r="L2411" s="4834">
        <f t="shared" si="153"/>
        <v>1.3623853703036909E-5</v>
      </c>
      <c r="S2411" s="270" t="s">
        <v>5113</v>
      </c>
      <c r="T2411" s="4838">
        <v>836.24091825001392</v>
      </c>
      <c r="U2411" s="4839">
        <f t="shared" si="152"/>
        <v>1.2537339711807219E-3</v>
      </c>
    </row>
    <row r="2412" spans="1:21">
      <c r="A2412" s="270" t="s">
        <v>5115</v>
      </c>
      <c r="B2412" s="3305">
        <v>9310</v>
      </c>
      <c r="C2412" s="4834">
        <f t="shared" si="150"/>
        <v>2.7509006826750869E-5</v>
      </c>
      <c r="D2412" s="3" t="str">
        <f t="shared" si="151"/>
        <v>2021</v>
      </c>
      <c r="J2412" s="270" t="s">
        <v>5126</v>
      </c>
      <c r="K2412" s="4837">
        <v>57762.031285197023</v>
      </c>
      <c r="L2412" s="4834">
        <f t="shared" si="153"/>
        <v>1.3986150636728507E-5</v>
      </c>
      <c r="S2412" s="270" t="s">
        <v>5114</v>
      </c>
      <c r="T2412" s="4838">
        <v>833.66885852452356</v>
      </c>
      <c r="U2412" s="4839">
        <f t="shared" si="152"/>
        <v>1.2740717025360527E-3</v>
      </c>
    </row>
    <row r="2413" spans="1:21">
      <c r="A2413" s="270" t="s">
        <v>5116</v>
      </c>
      <c r="B2413" s="3305">
        <v>9309</v>
      </c>
      <c r="C2413" s="4834">
        <f t="shared" si="150"/>
        <v>2.7559023685260169E-5</v>
      </c>
      <c r="D2413" s="3" t="str">
        <f t="shared" si="151"/>
        <v>2021</v>
      </c>
      <c r="J2413" s="270" t="s">
        <v>5127</v>
      </c>
      <c r="K2413" s="4837">
        <v>58813.360697991164</v>
      </c>
      <c r="L2413" s="4834">
        <f t="shared" si="153"/>
        <v>1.1029635534745013E-5</v>
      </c>
      <c r="S2413" s="270" t="s">
        <v>5115</v>
      </c>
      <c r="T2413" s="4838">
        <v>839.45599290687653</v>
      </c>
      <c r="U2413" s="4839">
        <f t="shared" si="152"/>
        <v>1.2283912706720444E-3</v>
      </c>
    </row>
    <row r="2414" spans="1:21">
      <c r="A2414" s="270" t="s">
        <v>5117</v>
      </c>
      <c r="B2414" s="3305">
        <v>9347</v>
      </c>
      <c r="C2414" s="4834">
        <f t="shared" si="150"/>
        <v>2.5708761470500707E-5</v>
      </c>
      <c r="D2414" s="3" t="str">
        <f t="shared" si="151"/>
        <v>2021</v>
      </c>
      <c r="J2414" s="270" t="s">
        <v>5128</v>
      </c>
      <c r="K2414" s="4837">
        <v>58699.225547672533</v>
      </c>
      <c r="L2414" s="4834">
        <f t="shared" si="153"/>
        <v>1.1328367120559137E-5</v>
      </c>
      <c r="S2414" s="270" t="s">
        <v>5116</v>
      </c>
      <c r="T2414" s="4838">
        <v>841.38503770099442</v>
      </c>
      <c r="U2414" s="4839">
        <f t="shared" si="152"/>
        <v>1.2132339202732341E-3</v>
      </c>
    </row>
    <row r="2415" spans="1:21">
      <c r="A2415" s="270" t="s">
        <v>5118</v>
      </c>
      <c r="B2415" s="3305">
        <v>9396.5</v>
      </c>
      <c r="C2415" s="4834">
        <f t="shared" si="150"/>
        <v>2.3449649056420296E-5</v>
      </c>
      <c r="D2415" s="3" t="str">
        <f t="shared" si="151"/>
        <v>2021</v>
      </c>
      <c r="J2415" s="270" t="s">
        <v>5129</v>
      </c>
      <c r="K2415" s="4837">
        <v>58239.469871741159</v>
      </c>
      <c r="L2415" s="4834">
        <f t="shared" si="153"/>
        <v>1.2586622761547422E-5</v>
      </c>
      <c r="S2415" s="270" t="s">
        <v>5117</v>
      </c>
      <c r="T2415" s="4838">
        <v>842.67106756373948</v>
      </c>
      <c r="U2415" s="4839">
        <f t="shared" si="152"/>
        <v>1.2031511388130645E-3</v>
      </c>
    </row>
    <row r="2416" spans="1:21">
      <c r="A2416" s="270" t="s">
        <v>5119</v>
      </c>
      <c r="B2416" s="3305">
        <v>9264.5</v>
      </c>
      <c r="C2416" s="4834">
        <f t="shared" si="150"/>
        <v>2.9859126829710579E-5</v>
      </c>
      <c r="D2416" s="3" t="str">
        <f t="shared" si="151"/>
        <v>2021</v>
      </c>
      <c r="J2416" s="270" t="s">
        <v>5130</v>
      </c>
      <c r="K2416" s="4837">
        <v>58278.050767623514</v>
      </c>
      <c r="L2416" s="4834">
        <f t="shared" si="153"/>
        <v>1.2477653298270769E-5</v>
      </c>
      <c r="S2416" s="270" t="s">
        <v>5118</v>
      </c>
      <c r="T2416" s="4838">
        <v>839.45599290687653</v>
      </c>
      <c r="U2416" s="4839">
        <f t="shared" si="152"/>
        <v>1.2283912706720444E-3</v>
      </c>
    </row>
    <row r="2417" spans="1:21">
      <c r="A2417" s="270" t="s">
        <v>5120</v>
      </c>
      <c r="B2417" s="3305">
        <v>9211</v>
      </c>
      <c r="C2417" s="4834">
        <f t="shared" si="150"/>
        <v>3.2822464334436547E-5</v>
      </c>
      <c r="D2417" s="3" t="str">
        <f t="shared" si="151"/>
        <v>2021</v>
      </c>
      <c r="J2417" s="270" t="s">
        <v>5131</v>
      </c>
      <c r="K2417" s="4837">
        <v>58806.930548677432</v>
      </c>
      <c r="L2417" s="4834">
        <f t="shared" si="153"/>
        <v>1.1046321515421087E-5</v>
      </c>
      <c r="S2417" s="270" t="s">
        <v>5119</v>
      </c>
      <c r="T2417" s="4838">
        <v>814.37841058334675</v>
      </c>
      <c r="U2417" s="4839">
        <f t="shared" si="152"/>
        <v>1.427549046039205E-3</v>
      </c>
    </row>
    <row r="2418" spans="1:21">
      <c r="A2418" s="270" t="s">
        <v>5121</v>
      </c>
      <c r="B2418" s="3305">
        <v>9271.5</v>
      </c>
      <c r="C2418" s="4834">
        <f t="shared" si="150"/>
        <v>2.9487565101869606E-5</v>
      </c>
      <c r="D2418" s="3" t="str">
        <f t="shared" si="151"/>
        <v>2021</v>
      </c>
      <c r="J2418" s="270" t="s">
        <v>5132</v>
      </c>
      <c r="K2418" s="4837">
        <v>57895.456883456834</v>
      </c>
      <c r="L2418" s="4834">
        <f t="shared" si="153"/>
        <v>1.3585561542852116E-5</v>
      </c>
      <c r="S2418" s="270" t="s">
        <v>5120</v>
      </c>
      <c r="T2418" s="4838">
        <v>806.98373887256241</v>
      </c>
      <c r="U2418" s="4839">
        <f t="shared" si="152"/>
        <v>1.486330080697072E-3</v>
      </c>
    </row>
    <row r="2419" spans="1:21">
      <c r="A2419" s="270" t="s">
        <v>5122</v>
      </c>
      <c r="B2419" s="3305">
        <v>9382.5</v>
      </c>
      <c r="C2419" s="4834">
        <f t="shared" si="150"/>
        <v>2.4071653271301421E-5</v>
      </c>
      <c r="D2419" s="3" t="str">
        <f t="shared" si="151"/>
        <v>2021</v>
      </c>
      <c r="J2419" s="270" t="s">
        <v>5133</v>
      </c>
      <c r="K2419" s="4837">
        <v>56678.551125834267</v>
      </c>
      <c r="L2419" s="4834">
        <f t="shared" si="153"/>
        <v>1.7504039206313313E-5</v>
      </c>
      <c r="S2419" s="270" t="s">
        <v>5121</v>
      </c>
      <c r="T2419" s="4838">
        <v>807.30524633824859</v>
      </c>
      <c r="U2419" s="4839">
        <f t="shared" si="152"/>
        <v>1.4837803288979569E-3</v>
      </c>
    </row>
    <row r="2420" spans="1:21">
      <c r="A2420" s="270" t="s">
        <v>5123</v>
      </c>
      <c r="B2420" s="3305">
        <v>9433.5</v>
      </c>
      <c r="C2420" s="4834">
        <f t="shared" si="150"/>
        <v>2.1868280418202274E-5</v>
      </c>
      <c r="D2420" s="3" t="str">
        <f t="shared" si="151"/>
        <v>2021</v>
      </c>
      <c r="J2420" s="270" t="s">
        <v>5134</v>
      </c>
      <c r="K2420" s="4837">
        <v>55905.325670858765</v>
      </c>
      <c r="L2420" s="4834">
        <f t="shared" si="153"/>
        <v>2.0285359863348857E-5</v>
      </c>
      <c r="S2420" s="270" t="s">
        <v>5122</v>
      </c>
      <c r="T2420" s="4838">
        <v>806.01921647550341</v>
      </c>
      <c r="U2420" s="4839">
        <f t="shared" si="152"/>
        <v>1.493975136158087E-3</v>
      </c>
    </row>
    <row r="2421" spans="1:21">
      <c r="A2421" s="270" t="s">
        <v>5124</v>
      </c>
      <c r="B2421" s="3305">
        <v>9580</v>
      </c>
      <c r="C2421" s="4834">
        <f t="shared" si="150"/>
        <v>1.6438410839966144E-5</v>
      </c>
      <c r="D2421" s="3" t="str">
        <f t="shared" si="151"/>
        <v>2021</v>
      </c>
      <c r="J2421" s="270" t="s">
        <v>5135</v>
      </c>
      <c r="K2421" s="4837">
        <v>55406.989099045029</v>
      </c>
      <c r="L2421" s="4834">
        <f t="shared" si="153"/>
        <v>2.2183699657740833E-5</v>
      </c>
      <c r="S2421" s="270" t="s">
        <v>5123</v>
      </c>
      <c r="T2421" s="4838">
        <v>809.23429113236637</v>
      </c>
      <c r="U2421" s="4839">
        <f t="shared" si="152"/>
        <v>1.4684684138739127E-3</v>
      </c>
    </row>
    <row r="2422" spans="1:21">
      <c r="A2422" s="270" t="s">
        <v>5125</v>
      </c>
      <c r="B2422" s="3305">
        <v>9709</v>
      </c>
      <c r="C2422" s="4834">
        <f t="shared" si="150"/>
        <v>1.263454860810786E-5</v>
      </c>
      <c r="D2422" s="3" t="str">
        <f t="shared" si="151"/>
        <v>2021</v>
      </c>
      <c r="J2422" s="270" t="s">
        <v>5136</v>
      </c>
      <c r="K2422" s="4837">
        <v>56058.041717059743</v>
      </c>
      <c r="L2422" s="4834">
        <f t="shared" si="153"/>
        <v>1.9719514649746019E-5</v>
      </c>
      <c r="S2422" s="270" t="s">
        <v>5124</v>
      </c>
      <c r="T2422" s="4838">
        <v>815.66444044609193</v>
      </c>
      <c r="U2422" s="4839">
        <f t="shared" si="152"/>
        <v>1.4173055903325847E-3</v>
      </c>
    </row>
    <row r="2423" spans="1:21">
      <c r="A2423" s="270" t="s">
        <v>5126</v>
      </c>
      <c r="B2423" s="3305">
        <v>9697</v>
      </c>
      <c r="C2423" s="4834">
        <f t="shared" si="150"/>
        <v>1.295375971231785E-5</v>
      </c>
      <c r="D2423" s="3" t="str">
        <f t="shared" si="151"/>
        <v>2021</v>
      </c>
      <c r="J2423" s="270" t="s">
        <v>5137</v>
      </c>
      <c r="K2423" s="4837">
        <v>56180.214554020538</v>
      </c>
      <c r="L2423" s="4834">
        <f t="shared" si="153"/>
        <v>1.927252037565709E-5</v>
      </c>
      <c r="S2423" s="270" t="s">
        <v>5125</v>
      </c>
      <c r="T2423" s="4838">
        <v>807.62675380393489</v>
      </c>
      <c r="U2423" s="4839">
        <f t="shared" si="152"/>
        <v>1.4812299080080545E-3</v>
      </c>
    </row>
    <row r="2424" spans="1:21">
      <c r="A2424" s="270" t="s">
        <v>5127</v>
      </c>
      <c r="B2424" s="3305">
        <v>9781</v>
      </c>
      <c r="C2424" s="4834">
        <f t="shared" si="150"/>
        <v>1.085591192001858E-5</v>
      </c>
      <c r="D2424" s="3" t="str">
        <f t="shared" si="151"/>
        <v>2021</v>
      </c>
      <c r="J2424" s="270" t="s">
        <v>5138</v>
      </c>
      <c r="K2424" s="4837">
        <v>57030.601800760742</v>
      </c>
      <c r="L2424" s="4834">
        <f t="shared" si="153"/>
        <v>1.6310333076725981E-5</v>
      </c>
      <c r="S2424" s="270" t="s">
        <v>5126</v>
      </c>
      <c r="T2424" s="4838">
        <v>797.33851490197389</v>
      </c>
      <c r="U2424" s="4839">
        <f t="shared" si="152"/>
        <v>1.562418766676307E-3</v>
      </c>
    </row>
    <row r="2425" spans="1:21">
      <c r="A2425" s="270" t="s">
        <v>5128</v>
      </c>
      <c r="B2425" s="3305">
        <v>9747.5</v>
      </c>
      <c r="C2425" s="4834">
        <f t="shared" si="150"/>
        <v>1.165499336737215E-5</v>
      </c>
      <c r="D2425" s="3" t="str">
        <f t="shared" si="151"/>
        <v>2021</v>
      </c>
      <c r="J2425" s="270" t="s">
        <v>5139</v>
      </c>
      <c r="K2425" s="4837">
        <v>57432.486132868587</v>
      </c>
      <c r="L2425" s="4834">
        <f t="shared" si="153"/>
        <v>1.5006719276458979E-5</v>
      </c>
      <c r="S2425" s="270" t="s">
        <v>5127</v>
      </c>
      <c r="T2425" s="4838">
        <v>818.23650017158207</v>
      </c>
      <c r="U2425" s="4839">
        <f t="shared" si="152"/>
        <v>1.3968103676577034E-3</v>
      </c>
    </row>
    <row r="2426" spans="1:21">
      <c r="A2426" s="270" t="s">
        <v>5129</v>
      </c>
      <c r="B2426" s="3305">
        <v>9737</v>
      </c>
      <c r="C2426" s="4834">
        <f t="shared" si="150"/>
        <v>1.1915523175107332E-5</v>
      </c>
      <c r="D2426" s="3" t="str">
        <f t="shared" si="151"/>
        <v>2021</v>
      </c>
      <c r="J2426" s="270" t="s">
        <v>5140</v>
      </c>
      <c r="K2426" s="4837">
        <v>57532.153447231343</v>
      </c>
      <c r="L2426" s="4834">
        <f t="shared" si="153"/>
        <v>1.4693408736525787E-5</v>
      </c>
      <c r="S2426" s="270" t="s">
        <v>5128</v>
      </c>
      <c r="T2426" s="4838">
        <v>819.52253003432713</v>
      </c>
      <c r="U2426" s="4839">
        <f t="shared" si="152"/>
        <v>1.3865608629022414E-3</v>
      </c>
    </row>
    <row r="2427" spans="1:21">
      <c r="A2427" s="270" t="s">
        <v>5130</v>
      </c>
      <c r="B2427" s="3305">
        <v>9583.5</v>
      </c>
      <c r="C2427" s="4834">
        <f t="shared" si="150"/>
        <v>1.6323840524249061E-5</v>
      </c>
      <c r="D2427" s="3" t="str">
        <f t="shared" si="151"/>
        <v>2021</v>
      </c>
      <c r="J2427" s="270" t="s">
        <v>5141</v>
      </c>
      <c r="K2427" s="4837">
        <v>57339.248967819571</v>
      </c>
      <c r="L2427" s="4834">
        <f t="shared" si="153"/>
        <v>1.5303436239393037E-5</v>
      </c>
      <c r="S2427" s="270" t="s">
        <v>5129</v>
      </c>
      <c r="T2427" s="4838">
        <v>816.950470308837</v>
      </c>
      <c r="U2427" s="4839">
        <f t="shared" si="152"/>
        <v>1.4070589858518221E-3</v>
      </c>
    </row>
    <row r="2428" spans="1:21">
      <c r="A2428" s="270" t="s">
        <v>5131</v>
      </c>
      <c r="B2428" s="3305">
        <v>9503</v>
      </c>
      <c r="C2428" s="4834">
        <f t="shared" si="150"/>
        <v>1.9133126690990386E-5</v>
      </c>
      <c r="D2428" s="3" t="str">
        <f t="shared" si="151"/>
        <v>2021</v>
      </c>
      <c r="J2428" s="270" t="s">
        <v>5142</v>
      </c>
      <c r="K2428" s="4837">
        <v>57294.237922623492</v>
      </c>
      <c r="L2428" s="4834">
        <f t="shared" si="153"/>
        <v>1.5447924555145398E-5</v>
      </c>
      <c r="S2428" s="270" t="s">
        <v>5130</v>
      </c>
      <c r="T2428" s="4838">
        <v>818.55800763726836</v>
      </c>
      <c r="U2428" s="4839">
        <f t="shared" si="152"/>
        <v>1.3942480307310521E-3</v>
      </c>
    </row>
    <row r="2429" spans="1:21">
      <c r="A2429" s="270" t="s">
        <v>5132</v>
      </c>
      <c r="B2429" s="3305">
        <v>9429</v>
      </c>
      <c r="C2429" s="4834">
        <f t="shared" si="150"/>
        <v>2.2055840484121101E-5</v>
      </c>
      <c r="D2429" s="3" t="str">
        <f t="shared" si="151"/>
        <v>2021</v>
      </c>
      <c r="J2429" s="270" t="s">
        <v>5143</v>
      </c>
      <c r="K2429" s="4837">
        <v>57197.785682917609</v>
      </c>
      <c r="L2429" s="4834">
        <f t="shared" si="153"/>
        <v>1.5760257777028996E-5</v>
      </c>
      <c r="S2429" s="270" t="s">
        <v>5131</v>
      </c>
      <c r="T2429" s="4838">
        <v>825.30966441668033</v>
      </c>
      <c r="U2429" s="4839">
        <f t="shared" si="152"/>
        <v>1.3404569286563578E-3</v>
      </c>
    </row>
    <row r="2430" spans="1:21">
      <c r="A2430" s="270" t="s">
        <v>5133</v>
      </c>
      <c r="B2430" s="3305">
        <v>9529.5</v>
      </c>
      <c r="C2430" s="4834">
        <f t="shared" si="150"/>
        <v>1.816732961527892E-5</v>
      </c>
      <c r="D2430" s="3" t="str">
        <f t="shared" si="151"/>
        <v>2021</v>
      </c>
      <c r="J2430" s="270" t="s">
        <v>5144</v>
      </c>
      <c r="K2430" s="4837">
        <v>57935.645316667622</v>
      </c>
      <c r="L2430" s="4834">
        <f t="shared" si="153"/>
        <v>1.3466337886216064E-5</v>
      </c>
      <c r="S2430" s="270" t="s">
        <v>5132</v>
      </c>
      <c r="T2430" s="4838">
        <v>818.23650017158207</v>
      </c>
      <c r="U2430" s="4839">
        <f t="shared" si="152"/>
        <v>1.3968103676577034E-3</v>
      </c>
    </row>
    <row r="2431" spans="1:21">
      <c r="A2431" s="270" t="s">
        <v>5134</v>
      </c>
      <c r="B2431" s="3305">
        <v>9311.5</v>
      </c>
      <c r="C2431" s="4834">
        <f t="shared" si="150"/>
        <v>2.7434117350267679E-5</v>
      </c>
      <c r="D2431" s="3" t="str">
        <f t="shared" si="151"/>
        <v>2021</v>
      </c>
      <c r="J2431" s="270" t="s">
        <v>5145</v>
      </c>
      <c r="K2431" s="4837">
        <v>58143.017632035277</v>
      </c>
      <c r="L2431" s="4834">
        <f t="shared" si="153"/>
        <v>1.2861752017402027E-5</v>
      </c>
      <c r="S2431" s="270" t="s">
        <v>5133</v>
      </c>
      <c r="T2431" s="4838">
        <v>803.12564928432698</v>
      </c>
      <c r="U2431" s="4839">
        <f t="shared" si="152"/>
        <v>1.5168681450748104E-3</v>
      </c>
    </row>
    <row r="2432" spans="1:21">
      <c r="A2432" s="270" t="s">
        <v>5135</v>
      </c>
      <c r="B2432" s="3305">
        <v>9409.5</v>
      </c>
      <c r="C2432" s="4834">
        <f t="shared" si="150"/>
        <v>2.2883792621080401E-5</v>
      </c>
      <c r="D2432" s="3" t="str">
        <f t="shared" si="151"/>
        <v>2021</v>
      </c>
      <c r="J2432" s="270" t="s">
        <v>5146</v>
      </c>
      <c r="K2432" s="4837">
        <v>57508.040387304871</v>
      </c>
      <c r="L2432" s="4834">
        <f t="shared" si="153"/>
        <v>1.4768841654349654E-5</v>
      </c>
      <c r="S2432" s="270" t="s">
        <v>5134</v>
      </c>
      <c r="T2432" s="4838">
        <v>766.47379819609102</v>
      </c>
      <c r="U2432" s="4839">
        <f t="shared" si="152"/>
        <v>1.7957160687514986E-3</v>
      </c>
    </row>
    <row r="2433" spans="1:21">
      <c r="A2433" s="270" t="s">
        <v>5136</v>
      </c>
      <c r="B2433" s="3305">
        <v>9421</v>
      </c>
      <c r="C2433" s="4834">
        <f t="shared" si="150"/>
        <v>2.2392513955567956E-5</v>
      </c>
      <c r="D2433" s="3" t="str">
        <f t="shared" si="151"/>
        <v>2021</v>
      </c>
      <c r="J2433" s="270" t="s">
        <v>5147</v>
      </c>
      <c r="K2433" s="4837">
        <v>57440.523819510752</v>
      </c>
      <c r="L2433" s="4834">
        <f t="shared" si="153"/>
        <v>1.4981303734352295E-5</v>
      </c>
      <c r="S2433" s="270" t="s">
        <v>5135</v>
      </c>
      <c r="T2433" s="4838">
        <v>752.00596224020853</v>
      </c>
      <c r="U2433" s="4839">
        <f t="shared" si="152"/>
        <v>1.8961734894318081E-3</v>
      </c>
    </row>
    <row r="2434" spans="1:21">
      <c r="A2434" s="270" t="s">
        <v>5137</v>
      </c>
      <c r="B2434" s="3305">
        <v>9508.5</v>
      </c>
      <c r="C2434" s="4834">
        <f t="shared" si="150"/>
        <v>1.8929273604230995E-5</v>
      </c>
      <c r="D2434" s="3" t="str">
        <f t="shared" si="151"/>
        <v>2021</v>
      </c>
      <c r="J2434" s="270" t="s">
        <v>5148</v>
      </c>
      <c r="K2434" s="4837">
        <v>57823.117703677424</v>
      </c>
      <c r="L2434" s="4834">
        <f t="shared" si="153"/>
        <v>1.3801840416890282E-5</v>
      </c>
      <c r="S2434" s="270" t="s">
        <v>5136</v>
      </c>
      <c r="T2434" s="4838">
        <v>752.9704846372673</v>
      </c>
      <c r="U2434" s="4839">
        <f t="shared" si="152"/>
        <v>1.8897101566247567E-3</v>
      </c>
    </row>
    <row r="2435" spans="1:21">
      <c r="A2435" s="270" t="s">
        <v>5138</v>
      </c>
      <c r="B2435" s="3305">
        <v>9429.5</v>
      </c>
      <c r="C2435" s="4834">
        <f t="shared" si="150"/>
        <v>2.2034935998507528E-5</v>
      </c>
      <c r="D2435" s="3" t="str">
        <f t="shared" si="151"/>
        <v>2021</v>
      </c>
      <c r="J2435" s="270" t="s">
        <v>5149</v>
      </c>
      <c r="K2435" s="4837">
        <v>58348.782410074491</v>
      </c>
      <c r="L2435" s="4834">
        <f t="shared" si="153"/>
        <v>1.2279483720927424E-5</v>
      </c>
      <c r="S2435" s="270" t="s">
        <v>5137</v>
      </c>
      <c r="T2435" s="4838">
        <v>752.9704846372673</v>
      </c>
      <c r="U2435" s="4839">
        <f t="shared" si="152"/>
        <v>1.8897101566247567E-3</v>
      </c>
    </row>
    <row r="2436" spans="1:21">
      <c r="A2436" s="270" t="s">
        <v>5139</v>
      </c>
      <c r="B2436" s="3305">
        <v>9377</v>
      </c>
      <c r="C2436" s="4834">
        <f t="shared" ref="C2436:C2468" si="154">_xlfn.NORM.DIST(B2436,$F$4,$F$3,FALSE)</f>
        <v>2.4319631414219692E-5</v>
      </c>
      <c r="D2436" s="3" t="str">
        <f t="shared" ref="D2436:D2468" si="155">LEFT(A2436,4)</f>
        <v>2021</v>
      </c>
      <c r="J2436" s="270" t="s">
        <v>5150</v>
      </c>
      <c r="K2436" s="4837">
        <v>58250.722633040175</v>
      </c>
      <c r="L2436" s="4834">
        <f t="shared" si="153"/>
        <v>1.2554776082962147E-5</v>
      </c>
      <c r="S2436" s="270" t="s">
        <v>5138</v>
      </c>
      <c r="T2436" s="4838">
        <v>752.00596224020853</v>
      </c>
      <c r="U2436" s="4839">
        <f t="shared" ref="U2436:U2469" si="156">_xlfn.NORM.DIST(T2436,$X$4,$X$3,FALSE)</f>
        <v>1.8961734894318081E-3</v>
      </c>
    </row>
    <row r="2437" spans="1:21">
      <c r="A2437" s="270" t="s">
        <v>5140</v>
      </c>
      <c r="B2437" s="3305">
        <v>9346.5</v>
      </c>
      <c r="C2437" s="4834">
        <f t="shared" si="154"/>
        <v>2.57324426466799E-5</v>
      </c>
      <c r="D2437" s="3" t="str">
        <f t="shared" si="155"/>
        <v>2021</v>
      </c>
      <c r="J2437" s="270" t="s">
        <v>5151</v>
      </c>
      <c r="K2437" s="4837">
        <v>58274.835692966648</v>
      </c>
      <c r="L2437" s="4834">
        <f t="shared" ref="L2437:L2457" si="157">_xlfn.NORM.DIST(K2437,$O$4,$O$3,FALSE)</f>
        <v>1.2486710450507606E-5</v>
      </c>
      <c r="S2437" s="270" t="s">
        <v>5139</v>
      </c>
      <c r="T2437" s="4838">
        <v>756.82857422550262</v>
      </c>
      <c r="U2437" s="4839">
        <f t="shared" si="156"/>
        <v>1.8635052826528706E-3</v>
      </c>
    </row>
    <row r="2438" spans="1:21">
      <c r="A2438" s="270" t="s">
        <v>5141</v>
      </c>
      <c r="B2438" s="3305">
        <v>9148.5</v>
      </c>
      <c r="C2438" s="4834">
        <f t="shared" si="154"/>
        <v>3.6570193024877688E-5</v>
      </c>
      <c r="D2438" s="3" t="str">
        <f t="shared" si="155"/>
        <v>2021</v>
      </c>
      <c r="J2438" s="270" t="s">
        <v>5152</v>
      </c>
      <c r="K2438" s="4837">
        <v>58633.316517206847</v>
      </c>
      <c r="L2438" s="4834">
        <f t="shared" si="157"/>
        <v>1.1503342513356417E-5</v>
      </c>
      <c r="S2438" s="270" t="s">
        <v>5140</v>
      </c>
      <c r="T2438" s="4838">
        <v>768.40284299020868</v>
      </c>
      <c r="U2438" s="4839">
        <f t="shared" si="156"/>
        <v>1.7818017659456586E-3</v>
      </c>
    </row>
    <row r="2439" spans="1:21">
      <c r="A2439" s="270" t="s">
        <v>5142</v>
      </c>
      <c r="B2439" s="3305">
        <v>8775.5</v>
      </c>
      <c r="C2439" s="4834">
        <f t="shared" si="154"/>
        <v>6.6040722586253458E-5</v>
      </c>
      <c r="D2439" s="3" t="str">
        <f t="shared" si="155"/>
        <v>2021</v>
      </c>
      <c r="J2439" s="270" t="s">
        <v>5153</v>
      </c>
      <c r="K2439" s="4837">
        <v>58565.799949412729</v>
      </c>
      <c r="L2439" s="4834">
        <f t="shared" si="157"/>
        <v>1.1684460782517358E-5</v>
      </c>
      <c r="S2439" s="270" t="s">
        <v>5141</v>
      </c>
      <c r="T2439" s="4838">
        <v>761.00817127942435</v>
      </c>
      <c r="U2439" s="4839">
        <f t="shared" si="156"/>
        <v>1.834511341749142E-3</v>
      </c>
    </row>
    <row r="2440" spans="1:21">
      <c r="A2440" s="270" t="s">
        <v>5143</v>
      </c>
      <c r="B2440" s="3305">
        <v>8922</v>
      </c>
      <c r="C2440" s="4834">
        <f t="shared" si="154"/>
        <v>5.2942748183708153E-5</v>
      </c>
      <c r="D2440" s="3" t="str">
        <f t="shared" si="155"/>
        <v>2021</v>
      </c>
      <c r="J2440" s="270" t="s">
        <v>5154</v>
      </c>
      <c r="K2440" s="4837">
        <v>57940.467928652921</v>
      </c>
      <c r="L2440" s="4834">
        <f t="shared" si="157"/>
        <v>1.3452075810298219E-5</v>
      </c>
      <c r="S2440" s="270" t="s">
        <v>5142</v>
      </c>
      <c r="T2440" s="4838">
        <v>750.39842491177706</v>
      </c>
      <c r="U2440" s="4839">
        <f t="shared" si="156"/>
        <v>1.9068650240482877E-3</v>
      </c>
    </row>
    <row r="2441" spans="1:21">
      <c r="A2441" s="270" t="s">
        <v>5144</v>
      </c>
      <c r="B2441" s="3305">
        <v>9237</v>
      </c>
      <c r="C2441" s="4834">
        <f t="shared" si="154"/>
        <v>3.1354789071426992E-5</v>
      </c>
      <c r="D2441" s="3" t="str">
        <f t="shared" si="155"/>
        <v>2021</v>
      </c>
      <c r="J2441" s="270" t="s">
        <v>5155</v>
      </c>
      <c r="K2441" s="4837">
        <v>57421.233371569579</v>
      </c>
      <c r="L2441" s="4834">
        <f t="shared" si="157"/>
        <v>1.504234471808548E-5</v>
      </c>
      <c r="S2441" s="270" t="s">
        <v>5143</v>
      </c>
      <c r="T2441" s="4838">
        <v>746.21882785785544</v>
      </c>
      <c r="U2441" s="4839">
        <f t="shared" si="156"/>
        <v>1.9341753668768971E-3</v>
      </c>
    </row>
    <row r="2442" spans="1:21">
      <c r="A2442" s="270" t="s">
        <v>5145</v>
      </c>
      <c r="B2442" s="3305">
        <v>9316.5</v>
      </c>
      <c r="C2442" s="4834">
        <f t="shared" si="154"/>
        <v>2.7185660155194847E-5</v>
      </c>
      <c r="D2442" s="3" t="str">
        <f t="shared" si="155"/>
        <v>2021</v>
      </c>
      <c r="J2442" s="270" t="s">
        <v>5156</v>
      </c>
      <c r="K2442" s="4837">
        <v>57493.572551348989</v>
      </c>
      <c r="L2442" s="4834">
        <f t="shared" si="157"/>
        <v>1.481421430232123E-5</v>
      </c>
      <c r="S2442" s="270" t="s">
        <v>5144</v>
      </c>
      <c r="T2442" s="4838">
        <v>753.2919921029536</v>
      </c>
      <c r="U2442" s="4839">
        <f t="shared" si="156"/>
        <v>1.887547758855042E-3</v>
      </c>
    </row>
    <row r="2443" spans="1:21">
      <c r="A2443" s="270" t="s">
        <v>5146</v>
      </c>
      <c r="B2443" s="3305">
        <v>9378.5</v>
      </c>
      <c r="C2443" s="4834">
        <f t="shared" si="154"/>
        <v>2.4251797337319649E-5</v>
      </c>
      <c r="D2443" s="3" t="str">
        <f t="shared" si="155"/>
        <v>2021</v>
      </c>
      <c r="J2443" s="270" t="s">
        <v>5157</v>
      </c>
      <c r="K2443" s="4837">
        <v>57697.729792059778</v>
      </c>
      <c r="L2443" s="4834">
        <f t="shared" si="157"/>
        <v>1.4181813505012452E-5</v>
      </c>
      <c r="S2443" s="270" t="s">
        <v>5145</v>
      </c>
      <c r="T2443" s="4838">
        <v>763.90173847060078</v>
      </c>
      <c r="U2443" s="4839">
        <f t="shared" si="156"/>
        <v>1.8140917326917069E-3</v>
      </c>
    </row>
    <row r="2444" spans="1:21">
      <c r="A2444" s="270" t="s">
        <v>5147</v>
      </c>
      <c r="B2444" s="3305">
        <v>9323</v>
      </c>
      <c r="C2444" s="4834">
        <f t="shared" si="154"/>
        <v>2.6865356374642562E-5</v>
      </c>
      <c r="D2444" s="3" t="str">
        <f t="shared" si="155"/>
        <v>2021</v>
      </c>
      <c r="J2444" s="270" t="s">
        <v>5158</v>
      </c>
      <c r="K2444" s="4837">
        <v>57675.224269461738</v>
      </c>
      <c r="L2444" s="4834">
        <f t="shared" si="157"/>
        <v>1.4250694933487422E-5</v>
      </c>
      <c r="S2444" s="270" t="s">
        <v>5146</v>
      </c>
      <c r="T2444" s="4838">
        <v>763.90173847060078</v>
      </c>
      <c r="U2444" s="4839">
        <f t="shared" si="156"/>
        <v>1.8140917326917069E-3</v>
      </c>
    </row>
    <row r="2445" spans="1:21">
      <c r="A2445" s="270" t="s">
        <v>5148</v>
      </c>
      <c r="B2445" s="3305">
        <v>9352</v>
      </c>
      <c r="C2445" s="4834">
        <f t="shared" si="154"/>
        <v>2.5472911209278851E-5</v>
      </c>
      <c r="D2445" s="3" t="str">
        <f t="shared" si="155"/>
        <v>2021</v>
      </c>
      <c r="J2445" s="270" t="s">
        <v>5159</v>
      </c>
      <c r="K2445" s="4837">
        <v>57638.250910907816</v>
      </c>
      <c r="L2445" s="4834">
        <f t="shared" si="157"/>
        <v>1.4364306000344604E-5</v>
      </c>
      <c r="S2445" s="270" t="s">
        <v>5147</v>
      </c>
      <c r="T2445" s="4838">
        <v>761.32967874511064</v>
      </c>
      <c r="U2445" s="4839">
        <f t="shared" si="156"/>
        <v>1.8322561456986207E-3</v>
      </c>
    </row>
    <row r="2446" spans="1:21">
      <c r="A2446" s="270" t="s">
        <v>5149</v>
      </c>
      <c r="B2446" s="3305">
        <v>9462.5</v>
      </c>
      <c r="C2446" s="4834">
        <f t="shared" si="154"/>
        <v>2.0690524176358704E-5</v>
      </c>
      <c r="D2446" s="3" t="str">
        <f t="shared" si="155"/>
        <v>2021</v>
      </c>
      <c r="J2446" s="270" t="s">
        <v>5160</v>
      </c>
      <c r="K2446" s="4837">
        <v>57773.284046496054</v>
      </c>
      <c r="L2446" s="4834">
        <f t="shared" si="157"/>
        <v>1.3952083720985161E-5</v>
      </c>
      <c r="S2446" s="270" t="s">
        <v>5148</v>
      </c>
      <c r="T2446" s="4838">
        <v>759.07912648530657</v>
      </c>
      <c r="U2446" s="4839">
        <f t="shared" si="156"/>
        <v>1.8479687978529946E-3</v>
      </c>
    </row>
    <row r="2447" spans="1:21">
      <c r="A2447" s="270" t="s">
        <v>5150</v>
      </c>
      <c r="B2447" s="3305">
        <v>9312</v>
      </c>
      <c r="C2447" s="4834">
        <f t="shared" si="154"/>
        <v>2.7409190375330166E-5</v>
      </c>
      <c r="D2447" s="3" t="str">
        <f t="shared" si="155"/>
        <v>2021</v>
      </c>
      <c r="J2447" s="270" t="s">
        <v>5161</v>
      </c>
      <c r="K2447" s="4837">
        <v>56197.897464633279</v>
      </c>
      <c r="L2447" s="4834">
        <f t="shared" si="157"/>
        <v>1.9208250148519692E-5</v>
      </c>
      <c r="S2447" s="270" t="s">
        <v>5149</v>
      </c>
      <c r="T2447" s="4838">
        <v>773.225454975503</v>
      </c>
      <c r="U2447" s="4839">
        <f t="shared" si="156"/>
        <v>1.746549067402796E-3</v>
      </c>
    </row>
    <row r="2448" spans="1:21">
      <c r="A2448" s="270" t="s">
        <v>5151</v>
      </c>
      <c r="B2448" s="3305">
        <v>9347</v>
      </c>
      <c r="C2448" s="4834">
        <f t="shared" si="154"/>
        <v>2.5708761470500707E-5</v>
      </c>
      <c r="D2448" s="3" t="str">
        <f t="shared" si="155"/>
        <v>2021</v>
      </c>
      <c r="J2448" s="270" t="s">
        <v>5162</v>
      </c>
      <c r="K2448" s="4837">
        <v>56455.103437182304</v>
      </c>
      <c r="L2448" s="4834">
        <f t="shared" si="157"/>
        <v>1.8285885913226549E-5</v>
      </c>
      <c r="S2448" s="270" t="s">
        <v>5150</v>
      </c>
      <c r="T2448" s="4838">
        <v>769.04585792158139</v>
      </c>
      <c r="U2448" s="4839">
        <f t="shared" si="156"/>
        <v>1.7771392603718014E-3</v>
      </c>
    </row>
    <row r="2449" spans="1:21">
      <c r="A2449" s="270" t="s">
        <v>5152</v>
      </c>
      <c r="B2449" s="3305">
        <v>9361</v>
      </c>
      <c r="C2449" s="4834">
        <f t="shared" si="154"/>
        <v>2.5052766115173569E-5</v>
      </c>
      <c r="D2449" s="3" t="str">
        <f t="shared" si="155"/>
        <v>2021</v>
      </c>
      <c r="J2449" s="270" t="s">
        <v>5163</v>
      </c>
      <c r="K2449" s="4837">
        <v>56512.97478100584</v>
      </c>
      <c r="L2449" s="4834">
        <f t="shared" si="157"/>
        <v>1.8081629978193267E-5</v>
      </c>
      <c r="S2449" s="270" t="s">
        <v>5151</v>
      </c>
      <c r="T2449" s="4838">
        <v>777.08354456373843</v>
      </c>
      <c r="U2449" s="4839">
        <f t="shared" si="156"/>
        <v>1.7179019714871774E-3</v>
      </c>
    </row>
    <row r="2450" spans="1:21">
      <c r="A2450" s="270" t="s">
        <v>5153</v>
      </c>
      <c r="B2450" s="3305">
        <v>9401.5</v>
      </c>
      <c r="C2450" s="4834">
        <f t="shared" si="154"/>
        <v>2.3230684894587573E-5</v>
      </c>
      <c r="D2450" s="3" t="str">
        <f t="shared" si="155"/>
        <v>2021</v>
      </c>
      <c r="J2450" s="270" t="s">
        <v>5164</v>
      </c>
      <c r="K2450" s="4837">
        <v>57049.892248701923</v>
      </c>
      <c r="L2450" s="4834">
        <f t="shared" si="157"/>
        <v>1.6246303882784089E-5</v>
      </c>
      <c r="S2450" s="270" t="s">
        <v>5152</v>
      </c>
      <c r="T2450" s="4838">
        <v>773.54696244118918</v>
      </c>
      <c r="U2450" s="4839">
        <f t="shared" si="156"/>
        <v>1.7441763331293835E-3</v>
      </c>
    </row>
    <row r="2451" spans="1:21">
      <c r="A2451" s="270" t="s">
        <v>5154</v>
      </c>
      <c r="B2451" s="3305">
        <v>9325</v>
      </c>
      <c r="C2451" s="4834">
        <f t="shared" si="154"/>
        <v>2.6767410777264644E-5</v>
      </c>
      <c r="D2451" s="3" t="str">
        <f t="shared" si="155"/>
        <v>2021</v>
      </c>
      <c r="J2451" s="270" t="s">
        <v>5165</v>
      </c>
      <c r="K2451" s="4837">
        <v>57016.133964804867</v>
      </c>
      <c r="L2451" s="4834">
        <f t="shared" si="157"/>
        <v>1.6358450124713732E-5</v>
      </c>
      <c r="S2451" s="270" t="s">
        <v>5153</v>
      </c>
      <c r="T2451" s="4838">
        <v>794.44494771079746</v>
      </c>
      <c r="U2451" s="4839">
        <f t="shared" si="156"/>
        <v>1.5850486664622137E-3</v>
      </c>
    </row>
    <row r="2452" spans="1:21">
      <c r="A2452" s="270" t="s">
        <v>5155</v>
      </c>
      <c r="B2452" s="3305">
        <v>9256</v>
      </c>
      <c r="C2452" s="4834">
        <f t="shared" si="154"/>
        <v>3.0315275613190379E-5</v>
      </c>
      <c r="D2452" s="3" t="str">
        <f t="shared" si="155"/>
        <v>2021</v>
      </c>
      <c r="J2452" s="270" t="s">
        <v>5166</v>
      </c>
      <c r="K2452" s="4837">
        <v>56263.806495098972</v>
      </c>
      <c r="L2452" s="4834">
        <f t="shared" si="157"/>
        <v>1.8969659100019938E-5</v>
      </c>
      <c r="S2452" s="270" t="s">
        <v>5154</v>
      </c>
      <c r="T2452" s="4838">
        <v>779.65560428922856</v>
      </c>
      <c r="U2452" s="4839">
        <f t="shared" si="156"/>
        <v>1.6986027087714825E-3</v>
      </c>
    </row>
    <row r="2453" spans="1:21">
      <c r="A2453" s="270" t="s">
        <v>5156</v>
      </c>
      <c r="B2453" s="3305">
        <v>9356.5</v>
      </c>
      <c r="C2453" s="4834">
        <f t="shared" si="154"/>
        <v>2.5262135981700912E-5</v>
      </c>
      <c r="D2453" s="3" t="str">
        <f t="shared" si="155"/>
        <v>2021</v>
      </c>
      <c r="J2453" s="270" t="s">
        <v>5167</v>
      </c>
      <c r="K2453" s="4837">
        <v>56160.924106079357</v>
      </c>
      <c r="L2453" s="4834">
        <f t="shared" si="157"/>
        <v>1.9342757078202903E-5</v>
      </c>
      <c r="S2453" s="270" t="s">
        <v>5155</v>
      </c>
      <c r="T2453" s="4838">
        <v>781.90615654903252</v>
      </c>
      <c r="U2453" s="4839">
        <f t="shared" si="156"/>
        <v>1.6815931873079976E-3</v>
      </c>
    </row>
    <row r="2454" spans="1:21">
      <c r="A2454" s="270" t="s">
        <v>5157</v>
      </c>
      <c r="B2454" s="3305">
        <v>9515</v>
      </c>
      <c r="C2454" s="4834">
        <f t="shared" si="154"/>
        <v>1.8690668045545629E-5</v>
      </c>
      <c r="D2454" s="3" t="str">
        <f t="shared" si="155"/>
        <v>2021</v>
      </c>
      <c r="J2454" s="270" t="s">
        <v>5168</v>
      </c>
      <c r="K2454" s="4837">
        <v>56434.205451912698</v>
      </c>
      <c r="L2454" s="4834">
        <f t="shared" si="157"/>
        <v>1.8359944390666636E-5</v>
      </c>
      <c r="S2454" s="270" t="s">
        <v>5156</v>
      </c>
      <c r="T2454" s="4838">
        <v>776.44052963236561</v>
      </c>
      <c r="U2454" s="4839">
        <f t="shared" si="156"/>
        <v>1.7227022987480035E-3</v>
      </c>
    </row>
    <row r="2455" spans="1:21">
      <c r="A2455" s="270" t="s">
        <v>5158</v>
      </c>
      <c r="B2455" s="3305">
        <v>9627</v>
      </c>
      <c r="C2455" s="4834">
        <f t="shared" si="154"/>
        <v>1.4954583597393096E-5</v>
      </c>
      <c r="D2455" s="3" t="str">
        <f t="shared" si="155"/>
        <v>2021</v>
      </c>
      <c r="J2455" s="270" t="s">
        <v>5169</v>
      </c>
      <c r="K2455" s="4837">
        <v>55741.356863358757</v>
      </c>
      <c r="L2455" s="4834">
        <f t="shared" si="157"/>
        <v>2.0901421856085616E-5</v>
      </c>
      <c r="S2455" s="270" t="s">
        <v>5157</v>
      </c>
      <c r="T2455" s="4838">
        <v>772.58244004413041</v>
      </c>
      <c r="U2455" s="4839">
        <f t="shared" si="156"/>
        <v>1.7512863360164628E-3</v>
      </c>
    </row>
    <row r="2456" spans="1:21">
      <c r="A2456" s="270" t="s">
        <v>5159</v>
      </c>
      <c r="B2456" s="3305">
        <v>9407</v>
      </c>
      <c r="C2456" s="4834">
        <f t="shared" si="154"/>
        <v>2.2991741875940699E-5</v>
      </c>
      <c r="D2456" s="3" t="str">
        <f t="shared" si="155"/>
        <v>2021</v>
      </c>
      <c r="J2456" s="270" t="s">
        <v>5170</v>
      </c>
      <c r="K2456" s="4837">
        <v>55850.669401692103</v>
      </c>
      <c r="L2456" s="4834">
        <f t="shared" si="157"/>
        <v>2.0489747995480868E-5</v>
      </c>
      <c r="S2456" s="270" t="s">
        <v>5158</v>
      </c>
      <c r="T2456" s="4838">
        <v>758.11460408824769</v>
      </c>
      <c r="U2456" s="4839">
        <f t="shared" si="156"/>
        <v>1.8546492534986297E-3</v>
      </c>
    </row>
    <row r="2457" spans="1:21">
      <c r="A2457" s="270" t="s">
        <v>5160</v>
      </c>
      <c r="B2457" s="3305">
        <v>9488.5</v>
      </c>
      <c r="C2457" s="4834">
        <f t="shared" si="154"/>
        <v>1.9679237442062254E-5</v>
      </c>
      <c r="D2457" s="3" t="str">
        <f t="shared" si="155"/>
        <v>2021</v>
      </c>
      <c r="J2457" s="270" t="s">
        <v>5171</v>
      </c>
      <c r="K2457" s="4837">
        <v>56032.321119804845</v>
      </c>
      <c r="L2457" s="4834">
        <f t="shared" si="157"/>
        <v>1.981426765232192E-5</v>
      </c>
      <c r="S2457" s="270" t="s">
        <v>5159</v>
      </c>
      <c r="T2457" s="4838">
        <v>758.75761901962039</v>
      </c>
      <c r="U2457" s="4839">
        <f t="shared" si="156"/>
        <v>1.8501992377501827E-3</v>
      </c>
    </row>
    <row r="2458" spans="1:21">
      <c r="A2458" s="270" t="s">
        <v>5161</v>
      </c>
      <c r="B2458" s="3305">
        <v>9392</v>
      </c>
      <c r="C2458" s="4834">
        <f t="shared" si="154"/>
        <v>2.3648143397409484E-5</v>
      </c>
      <c r="D2458" s="3" t="str">
        <f t="shared" si="155"/>
        <v>2021</v>
      </c>
      <c r="S2458" s="270" t="s">
        <v>5160</v>
      </c>
      <c r="T2458" s="4838">
        <v>766.47379819609102</v>
      </c>
      <c r="U2458" s="4839">
        <f t="shared" si="156"/>
        <v>1.7957160687514986E-3</v>
      </c>
    </row>
    <row r="2459" spans="1:21">
      <c r="A2459" s="270" t="s">
        <v>5162</v>
      </c>
      <c r="B2459" s="3305">
        <v>9435.5</v>
      </c>
      <c r="C2459" s="4834">
        <f t="shared" si="154"/>
        <v>2.1785338631410011E-5</v>
      </c>
      <c r="D2459" s="3" t="str">
        <f t="shared" si="155"/>
        <v>2021</v>
      </c>
      <c r="S2459" s="270" t="s">
        <v>5161</v>
      </c>
      <c r="T2459" s="4838">
        <v>754.57802196569867</v>
      </c>
      <c r="U2459" s="4839">
        <f t="shared" si="156"/>
        <v>1.8788589137758323E-3</v>
      </c>
    </row>
    <row r="2460" spans="1:21">
      <c r="A2460" s="270" t="s">
        <v>5163</v>
      </c>
      <c r="B2460" s="3305">
        <v>9145.5</v>
      </c>
      <c r="C2460" s="4834">
        <f t="shared" si="154"/>
        <v>3.6758066333229121E-5</v>
      </c>
      <c r="D2460" s="3" t="str">
        <f t="shared" si="155"/>
        <v>2021</v>
      </c>
      <c r="S2460" s="270" t="s">
        <v>5162</v>
      </c>
      <c r="T2460" s="4838">
        <v>739.78867854412988</v>
      </c>
      <c r="U2460" s="4839">
        <f t="shared" si="156"/>
        <v>1.9747370617380494E-3</v>
      </c>
    </row>
    <row r="2461" spans="1:21">
      <c r="A2461" s="270" t="s">
        <v>5164</v>
      </c>
      <c r="B2461" s="3305">
        <v>9106</v>
      </c>
      <c r="C2461" s="4834">
        <f t="shared" si="154"/>
        <v>3.9301619538058396E-5</v>
      </c>
      <c r="D2461" s="3" t="str">
        <f t="shared" si="155"/>
        <v>2021</v>
      </c>
      <c r="S2461" s="270" t="s">
        <v>5163</v>
      </c>
      <c r="T2461" s="4838">
        <v>720.17672313726678</v>
      </c>
      <c r="U2461" s="4839">
        <f t="shared" si="156"/>
        <v>2.0861584016955486E-3</v>
      </c>
    </row>
    <row r="2462" spans="1:21">
      <c r="A2462" s="270" t="s">
        <v>5165</v>
      </c>
      <c r="B2462" s="3305">
        <v>9255</v>
      </c>
      <c r="C2462" s="4834">
        <f t="shared" si="154"/>
        <v>3.0369299958967174E-5</v>
      </c>
      <c r="D2462" s="3" t="str">
        <f t="shared" si="155"/>
        <v>2021</v>
      </c>
      <c r="S2462" s="270" t="s">
        <v>5164</v>
      </c>
      <c r="T2462" s="4838">
        <v>725.32084258824727</v>
      </c>
      <c r="U2462" s="4839">
        <f t="shared" si="156"/>
        <v>2.0588608559628037E-3</v>
      </c>
    </row>
    <row r="2463" spans="1:21">
      <c r="A2463" s="270" t="s">
        <v>5166</v>
      </c>
      <c r="B2463" s="3305">
        <v>9252</v>
      </c>
      <c r="C2463" s="4834">
        <f t="shared" si="154"/>
        <v>3.0531829037004231E-5</v>
      </c>
      <c r="D2463" s="3" t="str">
        <f t="shared" si="155"/>
        <v>2021</v>
      </c>
      <c r="S2463" s="270" t="s">
        <v>5165</v>
      </c>
      <c r="T2463" s="4838">
        <v>731.10797697060025</v>
      </c>
      <c r="U2463" s="4839">
        <f t="shared" si="156"/>
        <v>2.0264655067217478E-3</v>
      </c>
    </row>
    <row r="2464" spans="1:21">
      <c r="A2464" s="270" t="s">
        <v>5167</v>
      </c>
      <c r="B2464" s="3305">
        <v>9275</v>
      </c>
      <c r="C2464" s="4834">
        <f t="shared" si="154"/>
        <v>2.9303162242878824E-5</v>
      </c>
      <c r="D2464" s="3" t="str">
        <f t="shared" si="155"/>
        <v>2021</v>
      </c>
      <c r="S2464" s="270" t="s">
        <v>5166</v>
      </c>
      <c r="T2464" s="4838">
        <v>731.10797697060025</v>
      </c>
      <c r="U2464" s="4839">
        <f t="shared" si="156"/>
        <v>2.0264655067217478E-3</v>
      </c>
    </row>
    <row r="2465" spans="1:21">
      <c r="A2465" s="270" t="s">
        <v>5168</v>
      </c>
      <c r="B2465" s="3305">
        <v>9341</v>
      </c>
      <c r="C2465" s="4834">
        <f t="shared" si="154"/>
        <v>2.5994093362300318E-5</v>
      </c>
      <c r="D2465" s="3" t="str">
        <f t="shared" si="155"/>
        <v>2021</v>
      </c>
      <c r="S2465" s="270" t="s">
        <v>5167</v>
      </c>
      <c r="T2465" s="4838">
        <v>728.53591724511</v>
      </c>
      <c r="U2465" s="4839">
        <f t="shared" si="156"/>
        <v>2.0410779779805434E-3</v>
      </c>
    </row>
    <row r="2466" spans="1:21">
      <c r="A2466" s="270" t="s">
        <v>5169</v>
      </c>
      <c r="B2466" s="3305">
        <v>9263</v>
      </c>
      <c r="C2466" s="4834">
        <f t="shared" si="154"/>
        <v>2.9939226904104513E-5</v>
      </c>
      <c r="D2466" s="3" t="str">
        <f t="shared" si="155"/>
        <v>2021</v>
      </c>
      <c r="S2466" s="270" t="s">
        <v>5168</v>
      </c>
      <c r="T2466" s="4838">
        <v>725.32084258824727</v>
      </c>
      <c r="U2466" s="4839">
        <f t="shared" si="156"/>
        <v>2.0588608559628037E-3</v>
      </c>
    </row>
    <row r="2467" spans="1:21">
      <c r="A2467" s="270" t="s">
        <v>5170</v>
      </c>
      <c r="B2467" s="3305">
        <v>9227</v>
      </c>
      <c r="C2467" s="4834">
        <f t="shared" si="154"/>
        <v>3.1913052647203272E-5</v>
      </c>
      <c r="D2467" s="3" t="str">
        <f t="shared" si="155"/>
        <v>2021</v>
      </c>
      <c r="S2467" s="270" t="s">
        <v>5169</v>
      </c>
      <c r="T2467" s="4838">
        <v>713.7465738235411</v>
      </c>
      <c r="U2467" s="4839">
        <f t="shared" si="156"/>
        <v>2.1181920333638044E-3</v>
      </c>
    </row>
    <row r="2468" spans="1:21">
      <c r="A2468" s="270" t="s">
        <v>5171</v>
      </c>
      <c r="B2468" s="3305">
        <v>9041</v>
      </c>
      <c r="C2468" s="4834">
        <f t="shared" si="154"/>
        <v>4.3776632489423909E-5</v>
      </c>
      <c r="D2468" s="3" t="str">
        <f t="shared" si="155"/>
        <v>2021</v>
      </c>
      <c r="S2468" s="270" t="s">
        <v>5170</v>
      </c>
      <c r="T2468" s="4838">
        <v>717.92617087746282</v>
      </c>
      <c r="U2468" s="4839">
        <f t="shared" si="156"/>
        <v>2.0976396139135984E-3</v>
      </c>
    </row>
    <row r="2469" spans="1:21">
      <c r="S2469" s="270" t="s">
        <v>5171</v>
      </c>
      <c r="T2469" s="4838">
        <v>692.20557362256056</v>
      </c>
      <c r="U2469" s="4839">
        <f t="shared" si="156"/>
        <v>2.2071219424318216E-3</v>
      </c>
    </row>
  </sheetData>
  <phoneticPr fontId="1" type="noConversion"/>
  <pageMargins left="0.7" right="0.7" top="0.75" bottom="0.75" header="0.3" footer="0.3"/>
  <pageSetup paperSize="9" orientation="portrait"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86134-654F-4608-9139-53AA15089B62}">
  <sheetPr>
    <tabColor rgb="FFFFC000"/>
  </sheetPr>
  <dimension ref="A1:X14"/>
  <sheetViews>
    <sheetView workbookViewId="0">
      <selection activeCell="F22" sqref="F22"/>
    </sheetView>
  </sheetViews>
  <sheetFormatPr defaultRowHeight="16.5"/>
  <cols>
    <col min="1" max="1" width="30.875" style="2045" bestFit="1" customWidth="1"/>
    <col min="2" max="13" width="10.625" style="2045" customWidth="1"/>
    <col min="14" max="23" width="9.125" style="2045" bestFit="1" customWidth="1"/>
    <col min="24" max="16384" width="9" style="2045"/>
  </cols>
  <sheetData>
    <row r="1" spans="1:24">
      <c r="A1" s="5159" t="s">
        <v>13528</v>
      </c>
      <c r="B1" s="2044" t="s">
        <v>13529</v>
      </c>
      <c r="C1" s="2044" t="s">
        <v>13530</v>
      </c>
      <c r="D1" s="2044" t="s">
        <v>13531</v>
      </c>
      <c r="E1" s="2044" t="s">
        <v>13532</v>
      </c>
      <c r="F1" s="2044" t="s">
        <v>13533</v>
      </c>
      <c r="G1" s="2044" t="s">
        <v>13534</v>
      </c>
      <c r="H1" s="2044" t="s">
        <v>13535</v>
      </c>
      <c r="I1" s="2044" t="s">
        <v>13536</v>
      </c>
      <c r="J1" s="2044" t="s">
        <v>13537</v>
      </c>
      <c r="K1" s="2044" t="s">
        <v>3657</v>
      </c>
      <c r="L1" s="2044" t="s">
        <v>3658</v>
      </c>
      <c r="M1" s="2044" t="s">
        <v>13538</v>
      </c>
      <c r="N1" s="2044" t="s">
        <v>3660</v>
      </c>
      <c r="O1" s="2044" t="s">
        <v>3661</v>
      </c>
      <c r="P1" s="2044" t="s">
        <v>3662</v>
      </c>
      <c r="Q1" s="2044" t="s">
        <v>3663</v>
      </c>
      <c r="R1" s="2044" t="s">
        <v>3664</v>
      </c>
      <c r="S1" s="2044" t="s">
        <v>3665</v>
      </c>
      <c r="T1" s="2044" t="s">
        <v>3666</v>
      </c>
      <c r="U1" s="2044" t="s">
        <v>13539</v>
      </c>
      <c r="V1" s="2044" t="s">
        <v>13540</v>
      </c>
      <c r="W1" s="2044" t="s">
        <v>13541</v>
      </c>
    </row>
    <row r="2" spans="1:24">
      <c r="A2" s="2045" t="s">
        <v>3667</v>
      </c>
      <c r="N2" s="2045">
        <v>1.45</v>
      </c>
      <c r="O2" s="2045">
        <v>1.7</v>
      </c>
      <c r="P2" s="2045">
        <v>1.85</v>
      </c>
      <c r="Q2" s="2045">
        <v>1.95</v>
      </c>
      <c r="R2" s="2045">
        <v>2</v>
      </c>
      <c r="S2" s="2045">
        <v>2</v>
      </c>
      <c r="T2" s="2045">
        <v>1.95</v>
      </c>
      <c r="U2" s="2045">
        <v>1.9</v>
      </c>
      <c r="V2" s="2045">
        <v>1.95</v>
      </c>
      <c r="W2" s="2045">
        <v>1.9</v>
      </c>
    </row>
    <row r="3" spans="1:24">
      <c r="A3" s="2045" t="s">
        <v>3669</v>
      </c>
      <c r="N3" s="2045">
        <v>1.5</v>
      </c>
      <c r="O3" s="2045">
        <v>1.75</v>
      </c>
      <c r="P3" s="2045">
        <v>1.75</v>
      </c>
      <c r="Q3" s="2045">
        <v>2</v>
      </c>
      <c r="R3" s="2045">
        <v>2</v>
      </c>
      <c r="S3" s="2045">
        <v>2</v>
      </c>
      <c r="T3" s="2045">
        <v>2</v>
      </c>
      <c r="U3" s="2045">
        <v>2</v>
      </c>
      <c r="V3" s="2045">
        <v>2</v>
      </c>
      <c r="W3" s="2045">
        <v>2</v>
      </c>
    </row>
    <row r="4" spans="1:24">
      <c r="A4" s="2045" t="s">
        <v>3670</v>
      </c>
      <c r="N4" s="2045">
        <v>1.47</v>
      </c>
      <c r="O4" s="2045">
        <v>1.69</v>
      </c>
      <c r="P4" s="2045">
        <v>1.83</v>
      </c>
      <c r="Q4" s="2045">
        <v>1.95</v>
      </c>
      <c r="R4" s="2045">
        <v>2</v>
      </c>
      <c r="S4" s="2045">
        <v>2.02</v>
      </c>
      <c r="T4" s="2045">
        <v>1.96</v>
      </c>
      <c r="U4" s="2045">
        <v>1.91</v>
      </c>
      <c r="V4" s="2045">
        <v>1.94</v>
      </c>
      <c r="W4" s="2045">
        <v>1.89</v>
      </c>
    </row>
    <row r="5" spans="1:24">
      <c r="A5" s="2045" t="s">
        <v>3671</v>
      </c>
      <c r="N5" s="2045">
        <v>1.5</v>
      </c>
      <c r="O5" s="2045">
        <v>1.75</v>
      </c>
      <c r="P5" s="2045">
        <v>2</v>
      </c>
      <c r="Q5" s="2045">
        <v>2.25</v>
      </c>
      <c r="R5" s="2045">
        <v>2.5</v>
      </c>
      <c r="S5" s="2045">
        <v>2.5</v>
      </c>
      <c r="T5" s="2045">
        <v>2.5</v>
      </c>
      <c r="U5" s="2045">
        <v>2.5</v>
      </c>
      <c r="V5" s="2045">
        <v>2.5</v>
      </c>
      <c r="W5" s="2045">
        <v>2.25</v>
      </c>
    </row>
    <row r="6" spans="1:24">
      <c r="A6" s="2045" t="s">
        <v>3672</v>
      </c>
      <c r="N6" s="2045">
        <v>1.25</v>
      </c>
      <c r="O6" s="2045">
        <v>1.25</v>
      </c>
      <c r="P6" s="2045">
        <v>1.5</v>
      </c>
      <c r="Q6" s="2045">
        <v>1.5</v>
      </c>
      <c r="R6" s="2045">
        <v>1.5</v>
      </c>
      <c r="S6" s="2045">
        <v>1.5</v>
      </c>
      <c r="T6" s="2045">
        <v>1</v>
      </c>
      <c r="U6" s="2045">
        <v>1.25</v>
      </c>
      <c r="V6" s="2045">
        <v>1.25</v>
      </c>
      <c r="W6" s="2045">
        <v>1.25</v>
      </c>
    </row>
    <row r="7" spans="1:24">
      <c r="A7" s="2045" t="s">
        <v>3673</v>
      </c>
      <c r="N7" s="2045">
        <v>27</v>
      </c>
      <c r="O7" s="2045">
        <v>25</v>
      </c>
      <c r="P7" s="2045">
        <v>27</v>
      </c>
      <c r="Q7" s="2045">
        <v>25</v>
      </c>
      <c r="R7" s="2045">
        <v>24</v>
      </c>
      <c r="S7" s="2045">
        <v>24</v>
      </c>
      <c r="T7" s="2045">
        <v>24</v>
      </c>
      <c r="U7" s="2045">
        <v>8</v>
      </c>
      <c r="V7" s="2045">
        <v>8</v>
      </c>
      <c r="W7" s="2045">
        <v>7</v>
      </c>
    </row>
    <row r="10" spans="1:24">
      <c r="B10" s="2044" t="s">
        <v>13529</v>
      </c>
      <c r="C10" s="2044" t="s">
        <v>13530</v>
      </c>
      <c r="D10" s="2044" t="s">
        <v>13531</v>
      </c>
      <c r="E10" s="2044" t="s">
        <v>13532</v>
      </c>
      <c r="F10" s="2044" t="s">
        <v>13533</v>
      </c>
      <c r="G10" s="2044" t="s">
        <v>13534</v>
      </c>
      <c r="H10" s="2044" t="s">
        <v>13535</v>
      </c>
      <c r="I10" s="2044" t="s">
        <v>13536</v>
      </c>
      <c r="J10" s="2044" t="s">
        <v>13537</v>
      </c>
      <c r="K10" s="2044" t="s">
        <v>3657</v>
      </c>
      <c r="L10" s="2044" t="s">
        <v>3658</v>
      </c>
      <c r="M10" s="2044" t="s">
        <v>13538</v>
      </c>
      <c r="N10" s="2044" t="s">
        <v>3660</v>
      </c>
      <c r="O10" s="2044" t="s">
        <v>3661</v>
      </c>
      <c r="P10" s="2044" t="s">
        <v>3662</v>
      </c>
      <c r="Q10" s="2044" t="s">
        <v>3663</v>
      </c>
      <c r="R10" s="2044" t="s">
        <v>3664</v>
      </c>
      <c r="S10" s="2044" t="s">
        <v>3665</v>
      </c>
      <c r="T10" s="2044" t="s">
        <v>3666</v>
      </c>
      <c r="U10" s="2044" t="s">
        <v>13539</v>
      </c>
      <c r="V10" s="2044" t="s">
        <v>13540</v>
      </c>
      <c r="W10" s="2044" t="s">
        <v>13541</v>
      </c>
    </row>
    <row r="11" spans="1:24">
      <c r="A11" s="2045" t="s">
        <v>13542</v>
      </c>
      <c r="B11" s="5160">
        <v>1.75</v>
      </c>
      <c r="C11" s="5160">
        <v>1.5</v>
      </c>
      <c r="D11" s="5160">
        <v>1.25</v>
      </c>
      <c r="E11" s="5160">
        <v>0.75</v>
      </c>
      <c r="F11" s="5160">
        <v>0.5</v>
      </c>
      <c r="G11" s="5160">
        <v>0.5</v>
      </c>
      <c r="H11" s="5160">
        <v>0.5</v>
      </c>
      <c r="I11" s="5160">
        <v>0.5</v>
      </c>
      <c r="J11" s="5160">
        <v>0.5</v>
      </c>
      <c r="K11" s="5160">
        <v>0.75</v>
      </c>
      <c r="L11" s="5160">
        <v>1</v>
      </c>
      <c r="M11" s="5160">
        <v>1.25</v>
      </c>
      <c r="N11" s="3076">
        <f>N3</f>
        <v>1.5</v>
      </c>
      <c r="O11" s="3076">
        <f t="shared" ref="O11:W11" si="0">O3</f>
        <v>1.75</v>
      </c>
      <c r="P11" s="3076">
        <f t="shared" si="0"/>
        <v>1.75</v>
      </c>
      <c r="Q11" s="3076">
        <f t="shared" si="0"/>
        <v>2</v>
      </c>
      <c r="R11" s="3076">
        <f t="shared" si="0"/>
        <v>2</v>
      </c>
      <c r="S11" s="3076">
        <f t="shared" si="0"/>
        <v>2</v>
      </c>
      <c r="T11" s="3076">
        <f t="shared" si="0"/>
        <v>2</v>
      </c>
      <c r="U11" s="3076">
        <f t="shared" si="0"/>
        <v>2</v>
      </c>
      <c r="V11" s="3076">
        <f t="shared" si="0"/>
        <v>2</v>
      </c>
      <c r="W11" s="3076">
        <f t="shared" si="0"/>
        <v>2</v>
      </c>
      <c r="X11" s="5161"/>
    </row>
    <row r="12" spans="1:24">
      <c r="A12" s="2045" t="s">
        <v>13543</v>
      </c>
      <c r="B12" s="5160">
        <v>1.78</v>
      </c>
      <c r="C12" s="5160">
        <v>1.55</v>
      </c>
      <c r="D12" s="5160">
        <v>1.53</v>
      </c>
      <c r="E12" s="5160">
        <v>1.1000000000000001</v>
      </c>
      <c r="F12" s="5160">
        <v>0.79</v>
      </c>
      <c r="G12" s="5160">
        <v>0.63</v>
      </c>
      <c r="H12" s="5160">
        <v>0.66</v>
      </c>
      <c r="I12" s="5160">
        <v>0.75</v>
      </c>
      <c r="J12" s="5160">
        <v>0.68</v>
      </c>
      <c r="K12" s="5160">
        <v>1.04</v>
      </c>
      <c r="L12" s="5160">
        <v>1.29</v>
      </c>
      <c r="M12" s="5160">
        <v>1.51</v>
      </c>
      <c r="N12" s="5162">
        <f>_xlfn.FORECAST.LINEAR(N11,$B$12:$M$12,$B$11:$M$11)</f>
        <v>1.6535799522673029</v>
      </c>
      <c r="O12" s="5162">
        <f t="shared" ref="O12:W12" si="1">_xlfn.FORECAST.LINEAR(O11,$B$12:$M$12,$B$11:$M$11)</f>
        <v>1.8788544152744628</v>
      </c>
      <c r="P12" s="5162">
        <f t="shared" si="1"/>
        <v>1.8788544152744628</v>
      </c>
      <c r="Q12" s="5162">
        <f t="shared" si="1"/>
        <v>2.1041288782816228</v>
      </c>
      <c r="R12" s="5162">
        <f t="shared" si="1"/>
        <v>2.1041288782816228</v>
      </c>
      <c r="S12" s="5162">
        <f t="shared" si="1"/>
        <v>2.1041288782816228</v>
      </c>
      <c r="T12" s="5162">
        <f t="shared" si="1"/>
        <v>2.1041288782816228</v>
      </c>
      <c r="U12" s="5162">
        <f t="shared" si="1"/>
        <v>2.1041288782816228</v>
      </c>
      <c r="V12" s="5162">
        <f t="shared" si="1"/>
        <v>2.1041288782816228</v>
      </c>
      <c r="W12" s="5162">
        <f t="shared" si="1"/>
        <v>2.1041288782816228</v>
      </c>
      <c r="X12" s="5161" t="s">
        <v>13544</v>
      </c>
    </row>
    <row r="14" spans="1:24">
      <c r="A14" s="5163" t="s">
        <v>13545</v>
      </c>
      <c r="B14" s="5164">
        <f>CORREL(B11:M11,B12:M12)</f>
        <v>0.97445517165657392</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5A71B-6F5A-4879-B043-B76A2C4B04DD}">
  <sheetPr codeName="Sheet49"/>
  <dimension ref="A2:R95"/>
  <sheetViews>
    <sheetView workbookViewId="0">
      <selection activeCell="C60" sqref="C60"/>
    </sheetView>
  </sheetViews>
  <sheetFormatPr defaultColWidth="9" defaultRowHeight="12" customHeight="1"/>
  <cols>
    <col min="1" max="1" width="1.625" style="1" customWidth="1"/>
    <col min="2" max="2" width="28.375" style="1" customWidth="1"/>
    <col min="3" max="4" width="17.875" style="1" customWidth="1"/>
    <col min="5" max="16" width="11.625" style="1" customWidth="1"/>
    <col min="17" max="16384" width="9" style="1"/>
  </cols>
  <sheetData>
    <row r="2" spans="2:16" ht="12" customHeight="1">
      <c r="B2" s="3600" t="s">
        <v>6107</v>
      </c>
      <c r="K2" s="3600" t="s">
        <v>6106</v>
      </c>
    </row>
    <row r="3" spans="2:16" ht="12" customHeight="1">
      <c r="B3" s="3622" t="s">
        <v>2023</v>
      </c>
      <c r="C3" s="3623" t="s">
        <v>6067</v>
      </c>
      <c r="D3" s="3623" t="s">
        <v>6068</v>
      </c>
      <c r="E3" s="3623" t="s">
        <v>6069</v>
      </c>
      <c r="F3" s="3623" t="s">
        <v>6070</v>
      </c>
      <c r="G3" s="3624" t="s">
        <v>6071</v>
      </c>
      <c r="H3" s="3625" t="s">
        <v>6072</v>
      </c>
      <c r="K3" s="3622" t="s">
        <v>2023</v>
      </c>
      <c r="L3" s="3623" t="s">
        <v>6087</v>
      </c>
      <c r="M3" s="3623" t="s">
        <v>6088</v>
      </c>
      <c r="N3" s="3623" t="s">
        <v>6089</v>
      </c>
      <c r="O3" s="3623" t="s">
        <v>6090</v>
      </c>
      <c r="P3" s="3623" t="s">
        <v>6091</v>
      </c>
    </row>
    <row r="4" spans="2:16" ht="12" customHeight="1">
      <c r="B4" s="3626" t="s">
        <v>6073</v>
      </c>
      <c r="C4" s="3627">
        <v>44503</v>
      </c>
      <c r="D4" s="3628">
        <v>25161</v>
      </c>
      <c r="E4" s="3628">
        <v>1530</v>
      </c>
      <c r="F4" s="3629">
        <v>0.13039999999999999</v>
      </c>
      <c r="G4" s="3629">
        <v>1</v>
      </c>
      <c r="H4" s="3630">
        <v>0</v>
      </c>
      <c r="K4" s="3631" t="s">
        <v>6097</v>
      </c>
      <c r="L4" s="3632">
        <v>44535</v>
      </c>
      <c r="M4" s="3633">
        <v>66000</v>
      </c>
      <c r="N4" s="3634">
        <v>4.2999999999999997E-2</v>
      </c>
      <c r="O4" s="3633">
        <v>6078894</v>
      </c>
      <c r="P4" s="3634">
        <v>3.5000000000000003E-2</v>
      </c>
    </row>
    <row r="5" spans="2:16" ht="12" customHeight="1">
      <c r="B5" s="3635" t="s">
        <v>6074</v>
      </c>
      <c r="C5" s="3636">
        <v>44456</v>
      </c>
      <c r="D5" s="3637">
        <v>9898</v>
      </c>
      <c r="E5" s="3637">
        <v>1080</v>
      </c>
      <c r="F5" s="3638">
        <v>0.20280000000000001</v>
      </c>
      <c r="G5" s="3638">
        <v>1</v>
      </c>
      <c r="H5" s="3639">
        <v>0</v>
      </c>
      <c r="K5" s="3640" t="s">
        <v>6098</v>
      </c>
      <c r="L5" s="3641">
        <v>44515</v>
      </c>
      <c r="M5" s="3642">
        <v>179000</v>
      </c>
      <c r="N5" s="3643">
        <v>3.9600000000000003E-2</v>
      </c>
      <c r="O5" s="3642">
        <v>2823372</v>
      </c>
      <c r="P5" s="3643">
        <v>0.08</v>
      </c>
    </row>
    <row r="6" spans="2:16" ht="12" customHeight="1">
      <c r="B6" s="3635" t="s">
        <v>6075</v>
      </c>
      <c r="C6" s="3636">
        <v>44427</v>
      </c>
      <c r="D6" s="3637">
        <v>2033</v>
      </c>
      <c r="E6" s="3644">
        <v>851</v>
      </c>
      <c r="F6" s="3638">
        <v>0.39369999999999999</v>
      </c>
      <c r="G6" s="3638">
        <v>0.5</v>
      </c>
      <c r="H6" s="3639">
        <v>0.5</v>
      </c>
      <c r="K6" s="3635" t="s">
        <v>6077</v>
      </c>
      <c r="L6" s="3641">
        <v>44441</v>
      </c>
      <c r="M6" s="3642">
        <v>88800</v>
      </c>
      <c r="N6" s="3643">
        <v>2.9000000000000001E-2</v>
      </c>
      <c r="O6" s="3642">
        <v>1368383</v>
      </c>
      <c r="P6" s="3643">
        <v>9.9000000000000005E-2</v>
      </c>
    </row>
    <row r="7" spans="2:16" ht="12" customHeight="1">
      <c r="B7" s="3635" t="s">
        <v>6076</v>
      </c>
      <c r="C7" s="3636">
        <v>44418</v>
      </c>
      <c r="D7" s="3637">
        <v>22200</v>
      </c>
      <c r="E7" s="3637">
        <v>4310</v>
      </c>
      <c r="F7" s="3638">
        <v>0.17699999999999999</v>
      </c>
      <c r="G7" s="3638">
        <v>0.64990000000000003</v>
      </c>
      <c r="H7" s="3639">
        <v>0.35</v>
      </c>
      <c r="K7" s="3635" t="s">
        <v>6092</v>
      </c>
      <c r="L7" s="3641">
        <v>44375</v>
      </c>
      <c r="M7" s="3642">
        <v>312000</v>
      </c>
      <c r="N7" s="3643">
        <v>7.8E-2</v>
      </c>
      <c r="O7" s="3642">
        <v>2866703</v>
      </c>
      <c r="P7" s="3643">
        <v>8.9700000000000002E-2</v>
      </c>
    </row>
    <row r="8" spans="2:16" ht="12" customHeight="1">
      <c r="B8" s="3640" t="s">
        <v>6099</v>
      </c>
      <c r="C8" s="3636">
        <v>44417</v>
      </c>
      <c r="D8" s="3637">
        <v>1980</v>
      </c>
      <c r="E8" s="3644">
        <v>597</v>
      </c>
      <c r="F8" s="3638">
        <v>0.35</v>
      </c>
      <c r="G8" s="3638">
        <v>0.57140000000000002</v>
      </c>
      <c r="H8" s="3639">
        <v>0.42899999999999999</v>
      </c>
      <c r="K8" s="3635" t="s">
        <v>6093</v>
      </c>
      <c r="L8" s="3641">
        <v>44301</v>
      </c>
      <c r="M8" s="3642">
        <v>121789</v>
      </c>
      <c r="N8" s="3643">
        <v>0.01</v>
      </c>
      <c r="O8" s="3642">
        <v>4321521</v>
      </c>
      <c r="P8" s="3643">
        <v>0.05</v>
      </c>
    </row>
    <row r="9" spans="2:16" ht="12" customHeight="1">
      <c r="B9" s="3635" t="s">
        <v>6077</v>
      </c>
      <c r="C9" s="3636">
        <v>44414</v>
      </c>
      <c r="D9" s="3637">
        <v>33162</v>
      </c>
      <c r="E9" s="3637">
        <v>2553</v>
      </c>
      <c r="F9" s="3638">
        <v>0.13780000000000001</v>
      </c>
      <c r="G9" s="3638">
        <v>1</v>
      </c>
      <c r="H9" s="3639">
        <v>0</v>
      </c>
      <c r="K9" s="3640" t="s">
        <v>6100</v>
      </c>
      <c r="L9" s="3641">
        <v>44250</v>
      </c>
      <c r="M9" s="3642">
        <v>147500</v>
      </c>
      <c r="N9" s="3645">
        <v>0.11</v>
      </c>
      <c r="O9" s="3642">
        <v>8500000</v>
      </c>
      <c r="P9" s="3643">
        <v>0.12</v>
      </c>
    </row>
    <row r="10" spans="2:16" ht="12" customHeight="1">
      <c r="B10" s="3635" t="s">
        <v>6078</v>
      </c>
      <c r="C10" s="3636">
        <v>44393</v>
      </c>
      <c r="D10" s="3637">
        <v>6300</v>
      </c>
      <c r="E10" s="3644">
        <v>776</v>
      </c>
      <c r="F10" s="3638">
        <v>0.14460000000000001</v>
      </c>
      <c r="G10" s="3638">
        <v>0.66669999999999996</v>
      </c>
      <c r="H10" s="3639">
        <v>0.33300000000000002</v>
      </c>
      <c r="K10" s="3635" t="s">
        <v>6082</v>
      </c>
      <c r="L10" s="3641">
        <v>44018</v>
      </c>
      <c r="M10" s="3642">
        <v>107500</v>
      </c>
      <c r="N10" s="3643">
        <v>2.1000000000000001E-2</v>
      </c>
      <c r="O10" s="3642">
        <v>3160000</v>
      </c>
      <c r="P10" s="3643">
        <v>4.7E-2</v>
      </c>
    </row>
    <row r="11" spans="2:16" ht="12" customHeight="1">
      <c r="B11" s="3640" t="s">
        <v>6101</v>
      </c>
      <c r="C11" s="3636">
        <v>44327</v>
      </c>
      <c r="D11" s="3637">
        <v>11015</v>
      </c>
      <c r="E11" s="3637">
        <v>2246</v>
      </c>
      <c r="F11" s="3638">
        <v>0.3</v>
      </c>
      <c r="G11" s="3638">
        <v>0.4</v>
      </c>
      <c r="H11" s="3639">
        <v>0.6</v>
      </c>
      <c r="K11" s="3635" t="s">
        <v>6094</v>
      </c>
      <c r="L11" s="3641">
        <v>43927</v>
      </c>
      <c r="M11" s="3642">
        <v>81100</v>
      </c>
      <c r="N11" s="3645">
        <v>0.08</v>
      </c>
      <c r="O11" s="3642">
        <v>2250000</v>
      </c>
      <c r="P11" s="3643">
        <v>0.09</v>
      </c>
    </row>
    <row r="12" spans="2:16" ht="12" customHeight="1">
      <c r="B12" s="3640" t="s">
        <v>6102</v>
      </c>
      <c r="C12" s="3636">
        <v>44273</v>
      </c>
      <c r="D12" s="3637">
        <v>12929</v>
      </c>
      <c r="E12" s="3637">
        <v>1492</v>
      </c>
      <c r="F12" s="3638">
        <v>0.3</v>
      </c>
      <c r="G12" s="3638">
        <v>0.66669999999999996</v>
      </c>
      <c r="H12" s="3639">
        <v>0.33300000000000002</v>
      </c>
      <c r="K12" s="3635" t="s">
        <v>6095</v>
      </c>
      <c r="L12" s="3641">
        <v>43922</v>
      </c>
      <c r="M12" s="3642">
        <v>198110</v>
      </c>
      <c r="N12" s="3643">
        <v>1.9E-2</v>
      </c>
      <c r="O12" s="3642">
        <v>2570000</v>
      </c>
      <c r="P12" s="3643">
        <v>9.8000000000000004E-2</v>
      </c>
    </row>
    <row r="13" spans="2:16" ht="12" customHeight="1">
      <c r="B13" s="3635" t="s">
        <v>6079</v>
      </c>
      <c r="C13" s="3636">
        <v>44119</v>
      </c>
      <c r="D13" s="3637">
        <v>8732</v>
      </c>
      <c r="E13" s="3644">
        <v>963</v>
      </c>
      <c r="F13" s="3638">
        <v>0.2</v>
      </c>
      <c r="G13" s="3638">
        <v>1</v>
      </c>
      <c r="H13" s="3639">
        <v>0</v>
      </c>
      <c r="K13" s="3635" t="s">
        <v>6082</v>
      </c>
      <c r="L13" s="3641">
        <v>43922</v>
      </c>
      <c r="M13" s="3642">
        <v>79000</v>
      </c>
      <c r="N13" s="3643">
        <v>1.4999999999999999E-2</v>
      </c>
      <c r="O13" s="3642">
        <v>2210000</v>
      </c>
      <c r="P13" s="3643">
        <v>8.5000000000000006E-2</v>
      </c>
    </row>
    <row r="14" spans="2:16" ht="12" customHeight="1">
      <c r="B14" s="3635" t="s">
        <v>6080</v>
      </c>
      <c r="C14" s="3636">
        <v>44014</v>
      </c>
      <c r="D14" s="3637">
        <v>9946</v>
      </c>
      <c r="E14" s="3644">
        <v>959</v>
      </c>
      <c r="F14" s="3638">
        <v>0.25</v>
      </c>
      <c r="G14" s="3638">
        <v>0.68</v>
      </c>
      <c r="H14" s="3639">
        <v>0.32</v>
      </c>
      <c r="K14" s="3635" t="s">
        <v>6082</v>
      </c>
      <c r="L14" s="3641">
        <v>43361</v>
      </c>
      <c r="M14" s="3642">
        <v>99022</v>
      </c>
      <c r="N14" s="3645">
        <v>0.03</v>
      </c>
      <c r="O14" s="3642">
        <v>4400000</v>
      </c>
      <c r="P14" s="3643">
        <v>0.08</v>
      </c>
    </row>
    <row r="15" spans="2:16" ht="12" customHeight="1" thickBot="1">
      <c r="B15" s="3635" t="s">
        <v>6081</v>
      </c>
      <c r="C15" s="3636">
        <v>42867</v>
      </c>
      <c r="D15" s="3637">
        <v>13726</v>
      </c>
      <c r="E15" s="3637">
        <v>2662</v>
      </c>
      <c r="F15" s="3638">
        <v>0.2</v>
      </c>
      <c r="G15" s="3638">
        <v>1</v>
      </c>
      <c r="H15" s="3639">
        <v>0</v>
      </c>
      <c r="K15" s="3646" t="s">
        <v>6096</v>
      </c>
      <c r="L15" s="3647">
        <v>43361</v>
      </c>
      <c r="M15" s="3648">
        <v>90753</v>
      </c>
      <c r="N15" s="3649">
        <v>0.05</v>
      </c>
      <c r="O15" s="3648">
        <v>3690000</v>
      </c>
      <c r="P15" s="3650">
        <v>7.0000000000000007E-2</v>
      </c>
    </row>
    <row r="16" spans="2:16" ht="12" customHeight="1" thickBot="1">
      <c r="B16" s="3635" t="s">
        <v>6082</v>
      </c>
      <c r="C16" s="3636">
        <v>42866</v>
      </c>
      <c r="D16" s="3637">
        <v>6875</v>
      </c>
      <c r="E16" s="3637">
        <v>1009</v>
      </c>
      <c r="F16" s="3638">
        <v>0.18</v>
      </c>
      <c r="G16" s="3638">
        <v>1</v>
      </c>
      <c r="H16" s="3639">
        <v>0</v>
      </c>
      <c r="K16" s="3651" t="s">
        <v>4925</v>
      </c>
      <c r="L16" s="3652"/>
      <c r="M16" s="3652"/>
      <c r="N16" s="3652"/>
      <c r="O16" s="3653">
        <v>4.1099999999999998E-2</v>
      </c>
      <c r="P16" s="3653">
        <v>7.0999999999999994E-2</v>
      </c>
    </row>
    <row r="17" spans="2:14" ht="12" customHeight="1">
      <c r="B17" s="3635" t="s">
        <v>6083</v>
      </c>
      <c r="C17" s="3636">
        <v>42692</v>
      </c>
      <c r="D17" s="3644">
        <v>599</v>
      </c>
      <c r="E17" s="3644">
        <v>901</v>
      </c>
      <c r="F17" s="3638">
        <v>0.3</v>
      </c>
      <c r="G17" s="3638">
        <v>0</v>
      </c>
      <c r="H17" s="3639">
        <v>1</v>
      </c>
    </row>
    <row r="18" spans="2:14" ht="12" customHeight="1">
      <c r="B18" s="3635" t="s">
        <v>6084</v>
      </c>
      <c r="C18" s="3636">
        <v>42684</v>
      </c>
      <c r="D18" s="3637">
        <v>9528</v>
      </c>
      <c r="E18" s="3637">
        <v>2250</v>
      </c>
      <c r="F18" s="3638">
        <v>0.25</v>
      </c>
      <c r="G18" s="3638">
        <v>0.66800000000000004</v>
      </c>
      <c r="H18" s="3639">
        <v>0.33200000000000002</v>
      </c>
    </row>
    <row r="19" spans="2:14" ht="12" customHeight="1">
      <c r="B19" s="3640" t="s">
        <v>6103</v>
      </c>
      <c r="C19" s="3636">
        <v>42279</v>
      </c>
      <c r="D19" s="3637">
        <v>1602</v>
      </c>
      <c r="E19" s="3644">
        <v>524</v>
      </c>
      <c r="F19" s="3638">
        <v>0.314</v>
      </c>
      <c r="G19" s="3638">
        <v>0.2898</v>
      </c>
      <c r="H19" s="3639">
        <v>0.71</v>
      </c>
    </row>
    <row r="20" spans="2:14" ht="12" customHeight="1">
      <c r="B20" s="3635" t="s">
        <v>6085</v>
      </c>
      <c r="C20" s="3636">
        <v>41991</v>
      </c>
      <c r="D20" s="3637">
        <v>15255</v>
      </c>
      <c r="E20" s="3637">
        <v>1524</v>
      </c>
      <c r="F20" s="3638">
        <v>0.21299999999999999</v>
      </c>
      <c r="G20" s="3638">
        <v>0.34739999999999999</v>
      </c>
      <c r="H20" s="3639">
        <v>0.65300000000000002</v>
      </c>
    </row>
    <row r="21" spans="2:14" ht="12" customHeight="1">
      <c r="B21" s="3635" t="s">
        <v>6104</v>
      </c>
      <c r="C21" s="3636">
        <v>41991</v>
      </c>
      <c r="D21" s="3637">
        <v>25341</v>
      </c>
      <c r="E21" s="3637">
        <v>1159</v>
      </c>
      <c r="F21" s="3638">
        <v>7.9000000000000001E-2</v>
      </c>
      <c r="G21" s="3638">
        <v>0</v>
      </c>
      <c r="H21" s="3639">
        <v>1</v>
      </c>
    </row>
    <row r="22" spans="2:14" ht="12" customHeight="1">
      <c r="B22" s="3640" t="s">
        <v>6105</v>
      </c>
      <c r="C22" s="3636">
        <v>41957</v>
      </c>
      <c r="D22" s="3637">
        <v>2591</v>
      </c>
      <c r="E22" s="3637">
        <v>1106</v>
      </c>
      <c r="F22" s="3638">
        <v>0.40899999999999997</v>
      </c>
      <c r="G22" s="3638">
        <v>0</v>
      </c>
      <c r="H22" s="3639">
        <v>1</v>
      </c>
    </row>
    <row r="23" spans="2:14" ht="12" customHeight="1" thickBot="1">
      <c r="B23" s="3646" t="s">
        <v>6086</v>
      </c>
      <c r="C23" s="3654">
        <v>41577</v>
      </c>
      <c r="D23" s="3655">
        <v>3294</v>
      </c>
      <c r="E23" s="3656">
        <v>622</v>
      </c>
      <c r="F23" s="3657">
        <v>0.31900000000000001</v>
      </c>
      <c r="G23" s="3657">
        <v>0.77739999999999998</v>
      </c>
      <c r="H23" s="3658">
        <v>0.223</v>
      </c>
    </row>
    <row r="24" spans="2:14" ht="12" customHeight="1" thickBot="1">
      <c r="B24" s="3659" t="s">
        <v>4925</v>
      </c>
      <c r="C24" s="3652"/>
      <c r="D24" s="3652"/>
      <c r="E24" s="3652"/>
      <c r="F24" s="3653">
        <v>0.24299999999999999</v>
      </c>
      <c r="G24" s="3653">
        <v>0.61099999999999999</v>
      </c>
      <c r="H24" s="3660">
        <v>0.38900000000000001</v>
      </c>
    </row>
    <row r="26" spans="2:14" ht="12" customHeight="1">
      <c r="B26" s="3600" t="s">
        <v>6108</v>
      </c>
    </row>
    <row r="27" spans="2:14" s="815" customFormat="1" ht="13.5">
      <c r="B27" s="710" t="s">
        <v>6109</v>
      </c>
      <c r="C27" s="710"/>
      <c r="D27" s="3661"/>
      <c r="E27" s="3661"/>
      <c r="F27" s="3661"/>
      <c r="G27" s="3661"/>
      <c r="H27" s="3661"/>
      <c r="I27" s="3661"/>
    </row>
    <row r="28" spans="2:14" s="815" customFormat="1" ht="13.5">
      <c r="B28" s="3662" t="s">
        <v>6110</v>
      </c>
      <c r="C28" s="2094" t="s">
        <v>2096</v>
      </c>
      <c r="D28" s="2094" t="s">
        <v>6111</v>
      </c>
      <c r="E28" s="2094" t="s">
        <v>6112</v>
      </c>
      <c r="F28" s="2094" t="s">
        <v>6113</v>
      </c>
      <c r="G28" s="3663" t="s">
        <v>6114</v>
      </c>
      <c r="H28" s="3663" t="s">
        <v>6115</v>
      </c>
      <c r="I28" s="3664" t="s">
        <v>6116</v>
      </c>
      <c r="K28" s="3665" t="s">
        <v>6140</v>
      </c>
    </row>
    <row r="29" spans="2:14" s="815" customFormat="1" ht="13.5">
      <c r="B29" s="1558">
        <v>2016</v>
      </c>
      <c r="C29" s="3611">
        <v>197304029401</v>
      </c>
      <c r="D29" s="3611">
        <v>100028229600</v>
      </c>
      <c r="E29" s="3611">
        <v>1937</v>
      </c>
      <c r="F29" s="1799">
        <v>0.50697509779033956</v>
      </c>
      <c r="G29" s="3611">
        <v>25872000</v>
      </c>
      <c r="H29" s="3666">
        <v>50114064000</v>
      </c>
      <c r="I29" s="3667">
        <v>0.50099920992703439</v>
      </c>
      <c r="K29" s="997">
        <v>20003</v>
      </c>
      <c r="L29" s="815" t="s">
        <v>6117</v>
      </c>
      <c r="M29" s="1617">
        <f>C29/10^6</f>
        <v>197304.02940100001</v>
      </c>
      <c r="N29" s="1617">
        <f t="shared" ref="N29:N33" si="0">D29/10^6</f>
        <v>100028.22960000001</v>
      </c>
    </row>
    <row r="30" spans="2:14" s="815" customFormat="1" ht="13.5">
      <c r="B30" s="1558">
        <v>2017</v>
      </c>
      <c r="C30" s="3611">
        <v>250309613187</v>
      </c>
      <c r="D30" s="3611">
        <v>90009914400</v>
      </c>
      <c r="E30" s="3611">
        <v>1743</v>
      </c>
      <c r="F30" s="1799">
        <v>0.35959431702990913</v>
      </c>
      <c r="G30" s="3611">
        <v>25872000</v>
      </c>
      <c r="H30" s="3666">
        <v>45094896000</v>
      </c>
      <c r="I30" s="3667">
        <v>0.50099920992703439</v>
      </c>
      <c r="K30" s="997">
        <v>55147</v>
      </c>
      <c r="L30" s="815" t="s">
        <v>6118</v>
      </c>
      <c r="M30" s="1617">
        <f t="shared" ref="M30:M33" si="1">C30/10^6</f>
        <v>250309.61318700001</v>
      </c>
      <c r="N30" s="1617">
        <f t="shared" si="0"/>
        <v>90009.914399999994</v>
      </c>
    </row>
    <row r="31" spans="2:14" s="815" customFormat="1" ht="13.5">
      <c r="B31" s="1558">
        <v>2018</v>
      </c>
      <c r="C31" s="3611">
        <v>190694315504</v>
      </c>
      <c r="D31" s="3611">
        <v>104004571200</v>
      </c>
      <c r="E31" s="3611">
        <v>2014</v>
      </c>
      <c r="F31" s="1799">
        <v>0.54539943115304035</v>
      </c>
      <c r="G31" s="3611">
        <v>25872000</v>
      </c>
      <c r="H31" s="3666">
        <v>52106208000</v>
      </c>
      <c r="I31" s="3667">
        <v>0.50099920992703439</v>
      </c>
      <c r="K31" s="3668">
        <v>75150</v>
      </c>
      <c r="M31" s="1617">
        <f t="shared" si="1"/>
        <v>190694.315504</v>
      </c>
      <c r="N31" s="1617">
        <f t="shared" si="0"/>
        <v>104004.57120000001</v>
      </c>
    </row>
    <row r="32" spans="2:14" s="815" customFormat="1" ht="13.5">
      <c r="B32" s="1558">
        <v>2019</v>
      </c>
      <c r="C32" s="3611">
        <v>221309791368</v>
      </c>
      <c r="D32" s="3611">
        <v>107051378400</v>
      </c>
      <c r="E32" s="3611">
        <v>2073</v>
      </c>
      <c r="F32" s="1799">
        <v>0.48371731651941252</v>
      </c>
      <c r="G32" s="3611">
        <v>25872000</v>
      </c>
      <c r="H32" s="3666">
        <v>53632656000</v>
      </c>
      <c r="I32" s="3667">
        <v>0.50099920992703439</v>
      </c>
      <c r="K32" s="997"/>
      <c r="M32" s="1617">
        <f t="shared" si="1"/>
        <v>221309.79136800001</v>
      </c>
      <c r="N32" s="1617">
        <f t="shared" si="0"/>
        <v>107051.3784</v>
      </c>
    </row>
    <row r="33" spans="2:18" s="815" customFormat="1" ht="13.5">
      <c r="B33" s="2094">
        <v>2020</v>
      </c>
      <c r="C33" s="3669">
        <v>199250797663</v>
      </c>
      <c r="D33" s="3670">
        <v>120323064000.00002</v>
      </c>
      <c r="E33" s="3669">
        <v>2330</v>
      </c>
      <c r="F33" s="3671">
        <v>0.60387745199146814</v>
      </c>
      <c r="G33" s="3669">
        <v>25872000</v>
      </c>
      <c r="H33" s="3672">
        <v>60281760000</v>
      </c>
      <c r="I33" s="3673">
        <v>0.50099920992703439</v>
      </c>
      <c r="M33" s="1617">
        <f t="shared" si="1"/>
        <v>199250.797663</v>
      </c>
      <c r="N33" s="1617">
        <f t="shared" si="0"/>
        <v>120323.06400000001</v>
      </c>
    </row>
    <row r="34" spans="2:18" s="815" customFormat="1" ht="13.5"/>
    <row r="35" spans="2:18" s="815" customFormat="1" ht="13.5"/>
    <row r="36" spans="2:18" s="815" customFormat="1" ht="13.5">
      <c r="B36" s="710" t="s">
        <v>6119</v>
      </c>
      <c r="C36" s="3661"/>
      <c r="D36" s="3661"/>
      <c r="E36" s="3661"/>
      <c r="F36" s="3661"/>
    </row>
    <row r="37" spans="2:18" s="815" customFormat="1" ht="13.5">
      <c r="B37" s="3662" t="s">
        <v>6120</v>
      </c>
      <c r="C37" s="2094" t="s">
        <v>2096</v>
      </c>
      <c r="D37" s="2094" t="s">
        <v>6111</v>
      </c>
      <c r="E37" s="2094" t="s">
        <v>6112</v>
      </c>
      <c r="F37" s="2094" t="s">
        <v>6113</v>
      </c>
    </row>
    <row r="38" spans="2:18" s="815" customFormat="1" ht="13.5">
      <c r="B38" s="1558">
        <v>2016</v>
      </c>
      <c r="C38" s="3611">
        <v>168166</v>
      </c>
      <c r="D38" s="3611">
        <v>34709</v>
      </c>
      <c r="E38" s="3611">
        <v>1250</v>
      </c>
      <c r="F38" s="1799">
        <v>0.20639725033597756</v>
      </c>
      <c r="M38" s="3733">
        <v>197304.02940100001</v>
      </c>
      <c r="N38" s="3733">
        <v>250309.61318700001</v>
      </c>
      <c r="O38" s="3733">
        <v>190694.315504</v>
      </c>
      <c r="P38" s="3733">
        <v>221309.79136800001</v>
      </c>
      <c r="Q38" s="3733">
        <v>199250.797663</v>
      </c>
      <c r="R38" s="3733">
        <f>AVERAGE(M38:Q38)</f>
        <v>211773.70942460001</v>
      </c>
    </row>
    <row r="39" spans="2:18" s="815" customFormat="1" ht="13.5">
      <c r="B39" s="1558">
        <v>2017</v>
      </c>
      <c r="C39" s="3611">
        <v>296857</v>
      </c>
      <c r="D39" s="3611">
        <v>34709</v>
      </c>
      <c r="E39" s="3611">
        <v>1250</v>
      </c>
      <c r="F39" s="1799">
        <v>0.11692161545794777</v>
      </c>
      <c r="J39" s="996"/>
      <c r="M39" s="3733">
        <v>100028.22960000001</v>
      </c>
      <c r="N39" s="3733">
        <v>90009.914399999994</v>
      </c>
      <c r="O39" s="3733">
        <v>104004.57120000001</v>
      </c>
      <c r="P39" s="3733">
        <v>107051.3784</v>
      </c>
      <c r="Q39" s="3733">
        <v>120323.06400000001</v>
      </c>
      <c r="R39" s="3733">
        <f t="shared" ref="R39" si="2">AVERAGE(M39:Q39)</f>
        <v>104283.43152</v>
      </c>
    </row>
    <row r="40" spans="2:18" s="815" customFormat="1" ht="13.5">
      <c r="B40" s="1558">
        <v>2018</v>
      </c>
      <c r="C40" s="3611">
        <v>404149</v>
      </c>
      <c r="D40" s="3611">
        <v>34709</v>
      </c>
      <c r="E40" s="3611">
        <v>1250</v>
      </c>
      <c r="F40" s="1799">
        <v>8.588169214819287E-2</v>
      </c>
      <c r="J40" s="996"/>
      <c r="M40" s="3613">
        <f>M39/M38</f>
        <v>0.50697509779033956</v>
      </c>
      <c r="N40" s="3613">
        <f t="shared" ref="N40:R40" si="3">N39/N38</f>
        <v>0.35959431702990907</v>
      </c>
      <c r="O40" s="3613">
        <f t="shared" si="3"/>
        <v>0.54539943115304035</v>
      </c>
      <c r="P40" s="3613">
        <f t="shared" si="3"/>
        <v>0.48371731651941247</v>
      </c>
      <c r="Q40" s="3613">
        <f t="shared" si="3"/>
        <v>0.60387745199146814</v>
      </c>
      <c r="R40" s="3613">
        <f t="shared" si="3"/>
        <v>0.49242860128078886</v>
      </c>
    </row>
    <row r="41" spans="2:18" s="815" customFormat="1" ht="13.5">
      <c r="B41" s="1558">
        <v>2019</v>
      </c>
      <c r="C41" s="996">
        <v>25331</v>
      </c>
      <c r="D41" s="996">
        <v>40262</v>
      </c>
      <c r="E41" s="3611">
        <v>1450</v>
      </c>
      <c r="F41" s="1799">
        <v>1.589435869093206</v>
      </c>
      <c r="J41" s="996"/>
    </row>
    <row r="42" spans="2:18" s="815" customFormat="1" ht="13.5">
      <c r="B42" s="2094">
        <v>2020</v>
      </c>
      <c r="C42" s="3674">
        <v>126850</v>
      </c>
      <c r="D42" s="3674">
        <v>40262</v>
      </c>
      <c r="E42" s="3669">
        <v>1450</v>
      </c>
      <c r="F42" s="3671">
        <v>0.31739850216791488</v>
      </c>
    </row>
    <row r="43" spans="2:18" s="815" customFormat="1" ht="13.5"/>
    <row r="44" spans="2:18" s="815" customFormat="1" ht="13.5"/>
    <row r="45" spans="2:18" s="815" customFormat="1" ht="13.5">
      <c r="B45" s="3675" t="s">
        <v>6121</v>
      </c>
      <c r="C45" s="3676"/>
      <c r="D45" s="3676"/>
      <c r="E45" s="3676"/>
      <c r="F45" s="3676"/>
    </row>
    <row r="46" spans="2:18" s="815" customFormat="1" ht="13.5">
      <c r="C46" s="815" t="s">
        <v>6109</v>
      </c>
      <c r="F46" s="815" t="s">
        <v>6122</v>
      </c>
    </row>
    <row r="47" spans="2:18" s="815" customFormat="1" ht="13.5">
      <c r="B47" s="3662" t="s">
        <v>6120</v>
      </c>
      <c r="C47" s="3663" t="s">
        <v>6111</v>
      </c>
      <c r="D47" s="3663" t="s">
        <v>6123</v>
      </c>
      <c r="E47" s="3663" t="s">
        <v>6116</v>
      </c>
      <c r="F47" s="3663" t="s">
        <v>6111</v>
      </c>
      <c r="I47" s="1513"/>
      <c r="K47" s="3677"/>
    </row>
    <row r="48" spans="2:18" s="815" customFormat="1" ht="13.5">
      <c r="B48" s="1558">
        <v>2016</v>
      </c>
      <c r="C48" s="3611">
        <v>150000</v>
      </c>
      <c r="D48" s="3611">
        <v>75150</v>
      </c>
      <c r="E48" s="3678">
        <v>0.501</v>
      </c>
      <c r="F48" s="3611">
        <v>34709</v>
      </c>
      <c r="G48" s="1513" t="s">
        <v>6124</v>
      </c>
      <c r="K48" s="3679"/>
    </row>
    <row r="49" spans="1:11" s="815" customFormat="1" ht="13.5">
      <c r="B49" s="1558">
        <v>2017</v>
      </c>
      <c r="C49" s="3611">
        <v>100028.22960000001</v>
      </c>
      <c r="D49" s="3611">
        <v>50114.063999999998</v>
      </c>
      <c r="E49" s="3613">
        <v>0.50099920992703439</v>
      </c>
      <c r="F49" s="3611">
        <v>34709</v>
      </c>
    </row>
    <row r="50" spans="1:11" s="815" customFormat="1" ht="13.5">
      <c r="B50" s="1558">
        <v>2018</v>
      </c>
      <c r="C50" s="3611">
        <v>90009.914399999994</v>
      </c>
      <c r="D50" s="3611">
        <v>45094.896000000001</v>
      </c>
      <c r="E50" s="3613">
        <v>0.50099920992703451</v>
      </c>
      <c r="F50" s="3611">
        <v>34709</v>
      </c>
    </row>
    <row r="51" spans="1:11" s="815" customFormat="1" ht="13.5">
      <c r="B51" s="1558">
        <v>2019</v>
      </c>
      <c r="C51" s="996">
        <v>104004.57120000001</v>
      </c>
      <c r="D51" s="996">
        <v>52106.207999999999</v>
      </c>
      <c r="E51" s="3613">
        <v>0.50099920992703439</v>
      </c>
      <c r="F51" s="996">
        <v>34709</v>
      </c>
    </row>
    <row r="52" spans="1:11" s="815" customFormat="1" ht="13.5">
      <c r="B52" s="2094">
        <v>2020</v>
      </c>
      <c r="C52" s="3674">
        <v>107051.3784</v>
      </c>
      <c r="D52" s="3674">
        <v>53632.656000000003</v>
      </c>
      <c r="E52" s="3680">
        <v>0.50099920992703451</v>
      </c>
      <c r="F52" s="3674">
        <v>40262</v>
      </c>
    </row>
    <row r="53" spans="1:11" s="815" customFormat="1" ht="13.5"/>
    <row r="54" spans="1:11" s="815" customFormat="1" ht="13.5">
      <c r="B54" s="3675" t="s">
        <v>6125</v>
      </c>
      <c r="C54" s="3675">
        <v>2016</v>
      </c>
      <c r="D54" s="3675">
        <v>2017</v>
      </c>
      <c r="E54" s="3675">
        <v>2018</v>
      </c>
      <c r="F54" s="3675">
        <v>2019</v>
      </c>
      <c r="G54" s="3675">
        <v>2020</v>
      </c>
    </row>
    <row r="55" spans="1:11" s="815" customFormat="1" ht="13.5">
      <c r="B55" s="815" t="s">
        <v>6126</v>
      </c>
      <c r="C55" s="996">
        <v>104020</v>
      </c>
      <c r="D55" s="996">
        <v>80196</v>
      </c>
      <c r="E55" s="996">
        <v>203737</v>
      </c>
      <c r="F55" s="996">
        <v>84427</v>
      </c>
      <c r="G55" s="996">
        <v>85640</v>
      </c>
    </row>
    <row r="56" spans="1:11" s="815" customFormat="1" ht="13.5">
      <c r="B56" s="3663" t="s">
        <v>6115</v>
      </c>
      <c r="C56" s="3674">
        <v>34707</v>
      </c>
      <c r="D56" s="3674">
        <v>34707</v>
      </c>
      <c r="E56" s="3674">
        <v>34707</v>
      </c>
      <c r="F56" s="3674">
        <v>34707</v>
      </c>
      <c r="G56" s="3674">
        <v>40261</v>
      </c>
    </row>
    <row r="57" spans="1:11" s="815" customFormat="1" ht="13.5"/>
    <row r="58" spans="1:11" s="815" customFormat="1" ht="13.5">
      <c r="C58" s="3611">
        <f>C61-C62</f>
        <v>32925</v>
      </c>
      <c r="D58" s="3611">
        <f t="shared" ref="D58:G58" si="4">D61-D62</f>
        <v>35615</v>
      </c>
      <c r="E58" s="3611">
        <f t="shared" si="4"/>
        <v>44216</v>
      </c>
      <c r="F58" s="3611">
        <f t="shared" si="4"/>
        <v>44415</v>
      </c>
      <c r="G58" s="3611">
        <f t="shared" si="4"/>
        <v>37931</v>
      </c>
    </row>
    <row r="59" spans="1:11" s="815" customFormat="1" ht="13.5">
      <c r="A59" s="3681"/>
      <c r="B59" s="3681"/>
      <c r="C59" s="3681"/>
      <c r="D59" s="3681"/>
      <c r="E59" s="3681"/>
      <c r="F59" s="3681"/>
      <c r="G59" s="3681"/>
      <c r="H59" s="3681"/>
      <c r="I59" s="3681"/>
      <c r="J59" s="3681"/>
      <c r="K59" s="3681"/>
    </row>
    <row r="60" spans="1:11" s="815" customFormat="1" ht="13.5">
      <c r="B60" s="3676" t="s">
        <v>3529</v>
      </c>
      <c r="C60" s="3675">
        <v>2016</v>
      </c>
      <c r="D60" s="3675">
        <v>2017</v>
      </c>
      <c r="E60" s="3675">
        <v>2018</v>
      </c>
      <c r="F60" s="3675">
        <v>2019</v>
      </c>
      <c r="G60" s="3675">
        <v>2020</v>
      </c>
    </row>
    <row r="61" spans="1:11" s="815" customFormat="1" ht="13.5">
      <c r="B61" s="709" t="s">
        <v>6127</v>
      </c>
      <c r="C61" s="3608">
        <v>136945</v>
      </c>
      <c r="D61" s="3608">
        <v>115811</v>
      </c>
      <c r="E61" s="3608">
        <v>247953</v>
      </c>
      <c r="F61" s="3608">
        <v>128842</v>
      </c>
      <c r="G61" s="3608">
        <v>123571</v>
      </c>
      <c r="I61" s="996">
        <f>AVERAGE(C61:G61)</f>
        <v>150624.4</v>
      </c>
    </row>
    <row r="62" spans="1:11" s="815" customFormat="1" ht="13.5">
      <c r="B62" s="3609" t="s">
        <v>6128</v>
      </c>
      <c r="C62" s="3611">
        <v>104020</v>
      </c>
      <c r="D62" s="3611">
        <v>80196</v>
      </c>
      <c r="E62" s="3611">
        <v>203737</v>
      </c>
      <c r="F62" s="3611">
        <v>84427</v>
      </c>
      <c r="G62" s="3611">
        <v>85640</v>
      </c>
      <c r="I62" s="996">
        <f t="shared" ref="I62:I80" si="5">AVERAGE(C62:G62)</f>
        <v>111604</v>
      </c>
    </row>
    <row r="63" spans="1:11" s="815" customFormat="1" ht="13.5">
      <c r="B63" s="3612" t="s">
        <v>6109</v>
      </c>
      <c r="C63" s="3611">
        <v>75150</v>
      </c>
      <c r="D63" s="3611">
        <v>50114.063999999998</v>
      </c>
      <c r="E63" s="3611">
        <v>45094.896000000001</v>
      </c>
      <c r="F63" s="3611">
        <v>52106.207999999999</v>
      </c>
      <c r="G63" s="3611">
        <v>53632.656000000003</v>
      </c>
      <c r="I63" s="996">
        <f t="shared" si="5"/>
        <v>55219.564800000007</v>
      </c>
    </row>
    <row r="64" spans="1:11" s="815" customFormat="1" ht="13.5">
      <c r="B64" s="3612" t="s">
        <v>6129</v>
      </c>
      <c r="C64" s="3611">
        <v>8362</v>
      </c>
      <c r="D64" s="3611">
        <v>8362</v>
      </c>
      <c r="E64" s="3611">
        <v>8362</v>
      </c>
      <c r="F64" s="3611">
        <v>8362</v>
      </c>
      <c r="G64" s="3611">
        <v>8362</v>
      </c>
      <c r="I64" s="996">
        <f t="shared" si="5"/>
        <v>8362</v>
      </c>
    </row>
    <row r="65" spans="2:9" s="815" customFormat="1" ht="13.5">
      <c r="B65" s="3685" t="s">
        <v>6130</v>
      </c>
      <c r="C65" s="3686">
        <v>0</v>
      </c>
      <c r="D65" s="3686">
        <v>3150</v>
      </c>
      <c r="E65" s="3686">
        <v>129150</v>
      </c>
      <c r="F65" s="3686">
        <v>0</v>
      </c>
      <c r="G65" s="3686">
        <v>0</v>
      </c>
      <c r="I65" s="996">
        <f t="shared" si="5"/>
        <v>26460</v>
      </c>
    </row>
    <row r="66" spans="2:9" s="815" customFormat="1" ht="13.5">
      <c r="B66" s="3612" t="s">
        <v>6131</v>
      </c>
      <c r="C66" s="3611">
        <v>13800</v>
      </c>
      <c r="D66" s="3611">
        <v>11040</v>
      </c>
      <c r="E66" s="3611">
        <v>15180</v>
      </c>
      <c r="F66" s="3611">
        <v>16560</v>
      </c>
      <c r="G66" s="3611">
        <v>16560</v>
      </c>
      <c r="H66" s="1513" t="s">
        <v>6132</v>
      </c>
      <c r="I66" s="996">
        <f t="shared" si="5"/>
        <v>14628</v>
      </c>
    </row>
    <row r="67" spans="2:9" s="815" customFormat="1" ht="13.5">
      <c r="B67" s="3612" t="s">
        <v>320</v>
      </c>
      <c r="C67" s="3611">
        <v>6708</v>
      </c>
      <c r="D67" s="3611">
        <v>7529.9360000000015</v>
      </c>
      <c r="E67" s="3611">
        <v>5950.1039999999921</v>
      </c>
      <c r="F67" s="3611">
        <v>7398.7920000000013</v>
      </c>
      <c r="G67" s="3611">
        <v>7085.3439999999973</v>
      </c>
      <c r="I67" s="996">
        <f t="shared" si="5"/>
        <v>6934.4351999999981</v>
      </c>
    </row>
    <row r="68" spans="2:9" s="815" customFormat="1" ht="13.5">
      <c r="B68" s="3609" t="s">
        <v>6133</v>
      </c>
      <c r="C68" s="3611">
        <v>8111</v>
      </c>
      <c r="D68" s="3611">
        <v>7957</v>
      </c>
      <c r="E68" s="3611">
        <v>8584</v>
      </c>
      <c r="F68" s="3611">
        <v>9115</v>
      </c>
      <c r="G68" s="3611">
        <v>7906</v>
      </c>
      <c r="I68" s="996">
        <f t="shared" si="5"/>
        <v>8334.6</v>
      </c>
    </row>
    <row r="69" spans="2:9" s="815" customFormat="1" ht="13.5">
      <c r="B69" s="3609" t="s">
        <v>6134</v>
      </c>
      <c r="C69" s="3611">
        <v>20552</v>
      </c>
      <c r="D69" s="3611">
        <v>24104</v>
      </c>
      <c r="E69" s="3611">
        <v>24768</v>
      </c>
      <c r="F69" s="3611">
        <v>24193</v>
      </c>
      <c r="G69" s="3611">
        <v>24886</v>
      </c>
      <c r="I69" s="996">
        <f t="shared" si="5"/>
        <v>23700.6</v>
      </c>
    </row>
    <row r="70" spans="2:9" s="815" customFormat="1" ht="13.5">
      <c r="B70" s="3609" t="s">
        <v>6135</v>
      </c>
      <c r="C70" s="3611">
        <v>2638</v>
      </c>
      <c r="D70" s="3611">
        <v>3554</v>
      </c>
      <c r="E70" s="3611">
        <v>3561</v>
      </c>
      <c r="F70" s="3611">
        <v>3567</v>
      </c>
      <c r="G70" s="3611">
        <v>5139</v>
      </c>
      <c r="I70" s="996">
        <f t="shared" si="5"/>
        <v>3691.8</v>
      </c>
    </row>
    <row r="71" spans="2:9" s="815" customFormat="1" ht="13.5">
      <c r="B71" s="3683" t="s">
        <v>320</v>
      </c>
      <c r="C71" s="3684">
        <v>1624</v>
      </c>
      <c r="D71" s="3684">
        <v>0</v>
      </c>
      <c r="E71" s="3684">
        <v>7303</v>
      </c>
      <c r="F71" s="3684">
        <v>7540</v>
      </c>
      <c r="G71" s="3684">
        <v>0</v>
      </c>
      <c r="H71" s="1513"/>
      <c r="I71" s="996">
        <f t="shared" si="5"/>
        <v>3293.4</v>
      </c>
    </row>
    <row r="72" spans="2:9" s="815" customFormat="1" ht="13.5">
      <c r="B72" s="709" t="s">
        <v>6136</v>
      </c>
      <c r="C72" s="3610">
        <f>C73+C74+C75</f>
        <v>109283</v>
      </c>
      <c r="D72" s="3610">
        <f t="shared" ref="D72:G72" si="6">D73+D74+D75</f>
        <v>94811</v>
      </c>
      <c r="E72" s="3610">
        <f t="shared" si="6"/>
        <v>119691</v>
      </c>
      <c r="F72" s="3610">
        <f t="shared" si="6"/>
        <v>146075</v>
      </c>
      <c r="G72" s="3610">
        <f t="shared" si="6"/>
        <v>116831</v>
      </c>
      <c r="I72" s="996">
        <f t="shared" si="5"/>
        <v>117338.2</v>
      </c>
    </row>
    <row r="73" spans="2:9" s="815" customFormat="1" ht="13.5">
      <c r="B73" s="3609" t="s">
        <v>6137</v>
      </c>
      <c r="C73" s="3611">
        <v>34709</v>
      </c>
      <c r="D73" s="3611">
        <v>34709</v>
      </c>
      <c r="E73" s="3611">
        <v>34709</v>
      </c>
      <c r="F73" s="996">
        <v>34709</v>
      </c>
      <c r="G73" s="996">
        <v>40262</v>
      </c>
      <c r="I73" s="996">
        <f t="shared" si="5"/>
        <v>35819.599999999999</v>
      </c>
    </row>
    <row r="74" spans="2:9" s="815" customFormat="1" ht="13.5">
      <c r="B74" s="3609" t="s">
        <v>6141</v>
      </c>
      <c r="C74" s="3611">
        <f>-8765+K30</f>
        <v>46382</v>
      </c>
      <c r="D74" s="3611">
        <v>31544</v>
      </c>
      <c r="E74" s="3611">
        <v>49796</v>
      </c>
      <c r="F74" s="996">
        <v>73914</v>
      </c>
      <c r="G74" s="996">
        <v>40137</v>
      </c>
      <c r="H74" s="1513" t="s">
        <v>6142</v>
      </c>
      <c r="I74" s="996">
        <f t="shared" si="5"/>
        <v>48354.6</v>
      </c>
    </row>
    <row r="75" spans="2:9" s="815" customFormat="1" ht="13.5">
      <c r="B75" s="3609" t="s">
        <v>6138</v>
      </c>
      <c r="C75" s="996">
        <v>28192</v>
      </c>
      <c r="D75" s="996">
        <v>28558</v>
      </c>
      <c r="E75" s="996">
        <v>35186</v>
      </c>
      <c r="F75" s="996">
        <v>37452</v>
      </c>
      <c r="G75" s="996">
        <v>36432</v>
      </c>
      <c r="I75" s="996">
        <f t="shared" si="5"/>
        <v>33164</v>
      </c>
    </row>
    <row r="76" spans="2:9" s="815" customFormat="1" ht="13.5">
      <c r="B76" s="3612" t="s">
        <v>6139</v>
      </c>
      <c r="C76" s="996">
        <v>29731</v>
      </c>
      <c r="D76" s="996">
        <v>30099</v>
      </c>
      <c r="E76" s="996">
        <v>36777</v>
      </c>
      <c r="F76" s="996">
        <v>41851</v>
      </c>
      <c r="G76" s="996">
        <v>40886</v>
      </c>
      <c r="I76" s="996">
        <f t="shared" si="5"/>
        <v>35868.800000000003</v>
      </c>
    </row>
    <row r="77" spans="2:9" s="815" customFormat="1" ht="13.5">
      <c r="B77" s="3612" t="s">
        <v>76</v>
      </c>
      <c r="C77" s="996">
        <v>1539</v>
      </c>
      <c r="D77" s="996">
        <v>1541</v>
      </c>
      <c r="E77" s="996">
        <v>1591</v>
      </c>
      <c r="F77" s="996">
        <v>4399</v>
      </c>
      <c r="G77" s="996">
        <v>4454</v>
      </c>
      <c r="I77" s="996">
        <f t="shared" si="5"/>
        <v>2704.8</v>
      </c>
    </row>
    <row r="78" spans="2:9" s="815" customFormat="1" ht="13.5">
      <c r="B78" s="3614" t="s">
        <v>2114</v>
      </c>
      <c r="C78" s="996">
        <v>1514</v>
      </c>
      <c r="D78" s="996">
        <v>1517</v>
      </c>
      <c r="E78" s="996">
        <v>1548</v>
      </c>
      <c r="F78" s="996">
        <v>2023</v>
      </c>
      <c r="G78" s="996">
        <v>2044</v>
      </c>
      <c r="I78" s="996">
        <f t="shared" si="5"/>
        <v>1729.2</v>
      </c>
    </row>
    <row r="79" spans="2:9" s="815" customFormat="1" ht="13.5">
      <c r="B79" s="3614" t="s">
        <v>3817</v>
      </c>
      <c r="C79" s="815">
        <v>0</v>
      </c>
      <c r="D79" s="815">
        <v>0</v>
      </c>
      <c r="E79" s="815">
        <v>0</v>
      </c>
      <c r="F79" s="996">
        <v>2292</v>
      </c>
      <c r="G79" s="996">
        <v>2329</v>
      </c>
      <c r="I79" s="996">
        <f t="shared" si="5"/>
        <v>924.2</v>
      </c>
    </row>
    <row r="80" spans="2:9" s="815" customFormat="1" ht="13.5">
      <c r="B80" s="3682" t="s">
        <v>3818</v>
      </c>
      <c r="C80" s="3663">
        <v>25</v>
      </c>
      <c r="D80" s="3663">
        <v>24</v>
      </c>
      <c r="E80" s="3663">
        <v>43</v>
      </c>
      <c r="F80" s="3663">
        <v>84</v>
      </c>
      <c r="G80" s="3663">
        <v>81</v>
      </c>
      <c r="I80" s="996">
        <f t="shared" si="5"/>
        <v>51.4</v>
      </c>
    </row>
    <row r="89" spans="2:9" ht="12" customHeight="1">
      <c r="B89" s="3600" t="s">
        <v>11040</v>
      </c>
    </row>
    <row r="90" spans="2:9" ht="12" customHeight="1">
      <c r="B90" s="4" t="s">
        <v>1407</v>
      </c>
      <c r="C90" s="4548"/>
      <c r="D90" s="4548" t="s">
        <v>10792</v>
      </c>
      <c r="E90" s="4548" t="s">
        <v>10793</v>
      </c>
      <c r="F90" s="4548" t="s">
        <v>10794</v>
      </c>
    </row>
    <row r="91" spans="2:9" ht="12" customHeight="1">
      <c r="B91" s="1" t="s">
        <v>3328</v>
      </c>
      <c r="D91" s="4549">
        <v>12.006450578376533</v>
      </c>
      <c r="E91" s="4549">
        <v>5.9163487750156776</v>
      </c>
      <c r="F91" s="4549">
        <v>1.2732836203870144</v>
      </c>
      <c r="H91" s="62"/>
      <c r="I91" s="62"/>
    </row>
    <row r="92" spans="2:9" ht="12" customHeight="1">
      <c r="B92" s="1" t="s">
        <v>10795</v>
      </c>
      <c r="D92" s="4549">
        <v>11.136922862096361</v>
      </c>
      <c r="E92" s="4549">
        <v>7.7256666651505279</v>
      </c>
      <c r="F92" s="4549">
        <v>0.88617509578922538</v>
      </c>
      <c r="H92" s="62"/>
      <c r="I92" s="62"/>
    </row>
    <row r="93" spans="2:9" ht="12" customHeight="1">
      <c r="B93" s="1" t="s">
        <v>10796</v>
      </c>
      <c r="D93" s="4549">
        <v>14.828334378347007</v>
      </c>
      <c r="E93" s="4549">
        <v>18.059708510360707</v>
      </c>
      <c r="F93" s="4549">
        <v>1.7924062478349099</v>
      </c>
      <c r="H93" s="62"/>
      <c r="I93" s="62"/>
    </row>
    <row r="94" spans="2:9" ht="12" customHeight="1">
      <c r="B94" s="68" t="s">
        <v>10797</v>
      </c>
      <c r="C94" s="68"/>
      <c r="D94" s="4550">
        <v>10.10462814046188</v>
      </c>
      <c r="E94" s="4550">
        <v>5.1364676742449786</v>
      </c>
      <c r="F94" s="4550">
        <v>1.8210806924785081</v>
      </c>
      <c r="H94" s="62"/>
      <c r="I94" s="62"/>
    </row>
    <row r="95" spans="2:9" ht="12" customHeight="1">
      <c r="B95" s="2346" t="s">
        <v>5408</v>
      </c>
      <c r="C95" s="2346"/>
      <c r="D95" s="4551">
        <f>AVERAGE(D91:D94)</f>
        <v>12.019083989820444</v>
      </c>
      <c r="E95" s="4551">
        <f>AVERAGE(E91:E94)</f>
        <v>9.2095479061929719</v>
      </c>
      <c r="F95" s="4551">
        <f>AVERAGE(F91:F94)</f>
        <v>1.4432364141224143</v>
      </c>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E02FE-4B49-4F42-8747-3B59C562B866}">
  <sheetPr>
    <tabColor rgb="FFFFC000"/>
  </sheetPr>
  <dimension ref="A1:G28"/>
  <sheetViews>
    <sheetView showGridLines="0" zoomScaleNormal="100" workbookViewId="0">
      <pane xSplit="4" ySplit="7" topLeftCell="E8" activePane="bottomRight" state="frozen"/>
      <selection pane="topRight" activeCell="E1" sqref="E1"/>
      <selection pane="bottomLeft" activeCell="A8" sqref="A8"/>
      <selection pane="bottomRight" activeCell="D9" sqref="D9"/>
    </sheetView>
  </sheetViews>
  <sheetFormatPr defaultColWidth="9" defaultRowHeight="12"/>
  <cols>
    <col min="1" max="1" width="3.75" style="3" customWidth="1"/>
    <col min="2" max="2" width="13.125" style="3" customWidth="1"/>
    <col min="3" max="3" width="13.125" style="110" customWidth="1"/>
    <col min="4" max="4" width="63.625" style="3" customWidth="1"/>
    <col min="5" max="5" width="80.75" style="3" customWidth="1"/>
    <col min="6" max="6" width="6.125" style="110" bestFit="1" customWidth="1"/>
    <col min="7" max="7" width="29.5" style="3" bestFit="1" customWidth="1"/>
    <col min="8" max="16384" width="9" style="3"/>
  </cols>
  <sheetData>
    <row r="1" spans="1:7" ht="12" customHeight="1">
      <c r="A1" s="2" t="str">
        <f ca="1">MID(CELL("filename",A1),FIND("]",CELL("filename",A1))+1,255)</f>
        <v>Review log</v>
      </c>
      <c r="B1" s="2"/>
      <c r="C1" s="2"/>
      <c r="D1" s="2"/>
      <c r="E1" s="4407"/>
      <c r="F1" s="4405"/>
      <c r="G1" s="4407"/>
    </row>
    <row r="2" spans="1:7" ht="12" customHeight="1">
      <c r="C2" s="3"/>
      <c r="E2" s="4408"/>
      <c r="G2" s="4408"/>
    </row>
    <row r="3" spans="1:7" ht="12" customHeight="1">
      <c r="C3" s="3"/>
      <c r="E3" s="4408"/>
      <c r="G3" s="4408"/>
    </row>
    <row r="4" spans="1:7" ht="12" customHeight="1">
      <c r="A4" s="20" t="s">
        <v>21</v>
      </c>
      <c r="B4" s="21" t="s">
        <v>6755</v>
      </c>
      <c r="C4" s="21"/>
      <c r="D4" s="21"/>
      <c r="E4" s="4409"/>
      <c r="F4" s="4410"/>
      <c r="G4" s="4409"/>
    </row>
    <row r="5" spans="1:7" ht="12" customHeight="1">
      <c r="C5" s="3"/>
      <c r="E5" s="4408"/>
      <c r="G5" s="4408"/>
    </row>
    <row r="6" spans="1:7" ht="12" customHeight="1">
      <c r="B6" s="5257" t="s">
        <v>6756</v>
      </c>
      <c r="C6" s="2041" t="s">
        <v>6757</v>
      </c>
      <c r="D6" s="2041"/>
      <c r="E6" s="5248" t="s">
        <v>6758</v>
      </c>
      <c r="F6" s="5257" t="s">
        <v>3740</v>
      </c>
      <c r="G6" s="5248" t="s">
        <v>6759</v>
      </c>
    </row>
    <row r="7" spans="1:7" ht="12" customHeight="1">
      <c r="B7" s="5258"/>
      <c r="C7" s="290" t="s">
        <v>6760</v>
      </c>
      <c r="D7" s="2041" t="s">
        <v>6761</v>
      </c>
      <c r="E7" s="5249"/>
      <c r="F7" s="5258"/>
      <c r="G7" s="5249"/>
    </row>
    <row r="8" spans="1:7" ht="312">
      <c r="B8" s="5250">
        <v>44557</v>
      </c>
      <c r="C8" s="4149" t="s">
        <v>29</v>
      </c>
      <c r="D8" s="4458" t="s">
        <v>6862</v>
      </c>
      <c r="E8" s="4455" t="s">
        <v>6908</v>
      </c>
      <c r="F8" s="4149" t="s">
        <v>6859</v>
      </c>
      <c r="G8" s="4455" t="s">
        <v>10680</v>
      </c>
    </row>
    <row r="9" spans="1:7" ht="108">
      <c r="B9" s="5251"/>
      <c r="C9" s="4456" t="s">
        <v>1299</v>
      </c>
      <c r="D9" s="4459" t="s">
        <v>6863</v>
      </c>
      <c r="E9" s="4457" t="s">
        <v>6873</v>
      </c>
      <c r="F9" s="4456" t="s">
        <v>6763</v>
      </c>
      <c r="G9" s="4457" t="s">
        <v>10680</v>
      </c>
    </row>
    <row r="10" spans="1:7" ht="144">
      <c r="B10" s="5251"/>
      <c r="C10" s="4456" t="s">
        <v>30</v>
      </c>
      <c r="D10" s="4459" t="s">
        <v>6864</v>
      </c>
      <c r="E10" s="4457" t="s">
        <v>10652</v>
      </c>
      <c r="F10" s="4456" t="s">
        <v>6859</v>
      </c>
      <c r="G10" s="4457" t="s">
        <v>10680</v>
      </c>
    </row>
    <row r="11" spans="1:7" ht="48">
      <c r="B11" s="5251"/>
      <c r="C11" s="4456" t="s">
        <v>30</v>
      </c>
      <c r="D11" s="4459" t="s">
        <v>6865</v>
      </c>
      <c r="E11" s="4457" t="s">
        <v>6868</v>
      </c>
      <c r="F11" s="4456" t="s">
        <v>6763</v>
      </c>
      <c r="G11" s="4457" t="s">
        <v>10680</v>
      </c>
    </row>
    <row r="12" spans="1:7" ht="27">
      <c r="B12" s="5252"/>
      <c r="C12" s="1950" t="s">
        <v>30</v>
      </c>
      <c r="D12" s="4460" t="s">
        <v>6866</v>
      </c>
      <c r="E12" s="4481" t="s">
        <v>6909</v>
      </c>
      <c r="F12" s="1950" t="s">
        <v>6859</v>
      </c>
      <c r="G12" s="4481" t="s">
        <v>10679</v>
      </c>
    </row>
    <row r="13" spans="1:7" ht="36">
      <c r="B13" s="5250">
        <v>44207</v>
      </c>
      <c r="C13" s="4516" t="s">
        <v>10653</v>
      </c>
      <c r="D13" s="4517" t="s">
        <v>10654</v>
      </c>
      <c r="E13" s="4517" t="s">
        <v>10692</v>
      </c>
      <c r="F13" s="4518" t="s">
        <v>6859</v>
      </c>
      <c r="G13" s="4519" t="s">
        <v>10708</v>
      </c>
    </row>
    <row r="14" spans="1:7" ht="48">
      <c r="B14" s="5255"/>
      <c r="C14" s="4520" t="s">
        <v>10655</v>
      </c>
      <c r="D14" s="4521" t="s">
        <v>10656</v>
      </c>
      <c r="E14" s="4521" t="s">
        <v>10693</v>
      </c>
      <c r="F14" s="4433" t="s">
        <v>6859</v>
      </c>
      <c r="G14" s="4522" t="s">
        <v>10707</v>
      </c>
    </row>
    <row r="15" spans="1:7" ht="144">
      <c r="B15" s="5255"/>
      <c r="C15" s="4520" t="s">
        <v>10657</v>
      </c>
      <c r="D15" s="4521" t="s">
        <v>10658</v>
      </c>
      <c r="E15" s="4521" t="s">
        <v>10697</v>
      </c>
      <c r="F15" s="4433" t="s">
        <v>6859</v>
      </c>
      <c r="G15" s="4522" t="s">
        <v>10707</v>
      </c>
    </row>
    <row r="16" spans="1:7" ht="36">
      <c r="B16" s="5255"/>
      <c r="C16" s="4520" t="s">
        <v>10657</v>
      </c>
      <c r="D16" s="4521" t="s">
        <v>10659</v>
      </c>
      <c r="E16" s="4521" t="s">
        <v>10689</v>
      </c>
      <c r="F16" s="4433" t="s">
        <v>6859</v>
      </c>
      <c r="G16" s="4522" t="s">
        <v>10707</v>
      </c>
    </row>
    <row r="17" spans="2:7" ht="60">
      <c r="B17" s="5255"/>
      <c r="C17" s="4520" t="s">
        <v>10660</v>
      </c>
      <c r="D17" s="4521" t="s">
        <v>10661</v>
      </c>
      <c r="E17" s="4521" t="s">
        <v>10688</v>
      </c>
      <c r="F17" s="4433" t="s">
        <v>6859</v>
      </c>
      <c r="G17" s="4522" t="s">
        <v>10707</v>
      </c>
    </row>
    <row r="18" spans="2:7" ht="72">
      <c r="B18" s="5255"/>
      <c r="C18" s="4520" t="s">
        <v>10662</v>
      </c>
      <c r="D18" s="4521" t="s">
        <v>10663</v>
      </c>
      <c r="E18" s="4521" t="s">
        <v>10705</v>
      </c>
      <c r="F18" s="4433" t="s">
        <v>6859</v>
      </c>
      <c r="G18" s="4522" t="s">
        <v>10707</v>
      </c>
    </row>
    <row r="19" spans="2:7" ht="84">
      <c r="B19" s="5255"/>
      <c r="C19" s="4520" t="s">
        <v>10664</v>
      </c>
      <c r="D19" s="4521" t="s">
        <v>10665</v>
      </c>
      <c r="E19" s="4521" t="s">
        <v>10686</v>
      </c>
      <c r="F19" s="4433" t="s">
        <v>6859</v>
      </c>
      <c r="G19" s="4522" t="s">
        <v>10707</v>
      </c>
    </row>
    <row r="20" spans="2:7" ht="60">
      <c r="B20" s="5255"/>
      <c r="C20" s="4520" t="s">
        <v>10666</v>
      </c>
      <c r="D20" s="4521" t="s">
        <v>10667</v>
      </c>
      <c r="E20" s="4521" t="s">
        <v>10682</v>
      </c>
      <c r="F20" s="4433" t="s">
        <v>6859</v>
      </c>
      <c r="G20" s="4522" t="s">
        <v>10707</v>
      </c>
    </row>
    <row r="21" spans="2:7" ht="72">
      <c r="B21" s="5255"/>
      <c r="C21" s="4520" t="s">
        <v>10668</v>
      </c>
      <c r="D21" s="4521" t="s">
        <v>10669</v>
      </c>
      <c r="E21" s="4521" t="s">
        <v>10687</v>
      </c>
      <c r="F21" s="4433" t="s">
        <v>6859</v>
      </c>
      <c r="G21" s="4522" t="s">
        <v>10707</v>
      </c>
    </row>
    <row r="22" spans="2:7" ht="60">
      <c r="B22" s="5255"/>
      <c r="C22" s="4520" t="s">
        <v>10670</v>
      </c>
      <c r="D22" s="4521" t="s">
        <v>10671</v>
      </c>
      <c r="E22" s="4521" t="s">
        <v>10706</v>
      </c>
      <c r="F22" s="4433" t="s">
        <v>6859</v>
      </c>
      <c r="G22" s="4522" t="s">
        <v>10707</v>
      </c>
    </row>
    <row r="23" spans="2:7" ht="48">
      <c r="B23" s="5255"/>
      <c r="C23" s="4520" t="s">
        <v>10672</v>
      </c>
      <c r="D23" s="4521" t="s">
        <v>10673</v>
      </c>
      <c r="E23" s="4521" t="s">
        <v>10683</v>
      </c>
      <c r="F23" s="4433" t="s">
        <v>6859</v>
      </c>
      <c r="G23" s="4522" t="s">
        <v>10707</v>
      </c>
    </row>
    <row r="24" spans="2:7" ht="72">
      <c r="B24" s="5255"/>
      <c r="C24" s="4520" t="s">
        <v>10674</v>
      </c>
      <c r="D24" s="4521" t="s">
        <v>10675</v>
      </c>
      <c r="E24" s="4521" t="s">
        <v>10684</v>
      </c>
      <c r="F24" s="4433" t="s">
        <v>6859</v>
      </c>
      <c r="G24" s="4522" t="s">
        <v>10707</v>
      </c>
    </row>
    <row r="25" spans="2:7" ht="60">
      <c r="B25" s="5255"/>
      <c r="C25" s="4520" t="s">
        <v>10674</v>
      </c>
      <c r="D25" s="4521" t="s">
        <v>10676</v>
      </c>
      <c r="E25" s="4521" t="s">
        <v>10685</v>
      </c>
      <c r="F25" s="4433" t="s">
        <v>6859</v>
      </c>
      <c r="G25" s="4522" t="s">
        <v>10707</v>
      </c>
    </row>
    <row r="26" spans="2:7" ht="36">
      <c r="B26" s="5256"/>
      <c r="C26" s="4523" t="s">
        <v>10677</v>
      </c>
      <c r="D26" s="4524" t="s">
        <v>10678</v>
      </c>
      <c r="E26" s="4524" t="s">
        <v>10681</v>
      </c>
      <c r="F26" s="4525" t="s">
        <v>6859</v>
      </c>
      <c r="G26" s="4526" t="s">
        <v>10707</v>
      </c>
    </row>
    <row r="27" spans="2:7" ht="24">
      <c r="B27" s="5253">
        <v>44649</v>
      </c>
      <c r="C27" s="4516" t="s">
        <v>10877</v>
      </c>
      <c r="D27" s="4619" t="s">
        <v>10879</v>
      </c>
      <c r="E27" s="4616" t="s">
        <v>10881</v>
      </c>
      <c r="F27" s="4518" t="s">
        <v>6859</v>
      </c>
      <c r="G27" s="4617" t="s">
        <v>10884</v>
      </c>
    </row>
    <row r="28" spans="2:7" ht="24">
      <c r="B28" s="5254"/>
      <c r="C28" s="4523" t="s">
        <v>10878</v>
      </c>
      <c r="D28" s="4620" t="s">
        <v>10880</v>
      </c>
      <c r="E28" s="4615" t="s">
        <v>10882</v>
      </c>
      <c r="F28" s="4525" t="s">
        <v>6859</v>
      </c>
      <c r="G28" s="4618" t="s">
        <v>10883</v>
      </c>
    </row>
  </sheetData>
  <mergeCells count="7">
    <mergeCell ref="G6:G7"/>
    <mergeCell ref="B8:B12"/>
    <mergeCell ref="B27:B28"/>
    <mergeCell ref="B13:B26"/>
    <mergeCell ref="B6:B7"/>
    <mergeCell ref="E6:E7"/>
    <mergeCell ref="F6:F7"/>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CED87-54C9-4B3E-8349-82568D9A1C49}">
  <sheetPr codeName="Sheet15"/>
  <dimension ref="B1:AW163"/>
  <sheetViews>
    <sheetView workbookViewId="0"/>
  </sheetViews>
  <sheetFormatPr defaultColWidth="9" defaultRowHeight="12"/>
  <cols>
    <col min="1" max="1" width="5.375" style="1" customWidth="1"/>
    <col min="2" max="2" width="20.375" style="1" bestFit="1" customWidth="1"/>
    <col min="3" max="3" width="15" style="1" bestFit="1" customWidth="1"/>
    <col min="4" max="4" width="22" style="1" bestFit="1" customWidth="1"/>
    <col min="5" max="5" width="19.75" style="1" bestFit="1" customWidth="1"/>
    <col min="6" max="6" width="18.875" style="1" bestFit="1" customWidth="1"/>
    <col min="7" max="7" width="22" style="1" bestFit="1" customWidth="1"/>
    <col min="8" max="8" width="19.75" style="1" bestFit="1" customWidth="1"/>
    <col min="9" max="9" width="17.875" style="1" bestFit="1" customWidth="1"/>
    <col min="10" max="10" width="15.5" style="1" bestFit="1" customWidth="1"/>
    <col min="11" max="11" width="19.875" style="1" bestFit="1" customWidth="1"/>
    <col min="12" max="12" width="13.5" style="1" bestFit="1" customWidth="1"/>
    <col min="13" max="13" width="12.875" style="1" bestFit="1" customWidth="1"/>
    <col min="14" max="14" width="13.875" style="1" bestFit="1" customWidth="1"/>
    <col min="15" max="15" width="13" style="1" bestFit="1" customWidth="1"/>
    <col min="16" max="16" width="12.875" style="1" bestFit="1" customWidth="1"/>
    <col min="17" max="17" width="13.875" style="1" bestFit="1" customWidth="1"/>
    <col min="18" max="18" width="13.25" style="1" bestFit="1" customWidth="1"/>
    <col min="19" max="19" width="13.625" style="1" bestFit="1" customWidth="1"/>
    <col min="20" max="20" width="11.5" style="1" bestFit="1" customWidth="1"/>
    <col min="21" max="21" width="13.875" style="1" bestFit="1" customWidth="1"/>
    <col min="22" max="22" width="9" style="1"/>
    <col min="23" max="23" width="13" style="1" bestFit="1" customWidth="1"/>
    <col min="24" max="24" width="12.875" style="1" bestFit="1" customWidth="1"/>
    <col min="25" max="25" width="13.875" style="1" bestFit="1" customWidth="1"/>
    <col min="26" max="26" width="9" style="1"/>
    <col min="27" max="27" width="12.125" style="1" bestFit="1" customWidth="1"/>
    <col min="28" max="28" width="9" style="1"/>
    <col min="29" max="29" width="12.875" style="1" bestFit="1" customWidth="1"/>
    <col min="30" max="30" width="13.875" style="1" bestFit="1" customWidth="1"/>
    <col min="31" max="31" width="13" style="1" bestFit="1" customWidth="1"/>
    <col min="32" max="32" width="9" style="1"/>
    <col min="33" max="33" width="13" style="1" bestFit="1" customWidth="1"/>
    <col min="34" max="34" width="9" style="1"/>
    <col min="35" max="35" width="12.125" style="1" bestFit="1" customWidth="1"/>
    <col min="36" max="37" width="13.875" style="1" bestFit="1" customWidth="1"/>
    <col min="38" max="38" width="9" style="1"/>
    <col min="39" max="39" width="13" style="1" bestFit="1" customWidth="1"/>
    <col min="40" max="40" width="9" style="1"/>
    <col min="41" max="42" width="12.875" style="1" bestFit="1" customWidth="1"/>
    <col min="43" max="43" width="12.125" style="1" bestFit="1" customWidth="1"/>
    <col min="44" max="44" width="9" style="1"/>
    <col min="45" max="45" width="13" style="1" bestFit="1" customWidth="1"/>
    <col min="46" max="46" width="9" style="1"/>
    <col min="47" max="47" width="13" style="1" bestFit="1" customWidth="1"/>
    <col min="48" max="48" width="13.875" style="1" bestFit="1" customWidth="1"/>
    <col min="49" max="49" width="13" style="1" bestFit="1" customWidth="1"/>
    <col min="50" max="50" width="9" style="1"/>
    <col min="51" max="51" width="12.125" style="1" bestFit="1" customWidth="1"/>
    <col min="52" max="53" width="9" style="1"/>
    <col min="54" max="54" width="13.875" style="1" bestFit="1" customWidth="1"/>
    <col min="55" max="56" width="9" style="1"/>
    <col min="57" max="57" width="12.125" style="1" bestFit="1" customWidth="1"/>
    <col min="58" max="59" width="9" style="1"/>
    <col min="60" max="60" width="12.875" style="1" bestFit="1" customWidth="1"/>
    <col min="61" max="62" width="9" style="1"/>
    <col min="63" max="63" width="12.125" style="1" bestFit="1" customWidth="1"/>
    <col min="64" max="65" width="9" style="1"/>
    <col min="66" max="66" width="12.125" style="1" bestFit="1" customWidth="1"/>
    <col min="67" max="68" width="9" style="1"/>
    <col min="69" max="69" width="13" style="1" bestFit="1" customWidth="1"/>
    <col min="70" max="71" width="9" style="1"/>
    <col min="72" max="72" width="13" style="1" bestFit="1" customWidth="1"/>
    <col min="73" max="16384" width="9" style="1"/>
  </cols>
  <sheetData>
    <row r="1" spans="2:14">
      <c r="B1" s="1" t="s">
        <v>5793</v>
      </c>
    </row>
    <row r="2" spans="2:14">
      <c r="B2" s="3205" t="s">
        <v>5677</v>
      </c>
      <c r="C2" s="3206"/>
      <c r="D2" s="3199" t="s">
        <v>5678</v>
      </c>
      <c r="E2" s="3199" t="s">
        <v>5679</v>
      </c>
      <c r="F2" s="3199" t="s">
        <v>5680</v>
      </c>
      <c r="G2" s="3199" t="s">
        <v>5681</v>
      </c>
      <c r="H2" s="3199" t="s">
        <v>5682</v>
      </c>
      <c r="I2" s="3200" t="s">
        <v>5683</v>
      </c>
      <c r="J2" s="3200" t="s">
        <v>4732</v>
      </c>
      <c r="K2" s="3199" t="s">
        <v>5684</v>
      </c>
    </row>
    <row r="3" spans="2:14">
      <c r="B3" s="3207" t="s">
        <v>5672</v>
      </c>
      <c r="C3" s="3208"/>
      <c r="D3" s="3201">
        <v>97754790247</v>
      </c>
      <c r="E3" s="3201">
        <v>0</v>
      </c>
      <c r="F3" s="3201">
        <v>0</v>
      </c>
      <c r="G3" s="3201">
        <v>97754790247</v>
      </c>
      <c r="H3" s="3201">
        <v>0</v>
      </c>
      <c r="I3" s="3201">
        <v>0</v>
      </c>
      <c r="J3" s="3201">
        <v>0</v>
      </c>
      <c r="K3" s="3201">
        <v>97754790247</v>
      </c>
    </row>
    <row r="4" spans="2:14">
      <c r="B4" s="3203" t="s">
        <v>4716</v>
      </c>
      <c r="C4" s="3201"/>
      <c r="D4" s="3201">
        <v>176584010305</v>
      </c>
      <c r="E4" s="3201">
        <v>6440003236</v>
      </c>
      <c r="F4" s="3201">
        <v>442771416</v>
      </c>
      <c r="G4" s="3201">
        <v>182581242125</v>
      </c>
      <c r="H4" s="3201">
        <v>47433603010</v>
      </c>
      <c r="I4" s="3201">
        <v>1710563227</v>
      </c>
      <c r="J4" s="3201">
        <v>241470867</v>
      </c>
      <c r="K4" s="3201">
        <v>133195605021</v>
      </c>
    </row>
    <row r="5" spans="2:14">
      <c r="B5" s="3203" t="s">
        <v>5673</v>
      </c>
      <c r="C5" s="3201"/>
      <c r="D5" s="3201">
        <v>80978716300</v>
      </c>
      <c r="E5" s="3201">
        <v>4119278923</v>
      </c>
      <c r="F5" s="3201">
        <v>0</v>
      </c>
      <c r="G5" s="3201">
        <v>85097995223</v>
      </c>
      <c r="H5" s="3201">
        <v>35377282450</v>
      </c>
      <c r="I5" s="3201">
        <v>786466160</v>
      </c>
      <c r="J5" s="3201">
        <v>55514671</v>
      </c>
      <c r="K5" s="3201">
        <v>48878731942</v>
      </c>
    </row>
    <row r="6" spans="2:14">
      <c r="B6" s="3203" t="s">
        <v>5674</v>
      </c>
      <c r="C6" s="3201"/>
      <c r="D6" s="3201">
        <v>1067025012978</v>
      </c>
      <c r="E6" s="3201">
        <v>53912588389</v>
      </c>
      <c r="F6" s="3201">
        <v>29515219545</v>
      </c>
      <c r="G6" s="3201">
        <v>1091422381822</v>
      </c>
      <c r="H6" s="3201">
        <v>773816233168</v>
      </c>
      <c r="I6" s="3201">
        <v>1951411221</v>
      </c>
      <c r="J6" s="3201">
        <v>0</v>
      </c>
      <c r="K6" s="3201">
        <v>315654737433</v>
      </c>
    </row>
    <row r="7" spans="2:14">
      <c r="B7" s="3203" t="s">
        <v>1502</v>
      </c>
      <c r="C7" s="3201"/>
      <c r="D7" s="3201">
        <v>2184060586</v>
      </c>
      <c r="E7" s="3201">
        <v>305669035</v>
      </c>
      <c r="F7" s="3201">
        <v>228656461</v>
      </c>
      <c r="G7" s="3201">
        <v>2261073160</v>
      </c>
      <c r="H7" s="3201">
        <v>1465091991</v>
      </c>
      <c r="I7" s="3201">
        <v>0</v>
      </c>
      <c r="J7" s="3201">
        <v>250000</v>
      </c>
      <c r="K7" s="3201">
        <v>795731169</v>
      </c>
    </row>
    <row r="8" spans="2:14">
      <c r="B8" s="3203" t="s">
        <v>4167</v>
      </c>
      <c r="C8" s="3201"/>
      <c r="D8" s="3201">
        <v>1254057410</v>
      </c>
      <c r="E8" s="3201">
        <v>0</v>
      </c>
      <c r="F8" s="3201">
        <v>0</v>
      </c>
      <c r="G8" s="3201">
        <v>1254057410</v>
      </c>
      <c r="H8" s="3201">
        <v>1174094689</v>
      </c>
      <c r="I8" s="3201">
        <v>0</v>
      </c>
      <c r="J8" s="3201">
        <v>0</v>
      </c>
      <c r="K8" s="3201">
        <v>79962721</v>
      </c>
    </row>
    <row r="9" spans="2:14">
      <c r="B9" s="3203" t="s">
        <v>5675</v>
      </c>
      <c r="C9" s="3201"/>
      <c r="D9" s="3201">
        <v>25924931902</v>
      </c>
      <c r="E9" s="3201">
        <v>715290384</v>
      </c>
      <c r="F9" s="3201">
        <v>8000000</v>
      </c>
      <c r="G9" s="3201">
        <v>26632222286</v>
      </c>
      <c r="H9" s="3201">
        <v>19996473876</v>
      </c>
      <c r="I9" s="3201">
        <v>0</v>
      </c>
      <c r="J9" s="3201">
        <v>691387</v>
      </c>
      <c r="K9" s="3201">
        <v>6635057023</v>
      </c>
    </row>
    <row r="10" spans="2:14">
      <c r="B10" s="3203" t="s">
        <v>5676</v>
      </c>
      <c r="C10" s="3201"/>
      <c r="D10" s="3201">
        <v>41300768638</v>
      </c>
      <c r="E10" s="3201">
        <v>93960649145</v>
      </c>
      <c r="F10" s="3201">
        <v>65877368667</v>
      </c>
      <c r="G10" s="3201">
        <v>69384049116</v>
      </c>
      <c r="H10" s="3201">
        <v>0</v>
      </c>
      <c r="I10" s="3201">
        <v>0</v>
      </c>
      <c r="J10" s="3201">
        <v>0</v>
      </c>
      <c r="K10" s="3201">
        <v>69384049116</v>
      </c>
    </row>
    <row r="11" spans="2:14">
      <c r="B11" s="3204" t="s">
        <v>1646</v>
      </c>
      <c r="C11" s="3202"/>
      <c r="D11" s="3202">
        <v>1493006348366</v>
      </c>
      <c r="E11" s="3202">
        <v>159453479112</v>
      </c>
      <c r="F11" s="3202">
        <v>96072016089</v>
      </c>
      <c r="G11" s="3202">
        <v>1556387811389</v>
      </c>
      <c r="H11" s="3202">
        <v>879262779184</v>
      </c>
      <c r="I11" s="3202">
        <v>4448440608</v>
      </c>
      <c r="J11" s="3202">
        <v>297926925</v>
      </c>
      <c r="K11" s="3202">
        <v>672378664672</v>
      </c>
    </row>
    <row r="13" spans="2:14">
      <c r="B13" s="115" t="s">
        <v>5686</v>
      </c>
      <c r="C13" s="115"/>
      <c r="D13" s="115"/>
      <c r="E13" s="115"/>
      <c r="F13" s="115" t="s">
        <v>5687</v>
      </c>
      <c r="G13" s="115"/>
      <c r="H13" s="115"/>
      <c r="I13" s="115"/>
      <c r="J13" s="115" t="s">
        <v>5688</v>
      </c>
      <c r="K13" s="115"/>
      <c r="L13" s="115"/>
      <c r="M13" s="115"/>
      <c r="N13" s="115"/>
    </row>
    <row r="14" spans="2:14">
      <c r="B14" s="2792" t="s">
        <v>5689</v>
      </c>
      <c r="C14" s="3209">
        <v>9499227185</v>
      </c>
      <c r="D14" s="115" t="s">
        <v>1620</v>
      </c>
      <c r="E14" s="3210">
        <v>16862081734</v>
      </c>
      <c r="F14" s="2792" t="s">
        <v>5689</v>
      </c>
      <c r="G14" s="3209">
        <v>23685061413</v>
      </c>
      <c r="H14" s="115" t="s">
        <v>1620</v>
      </c>
      <c r="I14" s="3211">
        <v>20513197634</v>
      </c>
      <c r="J14" s="2792" t="s">
        <v>5689</v>
      </c>
      <c r="K14" s="3209">
        <v>7899631492</v>
      </c>
      <c r="L14" s="115" t="s">
        <v>1620</v>
      </c>
      <c r="M14" s="3211">
        <v>11177166333</v>
      </c>
    </row>
    <row r="15" spans="2:14">
      <c r="B15" s="2792" t="s">
        <v>5690</v>
      </c>
      <c r="C15" s="3212">
        <v>3056937361</v>
      </c>
      <c r="D15" s="115" t="s">
        <v>5691</v>
      </c>
      <c r="E15" s="3210">
        <v>15663370619</v>
      </c>
      <c r="F15" s="2792" t="s">
        <v>5690</v>
      </c>
      <c r="G15" s="3212">
        <v>3769331164</v>
      </c>
      <c r="H15" s="115" t="s">
        <v>5691</v>
      </c>
      <c r="I15" s="3211">
        <v>19075030747</v>
      </c>
      <c r="J15" s="2792" t="s">
        <v>5690</v>
      </c>
      <c r="K15" s="3212">
        <v>2630975170</v>
      </c>
      <c r="L15" s="115" t="s">
        <v>5691</v>
      </c>
      <c r="M15" s="3211">
        <v>10075102355</v>
      </c>
    </row>
    <row r="16" spans="2:14" ht="12.75" thickBot="1">
      <c r="B16" s="2792" t="s">
        <v>5692</v>
      </c>
      <c r="C16" s="3213">
        <v>6442289824</v>
      </c>
      <c r="D16" s="115" t="s">
        <v>1680</v>
      </c>
      <c r="E16" s="545">
        <v>1198711115</v>
      </c>
      <c r="F16" s="2792" t="s">
        <v>5692</v>
      </c>
      <c r="G16" s="3213">
        <v>19915730249</v>
      </c>
      <c r="H16" s="115" t="s">
        <v>1680</v>
      </c>
      <c r="I16" s="3214">
        <v>1438166887</v>
      </c>
      <c r="J16" s="2792" t="s">
        <v>5692</v>
      </c>
      <c r="K16" s="3213">
        <v>5268656322</v>
      </c>
      <c r="L16" s="115" t="s">
        <v>1680</v>
      </c>
      <c r="M16" s="3214">
        <v>1102063978</v>
      </c>
    </row>
    <row r="17" spans="2:49" ht="12.75" thickTop="1">
      <c r="B17" s="2792" t="s">
        <v>5693</v>
      </c>
      <c r="C17" s="3212">
        <v>5984312894</v>
      </c>
      <c r="D17" s="115" t="s">
        <v>5694</v>
      </c>
      <c r="E17" s="3215">
        <v>7.1089153398122176E-2</v>
      </c>
      <c r="F17" s="2792" t="s">
        <v>5693</v>
      </c>
      <c r="G17" s="3212">
        <v>18519451410</v>
      </c>
      <c r="H17" s="115" t="s">
        <v>5694</v>
      </c>
      <c r="I17" s="3216">
        <v>7.0109346804921438E-2</v>
      </c>
      <c r="J17" s="2792" t="s">
        <v>5693</v>
      </c>
      <c r="K17" s="3212">
        <v>4749168988</v>
      </c>
      <c r="L17" s="115" t="s">
        <v>5694</v>
      </c>
      <c r="M17" s="3216">
        <v>9.8599586439562376E-2</v>
      </c>
    </row>
    <row r="18" spans="2:49" ht="12.75" thickBot="1">
      <c r="B18" s="2792" t="s">
        <v>5695</v>
      </c>
      <c r="C18" s="3213">
        <v>457976930</v>
      </c>
      <c r="D18" s="3217"/>
      <c r="E18" s="115"/>
      <c r="F18" s="2792" t="s">
        <v>5695</v>
      </c>
      <c r="G18" s="3213">
        <v>1396278839</v>
      </c>
      <c r="H18" s="3217"/>
      <c r="I18" s="115"/>
      <c r="J18" s="2792" t="s">
        <v>5695</v>
      </c>
      <c r="K18" s="3213">
        <v>519487334</v>
      </c>
      <c r="L18" s="3217"/>
      <c r="M18" s="115"/>
    </row>
    <row r="19" spans="2:49" ht="13.5" thickTop="1" thickBot="1">
      <c r="B19" s="2792"/>
      <c r="C19" s="2792"/>
      <c r="D19" s="2792"/>
      <c r="E19" s="2792"/>
      <c r="F19" s="2792"/>
      <c r="G19" s="2792"/>
      <c r="H19" s="2792"/>
      <c r="I19" s="2792"/>
      <c r="J19" s="2792"/>
      <c r="K19" s="2792"/>
      <c r="L19" s="2792"/>
      <c r="M19" s="2792"/>
    </row>
    <row r="20" spans="2:49" ht="13.5" thickTop="1" thickBot="1">
      <c r="B20" s="3218" t="s">
        <v>5696</v>
      </c>
      <c r="C20" s="3219">
        <v>457976930</v>
      </c>
      <c r="D20" s="2792"/>
      <c r="E20" s="2792"/>
      <c r="F20" s="3218" t="s">
        <v>5696</v>
      </c>
      <c r="G20" s="3219">
        <v>1396278839</v>
      </c>
      <c r="H20" s="2792"/>
      <c r="I20" s="2792"/>
      <c r="J20" s="3218" t="s">
        <v>5696</v>
      </c>
      <c r="K20" s="3219">
        <v>519487334</v>
      </c>
      <c r="L20" s="2792"/>
      <c r="M20" s="2792"/>
    </row>
    <row r="21" spans="2:49" ht="12.75" thickTop="1">
      <c r="B21" s="2792" t="s">
        <v>5697</v>
      </c>
      <c r="C21" s="3220">
        <v>12</v>
      </c>
      <c r="D21" s="2792"/>
      <c r="E21" s="2792"/>
      <c r="F21" s="2792" t="s">
        <v>5697</v>
      </c>
      <c r="G21" s="3220">
        <v>12</v>
      </c>
      <c r="H21" s="2792"/>
      <c r="I21" s="2792"/>
      <c r="J21" s="2792" t="s">
        <v>5697</v>
      </c>
      <c r="K21" s="3220">
        <v>12</v>
      </c>
      <c r="L21" s="2792"/>
      <c r="M21" s="2792"/>
      <c r="N21" s="2792"/>
    </row>
    <row r="23" spans="2:49">
      <c r="B23" s="115" t="s">
        <v>6450</v>
      </c>
      <c r="C23" s="115"/>
      <c r="D23" s="115"/>
      <c r="E23" s="115"/>
      <c r="F23" s="115" t="s">
        <v>6451</v>
      </c>
      <c r="G23" s="115"/>
      <c r="H23" s="115"/>
      <c r="I23" s="115"/>
      <c r="J23" s="115" t="s">
        <v>6452</v>
      </c>
      <c r="K23" s="115"/>
      <c r="L23" s="115"/>
      <c r="M23" s="115"/>
      <c r="N23" s="115" t="s">
        <v>6453</v>
      </c>
      <c r="O23" s="115"/>
      <c r="P23" s="115"/>
      <c r="Q23" s="115"/>
      <c r="R23" s="115" t="s">
        <v>6454</v>
      </c>
      <c r="S23" s="115"/>
      <c r="T23" s="115"/>
      <c r="U23" s="115"/>
      <c r="V23" s="115" t="s">
        <v>6455</v>
      </c>
      <c r="W23" s="115"/>
      <c r="X23" s="115"/>
      <c r="Y23" s="115"/>
      <c r="Z23" s="115" t="s">
        <v>6456</v>
      </c>
      <c r="AA23" s="115"/>
      <c r="AB23" s="115"/>
      <c r="AC23" s="115"/>
      <c r="AD23" s="115" t="s">
        <v>6457</v>
      </c>
      <c r="AE23" s="115"/>
      <c r="AF23" s="115"/>
      <c r="AG23" s="115"/>
      <c r="AH23" s="115" t="s">
        <v>6458</v>
      </c>
      <c r="AI23" s="115"/>
      <c r="AJ23" s="115"/>
      <c r="AK23" s="115"/>
      <c r="AL23" s="115" t="s">
        <v>6459</v>
      </c>
      <c r="AM23" s="115"/>
      <c r="AN23" s="115"/>
      <c r="AO23" s="115"/>
      <c r="AP23" s="115" t="s">
        <v>6460</v>
      </c>
      <c r="AQ23" s="115"/>
      <c r="AR23" s="115"/>
      <c r="AS23" s="115"/>
      <c r="AT23" s="115" t="s">
        <v>6461</v>
      </c>
      <c r="AU23" s="115"/>
      <c r="AV23" s="115"/>
      <c r="AW23" s="115"/>
    </row>
    <row r="24" spans="2:49">
      <c r="B24" s="2792" t="s">
        <v>5689</v>
      </c>
      <c r="C24" s="3212">
        <v>3482311428</v>
      </c>
      <c r="D24" s="115" t="s">
        <v>1620</v>
      </c>
      <c r="E24" s="545">
        <v>5429783870</v>
      </c>
      <c r="F24" s="2792" t="s">
        <v>5689</v>
      </c>
      <c r="G24" s="3212">
        <v>7261349803</v>
      </c>
      <c r="H24" s="115" t="s">
        <v>1620</v>
      </c>
      <c r="I24" s="545">
        <v>8172202953</v>
      </c>
      <c r="J24" s="2792" t="s">
        <v>5689</v>
      </c>
      <c r="K24" s="3212">
        <v>4944733171</v>
      </c>
      <c r="L24" s="115" t="s">
        <v>1620</v>
      </c>
      <c r="M24" s="545">
        <v>6576597501</v>
      </c>
      <c r="N24" s="2792" t="s">
        <v>5689</v>
      </c>
      <c r="O24" s="3212">
        <v>9534759980</v>
      </c>
      <c r="P24" s="115" t="s">
        <v>1620</v>
      </c>
      <c r="Q24" s="545">
        <v>7611195837</v>
      </c>
      <c r="R24" s="2792" t="s">
        <v>5689</v>
      </c>
      <c r="S24" s="3212">
        <v>7859755867</v>
      </c>
      <c r="T24" s="115" t="s">
        <v>1620</v>
      </c>
      <c r="U24" s="545">
        <v>10550826490</v>
      </c>
      <c r="V24" s="2792" t="s">
        <v>5689</v>
      </c>
      <c r="W24" s="3212">
        <v>14303173050</v>
      </c>
      <c r="X24" s="115" t="s">
        <v>1620</v>
      </c>
      <c r="Y24" s="545">
        <v>14435350900</v>
      </c>
      <c r="Z24" s="2792" t="s">
        <v>5689</v>
      </c>
      <c r="AA24" s="3212">
        <v>11975130516</v>
      </c>
      <c r="AB24" s="115" t="s">
        <v>1620</v>
      </c>
      <c r="AC24" s="545">
        <v>9538779764</v>
      </c>
      <c r="AD24" s="2792" t="s">
        <v>5689</v>
      </c>
      <c r="AE24" s="3212">
        <v>11698728110</v>
      </c>
      <c r="AF24" s="115" t="s">
        <v>1620</v>
      </c>
      <c r="AG24" s="545">
        <v>12792229357</v>
      </c>
      <c r="AH24" s="2792" t="s">
        <v>5689</v>
      </c>
      <c r="AI24" s="3212">
        <v>7097304393</v>
      </c>
      <c r="AJ24" s="115" t="s">
        <v>1620</v>
      </c>
      <c r="AK24" s="545">
        <v>11313166689</v>
      </c>
      <c r="AL24" s="2792" t="s">
        <v>5689</v>
      </c>
      <c r="AM24" s="3212">
        <v>8622079236</v>
      </c>
      <c r="AN24" s="115" t="s">
        <v>1620</v>
      </c>
      <c r="AO24" s="545">
        <v>9104588702</v>
      </c>
      <c r="AP24" s="2792" t="s">
        <v>5689</v>
      </c>
      <c r="AQ24" s="3209">
        <v>5485146392</v>
      </c>
      <c r="AR24" s="115" t="s">
        <v>1620</v>
      </c>
      <c r="AS24" s="3210">
        <v>7300800362</v>
      </c>
      <c r="AT24" s="2792" t="s">
        <v>5689</v>
      </c>
      <c r="AU24" s="3209">
        <v>18869517997</v>
      </c>
      <c r="AV24" s="115" t="s">
        <v>1620</v>
      </c>
      <c r="AW24" s="3210">
        <v>12019522928</v>
      </c>
    </row>
    <row r="25" spans="2:49">
      <c r="B25" s="2792" t="s">
        <v>5690</v>
      </c>
      <c r="C25" s="3212">
        <v>2400098697</v>
      </c>
      <c r="D25" s="115" t="s">
        <v>5691</v>
      </c>
      <c r="E25" s="545">
        <v>5043235467</v>
      </c>
      <c r="F25" s="2792" t="s">
        <v>5690</v>
      </c>
      <c r="G25" s="3212">
        <v>2449453243</v>
      </c>
      <c r="H25" s="115" t="s">
        <v>5691</v>
      </c>
      <c r="I25" s="545">
        <v>7260503142</v>
      </c>
      <c r="J25" s="2792" t="s">
        <v>5690</v>
      </c>
      <c r="K25" s="3212">
        <v>2116860263</v>
      </c>
      <c r="L25" s="115" t="s">
        <v>5691</v>
      </c>
      <c r="M25" s="545">
        <v>6039067161</v>
      </c>
      <c r="N25" s="2792" t="s">
        <v>5690</v>
      </c>
      <c r="O25" s="3212">
        <v>2717901993</v>
      </c>
      <c r="P25" s="115" t="s">
        <v>5691</v>
      </c>
      <c r="Q25" s="545">
        <v>6935998981</v>
      </c>
      <c r="R25" s="2792" t="s">
        <v>5690</v>
      </c>
      <c r="S25" s="3212">
        <v>2263639085</v>
      </c>
      <c r="T25" s="115" t="s">
        <v>5691</v>
      </c>
      <c r="U25" s="545">
        <v>9446779401</v>
      </c>
      <c r="V25" s="2792" t="s">
        <v>5690</v>
      </c>
      <c r="W25" s="3212">
        <v>3414740209</v>
      </c>
      <c r="X25" s="115" t="s">
        <v>5691</v>
      </c>
      <c r="Y25" s="545">
        <v>13119826195</v>
      </c>
      <c r="Z25" s="2792" t="s">
        <v>5690</v>
      </c>
      <c r="AA25" s="3212">
        <v>2732545659</v>
      </c>
      <c r="AB25" s="115" t="s">
        <v>5691</v>
      </c>
      <c r="AC25" s="545">
        <v>8779797903</v>
      </c>
      <c r="AD25" s="2792" t="s">
        <v>5690</v>
      </c>
      <c r="AE25" s="3212">
        <v>2535810392</v>
      </c>
      <c r="AF25" s="115" t="s">
        <v>5691</v>
      </c>
      <c r="AG25" s="545">
        <v>12045328711</v>
      </c>
      <c r="AH25" s="2792" t="s">
        <v>5690</v>
      </c>
      <c r="AI25" s="3212">
        <v>2491086506</v>
      </c>
      <c r="AJ25" s="115" t="s">
        <v>5691</v>
      </c>
      <c r="AK25" s="545">
        <v>9967434344</v>
      </c>
      <c r="AL25" s="2792" t="s">
        <v>5690</v>
      </c>
      <c r="AM25" s="3212">
        <v>2865801540</v>
      </c>
      <c r="AN25" s="115" t="s">
        <v>5691</v>
      </c>
      <c r="AO25" s="545">
        <v>8133532467</v>
      </c>
      <c r="AP25" s="2792" t="s">
        <v>5690</v>
      </c>
      <c r="AQ25" s="3212">
        <v>2916596968</v>
      </c>
      <c r="AR25" s="115" t="s">
        <v>5691</v>
      </c>
      <c r="AS25" s="3210">
        <v>6590472536</v>
      </c>
      <c r="AT25" s="2792" t="s">
        <v>5690</v>
      </c>
      <c r="AU25" s="3212">
        <v>3781397014</v>
      </c>
      <c r="AV25" s="115" t="s">
        <v>5691</v>
      </c>
      <c r="AW25" s="3210">
        <v>11100493932</v>
      </c>
    </row>
    <row r="26" spans="2:49" ht="12.75" thickBot="1">
      <c r="B26" s="2792" t="s">
        <v>5692</v>
      </c>
      <c r="C26" s="3213">
        <v>1082212731</v>
      </c>
      <c r="D26" s="115" t="s">
        <v>1680</v>
      </c>
      <c r="E26" s="545">
        <v>386548403</v>
      </c>
      <c r="F26" s="2792" t="s">
        <v>5692</v>
      </c>
      <c r="G26" s="3213">
        <v>4811896560</v>
      </c>
      <c r="H26" s="115" t="s">
        <v>1680</v>
      </c>
      <c r="I26" s="545">
        <v>911699811</v>
      </c>
      <c r="J26" s="2792" t="s">
        <v>5692</v>
      </c>
      <c r="K26" s="3213">
        <v>2827872908</v>
      </c>
      <c r="L26" s="115" t="s">
        <v>1680</v>
      </c>
      <c r="M26" s="545">
        <v>537530340</v>
      </c>
      <c r="N26" s="2792" t="s">
        <v>5692</v>
      </c>
      <c r="O26" s="3213">
        <v>6816857987</v>
      </c>
      <c r="P26" s="115" t="s">
        <v>1680</v>
      </c>
      <c r="Q26" s="545">
        <v>675196856</v>
      </c>
      <c r="R26" s="2792" t="s">
        <v>5692</v>
      </c>
      <c r="S26" s="3213">
        <v>5596116782</v>
      </c>
      <c r="T26" s="115" t="s">
        <v>1680</v>
      </c>
      <c r="U26" s="545">
        <v>1104047089</v>
      </c>
      <c r="V26" s="2792" t="s">
        <v>5692</v>
      </c>
      <c r="W26" s="3213">
        <v>10888432841</v>
      </c>
      <c r="X26" s="115" t="s">
        <v>1680</v>
      </c>
      <c r="Y26" s="545">
        <v>1315524705</v>
      </c>
      <c r="Z26" s="2792" t="s">
        <v>5692</v>
      </c>
      <c r="AA26" s="3213">
        <v>9242584857</v>
      </c>
      <c r="AB26" s="115" t="s">
        <v>1680</v>
      </c>
      <c r="AC26" s="545">
        <v>758981861</v>
      </c>
      <c r="AD26" s="2792" t="s">
        <v>5692</v>
      </c>
      <c r="AE26" s="3213">
        <v>9162917718</v>
      </c>
      <c r="AF26" s="115" t="s">
        <v>1680</v>
      </c>
      <c r="AG26" s="545">
        <v>746900646</v>
      </c>
      <c r="AH26" s="2792" t="s">
        <v>5692</v>
      </c>
      <c r="AI26" s="3213">
        <v>4606217887</v>
      </c>
      <c r="AJ26" s="115" t="s">
        <v>1680</v>
      </c>
      <c r="AK26" s="545">
        <v>1345732345</v>
      </c>
      <c r="AL26" s="2792" t="s">
        <v>5692</v>
      </c>
      <c r="AM26" s="3213">
        <v>5756277696</v>
      </c>
      <c r="AN26" s="115" t="s">
        <v>1680</v>
      </c>
      <c r="AO26" s="545">
        <v>971056235</v>
      </c>
      <c r="AP26" s="2792" t="s">
        <v>5692</v>
      </c>
      <c r="AQ26" s="3213">
        <v>2568549424</v>
      </c>
      <c r="AR26" s="115" t="s">
        <v>1680</v>
      </c>
      <c r="AS26" s="545">
        <v>710327826</v>
      </c>
      <c r="AT26" s="2792" t="s">
        <v>5692</v>
      </c>
      <c r="AU26" s="3213">
        <v>15088120983</v>
      </c>
      <c r="AV26" s="115" t="s">
        <v>1680</v>
      </c>
      <c r="AW26" s="545">
        <v>919028996</v>
      </c>
    </row>
    <row r="27" spans="2:49" ht="12.75" thickTop="1">
      <c r="B27" s="2792" t="s">
        <v>5693</v>
      </c>
      <c r="C27" s="3212">
        <v>1005169590</v>
      </c>
      <c r="D27" s="115" t="s">
        <v>5694</v>
      </c>
      <c r="E27" s="3215">
        <v>7.1190384784136904E-2</v>
      </c>
      <c r="F27" s="2792" t="s">
        <v>5693</v>
      </c>
      <c r="G27" s="3212">
        <v>4275076169</v>
      </c>
      <c r="H27" s="115" t="s">
        <v>5694</v>
      </c>
      <c r="I27" s="3215">
        <v>0.11156108288589636</v>
      </c>
      <c r="J27" s="2792" t="s">
        <v>5693</v>
      </c>
      <c r="K27" s="3212">
        <v>2596740094</v>
      </c>
      <c r="L27" s="115" t="s">
        <v>5694</v>
      </c>
      <c r="M27" s="3215">
        <v>8.1733805348170721E-2</v>
      </c>
      <c r="N27" s="2792" t="s">
        <v>5693</v>
      </c>
      <c r="O27" s="3212">
        <v>6212127642</v>
      </c>
      <c r="P27" s="115" t="s">
        <v>5694</v>
      </c>
      <c r="Q27" s="3215">
        <v>8.8711008159544746E-2</v>
      </c>
      <c r="R27" s="2792" t="s">
        <v>5693</v>
      </c>
      <c r="S27" s="3212">
        <v>5010534558</v>
      </c>
      <c r="T27" s="115" t="s">
        <v>5694</v>
      </c>
      <c r="U27" s="3215">
        <v>0.10464081558410691</v>
      </c>
      <c r="V27" s="2792" t="s">
        <v>5693</v>
      </c>
      <c r="W27" s="3212">
        <v>9896146439</v>
      </c>
      <c r="X27" s="115" t="s">
        <v>5694</v>
      </c>
      <c r="Y27" s="3215">
        <v>9.1132159800840037E-2</v>
      </c>
      <c r="Z27" s="2792" t="s">
        <v>5693</v>
      </c>
      <c r="AA27" s="3212">
        <v>8507170640</v>
      </c>
      <c r="AB27" s="115" t="s">
        <v>5694</v>
      </c>
      <c r="AC27" s="3215">
        <v>7.9568024399142637E-2</v>
      </c>
      <c r="AD27" s="2792" t="s">
        <v>5693</v>
      </c>
      <c r="AE27" s="3212">
        <v>8627921904</v>
      </c>
      <c r="AF27" s="115" t="s">
        <v>5694</v>
      </c>
      <c r="AG27" s="3215">
        <v>5.8387058670996278E-2</v>
      </c>
      <c r="AH27" s="2792" t="s">
        <v>5693</v>
      </c>
      <c r="AI27" s="3212">
        <v>4058295579</v>
      </c>
      <c r="AJ27" s="115" t="s">
        <v>5694</v>
      </c>
      <c r="AK27" s="3215">
        <v>0.1189527549619224</v>
      </c>
      <c r="AL27" s="2792" t="s">
        <v>5693</v>
      </c>
      <c r="AM27" s="3212">
        <v>5142337898</v>
      </c>
      <c r="AN27" s="115" t="s">
        <v>5694</v>
      </c>
      <c r="AO27" s="3215">
        <v>0.10665569492301048</v>
      </c>
      <c r="AP27" s="2792" t="s">
        <v>5693</v>
      </c>
      <c r="AQ27" s="3212">
        <v>2318643655</v>
      </c>
      <c r="AR27" s="115" t="s">
        <v>5694</v>
      </c>
      <c r="AS27" s="3215">
        <v>9.7294514406556232E-2</v>
      </c>
      <c r="AT27" s="2792" t="s">
        <v>5693</v>
      </c>
      <c r="AU27" s="3212">
        <v>13934462825</v>
      </c>
      <c r="AV27" s="115" t="s">
        <v>5694</v>
      </c>
      <c r="AW27" s="3215">
        <v>7.6461353874460528E-2</v>
      </c>
    </row>
    <row r="28" spans="2:49" ht="12.75" thickBot="1">
      <c r="B28" s="2792" t="s">
        <v>5695</v>
      </c>
      <c r="C28" s="3213">
        <v>77043141</v>
      </c>
      <c r="D28" s="3217"/>
      <c r="E28" s="115"/>
      <c r="F28" s="2792" t="s">
        <v>5695</v>
      </c>
      <c r="G28" s="3213">
        <v>536820391</v>
      </c>
      <c r="H28" s="3217"/>
      <c r="I28" s="115"/>
      <c r="J28" s="2792" t="s">
        <v>5695</v>
      </c>
      <c r="K28" s="3213">
        <v>231132814</v>
      </c>
      <c r="L28" s="3217"/>
      <c r="M28" s="115"/>
      <c r="N28" s="2792" t="s">
        <v>5695</v>
      </c>
      <c r="O28" s="3213">
        <v>604730345</v>
      </c>
      <c r="P28" s="3217"/>
      <c r="Q28" s="115"/>
      <c r="R28" s="2792" t="s">
        <v>5695</v>
      </c>
      <c r="S28" s="3213">
        <v>585582224</v>
      </c>
      <c r="T28" s="3217"/>
      <c r="U28" s="115"/>
      <c r="V28" s="2792" t="s">
        <v>5695</v>
      </c>
      <c r="W28" s="3213">
        <v>992286402</v>
      </c>
      <c r="X28" s="3217"/>
      <c r="Y28" s="115"/>
      <c r="Z28" s="2792" t="s">
        <v>5695</v>
      </c>
      <c r="AA28" s="3213">
        <v>735414217</v>
      </c>
      <c r="AB28" s="3217"/>
      <c r="AC28" s="115"/>
      <c r="AD28" s="2792" t="s">
        <v>5695</v>
      </c>
      <c r="AE28" s="3213">
        <v>534995814</v>
      </c>
      <c r="AF28" s="3217"/>
      <c r="AG28" s="115"/>
      <c r="AH28" s="2792" t="s">
        <v>5695</v>
      </c>
      <c r="AI28" s="3213">
        <v>547922308</v>
      </c>
      <c r="AJ28" s="3217"/>
      <c r="AK28" s="115"/>
      <c r="AL28" s="2792" t="s">
        <v>5695</v>
      </c>
      <c r="AM28" s="3213">
        <v>613939798</v>
      </c>
      <c r="AN28" s="3217"/>
      <c r="AO28" s="115"/>
      <c r="AP28" s="2792" t="s">
        <v>5695</v>
      </c>
      <c r="AQ28" s="3213">
        <v>249905769</v>
      </c>
      <c r="AR28" s="3217"/>
      <c r="AS28" s="115"/>
      <c r="AT28" s="2792" t="s">
        <v>5695</v>
      </c>
      <c r="AU28" s="3213">
        <v>1153658158</v>
      </c>
      <c r="AV28" s="3217"/>
      <c r="AW28" s="115"/>
    </row>
    <row r="29" spans="2:49" ht="13.5" thickTop="1" thickBot="1">
      <c r="B29" s="2792"/>
      <c r="C29" s="2792"/>
      <c r="D29" s="2792"/>
      <c r="E29" s="2792"/>
      <c r="F29" s="2792"/>
      <c r="G29" s="2792"/>
      <c r="H29" s="2792"/>
      <c r="I29" s="2792"/>
      <c r="J29" s="2792"/>
      <c r="K29" s="2792"/>
      <c r="L29" s="2792"/>
      <c r="M29" s="2792"/>
      <c r="N29" s="2792"/>
      <c r="O29" s="2792"/>
      <c r="P29" s="2792"/>
      <c r="Q29" s="2792"/>
      <c r="R29" s="2792"/>
      <c r="S29" s="2792"/>
      <c r="T29" s="2792"/>
      <c r="U29" s="2792"/>
      <c r="V29" s="2792"/>
      <c r="W29" s="2792"/>
      <c r="X29" s="2792"/>
      <c r="Y29" s="2792"/>
      <c r="Z29" s="2792"/>
      <c r="AA29" s="2792"/>
      <c r="AB29" s="2792"/>
      <c r="AC29" s="2792"/>
      <c r="AD29" s="2792"/>
      <c r="AE29" s="2792"/>
      <c r="AF29" s="2792"/>
      <c r="AG29" s="2792"/>
      <c r="AH29" s="2792"/>
      <c r="AI29" s="2792"/>
      <c r="AJ29" s="2792"/>
      <c r="AK29" s="2792"/>
      <c r="AL29" s="2792"/>
      <c r="AM29" s="2792"/>
      <c r="AN29" s="2792"/>
      <c r="AO29" s="2792"/>
      <c r="AP29" s="2792"/>
      <c r="AQ29" s="2792"/>
      <c r="AR29" s="2792"/>
      <c r="AS29" s="2792"/>
      <c r="AT29" s="2792"/>
      <c r="AU29" s="2792"/>
      <c r="AV29" s="2792"/>
      <c r="AW29" s="2792"/>
    </row>
    <row r="30" spans="2:49" ht="13.5" thickTop="1" thickBot="1">
      <c r="B30" s="3218" t="s">
        <v>5696</v>
      </c>
      <c r="C30" s="3219">
        <v>77043141</v>
      </c>
      <c r="D30" s="2792"/>
      <c r="E30" s="2792"/>
      <c r="F30" s="3218" t="s">
        <v>5696</v>
      </c>
      <c r="G30" s="3219">
        <v>536820391</v>
      </c>
      <c r="H30" s="2792"/>
      <c r="I30" s="2792"/>
      <c r="J30" s="3218" t="s">
        <v>5696</v>
      </c>
      <c r="K30" s="3219">
        <v>231132814</v>
      </c>
      <c r="L30" s="2792"/>
      <c r="M30" s="2792"/>
      <c r="N30" s="3218" t="s">
        <v>5696</v>
      </c>
      <c r="O30" s="3219">
        <v>604730345</v>
      </c>
      <c r="P30" s="2792"/>
      <c r="Q30" s="2792"/>
      <c r="R30" s="3218" t="s">
        <v>5696</v>
      </c>
      <c r="S30" s="3219">
        <v>585582224</v>
      </c>
      <c r="T30" s="2792"/>
      <c r="U30" s="2792"/>
      <c r="V30" s="3218" t="s">
        <v>5696</v>
      </c>
      <c r="W30" s="3219">
        <v>992286402</v>
      </c>
      <c r="X30" s="2792"/>
      <c r="Y30" s="2792"/>
      <c r="Z30" s="3218" t="s">
        <v>5696</v>
      </c>
      <c r="AA30" s="3219">
        <v>735414217</v>
      </c>
      <c r="AB30" s="2792"/>
      <c r="AC30" s="2792"/>
      <c r="AD30" s="3218" t="s">
        <v>5696</v>
      </c>
      <c r="AE30" s="3219">
        <v>534995814</v>
      </c>
      <c r="AF30" s="2792"/>
      <c r="AG30" s="2792"/>
      <c r="AH30" s="3218" t="s">
        <v>5696</v>
      </c>
      <c r="AI30" s="3219">
        <v>547922308</v>
      </c>
      <c r="AJ30" s="2792"/>
      <c r="AK30" s="2792"/>
      <c r="AL30" s="3218" t="s">
        <v>5696</v>
      </c>
      <c r="AM30" s="3219">
        <v>613939798</v>
      </c>
      <c r="AN30" s="2792"/>
      <c r="AO30" s="2792"/>
      <c r="AP30" s="3218" t="s">
        <v>5696</v>
      </c>
      <c r="AQ30" s="3219">
        <v>249905769</v>
      </c>
      <c r="AR30" s="2792"/>
      <c r="AS30" s="2792"/>
      <c r="AT30" s="3218" t="s">
        <v>5696</v>
      </c>
      <c r="AU30" s="3219">
        <v>1153658158</v>
      </c>
      <c r="AV30" s="2792"/>
      <c r="AW30" s="2792"/>
    </row>
    <row r="31" spans="2:49" ht="12.75" thickTop="1">
      <c r="B31" s="2792" t="s">
        <v>5697</v>
      </c>
      <c r="C31" s="3220">
        <v>12</v>
      </c>
      <c r="D31" s="2792"/>
      <c r="E31" s="2792"/>
      <c r="F31" s="2792" t="s">
        <v>5697</v>
      </c>
      <c r="G31" s="3220">
        <v>12</v>
      </c>
      <c r="H31" s="2792"/>
      <c r="I31" s="2792"/>
      <c r="J31" s="2792" t="s">
        <v>5697</v>
      </c>
      <c r="K31" s="3220">
        <v>12</v>
      </c>
      <c r="L31" s="2792"/>
      <c r="M31" s="2792"/>
      <c r="N31" s="2792" t="s">
        <v>5697</v>
      </c>
      <c r="O31" s="3220">
        <v>12</v>
      </c>
      <c r="P31" s="2792"/>
      <c r="Q31" s="2792"/>
      <c r="R31" s="2792" t="s">
        <v>5697</v>
      </c>
      <c r="S31" s="3220">
        <v>12</v>
      </c>
      <c r="T31" s="2792"/>
      <c r="U31" s="2792"/>
      <c r="V31" s="2792" t="s">
        <v>5697</v>
      </c>
      <c r="W31" s="3220">
        <v>12</v>
      </c>
      <c r="X31" s="2792"/>
      <c r="Y31" s="2792"/>
      <c r="Z31" s="2792" t="s">
        <v>5697</v>
      </c>
      <c r="AA31" s="3220">
        <v>12</v>
      </c>
      <c r="AB31" s="2792"/>
      <c r="AC31" s="2792"/>
      <c r="AD31" s="2792" t="s">
        <v>5697</v>
      </c>
      <c r="AE31" s="3220">
        <v>12</v>
      </c>
      <c r="AF31" s="2792"/>
      <c r="AG31" s="2792"/>
      <c r="AH31" s="2792" t="s">
        <v>5697</v>
      </c>
      <c r="AI31" s="3220">
        <v>12</v>
      </c>
      <c r="AJ31" s="2792"/>
      <c r="AK31" s="2792"/>
      <c r="AL31" s="2792" t="s">
        <v>5697</v>
      </c>
      <c r="AM31" s="3220">
        <v>12</v>
      </c>
      <c r="AN31" s="2792"/>
      <c r="AO31" s="2792"/>
      <c r="AP31" s="2792" t="s">
        <v>5697</v>
      </c>
      <c r="AQ31" s="3220">
        <v>12</v>
      </c>
      <c r="AR31" s="2792"/>
      <c r="AS31" s="2792"/>
      <c r="AT31" s="2792" t="s">
        <v>5697</v>
      </c>
      <c r="AU31" s="3220">
        <v>12</v>
      </c>
      <c r="AV31" s="2792"/>
      <c r="AW31" s="2792"/>
    </row>
    <row r="33" spans="2:9">
      <c r="C33" s="1">
        <v>2018</v>
      </c>
      <c r="D33" s="1">
        <v>2019</v>
      </c>
      <c r="E33" s="1">
        <v>2020</v>
      </c>
      <c r="F33" s="1" t="s">
        <v>6462</v>
      </c>
    </row>
    <row r="34" spans="2:9">
      <c r="B34" s="1" t="s">
        <v>6463</v>
      </c>
      <c r="C34" s="3771">
        <f>SUM(C26,G26,K26,O26)</f>
        <v>15538840186</v>
      </c>
      <c r="D34" s="3771">
        <f>SUM(S26,W26,AA26,AE26)</f>
        <v>34890052198</v>
      </c>
      <c r="E34" s="3771">
        <f>SUM(AI26,AM26,AQ26,AU26)</f>
        <v>28019165990</v>
      </c>
      <c r="F34" s="3771">
        <f>SUM(C16,G16,K16)</f>
        <v>31626676395</v>
      </c>
    </row>
    <row r="35" spans="2:9">
      <c r="B35" s="1" t="s">
        <v>6465</v>
      </c>
      <c r="C35" s="3771">
        <f>SUM(C27,G27,K27,O27)</f>
        <v>14089113495</v>
      </c>
      <c r="D35" s="3771">
        <f>SUM(S27,W27,AA27,AE27)</f>
        <v>32041773541</v>
      </c>
      <c r="E35" s="3771">
        <f>SUM(AI27,AM27,AQ27,AU27)</f>
        <v>25453739957</v>
      </c>
      <c r="F35" s="3771">
        <f>SUM(C17,G17,K17)</f>
        <v>29252933292</v>
      </c>
    </row>
    <row r="36" spans="2:9">
      <c r="B36" s="1" t="s">
        <v>6464</v>
      </c>
      <c r="C36" s="3771">
        <f>C34-C35</f>
        <v>1449726691</v>
      </c>
      <c r="D36" s="3771">
        <f t="shared" ref="D36:F36" si="0">D34-D35</f>
        <v>2848278657</v>
      </c>
      <c r="E36" s="3771">
        <f t="shared" si="0"/>
        <v>2565426033</v>
      </c>
      <c r="F36" s="3771">
        <f t="shared" si="0"/>
        <v>2373743103</v>
      </c>
    </row>
    <row r="37" spans="2:9">
      <c r="C37" s="78">
        <f>C36/C34</f>
        <v>9.3296968991685589E-2</v>
      </c>
      <c r="D37" s="78">
        <f t="shared" ref="D37:F37" si="1">D36/D34</f>
        <v>8.1635838227931107E-2</v>
      </c>
      <c r="E37" s="78">
        <f t="shared" si="1"/>
        <v>9.1559685749233108E-2</v>
      </c>
      <c r="F37" s="78">
        <f t="shared" si="1"/>
        <v>7.5055091889936157E-2</v>
      </c>
    </row>
    <row r="40" spans="2:9">
      <c r="B40" s="1" t="s">
        <v>5792</v>
      </c>
    </row>
    <row r="41" spans="2:9">
      <c r="B41" s="3221" t="s">
        <v>5698</v>
      </c>
      <c r="C41" s="3222" t="s">
        <v>5699</v>
      </c>
      <c r="D41" s="3223" t="s">
        <v>5669</v>
      </c>
      <c r="E41" s="3222" t="s">
        <v>5670</v>
      </c>
      <c r="F41" s="3222" t="s">
        <v>5700</v>
      </c>
      <c r="G41" s="3222" t="s">
        <v>5701</v>
      </c>
      <c r="H41" s="3222" t="s">
        <v>5703</v>
      </c>
      <c r="I41" s="3222" t="s">
        <v>4475</v>
      </c>
    </row>
    <row r="42" spans="2:9">
      <c r="B42" s="3224" t="s">
        <v>5704</v>
      </c>
      <c r="C42" s="3225"/>
      <c r="D42" s="3226"/>
      <c r="E42" s="3226"/>
      <c r="F42" s="3226"/>
      <c r="G42" s="3225"/>
      <c r="H42" s="3226"/>
      <c r="I42" s="3226"/>
    </row>
    <row r="43" spans="2:9">
      <c r="B43" s="3227" t="s">
        <v>5705</v>
      </c>
      <c r="C43" s="3236">
        <v>8684957821</v>
      </c>
      <c r="D43" s="3229">
        <v>0</v>
      </c>
      <c r="E43" s="3229">
        <v>185632500</v>
      </c>
      <c r="F43" s="3229">
        <v>8499325321</v>
      </c>
      <c r="G43" s="3228">
        <v>0</v>
      </c>
      <c r="H43" s="3229">
        <v>0</v>
      </c>
      <c r="I43" s="3229">
        <v>8499325321</v>
      </c>
    </row>
    <row r="44" spans="2:9">
      <c r="B44" s="3227" t="s">
        <v>5706</v>
      </c>
      <c r="C44" s="3237">
        <v>45515360</v>
      </c>
      <c r="D44" s="3231">
        <v>0</v>
      </c>
      <c r="E44" s="3231">
        <v>0</v>
      </c>
      <c r="F44" s="3231">
        <v>45515360</v>
      </c>
      <c r="G44" s="3230">
        <v>0</v>
      </c>
      <c r="H44" s="3231">
        <v>0</v>
      </c>
      <c r="I44" s="3231">
        <v>45515360</v>
      </c>
    </row>
    <row r="45" spans="2:9">
      <c r="B45" s="3232" t="s">
        <v>5707</v>
      </c>
      <c r="C45" s="3238">
        <v>8973012397</v>
      </c>
      <c r="D45" s="3233">
        <v>1204334860</v>
      </c>
      <c r="E45" s="3233">
        <v>0</v>
      </c>
      <c r="F45" s="3233">
        <v>10177347257</v>
      </c>
      <c r="G45" s="3233">
        <v>1847008939</v>
      </c>
      <c r="H45" s="3233"/>
      <c r="I45" s="3233">
        <v>8330338318</v>
      </c>
    </row>
    <row r="46" spans="2:9">
      <c r="B46" s="3232" t="s">
        <v>5707</v>
      </c>
      <c r="C46" s="3238">
        <v>3825615112</v>
      </c>
      <c r="D46" s="3233">
        <v>320518140</v>
      </c>
      <c r="E46" s="3233">
        <v>0</v>
      </c>
      <c r="F46" s="3233">
        <v>4146133252</v>
      </c>
      <c r="G46" s="3233">
        <v>755319055</v>
      </c>
      <c r="H46" s="3233"/>
      <c r="I46" s="3233">
        <v>3390814197</v>
      </c>
    </row>
    <row r="47" spans="2:9">
      <c r="B47" s="3234" t="s">
        <v>5708</v>
      </c>
      <c r="C47" s="3239">
        <v>21529100690</v>
      </c>
      <c r="D47" s="3235">
        <v>1524853000</v>
      </c>
      <c r="E47" s="3235">
        <v>185632500</v>
      </c>
      <c r="F47" s="3235">
        <v>22868321190</v>
      </c>
      <c r="G47" s="3235">
        <v>2602327994</v>
      </c>
      <c r="H47" s="3235"/>
      <c r="I47" s="3235">
        <v>20265993196</v>
      </c>
    </row>
    <row r="49" spans="2:10">
      <c r="B49" s="1" t="s">
        <v>5791</v>
      </c>
    </row>
    <row r="50" spans="2:10">
      <c r="B50" s="3240" t="s">
        <v>1459</v>
      </c>
      <c r="C50" s="3240" t="s">
        <v>4471</v>
      </c>
      <c r="D50" s="3240" t="s">
        <v>3610</v>
      </c>
      <c r="E50" s="3199" t="s">
        <v>4472</v>
      </c>
      <c r="F50" s="3199" t="s">
        <v>3616</v>
      </c>
      <c r="G50" s="3199" t="s">
        <v>4473</v>
      </c>
      <c r="H50" s="3199" t="s">
        <v>4732</v>
      </c>
      <c r="I50" s="3199" t="s">
        <v>4475</v>
      </c>
      <c r="J50" s="3199" t="s">
        <v>4476</v>
      </c>
    </row>
    <row r="51" spans="2:10">
      <c r="B51" s="3241" t="s">
        <v>5710</v>
      </c>
      <c r="C51" s="3242" t="s">
        <v>5711</v>
      </c>
      <c r="D51" s="3201">
        <v>182581242125</v>
      </c>
      <c r="E51" s="3201">
        <v>2712633508</v>
      </c>
      <c r="F51" s="3201">
        <v>47433603010</v>
      </c>
      <c r="G51" s="3201">
        <v>1710563227</v>
      </c>
      <c r="H51" s="3201">
        <v>241470867</v>
      </c>
      <c r="I51" s="3201">
        <v>133195605021</v>
      </c>
      <c r="J51" s="3243" t="s">
        <v>5712</v>
      </c>
    </row>
    <row r="52" spans="2:10">
      <c r="B52" s="3244"/>
      <c r="C52" s="3242" t="s">
        <v>5713</v>
      </c>
      <c r="D52" s="3201">
        <v>85097995223</v>
      </c>
      <c r="E52" s="3201">
        <v>2118043836</v>
      </c>
      <c r="F52" s="3201">
        <v>35377282450</v>
      </c>
      <c r="G52" s="3201">
        <v>786466160</v>
      </c>
      <c r="H52" s="3201">
        <v>55514671</v>
      </c>
      <c r="I52" s="3201">
        <v>48878731942</v>
      </c>
      <c r="J52" s="3243" t="s">
        <v>5714</v>
      </c>
    </row>
    <row r="53" spans="2:10">
      <c r="B53" s="3244"/>
      <c r="C53" s="3242" t="s">
        <v>5715</v>
      </c>
      <c r="D53" s="3201">
        <v>1091422381822</v>
      </c>
      <c r="E53" s="3201">
        <v>42250282082</v>
      </c>
      <c r="F53" s="3201">
        <v>773816233168</v>
      </c>
      <c r="G53" s="3201">
        <v>1951411221</v>
      </c>
      <c r="H53" s="3201">
        <v>0</v>
      </c>
      <c r="I53" s="3201">
        <v>315654737433</v>
      </c>
      <c r="J53" s="3243" t="s">
        <v>5714</v>
      </c>
    </row>
    <row r="54" spans="2:10">
      <c r="B54" s="3244"/>
      <c r="C54" s="3242" t="s">
        <v>5716</v>
      </c>
      <c r="D54" s="3201">
        <v>2261073160</v>
      </c>
      <c r="E54" s="3201">
        <v>223547444</v>
      </c>
      <c r="F54" s="3201">
        <v>1465091991</v>
      </c>
      <c r="G54" s="3201">
        <v>0</v>
      </c>
      <c r="H54" s="3201">
        <v>250000</v>
      </c>
      <c r="I54" s="3201">
        <v>795731169</v>
      </c>
      <c r="J54" s="3243" t="s">
        <v>5714</v>
      </c>
    </row>
    <row r="55" spans="2:10">
      <c r="B55" s="3244"/>
      <c r="C55" s="3242" t="s">
        <v>5717</v>
      </c>
      <c r="D55" s="3201">
        <v>1254057410</v>
      </c>
      <c r="E55" s="3201">
        <v>19460000</v>
      </c>
      <c r="F55" s="3201">
        <v>1174094689</v>
      </c>
      <c r="G55" s="3201">
        <v>0</v>
      </c>
      <c r="H55" s="3201">
        <v>0</v>
      </c>
      <c r="I55" s="3201">
        <v>79962721</v>
      </c>
      <c r="J55" s="3243" t="s">
        <v>5714</v>
      </c>
    </row>
    <row r="56" spans="2:10">
      <c r="B56" s="3244"/>
      <c r="C56" s="3242" t="s">
        <v>5718</v>
      </c>
      <c r="D56" s="3201">
        <v>26632222286</v>
      </c>
      <c r="E56" s="3201">
        <v>1279925648</v>
      </c>
      <c r="F56" s="3201">
        <v>19996473876</v>
      </c>
      <c r="G56" s="3201">
        <v>0</v>
      </c>
      <c r="H56" s="3201">
        <v>691387</v>
      </c>
      <c r="I56" s="3245">
        <v>6635057023</v>
      </c>
      <c r="J56" s="3243" t="s">
        <v>5714</v>
      </c>
    </row>
    <row r="57" spans="2:10">
      <c r="B57" s="3246"/>
      <c r="C57" s="3247" t="s">
        <v>5719</v>
      </c>
      <c r="D57" s="3248">
        <v>1389248972026</v>
      </c>
      <c r="E57" s="3248">
        <v>48603892518</v>
      </c>
      <c r="F57" s="3248">
        <v>879262779184</v>
      </c>
      <c r="G57" s="3248">
        <v>4448440608</v>
      </c>
      <c r="H57" s="3248">
        <v>297926925</v>
      </c>
      <c r="I57" s="3248">
        <v>505239825309</v>
      </c>
      <c r="J57" s="3199"/>
    </row>
    <row r="58" spans="2:10">
      <c r="B58" s="3244" t="s">
        <v>5720</v>
      </c>
      <c r="C58" s="3242" t="s">
        <v>4488</v>
      </c>
      <c r="D58" s="3201">
        <v>8829622</v>
      </c>
      <c r="E58" s="3201">
        <v>0</v>
      </c>
      <c r="F58" s="3201">
        <v>8829622</v>
      </c>
      <c r="G58" s="3201">
        <v>0</v>
      </c>
      <c r="H58" s="3201">
        <v>0</v>
      </c>
      <c r="I58" s="3201">
        <v>0</v>
      </c>
      <c r="J58" s="3249" t="s">
        <v>5712</v>
      </c>
    </row>
    <row r="59" spans="2:10">
      <c r="B59" s="3244"/>
      <c r="C59" s="3242" t="s">
        <v>5721</v>
      </c>
      <c r="D59" s="3201">
        <v>0</v>
      </c>
      <c r="E59" s="3201">
        <v>0</v>
      </c>
      <c r="F59" s="3201">
        <v>0</v>
      </c>
      <c r="G59" s="3201">
        <v>0</v>
      </c>
      <c r="H59" s="3201">
        <v>0</v>
      </c>
      <c r="I59" s="3201">
        <v>0</v>
      </c>
      <c r="J59" s="3243" t="s">
        <v>5714</v>
      </c>
    </row>
    <row r="60" spans="2:10">
      <c r="B60" s="3244"/>
      <c r="C60" s="3250" t="s">
        <v>5707</v>
      </c>
      <c r="D60" s="3201">
        <v>35583019902</v>
      </c>
      <c r="E60" s="3201">
        <v>2602327994</v>
      </c>
      <c r="F60" s="3201">
        <v>23861867387</v>
      </c>
      <c r="G60" s="3201">
        <v>0</v>
      </c>
      <c r="H60" s="3201">
        <v>0</v>
      </c>
      <c r="I60" s="3201">
        <v>11721152515</v>
      </c>
      <c r="J60" s="3243" t="s">
        <v>4481</v>
      </c>
    </row>
    <row r="61" spans="2:10">
      <c r="B61" s="3246"/>
      <c r="C61" s="3247" t="s">
        <v>5719</v>
      </c>
      <c r="D61" s="3206">
        <v>35591849524</v>
      </c>
      <c r="E61" s="3206">
        <v>2602327994</v>
      </c>
      <c r="F61" s="3206">
        <v>23870697009</v>
      </c>
      <c r="G61" s="3206">
        <v>0</v>
      </c>
      <c r="H61" s="3206">
        <v>0</v>
      </c>
      <c r="I61" s="3206">
        <v>11721152515</v>
      </c>
      <c r="J61" s="3199"/>
    </row>
    <row r="62" spans="2:10">
      <c r="B62" s="3244" t="s">
        <v>5722</v>
      </c>
      <c r="C62" s="3242" t="s">
        <v>5723</v>
      </c>
      <c r="D62" s="3201">
        <v>1873278080</v>
      </c>
      <c r="E62" s="3201">
        <v>28099171</v>
      </c>
      <c r="F62" s="3201">
        <v>103030294</v>
      </c>
      <c r="G62" s="3201">
        <v>0</v>
      </c>
      <c r="H62" s="3201">
        <v>0</v>
      </c>
      <c r="I62" s="3201">
        <v>1873278080</v>
      </c>
      <c r="J62" s="3249" t="s">
        <v>5712</v>
      </c>
    </row>
    <row r="63" spans="2:10">
      <c r="B63" s="3246"/>
      <c r="C63" s="3247" t="s">
        <v>5719</v>
      </c>
      <c r="D63" s="3206">
        <v>1873278080</v>
      </c>
      <c r="E63" s="3206">
        <v>28099171</v>
      </c>
      <c r="F63" s="3206">
        <v>103030294</v>
      </c>
      <c r="G63" s="3206">
        <v>0</v>
      </c>
      <c r="H63" s="3206">
        <v>0</v>
      </c>
      <c r="I63" s="3206">
        <v>1873278080</v>
      </c>
      <c r="J63" s="3199"/>
    </row>
    <row r="64" spans="2:10">
      <c r="B64" s="5278" t="s">
        <v>5724</v>
      </c>
      <c r="C64" s="5279"/>
      <c r="D64" s="3251">
        <v>0</v>
      </c>
      <c r="E64" s="3251">
        <v>51234319683</v>
      </c>
      <c r="F64" s="3251">
        <v>903236506487</v>
      </c>
      <c r="G64" s="3251">
        <v>4448440608</v>
      </c>
      <c r="H64" s="3251">
        <v>297926925</v>
      </c>
      <c r="I64" s="3251">
        <v>518834255904</v>
      </c>
      <c r="J64" s="3252"/>
    </row>
    <row r="66" spans="2:17">
      <c r="B66" s="32" t="s">
        <v>5790</v>
      </c>
    </row>
    <row r="67" spans="2:17" ht="36">
      <c r="B67" s="3253" t="s">
        <v>5736</v>
      </c>
      <c r="C67" s="270" t="s">
        <v>5737</v>
      </c>
      <c r="D67" s="270" t="s">
        <v>5738</v>
      </c>
      <c r="E67" s="270" t="s">
        <v>5739</v>
      </c>
      <c r="F67" s="270" t="s">
        <v>5725</v>
      </c>
      <c r="G67" s="270" t="s">
        <v>5726</v>
      </c>
      <c r="H67" s="270" t="s">
        <v>5727</v>
      </c>
      <c r="I67" s="270" t="s">
        <v>5728</v>
      </c>
      <c r="J67" s="270" t="s">
        <v>5729</v>
      </c>
      <c r="K67" s="270" t="s">
        <v>5730</v>
      </c>
      <c r="L67" s="270" t="s">
        <v>5731</v>
      </c>
      <c r="M67" s="270" t="s">
        <v>5732</v>
      </c>
      <c r="N67" s="270" t="s">
        <v>5733</v>
      </c>
      <c r="O67" s="270" t="s">
        <v>5734</v>
      </c>
      <c r="P67" s="270" t="s">
        <v>5735</v>
      </c>
      <c r="Q67" s="270" t="s">
        <v>5740</v>
      </c>
    </row>
    <row r="68" spans="2:17">
      <c r="B68" s="3254">
        <v>42369</v>
      </c>
      <c r="C68" s="3255">
        <v>93140895</v>
      </c>
      <c r="D68" s="3256"/>
      <c r="E68" s="3256"/>
      <c r="F68" s="3256"/>
      <c r="G68" s="3256"/>
      <c r="H68" s="3256"/>
      <c r="I68" s="3256"/>
      <c r="J68" s="3256"/>
      <c r="K68" s="3256"/>
      <c r="L68" s="3256"/>
      <c r="M68" s="3256"/>
      <c r="N68" s="3256"/>
      <c r="O68" s="3256"/>
      <c r="P68" s="3256"/>
      <c r="Q68" s="3255">
        <v>93140895</v>
      </c>
    </row>
    <row r="69" spans="2:17">
      <c r="B69" s="3254">
        <v>42735</v>
      </c>
      <c r="C69" s="3255">
        <v>186281791</v>
      </c>
      <c r="D69" s="3255">
        <v>60210082</v>
      </c>
      <c r="E69" s="3256"/>
      <c r="F69" s="3256"/>
      <c r="G69" s="3256"/>
      <c r="H69" s="3256"/>
      <c r="I69" s="3256"/>
      <c r="J69" s="3256"/>
      <c r="K69" s="3256"/>
      <c r="L69" s="3256"/>
      <c r="M69" s="3256"/>
      <c r="N69" s="3256"/>
      <c r="O69" s="3256"/>
      <c r="P69" s="3256"/>
      <c r="Q69" s="3255">
        <v>246491873</v>
      </c>
    </row>
    <row r="70" spans="2:17">
      <c r="B70" s="3254">
        <v>43100</v>
      </c>
      <c r="C70" s="3255">
        <v>186281791</v>
      </c>
      <c r="D70" s="3255">
        <v>120420164</v>
      </c>
      <c r="E70" s="3255">
        <v>105319106</v>
      </c>
      <c r="F70" s="3256"/>
      <c r="G70" s="3256"/>
      <c r="H70" s="3256"/>
      <c r="I70" s="3256"/>
      <c r="J70" s="3256"/>
      <c r="K70" s="3256"/>
      <c r="L70" s="3256"/>
      <c r="M70" s="3256"/>
      <c r="N70" s="3256"/>
      <c r="O70" s="3256"/>
      <c r="P70" s="3256"/>
      <c r="Q70" s="3255">
        <v>412021061</v>
      </c>
    </row>
    <row r="71" spans="2:17">
      <c r="B71" s="3254">
        <v>43465</v>
      </c>
      <c r="C71" s="3255">
        <v>186281791</v>
      </c>
      <c r="D71" s="3255">
        <v>120420164</v>
      </c>
      <c r="E71" s="3255">
        <v>123005699</v>
      </c>
      <c r="F71" s="3255">
        <v>62200618</v>
      </c>
      <c r="G71" s="3256"/>
      <c r="H71" s="3256"/>
      <c r="I71" s="3256"/>
      <c r="J71" s="3256"/>
      <c r="K71" s="3256"/>
      <c r="L71" s="3256"/>
      <c r="M71" s="3256"/>
      <c r="N71" s="3256"/>
      <c r="O71" s="3256"/>
      <c r="P71" s="3256"/>
      <c r="Q71" s="3255">
        <v>491908272</v>
      </c>
    </row>
    <row r="72" spans="2:17">
      <c r="B72" s="3254">
        <v>43830</v>
      </c>
      <c r="C72" s="3255">
        <v>186281791</v>
      </c>
      <c r="D72" s="3255">
        <v>120420164</v>
      </c>
      <c r="E72" s="3255">
        <v>123005699</v>
      </c>
      <c r="F72" s="3255">
        <v>120810558</v>
      </c>
      <c r="G72" s="3255">
        <v>152604424</v>
      </c>
      <c r="H72" s="3256"/>
      <c r="I72" s="3256"/>
      <c r="J72" s="3256"/>
      <c r="K72" s="3256"/>
      <c r="L72" s="3256"/>
      <c r="M72" s="3256"/>
      <c r="N72" s="3256"/>
      <c r="O72" s="3256"/>
      <c r="P72" s="3256"/>
      <c r="Q72" s="3255">
        <v>703122636</v>
      </c>
    </row>
    <row r="73" spans="2:17">
      <c r="B73" s="3254">
        <v>44196</v>
      </c>
      <c r="C73" s="3255">
        <v>186281791</v>
      </c>
      <c r="D73" s="3255">
        <v>120420164</v>
      </c>
      <c r="E73" s="3255">
        <v>123005699</v>
      </c>
      <c r="F73" s="3255">
        <v>120810558</v>
      </c>
      <c r="G73" s="3255">
        <v>237356556</v>
      </c>
      <c r="H73" s="3255">
        <v>118478714</v>
      </c>
      <c r="I73" s="3256"/>
      <c r="J73" s="3256"/>
      <c r="K73" s="3256"/>
      <c r="L73" s="3256"/>
      <c r="M73" s="3256"/>
      <c r="N73" s="3256"/>
      <c r="O73" s="3256"/>
      <c r="P73" s="3256"/>
      <c r="Q73" s="3255">
        <v>906353482</v>
      </c>
    </row>
    <row r="74" spans="2:17">
      <c r="B74" s="3254">
        <v>44561</v>
      </c>
      <c r="C74" s="3255">
        <v>186281791</v>
      </c>
      <c r="D74" s="3255">
        <v>120420164</v>
      </c>
      <c r="E74" s="3255">
        <v>123005699</v>
      </c>
      <c r="F74" s="3255">
        <v>120810558</v>
      </c>
      <c r="G74" s="3255">
        <v>237356556</v>
      </c>
      <c r="H74" s="3255">
        <v>213785503</v>
      </c>
      <c r="I74" s="3255">
        <v>147077477</v>
      </c>
      <c r="J74" s="3256"/>
      <c r="K74" s="3256"/>
      <c r="L74" s="3256"/>
      <c r="M74" s="3256"/>
      <c r="N74" s="3256"/>
      <c r="O74" s="3256"/>
      <c r="P74" s="3256"/>
      <c r="Q74" s="3255">
        <v>1148737748</v>
      </c>
    </row>
    <row r="75" spans="2:17">
      <c r="B75" s="3254">
        <v>44926</v>
      </c>
      <c r="C75" s="3255">
        <v>186281791</v>
      </c>
      <c r="D75" s="3255">
        <v>120420164</v>
      </c>
      <c r="E75" s="3255">
        <v>123005699</v>
      </c>
      <c r="F75" s="3255">
        <v>120810558</v>
      </c>
      <c r="G75" s="3255">
        <v>237356556</v>
      </c>
      <c r="H75" s="3255">
        <v>213785503</v>
      </c>
      <c r="I75" s="3255">
        <v>197811925</v>
      </c>
      <c r="J75" s="3255"/>
      <c r="K75" s="3256"/>
      <c r="L75" s="3256"/>
      <c r="M75" s="3256"/>
      <c r="N75" s="3256"/>
      <c r="O75" s="3256"/>
      <c r="P75" s="3256"/>
      <c r="Q75" s="3255">
        <v>1199472196</v>
      </c>
    </row>
    <row r="76" spans="2:17">
      <c r="B76" s="3254">
        <v>45291</v>
      </c>
      <c r="C76" s="3255">
        <v>186281791</v>
      </c>
      <c r="D76" s="3255">
        <v>120420164</v>
      </c>
      <c r="E76" s="3255">
        <v>123005699</v>
      </c>
      <c r="F76" s="3255">
        <v>120810558</v>
      </c>
      <c r="G76" s="3255">
        <v>237356556</v>
      </c>
      <c r="H76" s="3255">
        <v>213785503</v>
      </c>
      <c r="I76" s="3255">
        <v>197811925</v>
      </c>
      <c r="J76" s="3255"/>
      <c r="K76" s="3255"/>
      <c r="L76" s="3256"/>
      <c r="M76" s="3256"/>
      <c r="N76" s="3256"/>
      <c r="O76" s="3256"/>
      <c r="P76" s="3256"/>
      <c r="Q76" s="3255">
        <v>1199472196</v>
      </c>
    </row>
    <row r="77" spans="2:17">
      <c r="B77" s="3254">
        <v>45657</v>
      </c>
      <c r="C77" s="3255">
        <v>186281791</v>
      </c>
      <c r="D77" s="3255">
        <v>120420164</v>
      </c>
      <c r="E77" s="3255">
        <v>123005699</v>
      </c>
      <c r="F77" s="3255">
        <v>120810558</v>
      </c>
      <c r="G77" s="3255">
        <v>237356556</v>
      </c>
      <c r="H77" s="3255">
        <v>213785503</v>
      </c>
      <c r="I77" s="3255">
        <v>197811925</v>
      </c>
      <c r="J77" s="3255"/>
      <c r="K77" s="3255"/>
      <c r="L77" s="3255"/>
      <c r="M77" s="3256"/>
      <c r="N77" s="3256"/>
      <c r="O77" s="3256"/>
      <c r="P77" s="3256"/>
      <c r="Q77" s="3255">
        <v>1199472196</v>
      </c>
    </row>
    <row r="78" spans="2:17">
      <c r="B78" s="3254">
        <v>46022</v>
      </c>
      <c r="C78" s="3255">
        <v>186281791</v>
      </c>
      <c r="D78" s="3255">
        <v>120420164</v>
      </c>
      <c r="E78" s="3255">
        <v>123005699</v>
      </c>
      <c r="F78" s="3255">
        <v>120810558</v>
      </c>
      <c r="G78" s="3255">
        <v>237356556</v>
      </c>
      <c r="H78" s="3255">
        <v>213785503</v>
      </c>
      <c r="I78" s="3255">
        <v>197811925</v>
      </c>
      <c r="J78" s="3255"/>
      <c r="K78" s="3255"/>
      <c r="L78" s="3255"/>
      <c r="M78" s="3255"/>
      <c r="N78" s="3256"/>
      <c r="O78" s="3256"/>
      <c r="P78" s="3256"/>
      <c r="Q78" s="3255">
        <v>1199472196</v>
      </c>
    </row>
    <row r="79" spans="2:17">
      <c r="B79" s="3254">
        <v>46387</v>
      </c>
      <c r="C79" s="3255">
        <v>186281791</v>
      </c>
      <c r="D79" s="3255">
        <v>120420164</v>
      </c>
      <c r="E79" s="3255">
        <v>123005699</v>
      </c>
      <c r="F79" s="3255">
        <v>120810558</v>
      </c>
      <c r="G79" s="3255">
        <v>237356556</v>
      </c>
      <c r="H79" s="3255">
        <v>213785503</v>
      </c>
      <c r="I79" s="3255">
        <v>197811925</v>
      </c>
      <c r="J79" s="3255"/>
      <c r="K79" s="3255"/>
      <c r="L79" s="3255"/>
      <c r="M79" s="3255"/>
      <c r="N79" s="3255"/>
      <c r="O79" s="3256"/>
      <c r="P79" s="3256"/>
      <c r="Q79" s="3255">
        <v>1199472196</v>
      </c>
    </row>
    <row r="80" spans="2:17">
      <c r="B80" s="3254">
        <v>46752</v>
      </c>
      <c r="C80" s="3255">
        <v>93140894</v>
      </c>
      <c r="D80" s="3255">
        <v>120420164</v>
      </c>
      <c r="E80" s="3255">
        <v>123005699</v>
      </c>
      <c r="F80" s="3255">
        <v>120810558</v>
      </c>
      <c r="G80" s="3255">
        <v>237356556</v>
      </c>
      <c r="H80" s="3255">
        <v>213785503</v>
      </c>
      <c r="I80" s="3255">
        <v>197811925</v>
      </c>
      <c r="J80" s="3255"/>
      <c r="K80" s="3255"/>
      <c r="L80" s="3255"/>
      <c r="M80" s="3255"/>
      <c r="N80" s="3255"/>
      <c r="O80" s="3255"/>
      <c r="P80" s="3256"/>
      <c r="Q80" s="3255">
        <v>1106331299</v>
      </c>
    </row>
    <row r="81" spans="2:17">
      <c r="B81" s="3254">
        <v>47118</v>
      </c>
      <c r="C81" s="3255">
        <v>0</v>
      </c>
      <c r="D81" s="3255">
        <v>60210085</v>
      </c>
      <c r="E81" s="3255">
        <v>123005703</v>
      </c>
      <c r="F81" s="3255">
        <v>120810558</v>
      </c>
      <c r="G81" s="3255">
        <v>237356556</v>
      </c>
      <c r="H81" s="3255">
        <v>213785503</v>
      </c>
      <c r="I81" s="3255">
        <v>197811925</v>
      </c>
      <c r="J81" s="3255"/>
      <c r="K81" s="3255"/>
      <c r="L81" s="3255"/>
      <c r="M81" s="3255"/>
      <c r="N81" s="3255"/>
      <c r="O81" s="3255"/>
      <c r="P81" s="3255"/>
      <c r="Q81" s="3255">
        <v>952980330</v>
      </c>
    </row>
    <row r="82" spans="2:17">
      <c r="B82" s="3254">
        <v>47483</v>
      </c>
      <c r="C82" s="3255">
        <v>0</v>
      </c>
      <c r="D82" s="3255">
        <v>0</v>
      </c>
      <c r="E82" s="3255">
        <v>17686595</v>
      </c>
      <c r="F82" s="3255">
        <v>120810556</v>
      </c>
      <c r="G82" s="3255">
        <v>237356556</v>
      </c>
      <c r="H82" s="3255">
        <v>213785503</v>
      </c>
      <c r="I82" s="3255">
        <v>197811925</v>
      </c>
      <c r="J82" s="3255"/>
      <c r="K82" s="3255"/>
      <c r="L82" s="3255"/>
      <c r="M82" s="3255"/>
      <c r="N82" s="3255"/>
      <c r="O82" s="3255"/>
      <c r="P82" s="3255"/>
      <c r="Q82" s="3255">
        <v>787451135</v>
      </c>
    </row>
    <row r="83" spans="2:17">
      <c r="B83" s="3254">
        <v>47848</v>
      </c>
      <c r="C83" s="3255">
        <v>0</v>
      </c>
      <c r="D83" s="3255"/>
      <c r="E83" s="3255"/>
      <c r="F83" s="3255">
        <v>58609937</v>
      </c>
      <c r="G83" s="3255">
        <v>237356552</v>
      </c>
      <c r="H83" s="3255">
        <v>213785503</v>
      </c>
      <c r="I83" s="3255">
        <v>197811925</v>
      </c>
      <c r="J83" s="3255"/>
      <c r="K83" s="3255"/>
      <c r="L83" s="3255"/>
      <c r="M83" s="3255"/>
      <c r="N83" s="3255"/>
      <c r="O83" s="3255"/>
      <c r="P83" s="3255"/>
      <c r="Q83" s="3255">
        <v>707563917</v>
      </c>
    </row>
    <row r="84" spans="2:17">
      <c r="B84" s="3254">
        <v>48213</v>
      </c>
      <c r="C84" s="3255">
        <v>0</v>
      </c>
      <c r="D84" s="3255"/>
      <c r="E84" s="3255"/>
      <c r="F84" s="3255"/>
      <c r="G84" s="3255">
        <v>84752121</v>
      </c>
      <c r="H84" s="3255">
        <v>213785507</v>
      </c>
      <c r="I84" s="3255">
        <v>197811925</v>
      </c>
      <c r="J84" s="3255"/>
      <c r="K84" s="3255"/>
      <c r="L84" s="3255"/>
      <c r="M84" s="3255"/>
      <c r="N84" s="3255"/>
      <c r="O84" s="3255"/>
      <c r="P84" s="3255"/>
      <c r="Q84" s="3255">
        <v>496349553</v>
      </c>
    </row>
    <row r="85" spans="2:17">
      <c r="B85" s="3254">
        <v>48579</v>
      </c>
      <c r="C85" s="3255">
        <v>0</v>
      </c>
      <c r="D85" s="3255"/>
      <c r="E85" s="3255"/>
      <c r="F85" s="3255"/>
      <c r="G85" s="3255"/>
      <c r="H85" s="3255">
        <v>95306782</v>
      </c>
      <c r="I85" s="3255">
        <v>197811927</v>
      </c>
      <c r="J85" s="3255"/>
      <c r="K85" s="3255"/>
      <c r="L85" s="3255"/>
      <c r="M85" s="3255"/>
      <c r="N85" s="3255"/>
      <c r="O85" s="3255"/>
      <c r="P85" s="3255"/>
      <c r="Q85" s="3255">
        <v>293118709</v>
      </c>
    </row>
    <row r="86" spans="2:17">
      <c r="B86" s="3254">
        <v>48944</v>
      </c>
      <c r="C86" s="3255">
        <v>0</v>
      </c>
      <c r="D86" s="3255"/>
      <c r="E86" s="3255"/>
      <c r="F86" s="3255"/>
      <c r="G86" s="3255"/>
      <c r="H86" s="3255"/>
      <c r="I86" s="3255">
        <v>50734449</v>
      </c>
      <c r="J86" s="3255"/>
      <c r="K86" s="3255"/>
      <c r="L86" s="3255"/>
      <c r="M86" s="3255"/>
      <c r="N86" s="3255"/>
      <c r="O86" s="3255"/>
      <c r="P86" s="3255"/>
      <c r="Q86" s="3255">
        <v>50734449</v>
      </c>
    </row>
    <row r="87" spans="2:17">
      <c r="B87" s="3254">
        <v>49309</v>
      </c>
      <c r="C87" s="3255">
        <v>0</v>
      </c>
      <c r="D87" s="3255"/>
      <c r="E87" s="3255"/>
      <c r="F87" s="3255"/>
      <c r="G87" s="3255"/>
      <c r="H87" s="3255"/>
      <c r="I87" s="3255"/>
      <c r="J87" s="3255"/>
      <c r="K87" s="3255"/>
      <c r="L87" s="3255"/>
      <c r="M87" s="3255"/>
      <c r="N87" s="3255"/>
      <c r="O87" s="3255"/>
      <c r="P87" s="3255"/>
      <c r="Q87" s="3255">
        <v>0</v>
      </c>
    </row>
    <row r="88" spans="2:17">
      <c r="B88" s="3254">
        <v>49674</v>
      </c>
      <c r="C88" s="3255">
        <v>0</v>
      </c>
      <c r="D88" s="3255"/>
      <c r="E88" s="3255"/>
      <c r="F88" s="3255"/>
      <c r="G88" s="3255"/>
      <c r="H88" s="3255"/>
      <c r="I88" s="3255"/>
      <c r="J88" s="3255"/>
      <c r="K88" s="3255"/>
      <c r="L88" s="3255"/>
      <c r="M88" s="3255"/>
      <c r="N88" s="3255"/>
      <c r="O88" s="3255"/>
      <c r="P88" s="3255"/>
      <c r="Q88" s="3255">
        <v>0</v>
      </c>
    </row>
    <row r="89" spans="2:17">
      <c r="B89" s="3254">
        <v>50040</v>
      </c>
      <c r="C89" s="3255">
        <v>0</v>
      </c>
      <c r="D89" s="3255"/>
      <c r="E89" s="3255"/>
      <c r="F89" s="3255"/>
      <c r="G89" s="3255"/>
      <c r="H89" s="3255"/>
      <c r="I89" s="3255"/>
      <c r="J89" s="3255"/>
      <c r="K89" s="3255"/>
      <c r="L89" s="3255"/>
      <c r="M89" s="3255"/>
      <c r="N89" s="3255"/>
      <c r="O89" s="3255"/>
      <c r="P89" s="3255"/>
      <c r="Q89" s="3255">
        <v>0</v>
      </c>
    </row>
    <row r="90" spans="2:17">
      <c r="B90" s="3254">
        <v>50405</v>
      </c>
      <c r="C90" s="3255">
        <v>0</v>
      </c>
      <c r="D90" s="3255"/>
      <c r="E90" s="3255"/>
      <c r="F90" s="3255"/>
      <c r="G90" s="3255"/>
      <c r="H90" s="3255"/>
      <c r="I90" s="3255"/>
      <c r="J90" s="3255"/>
      <c r="K90" s="3255"/>
      <c r="L90" s="3255"/>
      <c r="M90" s="3255"/>
      <c r="N90" s="3255"/>
      <c r="O90" s="3255"/>
      <c r="P90" s="3255"/>
      <c r="Q90" s="3255">
        <v>0</v>
      </c>
    </row>
    <row r="91" spans="2:17">
      <c r="B91" s="3254">
        <v>50770</v>
      </c>
      <c r="C91" s="3255">
        <v>0</v>
      </c>
      <c r="D91" s="3255"/>
      <c r="E91" s="3255"/>
      <c r="F91" s="3255"/>
      <c r="G91" s="3255"/>
      <c r="H91" s="3255"/>
      <c r="I91" s="3255"/>
      <c r="J91" s="3255"/>
      <c r="K91" s="3255"/>
      <c r="L91" s="3255"/>
      <c r="M91" s="3255"/>
      <c r="N91" s="3255"/>
      <c r="O91" s="3255"/>
      <c r="P91" s="3255"/>
      <c r="Q91" s="3255">
        <v>0</v>
      </c>
    </row>
    <row r="92" spans="2:17">
      <c r="B92" s="3254">
        <v>51135</v>
      </c>
      <c r="C92" s="3255">
        <v>0</v>
      </c>
      <c r="D92" s="3255"/>
      <c r="E92" s="3255"/>
      <c r="F92" s="3255"/>
      <c r="G92" s="3255"/>
      <c r="H92" s="3255"/>
      <c r="I92" s="3255"/>
      <c r="J92" s="3255"/>
      <c r="K92" s="3255"/>
      <c r="L92" s="3255"/>
      <c r="M92" s="3255"/>
      <c r="N92" s="3255"/>
      <c r="O92" s="3255"/>
      <c r="P92" s="3255"/>
      <c r="Q92" s="3255">
        <v>0</v>
      </c>
    </row>
    <row r="93" spans="2:17">
      <c r="B93" s="3254">
        <v>51501</v>
      </c>
      <c r="C93" s="3255">
        <v>0</v>
      </c>
      <c r="D93" s="3255"/>
      <c r="E93" s="3255"/>
      <c r="F93" s="3255"/>
      <c r="G93" s="3255"/>
      <c r="H93" s="3255"/>
      <c r="I93" s="3255"/>
      <c r="J93" s="3255"/>
      <c r="K93" s="3255"/>
      <c r="L93" s="3255"/>
      <c r="M93" s="3255"/>
      <c r="N93" s="3255"/>
      <c r="O93" s="3255"/>
      <c r="P93" s="3255"/>
      <c r="Q93" s="3255">
        <v>0</v>
      </c>
    </row>
    <row r="94" spans="2:17">
      <c r="B94" s="3254">
        <v>51866</v>
      </c>
      <c r="C94" s="3255">
        <v>0</v>
      </c>
      <c r="D94" s="3255"/>
      <c r="E94" s="3255"/>
      <c r="F94" s="3255"/>
      <c r="G94" s="3255"/>
      <c r="H94" s="3255"/>
      <c r="I94" s="3255"/>
      <c r="J94" s="3255"/>
      <c r="K94" s="3255"/>
      <c r="L94" s="3255"/>
      <c r="M94" s="3255"/>
      <c r="N94" s="3255"/>
      <c r="O94" s="3255"/>
      <c r="P94" s="3255"/>
      <c r="Q94" s="3255">
        <v>0</v>
      </c>
    </row>
    <row r="95" spans="2:17">
      <c r="B95" s="3254">
        <v>52231</v>
      </c>
      <c r="C95" s="3255">
        <v>0</v>
      </c>
      <c r="D95" s="3255"/>
      <c r="E95" s="3255"/>
      <c r="F95" s="3255"/>
      <c r="G95" s="3255"/>
      <c r="H95" s="3255"/>
      <c r="I95" s="3255"/>
      <c r="J95" s="3255"/>
      <c r="K95" s="3255"/>
      <c r="L95" s="3255"/>
      <c r="M95" s="3255"/>
      <c r="N95" s="3255"/>
      <c r="O95" s="3255"/>
      <c r="P95" s="3255"/>
      <c r="Q95" s="3255">
        <v>0</v>
      </c>
    </row>
    <row r="96" spans="2:17">
      <c r="B96" s="3254">
        <v>52596</v>
      </c>
      <c r="C96" s="3255">
        <v>0</v>
      </c>
      <c r="D96" s="3255"/>
      <c r="E96" s="3255"/>
      <c r="F96" s="3255"/>
      <c r="G96" s="3255"/>
      <c r="H96" s="3255"/>
      <c r="I96" s="3255"/>
      <c r="J96" s="3255"/>
      <c r="K96" s="3255"/>
      <c r="L96" s="3255"/>
      <c r="M96" s="3255"/>
      <c r="N96" s="3255"/>
      <c r="O96" s="3255"/>
      <c r="P96" s="3255"/>
      <c r="Q96" s="3255">
        <v>0</v>
      </c>
    </row>
    <row r="97" spans="2:21">
      <c r="B97" s="3254">
        <v>52962</v>
      </c>
      <c r="C97" s="3255">
        <v>0</v>
      </c>
      <c r="D97" s="3255"/>
      <c r="E97" s="3255"/>
      <c r="F97" s="3255"/>
      <c r="G97" s="3255"/>
      <c r="H97" s="3255"/>
      <c r="I97" s="3255"/>
      <c r="J97" s="3255"/>
      <c r="K97" s="3255"/>
      <c r="L97" s="3255"/>
      <c r="M97" s="3255"/>
      <c r="N97" s="3255"/>
      <c r="O97" s="3255"/>
      <c r="P97" s="3255"/>
      <c r="Q97" s="3255">
        <v>0</v>
      </c>
    </row>
    <row r="98" spans="2:21">
      <c r="B98" s="3254">
        <v>53327</v>
      </c>
      <c r="C98" s="3255">
        <v>0</v>
      </c>
      <c r="D98" s="3255"/>
      <c r="E98" s="3255"/>
      <c r="F98" s="3255"/>
      <c r="G98" s="3255"/>
      <c r="H98" s="3255"/>
      <c r="I98" s="3255"/>
      <c r="J98" s="3255"/>
      <c r="K98" s="3255"/>
      <c r="L98" s="3255"/>
      <c r="M98" s="3255"/>
      <c r="N98" s="3255"/>
      <c r="O98" s="3255"/>
      <c r="P98" s="3255"/>
      <c r="Q98" s="3255">
        <v>0</v>
      </c>
    </row>
    <row r="99" spans="2:21">
      <c r="B99" s="3254">
        <v>53692</v>
      </c>
      <c r="C99" s="3255">
        <v>0</v>
      </c>
      <c r="D99" s="3255"/>
      <c r="E99" s="3255"/>
      <c r="F99" s="3255"/>
      <c r="G99" s="3255"/>
      <c r="H99" s="3255"/>
      <c r="I99" s="3255"/>
      <c r="J99" s="3255"/>
      <c r="K99" s="3255"/>
      <c r="L99" s="3255"/>
      <c r="M99" s="3255"/>
      <c r="N99" s="3255"/>
      <c r="O99" s="3255"/>
      <c r="P99" s="3255"/>
      <c r="Q99" s="3255">
        <v>0</v>
      </c>
    </row>
    <row r="100" spans="2:21">
      <c r="B100" s="3254">
        <v>54057</v>
      </c>
      <c r="C100" s="3255">
        <v>0</v>
      </c>
      <c r="D100" s="3255"/>
      <c r="E100" s="3255"/>
      <c r="F100" s="3255"/>
      <c r="G100" s="3255"/>
      <c r="H100" s="3255"/>
      <c r="I100" s="3255"/>
      <c r="J100" s="3255"/>
      <c r="K100" s="3255"/>
      <c r="L100" s="3255"/>
      <c r="M100" s="3255"/>
      <c r="N100" s="3255"/>
      <c r="O100" s="3255"/>
      <c r="P100" s="3255"/>
      <c r="Q100" s="3255">
        <v>0</v>
      </c>
    </row>
    <row r="101" spans="2:21">
      <c r="B101" s="3254">
        <v>54423</v>
      </c>
      <c r="C101" s="3255">
        <v>0</v>
      </c>
      <c r="D101" s="3255"/>
      <c r="E101" s="3255"/>
      <c r="F101" s="3255"/>
      <c r="G101" s="3255"/>
      <c r="H101" s="3255"/>
      <c r="I101" s="3255"/>
      <c r="J101" s="3255"/>
      <c r="K101" s="3255"/>
      <c r="L101" s="3255"/>
      <c r="M101" s="3255"/>
      <c r="N101" s="3255"/>
      <c r="O101" s="3255"/>
      <c r="P101" s="3255"/>
      <c r="Q101" s="3255">
        <v>0</v>
      </c>
    </row>
    <row r="102" spans="2:21">
      <c r="B102" s="3254">
        <v>54788</v>
      </c>
      <c r="C102" s="3255">
        <v>0</v>
      </c>
      <c r="D102" s="3255"/>
      <c r="E102" s="3255"/>
      <c r="F102" s="3255"/>
      <c r="G102" s="3255"/>
      <c r="H102" s="3255"/>
      <c r="I102" s="3255"/>
      <c r="J102" s="3255"/>
      <c r="K102" s="3255"/>
      <c r="L102" s="3255"/>
      <c r="M102" s="3255"/>
      <c r="N102" s="3255"/>
      <c r="O102" s="3255"/>
      <c r="P102" s="3255"/>
      <c r="Q102" s="3255">
        <v>0</v>
      </c>
    </row>
    <row r="103" spans="2:21">
      <c r="B103" s="3254">
        <v>55153</v>
      </c>
      <c r="C103" s="3255">
        <v>0</v>
      </c>
      <c r="D103" s="3255"/>
      <c r="E103" s="3255"/>
      <c r="F103" s="3255"/>
      <c r="G103" s="3255"/>
      <c r="H103" s="3255"/>
      <c r="I103" s="3255"/>
      <c r="J103" s="3255"/>
      <c r="K103" s="3255"/>
      <c r="L103" s="3255"/>
      <c r="M103" s="3255"/>
      <c r="N103" s="3255"/>
      <c r="O103" s="3255"/>
      <c r="P103" s="3255"/>
      <c r="Q103" s="3255">
        <v>0</v>
      </c>
    </row>
    <row r="104" spans="2:21">
      <c r="B104" s="3254">
        <v>55518</v>
      </c>
      <c r="C104" s="3255">
        <v>0</v>
      </c>
      <c r="D104" s="3255"/>
      <c r="E104" s="3255"/>
      <c r="F104" s="3255"/>
      <c r="G104" s="3255"/>
      <c r="H104" s="3255"/>
      <c r="I104" s="3255"/>
      <c r="J104" s="3255"/>
      <c r="K104" s="3255"/>
      <c r="L104" s="3255"/>
      <c r="M104" s="3255"/>
      <c r="N104" s="3255"/>
      <c r="O104" s="3255"/>
      <c r="P104" s="3255"/>
      <c r="Q104" s="3255">
        <v>0</v>
      </c>
    </row>
    <row r="105" spans="2:21">
      <c r="B105" s="3254">
        <v>55884</v>
      </c>
      <c r="C105" s="3255">
        <v>0</v>
      </c>
      <c r="D105" s="3255"/>
      <c r="E105" s="3255"/>
      <c r="F105" s="3255"/>
      <c r="G105" s="3255"/>
      <c r="H105" s="3255"/>
      <c r="I105" s="3255"/>
      <c r="J105" s="3255"/>
      <c r="K105" s="3255"/>
      <c r="L105" s="3255"/>
      <c r="M105" s="3255"/>
      <c r="N105" s="3255"/>
      <c r="O105" s="3255"/>
      <c r="P105" s="3255"/>
      <c r="Q105" s="3255">
        <v>0</v>
      </c>
    </row>
    <row r="106" spans="2:21">
      <c r="B106" s="3257"/>
      <c r="C106" s="3255">
        <v>2235381490</v>
      </c>
      <c r="D106" s="3255">
        <v>1445041971</v>
      </c>
      <c r="E106" s="3255">
        <v>1476068394</v>
      </c>
      <c r="F106" s="3255">
        <v>1449726691</v>
      </c>
      <c r="G106" s="3255">
        <v>2848278657</v>
      </c>
      <c r="H106" s="3255">
        <v>2565426033</v>
      </c>
      <c r="I106" s="3255">
        <v>2373743103</v>
      </c>
      <c r="J106" s="3255">
        <v>0</v>
      </c>
      <c r="K106" s="3255">
        <v>0</v>
      </c>
      <c r="L106" s="3255">
        <v>0</v>
      </c>
      <c r="M106" s="3255">
        <v>0</v>
      </c>
      <c r="N106" s="3255">
        <v>0</v>
      </c>
      <c r="O106" s="3255">
        <v>0</v>
      </c>
      <c r="P106" s="3255">
        <v>0</v>
      </c>
      <c r="Q106" s="3255">
        <v>14393666339</v>
      </c>
    </row>
    <row r="108" spans="2:21">
      <c r="B108" s="1" t="s">
        <v>5788</v>
      </c>
    </row>
    <row r="109" spans="2:21">
      <c r="B109" s="5262" t="s">
        <v>5741</v>
      </c>
      <c r="C109" s="5262" t="s">
        <v>5746</v>
      </c>
      <c r="D109" s="5262" t="s">
        <v>5747</v>
      </c>
      <c r="E109" s="5262" t="s">
        <v>5742</v>
      </c>
      <c r="F109" s="5262" t="s">
        <v>5743</v>
      </c>
      <c r="G109" s="5262" t="s">
        <v>2884</v>
      </c>
      <c r="H109" s="3258" t="s">
        <v>5744</v>
      </c>
      <c r="I109" s="5275" t="s">
        <v>5748</v>
      </c>
      <c r="J109" s="5276"/>
      <c r="K109" s="5276"/>
      <c r="L109" s="5277"/>
      <c r="M109" s="5264" t="s">
        <v>5749</v>
      </c>
      <c r="N109" s="5265"/>
      <c r="O109" s="5265"/>
      <c r="P109" s="5266"/>
      <c r="Q109" s="5262" t="s">
        <v>5671</v>
      </c>
      <c r="R109" s="5264" t="s">
        <v>5750</v>
      </c>
      <c r="S109" s="5265"/>
      <c r="T109" s="5266"/>
      <c r="U109" s="3259" t="s">
        <v>5684</v>
      </c>
    </row>
    <row r="110" spans="2:21">
      <c r="B110" s="5263"/>
      <c r="C110" s="5263"/>
      <c r="D110" s="5263"/>
      <c r="E110" s="5263"/>
      <c r="F110" s="5263"/>
      <c r="G110" s="5263"/>
      <c r="H110" s="3260" t="s">
        <v>2653</v>
      </c>
      <c r="I110" s="3261" t="s">
        <v>5751</v>
      </c>
      <c r="J110" s="3261" t="s">
        <v>5752</v>
      </c>
      <c r="K110" s="3261" t="s">
        <v>5753</v>
      </c>
      <c r="L110" s="3261" t="s">
        <v>5754</v>
      </c>
      <c r="M110" s="3262" t="s">
        <v>5755</v>
      </c>
      <c r="N110" s="3262" t="s">
        <v>5756</v>
      </c>
      <c r="O110" s="3262" t="s">
        <v>5757</v>
      </c>
      <c r="P110" s="3262" t="s">
        <v>5758</v>
      </c>
      <c r="Q110" s="5263"/>
      <c r="R110" s="3262" t="s">
        <v>5759</v>
      </c>
      <c r="S110" s="3262" t="s">
        <v>5760</v>
      </c>
      <c r="T110" s="3262" t="s">
        <v>5761</v>
      </c>
      <c r="U110" s="3263" t="s">
        <v>5762</v>
      </c>
    </row>
    <row r="111" spans="2:21" ht="12.75" thickBot="1">
      <c r="B111" s="3264" t="s">
        <v>5763</v>
      </c>
      <c r="C111" s="3265"/>
      <c r="D111" s="3264" t="s">
        <v>5745</v>
      </c>
      <c r="E111" s="3266"/>
      <c r="F111" s="3267"/>
      <c r="G111" s="3264"/>
      <c r="H111" s="3264"/>
      <c r="I111" s="3266">
        <v>6072682117</v>
      </c>
      <c r="J111" s="3266">
        <v>0</v>
      </c>
      <c r="K111" s="3266">
        <v>176313870</v>
      </c>
      <c r="L111" s="3266">
        <v>5896368247</v>
      </c>
      <c r="M111" s="3266">
        <v>2288752040</v>
      </c>
      <c r="N111" s="3266">
        <v>184045144</v>
      </c>
      <c r="O111" s="3266">
        <v>57129759</v>
      </c>
      <c r="P111" s="3266">
        <v>2415667425</v>
      </c>
      <c r="Q111" s="3266">
        <v>3480700822</v>
      </c>
      <c r="R111" s="3266">
        <v>11935345</v>
      </c>
      <c r="S111" s="3266">
        <v>0</v>
      </c>
      <c r="T111" s="3266">
        <v>11935345</v>
      </c>
      <c r="U111" s="3266">
        <v>3468765477</v>
      </c>
    </row>
    <row r="112" spans="2:21" ht="12.75" thickBot="1">
      <c r="B112" s="3264" t="s">
        <v>5764</v>
      </c>
      <c r="C112" s="3265"/>
      <c r="D112" s="3264" t="s">
        <v>5745</v>
      </c>
      <c r="E112" s="3266"/>
      <c r="F112" s="3267"/>
      <c r="G112" s="3266"/>
      <c r="H112" s="3264"/>
      <c r="I112" s="3266">
        <v>1238020612</v>
      </c>
      <c r="J112" s="3266">
        <v>0</v>
      </c>
      <c r="K112" s="3266">
        <v>0</v>
      </c>
      <c r="L112" s="3266">
        <v>1238020612</v>
      </c>
      <c r="M112" s="3266">
        <v>238910003</v>
      </c>
      <c r="N112" s="3266">
        <v>31377341</v>
      </c>
      <c r="O112" s="3266">
        <v>0</v>
      </c>
      <c r="P112" s="3266">
        <v>270287344</v>
      </c>
      <c r="Q112" s="3266">
        <v>967733268</v>
      </c>
      <c r="R112" s="3266">
        <v>0</v>
      </c>
      <c r="S112" s="3266">
        <v>0</v>
      </c>
      <c r="T112" s="3266">
        <v>0</v>
      </c>
      <c r="U112" s="3266">
        <v>967733268</v>
      </c>
    </row>
    <row r="113" spans="2:28" ht="12.75" thickBot="1">
      <c r="B113" s="3264" t="s">
        <v>5765</v>
      </c>
      <c r="C113" s="3265"/>
      <c r="D113" s="3264" t="s">
        <v>5745</v>
      </c>
      <c r="E113" s="3266">
        <v>91</v>
      </c>
      <c r="F113" s="3268"/>
      <c r="G113" s="3269"/>
      <c r="H113" s="3264"/>
      <c r="I113" s="3266">
        <v>12539026495</v>
      </c>
      <c r="J113" s="3266">
        <v>178000000</v>
      </c>
      <c r="K113" s="3266">
        <v>26000000</v>
      </c>
      <c r="L113" s="3266">
        <v>12691026495</v>
      </c>
      <c r="M113" s="3266">
        <v>8872066360</v>
      </c>
      <c r="N113" s="3266">
        <v>221696321</v>
      </c>
      <c r="O113" s="3266">
        <v>11483331</v>
      </c>
      <c r="P113" s="3266">
        <v>9082279350</v>
      </c>
      <c r="Q113" s="3266">
        <v>3608747145</v>
      </c>
      <c r="R113" s="3266">
        <v>2543540105</v>
      </c>
      <c r="S113" s="3266">
        <v>0</v>
      </c>
      <c r="T113" s="3266">
        <v>2543540105</v>
      </c>
      <c r="U113" s="3266">
        <v>1065207040</v>
      </c>
    </row>
    <row r="114" spans="2:28" ht="12.75" thickBot="1">
      <c r="B114" s="3264" t="s">
        <v>5766</v>
      </c>
      <c r="C114" s="3265"/>
      <c r="D114" s="3264" t="s">
        <v>5745</v>
      </c>
      <c r="E114" s="3266"/>
      <c r="F114" s="3267"/>
      <c r="G114" s="3266"/>
      <c r="H114" s="3264"/>
      <c r="I114" s="3266">
        <v>472324672</v>
      </c>
      <c r="J114" s="3266">
        <v>32094198</v>
      </c>
      <c r="K114" s="3266">
        <v>0</v>
      </c>
      <c r="L114" s="3266">
        <v>504418870</v>
      </c>
      <c r="M114" s="3266">
        <v>346831080</v>
      </c>
      <c r="N114" s="3266">
        <v>42562934</v>
      </c>
      <c r="O114" s="3266">
        <v>0</v>
      </c>
      <c r="P114" s="3266">
        <v>389394014</v>
      </c>
      <c r="Q114" s="3266">
        <v>115024856</v>
      </c>
      <c r="R114" s="3266">
        <v>0</v>
      </c>
      <c r="S114" s="3266">
        <v>0</v>
      </c>
      <c r="T114" s="3266">
        <v>0</v>
      </c>
      <c r="U114" s="3266">
        <v>115024856</v>
      </c>
    </row>
    <row r="115" spans="2:28" ht="12.75" thickBot="1">
      <c r="B115" s="3264" t="s">
        <v>5767</v>
      </c>
      <c r="C115" s="3265"/>
      <c r="D115" s="3264" t="s">
        <v>5745</v>
      </c>
      <c r="E115" s="3266">
        <v>81</v>
      </c>
      <c r="F115" s="3267"/>
      <c r="G115" s="3266"/>
      <c r="H115" s="3264"/>
      <c r="I115" s="3266">
        <v>223369830</v>
      </c>
      <c r="J115" s="3266">
        <v>20100000</v>
      </c>
      <c r="K115" s="3266">
        <v>0</v>
      </c>
      <c r="L115" s="3266">
        <v>243469830</v>
      </c>
      <c r="M115" s="3266">
        <v>164621829</v>
      </c>
      <c r="N115" s="3266">
        <v>20460266</v>
      </c>
      <c r="O115" s="3266">
        <v>0</v>
      </c>
      <c r="P115" s="3266">
        <v>185082095</v>
      </c>
      <c r="Q115" s="3266">
        <v>58387735</v>
      </c>
      <c r="R115" s="3266">
        <v>2709499</v>
      </c>
      <c r="S115" s="3266">
        <v>0</v>
      </c>
      <c r="T115" s="3266">
        <v>2709499</v>
      </c>
      <c r="U115" s="3266">
        <v>55678236</v>
      </c>
    </row>
    <row r="116" spans="2:28" ht="12.75" thickBot="1">
      <c r="B116" s="3264" t="s">
        <v>5768</v>
      </c>
      <c r="C116" s="3265"/>
      <c r="D116" s="3264" t="s">
        <v>5745</v>
      </c>
      <c r="E116" s="3266">
        <v>345</v>
      </c>
      <c r="F116" s="3267"/>
      <c r="G116" s="3266"/>
      <c r="H116" s="3264"/>
      <c r="I116" s="3266">
        <v>477359422</v>
      </c>
      <c r="J116" s="3266">
        <v>36947272</v>
      </c>
      <c r="K116" s="3266">
        <v>0</v>
      </c>
      <c r="L116" s="3266">
        <v>514306694</v>
      </c>
      <c r="M116" s="3266">
        <v>372704085</v>
      </c>
      <c r="N116" s="3266">
        <v>42009895</v>
      </c>
      <c r="O116" s="3266">
        <v>0</v>
      </c>
      <c r="P116" s="3266">
        <v>414713980</v>
      </c>
      <c r="Q116" s="3266">
        <v>99592714</v>
      </c>
      <c r="R116" s="3266">
        <v>1047667</v>
      </c>
      <c r="S116" s="3266">
        <v>0</v>
      </c>
      <c r="T116" s="3266">
        <v>1047667</v>
      </c>
      <c r="U116" s="3266">
        <v>98545047</v>
      </c>
    </row>
    <row r="117" spans="2:28" ht="12.75" thickBot="1">
      <c r="B117" s="3264" t="s">
        <v>5769</v>
      </c>
      <c r="C117" s="3265"/>
      <c r="D117" s="3264" t="s">
        <v>5745</v>
      </c>
      <c r="E117" s="3266"/>
      <c r="F117" s="3267"/>
      <c r="G117" s="3266"/>
      <c r="H117" s="3264"/>
      <c r="I117" s="3266">
        <v>1940134930</v>
      </c>
      <c r="J117" s="3266">
        <v>159080000</v>
      </c>
      <c r="K117" s="3266">
        <v>0</v>
      </c>
      <c r="L117" s="3266">
        <v>2099214930</v>
      </c>
      <c r="M117" s="3266">
        <v>1373341549</v>
      </c>
      <c r="N117" s="3266">
        <v>120642749</v>
      </c>
      <c r="O117" s="3266">
        <v>0</v>
      </c>
      <c r="P117" s="3266">
        <v>1493984298</v>
      </c>
      <c r="Q117" s="3266">
        <v>605230632</v>
      </c>
      <c r="R117" s="3266">
        <v>271897701</v>
      </c>
      <c r="S117" s="3266">
        <v>0</v>
      </c>
      <c r="T117" s="3266">
        <v>271897701</v>
      </c>
      <c r="U117" s="3266">
        <v>333332931</v>
      </c>
    </row>
    <row r="118" spans="2:28" ht="12.75" thickBot="1">
      <c r="B118" s="3264" t="s">
        <v>5770</v>
      </c>
      <c r="C118" s="3265"/>
      <c r="D118" s="3264" t="s">
        <v>5745</v>
      </c>
      <c r="E118" s="3266">
        <v>22</v>
      </c>
      <c r="F118" s="3267"/>
      <c r="G118" s="3266"/>
      <c r="H118" s="3264"/>
      <c r="I118" s="3266">
        <v>208900000</v>
      </c>
      <c r="J118" s="3266">
        <v>0</v>
      </c>
      <c r="K118" s="3266">
        <v>0</v>
      </c>
      <c r="L118" s="3266">
        <v>208900000</v>
      </c>
      <c r="M118" s="3266">
        <v>208889000</v>
      </c>
      <c r="N118" s="3266">
        <v>0</v>
      </c>
      <c r="O118" s="3266">
        <v>0</v>
      </c>
      <c r="P118" s="3266">
        <v>208889000</v>
      </c>
      <c r="Q118" s="3266">
        <v>11000</v>
      </c>
      <c r="R118" s="3266">
        <v>0</v>
      </c>
      <c r="S118" s="3266">
        <v>0</v>
      </c>
      <c r="T118" s="3266">
        <v>0</v>
      </c>
      <c r="U118" s="3266">
        <v>11000</v>
      </c>
    </row>
    <row r="119" spans="2:28">
      <c r="I119" s="19">
        <f>SUM(I111:I118)</f>
        <v>23171818078</v>
      </c>
      <c r="J119" s="19">
        <f t="shared" ref="J119:U119" si="2">SUM(J111:J118)</f>
        <v>426221470</v>
      </c>
      <c r="K119" s="19">
        <f t="shared" si="2"/>
        <v>202313870</v>
      </c>
      <c r="L119" s="19">
        <f t="shared" si="2"/>
        <v>23395725678</v>
      </c>
      <c r="M119" s="19">
        <f t="shared" si="2"/>
        <v>13866115946</v>
      </c>
      <c r="N119" s="19">
        <f t="shared" si="2"/>
        <v>662794650</v>
      </c>
      <c r="O119" s="19">
        <f t="shared" si="2"/>
        <v>68613090</v>
      </c>
      <c r="P119" s="19">
        <f t="shared" si="2"/>
        <v>14460297506</v>
      </c>
      <c r="Q119" s="19">
        <f t="shared" si="2"/>
        <v>8935428172</v>
      </c>
      <c r="R119" s="19">
        <f t="shared" si="2"/>
        <v>2831130317</v>
      </c>
      <c r="S119" s="19">
        <f t="shared" si="2"/>
        <v>0</v>
      </c>
      <c r="T119" s="19">
        <f t="shared" si="2"/>
        <v>2831130317</v>
      </c>
      <c r="U119" s="19">
        <f t="shared" si="2"/>
        <v>6104297855</v>
      </c>
    </row>
    <row r="120" spans="2:28">
      <c r="B120" s="1" t="s">
        <v>5789</v>
      </c>
    </row>
    <row r="121" spans="2:28" ht="14.25" thickBot="1">
      <c r="B121" s="5267" t="s">
        <v>2875</v>
      </c>
      <c r="C121" s="5267" t="s">
        <v>5746</v>
      </c>
      <c r="D121" s="5267" t="s">
        <v>5771</v>
      </c>
      <c r="E121" s="5267" t="s">
        <v>5772</v>
      </c>
      <c r="F121" s="5267" t="s">
        <v>2884</v>
      </c>
      <c r="G121" s="5269" t="s">
        <v>5773</v>
      </c>
      <c r="H121" s="5270"/>
      <c r="I121" s="5270"/>
      <c r="J121" s="5271"/>
      <c r="K121" s="5272" t="s">
        <v>5774</v>
      </c>
      <c r="L121" s="5273"/>
      <c r="M121" s="5273"/>
      <c r="N121" s="5274"/>
      <c r="O121" s="5267" t="s">
        <v>5684</v>
      </c>
      <c r="P121" s="3270"/>
      <c r="Q121" s="5259" t="s">
        <v>5775</v>
      </c>
      <c r="R121" s="5260"/>
      <c r="S121" s="5260"/>
      <c r="T121" s="5260"/>
      <c r="U121" s="5260"/>
      <c r="V121" s="5260"/>
      <c r="W121" s="5260"/>
      <c r="X121" s="5260"/>
      <c r="Y121" s="5260"/>
      <c r="Z121" s="5260"/>
      <c r="AA121" s="5260"/>
      <c r="AB121" s="5261"/>
    </row>
    <row r="122" spans="2:28" ht="14.25" thickTop="1">
      <c r="B122" s="5268"/>
      <c r="C122" s="5268"/>
      <c r="D122" s="5268"/>
      <c r="E122" s="5268"/>
      <c r="F122" s="5268"/>
      <c r="G122" s="3271" t="s">
        <v>5751</v>
      </c>
      <c r="H122" s="3271" t="s">
        <v>5752</v>
      </c>
      <c r="I122" s="3271" t="s">
        <v>5753</v>
      </c>
      <c r="J122" s="3271" t="s">
        <v>5776</v>
      </c>
      <c r="K122" s="3272" t="s">
        <v>5755</v>
      </c>
      <c r="L122" s="3272" t="s">
        <v>5756</v>
      </c>
      <c r="M122" s="3272" t="s">
        <v>5777</v>
      </c>
      <c r="N122" s="3272" t="s">
        <v>5758</v>
      </c>
      <c r="O122" s="5268"/>
      <c r="P122" s="3273"/>
      <c r="Q122" s="3274" t="s">
        <v>5778</v>
      </c>
      <c r="R122" s="3274" t="s">
        <v>5779</v>
      </c>
      <c r="S122" s="3274" t="s">
        <v>5780</v>
      </c>
      <c r="T122" s="3274" t="s">
        <v>2713</v>
      </c>
      <c r="U122" s="3274" t="s">
        <v>2714</v>
      </c>
      <c r="V122" s="3274" t="s">
        <v>2715</v>
      </c>
      <c r="W122" s="3274" t="s">
        <v>5781</v>
      </c>
      <c r="X122" s="3275" t="s">
        <v>5782</v>
      </c>
      <c r="Y122" s="3276" t="s">
        <v>5783</v>
      </c>
      <c r="Z122" s="3277" t="s">
        <v>5784</v>
      </c>
      <c r="AA122" s="3274" t="s">
        <v>5785</v>
      </c>
      <c r="AB122" s="3278" t="s">
        <v>2826</v>
      </c>
    </row>
    <row r="123" spans="2:28" ht="14.25" thickBot="1">
      <c r="B123" s="3279"/>
      <c r="C123" s="3280"/>
      <c r="D123" s="3280"/>
      <c r="E123" s="3280"/>
      <c r="F123" s="3281" t="s">
        <v>5786</v>
      </c>
      <c r="G123" s="3282">
        <v>153595517</v>
      </c>
      <c r="H123" s="3282">
        <v>72760000</v>
      </c>
      <c r="I123" s="3282">
        <v>0</v>
      </c>
      <c r="J123" s="3282">
        <v>226355517</v>
      </c>
      <c r="K123" s="3282">
        <v>89107888</v>
      </c>
      <c r="L123" s="3282">
        <v>28234168</v>
      </c>
      <c r="M123" s="3282">
        <v>0</v>
      </c>
      <c r="N123" s="3282">
        <v>117342056</v>
      </c>
      <c r="O123" s="3282">
        <v>109013461</v>
      </c>
      <c r="P123" s="3283"/>
      <c r="Q123" s="3284">
        <v>1940666</v>
      </c>
      <c r="R123" s="3284">
        <v>1940666</v>
      </c>
      <c r="S123" s="3284">
        <v>1940666</v>
      </c>
      <c r="T123" s="3284">
        <v>1975166</v>
      </c>
      <c r="U123" s="3284">
        <v>1975166</v>
      </c>
      <c r="V123" s="3284">
        <v>1975166</v>
      </c>
      <c r="W123" s="3284">
        <v>1986666</v>
      </c>
      <c r="X123" s="3285">
        <v>1986666</v>
      </c>
      <c r="Y123" s="3286">
        <v>3153332</v>
      </c>
      <c r="Z123" s="3287">
        <v>3153332</v>
      </c>
      <c r="AA123" s="3284">
        <v>3153332</v>
      </c>
      <c r="AB123" s="3282">
        <v>3053344</v>
      </c>
    </row>
    <row r="124" spans="2:28" ht="14.25" thickTop="1">
      <c r="B124" s="3288" t="s">
        <v>5787</v>
      </c>
      <c r="C124" s="3289"/>
      <c r="D124" s="3289"/>
      <c r="E124" s="3289"/>
      <c r="F124" s="3289"/>
      <c r="G124" s="3289"/>
      <c r="H124" s="3289"/>
      <c r="I124" s="3289"/>
      <c r="J124" s="3289"/>
      <c r="K124" s="3289"/>
      <c r="L124" s="3289"/>
      <c r="M124" s="3289"/>
      <c r="N124" s="3289"/>
      <c r="O124" s="3289"/>
      <c r="P124" s="3289"/>
      <c r="Q124" s="3289"/>
      <c r="R124" s="3289"/>
      <c r="S124" s="3289"/>
      <c r="T124" s="3289"/>
      <c r="U124" s="3289"/>
      <c r="V124" s="3288"/>
      <c r="W124" s="3289"/>
      <c r="X124" s="3289"/>
      <c r="Y124" s="3289"/>
      <c r="Z124" s="3289"/>
      <c r="AA124" s="3289"/>
      <c r="AB124" s="3289"/>
    </row>
    <row r="126" spans="2:28">
      <c r="B126" s="32" t="s">
        <v>5821</v>
      </c>
    </row>
    <row r="127" spans="2:28" ht="12.75" thickBot="1">
      <c r="B127" s="3290" t="s">
        <v>5808</v>
      </c>
      <c r="C127" s="3290"/>
      <c r="D127" s="3290"/>
      <c r="E127" s="3290"/>
      <c r="F127" s="3290"/>
      <c r="G127" s="3290"/>
      <c r="H127" s="3290"/>
      <c r="I127" s="3290"/>
      <c r="J127" s="3290"/>
      <c r="K127" s="3290"/>
      <c r="L127" s="3290"/>
      <c r="M127" s="3290"/>
      <c r="N127" s="3290"/>
      <c r="O127" s="3290"/>
      <c r="P127" s="3290"/>
      <c r="Q127" s="3290"/>
    </row>
    <row r="128" spans="2:28" ht="12.75" thickBot="1">
      <c r="B128" s="3291" t="s">
        <v>5794</v>
      </c>
      <c r="C128" s="3292" t="s">
        <v>3610</v>
      </c>
      <c r="D128" s="3292" t="s">
        <v>5795</v>
      </c>
      <c r="E128" s="3292" t="s">
        <v>4476</v>
      </c>
      <c r="F128" s="3292" t="s">
        <v>5796</v>
      </c>
      <c r="G128" s="3292" t="s">
        <v>5797</v>
      </c>
      <c r="H128" s="3292" t="s">
        <v>5798</v>
      </c>
      <c r="I128" s="3292" t="s">
        <v>5799</v>
      </c>
      <c r="J128" s="3292" t="s">
        <v>5800</v>
      </c>
      <c r="K128" s="3292" t="s">
        <v>5801</v>
      </c>
      <c r="L128" s="3292" t="s">
        <v>5802</v>
      </c>
      <c r="M128" s="3292" t="s">
        <v>5803</v>
      </c>
      <c r="N128" s="3292" t="s">
        <v>5804</v>
      </c>
      <c r="O128" s="3292" t="s">
        <v>5805</v>
      </c>
      <c r="P128" s="3292" t="s">
        <v>5806</v>
      </c>
      <c r="Q128" s="3292" t="s">
        <v>5807</v>
      </c>
    </row>
    <row r="129" spans="2:17">
      <c r="B129" s="3290" t="s">
        <v>5809</v>
      </c>
      <c r="C129" s="3293">
        <v>8564742585</v>
      </c>
      <c r="D129" s="3293">
        <v>0</v>
      </c>
      <c r="E129" s="3293">
        <v>0</v>
      </c>
      <c r="F129" s="3293">
        <v>0</v>
      </c>
      <c r="G129" s="3293">
        <v>9530671798</v>
      </c>
      <c r="H129" s="3293">
        <v>0</v>
      </c>
      <c r="I129" s="3293">
        <v>0</v>
      </c>
      <c r="J129" s="3293">
        <v>0</v>
      </c>
      <c r="K129" s="3293">
        <v>9530671798</v>
      </c>
      <c r="L129" s="3293">
        <v>0</v>
      </c>
      <c r="M129" s="3293">
        <v>0</v>
      </c>
      <c r="N129" s="3293">
        <v>0</v>
      </c>
      <c r="O129" s="3293">
        <v>0</v>
      </c>
      <c r="P129" s="3293">
        <v>0</v>
      </c>
      <c r="Q129" s="3293">
        <v>9530671798</v>
      </c>
    </row>
    <row r="130" spans="2:17">
      <c r="B130" s="3290" t="s">
        <v>5810</v>
      </c>
      <c r="C130" s="3293">
        <v>34141921167</v>
      </c>
      <c r="D130" s="3293">
        <v>0</v>
      </c>
      <c r="E130" s="3293">
        <v>0</v>
      </c>
      <c r="F130" s="3293">
        <v>0</v>
      </c>
      <c r="G130" s="3293">
        <v>36697055693</v>
      </c>
      <c r="H130" s="3293">
        <v>6711883763</v>
      </c>
      <c r="I130" s="3293">
        <v>228000000</v>
      </c>
      <c r="J130" s="3293">
        <v>0</v>
      </c>
      <c r="K130" s="3293">
        <v>36925055693</v>
      </c>
      <c r="L130" s="3293">
        <v>0</v>
      </c>
      <c r="M130" s="3293">
        <v>570746619</v>
      </c>
      <c r="N130" s="3293">
        <v>7282630382</v>
      </c>
      <c r="O130" s="3293">
        <v>345085734</v>
      </c>
      <c r="P130" s="3293">
        <v>345085734</v>
      </c>
      <c r="Q130" s="3293">
        <v>29297339577</v>
      </c>
    </row>
    <row r="131" spans="2:17">
      <c r="B131" s="3290" t="s">
        <v>5811</v>
      </c>
      <c r="C131" s="3293">
        <v>24759864506</v>
      </c>
      <c r="D131" s="3293">
        <v>0</v>
      </c>
      <c r="E131" s="3293">
        <v>0</v>
      </c>
      <c r="F131" s="3293">
        <v>0</v>
      </c>
      <c r="G131" s="3293">
        <v>25622874432</v>
      </c>
      <c r="H131" s="3293">
        <v>8490504030</v>
      </c>
      <c r="I131" s="3293">
        <v>144067700</v>
      </c>
      <c r="J131" s="3293">
        <v>0</v>
      </c>
      <c r="K131" s="3293">
        <v>25766942132</v>
      </c>
      <c r="L131" s="3293">
        <v>0</v>
      </c>
      <c r="M131" s="3293">
        <v>794135906</v>
      </c>
      <c r="N131" s="3293">
        <v>9284639936</v>
      </c>
      <c r="O131" s="3293">
        <v>764291891</v>
      </c>
      <c r="P131" s="3293">
        <v>764291861</v>
      </c>
      <c r="Q131" s="3293">
        <v>15718010335</v>
      </c>
    </row>
    <row r="132" spans="2:17">
      <c r="B132" s="3290" t="s">
        <v>5812</v>
      </c>
      <c r="C132" s="3293">
        <v>63761730999</v>
      </c>
      <c r="D132" s="3293">
        <v>0</v>
      </c>
      <c r="E132" s="3293">
        <v>0</v>
      </c>
      <c r="F132" s="3293">
        <v>0</v>
      </c>
      <c r="G132" s="3293">
        <v>68135224246</v>
      </c>
      <c r="H132" s="3293">
        <v>40213934680</v>
      </c>
      <c r="I132" s="3293">
        <v>729780000</v>
      </c>
      <c r="J132" s="3293">
        <v>903329577</v>
      </c>
      <c r="K132" s="3293">
        <v>67961674669</v>
      </c>
      <c r="L132" s="3293">
        <v>581433326</v>
      </c>
      <c r="M132" s="3293">
        <v>4644113513</v>
      </c>
      <c r="N132" s="3293">
        <v>44276614867</v>
      </c>
      <c r="O132" s="3293">
        <v>3530051085</v>
      </c>
      <c r="P132" s="3293">
        <v>3344457741</v>
      </c>
      <c r="Q132" s="3293">
        <v>20340602061</v>
      </c>
    </row>
    <row r="133" spans="2:17">
      <c r="B133" s="3290" t="s">
        <v>5813</v>
      </c>
      <c r="C133" s="3293">
        <v>0</v>
      </c>
      <c r="D133" s="3293">
        <v>0</v>
      </c>
      <c r="E133" s="3293">
        <v>0</v>
      </c>
      <c r="F133" s="3293">
        <v>0</v>
      </c>
      <c r="G133" s="3293">
        <v>1600452564</v>
      </c>
      <c r="H133" s="3293">
        <v>0</v>
      </c>
      <c r="I133" s="3293">
        <v>10699825221</v>
      </c>
      <c r="J133" s="3293">
        <v>10606471156</v>
      </c>
      <c r="K133" s="3293">
        <v>1693806629</v>
      </c>
      <c r="L133" s="3293">
        <v>0</v>
      </c>
      <c r="M133" s="3293">
        <v>0</v>
      </c>
      <c r="N133" s="3293">
        <v>0</v>
      </c>
      <c r="O133" s="3293">
        <v>0</v>
      </c>
      <c r="P133" s="3293">
        <v>0</v>
      </c>
      <c r="Q133" s="3293">
        <v>1693806629</v>
      </c>
    </row>
    <row r="134" spans="2:17">
      <c r="B134" s="3290" t="s">
        <v>5814</v>
      </c>
      <c r="C134" s="3293">
        <v>736533632</v>
      </c>
      <c r="D134" s="3293">
        <v>0</v>
      </c>
      <c r="E134" s="3293">
        <v>0</v>
      </c>
      <c r="F134" s="3293">
        <v>0</v>
      </c>
      <c r="G134" s="3293">
        <v>704592841</v>
      </c>
      <c r="H134" s="3293">
        <v>545078113</v>
      </c>
      <c r="I134" s="3293">
        <v>46062791</v>
      </c>
      <c r="J134" s="3293">
        <v>55329140</v>
      </c>
      <c r="K134" s="3293">
        <v>695326492</v>
      </c>
      <c r="L134" s="3293">
        <v>55328140</v>
      </c>
      <c r="M134" s="3293">
        <v>34862582</v>
      </c>
      <c r="N134" s="3293">
        <v>524612555</v>
      </c>
      <c r="O134" s="3293">
        <v>0</v>
      </c>
      <c r="P134" s="3293">
        <v>0</v>
      </c>
      <c r="Q134" s="3293">
        <v>170713937</v>
      </c>
    </row>
    <row r="135" spans="2:17">
      <c r="B135" s="3290" t="s">
        <v>5815</v>
      </c>
      <c r="C135" s="3293">
        <v>824973733</v>
      </c>
      <c r="D135" s="3293">
        <v>5</v>
      </c>
      <c r="E135" s="3293" t="e">
        <v>#VALUE!</v>
      </c>
      <c r="F135" s="3293">
        <v>0.2</v>
      </c>
      <c r="G135" s="3293">
        <v>430323733</v>
      </c>
      <c r="H135" s="3293">
        <v>107925469</v>
      </c>
      <c r="I135" s="3293">
        <v>394650000</v>
      </c>
      <c r="J135" s="3293">
        <v>0</v>
      </c>
      <c r="K135" s="3293">
        <v>824973733</v>
      </c>
      <c r="L135" s="3293">
        <v>0</v>
      </c>
      <c r="M135" s="3293">
        <v>67872358</v>
      </c>
      <c r="N135" s="3293">
        <v>175797827</v>
      </c>
      <c r="O135" s="3293">
        <v>0</v>
      </c>
      <c r="P135" s="3293">
        <v>0</v>
      </c>
      <c r="Q135" s="3293">
        <v>649175906</v>
      </c>
    </row>
    <row r="136" spans="2:17">
      <c r="B136" s="3290" t="s">
        <v>5816</v>
      </c>
      <c r="C136" s="3293">
        <v>1640748564</v>
      </c>
      <c r="D136" s="3293">
        <v>0</v>
      </c>
      <c r="E136" s="3293">
        <v>0</v>
      </c>
      <c r="F136" s="3293">
        <v>0</v>
      </c>
      <c r="G136" s="3293">
        <v>1542873655</v>
      </c>
      <c r="H136" s="3293">
        <v>935101165</v>
      </c>
      <c r="I136" s="3293">
        <v>105374909</v>
      </c>
      <c r="J136" s="3293">
        <v>1203500</v>
      </c>
      <c r="K136" s="3293">
        <v>1647045064</v>
      </c>
      <c r="L136" s="3293">
        <v>1200500</v>
      </c>
      <c r="M136" s="3293">
        <v>105718090</v>
      </c>
      <c r="N136" s="3293">
        <v>1039618755</v>
      </c>
      <c r="O136" s="3293">
        <v>0</v>
      </c>
      <c r="P136" s="3293">
        <v>0</v>
      </c>
      <c r="Q136" s="3293">
        <v>607426309</v>
      </c>
    </row>
    <row r="137" spans="2:17" ht="12.75" thickBot="1">
      <c r="B137" s="3290" t="s">
        <v>5817</v>
      </c>
      <c r="C137" s="3293">
        <v>0</v>
      </c>
      <c r="D137" s="3293">
        <v>0</v>
      </c>
      <c r="E137" s="3293">
        <v>0</v>
      </c>
      <c r="F137" s="3293">
        <v>0</v>
      </c>
      <c r="G137" s="3293">
        <v>20690909</v>
      </c>
      <c r="H137" s="3293">
        <v>0</v>
      </c>
      <c r="I137" s="3293">
        <v>1996716491</v>
      </c>
      <c r="J137" s="3293">
        <v>1715615400</v>
      </c>
      <c r="K137" s="3293">
        <v>301792000</v>
      </c>
      <c r="L137" s="3293">
        <v>0</v>
      </c>
      <c r="M137" s="3293">
        <v>0</v>
      </c>
      <c r="N137" s="3293">
        <v>0</v>
      </c>
      <c r="O137" s="3293">
        <v>0</v>
      </c>
      <c r="P137" s="3293">
        <v>0</v>
      </c>
      <c r="Q137" s="3293">
        <v>301792000</v>
      </c>
    </row>
    <row r="138" spans="2:17" ht="12.75" thickBot="1">
      <c r="B138" s="3294" t="s">
        <v>5818</v>
      </c>
      <c r="C138" s="3295">
        <v>134430515186</v>
      </c>
      <c r="D138" s="3295">
        <v>0</v>
      </c>
      <c r="E138" s="3295">
        <v>0</v>
      </c>
      <c r="F138" s="3295">
        <v>0</v>
      </c>
      <c r="G138" s="3295">
        <f>SUM(G129:G137)</f>
        <v>144284759871</v>
      </c>
      <c r="H138" s="3295">
        <f t="shared" ref="H138:Q138" si="3">SUM(H129:H137)</f>
        <v>57004427220</v>
      </c>
      <c r="I138" s="3295">
        <f t="shared" si="3"/>
        <v>14344477112</v>
      </c>
      <c r="J138" s="3295">
        <f t="shared" si="3"/>
        <v>13281948773</v>
      </c>
      <c r="K138" s="3295">
        <f t="shared" si="3"/>
        <v>145347288210</v>
      </c>
      <c r="L138" s="3295">
        <f t="shared" si="3"/>
        <v>637961966</v>
      </c>
      <c r="M138" s="3295">
        <f t="shared" si="3"/>
        <v>6217449068</v>
      </c>
      <c r="N138" s="3295">
        <f t="shared" si="3"/>
        <v>62583914322</v>
      </c>
      <c r="O138" s="3295">
        <f t="shared" si="3"/>
        <v>4639428710</v>
      </c>
      <c r="P138" s="3295">
        <f t="shared" si="3"/>
        <v>4453835336</v>
      </c>
      <c r="Q138" s="3295">
        <f t="shared" si="3"/>
        <v>78309538552</v>
      </c>
    </row>
    <row r="139" spans="2:17">
      <c r="B139" s="115"/>
      <c r="C139" s="115" t="b">
        <v>1</v>
      </c>
      <c r="D139" s="115"/>
      <c r="E139" s="115"/>
      <c r="F139" s="115"/>
      <c r="G139" s="115" t="b">
        <v>1</v>
      </c>
      <c r="H139" s="115" t="b">
        <v>1</v>
      </c>
      <c r="I139" s="115" t="b">
        <v>1</v>
      </c>
      <c r="J139" s="115" t="b">
        <v>1</v>
      </c>
      <c r="K139" s="115" t="b">
        <v>1</v>
      </c>
      <c r="L139" s="115" t="b">
        <v>1</v>
      </c>
      <c r="M139" s="115" t="b">
        <v>1</v>
      </c>
      <c r="N139" s="115" t="b">
        <v>1</v>
      </c>
      <c r="O139" s="115" t="b">
        <v>1</v>
      </c>
      <c r="P139" s="115" t="b">
        <v>1</v>
      </c>
      <c r="Q139" s="115" t="b">
        <v>1</v>
      </c>
    </row>
    <row r="140" spans="2:17" ht="12.75" thickBot="1">
      <c r="B140" s="3290" t="s">
        <v>5819</v>
      </c>
      <c r="C140" s="3290"/>
      <c r="D140" s="3290"/>
      <c r="E140" s="3290"/>
      <c r="F140" s="3290"/>
      <c r="G140" s="3290"/>
      <c r="H140" s="3290"/>
      <c r="I140" s="3290"/>
      <c r="J140" s="3290"/>
      <c r="K140" s="3290"/>
      <c r="L140" s="3290"/>
      <c r="M140" s="3290"/>
      <c r="N140" s="3290"/>
      <c r="O140" s="3290"/>
      <c r="P140" s="3290"/>
      <c r="Q140" s="3290"/>
    </row>
    <row r="141" spans="2:17" ht="12.75" thickBot="1">
      <c r="B141" s="3291" t="s">
        <v>5794</v>
      </c>
      <c r="C141" s="3292" t="s">
        <v>3610</v>
      </c>
      <c r="D141" s="3292" t="s">
        <v>5795</v>
      </c>
      <c r="E141" s="3292" t="s">
        <v>4476</v>
      </c>
      <c r="F141" s="3292" t="s">
        <v>5796</v>
      </c>
      <c r="G141" s="3292" t="s">
        <v>5797</v>
      </c>
      <c r="H141" s="3292" t="s">
        <v>5798</v>
      </c>
      <c r="I141" s="3292" t="s">
        <v>5799</v>
      </c>
      <c r="J141" s="3292" t="s">
        <v>5800</v>
      </c>
      <c r="K141" s="3292" t="s">
        <v>5801</v>
      </c>
      <c r="L141" s="3292" t="s">
        <v>5802</v>
      </c>
      <c r="M141" s="3292" t="s">
        <v>5803</v>
      </c>
      <c r="N141" s="3292" t="s">
        <v>5804</v>
      </c>
      <c r="O141" s="3292" t="s">
        <v>5805</v>
      </c>
      <c r="P141" s="3292" t="s">
        <v>5806</v>
      </c>
      <c r="Q141" s="3292" t="s">
        <v>5807</v>
      </c>
    </row>
    <row r="142" spans="2:17">
      <c r="B142" s="3290" t="s">
        <v>3589</v>
      </c>
      <c r="C142" s="3293">
        <v>1173252450</v>
      </c>
      <c r="D142" s="3293">
        <v>0</v>
      </c>
      <c r="E142" s="3293">
        <v>0</v>
      </c>
      <c r="F142" s="3293">
        <v>0</v>
      </c>
      <c r="G142" s="3293">
        <v>1105922450</v>
      </c>
      <c r="H142" s="3293">
        <v>844164499</v>
      </c>
      <c r="I142" s="3293">
        <v>67680000</v>
      </c>
      <c r="J142" s="3293">
        <v>0</v>
      </c>
      <c r="K142" s="3293">
        <v>1173602450</v>
      </c>
      <c r="L142" s="3293">
        <v>0</v>
      </c>
      <c r="M142" s="3293">
        <v>61082733</v>
      </c>
      <c r="N142" s="3293">
        <v>905247232</v>
      </c>
      <c r="O142" s="3293">
        <v>0</v>
      </c>
      <c r="P142" s="3293">
        <v>0</v>
      </c>
      <c r="Q142" s="3293">
        <v>268355218</v>
      </c>
    </row>
    <row r="143" spans="2:17">
      <c r="B143" s="3290" t="s">
        <v>3588</v>
      </c>
      <c r="C143" s="3293">
        <v>112613120</v>
      </c>
      <c r="D143" s="3293">
        <v>0</v>
      </c>
      <c r="E143" s="3293">
        <v>0</v>
      </c>
      <c r="F143" s="3293">
        <v>0</v>
      </c>
      <c r="G143" s="3293">
        <v>112613120</v>
      </c>
      <c r="H143" s="3293">
        <v>0</v>
      </c>
      <c r="I143" s="3293">
        <v>0</v>
      </c>
      <c r="J143" s="3293">
        <v>0</v>
      </c>
      <c r="K143" s="3293">
        <v>112613120</v>
      </c>
      <c r="L143" s="3293">
        <v>0</v>
      </c>
      <c r="M143" s="3293">
        <v>0</v>
      </c>
      <c r="N143" s="3293">
        <v>0</v>
      </c>
      <c r="O143" s="3293">
        <v>19947520</v>
      </c>
      <c r="P143" s="3293">
        <v>19947520</v>
      </c>
      <c r="Q143" s="3293">
        <v>92665600</v>
      </c>
    </row>
    <row r="144" spans="2:17">
      <c r="B144" s="3290" t="s">
        <v>4200</v>
      </c>
      <c r="C144" s="3293">
        <v>60491497</v>
      </c>
      <c r="D144" s="3293">
        <v>0</v>
      </c>
      <c r="E144" s="3293">
        <v>0</v>
      </c>
      <c r="F144" s="3293">
        <v>0</v>
      </c>
      <c r="G144" s="3293">
        <v>60491497</v>
      </c>
      <c r="H144" s="3293">
        <v>42914897</v>
      </c>
      <c r="I144" s="3293">
        <v>0</v>
      </c>
      <c r="J144" s="3293">
        <v>0</v>
      </c>
      <c r="K144" s="3293">
        <v>60491497</v>
      </c>
      <c r="L144" s="3293">
        <v>0</v>
      </c>
      <c r="M144" s="3293">
        <v>0</v>
      </c>
      <c r="N144" s="3293">
        <v>42914897</v>
      </c>
      <c r="O144" s="3293">
        <v>17574694</v>
      </c>
      <c r="P144" s="3293">
        <v>17574694</v>
      </c>
      <c r="Q144" s="3293">
        <v>1906</v>
      </c>
    </row>
    <row r="145" spans="2:17" ht="12.75" thickBot="1">
      <c r="B145" s="3290" t="s">
        <v>5820</v>
      </c>
      <c r="C145" s="3293"/>
      <c r="D145" s="3293"/>
      <c r="E145" s="3293"/>
      <c r="F145" s="3293"/>
      <c r="G145" s="3293">
        <v>92893400</v>
      </c>
      <c r="H145" s="3293"/>
      <c r="I145" s="3293"/>
      <c r="J145" s="3293">
        <v>92893400</v>
      </c>
      <c r="K145" s="3293"/>
      <c r="L145" s="3293"/>
      <c r="M145" s="3293"/>
      <c r="N145" s="3293"/>
      <c r="O145" s="3293"/>
      <c r="P145" s="3293"/>
      <c r="Q145" s="3293">
        <v>0</v>
      </c>
    </row>
    <row r="146" spans="2:17" ht="12.75" thickBot="1">
      <c r="B146" s="3294" t="s">
        <v>5818</v>
      </c>
      <c r="C146" s="3295">
        <v>1346357067</v>
      </c>
      <c r="D146" s="3295">
        <v>0</v>
      </c>
      <c r="E146" s="3295">
        <v>0</v>
      </c>
      <c r="F146" s="3295">
        <v>0</v>
      </c>
      <c r="G146" s="3295">
        <v>1371920467</v>
      </c>
      <c r="H146" s="3295">
        <v>887079396</v>
      </c>
      <c r="I146" s="3295">
        <v>67680000</v>
      </c>
      <c r="J146" s="3295">
        <v>0</v>
      </c>
      <c r="K146" s="3295">
        <v>1346707067</v>
      </c>
      <c r="L146" s="3295">
        <v>0</v>
      </c>
      <c r="M146" s="3295">
        <v>61082733</v>
      </c>
      <c r="N146" s="3295">
        <v>948162129</v>
      </c>
      <c r="O146" s="3295">
        <v>37522214</v>
      </c>
      <c r="P146" s="3295">
        <v>37522214</v>
      </c>
      <c r="Q146" s="3295">
        <v>361022724</v>
      </c>
    </row>
    <row r="148" spans="2:17">
      <c r="B148" s="32" t="s">
        <v>5851</v>
      </c>
    </row>
    <row r="149" spans="2:17">
      <c r="B149" s="3296" t="s">
        <v>5825</v>
      </c>
      <c r="C149" s="3297" t="s">
        <v>5826</v>
      </c>
      <c r="D149" s="3297" t="s">
        <v>5827</v>
      </c>
      <c r="E149" s="3297" t="s">
        <v>5828</v>
      </c>
      <c r="F149" s="3297" t="s">
        <v>5829</v>
      </c>
      <c r="G149" s="3297" t="s">
        <v>5830</v>
      </c>
      <c r="H149" s="3297" t="s">
        <v>5831</v>
      </c>
      <c r="I149" s="3297" t="s">
        <v>5832</v>
      </c>
      <c r="J149" s="3298" t="s">
        <v>5833</v>
      </c>
      <c r="K149" s="3299" t="s">
        <v>5834</v>
      </c>
      <c r="L149" s="3300" t="s">
        <v>5835</v>
      </c>
      <c r="M149" s="3300" t="s">
        <v>5836</v>
      </c>
      <c r="N149" s="3300" t="s">
        <v>5837</v>
      </c>
      <c r="O149" s="3300" t="s">
        <v>5836</v>
      </c>
      <c r="P149" s="3300" t="s">
        <v>5838</v>
      </c>
    </row>
    <row r="150" spans="2:17">
      <c r="B150" s="269" t="s">
        <v>5839</v>
      </c>
      <c r="C150" s="3301" t="s">
        <v>5840</v>
      </c>
      <c r="D150" s="3302">
        <v>37207969.219999999</v>
      </c>
      <c r="E150" s="3302"/>
      <c r="F150" s="3302"/>
      <c r="G150" s="3302">
        <v>37207969.219999999</v>
      </c>
      <c r="H150" s="3302">
        <v>13642921.620000001</v>
      </c>
      <c r="I150" s="3302">
        <v>23565047.599999998</v>
      </c>
      <c r="J150" s="3303">
        <v>20</v>
      </c>
      <c r="K150" s="240">
        <v>1860398.4609999999</v>
      </c>
      <c r="L150" s="3302">
        <v>1550331.9999999998</v>
      </c>
      <c r="M150" s="3305" t="s">
        <v>5841</v>
      </c>
      <c r="N150" s="3302">
        <v>1550331.9999999998</v>
      </c>
      <c r="O150" s="3305" t="s">
        <v>5842</v>
      </c>
      <c r="P150" s="3302">
        <v>22014715.599999998</v>
      </c>
    </row>
    <row r="151" spans="2:17" ht="36">
      <c r="B151" s="3306" t="s">
        <v>5843</v>
      </c>
      <c r="C151" s="3301" t="s">
        <v>5844</v>
      </c>
      <c r="D151" s="3302">
        <v>565259.1</v>
      </c>
      <c r="E151" s="3302"/>
      <c r="F151" s="3302"/>
      <c r="G151" s="3302">
        <v>565259.1</v>
      </c>
      <c r="H151" s="3302"/>
      <c r="I151" s="3302">
        <v>565259.1</v>
      </c>
      <c r="J151" s="3307">
        <v>2.5</v>
      </c>
      <c r="K151" s="240">
        <v>226103.63999999998</v>
      </c>
      <c r="L151" s="3302">
        <v>188420</v>
      </c>
      <c r="M151" s="3305" t="s">
        <v>5841</v>
      </c>
      <c r="N151" s="3302">
        <v>188420</v>
      </c>
      <c r="O151" s="3305" t="s">
        <v>5842</v>
      </c>
      <c r="P151" s="3308">
        <v>376839.1</v>
      </c>
    </row>
    <row r="152" spans="2:17">
      <c r="B152" s="3309" t="s">
        <v>5845</v>
      </c>
      <c r="C152" s="3301" t="s">
        <v>5846</v>
      </c>
      <c r="D152" s="3302">
        <v>32979.730000000003</v>
      </c>
      <c r="E152" s="3302"/>
      <c r="F152" s="3302"/>
      <c r="G152" s="3302">
        <v>32979.730000000003</v>
      </c>
      <c r="H152" s="3302">
        <v>26566.9</v>
      </c>
      <c r="I152" s="3302">
        <v>6412.8300000000017</v>
      </c>
      <c r="J152" s="3303">
        <v>6</v>
      </c>
      <c r="K152" s="3304">
        <v>5496.6216666666669</v>
      </c>
      <c r="L152" s="3302">
        <v>4580.5000000000009</v>
      </c>
      <c r="M152" s="3305" t="s">
        <v>5841</v>
      </c>
      <c r="N152" s="3302">
        <v>4580.5000000000009</v>
      </c>
      <c r="O152" s="3305" t="s">
        <v>5842</v>
      </c>
      <c r="P152" s="3302">
        <v>1832.3300000000008</v>
      </c>
    </row>
    <row r="153" spans="2:17">
      <c r="B153" s="3309" t="s">
        <v>5847</v>
      </c>
      <c r="C153" s="3301" t="s">
        <v>5848</v>
      </c>
      <c r="D153" s="3302">
        <v>4968.53</v>
      </c>
      <c r="E153" s="3302"/>
      <c r="F153" s="3302"/>
      <c r="G153" s="3302">
        <v>4968.53</v>
      </c>
      <c r="H153" s="3302">
        <v>4057.6900000000005</v>
      </c>
      <c r="I153" s="3302">
        <v>910.83999999999924</v>
      </c>
      <c r="J153" s="3303">
        <v>5</v>
      </c>
      <c r="K153" s="3304">
        <v>993.7059999999999</v>
      </c>
      <c r="L153" s="3302">
        <v>828.09999999999991</v>
      </c>
      <c r="M153" s="3305" t="s">
        <v>5841</v>
      </c>
      <c r="N153" s="3302">
        <v>828.09999999999991</v>
      </c>
      <c r="O153" s="3305" t="s">
        <v>5842</v>
      </c>
      <c r="P153" s="3302">
        <v>82.739999999999327</v>
      </c>
    </row>
    <row r="154" spans="2:17" ht="24">
      <c r="B154" s="3310" t="s">
        <v>5849</v>
      </c>
      <c r="C154" s="3301" t="s">
        <v>5850</v>
      </c>
      <c r="D154" s="3302">
        <v>3136.92</v>
      </c>
      <c r="E154" s="3302"/>
      <c r="F154" s="3302"/>
      <c r="G154" s="3302">
        <v>3136.92</v>
      </c>
      <c r="H154" s="3302">
        <v>784.26</v>
      </c>
      <c r="I154" s="3302">
        <v>2352.66</v>
      </c>
      <c r="J154" s="3303">
        <v>6</v>
      </c>
      <c r="K154" s="3304">
        <v>522.82000000000005</v>
      </c>
      <c r="L154" s="3302">
        <v>435.7</v>
      </c>
      <c r="M154" s="3305" t="s">
        <v>5841</v>
      </c>
      <c r="N154" s="3302">
        <v>435.7</v>
      </c>
      <c r="O154" s="3305" t="s">
        <v>5842</v>
      </c>
      <c r="P154" s="3302">
        <v>1916.9599999999998</v>
      </c>
    </row>
    <row r="157" spans="2:17">
      <c r="B157" s="32" t="s">
        <v>5855</v>
      </c>
    </row>
    <row r="158" spans="2:17">
      <c r="B158" s="751" t="s">
        <v>5852</v>
      </c>
      <c r="C158" s="751" t="s">
        <v>3610</v>
      </c>
      <c r="D158" s="751" t="s">
        <v>5797</v>
      </c>
      <c r="E158" s="751" t="s">
        <v>5822</v>
      </c>
      <c r="F158" s="751" t="s">
        <v>4475</v>
      </c>
      <c r="G158" s="751" t="s">
        <v>5823</v>
      </c>
      <c r="H158" s="751" t="s">
        <v>5853</v>
      </c>
      <c r="I158" s="751" t="s">
        <v>5824</v>
      </c>
      <c r="J158" s="751" t="s">
        <v>5804</v>
      </c>
      <c r="K158" s="751" t="s">
        <v>5854</v>
      </c>
    </row>
    <row r="159" spans="2:17">
      <c r="B159" s="3311" t="s">
        <v>4721</v>
      </c>
      <c r="C159" s="3312">
        <v>913921153</v>
      </c>
      <c r="D159" s="3312">
        <v>913921153</v>
      </c>
      <c r="E159" s="3312">
        <v>0</v>
      </c>
      <c r="F159" s="3312">
        <v>913921153</v>
      </c>
      <c r="G159" s="3312">
        <v>505554427</v>
      </c>
      <c r="H159" s="3312">
        <v>0</v>
      </c>
      <c r="I159" s="3312">
        <v>13338000</v>
      </c>
      <c r="J159" s="3312">
        <v>518892427</v>
      </c>
      <c r="K159" s="3312">
        <v>395028726</v>
      </c>
    </row>
    <row r="160" spans="2:17">
      <c r="B160" s="3311" t="s">
        <v>5856</v>
      </c>
      <c r="C160" s="3312">
        <v>146666158</v>
      </c>
      <c r="D160" s="3312">
        <v>105016158</v>
      </c>
      <c r="E160" s="3312">
        <v>41650000</v>
      </c>
      <c r="F160" s="3312">
        <v>146666158</v>
      </c>
      <c r="G160" s="3312">
        <v>27163440</v>
      </c>
      <c r="H160" s="3312">
        <v>0</v>
      </c>
      <c r="I160" s="3312">
        <v>10484111</v>
      </c>
      <c r="J160" s="3312">
        <v>37647551</v>
      </c>
      <c r="K160" s="3312">
        <v>109018607</v>
      </c>
    </row>
    <row r="161" spans="2:11">
      <c r="B161" s="3311" t="s">
        <v>4726</v>
      </c>
      <c r="C161" s="3312">
        <v>216958597</v>
      </c>
      <c r="D161" s="3312">
        <v>197911597</v>
      </c>
      <c r="E161" s="3312">
        <v>19047000</v>
      </c>
      <c r="F161" s="3312">
        <v>216958597</v>
      </c>
      <c r="G161" s="3312">
        <v>168687113</v>
      </c>
      <c r="H161" s="3312">
        <v>0</v>
      </c>
      <c r="I161" s="3312">
        <v>7586866</v>
      </c>
      <c r="J161" s="3312">
        <v>176273979</v>
      </c>
      <c r="K161" s="3312">
        <v>40684618</v>
      </c>
    </row>
    <row r="162" spans="2:11">
      <c r="B162" s="3311" t="s">
        <v>4724</v>
      </c>
      <c r="C162" s="3312">
        <v>237169730</v>
      </c>
      <c r="D162" s="3312">
        <v>224387350</v>
      </c>
      <c r="E162" s="3312">
        <v>13663308</v>
      </c>
      <c r="F162" s="3312">
        <v>238050658</v>
      </c>
      <c r="G162" s="3312">
        <v>116397392</v>
      </c>
      <c r="H162" s="3312">
        <v>0</v>
      </c>
      <c r="I162" s="3312">
        <v>28283922</v>
      </c>
      <c r="J162" s="3312">
        <v>144681314</v>
      </c>
      <c r="K162" s="3312">
        <v>93369344</v>
      </c>
    </row>
    <row r="163" spans="2:11">
      <c r="B163" s="3311" t="s">
        <v>1458</v>
      </c>
      <c r="C163" s="3312">
        <v>161530609</v>
      </c>
      <c r="D163" s="3312">
        <v>161530609</v>
      </c>
      <c r="E163" s="3312">
        <v>0</v>
      </c>
      <c r="F163" s="3312">
        <v>161530609</v>
      </c>
      <c r="G163" s="3312">
        <v>149651677</v>
      </c>
      <c r="H163" s="3312">
        <v>0</v>
      </c>
      <c r="I163" s="3312">
        <v>6944940</v>
      </c>
      <c r="J163" s="3312">
        <v>156596617</v>
      </c>
      <c r="K163" s="3312">
        <v>4933992</v>
      </c>
    </row>
  </sheetData>
  <mergeCells count="20">
    <mergeCell ref="M109:P109"/>
    <mergeCell ref="B64:C64"/>
    <mergeCell ref="B109:B110"/>
    <mergeCell ref="C109:C110"/>
    <mergeCell ref="Q121:AB121"/>
    <mergeCell ref="Q109:Q110"/>
    <mergeCell ref="R109:T109"/>
    <mergeCell ref="B121:B122"/>
    <mergeCell ref="C121:C122"/>
    <mergeCell ref="D121:D122"/>
    <mergeCell ref="E121:E122"/>
    <mergeCell ref="F121:F122"/>
    <mergeCell ref="G121:J121"/>
    <mergeCell ref="K121:N121"/>
    <mergeCell ref="O121:O122"/>
    <mergeCell ref="D109:D110"/>
    <mergeCell ref="E109:E110"/>
    <mergeCell ref="F109:F110"/>
    <mergeCell ref="G109:G110"/>
    <mergeCell ref="I109:L109"/>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0D58E-E28F-4383-992E-65885FEA17F9}">
  <dimension ref="A2:AO3915"/>
  <sheetViews>
    <sheetView workbookViewId="0"/>
  </sheetViews>
  <sheetFormatPr defaultColWidth="9" defaultRowHeight="12"/>
  <cols>
    <col min="1" max="1" width="13.25" style="3" customWidth="1"/>
    <col min="2" max="2" width="13.375" style="3" customWidth="1"/>
    <col min="3" max="3" width="17.125" style="3" customWidth="1"/>
    <col min="4" max="17" width="9" style="3"/>
    <col min="18" max="18" width="11.75" style="3" customWidth="1"/>
    <col min="19" max="16384" width="9" style="3"/>
  </cols>
  <sheetData>
    <row r="2" spans="2:9">
      <c r="B2" s="4412" t="s">
        <v>1293</v>
      </c>
      <c r="C2" s="4413"/>
      <c r="D2" s="4413"/>
      <c r="E2" s="4413"/>
      <c r="F2" s="4414"/>
    </row>
    <row r="3" spans="2:9">
      <c r="B3" s="4415"/>
      <c r="C3" s="4416" t="s">
        <v>134</v>
      </c>
      <c r="D3" s="4416" t="s">
        <v>129</v>
      </c>
      <c r="E3" s="4416" t="s">
        <v>127</v>
      </c>
      <c r="F3" s="4417" t="s">
        <v>2063</v>
      </c>
      <c r="I3" s="3" t="s">
        <v>6810</v>
      </c>
    </row>
    <row r="4" spans="2:9">
      <c r="B4" s="4418" t="s">
        <v>3529</v>
      </c>
      <c r="C4" s="4419" t="s">
        <v>6779</v>
      </c>
      <c r="D4" s="4419" t="s">
        <v>6779</v>
      </c>
      <c r="E4" s="4419" t="s">
        <v>6779</v>
      </c>
      <c r="F4" s="4420" t="s">
        <v>6780</v>
      </c>
    </row>
    <row r="5" spans="2:9">
      <c r="B5" s="4421" t="s">
        <v>6781</v>
      </c>
      <c r="C5" s="4422">
        <v>66365.169294000007</v>
      </c>
      <c r="D5" s="4422">
        <v>61659.483434000002</v>
      </c>
      <c r="E5" s="4422">
        <v>64393.472661</v>
      </c>
      <c r="F5" s="4423">
        <v>46354.105943000002</v>
      </c>
      <c r="G5" s="248">
        <f t="shared" ref="G5:G6" si="0">SUM(C5:F5)</f>
        <v>238772.23133200002</v>
      </c>
    </row>
    <row r="6" spans="2:9">
      <c r="B6" s="4424" t="s">
        <v>2080</v>
      </c>
      <c r="C6" s="4425">
        <v>23868.653607</v>
      </c>
      <c r="D6" s="4425">
        <v>25588.384424</v>
      </c>
      <c r="E6" s="4425">
        <v>22777.939274</v>
      </c>
      <c r="F6" s="4426">
        <v>19771.653557000001</v>
      </c>
      <c r="G6" s="248">
        <f t="shared" si="0"/>
        <v>92006.630862000005</v>
      </c>
    </row>
    <row r="7" spans="2:9" ht="12.75" thickBot="1">
      <c r="B7" s="4427" t="s">
        <v>55</v>
      </c>
      <c r="C7" s="4428">
        <f>SUM(C5:C6)</f>
        <v>90233.822901000007</v>
      </c>
      <c r="D7" s="4428">
        <f t="shared" ref="D7:F7" si="1">SUM(D5:D6)</f>
        <v>87247.867857999998</v>
      </c>
      <c r="E7" s="4428">
        <f t="shared" si="1"/>
        <v>87171.411934999996</v>
      </c>
      <c r="F7" s="4429">
        <f t="shared" si="1"/>
        <v>66125.7595</v>
      </c>
      <c r="G7" s="248">
        <f>SUM(C7:F7)</f>
        <v>330778.86219399999</v>
      </c>
    </row>
    <row r="9" spans="2:9">
      <c r="B9" s="45" t="s">
        <v>6782</v>
      </c>
      <c r="C9" s="11">
        <f>C5/C$7</f>
        <v>0.73547996926620873</v>
      </c>
      <c r="D9" s="11">
        <f t="shared" ref="D9:F9" si="2">D5/D$7</f>
        <v>0.7067162206686094</v>
      </c>
      <c r="E9" s="11">
        <f t="shared" si="2"/>
        <v>0.73869943404169547</v>
      </c>
      <c r="F9" s="11">
        <f t="shared" si="2"/>
        <v>0.70099922168757856</v>
      </c>
      <c r="G9" s="11">
        <f t="shared" ref="G9" si="3">G5/G$7</f>
        <v>0.72184851761162849</v>
      </c>
    </row>
    <row r="10" spans="2:9">
      <c r="B10" s="45" t="s">
        <v>6783</v>
      </c>
      <c r="C10" s="11">
        <f t="shared" ref="C10:F10" si="4">C6/C$7</f>
        <v>0.26452003073379127</v>
      </c>
      <c r="D10" s="11">
        <f t="shared" si="4"/>
        <v>0.2932837793313906</v>
      </c>
      <c r="E10" s="11">
        <f t="shared" si="4"/>
        <v>0.26130056595830453</v>
      </c>
      <c r="F10" s="11">
        <f t="shared" si="4"/>
        <v>0.2990007783124215</v>
      </c>
      <c r="G10" s="11">
        <f t="shared" ref="G10" si="5">G6/G$7</f>
        <v>0.27815148238837167</v>
      </c>
    </row>
    <row r="12" spans="2:9">
      <c r="B12" s="3" t="s">
        <v>6784</v>
      </c>
    </row>
    <row r="13" spans="2:9">
      <c r="C13" s="3" t="s">
        <v>69</v>
      </c>
      <c r="D13" s="3" t="s">
        <v>27</v>
      </c>
      <c r="E13" s="3" t="s">
        <v>60</v>
      </c>
      <c r="F13" s="3" t="s">
        <v>5103</v>
      </c>
    </row>
    <row r="14" spans="2:9">
      <c r="B14" s="3" t="s">
        <v>1293</v>
      </c>
      <c r="C14" s="248">
        <f>SUMIFS('과거손익(Summary)'!$L:$L,'과거손익(Summary)'!$E:$E,C$13)</f>
        <v>89768.111919999996</v>
      </c>
      <c r="D14" s="248">
        <f>SUMIFS('과거손익(Summary)'!$L:$L,'과거손익(Summary)'!$E:$E,D$13)</f>
        <v>87644.579140000002</v>
      </c>
      <c r="E14" s="248">
        <f>SUMIFS('과거손익(Summary)'!$L:$L,'과거손익(Summary)'!$E:$E,E$13)</f>
        <v>87180.423284999983</v>
      </c>
      <c r="F14" s="248">
        <f>SUMIFS('과거손익(Summary)'!$L:$L,'과거손익(Summary)'!$E:$E,F$13)</f>
        <v>65735.656683999987</v>
      </c>
    </row>
    <row r="15" spans="2:9">
      <c r="B15" s="3" t="s">
        <v>6781</v>
      </c>
      <c r="C15" s="248">
        <f>C$14*C9</f>
        <v>66022.648196007183</v>
      </c>
      <c r="D15" s="248">
        <f t="shared" ref="D15:F15" si="6">D$14*D9</f>
        <v>61939.845731911642</v>
      </c>
      <c r="E15" s="248">
        <f t="shared" si="6"/>
        <v>64400.129340144937</v>
      </c>
      <c r="F15" s="248">
        <f t="shared" si="6"/>
        <v>46080.644172605862</v>
      </c>
    </row>
    <row r="16" spans="2:9">
      <c r="B16" s="3" t="s">
        <v>2080</v>
      </c>
      <c r="C16" s="248">
        <f t="shared" ref="C16:F16" si="7">C$14*C10</f>
        <v>23745.463723992812</v>
      </c>
      <c r="D16" s="248">
        <f t="shared" si="7"/>
        <v>25704.733408088359</v>
      </c>
      <c r="E16" s="248">
        <f t="shared" si="7"/>
        <v>22780.293944855046</v>
      </c>
      <c r="F16" s="248">
        <f t="shared" si="7"/>
        <v>19655.012511394129</v>
      </c>
    </row>
    <row r="17" spans="2:16" ht="12.75" thickBot="1"/>
    <row r="18" spans="2:16">
      <c r="B18" s="5286" t="s">
        <v>134</v>
      </c>
      <c r="C18" s="5287"/>
      <c r="D18" s="5287"/>
      <c r="E18" s="5287"/>
      <c r="F18" s="5287"/>
      <c r="G18" s="5287"/>
      <c r="H18" s="5287"/>
      <c r="I18" s="5287"/>
      <c r="J18" s="5287"/>
      <c r="K18" s="5287"/>
      <c r="L18" s="5287"/>
      <c r="M18" s="5287"/>
      <c r="N18" s="5288"/>
      <c r="O18" s="5282" t="s">
        <v>55</v>
      </c>
    </row>
    <row r="19" spans="2:16">
      <c r="B19" s="4430"/>
      <c r="C19" s="4431" t="s">
        <v>6786</v>
      </c>
      <c r="D19" s="4431" t="s">
        <v>6787</v>
      </c>
      <c r="E19" s="4431" t="s">
        <v>6788</v>
      </c>
      <c r="F19" s="4431" t="s">
        <v>6789</v>
      </c>
      <c r="G19" s="4431" t="s">
        <v>6790</v>
      </c>
      <c r="H19" s="4431" t="s">
        <v>6791</v>
      </c>
      <c r="I19" s="4431" t="s">
        <v>6792</v>
      </c>
      <c r="J19" s="4431" t="s">
        <v>6793</v>
      </c>
      <c r="K19" s="4431" t="s">
        <v>6794</v>
      </c>
      <c r="L19" s="4431" t="s">
        <v>6795</v>
      </c>
      <c r="M19" s="4431" t="s">
        <v>6796</v>
      </c>
      <c r="N19" s="4431" t="s">
        <v>6797</v>
      </c>
      <c r="O19" s="5283"/>
    </row>
    <row r="20" spans="2:16">
      <c r="B20" s="4432" t="s">
        <v>6798</v>
      </c>
      <c r="C20" s="4433">
        <v>59</v>
      </c>
      <c r="D20" s="4433">
        <v>54</v>
      </c>
      <c r="E20" s="4438">
        <v>49</v>
      </c>
      <c r="F20" s="4438">
        <v>58</v>
      </c>
      <c r="G20" s="4438">
        <v>59</v>
      </c>
      <c r="H20" s="4433">
        <v>58</v>
      </c>
      <c r="I20" s="4433">
        <v>60</v>
      </c>
      <c r="J20" s="4433">
        <v>62</v>
      </c>
      <c r="K20" s="4433">
        <v>58</v>
      </c>
      <c r="L20" s="4433">
        <v>60</v>
      </c>
      <c r="M20" s="4433">
        <v>58</v>
      </c>
      <c r="N20" s="4433">
        <v>60</v>
      </c>
      <c r="O20" s="4434">
        <v>695</v>
      </c>
      <c r="P20" s="248">
        <f>O21/O20*100</f>
        <v>92.661870503597115</v>
      </c>
    </row>
    <row r="21" spans="2:16" ht="12.75" thickBot="1">
      <c r="B21" s="4435" t="s">
        <v>6799</v>
      </c>
      <c r="C21" s="4436">
        <v>62</v>
      </c>
      <c r="D21" s="4436">
        <v>56</v>
      </c>
      <c r="E21" s="4436">
        <v>42</v>
      </c>
      <c r="F21" s="4436">
        <v>48</v>
      </c>
      <c r="G21" s="4436">
        <v>48</v>
      </c>
      <c r="H21" s="4436">
        <v>60</v>
      </c>
      <c r="I21" s="4436">
        <v>63</v>
      </c>
      <c r="J21" s="4436">
        <v>61</v>
      </c>
      <c r="K21" s="4436">
        <v>43</v>
      </c>
      <c r="L21" s="4436">
        <v>45</v>
      </c>
      <c r="M21" s="4436">
        <v>58</v>
      </c>
      <c r="N21" s="4436">
        <v>58</v>
      </c>
      <c r="O21" s="4437">
        <v>644</v>
      </c>
    </row>
    <row r="22" spans="2:16">
      <c r="B22" s="5286" t="s">
        <v>129</v>
      </c>
      <c r="C22" s="5287"/>
      <c r="D22" s="5287"/>
      <c r="E22" s="5287"/>
      <c r="F22" s="5287"/>
      <c r="G22" s="5287"/>
      <c r="H22" s="5287"/>
      <c r="I22" s="5287"/>
      <c r="J22" s="5287"/>
      <c r="K22" s="5287"/>
      <c r="L22" s="5287"/>
      <c r="M22" s="5287"/>
      <c r="N22" s="5288"/>
      <c r="O22" s="5289" t="s">
        <v>55</v>
      </c>
    </row>
    <row r="23" spans="2:16">
      <c r="B23" s="4430"/>
      <c r="C23" s="4431" t="s">
        <v>6786</v>
      </c>
      <c r="D23" s="4431" t="s">
        <v>6787</v>
      </c>
      <c r="E23" s="4431" t="s">
        <v>6788</v>
      </c>
      <c r="F23" s="4431" t="s">
        <v>6789</v>
      </c>
      <c r="G23" s="4431" t="s">
        <v>6790</v>
      </c>
      <c r="H23" s="4431" t="s">
        <v>6791</v>
      </c>
      <c r="I23" s="4431" t="s">
        <v>6792</v>
      </c>
      <c r="J23" s="4431" t="s">
        <v>6793</v>
      </c>
      <c r="K23" s="4431" t="s">
        <v>6794</v>
      </c>
      <c r="L23" s="4431" t="s">
        <v>6795</v>
      </c>
      <c r="M23" s="4431" t="s">
        <v>6796</v>
      </c>
      <c r="N23" s="4431" t="s">
        <v>6797</v>
      </c>
      <c r="O23" s="5283"/>
    </row>
    <row r="24" spans="2:16">
      <c r="B24" s="4432" t="s">
        <v>6798</v>
      </c>
      <c r="C24" s="4433">
        <v>60</v>
      </c>
      <c r="D24" s="4433">
        <v>54</v>
      </c>
      <c r="E24" s="4433">
        <v>50</v>
      </c>
      <c r="F24" s="4433">
        <v>38</v>
      </c>
      <c r="G24" s="4433">
        <v>59</v>
      </c>
      <c r="H24" s="4433">
        <v>59</v>
      </c>
      <c r="I24" s="4433">
        <v>62</v>
      </c>
      <c r="J24" s="4433">
        <v>59</v>
      </c>
      <c r="K24" s="4433">
        <v>58</v>
      </c>
      <c r="L24" s="4433">
        <v>61</v>
      </c>
      <c r="M24" s="4433">
        <v>59</v>
      </c>
      <c r="N24" s="4433">
        <v>54</v>
      </c>
      <c r="O24" s="4434">
        <v>675</v>
      </c>
      <c r="P24" s="248">
        <f>O25/O24*100</f>
        <v>92.148148148148152</v>
      </c>
    </row>
    <row r="25" spans="2:16" ht="12.75" thickBot="1">
      <c r="B25" s="4435" t="s">
        <v>6799</v>
      </c>
      <c r="C25" s="4436">
        <v>61</v>
      </c>
      <c r="D25" s="4436">
        <v>54</v>
      </c>
      <c r="E25" s="4436">
        <v>40</v>
      </c>
      <c r="F25" s="4436">
        <v>31</v>
      </c>
      <c r="G25" s="4436">
        <v>47</v>
      </c>
      <c r="H25" s="4436">
        <v>58</v>
      </c>
      <c r="I25" s="4436">
        <v>64</v>
      </c>
      <c r="J25" s="4436">
        <v>59</v>
      </c>
      <c r="K25" s="4436">
        <v>45</v>
      </c>
      <c r="L25" s="4436">
        <v>48</v>
      </c>
      <c r="M25" s="4436">
        <v>61</v>
      </c>
      <c r="N25" s="4436">
        <v>55</v>
      </c>
      <c r="O25" s="4437">
        <v>622</v>
      </c>
    </row>
    <row r="26" spans="2:16">
      <c r="B26" s="5286" t="s">
        <v>127</v>
      </c>
      <c r="C26" s="5287"/>
      <c r="D26" s="5287"/>
      <c r="E26" s="5287"/>
      <c r="F26" s="5287"/>
      <c r="G26" s="5287"/>
      <c r="H26" s="5287"/>
      <c r="I26" s="5287"/>
      <c r="J26" s="5287"/>
      <c r="K26" s="5287"/>
      <c r="L26" s="5287"/>
      <c r="M26" s="5287"/>
      <c r="N26" s="5288"/>
      <c r="O26" s="5289" t="s">
        <v>55</v>
      </c>
    </row>
    <row r="27" spans="2:16">
      <c r="B27" s="4430"/>
      <c r="C27" s="4431" t="s">
        <v>6786</v>
      </c>
      <c r="D27" s="4431" t="s">
        <v>6787</v>
      </c>
      <c r="E27" s="4431" t="s">
        <v>6788</v>
      </c>
      <c r="F27" s="4431" t="s">
        <v>6789</v>
      </c>
      <c r="G27" s="4431" t="s">
        <v>6790</v>
      </c>
      <c r="H27" s="4431" t="s">
        <v>6791</v>
      </c>
      <c r="I27" s="4431" t="s">
        <v>6792</v>
      </c>
      <c r="J27" s="4431" t="s">
        <v>6793</v>
      </c>
      <c r="K27" s="4431" t="s">
        <v>6794</v>
      </c>
      <c r="L27" s="4431" t="s">
        <v>6795</v>
      </c>
      <c r="M27" s="4431" t="s">
        <v>6796</v>
      </c>
      <c r="N27" s="4431" t="s">
        <v>6797</v>
      </c>
      <c r="O27" s="5283"/>
    </row>
    <row r="28" spans="2:16">
      <c r="B28" s="4432" t="s">
        <v>6798</v>
      </c>
      <c r="C28" s="4433">
        <v>61</v>
      </c>
      <c r="D28" s="4433">
        <v>57</v>
      </c>
      <c r="E28" s="4433">
        <v>52</v>
      </c>
      <c r="F28" s="4433">
        <v>56</v>
      </c>
      <c r="G28" s="4433">
        <v>60</v>
      </c>
      <c r="H28" s="4433">
        <v>59</v>
      </c>
      <c r="I28" s="4433">
        <v>61</v>
      </c>
      <c r="J28" s="4433">
        <v>62</v>
      </c>
      <c r="K28" s="4433">
        <v>60</v>
      </c>
      <c r="L28" s="4433">
        <v>60</v>
      </c>
      <c r="M28" s="4433">
        <v>59</v>
      </c>
      <c r="N28" s="4433">
        <v>56</v>
      </c>
      <c r="O28" s="4434">
        <f>SUM(C28:N28)</f>
        <v>703</v>
      </c>
      <c r="P28" s="248">
        <f>O29/O28*100</f>
        <v>93.45661450924608</v>
      </c>
    </row>
    <row r="29" spans="2:16" ht="12.75" thickBot="1">
      <c r="B29" s="4435" t="s">
        <v>6799</v>
      </c>
      <c r="C29" s="4436">
        <v>61</v>
      </c>
      <c r="D29" s="4436">
        <v>63</v>
      </c>
      <c r="E29" s="4436">
        <v>41</v>
      </c>
      <c r="F29" s="4436">
        <v>44</v>
      </c>
      <c r="G29" s="4436">
        <v>47</v>
      </c>
      <c r="H29" s="4436">
        <v>61</v>
      </c>
      <c r="I29" s="4436">
        <v>64</v>
      </c>
      <c r="J29" s="4436">
        <v>62</v>
      </c>
      <c r="K29" s="4436">
        <v>48</v>
      </c>
      <c r="L29" s="4436">
        <v>47</v>
      </c>
      <c r="M29" s="4436">
        <v>61</v>
      </c>
      <c r="N29" s="4436">
        <v>58</v>
      </c>
      <c r="O29" s="4437">
        <f>SUM(C29:N29)</f>
        <v>657</v>
      </c>
    </row>
    <row r="30" spans="2:16">
      <c r="B30" s="5280" t="s">
        <v>2063</v>
      </c>
      <c r="C30" s="5281"/>
      <c r="D30" s="5281"/>
      <c r="E30" s="5281"/>
      <c r="F30" s="5281"/>
      <c r="G30" s="5281"/>
      <c r="H30" s="5281"/>
      <c r="I30" s="5281"/>
      <c r="J30" s="5281"/>
      <c r="K30" s="5281"/>
      <c r="L30" s="5281"/>
      <c r="M30" s="5281"/>
      <c r="N30" s="5281"/>
      <c r="O30" s="5282" t="s">
        <v>55</v>
      </c>
    </row>
    <row r="31" spans="2:16">
      <c r="B31" s="4430"/>
      <c r="C31" s="4431" t="s">
        <v>6786</v>
      </c>
      <c r="D31" s="4431" t="s">
        <v>6787</v>
      </c>
      <c r="E31" s="4431" t="s">
        <v>6788</v>
      </c>
      <c r="F31" s="4431" t="s">
        <v>6789</v>
      </c>
      <c r="G31" s="4431" t="s">
        <v>6790</v>
      </c>
      <c r="H31" s="4431" t="s">
        <v>6791</v>
      </c>
      <c r="I31" s="4431" t="s">
        <v>6792</v>
      </c>
      <c r="J31" s="4431" t="s">
        <v>6793</v>
      </c>
      <c r="K31" s="4431" t="s">
        <v>6794</v>
      </c>
      <c r="L31" s="4431" t="s">
        <v>6795</v>
      </c>
      <c r="M31" s="4431" t="s">
        <v>6796</v>
      </c>
      <c r="N31" s="4431" t="s">
        <v>6797</v>
      </c>
      <c r="O31" s="5283"/>
    </row>
    <row r="32" spans="2:16">
      <c r="B32" s="4432" t="s">
        <v>6798</v>
      </c>
      <c r="C32" s="4433">
        <v>60</v>
      </c>
      <c r="D32" s="4433">
        <v>52</v>
      </c>
      <c r="E32" s="4433">
        <v>35</v>
      </c>
      <c r="F32" s="4433">
        <v>51</v>
      </c>
      <c r="G32" s="4433">
        <v>60</v>
      </c>
      <c r="H32" s="4433">
        <v>59</v>
      </c>
      <c r="I32" s="4433">
        <v>62</v>
      </c>
      <c r="J32" s="4433">
        <v>60</v>
      </c>
      <c r="K32" s="4433">
        <v>58</v>
      </c>
      <c r="L32" s="5284" t="s">
        <v>2627</v>
      </c>
      <c r="M32" s="5284"/>
      <c r="N32" s="5284"/>
      <c r="O32" s="4434">
        <f>SUM(C32:K32)</f>
        <v>497</v>
      </c>
      <c r="P32" s="248">
        <f>O33/O32*100</f>
        <v>98.189134808853112</v>
      </c>
    </row>
    <row r="33" spans="2:23" ht="12.75" thickBot="1">
      <c r="B33" s="4435" t="s">
        <v>6799</v>
      </c>
      <c r="C33" s="4436">
        <v>63</v>
      </c>
      <c r="D33" s="4436">
        <v>55</v>
      </c>
      <c r="E33" s="4436">
        <v>32</v>
      </c>
      <c r="F33" s="4436">
        <v>44</v>
      </c>
      <c r="G33" s="4436">
        <v>50</v>
      </c>
      <c r="H33" s="4436">
        <v>65</v>
      </c>
      <c r="I33" s="4436">
        <v>67</v>
      </c>
      <c r="J33" s="4436">
        <v>64</v>
      </c>
      <c r="K33" s="4436">
        <v>48</v>
      </c>
      <c r="L33" s="5285"/>
      <c r="M33" s="5285"/>
      <c r="N33" s="5285"/>
      <c r="O33" s="4434">
        <f>SUM(C33:K33)</f>
        <v>488</v>
      </c>
    </row>
    <row r="34" spans="2:23">
      <c r="Q34" s="3" t="s">
        <v>6805</v>
      </c>
      <c r="R34" s="3" t="s">
        <v>6807</v>
      </c>
      <c r="S34" s="3" t="s">
        <v>6806</v>
      </c>
      <c r="T34" s="3" t="s">
        <v>6808</v>
      </c>
    </row>
    <row r="35" spans="2:23">
      <c r="B35" s="3">
        <v>2018</v>
      </c>
      <c r="C35" s="2104">
        <f>C21/C20*100</f>
        <v>105.08474576271188</v>
      </c>
      <c r="D35" s="2104">
        <f t="shared" ref="D35:N35" si="8">D21/D20*100</f>
        <v>103.7037037037037</v>
      </c>
      <c r="E35" s="4439">
        <f t="shared" si="8"/>
        <v>85.714285714285708</v>
      </c>
      <c r="F35" s="4439">
        <f t="shared" si="8"/>
        <v>82.758620689655174</v>
      </c>
      <c r="G35" s="4439">
        <f t="shared" si="8"/>
        <v>81.355932203389841</v>
      </c>
      <c r="H35" s="4439">
        <f t="shared" si="8"/>
        <v>103.44827586206897</v>
      </c>
      <c r="I35" s="2104">
        <f t="shared" si="8"/>
        <v>105</v>
      </c>
      <c r="J35" s="2104">
        <f t="shared" si="8"/>
        <v>98.387096774193552</v>
      </c>
      <c r="K35" s="4439">
        <f t="shared" si="8"/>
        <v>74.137931034482762</v>
      </c>
      <c r="L35" s="4439">
        <f t="shared" si="8"/>
        <v>75</v>
      </c>
      <c r="M35" s="2104">
        <f t="shared" si="8"/>
        <v>100</v>
      </c>
      <c r="N35" s="2104">
        <f t="shared" si="8"/>
        <v>96.666666666666671</v>
      </c>
      <c r="O35" s="248">
        <f t="shared" ref="O35" si="9">O29/O28*100</f>
        <v>93.45661450924608</v>
      </c>
      <c r="Q35" s="248">
        <f>AVERAGE(C35:D35)</f>
        <v>104.39422473320778</v>
      </c>
      <c r="R35" s="248">
        <f>AVERAGE(E35:H35,K35:L35)</f>
        <v>83.735840917313737</v>
      </c>
      <c r="S35" s="248">
        <f>AVERAGE(I35:J35)</f>
        <v>101.69354838709677</v>
      </c>
      <c r="T35" s="248">
        <f>AVERAGE(M35:N35)</f>
        <v>98.333333333333343</v>
      </c>
    </row>
    <row r="36" spans="2:23">
      <c r="B36" s="3">
        <v>2019</v>
      </c>
      <c r="C36" s="2104">
        <f>C25/C24*100</f>
        <v>101.66666666666666</v>
      </c>
      <c r="D36" s="2104">
        <f t="shared" ref="D36:N36" si="10">D25/D24*100</f>
        <v>100</v>
      </c>
      <c r="E36" s="4439">
        <f t="shared" si="10"/>
        <v>80</v>
      </c>
      <c r="F36" s="4439">
        <f t="shared" si="10"/>
        <v>81.578947368421055</v>
      </c>
      <c r="G36" s="4439">
        <f t="shared" si="10"/>
        <v>79.66101694915254</v>
      </c>
      <c r="H36" s="4439">
        <f t="shared" si="10"/>
        <v>98.305084745762713</v>
      </c>
      <c r="I36" s="2104">
        <f t="shared" si="10"/>
        <v>103.2258064516129</v>
      </c>
      <c r="J36" s="2104">
        <f t="shared" si="10"/>
        <v>100</v>
      </c>
      <c r="K36" s="4439">
        <f t="shared" si="10"/>
        <v>77.58620689655173</v>
      </c>
      <c r="L36" s="4439">
        <f t="shared" si="10"/>
        <v>78.688524590163937</v>
      </c>
      <c r="M36" s="2104">
        <f t="shared" si="10"/>
        <v>103.38983050847457</v>
      </c>
      <c r="N36" s="2104">
        <f t="shared" si="10"/>
        <v>101.85185185185186</v>
      </c>
      <c r="Q36" s="248">
        <f t="shared" ref="Q36:Q37" si="11">AVERAGE(C36:D36)</f>
        <v>100.83333333333333</v>
      </c>
      <c r="R36" s="248">
        <f t="shared" ref="R36:R37" si="12">AVERAGE(E36:H36,K36:L36)</f>
        <v>82.636630091675329</v>
      </c>
      <c r="S36" s="248">
        <f t="shared" ref="S36:S37" si="13">AVERAGE(I36:J36)</f>
        <v>101.61290322580645</v>
      </c>
      <c r="T36" s="248">
        <f t="shared" ref="T36:T37" si="14">AVERAGE(M36:N36)</f>
        <v>102.62084118016321</v>
      </c>
    </row>
    <row r="37" spans="2:23">
      <c r="B37" s="3">
        <v>2020</v>
      </c>
      <c r="C37" s="2104">
        <f t="shared" ref="C37:N37" si="15">C29/C28*100</f>
        <v>100</v>
      </c>
      <c r="D37" s="2104">
        <f t="shared" si="15"/>
        <v>110.5263157894737</v>
      </c>
      <c r="E37" s="4439">
        <f t="shared" si="15"/>
        <v>78.84615384615384</v>
      </c>
      <c r="F37" s="4439">
        <f t="shared" si="15"/>
        <v>78.571428571428569</v>
      </c>
      <c r="G37" s="4439">
        <f t="shared" si="15"/>
        <v>78.333333333333329</v>
      </c>
      <c r="H37" s="4439">
        <f t="shared" si="15"/>
        <v>103.38983050847457</v>
      </c>
      <c r="I37" s="2104">
        <f t="shared" si="15"/>
        <v>104.91803278688525</v>
      </c>
      <c r="J37" s="2104">
        <f t="shared" si="15"/>
        <v>100</v>
      </c>
      <c r="K37" s="4439">
        <f t="shared" si="15"/>
        <v>80</v>
      </c>
      <c r="L37" s="4439">
        <f t="shared" si="15"/>
        <v>78.333333333333329</v>
      </c>
      <c r="M37" s="2104">
        <f t="shared" si="15"/>
        <v>103.38983050847457</v>
      </c>
      <c r="N37" s="2104">
        <f t="shared" si="15"/>
        <v>103.57142857142858</v>
      </c>
      <c r="Q37" s="248">
        <f t="shared" si="11"/>
        <v>105.26315789473685</v>
      </c>
      <c r="R37" s="248">
        <f t="shared" si="12"/>
        <v>82.912346598787266</v>
      </c>
      <c r="S37" s="248">
        <f t="shared" si="13"/>
        <v>102.45901639344262</v>
      </c>
      <c r="T37" s="248">
        <f t="shared" si="14"/>
        <v>103.48062953995158</v>
      </c>
    </row>
    <row r="38" spans="2:23">
      <c r="B38" s="3">
        <v>2021</v>
      </c>
      <c r="C38" s="2104">
        <f>C33/C32*100</f>
        <v>105</v>
      </c>
      <c r="D38" s="2104">
        <f t="shared" ref="D38:K38" si="16">D33/D32*100</f>
        <v>105.76923076923077</v>
      </c>
      <c r="E38" s="248">
        <f t="shared" si="16"/>
        <v>91.428571428571431</v>
      </c>
      <c r="F38" s="248">
        <f t="shared" si="16"/>
        <v>86.274509803921575</v>
      </c>
      <c r="G38" s="248">
        <f t="shared" si="16"/>
        <v>83.333333333333343</v>
      </c>
      <c r="H38" s="248">
        <f t="shared" si="16"/>
        <v>110.16949152542372</v>
      </c>
      <c r="I38" s="2104">
        <f t="shared" si="16"/>
        <v>108.06451612903226</v>
      </c>
      <c r="J38" s="2104">
        <f t="shared" si="16"/>
        <v>106.66666666666667</v>
      </c>
      <c r="K38" s="248">
        <f t="shared" si="16"/>
        <v>82.758620689655174</v>
      </c>
      <c r="L38" s="248">
        <f>L37*(1+L40)</f>
        <v>82.903854482910148</v>
      </c>
      <c r="M38" s="248">
        <f t="shared" ref="M38:N38" si="17">M37*(1+M40)</f>
        <v>109.51821429156196</v>
      </c>
      <c r="N38" s="248">
        <f t="shared" si="17"/>
        <v>110.88800900126547</v>
      </c>
      <c r="Q38" s="248">
        <f t="shared" ref="Q38" si="18">AVERAGE(C38:D38)</f>
        <v>105.38461538461539</v>
      </c>
      <c r="R38" s="248">
        <f t="shared" ref="R38" si="19">AVERAGE(E38:H38,K38:L38)</f>
        <v>89.478063543969242</v>
      </c>
      <c r="S38" s="248">
        <f t="shared" ref="S38" si="20">AVERAGE(I38:J38)</f>
        <v>107.36559139784947</v>
      </c>
      <c r="T38" s="248">
        <f>T37*T39</f>
        <v>107.9037596926735</v>
      </c>
    </row>
    <row r="39" spans="2:23">
      <c r="Q39" s="278">
        <f>Q38/Q37</f>
        <v>1.0011538461538461</v>
      </c>
      <c r="R39" s="278">
        <f t="shared" ref="R39:S39" si="21">R38/R37</f>
        <v>1.0791886518054237</v>
      </c>
      <c r="S39" s="278">
        <f t="shared" si="21"/>
        <v>1.0478881720430109</v>
      </c>
      <c r="T39" s="278">
        <f>AVERAGE(Q39:S39)</f>
        <v>1.0427435566674268</v>
      </c>
    </row>
    <row r="40" spans="2:23">
      <c r="B40" s="3" t="s">
        <v>6809</v>
      </c>
      <c r="C40" s="278">
        <f>C38/C37-1</f>
        <v>5.0000000000000044E-2</v>
      </c>
      <c r="D40" s="278">
        <f t="shared" ref="D40:K40" si="22">D38/D37-1</f>
        <v>-4.3040293040293109E-2</v>
      </c>
      <c r="E40" s="278">
        <f t="shared" si="22"/>
        <v>0.15958188153310116</v>
      </c>
      <c r="F40" s="278">
        <f t="shared" si="22"/>
        <v>9.8039215686274606E-2</v>
      </c>
      <c r="G40" s="278">
        <f t="shared" si="22"/>
        <v>6.3829787234042756E-2</v>
      </c>
      <c r="H40" s="278">
        <f t="shared" si="22"/>
        <v>6.5573770491803351E-2</v>
      </c>
      <c r="I40" s="278">
        <f t="shared" si="22"/>
        <v>2.9989919354838745E-2</v>
      </c>
      <c r="J40" s="278">
        <f t="shared" si="22"/>
        <v>6.6666666666666652E-2</v>
      </c>
      <c r="K40" s="278">
        <f t="shared" si="22"/>
        <v>3.4482758620689724E-2</v>
      </c>
      <c r="L40" s="278">
        <f>AVERAGE(C40:K40)</f>
        <v>5.8347078505235989E-2</v>
      </c>
      <c r="M40" s="278">
        <f t="shared" ref="M40:N40" si="23">AVERAGE(D40:L40)</f>
        <v>5.9274531672484435E-2</v>
      </c>
      <c r="N40" s="278">
        <f t="shared" si="23"/>
        <v>7.0642845529459708E-2</v>
      </c>
    </row>
    <row r="43" spans="2:23">
      <c r="B43" s="3" t="s">
        <v>6811</v>
      </c>
    </row>
    <row r="44" spans="2:23">
      <c r="C44" s="3" t="s">
        <v>2889</v>
      </c>
      <c r="D44" s="3">
        <v>2018</v>
      </c>
      <c r="E44" s="3">
        <v>2019</v>
      </c>
      <c r="F44" s="3">
        <v>2020</v>
      </c>
      <c r="G44" s="3" t="s">
        <v>5101</v>
      </c>
      <c r="H44" s="3">
        <v>2021</v>
      </c>
      <c r="I44" s="3">
        <v>2022</v>
      </c>
      <c r="J44" s="3">
        <v>2023</v>
      </c>
      <c r="K44" s="3">
        <v>2024</v>
      </c>
      <c r="L44" s="3">
        <v>2025</v>
      </c>
      <c r="M44" s="3">
        <v>2026</v>
      </c>
      <c r="N44" s="3">
        <v>2027</v>
      </c>
      <c r="O44" s="3">
        <v>2028</v>
      </c>
      <c r="P44" s="3">
        <v>2029</v>
      </c>
      <c r="Q44" s="3">
        <v>2030</v>
      </c>
    </row>
    <row r="45" spans="2:23">
      <c r="B45" s="3" t="s">
        <v>6812</v>
      </c>
      <c r="C45" s="3" t="s">
        <v>6813</v>
      </c>
      <c r="D45" s="3">
        <v>68.3</v>
      </c>
      <c r="E45" s="3">
        <v>61.4</v>
      </c>
      <c r="F45" s="3">
        <v>41.3</v>
      </c>
      <c r="G45" s="248">
        <f>AVERAGE(59.3,67.1,71.7)</f>
        <v>66.033333333333331</v>
      </c>
      <c r="H45" s="3">
        <v>65.7</v>
      </c>
      <c r="I45" s="3">
        <v>60</v>
      </c>
      <c r="J45" s="3">
        <v>61</v>
      </c>
      <c r="K45" s="3">
        <v>61.9</v>
      </c>
      <c r="L45" s="3">
        <v>62.9</v>
      </c>
      <c r="M45" s="248">
        <v>63.7</v>
      </c>
      <c r="N45" s="248"/>
      <c r="O45" s="248"/>
      <c r="P45" s="248"/>
    </row>
    <row r="48" spans="2:23">
      <c r="I48" s="3">
        <v>2018</v>
      </c>
      <c r="J48" s="3">
        <v>2019</v>
      </c>
      <c r="K48" s="3">
        <v>2020</v>
      </c>
      <c r="L48" s="3" t="s">
        <v>5101</v>
      </c>
      <c r="M48" s="3" t="s">
        <v>6814</v>
      </c>
      <c r="N48" s="3">
        <v>2021</v>
      </c>
      <c r="O48" s="3">
        <v>2022</v>
      </c>
      <c r="P48" s="3">
        <v>2023</v>
      </c>
      <c r="Q48" s="3">
        <v>2024</v>
      </c>
      <c r="R48" s="3">
        <v>2025</v>
      </c>
      <c r="S48" s="3">
        <v>2026</v>
      </c>
      <c r="T48" s="3">
        <v>2027</v>
      </c>
      <c r="U48" s="3">
        <v>2028</v>
      </c>
      <c r="V48" s="3">
        <v>2029</v>
      </c>
      <c r="W48" s="3">
        <v>2030</v>
      </c>
    </row>
    <row r="49" spans="3:23">
      <c r="H49" s="3" t="s">
        <v>6802</v>
      </c>
      <c r="I49" s="248">
        <f>Assumption!J289</f>
        <v>92.661870503597115</v>
      </c>
      <c r="J49" s="248">
        <f>Assumption!K289</f>
        <v>92.148148148148152</v>
      </c>
      <c r="K49" s="248">
        <f>Assumption!L289</f>
        <v>93.45661450924608</v>
      </c>
      <c r="L49" s="248">
        <f>Assumption!M289</f>
        <v>98.189134808853112</v>
      </c>
      <c r="M49" s="248">
        <f>Assumption!N289</f>
        <v>101.10335925857919</v>
      </c>
      <c r="N49" s="248">
        <f>Assumption!O289</f>
        <v>98.917690921284631</v>
      </c>
      <c r="O49" s="248">
        <f t="shared" ref="O49:V49" si="24">N49*(1+RATE(9,0,-$N$49,$W$49))</f>
        <v>100.67316468431073</v>
      </c>
      <c r="P49" s="248">
        <f t="shared" si="24"/>
        <v>102.45979251193309</v>
      </c>
      <c r="Q49" s="248">
        <f t="shared" si="24"/>
        <v>104.27812728951022</v>
      </c>
      <c r="R49" s="248">
        <f t="shared" si="24"/>
        <v>106.12873171435373</v>
      </c>
      <c r="S49" s="248">
        <f t="shared" si="24"/>
        <v>108.01217846985918</v>
      </c>
      <c r="T49" s="248">
        <f t="shared" si="24"/>
        <v>109.92905040272727</v>
      </c>
      <c r="U49" s="248">
        <f t="shared" si="24"/>
        <v>111.87994070333009</v>
      </c>
      <c r="V49" s="248">
        <f t="shared" si="24"/>
        <v>113.86545308927836</v>
      </c>
      <c r="W49" s="248">
        <f>K49*1.24</f>
        <v>115.88620199146514</v>
      </c>
    </row>
    <row r="64" spans="3:23">
      <c r="C64" s="3" t="s">
        <v>6839</v>
      </c>
    </row>
    <row r="65" spans="2:14" ht="24">
      <c r="C65" s="4440" t="s">
        <v>6815</v>
      </c>
      <c r="D65" s="4440" t="s">
        <v>6816</v>
      </c>
      <c r="E65" s="4440" t="s">
        <v>6817</v>
      </c>
      <c r="F65" s="4440" t="s">
        <v>6818</v>
      </c>
      <c r="G65" s="4440" t="s">
        <v>6819</v>
      </c>
      <c r="H65" s="4440" t="s">
        <v>6820</v>
      </c>
      <c r="I65" s="4440" t="s">
        <v>6821</v>
      </c>
      <c r="K65" s="3">
        <v>2018</v>
      </c>
      <c r="L65" s="3">
        <v>2019</v>
      </c>
      <c r="M65" s="3">
        <v>2020</v>
      </c>
      <c r="N65" s="3" t="s">
        <v>5101</v>
      </c>
    </row>
    <row r="66" spans="2:14">
      <c r="B66" s="3">
        <v>2018</v>
      </c>
      <c r="C66" s="293" t="s">
        <v>6822</v>
      </c>
      <c r="D66" s="293">
        <v>490.47</v>
      </c>
      <c r="E66" s="293">
        <v>540.53</v>
      </c>
      <c r="F66" s="293">
        <v>562.86</v>
      </c>
      <c r="G66" s="293">
        <v>515.15</v>
      </c>
      <c r="H66" s="293">
        <v>0</v>
      </c>
      <c r="I66" s="293">
        <v>0</v>
      </c>
      <c r="J66" s="3" t="s">
        <v>6837</v>
      </c>
      <c r="K66" s="248">
        <f>AVERAGE(D66:G69)</f>
        <v>610.58562499999994</v>
      </c>
      <c r="L66" s="248">
        <f>AVERAGE(D70:G73)</f>
        <v>616.45562499999994</v>
      </c>
      <c r="M66" s="248">
        <f>AVERAGE(D74:G77)</f>
        <v>467.80687499999993</v>
      </c>
      <c r="N66" s="248">
        <f>AVERAGE(D78:G80)</f>
        <v>585.16833333333318</v>
      </c>
    </row>
    <row r="67" spans="2:14">
      <c r="B67" s="3">
        <v>2018</v>
      </c>
      <c r="C67" s="293" t="s">
        <v>6823</v>
      </c>
      <c r="D67" s="293">
        <v>569.71</v>
      </c>
      <c r="E67" s="293">
        <v>600.03</v>
      </c>
      <c r="F67" s="293">
        <v>630.55999999999995</v>
      </c>
      <c r="G67" s="293">
        <v>576.87</v>
      </c>
      <c r="H67" s="293">
        <v>0</v>
      </c>
      <c r="I67" s="293">
        <v>0</v>
      </c>
      <c r="J67" s="3" t="s">
        <v>3001</v>
      </c>
      <c r="K67" s="248">
        <f>Assumption!J78</f>
        <v>1100.3032653061225</v>
      </c>
      <c r="L67" s="248">
        <f>Assumption!K78</f>
        <v>1165.6546558704458</v>
      </c>
      <c r="M67" s="248">
        <f>Assumption!L78</f>
        <v>1180.0522088353418</v>
      </c>
      <c r="N67" s="248">
        <f>Assumption!M78</f>
        <v>1131.01027027027</v>
      </c>
    </row>
    <row r="68" spans="2:14">
      <c r="B68" s="3">
        <v>2018</v>
      </c>
      <c r="C68" s="293" t="s">
        <v>6824</v>
      </c>
      <c r="D68" s="293">
        <v>618.29</v>
      </c>
      <c r="E68" s="293">
        <v>685.27</v>
      </c>
      <c r="F68" s="293">
        <v>698.11</v>
      </c>
      <c r="G68" s="293">
        <v>631.99</v>
      </c>
      <c r="H68" s="293">
        <v>0</v>
      </c>
      <c r="I68" s="293">
        <v>0</v>
      </c>
      <c r="J68" s="3" t="s">
        <v>6838</v>
      </c>
      <c r="K68" s="2703">
        <f>K66/K67</f>
        <v>0.55492485049576301</v>
      </c>
      <c r="L68" s="2703">
        <f t="shared" ref="L68:N68" si="25">L66/L67</f>
        <v>0.52884927958329586</v>
      </c>
      <c r="M68" s="2703">
        <f t="shared" si="25"/>
        <v>0.39642896432667513</v>
      </c>
      <c r="N68" s="2703">
        <f t="shared" si="25"/>
        <v>0.51738551692682633</v>
      </c>
    </row>
    <row r="69" spans="2:14">
      <c r="B69" s="3">
        <v>2018</v>
      </c>
      <c r="C69" s="293" t="s">
        <v>6825</v>
      </c>
      <c r="D69" s="293">
        <v>644.04999999999995</v>
      </c>
      <c r="E69" s="293">
        <v>647.55999999999995</v>
      </c>
      <c r="F69" s="293">
        <v>718.44</v>
      </c>
      <c r="G69" s="293">
        <v>639.48</v>
      </c>
      <c r="H69" s="293">
        <v>0</v>
      </c>
      <c r="I69" s="293">
        <v>0</v>
      </c>
    </row>
    <row r="70" spans="2:14">
      <c r="B70" s="3">
        <v>2019</v>
      </c>
      <c r="C70" s="293" t="s">
        <v>6826</v>
      </c>
      <c r="D70" s="293">
        <v>561.17999999999995</v>
      </c>
      <c r="E70" s="293">
        <v>578.33000000000004</v>
      </c>
      <c r="F70" s="293">
        <v>616.39</v>
      </c>
      <c r="G70" s="293">
        <v>574.28</v>
      </c>
      <c r="H70" s="293">
        <v>0</v>
      </c>
      <c r="I70" s="293">
        <v>0</v>
      </c>
    </row>
    <row r="71" spans="2:14">
      <c r="B71" s="3">
        <v>2019</v>
      </c>
      <c r="C71" s="293" t="s">
        <v>6827</v>
      </c>
      <c r="D71" s="293">
        <v>608.72</v>
      </c>
      <c r="E71" s="293">
        <v>679.43</v>
      </c>
      <c r="F71" s="293">
        <v>690.2</v>
      </c>
      <c r="G71" s="293">
        <v>639.65</v>
      </c>
      <c r="H71" s="293">
        <v>0</v>
      </c>
      <c r="I71" s="293">
        <v>0</v>
      </c>
    </row>
    <row r="72" spans="2:14">
      <c r="B72" s="3">
        <v>2019</v>
      </c>
      <c r="C72" s="293" t="s">
        <v>6828</v>
      </c>
      <c r="D72" s="293">
        <v>624.28</v>
      </c>
      <c r="E72" s="293">
        <v>558.77</v>
      </c>
      <c r="F72" s="293">
        <v>709.83</v>
      </c>
      <c r="G72" s="293">
        <v>643.08000000000004</v>
      </c>
      <c r="H72" s="293">
        <v>0</v>
      </c>
      <c r="I72" s="293">
        <v>0</v>
      </c>
    </row>
    <row r="73" spans="2:14">
      <c r="B73" s="3">
        <v>2019</v>
      </c>
      <c r="C73" s="293" t="s">
        <v>6829</v>
      </c>
      <c r="D73" s="293">
        <v>571.25</v>
      </c>
      <c r="E73" s="293">
        <v>613.83000000000004</v>
      </c>
      <c r="F73" s="293">
        <v>612.09</v>
      </c>
      <c r="G73" s="293">
        <v>581.98</v>
      </c>
      <c r="H73" s="293">
        <v>0</v>
      </c>
      <c r="I73" s="293">
        <v>0</v>
      </c>
    </row>
    <row r="74" spans="2:14">
      <c r="B74" s="3">
        <v>2020</v>
      </c>
      <c r="C74" s="293" t="s">
        <v>6830</v>
      </c>
      <c r="D74" s="293">
        <v>591.30999999999995</v>
      </c>
      <c r="E74" s="293">
        <v>607.75</v>
      </c>
      <c r="F74" s="293">
        <v>665</v>
      </c>
      <c r="G74" s="293">
        <v>582.25</v>
      </c>
      <c r="H74" s="293">
        <v>0</v>
      </c>
      <c r="I74" s="293">
        <v>0</v>
      </c>
    </row>
    <row r="75" spans="2:14">
      <c r="B75" s="3">
        <v>2020</v>
      </c>
      <c r="C75" s="293" t="s">
        <v>6831</v>
      </c>
      <c r="D75" s="293">
        <v>386.1</v>
      </c>
      <c r="E75" s="293">
        <v>386.59</v>
      </c>
      <c r="F75" s="293">
        <v>414.17</v>
      </c>
      <c r="G75" s="293">
        <v>328.53</v>
      </c>
      <c r="H75" s="293">
        <v>0</v>
      </c>
      <c r="I75" s="293">
        <v>0</v>
      </c>
    </row>
    <row r="76" spans="2:14">
      <c r="B76" s="3">
        <v>2020</v>
      </c>
      <c r="C76" s="293" t="s">
        <v>6832</v>
      </c>
      <c r="D76" s="293">
        <v>435.38</v>
      </c>
      <c r="E76" s="293">
        <v>460.4</v>
      </c>
      <c r="F76" s="293">
        <v>494.13</v>
      </c>
      <c r="G76" s="293">
        <v>406.19</v>
      </c>
      <c r="H76" s="293">
        <v>0</v>
      </c>
      <c r="I76" s="293">
        <v>0</v>
      </c>
    </row>
    <row r="77" spans="2:14">
      <c r="B77" s="3">
        <v>2020</v>
      </c>
      <c r="C77" s="293" t="s">
        <v>6833</v>
      </c>
      <c r="D77" s="293">
        <v>430.53</v>
      </c>
      <c r="E77" s="293">
        <v>452.08</v>
      </c>
      <c r="F77" s="293">
        <v>461.07</v>
      </c>
      <c r="G77" s="293">
        <v>383.43</v>
      </c>
      <c r="H77" s="293">
        <v>0</v>
      </c>
      <c r="I77" s="293">
        <v>0</v>
      </c>
    </row>
    <row r="78" spans="2:14">
      <c r="B78" s="3">
        <v>2021</v>
      </c>
      <c r="C78" s="293" t="s">
        <v>6834</v>
      </c>
      <c r="D78" s="293">
        <v>496.91</v>
      </c>
      <c r="E78" s="293">
        <v>512.92999999999995</v>
      </c>
      <c r="F78" s="293">
        <v>535.07000000000005</v>
      </c>
      <c r="G78" s="293">
        <v>507.77</v>
      </c>
      <c r="H78" s="293">
        <v>0</v>
      </c>
      <c r="I78" s="293">
        <v>0</v>
      </c>
    </row>
    <row r="79" spans="2:14">
      <c r="B79" s="3">
        <v>2021</v>
      </c>
      <c r="C79" s="293" t="s">
        <v>6835</v>
      </c>
      <c r="D79" s="293">
        <v>587.89</v>
      </c>
      <c r="E79" s="293">
        <v>621.92999999999995</v>
      </c>
      <c r="F79" s="293">
        <v>628.29</v>
      </c>
      <c r="G79" s="293">
        <v>568.54999999999995</v>
      </c>
      <c r="H79" s="293">
        <v>0</v>
      </c>
      <c r="I79" s="293">
        <v>0</v>
      </c>
    </row>
    <row r="80" spans="2:14">
      <c r="B80" s="3">
        <v>2021</v>
      </c>
      <c r="C80" s="293" t="s">
        <v>6836</v>
      </c>
      <c r="D80" s="293">
        <v>620.80999999999995</v>
      </c>
      <c r="E80" s="293">
        <v>655.41</v>
      </c>
      <c r="F80" s="293">
        <v>666.23</v>
      </c>
      <c r="G80" s="293">
        <v>620.23</v>
      </c>
      <c r="H80" s="293">
        <v>0</v>
      </c>
      <c r="I80" s="293">
        <v>0</v>
      </c>
    </row>
    <row r="83" spans="4:15">
      <c r="D83" s="248"/>
      <c r="E83" s="248"/>
      <c r="F83" s="248"/>
      <c r="G83" s="248"/>
    </row>
    <row r="84" spans="4:15">
      <c r="D84" s="248"/>
      <c r="E84" s="248"/>
      <c r="F84" s="248"/>
      <c r="G84" s="248"/>
    </row>
    <row r="85" spans="4:15">
      <c r="D85" s="248"/>
      <c r="E85" s="248"/>
      <c r="F85" s="248"/>
      <c r="G85" s="248"/>
    </row>
    <row r="86" spans="4:15">
      <c r="D86" s="248"/>
      <c r="E86" s="248"/>
      <c r="F86" s="248"/>
      <c r="G86" s="248"/>
      <c r="J86" s="2324"/>
      <c r="K86" s="2324"/>
      <c r="L86" s="4463" t="s">
        <v>69</v>
      </c>
      <c r="M86" s="4463" t="s">
        <v>27</v>
      </c>
      <c r="N86" s="4463" t="s">
        <v>60</v>
      </c>
      <c r="O86" s="4463" t="s">
        <v>5103</v>
      </c>
    </row>
    <row r="87" spans="4:15">
      <c r="J87" s="2324" t="s">
        <v>6874</v>
      </c>
      <c r="K87" s="2324" t="s">
        <v>3528</v>
      </c>
      <c r="L87" s="4464">
        <v>26488024945</v>
      </c>
      <c r="M87" s="4464">
        <v>25629181479</v>
      </c>
      <c r="N87" s="4464">
        <v>27308311017</v>
      </c>
      <c r="O87" s="4464">
        <v>18208680448</v>
      </c>
    </row>
    <row r="88" spans="4:15">
      <c r="J88" s="2324" t="s">
        <v>6901</v>
      </c>
      <c r="K88" s="2324" t="s">
        <v>3545</v>
      </c>
      <c r="L88" s="4465">
        <v>650019</v>
      </c>
      <c r="M88" s="4465">
        <v>637200</v>
      </c>
      <c r="N88" s="4465">
        <v>645059</v>
      </c>
      <c r="O88" s="4465">
        <v>453755</v>
      </c>
    </row>
    <row r="89" spans="4:15">
      <c r="J89" s="2324" t="s">
        <v>6876</v>
      </c>
      <c r="K89" s="2324" t="s">
        <v>2702</v>
      </c>
      <c r="L89" s="4466">
        <v>27</v>
      </c>
      <c r="M89" s="4466">
        <v>26.8</v>
      </c>
      <c r="N89" s="4466">
        <v>26.9</v>
      </c>
      <c r="O89" s="4466">
        <v>26.6</v>
      </c>
    </row>
    <row r="90" spans="4:15">
      <c r="J90" s="2324" t="s">
        <v>6877</v>
      </c>
      <c r="K90" s="2324" t="s">
        <v>3528</v>
      </c>
      <c r="L90" s="4464">
        <v>22499432367</v>
      </c>
      <c r="M90" s="4464">
        <v>21412481640</v>
      </c>
      <c r="N90" s="4464">
        <v>23088436000</v>
      </c>
      <c r="O90" s="4464">
        <v>15264617146</v>
      </c>
    </row>
    <row r="91" spans="4:15">
      <c r="J91" s="2324" t="s">
        <v>6878</v>
      </c>
      <c r="K91" s="2324" t="s">
        <v>5611</v>
      </c>
      <c r="L91" s="4465">
        <v>34613.499554628404</v>
      </c>
      <c r="M91" s="4465">
        <v>33604.020150659133</v>
      </c>
      <c r="N91" s="4465">
        <v>35792.750740629926</v>
      </c>
      <c r="O91" s="4465">
        <v>33640.658826899977</v>
      </c>
    </row>
    <row r="92" spans="4:15">
      <c r="J92" s="2324" t="s">
        <v>6879</v>
      </c>
      <c r="K92" s="2324" t="s">
        <v>5611</v>
      </c>
      <c r="L92" s="4467">
        <v>40749.616465057174</v>
      </c>
      <c r="M92" s="4467">
        <v>40221.565409604518</v>
      </c>
      <c r="N92" s="4467">
        <v>42334.594226264577</v>
      </c>
      <c r="O92" s="4467">
        <v>40128.88110985003</v>
      </c>
    </row>
    <row r="94" spans="4:15">
      <c r="J94" s="3" t="s">
        <v>6881</v>
      </c>
      <c r="L94" s="3">
        <v>61898368</v>
      </c>
      <c r="M94" s="3">
        <v>59451620</v>
      </c>
      <c r="N94" s="3">
        <v>66290363</v>
      </c>
      <c r="O94" s="3">
        <v>50357463</v>
      </c>
    </row>
    <row r="95" spans="4:15">
      <c r="L95" s="4468">
        <f>L94+L87</f>
        <v>26549923313</v>
      </c>
      <c r="M95" s="4468">
        <f t="shared" ref="M95:O95" si="26">M94+M87</f>
        <v>25688633099</v>
      </c>
      <c r="N95" s="4468">
        <f t="shared" si="26"/>
        <v>27374601380</v>
      </c>
      <c r="O95" s="4468">
        <f t="shared" si="26"/>
        <v>18259037911</v>
      </c>
    </row>
    <row r="98" spans="10:15" ht="16.5">
      <c r="J98" s="4469" t="s">
        <v>6882</v>
      </c>
      <c r="K98" s="2214"/>
      <c r="L98" s="2214"/>
      <c r="M98" s="2214"/>
      <c r="N98" s="2214"/>
      <c r="O98" s="4470" t="s">
        <v>6883</v>
      </c>
    </row>
    <row r="99" spans="10:15" ht="13.5">
      <c r="J99" s="4471"/>
      <c r="K99" s="4471"/>
      <c r="L99" s="4472" t="s">
        <v>69</v>
      </c>
      <c r="M99" s="4472" t="s">
        <v>27</v>
      </c>
      <c r="N99" s="4472" t="s">
        <v>60</v>
      </c>
      <c r="O99" s="4472" t="s">
        <v>5103</v>
      </c>
    </row>
    <row r="100" spans="10:15" ht="13.5">
      <c r="J100" s="4471" t="s">
        <v>6884</v>
      </c>
      <c r="K100" s="4471" t="s">
        <v>6885</v>
      </c>
      <c r="L100" s="4473">
        <v>282737622</v>
      </c>
      <c r="M100" s="4473">
        <v>308064084</v>
      </c>
      <c r="N100" s="4473">
        <v>232922753</v>
      </c>
      <c r="O100" s="4473">
        <v>153005244</v>
      </c>
    </row>
    <row r="101" spans="10:15" ht="13.5">
      <c r="J101" s="4471"/>
      <c r="K101" s="4471" t="s">
        <v>6886</v>
      </c>
      <c r="L101" s="4473">
        <v>496373212</v>
      </c>
      <c r="M101" s="4473">
        <v>530734714</v>
      </c>
      <c r="N101" s="4473">
        <v>545594993</v>
      </c>
      <c r="O101" s="4473">
        <v>422366943</v>
      </c>
    </row>
    <row r="102" spans="10:15" ht="13.5">
      <c r="J102" s="4471"/>
      <c r="K102" s="4471" t="s">
        <v>6887</v>
      </c>
      <c r="L102" s="4473">
        <v>1411752361</v>
      </c>
      <c r="M102" s="4473">
        <v>1500428414</v>
      </c>
      <c r="N102" s="4473">
        <v>1321697931</v>
      </c>
      <c r="O102" s="4473">
        <v>1357194902</v>
      </c>
    </row>
    <row r="103" spans="10:15" ht="13.5">
      <c r="J103" s="4471"/>
      <c r="K103" s="4471" t="s">
        <v>6877</v>
      </c>
      <c r="L103" s="4473">
        <v>6813694867</v>
      </c>
      <c r="M103" s="4473">
        <v>7148471774</v>
      </c>
      <c r="N103" s="4473">
        <v>7346303020</v>
      </c>
      <c r="O103" s="4473">
        <v>5156194304</v>
      </c>
    </row>
    <row r="104" spans="10:15" ht="13.5">
      <c r="J104" s="4471" t="s">
        <v>6888</v>
      </c>
      <c r="K104" s="4471" t="s">
        <v>6885</v>
      </c>
      <c r="L104" s="4473">
        <v>753830654</v>
      </c>
      <c r="M104" s="4473">
        <v>620439924</v>
      </c>
      <c r="N104" s="4473">
        <v>568081611</v>
      </c>
      <c r="O104" s="4473">
        <v>319210756</v>
      </c>
    </row>
    <row r="105" spans="10:15" ht="13.5">
      <c r="J105" s="4471"/>
      <c r="K105" s="4471" t="s">
        <v>6889</v>
      </c>
      <c r="L105" s="4473">
        <v>894567799</v>
      </c>
      <c r="M105" s="4473">
        <v>758074637</v>
      </c>
      <c r="N105" s="4473">
        <v>880777967</v>
      </c>
      <c r="O105" s="4473">
        <v>613164657</v>
      </c>
    </row>
    <row r="106" spans="10:15" ht="13.5">
      <c r="J106" s="4471"/>
      <c r="K106" s="4471" t="s">
        <v>6890</v>
      </c>
      <c r="L106" s="4473">
        <v>149330930</v>
      </c>
      <c r="M106" s="4473">
        <v>498958066</v>
      </c>
      <c r="N106" s="4473">
        <v>670799762</v>
      </c>
      <c r="O106" s="4473">
        <v>79120800</v>
      </c>
    </row>
    <row r="107" spans="10:15" ht="13.5">
      <c r="J107" s="4471"/>
      <c r="K107" s="4471" t="s">
        <v>6877</v>
      </c>
      <c r="L107" s="4473">
        <v>15685737500</v>
      </c>
      <c r="M107" s="4473">
        <v>14264009866</v>
      </c>
      <c r="N107" s="4473">
        <v>15742132980</v>
      </c>
      <c r="O107" s="4473">
        <v>10108422842</v>
      </c>
    </row>
    <row r="108" spans="10:15" ht="13.5">
      <c r="J108" s="4471" t="s">
        <v>6880</v>
      </c>
      <c r="K108" s="4471" t="s">
        <v>6877</v>
      </c>
      <c r="L108" s="4473">
        <v>61898368</v>
      </c>
      <c r="M108" s="4473">
        <v>59451620</v>
      </c>
      <c r="N108" s="4473">
        <v>66290363</v>
      </c>
      <c r="O108" s="4473">
        <v>50357463</v>
      </c>
    </row>
    <row r="109" spans="10:15" ht="13.5">
      <c r="J109" s="4474" t="s">
        <v>6891</v>
      </c>
      <c r="K109" s="4474" t="s">
        <v>6885</v>
      </c>
      <c r="L109" s="4475">
        <v>1036568276</v>
      </c>
      <c r="M109" s="4475">
        <v>928504008</v>
      </c>
      <c r="N109" s="4475">
        <v>801004364</v>
      </c>
      <c r="O109" s="4475">
        <v>472216000</v>
      </c>
    </row>
    <row r="110" spans="10:15" ht="13.5">
      <c r="J110" s="4474"/>
      <c r="K110" s="4474" t="s">
        <v>6892</v>
      </c>
      <c r="L110" s="4475">
        <v>496373212</v>
      </c>
      <c r="M110" s="4475">
        <v>530734714</v>
      </c>
      <c r="N110" s="4475">
        <v>545594993</v>
      </c>
      <c r="O110" s="4475">
        <v>422366943</v>
      </c>
    </row>
    <row r="111" spans="10:15" ht="13.5">
      <c r="J111" s="4474"/>
      <c r="K111" s="4474" t="s">
        <v>6887</v>
      </c>
      <c r="L111" s="4475">
        <v>1411752361</v>
      </c>
      <c r="M111" s="4475">
        <v>1500428414</v>
      </c>
      <c r="N111" s="4475">
        <v>1321697931</v>
      </c>
      <c r="O111" s="4475">
        <v>1357194902</v>
      </c>
    </row>
    <row r="112" spans="10:15" ht="13.5">
      <c r="J112" s="4474"/>
      <c r="K112" s="4474" t="s">
        <v>6877</v>
      </c>
      <c r="L112" s="4475">
        <v>22561330735</v>
      </c>
      <c r="M112" s="4475">
        <v>21471933260</v>
      </c>
      <c r="N112" s="4475">
        <v>23154726363</v>
      </c>
      <c r="O112" s="4475">
        <v>15314974609</v>
      </c>
    </row>
    <row r="113" spans="10:15" ht="13.5">
      <c r="J113" s="4474"/>
      <c r="K113" s="4474" t="s">
        <v>6889</v>
      </c>
      <c r="L113" s="4475">
        <v>894567799</v>
      </c>
      <c r="M113" s="4475">
        <v>758074637</v>
      </c>
      <c r="N113" s="4475">
        <v>880777967</v>
      </c>
      <c r="O113" s="4475">
        <v>613164657</v>
      </c>
    </row>
    <row r="114" spans="10:15" ht="13.5">
      <c r="J114" s="4474"/>
      <c r="K114" s="4474" t="s">
        <v>6890</v>
      </c>
      <c r="L114" s="4475">
        <v>149330930</v>
      </c>
      <c r="M114" s="4475">
        <v>498958066</v>
      </c>
      <c r="N114" s="4475">
        <v>670799762</v>
      </c>
      <c r="O114" s="4475">
        <v>79120800</v>
      </c>
    </row>
    <row r="115" spans="10:15" ht="13.5">
      <c r="J115" s="4474"/>
      <c r="K115" s="4474" t="s">
        <v>400</v>
      </c>
      <c r="L115" s="4475">
        <v>26549923313</v>
      </c>
      <c r="M115" s="4475">
        <v>25688633099</v>
      </c>
      <c r="N115" s="4475">
        <v>27374601380</v>
      </c>
      <c r="O115" s="4475">
        <v>18259037911</v>
      </c>
    </row>
    <row r="116" spans="10:15" ht="13.5">
      <c r="J116" s="4471" t="s">
        <v>1876</v>
      </c>
      <c r="K116" s="4471" t="s">
        <v>6877</v>
      </c>
      <c r="L116" s="4473">
        <v>131841598</v>
      </c>
      <c r="M116" s="4473">
        <v>146976598</v>
      </c>
      <c r="N116" s="4473">
        <v>139241285</v>
      </c>
      <c r="O116" s="4473">
        <v>90220840</v>
      </c>
    </row>
    <row r="117" spans="10:15" ht="13.5">
      <c r="J117" s="4471"/>
      <c r="K117" s="4471" t="s">
        <v>6893</v>
      </c>
      <c r="L117" s="4473">
        <v>495267045</v>
      </c>
      <c r="M117" s="4473">
        <v>489376736</v>
      </c>
      <c r="N117" s="4473">
        <v>479399591</v>
      </c>
      <c r="O117" s="4473">
        <v>332505202</v>
      </c>
    </row>
    <row r="118" spans="10:15" ht="13.5">
      <c r="J118" s="4471" t="s">
        <v>6894</v>
      </c>
      <c r="K118" s="4471" t="s">
        <v>6895</v>
      </c>
      <c r="L118" s="4473">
        <v>392611522</v>
      </c>
      <c r="M118" s="4473">
        <v>236697459</v>
      </c>
      <c r="N118" s="4473">
        <v>123354101</v>
      </c>
      <c r="O118" s="4473">
        <v>330546801</v>
      </c>
    </row>
    <row r="119" spans="10:15" ht="13.5">
      <c r="J119" s="4471"/>
      <c r="K119" s="4471" t="s">
        <v>6896</v>
      </c>
      <c r="L119" s="4473">
        <v>1811023000</v>
      </c>
      <c r="M119" s="4473">
        <v>1769251142</v>
      </c>
      <c r="N119" s="4473">
        <v>1983414588</v>
      </c>
      <c r="O119" s="4473">
        <v>1492038352</v>
      </c>
    </row>
    <row r="120" spans="10:15" ht="13.5">
      <c r="J120" s="4474"/>
      <c r="K120" s="4474"/>
      <c r="L120" s="4475">
        <v>2830743165</v>
      </c>
      <c r="M120" s="4475">
        <v>2642301935</v>
      </c>
      <c r="N120" s="4475">
        <v>2725409565</v>
      </c>
      <c r="O120" s="4475">
        <v>2245311195</v>
      </c>
    </row>
    <row r="121" spans="10:15" ht="16.5">
      <c r="J121" s="2214"/>
      <c r="K121" s="2214"/>
      <c r="L121" s="4476"/>
      <c r="M121" s="4476"/>
      <c r="N121" s="4476"/>
      <c r="O121" s="4476"/>
    </row>
    <row r="122" spans="10:15" ht="16.5">
      <c r="J122" s="2214" t="s">
        <v>258</v>
      </c>
      <c r="K122" s="4471" t="s">
        <v>6897</v>
      </c>
      <c r="L122" s="4477">
        <v>26549923313</v>
      </c>
      <c r="M122" s="4477">
        <v>25688633099</v>
      </c>
      <c r="N122" s="4477">
        <v>27374601380</v>
      </c>
      <c r="O122" s="4477">
        <v>18259037911</v>
      </c>
    </row>
    <row r="123" spans="10:15" ht="16.5">
      <c r="J123" s="2214"/>
      <c r="K123" s="4474" t="s">
        <v>6875</v>
      </c>
      <c r="L123" s="4478">
        <v>1687299.5210000002</v>
      </c>
      <c r="M123" s="4478">
        <v>1579186.7620000001</v>
      </c>
      <c r="N123" s="4478">
        <v>1687750.8859999999</v>
      </c>
      <c r="O123" s="4478">
        <v>1140081.6529999999</v>
      </c>
    </row>
    <row r="124" spans="10:15" ht="16.5">
      <c r="J124" s="2214"/>
      <c r="K124" s="4479" t="s">
        <v>6898</v>
      </c>
      <c r="L124" s="4478">
        <v>15735.157263166198</v>
      </c>
      <c r="M124" s="4478">
        <v>16267.001292783125</v>
      </c>
      <c r="N124" s="4478">
        <v>16219.574587146744</v>
      </c>
      <c r="O124" s="4478">
        <v>16015.552800936093</v>
      </c>
    </row>
    <row r="125" spans="10:15" ht="16.5">
      <c r="J125" s="2214"/>
      <c r="K125" s="4479" t="s">
        <v>6899</v>
      </c>
      <c r="L125" s="4480">
        <v>27</v>
      </c>
      <c r="M125" s="4480">
        <v>26.8</v>
      </c>
      <c r="N125" s="4480">
        <v>26.9</v>
      </c>
      <c r="O125" s="4480">
        <v>26.6</v>
      </c>
    </row>
    <row r="126" spans="10:15" ht="16.5">
      <c r="J126" s="2214" t="s">
        <v>6894</v>
      </c>
      <c r="K126" s="2214"/>
      <c r="L126" s="4477">
        <v>2830743165</v>
      </c>
      <c r="M126" s="4477">
        <v>2642301935</v>
      </c>
      <c r="N126" s="4477">
        <v>2725409565</v>
      </c>
      <c r="O126" s="4477">
        <v>2245311195</v>
      </c>
    </row>
    <row r="131" spans="10:15" ht="16.5">
      <c r="J131" s="2214"/>
      <c r="K131" s="2214"/>
      <c r="L131" s="4482" t="s">
        <v>69</v>
      </c>
      <c r="M131" s="4482" t="s">
        <v>27</v>
      </c>
      <c r="N131" s="4482" t="s">
        <v>60</v>
      </c>
      <c r="O131" s="4482" t="s">
        <v>5103</v>
      </c>
    </row>
    <row r="132" spans="10:15" ht="16.5">
      <c r="J132" s="2214" t="s">
        <v>6912</v>
      </c>
      <c r="K132" s="2214" t="s">
        <v>6913</v>
      </c>
      <c r="L132" s="4477">
        <v>4315947422</v>
      </c>
      <c r="M132" s="4477">
        <v>5522151250</v>
      </c>
      <c r="N132" s="4477">
        <v>4423802433</v>
      </c>
      <c r="O132" s="4477">
        <v>3698153891</v>
      </c>
    </row>
    <row r="133" spans="10:15" ht="16.5">
      <c r="J133" s="2214"/>
      <c r="K133" s="2214" t="s">
        <v>6910</v>
      </c>
      <c r="L133" s="4477">
        <v>187929077</v>
      </c>
      <c r="M133" s="4477">
        <v>238853013</v>
      </c>
      <c r="N133" s="4477">
        <v>290375923</v>
      </c>
      <c r="O133" s="4477">
        <v>275914864</v>
      </c>
    </row>
    <row r="134" spans="10:15" ht="16.5">
      <c r="J134" s="2214"/>
      <c r="K134" s="2214" t="s">
        <v>6887</v>
      </c>
      <c r="L134" s="4477"/>
      <c r="M134" s="4477"/>
      <c r="N134" s="4477"/>
      <c r="O134" s="4477"/>
    </row>
    <row r="135" spans="10:15" ht="16.5">
      <c r="J135" s="2214" t="s">
        <v>6914</v>
      </c>
      <c r="K135" s="4483" t="s">
        <v>6913</v>
      </c>
      <c r="L135" s="4484">
        <v>9516821394</v>
      </c>
      <c r="M135" s="4484">
        <v>9084993072</v>
      </c>
      <c r="N135" s="4484">
        <v>7905671088</v>
      </c>
      <c r="O135" s="4484">
        <v>6386519289</v>
      </c>
    </row>
    <row r="136" spans="10:15" ht="16.5">
      <c r="J136" s="2214"/>
      <c r="K136" s="2214" t="s">
        <v>6910</v>
      </c>
      <c r="L136" s="4477">
        <v>3301718916</v>
      </c>
      <c r="M136" s="4477">
        <v>3346723706</v>
      </c>
      <c r="N136" s="4477">
        <v>3471658089</v>
      </c>
      <c r="O136" s="4477">
        <v>2727084473</v>
      </c>
    </row>
    <row r="137" spans="10:15" ht="16.5">
      <c r="J137" s="2214"/>
      <c r="K137" s="2214" t="s">
        <v>6915</v>
      </c>
      <c r="L137" s="4477">
        <v>1893322683</v>
      </c>
      <c r="M137" s="4477">
        <v>1647444061</v>
      </c>
      <c r="N137" s="4477">
        <v>1822060315</v>
      </c>
      <c r="O137" s="4477">
        <v>1375478896</v>
      </c>
    </row>
    <row r="138" spans="10:15" ht="16.5">
      <c r="J138" s="2214" t="s">
        <v>1876</v>
      </c>
      <c r="K138" s="2214" t="s">
        <v>6910</v>
      </c>
      <c r="L138" s="4477">
        <v>448164002</v>
      </c>
      <c r="M138" s="4477">
        <v>509296353</v>
      </c>
      <c r="N138" s="4477">
        <v>475628225</v>
      </c>
      <c r="O138" s="4477">
        <v>346652820</v>
      </c>
    </row>
    <row r="139" spans="10:15" ht="16.5">
      <c r="J139" s="2214" t="s">
        <v>6894</v>
      </c>
      <c r="K139" s="2214" t="s">
        <v>6916</v>
      </c>
      <c r="L139" s="4477">
        <v>398190435</v>
      </c>
      <c r="M139" s="4477">
        <v>642759878</v>
      </c>
      <c r="N139" s="4477">
        <v>524049653</v>
      </c>
      <c r="O139" s="4477">
        <v>528627499</v>
      </c>
    </row>
    <row r="140" spans="10:15" ht="16.5">
      <c r="J140" s="2214"/>
      <c r="K140" s="2214" t="s">
        <v>6917</v>
      </c>
      <c r="L140" s="4477">
        <v>1168149747</v>
      </c>
      <c r="M140" s="4477">
        <v>1912860652</v>
      </c>
      <c r="N140" s="4477">
        <v>1853781515</v>
      </c>
      <c r="O140" s="4477">
        <v>2763154139</v>
      </c>
    </row>
    <row r="141" spans="10:15" ht="16.5">
      <c r="J141" s="2214"/>
      <c r="K141" s="2214" t="s">
        <v>6918</v>
      </c>
      <c r="L141" s="4477">
        <v>2619156626</v>
      </c>
      <c r="M141" s="4477">
        <v>2678595483</v>
      </c>
      <c r="N141" s="4477">
        <v>2008104717</v>
      </c>
      <c r="O141" s="4477">
        <v>1670067686</v>
      </c>
    </row>
    <row r="142" spans="10:15" ht="16.5">
      <c r="J142" s="2214"/>
      <c r="K142" s="2214" t="s">
        <v>6919</v>
      </c>
      <c r="L142" s="4477">
        <v>4185496808</v>
      </c>
      <c r="M142" s="4477">
        <v>5234216013</v>
      </c>
      <c r="N142" s="4477">
        <v>4385935885</v>
      </c>
      <c r="O142" s="4477">
        <v>4961849324</v>
      </c>
    </row>
    <row r="144" spans="10:15">
      <c r="K144" s="3" t="s">
        <v>6911</v>
      </c>
      <c r="L144" s="4468">
        <f>L142+L136+L133</f>
        <v>7675144801</v>
      </c>
      <c r="M144" s="4468">
        <f t="shared" ref="M144:O144" si="27">M142+M136+M133</f>
        <v>8819792732</v>
      </c>
      <c r="N144" s="4468">
        <f t="shared" si="27"/>
        <v>8147969897</v>
      </c>
      <c r="O144" s="4468">
        <f t="shared" si="27"/>
        <v>7964848661</v>
      </c>
    </row>
    <row r="145" spans="2:41">
      <c r="K145" s="3" t="s">
        <v>6921</v>
      </c>
      <c r="L145" s="4468">
        <f>L132+L137+L135</f>
        <v>15726091499</v>
      </c>
      <c r="M145" s="4468">
        <f t="shared" ref="M145:O145" si="28">M132+M137+M135</f>
        <v>16254588383</v>
      </c>
      <c r="N145" s="4468">
        <f t="shared" si="28"/>
        <v>14151533836</v>
      </c>
      <c r="O145" s="4468">
        <f t="shared" si="28"/>
        <v>11460152076</v>
      </c>
    </row>
    <row r="146" spans="2:41">
      <c r="L146" s="4468">
        <f>SUM(L144:L145)</f>
        <v>23401236300</v>
      </c>
      <c r="M146" s="4468">
        <f t="shared" ref="M146:O146" si="29">SUM(M144:M145)</f>
        <v>25074381115</v>
      </c>
      <c r="N146" s="4468">
        <f t="shared" si="29"/>
        <v>22299503733</v>
      </c>
      <c r="O146" s="4468">
        <f t="shared" si="29"/>
        <v>19425000737</v>
      </c>
    </row>
    <row r="148" spans="2:41">
      <c r="L148" s="4468">
        <f>L136+L133</f>
        <v>3489647993</v>
      </c>
      <c r="M148" s="4468">
        <f t="shared" ref="M148:O148" si="30">M136+M133</f>
        <v>3585576719</v>
      </c>
      <c r="N148" s="4468">
        <f t="shared" si="30"/>
        <v>3762034012</v>
      </c>
      <c r="O148" s="4468">
        <f t="shared" si="30"/>
        <v>3002999337</v>
      </c>
    </row>
    <row r="156" spans="2:41" ht="16.5">
      <c r="B156" s="5297"/>
      <c r="C156" s="5297"/>
      <c r="D156" s="5297"/>
      <c r="E156" s="5297"/>
      <c r="F156" s="5297"/>
      <c r="G156" s="5297"/>
      <c r="H156" s="5297"/>
      <c r="I156" s="5297"/>
      <c r="J156" s="5298" t="s">
        <v>6928</v>
      </c>
      <c r="K156" s="5298"/>
      <c r="L156" s="5298"/>
      <c r="M156" s="5298"/>
      <c r="N156" s="5298"/>
      <c r="O156" s="5298"/>
      <c r="P156" s="5298"/>
      <c r="Q156" s="5298"/>
      <c r="R156" s="5298"/>
      <c r="S156" s="5297"/>
      <c r="T156" s="5297"/>
      <c r="U156" s="5297"/>
      <c r="V156" s="5290" t="s">
        <v>6929</v>
      </c>
      <c r="W156" s="5290"/>
      <c r="X156" s="5290"/>
      <c r="Y156" s="5290"/>
      <c r="Z156" s="5290"/>
      <c r="AA156" s="5290"/>
      <c r="AB156" s="5290"/>
      <c r="AC156" s="5290"/>
      <c r="AD156" s="5291" t="s">
        <v>6930</v>
      </c>
      <c r="AE156" s="5291"/>
      <c r="AF156" s="5291"/>
      <c r="AG156" s="5291"/>
      <c r="AH156" s="5291"/>
      <c r="AI156" s="5291"/>
      <c r="AJ156" s="5291"/>
      <c r="AK156" s="5291"/>
      <c r="AL156" s="5291"/>
      <c r="AM156" s="5291"/>
      <c r="AN156" s="5291"/>
      <c r="AO156" s="5291"/>
    </row>
    <row r="157" spans="2:41" ht="16.5">
      <c r="B157" s="5292"/>
      <c r="C157" s="5292"/>
      <c r="D157" s="5292"/>
      <c r="E157" s="5292"/>
      <c r="F157" s="5292"/>
      <c r="G157" s="5292"/>
      <c r="H157" s="5292"/>
      <c r="I157" s="5292"/>
      <c r="J157" s="5293" t="s">
        <v>6931</v>
      </c>
      <c r="K157" s="5293"/>
      <c r="L157" s="5293"/>
      <c r="M157" s="5294" t="s">
        <v>6931</v>
      </c>
      <c r="N157" s="5294"/>
      <c r="O157" s="5294"/>
      <c r="P157" s="5294" t="s">
        <v>6931</v>
      </c>
      <c r="Q157" s="5294"/>
      <c r="R157" s="5294"/>
      <c r="S157" s="5294" t="s">
        <v>6932</v>
      </c>
      <c r="T157" s="5294"/>
      <c r="U157" s="5294"/>
      <c r="V157" s="5293" t="s">
        <v>6933</v>
      </c>
      <c r="W157" s="5293"/>
      <c r="X157" s="5294" t="s">
        <v>6934</v>
      </c>
      <c r="Y157" s="5294"/>
      <c r="Z157" s="5294"/>
      <c r="AA157" s="5294" t="s">
        <v>6935</v>
      </c>
      <c r="AB157" s="5294"/>
      <c r="AC157" s="5294"/>
      <c r="AD157" s="5295" t="s">
        <v>6932</v>
      </c>
      <c r="AE157" s="5295"/>
      <c r="AF157" s="5295"/>
      <c r="AG157" s="5296" t="s">
        <v>6936</v>
      </c>
      <c r="AH157" s="5296"/>
      <c r="AI157" s="5296"/>
      <c r="AJ157" s="5296" t="s">
        <v>6937</v>
      </c>
      <c r="AK157" s="5296"/>
      <c r="AL157" s="5296"/>
      <c r="AM157" s="5296" t="s">
        <v>6938</v>
      </c>
      <c r="AN157" s="5296"/>
      <c r="AO157" s="5296"/>
    </row>
    <row r="158" spans="2:41" ht="16.5">
      <c r="B158" s="5303" t="s">
        <v>6939</v>
      </c>
      <c r="C158" s="5303"/>
      <c r="D158" s="5303"/>
      <c r="E158" s="5303"/>
      <c r="F158" s="5304" t="s">
        <v>6940</v>
      </c>
      <c r="G158" s="5304"/>
      <c r="H158" s="5305"/>
      <c r="I158" s="5305"/>
      <c r="J158" s="5299">
        <v>2018</v>
      </c>
      <c r="K158" s="5299"/>
      <c r="L158" s="5299"/>
      <c r="M158" s="5299">
        <v>2019</v>
      </c>
      <c r="N158" s="5299"/>
      <c r="O158" s="5299"/>
      <c r="P158" s="5299">
        <v>2020</v>
      </c>
      <c r="Q158" s="5299"/>
      <c r="R158" s="5299"/>
      <c r="S158" s="5299">
        <v>2020</v>
      </c>
      <c r="T158" s="5299"/>
      <c r="U158" s="5299"/>
      <c r="V158" s="5299">
        <v>2020</v>
      </c>
      <c r="W158" s="5299"/>
      <c r="X158" s="5299">
        <v>2021</v>
      </c>
      <c r="Y158" s="5299"/>
      <c r="Z158" s="5299"/>
      <c r="AA158" s="5302">
        <v>2021</v>
      </c>
      <c r="AB158" s="5302"/>
      <c r="AC158" s="5302"/>
      <c r="AD158" s="5302">
        <v>2021</v>
      </c>
      <c r="AE158" s="5302"/>
      <c r="AF158" s="5302"/>
      <c r="AG158" s="5299">
        <v>2021</v>
      </c>
      <c r="AH158" s="5299"/>
      <c r="AI158" s="5299"/>
      <c r="AJ158" s="5299">
        <v>2021</v>
      </c>
      <c r="AK158" s="5299"/>
      <c r="AL158" s="5299"/>
      <c r="AM158" s="5299">
        <v>2021</v>
      </c>
      <c r="AN158" s="5299"/>
      <c r="AO158" s="5299"/>
    </row>
    <row r="159" spans="2:41" ht="16.5">
      <c r="B159" s="5300" t="s">
        <v>6941</v>
      </c>
      <c r="C159" s="5300"/>
      <c r="D159" s="5300"/>
      <c r="E159" s="5300"/>
      <c r="F159" s="5301"/>
      <c r="G159" s="5301"/>
      <c r="H159" s="5301"/>
      <c r="I159" s="5301"/>
      <c r="J159" s="5301"/>
      <c r="K159" s="5301"/>
      <c r="L159" s="5301"/>
      <c r="M159" s="5301"/>
      <c r="N159" s="5301"/>
      <c r="O159" s="5301"/>
      <c r="P159" s="5301"/>
      <c r="Q159" s="5301"/>
      <c r="R159" s="5301"/>
      <c r="S159" s="5301"/>
      <c r="T159" s="5301"/>
      <c r="U159" s="5301"/>
      <c r="V159" s="5301"/>
      <c r="W159" s="5301"/>
      <c r="X159" s="5301"/>
      <c r="Y159" s="5301"/>
      <c r="Z159" s="5301"/>
      <c r="AA159" s="5301"/>
      <c r="AB159" s="5301"/>
      <c r="AC159" s="5301"/>
      <c r="AD159" s="5301"/>
      <c r="AE159" s="5301"/>
      <c r="AF159" s="5301"/>
      <c r="AG159" s="5301"/>
      <c r="AH159" s="5301"/>
      <c r="AI159" s="5301"/>
      <c r="AJ159" s="5301"/>
      <c r="AK159" s="5301"/>
      <c r="AL159" s="5301"/>
      <c r="AM159" s="5301"/>
      <c r="AN159" s="5301"/>
      <c r="AO159" s="5301"/>
    </row>
    <row r="160" spans="2:41">
      <c r="B160" s="5307" t="s">
        <v>6942</v>
      </c>
      <c r="C160" s="5307"/>
      <c r="D160" s="5307"/>
      <c r="E160" s="5307"/>
      <c r="F160" s="5308" t="s">
        <v>6943</v>
      </c>
      <c r="G160" s="5308"/>
      <c r="H160" s="5309" t="s">
        <v>6944</v>
      </c>
      <c r="I160" s="5309"/>
      <c r="J160" s="5310">
        <v>107</v>
      </c>
      <c r="K160" s="5310"/>
      <c r="L160" s="5310"/>
      <c r="M160" s="5306">
        <v>77.900000000000006</v>
      </c>
      <c r="N160" s="5306"/>
      <c r="O160" s="5306"/>
      <c r="P160" s="5313">
        <v>60.8</v>
      </c>
      <c r="Q160" s="5313"/>
      <c r="R160" s="5313"/>
      <c r="S160" s="5306">
        <v>52.1</v>
      </c>
      <c r="T160" s="5306"/>
      <c r="U160" s="5306"/>
      <c r="V160" s="5310">
        <v>68.599999999999994</v>
      </c>
      <c r="W160" s="5310"/>
      <c r="X160" s="5306">
        <v>89.5</v>
      </c>
      <c r="Y160" s="5306"/>
      <c r="Z160" s="5306"/>
      <c r="AA160" s="5306">
        <v>109.7</v>
      </c>
      <c r="AB160" s="5306"/>
      <c r="AC160" s="5306"/>
      <c r="AD160" s="5313">
        <v>169.1</v>
      </c>
      <c r="AE160" s="5313"/>
      <c r="AF160" s="5313"/>
      <c r="AG160" s="5306">
        <v>185.7</v>
      </c>
      <c r="AH160" s="5306"/>
      <c r="AI160" s="5306"/>
      <c r="AJ160" s="5306">
        <v>224.5</v>
      </c>
      <c r="AK160" s="5306"/>
      <c r="AL160" s="5306"/>
      <c r="AM160" s="5306">
        <v>157.5</v>
      </c>
      <c r="AN160" s="5306"/>
      <c r="AO160" s="5306"/>
    </row>
    <row r="161" spans="2:41" ht="16.5">
      <c r="B161" s="5293" t="s">
        <v>6945</v>
      </c>
      <c r="C161" s="5293"/>
      <c r="D161" s="5293"/>
      <c r="E161" s="5293"/>
      <c r="F161" s="5296" t="s">
        <v>6943</v>
      </c>
      <c r="G161" s="5296"/>
      <c r="H161" s="5292"/>
      <c r="I161" s="5292"/>
      <c r="J161" s="5314">
        <v>97.6</v>
      </c>
      <c r="K161" s="5314"/>
      <c r="L161" s="5314"/>
      <c r="M161" s="5312">
        <v>71.900000000000006</v>
      </c>
      <c r="N161" s="5312"/>
      <c r="O161" s="5312"/>
      <c r="P161" s="5311">
        <v>65.7</v>
      </c>
      <c r="Q161" s="5311"/>
      <c r="R161" s="5311"/>
      <c r="S161" s="5312">
        <v>57.2</v>
      </c>
      <c r="T161" s="5312"/>
      <c r="U161" s="5312"/>
      <c r="V161" s="5315">
        <v>71.900000000000006</v>
      </c>
      <c r="W161" s="5315"/>
      <c r="X161" s="5312">
        <v>86.8</v>
      </c>
      <c r="Y161" s="5312"/>
      <c r="Z161" s="5312"/>
      <c r="AA161" s="5312">
        <v>100.5</v>
      </c>
      <c r="AB161" s="5312"/>
      <c r="AC161" s="5312"/>
      <c r="AD161" s="5311">
        <v>135.4</v>
      </c>
      <c r="AE161" s="5311"/>
      <c r="AF161" s="5311"/>
      <c r="AG161" s="5312">
        <v>146.1</v>
      </c>
      <c r="AH161" s="5312"/>
      <c r="AI161" s="5312"/>
      <c r="AJ161" s="5312">
        <v>199.7</v>
      </c>
      <c r="AK161" s="5312"/>
      <c r="AL161" s="5312"/>
      <c r="AM161" s="5312">
        <v>128</v>
      </c>
      <c r="AN161" s="5312"/>
      <c r="AO161" s="5312"/>
    </row>
    <row r="162" spans="2:41" ht="16.5">
      <c r="B162" s="5307" t="s">
        <v>6946</v>
      </c>
      <c r="C162" s="5307"/>
      <c r="D162" s="5307"/>
      <c r="E162" s="5307"/>
      <c r="F162" s="5308" t="s">
        <v>6947</v>
      </c>
      <c r="G162" s="5308"/>
      <c r="H162" s="5316"/>
      <c r="I162" s="5316"/>
      <c r="J162" s="5317">
        <v>68.3</v>
      </c>
      <c r="K162" s="5317"/>
      <c r="L162" s="5317"/>
      <c r="M162" s="5306">
        <v>61.4</v>
      </c>
      <c r="N162" s="5306"/>
      <c r="O162" s="5306"/>
      <c r="P162" s="5313">
        <v>41.3</v>
      </c>
      <c r="Q162" s="5313"/>
      <c r="R162" s="5313"/>
      <c r="S162" s="5306">
        <v>42</v>
      </c>
      <c r="T162" s="5306"/>
      <c r="U162" s="5306"/>
      <c r="V162" s="5310">
        <v>43.6</v>
      </c>
      <c r="W162" s="5310"/>
      <c r="X162" s="5306">
        <v>59.3</v>
      </c>
      <c r="Y162" s="5306"/>
      <c r="Z162" s="5306"/>
      <c r="AA162" s="5306">
        <v>67.099999999999994</v>
      </c>
      <c r="AB162" s="5306"/>
      <c r="AC162" s="5306"/>
      <c r="AD162" s="5313">
        <v>71.7</v>
      </c>
      <c r="AE162" s="5313"/>
      <c r="AF162" s="5313"/>
      <c r="AG162" s="5306">
        <v>72.8</v>
      </c>
      <c r="AH162" s="5306"/>
      <c r="AI162" s="5306"/>
      <c r="AJ162" s="5306">
        <v>82.1</v>
      </c>
      <c r="AK162" s="5306"/>
      <c r="AL162" s="5306"/>
      <c r="AM162" s="5306">
        <v>79.900000000000006</v>
      </c>
      <c r="AN162" s="5306"/>
      <c r="AO162" s="5306"/>
    </row>
    <row r="163" spans="2:41">
      <c r="B163" s="5293" t="s">
        <v>6948</v>
      </c>
      <c r="C163" s="5293"/>
      <c r="D163" s="5293"/>
      <c r="E163" s="5293"/>
      <c r="F163" s="5296" t="s">
        <v>6947</v>
      </c>
      <c r="G163" s="5296"/>
      <c r="H163" s="5318" t="s">
        <v>6944</v>
      </c>
      <c r="I163" s="5318"/>
      <c r="J163" s="5314">
        <v>71.099999999999994</v>
      </c>
      <c r="K163" s="5314"/>
      <c r="L163" s="5314"/>
      <c r="M163" s="5312">
        <v>64</v>
      </c>
      <c r="N163" s="5312"/>
      <c r="O163" s="5312"/>
      <c r="P163" s="5311">
        <v>42.3</v>
      </c>
      <c r="Q163" s="5311"/>
      <c r="R163" s="5311"/>
      <c r="S163" s="5312">
        <v>42.7</v>
      </c>
      <c r="T163" s="5312"/>
      <c r="U163" s="5312"/>
      <c r="V163" s="5315">
        <v>44.5</v>
      </c>
      <c r="W163" s="5315"/>
      <c r="X163" s="5312">
        <v>60.6</v>
      </c>
      <c r="Y163" s="5312"/>
      <c r="Z163" s="5312"/>
      <c r="AA163" s="5312">
        <v>68.599999999999994</v>
      </c>
      <c r="AB163" s="5312"/>
      <c r="AC163" s="5312"/>
      <c r="AD163" s="5311">
        <v>73</v>
      </c>
      <c r="AE163" s="5311"/>
      <c r="AF163" s="5311"/>
      <c r="AG163" s="5312">
        <v>74.599999999999994</v>
      </c>
      <c r="AH163" s="5312"/>
      <c r="AI163" s="5312"/>
      <c r="AJ163" s="5312">
        <v>83.7</v>
      </c>
      <c r="AK163" s="5312"/>
      <c r="AL163" s="5312"/>
      <c r="AM163" s="5312">
        <v>80.8</v>
      </c>
      <c r="AN163" s="5312"/>
      <c r="AO163" s="5312"/>
    </row>
    <row r="164" spans="2:41">
      <c r="B164" s="5307" t="s">
        <v>6949</v>
      </c>
      <c r="C164" s="5307"/>
      <c r="D164" s="5307"/>
      <c r="E164" s="5307"/>
      <c r="F164" s="5308" t="s">
        <v>6947</v>
      </c>
      <c r="G164" s="5308"/>
      <c r="H164" s="5309" t="s">
        <v>6944</v>
      </c>
      <c r="I164" s="5309"/>
      <c r="J164" s="5317">
        <v>69.2</v>
      </c>
      <c r="K164" s="5317"/>
      <c r="L164" s="5317"/>
      <c r="M164" s="5306">
        <v>63.2</v>
      </c>
      <c r="N164" s="5306"/>
      <c r="O164" s="5306"/>
      <c r="P164" s="5313">
        <v>42.2</v>
      </c>
      <c r="Q164" s="5313"/>
      <c r="R164" s="5313"/>
      <c r="S164" s="5306">
        <v>42.5</v>
      </c>
      <c r="T164" s="5306"/>
      <c r="U164" s="5306"/>
      <c r="V164" s="5310">
        <v>43.8</v>
      </c>
      <c r="W164" s="5310"/>
      <c r="X164" s="5306">
        <v>59.5</v>
      </c>
      <c r="Y164" s="5306"/>
      <c r="Z164" s="5306"/>
      <c r="AA164" s="5306">
        <v>66.400000000000006</v>
      </c>
      <c r="AB164" s="5306"/>
      <c r="AC164" s="5306"/>
      <c r="AD164" s="5313">
        <v>71.400000000000006</v>
      </c>
      <c r="AE164" s="5313"/>
      <c r="AF164" s="5313"/>
      <c r="AG164" s="5306">
        <v>72.2</v>
      </c>
      <c r="AH164" s="5306"/>
      <c r="AI164" s="5306"/>
      <c r="AJ164" s="5306">
        <v>81.2</v>
      </c>
      <c r="AK164" s="5306"/>
      <c r="AL164" s="5306"/>
      <c r="AM164" s="5306">
        <v>79.8</v>
      </c>
      <c r="AN164" s="5306"/>
      <c r="AO164" s="5306"/>
    </row>
    <row r="165" spans="2:41">
      <c r="B165" s="5293" t="s">
        <v>6950</v>
      </c>
      <c r="C165" s="5293"/>
      <c r="D165" s="5293"/>
      <c r="E165" s="5293"/>
      <c r="F165" s="5296" t="s">
        <v>6947</v>
      </c>
      <c r="G165" s="5296"/>
      <c r="H165" s="5318" t="s">
        <v>6944</v>
      </c>
      <c r="I165" s="5318"/>
      <c r="J165" s="5314">
        <v>64.8</v>
      </c>
      <c r="K165" s="5314"/>
      <c r="L165" s="5314"/>
      <c r="M165" s="5312">
        <v>57</v>
      </c>
      <c r="N165" s="5312"/>
      <c r="O165" s="5312"/>
      <c r="P165" s="5311">
        <v>39.299999999999997</v>
      </c>
      <c r="Q165" s="5311"/>
      <c r="R165" s="5311"/>
      <c r="S165" s="5312">
        <v>40.9</v>
      </c>
      <c r="T165" s="5312"/>
      <c r="U165" s="5312"/>
      <c r="V165" s="5315">
        <v>42.6</v>
      </c>
      <c r="W165" s="5315"/>
      <c r="X165" s="5312">
        <v>57.8</v>
      </c>
      <c r="Y165" s="5312"/>
      <c r="Z165" s="5312"/>
      <c r="AA165" s="5312">
        <v>66.099999999999994</v>
      </c>
      <c r="AB165" s="5312"/>
      <c r="AC165" s="5312"/>
      <c r="AD165" s="5311">
        <v>70.599999999999994</v>
      </c>
      <c r="AE165" s="5311"/>
      <c r="AF165" s="5311"/>
      <c r="AG165" s="5312">
        <v>71.599999999999994</v>
      </c>
      <c r="AH165" s="5312"/>
      <c r="AI165" s="5312"/>
      <c r="AJ165" s="5312">
        <v>81.3</v>
      </c>
      <c r="AK165" s="5312"/>
      <c r="AL165" s="5312"/>
      <c r="AM165" s="5312">
        <v>79.2</v>
      </c>
      <c r="AN165" s="5312"/>
      <c r="AO165" s="5312"/>
    </row>
    <row r="166" spans="2:41" ht="16.5">
      <c r="B166" s="5307" t="s">
        <v>6951</v>
      </c>
      <c r="C166" s="5307"/>
      <c r="D166" s="5307"/>
      <c r="E166" s="5307"/>
      <c r="F166" s="5308" t="s">
        <v>6952</v>
      </c>
      <c r="G166" s="5308"/>
      <c r="H166" s="5316"/>
      <c r="I166" s="5316"/>
      <c r="J166" s="5317">
        <v>82.1</v>
      </c>
      <c r="K166" s="5317"/>
      <c r="L166" s="5317"/>
      <c r="M166" s="5306">
        <v>61.1</v>
      </c>
      <c r="N166" s="5306"/>
      <c r="O166" s="5306"/>
      <c r="P166" s="5313">
        <v>45.5</v>
      </c>
      <c r="Q166" s="5313"/>
      <c r="R166" s="5313"/>
      <c r="S166" s="5306">
        <v>42.3</v>
      </c>
      <c r="T166" s="5306"/>
      <c r="U166" s="5306"/>
      <c r="V166" s="5310">
        <v>59.2</v>
      </c>
      <c r="W166" s="5310"/>
      <c r="X166" s="5306">
        <v>78.7</v>
      </c>
      <c r="Y166" s="5306"/>
      <c r="Z166" s="5306"/>
      <c r="AA166" s="5306">
        <v>83.2</v>
      </c>
      <c r="AB166" s="5306"/>
      <c r="AC166" s="5306"/>
      <c r="AD166" s="5313">
        <v>140.30000000000001</v>
      </c>
      <c r="AE166" s="5313"/>
      <c r="AF166" s="5313"/>
      <c r="AG166" s="5306">
        <v>178.4</v>
      </c>
      <c r="AH166" s="5306"/>
      <c r="AI166" s="5306"/>
      <c r="AJ166" s="5306">
        <v>222.5</v>
      </c>
      <c r="AK166" s="5306"/>
      <c r="AL166" s="5306"/>
      <c r="AM166" s="5306">
        <v>200.9</v>
      </c>
      <c r="AN166" s="5306"/>
      <c r="AO166" s="5306"/>
    </row>
    <row r="167" spans="2:41">
      <c r="AA167" s="4492">
        <f>AVERAGE(X166:AI166)</f>
        <v>120.15</v>
      </c>
    </row>
    <row r="170" spans="2:41">
      <c r="J170" s="3">
        <v>2018</v>
      </c>
      <c r="K170" s="3">
        <v>2019</v>
      </c>
      <c r="L170" s="3">
        <v>2020</v>
      </c>
      <c r="M170" s="3" t="s">
        <v>6953</v>
      </c>
      <c r="N170" s="3">
        <v>2021</v>
      </c>
      <c r="O170" s="3">
        <v>2022</v>
      </c>
      <c r="P170" s="3">
        <v>2023</v>
      </c>
      <c r="Q170" s="3">
        <v>2024</v>
      </c>
      <c r="R170" s="3">
        <v>2025</v>
      </c>
    </row>
    <row r="171" spans="2:41">
      <c r="J171" s="4492">
        <f>J189</f>
        <v>3.16</v>
      </c>
      <c r="K171" s="4492">
        <f>M189</f>
        <v>2.57</v>
      </c>
      <c r="L171" s="4492">
        <f>P189</f>
        <v>2.0099999999999998</v>
      </c>
      <c r="M171" s="4492">
        <f>AVERAGE(X189:AF189)</f>
        <v>3.5533333333333332</v>
      </c>
    </row>
    <row r="177" spans="2:41" ht="16.5">
      <c r="B177" s="5297"/>
      <c r="C177" s="5297"/>
      <c r="D177" s="5297"/>
      <c r="E177" s="5297"/>
      <c r="F177" s="5297"/>
      <c r="G177" s="5297"/>
      <c r="H177" s="5297"/>
      <c r="I177" s="5297"/>
      <c r="J177" s="5298" t="s">
        <v>6928</v>
      </c>
      <c r="K177" s="5298"/>
      <c r="L177" s="5298"/>
      <c r="M177" s="5298"/>
      <c r="N177" s="5298"/>
      <c r="O177" s="5298"/>
      <c r="P177" s="5298"/>
      <c r="Q177" s="5298"/>
      <c r="R177" s="5298"/>
      <c r="S177" s="5297"/>
      <c r="T177" s="5297"/>
      <c r="U177" s="5297"/>
      <c r="V177" s="5290" t="s">
        <v>6929</v>
      </c>
      <c r="W177" s="5290"/>
      <c r="X177" s="5290"/>
      <c r="Y177" s="5290"/>
      <c r="Z177" s="5290"/>
      <c r="AA177" s="5290"/>
      <c r="AB177" s="5290"/>
      <c r="AC177" s="5290"/>
      <c r="AD177" s="5291" t="s">
        <v>6930</v>
      </c>
      <c r="AE177" s="5291"/>
      <c r="AF177" s="5291"/>
      <c r="AG177" s="5291"/>
      <c r="AH177" s="5291"/>
      <c r="AI177" s="5291"/>
      <c r="AJ177" s="5291"/>
      <c r="AK177" s="5291"/>
      <c r="AL177" s="5291"/>
      <c r="AM177" s="5291"/>
      <c r="AN177" s="5291"/>
      <c r="AO177" s="5291"/>
    </row>
    <row r="178" spans="2:41" ht="12.75" customHeight="1">
      <c r="B178" s="5292"/>
      <c r="C178" s="5292"/>
      <c r="D178" s="5292"/>
      <c r="E178" s="5292"/>
      <c r="F178" s="5292"/>
      <c r="G178" s="5292"/>
      <c r="H178" s="5292"/>
      <c r="I178" s="5292"/>
      <c r="J178" s="5293" t="s">
        <v>6931</v>
      </c>
      <c r="K178" s="5293"/>
      <c r="L178" s="5293"/>
      <c r="M178" s="5294" t="s">
        <v>6931</v>
      </c>
      <c r="N178" s="5294"/>
      <c r="O178" s="5294"/>
      <c r="P178" s="5294" t="s">
        <v>6931</v>
      </c>
      <c r="Q178" s="5294"/>
      <c r="R178" s="5294"/>
      <c r="S178" s="5294" t="s">
        <v>6932</v>
      </c>
      <c r="T178" s="5294"/>
      <c r="U178" s="5294"/>
      <c r="V178" s="5293" t="s">
        <v>6933</v>
      </c>
      <c r="W178" s="5293"/>
      <c r="X178" s="5294" t="s">
        <v>6934</v>
      </c>
      <c r="Y178" s="5294"/>
      <c r="Z178" s="5294"/>
      <c r="AA178" s="5294" t="s">
        <v>6935</v>
      </c>
      <c r="AB178" s="5294"/>
      <c r="AC178" s="5294"/>
      <c r="AD178" s="5295" t="s">
        <v>6932</v>
      </c>
      <c r="AE178" s="5295"/>
      <c r="AF178" s="5295"/>
      <c r="AG178" s="5296" t="s">
        <v>6936</v>
      </c>
      <c r="AH178" s="5296"/>
      <c r="AI178" s="5296"/>
      <c r="AJ178" s="5296" t="s">
        <v>6937</v>
      </c>
      <c r="AK178" s="5296"/>
      <c r="AL178" s="5296"/>
      <c r="AM178" s="5296" t="s">
        <v>6938</v>
      </c>
      <c r="AN178" s="5296"/>
      <c r="AO178" s="5296"/>
    </row>
    <row r="179" spans="2:41" ht="16.5">
      <c r="B179" s="5303" t="s">
        <v>6939</v>
      </c>
      <c r="C179" s="5303"/>
      <c r="D179" s="5303"/>
      <c r="E179" s="5303"/>
      <c r="F179" s="5304" t="s">
        <v>6940</v>
      </c>
      <c r="G179" s="5304"/>
      <c r="H179" s="5305"/>
      <c r="I179" s="5305"/>
      <c r="J179" s="5299">
        <v>2018</v>
      </c>
      <c r="K179" s="5299"/>
      <c r="L179" s="5299"/>
      <c r="M179" s="5299">
        <v>2019</v>
      </c>
      <c r="N179" s="5299"/>
      <c r="O179" s="5299"/>
      <c r="P179" s="5299">
        <v>2020</v>
      </c>
      <c r="Q179" s="5299"/>
      <c r="R179" s="5299"/>
      <c r="S179" s="5299">
        <v>2020</v>
      </c>
      <c r="T179" s="5299"/>
      <c r="U179" s="5299"/>
      <c r="V179" s="5299">
        <v>2020</v>
      </c>
      <c r="W179" s="5299"/>
      <c r="X179" s="5299">
        <v>2021</v>
      </c>
      <c r="Y179" s="5299"/>
      <c r="Z179" s="5299"/>
      <c r="AA179" s="5302">
        <v>2021</v>
      </c>
      <c r="AB179" s="5302"/>
      <c r="AC179" s="5302"/>
      <c r="AD179" s="5302">
        <v>2021</v>
      </c>
      <c r="AE179" s="5302"/>
      <c r="AF179" s="5302"/>
      <c r="AG179" s="5299">
        <v>2021</v>
      </c>
      <c r="AH179" s="5299"/>
      <c r="AI179" s="5299"/>
      <c r="AJ179" s="5299">
        <v>2021</v>
      </c>
      <c r="AK179" s="5299"/>
      <c r="AL179" s="5299"/>
      <c r="AM179" s="5299">
        <v>2021</v>
      </c>
      <c r="AN179" s="5299"/>
      <c r="AO179" s="5299"/>
    </row>
    <row r="180" spans="2:41" ht="16.5">
      <c r="B180" s="5300" t="s">
        <v>6941</v>
      </c>
      <c r="C180" s="5300"/>
      <c r="D180" s="5300"/>
      <c r="E180" s="5300"/>
      <c r="F180" s="5301"/>
      <c r="G180" s="5301"/>
      <c r="H180" s="5301"/>
      <c r="I180" s="5301"/>
      <c r="J180" s="5301"/>
      <c r="K180" s="5301"/>
      <c r="L180" s="5301"/>
      <c r="M180" s="5301"/>
      <c r="N180" s="5301"/>
      <c r="O180" s="5301"/>
      <c r="P180" s="5301"/>
      <c r="Q180" s="5301"/>
      <c r="R180" s="5301"/>
      <c r="S180" s="5301"/>
      <c r="T180" s="5301"/>
      <c r="U180" s="5301"/>
      <c r="V180" s="5301"/>
      <c r="W180" s="5301"/>
      <c r="X180" s="5301"/>
      <c r="Y180" s="5301"/>
      <c r="Z180" s="5301"/>
      <c r="AA180" s="5301"/>
      <c r="AB180" s="5301"/>
      <c r="AC180" s="5301"/>
      <c r="AD180" s="5301"/>
      <c r="AE180" s="5301"/>
      <c r="AF180" s="5301"/>
      <c r="AG180" s="5301"/>
      <c r="AH180" s="5301"/>
      <c r="AI180" s="5301"/>
      <c r="AJ180" s="5301"/>
      <c r="AK180" s="5301"/>
      <c r="AL180" s="5301"/>
      <c r="AM180" s="5301"/>
      <c r="AN180" s="5301"/>
      <c r="AO180" s="5301"/>
    </row>
    <row r="181" spans="2:41">
      <c r="B181" s="5307" t="s">
        <v>6942</v>
      </c>
      <c r="C181" s="5307"/>
      <c r="D181" s="5307"/>
      <c r="E181" s="5307"/>
      <c r="F181" s="5308" t="s">
        <v>6943</v>
      </c>
      <c r="G181" s="5308"/>
      <c r="H181" s="5309" t="s">
        <v>6944</v>
      </c>
      <c r="I181" s="5309"/>
      <c r="J181" s="5310">
        <v>107</v>
      </c>
      <c r="K181" s="5310"/>
      <c r="L181" s="5310"/>
      <c r="M181" s="5306">
        <v>77.900000000000006</v>
      </c>
      <c r="N181" s="5306"/>
      <c r="O181" s="5306"/>
      <c r="P181" s="5313">
        <v>60.8</v>
      </c>
      <c r="Q181" s="5313"/>
      <c r="R181" s="5313"/>
      <c r="S181" s="5306">
        <v>52.1</v>
      </c>
      <c r="T181" s="5306"/>
      <c r="U181" s="5306"/>
      <c r="V181" s="5310">
        <v>68.599999999999994</v>
      </c>
      <c r="W181" s="5310"/>
      <c r="X181" s="5306">
        <v>89.5</v>
      </c>
      <c r="Y181" s="5306"/>
      <c r="Z181" s="5306"/>
      <c r="AA181" s="5306">
        <v>109.7</v>
      </c>
      <c r="AB181" s="5306"/>
      <c r="AC181" s="5306"/>
      <c r="AD181" s="5313">
        <v>169.1</v>
      </c>
      <c r="AE181" s="5313"/>
      <c r="AF181" s="5313"/>
      <c r="AG181" s="5306">
        <v>185.7</v>
      </c>
      <c r="AH181" s="5306"/>
      <c r="AI181" s="5306"/>
      <c r="AJ181" s="5306">
        <v>224.5</v>
      </c>
      <c r="AK181" s="5306"/>
      <c r="AL181" s="5306"/>
      <c r="AM181" s="5306">
        <v>157.5</v>
      </c>
      <c r="AN181" s="5306"/>
      <c r="AO181" s="5306"/>
    </row>
    <row r="182" spans="2:41" ht="16.5">
      <c r="B182" s="5293" t="s">
        <v>6945</v>
      </c>
      <c r="C182" s="5293"/>
      <c r="D182" s="5293"/>
      <c r="E182" s="5293"/>
      <c r="F182" s="5296" t="s">
        <v>6943</v>
      </c>
      <c r="G182" s="5296"/>
      <c r="H182" s="5292"/>
      <c r="I182" s="5292"/>
      <c r="J182" s="5314">
        <v>97.6</v>
      </c>
      <c r="K182" s="5314"/>
      <c r="L182" s="5314"/>
      <c r="M182" s="5312">
        <v>71.900000000000006</v>
      </c>
      <c r="N182" s="5312"/>
      <c r="O182" s="5312"/>
      <c r="P182" s="5311">
        <v>65.7</v>
      </c>
      <c r="Q182" s="5311"/>
      <c r="R182" s="5311"/>
      <c r="S182" s="5312">
        <v>57.2</v>
      </c>
      <c r="T182" s="5312"/>
      <c r="U182" s="5312"/>
      <c r="V182" s="5315">
        <v>71.900000000000006</v>
      </c>
      <c r="W182" s="5315"/>
      <c r="X182" s="5312">
        <v>86.8</v>
      </c>
      <c r="Y182" s="5312"/>
      <c r="Z182" s="5312"/>
      <c r="AA182" s="5312">
        <v>100.5</v>
      </c>
      <c r="AB182" s="5312"/>
      <c r="AC182" s="5312"/>
      <c r="AD182" s="5311">
        <v>135.4</v>
      </c>
      <c r="AE182" s="5311"/>
      <c r="AF182" s="5311"/>
      <c r="AG182" s="5312">
        <v>146.1</v>
      </c>
      <c r="AH182" s="5312"/>
      <c r="AI182" s="5312"/>
      <c r="AJ182" s="5312">
        <v>199.7</v>
      </c>
      <c r="AK182" s="5312"/>
      <c r="AL182" s="5312"/>
      <c r="AM182" s="5312">
        <v>128</v>
      </c>
      <c r="AN182" s="5312"/>
      <c r="AO182" s="5312"/>
    </row>
    <row r="183" spans="2:41" ht="16.5">
      <c r="B183" s="5307" t="s">
        <v>6946</v>
      </c>
      <c r="C183" s="5307"/>
      <c r="D183" s="5307"/>
      <c r="E183" s="5307"/>
      <c r="F183" s="5308" t="s">
        <v>6947</v>
      </c>
      <c r="G183" s="5308"/>
      <c r="H183" s="5316"/>
      <c r="I183" s="5316"/>
      <c r="J183" s="5317">
        <v>68.3</v>
      </c>
      <c r="K183" s="5317"/>
      <c r="L183" s="5317"/>
      <c r="M183" s="5306">
        <v>61.4</v>
      </c>
      <c r="N183" s="5306"/>
      <c r="O183" s="5306"/>
      <c r="P183" s="5313">
        <v>41.3</v>
      </c>
      <c r="Q183" s="5313"/>
      <c r="R183" s="5313"/>
      <c r="S183" s="5306">
        <v>42</v>
      </c>
      <c r="T183" s="5306"/>
      <c r="U183" s="5306"/>
      <c r="V183" s="5310">
        <v>43.6</v>
      </c>
      <c r="W183" s="5310"/>
      <c r="X183" s="5306">
        <v>59.3</v>
      </c>
      <c r="Y183" s="5306"/>
      <c r="Z183" s="5306"/>
      <c r="AA183" s="5306">
        <v>67.099999999999994</v>
      </c>
      <c r="AB183" s="5306"/>
      <c r="AC183" s="5306"/>
      <c r="AD183" s="5313">
        <v>71.7</v>
      </c>
      <c r="AE183" s="5313"/>
      <c r="AF183" s="5313"/>
      <c r="AG183" s="5306">
        <v>72.8</v>
      </c>
      <c r="AH183" s="5306"/>
      <c r="AI183" s="5306"/>
      <c r="AJ183" s="5306">
        <v>82.1</v>
      </c>
      <c r="AK183" s="5306"/>
      <c r="AL183" s="5306"/>
      <c r="AM183" s="5306">
        <v>79.900000000000006</v>
      </c>
      <c r="AN183" s="5306"/>
      <c r="AO183" s="5306"/>
    </row>
    <row r="184" spans="2:41">
      <c r="B184" s="5293" t="s">
        <v>6948</v>
      </c>
      <c r="C184" s="5293"/>
      <c r="D184" s="5293"/>
      <c r="E184" s="5293"/>
      <c r="F184" s="5296" t="s">
        <v>6947</v>
      </c>
      <c r="G184" s="5296"/>
      <c r="H184" s="5318" t="s">
        <v>6944</v>
      </c>
      <c r="I184" s="5318"/>
      <c r="J184" s="5314">
        <v>71.099999999999994</v>
      </c>
      <c r="K184" s="5314"/>
      <c r="L184" s="5314"/>
      <c r="M184" s="5312">
        <v>64</v>
      </c>
      <c r="N184" s="5312"/>
      <c r="O184" s="5312"/>
      <c r="P184" s="5311">
        <v>42.3</v>
      </c>
      <c r="Q184" s="5311"/>
      <c r="R184" s="5311"/>
      <c r="S184" s="5312">
        <v>42.7</v>
      </c>
      <c r="T184" s="5312"/>
      <c r="U184" s="5312"/>
      <c r="V184" s="5315">
        <v>44.5</v>
      </c>
      <c r="W184" s="5315"/>
      <c r="X184" s="5312">
        <v>60.6</v>
      </c>
      <c r="Y184" s="5312"/>
      <c r="Z184" s="5312"/>
      <c r="AA184" s="5312">
        <v>68.599999999999994</v>
      </c>
      <c r="AB184" s="5312"/>
      <c r="AC184" s="5312"/>
      <c r="AD184" s="5311">
        <v>73</v>
      </c>
      <c r="AE184" s="5311"/>
      <c r="AF184" s="5311"/>
      <c r="AG184" s="5312">
        <v>74.599999999999994</v>
      </c>
      <c r="AH184" s="5312"/>
      <c r="AI184" s="5312"/>
      <c r="AJ184" s="5312">
        <v>83.7</v>
      </c>
      <c r="AK184" s="5312"/>
      <c r="AL184" s="5312"/>
      <c r="AM184" s="5312">
        <v>80.8</v>
      </c>
      <c r="AN184" s="5312"/>
      <c r="AO184" s="5312"/>
    </row>
    <row r="185" spans="2:41">
      <c r="B185" s="5307" t="s">
        <v>6949</v>
      </c>
      <c r="C185" s="5307"/>
      <c r="D185" s="5307"/>
      <c r="E185" s="5307"/>
      <c r="F185" s="5308" t="s">
        <v>6947</v>
      </c>
      <c r="G185" s="5308"/>
      <c r="H185" s="5309" t="s">
        <v>6944</v>
      </c>
      <c r="I185" s="5309"/>
      <c r="J185" s="5317">
        <v>69.2</v>
      </c>
      <c r="K185" s="5317"/>
      <c r="L185" s="5317"/>
      <c r="M185" s="5306">
        <v>63.2</v>
      </c>
      <c r="N185" s="5306"/>
      <c r="O185" s="5306"/>
      <c r="P185" s="5313">
        <v>42.2</v>
      </c>
      <c r="Q185" s="5313"/>
      <c r="R185" s="5313"/>
      <c r="S185" s="5306">
        <v>42.5</v>
      </c>
      <c r="T185" s="5306"/>
      <c r="U185" s="5306"/>
      <c r="V185" s="5310">
        <v>43.8</v>
      </c>
      <c r="W185" s="5310"/>
      <c r="X185" s="5306">
        <v>59.5</v>
      </c>
      <c r="Y185" s="5306"/>
      <c r="Z185" s="5306"/>
      <c r="AA185" s="5306">
        <v>66.400000000000006</v>
      </c>
      <c r="AB185" s="5306"/>
      <c r="AC185" s="5306"/>
      <c r="AD185" s="5313">
        <v>71.400000000000006</v>
      </c>
      <c r="AE185" s="5313"/>
      <c r="AF185" s="5313"/>
      <c r="AG185" s="5306">
        <v>72.2</v>
      </c>
      <c r="AH185" s="5306"/>
      <c r="AI185" s="5306"/>
      <c r="AJ185" s="5306">
        <v>81.2</v>
      </c>
      <c r="AK185" s="5306"/>
      <c r="AL185" s="5306"/>
      <c r="AM185" s="5306">
        <v>79.8</v>
      </c>
      <c r="AN185" s="5306"/>
      <c r="AO185" s="5306"/>
    </row>
    <row r="186" spans="2:41">
      <c r="B186" s="5293" t="s">
        <v>6950</v>
      </c>
      <c r="C186" s="5293"/>
      <c r="D186" s="5293"/>
      <c r="E186" s="5293"/>
      <c r="F186" s="5296" t="s">
        <v>6947</v>
      </c>
      <c r="G186" s="5296"/>
      <c r="H186" s="5318" t="s">
        <v>6944</v>
      </c>
      <c r="I186" s="5318"/>
      <c r="J186" s="5314">
        <v>64.8</v>
      </c>
      <c r="K186" s="5314"/>
      <c r="L186" s="5314"/>
      <c r="M186" s="5312">
        <v>57</v>
      </c>
      <c r="N186" s="5312"/>
      <c r="O186" s="5312"/>
      <c r="P186" s="5311">
        <v>39.299999999999997</v>
      </c>
      <c r="Q186" s="5311"/>
      <c r="R186" s="5311"/>
      <c r="S186" s="5312">
        <v>40.9</v>
      </c>
      <c r="T186" s="5312"/>
      <c r="U186" s="5312"/>
      <c r="V186" s="5315">
        <v>42.6</v>
      </c>
      <c r="W186" s="5315"/>
      <c r="X186" s="5312">
        <v>57.8</v>
      </c>
      <c r="Y186" s="5312"/>
      <c r="Z186" s="5312"/>
      <c r="AA186" s="5312">
        <v>66.099999999999994</v>
      </c>
      <c r="AB186" s="5312"/>
      <c r="AC186" s="5312"/>
      <c r="AD186" s="5311">
        <v>70.599999999999994</v>
      </c>
      <c r="AE186" s="5311"/>
      <c r="AF186" s="5311"/>
      <c r="AG186" s="5312">
        <v>71.599999999999994</v>
      </c>
      <c r="AH186" s="5312"/>
      <c r="AI186" s="5312"/>
      <c r="AJ186" s="5312">
        <v>81.3</v>
      </c>
      <c r="AK186" s="5312"/>
      <c r="AL186" s="5312"/>
      <c r="AM186" s="5312">
        <v>79.2</v>
      </c>
      <c r="AN186" s="5312"/>
      <c r="AO186" s="5312"/>
    </row>
    <row r="187" spans="2:41" ht="16.5">
      <c r="B187" s="5307" t="s">
        <v>6951</v>
      </c>
      <c r="C187" s="5307"/>
      <c r="D187" s="5307"/>
      <c r="E187" s="5307"/>
      <c r="F187" s="5308" t="s">
        <v>6952</v>
      </c>
      <c r="G187" s="5308"/>
      <c r="H187" s="5316"/>
      <c r="I187" s="5316"/>
      <c r="J187" s="5317">
        <v>82.1</v>
      </c>
      <c r="K187" s="5317"/>
      <c r="L187" s="5317"/>
      <c r="M187" s="5306">
        <v>61.1</v>
      </c>
      <c r="N187" s="5306"/>
      <c r="O187" s="5306"/>
      <c r="P187" s="5313">
        <v>45.5</v>
      </c>
      <c r="Q187" s="5313"/>
      <c r="R187" s="5313"/>
      <c r="S187" s="5306">
        <v>42.3</v>
      </c>
      <c r="T187" s="5306"/>
      <c r="U187" s="5306"/>
      <c r="V187" s="5310">
        <v>59.2</v>
      </c>
      <c r="W187" s="5310"/>
      <c r="X187" s="5306">
        <v>78.7</v>
      </c>
      <c r="Y187" s="5306"/>
      <c r="Z187" s="5306"/>
      <c r="AA187" s="5306">
        <v>83.2</v>
      </c>
      <c r="AB187" s="5306"/>
      <c r="AC187" s="5306"/>
      <c r="AD187" s="5313">
        <v>140.30000000000001</v>
      </c>
      <c r="AE187" s="5313"/>
      <c r="AF187" s="5313"/>
      <c r="AG187" s="5306">
        <v>178.4</v>
      </c>
      <c r="AH187" s="5306"/>
      <c r="AI187" s="5306"/>
      <c r="AJ187" s="5306">
        <v>222.5</v>
      </c>
      <c r="AK187" s="5306"/>
      <c r="AL187" s="5306"/>
      <c r="AM187" s="5306">
        <v>200.9</v>
      </c>
      <c r="AN187" s="5306"/>
      <c r="AO187" s="5306"/>
    </row>
    <row r="188" spans="2:41">
      <c r="B188" s="5293" t="s">
        <v>6955</v>
      </c>
      <c r="C188" s="5293"/>
      <c r="D188" s="5293"/>
      <c r="E188" s="5293"/>
      <c r="F188" s="5296" t="s">
        <v>6956</v>
      </c>
      <c r="G188" s="5296"/>
      <c r="H188" s="5318" t="s">
        <v>6944</v>
      </c>
      <c r="I188" s="5318"/>
      <c r="J188" s="5324">
        <v>7.68</v>
      </c>
      <c r="K188" s="5324"/>
      <c r="L188" s="5324"/>
      <c r="M188" s="5320">
        <v>4.8</v>
      </c>
      <c r="N188" s="5320"/>
      <c r="O188" s="5320"/>
      <c r="P188" s="5323">
        <v>3.24</v>
      </c>
      <c r="Q188" s="5323"/>
      <c r="R188" s="5323"/>
      <c r="S188" s="5320">
        <v>2.87</v>
      </c>
      <c r="T188" s="5320"/>
      <c r="U188" s="5320"/>
      <c r="V188" s="5319">
        <v>5.19</v>
      </c>
      <c r="W188" s="5319"/>
      <c r="X188" s="5320">
        <v>6.52</v>
      </c>
      <c r="Y188" s="5320"/>
      <c r="Z188" s="5320"/>
      <c r="AA188" s="5320">
        <v>8.7899999999999991</v>
      </c>
      <c r="AB188" s="5320"/>
      <c r="AC188" s="5320"/>
      <c r="AD188" s="5323">
        <v>16.93</v>
      </c>
      <c r="AE188" s="5323"/>
      <c r="AF188" s="5323"/>
      <c r="AG188" s="5320">
        <v>22.84</v>
      </c>
      <c r="AH188" s="5320"/>
      <c r="AI188" s="5320"/>
      <c r="AJ188" s="5320">
        <v>31.05</v>
      </c>
      <c r="AK188" s="5320"/>
      <c r="AL188" s="5320"/>
      <c r="AM188" s="5320">
        <v>27.62</v>
      </c>
      <c r="AN188" s="5320"/>
      <c r="AO188" s="5320"/>
    </row>
    <row r="189" spans="2:41">
      <c r="B189" s="5307" t="s">
        <v>6957</v>
      </c>
      <c r="C189" s="5307"/>
      <c r="D189" s="5307"/>
      <c r="E189" s="5307"/>
      <c r="F189" s="5308" t="s">
        <v>6956</v>
      </c>
      <c r="G189" s="5308"/>
      <c r="H189" s="5309" t="s">
        <v>6944</v>
      </c>
      <c r="I189" s="5309"/>
      <c r="J189" s="5325">
        <v>3.16</v>
      </c>
      <c r="K189" s="5325"/>
      <c r="L189" s="5325"/>
      <c r="M189" s="5321">
        <v>2.57</v>
      </c>
      <c r="N189" s="5321"/>
      <c r="O189" s="5321"/>
      <c r="P189" s="5322">
        <v>2.0099999999999998</v>
      </c>
      <c r="Q189" s="5322"/>
      <c r="R189" s="5322"/>
      <c r="S189" s="5321">
        <v>1.99</v>
      </c>
      <c r="T189" s="5321"/>
      <c r="U189" s="5321"/>
      <c r="V189" s="5326">
        <v>2.46</v>
      </c>
      <c r="W189" s="5326"/>
      <c r="X189" s="5321">
        <v>3.43</v>
      </c>
      <c r="Y189" s="5321"/>
      <c r="Z189" s="5321"/>
      <c r="AA189" s="5321">
        <v>2.91</v>
      </c>
      <c r="AB189" s="5321"/>
      <c r="AC189" s="5321"/>
      <c r="AD189" s="5322">
        <v>4.32</v>
      </c>
      <c r="AE189" s="5322"/>
      <c r="AF189" s="5322"/>
      <c r="AG189" s="5321">
        <v>5.1100000000000003</v>
      </c>
      <c r="AH189" s="5321"/>
      <c r="AI189" s="5321"/>
      <c r="AJ189" s="5321">
        <v>5.48</v>
      </c>
      <c r="AK189" s="5321"/>
      <c r="AL189" s="5321"/>
      <c r="AM189" s="5321">
        <v>5.0199999999999996</v>
      </c>
      <c r="AN189" s="5321"/>
      <c r="AO189" s="5321"/>
    </row>
    <row r="190" spans="2:41">
      <c r="B190" s="5293" t="s">
        <v>6958</v>
      </c>
      <c r="C190" s="5293"/>
      <c r="D190" s="5293"/>
      <c r="E190" s="5293"/>
      <c r="F190" s="5296" t="s">
        <v>6956</v>
      </c>
      <c r="G190" s="5296"/>
      <c r="H190" s="5318" t="s">
        <v>6944</v>
      </c>
      <c r="I190" s="5318"/>
      <c r="J190" s="5319">
        <v>10.67</v>
      </c>
      <c r="K190" s="5319"/>
      <c r="L190" s="5319"/>
      <c r="M190" s="5320">
        <v>10.56</v>
      </c>
      <c r="N190" s="5320"/>
      <c r="O190" s="5320"/>
      <c r="P190" s="5323">
        <v>8.31</v>
      </c>
      <c r="Q190" s="5323"/>
      <c r="R190" s="5323"/>
      <c r="S190" s="5320">
        <v>6.67</v>
      </c>
      <c r="T190" s="5320"/>
      <c r="U190" s="5320"/>
      <c r="V190" s="5319">
        <v>6.9</v>
      </c>
      <c r="W190" s="5319"/>
      <c r="X190" s="5320">
        <v>8.93</v>
      </c>
      <c r="Y190" s="5320"/>
      <c r="Z190" s="5320"/>
      <c r="AA190" s="5320">
        <v>8.94</v>
      </c>
      <c r="AB190" s="5320"/>
      <c r="AC190" s="5320"/>
      <c r="AD190" s="5323">
        <v>10.87</v>
      </c>
      <c r="AE190" s="5323"/>
      <c r="AF190" s="5323"/>
      <c r="AG190" s="5320">
        <v>11.44</v>
      </c>
      <c r="AH190" s="5320"/>
      <c r="AI190" s="5320"/>
      <c r="AJ190" s="5320">
        <v>12.38</v>
      </c>
      <c r="AK190" s="5320"/>
      <c r="AL190" s="5320"/>
      <c r="AM190" s="5320">
        <v>12.77</v>
      </c>
      <c r="AN190" s="5320"/>
      <c r="AO190" s="5320"/>
    </row>
    <row r="198" spans="2:16" ht="16.5">
      <c r="B198" s="5327" t="s">
        <v>6959</v>
      </c>
      <c r="C198" s="5327"/>
      <c r="D198" s="5327"/>
      <c r="E198" s="5327"/>
      <c r="F198" s="5329" t="s">
        <v>6960</v>
      </c>
      <c r="G198" s="5329"/>
      <c r="H198" s="5329"/>
      <c r="I198" s="5329"/>
      <c r="J198" s="5329"/>
      <c r="K198" s="5329"/>
      <c r="L198" s="5329"/>
      <c r="M198" s="5329"/>
      <c r="N198" s="5329"/>
      <c r="O198" s="5329"/>
      <c r="P198" s="4494"/>
    </row>
    <row r="199" spans="2:16" ht="16.5">
      <c r="B199" s="5328"/>
      <c r="C199" s="5328"/>
      <c r="D199" s="5328"/>
      <c r="E199" s="5328"/>
      <c r="F199" s="5330" t="s">
        <v>6961</v>
      </c>
      <c r="G199" s="5330"/>
      <c r="H199" s="5330"/>
      <c r="I199" s="5330"/>
      <c r="J199" s="5330"/>
      <c r="K199" s="5330"/>
      <c r="L199" s="5330"/>
      <c r="M199" s="5330"/>
      <c r="N199" s="5330"/>
      <c r="O199" s="5330"/>
      <c r="P199" s="4494"/>
    </row>
    <row r="200" spans="2:16">
      <c r="B200" s="5331" t="s">
        <v>6941</v>
      </c>
      <c r="C200" s="5331"/>
      <c r="D200" s="5331"/>
      <c r="E200" s="5331"/>
      <c r="F200" s="5331"/>
      <c r="G200" s="5331"/>
      <c r="H200" s="5331"/>
      <c r="I200" s="5331"/>
      <c r="J200" s="5331"/>
      <c r="K200" s="5331"/>
      <c r="L200" s="5331"/>
      <c r="M200" s="5331"/>
      <c r="N200" s="5331"/>
      <c r="O200" s="5331"/>
      <c r="P200" s="5331"/>
    </row>
    <row r="201" spans="2:16" ht="16.5">
      <c r="B201" s="4495" t="s">
        <v>6942</v>
      </c>
      <c r="C201" s="4496" t="s">
        <v>6943</v>
      </c>
      <c r="D201" s="4497">
        <v>77.900000000000006</v>
      </c>
      <c r="E201" s="5332">
        <v>60.8</v>
      </c>
      <c r="F201" s="5332"/>
      <c r="G201" s="4497">
        <v>140</v>
      </c>
      <c r="H201" s="4497">
        <v>120</v>
      </c>
      <c r="I201" s="5332">
        <v>90</v>
      </c>
      <c r="J201" s="5332"/>
      <c r="K201" s="4497">
        <v>86.4</v>
      </c>
      <c r="L201" s="4497">
        <v>82.9</v>
      </c>
      <c r="M201" s="4497">
        <v>67.5</v>
      </c>
      <c r="N201" s="5333">
        <v>55</v>
      </c>
      <c r="O201" s="5333"/>
      <c r="P201" s="4494"/>
    </row>
    <row r="202" spans="2:16" ht="16.5">
      <c r="B202" s="4498" t="s">
        <v>6962</v>
      </c>
      <c r="C202" s="4499" t="s">
        <v>6947</v>
      </c>
      <c r="D202" s="4500">
        <v>61.4</v>
      </c>
      <c r="E202" s="5334">
        <v>41.3</v>
      </c>
      <c r="F202" s="5334"/>
      <c r="G202" s="4500">
        <v>70</v>
      </c>
      <c r="H202" s="4500">
        <v>74</v>
      </c>
      <c r="I202" s="5334">
        <v>65</v>
      </c>
      <c r="J202" s="5334"/>
      <c r="K202" s="4500">
        <v>65.400000000000006</v>
      </c>
      <c r="L202" s="4500">
        <v>65.8</v>
      </c>
      <c r="M202" s="4500">
        <v>67.900000000000006</v>
      </c>
      <c r="N202" s="5335">
        <v>70</v>
      </c>
      <c r="O202" s="5335"/>
      <c r="P202" s="4494"/>
    </row>
    <row r="203" spans="2:16" ht="21">
      <c r="B203" s="4495" t="s">
        <v>6955</v>
      </c>
      <c r="C203" s="4496" t="s">
        <v>6956</v>
      </c>
      <c r="D203" s="4497">
        <v>4.8</v>
      </c>
      <c r="E203" s="5332">
        <v>3.2</v>
      </c>
      <c r="F203" s="5332"/>
      <c r="G203" s="4497">
        <v>14.6</v>
      </c>
      <c r="H203" s="4497">
        <v>12.6</v>
      </c>
      <c r="I203" s="5332">
        <v>9.1999999999999993</v>
      </c>
      <c r="J203" s="5332"/>
      <c r="K203" s="4497">
        <v>8.9</v>
      </c>
      <c r="L203" s="4497">
        <v>8.6999999999999993</v>
      </c>
      <c r="M203" s="4497">
        <v>7.5</v>
      </c>
      <c r="N203" s="5333">
        <v>6.5</v>
      </c>
      <c r="O203" s="5333"/>
      <c r="P203" s="4494"/>
    </row>
    <row r="204" spans="2:16" ht="16.5">
      <c r="B204" s="4498" t="s">
        <v>6957</v>
      </c>
      <c r="C204" s="4499" t="s">
        <v>6956</v>
      </c>
      <c r="D204" s="4500">
        <v>2.5</v>
      </c>
      <c r="E204" s="5334">
        <v>2</v>
      </c>
      <c r="F204" s="5334"/>
      <c r="G204" s="4500">
        <v>4.0999999999999996</v>
      </c>
      <c r="H204" s="4500">
        <v>4</v>
      </c>
      <c r="I204" s="5334">
        <v>3.9</v>
      </c>
      <c r="J204" s="5334"/>
      <c r="K204" s="4500">
        <v>3.9</v>
      </c>
      <c r="L204" s="4500">
        <v>3.9</v>
      </c>
      <c r="M204" s="4500">
        <v>4</v>
      </c>
      <c r="N204" s="5335">
        <v>4</v>
      </c>
      <c r="O204" s="5335"/>
      <c r="P204" s="4494"/>
    </row>
    <row r="205" spans="2:16" ht="21">
      <c r="B205" s="4495" t="s">
        <v>6958</v>
      </c>
      <c r="C205" s="4496" t="s">
        <v>6956</v>
      </c>
      <c r="D205" s="4497">
        <v>10.6</v>
      </c>
      <c r="E205" s="5332">
        <v>8.3000000000000007</v>
      </c>
      <c r="F205" s="5332"/>
      <c r="G205" s="4497">
        <v>11.9</v>
      </c>
      <c r="H205" s="4497">
        <v>11.4</v>
      </c>
      <c r="I205" s="5332">
        <v>10</v>
      </c>
      <c r="J205" s="5332"/>
      <c r="K205" s="4497">
        <v>9.8000000000000007</v>
      </c>
      <c r="L205" s="4497">
        <v>9.5</v>
      </c>
      <c r="M205" s="4497">
        <v>8.5</v>
      </c>
      <c r="N205" s="5333">
        <v>7.5</v>
      </c>
      <c r="O205" s="5333"/>
      <c r="P205" s="4494"/>
    </row>
    <row r="231" spans="1:14">
      <c r="E231" s="3">
        <v>2018</v>
      </c>
      <c r="F231" s="3">
        <v>2019</v>
      </c>
      <c r="G231" s="3">
        <v>2020</v>
      </c>
      <c r="H231" s="3" t="s">
        <v>6953</v>
      </c>
      <c r="I231" s="3" t="s">
        <v>10648</v>
      </c>
      <c r="J231" s="3">
        <v>2022</v>
      </c>
      <c r="K231" s="3">
        <v>2023</v>
      </c>
      <c r="L231" s="3">
        <v>2024</v>
      </c>
      <c r="M231" s="3">
        <v>2025</v>
      </c>
      <c r="N231" s="3">
        <v>2026</v>
      </c>
    </row>
    <row r="232" spans="1:14">
      <c r="A232" s="3" t="s">
        <v>6963</v>
      </c>
      <c r="B232" s="3" t="s">
        <v>10647</v>
      </c>
      <c r="E232" s="4502">
        <f>AVERAGE(B598:B962)</f>
        <v>3.0517589041095916</v>
      </c>
      <c r="F232" s="4502">
        <f>AVERAGE(B963:B1327)</f>
        <v>2.5313013698630118</v>
      </c>
      <c r="G232" s="4502">
        <f>AVERAGE(B1328:B1693)</f>
        <v>2.2089999999999987</v>
      </c>
      <c r="H232" s="4502">
        <f>AVERAGE(B1694:B1966)</f>
        <v>3.3436666666666648</v>
      </c>
      <c r="I232" s="4502">
        <f>AVERAGE(B1967:B2058)</f>
        <v>4.8744782608695632</v>
      </c>
      <c r="J232" s="4502">
        <f>AVERAGE(B2059:B2423)</f>
        <v>3.6794958904109585</v>
      </c>
      <c r="K232" s="4502">
        <f>AVERAGE(B2424:B2788)</f>
        <v>3.3365162308011604</v>
      </c>
      <c r="L232" s="4502">
        <f>AVERAGE(B2789:B3154)</f>
        <v>3.1270446679913846</v>
      </c>
      <c r="M232" s="4502">
        <f>AVERAGE(에너지비!B3155:B3519)</f>
        <v>3.0650444582814469</v>
      </c>
      <c r="N232" s="3">
        <f>AVERAGE(B3520:B3884)</f>
        <v>3.027750354274922</v>
      </c>
    </row>
    <row r="233" spans="1:14" hidden="1">
      <c r="A233" s="4501" t="s">
        <v>6964</v>
      </c>
      <c r="B233" s="3">
        <v>3.6840000000000002</v>
      </c>
      <c r="E233" s="4502"/>
      <c r="F233" s="4502"/>
      <c r="G233" s="4502"/>
      <c r="H233" s="4502"/>
      <c r="I233" s="4502"/>
      <c r="J233" s="4502"/>
      <c r="K233" s="4502"/>
      <c r="L233" s="4502"/>
      <c r="M233" s="4502"/>
    </row>
    <row r="234" spans="1:14" hidden="1">
      <c r="A234" s="4501" t="s">
        <v>6965</v>
      </c>
      <c r="B234" s="3">
        <v>3.6840000000000002</v>
      </c>
      <c r="E234" s="4502"/>
      <c r="F234" s="4502"/>
      <c r="G234" s="4502"/>
      <c r="H234" s="4502"/>
      <c r="I234" s="4502"/>
      <c r="J234" s="4502"/>
      <c r="K234" s="4502"/>
      <c r="L234" s="4502"/>
      <c r="M234" s="4502"/>
    </row>
    <row r="235" spans="1:14" hidden="1">
      <c r="A235" s="4501" t="s">
        <v>6966</v>
      </c>
      <c r="B235" s="3">
        <v>3.3170000000000002</v>
      </c>
      <c r="E235" s="4502"/>
      <c r="F235" s="4502"/>
      <c r="G235" s="4502"/>
      <c r="H235" s="4502"/>
      <c r="I235" s="4502"/>
      <c r="J235" s="4502"/>
      <c r="K235" s="4502"/>
      <c r="L235" s="4502"/>
      <c r="M235" s="4502"/>
    </row>
    <row r="236" spans="1:14" hidden="1">
      <c r="A236" s="4501" t="s">
        <v>6967</v>
      </c>
      <c r="B236" s="3">
        <v>3.2490000000000001</v>
      </c>
      <c r="E236" s="4502"/>
      <c r="F236" s="4502"/>
      <c r="G236" s="4502"/>
      <c r="H236" s="4502"/>
      <c r="I236" s="4502"/>
      <c r="J236" s="4502"/>
      <c r="K236" s="4502"/>
      <c r="L236" s="4502"/>
      <c r="M236" s="4502"/>
    </row>
    <row r="237" spans="1:14" hidden="1">
      <c r="A237" s="4501" t="s">
        <v>6968</v>
      </c>
      <c r="B237" s="3">
        <v>3.2679999999999998</v>
      </c>
      <c r="E237" s="4502"/>
      <c r="F237" s="4502"/>
      <c r="G237" s="4502"/>
      <c r="H237" s="4502"/>
      <c r="I237" s="4502"/>
      <c r="J237" s="4502"/>
      <c r="K237" s="4502"/>
      <c r="L237" s="4502"/>
      <c r="M237" s="4502"/>
    </row>
    <row r="238" spans="1:14" hidden="1">
      <c r="A238" s="4501" t="s">
        <v>6969</v>
      </c>
      <c r="B238" s="3">
        <v>3.2879999999999998</v>
      </c>
      <c r="E238" s="4502"/>
      <c r="F238" s="4502"/>
      <c r="G238" s="4502"/>
      <c r="H238" s="4502"/>
      <c r="I238" s="4502"/>
      <c r="J238" s="4502"/>
      <c r="K238" s="4502"/>
      <c r="L238" s="4502"/>
      <c r="M238" s="4502"/>
    </row>
    <row r="239" spans="1:14" hidden="1">
      <c r="A239" s="4501" t="s">
        <v>6970</v>
      </c>
      <c r="B239" s="3">
        <v>3.2879999999999998</v>
      </c>
      <c r="E239" s="4502"/>
      <c r="F239" s="4502"/>
      <c r="G239" s="4502"/>
      <c r="H239" s="4502"/>
      <c r="I239" s="4502"/>
      <c r="J239" s="4502"/>
      <c r="K239" s="4502"/>
      <c r="L239" s="4502"/>
      <c r="M239" s="4502"/>
    </row>
    <row r="240" spans="1:14" hidden="1">
      <c r="A240" s="4501" t="s">
        <v>6971</v>
      </c>
      <c r="B240" s="3">
        <v>3.2879999999999998</v>
      </c>
      <c r="E240" s="4502"/>
      <c r="F240" s="4502"/>
      <c r="G240" s="4502"/>
      <c r="H240" s="4502"/>
      <c r="I240" s="4502"/>
      <c r="J240" s="4502"/>
      <c r="K240" s="4502"/>
      <c r="L240" s="4502"/>
      <c r="M240" s="4502"/>
    </row>
    <row r="241" spans="1:13" hidden="1">
      <c r="A241" s="4501" t="s">
        <v>6972</v>
      </c>
      <c r="B241" s="3">
        <v>3.113</v>
      </c>
      <c r="E241" s="4502"/>
      <c r="F241" s="4502"/>
      <c r="G241" s="4502"/>
      <c r="H241" s="4502"/>
      <c r="I241" s="4502"/>
      <c r="J241" s="4502"/>
      <c r="K241" s="4502"/>
      <c r="L241" s="4502"/>
      <c r="M241" s="4502"/>
    </row>
    <row r="242" spans="1:13" hidden="1">
      <c r="A242" s="4501" t="s">
        <v>6973</v>
      </c>
      <c r="B242" s="3">
        <v>3.2749999999999999</v>
      </c>
      <c r="E242" s="4502"/>
      <c r="F242" s="4502"/>
      <c r="G242" s="4502"/>
      <c r="H242" s="4502"/>
      <c r="I242" s="4502"/>
      <c r="J242" s="4502"/>
      <c r="K242" s="4502"/>
      <c r="L242" s="4502"/>
      <c r="M242" s="4502"/>
    </row>
    <row r="243" spans="1:13" hidden="1">
      <c r="A243" s="4501" t="s">
        <v>6974</v>
      </c>
      <c r="B243" s="3">
        <v>3.2170000000000001</v>
      </c>
      <c r="E243" s="4502"/>
      <c r="F243" s="4502"/>
      <c r="G243" s="4502"/>
      <c r="H243" s="4502"/>
      <c r="I243" s="4502"/>
      <c r="J243" s="4502"/>
      <c r="K243" s="4502"/>
      <c r="L243" s="4502"/>
      <c r="M243" s="4502"/>
    </row>
    <row r="244" spans="1:13" hidden="1">
      <c r="A244" s="4501" t="s">
        <v>6975</v>
      </c>
      <c r="B244" s="3">
        <v>3.367</v>
      </c>
      <c r="E244" s="4502"/>
      <c r="F244" s="4502"/>
      <c r="G244" s="4502"/>
      <c r="H244" s="4502"/>
      <c r="I244" s="4502"/>
      <c r="J244" s="4502"/>
      <c r="K244" s="4502"/>
      <c r="L244" s="4502"/>
      <c r="M244" s="4502"/>
    </row>
    <row r="245" spans="1:13" hidden="1">
      <c r="A245" s="4501" t="s">
        <v>6976</v>
      </c>
      <c r="B245" s="3">
        <v>3.3959999999999999</v>
      </c>
      <c r="E245" s="4502"/>
      <c r="F245" s="4502"/>
      <c r="G245" s="4502"/>
      <c r="H245" s="4502"/>
      <c r="I245" s="4502"/>
      <c r="J245" s="4502"/>
      <c r="K245" s="4502"/>
      <c r="L245" s="4502"/>
      <c r="M245" s="4502"/>
    </row>
    <row r="246" spans="1:13" hidden="1">
      <c r="A246" s="4501" t="s">
        <v>6977</v>
      </c>
      <c r="B246" s="3">
        <v>3.3959999999999999</v>
      </c>
      <c r="E246" s="4502"/>
      <c r="F246" s="4502"/>
      <c r="G246" s="4502"/>
      <c r="H246" s="4502"/>
      <c r="I246" s="4502"/>
      <c r="J246" s="4502"/>
      <c r="K246" s="4502"/>
      <c r="L246" s="4502"/>
      <c r="M246" s="4502"/>
    </row>
    <row r="247" spans="1:13" hidden="1">
      <c r="A247" s="4501" t="s">
        <v>6978</v>
      </c>
      <c r="B247" s="3">
        <v>3.3959999999999999</v>
      </c>
      <c r="E247" s="4502"/>
      <c r="F247" s="4502"/>
      <c r="G247" s="4502"/>
      <c r="H247" s="4502"/>
      <c r="I247" s="4502"/>
      <c r="J247" s="4502"/>
      <c r="K247" s="4502"/>
      <c r="L247" s="4502"/>
      <c r="M247" s="4502"/>
    </row>
    <row r="248" spans="1:13" hidden="1">
      <c r="A248" s="4501" t="s">
        <v>6979</v>
      </c>
      <c r="B248" s="3">
        <v>3.3959999999999999</v>
      </c>
      <c r="E248" s="4502"/>
      <c r="F248" s="4502"/>
      <c r="G248" s="4502"/>
      <c r="H248" s="4502"/>
      <c r="I248" s="4502"/>
      <c r="J248" s="4502"/>
      <c r="K248" s="4502"/>
      <c r="L248" s="4502"/>
      <c r="M248" s="4502"/>
    </row>
    <row r="249" spans="1:13" hidden="1">
      <c r="A249" s="4501" t="s">
        <v>6980</v>
      </c>
      <c r="B249" s="3">
        <v>3.4049999999999998</v>
      </c>
      <c r="E249" s="4502"/>
      <c r="F249" s="4502"/>
      <c r="G249" s="4502"/>
      <c r="H249" s="4502"/>
      <c r="I249" s="4502"/>
      <c r="J249" s="4502"/>
      <c r="K249" s="4502"/>
      <c r="L249" s="4502"/>
      <c r="M249" s="4502"/>
    </row>
    <row r="250" spans="1:13" hidden="1">
      <c r="A250" s="4501" t="s">
        <v>6981</v>
      </c>
      <c r="B250" s="3">
        <v>3.294</v>
      </c>
      <c r="E250" s="4502"/>
      <c r="F250" s="4502"/>
      <c r="G250" s="4502"/>
      <c r="H250" s="4502"/>
      <c r="I250" s="4502"/>
      <c r="J250" s="4502"/>
      <c r="K250" s="4502"/>
      <c r="L250" s="4502"/>
      <c r="M250" s="4502"/>
    </row>
    <row r="251" spans="1:13" hidden="1">
      <c r="A251" s="4501" t="s">
        <v>6982</v>
      </c>
      <c r="B251" s="3">
        <v>3.36</v>
      </c>
      <c r="E251" s="4502"/>
      <c r="F251" s="4502"/>
      <c r="G251" s="4502"/>
      <c r="H251" s="4502"/>
      <c r="I251" s="4502"/>
      <c r="J251" s="4502"/>
      <c r="K251" s="4502"/>
      <c r="L251" s="4502"/>
      <c r="M251" s="4502"/>
    </row>
    <row r="252" spans="1:13" hidden="1">
      <c r="A252" s="4501" t="s">
        <v>6983</v>
      </c>
      <c r="B252" s="3">
        <v>3.2109999999999999</v>
      </c>
      <c r="E252" s="4502"/>
      <c r="F252" s="4502"/>
      <c r="G252" s="4502"/>
      <c r="H252" s="4502"/>
      <c r="I252" s="4502"/>
      <c r="J252" s="4502"/>
      <c r="K252" s="4502"/>
      <c r="L252" s="4502"/>
      <c r="M252" s="4502"/>
    </row>
    <row r="253" spans="1:13" hidden="1">
      <c r="A253" s="4501" t="s">
        <v>6984</v>
      </c>
      <c r="B253" s="3">
        <v>3.2109999999999999</v>
      </c>
      <c r="E253" s="4502"/>
      <c r="F253" s="4502"/>
      <c r="G253" s="4502"/>
      <c r="H253" s="4502"/>
      <c r="I253" s="4502"/>
      <c r="J253" s="4502"/>
      <c r="K253" s="4502"/>
      <c r="L253" s="4502"/>
      <c r="M253" s="4502"/>
    </row>
    <row r="254" spans="1:13" hidden="1">
      <c r="A254" s="4501" t="s">
        <v>6985</v>
      </c>
      <c r="B254" s="3">
        <v>3.2109999999999999</v>
      </c>
      <c r="E254" s="4502"/>
      <c r="F254" s="4502"/>
      <c r="G254" s="4502"/>
      <c r="H254" s="4502"/>
      <c r="I254" s="4502"/>
      <c r="J254" s="4502"/>
      <c r="K254" s="4502"/>
      <c r="L254" s="4502"/>
      <c r="M254" s="4502"/>
    </row>
    <row r="255" spans="1:13" hidden="1">
      <c r="A255" s="4501" t="s">
        <v>6986</v>
      </c>
      <c r="B255" s="3">
        <v>3.2570000000000001</v>
      </c>
      <c r="E255" s="4502"/>
      <c r="F255" s="4502"/>
      <c r="G255" s="4502"/>
      <c r="H255" s="4502"/>
      <c r="I255" s="4502"/>
      <c r="J255" s="4502"/>
      <c r="K255" s="4502"/>
      <c r="L255" s="4502"/>
      <c r="M255" s="4502"/>
    </row>
    <row r="256" spans="1:13" hidden="1">
      <c r="A256" s="4501" t="s">
        <v>6987</v>
      </c>
      <c r="B256" s="3">
        <v>3.2949999999999999</v>
      </c>
      <c r="E256" s="4502"/>
      <c r="F256" s="4502"/>
      <c r="G256" s="4502"/>
      <c r="H256" s="4502"/>
      <c r="I256" s="4502"/>
      <c r="J256" s="4502"/>
      <c r="K256" s="4502"/>
      <c r="L256" s="4502"/>
      <c r="M256" s="4502"/>
    </row>
    <row r="257" spans="1:13" hidden="1">
      <c r="A257" s="4501" t="s">
        <v>6988</v>
      </c>
      <c r="B257" s="3">
        <v>3.3460000000000001</v>
      </c>
      <c r="E257" s="4502"/>
      <c r="F257" s="4502"/>
      <c r="G257" s="4502"/>
      <c r="H257" s="4502"/>
      <c r="I257" s="4502"/>
      <c r="J257" s="4502"/>
      <c r="K257" s="4502"/>
      <c r="L257" s="4502"/>
      <c r="M257" s="4502"/>
    </row>
    <row r="258" spans="1:13" hidden="1">
      <c r="A258" s="4501" t="s">
        <v>6989</v>
      </c>
      <c r="B258" s="3">
        <v>3.3969999999999998</v>
      </c>
      <c r="E258" s="4502"/>
      <c r="F258" s="4502"/>
      <c r="G258" s="4502"/>
      <c r="H258" s="4502"/>
      <c r="I258" s="4502"/>
      <c r="J258" s="4502"/>
      <c r="K258" s="4502"/>
      <c r="L258" s="4502"/>
      <c r="M258" s="4502"/>
    </row>
    <row r="259" spans="1:13" hidden="1">
      <c r="A259" s="4501" t="s">
        <v>6990</v>
      </c>
      <c r="B259" s="3">
        <v>3.3580000000000001</v>
      </c>
      <c r="E259" s="4502"/>
      <c r="F259" s="4502"/>
      <c r="G259" s="4502"/>
      <c r="H259" s="4502"/>
      <c r="I259" s="4502"/>
      <c r="J259" s="4502"/>
      <c r="K259" s="4502"/>
      <c r="L259" s="4502"/>
      <c r="M259" s="4502"/>
    </row>
    <row r="260" spans="1:13" hidden="1">
      <c r="A260" s="4501" t="s">
        <v>6991</v>
      </c>
      <c r="B260" s="3">
        <v>3.3580000000000001</v>
      </c>
      <c r="E260" s="4502"/>
      <c r="F260" s="4502"/>
      <c r="G260" s="4502"/>
      <c r="H260" s="4502"/>
      <c r="I260" s="4502"/>
      <c r="J260" s="4502"/>
      <c r="K260" s="4502"/>
      <c r="L260" s="4502"/>
      <c r="M260" s="4502"/>
    </row>
    <row r="261" spans="1:13" hidden="1">
      <c r="A261" s="4501" t="s">
        <v>6992</v>
      </c>
      <c r="B261" s="3">
        <v>3.3580000000000001</v>
      </c>
      <c r="E261" s="4502"/>
      <c r="F261" s="4502"/>
      <c r="G261" s="4502"/>
      <c r="H261" s="4502"/>
      <c r="I261" s="4502"/>
      <c r="J261" s="4502"/>
      <c r="K261" s="4502"/>
      <c r="L261" s="4502"/>
      <c r="M261" s="4502"/>
    </row>
    <row r="262" spans="1:13" hidden="1">
      <c r="A262" s="4501" t="s">
        <v>6993</v>
      </c>
      <c r="B262" s="3">
        <v>3.2320000000000002</v>
      </c>
      <c r="E262" s="4502"/>
      <c r="F262" s="4502"/>
      <c r="G262" s="4502"/>
      <c r="H262" s="4502"/>
      <c r="I262" s="4502"/>
      <c r="J262" s="4502"/>
      <c r="K262" s="4502"/>
      <c r="L262" s="4502"/>
      <c r="M262" s="4502"/>
    </row>
    <row r="263" spans="1:13" hidden="1">
      <c r="A263" s="4501" t="s">
        <v>6994</v>
      </c>
      <c r="B263" s="3">
        <v>3.117</v>
      </c>
      <c r="E263" s="4502"/>
      <c r="F263" s="4502"/>
      <c r="G263" s="4502"/>
      <c r="H263" s="4502"/>
      <c r="I263" s="4502"/>
      <c r="J263" s="4502"/>
      <c r="K263" s="4502"/>
      <c r="L263" s="4502"/>
      <c r="M263" s="4502"/>
    </row>
    <row r="264" spans="1:13" hidden="1">
      <c r="A264" s="4501" t="s">
        <v>6995</v>
      </c>
      <c r="B264" s="3">
        <v>3.1680000000000001</v>
      </c>
      <c r="E264" s="4502"/>
      <c r="F264" s="4502"/>
      <c r="G264" s="4502"/>
      <c r="H264" s="4502"/>
      <c r="I264" s="4502"/>
      <c r="J264" s="4502"/>
      <c r="K264" s="4502"/>
      <c r="L264" s="4502"/>
      <c r="M264" s="4502"/>
    </row>
    <row r="265" spans="1:13" hidden="1">
      <c r="A265" s="4501" t="s">
        <v>6996</v>
      </c>
      <c r="B265" s="3">
        <v>3.1869999999999998</v>
      </c>
      <c r="E265" s="4502"/>
      <c r="F265" s="4502"/>
      <c r="G265" s="4502"/>
      <c r="H265" s="4502"/>
      <c r="I265" s="4502"/>
      <c r="J265" s="4502"/>
      <c r="K265" s="4502"/>
      <c r="L265" s="4502"/>
      <c r="M265" s="4502"/>
    </row>
    <row r="266" spans="1:13" hidden="1">
      <c r="A266" s="4501" t="s">
        <v>6997</v>
      </c>
      <c r="B266" s="3">
        <v>3.0630000000000002</v>
      </c>
      <c r="E266" s="4502"/>
      <c r="F266" s="4502"/>
      <c r="G266" s="4502"/>
      <c r="H266" s="4502"/>
      <c r="I266" s="4502"/>
      <c r="J266" s="4502"/>
      <c r="K266" s="4502"/>
      <c r="L266" s="4502"/>
      <c r="M266" s="4502"/>
    </row>
    <row r="267" spans="1:13" hidden="1">
      <c r="A267" s="4501" t="s">
        <v>6998</v>
      </c>
      <c r="B267" s="3">
        <v>3.0630000000000002</v>
      </c>
      <c r="E267" s="4502"/>
      <c r="F267" s="4502"/>
      <c r="G267" s="4502"/>
      <c r="H267" s="4502"/>
      <c r="I267" s="4502"/>
      <c r="J267" s="4502"/>
      <c r="K267" s="4502"/>
      <c r="L267" s="4502"/>
      <c r="M267" s="4502"/>
    </row>
    <row r="268" spans="1:13" hidden="1">
      <c r="A268" s="4501" t="s">
        <v>6999</v>
      </c>
      <c r="B268" s="3">
        <v>3.0630000000000002</v>
      </c>
      <c r="E268" s="4502"/>
      <c r="F268" s="4502"/>
      <c r="G268" s="4502"/>
      <c r="H268" s="4502"/>
      <c r="I268" s="4502"/>
      <c r="J268" s="4502"/>
      <c r="K268" s="4502"/>
      <c r="L268" s="4502"/>
      <c r="M268" s="4502"/>
    </row>
    <row r="269" spans="1:13" hidden="1">
      <c r="A269" s="4501" t="s">
        <v>7000</v>
      </c>
      <c r="B269" s="3">
        <v>3.05</v>
      </c>
      <c r="E269" s="4502"/>
      <c r="F269" s="4502"/>
      <c r="G269" s="4502"/>
      <c r="H269" s="4502"/>
      <c r="I269" s="4502"/>
      <c r="J269" s="4502"/>
      <c r="K269" s="4502"/>
      <c r="L269" s="4502"/>
      <c r="M269" s="4502"/>
    </row>
    <row r="270" spans="1:13" hidden="1">
      <c r="A270" s="4501" t="s">
        <v>7001</v>
      </c>
      <c r="B270" s="3">
        <v>3.13</v>
      </c>
      <c r="E270" s="4502"/>
      <c r="F270" s="4502"/>
      <c r="G270" s="4502"/>
      <c r="H270" s="4502"/>
      <c r="I270" s="4502"/>
      <c r="J270" s="4502"/>
      <c r="K270" s="4502"/>
      <c r="L270" s="4502"/>
      <c r="M270" s="4502"/>
    </row>
    <row r="271" spans="1:13" hidden="1">
      <c r="A271" s="4501" t="s">
        <v>7002</v>
      </c>
      <c r="B271" s="3">
        <v>3.1259999999999999</v>
      </c>
      <c r="E271" s="4502"/>
      <c r="F271" s="4502"/>
      <c r="G271" s="4502"/>
      <c r="H271" s="4502"/>
      <c r="I271" s="4502"/>
      <c r="J271" s="4502"/>
      <c r="K271" s="4502"/>
      <c r="L271" s="4502"/>
      <c r="M271" s="4502"/>
    </row>
    <row r="272" spans="1:13" hidden="1">
      <c r="A272" s="4501" t="s">
        <v>7003</v>
      </c>
      <c r="B272" s="3">
        <v>3.141</v>
      </c>
      <c r="E272" s="4502"/>
      <c r="F272" s="4502"/>
      <c r="G272" s="4502"/>
      <c r="H272" s="4502"/>
      <c r="I272" s="4502"/>
      <c r="J272" s="4502"/>
      <c r="K272" s="4502"/>
      <c r="L272" s="4502"/>
      <c r="M272" s="4502"/>
    </row>
    <row r="273" spans="1:13" hidden="1">
      <c r="A273" s="4501" t="s">
        <v>7004</v>
      </c>
      <c r="B273" s="3">
        <v>3.0339999999999998</v>
      </c>
      <c r="E273" s="4502"/>
      <c r="F273" s="4502"/>
      <c r="G273" s="4502"/>
      <c r="H273" s="4502"/>
      <c r="I273" s="4502"/>
      <c r="J273" s="4502"/>
      <c r="K273" s="4502"/>
      <c r="L273" s="4502"/>
      <c r="M273" s="4502"/>
    </row>
    <row r="274" spans="1:13" hidden="1">
      <c r="A274" s="4501" t="s">
        <v>7005</v>
      </c>
      <c r="B274" s="3">
        <v>3.0339999999999998</v>
      </c>
      <c r="E274" s="4502"/>
      <c r="F274" s="4502"/>
      <c r="G274" s="4502"/>
      <c r="H274" s="4502"/>
      <c r="I274" s="4502"/>
      <c r="J274" s="4502"/>
      <c r="K274" s="4502"/>
      <c r="L274" s="4502"/>
      <c r="M274" s="4502"/>
    </row>
    <row r="275" spans="1:13" hidden="1">
      <c r="A275" s="4501" t="s">
        <v>7006</v>
      </c>
      <c r="B275" s="3">
        <v>3.0339999999999998</v>
      </c>
      <c r="E275" s="4502"/>
      <c r="F275" s="4502"/>
      <c r="G275" s="4502"/>
      <c r="H275" s="4502"/>
      <c r="I275" s="4502"/>
      <c r="J275" s="4502"/>
      <c r="K275" s="4502"/>
      <c r="L275" s="4502"/>
      <c r="M275" s="4502"/>
    </row>
    <row r="276" spans="1:13" hidden="1">
      <c r="A276" s="4501" t="s">
        <v>7007</v>
      </c>
      <c r="B276" s="3">
        <v>3.032</v>
      </c>
      <c r="E276" s="4502"/>
      <c r="F276" s="4502"/>
      <c r="G276" s="4502"/>
      <c r="H276" s="4502"/>
      <c r="I276" s="4502"/>
      <c r="J276" s="4502"/>
      <c r="K276" s="4502"/>
      <c r="L276" s="4502"/>
      <c r="M276" s="4502"/>
    </row>
    <row r="277" spans="1:13" hidden="1">
      <c r="A277" s="4501" t="s">
        <v>7008</v>
      </c>
      <c r="B277" s="3">
        <v>3.0049999999999999</v>
      </c>
      <c r="E277" s="4502"/>
      <c r="F277" s="4502"/>
      <c r="G277" s="4502"/>
      <c r="H277" s="4502"/>
      <c r="I277" s="4502"/>
      <c r="J277" s="4502"/>
      <c r="K277" s="4502"/>
      <c r="L277" s="4502"/>
      <c r="M277" s="4502"/>
    </row>
    <row r="278" spans="1:13" hidden="1">
      <c r="A278" s="4501" t="s">
        <v>7009</v>
      </c>
      <c r="B278" s="3">
        <v>3.0369999999999999</v>
      </c>
      <c r="E278" s="4502"/>
      <c r="F278" s="4502"/>
      <c r="G278" s="4502"/>
      <c r="H278" s="4502"/>
      <c r="I278" s="4502"/>
      <c r="J278" s="4502"/>
      <c r="K278" s="4502"/>
      <c r="L278" s="4502"/>
      <c r="M278" s="4502"/>
    </row>
    <row r="279" spans="1:13" hidden="1">
      <c r="A279" s="4501" t="s">
        <v>7010</v>
      </c>
      <c r="B279" s="3">
        <v>2.9710000000000001</v>
      </c>
      <c r="E279" s="4502"/>
      <c r="F279" s="4502"/>
      <c r="G279" s="4502"/>
      <c r="H279" s="4502"/>
      <c r="I279" s="4502"/>
      <c r="J279" s="4502"/>
      <c r="K279" s="4502"/>
      <c r="L279" s="4502"/>
      <c r="M279" s="4502"/>
    </row>
    <row r="280" spans="1:13" hidden="1">
      <c r="A280" s="4501" t="s">
        <v>7011</v>
      </c>
      <c r="B280" s="3">
        <v>2.9510000000000001</v>
      </c>
      <c r="E280" s="4502"/>
      <c r="F280" s="4502"/>
      <c r="G280" s="4502"/>
      <c r="H280" s="4502"/>
      <c r="I280" s="4502"/>
      <c r="J280" s="4502"/>
      <c r="K280" s="4502"/>
      <c r="L280" s="4502"/>
      <c r="M280" s="4502"/>
    </row>
    <row r="281" spans="1:13" hidden="1">
      <c r="A281" s="4501" t="s">
        <v>7012</v>
      </c>
      <c r="B281" s="3">
        <v>2.9510000000000001</v>
      </c>
      <c r="E281" s="4502"/>
      <c r="F281" s="4502"/>
      <c r="G281" s="4502"/>
      <c r="H281" s="4502"/>
      <c r="I281" s="4502"/>
      <c r="J281" s="4502"/>
      <c r="K281" s="4502"/>
      <c r="L281" s="4502"/>
      <c r="M281" s="4502"/>
    </row>
    <row r="282" spans="1:13" hidden="1">
      <c r="A282" s="4501" t="s">
        <v>7013</v>
      </c>
      <c r="B282" s="3">
        <v>2.9510000000000001</v>
      </c>
      <c r="E282" s="4502"/>
      <c r="F282" s="4502"/>
      <c r="G282" s="4502"/>
      <c r="H282" s="4502"/>
      <c r="I282" s="4502"/>
      <c r="J282" s="4502"/>
      <c r="K282" s="4502"/>
      <c r="L282" s="4502"/>
      <c r="M282" s="4502"/>
    </row>
    <row r="283" spans="1:13" hidden="1">
      <c r="A283" s="4501" t="s">
        <v>7014</v>
      </c>
      <c r="B283" s="3">
        <v>2.9510000000000001</v>
      </c>
      <c r="E283" s="4502"/>
      <c r="F283" s="4502"/>
      <c r="G283" s="4502"/>
      <c r="H283" s="4502"/>
      <c r="I283" s="4502"/>
      <c r="J283" s="4502"/>
      <c r="K283" s="4502"/>
      <c r="L283" s="4502"/>
      <c r="M283" s="4502"/>
    </row>
    <row r="284" spans="1:13" hidden="1">
      <c r="A284" s="4501" t="s">
        <v>7015</v>
      </c>
      <c r="B284" s="3">
        <v>2.6909999999999998</v>
      </c>
      <c r="E284" s="4502"/>
      <c r="F284" s="4502"/>
      <c r="G284" s="4502"/>
      <c r="H284" s="4502"/>
      <c r="I284" s="4502"/>
      <c r="J284" s="4502"/>
      <c r="K284" s="4502"/>
      <c r="L284" s="4502"/>
      <c r="M284" s="4502"/>
    </row>
    <row r="285" spans="1:13" hidden="1">
      <c r="A285" s="4501" t="s">
        <v>7016</v>
      </c>
      <c r="B285" s="3">
        <v>2.7010000000000001</v>
      </c>
      <c r="E285" s="4502"/>
      <c r="F285" s="4502"/>
      <c r="G285" s="4502"/>
      <c r="H285" s="4502"/>
      <c r="I285" s="4502"/>
      <c r="J285" s="4502"/>
      <c r="K285" s="4502"/>
      <c r="L285" s="4502"/>
      <c r="M285" s="4502"/>
    </row>
    <row r="286" spans="1:13" hidden="1">
      <c r="A286" s="4501" t="s">
        <v>7017</v>
      </c>
      <c r="B286" s="3">
        <v>2.7490000000000001</v>
      </c>
      <c r="E286" s="4502"/>
      <c r="F286" s="4502"/>
      <c r="G286" s="4502"/>
      <c r="H286" s="4502"/>
      <c r="I286" s="4502"/>
      <c r="J286" s="4502"/>
      <c r="K286" s="4502"/>
      <c r="L286" s="4502"/>
      <c r="M286" s="4502"/>
    </row>
    <row r="287" spans="1:13" hidden="1">
      <c r="A287" s="4501" t="s">
        <v>7018</v>
      </c>
      <c r="B287" s="3">
        <v>2.7869999999999999</v>
      </c>
      <c r="E287" s="4502"/>
      <c r="F287" s="4502"/>
      <c r="G287" s="4502"/>
      <c r="H287" s="4502"/>
      <c r="I287" s="4502"/>
      <c r="J287" s="4502"/>
      <c r="K287" s="4502"/>
      <c r="L287" s="4502"/>
      <c r="M287" s="4502"/>
    </row>
    <row r="288" spans="1:13" hidden="1">
      <c r="A288" s="4501" t="s">
        <v>7019</v>
      </c>
      <c r="B288" s="3">
        <v>2.7869999999999999</v>
      </c>
      <c r="E288" s="4502"/>
      <c r="F288" s="4502"/>
      <c r="G288" s="4502"/>
      <c r="H288" s="4502"/>
      <c r="I288" s="4502"/>
      <c r="J288" s="4502"/>
      <c r="K288" s="4502"/>
      <c r="L288" s="4502"/>
      <c r="M288" s="4502"/>
    </row>
    <row r="289" spans="1:13" hidden="1">
      <c r="A289" s="4501" t="s">
        <v>7020</v>
      </c>
      <c r="B289" s="3">
        <v>2.7869999999999999</v>
      </c>
      <c r="E289" s="4502"/>
      <c r="F289" s="4502"/>
      <c r="G289" s="4502"/>
      <c r="H289" s="4502"/>
      <c r="I289" s="4502"/>
      <c r="J289" s="4502"/>
      <c r="K289" s="4502"/>
      <c r="L289" s="4502"/>
      <c r="M289" s="4502"/>
    </row>
    <row r="290" spans="1:13" hidden="1">
      <c r="A290" s="4501" t="s">
        <v>7021</v>
      </c>
      <c r="B290" s="3">
        <v>2.6930000000000001</v>
      </c>
      <c r="E290" s="4502"/>
      <c r="F290" s="4502"/>
      <c r="G290" s="4502"/>
      <c r="H290" s="4502"/>
      <c r="I290" s="4502"/>
      <c r="J290" s="4502"/>
      <c r="K290" s="4502"/>
      <c r="L290" s="4502"/>
      <c r="M290" s="4502"/>
    </row>
    <row r="291" spans="1:13" hidden="1">
      <c r="A291" s="4501" t="s">
        <v>7022</v>
      </c>
      <c r="B291" s="3">
        <v>2.774</v>
      </c>
      <c r="E291" s="4502"/>
      <c r="F291" s="4502"/>
      <c r="G291" s="4502"/>
      <c r="H291" s="4502"/>
      <c r="I291" s="4502"/>
      <c r="J291" s="4502"/>
      <c r="K291" s="4502"/>
      <c r="L291" s="4502"/>
      <c r="M291" s="4502"/>
    </row>
    <row r="292" spans="1:13" hidden="1">
      <c r="A292" s="4501" t="s">
        <v>7023</v>
      </c>
      <c r="B292" s="3">
        <v>2.7989999999999999</v>
      </c>
      <c r="E292" s="4502"/>
      <c r="F292" s="4502"/>
      <c r="G292" s="4502"/>
      <c r="H292" s="4502"/>
      <c r="I292" s="4502"/>
      <c r="J292" s="4502"/>
      <c r="K292" s="4502"/>
      <c r="L292" s="4502"/>
      <c r="M292" s="4502"/>
    </row>
    <row r="293" spans="1:13" hidden="1">
      <c r="A293" s="4501" t="s">
        <v>7024</v>
      </c>
      <c r="B293" s="3">
        <v>2.8039999999999998</v>
      </c>
      <c r="E293" s="4502"/>
      <c r="F293" s="4502"/>
      <c r="G293" s="4502"/>
      <c r="H293" s="4502"/>
      <c r="I293" s="4502"/>
      <c r="J293" s="4502"/>
      <c r="K293" s="4502"/>
      <c r="L293" s="4502"/>
      <c r="M293" s="4502"/>
    </row>
    <row r="294" spans="1:13" hidden="1">
      <c r="A294" s="4501" t="s">
        <v>7025</v>
      </c>
      <c r="B294" s="3">
        <v>2.827</v>
      </c>
      <c r="E294" s="4502"/>
      <c r="F294" s="4502"/>
      <c r="G294" s="4502"/>
      <c r="H294" s="4502"/>
      <c r="I294" s="4502"/>
      <c r="J294" s="4502"/>
      <c r="K294" s="4502"/>
      <c r="L294" s="4502"/>
      <c r="M294" s="4502"/>
    </row>
    <row r="295" spans="1:13" hidden="1">
      <c r="A295" s="4501" t="s">
        <v>7026</v>
      </c>
      <c r="B295" s="3">
        <v>2.827</v>
      </c>
      <c r="E295" s="4502"/>
      <c r="F295" s="4502"/>
      <c r="G295" s="4502"/>
      <c r="H295" s="4502"/>
      <c r="I295" s="4502"/>
      <c r="J295" s="4502"/>
      <c r="K295" s="4502"/>
      <c r="L295" s="4502"/>
      <c r="M295" s="4502"/>
    </row>
    <row r="296" spans="1:13" hidden="1">
      <c r="A296" s="4501" t="s">
        <v>7027</v>
      </c>
      <c r="B296" s="3">
        <v>2.827</v>
      </c>
      <c r="E296" s="4502"/>
      <c r="F296" s="4502"/>
      <c r="G296" s="4502"/>
      <c r="H296" s="4502"/>
      <c r="I296" s="4502"/>
      <c r="J296" s="4502"/>
      <c r="K296" s="4502"/>
      <c r="L296" s="4502"/>
      <c r="M296" s="4502"/>
    </row>
    <row r="297" spans="1:13" hidden="1">
      <c r="A297" s="4501" t="s">
        <v>7028</v>
      </c>
      <c r="B297" s="3">
        <v>2.9009999999999998</v>
      </c>
      <c r="E297" s="4502"/>
      <c r="F297" s="4502"/>
      <c r="G297" s="4502"/>
      <c r="H297" s="4502"/>
      <c r="I297" s="4502"/>
      <c r="J297" s="4502"/>
      <c r="K297" s="4502"/>
      <c r="L297" s="4502"/>
      <c r="M297" s="4502"/>
    </row>
    <row r="298" spans="1:13" hidden="1">
      <c r="A298" s="4501" t="s">
        <v>7029</v>
      </c>
      <c r="B298" s="3">
        <v>2.8239999999999998</v>
      </c>
      <c r="E298" s="4502"/>
      <c r="F298" s="4502"/>
      <c r="G298" s="4502"/>
      <c r="H298" s="4502"/>
      <c r="I298" s="4502"/>
      <c r="J298" s="4502"/>
      <c r="K298" s="4502"/>
      <c r="L298" s="4502"/>
      <c r="M298" s="4502"/>
    </row>
    <row r="299" spans="1:13" hidden="1">
      <c r="A299" s="4501" t="s">
        <v>7030</v>
      </c>
      <c r="B299" s="3">
        <v>2.9809999999999999</v>
      </c>
      <c r="E299" s="4502"/>
      <c r="F299" s="4502"/>
      <c r="G299" s="4502"/>
      <c r="H299" s="4502"/>
      <c r="I299" s="4502"/>
      <c r="J299" s="4502"/>
      <c r="K299" s="4502"/>
      <c r="L299" s="4502"/>
      <c r="M299" s="4502"/>
    </row>
    <row r="300" spans="1:13" hidden="1">
      <c r="A300" s="4501" t="s">
        <v>7031</v>
      </c>
      <c r="B300" s="3">
        <v>3.0459999999999998</v>
      </c>
      <c r="E300" s="4502"/>
      <c r="F300" s="4502"/>
      <c r="G300" s="4502"/>
      <c r="H300" s="4502"/>
      <c r="I300" s="4502"/>
      <c r="J300" s="4502"/>
      <c r="K300" s="4502"/>
      <c r="L300" s="4502"/>
      <c r="M300" s="4502"/>
    </row>
    <row r="301" spans="1:13" hidden="1">
      <c r="A301" s="4501" t="s">
        <v>7032</v>
      </c>
      <c r="B301" s="3">
        <v>3.0739999999999998</v>
      </c>
      <c r="E301" s="4502"/>
      <c r="F301" s="4502"/>
      <c r="G301" s="4502"/>
      <c r="H301" s="4502"/>
      <c r="I301" s="4502"/>
      <c r="J301" s="4502"/>
      <c r="K301" s="4502"/>
      <c r="L301" s="4502"/>
      <c r="M301" s="4502"/>
    </row>
    <row r="302" spans="1:13" hidden="1">
      <c r="A302" s="4501" t="s">
        <v>7033</v>
      </c>
      <c r="B302" s="3">
        <v>3.0739999999999998</v>
      </c>
      <c r="E302" s="4502"/>
      <c r="F302" s="4502"/>
      <c r="G302" s="4502"/>
      <c r="H302" s="4502"/>
      <c r="I302" s="4502"/>
      <c r="J302" s="4502"/>
      <c r="K302" s="4502"/>
      <c r="L302" s="4502"/>
      <c r="M302" s="4502"/>
    </row>
    <row r="303" spans="1:13" hidden="1">
      <c r="A303" s="4501" t="s">
        <v>7034</v>
      </c>
      <c r="B303" s="3">
        <v>3.0739999999999998</v>
      </c>
      <c r="E303" s="4502"/>
      <c r="F303" s="4502"/>
      <c r="G303" s="4502"/>
      <c r="H303" s="4502"/>
      <c r="I303" s="4502"/>
      <c r="J303" s="4502"/>
      <c r="K303" s="4502"/>
      <c r="L303" s="4502"/>
      <c r="M303" s="4502"/>
    </row>
    <row r="304" spans="1:13" hidden="1">
      <c r="A304" s="4501" t="s">
        <v>7035</v>
      </c>
      <c r="B304" s="3">
        <v>3.1070000000000002</v>
      </c>
      <c r="E304" s="4502"/>
      <c r="F304" s="4502"/>
      <c r="G304" s="4502"/>
      <c r="H304" s="4502"/>
      <c r="I304" s="4502"/>
      <c r="J304" s="4502"/>
      <c r="K304" s="4502"/>
      <c r="L304" s="4502"/>
      <c r="M304" s="4502"/>
    </row>
    <row r="305" spans="1:13" hidden="1">
      <c r="A305" s="4501" t="s">
        <v>7036</v>
      </c>
      <c r="B305" s="3">
        <v>2.9929999999999999</v>
      </c>
      <c r="E305" s="4502"/>
      <c r="F305" s="4502"/>
      <c r="G305" s="4502"/>
      <c r="H305" s="4502"/>
      <c r="I305" s="4502"/>
      <c r="J305" s="4502"/>
      <c r="K305" s="4502"/>
      <c r="L305" s="4502"/>
      <c r="M305" s="4502"/>
    </row>
    <row r="306" spans="1:13" hidden="1">
      <c r="A306" s="4501" t="s">
        <v>7037</v>
      </c>
      <c r="B306" s="3">
        <v>3.04</v>
      </c>
      <c r="E306" s="4502"/>
      <c r="F306" s="4502"/>
      <c r="G306" s="4502"/>
      <c r="H306" s="4502"/>
      <c r="I306" s="4502"/>
      <c r="J306" s="4502"/>
      <c r="K306" s="4502"/>
      <c r="L306" s="4502"/>
      <c r="M306" s="4502"/>
    </row>
    <row r="307" spans="1:13" hidden="1">
      <c r="A307" s="4501" t="s">
        <v>7038</v>
      </c>
      <c r="B307" s="3">
        <v>2.9670000000000001</v>
      </c>
      <c r="E307" s="4502"/>
      <c r="F307" s="4502"/>
      <c r="G307" s="4502"/>
      <c r="H307" s="4502"/>
      <c r="I307" s="4502"/>
      <c r="J307" s="4502"/>
      <c r="K307" s="4502"/>
      <c r="L307" s="4502"/>
      <c r="M307" s="4502"/>
    </row>
    <row r="308" spans="1:13" hidden="1">
      <c r="A308" s="4501" t="s">
        <v>7039</v>
      </c>
      <c r="B308" s="3">
        <v>3.004</v>
      </c>
      <c r="E308" s="4502"/>
      <c r="F308" s="4502"/>
      <c r="G308" s="4502"/>
      <c r="H308" s="4502"/>
      <c r="I308" s="4502"/>
      <c r="J308" s="4502"/>
      <c r="K308" s="4502"/>
      <c r="L308" s="4502"/>
      <c r="M308" s="4502"/>
    </row>
    <row r="309" spans="1:13" hidden="1">
      <c r="A309" s="4501" t="s">
        <v>7040</v>
      </c>
      <c r="B309" s="3">
        <v>3.004</v>
      </c>
      <c r="E309" s="4502"/>
      <c r="F309" s="4502"/>
      <c r="G309" s="4502"/>
      <c r="H309" s="4502"/>
      <c r="I309" s="4502"/>
      <c r="J309" s="4502"/>
      <c r="K309" s="4502"/>
      <c r="L309" s="4502"/>
      <c r="M309" s="4502"/>
    </row>
    <row r="310" spans="1:13" hidden="1">
      <c r="A310" s="4501" t="s">
        <v>7041</v>
      </c>
      <c r="B310" s="3">
        <v>3.004</v>
      </c>
      <c r="E310" s="4502"/>
      <c r="F310" s="4502"/>
      <c r="G310" s="4502"/>
      <c r="H310" s="4502"/>
      <c r="I310" s="4502"/>
      <c r="J310" s="4502"/>
      <c r="K310" s="4502"/>
      <c r="L310" s="4502"/>
      <c r="M310" s="4502"/>
    </row>
    <row r="311" spans="1:13" hidden="1">
      <c r="A311" s="4501" t="s">
        <v>7042</v>
      </c>
      <c r="B311" s="3">
        <v>3.0979999999999999</v>
      </c>
      <c r="E311" s="4502"/>
      <c r="F311" s="4502"/>
      <c r="G311" s="4502"/>
      <c r="H311" s="4502"/>
      <c r="I311" s="4502"/>
      <c r="J311" s="4502"/>
      <c r="K311" s="4502"/>
      <c r="L311" s="4502"/>
      <c r="M311" s="4502"/>
    </row>
    <row r="312" spans="1:13" hidden="1">
      <c r="A312" s="4501" t="s">
        <v>7043</v>
      </c>
      <c r="B312" s="3">
        <v>3.1549999999999998</v>
      </c>
      <c r="E312" s="4502"/>
      <c r="F312" s="4502"/>
      <c r="G312" s="4502"/>
      <c r="H312" s="4502"/>
      <c r="I312" s="4502"/>
      <c r="J312" s="4502"/>
      <c r="K312" s="4502"/>
      <c r="L312" s="4502"/>
      <c r="M312" s="4502"/>
    </row>
    <row r="313" spans="1:13" hidden="1">
      <c r="A313" s="4501" t="s">
        <v>7044</v>
      </c>
      <c r="B313" s="3">
        <v>3.073</v>
      </c>
      <c r="E313" s="4502"/>
      <c r="F313" s="4502"/>
      <c r="G313" s="4502"/>
      <c r="H313" s="4502"/>
      <c r="I313" s="4502"/>
      <c r="J313" s="4502"/>
      <c r="K313" s="4502"/>
      <c r="L313" s="4502"/>
      <c r="M313" s="4502"/>
    </row>
    <row r="314" spans="1:13" hidden="1">
      <c r="A314" s="4501" t="s">
        <v>7045</v>
      </c>
      <c r="B314" s="3">
        <v>3.1309999999999998</v>
      </c>
      <c r="E314" s="4502"/>
      <c r="F314" s="4502"/>
      <c r="G314" s="4502"/>
      <c r="H314" s="4502"/>
      <c r="I314" s="4502"/>
      <c r="J314" s="4502"/>
      <c r="K314" s="4502"/>
      <c r="L314" s="4502"/>
      <c r="M314" s="4502"/>
    </row>
    <row r="315" spans="1:13" hidden="1">
      <c r="A315" s="4501" t="s">
        <v>7046</v>
      </c>
      <c r="B315" s="3">
        <v>3.153</v>
      </c>
      <c r="E315" s="4502"/>
      <c r="F315" s="4502"/>
      <c r="G315" s="4502"/>
      <c r="H315" s="4502"/>
      <c r="I315" s="4502"/>
      <c r="J315" s="4502"/>
      <c r="K315" s="4502"/>
      <c r="L315" s="4502"/>
      <c r="M315" s="4502"/>
    </row>
    <row r="316" spans="1:13" hidden="1">
      <c r="A316" s="4501" t="s">
        <v>7047</v>
      </c>
      <c r="B316" s="3">
        <v>3.153</v>
      </c>
      <c r="E316" s="4502"/>
      <c r="F316" s="4502"/>
      <c r="G316" s="4502"/>
      <c r="H316" s="4502"/>
      <c r="I316" s="4502"/>
      <c r="J316" s="4502"/>
      <c r="K316" s="4502"/>
      <c r="L316" s="4502"/>
      <c r="M316" s="4502"/>
    </row>
    <row r="317" spans="1:13" hidden="1">
      <c r="A317" s="4501" t="s">
        <v>7048</v>
      </c>
      <c r="B317" s="3">
        <v>3.153</v>
      </c>
      <c r="E317" s="4502"/>
      <c r="F317" s="4502"/>
      <c r="G317" s="4502"/>
      <c r="H317" s="4502"/>
      <c r="I317" s="4502"/>
      <c r="J317" s="4502"/>
      <c r="K317" s="4502"/>
      <c r="L317" s="4502"/>
      <c r="M317" s="4502"/>
    </row>
    <row r="318" spans="1:13" hidden="1">
      <c r="A318" s="4501" t="s">
        <v>7049</v>
      </c>
      <c r="B318" s="3">
        <v>3.1309999999999998</v>
      </c>
      <c r="E318" s="4502"/>
      <c r="F318" s="4502"/>
      <c r="G318" s="4502"/>
      <c r="H318" s="4502"/>
      <c r="I318" s="4502"/>
      <c r="J318" s="4502"/>
      <c r="K318" s="4502"/>
      <c r="L318" s="4502"/>
      <c r="M318" s="4502"/>
    </row>
    <row r="319" spans="1:13" hidden="1">
      <c r="A319" s="4501" t="s">
        <v>7050</v>
      </c>
      <c r="B319" s="3">
        <v>3.177</v>
      </c>
      <c r="E319" s="4502"/>
      <c r="F319" s="4502"/>
      <c r="G319" s="4502"/>
      <c r="H319" s="4502"/>
      <c r="I319" s="4502"/>
      <c r="J319" s="4502"/>
      <c r="K319" s="4502"/>
      <c r="L319" s="4502"/>
      <c r="M319" s="4502"/>
    </row>
    <row r="320" spans="1:13" hidden="1">
      <c r="A320" s="4501" t="s">
        <v>7051</v>
      </c>
      <c r="B320" s="3">
        <v>3.2309999999999999</v>
      </c>
      <c r="E320" s="4502"/>
      <c r="F320" s="4502"/>
      <c r="G320" s="4502"/>
      <c r="H320" s="4502"/>
      <c r="I320" s="4502"/>
      <c r="J320" s="4502"/>
      <c r="K320" s="4502"/>
      <c r="L320" s="4502"/>
      <c r="M320" s="4502"/>
    </row>
    <row r="321" spans="1:13" hidden="1">
      <c r="A321" s="4501" t="s">
        <v>7052</v>
      </c>
      <c r="B321" s="3">
        <v>3.1909999999999998</v>
      </c>
      <c r="E321" s="4502"/>
      <c r="F321" s="4502"/>
      <c r="G321" s="4502"/>
      <c r="H321" s="4502"/>
      <c r="I321" s="4502"/>
      <c r="J321" s="4502"/>
      <c r="K321" s="4502"/>
      <c r="L321" s="4502"/>
      <c r="M321" s="4502"/>
    </row>
    <row r="322" spans="1:13" hidden="1">
      <c r="A322" s="4501" t="s">
        <v>7053</v>
      </c>
      <c r="B322" s="3">
        <v>3.19</v>
      </c>
      <c r="E322" s="4502"/>
      <c r="F322" s="4502"/>
      <c r="G322" s="4502"/>
      <c r="H322" s="4502"/>
      <c r="I322" s="4502"/>
      <c r="J322" s="4502"/>
      <c r="K322" s="4502"/>
      <c r="L322" s="4502"/>
      <c r="M322" s="4502"/>
    </row>
    <row r="323" spans="1:13" hidden="1">
      <c r="A323" s="4501" t="s">
        <v>7054</v>
      </c>
      <c r="B323" s="3">
        <v>3.19</v>
      </c>
      <c r="E323" s="4502"/>
      <c r="F323" s="4502"/>
      <c r="G323" s="4502"/>
      <c r="H323" s="4502"/>
      <c r="I323" s="4502"/>
      <c r="J323" s="4502"/>
      <c r="K323" s="4502"/>
      <c r="L323" s="4502"/>
      <c r="M323" s="4502"/>
    </row>
    <row r="324" spans="1:13" hidden="1">
      <c r="A324" s="4501" t="s">
        <v>7055</v>
      </c>
      <c r="B324" s="3">
        <v>3.19</v>
      </c>
      <c r="E324" s="4502"/>
      <c r="F324" s="4502"/>
      <c r="G324" s="4502"/>
      <c r="H324" s="4502"/>
      <c r="I324" s="4502"/>
      <c r="J324" s="4502"/>
      <c r="K324" s="4502"/>
      <c r="L324" s="4502"/>
      <c r="M324" s="4502"/>
    </row>
    <row r="325" spans="1:13" hidden="1">
      <c r="A325" s="4501" t="s">
        <v>7056</v>
      </c>
      <c r="B325" s="3">
        <v>3.1280000000000001</v>
      </c>
      <c r="E325" s="4502"/>
      <c r="F325" s="4502"/>
      <c r="G325" s="4502"/>
      <c r="H325" s="4502"/>
      <c r="I325" s="4502"/>
      <c r="J325" s="4502"/>
      <c r="K325" s="4502"/>
      <c r="L325" s="4502"/>
      <c r="M325" s="4502"/>
    </row>
    <row r="326" spans="1:13" hidden="1">
      <c r="A326" s="4501" t="s">
        <v>7057</v>
      </c>
      <c r="B326" s="3">
        <v>3.2930000000000001</v>
      </c>
      <c r="E326" s="4502"/>
      <c r="F326" s="4502"/>
      <c r="G326" s="4502"/>
      <c r="H326" s="4502"/>
      <c r="I326" s="4502"/>
      <c r="J326" s="4502"/>
      <c r="K326" s="4502"/>
      <c r="L326" s="4502"/>
      <c r="M326" s="4502"/>
    </row>
    <row r="327" spans="1:13" hidden="1">
      <c r="A327" s="4501" t="s">
        <v>7058</v>
      </c>
      <c r="B327" s="3">
        <v>3.266</v>
      </c>
      <c r="E327" s="4502"/>
      <c r="F327" s="4502"/>
      <c r="G327" s="4502"/>
      <c r="H327" s="4502"/>
      <c r="I327" s="4502"/>
      <c r="J327" s="4502"/>
      <c r="K327" s="4502"/>
      <c r="L327" s="4502"/>
      <c r="M327" s="4502"/>
    </row>
    <row r="328" spans="1:13" hidden="1">
      <c r="A328" s="4501" t="s">
        <v>7059</v>
      </c>
      <c r="B328" s="3">
        <v>3.331</v>
      </c>
      <c r="E328" s="4502"/>
      <c r="F328" s="4502"/>
      <c r="G328" s="4502"/>
      <c r="H328" s="4502"/>
      <c r="I328" s="4502"/>
      <c r="J328" s="4502"/>
      <c r="K328" s="4502"/>
      <c r="L328" s="4502"/>
      <c r="M328" s="4502"/>
    </row>
    <row r="329" spans="1:13" hidden="1">
      <c r="A329" s="4501" t="s">
        <v>7060</v>
      </c>
      <c r="B329" s="3">
        <v>3.2610000000000001</v>
      </c>
      <c r="E329" s="4502"/>
      <c r="F329" s="4502"/>
      <c r="G329" s="4502"/>
      <c r="H329" s="4502"/>
      <c r="I329" s="4502"/>
      <c r="J329" s="4502"/>
      <c r="K329" s="4502"/>
      <c r="L329" s="4502"/>
      <c r="M329" s="4502"/>
    </row>
    <row r="330" spans="1:13" hidden="1">
      <c r="A330" s="4501" t="s">
        <v>7061</v>
      </c>
      <c r="B330" s="3">
        <v>3.2610000000000001</v>
      </c>
      <c r="E330" s="4502"/>
      <c r="F330" s="4502"/>
      <c r="G330" s="4502"/>
      <c r="H330" s="4502"/>
      <c r="I330" s="4502"/>
      <c r="J330" s="4502"/>
      <c r="K330" s="4502"/>
      <c r="L330" s="4502"/>
      <c r="M330" s="4502"/>
    </row>
    <row r="331" spans="1:13" hidden="1">
      <c r="A331" s="4501" t="s">
        <v>7062</v>
      </c>
      <c r="B331" s="3">
        <v>3.2610000000000001</v>
      </c>
      <c r="E331" s="4502"/>
      <c r="F331" s="4502"/>
      <c r="G331" s="4502"/>
      <c r="H331" s="4502"/>
      <c r="I331" s="4502"/>
      <c r="J331" s="4502"/>
      <c r="K331" s="4502"/>
      <c r="L331" s="4502"/>
      <c r="M331" s="4502"/>
    </row>
    <row r="332" spans="1:13" hidden="1">
      <c r="A332" s="4501" t="s">
        <v>7063</v>
      </c>
      <c r="B332" s="3">
        <v>3.238</v>
      </c>
      <c r="E332" s="4502"/>
      <c r="F332" s="4502"/>
      <c r="G332" s="4502"/>
      <c r="H332" s="4502"/>
      <c r="I332" s="4502"/>
      <c r="J332" s="4502"/>
      <c r="K332" s="4502"/>
      <c r="L332" s="4502"/>
      <c r="M332" s="4502"/>
    </row>
    <row r="333" spans="1:13" hidden="1">
      <c r="A333" s="4501" t="s">
        <v>7064</v>
      </c>
      <c r="B333" s="3">
        <v>3.15</v>
      </c>
      <c r="E333" s="4502"/>
      <c r="F333" s="4502"/>
      <c r="G333" s="4502"/>
      <c r="H333" s="4502"/>
      <c r="I333" s="4502"/>
      <c r="J333" s="4502"/>
      <c r="K333" s="4502"/>
      <c r="L333" s="4502"/>
      <c r="M333" s="4502"/>
    </row>
    <row r="334" spans="1:13" hidden="1">
      <c r="A334" s="4501" t="s">
        <v>7065</v>
      </c>
      <c r="B334" s="3">
        <v>3.1869999999999998</v>
      </c>
      <c r="E334" s="4502"/>
      <c r="F334" s="4502"/>
      <c r="G334" s="4502"/>
      <c r="H334" s="4502"/>
      <c r="I334" s="4502"/>
      <c r="J334" s="4502"/>
      <c r="K334" s="4502"/>
      <c r="L334" s="4502"/>
      <c r="M334" s="4502"/>
    </row>
    <row r="335" spans="1:13" hidden="1">
      <c r="A335" s="4501" t="s">
        <v>7066</v>
      </c>
      <c r="B335" s="3">
        <v>3.3069999999999999</v>
      </c>
      <c r="E335" s="4502"/>
      <c r="F335" s="4502"/>
      <c r="G335" s="4502"/>
      <c r="H335" s="4502"/>
      <c r="I335" s="4502"/>
      <c r="J335" s="4502"/>
      <c r="K335" s="4502"/>
      <c r="L335" s="4502"/>
      <c r="M335" s="4502"/>
    </row>
    <row r="336" spans="1:13" hidden="1">
      <c r="A336" s="4501" t="s">
        <v>7067</v>
      </c>
      <c r="B336" s="3">
        <v>3.3069999999999999</v>
      </c>
      <c r="E336" s="4502"/>
      <c r="F336" s="4502"/>
      <c r="G336" s="4502"/>
      <c r="H336" s="4502"/>
      <c r="I336" s="4502"/>
      <c r="J336" s="4502"/>
      <c r="K336" s="4502"/>
      <c r="L336" s="4502"/>
      <c r="M336" s="4502"/>
    </row>
    <row r="337" spans="1:13" hidden="1">
      <c r="A337" s="4501" t="s">
        <v>7068</v>
      </c>
      <c r="B337" s="3">
        <v>3.3069999999999999</v>
      </c>
      <c r="E337" s="4502"/>
      <c r="F337" s="4502"/>
      <c r="G337" s="4502"/>
      <c r="H337" s="4502"/>
      <c r="I337" s="4502"/>
      <c r="J337" s="4502"/>
      <c r="K337" s="4502"/>
      <c r="L337" s="4502"/>
      <c r="M337" s="4502"/>
    </row>
    <row r="338" spans="1:13" hidden="1">
      <c r="A338" s="4501" t="s">
        <v>7069</v>
      </c>
      <c r="B338" s="3">
        <v>3.3069999999999999</v>
      </c>
      <c r="E338" s="4502"/>
      <c r="F338" s="4502"/>
      <c r="G338" s="4502"/>
      <c r="H338" s="4502"/>
      <c r="I338" s="4502"/>
      <c r="J338" s="4502"/>
      <c r="K338" s="4502"/>
      <c r="L338" s="4502"/>
      <c r="M338" s="4502"/>
    </row>
    <row r="339" spans="1:13" hidden="1">
      <c r="A339" s="4501" t="s">
        <v>7070</v>
      </c>
      <c r="B339" s="3">
        <v>3.2509999999999999</v>
      </c>
      <c r="E339" s="4502"/>
      <c r="F339" s="4502"/>
      <c r="G339" s="4502"/>
      <c r="H339" s="4502"/>
      <c r="I339" s="4502"/>
      <c r="J339" s="4502"/>
      <c r="K339" s="4502"/>
      <c r="L339" s="4502"/>
      <c r="M339" s="4502"/>
    </row>
    <row r="340" spans="1:13" hidden="1">
      <c r="A340" s="4501" t="s">
        <v>7071</v>
      </c>
      <c r="B340" s="3">
        <v>3.2360000000000002</v>
      </c>
      <c r="E340" s="4502"/>
      <c r="F340" s="4502"/>
      <c r="G340" s="4502"/>
      <c r="H340" s="4502"/>
      <c r="I340" s="4502"/>
      <c r="J340" s="4502"/>
      <c r="K340" s="4502"/>
      <c r="L340" s="4502"/>
      <c r="M340" s="4502"/>
    </row>
    <row r="341" spans="1:13" hidden="1">
      <c r="A341" s="4501" t="s">
        <v>7072</v>
      </c>
      <c r="B341" s="3">
        <v>3.2759999999999998</v>
      </c>
      <c r="E341" s="4502"/>
      <c r="F341" s="4502"/>
      <c r="G341" s="4502"/>
      <c r="H341" s="4502"/>
      <c r="I341" s="4502"/>
      <c r="J341" s="4502"/>
      <c r="K341" s="4502"/>
      <c r="L341" s="4502"/>
      <c r="M341" s="4502"/>
    </row>
    <row r="342" spans="1:13" hidden="1">
      <c r="A342" s="4501" t="s">
        <v>7073</v>
      </c>
      <c r="B342" s="3">
        <v>3.25</v>
      </c>
      <c r="E342" s="4502"/>
      <c r="F342" s="4502"/>
      <c r="G342" s="4502"/>
      <c r="H342" s="4502"/>
      <c r="I342" s="4502"/>
      <c r="J342" s="4502"/>
      <c r="K342" s="4502"/>
      <c r="L342" s="4502"/>
      <c r="M342" s="4502"/>
    </row>
    <row r="343" spans="1:13" hidden="1">
      <c r="A343" s="4501" t="s">
        <v>7074</v>
      </c>
      <c r="B343" s="3">
        <v>3.1920000000000002</v>
      </c>
      <c r="E343" s="4502"/>
      <c r="F343" s="4502"/>
      <c r="G343" s="4502"/>
      <c r="H343" s="4502"/>
      <c r="I343" s="4502"/>
      <c r="J343" s="4502"/>
      <c r="K343" s="4502"/>
      <c r="L343" s="4502"/>
      <c r="M343" s="4502"/>
    </row>
    <row r="344" spans="1:13" hidden="1">
      <c r="A344" s="4501" t="s">
        <v>7075</v>
      </c>
      <c r="B344" s="3">
        <v>3.1920000000000002</v>
      </c>
      <c r="E344" s="4502"/>
      <c r="F344" s="4502"/>
      <c r="G344" s="4502"/>
      <c r="H344" s="4502"/>
      <c r="I344" s="4502"/>
      <c r="J344" s="4502"/>
      <c r="K344" s="4502"/>
      <c r="L344" s="4502"/>
      <c r="M344" s="4502"/>
    </row>
    <row r="345" spans="1:13" hidden="1">
      <c r="A345" s="4501" t="s">
        <v>7076</v>
      </c>
      <c r="B345" s="3">
        <v>3.1920000000000002</v>
      </c>
      <c r="E345" s="4502"/>
      <c r="F345" s="4502"/>
      <c r="G345" s="4502"/>
      <c r="H345" s="4502"/>
      <c r="I345" s="4502"/>
      <c r="J345" s="4502"/>
      <c r="K345" s="4502"/>
      <c r="L345" s="4502"/>
      <c r="M345" s="4502"/>
    </row>
    <row r="346" spans="1:13" hidden="1">
      <c r="A346" s="4501" t="s">
        <v>7077</v>
      </c>
      <c r="B346" s="3">
        <v>3.16</v>
      </c>
      <c r="E346" s="4502"/>
      <c r="F346" s="4502"/>
      <c r="G346" s="4502"/>
      <c r="H346" s="4502"/>
      <c r="I346" s="4502"/>
      <c r="J346" s="4502"/>
      <c r="K346" s="4502"/>
      <c r="L346" s="4502"/>
      <c r="M346" s="4502"/>
    </row>
    <row r="347" spans="1:13" hidden="1">
      <c r="A347" s="4501" t="s">
        <v>7078</v>
      </c>
      <c r="B347" s="3">
        <v>3.165</v>
      </c>
      <c r="E347" s="4502"/>
      <c r="F347" s="4502"/>
      <c r="G347" s="4502"/>
      <c r="H347" s="4502"/>
      <c r="I347" s="4502"/>
      <c r="J347" s="4502"/>
      <c r="K347" s="4502"/>
      <c r="L347" s="4502"/>
      <c r="M347" s="4502"/>
    </row>
    <row r="348" spans="1:13" hidden="1">
      <c r="A348" s="4501" t="s">
        <v>7079</v>
      </c>
      <c r="B348" s="3">
        <v>3.2709999999999999</v>
      </c>
      <c r="E348" s="4502"/>
      <c r="F348" s="4502"/>
      <c r="G348" s="4502"/>
      <c r="H348" s="4502"/>
      <c r="I348" s="4502"/>
      <c r="J348" s="4502"/>
      <c r="K348" s="4502"/>
      <c r="L348" s="4502"/>
      <c r="M348" s="4502"/>
    </row>
    <row r="349" spans="1:13" hidden="1">
      <c r="A349" s="4501" t="s">
        <v>7080</v>
      </c>
      <c r="B349" s="3">
        <v>3.2389999999999999</v>
      </c>
      <c r="E349" s="4502"/>
      <c r="F349" s="4502"/>
      <c r="G349" s="4502"/>
      <c r="H349" s="4502"/>
      <c r="I349" s="4502"/>
      <c r="J349" s="4502"/>
      <c r="K349" s="4502"/>
      <c r="L349" s="4502"/>
      <c r="M349" s="4502"/>
    </row>
    <row r="350" spans="1:13" hidden="1">
      <c r="A350" s="4501" t="s">
        <v>7081</v>
      </c>
      <c r="B350" s="3">
        <v>3.2759999999999998</v>
      </c>
      <c r="E350" s="4502"/>
      <c r="F350" s="4502"/>
      <c r="G350" s="4502"/>
      <c r="H350" s="4502"/>
      <c r="I350" s="4502"/>
      <c r="J350" s="4502"/>
      <c r="K350" s="4502"/>
      <c r="L350" s="4502"/>
      <c r="M350" s="4502"/>
    </row>
    <row r="351" spans="1:13" hidden="1">
      <c r="A351" s="4501" t="s">
        <v>7082</v>
      </c>
      <c r="B351" s="3">
        <v>3.2759999999999998</v>
      </c>
      <c r="E351" s="4502"/>
      <c r="F351" s="4502"/>
      <c r="G351" s="4502"/>
      <c r="H351" s="4502"/>
      <c r="I351" s="4502"/>
      <c r="J351" s="4502"/>
      <c r="K351" s="4502"/>
      <c r="L351" s="4502"/>
      <c r="M351" s="4502"/>
    </row>
    <row r="352" spans="1:13" hidden="1">
      <c r="A352" s="4501" t="s">
        <v>7083</v>
      </c>
      <c r="B352" s="3">
        <v>3.2759999999999998</v>
      </c>
      <c r="E352" s="4502"/>
      <c r="F352" s="4502"/>
      <c r="G352" s="4502"/>
      <c r="H352" s="4502"/>
      <c r="I352" s="4502"/>
      <c r="J352" s="4502"/>
      <c r="K352" s="4502"/>
      <c r="L352" s="4502"/>
      <c r="M352" s="4502"/>
    </row>
    <row r="353" spans="1:13" hidden="1">
      <c r="A353" s="4501" t="s">
        <v>7084</v>
      </c>
      <c r="B353" s="3">
        <v>3.2149999999999999</v>
      </c>
      <c r="E353" s="4502"/>
      <c r="F353" s="4502"/>
      <c r="G353" s="4502"/>
      <c r="H353" s="4502"/>
      <c r="I353" s="4502"/>
      <c r="J353" s="4502"/>
      <c r="K353" s="4502"/>
      <c r="L353" s="4502"/>
      <c r="M353" s="4502"/>
    </row>
    <row r="354" spans="1:13" hidden="1">
      <c r="A354" s="4501" t="s">
        <v>7085</v>
      </c>
      <c r="B354" s="3">
        <v>3.1949999999999998</v>
      </c>
      <c r="E354" s="4502"/>
      <c r="F354" s="4502"/>
      <c r="G354" s="4502"/>
      <c r="H354" s="4502"/>
      <c r="I354" s="4502"/>
      <c r="J354" s="4502"/>
      <c r="K354" s="4502"/>
      <c r="L354" s="4502"/>
      <c r="M354" s="4502"/>
    </row>
    <row r="355" spans="1:13" hidden="1">
      <c r="A355" s="4501" t="s">
        <v>7086</v>
      </c>
      <c r="B355" s="3">
        <v>3.2280000000000002</v>
      </c>
      <c r="E355" s="4502"/>
      <c r="F355" s="4502"/>
      <c r="G355" s="4502"/>
      <c r="H355" s="4502"/>
      <c r="I355" s="4502"/>
      <c r="J355" s="4502"/>
      <c r="K355" s="4502"/>
      <c r="L355" s="4502"/>
      <c r="M355" s="4502"/>
    </row>
    <row r="356" spans="1:13" hidden="1">
      <c r="A356" s="4501" t="s">
        <v>7087</v>
      </c>
      <c r="B356" s="3">
        <v>3.1859999999999999</v>
      </c>
      <c r="E356" s="4502"/>
      <c r="F356" s="4502"/>
      <c r="G356" s="4502"/>
      <c r="H356" s="4502"/>
      <c r="I356" s="4502"/>
      <c r="J356" s="4502"/>
      <c r="K356" s="4502"/>
      <c r="L356" s="4502"/>
      <c r="M356" s="4502"/>
    </row>
    <row r="357" spans="1:13" hidden="1">
      <c r="A357" s="4501" t="s">
        <v>7088</v>
      </c>
      <c r="B357" s="3">
        <v>3.266</v>
      </c>
      <c r="E357" s="4502"/>
      <c r="F357" s="4502"/>
      <c r="G357" s="4502"/>
      <c r="H357" s="4502"/>
      <c r="I357" s="4502"/>
      <c r="J357" s="4502"/>
      <c r="K357" s="4502"/>
      <c r="L357" s="4502"/>
      <c r="M357" s="4502"/>
    </row>
    <row r="358" spans="1:13" hidden="1">
      <c r="A358" s="4501" t="s">
        <v>7089</v>
      </c>
      <c r="B358" s="3">
        <v>3.266</v>
      </c>
      <c r="E358" s="4502"/>
      <c r="F358" s="4502"/>
      <c r="G358" s="4502"/>
      <c r="H358" s="4502"/>
      <c r="I358" s="4502"/>
      <c r="J358" s="4502"/>
      <c r="K358" s="4502"/>
      <c r="L358" s="4502"/>
      <c r="M358" s="4502"/>
    </row>
    <row r="359" spans="1:13" hidden="1">
      <c r="A359" s="4501" t="s">
        <v>7090</v>
      </c>
      <c r="B359" s="3">
        <v>3.266</v>
      </c>
      <c r="E359" s="4502"/>
      <c r="F359" s="4502"/>
      <c r="G359" s="4502"/>
      <c r="H359" s="4502"/>
      <c r="I359" s="4502"/>
      <c r="J359" s="4502"/>
      <c r="K359" s="4502"/>
      <c r="L359" s="4502"/>
      <c r="M359" s="4502"/>
    </row>
    <row r="360" spans="1:13" hidden="1">
      <c r="A360" s="4501" t="s">
        <v>7091</v>
      </c>
      <c r="B360" s="3">
        <v>3.1720000000000002</v>
      </c>
      <c r="E360" s="4502"/>
      <c r="F360" s="4502"/>
      <c r="G360" s="4502"/>
      <c r="H360" s="4502"/>
      <c r="I360" s="4502"/>
      <c r="J360" s="4502"/>
      <c r="K360" s="4502"/>
      <c r="L360" s="4502"/>
      <c r="M360" s="4502"/>
    </row>
    <row r="361" spans="1:13" hidden="1">
      <c r="A361" s="4501" t="s">
        <v>7092</v>
      </c>
      <c r="B361" s="3">
        <v>3.2269999999999999</v>
      </c>
      <c r="E361" s="4502"/>
      <c r="F361" s="4502"/>
      <c r="G361" s="4502"/>
      <c r="H361" s="4502"/>
      <c r="I361" s="4502"/>
      <c r="J361" s="4502"/>
      <c r="K361" s="4502"/>
      <c r="L361" s="4502"/>
      <c r="M361" s="4502"/>
    </row>
    <row r="362" spans="1:13" hidden="1">
      <c r="A362" s="4501" t="s">
        <v>7093</v>
      </c>
      <c r="B362" s="3">
        <v>3.2919999999999998</v>
      </c>
      <c r="E362" s="4502"/>
      <c r="F362" s="4502"/>
      <c r="G362" s="4502"/>
      <c r="H362" s="4502"/>
      <c r="I362" s="4502"/>
      <c r="J362" s="4502"/>
      <c r="K362" s="4502"/>
      <c r="L362" s="4502"/>
      <c r="M362" s="4502"/>
    </row>
    <row r="363" spans="1:13" hidden="1">
      <c r="A363" s="4501" t="s">
        <v>7094</v>
      </c>
      <c r="B363" s="3">
        <v>3.3759999999999999</v>
      </c>
      <c r="E363" s="4502"/>
      <c r="F363" s="4502"/>
      <c r="G363" s="4502"/>
      <c r="H363" s="4502"/>
      <c r="I363" s="4502"/>
      <c r="J363" s="4502"/>
      <c r="K363" s="4502"/>
      <c r="L363" s="4502"/>
      <c r="M363" s="4502"/>
    </row>
    <row r="364" spans="1:13" hidden="1">
      <c r="A364" s="4501" t="s">
        <v>7095</v>
      </c>
      <c r="B364" s="3">
        <v>3.4239999999999999</v>
      </c>
      <c r="E364" s="4502"/>
      <c r="F364" s="4502"/>
      <c r="G364" s="4502"/>
      <c r="H364" s="4502"/>
      <c r="I364" s="4502"/>
      <c r="J364" s="4502"/>
      <c r="K364" s="4502"/>
      <c r="L364" s="4502"/>
      <c r="M364" s="4502"/>
    </row>
    <row r="365" spans="1:13" hidden="1">
      <c r="A365" s="4501" t="s">
        <v>7096</v>
      </c>
      <c r="B365" s="3">
        <v>3.4239999999999999</v>
      </c>
      <c r="E365" s="4502"/>
      <c r="F365" s="4502"/>
      <c r="G365" s="4502"/>
      <c r="H365" s="4502"/>
      <c r="I365" s="4502"/>
      <c r="J365" s="4502"/>
      <c r="K365" s="4502"/>
      <c r="L365" s="4502"/>
      <c r="M365" s="4502"/>
    </row>
    <row r="366" spans="1:13" hidden="1">
      <c r="A366" s="4501" t="s">
        <v>7097</v>
      </c>
      <c r="B366" s="3">
        <v>3.4239999999999999</v>
      </c>
      <c r="E366" s="4502"/>
      <c r="F366" s="4502"/>
      <c r="G366" s="4502"/>
      <c r="H366" s="4502"/>
      <c r="I366" s="4502"/>
      <c r="J366" s="4502"/>
      <c r="K366" s="4502"/>
      <c r="L366" s="4502"/>
      <c r="M366" s="4502"/>
    </row>
    <row r="367" spans="1:13" hidden="1">
      <c r="A367" s="4501" t="s">
        <v>7098</v>
      </c>
      <c r="B367" s="3">
        <v>3.4489999999999998</v>
      </c>
      <c r="E367" s="4502"/>
      <c r="F367" s="4502"/>
      <c r="G367" s="4502"/>
      <c r="H367" s="4502"/>
      <c r="I367" s="4502"/>
      <c r="J367" s="4502"/>
      <c r="K367" s="4502"/>
      <c r="L367" s="4502"/>
      <c r="M367" s="4502"/>
    </row>
    <row r="368" spans="1:13" hidden="1">
      <c r="A368" s="4501" t="s">
        <v>7099</v>
      </c>
      <c r="B368" s="3">
        <v>3.3519999999999999</v>
      </c>
      <c r="E368" s="4502"/>
      <c r="F368" s="4502"/>
      <c r="G368" s="4502"/>
      <c r="H368" s="4502"/>
      <c r="I368" s="4502"/>
      <c r="J368" s="4502"/>
      <c r="K368" s="4502"/>
      <c r="L368" s="4502"/>
      <c r="M368" s="4502"/>
    </row>
    <row r="369" spans="1:13" hidden="1">
      <c r="A369" s="4501" t="s">
        <v>7100</v>
      </c>
      <c r="B369" s="3">
        <v>3.33</v>
      </c>
      <c r="E369" s="4502"/>
      <c r="F369" s="4502"/>
      <c r="G369" s="4502"/>
      <c r="H369" s="4502"/>
      <c r="I369" s="4502"/>
      <c r="J369" s="4502"/>
      <c r="K369" s="4502"/>
      <c r="L369" s="4502"/>
      <c r="M369" s="4502"/>
    </row>
    <row r="370" spans="1:13" hidden="1">
      <c r="A370" s="4501" t="s">
        <v>7101</v>
      </c>
      <c r="B370" s="3">
        <v>3.3340000000000001</v>
      </c>
      <c r="E370" s="4502"/>
      <c r="F370" s="4502"/>
      <c r="G370" s="4502"/>
      <c r="H370" s="4502"/>
      <c r="I370" s="4502"/>
      <c r="J370" s="4502"/>
      <c r="K370" s="4502"/>
      <c r="L370" s="4502"/>
      <c r="M370" s="4502"/>
    </row>
    <row r="371" spans="1:13" hidden="1">
      <c r="A371" s="4501" t="s">
        <v>7102</v>
      </c>
      <c r="B371" s="3">
        <v>3.3959999999999999</v>
      </c>
      <c r="E371" s="4502"/>
      <c r="F371" s="4502"/>
      <c r="G371" s="4502"/>
      <c r="H371" s="4502"/>
      <c r="I371" s="4502"/>
      <c r="J371" s="4502"/>
      <c r="K371" s="4502"/>
      <c r="L371" s="4502"/>
      <c r="M371" s="4502"/>
    </row>
    <row r="372" spans="1:13" hidden="1">
      <c r="A372" s="4501" t="s">
        <v>7103</v>
      </c>
      <c r="B372" s="3">
        <v>3.3959999999999999</v>
      </c>
      <c r="E372" s="4502"/>
      <c r="F372" s="4502"/>
      <c r="G372" s="4502"/>
      <c r="H372" s="4502"/>
      <c r="I372" s="4502"/>
      <c r="J372" s="4502"/>
      <c r="K372" s="4502"/>
      <c r="L372" s="4502"/>
      <c r="M372" s="4502"/>
    </row>
    <row r="373" spans="1:13" hidden="1">
      <c r="A373" s="4501" t="s">
        <v>7104</v>
      </c>
      <c r="B373" s="3">
        <v>3.3959999999999999</v>
      </c>
      <c r="E373" s="4502"/>
      <c r="F373" s="4502"/>
      <c r="G373" s="4502"/>
      <c r="H373" s="4502"/>
      <c r="I373" s="4502"/>
      <c r="J373" s="4502"/>
      <c r="K373" s="4502"/>
      <c r="L373" s="4502"/>
      <c r="M373" s="4502"/>
    </row>
    <row r="374" spans="1:13" hidden="1">
      <c r="A374" s="4501" t="s">
        <v>7105</v>
      </c>
      <c r="B374" s="3">
        <v>3.4569999999999999</v>
      </c>
      <c r="E374" s="4502"/>
      <c r="F374" s="4502"/>
      <c r="G374" s="4502"/>
      <c r="H374" s="4502"/>
      <c r="I374" s="4502"/>
      <c r="J374" s="4502"/>
      <c r="K374" s="4502"/>
      <c r="L374" s="4502"/>
      <c r="M374" s="4502"/>
    </row>
    <row r="375" spans="1:13" hidden="1">
      <c r="A375" s="4501" t="s">
        <v>7106</v>
      </c>
      <c r="B375" s="3">
        <v>3.3570000000000002</v>
      </c>
      <c r="E375" s="4502"/>
      <c r="F375" s="4502"/>
      <c r="G375" s="4502"/>
      <c r="H375" s="4502"/>
      <c r="I375" s="4502"/>
      <c r="J375" s="4502"/>
      <c r="K375" s="4502"/>
      <c r="L375" s="4502"/>
      <c r="M375" s="4502"/>
    </row>
    <row r="376" spans="1:13" hidden="1">
      <c r="A376" s="4501" t="s">
        <v>7107</v>
      </c>
      <c r="B376" s="3">
        <v>3.3439999999999999</v>
      </c>
      <c r="E376" s="4502"/>
      <c r="F376" s="4502"/>
      <c r="G376" s="4502"/>
      <c r="H376" s="4502"/>
      <c r="I376" s="4502"/>
      <c r="J376" s="4502"/>
      <c r="K376" s="4502"/>
      <c r="L376" s="4502"/>
      <c r="M376" s="4502"/>
    </row>
    <row r="377" spans="1:13" hidden="1">
      <c r="A377" s="4501" t="s">
        <v>7108</v>
      </c>
      <c r="B377" s="3">
        <v>3.3220000000000001</v>
      </c>
      <c r="E377" s="4502"/>
      <c r="F377" s="4502"/>
      <c r="G377" s="4502"/>
      <c r="H377" s="4502"/>
      <c r="I377" s="4502"/>
      <c r="J377" s="4502"/>
      <c r="K377" s="4502"/>
      <c r="L377" s="4502"/>
      <c r="M377" s="4502"/>
    </row>
    <row r="378" spans="1:13" hidden="1">
      <c r="A378" s="4501" t="s">
        <v>7109</v>
      </c>
      <c r="B378" s="3">
        <v>3.3420000000000001</v>
      </c>
      <c r="E378" s="4502"/>
      <c r="F378" s="4502"/>
      <c r="G378" s="4502"/>
      <c r="H378" s="4502"/>
      <c r="I378" s="4502"/>
      <c r="J378" s="4502"/>
      <c r="K378" s="4502"/>
      <c r="L378" s="4502"/>
      <c r="M378" s="4502"/>
    </row>
    <row r="379" spans="1:13" hidden="1">
      <c r="A379" s="4501" t="s">
        <v>7110</v>
      </c>
      <c r="B379" s="3">
        <v>3.3420000000000001</v>
      </c>
      <c r="E379" s="4502"/>
      <c r="F379" s="4502"/>
      <c r="G379" s="4502"/>
      <c r="H379" s="4502"/>
      <c r="I379" s="4502"/>
      <c r="J379" s="4502"/>
      <c r="K379" s="4502"/>
      <c r="L379" s="4502"/>
      <c r="M379" s="4502"/>
    </row>
    <row r="380" spans="1:13" hidden="1">
      <c r="A380" s="4501" t="s">
        <v>7111</v>
      </c>
      <c r="B380" s="3">
        <v>3.3420000000000001</v>
      </c>
      <c r="E380" s="4502"/>
      <c r="F380" s="4502"/>
      <c r="G380" s="4502"/>
      <c r="H380" s="4502"/>
      <c r="I380" s="4502"/>
      <c r="J380" s="4502"/>
      <c r="K380" s="4502"/>
      <c r="L380" s="4502"/>
      <c r="M380" s="4502"/>
    </row>
    <row r="381" spans="1:13" hidden="1">
      <c r="A381" s="4501" t="s">
        <v>7112</v>
      </c>
      <c r="B381" s="3">
        <v>3.3420000000000001</v>
      </c>
      <c r="E381" s="4502"/>
      <c r="F381" s="4502"/>
      <c r="G381" s="4502"/>
      <c r="H381" s="4502"/>
      <c r="I381" s="4502"/>
      <c r="J381" s="4502"/>
      <c r="K381" s="4502"/>
      <c r="L381" s="4502"/>
      <c r="M381" s="4502"/>
    </row>
    <row r="382" spans="1:13" hidden="1">
      <c r="A382" s="4501" t="s">
        <v>7113</v>
      </c>
      <c r="B382" s="3">
        <v>3.1909999999999998</v>
      </c>
      <c r="E382" s="4502"/>
      <c r="F382" s="4502"/>
      <c r="G382" s="4502"/>
      <c r="H382" s="4502"/>
      <c r="I382" s="4502"/>
      <c r="J382" s="4502"/>
      <c r="K382" s="4502"/>
      <c r="L382" s="4502"/>
      <c r="M382" s="4502"/>
    </row>
    <row r="383" spans="1:13" hidden="1">
      <c r="A383" s="4501" t="s">
        <v>7114</v>
      </c>
      <c r="B383" s="3">
        <v>3.12</v>
      </c>
      <c r="E383" s="4502"/>
      <c r="F383" s="4502"/>
      <c r="G383" s="4502"/>
      <c r="H383" s="4502"/>
      <c r="I383" s="4502"/>
      <c r="J383" s="4502"/>
      <c r="K383" s="4502"/>
      <c r="L383" s="4502"/>
      <c r="M383" s="4502"/>
    </row>
    <row r="384" spans="1:13" hidden="1">
      <c r="A384" s="4501" t="s">
        <v>7115</v>
      </c>
      <c r="B384" s="3">
        <v>3.0569999999999999</v>
      </c>
      <c r="E384" s="4502"/>
      <c r="F384" s="4502"/>
      <c r="G384" s="4502"/>
      <c r="H384" s="4502"/>
      <c r="I384" s="4502"/>
      <c r="J384" s="4502"/>
      <c r="K384" s="4502"/>
      <c r="L384" s="4502"/>
      <c r="M384" s="4502"/>
    </row>
    <row r="385" spans="1:13" hidden="1">
      <c r="A385" s="4501" t="s">
        <v>7116</v>
      </c>
      <c r="B385" s="3">
        <v>3.0529999999999999</v>
      </c>
      <c r="E385" s="4502"/>
      <c r="F385" s="4502"/>
      <c r="G385" s="4502"/>
      <c r="H385" s="4502"/>
      <c r="I385" s="4502"/>
      <c r="J385" s="4502"/>
      <c r="K385" s="4502"/>
      <c r="L385" s="4502"/>
      <c r="M385" s="4502"/>
    </row>
    <row r="386" spans="1:13" hidden="1">
      <c r="A386" s="4501" t="s">
        <v>7117</v>
      </c>
      <c r="B386" s="3">
        <v>3.0529999999999999</v>
      </c>
      <c r="E386" s="4502"/>
      <c r="F386" s="4502"/>
      <c r="G386" s="4502"/>
      <c r="H386" s="4502"/>
      <c r="I386" s="4502"/>
      <c r="J386" s="4502"/>
      <c r="K386" s="4502"/>
      <c r="L386" s="4502"/>
      <c r="M386" s="4502"/>
    </row>
    <row r="387" spans="1:13" hidden="1">
      <c r="A387" s="4501" t="s">
        <v>7118</v>
      </c>
      <c r="B387" s="3">
        <v>3.0529999999999999</v>
      </c>
      <c r="E387" s="4502"/>
      <c r="F387" s="4502"/>
      <c r="G387" s="4502"/>
      <c r="H387" s="4502"/>
      <c r="I387" s="4502"/>
      <c r="J387" s="4502"/>
      <c r="K387" s="4502"/>
      <c r="L387" s="4502"/>
      <c r="M387" s="4502"/>
    </row>
    <row r="388" spans="1:13" hidden="1">
      <c r="A388" s="4501" t="s">
        <v>7119</v>
      </c>
      <c r="B388" s="3">
        <v>3.036</v>
      </c>
      <c r="E388" s="4502"/>
      <c r="F388" s="4502"/>
      <c r="G388" s="4502"/>
      <c r="H388" s="4502"/>
      <c r="I388" s="4502"/>
      <c r="J388" s="4502"/>
      <c r="K388" s="4502"/>
      <c r="L388" s="4502"/>
      <c r="M388" s="4502"/>
    </row>
    <row r="389" spans="1:13" hidden="1">
      <c r="A389" s="4501" t="s">
        <v>7120</v>
      </c>
      <c r="B389" s="3">
        <v>3.0819999999999999</v>
      </c>
      <c r="E389" s="4502"/>
      <c r="F389" s="4502"/>
      <c r="G389" s="4502"/>
      <c r="H389" s="4502"/>
      <c r="I389" s="4502"/>
      <c r="J389" s="4502"/>
      <c r="K389" s="4502"/>
      <c r="L389" s="4502"/>
      <c r="M389" s="4502"/>
    </row>
    <row r="390" spans="1:13" hidden="1">
      <c r="A390" s="4501" t="s">
        <v>7121</v>
      </c>
      <c r="B390" s="3">
        <v>3.0710000000000002</v>
      </c>
      <c r="E390" s="4502"/>
      <c r="F390" s="4502"/>
      <c r="G390" s="4502"/>
      <c r="H390" s="4502"/>
      <c r="I390" s="4502"/>
      <c r="J390" s="4502"/>
      <c r="K390" s="4502"/>
      <c r="L390" s="4502"/>
      <c r="M390" s="4502"/>
    </row>
    <row r="391" spans="1:13" hidden="1">
      <c r="A391" s="4501" t="s">
        <v>7122</v>
      </c>
      <c r="B391" s="3">
        <v>3.0790000000000002</v>
      </c>
      <c r="E391" s="4502"/>
      <c r="F391" s="4502"/>
      <c r="G391" s="4502"/>
      <c r="H391" s="4502"/>
      <c r="I391" s="4502"/>
      <c r="J391" s="4502"/>
      <c r="K391" s="4502"/>
      <c r="L391" s="4502"/>
      <c r="M391" s="4502"/>
    </row>
    <row r="392" spans="1:13" hidden="1">
      <c r="A392" s="4501" t="s">
        <v>7123</v>
      </c>
      <c r="B392" s="3">
        <v>3.0819999999999999</v>
      </c>
      <c r="E392" s="4502"/>
      <c r="F392" s="4502"/>
      <c r="G392" s="4502"/>
      <c r="H392" s="4502"/>
      <c r="I392" s="4502"/>
      <c r="J392" s="4502"/>
      <c r="K392" s="4502"/>
      <c r="L392" s="4502"/>
      <c r="M392" s="4502"/>
    </row>
    <row r="393" spans="1:13" hidden="1">
      <c r="A393" s="4501" t="s">
        <v>7124</v>
      </c>
      <c r="B393" s="3">
        <v>3.0819999999999999</v>
      </c>
      <c r="E393" s="4502"/>
      <c r="F393" s="4502"/>
      <c r="G393" s="4502"/>
      <c r="H393" s="4502"/>
      <c r="I393" s="4502"/>
      <c r="J393" s="4502"/>
      <c r="K393" s="4502"/>
      <c r="L393" s="4502"/>
      <c r="M393" s="4502"/>
    </row>
    <row r="394" spans="1:13" hidden="1">
      <c r="A394" s="4501" t="s">
        <v>7125</v>
      </c>
      <c r="B394" s="3">
        <v>3.0819999999999999</v>
      </c>
      <c r="E394" s="4502"/>
      <c r="F394" s="4502"/>
      <c r="G394" s="4502"/>
      <c r="H394" s="4502"/>
      <c r="I394" s="4502"/>
      <c r="J394" s="4502"/>
      <c r="K394" s="4502"/>
      <c r="L394" s="4502"/>
      <c r="M394" s="4502"/>
    </row>
    <row r="395" spans="1:13" hidden="1">
      <c r="A395" s="4501" t="s">
        <v>7126</v>
      </c>
      <c r="B395" s="3">
        <v>3.0649999999999999</v>
      </c>
      <c r="E395" s="4502"/>
      <c r="F395" s="4502"/>
      <c r="G395" s="4502"/>
      <c r="H395" s="4502"/>
      <c r="I395" s="4502"/>
      <c r="J395" s="4502"/>
      <c r="K395" s="4502"/>
      <c r="L395" s="4502"/>
      <c r="M395" s="4502"/>
    </row>
    <row r="396" spans="1:13" hidden="1">
      <c r="A396" s="4501" t="s">
        <v>7127</v>
      </c>
      <c r="B396" s="3">
        <v>3</v>
      </c>
      <c r="E396" s="4502"/>
      <c r="F396" s="4502"/>
      <c r="G396" s="4502"/>
      <c r="H396" s="4502"/>
      <c r="I396" s="4502"/>
      <c r="J396" s="4502"/>
      <c r="K396" s="4502"/>
      <c r="L396" s="4502"/>
      <c r="M396" s="4502"/>
    </row>
    <row r="397" spans="1:13" hidden="1">
      <c r="A397" s="4501" t="s">
        <v>7128</v>
      </c>
      <c r="B397" s="3">
        <v>2.9620000000000002</v>
      </c>
      <c r="E397" s="4502"/>
      <c r="F397" s="4502"/>
      <c r="G397" s="4502"/>
      <c r="H397" s="4502"/>
      <c r="I397" s="4502"/>
      <c r="J397" s="4502"/>
      <c r="K397" s="4502"/>
      <c r="L397" s="4502"/>
      <c r="M397" s="4502"/>
    </row>
    <row r="398" spans="1:13" hidden="1">
      <c r="A398" s="4501" t="s">
        <v>7129</v>
      </c>
      <c r="B398" s="3">
        <v>3.0640000000000001</v>
      </c>
      <c r="E398" s="4502"/>
      <c r="F398" s="4502"/>
      <c r="G398" s="4502"/>
      <c r="H398" s="4502"/>
      <c r="I398" s="4502"/>
      <c r="J398" s="4502"/>
      <c r="K398" s="4502"/>
      <c r="L398" s="4502"/>
      <c r="M398" s="4502"/>
    </row>
    <row r="399" spans="1:13" hidden="1">
      <c r="A399" s="4501" t="s">
        <v>7130</v>
      </c>
      <c r="B399" s="3">
        <v>3.0470000000000002</v>
      </c>
      <c r="E399" s="4502"/>
      <c r="F399" s="4502"/>
      <c r="G399" s="4502"/>
      <c r="H399" s="4502"/>
      <c r="I399" s="4502"/>
      <c r="J399" s="4502"/>
      <c r="K399" s="4502"/>
      <c r="L399" s="4502"/>
      <c r="M399" s="4502"/>
    </row>
    <row r="400" spans="1:13" hidden="1">
      <c r="A400" s="4501" t="s">
        <v>7131</v>
      </c>
      <c r="B400" s="3">
        <v>3.0470000000000002</v>
      </c>
      <c r="E400" s="4502"/>
      <c r="F400" s="4502"/>
      <c r="G400" s="4502"/>
      <c r="H400" s="4502"/>
      <c r="I400" s="4502"/>
      <c r="J400" s="4502"/>
      <c r="K400" s="4502"/>
      <c r="L400" s="4502"/>
      <c r="M400" s="4502"/>
    </row>
    <row r="401" spans="1:13" hidden="1">
      <c r="A401" s="4501" t="s">
        <v>7132</v>
      </c>
      <c r="B401" s="3">
        <v>3.0470000000000002</v>
      </c>
      <c r="E401" s="4502"/>
      <c r="F401" s="4502"/>
      <c r="G401" s="4502"/>
      <c r="H401" s="4502"/>
      <c r="I401" s="4502"/>
      <c r="J401" s="4502"/>
      <c r="K401" s="4502"/>
      <c r="L401" s="4502"/>
      <c r="M401" s="4502"/>
    </row>
    <row r="402" spans="1:13" hidden="1">
      <c r="A402" s="4501" t="s">
        <v>7133</v>
      </c>
      <c r="B402" s="3">
        <v>2.91</v>
      </c>
      <c r="E402" s="4502"/>
      <c r="F402" s="4502"/>
      <c r="G402" s="4502"/>
      <c r="H402" s="4502"/>
      <c r="I402" s="4502"/>
      <c r="J402" s="4502"/>
      <c r="K402" s="4502"/>
      <c r="L402" s="4502"/>
      <c r="M402" s="4502"/>
    </row>
    <row r="403" spans="1:13" hidden="1">
      <c r="A403" s="4501" t="s">
        <v>7134</v>
      </c>
      <c r="B403" s="3">
        <v>2.9279999999999999</v>
      </c>
      <c r="E403" s="4502"/>
      <c r="F403" s="4502"/>
      <c r="G403" s="4502"/>
      <c r="H403" s="4502"/>
      <c r="I403" s="4502"/>
      <c r="J403" s="4502"/>
      <c r="K403" s="4502"/>
      <c r="L403" s="4502"/>
      <c r="M403" s="4502"/>
    </row>
    <row r="404" spans="1:13" hidden="1">
      <c r="A404" s="4501" t="s">
        <v>7135</v>
      </c>
      <c r="B404" s="3">
        <v>2.9140000000000001</v>
      </c>
      <c r="E404" s="4502"/>
      <c r="F404" s="4502"/>
      <c r="G404" s="4502"/>
      <c r="H404" s="4502"/>
      <c r="I404" s="4502"/>
      <c r="J404" s="4502"/>
      <c r="K404" s="4502"/>
      <c r="L404" s="4502"/>
      <c r="M404" s="4502"/>
    </row>
    <row r="405" spans="1:13" hidden="1">
      <c r="A405" s="4501" t="s">
        <v>7136</v>
      </c>
      <c r="B405" s="3">
        <v>2.9129999999999998</v>
      </c>
      <c r="E405" s="4502"/>
      <c r="F405" s="4502"/>
      <c r="G405" s="4502"/>
      <c r="H405" s="4502"/>
      <c r="I405" s="4502"/>
      <c r="J405" s="4502"/>
      <c r="K405" s="4502"/>
      <c r="L405" s="4502"/>
      <c r="M405" s="4502"/>
    </row>
    <row r="406" spans="1:13" hidden="1">
      <c r="A406" s="4501" t="s">
        <v>7137</v>
      </c>
      <c r="B406" s="3">
        <v>2.9489999999999998</v>
      </c>
      <c r="E406" s="4502"/>
      <c r="F406" s="4502"/>
      <c r="G406" s="4502"/>
      <c r="H406" s="4502"/>
      <c r="I406" s="4502"/>
      <c r="J406" s="4502"/>
      <c r="K406" s="4502"/>
      <c r="L406" s="4502"/>
      <c r="M406" s="4502"/>
    </row>
    <row r="407" spans="1:13" hidden="1">
      <c r="A407" s="4501" t="s">
        <v>7138</v>
      </c>
      <c r="B407" s="3">
        <v>2.9489999999999998</v>
      </c>
      <c r="E407" s="4502"/>
      <c r="F407" s="4502"/>
      <c r="G407" s="4502"/>
      <c r="H407" s="4502"/>
      <c r="I407" s="4502"/>
      <c r="J407" s="4502"/>
      <c r="K407" s="4502"/>
      <c r="L407" s="4502"/>
      <c r="M407" s="4502"/>
    </row>
    <row r="408" spans="1:13" hidden="1">
      <c r="A408" s="4501" t="s">
        <v>7139</v>
      </c>
      <c r="B408" s="3">
        <v>2.9489999999999998</v>
      </c>
      <c r="E408" s="4502"/>
      <c r="F408" s="4502"/>
      <c r="G408" s="4502"/>
      <c r="H408" s="4502"/>
      <c r="I408" s="4502"/>
      <c r="J408" s="4502"/>
      <c r="K408" s="4502"/>
      <c r="L408" s="4502"/>
      <c r="M408" s="4502"/>
    </row>
    <row r="409" spans="1:13" hidden="1">
      <c r="A409" s="4501" t="s">
        <v>7140</v>
      </c>
      <c r="B409" s="3">
        <v>3.0430000000000001</v>
      </c>
      <c r="E409" s="4502"/>
      <c r="F409" s="4502"/>
      <c r="G409" s="4502"/>
      <c r="H409" s="4502"/>
      <c r="I409" s="4502"/>
      <c r="J409" s="4502"/>
      <c r="K409" s="4502"/>
      <c r="L409" s="4502"/>
      <c r="M409" s="4502"/>
    </row>
    <row r="410" spans="1:13" hidden="1">
      <c r="A410" s="4501" t="s">
        <v>7141</v>
      </c>
      <c r="B410" s="3">
        <v>3.0590000000000002</v>
      </c>
      <c r="E410" s="4502"/>
      <c r="F410" s="4502"/>
      <c r="G410" s="4502"/>
      <c r="H410" s="4502"/>
      <c r="I410" s="4502"/>
      <c r="J410" s="4502"/>
      <c r="K410" s="4502"/>
      <c r="L410" s="4502"/>
      <c r="M410" s="4502"/>
    </row>
    <row r="411" spans="1:13" hidden="1">
      <c r="A411" s="4501" t="s">
        <v>7142</v>
      </c>
      <c r="B411" s="3">
        <v>3.0870000000000002</v>
      </c>
      <c r="E411" s="4502"/>
      <c r="F411" s="4502"/>
      <c r="G411" s="4502"/>
      <c r="H411" s="4502"/>
      <c r="I411" s="4502"/>
      <c r="J411" s="4502"/>
      <c r="K411" s="4502"/>
      <c r="L411" s="4502"/>
      <c r="M411" s="4502"/>
    </row>
    <row r="412" spans="1:13" hidden="1">
      <c r="A412" s="4501" t="s">
        <v>7143</v>
      </c>
      <c r="B412" s="3">
        <v>3.0369999999999999</v>
      </c>
      <c r="E412" s="4502"/>
      <c r="F412" s="4502"/>
      <c r="G412" s="4502"/>
      <c r="H412" s="4502"/>
      <c r="I412" s="4502"/>
      <c r="J412" s="4502"/>
      <c r="K412" s="4502"/>
      <c r="L412" s="4502"/>
      <c r="M412" s="4502"/>
    </row>
    <row r="413" spans="1:13" hidden="1">
      <c r="A413" s="4501" t="s">
        <v>7144</v>
      </c>
      <c r="B413" s="3">
        <v>3.0579999999999998</v>
      </c>
      <c r="E413" s="4502"/>
      <c r="F413" s="4502"/>
      <c r="G413" s="4502"/>
      <c r="H413" s="4502"/>
      <c r="I413" s="4502"/>
      <c r="J413" s="4502"/>
      <c r="K413" s="4502"/>
      <c r="L413" s="4502"/>
      <c r="M413" s="4502"/>
    </row>
    <row r="414" spans="1:13" hidden="1">
      <c r="A414" s="4501" t="s">
        <v>7145</v>
      </c>
      <c r="B414" s="3">
        <v>3.0579999999999998</v>
      </c>
      <c r="E414" s="4502"/>
      <c r="F414" s="4502"/>
      <c r="G414" s="4502"/>
      <c r="H414" s="4502"/>
      <c r="I414" s="4502"/>
      <c r="J414" s="4502"/>
      <c r="K414" s="4502"/>
      <c r="L414" s="4502"/>
      <c r="M414" s="4502"/>
    </row>
    <row r="415" spans="1:13" hidden="1">
      <c r="A415" s="4501" t="s">
        <v>7146</v>
      </c>
      <c r="B415" s="3">
        <v>3.0579999999999998</v>
      </c>
      <c r="E415" s="4502"/>
      <c r="F415" s="4502"/>
      <c r="G415" s="4502"/>
      <c r="H415" s="4502"/>
      <c r="I415" s="4502"/>
      <c r="J415" s="4502"/>
      <c r="K415" s="4502"/>
      <c r="L415" s="4502"/>
      <c r="M415" s="4502"/>
    </row>
    <row r="416" spans="1:13" hidden="1">
      <c r="A416" s="4501" t="s">
        <v>7147</v>
      </c>
      <c r="B416" s="3">
        <v>2.984</v>
      </c>
      <c r="E416" s="4502"/>
      <c r="F416" s="4502"/>
      <c r="G416" s="4502"/>
      <c r="H416" s="4502"/>
      <c r="I416" s="4502"/>
      <c r="J416" s="4502"/>
      <c r="K416" s="4502"/>
      <c r="L416" s="4502"/>
      <c r="M416" s="4502"/>
    </row>
    <row r="417" spans="1:13" hidden="1">
      <c r="A417" s="4501" t="s">
        <v>7148</v>
      </c>
      <c r="B417" s="3">
        <v>2.984</v>
      </c>
      <c r="E417" s="4502"/>
      <c r="F417" s="4502"/>
      <c r="G417" s="4502"/>
      <c r="H417" s="4502"/>
      <c r="I417" s="4502"/>
      <c r="J417" s="4502"/>
      <c r="K417" s="4502"/>
      <c r="L417" s="4502"/>
      <c r="M417" s="4502"/>
    </row>
    <row r="418" spans="1:13" hidden="1">
      <c r="A418" s="4501" t="s">
        <v>7149</v>
      </c>
      <c r="B418" s="3">
        <v>2.8370000000000002</v>
      </c>
      <c r="E418" s="4502"/>
      <c r="F418" s="4502"/>
      <c r="G418" s="4502"/>
      <c r="H418" s="4502"/>
      <c r="I418" s="4502"/>
      <c r="J418" s="4502"/>
      <c r="K418" s="4502"/>
      <c r="L418" s="4502"/>
      <c r="M418" s="4502"/>
    </row>
    <row r="419" spans="1:13" hidden="1">
      <c r="A419" s="4501" t="s">
        <v>7150</v>
      </c>
      <c r="B419" s="3">
        <v>2.8809999999999998</v>
      </c>
      <c r="E419" s="4502"/>
      <c r="F419" s="4502"/>
      <c r="G419" s="4502"/>
      <c r="H419" s="4502"/>
      <c r="I419" s="4502"/>
      <c r="J419" s="4502"/>
      <c r="K419" s="4502"/>
      <c r="L419" s="4502"/>
      <c r="M419" s="4502"/>
    </row>
    <row r="420" spans="1:13" hidden="1">
      <c r="A420" s="4501" t="s">
        <v>7151</v>
      </c>
      <c r="B420" s="3">
        <v>2.8570000000000002</v>
      </c>
      <c r="E420" s="4502"/>
      <c r="F420" s="4502"/>
      <c r="G420" s="4502"/>
      <c r="H420" s="4502"/>
      <c r="I420" s="4502"/>
      <c r="J420" s="4502"/>
      <c r="K420" s="4502"/>
      <c r="L420" s="4502"/>
      <c r="M420" s="4502"/>
    </row>
    <row r="421" spans="1:13" hidden="1">
      <c r="A421" s="4501" t="s">
        <v>7152</v>
      </c>
      <c r="B421" s="3">
        <v>2.8570000000000002</v>
      </c>
      <c r="E421" s="4502"/>
      <c r="F421" s="4502"/>
      <c r="G421" s="4502"/>
      <c r="H421" s="4502"/>
      <c r="I421" s="4502"/>
      <c r="J421" s="4502"/>
      <c r="K421" s="4502"/>
      <c r="L421" s="4502"/>
      <c r="M421" s="4502"/>
    </row>
    <row r="422" spans="1:13" hidden="1">
      <c r="A422" s="4501" t="s">
        <v>7153</v>
      </c>
      <c r="B422" s="3">
        <v>2.8570000000000002</v>
      </c>
      <c r="E422" s="4502"/>
      <c r="F422" s="4502"/>
      <c r="G422" s="4502"/>
      <c r="H422" s="4502"/>
      <c r="I422" s="4502"/>
      <c r="J422" s="4502"/>
      <c r="K422" s="4502"/>
      <c r="L422" s="4502"/>
      <c r="M422" s="4502"/>
    </row>
    <row r="423" spans="1:13" hidden="1">
      <c r="A423" s="4501" t="s">
        <v>7154</v>
      </c>
      <c r="B423" s="3">
        <v>2.9239999999999999</v>
      </c>
      <c r="E423" s="4502"/>
      <c r="F423" s="4502"/>
      <c r="G423" s="4502"/>
      <c r="H423" s="4502"/>
      <c r="I423" s="4502"/>
      <c r="J423" s="4502"/>
      <c r="K423" s="4502"/>
      <c r="L423" s="4502"/>
      <c r="M423" s="4502"/>
    </row>
    <row r="424" spans="1:13" hidden="1">
      <c r="A424" s="4501" t="s">
        <v>7155</v>
      </c>
      <c r="B424" s="3">
        <v>3.0379999999999998</v>
      </c>
      <c r="E424" s="4502"/>
      <c r="F424" s="4502"/>
      <c r="G424" s="4502"/>
      <c r="H424" s="4502"/>
      <c r="I424" s="4502"/>
      <c r="J424" s="4502"/>
      <c r="K424" s="4502"/>
      <c r="L424" s="4502"/>
      <c r="M424" s="4502"/>
    </row>
    <row r="425" spans="1:13" hidden="1">
      <c r="A425" s="4501" t="s">
        <v>7156</v>
      </c>
      <c r="B425" s="3">
        <v>2.9750000000000001</v>
      </c>
      <c r="E425" s="4502"/>
      <c r="F425" s="4502"/>
      <c r="G425" s="4502"/>
      <c r="H425" s="4502"/>
      <c r="I425" s="4502"/>
      <c r="J425" s="4502"/>
      <c r="K425" s="4502"/>
      <c r="L425" s="4502"/>
      <c r="M425" s="4502"/>
    </row>
    <row r="426" spans="1:13" hidden="1">
      <c r="A426" s="4501" t="s">
        <v>7157</v>
      </c>
      <c r="B426" s="3">
        <v>2.948</v>
      </c>
      <c r="E426" s="4502"/>
      <c r="F426" s="4502"/>
      <c r="G426" s="4502"/>
      <c r="H426" s="4502"/>
      <c r="I426" s="4502"/>
      <c r="J426" s="4502"/>
      <c r="K426" s="4502"/>
      <c r="L426" s="4502"/>
      <c r="M426" s="4502"/>
    </row>
    <row r="427" spans="1:13" hidden="1">
      <c r="A427" s="4501" t="s">
        <v>7158</v>
      </c>
      <c r="B427" s="3">
        <v>2.9710000000000001</v>
      </c>
      <c r="E427" s="4502"/>
      <c r="F427" s="4502"/>
      <c r="G427" s="4502"/>
      <c r="H427" s="4502"/>
      <c r="I427" s="4502"/>
      <c r="J427" s="4502"/>
      <c r="K427" s="4502"/>
      <c r="L427" s="4502"/>
      <c r="M427" s="4502"/>
    </row>
    <row r="428" spans="1:13" hidden="1">
      <c r="A428" s="4501" t="s">
        <v>7159</v>
      </c>
      <c r="B428" s="3">
        <v>2.9710000000000001</v>
      </c>
      <c r="E428" s="4502"/>
      <c r="F428" s="4502"/>
      <c r="G428" s="4502"/>
      <c r="H428" s="4502"/>
      <c r="I428" s="4502"/>
      <c r="J428" s="4502"/>
      <c r="K428" s="4502"/>
      <c r="L428" s="4502"/>
      <c r="M428" s="4502"/>
    </row>
    <row r="429" spans="1:13" hidden="1">
      <c r="A429" s="4501" t="s">
        <v>7160</v>
      </c>
      <c r="B429" s="3">
        <v>2.9710000000000001</v>
      </c>
      <c r="E429" s="4502"/>
      <c r="F429" s="4502"/>
      <c r="G429" s="4502"/>
      <c r="H429" s="4502"/>
      <c r="I429" s="4502"/>
      <c r="J429" s="4502"/>
      <c r="K429" s="4502"/>
      <c r="L429" s="4502"/>
      <c r="M429" s="4502"/>
    </row>
    <row r="430" spans="1:13" hidden="1">
      <c r="A430" s="4501" t="s">
        <v>7161</v>
      </c>
      <c r="B430" s="3">
        <v>3.0070000000000001</v>
      </c>
      <c r="E430" s="4502"/>
      <c r="F430" s="4502"/>
      <c r="G430" s="4502"/>
      <c r="H430" s="4502"/>
      <c r="I430" s="4502"/>
      <c r="J430" s="4502"/>
      <c r="K430" s="4502"/>
      <c r="L430" s="4502"/>
      <c r="M430" s="4502"/>
    </row>
    <row r="431" spans="1:13" hidden="1">
      <c r="A431" s="4501" t="s">
        <v>7162</v>
      </c>
      <c r="B431" s="3">
        <v>3.073</v>
      </c>
      <c r="E431" s="4502"/>
      <c r="F431" s="4502"/>
      <c r="G431" s="4502"/>
      <c r="H431" s="4502"/>
      <c r="I431" s="4502"/>
      <c r="J431" s="4502"/>
      <c r="K431" s="4502"/>
      <c r="L431" s="4502"/>
      <c r="M431" s="4502"/>
    </row>
    <row r="432" spans="1:13" hidden="1">
      <c r="A432" s="4501" t="s">
        <v>7163</v>
      </c>
      <c r="B432" s="3">
        <v>3.0550000000000002</v>
      </c>
      <c r="E432" s="4502"/>
      <c r="F432" s="4502"/>
      <c r="G432" s="4502"/>
      <c r="H432" s="4502"/>
      <c r="I432" s="4502"/>
      <c r="J432" s="4502"/>
      <c r="K432" s="4502"/>
      <c r="L432" s="4502"/>
      <c r="M432" s="4502"/>
    </row>
    <row r="433" spans="1:13" hidden="1">
      <c r="A433" s="4501" t="s">
        <v>7164</v>
      </c>
      <c r="B433" s="3">
        <v>3.0329999999999999</v>
      </c>
      <c r="E433" s="4502"/>
      <c r="F433" s="4502"/>
      <c r="G433" s="4502"/>
      <c r="H433" s="4502"/>
      <c r="I433" s="4502"/>
      <c r="J433" s="4502"/>
      <c r="K433" s="4502"/>
      <c r="L433" s="4502"/>
      <c r="M433" s="4502"/>
    </row>
    <row r="434" spans="1:13" hidden="1">
      <c r="A434" s="4501" t="s">
        <v>7165</v>
      </c>
      <c r="B434" s="3">
        <v>2.9609999999999999</v>
      </c>
      <c r="E434" s="4502"/>
      <c r="F434" s="4502"/>
      <c r="G434" s="4502"/>
      <c r="H434" s="4502"/>
      <c r="I434" s="4502"/>
      <c r="J434" s="4502"/>
      <c r="K434" s="4502"/>
      <c r="L434" s="4502"/>
      <c r="M434" s="4502"/>
    </row>
    <row r="435" spans="1:13" hidden="1">
      <c r="A435" s="4501" t="s">
        <v>7166</v>
      </c>
      <c r="B435" s="3">
        <v>2.9609999999999999</v>
      </c>
      <c r="E435" s="4502"/>
      <c r="F435" s="4502"/>
      <c r="G435" s="4502"/>
      <c r="H435" s="4502"/>
      <c r="I435" s="4502"/>
      <c r="J435" s="4502"/>
      <c r="K435" s="4502"/>
      <c r="L435" s="4502"/>
      <c r="M435" s="4502"/>
    </row>
    <row r="436" spans="1:13" hidden="1">
      <c r="A436" s="4501" t="s">
        <v>7167</v>
      </c>
      <c r="B436" s="3">
        <v>2.9609999999999999</v>
      </c>
      <c r="E436" s="4502"/>
      <c r="F436" s="4502"/>
      <c r="G436" s="4502"/>
      <c r="H436" s="4502"/>
      <c r="I436" s="4502"/>
      <c r="J436" s="4502"/>
      <c r="K436" s="4502"/>
      <c r="L436" s="4502"/>
      <c r="M436" s="4502"/>
    </row>
    <row r="437" spans="1:13" hidden="1">
      <c r="A437" s="4501" t="s">
        <v>7168</v>
      </c>
      <c r="B437" s="3">
        <v>2.8820000000000001</v>
      </c>
      <c r="E437" s="4502"/>
      <c r="F437" s="4502"/>
      <c r="G437" s="4502"/>
      <c r="H437" s="4502"/>
      <c r="I437" s="4502"/>
      <c r="J437" s="4502"/>
      <c r="K437" s="4502"/>
      <c r="L437" s="4502"/>
      <c r="M437" s="4502"/>
    </row>
    <row r="438" spans="1:13" hidden="1">
      <c r="A438" s="4501" t="s">
        <v>7169</v>
      </c>
      <c r="B438" s="3">
        <v>2.931</v>
      </c>
      <c r="E438" s="4502"/>
      <c r="F438" s="4502"/>
      <c r="G438" s="4502"/>
      <c r="H438" s="4502"/>
      <c r="I438" s="4502"/>
      <c r="J438" s="4502"/>
      <c r="K438" s="4502"/>
      <c r="L438" s="4502"/>
      <c r="M438" s="4502"/>
    </row>
    <row r="439" spans="1:13" hidden="1">
      <c r="A439" s="4501" t="s">
        <v>7170</v>
      </c>
      <c r="B439" s="3">
        <v>2.9140000000000001</v>
      </c>
      <c r="E439" s="4502"/>
      <c r="F439" s="4502"/>
      <c r="G439" s="4502"/>
      <c r="H439" s="4502"/>
      <c r="I439" s="4502"/>
      <c r="J439" s="4502"/>
      <c r="K439" s="4502"/>
      <c r="L439" s="4502"/>
      <c r="M439" s="4502"/>
    </row>
    <row r="440" spans="1:13" hidden="1">
      <c r="A440" s="4501" t="s">
        <v>7171</v>
      </c>
      <c r="B440" s="3">
        <v>2.9670000000000001</v>
      </c>
      <c r="E440" s="4502"/>
      <c r="F440" s="4502"/>
      <c r="G440" s="4502"/>
      <c r="H440" s="4502"/>
      <c r="I440" s="4502"/>
      <c r="J440" s="4502"/>
      <c r="K440" s="4502"/>
      <c r="L440" s="4502"/>
      <c r="M440" s="4502"/>
    </row>
    <row r="441" spans="1:13" hidden="1">
      <c r="A441" s="4501" t="s">
        <v>7172</v>
      </c>
      <c r="B441" s="3">
        <v>2.9409999999999998</v>
      </c>
      <c r="E441" s="4502"/>
      <c r="F441" s="4502"/>
      <c r="G441" s="4502"/>
      <c r="H441" s="4502"/>
      <c r="I441" s="4502"/>
      <c r="J441" s="4502"/>
      <c r="K441" s="4502"/>
      <c r="L441" s="4502"/>
      <c r="M441" s="4502"/>
    </row>
    <row r="442" spans="1:13" hidden="1">
      <c r="A442" s="4501" t="s">
        <v>7173</v>
      </c>
      <c r="B442" s="3">
        <v>2.9409999999999998</v>
      </c>
      <c r="E442" s="4502"/>
      <c r="F442" s="4502"/>
      <c r="G442" s="4502"/>
      <c r="H442" s="4502"/>
      <c r="I442" s="4502"/>
      <c r="J442" s="4502"/>
      <c r="K442" s="4502"/>
      <c r="L442" s="4502"/>
      <c r="M442" s="4502"/>
    </row>
    <row r="443" spans="1:13" hidden="1">
      <c r="A443" s="4501" t="s">
        <v>7174</v>
      </c>
      <c r="B443" s="3">
        <v>2.9409999999999998</v>
      </c>
      <c r="E443" s="4502"/>
      <c r="F443" s="4502"/>
      <c r="G443" s="4502"/>
      <c r="H443" s="4502"/>
      <c r="I443" s="4502"/>
      <c r="J443" s="4502"/>
      <c r="K443" s="4502"/>
      <c r="L443" s="4502"/>
      <c r="M443" s="4502"/>
    </row>
    <row r="444" spans="1:13" hidden="1">
      <c r="A444" s="4501" t="s">
        <v>7175</v>
      </c>
      <c r="B444" s="3">
        <v>2.794</v>
      </c>
      <c r="E444" s="4502"/>
      <c r="F444" s="4502"/>
      <c r="G444" s="4502"/>
      <c r="H444" s="4502"/>
      <c r="I444" s="4502"/>
      <c r="J444" s="4502"/>
      <c r="K444" s="4502"/>
      <c r="L444" s="4502"/>
      <c r="M444" s="4502"/>
    </row>
    <row r="445" spans="1:13" hidden="1">
      <c r="A445" s="4501" t="s">
        <v>7176</v>
      </c>
      <c r="B445" s="3">
        <v>2.819</v>
      </c>
      <c r="E445" s="4502"/>
      <c r="F445" s="4502"/>
      <c r="G445" s="4502"/>
      <c r="H445" s="4502"/>
      <c r="I445" s="4502"/>
      <c r="J445" s="4502"/>
      <c r="K445" s="4502"/>
      <c r="L445" s="4502"/>
      <c r="M445" s="4502"/>
    </row>
    <row r="446" spans="1:13" hidden="1">
      <c r="A446" s="4501" t="s">
        <v>7177</v>
      </c>
      <c r="B446" s="3">
        <v>2.8109999999999999</v>
      </c>
      <c r="E446" s="4502"/>
      <c r="F446" s="4502"/>
      <c r="G446" s="4502"/>
      <c r="H446" s="4502"/>
      <c r="I446" s="4502"/>
      <c r="J446" s="4502"/>
      <c r="K446" s="4502"/>
      <c r="L446" s="4502"/>
      <c r="M446" s="4502"/>
    </row>
    <row r="447" spans="1:13" hidden="1">
      <c r="A447" s="4501" t="s">
        <v>7178</v>
      </c>
      <c r="B447" s="3">
        <v>2.8</v>
      </c>
      <c r="E447" s="4502"/>
      <c r="F447" s="4502"/>
      <c r="G447" s="4502"/>
      <c r="H447" s="4502"/>
      <c r="I447" s="4502"/>
      <c r="J447" s="4502"/>
      <c r="K447" s="4502"/>
      <c r="L447" s="4502"/>
      <c r="M447" s="4502"/>
    </row>
    <row r="448" spans="1:13" hidden="1">
      <c r="A448" s="4501" t="s">
        <v>7179</v>
      </c>
      <c r="B448" s="3">
        <v>2.774</v>
      </c>
      <c r="E448" s="4502"/>
      <c r="F448" s="4502"/>
      <c r="G448" s="4502"/>
      <c r="H448" s="4502"/>
      <c r="I448" s="4502"/>
      <c r="J448" s="4502"/>
      <c r="K448" s="4502"/>
      <c r="L448" s="4502"/>
      <c r="M448" s="4502"/>
    </row>
    <row r="449" spans="1:13" hidden="1">
      <c r="A449" s="4501" t="s">
        <v>7180</v>
      </c>
      <c r="B449" s="3">
        <v>2.774</v>
      </c>
      <c r="E449" s="4502"/>
      <c r="F449" s="4502"/>
      <c r="G449" s="4502"/>
      <c r="H449" s="4502"/>
      <c r="I449" s="4502"/>
      <c r="J449" s="4502"/>
      <c r="K449" s="4502"/>
      <c r="L449" s="4502"/>
      <c r="M449" s="4502"/>
    </row>
    <row r="450" spans="1:13" hidden="1">
      <c r="A450" s="4501" t="s">
        <v>7181</v>
      </c>
      <c r="B450" s="3">
        <v>2.774</v>
      </c>
      <c r="E450" s="4502"/>
      <c r="F450" s="4502"/>
      <c r="G450" s="4502"/>
      <c r="H450" s="4502"/>
      <c r="I450" s="4502"/>
      <c r="J450" s="4502"/>
      <c r="K450" s="4502"/>
      <c r="L450" s="4502"/>
      <c r="M450" s="4502"/>
    </row>
    <row r="451" spans="1:13" hidden="1">
      <c r="A451" s="4501" t="s">
        <v>7182</v>
      </c>
      <c r="B451" s="3">
        <v>2.8010000000000002</v>
      </c>
      <c r="E451" s="4502"/>
      <c r="F451" s="4502"/>
      <c r="G451" s="4502"/>
      <c r="H451" s="4502"/>
      <c r="I451" s="4502"/>
      <c r="J451" s="4502"/>
      <c r="K451" s="4502"/>
      <c r="L451" s="4502"/>
      <c r="M451" s="4502"/>
    </row>
    <row r="452" spans="1:13" hidden="1">
      <c r="A452" s="4501" t="s">
        <v>7183</v>
      </c>
      <c r="B452" s="3">
        <v>2.8220000000000001</v>
      </c>
      <c r="E452" s="4502"/>
      <c r="F452" s="4502"/>
      <c r="G452" s="4502"/>
      <c r="H452" s="4502"/>
      <c r="I452" s="4502"/>
      <c r="J452" s="4502"/>
      <c r="K452" s="4502"/>
      <c r="L452" s="4502"/>
      <c r="M452" s="4502"/>
    </row>
    <row r="453" spans="1:13" hidden="1">
      <c r="A453" s="4501" t="s">
        <v>7184</v>
      </c>
      <c r="B453" s="3">
        <v>2.883</v>
      </c>
      <c r="E453" s="4502"/>
      <c r="F453" s="4502"/>
      <c r="G453" s="4502"/>
      <c r="H453" s="4502"/>
      <c r="I453" s="4502"/>
      <c r="J453" s="4502"/>
      <c r="K453" s="4502"/>
      <c r="L453" s="4502"/>
      <c r="M453" s="4502"/>
    </row>
    <row r="454" spans="1:13" hidden="1">
      <c r="A454" s="4501" t="s">
        <v>7185</v>
      </c>
      <c r="B454" s="3">
        <v>3.0169999999999999</v>
      </c>
      <c r="E454" s="4502"/>
      <c r="F454" s="4502"/>
      <c r="G454" s="4502"/>
      <c r="H454" s="4502"/>
      <c r="I454" s="4502"/>
      <c r="J454" s="4502"/>
      <c r="K454" s="4502"/>
      <c r="L454" s="4502"/>
      <c r="M454" s="4502"/>
    </row>
    <row r="455" spans="1:13" hidden="1">
      <c r="A455" s="4501" t="s">
        <v>7186</v>
      </c>
      <c r="B455" s="3">
        <v>3.0089999999999999</v>
      </c>
      <c r="E455" s="4502"/>
      <c r="F455" s="4502"/>
      <c r="G455" s="4502"/>
      <c r="H455" s="4502"/>
      <c r="I455" s="4502"/>
      <c r="J455" s="4502"/>
      <c r="K455" s="4502"/>
      <c r="L455" s="4502"/>
      <c r="M455" s="4502"/>
    </row>
    <row r="456" spans="1:13" hidden="1">
      <c r="A456" s="4501" t="s">
        <v>7187</v>
      </c>
      <c r="B456" s="3">
        <v>3.0089999999999999</v>
      </c>
      <c r="E456" s="4502"/>
      <c r="F456" s="4502"/>
      <c r="G456" s="4502"/>
      <c r="H456" s="4502"/>
      <c r="I456" s="4502"/>
      <c r="J456" s="4502"/>
      <c r="K456" s="4502"/>
      <c r="L456" s="4502"/>
      <c r="M456" s="4502"/>
    </row>
    <row r="457" spans="1:13" hidden="1">
      <c r="A457" s="4501" t="s">
        <v>7188</v>
      </c>
      <c r="B457" s="3">
        <v>3.0089999999999999</v>
      </c>
      <c r="E457" s="4502"/>
      <c r="F457" s="4502"/>
      <c r="G457" s="4502"/>
      <c r="H457" s="4502"/>
      <c r="I457" s="4502"/>
      <c r="J457" s="4502"/>
      <c r="K457" s="4502"/>
      <c r="L457" s="4502"/>
      <c r="M457" s="4502"/>
    </row>
    <row r="458" spans="1:13" hidden="1">
      <c r="A458" s="4501" t="s">
        <v>7189</v>
      </c>
      <c r="B458" s="3">
        <v>2.9889999999999999</v>
      </c>
      <c r="E458" s="4502"/>
      <c r="F458" s="4502"/>
      <c r="G458" s="4502"/>
      <c r="H458" s="4502"/>
      <c r="I458" s="4502"/>
      <c r="J458" s="4502"/>
      <c r="K458" s="4502"/>
      <c r="L458" s="4502"/>
      <c r="M458" s="4502"/>
    </row>
    <row r="459" spans="1:13" hidden="1">
      <c r="A459" s="4501" t="s">
        <v>7190</v>
      </c>
      <c r="B459" s="3">
        <v>2.9649999999999999</v>
      </c>
      <c r="E459" s="4502"/>
      <c r="F459" s="4502"/>
      <c r="G459" s="4502"/>
      <c r="H459" s="4502"/>
      <c r="I459" s="4502"/>
      <c r="J459" s="4502"/>
      <c r="K459" s="4502"/>
      <c r="L459" s="4502"/>
      <c r="M459" s="4502"/>
    </row>
    <row r="460" spans="1:13" hidden="1">
      <c r="A460" s="4501" t="s">
        <v>7191</v>
      </c>
      <c r="B460" s="3">
        <v>2.9249999999999998</v>
      </c>
      <c r="E460" s="4502"/>
      <c r="F460" s="4502"/>
      <c r="G460" s="4502"/>
      <c r="H460" s="4502"/>
      <c r="I460" s="4502"/>
      <c r="J460" s="4502"/>
      <c r="K460" s="4502"/>
      <c r="L460" s="4502"/>
      <c r="M460" s="4502"/>
    </row>
    <row r="461" spans="1:13" hidden="1">
      <c r="A461" s="4501" t="s">
        <v>7192</v>
      </c>
      <c r="B461" s="3">
        <v>2.9660000000000002</v>
      </c>
      <c r="E461" s="4502"/>
      <c r="F461" s="4502"/>
      <c r="G461" s="4502"/>
      <c r="H461" s="4502"/>
      <c r="I461" s="4502"/>
      <c r="J461" s="4502"/>
      <c r="K461" s="4502"/>
      <c r="L461" s="4502"/>
      <c r="M461" s="4502"/>
    </row>
    <row r="462" spans="1:13" hidden="1">
      <c r="A462" s="4501" t="s">
        <v>7193</v>
      </c>
      <c r="B462" s="3">
        <v>2.93</v>
      </c>
      <c r="E462" s="4502"/>
      <c r="F462" s="4502"/>
      <c r="G462" s="4502"/>
      <c r="H462" s="4502"/>
      <c r="I462" s="4502"/>
      <c r="J462" s="4502"/>
      <c r="K462" s="4502"/>
      <c r="L462" s="4502"/>
      <c r="M462" s="4502"/>
    </row>
    <row r="463" spans="1:13" hidden="1">
      <c r="A463" s="4501" t="s">
        <v>7194</v>
      </c>
      <c r="B463" s="3">
        <v>2.93</v>
      </c>
      <c r="E463" s="4502"/>
      <c r="F463" s="4502"/>
      <c r="G463" s="4502"/>
      <c r="H463" s="4502"/>
      <c r="I463" s="4502"/>
      <c r="J463" s="4502"/>
      <c r="K463" s="4502"/>
      <c r="L463" s="4502"/>
      <c r="M463" s="4502"/>
    </row>
    <row r="464" spans="1:13" hidden="1">
      <c r="A464" s="4501" t="s">
        <v>7195</v>
      </c>
      <c r="B464" s="3">
        <v>2.93</v>
      </c>
      <c r="E464" s="4502"/>
      <c r="F464" s="4502"/>
      <c r="G464" s="4502"/>
      <c r="H464" s="4502"/>
      <c r="I464" s="4502"/>
      <c r="J464" s="4502"/>
      <c r="K464" s="4502"/>
      <c r="L464" s="4502"/>
      <c r="M464" s="4502"/>
    </row>
    <row r="465" spans="1:13" hidden="1">
      <c r="A465" s="4501" t="s">
        <v>7196</v>
      </c>
      <c r="B465" s="3">
        <v>2.992</v>
      </c>
      <c r="E465" s="4502"/>
      <c r="F465" s="4502"/>
      <c r="G465" s="4502"/>
      <c r="H465" s="4502"/>
      <c r="I465" s="4502"/>
      <c r="J465" s="4502"/>
      <c r="K465" s="4502"/>
      <c r="L465" s="4502"/>
      <c r="M465" s="4502"/>
    </row>
    <row r="466" spans="1:13" hidden="1">
      <c r="A466" s="4501" t="s">
        <v>7197</v>
      </c>
      <c r="B466" s="3">
        <v>2.968</v>
      </c>
      <c r="E466" s="4502"/>
      <c r="F466" s="4502"/>
      <c r="G466" s="4502"/>
      <c r="H466" s="4502"/>
      <c r="I466" s="4502"/>
      <c r="J466" s="4502"/>
      <c r="K466" s="4502"/>
      <c r="L466" s="4502"/>
      <c r="M466" s="4502"/>
    </row>
    <row r="467" spans="1:13" hidden="1">
      <c r="A467" s="4501" t="s">
        <v>7198</v>
      </c>
      <c r="B467" s="3">
        <v>2.96</v>
      </c>
      <c r="E467" s="4502"/>
      <c r="F467" s="4502"/>
      <c r="G467" s="4502"/>
      <c r="H467" s="4502"/>
      <c r="I467" s="4502"/>
      <c r="J467" s="4502"/>
      <c r="K467" s="4502"/>
      <c r="L467" s="4502"/>
      <c r="M467" s="4502"/>
    </row>
    <row r="468" spans="1:13" hidden="1">
      <c r="A468" s="4501" t="s">
        <v>7199</v>
      </c>
      <c r="B468" s="3">
        <v>2.9820000000000002</v>
      </c>
      <c r="E468" s="4502"/>
      <c r="F468" s="4502"/>
      <c r="G468" s="4502"/>
      <c r="H468" s="4502"/>
      <c r="I468" s="4502"/>
      <c r="J468" s="4502"/>
      <c r="K468" s="4502"/>
      <c r="L468" s="4502"/>
      <c r="M468" s="4502"/>
    </row>
    <row r="469" spans="1:13" hidden="1">
      <c r="A469" s="4501" t="s">
        <v>7200</v>
      </c>
      <c r="B469" s="3">
        <v>2.9239999999999999</v>
      </c>
      <c r="E469" s="4502"/>
      <c r="F469" s="4502"/>
      <c r="G469" s="4502"/>
      <c r="H469" s="4502"/>
      <c r="I469" s="4502"/>
      <c r="J469" s="4502"/>
      <c r="K469" s="4502"/>
      <c r="L469" s="4502"/>
      <c r="M469" s="4502"/>
    </row>
    <row r="470" spans="1:13" hidden="1">
      <c r="A470" s="4501" t="s">
        <v>7201</v>
      </c>
      <c r="B470" s="3">
        <v>2.9239999999999999</v>
      </c>
      <c r="E470" s="4502"/>
      <c r="F470" s="4502"/>
      <c r="G470" s="4502"/>
      <c r="H470" s="4502"/>
      <c r="I470" s="4502"/>
      <c r="J470" s="4502"/>
      <c r="K470" s="4502"/>
      <c r="L470" s="4502"/>
      <c r="M470" s="4502"/>
    </row>
    <row r="471" spans="1:13" hidden="1">
      <c r="A471" s="4501" t="s">
        <v>7202</v>
      </c>
      <c r="B471" s="3">
        <v>2.9239999999999999</v>
      </c>
      <c r="E471" s="4502"/>
      <c r="F471" s="4502"/>
      <c r="G471" s="4502"/>
      <c r="H471" s="4502"/>
      <c r="I471" s="4502"/>
      <c r="J471" s="4502"/>
      <c r="K471" s="4502"/>
      <c r="L471" s="4502"/>
      <c r="M471" s="4502"/>
    </row>
    <row r="472" spans="1:13" hidden="1">
      <c r="A472" s="4501" t="s">
        <v>7203</v>
      </c>
      <c r="B472" s="3">
        <v>2.9609999999999999</v>
      </c>
      <c r="E472" s="4502"/>
      <c r="F472" s="4502"/>
      <c r="G472" s="4502"/>
      <c r="H472" s="4502"/>
      <c r="I472" s="4502"/>
      <c r="J472" s="4502"/>
      <c r="K472" s="4502"/>
      <c r="L472" s="4502"/>
      <c r="M472" s="4502"/>
    </row>
    <row r="473" spans="1:13" hidden="1">
      <c r="A473" s="4501" t="s">
        <v>7204</v>
      </c>
      <c r="B473" s="3">
        <v>2.9830000000000001</v>
      </c>
      <c r="E473" s="4502"/>
      <c r="F473" s="4502"/>
      <c r="G473" s="4502"/>
      <c r="H473" s="4502"/>
      <c r="I473" s="4502"/>
      <c r="J473" s="4502"/>
      <c r="K473" s="4502"/>
      <c r="L473" s="4502"/>
      <c r="M473" s="4502"/>
    </row>
    <row r="474" spans="1:13" hidden="1">
      <c r="A474" s="4501" t="s">
        <v>7205</v>
      </c>
      <c r="B474" s="3">
        <v>2.9390000000000001</v>
      </c>
      <c r="E474" s="4502"/>
      <c r="F474" s="4502"/>
      <c r="G474" s="4502"/>
      <c r="H474" s="4502"/>
      <c r="I474" s="4502"/>
      <c r="J474" s="4502"/>
      <c r="K474" s="4502"/>
      <c r="L474" s="4502"/>
      <c r="M474" s="4502"/>
    </row>
    <row r="475" spans="1:13" hidden="1">
      <c r="A475" s="4501" t="s">
        <v>7206</v>
      </c>
      <c r="B475" s="3">
        <v>3.04</v>
      </c>
      <c r="E475" s="4502"/>
      <c r="F475" s="4502"/>
      <c r="G475" s="4502"/>
      <c r="H475" s="4502"/>
      <c r="I475" s="4502"/>
      <c r="J475" s="4502"/>
      <c r="K475" s="4502"/>
      <c r="L475" s="4502"/>
      <c r="M475" s="4502"/>
    </row>
    <row r="476" spans="1:13" hidden="1">
      <c r="A476" s="4501" t="s">
        <v>7207</v>
      </c>
      <c r="B476" s="3">
        <v>3.07</v>
      </c>
      <c r="E476" s="4502"/>
      <c r="F476" s="4502"/>
      <c r="G476" s="4502"/>
      <c r="H476" s="4502"/>
      <c r="I476" s="4502"/>
      <c r="J476" s="4502"/>
      <c r="K476" s="4502"/>
      <c r="L476" s="4502"/>
      <c r="M476" s="4502"/>
    </row>
    <row r="477" spans="1:13" hidden="1">
      <c r="A477" s="4501" t="s">
        <v>7208</v>
      </c>
      <c r="B477" s="3">
        <v>3.07</v>
      </c>
      <c r="E477" s="4502"/>
      <c r="F477" s="4502"/>
      <c r="G477" s="4502"/>
      <c r="H477" s="4502"/>
      <c r="I477" s="4502"/>
      <c r="J477" s="4502"/>
      <c r="K477" s="4502"/>
      <c r="L477" s="4502"/>
      <c r="M477" s="4502"/>
    </row>
    <row r="478" spans="1:13" hidden="1">
      <c r="A478" s="4501" t="s">
        <v>7209</v>
      </c>
      <c r="B478" s="3">
        <v>3.07</v>
      </c>
      <c r="E478" s="4502"/>
      <c r="F478" s="4502"/>
      <c r="G478" s="4502"/>
      <c r="H478" s="4502"/>
      <c r="I478" s="4502"/>
      <c r="J478" s="4502"/>
      <c r="K478" s="4502"/>
      <c r="L478" s="4502"/>
      <c r="M478" s="4502"/>
    </row>
    <row r="479" spans="1:13" hidden="1">
      <c r="A479" s="4501" t="s">
        <v>7210</v>
      </c>
      <c r="B479" s="3">
        <v>3.07</v>
      </c>
      <c r="E479" s="4502"/>
      <c r="F479" s="4502"/>
      <c r="G479" s="4502"/>
      <c r="H479" s="4502"/>
      <c r="I479" s="4502"/>
      <c r="J479" s="4502"/>
      <c r="K479" s="4502"/>
      <c r="L479" s="4502"/>
      <c r="M479" s="4502"/>
    </row>
    <row r="480" spans="1:13" hidden="1">
      <c r="A480" s="4501" t="s">
        <v>7211</v>
      </c>
      <c r="B480" s="3">
        <v>2.972</v>
      </c>
      <c r="E480" s="4502"/>
      <c r="F480" s="4502"/>
      <c r="G480" s="4502"/>
      <c r="H480" s="4502"/>
      <c r="I480" s="4502"/>
      <c r="J480" s="4502"/>
      <c r="K480" s="4502"/>
      <c r="L480" s="4502"/>
      <c r="M480" s="4502"/>
    </row>
    <row r="481" spans="1:13" hidden="1">
      <c r="A481" s="4501" t="s">
        <v>7212</v>
      </c>
      <c r="B481" s="3">
        <v>3</v>
      </c>
      <c r="E481" s="4502"/>
      <c r="F481" s="4502"/>
      <c r="G481" s="4502"/>
      <c r="H481" s="4502"/>
      <c r="I481" s="4502"/>
      <c r="J481" s="4502"/>
      <c r="K481" s="4502"/>
      <c r="L481" s="4502"/>
      <c r="M481" s="4502"/>
    </row>
    <row r="482" spans="1:13" hidden="1">
      <c r="A482" s="4501" t="s">
        <v>7213</v>
      </c>
      <c r="B482" s="3">
        <v>2.9809999999999999</v>
      </c>
      <c r="E482" s="4502"/>
      <c r="F482" s="4502"/>
      <c r="G482" s="4502"/>
      <c r="H482" s="4502"/>
      <c r="I482" s="4502"/>
      <c r="J482" s="4502"/>
      <c r="K482" s="4502"/>
      <c r="L482" s="4502"/>
      <c r="M482" s="4502"/>
    </row>
    <row r="483" spans="1:13" hidden="1">
      <c r="A483" s="4501" t="s">
        <v>7214</v>
      </c>
      <c r="B483" s="3">
        <v>2.89</v>
      </c>
      <c r="E483" s="4502"/>
      <c r="F483" s="4502"/>
      <c r="G483" s="4502"/>
      <c r="H483" s="4502"/>
      <c r="I483" s="4502"/>
      <c r="J483" s="4502"/>
      <c r="K483" s="4502"/>
      <c r="L483" s="4502"/>
      <c r="M483" s="4502"/>
    </row>
    <row r="484" spans="1:13" hidden="1">
      <c r="A484" s="4501" t="s">
        <v>7215</v>
      </c>
      <c r="B484" s="3">
        <v>2.89</v>
      </c>
      <c r="E484" s="4502"/>
      <c r="F484" s="4502"/>
      <c r="G484" s="4502"/>
      <c r="H484" s="4502"/>
      <c r="I484" s="4502"/>
      <c r="J484" s="4502"/>
      <c r="K484" s="4502"/>
      <c r="L484" s="4502"/>
      <c r="M484" s="4502"/>
    </row>
    <row r="485" spans="1:13" hidden="1">
      <c r="A485" s="4501" t="s">
        <v>7216</v>
      </c>
      <c r="B485" s="3">
        <v>2.89</v>
      </c>
      <c r="E485" s="4502"/>
      <c r="F485" s="4502"/>
      <c r="G485" s="4502"/>
      <c r="H485" s="4502"/>
      <c r="I485" s="4502"/>
      <c r="J485" s="4502"/>
      <c r="K485" s="4502"/>
      <c r="L485" s="4502"/>
      <c r="M485" s="4502"/>
    </row>
    <row r="486" spans="1:13" hidden="1">
      <c r="A486" s="4501" t="s">
        <v>7217</v>
      </c>
      <c r="B486" s="3">
        <v>2.95</v>
      </c>
      <c r="E486" s="4502"/>
      <c r="F486" s="4502"/>
      <c r="G486" s="4502"/>
      <c r="H486" s="4502"/>
      <c r="I486" s="4502"/>
      <c r="J486" s="4502"/>
      <c r="K486" s="4502"/>
      <c r="L486" s="4502"/>
      <c r="M486" s="4502"/>
    </row>
    <row r="487" spans="1:13" hidden="1">
      <c r="A487" s="4501" t="s">
        <v>7218</v>
      </c>
      <c r="B487" s="3">
        <v>3.0009999999999999</v>
      </c>
      <c r="E487" s="4502"/>
      <c r="F487" s="4502"/>
      <c r="G487" s="4502"/>
      <c r="H487" s="4502"/>
      <c r="I487" s="4502"/>
      <c r="J487" s="4502"/>
      <c r="K487" s="4502"/>
      <c r="L487" s="4502"/>
      <c r="M487" s="4502"/>
    </row>
    <row r="488" spans="1:13" hidden="1">
      <c r="A488" s="4501" t="s">
        <v>7219</v>
      </c>
      <c r="B488" s="3">
        <v>3.1179999999999999</v>
      </c>
      <c r="E488" s="4502"/>
      <c r="F488" s="4502"/>
      <c r="G488" s="4502"/>
      <c r="H488" s="4502"/>
      <c r="I488" s="4502"/>
      <c r="J488" s="4502"/>
      <c r="K488" s="4502"/>
      <c r="L488" s="4502"/>
      <c r="M488" s="4502"/>
    </row>
    <row r="489" spans="1:13" hidden="1">
      <c r="A489" s="4501" t="s">
        <v>7220</v>
      </c>
      <c r="B489" s="3">
        <v>3.1269999999999998</v>
      </c>
      <c r="E489" s="4502"/>
      <c r="F489" s="4502"/>
      <c r="G489" s="4502"/>
      <c r="H489" s="4502"/>
      <c r="I489" s="4502"/>
      <c r="J489" s="4502"/>
      <c r="K489" s="4502"/>
      <c r="L489" s="4502"/>
      <c r="M489" s="4502"/>
    </row>
    <row r="490" spans="1:13" hidden="1">
      <c r="A490" s="4501" t="s">
        <v>7221</v>
      </c>
      <c r="B490" s="3">
        <v>3.085</v>
      </c>
      <c r="E490" s="4502"/>
      <c r="F490" s="4502"/>
      <c r="G490" s="4502"/>
      <c r="H490" s="4502"/>
      <c r="I490" s="4502"/>
      <c r="J490" s="4502"/>
      <c r="K490" s="4502"/>
      <c r="L490" s="4502"/>
      <c r="M490" s="4502"/>
    </row>
    <row r="491" spans="1:13" hidden="1">
      <c r="A491" s="4501" t="s">
        <v>7222</v>
      </c>
      <c r="B491" s="3">
        <v>3.085</v>
      </c>
      <c r="E491" s="4502"/>
      <c r="F491" s="4502"/>
      <c r="G491" s="4502"/>
      <c r="H491" s="4502"/>
      <c r="I491" s="4502"/>
      <c r="J491" s="4502"/>
      <c r="K491" s="4502"/>
      <c r="L491" s="4502"/>
      <c r="M491" s="4502"/>
    </row>
    <row r="492" spans="1:13" hidden="1">
      <c r="A492" s="4501" t="s">
        <v>7223</v>
      </c>
      <c r="B492" s="3">
        <v>3.085</v>
      </c>
      <c r="E492" s="4502"/>
      <c r="F492" s="4502"/>
      <c r="G492" s="4502"/>
      <c r="H492" s="4502"/>
      <c r="I492" s="4502"/>
      <c r="J492" s="4502"/>
      <c r="K492" s="4502"/>
      <c r="L492" s="4502"/>
      <c r="M492" s="4502"/>
    </row>
    <row r="493" spans="1:13" hidden="1">
      <c r="A493" s="4501" t="s">
        <v>7224</v>
      </c>
      <c r="B493" s="3">
        <v>3.1949999999999998</v>
      </c>
      <c r="E493" s="4502"/>
      <c r="F493" s="4502"/>
      <c r="G493" s="4502"/>
      <c r="H493" s="4502"/>
      <c r="I493" s="4502"/>
      <c r="J493" s="4502"/>
      <c r="K493" s="4502"/>
      <c r="L493" s="4502"/>
      <c r="M493" s="4502"/>
    </row>
    <row r="494" spans="1:13" hidden="1">
      <c r="A494" s="4501" t="s">
        <v>7225</v>
      </c>
      <c r="B494" s="3">
        <v>3.1749999999999998</v>
      </c>
      <c r="E494" s="4502"/>
      <c r="F494" s="4502"/>
      <c r="G494" s="4502"/>
      <c r="H494" s="4502"/>
      <c r="I494" s="4502"/>
      <c r="J494" s="4502"/>
      <c r="K494" s="4502"/>
      <c r="L494" s="4502"/>
      <c r="M494" s="4502"/>
    </row>
    <row r="495" spans="1:13" hidden="1">
      <c r="A495" s="4501" t="s">
        <v>7226</v>
      </c>
      <c r="B495" s="3">
        <v>3.149</v>
      </c>
      <c r="E495" s="4502"/>
      <c r="F495" s="4502"/>
      <c r="G495" s="4502"/>
      <c r="H495" s="4502"/>
      <c r="I495" s="4502"/>
      <c r="J495" s="4502"/>
      <c r="K495" s="4502"/>
      <c r="L495" s="4502"/>
      <c r="M495" s="4502"/>
    </row>
    <row r="496" spans="1:13" hidden="1">
      <c r="A496" s="4501" t="s">
        <v>7227</v>
      </c>
      <c r="B496" s="3">
        <v>3.0070000000000001</v>
      </c>
      <c r="E496" s="4502"/>
      <c r="F496" s="4502"/>
      <c r="G496" s="4502"/>
      <c r="H496" s="4502"/>
      <c r="I496" s="4502"/>
      <c r="J496" s="4502"/>
      <c r="K496" s="4502"/>
      <c r="L496" s="4502"/>
      <c r="M496" s="4502"/>
    </row>
    <row r="497" spans="1:13" hidden="1">
      <c r="A497" s="4501" t="s">
        <v>7228</v>
      </c>
      <c r="B497" s="3">
        <v>3.0209999999999999</v>
      </c>
      <c r="E497" s="4502"/>
      <c r="F497" s="4502"/>
      <c r="G497" s="4502"/>
      <c r="H497" s="4502"/>
      <c r="I497" s="4502"/>
      <c r="J497" s="4502"/>
      <c r="K497" s="4502"/>
      <c r="L497" s="4502"/>
      <c r="M497" s="4502"/>
    </row>
    <row r="498" spans="1:13" hidden="1">
      <c r="A498" s="4501" t="s">
        <v>7229</v>
      </c>
      <c r="B498" s="3">
        <v>3.0209999999999999</v>
      </c>
      <c r="E498" s="4502"/>
      <c r="F498" s="4502"/>
      <c r="G498" s="4502"/>
      <c r="H498" s="4502"/>
      <c r="I498" s="4502"/>
      <c r="J498" s="4502"/>
      <c r="K498" s="4502"/>
      <c r="L498" s="4502"/>
      <c r="M498" s="4502"/>
    </row>
    <row r="499" spans="1:13" hidden="1">
      <c r="A499" s="4501" t="s">
        <v>7230</v>
      </c>
      <c r="B499" s="3">
        <v>3.0209999999999999</v>
      </c>
      <c r="E499" s="4502"/>
      <c r="F499" s="4502"/>
      <c r="G499" s="4502"/>
      <c r="H499" s="4502"/>
      <c r="I499" s="4502"/>
      <c r="J499" s="4502"/>
      <c r="K499" s="4502"/>
      <c r="L499" s="4502"/>
      <c r="M499" s="4502"/>
    </row>
    <row r="500" spans="1:13" hidden="1">
      <c r="A500" s="4501" t="s">
        <v>7231</v>
      </c>
      <c r="B500" s="3">
        <v>2.988</v>
      </c>
      <c r="E500" s="4502"/>
      <c r="F500" s="4502"/>
      <c r="G500" s="4502"/>
      <c r="H500" s="4502"/>
      <c r="I500" s="4502"/>
      <c r="J500" s="4502"/>
      <c r="K500" s="4502"/>
      <c r="L500" s="4502"/>
      <c r="M500" s="4502"/>
    </row>
    <row r="501" spans="1:13" hidden="1">
      <c r="A501" s="4501" t="s">
        <v>7232</v>
      </c>
      <c r="B501" s="3">
        <v>3</v>
      </c>
      <c r="E501" s="4502"/>
      <c r="F501" s="4502"/>
      <c r="G501" s="4502"/>
      <c r="H501" s="4502"/>
      <c r="I501" s="4502"/>
      <c r="J501" s="4502"/>
      <c r="K501" s="4502"/>
      <c r="L501" s="4502"/>
      <c r="M501" s="4502"/>
    </row>
    <row r="502" spans="1:13" hidden="1">
      <c r="A502" s="4501" t="s">
        <v>7233</v>
      </c>
      <c r="B502" s="3">
        <v>3.0609999999999999</v>
      </c>
      <c r="E502" s="4502"/>
      <c r="F502" s="4502"/>
      <c r="G502" s="4502"/>
      <c r="H502" s="4502"/>
      <c r="I502" s="4502"/>
      <c r="J502" s="4502"/>
      <c r="K502" s="4502"/>
      <c r="L502" s="4502"/>
      <c r="M502" s="4502"/>
    </row>
    <row r="503" spans="1:13" hidden="1">
      <c r="A503" s="4501" t="s">
        <v>7234</v>
      </c>
      <c r="B503" s="3">
        <v>3.0169999999999999</v>
      </c>
      <c r="E503" s="4502"/>
      <c r="F503" s="4502"/>
      <c r="G503" s="4502"/>
      <c r="H503" s="4502"/>
      <c r="I503" s="4502"/>
      <c r="J503" s="4502"/>
      <c r="K503" s="4502"/>
      <c r="L503" s="4502"/>
      <c r="M503" s="4502"/>
    </row>
    <row r="504" spans="1:13" hidden="1">
      <c r="A504" s="4501" t="s">
        <v>7235</v>
      </c>
      <c r="B504" s="3">
        <v>3.0070000000000001</v>
      </c>
      <c r="E504" s="4502"/>
      <c r="F504" s="4502"/>
      <c r="G504" s="4502"/>
      <c r="H504" s="4502"/>
      <c r="I504" s="4502"/>
      <c r="J504" s="4502"/>
      <c r="K504" s="4502"/>
      <c r="L504" s="4502"/>
      <c r="M504" s="4502"/>
    </row>
    <row r="505" spans="1:13" hidden="1">
      <c r="A505" s="4501" t="s">
        <v>7236</v>
      </c>
      <c r="B505" s="3">
        <v>3.0070000000000001</v>
      </c>
      <c r="E505" s="4502"/>
      <c r="F505" s="4502"/>
      <c r="G505" s="4502"/>
      <c r="H505" s="4502"/>
      <c r="I505" s="4502"/>
      <c r="J505" s="4502"/>
      <c r="K505" s="4502"/>
      <c r="L505" s="4502"/>
      <c r="M505" s="4502"/>
    </row>
    <row r="506" spans="1:13" hidden="1">
      <c r="A506" s="4501" t="s">
        <v>7237</v>
      </c>
      <c r="B506" s="3">
        <v>3.0070000000000001</v>
      </c>
      <c r="E506" s="4502"/>
      <c r="F506" s="4502"/>
      <c r="G506" s="4502"/>
      <c r="H506" s="4502"/>
      <c r="I506" s="4502"/>
      <c r="J506" s="4502"/>
      <c r="K506" s="4502"/>
      <c r="L506" s="4502"/>
      <c r="M506" s="4502"/>
    </row>
    <row r="507" spans="1:13" hidden="1">
      <c r="A507" s="4501" t="s">
        <v>7238</v>
      </c>
      <c r="B507" s="3">
        <v>2.9159999999999999</v>
      </c>
      <c r="E507" s="4502"/>
      <c r="F507" s="4502"/>
      <c r="G507" s="4502"/>
      <c r="H507" s="4502"/>
      <c r="I507" s="4502"/>
      <c r="J507" s="4502"/>
      <c r="K507" s="4502"/>
      <c r="L507" s="4502"/>
      <c r="M507" s="4502"/>
    </row>
    <row r="508" spans="1:13" hidden="1">
      <c r="A508" s="4501" t="s">
        <v>7239</v>
      </c>
      <c r="B508" s="3">
        <v>2.895</v>
      </c>
      <c r="E508" s="4502"/>
      <c r="F508" s="4502"/>
      <c r="G508" s="4502"/>
      <c r="H508" s="4502"/>
      <c r="I508" s="4502"/>
      <c r="J508" s="4502"/>
      <c r="K508" s="4502"/>
      <c r="L508" s="4502"/>
      <c r="M508" s="4502"/>
    </row>
    <row r="509" spans="1:13" hidden="1">
      <c r="A509" s="4501" t="s">
        <v>7240</v>
      </c>
      <c r="B509" s="3">
        <v>2.94</v>
      </c>
      <c r="E509" s="4502"/>
      <c r="F509" s="4502"/>
      <c r="G509" s="4502"/>
      <c r="H509" s="4502"/>
      <c r="I509" s="4502"/>
      <c r="J509" s="4502"/>
      <c r="K509" s="4502"/>
      <c r="L509" s="4502"/>
      <c r="M509" s="4502"/>
    </row>
    <row r="510" spans="1:13" hidden="1">
      <c r="A510" s="4501" t="s">
        <v>7241</v>
      </c>
      <c r="B510" s="3">
        <v>2.923</v>
      </c>
      <c r="E510" s="4502"/>
      <c r="F510" s="4502"/>
      <c r="G510" s="4502"/>
      <c r="H510" s="4502"/>
      <c r="I510" s="4502"/>
      <c r="J510" s="4502"/>
      <c r="K510" s="4502"/>
      <c r="L510" s="4502"/>
      <c r="M510" s="4502"/>
    </row>
    <row r="511" spans="1:13" hidden="1">
      <c r="A511" s="4501" t="s">
        <v>7242</v>
      </c>
      <c r="B511" s="3">
        <v>2.863</v>
      </c>
      <c r="E511" s="4502"/>
      <c r="F511" s="4502"/>
      <c r="G511" s="4502"/>
      <c r="H511" s="4502"/>
      <c r="I511" s="4502"/>
      <c r="J511" s="4502"/>
      <c r="K511" s="4502"/>
      <c r="L511" s="4502"/>
      <c r="M511" s="4502"/>
    </row>
    <row r="512" spans="1:13" hidden="1">
      <c r="A512" s="4501" t="s">
        <v>7243</v>
      </c>
      <c r="B512" s="3">
        <v>2.863</v>
      </c>
      <c r="E512" s="4502"/>
      <c r="F512" s="4502"/>
      <c r="G512" s="4502"/>
      <c r="H512" s="4502"/>
      <c r="I512" s="4502"/>
      <c r="J512" s="4502"/>
      <c r="K512" s="4502"/>
      <c r="L512" s="4502"/>
      <c r="M512" s="4502"/>
    </row>
    <row r="513" spans="1:13" hidden="1">
      <c r="A513" s="4501" t="s">
        <v>7244</v>
      </c>
      <c r="B513" s="3">
        <v>2.863</v>
      </c>
      <c r="E513" s="4502"/>
      <c r="F513" s="4502"/>
      <c r="G513" s="4502"/>
      <c r="H513" s="4502"/>
      <c r="I513" s="4502"/>
      <c r="J513" s="4502"/>
      <c r="K513" s="4502"/>
      <c r="L513" s="4502"/>
      <c r="M513" s="4502"/>
    </row>
    <row r="514" spans="1:13" hidden="1">
      <c r="A514" s="4501" t="s">
        <v>7245</v>
      </c>
      <c r="B514" s="3">
        <v>2.8330000000000002</v>
      </c>
      <c r="E514" s="4502"/>
      <c r="F514" s="4502"/>
      <c r="G514" s="4502"/>
      <c r="H514" s="4502"/>
      <c r="I514" s="4502"/>
      <c r="J514" s="4502"/>
      <c r="K514" s="4502"/>
      <c r="L514" s="4502"/>
      <c r="M514" s="4502"/>
    </row>
    <row r="515" spans="1:13" hidden="1">
      <c r="A515" s="4501" t="s">
        <v>7246</v>
      </c>
      <c r="B515" s="3">
        <v>2.891</v>
      </c>
      <c r="E515" s="4502"/>
      <c r="F515" s="4502"/>
      <c r="G515" s="4502"/>
      <c r="H515" s="4502"/>
      <c r="I515" s="4502"/>
      <c r="J515" s="4502"/>
      <c r="K515" s="4502"/>
      <c r="L515" s="4502"/>
      <c r="M515" s="4502"/>
    </row>
    <row r="516" spans="1:13" hidden="1">
      <c r="A516" s="4501" t="s">
        <v>7247</v>
      </c>
      <c r="B516" s="3">
        <v>2.8889999999999998</v>
      </c>
      <c r="E516" s="4502"/>
      <c r="F516" s="4502"/>
      <c r="G516" s="4502"/>
      <c r="H516" s="4502"/>
      <c r="I516" s="4502"/>
      <c r="J516" s="4502"/>
      <c r="K516" s="4502"/>
      <c r="L516" s="4502"/>
      <c r="M516" s="4502"/>
    </row>
    <row r="517" spans="1:13" hidden="1">
      <c r="A517" s="4501" t="s">
        <v>7248</v>
      </c>
      <c r="B517" s="3">
        <v>2.9889999999999999</v>
      </c>
      <c r="E517" s="4502"/>
      <c r="F517" s="4502"/>
      <c r="G517" s="4502"/>
      <c r="H517" s="4502"/>
      <c r="I517" s="4502"/>
      <c r="J517" s="4502"/>
      <c r="K517" s="4502"/>
      <c r="L517" s="4502"/>
      <c r="M517" s="4502"/>
    </row>
    <row r="518" spans="1:13" hidden="1">
      <c r="A518" s="4501" t="s">
        <v>7249</v>
      </c>
      <c r="B518" s="3">
        <v>3.16</v>
      </c>
      <c r="E518" s="4502"/>
      <c r="F518" s="4502"/>
      <c r="G518" s="4502"/>
      <c r="H518" s="4502"/>
      <c r="I518" s="4502"/>
      <c r="J518" s="4502"/>
      <c r="K518" s="4502"/>
      <c r="L518" s="4502"/>
      <c r="M518" s="4502"/>
    </row>
    <row r="519" spans="1:13" hidden="1">
      <c r="A519" s="4501" t="s">
        <v>7250</v>
      </c>
      <c r="B519" s="3">
        <v>3.16</v>
      </c>
      <c r="E519" s="4502"/>
      <c r="F519" s="4502"/>
      <c r="G519" s="4502"/>
      <c r="H519" s="4502"/>
      <c r="I519" s="4502"/>
      <c r="J519" s="4502"/>
      <c r="K519" s="4502"/>
      <c r="L519" s="4502"/>
      <c r="M519" s="4502"/>
    </row>
    <row r="520" spans="1:13" hidden="1">
      <c r="A520" s="4501" t="s">
        <v>7251</v>
      </c>
      <c r="B520" s="3">
        <v>3.16</v>
      </c>
      <c r="E520" s="4502"/>
      <c r="F520" s="4502"/>
      <c r="G520" s="4502"/>
      <c r="H520" s="4502"/>
      <c r="I520" s="4502"/>
      <c r="J520" s="4502"/>
      <c r="K520" s="4502"/>
      <c r="L520" s="4502"/>
      <c r="M520" s="4502"/>
    </row>
    <row r="521" spans="1:13" hidden="1">
      <c r="A521" s="4501" t="s">
        <v>7252</v>
      </c>
      <c r="B521" s="3">
        <v>3.1080000000000001</v>
      </c>
      <c r="E521" s="4502"/>
      <c r="F521" s="4502"/>
      <c r="G521" s="4502"/>
      <c r="H521" s="4502"/>
      <c r="I521" s="4502"/>
      <c r="J521" s="4502"/>
      <c r="K521" s="4502"/>
      <c r="L521" s="4502"/>
      <c r="M521" s="4502"/>
    </row>
    <row r="522" spans="1:13" hidden="1">
      <c r="A522" s="4501" t="s">
        <v>7253</v>
      </c>
      <c r="B522" s="3">
        <v>3.1280000000000001</v>
      </c>
      <c r="E522" s="4502"/>
      <c r="F522" s="4502"/>
      <c r="G522" s="4502"/>
      <c r="H522" s="4502"/>
      <c r="I522" s="4502"/>
      <c r="J522" s="4502"/>
      <c r="K522" s="4502"/>
      <c r="L522" s="4502"/>
      <c r="M522" s="4502"/>
    </row>
    <row r="523" spans="1:13" hidden="1">
      <c r="A523" s="4501" t="s">
        <v>7254</v>
      </c>
      <c r="B523" s="3">
        <v>3.0649999999999999</v>
      </c>
      <c r="E523" s="4502"/>
      <c r="F523" s="4502"/>
      <c r="G523" s="4502"/>
      <c r="H523" s="4502"/>
      <c r="I523" s="4502"/>
      <c r="J523" s="4502"/>
      <c r="K523" s="4502"/>
      <c r="L523" s="4502"/>
      <c r="M523" s="4502"/>
    </row>
    <row r="524" spans="1:13" hidden="1">
      <c r="A524" s="4501" t="s">
        <v>7255</v>
      </c>
      <c r="B524" s="3">
        <v>3.0859999999999999</v>
      </c>
      <c r="E524" s="4502"/>
      <c r="F524" s="4502"/>
      <c r="G524" s="4502"/>
      <c r="H524" s="4502"/>
      <c r="I524" s="4502"/>
      <c r="J524" s="4502"/>
      <c r="K524" s="4502"/>
      <c r="L524" s="4502"/>
      <c r="M524" s="4502"/>
    </row>
    <row r="525" spans="1:13" hidden="1">
      <c r="A525" s="4501" t="s">
        <v>7256</v>
      </c>
      <c r="B525" s="3">
        <v>3.113</v>
      </c>
      <c r="E525" s="4502"/>
      <c r="F525" s="4502"/>
      <c r="G525" s="4502"/>
      <c r="H525" s="4502"/>
      <c r="I525" s="4502"/>
      <c r="J525" s="4502"/>
      <c r="K525" s="4502"/>
      <c r="L525" s="4502"/>
      <c r="M525" s="4502"/>
    </row>
    <row r="526" spans="1:13" hidden="1">
      <c r="A526" s="4501" t="s">
        <v>7257</v>
      </c>
      <c r="B526" s="3">
        <v>3.113</v>
      </c>
      <c r="E526" s="4502"/>
      <c r="F526" s="4502"/>
      <c r="G526" s="4502"/>
      <c r="H526" s="4502"/>
      <c r="I526" s="4502"/>
      <c r="J526" s="4502"/>
      <c r="K526" s="4502"/>
      <c r="L526" s="4502"/>
      <c r="M526" s="4502"/>
    </row>
    <row r="527" spans="1:13" hidden="1">
      <c r="A527" s="4501" t="s">
        <v>7258</v>
      </c>
      <c r="B527" s="3">
        <v>3.113</v>
      </c>
      <c r="E527" s="4502"/>
      <c r="F527" s="4502"/>
      <c r="G527" s="4502"/>
      <c r="H527" s="4502"/>
      <c r="I527" s="4502"/>
      <c r="J527" s="4502"/>
      <c r="K527" s="4502"/>
      <c r="L527" s="4502"/>
      <c r="M527" s="4502"/>
    </row>
    <row r="528" spans="1:13" hidden="1">
      <c r="A528" s="4501" t="s">
        <v>7259</v>
      </c>
      <c r="B528" s="3">
        <v>3.1560000000000001</v>
      </c>
      <c r="E528" s="4502"/>
      <c r="F528" s="4502"/>
      <c r="G528" s="4502"/>
      <c r="H528" s="4502"/>
      <c r="I528" s="4502"/>
      <c r="J528" s="4502"/>
      <c r="K528" s="4502"/>
      <c r="L528" s="4502"/>
      <c r="M528" s="4502"/>
    </row>
    <row r="529" spans="1:13" hidden="1">
      <c r="A529" s="4501" t="s">
        <v>7260</v>
      </c>
      <c r="B529" s="3">
        <v>3.1349999999999998</v>
      </c>
      <c r="E529" s="4502"/>
      <c r="F529" s="4502"/>
      <c r="G529" s="4502"/>
      <c r="H529" s="4502"/>
      <c r="I529" s="4502"/>
      <c r="J529" s="4502"/>
      <c r="K529" s="4502"/>
      <c r="L529" s="4502"/>
      <c r="M529" s="4502"/>
    </row>
    <row r="530" spans="1:13" hidden="1">
      <c r="A530" s="4501" t="s">
        <v>7261</v>
      </c>
      <c r="B530" s="3">
        <v>3.0819999999999999</v>
      </c>
      <c r="E530" s="4502"/>
      <c r="F530" s="4502"/>
      <c r="G530" s="4502"/>
      <c r="H530" s="4502"/>
      <c r="I530" s="4502"/>
      <c r="J530" s="4502"/>
      <c r="K530" s="4502"/>
      <c r="L530" s="4502"/>
      <c r="M530" s="4502"/>
    </row>
    <row r="531" spans="1:13" hidden="1">
      <c r="A531" s="4501" t="s">
        <v>7262</v>
      </c>
      <c r="B531" s="3">
        <v>3.0510000000000002</v>
      </c>
      <c r="E531" s="4502"/>
      <c r="F531" s="4502"/>
      <c r="G531" s="4502"/>
      <c r="H531" s="4502"/>
      <c r="I531" s="4502"/>
      <c r="J531" s="4502"/>
      <c r="K531" s="4502"/>
      <c r="L531" s="4502"/>
      <c r="M531" s="4502"/>
    </row>
    <row r="532" spans="1:13" hidden="1">
      <c r="A532" s="4501" t="s">
        <v>7263</v>
      </c>
      <c r="B532" s="3">
        <v>2.964</v>
      </c>
      <c r="E532" s="4502"/>
      <c r="F532" s="4502"/>
      <c r="G532" s="4502"/>
      <c r="H532" s="4502"/>
      <c r="I532" s="4502"/>
      <c r="J532" s="4502"/>
      <c r="K532" s="4502"/>
      <c r="L532" s="4502"/>
      <c r="M532" s="4502"/>
    </row>
    <row r="533" spans="1:13" hidden="1">
      <c r="A533" s="4501" t="s">
        <v>7264</v>
      </c>
      <c r="B533" s="3">
        <v>2.964</v>
      </c>
      <c r="E533" s="4502"/>
      <c r="F533" s="4502"/>
      <c r="G533" s="4502"/>
      <c r="H533" s="4502"/>
      <c r="I533" s="4502"/>
      <c r="J533" s="4502"/>
      <c r="K533" s="4502"/>
      <c r="L533" s="4502"/>
      <c r="M533" s="4502"/>
    </row>
    <row r="534" spans="1:13" hidden="1">
      <c r="A534" s="4501" t="s">
        <v>7265</v>
      </c>
      <c r="B534" s="3">
        <v>2.964</v>
      </c>
      <c r="E534" s="4502"/>
      <c r="F534" s="4502"/>
      <c r="G534" s="4502"/>
      <c r="H534" s="4502"/>
      <c r="I534" s="4502"/>
      <c r="J534" s="4502"/>
      <c r="K534" s="4502"/>
      <c r="L534" s="4502"/>
      <c r="M534" s="4502"/>
    </row>
    <row r="535" spans="1:13" hidden="1">
      <c r="A535" s="4501" t="s">
        <v>7266</v>
      </c>
      <c r="B535" s="3">
        <v>2.9660000000000002</v>
      </c>
      <c r="E535" s="4502"/>
      <c r="F535" s="4502"/>
      <c r="G535" s="4502"/>
      <c r="H535" s="4502"/>
      <c r="I535" s="4502"/>
      <c r="J535" s="4502"/>
      <c r="K535" s="4502"/>
      <c r="L535" s="4502"/>
      <c r="M535" s="4502"/>
    </row>
    <row r="536" spans="1:13" hidden="1">
      <c r="A536" s="4501" t="s">
        <v>7267</v>
      </c>
      <c r="B536" s="3">
        <v>2.8959999999999999</v>
      </c>
      <c r="E536" s="4502"/>
      <c r="F536" s="4502"/>
      <c r="G536" s="4502"/>
      <c r="H536" s="4502"/>
      <c r="I536" s="4502"/>
      <c r="J536" s="4502"/>
      <c r="K536" s="4502"/>
      <c r="L536" s="4502"/>
      <c r="M536" s="4502"/>
    </row>
    <row r="537" spans="1:13" hidden="1">
      <c r="A537" s="4501" t="s">
        <v>7268</v>
      </c>
      <c r="B537" s="3">
        <v>2.8929999999999998</v>
      </c>
      <c r="E537" s="4502"/>
      <c r="F537" s="4502"/>
      <c r="G537" s="4502"/>
      <c r="H537" s="4502"/>
      <c r="I537" s="4502"/>
      <c r="J537" s="4502"/>
      <c r="K537" s="4502"/>
      <c r="L537" s="4502"/>
      <c r="M537" s="4502"/>
    </row>
    <row r="538" spans="1:13" hidden="1">
      <c r="A538" s="4501" t="s">
        <v>7269</v>
      </c>
      <c r="B538" s="3">
        <v>2.9350000000000001</v>
      </c>
      <c r="E538" s="4502"/>
      <c r="F538" s="4502"/>
      <c r="G538" s="4502"/>
      <c r="H538" s="4502"/>
      <c r="I538" s="4502"/>
      <c r="J538" s="4502"/>
      <c r="K538" s="4502"/>
      <c r="L538" s="4502"/>
      <c r="M538" s="4502"/>
    </row>
    <row r="539" spans="1:13" hidden="1">
      <c r="A539" s="4501" t="s">
        <v>7270</v>
      </c>
      <c r="B539" s="3">
        <v>2.984</v>
      </c>
      <c r="E539" s="4502"/>
      <c r="F539" s="4502"/>
      <c r="G539" s="4502"/>
      <c r="H539" s="4502"/>
      <c r="I539" s="4502"/>
      <c r="J539" s="4502"/>
      <c r="K539" s="4502"/>
      <c r="L539" s="4502"/>
      <c r="M539" s="4502"/>
    </row>
    <row r="540" spans="1:13" hidden="1">
      <c r="A540" s="4501" t="s">
        <v>7271</v>
      </c>
      <c r="B540" s="3">
        <v>2.984</v>
      </c>
      <c r="E540" s="4502"/>
      <c r="F540" s="4502"/>
      <c r="G540" s="4502"/>
      <c r="H540" s="4502"/>
      <c r="I540" s="4502"/>
      <c r="J540" s="4502"/>
      <c r="K540" s="4502"/>
      <c r="L540" s="4502"/>
      <c r="M540" s="4502"/>
    </row>
    <row r="541" spans="1:13" hidden="1">
      <c r="A541" s="4501" t="s">
        <v>7272</v>
      </c>
      <c r="B541" s="3">
        <v>2.984</v>
      </c>
      <c r="E541" s="4502"/>
      <c r="F541" s="4502"/>
      <c r="G541" s="4502"/>
      <c r="H541" s="4502"/>
      <c r="I541" s="4502"/>
      <c r="J541" s="4502"/>
      <c r="K541" s="4502"/>
      <c r="L541" s="4502"/>
      <c r="M541" s="4502"/>
    </row>
    <row r="542" spans="1:13" hidden="1">
      <c r="A542" s="4501" t="s">
        <v>7273</v>
      </c>
      <c r="B542" s="3">
        <v>3.1339999999999999</v>
      </c>
      <c r="E542" s="4502"/>
      <c r="F542" s="4502"/>
      <c r="G542" s="4502"/>
      <c r="H542" s="4502"/>
      <c r="I542" s="4502"/>
      <c r="J542" s="4502"/>
      <c r="K542" s="4502"/>
      <c r="L542" s="4502"/>
      <c r="M542" s="4502"/>
    </row>
    <row r="543" spans="1:13" hidden="1">
      <c r="A543" s="4501" t="s">
        <v>7274</v>
      </c>
      <c r="B543" s="3">
        <v>3.1520000000000001</v>
      </c>
      <c r="E543" s="4502"/>
      <c r="F543" s="4502"/>
      <c r="G543" s="4502"/>
      <c r="H543" s="4502"/>
      <c r="I543" s="4502"/>
      <c r="J543" s="4502"/>
      <c r="K543" s="4502"/>
      <c r="L543" s="4502"/>
      <c r="M543" s="4502"/>
    </row>
    <row r="544" spans="1:13" hidden="1">
      <c r="A544" s="4501" t="s">
        <v>7275</v>
      </c>
      <c r="B544" s="3">
        <v>3.2719999999999998</v>
      </c>
      <c r="E544" s="4502"/>
      <c r="F544" s="4502"/>
      <c r="G544" s="4502"/>
      <c r="H544" s="4502"/>
      <c r="I544" s="4502"/>
      <c r="J544" s="4502"/>
      <c r="K544" s="4502"/>
      <c r="L544" s="4502"/>
      <c r="M544" s="4502"/>
    </row>
    <row r="545" spans="1:13" hidden="1">
      <c r="A545" s="4501" t="s">
        <v>7276</v>
      </c>
      <c r="B545" s="3">
        <v>3.2970000000000002</v>
      </c>
      <c r="E545" s="4502"/>
      <c r="F545" s="4502"/>
      <c r="G545" s="4502"/>
      <c r="H545" s="4502"/>
      <c r="I545" s="4502"/>
      <c r="J545" s="4502"/>
      <c r="K545" s="4502"/>
      <c r="L545" s="4502"/>
      <c r="M545" s="4502"/>
    </row>
    <row r="546" spans="1:13" hidden="1">
      <c r="A546" s="4501" t="s">
        <v>7277</v>
      </c>
      <c r="B546" s="3">
        <v>3.306</v>
      </c>
      <c r="E546" s="4502"/>
      <c r="F546" s="4502"/>
      <c r="G546" s="4502"/>
      <c r="H546" s="4502"/>
      <c r="I546" s="4502"/>
      <c r="J546" s="4502"/>
      <c r="K546" s="4502"/>
      <c r="L546" s="4502"/>
      <c r="M546" s="4502"/>
    </row>
    <row r="547" spans="1:13" hidden="1">
      <c r="A547" s="4501" t="s">
        <v>7278</v>
      </c>
      <c r="B547" s="3">
        <v>3.306</v>
      </c>
      <c r="E547" s="4502"/>
      <c r="F547" s="4502"/>
      <c r="G547" s="4502"/>
      <c r="H547" s="4502"/>
      <c r="I547" s="4502"/>
      <c r="J547" s="4502"/>
      <c r="K547" s="4502"/>
      <c r="L547" s="4502"/>
      <c r="M547" s="4502"/>
    </row>
    <row r="548" spans="1:13" hidden="1">
      <c r="A548" s="4501" t="s">
        <v>7279</v>
      </c>
      <c r="B548" s="3">
        <v>3.306</v>
      </c>
      <c r="E548" s="4502"/>
      <c r="F548" s="4502"/>
      <c r="G548" s="4502"/>
      <c r="H548" s="4502"/>
      <c r="I548" s="4502"/>
      <c r="J548" s="4502"/>
      <c r="K548" s="4502"/>
      <c r="L548" s="4502"/>
      <c r="M548" s="4502"/>
    </row>
    <row r="549" spans="1:13" hidden="1">
      <c r="A549" s="4501" t="s">
        <v>7280</v>
      </c>
      <c r="B549" s="3">
        <v>3.262</v>
      </c>
      <c r="E549" s="4502"/>
      <c r="F549" s="4502"/>
      <c r="G549" s="4502"/>
      <c r="H549" s="4502"/>
      <c r="I549" s="4502"/>
      <c r="J549" s="4502"/>
      <c r="K549" s="4502"/>
      <c r="L549" s="4502"/>
      <c r="M549" s="4502"/>
    </row>
    <row r="550" spans="1:13" hidden="1">
      <c r="A550" s="4501" t="s">
        <v>7281</v>
      </c>
      <c r="B550" s="3">
        <v>3.2029999999999998</v>
      </c>
      <c r="E550" s="4502"/>
      <c r="F550" s="4502"/>
      <c r="G550" s="4502"/>
      <c r="H550" s="4502"/>
      <c r="I550" s="4502"/>
      <c r="J550" s="4502"/>
      <c r="K550" s="4502"/>
      <c r="L550" s="4502"/>
      <c r="M550" s="4502"/>
    </row>
    <row r="551" spans="1:13" hidden="1">
      <c r="A551" s="4501" t="s">
        <v>7282</v>
      </c>
      <c r="B551" s="3">
        <v>3.1789999999999998</v>
      </c>
      <c r="E551" s="4502"/>
      <c r="F551" s="4502"/>
      <c r="G551" s="4502"/>
      <c r="H551" s="4502"/>
      <c r="I551" s="4502"/>
      <c r="J551" s="4502"/>
      <c r="K551" s="4502"/>
      <c r="L551" s="4502"/>
      <c r="M551" s="4502"/>
    </row>
    <row r="552" spans="1:13" hidden="1">
      <c r="A552" s="4501" t="s">
        <v>7283</v>
      </c>
      <c r="B552" s="3">
        <v>3.153</v>
      </c>
      <c r="E552" s="4502"/>
      <c r="F552" s="4502"/>
      <c r="G552" s="4502"/>
      <c r="H552" s="4502"/>
      <c r="I552" s="4502"/>
      <c r="J552" s="4502"/>
      <c r="K552" s="4502"/>
      <c r="L552" s="4502"/>
      <c r="M552" s="4502"/>
    </row>
    <row r="553" spans="1:13" hidden="1">
      <c r="A553" s="4501" t="s">
        <v>7284</v>
      </c>
      <c r="B553" s="3">
        <v>3.1909999999999998</v>
      </c>
      <c r="E553" s="4502"/>
      <c r="F553" s="4502"/>
      <c r="G553" s="4502"/>
      <c r="H553" s="4502"/>
      <c r="I553" s="4502"/>
      <c r="J553" s="4502"/>
      <c r="K553" s="4502"/>
      <c r="L553" s="4502"/>
      <c r="M553" s="4502"/>
    </row>
    <row r="554" spans="1:13" hidden="1">
      <c r="A554" s="4501" t="s">
        <v>7285</v>
      </c>
      <c r="B554" s="3">
        <v>3.1909999999999998</v>
      </c>
      <c r="E554" s="4502"/>
      <c r="F554" s="4502"/>
      <c r="G554" s="4502"/>
      <c r="H554" s="4502"/>
      <c r="I554" s="4502"/>
      <c r="J554" s="4502"/>
      <c r="K554" s="4502"/>
      <c r="L554" s="4502"/>
      <c r="M554" s="4502"/>
    </row>
    <row r="555" spans="1:13" hidden="1">
      <c r="A555" s="4501" t="s">
        <v>7286</v>
      </c>
      <c r="B555" s="3">
        <v>3.1909999999999998</v>
      </c>
      <c r="E555" s="4502"/>
      <c r="F555" s="4502"/>
      <c r="G555" s="4502"/>
      <c r="H555" s="4502"/>
      <c r="I555" s="4502"/>
      <c r="J555" s="4502"/>
      <c r="K555" s="4502"/>
      <c r="L555" s="4502"/>
      <c r="M555" s="4502"/>
    </row>
    <row r="556" spans="1:13" hidden="1">
      <c r="A556" s="4501" t="s">
        <v>7287</v>
      </c>
      <c r="B556" s="3">
        <v>3.14</v>
      </c>
      <c r="E556" s="4502"/>
      <c r="F556" s="4502"/>
      <c r="G556" s="4502"/>
      <c r="H556" s="4502"/>
      <c r="I556" s="4502"/>
      <c r="J556" s="4502"/>
      <c r="K556" s="4502"/>
      <c r="L556" s="4502"/>
      <c r="M556" s="4502"/>
    </row>
    <row r="557" spans="1:13" hidden="1">
      <c r="A557" s="4501" t="s">
        <v>7288</v>
      </c>
      <c r="B557" s="3">
        <v>3.11</v>
      </c>
      <c r="E557" s="4502"/>
      <c r="F557" s="4502"/>
      <c r="G557" s="4502"/>
      <c r="H557" s="4502"/>
      <c r="I557" s="4502"/>
      <c r="J557" s="4502"/>
      <c r="K557" s="4502"/>
      <c r="L557" s="4502"/>
      <c r="M557" s="4502"/>
    </row>
    <row r="558" spans="1:13" hidden="1">
      <c r="A558" s="4501" t="s">
        <v>7289</v>
      </c>
      <c r="B558" s="3">
        <v>3.0590000000000002</v>
      </c>
      <c r="E558" s="4502"/>
      <c r="F558" s="4502"/>
      <c r="G558" s="4502"/>
      <c r="H558" s="4502"/>
      <c r="I558" s="4502"/>
      <c r="J558" s="4502"/>
      <c r="K558" s="4502"/>
      <c r="L558" s="4502"/>
      <c r="M558" s="4502"/>
    </row>
    <row r="559" spans="1:13" hidden="1">
      <c r="A559" s="4501" t="s">
        <v>7290</v>
      </c>
      <c r="B559" s="3">
        <v>3.0590000000000002</v>
      </c>
      <c r="E559" s="4502"/>
      <c r="F559" s="4502"/>
      <c r="G559" s="4502"/>
      <c r="H559" s="4502"/>
      <c r="I559" s="4502"/>
      <c r="J559" s="4502"/>
      <c r="K559" s="4502"/>
      <c r="L559" s="4502"/>
      <c r="M559" s="4502"/>
    </row>
    <row r="560" spans="1:13" hidden="1">
      <c r="A560" s="4501" t="s">
        <v>7291</v>
      </c>
      <c r="B560" s="3">
        <v>2.9159999999999999</v>
      </c>
      <c r="E560" s="4502"/>
      <c r="F560" s="4502"/>
      <c r="G560" s="4502"/>
      <c r="H560" s="4502"/>
      <c r="I560" s="4502"/>
      <c r="J560" s="4502"/>
      <c r="K560" s="4502"/>
      <c r="L560" s="4502"/>
      <c r="M560" s="4502"/>
    </row>
    <row r="561" spans="1:13" hidden="1">
      <c r="A561" s="4501" t="s">
        <v>7292</v>
      </c>
      <c r="B561" s="3">
        <v>2.9159999999999999</v>
      </c>
      <c r="E561" s="4502"/>
      <c r="F561" s="4502"/>
      <c r="G561" s="4502"/>
      <c r="H561" s="4502"/>
      <c r="I561" s="4502"/>
      <c r="J561" s="4502"/>
      <c r="K561" s="4502"/>
      <c r="L561" s="4502"/>
      <c r="M561" s="4502"/>
    </row>
    <row r="562" spans="1:13" hidden="1">
      <c r="A562" s="4501" t="s">
        <v>7293</v>
      </c>
      <c r="B562" s="3">
        <v>2.9159999999999999</v>
      </c>
      <c r="E562" s="4502"/>
      <c r="F562" s="4502"/>
      <c r="G562" s="4502"/>
      <c r="H562" s="4502"/>
      <c r="I562" s="4502"/>
      <c r="J562" s="4502"/>
      <c r="K562" s="4502"/>
      <c r="L562" s="4502"/>
      <c r="M562" s="4502"/>
    </row>
    <row r="563" spans="1:13" hidden="1">
      <c r="A563" s="4501" t="s">
        <v>7294</v>
      </c>
      <c r="B563" s="3">
        <v>3.0169999999999999</v>
      </c>
      <c r="E563" s="4502"/>
      <c r="F563" s="4502"/>
      <c r="G563" s="4502"/>
      <c r="H563" s="4502"/>
      <c r="I563" s="4502"/>
      <c r="J563" s="4502"/>
      <c r="K563" s="4502"/>
      <c r="L563" s="4502"/>
      <c r="M563" s="4502"/>
    </row>
    <row r="564" spans="1:13" hidden="1">
      <c r="A564" s="4501" t="s">
        <v>7295</v>
      </c>
      <c r="B564" s="3">
        <v>3.1280000000000001</v>
      </c>
      <c r="E564" s="4502"/>
      <c r="F564" s="4502"/>
      <c r="G564" s="4502"/>
      <c r="H564" s="4502"/>
      <c r="I564" s="4502"/>
      <c r="J564" s="4502"/>
      <c r="K564" s="4502"/>
      <c r="L564" s="4502"/>
      <c r="M564" s="4502"/>
    </row>
    <row r="565" spans="1:13" hidden="1">
      <c r="A565" s="4501" t="s">
        <v>7296</v>
      </c>
      <c r="B565" s="3">
        <v>3.1789999999999998</v>
      </c>
      <c r="E565" s="4502"/>
      <c r="F565" s="4502"/>
      <c r="G565" s="4502"/>
      <c r="H565" s="4502"/>
      <c r="I565" s="4502"/>
      <c r="J565" s="4502"/>
      <c r="K565" s="4502"/>
      <c r="L565" s="4502"/>
      <c r="M565" s="4502"/>
    </row>
    <row r="566" spans="1:13" hidden="1">
      <c r="A566" s="4501" t="s">
        <v>7297</v>
      </c>
      <c r="B566" s="3">
        <v>3.0249999999999999</v>
      </c>
      <c r="E566" s="4502"/>
      <c r="F566" s="4502"/>
      <c r="G566" s="4502"/>
      <c r="H566" s="4502"/>
      <c r="I566" s="4502"/>
      <c r="J566" s="4502"/>
      <c r="K566" s="4502"/>
      <c r="L566" s="4502"/>
      <c r="M566" s="4502"/>
    </row>
    <row r="567" spans="1:13" hidden="1">
      <c r="A567" s="4501" t="s">
        <v>7298</v>
      </c>
      <c r="B567" s="3">
        <v>3.0609999999999999</v>
      </c>
      <c r="E567" s="4502"/>
      <c r="F567" s="4502"/>
      <c r="G567" s="4502"/>
      <c r="H567" s="4502"/>
      <c r="I567" s="4502"/>
      <c r="J567" s="4502"/>
      <c r="K567" s="4502"/>
      <c r="L567" s="4502"/>
      <c r="M567" s="4502"/>
    </row>
    <row r="568" spans="1:13" hidden="1">
      <c r="A568" s="4501" t="s">
        <v>7299</v>
      </c>
      <c r="B568" s="3">
        <v>3.0609999999999999</v>
      </c>
      <c r="E568" s="4502"/>
      <c r="F568" s="4502"/>
      <c r="G568" s="4502"/>
      <c r="H568" s="4502"/>
      <c r="I568" s="4502"/>
      <c r="J568" s="4502"/>
      <c r="K568" s="4502"/>
      <c r="L568" s="4502"/>
      <c r="M568" s="4502"/>
    </row>
    <row r="569" spans="1:13" hidden="1">
      <c r="A569" s="4501" t="s">
        <v>7300</v>
      </c>
      <c r="B569" s="3">
        <v>3.0609999999999999</v>
      </c>
      <c r="E569" s="4502"/>
      <c r="F569" s="4502"/>
      <c r="G569" s="4502"/>
      <c r="H569" s="4502"/>
      <c r="I569" s="4502"/>
      <c r="J569" s="4502"/>
      <c r="K569" s="4502"/>
      <c r="L569" s="4502"/>
      <c r="M569" s="4502"/>
    </row>
    <row r="570" spans="1:13" hidden="1">
      <c r="A570" s="4501" t="s">
        <v>7301</v>
      </c>
      <c r="B570" s="3">
        <v>2.9849999999999999</v>
      </c>
      <c r="E570" s="4502"/>
      <c r="F570" s="4502"/>
      <c r="G570" s="4502"/>
      <c r="H570" s="4502"/>
      <c r="I570" s="4502"/>
      <c r="J570" s="4502"/>
      <c r="K570" s="4502"/>
      <c r="L570" s="4502"/>
      <c r="M570" s="4502"/>
    </row>
    <row r="571" spans="1:13" hidden="1">
      <c r="A571" s="4501" t="s">
        <v>7302</v>
      </c>
      <c r="B571" s="3">
        <v>2.9140000000000001</v>
      </c>
      <c r="E571" s="4502"/>
      <c r="F571" s="4502"/>
      <c r="G571" s="4502"/>
      <c r="H571" s="4502"/>
      <c r="I571" s="4502"/>
      <c r="J571" s="4502"/>
      <c r="K571" s="4502"/>
      <c r="L571" s="4502"/>
      <c r="M571" s="4502"/>
    </row>
    <row r="572" spans="1:13" hidden="1">
      <c r="A572" s="4501" t="s">
        <v>7303</v>
      </c>
      <c r="B572" s="3">
        <v>2.9220000000000002</v>
      </c>
      <c r="E572" s="4502"/>
      <c r="F572" s="4502"/>
      <c r="G572" s="4502"/>
      <c r="H572" s="4502"/>
      <c r="I572" s="4502"/>
      <c r="J572" s="4502"/>
      <c r="K572" s="4502"/>
      <c r="L572" s="4502"/>
      <c r="M572" s="4502"/>
    </row>
    <row r="573" spans="1:13" hidden="1">
      <c r="A573" s="4501" t="s">
        <v>7304</v>
      </c>
      <c r="B573" s="3">
        <v>2.7629999999999999</v>
      </c>
      <c r="E573" s="4502"/>
      <c r="F573" s="4502"/>
      <c r="G573" s="4502"/>
      <c r="H573" s="4502"/>
      <c r="I573" s="4502"/>
      <c r="J573" s="4502"/>
      <c r="K573" s="4502"/>
      <c r="L573" s="4502"/>
      <c r="M573" s="4502"/>
    </row>
    <row r="574" spans="1:13" hidden="1">
      <c r="A574" s="4501" t="s">
        <v>7305</v>
      </c>
      <c r="B574" s="3">
        <v>2.7719999999999998</v>
      </c>
      <c r="E574" s="4502"/>
      <c r="F574" s="4502"/>
      <c r="G574" s="4502"/>
      <c r="H574" s="4502"/>
      <c r="I574" s="4502"/>
      <c r="J574" s="4502"/>
      <c r="K574" s="4502"/>
      <c r="L574" s="4502"/>
      <c r="M574" s="4502"/>
    </row>
    <row r="575" spans="1:13" hidden="1">
      <c r="A575" s="4501" t="s">
        <v>7306</v>
      </c>
      <c r="B575" s="3">
        <v>2.7719999999999998</v>
      </c>
      <c r="E575" s="4502"/>
      <c r="F575" s="4502"/>
      <c r="G575" s="4502"/>
      <c r="H575" s="4502"/>
      <c r="I575" s="4502"/>
      <c r="J575" s="4502"/>
      <c r="K575" s="4502"/>
      <c r="L575" s="4502"/>
      <c r="M575" s="4502"/>
    </row>
    <row r="576" spans="1:13" hidden="1">
      <c r="A576" s="4501" t="s">
        <v>7307</v>
      </c>
      <c r="B576" s="3">
        <v>2.7719999999999998</v>
      </c>
      <c r="E576" s="4502"/>
      <c r="F576" s="4502"/>
      <c r="G576" s="4502"/>
      <c r="H576" s="4502"/>
      <c r="I576" s="4502"/>
      <c r="J576" s="4502"/>
      <c r="K576" s="4502"/>
      <c r="L576" s="4502"/>
      <c r="M576" s="4502"/>
    </row>
    <row r="577" spans="1:13" hidden="1">
      <c r="A577" s="4501" t="s">
        <v>7308</v>
      </c>
      <c r="B577" s="3">
        <v>2.8279999999999998</v>
      </c>
      <c r="E577" s="4502"/>
      <c r="F577" s="4502"/>
      <c r="G577" s="4502"/>
      <c r="H577" s="4502"/>
      <c r="I577" s="4502"/>
      <c r="J577" s="4502"/>
      <c r="K577" s="4502"/>
      <c r="L577" s="4502"/>
      <c r="M577" s="4502"/>
    </row>
    <row r="578" spans="1:13" hidden="1">
      <c r="A578" s="4501" t="s">
        <v>7309</v>
      </c>
      <c r="B578" s="3">
        <v>2.6779999999999999</v>
      </c>
      <c r="E578" s="4502"/>
      <c r="F578" s="4502"/>
      <c r="G578" s="4502"/>
      <c r="H578" s="4502"/>
      <c r="I578" s="4502"/>
      <c r="J578" s="4502"/>
      <c r="K578" s="4502"/>
      <c r="L578" s="4502"/>
      <c r="M578" s="4502"/>
    </row>
    <row r="579" spans="1:13" hidden="1">
      <c r="A579" s="4501" t="s">
        <v>7310</v>
      </c>
      <c r="B579" s="3">
        <v>2.7320000000000002</v>
      </c>
      <c r="E579" s="4502"/>
      <c r="F579" s="4502"/>
      <c r="G579" s="4502"/>
      <c r="H579" s="4502"/>
      <c r="I579" s="4502"/>
      <c r="J579" s="4502"/>
      <c r="K579" s="4502"/>
      <c r="L579" s="4502"/>
      <c r="M579" s="4502"/>
    </row>
    <row r="580" spans="1:13" hidden="1">
      <c r="A580" s="4501" t="s">
        <v>7311</v>
      </c>
      <c r="B580" s="3">
        <v>2.7040000000000002</v>
      </c>
      <c r="E580" s="4502"/>
      <c r="F580" s="4502"/>
      <c r="G580" s="4502"/>
      <c r="H580" s="4502"/>
      <c r="I580" s="4502"/>
      <c r="J580" s="4502"/>
      <c r="K580" s="4502"/>
      <c r="L580" s="4502"/>
      <c r="M580" s="4502"/>
    </row>
    <row r="581" spans="1:13" hidden="1">
      <c r="A581" s="4501" t="s">
        <v>7312</v>
      </c>
      <c r="B581" s="3">
        <v>2.6349999999999998</v>
      </c>
      <c r="E581" s="4502"/>
      <c r="F581" s="4502"/>
      <c r="G581" s="4502"/>
      <c r="H581" s="4502"/>
      <c r="I581" s="4502"/>
      <c r="J581" s="4502"/>
      <c r="K581" s="4502"/>
      <c r="L581" s="4502"/>
      <c r="M581" s="4502"/>
    </row>
    <row r="582" spans="1:13" hidden="1">
      <c r="A582" s="4501" t="s">
        <v>7313</v>
      </c>
      <c r="B582" s="3">
        <v>2.6349999999999998</v>
      </c>
      <c r="E582" s="4502"/>
      <c r="F582" s="4502"/>
      <c r="G582" s="4502"/>
      <c r="H582" s="4502"/>
      <c r="I582" s="4502"/>
      <c r="J582" s="4502"/>
      <c r="K582" s="4502"/>
      <c r="L582" s="4502"/>
      <c r="M582" s="4502"/>
    </row>
    <row r="583" spans="1:13" hidden="1">
      <c r="A583" s="4501" t="s">
        <v>7314</v>
      </c>
      <c r="B583" s="3">
        <v>2.6349999999999998</v>
      </c>
      <c r="E583" s="4502"/>
      <c r="F583" s="4502"/>
      <c r="G583" s="4502"/>
      <c r="H583" s="4502"/>
      <c r="I583" s="4502"/>
      <c r="J583" s="4502"/>
      <c r="K583" s="4502"/>
      <c r="L583" s="4502"/>
      <c r="M583" s="4502"/>
    </row>
    <row r="584" spans="1:13" hidden="1">
      <c r="A584" s="4501" t="s">
        <v>7315</v>
      </c>
      <c r="B584" s="3">
        <v>2.7549999999999999</v>
      </c>
      <c r="E584" s="4502"/>
      <c r="F584" s="4502"/>
      <c r="G584" s="4502"/>
      <c r="H584" s="4502"/>
      <c r="I584" s="4502"/>
      <c r="J584" s="4502"/>
      <c r="K584" s="4502"/>
      <c r="L584" s="4502"/>
      <c r="M584" s="4502"/>
    </row>
    <row r="585" spans="1:13" hidden="1">
      <c r="A585" s="4501" t="s">
        <v>7316</v>
      </c>
      <c r="B585" s="3">
        <v>2.6970000000000001</v>
      </c>
      <c r="E585" s="4502"/>
      <c r="F585" s="4502"/>
      <c r="G585" s="4502"/>
      <c r="H585" s="4502"/>
      <c r="I585" s="4502"/>
      <c r="J585" s="4502"/>
      <c r="K585" s="4502"/>
      <c r="L585" s="4502"/>
      <c r="M585" s="4502"/>
    </row>
    <row r="586" spans="1:13" hidden="1">
      <c r="A586" s="4501" t="s">
        <v>7317</v>
      </c>
      <c r="B586" s="3">
        <v>2.6360000000000001</v>
      </c>
      <c r="E586" s="4502"/>
      <c r="F586" s="4502"/>
      <c r="G586" s="4502"/>
      <c r="H586" s="4502"/>
      <c r="I586" s="4502"/>
      <c r="J586" s="4502"/>
      <c r="K586" s="4502"/>
      <c r="L586" s="4502"/>
      <c r="M586" s="4502"/>
    </row>
    <row r="587" spans="1:13" hidden="1">
      <c r="A587" s="4501" t="s">
        <v>7318</v>
      </c>
      <c r="B587" s="3">
        <v>2.5920000000000001</v>
      </c>
      <c r="E587" s="4502"/>
      <c r="F587" s="4502"/>
      <c r="G587" s="4502"/>
      <c r="H587" s="4502"/>
      <c r="I587" s="4502"/>
      <c r="J587" s="4502"/>
      <c r="K587" s="4502"/>
      <c r="L587" s="4502"/>
      <c r="M587" s="4502"/>
    </row>
    <row r="588" spans="1:13" hidden="1">
      <c r="A588" s="4501" t="s">
        <v>7319</v>
      </c>
      <c r="B588" s="3">
        <v>2.6579999999999999</v>
      </c>
      <c r="E588" s="4502"/>
      <c r="F588" s="4502"/>
      <c r="G588" s="4502"/>
      <c r="H588" s="4502"/>
      <c r="I588" s="4502"/>
      <c r="J588" s="4502"/>
      <c r="K588" s="4502"/>
      <c r="L588" s="4502"/>
      <c r="M588" s="4502"/>
    </row>
    <row r="589" spans="1:13" hidden="1">
      <c r="A589" s="4501" t="s">
        <v>7320</v>
      </c>
      <c r="B589" s="3">
        <v>2.6579999999999999</v>
      </c>
      <c r="E589" s="4502"/>
      <c r="F589" s="4502"/>
      <c r="G589" s="4502"/>
      <c r="H589" s="4502"/>
      <c r="I589" s="4502"/>
      <c r="J589" s="4502"/>
      <c r="K589" s="4502"/>
      <c r="L589" s="4502"/>
      <c r="M589" s="4502"/>
    </row>
    <row r="590" spans="1:13" hidden="1">
      <c r="A590" s="4501" t="s">
        <v>7321</v>
      </c>
      <c r="B590" s="3">
        <v>2.6579999999999999</v>
      </c>
      <c r="E590" s="4502"/>
      <c r="F590" s="4502"/>
      <c r="G590" s="4502"/>
      <c r="H590" s="4502"/>
      <c r="I590" s="4502"/>
      <c r="J590" s="4502"/>
      <c r="K590" s="4502"/>
      <c r="L590" s="4502"/>
      <c r="M590" s="4502"/>
    </row>
    <row r="591" spans="1:13" hidden="1">
      <c r="A591" s="4501" t="s">
        <v>7322</v>
      </c>
      <c r="B591" s="3">
        <v>2.6579999999999999</v>
      </c>
      <c r="E591" s="4502"/>
      <c r="F591" s="4502"/>
      <c r="G591" s="4502"/>
      <c r="H591" s="4502"/>
      <c r="I591" s="4502"/>
      <c r="J591" s="4502"/>
      <c r="K591" s="4502"/>
      <c r="L591" s="4502"/>
      <c r="M591" s="4502"/>
    </row>
    <row r="592" spans="1:13" hidden="1">
      <c r="A592" s="4501" t="s">
        <v>7323</v>
      </c>
      <c r="B592" s="3">
        <v>2.6539999999999999</v>
      </c>
      <c r="E592" s="4502"/>
      <c r="F592" s="4502"/>
      <c r="G592" s="4502"/>
      <c r="H592" s="4502"/>
      <c r="I592" s="4502"/>
      <c r="J592" s="4502"/>
      <c r="K592" s="4502"/>
      <c r="L592" s="4502"/>
      <c r="M592" s="4502"/>
    </row>
    <row r="593" spans="1:13" hidden="1">
      <c r="A593" s="4501" t="s">
        <v>7324</v>
      </c>
      <c r="B593" s="3">
        <v>2.7320000000000002</v>
      </c>
      <c r="E593" s="4502"/>
      <c r="F593" s="4502"/>
      <c r="G593" s="4502"/>
      <c r="H593" s="4502"/>
      <c r="I593" s="4502"/>
      <c r="J593" s="4502"/>
      <c r="K593" s="4502"/>
      <c r="L593" s="4502"/>
      <c r="M593" s="4502"/>
    </row>
    <row r="594" spans="1:13" hidden="1">
      <c r="A594" s="4501" t="s">
        <v>7325</v>
      </c>
      <c r="B594" s="3">
        <v>2.9140000000000001</v>
      </c>
      <c r="E594" s="4502"/>
      <c r="F594" s="4502"/>
      <c r="G594" s="4502"/>
      <c r="H594" s="4502"/>
      <c r="I594" s="4502"/>
      <c r="J594" s="4502"/>
      <c r="K594" s="4502"/>
      <c r="L594" s="4502"/>
      <c r="M594" s="4502"/>
    </row>
    <row r="595" spans="1:13" hidden="1">
      <c r="A595" s="4501" t="s">
        <v>7326</v>
      </c>
      <c r="B595" s="3">
        <v>2.9529999999999998</v>
      </c>
      <c r="E595" s="4502"/>
      <c r="F595" s="4502"/>
      <c r="G595" s="4502"/>
      <c r="H595" s="4502"/>
      <c r="I595" s="4502"/>
      <c r="J595" s="4502"/>
      <c r="K595" s="4502"/>
      <c r="L595" s="4502"/>
      <c r="M595" s="4502"/>
    </row>
    <row r="596" spans="1:13" hidden="1">
      <c r="A596" s="4501" t="s">
        <v>7327</v>
      </c>
      <c r="B596" s="3">
        <v>2.9529999999999998</v>
      </c>
      <c r="E596" s="4502"/>
      <c r="F596" s="4502"/>
      <c r="G596" s="4502"/>
      <c r="H596" s="4502"/>
      <c r="I596" s="4502"/>
      <c r="J596" s="4502"/>
      <c r="K596" s="4502"/>
      <c r="L596" s="4502"/>
      <c r="M596" s="4502"/>
    </row>
    <row r="597" spans="1:13" hidden="1">
      <c r="A597" s="4501" t="s">
        <v>7328</v>
      </c>
      <c r="B597" s="3">
        <v>2.9529999999999998</v>
      </c>
      <c r="E597" s="4502"/>
      <c r="F597" s="4502"/>
      <c r="G597" s="4502"/>
      <c r="H597" s="4502"/>
      <c r="I597" s="4502"/>
      <c r="J597" s="4502"/>
      <c r="K597" s="4502"/>
      <c r="L597" s="4502"/>
      <c r="M597" s="4502"/>
    </row>
    <row r="598" spans="1:13" hidden="1">
      <c r="A598" s="4501" t="s">
        <v>7329</v>
      </c>
      <c r="B598" s="3">
        <v>2.9529999999999998</v>
      </c>
      <c r="E598" s="4502"/>
      <c r="F598" s="4502"/>
      <c r="G598" s="4502"/>
      <c r="H598" s="4502"/>
      <c r="I598" s="4502"/>
      <c r="J598" s="4502"/>
      <c r="K598" s="4502"/>
      <c r="L598" s="4502"/>
      <c r="M598" s="4502"/>
    </row>
    <row r="599" spans="1:13" hidden="1">
      <c r="A599" s="4501" t="s">
        <v>7330</v>
      </c>
      <c r="B599" s="3">
        <v>3.056</v>
      </c>
      <c r="E599" s="4502"/>
      <c r="F599" s="4502"/>
      <c r="G599" s="4502"/>
      <c r="H599" s="4502"/>
      <c r="I599" s="4502"/>
      <c r="J599" s="4502"/>
      <c r="K599" s="4502"/>
      <c r="L599" s="4502"/>
      <c r="M599" s="4502"/>
    </row>
    <row r="600" spans="1:13" hidden="1">
      <c r="A600" s="4501" t="s">
        <v>7331</v>
      </c>
      <c r="B600" s="3">
        <v>3.008</v>
      </c>
      <c r="E600" s="4502"/>
      <c r="F600" s="4502"/>
      <c r="G600" s="4502"/>
      <c r="H600" s="4502"/>
      <c r="I600" s="4502"/>
      <c r="J600" s="4502"/>
      <c r="K600" s="4502"/>
      <c r="L600" s="4502"/>
      <c r="M600" s="4502"/>
    </row>
    <row r="601" spans="1:13" hidden="1">
      <c r="A601" s="4501" t="s">
        <v>7332</v>
      </c>
      <c r="B601" s="3">
        <v>2.88</v>
      </c>
      <c r="E601" s="4502"/>
      <c r="F601" s="4502"/>
      <c r="G601" s="4502"/>
      <c r="H601" s="4502"/>
      <c r="I601" s="4502"/>
      <c r="J601" s="4502"/>
      <c r="K601" s="4502"/>
      <c r="L601" s="4502"/>
      <c r="M601" s="4502"/>
    </row>
    <row r="602" spans="1:13" hidden="1">
      <c r="A602" s="4501" t="s">
        <v>7333</v>
      </c>
      <c r="B602" s="3">
        <v>2.7949999999999999</v>
      </c>
      <c r="E602" s="4502"/>
      <c r="F602" s="4502"/>
      <c r="G602" s="4502"/>
      <c r="H602" s="4502"/>
      <c r="I602" s="4502"/>
      <c r="J602" s="4502"/>
      <c r="K602" s="4502"/>
      <c r="L602" s="4502"/>
      <c r="M602" s="4502"/>
    </row>
    <row r="603" spans="1:13" hidden="1">
      <c r="A603" s="4501" t="s">
        <v>7334</v>
      </c>
      <c r="B603" s="3">
        <v>2.7949999999999999</v>
      </c>
      <c r="E603" s="4502"/>
      <c r="F603" s="4502"/>
      <c r="G603" s="4502"/>
      <c r="H603" s="4502"/>
      <c r="I603" s="4502"/>
      <c r="J603" s="4502"/>
      <c r="K603" s="4502"/>
      <c r="L603" s="4502"/>
      <c r="M603" s="4502"/>
    </row>
    <row r="604" spans="1:13" hidden="1">
      <c r="A604" s="4501" t="s">
        <v>7335</v>
      </c>
      <c r="B604" s="3">
        <v>2.7949999999999999</v>
      </c>
      <c r="E604" s="4502"/>
      <c r="F604" s="4502"/>
      <c r="G604" s="4502"/>
      <c r="H604" s="4502"/>
      <c r="I604" s="4502"/>
      <c r="J604" s="4502"/>
      <c r="K604" s="4502"/>
      <c r="L604" s="4502"/>
      <c r="M604" s="4502"/>
    </row>
    <row r="605" spans="1:13" hidden="1">
      <c r="A605" s="4501" t="s">
        <v>7336</v>
      </c>
      <c r="B605" s="3">
        <v>2.7719999999999998</v>
      </c>
      <c r="E605" s="4502"/>
      <c r="F605" s="4502"/>
      <c r="G605" s="4502"/>
      <c r="H605" s="4502"/>
      <c r="I605" s="4502"/>
      <c r="J605" s="4502"/>
      <c r="K605" s="4502"/>
      <c r="L605" s="4502"/>
      <c r="M605" s="4502"/>
    </row>
    <row r="606" spans="1:13" hidden="1">
      <c r="A606" s="4501" t="s">
        <v>7337</v>
      </c>
      <c r="B606" s="3">
        <v>2.8519999999999999</v>
      </c>
      <c r="E606" s="4502"/>
      <c r="F606" s="4502"/>
      <c r="G606" s="4502"/>
      <c r="H606" s="4502"/>
      <c r="I606" s="4502"/>
      <c r="J606" s="4502"/>
      <c r="K606" s="4502"/>
      <c r="L606" s="4502"/>
      <c r="M606" s="4502"/>
    </row>
    <row r="607" spans="1:13" hidden="1">
      <c r="A607" s="4501" t="s">
        <v>7338</v>
      </c>
      <c r="B607" s="3">
        <v>2.8220000000000001</v>
      </c>
      <c r="E607" s="4502"/>
      <c r="F607" s="4502"/>
      <c r="G607" s="4502"/>
      <c r="H607" s="4502"/>
      <c r="I607" s="4502"/>
      <c r="J607" s="4502"/>
      <c r="K607" s="4502"/>
      <c r="L607" s="4502"/>
      <c r="M607" s="4502"/>
    </row>
    <row r="608" spans="1:13" hidden="1">
      <c r="A608" s="4501" t="s">
        <v>7339</v>
      </c>
      <c r="B608" s="3">
        <v>2.9249999999999998</v>
      </c>
      <c r="E608" s="4502"/>
      <c r="F608" s="4502"/>
      <c r="G608" s="4502"/>
      <c r="H608" s="4502"/>
      <c r="I608" s="4502"/>
      <c r="J608" s="4502"/>
      <c r="K608" s="4502"/>
      <c r="L608" s="4502"/>
      <c r="M608" s="4502"/>
    </row>
    <row r="609" spans="1:13" hidden="1">
      <c r="A609" s="4501" t="s">
        <v>7340</v>
      </c>
      <c r="B609" s="3">
        <v>2.9929999999999999</v>
      </c>
      <c r="E609" s="4502"/>
      <c r="F609" s="4502"/>
      <c r="G609" s="4502"/>
      <c r="H609" s="4502"/>
      <c r="I609" s="4502"/>
      <c r="J609" s="4502"/>
      <c r="K609" s="4502"/>
      <c r="L609" s="4502"/>
      <c r="M609" s="4502"/>
    </row>
    <row r="610" spans="1:13" hidden="1">
      <c r="A610" s="4501" t="s">
        <v>7341</v>
      </c>
      <c r="B610" s="3">
        <v>2.9929999999999999</v>
      </c>
      <c r="E610" s="4502"/>
      <c r="F610" s="4502"/>
      <c r="G610" s="4502"/>
      <c r="H610" s="4502"/>
      <c r="I610" s="4502"/>
      <c r="J610" s="4502"/>
      <c r="K610" s="4502"/>
      <c r="L610" s="4502"/>
      <c r="M610" s="4502"/>
    </row>
    <row r="611" spans="1:13" hidden="1">
      <c r="A611" s="4501" t="s">
        <v>7342</v>
      </c>
      <c r="B611" s="3">
        <v>2.9929999999999999</v>
      </c>
      <c r="E611" s="4502"/>
      <c r="F611" s="4502"/>
      <c r="G611" s="4502"/>
      <c r="H611" s="4502"/>
      <c r="I611" s="4502"/>
      <c r="J611" s="4502"/>
      <c r="K611" s="4502"/>
      <c r="L611" s="4502"/>
      <c r="M611" s="4502"/>
    </row>
    <row r="612" spans="1:13" hidden="1">
      <c r="A612" s="4501" t="s">
        <v>7343</v>
      </c>
      <c r="B612" s="3">
        <v>2.9929999999999999</v>
      </c>
      <c r="E612" s="4502"/>
      <c r="F612" s="4502"/>
      <c r="G612" s="4502"/>
      <c r="H612" s="4502"/>
      <c r="I612" s="4502"/>
      <c r="J612" s="4502"/>
      <c r="K612" s="4502"/>
      <c r="L612" s="4502"/>
      <c r="M612" s="4502"/>
    </row>
    <row r="613" spans="1:13" hidden="1">
      <c r="A613" s="4501" t="s">
        <v>7344</v>
      </c>
      <c r="B613" s="3">
        <v>2.9620000000000002</v>
      </c>
      <c r="E613" s="4502"/>
      <c r="F613" s="4502"/>
      <c r="G613" s="4502"/>
      <c r="H613" s="4502"/>
      <c r="I613" s="4502"/>
      <c r="J613" s="4502"/>
      <c r="K613" s="4502"/>
      <c r="L613" s="4502"/>
      <c r="M613" s="4502"/>
    </row>
    <row r="614" spans="1:13" hidden="1">
      <c r="A614" s="4501" t="s">
        <v>7345</v>
      </c>
      <c r="B614" s="3">
        <v>3.024</v>
      </c>
      <c r="E614" s="4502"/>
      <c r="F614" s="4502"/>
      <c r="G614" s="4502"/>
      <c r="H614" s="4502"/>
      <c r="I614" s="4502"/>
      <c r="J614" s="4502"/>
      <c r="K614" s="4502"/>
      <c r="L614" s="4502"/>
      <c r="M614" s="4502"/>
    </row>
    <row r="615" spans="1:13" hidden="1">
      <c r="A615" s="4501" t="s">
        <v>7346</v>
      </c>
      <c r="B615" s="3">
        <v>2.988</v>
      </c>
      <c r="E615" s="4502"/>
      <c r="F615" s="4502"/>
      <c r="G615" s="4502"/>
      <c r="H615" s="4502"/>
      <c r="I615" s="4502"/>
      <c r="J615" s="4502"/>
      <c r="K615" s="4502"/>
      <c r="L615" s="4502"/>
      <c r="M615" s="4502"/>
    </row>
    <row r="616" spans="1:13" hidden="1">
      <c r="A616" s="4501" t="s">
        <v>7347</v>
      </c>
      <c r="B616" s="3">
        <v>2.9409999999999998</v>
      </c>
      <c r="E616" s="4502"/>
      <c r="F616" s="4502"/>
      <c r="G616" s="4502"/>
      <c r="H616" s="4502"/>
      <c r="I616" s="4502"/>
      <c r="J616" s="4502"/>
      <c r="K616" s="4502"/>
      <c r="L616" s="4502"/>
      <c r="M616" s="4502"/>
    </row>
    <row r="617" spans="1:13" hidden="1">
      <c r="A617" s="4501" t="s">
        <v>7348</v>
      </c>
      <c r="B617" s="3">
        <v>2.9409999999999998</v>
      </c>
      <c r="E617" s="4502"/>
      <c r="F617" s="4502"/>
      <c r="G617" s="4502"/>
      <c r="H617" s="4502"/>
      <c r="I617" s="4502"/>
      <c r="J617" s="4502"/>
      <c r="K617" s="4502"/>
      <c r="L617" s="4502"/>
      <c r="M617" s="4502"/>
    </row>
    <row r="618" spans="1:13" hidden="1">
      <c r="A618" s="4501" t="s">
        <v>7349</v>
      </c>
      <c r="B618" s="3">
        <v>2.9409999999999998</v>
      </c>
      <c r="E618" s="4502"/>
      <c r="F618" s="4502"/>
      <c r="G618" s="4502"/>
      <c r="H618" s="4502"/>
      <c r="I618" s="4502"/>
      <c r="J618" s="4502"/>
      <c r="K618" s="4502"/>
      <c r="L618" s="4502"/>
      <c r="M618" s="4502"/>
    </row>
    <row r="619" spans="1:13" hidden="1">
      <c r="A619" s="4501" t="s">
        <v>7350</v>
      </c>
      <c r="B619" s="3">
        <v>2.931</v>
      </c>
      <c r="E619" s="4502"/>
      <c r="F619" s="4502"/>
      <c r="G619" s="4502"/>
      <c r="H619" s="4502"/>
      <c r="I619" s="4502"/>
      <c r="J619" s="4502"/>
      <c r="K619" s="4502"/>
      <c r="L619" s="4502"/>
      <c r="M619" s="4502"/>
    </row>
    <row r="620" spans="1:13" hidden="1">
      <c r="A620" s="4501" t="s">
        <v>7351</v>
      </c>
      <c r="B620" s="3">
        <v>3.0390000000000001</v>
      </c>
      <c r="E620" s="4502"/>
      <c r="F620" s="4502"/>
      <c r="G620" s="4502"/>
      <c r="H620" s="4502"/>
      <c r="I620" s="4502"/>
      <c r="J620" s="4502"/>
      <c r="K620" s="4502"/>
      <c r="L620" s="4502"/>
      <c r="M620" s="4502"/>
    </row>
    <row r="621" spans="1:13" hidden="1">
      <c r="A621" s="4501" t="s">
        <v>7352</v>
      </c>
      <c r="B621" s="3">
        <v>3.08</v>
      </c>
      <c r="E621" s="4502"/>
      <c r="F621" s="4502"/>
      <c r="G621" s="4502"/>
      <c r="H621" s="4502"/>
      <c r="I621" s="4502"/>
      <c r="J621" s="4502"/>
      <c r="K621" s="4502"/>
      <c r="L621" s="4502"/>
      <c r="M621" s="4502"/>
    </row>
    <row r="622" spans="1:13" hidden="1">
      <c r="A622" s="4501" t="s">
        <v>7353</v>
      </c>
      <c r="B622" s="3">
        <v>3.0990000000000002</v>
      </c>
      <c r="E622" s="4502"/>
      <c r="F622" s="4502"/>
      <c r="G622" s="4502"/>
      <c r="H622" s="4502"/>
      <c r="I622" s="4502"/>
      <c r="J622" s="4502"/>
      <c r="K622" s="4502"/>
      <c r="L622" s="4502"/>
      <c r="M622" s="4502"/>
    </row>
    <row r="623" spans="1:13" hidden="1">
      <c r="A623" s="4501" t="s">
        <v>7354</v>
      </c>
      <c r="B623" s="3">
        <v>3.1749999999999998</v>
      </c>
      <c r="E623" s="4502"/>
      <c r="F623" s="4502"/>
      <c r="G623" s="4502"/>
      <c r="H623" s="4502"/>
      <c r="I623" s="4502"/>
      <c r="J623" s="4502"/>
      <c r="K623" s="4502"/>
      <c r="L623" s="4502"/>
      <c r="M623" s="4502"/>
    </row>
    <row r="624" spans="1:13" hidden="1">
      <c r="A624" s="4501" t="s">
        <v>7355</v>
      </c>
      <c r="B624" s="3">
        <v>3.1749999999999998</v>
      </c>
      <c r="E624" s="4502"/>
      <c r="F624" s="4502"/>
      <c r="G624" s="4502"/>
      <c r="H624" s="4502"/>
      <c r="I624" s="4502"/>
      <c r="J624" s="4502"/>
      <c r="K624" s="4502"/>
      <c r="L624" s="4502"/>
      <c r="M624" s="4502"/>
    </row>
    <row r="625" spans="1:13" hidden="1">
      <c r="A625" s="4501" t="s">
        <v>7356</v>
      </c>
      <c r="B625" s="3">
        <v>3.1749999999999998</v>
      </c>
      <c r="E625" s="4502"/>
      <c r="F625" s="4502"/>
      <c r="G625" s="4502"/>
      <c r="H625" s="4502"/>
      <c r="I625" s="4502"/>
      <c r="J625" s="4502"/>
      <c r="K625" s="4502"/>
      <c r="L625" s="4502"/>
      <c r="M625" s="4502"/>
    </row>
    <row r="626" spans="1:13" hidden="1">
      <c r="A626" s="4501" t="s">
        <v>7357</v>
      </c>
      <c r="B626" s="3">
        <v>3.1669999999999998</v>
      </c>
      <c r="E626" s="4502"/>
      <c r="F626" s="4502"/>
      <c r="G626" s="4502"/>
      <c r="H626" s="4502"/>
      <c r="I626" s="4502"/>
      <c r="J626" s="4502"/>
      <c r="K626" s="4502"/>
      <c r="L626" s="4502"/>
      <c r="M626" s="4502"/>
    </row>
    <row r="627" spans="1:13" hidden="1">
      <c r="A627" s="4501" t="s">
        <v>7358</v>
      </c>
      <c r="B627" s="3">
        <v>3.1949999999999998</v>
      </c>
      <c r="E627" s="4502"/>
      <c r="F627" s="4502"/>
      <c r="G627" s="4502"/>
      <c r="H627" s="4502"/>
      <c r="I627" s="4502"/>
      <c r="J627" s="4502"/>
      <c r="K627" s="4502"/>
      <c r="L627" s="4502"/>
      <c r="M627" s="4502"/>
    </row>
    <row r="628" spans="1:13" hidden="1">
      <c r="A628" s="4501" t="s">
        <v>7359</v>
      </c>
      <c r="B628" s="3">
        <v>2.9950000000000001</v>
      </c>
      <c r="E628" s="4502"/>
      <c r="F628" s="4502"/>
      <c r="G628" s="4502"/>
      <c r="H628" s="4502"/>
      <c r="I628" s="4502"/>
      <c r="J628" s="4502"/>
      <c r="K628" s="4502"/>
      <c r="L628" s="4502"/>
      <c r="M628" s="4502"/>
    </row>
    <row r="629" spans="1:13" hidden="1">
      <c r="A629" s="4501" t="s">
        <v>7360</v>
      </c>
      <c r="B629" s="3">
        <v>2.8559999999999999</v>
      </c>
      <c r="E629" s="4502"/>
      <c r="F629" s="4502"/>
      <c r="G629" s="4502"/>
      <c r="H629" s="4502"/>
      <c r="I629" s="4502"/>
      <c r="J629" s="4502"/>
      <c r="K629" s="4502"/>
      <c r="L629" s="4502"/>
      <c r="M629" s="4502"/>
    </row>
    <row r="630" spans="1:13" hidden="1">
      <c r="A630" s="4501" t="s">
        <v>7361</v>
      </c>
      <c r="B630" s="3">
        <v>2.8460000000000001</v>
      </c>
      <c r="E630" s="4502"/>
      <c r="F630" s="4502"/>
      <c r="G630" s="4502"/>
      <c r="H630" s="4502"/>
      <c r="I630" s="4502"/>
      <c r="J630" s="4502"/>
      <c r="K630" s="4502"/>
      <c r="L630" s="4502"/>
      <c r="M630" s="4502"/>
    </row>
    <row r="631" spans="1:13" hidden="1">
      <c r="A631" s="4501" t="s">
        <v>7362</v>
      </c>
      <c r="B631" s="3">
        <v>2.8460000000000001</v>
      </c>
      <c r="E631" s="4502"/>
      <c r="F631" s="4502"/>
      <c r="G631" s="4502"/>
      <c r="H631" s="4502"/>
      <c r="I631" s="4502"/>
      <c r="J631" s="4502"/>
      <c r="K631" s="4502"/>
      <c r="L631" s="4502"/>
      <c r="M631" s="4502"/>
    </row>
    <row r="632" spans="1:13" hidden="1">
      <c r="A632" s="4501" t="s">
        <v>7363</v>
      </c>
      <c r="B632" s="3">
        <v>2.8460000000000001</v>
      </c>
      <c r="E632" s="4502"/>
      <c r="F632" s="4502"/>
      <c r="G632" s="4502"/>
      <c r="H632" s="4502"/>
      <c r="I632" s="4502"/>
      <c r="J632" s="4502"/>
      <c r="K632" s="4502"/>
      <c r="L632" s="4502"/>
      <c r="M632" s="4502"/>
    </row>
    <row r="633" spans="1:13" hidden="1">
      <c r="A633" s="4501" t="s">
        <v>7364</v>
      </c>
      <c r="B633" s="3">
        <v>2.7469999999999999</v>
      </c>
      <c r="E633" s="4502"/>
      <c r="F633" s="4502"/>
      <c r="G633" s="4502"/>
      <c r="H633" s="4502"/>
      <c r="I633" s="4502"/>
      <c r="J633" s="4502"/>
      <c r="K633" s="4502"/>
      <c r="L633" s="4502"/>
      <c r="M633" s="4502"/>
    </row>
    <row r="634" spans="1:13" hidden="1">
      <c r="A634" s="4501" t="s">
        <v>7365</v>
      </c>
      <c r="B634" s="3">
        <v>2.7589999999999999</v>
      </c>
      <c r="E634" s="4502"/>
      <c r="F634" s="4502"/>
      <c r="G634" s="4502"/>
      <c r="H634" s="4502"/>
      <c r="I634" s="4502"/>
      <c r="J634" s="4502"/>
      <c r="K634" s="4502"/>
      <c r="L634" s="4502"/>
      <c r="M634" s="4502"/>
    </row>
    <row r="635" spans="1:13" hidden="1">
      <c r="A635" s="4501" t="s">
        <v>7366</v>
      </c>
      <c r="B635" s="3">
        <v>2.702</v>
      </c>
      <c r="E635" s="4502"/>
      <c r="F635" s="4502"/>
      <c r="G635" s="4502"/>
      <c r="H635" s="4502"/>
      <c r="I635" s="4502"/>
      <c r="J635" s="4502"/>
      <c r="K635" s="4502"/>
      <c r="L635" s="4502"/>
      <c r="M635" s="4502"/>
    </row>
    <row r="636" spans="1:13" hidden="1">
      <c r="A636" s="4501" t="s">
        <v>7367</v>
      </c>
      <c r="B636" s="3">
        <v>2.6970000000000001</v>
      </c>
      <c r="E636" s="4502"/>
      <c r="F636" s="4502"/>
      <c r="G636" s="4502"/>
      <c r="H636" s="4502"/>
      <c r="I636" s="4502"/>
      <c r="J636" s="4502"/>
      <c r="K636" s="4502"/>
      <c r="L636" s="4502"/>
      <c r="M636" s="4502"/>
    </row>
    <row r="637" spans="1:13" hidden="1">
      <c r="A637" s="4501" t="s">
        <v>7368</v>
      </c>
      <c r="B637" s="3">
        <v>2.5840000000000001</v>
      </c>
      <c r="E637" s="4502"/>
      <c r="F637" s="4502"/>
      <c r="G637" s="4502"/>
      <c r="H637" s="4502"/>
      <c r="I637" s="4502"/>
      <c r="J637" s="4502"/>
      <c r="K637" s="4502"/>
      <c r="L637" s="4502"/>
      <c r="M637" s="4502"/>
    </row>
    <row r="638" spans="1:13" hidden="1">
      <c r="A638" s="4501" t="s">
        <v>7369</v>
      </c>
      <c r="B638" s="3">
        <v>2.5840000000000001</v>
      </c>
      <c r="E638" s="4502"/>
      <c r="F638" s="4502"/>
      <c r="G638" s="4502"/>
      <c r="H638" s="4502"/>
      <c r="I638" s="4502"/>
      <c r="J638" s="4502"/>
      <c r="K638" s="4502"/>
      <c r="L638" s="4502"/>
      <c r="M638" s="4502"/>
    </row>
    <row r="639" spans="1:13" hidden="1">
      <c r="A639" s="4501" t="s">
        <v>7370</v>
      </c>
      <c r="B639" s="3">
        <v>2.5840000000000001</v>
      </c>
      <c r="E639" s="4502"/>
      <c r="F639" s="4502"/>
      <c r="G639" s="4502"/>
      <c r="H639" s="4502"/>
      <c r="I639" s="4502"/>
      <c r="J639" s="4502"/>
      <c r="K639" s="4502"/>
      <c r="L639" s="4502"/>
      <c r="M639" s="4502"/>
    </row>
    <row r="640" spans="1:13" hidden="1">
      <c r="A640" s="4501" t="s">
        <v>7371</v>
      </c>
      <c r="B640" s="3">
        <v>2.552</v>
      </c>
      <c r="E640" s="4502"/>
      <c r="F640" s="4502"/>
      <c r="G640" s="4502"/>
      <c r="H640" s="4502"/>
      <c r="I640" s="4502"/>
      <c r="J640" s="4502"/>
      <c r="K640" s="4502"/>
      <c r="L640" s="4502"/>
      <c r="M640" s="4502"/>
    </row>
    <row r="641" spans="1:13" hidden="1">
      <c r="A641" s="4501" t="s">
        <v>7372</v>
      </c>
      <c r="B641" s="3">
        <v>2.6230000000000002</v>
      </c>
      <c r="E641" s="4502"/>
      <c r="F641" s="4502"/>
      <c r="G641" s="4502"/>
      <c r="H641" s="4502"/>
      <c r="I641" s="4502"/>
      <c r="J641" s="4502"/>
      <c r="K641" s="4502"/>
      <c r="L641" s="4502"/>
      <c r="M641" s="4502"/>
    </row>
    <row r="642" spans="1:13" hidden="1">
      <c r="A642" s="4501" t="s">
        <v>7373</v>
      </c>
      <c r="B642" s="3">
        <v>2.63</v>
      </c>
      <c r="E642" s="4502"/>
      <c r="F642" s="4502"/>
      <c r="G642" s="4502"/>
      <c r="H642" s="4502"/>
      <c r="I642" s="4502"/>
      <c r="J642" s="4502"/>
      <c r="K642" s="4502"/>
      <c r="L642" s="4502"/>
      <c r="M642" s="4502"/>
    </row>
    <row r="643" spans="1:13" hidden="1">
      <c r="A643" s="4501" t="s">
        <v>7374</v>
      </c>
      <c r="B643" s="3">
        <v>2.62</v>
      </c>
      <c r="E643" s="4502"/>
      <c r="F643" s="4502"/>
      <c r="G643" s="4502"/>
      <c r="H643" s="4502"/>
      <c r="I643" s="4502"/>
      <c r="J643" s="4502"/>
      <c r="K643" s="4502"/>
      <c r="L643" s="4502"/>
      <c r="M643" s="4502"/>
    </row>
    <row r="644" spans="1:13" hidden="1">
      <c r="A644" s="4501" t="s">
        <v>7375</v>
      </c>
      <c r="B644" s="3">
        <v>2.5979999999999999</v>
      </c>
      <c r="E644" s="4502"/>
      <c r="F644" s="4502"/>
      <c r="G644" s="4502"/>
      <c r="H644" s="4502"/>
      <c r="I644" s="4502"/>
      <c r="J644" s="4502"/>
      <c r="K644" s="4502"/>
      <c r="L644" s="4502"/>
      <c r="M644" s="4502"/>
    </row>
    <row r="645" spans="1:13" hidden="1">
      <c r="A645" s="4501" t="s">
        <v>7376</v>
      </c>
      <c r="B645" s="3">
        <v>2.5979999999999999</v>
      </c>
      <c r="E645" s="4502"/>
      <c r="F645" s="4502"/>
      <c r="G645" s="4502"/>
      <c r="H645" s="4502"/>
      <c r="I645" s="4502"/>
      <c r="J645" s="4502"/>
      <c r="K645" s="4502"/>
      <c r="L645" s="4502"/>
      <c r="M645" s="4502"/>
    </row>
    <row r="646" spans="1:13" hidden="1">
      <c r="A646" s="4501" t="s">
        <v>7377</v>
      </c>
      <c r="B646" s="3">
        <v>2.5979999999999999</v>
      </c>
      <c r="E646" s="4502"/>
      <c r="F646" s="4502"/>
      <c r="G646" s="4502"/>
      <c r="H646" s="4502"/>
      <c r="I646" s="4502"/>
      <c r="J646" s="4502"/>
      <c r="K646" s="4502"/>
      <c r="L646" s="4502"/>
      <c r="M646" s="4502"/>
    </row>
    <row r="647" spans="1:13" hidden="1">
      <c r="A647" s="4501" t="s">
        <v>7378</v>
      </c>
      <c r="B647" s="3">
        <v>2.5979999999999999</v>
      </c>
      <c r="E647" s="4502"/>
      <c r="F647" s="4502"/>
      <c r="G647" s="4502"/>
      <c r="H647" s="4502"/>
      <c r="I647" s="4502"/>
      <c r="J647" s="4502"/>
      <c r="K647" s="4502"/>
      <c r="L647" s="4502"/>
      <c r="M647" s="4502"/>
    </row>
    <row r="648" spans="1:13" hidden="1">
      <c r="A648" s="4501" t="s">
        <v>7379</v>
      </c>
      <c r="B648" s="3">
        <v>2.649</v>
      </c>
      <c r="E648" s="4502"/>
      <c r="F648" s="4502"/>
      <c r="G648" s="4502"/>
      <c r="H648" s="4502"/>
      <c r="I648" s="4502"/>
      <c r="J648" s="4502"/>
      <c r="K648" s="4502"/>
      <c r="L648" s="4502"/>
      <c r="M648" s="4502"/>
    </row>
    <row r="649" spans="1:13" hidden="1">
      <c r="A649" s="4501" t="s">
        <v>7380</v>
      </c>
      <c r="B649" s="3">
        <v>2.681</v>
      </c>
      <c r="E649" s="4502"/>
      <c r="F649" s="4502"/>
      <c r="G649" s="4502"/>
      <c r="H649" s="4502"/>
      <c r="I649" s="4502"/>
      <c r="J649" s="4502"/>
      <c r="K649" s="4502"/>
      <c r="L649" s="4502"/>
      <c r="M649" s="4502"/>
    </row>
    <row r="650" spans="1:13" hidden="1">
      <c r="A650" s="4501" t="s">
        <v>7381</v>
      </c>
      <c r="B650" s="3">
        <v>2.6760000000000002</v>
      </c>
      <c r="E650" s="4502"/>
      <c r="F650" s="4502"/>
      <c r="G650" s="4502"/>
      <c r="H650" s="4502"/>
      <c r="I650" s="4502"/>
      <c r="J650" s="4502"/>
      <c r="K650" s="4502"/>
      <c r="L650" s="4502"/>
      <c r="M650" s="4502"/>
    </row>
    <row r="651" spans="1:13" hidden="1">
      <c r="A651" s="4501" t="s">
        <v>7382</v>
      </c>
      <c r="B651" s="3">
        <v>2.657</v>
      </c>
      <c r="E651" s="4502"/>
      <c r="F651" s="4502"/>
      <c r="G651" s="4502"/>
      <c r="H651" s="4502"/>
      <c r="I651" s="4502"/>
      <c r="J651" s="4502"/>
      <c r="K651" s="4502"/>
      <c r="L651" s="4502"/>
      <c r="M651" s="4502"/>
    </row>
    <row r="652" spans="1:13" hidden="1">
      <c r="A652" s="4501" t="s">
        <v>7383</v>
      </c>
      <c r="B652" s="3">
        <v>2.657</v>
      </c>
      <c r="E652" s="4502"/>
      <c r="F652" s="4502"/>
      <c r="G652" s="4502"/>
      <c r="H652" s="4502"/>
      <c r="I652" s="4502"/>
      <c r="J652" s="4502"/>
      <c r="K652" s="4502"/>
      <c r="L652" s="4502"/>
      <c r="M652" s="4502"/>
    </row>
    <row r="653" spans="1:13" hidden="1">
      <c r="A653" s="4501" t="s">
        <v>7384</v>
      </c>
      <c r="B653" s="3">
        <v>2.657</v>
      </c>
      <c r="E653" s="4502"/>
      <c r="F653" s="4502"/>
      <c r="G653" s="4502"/>
      <c r="H653" s="4502"/>
      <c r="I653" s="4502"/>
      <c r="J653" s="4502"/>
      <c r="K653" s="4502"/>
      <c r="L653" s="4502"/>
      <c r="M653" s="4502"/>
    </row>
    <row r="654" spans="1:13" hidden="1">
      <c r="A654" s="4501" t="s">
        <v>7385</v>
      </c>
      <c r="B654" s="3">
        <v>2.6859999999999999</v>
      </c>
      <c r="E654" s="4502"/>
      <c r="F654" s="4502"/>
      <c r="G654" s="4502"/>
      <c r="H654" s="4502"/>
      <c r="I654" s="4502"/>
      <c r="J654" s="4502"/>
      <c r="K654" s="4502"/>
      <c r="L654" s="4502"/>
      <c r="M654" s="4502"/>
    </row>
    <row r="655" spans="1:13" hidden="1">
      <c r="A655" s="4501" t="s">
        <v>7386</v>
      </c>
      <c r="B655" s="3">
        <v>2.6829999999999998</v>
      </c>
      <c r="E655" s="4502"/>
      <c r="F655" s="4502"/>
      <c r="G655" s="4502"/>
      <c r="H655" s="4502"/>
      <c r="I655" s="4502"/>
      <c r="J655" s="4502"/>
      <c r="K655" s="4502"/>
      <c r="L655" s="4502"/>
      <c r="M655" s="4502"/>
    </row>
    <row r="656" spans="1:13" hidden="1">
      <c r="A656" s="4501" t="s">
        <v>7387</v>
      </c>
      <c r="B656" s="3">
        <v>2.6669999999999998</v>
      </c>
      <c r="E656" s="4502"/>
      <c r="F656" s="4502"/>
      <c r="G656" s="4502"/>
      <c r="H656" s="4502"/>
      <c r="I656" s="4502"/>
      <c r="J656" s="4502"/>
      <c r="K656" s="4502"/>
      <c r="L656" s="4502"/>
      <c r="M656" s="4502"/>
    </row>
    <row r="657" spans="1:13" hidden="1">
      <c r="A657" s="4501" t="s">
        <v>7388</v>
      </c>
      <c r="B657" s="3">
        <v>2.698</v>
      </c>
      <c r="E657" s="4502"/>
      <c r="F657" s="4502"/>
      <c r="G657" s="4502"/>
      <c r="H657" s="4502"/>
      <c r="I657" s="4502"/>
      <c r="J657" s="4502"/>
      <c r="K657" s="4502"/>
      <c r="L657" s="4502"/>
      <c r="M657" s="4502"/>
    </row>
    <row r="658" spans="1:13" hidden="1">
      <c r="A658" s="4501" t="s">
        <v>7389</v>
      </c>
      <c r="B658" s="3">
        <v>2.6949999999999998</v>
      </c>
      <c r="E658" s="4502"/>
      <c r="F658" s="4502"/>
      <c r="G658" s="4502"/>
      <c r="H658" s="4502"/>
      <c r="I658" s="4502"/>
      <c r="J658" s="4502"/>
      <c r="K658" s="4502"/>
      <c r="L658" s="4502"/>
      <c r="M658" s="4502"/>
    </row>
    <row r="659" spans="1:13" hidden="1">
      <c r="A659" s="4501" t="s">
        <v>7390</v>
      </c>
      <c r="B659" s="3">
        <v>2.6949999999999998</v>
      </c>
      <c r="E659" s="4502"/>
      <c r="F659" s="4502"/>
      <c r="G659" s="4502"/>
      <c r="H659" s="4502"/>
      <c r="I659" s="4502"/>
      <c r="J659" s="4502"/>
      <c r="K659" s="4502"/>
      <c r="L659" s="4502"/>
      <c r="M659" s="4502"/>
    </row>
    <row r="660" spans="1:13" hidden="1">
      <c r="A660" s="4501" t="s">
        <v>7391</v>
      </c>
      <c r="B660" s="3">
        <v>2.6949999999999998</v>
      </c>
      <c r="E660" s="4502"/>
      <c r="F660" s="4502"/>
      <c r="G660" s="4502"/>
      <c r="H660" s="4502"/>
      <c r="I660" s="4502"/>
      <c r="J660" s="4502"/>
      <c r="K660" s="4502"/>
      <c r="L660" s="4502"/>
      <c r="M660" s="4502"/>
    </row>
    <row r="661" spans="1:13" hidden="1">
      <c r="A661" s="4501" t="s">
        <v>7392</v>
      </c>
      <c r="B661" s="3">
        <v>2.7040000000000002</v>
      </c>
      <c r="E661" s="4502"/>
      <c r="F661" s="4502"/>
      <c r="G661" s="4502"/>
      <c r="H661" s="4502"/>
      <c r="I661" s="4502"/>
      <c r="J661" s="4502"/>
      <c r="K661" s="4502"/>
      <c r="L661" s="4502"/>
      <c r="M661" s="4502"/>
    </row>
    <row r="662" spans="1:13" hidden="1">
      <c r="A662" s="4501" t="s">
        <v>7393</v>
      </c>
      <c r="B662" s="3">
        <v>2.7490000000000001</v>
      </c>
      <c r="E662" s="4502"/>
      <c r="F662" s="4502"/>
      <c r="G662" s="4502"/>
      <c r="H662" s="4502"/>
      <c r="I662" s="4502"/>
      <c r="J662" s="4502"/>
      <c r="K662" s="4502"/>
      <c r="L662" s="4502"/>
      <c r="M662" s="4502"/>
    </row>
    <row r="663" spans="1:13" hidden="1">
      <c r="A663" s="4501" t="s">
        <v>7394</v>
      </c>
      <c r="B663" s="3">
        <v>2.7770000000000001</v>
      </c>
      <c r="E663" s="4502"/>
      <c r="F663" s="4502"/>
      <c r="G663" s="4502"/>
      <c r="H663" s="4502"/>
      <c r="I663" s="4502"/>
      <c r="J663" s="4502"/>
      <c r="K663" s="4502"/>
      <c r="L663" s="4502"/>
      <c r="M663" s="4502"/>
    </row>
    <row r="664" spans="1:13" hidden="1">
      <c r="A664" s="4501" t="s">
        <v>7395</v>
      </c>
      <c r="B664" s="3">
        <v>2.7559999999999998</v>
      </c>
      <c r="E664" s="4502"/>
      <c r="F664" s="4502"/>
      <c r="G664" s="4502"/>
      <c r="H664" s="4502"/>
      <c r="I664" s="4502"/>
      <c r="J664" s="4502"/>
      <c r="K664" s="4502"/>
      <c r="L664" s="4502"/>
      <c r="M664" s="4502"/>
    </row>
    <row r="665" spans="1:13" hidden="1">
      <c r="A665" s="4501" t="s">
        <v>7396</v>
      </c>
      <c r="B665" s="3">
        <v>2.7320000000000002</v>
      </c>
      <c r="E665" s="4502"/>
      <c r="F665" s="4502"/>
      <c r="G665" s="4502"/>
      <c r="H665" s="4502"/>
      <c r="I665" s="4502"/>
      <c r="J665" s="4502"/>
      <c r="K665" s="4502"/>
      <c r="L665" s="4502"/>
      <c r="M665" s="4502"/>
    </row>
    <row r="666" spans="1:13" hidden="1">
      <c r="A666" s="4501" t="s">
        <v>7397</v>
      </c>
      <c r="B666" s="3">
        <v>2.7320000000000002</v>
      </c>
      <c r="E666" s="4502"/>
      <c r="F666" s="4502"/>
      <c r="G666" s="4502"/>
      <c r="H666" s="4502"/>
      <c r="I666" s="4502"/>
      <c r="J666" s="4502"/>
      <c r="K666" s="4502"/>
      <c r="L666" s="4502"/>
      <c r="M666" s="4502"/>
    </row>
    <row r="667" spans="1:13" hidden="1">
      <c r="A667" s="4501" t="s">
        <v>7398</v>
      </c>
      <c r="B667" s="3">
        <v>2.7320000000000002</v>
      </c>
      <c r="E667" s="4502"/>
      <c r="F667" s="4502"/>
      <c r="G667" s="4502"/>
      <c r="H667" s="4502"/>
      <c r="I667" s="4502"/>
      <c r="J667" s="4502"/>
      <c r="K667" s="4502"/>
      <c r="L667" s="4502"/>
      <c r="M667" s="4502"/>
    </row>
    <row r="668" spans="1:13" hidden="1">
      <c r="A668" s="4501" t="s">
        <v>7399</v>
      </c>
      <c r="B668" s="3">
        <v>2.8</v>
      </c>
      <c r="E668" s="4502"/>
      <c r="F668" s="4502"/>
      <c r="G668" s="4502"/>
      <c r="H668" s="4502"/>
      <c r="I668" s="4502"/>
      <c r="J668" s="4502"/>
      <c r="K668" s="4502"/>
      <c r="L668" s="4502"/>
      <c r="M668" s="4502"/>
    </row>
    <row r="669" spans="1:13" hidden="1">
      <c r="A669" s="4501" t="s">
        <v>7400</v>
      </c>
      <c r="B669" s="3">
        <v>2.8090000000000002</v>
      </c>
      <c r="E669" s="4502"/>
      <c r="F669" s="4502"/>
      <c r="G669" s="4502"/>
      <c r="H669" s="4502"/>
      <c r="I669" s="4502"/>
      <c r="J669" s="4502"/>
      <c r="K669" s="4502"/>
      <c r="L669" s="4502"/>
      <c r="M669" s="4502"/>
    </row>
    <row r="670" spans="1:13" hidden="1">
      <c r="A670" s="4501" t="s">
        <v>7401</v>
      </c>
      <c r="B670" s="3">
        <v>2.7589999999999999</v>
      </c>
      <c r="E670" s="4502"/>
      <c r="F670" s="4502"/>
      <c r="G670" s="4502"/>
      <c r="H670" s="4502"/>
      <c r="I670" s="4502"/>
      <c r="J670" s="4502"/>
      <c r="K670" s="4502"/>
      <c r="L670" s="4502"/>
      <c r="M670" s="4502"/>
    </row>
    <row r="671" spans="1:13" hidden="1">
      <c r="A671" s="4501" t="s">
        <v>7402</v>
      </c>
      <c r="B671" s="3">
        <v>2.7120000000000002</v>
      </c>
      <c r="E671" s="4502"/>
      <c r="F671" s="4502"/>
      <c r="G671" s="4502"/>
      <c r="H671" s="4502"/>
      <c r="I671" s="4502"/>
      <c r="J671" s="4502"/>
      <c r="K671" s="4502"/>
      <c r="L671" s="4502"/>
      <c r="M671" s="4502"/>
    </row>
    <row r="672" spans="1:13" hidden="1">
      <c r="A672" s="4501" t="s">
        <v>7403</v>
      </c>
      <c r="B672" s="3">
        <v>2.7160000000000002</v>
      </c>
      <c r="E672" s="4502"/>
      <c r="F672" s="4502"/>
      <c r="G672" s="4502"/>
      <c r="H672" s="4502"/>
      <c r="I672" s="4502"/>
      <c r="J672" s="4502"/>
      <c r="K672" s="4502"/>
      <c r="L672" s="4502"/>
      <c r="M672" s="4502"/>
    </row>
    <row r="673" spans="1:13" hidden="1">
      <c r="A673" s="4501" t="s">
        <v>7404</v>
      </c>
      <c r="B673" s="3">
        <v>2.7160000000000002</v>
      </c>
      <c r="E673" s="4502"/>
      <c r="F673" s="4502"/>
      <c r="G673" s="4502"/>
      <c r="H673" s="4502"/>
      <c r="I673" s="4502"/>
      <c r="J673" s="4502"/>
      <c r="K673" s="4502"/>
      <c r="L673" s="4502"/>
      <c r="M673" s="4502"/>
    </row>
    <row r="674" spans="1:13" hidden="1">
      <c r="A674" s="4501" t="s">
        <v>7405</v>
      </c>
      <c r="B674" s="3">
        <v>2.7160000000000002</v>
      </c>
      <c r="E674" s="4502"/>
      <c r="F674" s="4502"/>
      <c r="G674" s="4502"/>
      <c r="H674" s="4502"/>
      <c r="I674" s="4502"/>
      <c r="J674" s="4502"/>
      <c r="K674" s="4502"/>
      <c r="L674" s="4502"/>
      <c r="M674" s="4502"/>
    </row>
    <row r="675" spans="1:13" hidden="1">
      <c r="A675" s="4501" t="s">
        <v>7406</v>
      </c>
      <c r="B675" s="3">
        <v>2.6779999999999999</v>
      </c>
      <c r="E675" s="4502"/>
      <c r="F675" s="4502"/>
      <c r="G675" s="4502"/>
      <c r="H675" s="4502"/>
      <c r="I675" s="4502"/>
      <c r="J675" s="4502"/>
      <c r="K675" s="4502"/>
      <c r="L675" s="4502"/>
      <c r="M675" s="4502"/>
    </row>
    <row r="676" spans="1:13" hidden="1">
      <c r="A676" s="4501" t="s">
        <v>7407</v>
      </c>
      <c r="B676" s="3">
        <v>2.7040000000000002</v>
      </c>
      <c r="E676" s="4502"/>
      <c r="F676" s="4502"/>
      <c r="G676" s="4502"/>
      <c r="H676" s="4502"/>
      <c r="I676" s="4502"/>
      <c r="J676" s="4502"/>
      <c r="K676" s="4502"/>
      <c r="L676" s="4502"/>
      <c r="M676" s="4502"/>
    </row>
    <row r="677" spans="1:13" hidden="1">
      <c r="A677" s="4501" t="s">
        <v>7408</v>
      </c>
      <c r="B677" s="3">
        <v>2.6669999999999998</v>
      </c>
      <c r="E677" s="4502"/>
      <c r="F677" s="4502"/>
      <c r="G677" s="4502"/>
      <c r="H677" s="4502"/>
      <c r="I677" s="4502"/>
      <c r="J677" s="4502"/>
      <c r="K677" s="4502"/>
      <c r="L677" s="4502"/>
      <c r="M677" s="4502"/>
    </row>
    <row r="678" spans="1:13" hidden="1">
      <c r="A678" s="4501" t="s">
        <v>7409</v>
      </c>
      <c r="B678" s="3">
        <v>2.6560000000000001</v>
      </c>
      <c r="E678" s="4502"/>
      <c r="F678" s="4502"/>
      <c r="G678" s="4502"/>
      <c r="H678" s="4502"/>
      <c r="I678" s="4502"/>
      <c r="J678" s="4502"/>
      <c r="K678" s="4502"/>
      <c r="L678" s="4502"/>
      <c r="M678" s="4502"/>
    </row>
    <row r="679" spans="1:13" hidden="1">
      <c r="A679" s="4501" t="s">
        <v>7410</v>
      </c>
      <c r="B679" s="3">
        <v>2.633</v>
      </c>
      <c r="E679" s="4502"/>
      <c r="F679" s="4502"/>
      <c r="G679" s="4502"/>
      <c r="H679" s="4502"/>
      <c r="I679" s="4502"/>
      <c r="J679" s="4502"/>
      <c r="K679" s="4502"/>
      <c r="L679" s="4502"/>
      <c r="M679" s="4502"/>
    </row>
    <row r="680" spans="1:13" hidden="1">
      <c r="A680" s="4501" t="s">
        <v>7411</v>
      </c>
      <c r="B680" s="3">
        <v>2.633</v>
      </c>
      <c r="E680" s="4502"/>
      <c r="F680" s="4502"/>
      <c r="G680" s="4502"/>
      <c r="H680" s="4502"/>
      <c r="I680" s="4502"/>
      <c r="J680" s="4502"/>
      <c r="K680" s="4502"/>
      <c r="L680" s="4502"/>
      <c r="M680" s="4502"/>
    </row>
    <row r="681" spans="1:13" hidden="1">
      <c r="A681" s="4501" t="s">
        <v>7412</v>
      </c>
      <c r="B681" s="3">
        <v>2.633</v>
      </c>
      <c r="E681" s="4502"/>
      <c r="F681" s="4502"/>
      <c r="G681" s="4502"/>
      <c r="H681" s="4502"/>
      <c r="I681" s="4502"/>
      <c r="J681" s="4502"/>
      <c r="K681" s="4502"/>
      <c r="L681" s="4502"/>
      <c r="M681" s="4502"/>
    </row>
    <row r="682" spans="1:13" hidden="1">
      <c r="A682" s="4501" t="s">
        <v>7413</v>
      </c>
      <c r="B682" s="3">
        <v>2.657</v>
      </c>
      <c r="E682" s="4502"/>
      <c r="F682" s="4502"/>
      <c r="G682" s="4502"/>
      <c r="H682" s="4502"/>
      <c r="I682" s="4502"/>
      <c r="J682" s="4502"/>
      <c r="K682" s="4502"/>
      <c r="L682" s="4502"/>
      <c r="M682" s="4502"/>
    </row>
    <row r="683" spans="1:13" hidden="1">
      <c r="A683" s="4501" t="s">
        <v>7414</v>
      </c>
      <c r="B683" s="3">
        <v>2.714</v>
      </c>
      <c r="E683" s="4502"/>
      <c r="F683" s="4502"/>
      <c r="G683" s="4502"/>
      <c r="H683" s="4502"/>
      <c r="I683" s="4502"/>
      <c r="J683" s="4502"/>
      <c r="K683" s="4502"/>
      <c r="L683" s="4502"/>
      <c r="M683" s="4502"/>
    </row>
    <row r="684" spans="1:13" hidden="1">
      <c r="A684" s="4501" t="s">
        <v>7415</v>
      </c>
      <c r="B684" s="3">
        <v>2.698</v>
      </c>
      <c r="E684" s="4502"/>
      <c r="F684" s="4502"/>
      <c r="G684" s="4502"/>
      <c r="H684" s="4502"/>
      <c r="I684" s="4502"/>
      <c r="J684" s="4502"/>
      <c r="K684" s="4502"/>
      <c r="L684" s="4502"/>
      <c r="M684" s="4502"/>
    </row>
    <row r="685" spans="1:13" hidden="1">
      <c r="A685" s="4501" t="s">
        <v>7416</v>
      </c>
      <c r="B685" s="3">
        <v>2.7330000000000001</v>
      </c>
      <c r="E685" s="4502"/>
      <c r="F685" s="4502"/>
      <c r="G685" s="4502"/>
      <c r="H685" s="4502"/>
      <c r="I685" s="4502"/>
      <c r="J685" s="4502"/>
      <c r="K685" s="4502"/>
      <c r="L685" s="4502"/>
      <c r="M685" s="4502"/>
    </row>
    <row r="686" spans="1:13" hidden="1">
      <c r="A686" s="4501" t="s">
        <v>7417</v>
      </c>
      <c r="B686" s="3">
        <v>2.7330000000000001</v>
      </c>
      <c r="E686" s="4502"/>
      <c r="F686" s="4502"/>
      <c r="G686" s="4502"/>
      <c r="H686" s="4502"/>
      <c r="I686" s="4502"/>
      <c r="J686" s="4502"/>
      <c r="K686" s="4502"/>
      <c r="L686" s="4502"/>
      <c r="M686" s="4502"/>
    </row>
    <row r="687" spans="1:13" hidden="1">
      <c r="A687" s="4501" t="s">
        <v>7418</v>
      </c>
      <c r="B687" s="3">
        <v>2.7330000000000001</v>
      </c>
      <c r="E687" s="4502"/>
      <c r="F687" s="4502"/>
      <c r="G687" s="4502"/>
      <c r="H687" s="4502"/>
      <c r="I687" s="4502"/>
      <c r="J687" s="4502"/>
      <c r="K687" s="4502"/>
      <c r="L687" s="4502"/>
      <c r="M687" s="4502"/>
    </row>
    <row r="688" spans="1:13" hidden="1">
      <c r="A688" s="4501" t="s">
        <v>7419</v>
      </c>
      <c r="B688" s="3">
        <v>2.7330000000000001</v>
      </c>
      <c r="E688" s="4502"/>
      <c r="F688" s="4502"/>
      <c r="G688" s="4502"/>
      <c r="H688" s="4502"/>
      <c r="I688" s="4502"/>
      <c r="J688" s="4502"/>
      <c r="K688" s="4502"/>
      <c r="L688" s="4502"/>
      <c r="M688" s="4502"/>
    </row>
    <row r="689" spans="1:13" hidden="1">
      <c r="A689" s="4501" t="s">
        <v>7420</v>
      </c>
      <c r="B689" s="3">
        <v>2.6829999999999998</v>
      </c>
      <c r="E689" s="4502"/>
      <c r="F689" s="4502"/>
      <c r="G689" s="4502"/>
      <c r="H689" s="4502"/>
      <c r="I689" s="4502"/>
      <c r="J689" s="4502"/>
      <c r="K689" s="4502"/>
      <c r="L689" s="4502"/>
      <c r="M689" s="4502"/>
    </row>
    <row r="690" spans="1:13" hidden="1">
      <c r="A690" s="4501" t="s">
        <v>7421</v>
      </c>
      <c r="B690" s="3">
        <v>2.6970000000000001</v>
      </c>
      <c r="E690" s="4502"/>
      <c r="F690" s="4502"/>
      <c r="G690" s="4502"/>
      <c r="H690" s="4502"/>
      <c r="I690" s="4502"/>
      <c r="J690" s="4502"/>
      <c r="K690" s="4502"/>
      <c r="L690" s="4502"/>
      <c r="M690" s="4502"/>
    </row>
    <row r="691" spans="1:13" hidden="1">
      <c r="A691" s="4501" t="s">
        <v>7422</v>
      </c>
      <c r="B691" s="3">
        <v>2.718</v>
      </c>
      <c r="E691" s="4502"/>
      <c r="F691" s="4502"/>
      <c r="G691" s="4502"/>
      <c r="H691" s="4502"/>
      <c r="I691" s="4502"/>
      <c r="J691" s="4502"/>
      <c r="K691" s="4502"/>
      <c r="L691" s="4502"/>
      <c r="M691" s="4502"/>
    </row>
    <row r="692" spans="1:13" hidden="1">
      <c r="A692" s="4501" t="s">
        <v>7423</v>
      </c>
      <c r="B692" s="3">
        <v>2.6749999999999998</v>
      </c>
      <c r="E692" s="4502"/>
      <c r="F692" s="4502"/>
      <c r="G692" s="4502"/>
      <c r="H692" s="4502"/>
      <c r="I692" s="4502"/>
      <c r="J692" s="4502"/>
      <c r="K692" s="4502"/>
      <c r="L692" s="4502"/>
      <c r="M692" s="4502"/>
    </row>
    <row r="693" spans="1:13" hidden="1">
      <c r="A693" s="4501" t="s">
        <v>7424</v>
      </c>
      <c r="B693" s="3">
        <v>2.7010000000000001</v>
      </c>
      <c r="E693" s="4502"/>
      <c r="F693" s="4502"/>
      <c r="G693" s="4502"/>
      <c r="H693" s="4502"/>
      <c r="I693" s="4502"/>
      <c r="J693" s="4502"/>
      <c r="K693" s="4502"/>
      <c r="L693" s="4502"/>
      <c r="M693" s="4502"/>
    </row>
    <row r="694" spans="1:13" hidden="1">
      <c r="A694" s="4501" t="s">
        <v>7425</v>
      </c>
      <c r="B694" s="3">
        <v>2.7010000000000001</v>
      </c>
      <c r="E694" s="4502"/>
      <c r="F694" s="4502"/>
      <c r="G694" s="4502"/>
      <c r="H694" s="4502"/>
      <c r="I694" s="4502"/>
      <c r="J694" s="4502"/>
      <c r="K694" s="4502"/>
      <c r="L694" s="4502"/>
      <c r="M694" s="4502"/>
    </row>
    <row r="695" spans="1:13" hidden="1">
      <c r="A695" s="4501" t="s">
        <v>7426</v>
      </c>
      <c r="B695" s="3">
        <v>2.7010000000000001</v>
      </c>
      <c r="E695" s="4502"/>
      <c r="F695" s="4502"/>
      <c r="G695" s="4502"/>
      <c r="H695" s="4502"/>
      <c r="I695" s="4502"/>
      <c r="J695" s="4502"/>
      <c r="K695" s="4502"/>
      <c r="L695" s="4502"/>
      <c r="M695" s="4502"/>
    </row>
    <row r="696" spans="1:13" hidden="1">
      <c r="A696" s="4501" t="s">
        <v>7427</v>
      </c>
      <c r="B696" s="3">
        <v>2.6930000000000001</v>
      </c>
      <c r="E696" s="4502"/>
      <c r="F696" s="4502"/>
      <c r="G696" s="4502"/>
      <c r="H696" s="4502"/>
      <c r="I696" s="4502"/>
      <c r="J696" s="4502"/>
      <c r="K696" s="4502"/>
      <c r="L696" s="4502"/>
      <c r="M696" s="4502"/>
    </row>
    <row r="697" spans="1:13" hidden="1">
      <c r="A697" s="4501" t="s">
        <v>7428</v>
      </c>
      <c r="B697" s="3">
        <v>2.6560000000000001</v>
      </c>
      <c r="E697" s="4502"/>
      <c r="F697" s="4502"/>
      <c r="G697" s="4502"/>
      <c r="H697" s="4502"/>
      <c r="I697" s="4502"/>
      <c r="J697" s="4502"/>
      <c r="K697" s="4502"/>
      <c r="L697" s="4502"/>
      <c r="M697" s="4502"/>
    </row>
    <row r="698" spans="1:13" hidden="1">
      <c r="A698" s="4501" t="s">
        <v>7429</v>
      </c>
      <c r="B698" s="3">
        <v>2.6749999999999998</v>
      </c>
      <c r="E698" s="4502"/>
      <c r="F698" s="4502"/>
      <c r="G698" s="4502"/>
      <c r="H698" s="4502"/>
      <c r="I698" s="4502"/>
      <c r="J698" s="4502"/>
      <c r="K698" s="4502"/>
      <c r="L698" s="4502"/>
      <c r="M698" s="4502"/>
    </row>
    <row r="699" spans="1:13" hidden="1">
      <c r="A699" s="4501" t="s">
        <v>7430</v>
      </c>
      <c r="B699" s="3">
        <v>2.6859999999999999</v>
      </c>
      <c r="E699" s="4502"/>
      <c r="F699" s="4502"/>
      <c r="G699" s="4502"/>
      <c r="H699" s="4502"/>
      <c r="I699" s="4502"/>
      <c r="J699" s="4502"/>
      <c r="K699" s="4502"/>
      <c r="L699" s="4502"/>
      <c r="M699" s="4502"/>
    </row>
    <row r="700" spans="1:13" hidden="1">
      <c r="A700" s="4501" t="s">
        <v>7431</v>
      </c>
      <c r="B700" s="3">
        <v>2.7639999999999998</v>
      </c>
      <c r="E700" s="4502"/>
      <c r="F700" s="4502"/>
      <c r="G700" s="4502"/>
      <c r="H700" s="4502"/>
      <c r="I700" s="4502"/>
      <c r="J700" s="4502"/>
      <c r="K700" s="4502"/>
      <c r="L700" s="4502"/>
      <c r="M700" s="4502"/>
    </row>
    <row r="701" spans="1:13" hidden="1">
      <c r="A701" s="4501" t="s">
        <v>7432</v>
      </c>
      <c r="B701" s="3">
        <v>2.7639999999999998</v>
      </c>
      <c r="E701" s="4502"/>
      <c r="F701" s="4502"/>
      <c r="G701" s="4502"/>
      <c r="H701" s="4502"/>
      <c r="I701" s="4502"/>
      <c r="J701" s="4502"/>
      <c r="K701" s="4502"/>
      <c r="L701" s="4502"/>
      <c r="M701" s="4502"/>
    </row>
    <row r="702" spans="1:13" hidden="1">
      <c r="A702" s="4501" t="s">
        <v>7433</v>
      </c>
      <c r="B702" s="3">
        <v>2.7639999999999998</v>
      </c>
      <c r="E702" s="4502"/>
      <c r="F702" s="4502"/>
      <c r="G702" s="4502"/>
      <c r="H702" s="4502"/>
      <c r="I702" s="4502"/>
      <c r="J702" s="4502"/>
      <c r="K702" s="4502"/>
      <c r="L702" s="4502"/>
      <c r="M702" s="4502"/>
    </row>
    <row r="703" spans="1:13" hidden="1">
      <c r="A703" s="4501" t="s">
        <v>7434</v>
      </c>
      <c r="B703" s="3">
        <v>2.7839999999999998</v>
      </c>
      <c r="E703" s="4502"/>
      <c r="F703" s="4502"/>
      <c r="G703" s="4502"/>
      <c r="H703" s="4502"/>
      <c r="I703" s="4502"/>
      <c r="J703" s="4502"/>
      <c r="K703" s="4502"/>
      <c r="L703" s="4502"/>
      <c r="M703" s="4502"/>
    </row>
    <row r="704" spans="1:13" hidden="1">
      <c r="A704" s="4501" t="s">
        <v>7435</v>
      </c>
      <c r="B704" s="3">
        <v>2.77</v>
      </c>
      <c r="E704" s="4502"/>
      <c r="F704" s="4502"/>
      <c r="G704" s="4502"/>
      <c r="H704" s="4502"/>
      <c r="I704" s="4502"/>
      <c r="J704" s="4502"/>
      <c r="K704" s="4502"/>
      <c r="L704" s="4502"/>
      <c r="M704" s="4502"/>
    </row>
    <row r="705" spans="1:13" hidden="1">
      <c r="A705" s="4501" t="s">
        <v>7436</v>
      </c>
      <c r="B705" s="3">
        <v>2.7679999999999998</v>
      </c>
      <c r="E705" s="4502"/>
      <c r="F705" s="4502"/>
      <c r="G705" s="4502"/>
      <c r="H705" s="4502"/>
      <c r="I705" s="4502"/>
      <c r="J705" s="4502"/>
      <c r="K705" s="4502"/>
      <c r="L705" s="4502"/>
      <c r="M705" s="4502"/>
    </row>
    <row r="706" spans="1:13" hidden="1">
      <c r="A706" s="4501" t="s">
        <v>7437</v>
      </c>
      <c r="B706" s="3">
        <v>2.6949999999999998</v>
      </c>
      <c r="E706" s="4502"/>
      <c r="F706" s="4502"/>
      <c r="G706" s="4502"/>
      <c r="H706" s="4502"/>
      <c r="I706" s="4502"/>
      <c r="J706" s="4502"/>
      <c r="K706" s="4502"/>
      <c r="L706" s="4502"/>
      <c r="M706" s="4502"/>
    </row>
    <row r="707" spans="1:13" hidden="1">
      <c r="A707" s="4501" t="s">
        <v>7438</v>
      </c>
      <c r="B707" s="3">
        <v>2.7669999999999999</v>
      </c>
      <c r="E707" s="4502"/>
      <c r="F707" s="4502"/>
      <c r="G707" s="4502"/>
      <c r="H707" s="4502"/>
      <c r="I707" s="4502"/>
      <c r="J707" s="4502"/>
      <c r="K707" s="4502"/>
      <c r="L707" s="4502"/>
      <c r="M707" s="4502"/>
    </row>
    <row r="708" spans="1:13" hidden="1">
      <c r="A708" s="4501" t="s">
        <v>7439</v>
      </c>
      <c r="B708" s="3">
        <v>2.7669999999999999</v>
      </c>
      <c r="E708" s="4502"/>
      <c r="F708" s="4502"/>
      <c r="G708" s="4502"/>
      <c r="H708" s="4502"/>
      <c r="I708" s="4502"/>
      <c r="J708" s="4502"/>
      <c r="K708" s="4502"/>
      <c r="L708" s="4502"/>
      <c r="M708" s="4502"/>
    </row>
    <row r="709" spans="1:13" hidden="1">
      <c r="A709" s="4501" t="s">
        <v>7440</v>
      </c>
      <c r="B709" s="3">
        <v>2.7669999999999999</v>
      </c>
      <c r="E709" s="4502"/>
      <c r="F709" s="4502"/>
      <c r="G709" s="4502"/>
      <c r="H709" s="4502"/>
      <c r="I709" s="4502"/>
      <c r="J709" s="4502"/>
      <c r="K709" s="4502"/>
      <c r="L709" s="4502"/>
      <c r="M709" s="4502"/>
    </row>
    <row r="710" spans="1:13" hidden="1">
      <c r="A710" s="4501" t="s">
        <v>7441</v>
      </c>
      <c r="B710" s="3">
        <v>2.7749999999999999</v>
      </c>
      <c r="E710" s="4502"/>
      <c r="F710" s="4502"/>
      <c r="G710" s="4502"/>
      <c r="H710" s="4502"/>
      <c r="I710" s="4502"/>
      <c r="J710" s="4502"/>
      <c r="K710" s="4502"/>
      <c r="L710" s="4502"/>
      <c r="M710" s="4502"/>
    </row>
    <row r="711" spans="1:13" hidden="1">
      <c r="A711" s="4501" t="s">
        <v>7442</v>
      </c>
      <c r="B711" s="3">
        <v>2.8130000000000002</v>
      </c>
      <c r="E711" s="4502"/>
      <c r="F711" s="4502"/>
      <c r="G711" s="4502"/>
      <c r="H711" s="4502"/>
      <c r="I711" s="4502"/>
      <c r="J711" s="4502"/>
      <c r="K711" s="4502"/>
      <c r="L711" s="4502"/>
      <c r="M711" s="4502"/>
    </row>
    <row r="712" spans="1:13" hidden="1">
      <c r="A712" s="4501" t="s">
        <v>7443</v>
      </c>
      <c r="B712" s="3">
        <v>2.8069999999999999</v>
      </c>
      <c r="E712" s="4502"/>
      <c r="F712" s="4502"/>
      <c r="G712" s="4502"/>
      <c r="H712" s="4502"/>
      <c r="I712" s="4502"/>
      <c r="J712" s="4502"/>
      <c r="K712" s="4502"/>
      <c r="L712" s="4502"/>
      <c r="M712" s="4502"/>
    </row>
    <row r="713" spans="1:13" hidden="1">
      <c r="A713" s="4501" t="s">
        <v>7444</v>
      </c>
      <c r="B713" s="3">
        <v>2.839</v>
      </c>
      <c r="E713" s="4502"/>
      <c r="F713" s="4502"/>
      <c r="G713" s="4502"/>
      <c r="H713" s="4502"/>
      <c r="I713" s="4502"/>
      <c r="J713" s="4502"/>
      <c r="K713" s="4502"/>
      <c r="L713" s="4502"/>
      <c r="M713" s="4502"/>
    </row>
    <row r="714" spans="1:13" hidden="1">
      <c r="A714" s="4501" t="s">
        <v>7445</v>
      </c>
      <c r="B714" s="3">
        <v>2.7709999999999999</v>
      </c>
      <c r="E714" s="4502"/>
      <c r="F714" s="4502"/>
      <c r="G714" s="4502"/>
      <c r="H714" s="4502"/>
      <c r="I714" s="4502"/>
      <c r="J714" s="4502"/>
      <c r="K714" s="4502"/>
      <c r="L714" s="4502"/>
      <c r="M714" s="4502"/>
    </row>
    <row r="715" spans="1:13" hidden="1">
      <c r="A715" s="4501" t="s">
        <v>7446</v>
      </c>
      <c r="B715" s="3">
        <v>2.7709999999999999</v>
      </c>
      <c r="E715" s="4502"/>
      <c r="F715" s="4502"/>
      <c r="G715" s="4502"/>
      <c r="H715" s="4502"/>
      <c r="I715" s="4502"/>
      <c r="J715" s="4502"/>
      <c r="K715" s="4502"/>
      <c r="L715" s="4502"/>
      <c r="M715" s="4502"/>
    </row>
    <row r="716" spans="1:13" hidden="1">
      <c r="A716" s="4501" t="s">
        <v>7447</v>
      </c>
      <c r="B716" s="3">
        <v>2.7709999999999999</v>
      </c>
      <c r="E716" s="4502"/>
      <c r="F716" s="4502"/>
      <c r="G716" s="4502"/>
      <c r="H716" s="4502"/>
      <c r="I716" s="4502"/>
      <c r="J716" s="4502"/>
      <c r="K716" s="4502"/>
      <c r="L716" s="4502"/>
      <c r="M716" s="4502"/>
    </row>
    <row r="717" spans="1:13" hidden="1">
      <c r="A717" s="4501" t="s">
        <v>7448</v>
      </c>
      <c r="B717" s="3">
        <v>2.7629999999999999</v>
      </c>
      <c r="E717" s="4502"/>
      <c r="F717" s="4502"/>
      <c r="G717" s="4502"/>
      <c r="H717" s="4502"/>
      <c r="I717" s="4502"/>
      <c r="J717" s="4502"/>
      <c r="K717" s="4502"/>
      <c r="L717" s="4502"/>
      <c r="M717" s="4502"/>
    </row>
    <row r="718" spans="1:13" hidden="1">
      <c r="A718" s="4501" t="s">
        <v>7449</v>
      </c>
      <c r="B718" s="3">
        <v>2.802</v>
      </c>
      <c r="E718" s="4502"/>
      <c r="F718" s="4502"/>
      <c r="G718" s="4502"/>
      <c r="H718" s="4502"/>
      <c r="I718" s="4502"/>
      <c r="J718" s="4502"/>
      <c r="K718" s="4502"/>
      <c r="L718" s="4502"/>
      <c r="M718" s="4502"/>
    </row>
    <row r="719" spans="1:13" hidden="1">
      <c r="A719" s="4501" t="s">
        <v>7450</v>
      </c>
      <c r="B719" s="3">
        <v>2.754</v>
      </c>
      <c r="E719" s="4502"/>
      <c r="F719" s="4502"/>
      <c r="G719" s="4502"/>
      <c r="H719" s="4502"/>
      <c r="I719" s="4502"/>
      <c r="J719" s="4502"/>
      <c r="K719" s="4502"/>
      <c r="L719" s="4502"/>
      <c r="M719" s="4502"/>
    </row>
    <row r="720" spans="1:13" hidden="1">
      <c r="A720" s="4501" t="s">
        <v>7451</v>
      </c>
      <c r="B720" s="3">
        <v>2.726</v>
      </c>
      <c r="E720" s="4502"/>
      <c r="F720" s="4502"/>
      <c r="G720" s="4502"/>
      <c r="H720" s="4502"/>
      <c r="I720" s="4502"/>
      <c r="J720" s="4502"/>
      <c r="K720" s="4502"/>
      <c r="L720" s="4502"/>
      <c r="M720" s="4502"/>
    </row>
    <row r="721" spans="1:13" hidden="1">
      <c r="A721" s="4501" t="s">
        <v>7452</v>
      </c>
      <c r="B721" s="3">
        <v>2.7109999999999999</v>
      </c>
      <c r="E721" s="4502"/>
      <c r="F721" s="4502"/>
      <c r="G721" s="4502"/>
      <c r="H721" s="4502"/>
      <c r="I721" s="4502"/>
      <c r="J721" s="4502"/>
      <c r="K721" s="4502"/>
      <c r="L721" s="4502"/>
      <c r="M721" s="4502"/>
    </row>
    <row r="722" spans="1:13" hidden="1">
      <c r="A722" s="4501" t="s">
        <v>7453</v>
      </c>
      <c r="B722" s="3">
        <v>2.7109999999999999</v>
      </c>
      <c r="E722" s="4502"/>
      <c r="F722" s="4502"/>
      <c r="G722" s="4502"/>
      <c r="H722" s="4502"/>
      <c r="I722" s="4502"/>
      <c r="J722" s="4502"/>
      <c r="K722" s="4502"/>
      <c r="L722" s="4502"/>
      <c r="M722" s="4502"/>
    </row>
    <row r="723" spans="1:13" hidden="1">
      <c r="A723" s="4501" t="s">
        <v>7454</v>
      </c>
      <c r="B723" s="3">
        <v>2.7109999999999999</v>
      </c>
      <c r="E723" s="4502"/>
      <c r="F723" s="4502"/>
      <c r="G723" s="4502"/>
      <c r="H723" s="4502"/>
      <c r="I723" s="4502"/>
      <c r="J723" s="4502"/>
      <c r="K723" s="4502"/>
      <c r="L723" s="4502"/>
      <c r="M723" s="4502"/>
    </row>
    <row r="724" spans="1:13" hidden="1">
      <c r="A724" s="4501" t="s">
        <v>7455</v>
      </c>
      <c r="B724" s="3">
        <v>2.7410000000000001</v>
      </c>
      <c r="E724" s="4502"/>
      <c r="F724" s="4502"/>
      <c r="G724" s="4502"/>
      <c r="H724" s="4502"/>
      <c r="I724" s="4502"/>
      <c r="J724" s="4502"/>
      <c r="K724" s="4502"/>
      <c r="L724" s="4502"/>
      <c r="M724" s="4502"/>
    </row>
    <row r="725" spans="1:13" hidden="1">
      <c r="A725" s="4501" t="s">
        <v>7456</v>
      </c>
      <c r="B725" s="3">
        <v>2.7320000000000002</v>
      </c>
      <c r="E725" s="4502"/>
      <c r="F725" s="4502"/>
      <c r="G725" s="4502"/>
      <c r="H725" s="4502"/>
      <c r="I725" s="4502"/>
      <c r="J725" s="4502"/>
      <c r="K725" s="4502"/>
      <c r="L725" s="4502"/>
      <c r="M725" s="4502"/>
    </row>
    <row r="726" spans="1:13" hidden="1">
      <c r="A726" s="4501" t="s">
        <v>7457</v>
      </c>
      <c r="B726" s="3">
        <v>2.76</v>
      </c>
      <c r="E726" s="4502"/>
      <c r="F726" s="4502"/>
      <c r="G726" s="4502"/>
      <c r="H726" s="4502"/>
      <c r="I726" s="4502"/>
      <c r="J726" s="4502"/>
      <c r="K726" s="4502"/>
      <c r="L726" s="4502"/>
      <c r="M726" s="4502"/>
    </row>
    <row r="727" spans="1:13" hidden="1">
      <c r="A727" s="4501" t="s">
        <v>7458</v>
      </c>
      <c r="B727" s="3">
        <v>2.8279999999999998</v>
      </c>
      <c r="E727" s="4502"/>
      <c r="F727" s="4502"/>
      <c r="G727" s="4502"/>
      <c r="H727" s="4502"/>
      <c r="I727" s="4502"/>
      <c r="J727" s="4502"/>
      <c r="K727" s="4502"/>
      <c r="L727" s="4502"/>
      <c r="M727" s="4502"/>
    </row>
    <row r="728" spans="1:13" hidden="1">
      <c r="A728" s="4501" t="s">
        <v>7459</v>
      </c>
      <c r="B728" s="3">
        <v>2.8250000000000002</v>
      </c>
      <c r="E728" s="4502"/>
      <c r="F728" s="4502"/>
      <c r="G728" s="4502"/>
      <c r="H728" s="4502"/>
      <c r="I728" s="4502"/>
      <c r="J728" s="4502"/>
      <c r="K728" s="4502"/>
      <c r="L728" s="4502"/>
      <c r="M728" s="4502"/>
    </row>
    <row r="729" spans="1:13" hidden="1">
      <c r="A729" s="4501" t="s">
        <v>7460</v>
      </c>
      <c r="B729" s="3">
        <v>2.8250000000000002</v>
      </c>
      <c r="E729" s="4502"/>
      <c r="F729" s="4502"/>
      <c r="G729" s="4502"/>
      <c r="H729" s="4502"/>
      <c r="I729" s="4502"/>
      <c r="J729" s="4502"/>
      <c r="K729" s="4502"/>
      <c r="L729" s="4502"/>
      <c r="M729" s="4502"/>
    </row>
    <row r="730" spans="1:13" hidden="1">
      <c r="A730" s="4501" t="s">
        <v>7461</v>
      </c>
      <c r="B730" s="3">
        <v>2.8250000000000002</v>
      </c>
      <c r="E730" s="4502"/>
      <c r="F730" s="4502"/>
      <c r="G730" s="4502"/>
      <c r="H730" s="4502"/>
      <c r="I730" s="4502"/>
      <c r="J730" s="4502"/>
      <c r="K730" s="4502"/>
      <c r="L730" s="4502"/>
      <c r="M730" s="4502"/>
    </row>
    <row r="731" spans="1:13" hidden="1">
      <c r="A731" s="4501" t="s">
        <v>7462</v>
      </c>
      <c r="B731" s="3">
        <v>2.859</v>
      </c>
      <c r="E731" s="4502"/>
      <c r="F731" s="4502"/>
      <c r="G731" s="4502"/>
      <c r="H731" s="4502"/>
      <c r="I731" s="4502"/>
      <c r="J731" s="4502"/>
      <c r="K731" s="4502"/>
      <c r="L731" s="4502"/>
      <c r="M731" s="4502"/>
    </row>
    <row r="732" spans="1:13" hidden="1">
      <c r="A732" s="4501" t="s">
        <v>7463</v>
      </c>
      <c r="B732" s="3">
        <v>2.8540000000000001</v>
      </c>
      <c r="E732" s="4502"/>
      <c r="F732" s="4502"/>
      <c r="G732" s="4502"/>
      <c r="H732" s="4502"/>
      <c r="I732" s="4502"/>
      <c r="J732" s="4502"/>
      <c r="K732" s="4502"/>
      <c r="L732" s="4502"/>
      <c r="M732" s="4502"/>
    </row>
    <row r="733" spans="1:13" hidden="1">
      <c r="A733" s="4501" t="s">
        <v>7464</v>
      </c>
      <c r="B733" s="3">
        <v>2.8370000000000002</v>
      </c>
      <c r="E733" s="4502"/>
      <c r="F733" s="4502"/>
      <c r="G733" s="4502"/>
      <c r="H733" s="4502"/>
      <c r="I733" s="4502"/>
      <c r="J733" s="4502"/>
      <c r="K733" s="4502"/>
      <c r="L733" s="4502"/>
      <c r="M733" s="4502"/>
    </row>
    <row r="734" spans="1:13" hidden="1">
      <c r="A734" s="4501" t="s">
        <v>7465</v>
      </c>
      <c r="B734" s="3">
        <v>2.8860000000000001</v>
      </c>
      <c r="E734" s="4502"/>
      <c r="F734" s="4502"/>
      <c r="G734" s="4502"/>
      <c r="H734" s="4502"/>
      <c r="I734" s="4502"/>
      <c r="J734" s="4502"/>
      <c r="K734" s="4502"/>
      <c r="L734" s="4502"/>
      <c r="M734" s="4502"/>
    </row>
    <row r="735" spans="1:13" hidden="1">
      <c r="A735" s="4501" t="s">
        <v>7466</v>
      </c>
      <c r="B735" s="3">
        <v>2.879</v>
      </c>
      <c r="E735" s="4502"/>
      <c r="F735" s="4502"/>
      <c r="G735" s="4502"/>
      <c r="H735" s="4502"/>
      <c r="I735" s="4502"/>
      <c r="J735" s="4502"/>
      <c r="K735" s="4502"/>
      <c r="L735" s="4502"/>
      <c r="M735" s="4502"/>
    </row>
    <row r="736" spans="1:13" hidden="1">
      <c r="A736" s="4501" t="s">
        <v>7467</v>
      </c>
      <c r="B736" s="3">
        <v>2.879</v>
      </c>
      <c r="E736" s="4502"/>
      <c r="F736" s="4502"/>
      <c r="G736" s="4502"/>
      <c r="H736" s="4502"/>
      <c r="I736" s="4502"/>
      <c r="J736" s="4502"/>
      <c r="K736" s="4502"/>
      <c r="L736" s="4502"/>
      <c r="M736" s="4502"/>
    </row>
    <row r="737" spans="1:13" hidden="1">
      <c r="A737" s="4501" t="s">
        <v>7468</v>
      </c>
      <c r="B737" s="3">
        <v>2.879</v>
      </c>
      <c r="E737" s="4502"/>
      <c r="F737" s="4502"/>
      <c r="G737" s="4502"/>
      <c r="H737" s="4502"/>
      <c r="I737" s="4502"/>
      <c r="J737" s="4502"/>
      <c r="K737" s="4502"/>
      <c r="L737" s="4502"/>
      <c r="M737" s="4502"/>
    </row>
    <row r="738" spans="1:13" hidden="1">
      <c r="A738" s="4501" t="s">
        <v>7469</v>
      </c>
      <c r="B738" s="3">
        <v>2.85</v>
      </c>
      <c r="E738" s="4502"/>
      <c r="F738" s="4502"/>
      <c r="G738" s="4502"/>
      <c r="H738" s="4502"/>
      <c r="I738" s="4502"/>
      <c r="J738" s="4502"/>
      <c r="K738" s="4502"/>
      <c r="L738" s="4502"/>
      <c r="M738" s="4502"/>
    </row>
    <row r="739" spans="1:13" hidden="1">
      <c r="A739" s="4501" t="s">
        <v>7470</v>
      </c>
      <c r="B739" s="3">
        <v>2.9359999999999999</v>
      </c>
      <c r="E739" s="4502"/>
      <c r="F739" s="4502"/>
      <c r="G739" s="4502"/>
      <c r="H739" s="4502"/>
      <c r="I739" s="4502"/>
      <c r="J739" s="4502"/>
      <c r="K739" s="4502"/>
      <c r="L739" s="4502"/>
      <c r="M739" s="4502"/>
    </row>
    <row r="740" spans="1:13" hidden="1">
      <c r="A740" s="4501" t="s">
        <v>7471</v>
      </c>
      <c r="B740" s="3">
        <v>2.9550000000000001</v>
      </c>
      <c r="E740" s="4502"/>
      <c r="F740" s="4502"/>
      <c r="G740" s="4502"/>
      <c r="H740" s="4502"/>
      <c r="I740" s="4502"/>
      <c r="J740" s="4502"/>
      <c r="K740" s="4502"/>
      <c r="L740" s="4502"/>
      <c r="M740" s="4502"/>
    </row>
    <row r="741" spans="1:13" hidden="1">
      <c r="A741" s="4501" t="s">
        <v>7472</v>
      </c>
      <c r="B741" s="3">
        <v>2.9710000000000001</v>
      </c>
      <c r="E741" s="4502"/>
      <c r="F741" s="4502"/>
      <c r="G741" s="4502"/>
      <c r="H741" s="4502"/>
      <c r="I741" s="4502"/>
      <c r="J741" s="4502"/>
      <c r="K741" s="4502"/>
      <c r="L741" s="4502"/>
      <c r="M741" s="4502"/>
    </row>
    <row r="742" spans="1:13" hidden="1">
      <c r="A742" s="4501" t="s">
        <v>7473</v>
      </c>
      <c r="B742" s="3">
        <v>2.9630000000000001</v>
      </c>
      <c r="E742" s="4502"/>
      <c r="F742" s="4502"/>
      <c r="G742" s="4502"/>
      <c r="H742" s="4502"/>
      <c r="I742" s="4502"/>
      <c r="J742" s="4502"/>
      <c r="K742" s="4502"/>
      <c r="L742" s="4502"/>
      <c r="M742" s="4502"/>
    </row>
    <row r="743" spans="1:13" hidden="1">
      <c r="A743" s="4501" t="s">
        <v>7474</v>
      </c>
      <c r="B743" s="3">
        <v>2.9630000000000001</v>
      </c>
      <c r="E743" s="4502"/>
      <c r="F743" s="4502"/>
      <c r="G743" s="4502"/>
      <c r="H743" s="4502"/>
      <c r="I743" s="4502"/>
      <c r="J743" s="4502"/>
      <c r="K743" s="4502"/>
      <c r="L743" s="4502"/>
      <c r="M743" s="4502"/>
    </row>
    <row r="744" spans="1:13" hidden="1">
      <c r="A744" s="4501" t="s">
        <v>7475</v>
      </c>
      <c r="B744" s="3">
        <v>2.9630000000000001</v>
      </c>
      <c r="E744" s="4502"/>
      <c r="F744" s="4502"/>
      <c r="G744" s="4502"/>
      <c r="H744" s="4502"/>
      <c r="I744" s="4502"/>
      <c r="J744" s="4502"/>
      <c r="K744" s="4502"/>
      <c r="L744" s="4502"/>
      <c r="M744" s="4502"/>
    </row>
    <row r="745" spans="1:13" hidden="1">
      <c r="A745" s="4501" t="s">
        <v>7476</v>
      </c>
      <c r="B745" s="3">
        <v>2.9630000000000001</v>
      </c>
      <c r="E745" s="4502"/>
      <c r="F745" s="4502"/>
      <c r="G745" s="4502"/>
      <c r="H745" s="4502"/>
      <c r="I745" s="4502"/>
      <c r="J745" s="4502"/>
      <c r="K745" s="4502"/>
      <c r="L745" s="4502"/>
      <c r="M745" s="4502"/>
    </row>
    <row r="746" spans="1:13" hidden="1">
      <c r="A746" s="4501" t="s">
        <v>7477</v>
      </c>
      <c r="B746" s="3">
        <v>2.903</v>
      </c>
      <c r="E746" s="4502"/>
      <c r="F746" s="4502"/>
      <c r="G746" s="4502"/>
      <c r="H746" s="4502"/>
      <c r="I746" s="4502"/>
      <c r="J746" s="4502"/>
      <c r="K746" s="4502"/>
      <c r="L746" s="4502"/>
      <c r="M746" s="4502"/>
    </row>
    <row r="747" spans="1:13" hidden="1">
      <c r="A747" s="4501" t="s">
        <v>7478</v>
      </c>
      <c r="B747" s="3">
        <v>2.8849999999999998</v>
      </c>
      <c r="E747" s="4502"/>
      <c r="F747" s="4502"/>
      <c r="G747" s="4502"/>
      <c r="H747" s="4502"/>
      <c r="I747" s="4502"/>
      <c r="J747" s="4502"/>
      <c r="K747" s="4502"/>
      <c r="L747" s="4502"/>
      <c r="M747" s="4502"/>
    </row>
    <row r="748" spans="1:13" hidden="1">
      <c r="A748" s="4501" t="s">
        <v>7479</v>
      </c>
      <c r="B748" s="3">
        <v>2.952</v>
      </c>
      <c r="E748" s="4502"/>
      <c r="F748" s="4502"/>
      <c r="G748" s="4502"/>
      <c r="H748" s="4502"/>
      <c r="I748" s="4502"/>
      <c r="J748" s="4502"/>
      <c r="K748" s="4502"/>
      <c r="L748" s="4502"/>
      <c r="M748" s="4502"/>
    </row>
    <row r="749" spans="1:13" hidden="1">
      <c r="A749" s="4501" t="s">
        <v>7480</v>
      </c>
      <c r="B749" s="3">
        <v>2.9620000000000002</v>
      </c>
      <c r="E749" s="4502"/>
      <c r="F749" s="4502"/>
      <c r="G749" s="4502"/>
      <c r="H749" s="4502"/>
      <c r="I749" s="4502"/>
      <c r="J749" s="4502"/>
      <c r="K749" s="4502"/>
      <c r="L749" s="4502"/>
      <c r="M749" s="4502"/>
    </row>
    <row r="750" spans="1:13" hidden="1">
      <c r="A750" s="4501" t="s">
        <v>7481</v>
      </c>
      <c r="B750" s="3">
        <v>2.9620000000000002</v>
      </c>
      <c r="E750" s="4502"/>
      <c r="F750" s="4502"/>
      <c r="G750" s="4502"/>
      <c r="H750" s="4502"/>
      <c r="I750" s="4502"/>
      <c r="J750" s="4502"/>
      <c r="K750" s="4502"/>
      <c r="L750" s="4502"/>
      <c r="M750" s="4502"/>
    </row>
    <row r="751" spans="1:13" hidden="1">
      <c r="A751" s="4501" t="s">
        <v>7482</v>
      </c>
      <c r="B751" s="3">
        <v>2.9620000000000002</v>
      </c>
      <c r="E751" s="4502"/>
      <c r="F751" s="4502"/>
      <c r="G751" s="4502"/>
      <c r="H751" s="4502"/>
      <c r="I751" s="4502"/>
      <c r="J751" s="4502"/>
      <c r="K751" s="4502"/>
      <c r="L751" s="4502"/>
      <c r="M751" s="4502"/>
    </row>
    <row r="752" spans="1:13" hidden="1">
      <c r="A752" s="4501" t="s">
        <v>7483</v>
      </c>
      <c r="B752" s="3">
        <v>2.93</v>
      </c>
      <c r="E752" s="4502"/>
      <c r="F752" s="4502"/>
      <c r="G752" s="4502"/>
      <c r="H752" s="4502"/>
      <c r="I752" s="4502"/>
      <c r="J752" s="4502"/>
      <c r="K752" s="4502"/>
      <c r="L752" s="4502"/>
      <c r="M752" s="4502"/>
    </row>
    <row r="753" spans="1:13" hidden="1">
      <c r="A753" s="4501" t="s">
        <v>7484</v>
      </c>
      <c r="B753" s="3">
        <v>2.89</v>
      </c>
      <c r="E753" s="4502"/>
      <c r="F753" s="4502"/>
      <c r="G753" s="4502"/>
      <c r="H753" s="4502"/>
      <c r="I753" s="4502"/>
      <c r="J753" s="4502"/>
      <c r="K753" s="4502"/>
      <c r="L753" s="4502"/>
      <c r="M753" s="4502"/>
    </row>
    <row r="754" spans="1:13" hidden="1">
      <c r="A754" s="4501" t="s">
        <v>7485</v>
      </c>
      <c r="B754" s="3">
        <v>2.8959999999999999</v>
      </c>
      <c r="E754" s="4502"/>
      <c r="F754" s="4502"/>
      <c r="G754" s="4502"/>
      <c r="H754" s="4502"/>
      <c r="I754" s="4502"/>
      <c r="J754" s="4502"/>
      <c r="K754" s="4502"/>
      <c r="L754" s="4502"/>
      <c r="M754" s="4502"/>
    </row>
    <row r="755" spans="1:13" hidden="1">
      <c r="A755" s="4501" t="s">
        <v>7486</v>
      </c>
      <c r="B755" s="3">
        <v>2.93</v>
      </c>
      <c r="E755" s="4502"/>
      <c r="F755" s="4502"/>
      <c r="G755" s="4502"/>
      <c r="H755" s="4502"/>
      <c r="I755" s="4502"/>
      <c r="J755" s="4502"/>
      <c r="K755" s="4502"/>
      <c r="L755" s="4502"/>
      <c r="M755" s="4502"/>
    </row>
    <row r="756" spans="1:13" hidden="1">
      <c r="A756" s="4501" t="s">
        <v>7487</v>
      </c>
      <c r="B756" s="3">
        <v>2.89</v>
      </c>
      <c r="E756" s="4502"/>
      <c r="F756" s="4502"/>
      <c r="G756" s="4502"/>
      <c r="H756" s="4502"/>
      <c r="I756" s="4502"/>
      <c r="J756" s="4502"/>
      <c r="K756" s="4502"/>
      <c r="L756" s="4502"/>
      <c r="M756" s="4502"/>
    </row>
    <row r="757" spans="1:13" hidden="1">
      <c r="A757" s="4501" t="s">
        <v>7488</v>
      </c>
      <c r="B757" s="3">
        <v>2.89</v>
      </c>
      <c r="E757" s="4502"/>
      <c r="F757" s="4502"/>
      <c r="G757" s="4502"/>
      <c r="H757" s="4502"/>
      <c r="I757" s="4502"/>
      <c r="J757" s="4502"/>
      <c r="K757" s="4502"/>
      <c r="L757" s="4502"/>
      <c r="M757" s="4502"/>
    </row>
    <row r="758" spans="1:13" hidden="1">
      <c r="A758" s="4501" t="s">
        <v>7489</v>
      </c>
      <c r="B758" s="3">
        <v>2.89</v>
      </c>
      <c r="E758" s="4502"/>
      <c r="F758" s="4502"/>
      <c r="G758" s="4502"/>
      <c r="H758" s="4502"/>
      <c r="I758" s="4502"/>
      <c r="J758" s="4502"/>
      <c r="K758" s="4502"/>
      <c r="L758" s="4502"/>
      <c r="M758" s="4502"/>
    </row>
    <row r="759" spans="1:13" hidden="1">
      <c r="A759" s="4501" t="s">
        <v>7490</v>
      </c>
      <c r="B759" s="3">
        <v>2.9489999999999998</v>
      </c>
      <c r="E759" s="4502"/>
      <c r="F759" s="4502"/>
      <c r="G759" s="4502"/>
      <c r="H759" s="4502"/>
      <c r="I759" s="4502"/>
      <c r="J759" s="4502"/>
      <c r="K759" s="4502"/>
      <c r="L759" s="4502"/>
      <c r="M759" s="4502"/>
    </row>
    <row r="760" spans="1:13" hidden="1">
      <c r="A760" s="4501" t="s">
        <v>7491</v>
      </c>
      <c r="B760" s="3">
        <v>2.9390000000000001</v>
      </c>
      <c r="E760" s="4502"/>
      <c r="F760" s="4502"/>
      <c r="G760" s="4502"/>
      <c r="H760" s="4502"/>
      <c r="I760" s="4502"/>
      <c r="J760" s="4502"/>
      <c r="K760" s="4502"/>
      <c r="L760" s="4502"/>
      <c r="M760" s="4502"/>
    </row>
    <row r="761" spans="1:13" hidden="1">
      <c r="A761" s="4501" t="s">
        <v>7492</v>
      </c>
      <c r="B761" s="3">
        <v>2.9630000000000001</v>
      </c>
      <c r="E761" s="4502"/>
      <c r="F761" s="4502"/>
      <c r="G761" s="4502"/>
      <c r="H761" s="4502"/>
      <c r="I761" s="4502"/>
      <c r="J761" s="4502"/>
      <c r="K761" s="4502"/>
      <c r="L761" s="4502"/>
      <c r="M761" s="4502"/>
    </row>
    <row r="762" spans="1:13" hidden="1">
      <c r="A762" s="4501" t="s">
        <v>7493</v>
      </c>
      <c r="B762" s="3">
        <v>2.9580000000000002</v>
      </c>
      <c r="E762" s="4502"/>
      <c r="F762" s="4502"/>
      <c r="G762" s="4502"/>
      <c r="H762" s="4502"/>
      <c r="I762" s="4502"/>
      <c r="J762" s="4502"/>
      <c r="K762" s="4502"/>
      <c r="L762" s="4502"/>
      <c r="M762" s="4502"/>
    </row>
    <row r="763" spans="1:13" hidden="1">
      <c r="A763" s="4501" t="s">
        <v>7494</v>
      </c>
      <c r="B763" s="3">
        <v>3.0150000000000001</v>
      </c>
      <c r="E763" s="4502"/>
      <c r="F763" s="4502"/>
      <c r="G763" s="4502"/>
      <c r="H763" s="4502"/>
      <c r="I763" s="4502"/>
      <c r="J763" s="4502"/>
      <c r="K763" s="4502"/>
      <c r="L763" s="4502"/>
      <c r="M763" s="4502"/>
    </row>
    <row r="764" spans="1:13" hidden="1">
      <c r="A764" s="4501" t="s">
        <v>7495</v>
      </c>
      <c r="B764" s="3">
        <v>3.0150000000000001</v>
      </c>
      <c r="E764" s="4502"/>
      <c r="F764" s="4502"/>
      <c r="G764" s="4502"/>
      <c r="H764" s="4502"/>
      <c r="I764" s="4502"/>
      <c r="J764" s="4502"/>
      <c r="K764" s="4502"/>
      <c r="L764" s="4502"/>
      <c r="M764" s="4502"/>
    </row>
    <row r="765" spans="1:13" hidden="1">
      <c r="A765" s="4501" t="s">
        <v>7496</v>
      </c>
      <c r="B765" s="3">
        <v>3.0150000000000001</v>
      </c>
      <c r="E765" s="4502"/>
      <c r="F765" s="4502"/>
      <c r="G765" s="4502"/>
      <c r="H765" s="4502"/>
      <c r="I765" s="4502"/>
      <c r="J765" s="4502"/>
      <c r="K765" s="4502"/>
      <c r="L765" s="4502"/>
      <c r="M765" s="4502"/>
    </row>
    <row r="766" spans="1:13" hidden="1">
      <c r="A766" s="4501" t="s">
        <v>7497</v>
      </c>
      <c r="B766" s="3">
        <v>2.9510000000000001</v>
      </c>
      <c r="E766" s="4502"/>
      <c r="F766" s="4502"/>
      <c r="G766" s="4502"/>
      <c r="H766" s="4502"/>
      <c r="I766" s="4502"/>
      <c r="J766" s="4502"/>
      <c r="K766" s="4502"/>
      <c r="L766" s="4502"/>
      <c r="M766" s="4502"/>
    </row>
    <row r="767" spans="1:13" hidden="1">
      <c r="A767" s="4501" t="s">
        <v>7498</v>
      </c>
      <c r="B767" s="3">
        <v>2.9039999999999999</v>
      </c>
      <c r="E767" s="4502"/>
      <c r="F767" s="4502"/>
      <c r="G767" s="4502"/>
      <c r="H767" s="4502"/>
      <c r="I767" s="4502"/>
      <c r="J767" s="4502"/>
      <c r="K767" s="4502"/>
      <c r="L767" s="4502"/>
      <c r="M767" s="4502"/>
    </row>
    <row r="768" spans="1:13" hidden="1">
      <c r="A768" s="4501" t="s">
        <v>7499</v>
      </c>
      <c r="B768" s="3">
        <v>2.9649999999999999</v>
      </c>
      <c r="E768" s="4502"/>
      <c r="F768" s="4502"/>
      <c r="G768" s="4502"/>
      <c r="H768" s="4502"/>
      <c r="I768" s="4502"/>
      <c r="J768" s="4502"/>
      <c r="K768" s="4502"/>
      <c r="L768" s="4502"/>
      <c r="M768" s="4502"/>
    </row>
    <row r="769" spans="1:13" hidden="1">
      <c r="A769" s="4501" t="s">
        <v>7500</v>
      </c>
      <c r="B769" s="3">
        <v>2.972</v>
      </c>
      <c r="E769" s="4502"/>
      <c r="F769" s="4502"/>
      <c r="G769" s="4502"/>
      <c r="H769" s="4502"/>
      <c r="I769" s="4502"/>
      <c r="J769" s="4502"/>
      <c r="K769" s="4502"/>
      <c r="L769" s="4502"/>
      <c r="M769" s="4502"/>
    </row>
    <row r="770" spans="1:13" hidden="1">
      <c r="A770" s="4501" t="s">
        <v>7501</v>
      </c>
      <c r="B770" s="3">
        <v>2.9449999999999998</v>
      </c>
      <c r="E770" s="4502"/>
      <c r="F770" s="4502"/>
      <c r="G770" s="4502"/>
      <c r="H770" s="4502"/>
      <c r="I770" s="4502"/>
      <c r="J770" s="4502"/>
      <c r="K770" s="4502"/>
      <c r="L770" s="4502"/>
      <c r="M770" s="4502"/>
    </row>
    <row r="771" spans="1:13" hidden="1">
      <c r="A771" s="4501" t="s">
        <v>7502</v>
      </c>
      <c r="B771" s="3">
        <v>2.9449999999999998</v>
      </c>
      <c r="E771" s="4502"/>
      <c r="F771" s="4502"/>
      <c r="G771" s="4502"/>
      <c r="H771" s="4502"/>
      <c r="I771" s="4502"/>
      <c r="J771" s="4502"/>
      <c r="K771" s="4502"/>
      <c r="L771" s="4502"/>
      <c r="M771" s="4502"/>
    </row>
    <row r="772" spans="1:13" hidden="1">
      <c r="A772" s="4501" t="s">
        <v>7503</v>
      </c>
      <c r="B772" s="3">
        <v>2.9449999999999998</v>
      </c>
      <c r="E772" s="4502"/>
      <c r="F772" s="4502"/>
      <c r="G772" s="4502"/>
      <c r="H772" s="4502"/>
      <c r="I772" s="4502"/>
      <c r="J772" s="4502"/>
      <c r="K772" s="4502"/>
      <c r="L772" s="4502"/>
      <c r="M772" s="4502"/>
    </row>
    <row r="773" spans="1:13" hidden="1">
      <c r="A773" s="4501" t="s">
        <v>7504</v>
      </c>
      <c r="B773" s="3">
        <v>2.9209999999999998</v>
      </c>
      <c r="E773" s="4502"/>
      <c r="F773" s="4502"/>
      <c r="G773" s="4502"/>
      <c r="H773" s="4502"/>
      <c r="I773" s="4502"/>
      <c r="J773" s="4502"/>
      <c r="K773" s="4502"/>
      <c r="L773" s="4502"/>
      <c r="M773" s="4502"/>
    </row>
    <row r="774" spans="1:13" hidden="1">
      <c r="A774" s="4501" t="s">
        <v>7505</v>
      </c>
      <c r="B774" s="3">
        <v>2.931</v>
      </c>
      <c r="E774" s="4502"/>
      <c r="F774" s="4502"/>
      <c r="G774" s="4502"/>
      <c r="H774" s="4502"/>
      <c r="I774" s="4502"/>
      <c r="J774" s="4502"/>
      <c r="K774" s="4502"/>
      <c r="L774" s="4502"/>
      <c r="M774" s="4502"/>
    </row>
    <row r="775" spans="1:13" hidden="1">
      <c r="A775" s="4501" t="s">
        <v>7506</v>
      </c>
      <c r="B775" s="3">
        <v>2.9809999999999999</v>
      </c>
      <c r="E775" s="4502"/>
      <c r="F775" s="4502"/>
      <c r="G775" s="4502"/>
      <c r="H775" s="4502"/>
      <c r="I775" s="4502"/>
      <c r="J775" s="4502"/>
      <c r="K775" s="4502"/>
      <c r="L775" s="4502"/>
      <c r="M775" s="4502"/>
    </row>
    <row r="776" spans="1:13" hidden="1">
      <c r="A776" s="4501" t="s">
        <v>7507</v>
      </c>
      <c r="B776" s="3">
        <v>2.94</v>
      </c>
      <c r="E776" s="4502"/>
      <c r="F776" s="4502"/>
      <c r="G776" s="4502"/>
      <c r="H776" s="4502"/>
      <c r="I776" s="4502"/>
      <c r="J776" s="4502"/>
      <c r="K776" s="4502"/>
      <c r="L776" s="4502"/>
      <c r="M776" s="4502"/>
    </row>
    <row r="777" spans="1:13" hidden="1">
      <c r="A777" s="4501" t="s">
        <v>7508</v>
      </c>
      <c r="B777" s="3">
        <v>2.9239999999999999</v>
      </c>
      <c r="E777" s="4502"/>
      <c r="F777" s="4502"/>
      <c r="G777" s="4502"/>
      <c r="H777" s="4502"/>
      <c r="I777" s="4502"/>
      <c r="J777" s="4502"/>
      <c r="K777" s="4502"/>
      <c r="L777" s="4502"/>
      <c r="M777" s="4502"/>
    </row>
    <row r="778" spans="1:13" hidden="1">
      <c r="A778" s="4501" t="s">
        <v>7509</v>
      </c>
      <c r="B778" s="3">
        <v>2.9239999999999999</v>
      </c>
      <c r="E778" s="4502"/>
      <c r="F778" s="4502"/>
      <c r="G778" s="4502"/>
      <c r="H778" s="4502"/>
      <c r="I778" s="4502"/>
      <c r="J778" s="4502"/>
      <c r="K778" s="4502"/>
      <c r="L778" s="4502"/>
      <c r="M778" s="4502"/>
    </row>
    <row r="779" spans="1:13" hidden="1">
      <c r="A779" s="4501" t="s">
        <v>7510</v>
      </c>
      <c r="B779" s="3">
        <v>2.9239999999999999</v>
      </c>
      <c r="E779" s="4502"/>
      <c r="F779" s="4502"/>
      <c r="G779" s="4502"/>
      <c r="H779" s="4502"/>
      <c r="I779" s="4502"/>
      <c r="J779" s="4502"/>
      <c r="K779" s="4502"/>
      <c r="L779" s="4502"/>
      <c r="M779" s="4502"/>
    </row>
    <row r="780" spans="1:13" hidden="1">
      <c r="A780" s="4501" t="s">
        <v>7511</v>
      </c>
      <c r="B780" s="3">
        <v>2.8620000000000001</v>
      </c>
      <c r="E780" s="4502"/>
      <c r="F780" s="4502"/>
      <c r="G780" s="4502"/>
      <c r="H780" s="4502"/>
      <c r="I780" s="4502"/>
      <c r="J780" s="4502"/>
      <c r="K780" s="4502"/>
      <c r="L780" s="4502"/>
      <c r="M780" s="4502"/>
    </row>
    <row r="781" spans="1:13" hidden="1">
      <c r="A781" s="4501" t="s">
        <v>7512</v>
      </c>
      <c r="B781" s="3">
        <v>2.87</v>
      </c>
      <c r="E781" s="4502"/>
      <c r="F781" s="4502"/>
      <c r="G781" s="4502"/>
      <c r="H781" s="4502"/>
      <c r="I781" s="4502"/>
      <c r="J781" s="4502"/>
      <c r="K781" s="4502"/>
      <c r="L781" s="4502"/>
      <c r="M781" s="4502"/>
    </row>
    <row r="782" spans="1:13" hidden="1">
      <c r="A782" s="4501" t="s">
        <v>7513</v>
      </c>
      <c r="B782" s="3">
        <v>2.87</v>
      </c>
      <c r="E782" s="4502"/>
      <c r="F782" s="4502"/>
      <c r="G782" s="4502"/>
      <c r="H782" s="4502"/>
      <c r="I782" s="4502"/>
      <c r="J782" s="4502"/>
      <c r="K782" s="4502"/>
      <c r="L782" s="4502"/>
      <c r="M782" s="4502"/>
    </row>
    <row r="783" spans="1:13" hidden="1">
      <c r="A783" s="4501" t="s">
        <v>7514</v>
      </c>
      <c r="B783" s="3">
        <v>2.8370000000000002</v>
      </c>
      <c r="E783" s="4502"/>
      <c r="F783" s="4502"/>
      <c r="G783" s="4502"/>
      <c r="H783" s="4502"/>
      <c r="I783" s="4502"/>
      <c r="J783" s="4502"/>
      <c r="K783" s="4502"/>
      <c r="L783" s="4502"/>
      <c r="M783" s="4502"/>
    </row>
    <row r="784" spans="1:13" hidden="1">
      <c r="A784" s="4501" t="s">
        <v>7515</v>
      </c>
      <c r="B784" s="3">
        <v>2.8580000000000001</v>
      </c>
      <c r="E784" s="4502"/>
      <c r="F784" s="4502"/>
      <c r="G784" s="4502"/>
      <c r="H784" s="4502"/>
      <c r="I784" s="4502"/>
      <c r="J784" s="4502"/>
      <c r="K784" s="4502"/>
      <c r="L784" s="4502"/>
      <c r="M784" s="4502"/>
    </row>
    <row r="785" spans="1:13" hidden="1">
      <c r="A785" s="4501" t="s">
        <v>7516</v>
      </c>
      <c r="B785" s="3">
        <v>2.8580000000000001</v>
      </c>
      <c r="E785" s="4502"/>
      <c r="F785" s="4502"/>
      <c r="G785" s="4502"/>
      <c r="H785" s="4502"/>
      <c r="I785" s="4502"/>
      <c r="J785" s="4502"/>
      <c r="K785" s="4502"/>
      <c r="L785" s="4502"/>
      <c r="M785" s="4502"/>
    </row>
    <row r="786" spans="1:13" hidden="1">
      <c r="A786" s="4501" t="s">
        <v>7517</v>
      </c>
      <c r="B786" s="3">
        <v>2.8580000000000001</v>
      </c>
      <c r="E786" s="4502"/>
      <c r="F786" s="4502"/>
      <c r="G786" s="4502"/>
      <c r="H786" s="4502"/>
      <c r="I786" s="4502"/>
      <c r="J786" s="4502"/>
      <c r="K786" s="4502"/>
      <c r="L786" s="4502"/>
      <c r="M786" s="4502"/>
    </row>
    <row r="787" spans="1:13" hidden="1">
      <c r="A787" s="4501" t="s">
        <v>7518</v>
      </c>
      <c r="B787" s="3">
        <v>2.7959999999999998</v>
      </c>
      <c r="E787" s="4502"/>
      <c r="F787" s="4502"/>
      <c r="G787" s="4502"/>
      <c r="H787" s="4502"/>
      <c r="I787" s="4502"/>
      <c r="J787" s="4502"/>
      <c r="K787" s="4502"/>
      <c r="L787" s="4502"/>
      <c r="M787" s="4502"/>
    </row>
    <row r="788" spans="1:13" hidden="1">
      <c r="A788" s="4501" t="s">
        <v>7519</v>
      </c>
      <c r="B788" s="3">
        <v>2.758</v>
      </c>
      <c r="E788" s="4502"/>
      <c r="F788" s="4502"/>
      <c r="G788" s="4502"/>
      <c r="H788" s="4502"/>
      <c r="I788" s="4502"/>
      <c r="J788" s="4502"/>
      <c r="K788" s="4502"/>
      <c r="L788" s="4502"/>
      <c r="M788" s="4502"/>
    </row>
    <row r="789" spans="1:13" hidden="1">
      <c r="A789" s="4501" t="s">
        <v>7520</v>
      </c>
      <c r="B789" s="3">
        <v>2.7970000000000002</v>
      </c>
      <c r="E789" s="4502"/>
      <c r="F789" s="4502"/>
      <c r="G789" s="4502"/>
      <c r="H789" s="4502"/>
      <c r="I789" s="4502"/>
      <c r="J789" s="4502"/>
      <c r="K789" s="4502"/>
      <c r="L789" s="4502"/>
      <c r="M789" s="4502"/>
    </row>
    <row r="790" spans="1:13" hidden="1">
      <c r="A790" s="4501" t="s">
        <v>7521</v>
      </c>
      <c r="B790" s="3">
        <v>2.766</v>
      </c>
      <c r="E790" s="4502"/>
      <c r="F790" s="4502"/>
      <c r="G790" s="4502"/>
      <c r="H790" s="4502"/>
      <c r="I790" s="4502"/>
      <c r="J790" s="4502"/>
      <c r="K790" s="4502"/>
      <c r="L790" s="4502"/>
      <c r="M790" s="4502"/>
    </row>
    <row r="791" spans="1:13" hidden="1">
      <c r="A791" s="4501" t="s">
        <v>7522</v>
      </c>
      <c r="B791" s="3">
        <v>2.7240000000000002</v>
      </c>
      <c r="E791" s="4502"/>
      <c r="F791" s="4502"/>
      <c r="G791" s="4502"/>
      <c r="H791" s="4502"/>
      <c r="I791" s="4502"/>
      <c r="J791" s="4502"/>
      <c r="K791" s="4502"/>
      <c r="L791" s="4502"/>
      <c r="M791" s="4502"/>
    </row>
    <row r="792" spans="1:13" hidden="1">
      <c r="A792" s="4501" t="s">
        <v>7523</v>
      </c>
      <c r="B792" s="3">
        <v>2.7240000000000002</v>
      </c>
      <c r="E792" s="4502"/>
      <c r="F792" s="4502"/>
      <c r="G792" s="4502"/>
      <c r="H792" s="4502"/>
      <c r="I792" s="4502"/>
      <c r="J792" s="4502"/>
      <c r="K792" s="4502"/>
      <c r="L792" s="4502"/>
      <c r="M792" s="4502"/>
    </row>
    <row r="793" spans="1:13" hidden="1">
      <c r="A793" s="4501" t="s">
        <v>7524</v>
      </c>
      <c r="B793" s="3">
        <v>2.7240000000000002</v>
      </c>
      <c r="E793" s="4502"/>
      <c r="F793" s="4502"/>
      <c r="G793" s="4502"/>
      <c r="H793" s="4502"/>
      <c r="I793" s="4502"/>
      <c r="J793" s="4502"/>
      <c r="K793" s="4502"/>
      <c r="L793" s="4502"/>
      <c r="M793" s="4502"/>
    </row>
    <row r="794" spans="1:13" hidden="1">
      <c r="A794" s="4501" t="s">
        <v>7525</v>
      </c>
      <c r="B794" s="3">
        <v>2.73</v>
      </c>
      <c r="E794" s="4502"/>
      <c r="F794" s="4502"/>
      <c r="G794" s="4502"/>
      <c r="H794" s="4502"/>
      <c r="I794" s="4502"/>
      <c r="J794" s="4502"/>
      <c r="K794" s="4502"/>
      <c r="L794" s="4502"/>
      <c r="M794" s="4502"/>
    </row>
    <row r="795" spans="1:13" hidden="1">
      <c r="A795" s="4501" t="s">
        <v>7526</v>
      </c>
      <c r="B795" s="3">
        <v>2.7069999999999999</v>
      </c>
      <c r="E795" s="4502"/>
      <c r="F795" s="4502"/>
      <c r="G795" s="4502"/>
      <c r="H795" s="4502"/>
      <c r="I795" s="4502"/>
      <c r="J795" s="4502"/>
      <c r="K795" s="4502"/>
      <c r="L795" s="4502"/>
      <c r="M795" s="4502"/>
    </row>
    <row r="796" spans="1:13" hidden="1">
      <c r="A796" s="4501" t="s">
        <v>7527</v>
      </c>
      <c r="B796" s="3">
        <v>2.6890000000000001</v>
      </c>
      <c r="E796" s="4502"/>
      <c r="F796" s="4502"/>
      <c r="G796" s="4502"/>
      <c r="H796" s="4502"/>
      <c r="I796" s="4502"/>
      <c r="J796" s="4502"/>
      <c r="K796" s="4502"/>
      <c r="L796" s="4502"/>
      <c r="M796" s="4502"/>
    </row>
    <row r="797" spans="1:13" hidden="1">
      <c r="A797" s="4501" t="s">
        <v>7528</v>
      </c>
      <c r="B797" s="3">
        <v>2.7360000000000002</v>
      </c>
      <c r="E797" s="4502"/>
      <c r="F797" s="4502"/>
      <c r="G797" s="4502"/>
      <c r="H797" s="4502"/>
      <c r="I797" s="4502"/>
      <c r="J797" s="4502"/>
      <c r="K797" s="4502"/>
      <c r="L797" s="4502"/>
      <c r="M797" s="4502"/>
    </row>
    <row r="798" spans="1:13" hidden="1">
      <c r="A798" s="4501" t="s">
        <v>7529</v>
      </c>
      <c r="B798" s="3">
        <v>2.7280000000000002</v>
      </c>
      <c r="E798" s="4502"/>
      <c r="F798" s="4502"/>
      <c r="G798" s="4502"/>
      <c r="H798" s="4502"/>
      <c r="I798" s="4502"/>
      <c r="J798" s="4502"/>
      <c r="K798" s="4502"/>
      <c r="L798" s="4502"/>
      <c r="M798" s="4502"/>
    </row>
    <row r="799" spans="1:13" hidden="1">
      <c r="A799" s="4501" t="s">
        <v>7530</v>
      </c>
      <c r="B799" s="3">
        <v>2.7280000000000002</v>
      </c>
      <c r="E799" s="4502"/>
      <c r="F799" s="4502"/>
      <c r="G799" s="4502"/>
      <c r="H799" s="4502"/>
      <c r="I799" s="4502"/>
      <c r="J799" s="4502"/>
      <c r="K799" s="4502"/>
      <c r="L799" s="4502"/>
      <c r="M799" s="4502"/>
    </row>
    <row r="800" spans="1:13" hidden="1">
      <c r="A800" s="4501" t="s">
        <v>7531</v>
      </c>
      <c r="B800" s="3">
        <v>2.7280000000000002</v>
      </c>
      <c r="E800" s="4502"/>
      <c r="F800" s="4502"/>
      <c r="G800" s="4502"/>
      <c r="H800" s="4502"/>
      <c r="I800" s="4502"/>
      <c r="J800" s="4502"/>
      <c r="K800" s="4502"/>
      <c r="L800" s="4502"/>
      <c r="M800" s="4502"/>
    </row>
    <row r="801" spans="1:13" hidden="1">
      <c r="A801" s="4501" t="s">
        <v>7532</v>
      </c>
      <c r="B801" s="3">
        <v>2.6949999999999998</v>
      </c>
      <c r="E801" s="4502"/>
      <c r="F801" s="4502"/>
      <c r="G801" s="4502"/>
      <c r="H801" s="4502"/>
      <c r="I801" s="4502"/>
      <c r="J801" s="4502"/>
      <c r="K801" s="4502"/>
      <c r="L801" s="4502"/>
      <c r="M801" s="4502"/>
    </row>
    <row r="802" spans="1:13" hidden="1">
      <c r="A802" s="4501" t="s">
        <v>7533</v>
      </c>
      <c r="B802" s="3">
        <v>2.7189999999999999</v>
      </c>
      <c r="E802" s="4502"/>
      <c r="F802" s="4502"/>
      <c r="G802" s="4502"/>
      <c r="H802" s="4502"/>
      <c r="I802" s="4502"/>
      <c r="J802" s="4502"/>
      <c r="K802" s="4502"/>
      <c r="L802" s="4502"/>
      <c r="M802" s="4502"/>
    </row>
    <row r="803" spans="1:13" hidden="1">
      <c r="A803" s="4501" t="s">
        <v>7534</v>
      </c>
      <c r="B803" s="3">
        <v>2.7549999999999999</v>
      </c>
      <c r="E803" s="4502"/>
      <c r="F803" s="4502"/>
      <c r="G803" s="4502"/>
      <c r="H803" s="4502"/>
      <c r="I803" s="4502"/>
      <c r="J803" s="4502"/>
      <c r="K803" s="4502"/>
      <c r="L803" s="4502"/>
      <c r="M803" s="4502"/>
    </row>
    <row r="804" spans="1:13" hidden="1">
      <c r="A804" s="4501" t="s">
        <v>7535</v>
      </c>
      <c r="B804" s="3">
        <v>2.762</v>
      </c>
      <c r="E804" s="4502"/>
      <c r="F804" s="4502"/>
      <c r="G804" s="4502"/>
      <c r="H804" s="4502"/>
      <c r="I804" s="4502"/>
      <c r="J804" s="4502"/>
      <c r="K804" s="4502"/>
      <c r="L804" s="4502"/>
      <c r="M804" s="4502"/>
    </row>
    <row r="805" spans="1:13" hidden="1">
      <c r="A805" s="4501" t="s">
        <v>7536</v>
      </c>
      <c r="B805" s="3">
        <v>2.782</v>
      </c>
      <c r="E805" s="4502"/>
      <c r="F805" s="4502"/>
      <c r="G805" s="4502"/>
      <c r="H805" s="4502"/>
      <c r="I805" s="4502"/>
      <c r="J805" s="4502"/>
      <c r="K805" s="4502"/>
      <c r="L805" s="4502"/>
      <c r="M805" s="4502"/>
    </row>
    <row r="806" spans="1:13" hidden="1">
      <c r="A806" s="4501" t="s">
        <v>7537</v>
      </c>
      <c r="B806" s="3">
        <v>2.782</v>
      </c>
      <c r="E806" s="4502"/>
      <c r="F806" s="4502"/>
      <c r="G806" s="4502"/>
      <c r="H806" s="4502"/>
      <c r="I806" s="4502"/>
      <c r="J806" s="4502"/>
      <c r="K806" s="4502"/>
      <c r="L806" s="4502"/>
      <c r="M806" s="4502"/>
    </row>
    <row r="807" spans="1:13" hidden="1">
      <c r="A807" s="4501" t="s">
        <v>7538</v>
      </c>
      <c r="B807" s="3">
        <v>2.782</v>
      </c>
      <c r="E807" s="4502"/>
      <c r="F807" s="4502"/>
      <c r="G807" s="4502"/>
      <c r="H807" s="4502"/>
      <c r="I807" s="4502"/>
      <c r="J807" s="4502"/>
      <c r="K807" s="4502"/>
      <c r="L807" s="4502"/>
      <c r="M807" s="4502"/>
    </row>
    <row r="808" spans="1:13" hidden="1">
      <c r="A808" s="4501" t="s">
        <v>7539</v>
      </c>
      <c r="B808" s="3">
        <v>2.7970000000000002</v>
      </c>
      <c r="E808" s="4502"/>
      <c r="F808" s="4502"/>
      <c r="G808" s="4502"/>
      <c r="H808" s="4502"/>
      <c r="I808" s="4502"/>
      <c r="J808" s="4502"/>
      <c r="K808" s="4502"/>
      <c r="L808" s="4502"/>
      <c r="M808" s="4502"/>
    </row>
    <row r="809" spans="1:13" hidden="1">
      <c r="A809" s="4501" t="s">
        <v>7540</v>
      </c>
      <c r="B809" s="3">
        <v>2.782</v>
      </c>
      <c r="E809" s="4502"/>
      <c r="F809" s="4502"/>
      <c r="G809" s="4502"/>
      <c r="H809" s="4502"/>
      <c r="I809" s="4502"/>
      <c r="J809" s="4502"/>
      <c r="K809" s="4502"/>
      <c r="L809" s="4502"/>
      <c r="M809" s="4502"/>
    </row>
    <row r="810" spans="1:13" hidden="1">
      <c r="A810" s="4501" t="s">
        <v>7541</v>
      </c>
      <c r="B810" s="3">
        <v>2.758</v>
      </c>
      <c r="E810" s="4502"/>
      <c r="F810" s="4502"/>
      <c r="G810" s="4502"/>
      <c r="H810" s="4502"/>
      <c r="I810" s="4502"/>
      <c r="J810" s="4502"/>
      <c r="K810" s="4502"/>
      <c r="L810" s="4502"/>
      <c r="M810" s="4502"/>
    </row>
    <row r="811" spans="1:13" hidden="1">
      <c r="A811" s="4501" t="s">
        <v>7542</v>
      </c>
      <c r="B811" s="3">
        <v>2.8159999999999998</v>
      </c>
      <c r="E811" s="4502"/>
      <c r="F811" s="4502"/>
      <c r="G811" s="4502"/>
      <c r="H811" s="4502"/>
      <c r="I811" s="4502"/>
      <c r="J811" s="4502"/>
      <c r="K811" s="4502"/>
      <c r="L811" s="4502"/>
      <c r="M811" s="4502"/>
    </row>
    <row r="812" spans="1:13" hidden="1">
      <c r="A812" s="4501" t="s">
        <v>7543</v>
      </c>
      <c r="B812" s="3">
        <v>2.8530000000000002</v>
      </c>
      <c r="E812" s="4502"/>
      <c r="F812" s="4502"/>
      <c r="G812" s="4502"/>
      <c r="H812" s="4502"/>
      <c r="I812" s="4502"/>
      <c r="J812" s="4502"/>
      <c r="K812" s="4502"/>
      <c r="L812" s="4502"/>
      <c r="M812" s="4502"/>
    </row>
    <row r="813" spans="1:13" hidden="1">
      <c r="A813" s="4501" t="s">
        <v>7544</v>
      </c>
      <c r="B813" s="3">
        <v>2.8530000000000002</v>
      </c>
      <c r="E813" s="4502"/>
      <c r="F813" s="4502"/>
      <c r="G813" s="4502"/>
      <c r="H813" s="4502"/>
      <c r="I813" s="4502"/>
      <c r="J813" s="4502"/>
      <c r="K813" s="4502"/>
      <c r="L813" s="4502"/>
      <c r="M813" s="4502"/>
    </row>
    <row r="814" spans="1:13" hidden="1">
      <c r="A814" s="4501" t="s">
        <v>7545</v>
      </c>
      <c r="B814" s="3">
        <v>2.8530000000000002</v>
      </c>
      <c r="E814" s="4502"/>
      <c r="F814" s="4502"/>
      <c r="G814" s="4502"/>
      <c r="H814" s="4502"/>
      <c r="I814" s="4502"/>
      <c r="J814" s="4502"/>
      <c r="K814" s="4502"/>
      <c r="L814" s="4502"/>
      <c r="M814" s="4502"/>
    </row>
    <row r="815" spans="1:13" hidden="1">
      <c r="A815" s="4501" t="s">
        <v>7546</v>
      </c>
      <c r="B815" s="3">
        <v>2.86</v>
      </c>
      <c r="E815" s="4502"/>
      <c r="F815" s="4502"/>
      <c r="G815" s="4502"/>
      <c r="H815" s="4502"/>
      <c r="I815" s="4502"/>
      <c r="J815" s="4502"/>
      <c r="K815" s="4502"/>
      <c r="L815" s="4502"/>
      <c r="M815" s="4502"/>
    </row>
    <row r="816" spans="1:13" hidden="1">
      <c r="A816" s="4501" t="s">
        <v>7547</v>
      </c>
      <c r="B816" s="3">
        <v>2.8969999999999998</v>
      </c>
      <c r="E816" s="4502"/>
      <c r="F816" s="4502"/>
      <c r="G816" s="4502"/>
      <c r="H816" s="4502"/>
      <c r="I816" s="4502"/>
      <c r="J816" s="4502"/>
      <c r="K816" s="4502"/>
      <c r="L816" s="4502"/>
      <c r="M816" s="4502"/>
    </row>
    <row r="817" spans="1:13" hidden="1">
      <c r="A817" s="4501" t="s">
        <v>7548</v>
      </c>
      <c r="B817" s="3">
        <v>2.9489999999999998</v>
      </c>
      <c r="E817" s="4502"/>
      <c r="F817" s="4502"/>
      <c r="G817" s="4502"/>
      <c r="H817" s="4502"/>
      <c r="I817" s="4502"/>
      <c r="J817" s="4502"/>
      <c r="K817" s="4502"/>
      <c r="L817" s="4502"/>
      <c r="M817" s="4502"/>
    </row>
    <row r="818" spans="1:13" hidden="1">
      <c r="A818" s="4501" t="s">
        <v>7549</v>
      </c>
      <c r="B818" s="3">
        <v>2.9550000000000001</v>
      </c>
      <c r="E818" s="4502"/>
      <c r="F818" s="4502"/>
      <c r="G818" s="4502"/>
      <c r="H818" s="4502"/>
      <c r="I818" s="4502"/>
      <c r="J818" s="4502"/>
      <c r="K818" s="4502"/>
      <c r="L818" s="4502"/>
      <c r="M818" s="4502"/>
    </row>
    <row r="819" spans="1:13" hidden="1">
      <c r="A819" s="4501" t="s">
        <v>7550</v>
      </c>
      <c r="B819" s="3">
        <v>2.9489999999999998</v>
      </c>
      <c r="E819" s="4502"/>
      <c r="F819" s="4502"/>
      <c r="G819" s="4502"/>
      <c r="H819" s="4502"/>
      <c r="I819" s="4502"/>
      <c r="J819" s="4502"/>
      <c r="K819" s="4502"/>
      <c r="L819" s="4502"/>
      <c r="M819" s="4502"/>
    </row>
    <row r="820" spans="1:13" hidden="1">
      <c r="A820" s="4501" t="s">
        <v>7551</v>
      </c>
      <c r="B820" s="3">
        <v>2.9489999999999998</v>
      </c>
      <c r="E820" s="4502"/>
      <c r="F820" s="4502"/>
      <c r="G820" s="4502"/>
      <c r="H820" s="4502"/>
      <c r="I820" s="4502"/>
      <c r="J820" s="4502"/>
      <c r="K820" s="4502"/>
      <c r="L820" s="4502"/>
      <c r="M820" s="4502"/>
    </row>
    <row r="821" spans="1:13" hidden="1">
      <c r="A821" s="4501" t="s">
        <v>7552</v>
      </c>
      <c r="B821" s="3">
        <v>2.9489999999999998</v>
      </c>
      <c r="E821" s="4502"/>
      <c r="F821" s="4502"/>
      <c r="G821" s="4502"/>
      <c r="H821" s="4502"/>
      <c r="I821" s="4502"/>
      <c r="J821" s="4502"/>
      <c r="K821" s="4502"/>
      <c r="L821" s="4502"/>
      <c r="M821" s="4502"/>
    </row>
    <row r="822" spans="1:13" hidden="1">
      <c r="A822" s="4501" t="s">
        <v>7553</v>
      </c>
      <c r="B822" s="3">
        <v>2.9359999999999999</v>
      </c>
      <c r="E822" s="4502"/>
      <c r="F822" s="4502"/>
      <c r="G822" s="4502"/>
      <c r="H822" s="4502"/>
      <c r="I822" s="4502"/>
      <c r="J822" s="4502"/>
      <c r="K822" s="4502"/>
      <c r="L822" s="4502"/>
      <c r="M822" s="4502"/>
    </row>
    <row r="823" spans="1:13" hidden="1">
      <c r="A823" s="4501" t="s">
        <v>7554</v>
      </c>
      <c r="B823" s="3">
        <v>2.9660000000000002</v>
      </c>
      <c r="E823" s="4502"/>
      <c r="F823" s="4502"/>
      <c r="G823" s="4502"/>
      <c r="H823" s="4502"/>
      <c r="I823" s="4502"/>
      <c r="J823" s="4502"/>
      <c r="K823" s="4502"/>
      <c r="L823" s="4502"/>
      <c r="M823" s="4502"/>
    </row>
    <row r="824" spans="1:13" hidden="1">
      <c r="A824" s="4501" t="s">
        <v>7555</v>
      </c>
      <c r="B824" s="3">
        <v>2.948</v>
      </c>
      <c r="E824" s="4502"/>
      <c r="F824" s="4502"/>
      <c r="G824" s="4502"/>
      <c r="H824" s="4502"/>
      <c r="I824" s="4502"/>
      <c r="J824" s="4502"/>
      <c r="K824" s="4502"/>
      <c r="L824" s="4502"/>
      <c r="M824" s="4502"/>
    </row>
    <row r="825" spans="1:13" hidden="1">
      <c r="A825" s="4501" t="s">
        <v>7556</v>
      </c>
      <c r="B825" s="3">
        <v>2.9129999999999998</v>
      </c>
      <c r="E825" s="4502"/>
      <c r="F825" s="4502"/>
      <c r="G825" s="4502"/>
      <c r="H825" s="4502"/>
      <c r="I825" s="4502"/>
      <c r="J825" s="4502"/>
      <c r="K825" s="4502"/>
      <c r="L825" s="4502"/>
      <c r="M825" s="4502"/>
    </row>
    <row r="826" spans="1:13" hidden="1">
      <c r="A826" s="4501" t="s">
        <v>7557</v>
      </c>
      <c r="B826" s="3">
        <v>2.9489999999999998</v>
      </c>
      <c r="E826" s="4502"/>
      <c r="F826" s="4502"/>
      <c r="G826" s="4502"/>
      <c r="H826" s="4502"/>
      <c r="I826" s="4502"/>
      <c r="J826" s="4502"/>
      <c r="K826" s="4502"/>
      <c r="L826" s="4502"/>
      <c r="M826" s="4502"/>
    </row>
    <row r="827" spans="1:13" hidden="1">
      <c r="A827" s="4501" t="s">
        <v>7558</v>
      </c>
      <c r="B827" s="3">
        <v>2.9489999999999998</v>
      </c>
      <c r="E827" s="4502"/>
      <c r="F827" s="4502"/>
      <c r="G827" s="4502"/>
      <c r="H827" s="4502"/>
      <c r="I827" s="4502"/>
      <c r="J827" s="4502"/>
      <c r="K827" s="4502"/>
      <c r="L827" s="4502"/>
      <c r="M827" s="4502"/>
    </row>
    <row r="828" spans="1:13" hidden="1">
      <c r="A828" s="4501" t="s">
        <v>7559</v>
      </c>
      <c r="B828" s="3">
        <v>2.9489999999999998</v>
      </c>
      <c r="E828" s="4502"/>
      <c r="F828" s="4502"/>
      <c r="G828" s="4502"/>
      <c r="H828" s="4502"/>
      <c r="I828" s="4502"/>
      <c r="J828" s="4502"/>
      <c r="K828" s="4502"/>
      <c r="L828" s="4502"/>
      <c r="M828" s="4502"/>
    </row>
    <row r="829" spans="1:13" hidden="1">
      <c r="A829" s="4501" t="s">
        <v>7560</v>
      </c>
      <c r="B829" s="3">
        <v>2.9319999999999999</v>
      </c>
      <c r="E829" s="4502"/>
      <c r="F829" s="4502"/>
      <c r="G829" s="4502"/>
      <c r="H829" s="4502"/>
      <c r="I829" s="4502"/>
      <c r="J829" s="4502"/>
      <c r="K829" s="4502"/>
      <c r="L829" s="4502"/>
      <c r="M829" s="4502"/>
    </row>
    <row r="830" spans="1:13" hidden="1">
      <c r="A830" s="4501" t="s">
        <v>7561</v>
      </c>
      <c r="B830" s="3">
        <v>2.964</v>
      </c>
      <c r="E830" s="4502"/>
      <c r="F830" s="4502"/>
      <c r="G830" s="4502"/>
      <c r="H830" s="4502"/>
      <c r="I830" s="4502"/>
      <c r="J830" s="4502"/>
      <c r="K830" s="4502"/>
      <c r="L830" s="4502"/>
      <c r="M830" s="4502"/>
    </row>
    <row r="831" spans="1:13" hidden="1">
      <c r="A831" s="4501" t="s">
        <v>7562</v>
      </c>
      <c r="B831" s="3">
        <v>2.944</v>
      </c>
      <c r="E831" s="4502"/>
      <c r="F831" s="4502"/>
      <c r="G831" s="4502"/>
      <c r="H831" s="4502"/>
      <c r="I831" s="4502"/>
      <c r="J831" s="4502"/>
      <c r="K831" s="4502"/>
      <c r="L831" s="4502"/>
      <c r="M831" s="4502"/>
    </row>
    <row r="832" spans="1:13" hidden="1">
      <c r="A832" s="4501" t="s">
        <v>7563</v>
      </c>
      <c r="B832" s="3">
        <v>2.9529999999999998</v>
      </c>
      <c r="E832" s="4502"/>
      <c r="F832" s="4502"/>
      <c r="G832" s="4502"/>
      <c r="H832" s="4502"/>
      <c r="I832" s="4502"/>
      <c r="J832" s="4502"/>
      <c r="K832" s="4502"/>
      <c r="L832" s="4502"/>
      <c r="M832" s="4502"/>
    </row>
    <row r="833" spans="1:13" hidden="1">
      <c r="A833" s="4501" t="s">
        <v>7564</v>
      </c>
      <c r="B833" s="3">
        <v>2.9129999999999998</v>
      </c>
      <c r="E833" s="4502"/>
      <c r="F833" s="4502"/>
      <c r="G833" s="4502"/>
      <c r="H833" s="4502"/>
      <c r="I833" s="4502"/>
      <c r="J833" s="4502"/>
      <c r="K833" s="4502"/>
      <c r="L833" s="4502"/>
      <c r="M833" s="4502"/>
    </row>
    <row r="834" spans="1:13" hidden="1">
      <c r="A834" s="4501" t="s">
        <v>7565</v>
      </c>
      <c r="B834" s="3">
        <v>2.9129999999999998</v>
      </c>
      <c r="E834" s="4502"/>
      <c r="F834" s="4502"/>
      <c r="G834" s="4502"/>
      <c r="H834" s="4502"/>
      <c r="I834" s="4502"/>
      <c r="J834" s="4502"/>
      <c r="K834" s="4502"/>
      <c r="L834" s="4502"/>
      <c r="M834" s="4502"/>
    </row>
    <row r="835" spans="1:13" hidden="1">
      <c r="A835" s="4501" t="s">
        <v>7566</v>
      </c>
      <c r="B835" s="3">
        <v>2.9129999999999998</v>
      </c>
      <c r="E835" s="4502"/>
      <c r="F835" s="4502"/>
      <c r="G835" s="4502"/>
      <c r="H835" s="4502"/>
      <c r="I835" s="4502"/>
      <c r="J835" s="4502"/>
      <c r="K835" s="4502"/>
      <c r="L835" s="4502"/>
      <c r="M835" s="4502"/>
    </row>
    <row r="836" spans="1:13" hidden="1">
      <c r="A836" s="4501" t="s">
        <v>7567</v>
      </c>
      <c r="B836" s="3">
        <v>2.8690000000000002</v>
      </c>
      <c r="E836" s="4502"/>
      <c r="F836" s="4502"/>
      <c r="G836" s="4502"/>
      <c r="H836" s="4502"/>
      <c r="I836" s="4502"/>
      <c r="J836" s="4502"/>
      <c r="K836" s="4502"/>
      <c r="L836" s="4502"/>
      <c r="M836" s="4502"/>
    </row>
    <row r="837" spans="1:13" hidden="1">
      <c r="A837" s="4501" t="s">
        <v>7568</v>
      </c>
      <c r="B837" s="3">
        <v>2.8450000000000002</v>
      </c>
      <c r="E837" s="4502"/>
      <c r="F837" s="4502"/>
      <c r="G837" s="4502"/>
      <c r="H837" s="4502"/>
      <c r="I837" s="4502"/>
      <c r="J837" s="4502"/>
      <c r="K837" s="4502"/>
      <c r="L837" s="4502"/>
      <c r="M837" s="4502"/>
    </row>
    <row r="838" spans="1:13" hidden="1">
      <c r="A838" s="4501" t="s">
        <v>7569</v>
      </c>
      <c r="B838" s="3">
        <v>2.863</v>
      </c>
      <c r="E838" s="4502"/>
      <c r="F838" s="4502"/>
      <c r="G838" s="4502"/>
      <c r="H838" s="4502"/>
      <c r="I838" s="4502"/>
      <c r="J838" s="4502"/>
      <c r="K838" s="4502"/>
      <c r="L838" s="4502"/>
      <c r="M838" s="4502"/>
    </row>
    <row r="839" spans="1:13" hidden="1">
      <c r="A839" s="4501" t="s">
        <v>7570</v>
      </c>
      <c r="B839" s="3">
        <v>2.8740000000000001</v>
      </c>
      <c r="E839" s="4502"/>
      <c r="F839" s="4502"/>
      <c r="G839" s="4502"/>
      <c r="H839" s="4502"/>
      <c r="I839" s="4502"/>
      <c r="J839" s="4502"/>
      <c r="K839" s="4502"/>
      <c r="L839" s="4502"/>
      <c r="M839" s="4502"/>
    </row>
    <row r="840" spans="1:13" hidden="1">
      <c r="A840" s="4501" t="s">
        <v>7571</v>
      </c>
      <c r="B840" s="3">
        <v>2.9159999999999999</v>
      </c>
      <c r="E840" s="4502"/>
      <c r="F840" s="4502"/>
      <c r="G840" s="4502"/>
      <c r="H840" s="4502"/>
      <c r="I840" s="4502"/>
      <c r="J840" s="4502"/>
      <c r="K840" s="4502"/>
      <c r="L840" s="4502"/>
      <c r="M840" s="4502"/>
    </row>
    <row r="841" spans="1:13" hidden="1">
      <c r="A841" s="4501" t="s">
        <v>7572</v>
      </c>
      <c r="B841" s="3">
        <v>2.9159999999999999</v>
      </c>
      <c r="E841" s="4502"/>
      <c r="F841" s="4502"/>
      <c r="G841" s="4502"/>
      <c r="H841" s="4502"/>
      <c r="I841" s="4502"/>
      <c r="J841" s="4502"/>
      <c r="K841" s="4502"/>
      <c r="L841" s="4502"/>
      <c r="M841" s="4502"/>
    </row>
    <row r="842" spans="1:13" hidden="1">
      <c r="A842" s="4501" t="s">
        <v>7573</v>
      </c>
      <c r="B842" s="3">
        <v>2.9159999999999999</v>
      </c>
      <c r="E842" s="4502"/>
      <c r="F842" s="4502"/>
      <c r="G842" s="4502"/>
      <c r="H842" s="4502"/>
      <c r="I842" s="4502"/>
      <c r="J842" s="4502"/>
      <c r="K842" s="4502"/>
      <c r="L842" s="4502"/>
      <c r="M842" s="4502"/>
    </row>
    <row r="843" spans="1:13" hidden="1">
      <c r="A843" s="4501" t="s">
        <v>7574</v>
      </c>
      <c r="B843" s="3">
        <v>2.9159999999999999</v>
      </c>
      <c r="E843" s="4502"/>
      <c r="F843" s="4502"/>
      <c r="G843" s="4502"/>
      <c r="H843" s="4502"/>
      <c r="I843" s="4502"/>
      <c r="J843" s="4502"/>
      <c r="K843" s="4502"/>
      <c r="L843" s="4502"/>
      <c r="M843" s="4502"/>
    </row>
    <row r="844" spans="1:13" hidden="1">
      <c r="A844" s="4501" t="s">
        <v>7575</v>
      </c>
      <c r="B844" s="3">
        <v>2.823</v>
      </c>
      <c r="E844" s="4502"/>
      <c r="F844" s="4502"/>
      <c r="G844" s="4502"/>
      <c r="H844" s="4502"/>
      <c r="I844" s="4502"/>
      <c r="J844" s="4502"/>
      <c r="K844" s="4502"/>
      <c r="L844" s="4502"/>
      <c r="M844" s="4502"/>
    </row>
    <row r="845" spans="1:13" hidden="1">
      <c r="A845" s="4501" t="s">
        <v>7576</v>
      </c>
      <c r="B845" s="3">
        <v>2.7949999999999999</v>
      </c>
      <c r="E845" s="4502"/>
      <c r="F845" s="4502"/>
      <c r="G845" s="4502"/>
      <c r="H845" s="4502"/>
      <c r="I845" s="4502"/>
      <c r="J845" s="4502"/>
      <c r="K845" s="4502"/>
      <c r="L845" s="4502"/>
      <c r="M845" s="4502"/>
    </row>
    <row r="846" spans="1:13" hidden="1">
      <c r="A846" s="4501" t="s">
        <v>7577</v>
      </c>
      <c r="B846" s="3">
        <v>2.7719999999999998</v>
      </c>
      <c r="E846" s="4502"/>
      <c r="F846" s="4502"/>
      <c r="G846" s="4502"/>
      <c r="H846" s="4502"/>
      <c r="I846" s="4502"/>
      <c r="J846" s="4502"/>
      <c r="K846" s="4502"/>
      <c r="L846" s="4502"/>
      <c r="M846" s="4502"/>
    </row>
    <row r="847" spans="1:13" hidden="1">
      <c r="A847" s="4501" t="s">
        <v>7578</v>
      </c>
      <c r="B847" s="3">
        <v>2.7759999999999998</v>
      </c>
      <c r="E847" s="4502"/>
      <c r="F847" s="4502"/>
      <c r="G847" s="4502"/>
      <c r="H847" s="4502"/>
      <c r="I847" s="4502"/>
      <c r="J847" s="4502"/>
      <c r="K847" s="4502"/>
      <c r="L847" s="4502"/>
      <c r="M847" s="4502"/>
    </row>
    <row r="848" spans="1:13" hidden="1">
      <c r="A848" s="4501" t="s">
        <v>7579</v>
      </c>
      <c r="B848" s="3">
        <v>2.7759999999999998</v>
      </c>
      <c r="E848" s="4502"/>
      <c r="F848" s="4502"/>
      <c r="G848" s="4502"/>
      <c r="H848" s="4502"/>
      <c r="I848" s="4502"/>
      <c r="J848" s="4502"/>
      <c r="K848" s="4502"/>
      <c r="L848" s="4502"/>
      <c r="M848" s="4502"/>
    </row>
    <row r="849" spans="1:13" hidden="1">
      <c r="A849" s="4501" t="s">
        <v>7580</v>
      </c>
      <c r="B849" s="3">
        <v>2.7759999999999998</v>
      </c>
      <c r="E849" s="4502"/>
      <c r="F849" s="4502"/>
      <c r="G849" s="4502"/>
      <c r="H849" s="4502"/>
      <c r="I849" s="4502"/>
      <c r="J849" s="4502"/>
      <c r="K849" s="4502"/>
      <c r="L849" s="4502"/>
      <c r="M849" s="4502"/>
    </row>
    <row r="850" spans="1:13" hidden="1">
      <c r="A850" s="4501" t="s">
        <v>7581</v>
      </c>
      <c r="B850" s="3">
        <v>2.8079999999999998</v>
      </c>
      <c r="E850" s="4502"/>
      <c r="F850" s="4502"/>
      <c r="G850" s="4502"/>
      <c r="H850" s="4502"/>
      <c r="I850" s="4502"/>
      <c r="J850" s="4502"/>
      <c r="K850" s="4502"/>
      <c r="L850" s="4502"/>
      <c r="M850" s="4502"/>
    </row>
    <row r="851" spans="1:13" hidden="1">
      <c r="A851" s="4501" t="s">
        <v>7582</v>
      </c>
      <c r="B851" s="3">
        <v>2.827</v>
      </c>
      <c r="E851" s="4502"/>
      <c r="F851" s="4502"/>
      <c r="G851" s="4502"/>
      <c r="H851" s="4502"/>
      <c r="I851" s="4502"/>
      <c r="J851" s="4502"/>
      <c r="K851" s="4502"/>
      <c r="L851" s="4502"/>
      <c r="M851" s="4502"/>
    </row>
    <row r="852" spans="1:13" hidden="1">
      <c r="A852" s="4501" t="s">
        <v>7583</v>
      </c>
      <c r="B852" s="3">
        <v>2.82</v>
      </c>
      <c r="E852" s="4502"/>
      <c r="F852" s="4502"/>
      <c r="G852" s="4502"/>
      <c r="H852" s="4502"/>
      <c r="I852" s="4502"/>
      <c r="J852" s="4502"/>
      <c r="K852" s="4502"/>
      <c r="L852" s="4502"/>
      <c r="M852" s="4502"/>
    </row>
    <row r="853" spans="1:13" hidden="1">
      <c r="A853" s="4501" t="s">
        <v>7584</v>
      </c>
      <c r="B853" s="3">
        <v>2.8</v>
      </c>
      <c r="E853" s="4502"/>
      <c r="F853" s="4502"/>
      <c r="G853" s="4502"/>
      <c r="H853" s="4502"/>
      <c r="I853" s="4502"/>
      <c r="J853" s="4502"/>
      <c r="K853" s="4502"/>
      <c r="L853" s="4502"/>
      <c r="M853" s="4502"/>
    </row>
    <row r="854" spans="1:13" hidden="1">
      <c r="A854" s="4501" t="s">
        <v>7585</v>
      </c>
      <c r="B854" s="3">
        <v>2.7509999999999999</v>
      </c>
      <c r="E854" s="4502"/>
      <c r="F854" s="4502"/>
      <c r="G854" s="4502"/>
      <c r="H854" s="4502"/>
      <c r="I854" s="4502"/>
      <c r="J854" s="4502"/>
      <c r="K854" s="4502"/>
      <c r="L854" s="4502"/>
      <c r="M854" s="4502"/>
    </row>
    <row r="855" spans="1:13" hidden="1">
      <c r="A855" s="4501" t="s">
        <v>7586</v>
      </c>
      <c r="B855" s="3">
        <v>2.7509999999999999</v>
      </c>
      <c r="E855" s="4502"/>
      <c r="F855" s="4502"/>
      <c r="G855" s="4502"/>
      <c r="H855" s="4502"/>
      <c r="I855" s="4502"/>
      <c r="J855" s="4502"/>
      <c r="K855" s="4502"/>
      <c r="L855" s="4502"/>
      <c r="M855" s="4502"/>
    </row>
    <row r="856" spans="1:13" hidden="1">
      <c r="A856" s="4501" t="s">
        <v>7587</v>
      </c>
      <c r="B856" s="3">
        <v>2.7509999999999999</v>
      </c>
      <c r="E856" s="4502"/>
      <c r="F856" s="4502"/>
      <c r="G856" s="4502"/>
      <c r="H856" s="4502"/>
      <c r="I856" s="4502"/>
      <c r="J856" s="4502"/>
      <c r="K856" s="4502"/>
      <c r="L856" s="4502"/>
      <c r="M856" s="4502"/>
    </row>
    <row r="857" spans="1:13" hidden="1">
      <c r="A857" s="4501" t="s">
        <v>7588</v>
      </c>
      <c r="B857" s="3">
        <v>2.7789999999999999</v>
      </c>
      <c r="E857" s="4502"/>
      <c r="F857" s="4502"/>
      <c r="G857" s="4502"/>
      <c r="H857" s="4502"/>
      <c r="I857" s="4502"/>
      <c r="J857" s="4502"/>
      <c r="K857" s="4502"/>
      <c r="L857" s="4502"/>
      <c r="M857" s="4502"/>
    </row>
    <row r="858" spans="1:13" hidden="1">
      <c r="A858" s="4501" t="s">
        <v>7589</v>
      </c>
      <c r="B858" s="3">
        <v>2.8959999999999999</v>
      </c>
      <c r="E858" s="4502"/>
      <c r="F858" s="4502"/>
      <c r="G858" s="4502"/>
      <c r="H858" s="4502"/>
      <c r="I858" s="4502"/>
      <c r="J858" s="4502"/>
      <c r="K858" s="4502"/>
      <c r="L858" s="4502"/>
      <c r="M858" s="4502"/>
    </row>
    <row r="859" spans="1:13" hidden="1">
      <c r="A859" s="4501" t="s">
        <v>7590</v>
      </c>
      <c r="B859" s="3">
        <v>2.8820000000000001</v>
      </c>
      <c r="E859" s="4502"/>
      <c r="F859" s="4502"/>
      <c r="G859" s="4502"/>
      <c r="H859" s="4502"/>
      <c r="I859" s="4502"/>
      <c r="J859" s="4502"/>
      <c r="K859" s="4502"/>
      <c r="L859" s="4502"/>
      <c r="M859" s="4502"/>
    </row>
    <row r="860" spans="1:13" hidden="1">
      <c r="A860" s="4501" t="s">
        <v>7591</v>
      </c>
      <c r="B860" s="3">
        <v>2.964</v>
      </c>
      <c r="E860" s="4502"/>
      <c r="F860" s="4502"/>
      <c r="G860" s="4502"/>
      <c r="H860" s="4502"/>
      <c r="I860" s="4502"/>
      <c r="J860" s="4502"/>
      <c r="K860" s="4502"/>
      <c r="L860" s="4502"/>
      <c r="M860" s="4502"/>
    </row>
    <row r="861" spans="1:13" hidden="1">
      <c r="A861" s="4501" t="s">
        <v>7592</v>
      </c>
      <c r="B861" s="3">
        <v>2.9740000000000002</v>
      </c>
      <c r="E861" s="4502"/>
      <c r="F861" s="4502"/>
      <c r="G861" s="4502"/>
      <c r="H861" s="4502"/>
      <c r="I861" s="4502"/>
      <c r="J861" s="4502"/>
      <c r="K861" s="4502"/>
      <c r="L861" s="4502"/>
      <c r="M861" s="4502"/>
    </row>
    <row r="862" spans="1:13" hidden="1">
      <c r="A862" s="4501" t="s">
        <v>7593</v>
      </c>
      <c r="B862" s="3">
        <v>2.9740000000000002</v>
      </c>
      <c r="E862" s="4502"/>
      <c r="F862" s="4502"/>
      <c r="G862" s="4502"/>
      <c r="H862" s="4502"/>
      <c r="I862" s="4502"/>
      <c r="J862" s="4502"/>
      <c r="K862" s="4502"/>
      <c r="L862" s="4502"/>
      <c r="M862" s="4502"/>
    </row>
    <row r="863" spans="1:13" hidden="1">
      <c r="A863" s="4501" t="s">
        <v>7594</v>
      </c>
      <c r="B863" s="3">
        <v>2.9740000000000002</v>
      </c>
      <c r="E863" s="4502"/>
      <c r="F863" s="4502"/>
      <c r="G863" s="4502"/>
      <c r="H863" s="4502"/>
      <c r="I863" s="4502"/>
      <c r="J863" s="4502"/>
      <c r="K863" s="4502"/>
      <c r="L863" s="4502"/>
      <c r="M863" s="4502"/>
    </row>
    <row r="864" spans="1:13" hidden="1">
      <c r="A864" s="4501" t="s">
        <v>7595</v>
      </c>
      <c r="B864" s="3">
        <v>3.0289999999999999</v>
      </c>
      <c r="E864" s="4502"/>
      <c r="F864" s="4502"/>
      <c r="G864" s="4502"/>
      <c r="H864" s="4502"/>
      <c r="I864" s="4502"/>
      <c r="J864" s="4502"/>
      <c r="K864" s="4502"/>
      <c r="L864" s="4502"/>
      <c r="M864" s="4502"/>
    </row>
    <row r="865" spans="1:13" hidden="1">
      <c r="A865" s="4501" t="s">
        <v>7596</v>
      </c>
      <c r="B865" s="3">
        <v>3.0579999999999998</v>
      </c>
      <c r="E865" s="4502"/>
      <c r="F865" s="4502"/>
      <c r="G865" s="4502"/>
      <c r="H865" s="4502"/>
      <c r="I865" s="4502"/>
      <c r="J865" s="4502"/>
      <c r="K865" s="4502"/>
      <c r="L865" s="4502"/>
      <c r="M865" s="4502"/>
    </row>
    <row r="866" spans="1:13" hidden="1">
      <c r="A866" s="4501" t="s">
        <v>7597</v>
      </c>
      <c r="B866" s="3">
        <v>2.98</v>
      </c>
      <c r="E866" s="4502"/>
      <c r="F866" s="4502"/>
      <c r="G866" s="4502"/>
      <c r="H866" s="4502"/>
      <c r="I866" s="4502"/>
      <c r="J866" s="4502"/>
      <c r="K866" s="4502"/>
      <c r="L866" s="4502"/>
      <c r="M866" s="4502"/>
    </row>
    <row r="867" spans="1:13" hidden="1">
      <c r="A867" s="4501" t="s">
        <v>7598</v>
      </c>
      <c r="B867" s="3">
        <v>3.056</v>
      </c>
      <c r="E867" s="4502"/>
      <c r="F867" s="4502"/>
      <c r="G867" s="4502"/>
      <c r="H867" s="4502"/>
      <c r="I867" s="4502"/>
      <c r="J867" s="4502"/>
      <c r="K867" s="4502"/>
      <c r="L867" s="4502"/>
      <c r="M867" s="4502"/>
    </row>
    <row r="868" spans="1:13" hidden="1">
      <c r="A868" s="4501" t="s">
        <v>7599</v>
      </c>
      <c r="B868" s="3">
        <v>3.008</v>
      </c>
      <c r="E868" s="4502"/>
      <c r="F868" s="4502"/>
      <c r="G868" s="4502"/>
      <c r="H868" s="4502"/>
      <c r="I868" s="4502"/>
      <c r="J868" s="4502"/>
      <c r="K868" s="4502"/>
      <c r="L868" s="4502"/>
      <c r="M868" s="4502"/>
    </row>
    <row r="869" spans="1:13" hidden="1">
      <c r="A869" s="4501" t="s">
        <v>7600</v>
      </c>
      <c r="B869" s="3">
        <v>3.008</v>
      </c>
      <c r="E869" s="4502"/>
      <c r="F869" s="4502"/>
      <c r="G869" s="4502"/>
      <c r="H869" s="4502"/>
      <c r="I869" s="4502"/>
      <c r="J869" s="4502"/>
      <c r="K869" s="4502"/>
      <c r="L869" s="4502"/>
      <c r="M869" s="4502"/>
    </row>
    <row r="870" spans="1:13" hidden="1">
      <c r="A870" s="4501" t="s">
        <v>7601</v>
      </c>
      <c r="B870" s="3">
        <v>3.008</v>
      </c>
      <c r="E870" s="4502"/>
      <c r="F870" s="4502"/>
      <c r="G870" s="4502"/>
      <c r="H870" s="4502"/>
      <c r="I870" s="4502"/>
      <c r="J870" s="4502"/>
      <c r="K870" s="4502"/>
      <c r="L870" s="4502"/>
      <c r="M870" s="4502"/>
    </row>
    <row r="871" spans="1:13" hidden="1">
      <c r="A871" s="4501" t="s">
        <v>7602</v>
      </c>
      <c r="B871" s="3">
        <v>3.0939999999999999</v>
      </c>
      <c r="E871" s="4502"/>
      <c r="F871" s="4502"/>
      <c r="G871" s="4502"/>
      <c r="H871" s="4502"/>
      <c r="I871" s="4502"/>
      <c r="J871" s="4502"/>
      <c r="K871" s="4502"/>
      <c r="L871" s="4502"/>
      <c r="M871" s="4502"/>
    </row>
    <row r="872" spans="1:13" hidden="1">
      <c r="A872" s="4501" t="s">
        <v>7603</v>
      </c>
      <c r="B872" s="3">
        <v>3.1659999999999999</v>
      </c>
      <c r="E872" s="4502"/>
      <c r="F872" s="4502"/>
      <c r="G872" s="4502"/>
      <c r="H872" s="4502"/>
      <c r="I872" s="4502"/>
      <c r="J872" s="4502"/>
      <c r="K872" s="4502"/>
      <c r="L872" s="4502"/>
      <c r="M872" s="4502"/>
    </row>
    <row r="873" spans="1:13" hidden="1">
      <c r="A873" s="4501" t="s">
        <v>7604</v>
      </c>
      <c r="B873" s="3">
        <v>3.23</v>
      </c>
      <c r="E873" s="4502"/>
      <c r="F873" s="4502"/>
      <c r="G873" s="4502"/>
      <c r="H873" s="4502"/>
      <c r="I873" s="4502"/>
      <c r="J873" s="4502"/>
      <c r="K873" s="4502"/>
      <c r="L873" s="4502"/>
      <c r="M873" s="4502"/>
    </row>
    <row r="874" spans="1:13" hidden="1">
      <c r="A874" s="4501" t="s">
        <v>7605</v>
      </c>
      <c r="B874" s="3">
        <v>3.165</v>
      </c>
      <c r="E874" s="4502"/>
      <c r="F874" s="4502"/>
      <c r="G874" s="4502"/>
      <c r="H874" s="4502"/>
      <c r="I874" s="4502"/>
      <c r="J874" s="4502"/>
      <c r="K874" s="4502"/>
      <c r="L874" s="4502"/>
      <c r="M874" s="4502"/>
    </row>
    <row r="875" spans="1:13" hidden="1">
      <c r="A875" s="4501" t="s">
        <v>7606</v>
      </c>
      <c r="B875" s="3">
        <v>3.1429999999999998</v>
      </c>
      <c r="E875" s="4502"/>
      <c r="F875" s="4502"/>
      <c r="G875" s="4502"/>
      <c r="H875" s="4502"/>
      <c r="I875" s="4502"/>
      <c r="J875" s="4502"/>
      <c r="K875" s="4502"/>
      <c r="L875" s="4502"/>
      <c r="M875" s="4502"/>
    </row>
    <row r="876" spans="1:13" hidden="1">
      <c r="A876" s="4501" t="s">
        <v>7607</v>
      </c>
      <c r="B876" s="3">
        <v>3.1429999999999998</v>
      </c>
      <c r="E876" s="4502"/>
      <c r="F876" s="4502"/>
      <c r="G876" s="4502"/>
      <c r="H876" s="4502"/>
      <c r="I876" s="4502"/>
      <c r="J876" s="4502"/>
      <c r="K876" s="4502"/>
      <c r="L876" s="4502"/>
      <c r="M876" s="4502"/>
    </row>
    <row r="877" spans="1:13" hidden="1">
      <c r="A877" s="4501" t="s">
        <v>7608</v>
      </c>
      <c r="B877" s="3">
        <v>3.1429999999999998</v>
      </c>
      <c r="E877" s="4502"/>
      <c r="F877" s="4502"/>
      <c r="G877" s="4502"/>
      <c r="H877" s="4502"/>
      <c r="I877" s="4502"/>
      <c r="J877" s="4502"/>
      <c r="K877" s="4502"/>
      <c r="L877" s="4502"/>
      <c r="M877" s="4502"/>
    </row>
    <row r="878" spans="1:13" hidden="1">
      <c r="A878" s="4501" t="s">
        <v>7609</v>
      </c>
      <c r="B878" s="3">
        <v>3.2669999999999999</v>
      </c>
      <c r="E878" s="4502"/>
      <c r="F878" s="4502"/>
      <c r="G878" s="4502"/>
      <c r="H878" s="4502"/>
      <c r="I878" s="4502"/>
      <c r="J878" s="4502"/>
      <c r="K878" s="4502"/>
      <c r="L878" s="4502"/>
      <c r="M878" s="4502"/>
    </row>
    <row r="879" spans="1:13" hidden="1">
      <c r="A879" s="4501" t="s">
        <v>7610</v>
      </c>
      <c r="B879" s="3">
        <v>3.266</v>
      </c>
      <c r="E879" s="4502"/>
      <c r="F879" s="4502"/>
      <c r="G879" s="4502"/>
      <c r="H879" s="4502"/>
      <c r="I879" s="4502"/>
      <c r="J879" s="4502"/>
      <c r="K879" s="4502"/>
      <c r="L879" s="4502"/>
      <c r="M879" s="4502"/>
    </row>
    <row r="880" spans="1:13" hidden="1">
      <c r="A880" s="4501" t="s">
        <v>7611</v>
      </c>
      <c r="B880" s="3">
        <v>3.2839999999999998</v>
      </c>
      <c r="E880" s="4502"/>
      <c r="F880" s="4502"/>
      <c r="G880" s="4502"/>
      <c r="H880" s="4502"/>
      <c r="I880" s="4502"/>
      <c r="J880" s="4502"/>
      <c r="K880" s="4502"/>
      <c r="L880" s="4502"/>
      <c r="M880" s="4502"/>
    </row>
    <row r="881" spans="1:13" hidden="1">
      <c r="A881" s="4501" t="s">
        <v>7612</v>
      </c>
      <c r="B881" s="3">
        <v>3.3519999999999999</v>
      </c>
      <c r="E881" s="4502"/>
      <c r="F881" s="4502"/>
      <c r="G881" s="4502"/>
      <c r="H881" s="4502"/>
      <c r="I881" s="4502"/>
      <c r="J881" s="4502"/>
      <c r="K881" s="4502"/>
      <c r="L881" s="4502"/>
      <c r="M881" s="4502"/>
    </row>
    <row r="882" spans="1:13" hidden="1">
      <c r="A882" s="4501" t="s">
        <v>7613</v>
      </c>
      <c r="B882" s="3">
        <v>3.306</v>
      </c>
      <c r="E882" s="4502"/>
      <c r="F882" s="4502"/>
      <c r="G882" s="4502"/>
      <c r="H882" s="4502"/>
      <c r="I882" s="4502"/>
      <c r="J882" s="4502"/>
      <c r="K882" s="4502"/>
      <c r="L882" s="4502"/>
      <c r="M882" s="4502"/>
    </row>
    <row r="883" spans="1:13" hidden="1">
      <c r="A883" s="4501" t="s">
        <v>7614</v>
      </c>
      <c r="B883" s="3">
        <v>3.306</v>
      </c>
      <c r="E883" s="4502"/>
      <c r="F883" s="4502"/>
      <c r="G883" s="4502"/>
      <c r="H883" s="4502"/>
      <c r="I883" s="4502"/>
      <c r="J883" s="4502"/>
      <c r="K883" s="4502"/>
      <c r="L883" s="4502"/>
      <c r="M883" s="4502"/>
    </row>
    <row r="884" spans="1:13" hidden="1">
      <c r="A884" s="4501" t="s">
        <v>7615</v>
      </c>
      <c r="B884" s="3">
        <v>3.306</v>
      </c>
      <c r="E884" s="4502"/>
      <c r="F884" s="4502"/>
      <c r="G884" s="4502"/>
      <c r="H884" s="4502"/>
      <c r="I884" s="4502"/>
      <c r="J884" s="4502"/>
      <c r="K884" s="4502"/>
      <c r="L884" s="4502"/>
      <c r="M884" s="4502"/>
    </row>
    <row r="885" spans="1:13" hidden="1">
      <c r="A885" s="4501" t="s">
        <v>7616</v>
      </c>
      <c r="B885" s="3">
        <v>3.3889999999999998</v>
      </c>
      <c r="E885" s="4502"/>
      <c r="F885" s="4502"/>
      <c r="G885" s="4502"/>
      <c r="H885" s="4502"/>
      <c r="I885" s="4502"/>
      <c r="J885" s="4502"/>
      <c r="K885" s="4502"/>
      <c r="L885" s="4502"/>
      <c r="M885" s="4502"/>
    </row>
    <row r="886" spans="1:13" hidden="1">
      <c r="A886" s="4501" t="s">
        <v>7617</v>
      </c>
      <c r="B886" s="3">
        <v>3.3740000000000001</v>
      </c>
      <c r="E886" s="4502"/>
      <c r="F886" s="4502"/>
      <c r="G886" s="4502"/>
      <c r="H886" s="4502"/>
      <c r="I886" s="4502"/>
      <c r="J886" s="4502"/>
      <c r="K886" s="4502"/>
      <c r="L886" s="4502"/>
      <c r="M886" s="4502"/>
    </row>
    <row r="887" spans="1:13" hidden="1">
      <c r="A887" s="4501" t="s">
        <v>7618</v>
      </c>
      <c r="B887" s="3">
        <v>3.4390000000000001</v>
      </c>
      <c r="E887" s="4502"/>
      <c r="F887" s="4502"/>
      <c r="G887" s="4502"/>
      <c r="H887" s="4502"/>
      <c r="I887" s="4502"/>
      <c r="J887" s="4502"/>
      <c r="K887" s="4502"/>
      <c r="L887" s="4502"/>
      <c r="M887" s="4502"/>
    </row>
    <row r="888" spans="1:13" hidden="1">
      <c r="A888" s="4501" t="s">
        <v>7619</v>
      </c>
      <c r="B888" s="3">
        <v>3.3250000000000002</v>
      </c>
      <c r="E888" s="4502"/>
      <c r="F888" s="4502"/>
      <c r="G888" s="4502"/>
      <c r="H888" s="4502"/>
      <c r="I888" s="4502"/>
      <c r="J888" s="4502"/>
      <c r="K888" s="4502"/>
      <c r="L888" s="4502"/>
      <c r="M888" s="4502"/>
    </row>
    <row r="889" spans="1:13" hidden="1">
      <c r="A889" s="4501" t="s">
        <v>7620</v>
      </c>
      <c r="B889" s="3">
        <v>3.3849999999999998</v>
      </c>
      <c r="E889" s="4502"/>
      <c r="F889" s="4502"/>
      <c r="G889" s="4502"/>
      <c r="H889" s="4502"/>
      <c r="I889" s="4502"/>
      <c r="J889" s="4502"/>
      <c r="K889" s="4502"/>
      <c r="L889" s="4502"/>
      <c r="M889" s="4502"/>
    </row>
    <row r="890" spans="1:13" hidden="1">
      <c r="A890" s="4501" t="s">
        <v>7621</v>
      </c>
      <c r="B890" s="3">
        <v>3.3849999999999998</v>
      </c>
      <c r="E890" s="4502"/>
      <c r="F890" s="4502"/>
      <c r="G890" s="4502"/>
      <c r="H890" s="4502"/>
      <c r="I890" s="4502"/>
      <c r="J890" s="4502"/>
      <c r="K890" s="4502"/>
      <c r="L890" s="4502"/>
      <c r="M890" s="4502"/>
    </row>
    <row r="891" spans="1:13" hidden="1">
      <c r="A891" s="4501" t="s">
        <v>7622</v>
      </c>
      <c r="B891" s="3">
        <v>3.3849999999999998</v>
      </c>
      <c r="E891" s="4502"/>
      <c r="F891" s="4502"/>
      <c r="G891" s="4502"/>
      <c r="H891" s="4502"/>
      <c r="I891" s="4502"/>
      <c r="J891" s="4502"/>
      <c r="K891" s="4502"/>
      <c r="L891" s="4502"/>
      <c r="M891" s="4502"/>
    </row>
    <row r="892" spans="1:13" hidden="1">
      <c r="A892" s="4501" t="s">
        <v>7623</v>
      </c>
      <c r="B892" s="3">
        <v>3.29</v>
      </c>
      <c r="E892" s="4502"/>
      <c r="F892" s="4502"/>
      <c r="G892" s="4502"/>
      <c r="H892" s="4502"/>
      <c r="I892" s="4502"/>
      <c r="J892" s="4502"/>
      <c r="K892" s="4502"/>
      <c r="L892" s="4502"/>
      <c r="M892" s="4502"/>
    </row>
    <row r="893" spans="1:13" hidden="1">
      <c r="A893" s="4501" t="s">
        <v>7624</v>
      </c>
      <c r="B893" s="3">
        <v>3.3530000000000002</v>
      </c>
      <c r="E893" s="4502"/>
      <c r="F893" s="4502"/>
      <c r="G893" s="4502"/>
      <c r="H893" s="4502"/>
      <c r="I893" s="4502"/>
      <c r="J893" s="4502"/>
      <c r="K893" s="4502"/>
      <c r="L893" s="4502"/>
      <c r="M893" s="4502"/>
    </row>
    <row r="894" spans="1:13" hidden="1">
      <c r="A894" s="4501" t="s">
        <v>7625</v>
      </c>
      <c r="B894" s="3">
        <v>3.2269999999999999</v>
      </c>
      <c r="E894" s="4502"/>
      <c r="F894" s="4502"/>
      <c r="G894" s="4502"/>
      <c r="H894" s="4502"/>
      <c r="I894" s="4502"/>
      <c r="J894" s="4502"/>
      <c r="K894" s="4502"/>
      <c r="L894" s="4502"/>
      <c r="M894" s="4502"/>
    </row>
    <row r="895" spans="1:13" hidden="1">
      <c r="A895" s="4501" t="s">
        <v>7626</v>
      </c>
      <c r="B895" s="3">
        <v>3.2559999999999998</v>
      </c>
      <c r="E895" s="4502"/>
      <c r="F895" s="4502"/>
      <c r="G895" s="4502"/>
      <c r="H895" s="4502"/>
      <c r="I895" s="4502"/>
      <c r="J895" s="4502"/>
      <c r="K895" s="4502"/>
      <c r="L895" s="4502"/>
      <c r="M895" s="4502"/>
    </row>
    <row r="896" spans="1:13" hidden="1">
      <c r="A896" s="4501" t="s">
        <v>7627</v>
      </c>
      <c r="B896" s="3">
        <v>3.2250000000000001</v>
      </c>
      <c r="E896" s="4502"/>
      <c r="F896" s="4502"/>
      <c r="G896" s="4502"/>
      <c r="H896" s="4502"/>
      <c r="I896" s="4502"/>
      <c r="J896" s="4502"/>
      <c r="K896" s="4502"/>
      <c r="L896" s="4502"/>
      <c r="M896" s="4502"/>
    </row>
    <row r="897" spans="1:13" hidden="1">
      <c r="A897" s="4501" t="s">
        <v>7628</v>
      </c>
      <c r="B897" s="3">
        <v>3.2250000000000001</v>
      </c>
      <c r="E897" s="4502"/>
      <c r="F897" s="4502"/>
      <c r="G897" s="4502"/>
      <c r="H897" s="4502"/>
      <c r="I897" s="4502"/>
      <c r="J897" s="4502"/>
      <c r="K897" s="4502"/>
      <c r="L897" s="4502"/>
      <c r="M897" s="4502"/>
    </row>
    <row r="898" spans="1:13" hidden="1">
      <c r="A898" s="4501" t="s">
        <v>7629</v>
      </c>
      <c r="B898" s="3">
        <v>3.2250000000000001</v>
      </c>
      <c r="E898" s="4502"/>
      <c r="F898" s="4502"/>
      <c r="G898" s="4502"/>
      <c r="H898" s="4502"/>
      <c r="I898" s="4502"/>
      <c r="J898" s="4502"/>
      <c r="K898" s="4502"/>
      <c r="L898" s="4502"/>
      <c r="M898" s="4502"/>
    </row>
    <row r="899" spans="1:13" hidden="1">
      <c r="A899" s="4501" t="s">
        <v>7630</v>
      </c>
      <c r="B899" s="3">
        <v>3.198</v>
      </c>
      <c r="E899" s="4502"/>
      <c r="F899" s="4502"/>
      <c r="G899" s="4502"/>
      <c r="H899" s="4502"/>
      <c r="I899" s="4502"/>
      <c r="J899" s="4502"/>
      <c r="K899" s="4502"/>
      <c r="L899" s="4502"/>
      <c r="M899" s="4502"/>
    </row>
    <row r="900" spans="1:13" hidden="1">
      <c r="A900" s="4501" t="s">
        <v>7631</v>
      </c>
      <c r="B900" s="3">
        <v>3.1869999999999998</v>
      </c>
      <c r="E900" s="4502"/>
      <c r="F900" s="4502"/>
      <c r="G900" s="4502"/>
      <c r="H900" s="4502"/>
      <c r="I900" s="4502"/>
      <c r="J900" s="4502"/>
      <c r="K900" s="4502"/>
      <c r="L900" s="4502"/>
      <c r="M900" s="4502"/>
    </row>
    <row r="901" spans="1:13" hidden="1">
      <c r="A901" s="4501" t="s">
        <v>7632</v>
      </c>
      <c r="B901" s="3">
        <v>3.302</v>
      </c>
      <c r="E901" s="4502"/>
      <c r="F901" s="4502"/>
      <c r="G901" s="4502"/>
      <c r="H901" s="4502"/>
      <c r="I901" s="4502"/>
      <c r="J901" s="4502"/>
      <c r="K901" s="4502"/>
      <c r="L901" s="4502"/>
      <c r="M901" s="4502"/>
    </row>
    <row r="902" spans="1:13" hidden="1">
      <c r="A902" s="4501" t="s">
        <v>7633</v>
      </c>
      <c r="B902" s="3">
        <v>3.2749999999999999</v>
      </c>
      <c r="E902" s="4502"/>
      <c r="F902" s="4502"/>
      <c r="G902" s="4502"/>
      <c r="H902" s="4502"/>
      <c r="I902" s="4502"/>
      <c r="J902" s="4502"/>
      <c r="K902" s="4502"/>
      <c r="L902" s="4502"/>
      <c r="M902" s="4502"/>
    </row>
    <row r="903" spans="1:13" hidden="1">
      <c r="A903" s="4501" t="s">
        <v>7634</v>
      </c>
      <c r="B903" s="3">
        <v>3.31</v>
      </c>
      <c r="E903" s="4502"/>
      <c r="F903" s="4502"/>
      <c r="G903" s="4502"/>
      <c r="H903" s="4502"/>
      <c r="I903" s="4502"/>
      <c r="J903" s="4502"/>
      <c r="K903" s="4502"/>
      <c r="L903" s="4502"/>
      <c r="M903" s="4502"/>
    </row>
    <row r="904" spans="1:13" hidden="1">
      <c r="A904" s="4501" t="s">
        <v>7635</v>
      </c>
      <c r="B904" s="3">
        <v>3.31</v>
      </c>
      <c r="E904" s="4502"/>
      <c r="F904" s="4502"/>
      <c r="G904" s="4502"/>
      <c r="H904" s="4502"/>
      <c r="I904" s="4502"/>
      <c r="J904" s="4502"/>
      <c r="K904" s="4502"/>
      <c r="L904" s="4502"/>
      <c r="M904" s="4502"/>
    </row>
    <row r="905" spans="1:13" hidden="1">
      <c r="A905" s="4501" t="s">
        <v>7636</v>
      </c>
      <c r="B905" s="3">
        <v>3.31</v>
      </c>
      <c r="E905" s="4502"/>
      <c r="F905" s="4502"/>
      <c r="G905" s="4502"/>
      <c r="H905" s="4502"/>
      <c r="I905" s="4502"/>
      <c r="J905" s="4502"/>
      <c r="K905" s="4502"/>
      <c r="L905" s="4502"/>
      <c r="M905" s="4502"/>
    </row>
    <row r="906" spans="1:13" hidden="1">
      <c r="A906" s="4501" t="s">
        <v>7637</v>
      </c>
      <c r="B906" s="3">
        <v>3.5750000000000002</v>
      </c>
      <c r="E906" s="4502"/>
      <c r="F906" s="4502"/>
      <c r="G906" s="4502"/>
      <c r="H906" s="4502"/>
      <c r="I906" s="4502"/>
      <c r="J906" s="4502"/>
      <c r="K906" s="4502"/>
      <c r="L906" s="4502"/>
      <c r="M906" s="4502"/>
    </row>
    <row r="907" spans="1:13" hidden="1">
      <c r="A907" s="4501" t="s">
        <v>7638</v>
      </c>
      <c r="B907" s="3">
        <v>3.5830000000000002</v>
      </c>
      <c r="E907" s="4502"/>
      <c r="F907" s="4502"/>
      <c r="G907" s="4502"/>
      <c r="H907" s="4502"/>
      <c r="I907" s="4502"/>
      <c r="J907" s="4502"/>
      <c r="K907" s="4502"/>
      <c r="L907" s="4502"/>
      <c r="M907" s="4502"/>
    </row>
    <row r="908" spans="1:13" hidden="1">
      <c r="A908" s="4501" t="s">
        <v>7639</v>
      </c>
      <c r="B908" s="3">
        <v>3.569</v>
      </c>
      <c r="E908" s="4502"/>
      <c r="F908" s="4502"/>
      <c r="G908" s="4502"/>
      <c r="H908" s="4502"/>
      <c r="I908" s="4502"/>
      <c r="J908" s="4502"/>
      <c r="K908" s="4502"/>
      <c r="L908" s="4502"/>
      <c r="M908" s="4502"/>
    </row>
    <row r="909" spans="1:13" hidden="1">
      <c r="A909" s="4501" t="s">
        <v>7640</v>
      </c>
      <c r="B909" s="3">
        <v>3.5529999999999999</v>
      </c>
      <c r="E909" s="4502"/>
      <c r="F909" s="4502"/>
      <c r="G909" s="4502"/>
      <c r="H909" s="4502"/>
      <c r="I909" s="4502"/>
      <c r="J909" s="4502"/>
      <c r="K909" s="4502"/>
      <c r="L909" s="4502"/>
      <c r="M909" s="4502"/>
    </row>
    <row r="910" spans="1:13" hidden="1">
      <c r="A910" s="4501" t="s">
        <v>7641</v>
      </c>
      <c r="B910" s="3">
        <v>3.7210000000000001</v>
      </c>
      <c r="E910" s="4502"/>
      <c r="F910" s="4502"/>
      <c r="G910" s="4502"/>
      <c r="H910" s="4502"/>
      <c r="I910" s="4502"/>
      <c r="J910" s="4502"/>
      <c r="K910" s="4502"/>
      <c r="L910" s="4502"/>
      <c r="M910" s="4502"/>
    </row>
    <row r="911" spans="1:13" hidden="1">
      <c r="A911" s="4501" t="s">
        <v>7642</v>
      </c>
      <c r="B911" s="3">
        <v>3.7210000000000001</v>
      </c>
      <c r="E911" s="4502"/>
      <c r="F911" s="4502"/>
      <c r="G911" s="4502"/>
      <c r="H911" s="4502"/>
      <c r="I911" s="4502"/>
      <c r="J911" s="4502"/>
      <c r="K911" s="4502"/>
      <c r="L911" s="4502"/>
      <c r="M911" s="4502"/>
    </row>
    <row r="912" spans="1:13" hidden="1">
      <c r="A912" s="4501" t="s">
        <v>7643</v>
      </c>
      <c r="B912" s="3">
        <v>3.7210000000000001</v>
      </c>
      <c r="E912" s="4502"/>
      <c r="F912" s="4502"/>
      <c r="G912" s="4502"/>
      <c r="H912" s="4502"/>
      <c r="I912" s="4502"/>
      <c r="J912" s="4502"/>
      <c r="K912" s="4502"/>
      <c r="L912" s="4502"/>
      <c r="M912" s="4502"/>
    </row>
    <row r="913" spans="1:13" hidden="1">
      <c r="A913" s="4501" t="s">
        <v>7644</v>
      </c>
      <c r="B913" s="3">
        <v>3.8</v>
      </c>
      <c r="E913" s="4502"/>
      <c r="F913" s="4502"/>
      <c r="G913" s="4502"/>
      <c r="H913" s="4502"/>
      <c r="I913" s="4502"/>
      <c r="J913" s="4502"/>
      <c r="K913" s="4502"/>
      <c r="L913" s="4502"/>
      <c r="M913" s="4502"/>
    </row>
    <row r="914" spans="1:13" hidden="1">
      <c r="A914" s="4501" t="s">
        <v>7645</v>
      </c>
      <c r="B914" s="3">
        <v>4.1470000000000002</v>
      </c>
      <c r="E914" s="4502"/>
      <c r="F914" s="4502"/>
      <c r="G914" s="4502"/>
      <c r="H914" s="4502"/>
      <c r="I914" s="4502"/>
      <c r="J914" s="4502"/>
      <c r="K914" s="4502"/>
      <c r="L914" s="4502"/>
      <c r="M914" s="4502"/>
    </row>
    <row r="915" spans="1:13" hidden="1">
      <c r="A915" s="4501" t="s">
        <v>7646</v>
      </c>
      <c r="B915" s="3">
        <v>4.8979999999999997</v>
      </c>
      <c r="E915" s="4502"/>
      <c r="F915" s="4502"/>
      <c r="G915" s="4502"/>
      <c r="H915" s="4502"/>
      <c r="I915" s="4502"/>
      <c r="J915" s="4502"/>
      <c r="K915" s="4502"/>
      <c r="L915" s="4502"/>
      <c r="M915" s="4502"/>
    </row>
    <row r="916" spans="1:13" hidden="1">
      <c r="A916" s="4501" t="s">
        <v>7647</v>
      </c>
      <c r="B916" s="3">
        <v>4.0430000000000001</v>
      </c>
      <c r="E916" s="4502"/>
      <c r="F916" s="4502"/>
      <c r="G916" s="4502"/>
      <c r="H916" s="4502"/>
      <c r="I916" s="4502"/>
      <c r="J916" s="4502"/>
      <c r="K916" s="4502"/>
      <c r="L916" s="4502"/>
      <c r="M916" s="4502"/>
    </row>
    <row r="917" spans="1:13" hidden="1">
      <c r="A917" s="4501" t="s">
        <v>7648</v>
      </c>
      <c r="B917" s="3">
        <v>4.2910000000000004</v>
      </c>
      <c r="E917" s="4502"/>
      <c r="F917" s="4502"/>
      <c r="G917" s="4502"/>
      <c r="H917" s="4502"/>
      <c r="I917" s="4502"/>
      <c r="J917" s="4502"/>
      <c r="K917" s="4502"/>
      <c r="L917" s="4502"/>
      <c r="M917" s="4502"/>
    </row>
    <row r="918" spans="1:13" hidden="1">
      <c r="A918" s="4501" t="s">
        <v>7649</v>
      </c>
      <c r="B918" s="3">
        <v>4.2910000000000004</v>
      </c>
      <c r="E918" s="4502"/>
      <c r="F918" s="4502"/>
      <c r="G918" s="4502"/>
      <c r="H918" s="4502"/>
      <c r="I918" s="4502"/>
      <c r="J918" s="4502"/>
      <c r="K918" s="4502"/>
      <c r="L918" s="4502"/>
      <c r="M918" s="4502"/>
    </row>
    <row r="919" spans="1:13" hidden="1">
      <c r="A919" s="4501" t="s">
        <v>7650</v>
      </c>
      <c r="B919" s="3">
        <v>4.2910000000000004</v>
      </c>
      <c r="E919" s="4502"/>
      <c r="F919" s="4502"/>
      <c r="G919" s="4502"/>
      <c r="H919" s="4502"/>
      <c r="I919" s="4502"/>
      <c r="J919" s="4502"/>
      <c r="K919" s="4502"/>
      <c r="L919" s="4502"/>
      <c r="M919" s="4502"/>
    </row>
    <row r="920" spans="1:13" hidden="1">
      <c r="A920" s="4501" t="s">
        <v>7651</v>
      </c>
      <c r="B920" s="3">
        <v>4.7119999999999997</v>
      </c>
      <c r="E920" s="4502"/>
      <c r="F920" s="4502"/>
      <c r="G920" s="4502"/>
      <c r="H920" s="4502"/>
      <c r="I920" s="4502"/>
      <c r="J920" s="4502"/>
      <c r="K920" s="4502"/>
      <c r="L920" s="4502"/>
      <c r="M920" s="4502"/>
    </row>
    <row r="921" spans="1:13" hidden="1">
      <c r="A921" s="4501" t="s">
        <v>7652</v>
      </c>
      <c r="B921" s="3">
        <v>4.5209999999999999</v>
      </c>
      <c r="E921" s="4502"/>
      <c r="F921" s="4502"/>
      <c r="G921" s="4502"/>
      <c r="H921" s="4502"/>
      <c r="I921" s="4502"/>
      <c r="J921" s="4502"/>
      <c r="K921" s="4502"/>
      <c r="L921" s="4502"/>
      <c r="M921" s="4502"/>
    </row>
    <row r="922" spans="1:13" hidden="1">
      <c r="A922" s="4501" t="s">
        <v>7653</v>
      </c>
      <c r="B922" s="3">
        <v>4.4770000000000003</v>
      </c>
      <c r="E922" s="4502"/>
      <c r="F922" s="4502"/>
      <c r="G922" s="4502"/>
      <c r="H922" s="4502"/>
      <c r="I922" s="4502"/>
      <c r="J922" s="4502"/>
      <c r="K922" s="4502"/>
      <c r="L922" s="4502"/>
      <c r="M922" s="4502"/>
    </row>
    <row r="923" spans="1:13" hidden="1">
      <c r="A923" s="4501" t="s">
        <v>7654</v>
      </c>
      <c r="B923" s="3">
        <v>4.4770000000000003</v>
      </c>
      <c r="E923" s="4502"/>
      <c r="F923" s="4502"/>
      <c r="G923" s="4502"/>
      <c r="H923" s="4502"/>
      <c r="I923" s="4502"/>
      <c r="J923" s="4502"/>
      <c r="K923" s="4502"/>
      <c r="L923" s="4502"/>
      <c r="M923" s="4502"/>
    </row>
    <row r="924" spans="1:13" hidden="1">
      <c r="A924" s="4501" t="s">
        <v>7655</v>
      </c>
      <c r="B924" s="3">
        <v>4.3550000000000004</v>
      </c>
      <c r="E924" s="4502"/>
      <c r="F924" s="4502"/>
      <c r="G924" s="4502"/>
      <c r="H924" s="4502"/>
      <c r="I924" s="4502"/>
      <c r="J924" s="4502"/>
      <c r="K924" s="4502"/>
      <c r="L924" s="4502"/>
      <c r="M924" s="4502"/>
    </row>
    <row r="925" spans="1:13" hidden="1">
      <c r="A925" s="4501" t="s">
        <v>7656</v>
      </c>
      <c r="B925" s="3">
        <v>4.3550000000000004</v>
      </c>
      <c r="E925" s="4502"/>
      <c r="F925" s="4502"/>
      <c r="G925" s="4502"/>
      <c r="H925" s="4502"/>
      <c r="I925" s="4502"/>
      <c r="J925" s="4502"/>
      <c r="K925" s="4502"/>
      <c r="L925" s="4502"/>
      <c r="M925" s="4502"/>
    </row>
    <row r="926" spans="1:13" hidden="1">
      <c r="A926" s="4501" t="s">
        <v>7657</v>
      </c>
      <c r="B926" s="3">
        <v>4.3550000000000004</v>
      </c>
      <c r="E926" s="4502"/>
      <c r="F926" s="4502"/>
      <c r="G926" s="4502"/>
      <c r="H926" s="4502"/>
      <c r="I926" s="4502"/>
      <c r="J926" s="4502"/>
      <c r="K926" s="4502"/>
      <c r="L926" s="4502"/>
      <c r="M926" s="4502"/>
    </row>
    <row r="927" spans="1:13" hidden="1">
      <c r="A927" s="4501" t="s">
        <v>7658</v>
      </c>
      <c r="B927" s="3">
        <v>4.2990000000000004</v>
      </c>
      <c r="E927" s="4502"/>
      <c r="F927" s="4502"/>
      <c r="G927" s="4502"/>
      <c r="H927" s="4502"/>
      <c r="I927" s="4502"/>
      <c r="J927" s="4502"/>
      <c r="K927" s="4502"/>
      <c r="L927" s="4502"/>
      <c r="M927" s="4502"/>
    </row>
    <row r="928" spans="1:13" hidden="1">
      <c r="A928" s="4501" t="s">
        <v>7659</v>
      </c>
      <c r="B928" s="3">
        <v>4.2919999999999998</v>
      </c>
      <c r="E928" s="4502"/>
      <c r="F928" s="4502"/>
      <c r="G928" s="4502"/>
      <c r="H928" s="4502"/>
      <c r="I928" s="4502"/>
      <c r="J928" s="4502"/>
      <c r="K928" s="4502"/>
      <c r="L928" s="4502"/>
      <c r="M928" s="4502"/>
    </row>
    <row r="929" spans="1:13" hidden="1">
      <c r="A929" s="4501" t="s">
        <v>7660</v>
      </c>
      <c r="B929" s="3">
        <v>4.6989999999999998</v>
      </c>
      <c r="E929" s="4502"/>
      <c r="F929" s="4502"/>
      <c r="G929" s="4502"/>
      <c r="H929" s="4502"/>
      <c r="I929" s="4502"/>
      <c r="J929" s="4502"/>
      <c r="K929" s="4502"/>
      <c r="L929" s="4502"/>
      <c r="M929" s="4502"/>
    </row>
    <row r="930" spans="1:13" hidden="1">
      <c r="A930" s="4501" t="s">
        <v>7661</v>
      </c>
      <c r="B930" s="3">
        <v>4.6459999999999999</v>
      </c>
      <c r="E930" s="4502"/>
      <c r="F930" s="4502"/>
      <c r="G930" s="4502"/>
      <c r="H930" s="4502"/>
      <c r="I930" s="4502"/>
      <c r="J930" s="4502"/>
      <c r="K930" s="4502"/>
      <c r="L930" s="4502"/>
      <c r="M930" s="4502"/>
    </row>
    <row r="931" spans="1:13" hidden="1">
      <c r="A931" s="4501" t="s">
        <v>7662</v>
      </c>
      <c r="B931" s="3">
        <v>4.6120000000000001</v>
      </c>
      <c r="E931" s="4502"/>
      <c r="F931" s="4502"/>
      <c r="G931" s="4502"/>
      <c r="H931" s="4502"/>
      <c r="I931" s="4502"/>
      <c r="J931" s="4502"/>
      <c r="K931" s="4502"/>
      <c r="L931" s="4502"/>
      <c r="M931" s="4502"/>
    </row>
    <row r="932" spans="1:13" hidden="1">
      <c r="A932" s="4501" t="s">
        <v>7663</v>
      </c>
      <c r="B932" s="3">
        <v>4.6120000000000001</v>
      </c>
      <c r="E932" s="4502"/>
      <c r="F932" s="4502"/>
      <c r="G932" s="4502"/>
      <c r="H932" s="4502"/>
      <c r="I932" s="4502"/>
      <c r="J932" s="4502"/>
      <c r="K932" s="4502"/>
      <c r="L932" s="4502"/>
      <c r="M932" s="4502"/>
    </row>
    <row r="933" spans="1:13" hidden="1">
      <c r="A933" s="4501" t="s">
        <v>7664</v>
      </c>
      <c r="B933" s="3">
        <v>4.6120000000000001</v>
      </c>
      <c r="E933" s="4502"/>
      <c r="F933" s="4502"/>
      <c r="G933" s="4502"/>
      <c r="H933" s="4502"/>
      <c r="I933" s="4502"/>
      <c r="J933" s="4502"/>
      <c r="K933" s="4502"/>
      <c r="L933" s="4502"/>
      <c r="M933" s="4502"/>
    </row>
    <row r="934" spans="1:13" hidden="1">
      <c r="A934" s="4501" t="s">
        <v>7665</v>
      </c>
      <c r="B934" s="3">
        <v>4.3390000000000004</v>
      </c>
      <c r="E934" s="4502"/>
      <c r="F934" s="4502"/>
      <c r="G934" s="4502"/>
      <c r="H934" s="4502"/>
      <c r="I934" s="4502"/>
      <c r="J934" s="4502"/>
      <c r="K934" s="4502"/>
      <c r="L934" s="4502"/>
      <c r="M934" s="4502"/>
    </row>
    <row r="935" spans="1:13" hidden="1">
      <c r="A935" s="4501" t="s">
        <v>7666</v>
      </c>
      <c r="B935" s="3">
        <v>4.4569999999999999</v>
      </c>
      <c r="E935" s="4502"/>
      <c r="F935" s="4502"/>
      <c r="G935" s="4502"/>
      <c r="H935" s="4502"/>
      <c r="I935" s="4502"/>
      <c r="J935" s="4502"/>
      <c r="K935" s="4502"/>
      <c r="L935" s="4502"/>
      <c r="M935" s="4502"/>
    </row>
    <row r="936" spans="1:13" hidden="1">
      <c r="A936" s="4501" t="s">
        <v>7667</v>
      </c>
      <c r="B936" s="3">
        <v>4.4690000000000003</v>
      </c>
      <c r="E936" s="4502"/>
      <c r="F936" s="4502"/>
      <c r="G936" s="4502"/>
      <c r="H936" s="4502"/>
      <c r="I936" s="4502"/>
      <c r="J936" s="4502"/>
      <c r="K936" s="4502"/>
      <c r="L936" s="4502"/>
      <c r="M936" s="4502"/>
    </row>
    <row r="937" spans="1:13" hidden="1">
      <c r="A937" s="4501" t="s">
        <v>7668</v>
      </c>
      <c r="B937" s="3">
        <v>4.327</v>
      </c>
      <c r="E937" s="4502"/>
      <c r="F937" s="4502"/>
      <c r="G937" s="4502"/>
      <c r="H937" s="4502"/>
      <c r="I937" s="4502"/>
      <c r="J937" s="4502"/>
      <c r="K937" s="4502"/>
      <c r="L937" s="4502"/>
      <c r="M937" s="4502"/>
    </row>
    <row r="938" spans="1:13" hidden="1">
      <c r="A938" s="4501" t="s">
        <v>7669</v>
      </c>
      <c r="B938" s="3">
        <v>4.4880000000000004</v>
      </c>
      <c r="E938" s="4502"/>
      <c r="F938" s="4502"/>
      <c r="G938" s="4502"/>
      <c r="H938" s="4502"/>
      <c r="I938" s="4502"/>
      <c r="J938" s="4502"/>
      <c r="K938" s="4502"/>
      <c r="L938" s="4502"/>
      <c r="M938" s="4502"/>
    </row>
    <row r="939" spans="1:13" hidden="1">
      <c r="A939" s="4501" t="s">
        <v>7670</v>
      </c>
      <c r="B939" s="3">
        <v>4.4880000000000004</v>
      </c>
      <c r="E939" s="4502"/>
      <c r="F939" s="4502"/>
      <c r="G939" s="4502"/>
      <c r="H939" s="4502"/>
      <c r="I939" s="4502"/>
      <c r="J939" s="4502"/>
      <c r="K939" s="4502"/>
      <c r="L939" s="4502"/>
      <c r="M939" s="4502"/>
    </row>
    <row r="940" spans="1:13" hidden="1">
      <c r="A940" s="4501" t="s">
        <v>7671</v>
      </c>
      <c r="B940" s="3">
        <v>4.4880000000000004</v>
      </c>
      <c r="E940" s="4502"/>
      <c r="F940" s="4502"/>
      <c r="G940" s="4502"/>
      <c r="H940" s="4502"/>
      <c r="I940" s="4502"/>
      <c r="J940" s="4502"/>
      <c r="K940" s="4502"/>
      <c r="L940" s="4502"/>
      <c r="M940" s="4502"/>
    </row>
    <row r="941" spans="1:13" hidden="1">
      <c r="A941" s="4501" t="s">
        <v>7672</v>
      </c>
      <c r="B941" s="3">
        <v>4.5449999999999999</v>
      </c>
      <c r="E941" s="4502"/>
      <c r="F941" s="4502"/>
      <c r="G941" s="4502"/>
      <c r="H941" s="4502"/>
      <c r="I941" s="4502"/>
      <c r="J941" s="4502"/>
      <c r="K941" s="4502"/>
      <c r="L941" s="4502"/>
      <c r="M941" s="4502"/>
    </row>
    <row r="942" spans="1:13" hidden="1">
      <c r="A942" s="4501" t="s">
        <v>7673</v>
      </c>
      <c r="B942" s="3">
        <v>4.0410000000000004</v>
      </c>
      <c r="E942" s="4502"/>
      <c r="F942" s="4502"/>
      <c r="G942" s="4502"/>
      <c r="H942" s="4502"/>
      <c r="I942" s="4502"/>
      <c r="J942" s="4502"/>
      <c r="K942" s="4502"/>
      <c r="L942" s="4502"/>
      <c r="M942" s="4502"/>
    </row>
    <row r="943" spans="1:13" hidden="1">
      <c r="A943" s="4501" t="s">
        <v>7674</v>
      </c>
      <c r="B943" s="3">
        <v>3.8530000000000002</v>
      </c>
      <c r="E943" s="4502"/>
      <c r="F943" s="4502"/>
      <c r="G943" s="4502"/>
      <c r="H943" s="4502"/>
      <c r="I943" s="4502"/>
      <c r="J943" s="4502"/>
      <c r="K943" s="4502"/>
      <c r="L943" s="4502"/>
      <c r="M943" s="4502"/>
    </row>
    <row r="944" spans="1:13" hidden="1">
      <c r="A944" s="4501" t="s">
        <v>7675</v>
      </c>
      <c r="B944" s="3">
        <v>3.8559999999999999</v>
      </c>
      <c r="E944" s="4502"/>
      <c r="F944" s="4502"/>
      <c r="G944" s="4502"/>
      <c r="H944" s="4502"/>
      <c r="I944" s="4502"/>
      <c r="J944" s="4502"/>
      <c r="K944" s="4502"/>
      <c r="L944" s="4502"/>
      <c r="M944" s="4502"/>
    </row>
    <row r="945" spans="1:13" hidden="1">
      <c r="A945" s="4501" t="s">
        <v>7676</v>
      </c>
      <c r="B945" s="3">
        <v>3.6059999999999999</v>
      </c>
      <c r="E945" s="4502"/>
      <c r="F945" s="4502"/>
      <c r="G945" s="4502"/>
      <c r="H945" s="4502"/>
      <c r="I945" s="4502"/>
      <c r="J945" s="4502"/>
      <c r="K945" s="4502"/>
      <c r="L945" s="4502"/>
      <c r="M945" s="4502"/>
    </row>
    <row r="946" spans="1:13" hidden="1">
      <c r="A946" s="4501" t="s">
        <v>7677</v>
      </c>
      <c r="B946" s="3">
        <v>3.6059999999999999</v>
      </c>
      <c r="E946" s="4502"/>
      <c r="F946" s="4502"/>
      <c r="G946" s="4502"/>
      <c r="H946" s="4502"/>
      <c r="I946" s="4502"/>
      <c r="J946" s="4502"/>
      <c r="K946" s="4502"/>
      <c r="L946" s="4502"/>
      <c r="M946" s="4502"/>
    </row>
    <row r="947" spans="1:13" hidden="1">
      <c r="A947" s="4501" t="s">
        <v>7678</v>
      </c>
      <c r="B947" s="3">
        <v>3.6059999999999999</v>
      </c>
      <c r="E947" s="4502"/>
      <c r="F947" s="4502"/>
      <c r="G947" s="4502"/>
      <c r="H947" s="4502"/>
      <c r="I947" s="4502"/>
      <c r="J947" s="4502"/>
      <c r="K947" s="4502"/>
      <c r="L947" s="4502"/>
      <c r="M947" s="4502"/>
    </row>
    <row r="948" spans="1:13" hidden="1">
      <c r="A948" s="4501" t="s">
        <v>7679</v>
      </c>
      <c r="B948" s="3">
        <v>3.3079999999999998</v>
      </c>
      <c r="E948" s="4502"/>
      <c r="F948" s="4502"/>
      <c r="G948" s="4502"/>
      <c r="H948" s="4502"/>
      <c r="I948" s="4502"/>
      <c r="J948" s="4502"/>
      <c r="K948" s="4502"/>
      <c r="L948" s="4502"/>
      <c r="M948" s="4502"/>
    </row>
    <row r="949" spans="1:13" hidden="1">
      <c r="A949" s="4501" t="s">
        <v>7680</v>
      </c>
      <c r="B949" s="3">
        <v>3.5579999999999998</v>
      </c>
      <c r="E949" s="4502"/>
      <c r="F949" s="4502"/>
      <c r="G949" s="4502"/>
      <c r="H949" s="4502"/>
      <c r="I949" s="4502"/>
      <c r="J949" s="4502"/>
      <c r="K949" s="4502"/>
      <c r="L949" s="4502"/>
      <c r="M949" s="4502"/>
    </row>
    <row r="950" spans="1:13" hidden="1">
      <c r="A950" s="4501" t="s">
        <v>7681</v>
      </c>
      <c r="B950" s="3">
        <v>3.5059999999999998</v>
      </c>
      <c r="E950" s="4502"/>
      <c r="F950" s="4502"/>
      <c r="G950" s="4502"/>
      <c r="H950" s="4502"/>
      <c r="I950" s="4502"/>
      <c r="J950" s="4502"/>
      <c r="K950" s="4502"/>
      <c r="L950" s="4502"/>
      <c r="M950" s="4502"/>
    </row>
    <row r="951" spans="1:13" hidden="1">
      <c r="A951" s="4501" t="s">
        <v>7682</v>
      </c>
      <c r="B951" s="3">
        <v>3.38</v>
      </c>
      <c r="E951" s="4502"/>
      <c r="F951" s="4502"/>
      <c r="G951" s="4502"/>
      <c r="H951" s="4502"/>
      <c r="I951" s="4502"/>
      <c r="J951" s="4502"/>
      <c r="K951" s="4502"/>
      <c r="L951" s="4502"/>
      <c r="M951" s="4502"/>
    </row>
    <row r="952" spans="1:13" hidden="1">
      <c r="A952" s="4501" t="s">
        <v>7683</v>
      </c>
      <c r="B952" s="3">
        <v>3.544</v>
      </c>
      <c r="E952" s="4502"/>
      <c r="F952" s="4502"/>
      <c r="G952" s="4502"/>
      <c r="H952" s="4502"/>
      <c r="I952" s="4502"/>
      <c r="J952" s="4502"/>
      <c r="K952" s="4502"/>
      <c r="L952" s="4502"/>
      <c r="M952" s="4502"/>
    </row>
    <row r="953" spans="1:13" hidden="1">
      <c r="A953" s="4501" t="s">
        <v>7684</v>
      </c>
      <c r="B953" s="3">
        <v>3.544</v>
      </c>
      <c r="E953" s="4502"/>
      <c r="F953" s="4502"/>
      <c r="G953" s="4502"/>
      <c r="H953" s="4502"/>
      <c r="I953" s="4502"/>
      <c r="J953" s="4502"/>
      <c r="K953" s="4502"/>
      <c r="L953" s="4502"/>
      <c r="M953" s="4502"/>
    </row>
    <row r="954" spans="1:13" hidden="1">
      <c r="A954" s="4501" t="s">
        <v>7685</v>
      </c>
      <c r="B954" s="3">
        <v>3.544</v>
      </c>
      <c r="E954" s="4502"/>
      <c r="F954" s="4502"/>
      <c r="G954" s="4502"/>
      <c r="H954" s="4502"/>
      <c r="I954" s="4502"/>
      <c r="J954" s="4502"/>
      <c r="K954" s="4502"/>
      <c r="L954" s="4502"/>
      <c r="M954" s="4502"/>
    </row>
    <row r="955" spans="1:13" hidden="1">
      <c r="A955" s="4501" t="s">
        <v>7686</v>
      </c>
      <c r="B955" s="3">
        <v>3.2610000000000001</v>
      </c>
      <c r="E955" s="4502"/>
      <c r="F955" s="4502"/>
      <c r="G955" s="4502"/>
      <c r="H955" s="4502"/>
      <c r="I955" s="4502"/>
      <c r="J955" s="4502"/>
      <c r="K955" s="4502"/>
      <c r="L955" s="4502"/>
      <c r="M955" s="4502"/>
    </row>
    <row r="956" spans="1:13" hidden="1">
      <c r="A956" s="4501" t="s">
        <v>7687</v>
      </c>
      <c r="B956" s="3">
        <v>3.2610000000000001</v>
      </c>
      <c r="E956" s="4502"/>
      <c r="F956" s="4502"/>
      <c r="G956" s="4502"/>
      <c r="H956" s="4502"/>
      <c r="I956" s="4502"/>
      <c r="J956" s="4502"/>
      <c r="K956" s="4502"/>
      <c r="L956" s="4502"/>
      <c r="M956" s="4502"/>
    </row>
    <row r="957" spans="1:13" hidden="1">
      <c r="A957" s="4501" t="s">
        <v>7688</v>
      </c>
      <c r="B957" s="3">
        <v>3.2829999999999999</v>
      </c>
      <c r="E957" s="4502"/>
      <c r="F957" s="4502"/>
      <c r="G957" s="4502"/>
      <c r="H957" s="4502"/>
      <c r="I957" s="4502"/>
      <c r="J957" s="4502"/>
      <c r="K957" s="4502"/>
      <c r="L957" s="4502"/>
      <c r="M957" s="4502"/>
    </row>
    <row r="958" spans="1:13" hidden="1">
      <c r="A958" s="4501" t="s">
        <v>7689</v>
      </c>
      <c r="B958" s="3">
        <v>3.3530000000000002</v>
      </c>
      <c r="E958" s="4502"/>
      <c r="F958" s="4502"/>
      <c r="G958" s="4502"/>
      <c r="H958" s="4502"/>
      <c r="I958" s="4502"/>
      <c r="J958" s="4502"/>
      <c r="K958" s="4502"/>
      <c r="L958" s="4502"/>
      <c r="M958" s="4502"/>
    </row>
    <row r="959" spans="1:13" hidden="1">
      <c r="A959" s="4501" t="s">
        <v>7690</v>
      </c>
      <c r="B959" s="3">
        <v>3.1480000000000001</v>
      </c>
      <c r="E959" s="4502"/>
      <c r="F959" s="4502"/>
      <c r="G959" s="4502"/>
      <c r="H959" s="4502"/>
      <c r="I959" s="4502"/>
      <c r="J959" s="4502"/>
      <c r="K959" s="4502"/>
      <c r="L959" s="4502"/>
      <c r="M959" s="4502"/>
    </row>
    <row r="960" spans="1:13" hidden="1">
      <c r="A960" s="4501" t="s">
        <v>7691</v>
      </c>
      <c r="B960" s="3">
        <v>3.1480000000000001</v>
      </c>
      <c r="E960" s="4502"/>
      <c r="F960" s="4502"/>
      <c r="G960" s="4502"/>
      <c r="H960" s="4502"/>
      <c r="I960" s="4502"/>
      <c r="J960" s="4502"/>
      <c r="K960" s="4502"/>
      <c r="L960" s="4502"/>
      <c r="M960" s="4502"/>
    </row>
    <row r="961" spans="1:13" hidden="1">
      <c r="A961" s="4501" t="s">
        <v>7692</v>
      </c>
      <c r="B961" s="3">
        <v>3.1480000000000001</v>
      </c>
      <c r="E961" s="4502"/>
      <c r="F961" s="4502"/>
      <c r="G961" s="4502"/>
      <c r="H961" s="4502"/>
      <c r="I961" s="4502"/>
      <c r="J961" s="4502"/>
      <c r="K961" s="4502"/>
      <c r="L961" s="4502"/>
      <c r="M961" s="4502"/>
    </row>
    <row r="962" spans="1:13" hidden="1">
      <c r="A962" s="4501" t="s">
        <v>7693</v>
      </c>
      <c r="B962" s="3">
        <v>2.851</v>
      </c>
      <c r="E962" s="4502"/>
      <c r="F962" s="4502"/>
      <c r="G962" s="4502"/>
      <c r="H962" s="4502"/>
      <c r="I962" s="4502"/>
      <c r="J962" s="4502"/>
      <c r="K962" s="4502"/>
      <c r="L962" s="4502"/>
      <c r="M962" s="4502"/>
    </row>
    <row r="963" spans="1:13" hidden="1">
      <c r="A963" s="4501" t="s">
        <v>7694</v>
      </c>
      <c r="B963" s="3">
        <v>2.851</v>
      </c>
      <c r="E963" s="4502"/>
      <c r="F963" s="4502"/>
      <c r="G963" s="4502"/>
      <c r="H963" s="4502"/>
      <c r="I963" s="4502"/>
      <c r="J963" s="4502"/>
      <c r="K963" s="4502"/>
      <c r="L963" s="4502"/>
      <c r="M963" s="4502"/>
    </row>
    <row r="964" spans="1:13" hidden="1">
      <c r="A964" s="4501" t="s">
        <v>7695</v>
      </c>
      <c r="B964" s="3">
        <v>2.8290000000000002</v>
      </c>
      <c r="E964" s="4502"/>
      <c r="F964" s="4502"/>
      <c r="G964" s="4502"/>
      <c r="H964" s="4502"/>
      <c r="I964" s="4502"/>
      <c r="J964" s="4502"/>
      <c r="K964" s="4502"/>
      <c r="L964" s="4502"/>
      <c r="M964" s="4502"/>
    </row>
    <row r="965" spans="1:13" hidden="1">
      <c r="A965" s="4501" t="s">
        <v>7696</v>
      </c>
      <c r="B965" s="3">
        <v>2.8119999999999998</v>
      </c>
      <c r="E965" s="4502"/>
      <c r="F965" s="4502"/>
      <c r="G965" s="4502"/>
      <c r="H965" s="4502"/>
      <c r="I965" s="4502"/>
      <c r="J965" s="4502"/>
      <c r="K965" s="4502"/>
      <c r="L965" s="4502"/>
      <c r="M965" s="4502"/>
    </row>
    <row r="966" spans="1:13" hidden="1">
      <c r="A966" s="4501" t="s">
        <v>7697</v>
      </c>
      <c r="B966" s="3">
        <v>2.9049999999999998</v>
      </c>
      <c r="E966" s="4502"/>
      <c r="F966" s="4502"/>
      <c r="G966" s="4502"/>
      <c r="H966" s="4502"/>
      <c r="I966" s="4502"/>
      <c r="J966" s="4502"/>
      <c r="K966" s="4502"/>
      <c r="L966" s="4502"/>
      <c r="M966" s="4502"/>
    </row>
    <row r="967" spans="1:13" hidden="1">
      <c r="A967" s="4501" t="s">
        <v>7698</v>
      </c>
      <c r="B967" s="3">
        <v>2.9049999999999998</v>
      </c>
      <c r="E967" s="4502"/>
      <c r="F967" s="4502"/>
      <c r="G967" s="4502"/>
      <c r="H967" s="4502"/>
      <c r="I967" s="4502"/>
      <c r="J967" s="4502"/>
      <c r="K967" s="4502"/>
      <c r="L967" s="4502"/>
      <c r="M967" s="4502"/>
    </row>
    <row r="968" spans="1:13" hidden="1">
      <c r="A968" s="4501" t="s">
        <v>7699</v>
      </c>
      <c r="B968" s="3">
        <v>2.9049999999999998</v>
      </c>
      <c r="E968" s="4502"/>
      <c r="F968" s="4502"/>
      <c r="G968" s="4502"/>
      <c r="H968" s="4502"/>
      <c r="I968" s="4502"/>
      <c r="J968" s="4502"/>
      <c r="K968" s="4502"/>
      <c r="L968" s="4502"/>
      <c r="M968" s="4502"/>
    </row>
    <row r="969" spans="1:13" hidden="1">
      <c r="A969" s="4501" t="s">
        <v>7700</v>
      </c>
      <c r="B969" s="3">
        <v>2.847</v>
      </c>
      <c r="E969" s="4502"/>
      <c r="F969" s="4502"/>
      <c r="G969" s="4502"/>
      <c r="H969" s="4502"/>
      <c r="I969" s="4502"/>
      <c r="J969" s="4502"/>
      <c r="K969" s="4502"/>
      <c r="L969" s="4502"/>
      <c r="M969" s="4502"/>
    </row>
    <row r="970" spans="1:13" hidden="1">
      <c r="A970" s="4501" t="s">
        <v>7701</v>
      </c>
      <c r="B970" s="3">
        <v>2.835</v>
      </c>
      <c r="E970" s="4502"/>
      <c r="F970" s="4502"/>
      <c r="G970" s="4502"/>
      <c r="H970" s="4502"/>
      <c r="I970" s="4502"/>
      <c r="J970" s="4502"/>
      <c r="K970" s="4502"/>
      <c r="L970" s="4502"/>
      <c r="M970" s="4502"/>
    </row>
    <row r="971" spans="1:13" hidden="1">
      <c r="A971" s="4501" t="s">
        <v>7702</v>
      </c>
      <c r="B971" s="3">
        <v>2.84</v>
      </c>
      <c r="E971" s="4502"/>
      <c r="F971" s="4502"/>
      <c r="G971" s="4502"/>
      <c r="H971" s="4502"/>
      <c r="I971" s="4502"/>
      <c r="J971" s="4502"/>
      <c r="K971" s="4502"/>
      <c r="L971" s="4502"/>
      <c r="M971" s="4502"/>
    </row>
    <row r="972" spans="1:13" hidden="1">
      <c r="A972" s="4501" t="s">
        <v>7703</v>
      </c>
      <c r="B972" s="3">
        <v>2.8130000000000002</v>
      </c>
      <c r="E972" s="4502"/>
      <c r="F972" s="4502"/>
      <c r="G972" s="4502"/>
      <c r="H972" s="4502"/>
      <c r="I972" s="4502"/>
      <c r="J972" s="4502"/>
      <c r="K972" s="4502"/>
      <c r="L972" s="4502"/>
      <c r="M972" s="4502"/>
    </row>
    <row r="973" spans="1:13" hidden="1">
      <c r="A973" s="4501" t="s">
        <v>7704</v>
      </c>
      <c r="B973" s="3">
        <v>2.9449999999999998</v>
      </c>
      <c r="E973" s="4502"/>
      <c r="F973" s="4502"/>
      <c r="G973" s="4502"/>
      <c r="H973" s="4502"/>
      <c r="I973" s="4502"/>
      <c r="J973" s="4502"/>
      <c r="K973" s="4502"/>
      <c r="L973" s="4502"/>
      <c r="M973" s="4502"/>
    </row>
    <row r="974" spans="1:13" hidden="1">
      <c r="A974" s="4501" t="s">
        <v>7705</v>
      </c>
      <c r="B974" s="3">
        <v>2.9449999999999998</v>
      </c>
      <c r="E974" s="4502"/>
      <c r="F974" s="4502"/>
      <c r="G974" s="4502"/>
      <c r="H974" s="4502"/>
      <c r="I974" s="4502"/>
      <c r="J974" s="4502"/>
      <c r="K974" s="4502"/>
      <c r="L974" s="4502"/>
      <c r="M974" s="4502"/>
    </row>
    <row r="975" spans="1:13" hidden="1">
      <c r="A975" s="4501" t="s">
        <v>7706</v>
      </c>
      <c r="B975" s="3">
        <v>2.9449999999999998</v>
      </c>
      <c r="E975" s="4502"/>
      <c r="F975" s="4502"/>
      <c r="G975" s="4502"/>
      <c r="H975" s="4502"/>
      <c r="I975" s="4502"/>
      <c r="J975" s="4502"/>
      <c r="K975" s="4502"/>
      <c r="L975" s="4502"/>
      <c r="M975" s="4502"/>
    </row>
    <row r="976" spans="1:13" hidden="1">
      <c r="A976" s="4501" t="s">
        <v>7707</v>
      </c>
      <c r="B976" s="3">
        <v>3.2890000000000001</v>
      </c>
      <c r="E976" s="4502"/>
      <c r="F976" s="4502"/>
      <c r="G976" s="4502"/>
      <c r="H976" s="4502"/>
      <c r="I976" s="4502"/>
      <c r="J976" s="4502"/>
      <c r="K976" s="4502"/>
      <c r="L976" s="4502"/>
      <c r="M976" s="4502"/>
    </row>
    <row r="977" spans="1:13" hidden="1">
      <c r="A977" s="4501" t="s">
        <v>7708</v>
      </c>
      <c r="B977" s="3">
        <v>3.2490000000000001</v>
      </c>
      <c r="E977" s="4502"/>
      <c r="F977" s="4502"/>
      <c r="G977" s="4502"/>
      <c r="H977" s="4502"/>
      <c r="I977" s="4502"/>
      <c r="J977" s="4502"/>
      <c r="K977" s="4502"/>
      <c r="L977" s="4502"/>
      <c r="M977" s="4502"/>
    </row>
    <row r="978" spans="1:13" hidden="1">
      <c r="A978" s="4501" t="s">
        <v>7709</v>
      </c>
      <c r="B978" s="3">
        <v>3.1469999999999998</v>
      </c>
      <c r="E978" s="4502"/>
      <c r="F978" s="4502"/>
      <c r="G978" s="4502"/>
      <c r="H978" s="4502"/>
      <c r="I978" s="4502"/>
      <c r="J978" s="4502"/>
      <c r="K978" s="4502"/>
      <c r="L978" s="4502"/>
      <c r="M978" s="4502"/>
    </row>
    <row r="979" spans="1:13" hidden="1">
      <c r="A979" s="4501" t="s">
        <v>7710</v>
      </c>
      <c r="B979" s="3">
        <v>3.1739999999999999</v>
      </c>
      <c r="E979" s="4502"/>
      <c r="F979" s="4502"/>
      <c r="G979" s="4502"/>
      <c r="H979" s="4502"/>
      <c r="I979" s="4502"/>
      <c r="J979" s="4502"/>
      <c r="K979" s="4502"/>
      <c r="L979" s="4502"/>
      <c r="M979" s="4502"/>
    </row>
    <row r="980" spans="1:13" hidden="1">
      <c r="A980" s="4501" t="s">
        <v>7711</v>
      </c>
      <c r="B980" s="3">
        <v>3.2389999999999999</v>
      </c>
      <c r="E980" s="4502"/>
      <c r="F980" s="4502"/>
      <c r="G980" s="4502"/>
      <c r="H980" s="4502"/>
      <c r="I980" s="4502"/>
      <c r="J980" s="4502"/>
      <c r="K980" s="4502"/>
      <c r="L980" s="4502"/>
      <c r="M980" s="4502"/>
    </row>
    <row r="981" spans="1:13" hidden="1">
      <c r="A981" s="4501" t="s">
        <v>7712</v>
      </c>
      <c r="B981" s="3">
        <v>3.2389999999999999</v>
      </c>
      <c r="E981" s="4502"/>
      <c r="F981" s="4502"/>
      <c r="G981" s="4502"/>
      <c r="H981" s="4502"/>
      <c r="I981" s="4502"/>
      <c r="J981" s="4502"/>
      <c r="K981" s="4502"/>
      <c r="L981" s="4502"/>
      <c r="M981" s="4502"/>
    </row>
    <row r="982" spans="1:13" hidden="1">
      <c r="A982" s="4501" t="s">
        <v>7713</v>
      </c>
      <c r="B982" s="3">
        <v>3.2389999999999999</v>
      </c>
      <c r="E982" s="4502"/>
      <c r="F982" s="4502"/>
      <c r="G982" s="4502"/>
      <c r="H982" s="4502"/>
      <c r="I982" s="4502"/>
      <c r="J982" s="4502"/>
      <c r="K982" s="4502"/>
      <c r="L982" s="4502"/>
      <c r="M982" s="4502"/>
    </row>
    <row r="983" spans="1:13" hidden="1">
      <c r="A983" s="4501" t="s">
        <v>7714</v>
      </c>
      <c r="B983" s="3">
        <v>3.2389999999999999</v>
      </c>
      <c r="E983" s="4502"/>
      <c r="F983" s="4502"/>
      <c r="G983" s="4502"/>
      <c r="H983" s="4502"/>
      <c r="I983" s="4502"/>
      <c r="J983" s="4502"/>
      <c r="K983" s="4502"/>
      <c r="L983" s="4502"/>
      <c r="M983" s="4502"/>
    </row>
    <row r="984" spans="1:13" hidden="1">
      <c r="A984" s="4501" t="s">
        <v>7715</v>
      </c>
      <c r="B984" s="3">
        <v>2.972</v>
      </c>
      <c r="E984" s="4502"/>
      <c r="F984" s="4502"/>
      <c r="G984" s="4502"/>
      <c r="H984" s="4502"/>
      <c r="I984" s="4502"/>
      <c r="J984" s="4502"/>
      <c r="K984" s="4502"/>
      <c r="L984" s="4502"/>
      <c r="M984" s="4502"/>
    </row>
    <row r="985" spans="1:13" hidden="1">
      <c r="A985" s="4501" t="s">
        <v>7716</v>
      </c>
      <c r="B985" s="3">
        <v>2.9220000000000002</v>
      </c>
      <c r="E985" s="4502"/>
      <c r="F985" s="4502"/>
      <c r="G985" s="4502"/>
      <c r="H985" s="4502"/>
      <c r="I985" s="4502"/>
      <c r="J985" s="4502"/>
      <c r="K985" s="4502"/>
      <c r="L985" s="4502"/>
      <c r="M985" s="4502"/>
    </row>
    <row r="986" spans="1:13" hidden="1">
      <c r="A986" s="4501" t="s">
        <v>7717</v>
      </c>
      <c r="B986" s="3">
        <v>2.9980000000000002</v>
      </c>
      <c r="E986" s="4502"/>
      <c r="F986" s="4502"/>
      <c r="G986" s="4502"/>
      <c r="H986" s="4502"/>
      <c r="I986" s="4502"/>
      <c r="J986" s="4502"/>
      <c r="K986" s="4502"/>
      <c r="L986" s="4502"/>
      <c r="M986" s="4502"/>
    </row>
    <row r="987" spans="1:13" hidden="1">
      <c r="A987" s="4501" t="s">
        <v>7718</v>
      </c>
      <c r="B987" s="3">
        <v>3.0720000000000001</v>
      </c>
      <c r="E987" s="4502"/>
      <c r="F987" s="4502"/>
      <c r="G987" s="4502"/>
      <c r="H987" s="4502"/>
      <c r="I987" s="4502"/>
      <c r="J987" s="4502"/>
      <c r="K987" s="4502"/>
      <c r="L987" s="4502"/>
      <c r="M987" s="4502"/>
    </row>
    <row r="988" spans="1:13" hidden="1">
      <c r="A988" s="4501" t="s">
        <v>7719</v>
      </c>
      <c r="B988" s="3">
        <v>3.0720000000000001</v>
      </c>
      <c r="E988" s="4502"/>
      <c r="F988" s="4502"/>
      <c r="G988" s="4502"/>
      <c r="H988" s="4502"/>
      <c r="I988" s="4502"/>
      <c r="J988" s="4502"/>
      <c r="K988" s="4502"/>
      <c r="L988" s="4502"/>
      <c r="M988" s="4502"/>
    </row>
    <row r="989" spans="1:13" hidden="1">
      <c r="A989" s="4501" t="s">
        <v>7720</v>
      </c>
      <c r="B989" s="3">
        <v>3.0720000000000001</v>
      </c>
      <c r="E989" s="4502"/>
      <c r="F989" s="4502"/>
      <c r="G989" s="4502"/>
      <c r="H989" s="4502"/>
      <c r="I989" s="4502"/>
      <c r="J989" s="4502"/>
      <c r="K989" s="4502"/>
      <c r="L989" s="4502"/>
      <c r="M989" s="4502"/>
    </row>
    <row r="990" spans="1:13" hidden="1">
      <c r="A990" s="4501" t="s">
        <v>7721</v>
      </c>
      <c r="B990" s="3">
        <v>2.8730000000000002</v>
      </c>
      <c r="E990" s="4502"/>
      <c r="F990" s="4502"/>
      <c r="G990" s="4502"/>
      <c r="H990" s="4502"/>
      <c r="I990" s="4502"/>
      <c r="J990" s="4502"/>
      <c r="K990" s="4502"/>
      <c r="L990" s="4502"/>
      <c r="M990" s="4502"/>
    </row>
    <row r="991" spans="1:13" hidden="1">
      <c r="A991" s="4501" t="s">
        <v>7722</v>
      </c>
      <c r="B991" s="3">
        <v>2.903</v>
      </c>
      <c r="E991" s="4502"/>
      <c r="F991" s="4502"/>
      <c r="G991" s="4502"/>
      <c r="H991" s="4502"/>
      <c r="I991" s="4502"/>
      <c r="J991" s="4502"/>
      <c r="K991" s="4502"/>
      <c r="L991" s="4502"/>
      <c r="M991" s="4502"/>
    </row>
    <row r="992" spans="1:13" hidden="1">
      <c r="A992" s="4501" t="s">
        <v>7723</v>
      </c>
      <c r="B992" s="3">
        <v>2.8540000000000001</v>
      </c>
      <c r="E992" s="4502"/>
      <c r="F992" s="4502"/>
      <c r="G992" s="4502"/>
      <c r="H992" s="4502"/>
      <c r="I992" s="4502"/>
      <c r="J992" s="4502"/>
      <c r="K992" s="4502"/>
      <c r="L992" s="4502"/>
      <c r="M992" s="4502"/>
    </row>
    <row r="993" spans="1:13" hidden="1">
      <c r="A993" s="4501" t="s">
        <v>7724</v>
      </c>
      <c r="B993" s="3">
        <v>2.8140000000000001</v>
      </c>
      <c r="E993" s="4502"/>
      <c r="F993" s="4502"/>
      <c r="G993" s="4502"/>
      <c r="H993" s="4502"/>
      <c r="I993" s="4502"/>
      <c r="J993" s="4502"/>
      <c r="K993" s="4502"/>
      <c r="L993" s="4502"/>
      <c r="M993" s="4502"/>
    </row>
    <row r="994" spans="1:13" hidden="1">
      <c r="A994" s="4501" t="s">
        <v>7725</v>
      </c>
      <c r="B994" s="3">
        <v>2.734</v>
      </c>
      <c r="E994" s="4502"/>
      <c r="F994" s="4502"/>
      <c r="G994" s="4502"/>
      <c r="H994" s="4502"/>
      <c r="I994" s="4502"/>
      <c r="J994" s="4502"/>
      <c r="K994" s="4502"/>
      <c r="L994" s="4502"/>
      <c r="M994" s="4502"/>
    </row>
    <row r="995" spans="1:13" hidden="1">
      <c r="A995" s="4501" t="s">
        <v>7726</v>
      </c>
      <c r="B995" s="3">
        <v>2.734</v>
      </c>
      <c r="E995" s="4502"/>
      <c r="F995" s="4502"/>
      <c r="G995" s="4502"/>
      <c r="H995" s="4502"/>
      <c r="I995" s="4502"/>
      <c r="J995" s="4502"/>
      <c r="K995" s="4502"/>
      <c r="L995" s="4502"/>
      <c r="M995" s="4502"/>
    </row>
    <row r="996" spans="1:13" hidden="1">
      <c r="A996" s="4501" t="s">
        <v>7727</v>
      </c>
      <c r="B996" s="3">
        <v>2.734</v>
      </c>
      <c r="E996" s="4502"/>
      <c r="F996" s="4502"/>
      <c r="G996" s="4502"/>
      <c r="H996" s="4502"/>
      <c r="I996" s="4502"/>
      <c r="J996" s="4502"/>
      <c r="K996" s="4502"/>
      <c r="L996" s="4502"/>
      <c r="M996" s="4502"/>
    </row>
    <row r="997" spans="1:13" hidden="1">
      <c r="A997" s="4501" t="s">
        <v>7728</v>
      </c>
      <c r="B997" s="3">
        <v>2.66</v>
      </c>
      <c r="E997" s="4502"/>
      <c r="F997" s="4502"/>
      <c r="G997" s="4502"/>
      <c r="H997" s="4502"/>
      <c r="I997" s="4502"/>
      <c r="J997" s="4502"/>
      <c r="K997" s="4502"/>
      <c r="L997" s="4502"/>
      <c r="M997" s="4502"/>
    </row>
    <row r="998" spans="1:13" hidden="1">
      <c r="A998" s="4501" t="s">
        <v>7729</v>
      </c>
      <c r="B998" s="3">
        <v>2.6619999999999999</v>
      </c>
      <c r="E998" s="4502"/>
      <c r="F998" s="4502"/>
      <c r="G998" s="4502"/>
      <c r="H998" s="4502"/>
      <c r="I998" s="4502"/>
      <c r="J998" s="4502"/>
      <c r="K998" s="4502"/>
      <c r="L998" s="4502"/>
      <c r="M998" s="4502"/>
    </row>
    <row r="999" spans="1:13" hidden="1">
      <c r="A999" s="4501" t="s">
        <v>7730</v>
      </c>
      <c r="B999" s="3">
        <v>2.6619999999999999</v>
      </c>
      <c r="E999" s="4502"/>
      <c r="F999" s="4502"/>
      <c r="G999" s="4502"/>
      <c r="H999" s="4502"/>
      <c r="I999" s="4502"/>
      <c r="J999" s="4502"/>
      <c r="K999" s="4502"/>
      <c r="L999" s="4502"/>
      <c r="M999" s="4502"/>
    </row>
    <row r="1000" spans="1:13" hidden="1">
      <c r="A1000" s="4501" t="s">
        <v>7731</v>
      </c>
      <c r="B1000" s="3">
        <v>2.5510000000000002</v>
      </c>
      <c r="E1000" s="4502"/>
      <c r="F1000" s="4502"/>
      <c r="G1000" s="4502"/>
      <c r="H1000" s="4502"/>
      <c r="I1000" s="4502"/>
      <c r="J1000" s="4502"/>
      <c r="K1000" s="4502"/>
      <c r="L1000" s="4502"/>
      <c r="M1000" s="4502"/>
    </row>
    <row r="1001" spans="1:13" hidden="1">
      <c r="A1001" s="4501" t="s">
        <v>7732</v>
      </c>
      <c r="B1001" s="3">
        <v>2.5830000000000002</v>
      </c>
      <c r="E1001" s="4502"/>
      <c r="F1001" s="4502"/>
      <c r="G1001" s="4502"/>
      <c r="H1001" s="4502"/>
      <c r="I1001" s="4502"/>
      <c r="J1001" s="4502"/>
      <c r="K1001" s="4502"/>
      <c r="L1001" s="4502"/>
      <c r="M1001" s="4502"/>
    </row>
    <row r="1002" spans="1:13" hidden="1">
      <c r="A1002" s="4501" t="s">
        <v>7733</v>
      </c>
      <c r="B1002" s="3">
        <v>2.5830000000000002</v>
      </c>
      <c r="E1002" s="4502"/>
      <c r="F1002" s="4502"/>
      <c r="G1002" s="4502"/>
      <c r="H1002" s="4502"/>
      <c r="I1002" s="4502"/>
      <c r="J1002" s="4502"/>
      <c r="K1002" s="4502"/>
      <c r="L1002" s="4502"/>
      <c r="M1002" s="4502"/>
    </row>
    <row r="1003" spans="1:13" hidden="1">
      <c r="A1003" s="4501" t="s">
        <v>7734</v>
      </c>
      <c r="B1003" s="3">
        <v>2.5830000000000002</v>
      </c>
      <c r="E1003" s="4502"/>
      <c r="F1003" s="4502"/>
      <c r="G1003" s="4502"/>
      <c r="H1003" s="4502"/>
      <c r="I1003" s="4502"/>
      <c r="J1003" s="4502"/>
      <c r="K1003" s="4502"/>
      <c r="L1003" s="4502"/>
      <c r="M1003" s="4502"/>
    </row>
    <row r="1004" spans="1:13" hidden="1">
      <c r="A1004" s="4501" t="s">
        <v>7735</v>
      </c>
      <c r="B1004" s="3">
        <v>2.6419999999999999</v>
      </c>
      <c r="E1004" s="4502"/>
      <c r="F1004" s="4502"/>
      <c r="G1004" s="4502"/>
      <c r="H1004" s="4502"/>
      <c r="I1004" s="4502"/>
      <c r="J1004" s="4502"/>
      <c r="K1004" s="4502"/>
      <c r="L1004" s="4502"/>
      <c r="M1004" s="4502"/>
    </row>
    <row r="1005" spans="1:13" hidden="1">
      <c r="A1005" s="4501" t="s">
        <v>7736</v>
      </c>
      <c r="B1005" s="3">
        <v>2.6880000000000002</v>
      </c>
      <c r="E1005" s="4502"/>
      <c r="F1005" s="4502"/>
      <c r="G1005" s="4502"/>
      <c r="H1005" s="4502"/>
      <c r="I1005" s="4502"/>
      <c r="J1005" s="4502"/>
      <c r="K1005" s="4502"/>
      <c r="L1005" s="4502"/>
      <c r="M1005" s="4502"/>
    </row>
    <row r="1006" spans="1:13" hidden="1">
      <c r="A1006" s="4501" t="s">
        <v>7737</v>
      </c>
      <c r="B1006" s="3">
        <v>2.621</v>
      </c>
      <c r="E1006" s="4502"/>
      <c r="F1006" s="4502"/>
      <c r="G1006" s="4502"/>
      <c r="H1006" s="4502"/>
      <c r="I1006" s="4502"/>
      <c r="J1006" s="4502"/>
      <c r="K1006" s="4502"/>
      <c r="L1006" s="4502"/>
      <c r="M1006" s="4502"/>
    </row>
    <row r="1007" spans="1:13" hidden="1">
      <c r="A1007" s="4501" t="s">
        <v>7738</v>
      </c>
      <c r="B1007" s="3">
        <v>2.61</v>
      </c>
      <c r="E1007" s="4502"/>
      <c r="F1007" s="4502"/>
      <c r="G1007" s="4502"/>
      <c r="H1007" s="4502"/>
      <c r="I1007" s="4502"/>
      <c r="J1007" s="4502"/>
      <c r="K1007" s="4502"/>
      <c r="L1007" s="4502"/>
      <c r="M1007" s="4502"/>
    </row>
    <row r="1008" spans="1:13" hidden="1">
      <c r="A1008" s="4501" t="s">
        <v>7739</v>
      </c>
      <c r="B1008" s="3">
        <v>2.6560000000000001</v>
      </c>
      <c r="E1008" s="4502"/>
      <c r="F1008" s="4502"/>
      <c r="G1008" s="4502"/>
      <c r="H1008" s="4502"/>
      <c r="I1008" s="4502"/>
      <c r="J1008" s="4502"/>
      <c r="K1008" s="4502"/>
      <c r="L1008" s="4502"/>
      <c r="M1008" s="4502"/>
    </row>
    <row r="1009" spans="1:13" hidden="1">
      <c r="A1009" s="4501" t="s">
        <v>7740</v>
      </c>
      <c r="B1009" s="3">
        <v>2.6560000000000001</v>
      </c>
      <c r="E1009" s="4502"/>
      <c r="F1009" s="4502"/>
      <c r="G1009" s="4502"/>
      <c r="H1009" s="4502"/>
      <c r="I1009" s="4502"/>
      <c r="J1009" s="4502"/>
      <c r="K1009" s="4502"/>
      <c r="L1009" s="4502"/>
      <c r="M1009" s="4502"/>
    </row>
    <row r="1010" spans="1:13" hidden="1">
      <c r="A1010" s="4501" t="s">
        <v>7741</v>
      </c>
      <c r="B1010" s="3">
        <v>2.6560000000000001</v>
      </c>
      <c r="E1010" s="4502"/>
      <c r="F1010" s="4502"/>
      <c r="G1010" s="4502"/>
      <c r="H1010" s="4502"/>
      <c r="I1010" s="4502"/>
      <c r="J1010" s="4502"/>
      <c r="K1010" s="4502"/>
      <c r="L1010" s="4502"/>
      <c r="M1010" s="4502"/>
    </row>
    <row r="1011" spans="1:13" hidden="1">
      <c r="A1011" s="4501" t="s">
        <v>7742</v>
      </c>
      <c r="B1011" s="3">
        <v>2.6560000000000001</v>
      </c>
      <c r="E1011" s="4502"/>
      <c r="F1011" s="4502"/>
      <c r="G1011" s="4502"/>
      <c r="H1011" s="4502"/>
      <c r="I1011" s="4502"/>
      <c r="J1011" s="4502"/>
      <c r="K1011" s="4502"/>
      <c r="L1011" s="4502"/>
      <c r="M1011" s="4502"/>
    </row>
    <row r="1012" spans="1:13" hidden="1">
      <c r="A1012" s="4501" t="s">
        <v>7743</v>
      </c>
      <c r="B1012" s="3">
        <v>2.6970000000000001</v>
      </c>
      <c r="E1012" s="4502"/>
      <c r="F1012" s="4502"/>
      <c r="G1012" s="4502"/>
      <c r="H1012" s="4502"/>
      <c r="I1012" s="4502"/>
      <c r="J1012" s="4502"/>
      <c r="K1012" s="4502"/>
      <c r="L1012" s="4502"/>
      <c r="M1012" s="4502"/>
    </row>
    <row r="1013" spans="1:13" hidden="1">
      <c r="A1013" s="4501" t="s">
        <v>7744</v>
      </c>
      <c r="B1013" s="3">
        <v>2.669</v>
      </c>
      <c r="E1013" s="4502"/>
      <c r="F1013" s="4502"/>
      <c r="G1013" s="4502"/>
      <c r="H1013" s="4502"/>
      <c r="I1013" s="4502"/>
      <c r="J1013" s="4502"/>
      <c r="K1013" s="4502"/>
      <c r="L1013" s="4502"/>
      <c r="M1013" s="4502"/>
    </row>
    <row r="1014" spans="1:13" hidden="1">
      <c r="A1014" s="4501" t="s">
        <v>7745</v>
      </c>
      <c r="B1014" s="3">
        <v>2.7240000000000002</v>
      </c>
      <c r="E1014" s="4502"/>
      <c r="F1014" s="4502"/>
      <c r="G1014" s="4502"/>
      <c r="H1014" s="4502"/>
      <c r="I1014" s="4502"/>
      <c r="J1014" s="4502"/>
      <c r="K1014" s="4502"/>
      <c r="L1014" s="4502"/>
      <c r="M1014" s="4502"/>
    </row>
    <row r="1015" spans="1:13" hidden="1">
      <c r="A1015" s="4501" t="s">
        <v>7746</v>
      </c>
      <c r="B1015" s="3">
        <v>2.7389999999999999</v>
      </c>
      <c r="E1015" s="4502"/>
      <c r="F1015" s="4502"/>
      <c r="G1015" s="4502"/>
      <c r="H1015" s="4502"/>
      <c r="I1015" s="4502"/>
      <c r="J1015" s="4502"/>
      <c r="K1015" s="4502"/>
      <c r="L1015" s="4502"/>
      <c r="M1015" s="4502"/>
    </row>
    <row r="1016" spans="1:13" hidden="1">
      <c r="A1016" s="4501" t="s">
        <v>7747</v>
      </c>
      <c r="B1016" s="3">
        <v>2.7389999999999999</v>
      </c>
      <c r="E1016" s="4502"/>
      <c r="F1016" s="4502"/>
      <c r="G1016" s="4502"/>
      <c r="H1016" s="4502"/>
      <c r="I1016" s="4502"/>
      <c r="J1016" s="4502"/>
      <c r="K1016" s="4502"/>
      <c r="L1016" s="4502"/>
      <c r="M1016" s="4502"/>
    </row>
    <row r="1017" spans="1:13" hidden="1">
      <c r="A1017" s="4501" t="s">
        <v>7748</v>
      </c>
      <c r="B1017" s="3">
        <v>2.7389999999999999</v>
      </c>
      <c r="E1017" s="4502"/>
      <c r="F1017" s="4502"/>
      <c r="G1017" s="4502"/>
      <c r="H1017" s="4502"/>
      <c r="I1017" s="4502"/>
      <c r="J1017" s="4502"/>
      <c r="K1017" s="4502"/>
      <c r="L1017" s="4502"/>
      <c r="M1017" s="4502"/>
    </row>
    <row r="1018" spans="1:13" hidden="1">
      <c r="A1018" s="4501" t="s">
        <v>7749</v>
      </c>
      <c r="B1018" s="3">
        <v>2.8149999999999999</v>
      </c>
      <c r="E1018" s="4502"/>
      <c r="F1018" s="4502"/>
      <c r="G1018" s="4502"/>
      <c r="H1018" s="4502"/>
      <c r="I1018" s="4502"/>
      <c r="J1018" s="4502"/>
      <c r="K1018" s="4502"/>
      <c r="L1018" s="4502"/>
      <c r="M1018" s="4502"/>
    </row>
    <row r="1019" spans="1:13" hidden="1">
      <c r="A1019" s="4501" t="s">
        <v>7750</v>
      </c>
      <c r="B1019" s="3">
        <v>2.7959999999999998</v>
      </c>
      <c r="E1019" s="4502"/>
      <c r="F1019" s="4502"/>
      <c r="G1019" s="4502"/>
      <c r="H1019" s="4502"/>
      <c r="I1019" s="4502"/>
      <c r="J1019" s="4502"/>
      <c r="K1019" s="4502"/>
      <c r="L1019" s="4502"/>
      <c r="M1019" s="4502"/>
    </row>
    <row r="1020" spans="1:13" hidden="1">
      <c r="A1020" s="4501" t="s">
        <v>7751</v>
      </c>
      <c r="B1020" s="3">
        <v>2.7989999999999999</v>
      </c>
      <c r="E1020" s="4502"/>
      <c r="F1020" s="4502"/>
      <c r="G1020" s="4502"/>
      <c r="H1020" s="4502"/>
      <c r="I1020" s="4502"/>
      <c r="J1020" s="4502"/>
      <c r="K1020" s="4502"/>
      <c r="L1020" s="4502"/>
      <c r="M1020" s="4502"/>
    </row>
    <row r="1021" spans="1:13" hidden="1">
      <c r="A1021" s="4501" t="s">
        <v>7752</v>
      </c>
      <c r="B1021" s="3">
        <v>2.8119999999999998</v>
      </c>
      <c r="E1021" s="4502"/>
      <c r="F1021" s="4502"/>
      <c r="G1021" s="4502"/>
      <c r="H1021" s="4502"/>
      <c r="I1021" s="4502"/>
      <c r="J1021" s="4502"/>
      <c r="K1021" s="4502"/>
      <c r="L1021" s="4502"/>
      <c r="M1021" s="4502"/>
    </row>
    <row r="1022" spans="1:13" hidden="1">
      <c r="A1022" s="4501" t="s">
        <v>7753</v>
      </c>
      <c r="B1022" s="3">
        <v>2.859</v>
      </c>
      <c r="E1022" s="4502"/>
      <c r="F1022" s="4502"/>
      <c r="G1022" s="4502"/>
      <c r="H1022" s="4502"/>
      <c r="I1022" s="4502"/>
      <c r="J1022" s="4502"/>
      <c r="K1022" s="4502"/>
      <c r="L1022" s="4502"/>
      <c r="M1022" s="4502"/>
    </row>
    <row r="1023" spans="1:13" hidden="1">
      <c r="A1023" s="4501" t="s">
        <v>7754</v>
      </c>
      <c r="B1023" s="3">
        <v>2.859</v>
      </c>
      <c r="E1023" s="4502"/>
      <c r="F1023" s="4502"/>
      <c r="G1023" s="4502"/>
      <c r="H1023" s="4502"/>
      <c r="I1023" s="4502"/>
      <c r="J1023" s="4502"/>
      <c r="K1023" s="4502"/>
      <c r="L1023" s="4502"/>
      <c r="M1023" s="4502"/>
    </row>
    <row r="1024" spans="1:13" hidden="1">
      <c r="A1024" s="4501" t="s">
        <v>7755</v>
      </c>
      <c r="B1024" s="3">
        <v>2.859</v>
      </c>
      <c r="E1024" s="4502"/>
      <c r="F1024" s="4502"/>
      <c r="G1024" s="4502"/>
      <c r="H1024" s="4502"/>
      <c r="I1024" s="4502"/>
      <c r="J1024" s="4502"/>
      <c r="K1024" s="4502"/>
      <c r="L1024" s="4502"/>
      <c r="M1024" s="4502"/>
    </row>
    <row r="1025" spans="1:13" hidden="1">
      <c r="A1025" s="4501" t="s">
        <v>7756</v>
      </c>
      <c r="B1025" s="3">
        <v>2.8570000000000002</v>
      </c>
      <c r="E1025" s="4502"/>
      <c r="F1025" s="4502"/>
      <c r="G1025" s="4502"/>
      <c r="H1025" s="4502"/>
      <c r="I1025" s="4502"/>
      <c r="J1025" s="4502"/>
      <c r="K1025" s="4502"/>
      <c r="L1025" s="4502"/>
      <c r="M1025" s="4502"/>
    </row>
    <row r="1026" spans="1:13" hidden="1">
      <c r="A1026" s="4501" t="s">
        <v>7757</v>
      </c>
      <c r="B1026" s="3">
        <v>2.8839999999999999</v>
      </c>
      <c r="E1026" s="4502"/>
      <c r="F1026" s="4502"/>
      <c r="G1026" s="4502"/>
      <c r="H1026" s="4502"/>
      <c r="I1026" s="4502"/>
      <c r="J1026" s="4502"/>
      <c r="K1026" s="4502"/>
      <c r="L1026" s="4502"/>
      <c r="M1026" s="4502"/>
    </row>
    <row r="1027" spans="1:13" hidden="1">
      <c r="A1027" s="4501" t="s">
        <v>7758</v>
      </c>
      <c r="B1027" s="3">
        <v>2.8410000000000002</v>
      </c>
      <c r="E1027" s="4502"/>
      <c r="F1027" s="4502"/>
      <c r="G1027" s="4502"/>
      <c r="H1027" s="4502"/>
      <c r="I1027" s="4502"/>
      <c r="J1027" s="4502"/>
      <c r="K1027" s="4502"/>
      <c r="L1027" s="4502"/>
      <c r="M1027" s="4502"/>
    </row>
    <row r="1028" spans="1:13" hidden="1">
      <c r="A1028" s="4501" t="s">
        <v>7759</v>
      </c>
      <c r="B1028" s="3">
        <v>2.8719999999999999</v>
      </c>
      <c r="E1028" s="4502"/>
      <c r="F1028" s="4502"/>
      <c r="G1028" s="4502"/>
      <c r="H1028" s="4502"/>
      <c r="I1028" s="4502"/>
      <c r="J1028" s="4502"/>
      <c r="K1028" s="4502"/>
      <c r="L1028" s="4502"/>
      <c r="M1028" s="4502"/>
    </row>
    <row r="1029" spans="1:13" hidden="1">
      <c r="A1029" s="4501" t="s">
        <v>7760</v>
      </c>
      <c r="B1029" s="3">
        <v>2.87</v>
      </c>
      <c r="E1029" s="4502"/>
      <c r="F1029" s="4502"/>
      <c r="G1029" s="4502"/>
      <c r="H1029" s="4502"/>
      <c r="I1029" s="4502"/>
      <c r="J1029" s="4502"/>
      <c r="K1029" s="4502"/>
      <c r="L1029" s="4502"/>
      <c r="M1029" s="4502"/>
    </row>
    <row r="1030" spans="1:13" hidden="1">
      <c r="A1030" s="4501" t="s">
        <v>7761</v>
      </c>
      <c r="B1030" s="3">
        <v>2.87</v>
      </c>
      <c r="E1030" s="4502"/>
      <c r="F1030" s="4502"/>
      <c r="G1030" s="4502"/>
      <c r="H1030" s="4502"/>
      <c r="I1030" s="4502"/>
      <c r="J1030" s="4502"/>
      <c r="K1030" s="4502"/>
      <c r="L1030" s="4502"/>
      <c r="M1030" s="4502"/>
    </row>
    <row r="1031" spans="1:13" hidden="1">
      <c r="A1031" s="4501" t="s">
        <v>7762</v>
      </c>
      <c r="B1031" s="3">
        <v>2.87</v>
      </c>
      <c r="E1031" s="4502"/>
      <c r="F1031" s="4502"/>
      <c r="G1031" s="4502"/>
      <c r="H1031" s="4502"/>
      <c r="I1031" s="4502"/>
      <c r="J1031" s="4502"/>
      <c r="K1031" s="4502"/>
      <c r="L1031" s="4502"/>
      <c r="M1031" s="4502"/>
    </row>
    <row r="1032" spans="1:13" hidden="1">
      <c r="A1032" s="4501" t="s">
        <v>7763</v>
      </c>
      <c r="B1032" s="3">
        <v>2.7850000000000001</v>
      </c>
      <c r="E1032" s="4502"/>
      <c r="F1032" s="4502"/>
      <c r="G1032" s="4502"/>
      <c r="H1032" s="4502"/>
      <c r="I1032" s="4502"/>
      <c r="J1032" s="4502"/>
      <c r="K1032" s="4502"/>
      <c r="L1032" s="4502"/>
      <c r="M1032" s="4502"/>
    </row>
    <row r="1033" spans="1:13" hidden="1">
      <c r="A1033" s="4501" t="s">
        <v>7764</v>
      </c>
      <c r="B1033" s="3">
        <v>2.7970000000000002</v>
      </c>
      <c r="E1033" s="4502"/>
      <c r="F1033" s="4502"/>
      <c r="G1033" s="4502"/>
      <c r="H1033" s="4502"/>
      <c r="I1033" s="4502"/>
      <c r="J1033" s="4502"/>
      <c r="K1033" s="4502"/>
      <c r="L1033" s="4502"/>
      <c r="M1033" s="4502"/>
    </row>
    <row r="1034" spans="1:13" hidden="1">
      <c r="A1034" s="4501" t="s">
        <v>7765</v>
      </c>
      <c r="B1034" s="3">
        <v>2.8340000000000001</v>
      </c>
      <c r="E1034" s="4502"/>
      <c r="F1034" s="4502"/>
      <c r="G1034" s="4502"/>
      <c r="H1034" s="4502"/>
      <c r="I1034" s="4502"/>
      <c r="J1034" s="4502"/>
      <c r="K1034" s="4502"/>
      <c r="L1034" s="4502"/>
      <c r="M1034" s="4502"/>
    </row>
    <row r="1035" spans="1:13" hidden="1">
      <c r="A1035" s="4501" t="s">
        <v>7766</v>
      </c>
      <c r="B1035" s="3">
        <v>2.86</v>
      </c>
      <c r="E1035" s="4502"/>
      <c r="F1035" s="4502"/>
      <c r="G1035" s="4502"/>
      <c r="H1035" s="4502"/>
      <c r="I1035" s="4502"/>
      <c r="J1035" s="4502"/>
      <c r="K1035" s="4502"/>
      <c r="L1035" s="4502"/>
      <c r="M1035" s="4502"/>
    </row>
    <row r="1036" spans="1:13" hidden="1">
      <c r="A1036" s="4501" t="s">
        <v>7767</v>
      </c>
      <c r="B1036" s="3">
        <v>2.802</v>
      </c>
      <c r="E1036" s="4502"/>
      <c r="F1036" s="4502"/>
      <c r="G1036" s="4502"/>
      <c r="H1036" s="4502"/>
      <c r="I1036" s="4502"/>
      <c r="J1036" s="4502"/>
      <c r="K1036" s="4502"/>
      <c r="L1036" s="4502"/>
      <c r="M1036" s="4502"/>
    </row>
    <row r="1037" spans="1:13" hidden="1">
      <c r="A1037" s="4501" t="s">
        <v>7768</v>
      </c>
      <c r="B1037" s="3">
        <v>2.802</v>
      </c>
      <c r="E1037" s="4502"/>
      <c r="F1037" s="4502"/>
      <c r="G1037" s="4502"/>
      <c r="H1037" s="4502"/>
      <c r="I1037" s="4502"/>
      <c r="J1037" s="4502"/>
      <c r="K1037" s="4502"/>
      <c r="L1037" s="4502"/>
      <c r="M1037" s="4502"/>
    </row>
    <row r="1038" spans="1:13" hidden="1">
      <c r="A1038" s="4501" t="s">
        <v>7769</v>
      </c>
      <c r="B1038" s="3">
        <v>2.802</v>
      </c>
      <c r="E1038" s="4502"/>
      <c r="F1038" s="4502"/>
      <c r="G1038" s="4502"/>
      <c r="H1038" s="4502"/>
      <c r="I1038" s="4502"/>
      <c r="J1038" s="4502"/>
      <c r="K1038" s="4502"/>
      <c r="L1038" s="4502"/>
      <c r="M1038" s="4502"/>
    </row>
    <row r="1039" spans="1:13" hidden="1">
      <c r="A1039" s="4501" t="s">
        <v>7770</v>
      </c>
      <c r="B1039" s="3">
        <v>2.8559999999999999</v>
      </c>
      <c r="E1039" s="4502"/>
      <c r="F1039" s="4502"/>
      <c r="G1039" s="4502"/>
      <c r="H1039" s="4502"/>
      <c r="I1039" s="4502"/>
      <c r="J1039" s="4502"/>
      <c r="K1039" s="4502"/>
      <c r="L1039" s="4502"/>
      <c r="M1039" s="4502"/>
    </row>
    <row r="1040" spans="1:13" hidden="1">
      <c r="A1040" s="4501" t="s">
        <v>7771</v>
      </c>
      <c r="B1040" s="3">
        <v>2.8719999999999999</v>
      </c>
      <c r="E1040" s="4502"/>
      <c r="F1040" s="4502"/>
      <c r="G1040" s="4502"/>
      <c r="H1040" s="4502"/>
      <c r="I1040" s="4502"/>
      <c r="J1040" s="4502"/>
      <c r="K1040" s="4502"/>
      <c r="L1040" s="4502"/>
      <c r="M1040" s="4502"/>
    </row>
    <row r="1041" spans="1:13" hidden="1">
      <c r="A1041" s="4501" t="s">
        <v>7772</v>
      </c>
      <c r="B1041" s="3">
        <v>2.8250000000000002</v>
      </c>
      <c r="E1041" s="4502"/>
      <c r="F1041" s="4502"/>
      <c r="G1041" s="4502"/>
      <c r="H1041" s="4502"/>
      <c r="I1041" s="4502"/>
      <c r="J1041" s="4502"/>
      <c r="K1041" s="4502"/>
      <c r="L1041" s="4502"/>
      <c r="M1041" s="4502"/>
    </row>
    <row r="1042" spans="1:13" hidden="1">
      <c r="A1042" s="4501" t="s">
        <v>7773</v>
      </c>
      <c r="B1042" s="3">
        <v>2.827</v>
      </c>
      <c r="E1042" s="4502"/>
      <c r="F1042" s="4502"/>
      <c r="G1042" s="4502"/>
      <c r="H1042" s="4502"/>
      <c r="I1042" s="4502"/>
      <c r="J1042" s="4502"/>
      <c r="K1042" s="4502"/>
      <c r="L1042" s="4502"/>
      <c r="M1042" s="4502"/>
    </row>
    <row r="1043" spans="1:13" hidden="1">
      <c r="A1043" s="4501" t="s">
        <v>7774</v>
      </c>
      <c r="B1043" s="3">
        <v>2.7669999999999999</v>
      </c>
      <c r="E1043" s="4502"/>
      <c r="F1043" s="4502"/>
      <c r="G1043" s="4502"/>
      <c r="H1043" s="4502"/>
      <c r="I1043" s="4502"/>
      <c r="J1043" s="4502"/>
      <c r="K1043" s="4502"/>
      <c r="L1043" s="4502"/>
      <c r="M1043" s="4502"/>
    </row>
    <row r="1044" spans="1:13" hidden="1">
      <c r="A1044" s="4501" t="s">
        <v>7775</v>
      </c>
      <c r="B1044" s="3">
        <v>2.7669999999999999</v>
      </c>
      <c r="E1044" s="4502"/>
      <c r="F1044" s="4502"/>
      <c r="G1044" s="4502"/>
      <c r="H1044" s="4502"/>
      <c r="I1044" s="4502"/>
      <c r="J1044" s="4502"/>
      <c r="K1044" s="4502"/>
      <c r="L1044" s="4502"/>
      <c r="M1044" s="4502"/>
    </row>
    <row r="1045" spans="1:13" hidden="1">
      <c r="A1045" s="4501" t="s">
        <v>7776</v>
      </c>
      <c r="B1045" s="3">
        <v>2.7669999999999999</v>
      </c>
      <c r="E1045" s="4502"/>
      <c r="F1045" s="4502"/>
      <c r="G1045" s="4502"/>
      <c r="H1045" s="4502"/>
      <c r="I1045" s="4502"/>
      <c r="J1045" s="4502"/>
      <c r="K1045" s="4502"/>
      <c r="L1045" s="4502"/>
      <c r="M1045" s="4502"/>
    </row>
    <row r="1046" spans="1:13" hidden="1">
      <c r="A1046" s="4501" t="s">
        <v>7777</v>
      </c>
      <c r="B1046" s="3">
        <v>2.774</v>
      </c>
      <c r="E1046" s="4502"/>
      <c r="F1046" s="4502"/>
      <c r="G1046" s="4502"/>
      <c r="H1046" s="4502"/>
      <c r="I1046" s="4502"/>
      <c r="J1046" s="4502"/>
      <c r="K1046" s="4502"/>
      <c r="L1046" s="4502"/>
      <c r="M1046" s="4502"/>
    </row>
    <row r="1047" spans="1:13" hidden="1">
      <c r="A1047" s="4501" t="s">
        <v>7778</v>
      </c>
      <c r="B1047" s="3">
        <v>2.7509999999999999</v>
      </c>
      <c r="E1047" s="4502"/>
      <c r="F1047" s="4502"/>
      <c r="G1047" s="4502"/>
      <c r="H1047" s="4502"/>
      <c r="I1047" s="4502"/>
      <c r="J1047" s="4502"/>
      <c r="K1047" s="4502"/>
      <c r="L1047" s="4502"/>
      <c r="M1047" s="4502"/>
    </row>
    <row r="1048" spans="1:13" hidden="1">
      <c r="A1048" s="4501" t="s">
        <v>7779</v>
      </c>
      <c r="B1048" s="3">
        <v>2.7189999999999999</v>
      </c>
      <c r="E1048" s="4502"/>
      <c r="F1048" s="4502"/>
      <c r="G1048" s="4502"/>
      <c r="H1048" s="4502"/>
      <c r="I1048" s="4502"/>
      <c r="J1048" s="4502"/>
      <c r="K1048" s="4502"/>
      <c r="L1048" s="4502"/>
      <c r="M1048" s="4502"/>
    </row>
    <row r="1049" spans="1:13" hidden="1">
      <c r="A1049" s="4501" t="s">
        <v>7780</v>
      </c>
      <c r="B1049" s="3">
        <v>2.7120000000000002</v>
      </c>
      <c r="E1049" s="4502"/>
      <c r="F1049" s="4502"/>
      <c r="G1049" s="4502"/>
      <c r="H1049" s="4502"/>
      <c r="I1049" s="4502"/>
      <c r="J1049" s="4502"/>
      <c r="K1049" s="4502"/>
      <c r="L1049" s="4502"/>
      <c r="M1049" s="4502"/>
    </row>
    <row r="1050" spans="1:13" hidden="1">
      <c r="A1050" s="4501" t="s">
        <v>7781</v>
      </c>
      <c r="B1050" s="3">
        <v>2.6619999999999999</v>
      </c>
      <c r="E1050" s="4502"/>
      <c r="F1050" s="4502"/>
      <c r="G1050" s="4502"/>
      <c r="H1050" s="4502"/>
      <c r="I1050" s="4502"/>
      <c r="J1050" s="4502"/>
      <c r="K1050" s="4502"/>
      <c r="L1050" s="4502"/>
      <c r="M1050" s="4502"/>
    </row>
    <row r="1051" spans="1:13" hidden="1">
      <c r="A1051" s="4501" t="s">
        <v>7782</v>
      </c>
      <c r="B1051" s="3">
        <v>2.6619999999999999</v>
      </c>
      <c r="E1051" s="4502"/>
      <c r="F1051" s="4502"/>
      <c r="G1051" s="4502"/>
      <c r="H1051" s="4502"/>
      <c r="I1051" s="4502"/>
      <c r="J1051" s="4502"/>
      <c r="K1051" s="4502"/>
      <c r="L1051" s="4502"/>
      <c r="M1051" s="4502"/>
    </row>
    <row r="1052" spans="1:13" hidden="1">
      <c r="A1052" s="4501" t="s">
        <v>7783</v>
      </c>
      <c r="B1052" s="3">
        <v>2.6619999999999999</v>
      </c>
      <c r="E1052" s="4502"/>
      <c r="F1052" s="4502"/>
      <c r="G1052" s="4502"/>
      <c r="H1052" s="4502"/>
      <c r="I1052" s="4502"/>
      <c r="J1052" s="4502"/>
      <c r="K1052" s="4502"/>
      <c r="L1052" s="4502"/>
      <c r="M1052" s="4502"/>
    </row>
    <row r="1053" spans="1:13" hidden="1">
      <c r="A1053" s="4501" t="s">
        <v>7784</v>
      </c>
      <c r="B1053" s="3">
        <v>2.7080000000000002</v>
      </c>
      <c r="E1053" s="4502"/>
      <c r="F1053" s="4502"/>
      <c r="G1053" s="4502"/>
      <c r="H1053" s="4502"/>
      <c r="I1053" s="4502"/>
      <c r="J1053" s="4502"/>
      <c r="K1053" s="4502"/>
      <c r="L1053" s="4502"/>
      <c r="M1053" s="4502"/>
    </row>
    <row r="1054" spans="1:13" hidden="1">
      <c r="A1054" s="4501" t="s">
        <v>7785</v>
      </c>
      <c r="B1054" s="3">
        <v>2.6840000000000002</v>
      </c>
      <c r="E1054" s="4502"/>
      <c r="F1054" s="4502"/>
      <c r="G1054" s="4502"/>
      <c r="H1054" s="4502"/>
      <c r="I1054" s="4502"/>
      <c r="J1054" s="4502"/>
      <c r="K1054" s="4502"/>
      <c r="L1054" s="4502"/>
      <c r="M1054" s="4502"/>
    </row>
    <row r="1055" spans="1:13" hidden="1">
      <c r="A1055" s="4501" t="s">
        <v>7786</v>
      </c>
      <c r="B1055" s="3">
        <v>2.677</v>
      </c>
      <c r="E1055" s="4502"/>
      <c r="F1055" s="4502"/>
      <c r="G1055" s="4502"/>
      <c r="H1055" s="4502"/>
      <c r="I1055" s="4502"/>
      <c r="J1055" s="4502"/>
      <c r="K1055" s="4502"/>
      <c r="L1055" s="4502"/>
      <c r="M1055" s="4502"/>
    </row>
    <row r="1056" spans="1:13" hidden="1">
      <c r="A1056" s="4501" t="s">
        <v>7787</v>
      </c>
      <c r="B1056" s="3">
        <v>2.6429999999999998</v>
      </c>
      <c r="E1056" s="4502"/>
      <c r="F1056" s="4502"/>
      <c r="G1056" s="4502"/>
      <c r="H1056" s="4502"/>
      <c r="I1056" s="4502"/>
      <c r="J1056" s="4502"/>
      <c r="K1056" s="4502"/>
      <c r="L1056" s="4502"/>
      <c r="M1056" s="4502"/>
    </row>
    <row r="1057" spans="1:13" hidden="1">
      <c r="A1057" s="4501" t="s">
        <v>7788</v>
      </c>
      <c r="B1057" s="3">
        <v>2.6640000000000001</v>
      </c>
      <c r="E1057" s="4502"/>
      <c r="F1057" s="4502"/>
      <c r="G1057" s="4502"/>
      <c r="H1057" s="4502"/>
      <c r="I1057" s="4502"/>
      <c r="J1057" s="4502"/>
      <c r="K1057" s="4502"/>
      <c r="L1057" s="4502"/>
      <c r="M1057" s="4502"/>
    </row>
    <row r="1058" spans="1:13" hidden="1">
      <c r="A1058" s="4501" t="s">
        <v>7789</v>
      </c>
      <c r="B1058" s="3">
        <v>2.6640000000000001</v>
      </c>
      <c r="E1058" s="4502"/>
      <c r="F1058" s="4502"/>
      <c r="G1058" s="4502"/>
      <c r="H1058" s="4502"/>
      <c r="I1058" s="4502"/>
      <c r="J1058" s="4502"/>
      <c r="K1058" s="4502"/>
      <c r="L1058" s="4502"/>
      <c r="M1058" s="4502"/>
    </row>
    <row r="1059" spans="1:13" hidden="1">
      <c r="A1059" s="4501" t="s">
        <v>7790</v>
      </c>
      <c r="B1059" s="3">
        <v>2.6640000000000001</v>
      </c>
      <c r="E1059" s="4502"/>
      <c r="F1059" s="4502"/>
      <c r="G1059" s="4502"/>
      <c r="H1059" s="4502"/>
      <c r="I1059" s="4502"/>
      <c r="J1059" s="4502"/>
      <c r="K1059" s="4502"/>
      <c r="L1059" s="4502"/>
      <c r="M1059" s="4502"/>
    </row>
    <row r="1060" spans="1:13" hidden="1">
      <c r="A1060" s="4501" t="s">
        <v>7791</v>
      </c>
      <c r="B1060" s="3">
        <v>2.7080000000000002</v>
      </c>
      <c r="E1060" s="4502"/>
      <c r="F1060" s="4502"/>
      <c r="G1060" s="4502"/>
      <c r="H1060" s="4502"/>
      <c r="I1060" s="4502"/>
      <c r="J1060" s="4502"/>
      <c r="K1060" s="4502"/>
      <c r="L1060" s="4502"/>
      <c r="M1060" s="4502"/>
    </row>
    <row r="1061" spans="1:13" hidden="1">
      <c r="A1061" s="4501" t="s">
        <v>7792</v>
      </c>
      <c r="B1061" s="3">
        <v>2.6989999999999998</v>
      </c>
      <c r="E1061" s="4502"/>
      <c r="F1061" s="4502"/>
      <c r="G1061" s="4502"/>
      <c r="H1061" s="4502"/>
      <c r="I1061" s="4502"/>
      <c r="J1061" s="4502"/>
      <c r="K1061" s="4502"/>
      <c r="L1061" s="4502"/>
      <c r="M1061" s="4502"/>
    </row>
    <row r="1062" spans="1:13" hidden="1">
      <c r="A1062" s="4501" t="s">
        <v>7793</v>
      </c>
      <c r="B1062" s="3">
        <v>2.7</v>
      </c>
      <c r="E1062" s="4502"/>
      <c r="F1062" s="4502"/>
      <c r="G1062" s="4502"/>
      <c r="H1062" s="4502"/>
      <c r="I1062" s="4502"/>
      <c r="J1062" s="4502"/>
      <c r="K1062" s="4502"/>
      <c r="L1062" s="4502"/>
      <c r="M1062" s="4502"/>
    </row>
    <row r="1063" spans="1:13" hidden="1">
      <c r="A1063" s="4501" t="s">
        <v>7794</v>
      </c>
      <c r="B1063" s="3">
        <v>2.7080000000000002</v>
      </c>
      <c r="E1063" s="4502"/>
      <c r="F1063" s="4502"/>
      <c r="G1063" s="4502"/>
      <c r="H1063" s="4502"/>
      <c r="I1063" s="4502"/>
      <c r="J1063" s="4502"/>
      <c r="K1063" s="4502"/>
      <c r="L1063" s="4502"/>
      <c r="M1063" s="4502"/>
    </row>
    <row r="1064" spans="1:13" hidden="1">
      <c r="A1064" s="4501" t="s">
        <v>7795</v>
      </c>
      <c r="B1064" s="3">
        <v>2.7040000000000002</v>
      </c>
      <c r="E1064" s="4502"/>
      <c r="F1064" s="4502"/>
      <c r="G1064" s="4502"/>
      <c r="H1064" s="4502"/>
      <c r="I1064" s="4502"/>
      <c r="J1064" s="4502"/>
      <c r="K1064" s="4502"/>
      <c r="L1064" s="4502"/>
      <c r="M1064" s="4502"/>
    </row>
    <row r="1065" spans="1:13" hidden="1">
      <c r="A1065" s="4501" t="s">
        <v>7796</v>
      </c>
      <c r="B1065" s="3">
        <v>2.7040000000000002</v>
      </c>
      <c r="E1065" s="4502"/>
      <c r="F1065" s="4502"/>
      <c r="G1065" s="4502"/>
      <c r="H1065" s="4502"/>
      <c r="I1065" s="4502"/>
      <c r="J1065" s="4502"/>
      <c r="K1065" s="4502"/>
      <c r="L1065" s="4502"/>
      <c r="M1065" s="4502"/>
    </row>
    <row r="1066" spans="1:13" hidden="1">
      <c r="A1066" s="4501" t="s">
        <v>7797</v>
      </c>
      <c r="B1066" s="3">
        <v>2.7040000000000002</v>
      </c>
      <c r="E1066" s="4502"/>
      <c r="F1066" s="4502"/>
      <c r="G1066" s="4502"/>
      <c r="H1066" s="4502"/>
      <c r="I1066" s="4502"/>
      <c r="J1066" s="4502"/>
      <c r="K1066" s="4502"/>
      <c r="L1066" s="4502"/>
      <c r="M1066" s="4502"/>
    </row>
    <row r="1067" spans="1:13" hidden="1">
      <c r="A1067" s="4501" t="s">
        <v>7798</v>
      </c>
      <c r="B1067" s="3">
        <v>2.633</v>
      </c>
      <c r="E1067" s="4502"/>
      <c r="F1067" s="4502"/>
      <c r="G1067" s="4502"/>
      <c r="H1067" s="4502"/>
      <c r="I1067" s="4502"/>
      <c r="J1067" s="4502"/>
      <c r="K1067" s="4502"/>
      <c r="L1067" s="4502"/>
      <c r="M1067" s="4502"/>
    </row>
    <row r="1068" spans="1:13" hidden="1">
      <c r="A1068" s="4501" t="s">
        <v>7799</v>
      </c>
      <c r="B1068" s="3">
        <v>2.617</v>
      </c>
      <c r="E1068" s="4502"/>
      <c r="F1068" s="4502"/>
      <c r="G1068" s="4502"/>
      <c r="H1068" s="4502"/>
      <c r="I1068" s="4502"/>
      <c r="J1068" s="4502"/>
      <c r="K1068" s="4502"/>
      <c r="L1068" s="4502"/>
      <c r="M1068" s="4502"/>
    </row>
    <row r="1069" spans="1:13" hidden="1">
      <c r="A1069" s="4501" t="s">
        <v>7800</v>
      </c>
      <c r="B1069" s="3">
        <v>2.5590000000000002</v>
      </c>
      <c r="E1069" s="4502"/>
      <c r="F1069" s="4502"/>
      <c r="G1069" s="4502"/>
      <c r="H1069" s="4502"/>
      <c r="I1069" s="4502"/>
      <c r="J1069" s="4502"/>
      <c r="K1069" s="4502"/>
      <c r="L1069" s="4502"/>
      <c r="M1069" s="4502"/>
    </row>
    <row r="1070" spans="1:13" hidden="1">
      <c r="A1070" s="4501" t="s">
        <v>7801</v>
      </c>
      <c r="B1070" s="3">
        <v>2.5350000000000001</v>
      </c>
      <c r="E1070" s="4502"/>
      <c r="F1070" s="4502"/>
      <c r="G1070" s="4502"/>
      <c r="H1070" s="4502"/>
      <c r="I1070" s="4502"/>
      <c r="J1070" s="4502"/>
      <c r="K1070" s="4502"/>
      <c r="L1070" s="4502"/>
      <c r="M1070" s="4502"/>
    </row>
    <row r="1071" spans="1:13" hidden="1">
      <c r="A1071" s="4501" t="s">
        <v>7802</v>
      </c>
      <c r="B1071" s="3">
        <v>2.5350000000000001</v>
      </c>
      <c r="E1071" s="4502"/>
      <c r="F1071" s="4502"/>
      <c r="G1071" s="4502"/>
      <c r="H1071" s="4502"/>
      <c r="I1071" s="4502"/>
      <c r="J1071" s="4502"/>
      <c r="K1071" s="4502"/>
      <c r="L1071" s="4502"/>
      <c r="M1071" s="4502"/>
    </row>
    <row r="1072" spans="1:13" hidden="1">
      <c r="A1072" s="4501" t="s">
        <v>7803</v>
      </c>
      <c r="B1072" s="3">
        <v>2.5350000000000001</v>
      </c>
      <c r="E1072" s="4502"/>
      <c r="F1072" s="4502"/>
      <c r="G1072" s="4502"/>
      <c r="H1072" s="4502"/>
      <c r="I1072" s="4502"/>
      <c r="J1072" s="4502"/>
      <c r="K1072" s="4502"/>
      <c r="L1072" s="4502"/>
      <c r="M1072" s="4502"/>
    </row>
    <row r="1073" spans="1:13" hidden="1">
      <c r="A1073" s="4501" t="s">
        <v>7804</v>
      </c>
      <c r="B1073" s="3">
        <v>2.5350000000000001</v>
      </c>
      <c r="E1073" s="4502"/>
      <c r="F1073" s="4502"/>
      <c r="G1073" s="4502"/>
      <c r="H1073" s="4502"/>
      <c r="I1073" s="4502"/>
      <c r="J1073" s="4502"/>
      <c r="K1073" s="4502"/>
      <c r="L1073" s="4502"/>
      <c r="M1073" s="4502"/>
    </row>
    <row r="1074" spans="1:13" hidden="1">
      <c r="A1074" s="4501" t="s">
        <v>7805</v>
      </c>
      <c r="B1074" s="3">
        <v>2.5579999999999998</v>
      </c>
      <c r="E1074" s="4502"/>
      <c r="F1074" s="4502"/>
      <c r="G1074" s="4502"/>
      <c r="H1074" s="4502"/>
      <c r="I1074" s="4502"/>
      <c r="J1074" s="4502"/>
      <c r="K1074" s="4502"/>
      <c r="L1074" s="4502"/>
      <c r="M1074" s="4502"/>
    </row>
    <row r="1075" spans="1:13" hidden="1">
      <c r="A1075" s="4501" t="s">
        <v>7806</v>
      </c>
      <c r="B1075" s="3">
        <v>2.4990000000000001</v>
      </c>
      <c r="E1075" s="4502"/>
      <c r="F1075" s="4502"/>
      <c r="G1075" s="4502"/>
      <c r="H1075" s="4502"/>
      <c r="I1075" s="4502"/>
      <c r="J1075" s="4502"/>
      <c r="K1075" s="4502"/>
      <c r="L1075" s="4502"/>
      <c r="M1075" s="4502"/>
    </row>
    <row r="1076" spans="1:13" hidden="1">
      <c r="A1076" s="4501" t="s">
        <v>7807</v>
      </c>
      <c r="B1076" s="3">
        <v>2.5</v>
      </c>
      <c r="E1076" s="4502"/>
      <c r="F1076" s="4502"/>
      <c r="G1076" s="4502"/>
      <c r="H1076" s="4502"/>
      <c r="I1076" s="4502"/>
      <c r="J1076" s="4502"/>
      <c r="K1076" s="4502"/>
      <c r="L1076" s="4502"/>
      <c r="M1076" s="4502"/>
    </row>
    <row r="1077" spans="1:13" hidden="1">
      <c r="A1077" s="4501" t="s">
        <v>7808</v>
      </c>
      <c r="B1077" s="3">
        <v>2.548</v>
      </c>
      <c r="E1077" s="4502"/>
      <c r="F1077" s="4502"/>
      <c r="G1077" s="4502"/>
      <c r="H1077" s="4502"/>
      <c r="I1077" s="4502"/>
      <c r="J1077" s="4502"/>
      <c r="K1077" s="4502"/>
      <c r="L1077" s="4502"/>
      <c r="M1077" s="4502"/>
    </row>
    <row r="1078" spans="1:13" hidden="1">
      <c r="A1078" s="4501" t="s">
        <v>7809</v>
      </c>
      <c r="B1078" s="3">
        <v>2.58</v>
      </c>
      <c r="E1078" s="4502"/>
      <c r="F1078" s="4502"/>
      <c r="G1078" s="4502"/>
      <c r="H1078" s="4502"/>
      <c r="I1078" s="4502"/>
      <c r="J1078" s="4502"/>
      <c r="K1078" s="4502"/>
      <c r="L1078" s="4502"/>
      <c r="M1078" s="4502"/>
    </row>
    <row r="1079" spans="1:13" hidden="1">
      <c r="A1079" s="4501" t="s">
        <v>7810</v>
      </c>
      <c r="B1079" s="3">
        <v>2.58</v>
      </c>
      <c r="E1079" s="4502"/>
      <c r="F1079" s="4502"/>
      <c r="G1079" s="4502"/>
      <c r="H1079" s="4502"/>
      <c r="I1079" s="4502"/>
      <c r="J1079" s="4502"/>
      <c r="K1079" s="4502"/>
      <c r="L1079" s="4502"/>
      <c r="M1079" s="4502"/>
    </row>
    <row r="1080" spans="1:13" hidden="1">
      <c r="A1080" s="4501" t="s">
        <v>7811</v>
      </c>
      <c r="B1080" s="3">
        <v>2.58</v>
      </c>
      <c r="E1080" s="4502"/>
      <c r="F1080" s="4502"/>
      <c r="G1080" s="4502"/>
      <c r="H1080" s="4502"/>
      <c r="I1080" s="4502"/>
      <c r="J1080" s="4502"/>
      <c r="K1080" s="4502"/>
      <c r="L1080" s="4502"/>
      <c r="M1080" s="4502"/>
    </row>
    <row r="1081" spans="1:13" hidden="1">
      <c r="A1081" s="4501" t="s">
        <v>7812</v>
      </c>
      <c r="B1081" s="3">
        <v>2.593</v>
      </c>
      <c r="E1081" s="4502"/>
      <c r="F1081" s="4502"/>
      <c r="G1081" s="4502"/>
      <c r="H1081" s="4502"/>
      <c r="I1081" s="4502"/>
      <c r="J1081" s="4502"/>
      <c r="K1081" s="4502"/>
      <c r="L1081" s="4502"/>
      <c r="M1081" s="4502"/>
    </row>
    <row r="1082" spans="1:13" hidden="1">
      <c r="A1082" s="4501" t="s">
        <v>7813</v>
      </c>
      <c r="B1082" s="3">
        <v>2.5750000000000002</v>
      </c>
      <c r="E1082" s="4502"/>
      <c r="F1082" s="4502"/>
      <c r="G1082" s="4502"/>
      <c r="H1082" s="4502"/>
      <c r="I1082" s="4502"/>
      <c r="J1082" s="4502"/>
      <c r="K1082" s="4502"/>
      <c r="L1082" s="4502"/>
      <c r="M1082" s="4502"/>
    </row>
    <row r="1083" spans="1:13" hidden="1">
      <c r="A1083" s="4501" t="s">
        <v>7814</v>
      </c>
      <c r="B1083" s="3">
        <v>2.62</v>
      </c>
      <c r="E1083" s="4502"/>
      <c r="F1083" s="4502"/>
      <c r="G1083" s="4502"/>
      <c r="H1083" s="4502"/>
      <c r="I1083" s="4502"/>
      <c r="J1083" s="4502"/>
      <c r="K1083" s="4502"/>
      <c r="L1083" s="4502"/>
      <c r="M1083" s="4502"/>
    </row>
    <row r="1084" spans="1:13" hidden="1">
      <c r="A1084" s="4501" t="s">
        <v>7815</v>
      </c>
      <c r="B1084" s="3">
        <v>2.589</v>
      </c>
      <c r="E1084" s="4502"/>
      <c r="F1084" s="4502"/>
      <c r="G1084" s="4502"/>
      <c r="H1084" s="4502"/>
      <c r="I1084" s="4502"/>
      <c r="J1084" s="4502"/>
      <c r="K1084" s="4502"/>
      <c r="L1084" s="4502"/>
      <c r="M1084" s="4502"/>
    </row>
    <row r="1085" spans="1:13" hidden="1">
      <c r="A1085" s="4501" t="s">
        <v>7816</v>
      </c>
      <c r="B1085" s="3">
        <v>2.5670000000000002</v>
      </c>
      <c r="E1085" s="4502"/>
      <c r="F1085" s="4502"/>
      <c r="G1085" s="4502"/>
      <c r="H1085" s="4502"/>
      <c r="I1085" s="4502"/>
      <c r="J1085" s="4502"/>
      <c r="K1085" s="4502"/>
      <c r="L1085" s="4502"/>
      <c r="M1085" s="4502"/>
    </row>
    <row r="1086" spans="1:13" hidden="1">
      <c r="A1086" s="4501" t="s">
        <v>7817</v>
      </c>
      <c r="B1086" s="3">
        <v>2.5670000000000002</v>
      </c>
      <c r="E1086" s="4502"/>
      <c r="F1086" s="4502"/>
      <c r="G1086" s="4502"/>
      <c r="H1086" s="4502"/>
      <c r="I1086" s="4502"/>
      <c r="J1086" s="4502"/>
      <c r="K1086" s="4502"/>
      <c r="L1086" s="4502"/>
      <c r="M1086" s="4502"/>
    </row>
    <row r="1087" spans="1:13" hidden="1">
      <c r="A1087" s="4501" t="s">
        <v>7818</v>
      </c>
      <c r="B1087" s="3">
        <v>2.5670000000000002</v>
      </c>
      <c r="E1087" s="4502"/>
      <c r="F1087" s="4502"/>
      <c r="G1087" s="4502"/>
      <c r="H1087" s="4502"/>
      <c r="I1087" s="4502"/>
      <c r="J1087" s="4502"/>
      <c r="K1087" s="4502"/>
      <c r="L1087" s="4502"/>
      <c r="M1087" s="4502"/>
    </row>
    <row r="1088" spans="1:13" hidden="1">
      <c r="A1088" s="4501" t="s">
        <v>7819</v>
      </c>
      <c r="B1088" s="3">
        <v>2.524</v>
      </c>
      <c r="E1088" s="4502"/>
      <c r="F1088" s="4502"/>
      <c r="G1088" s="4502"/>
      <c r="H1088" s="4502"/>
      <c r="I1088" s="4502"/>
      <c r="J1088" s="4502"/>
      <c r="K1088" s="4502"/>
      <c r="L1088" s="4502"/>
      <c r="M1088" s="4502"/>
    </row>
    <row r="1089" spans="1:13" hidden="1">
      <c r="A1089" s="4501" t="s">
        <v>7820</v>
      </c>
      <c r="B1089" s="3">
        <v>2.5369999999999999</v>
      </c>
      <c r="E1089" s="4502"/>
      <c r="F1089" s="4502"/>
      <c r="G1089" s="4502"/>
      <c r="H1089" s="4502"/>
      <c r="I1089" s="4502"/>
      <c r="J1089" s="4502"/>
      <c r="K1089" s="4502"/>
      <c r="L1089" s="4502"/>
      <c r="M1089" s="4502"/>
    </row>
    <row r="1090" spans="1:13" hidden="1">
      <c r="A1090" s="4501" t="s">
        <v>7821</v>
      </c>
      <c r="B1090" s="3">
        <v>2.61</v>
      </c>
      <c r="E1090" s="4502"/>
      <c r="F1090" s="4502"/>
      <c r="G1090" s="4502"/>
      <c r="H1090" s="4502"/>
      <c r="I1090" s="4502"/>
      <c r="J1090" s="4502"/>
      <c r="K1090" s="4502"/>
      <c r="L1090" s="4502"/>
      <c r="M1090" s="4502"/>
    </row>
    <row r="1091" spans="1:13" hidden="1">
      <c r="A1091" s="4501" t="s">
        <v>7822</v>
      </c>
      <c r="B1091" s="3">
        <v>2.5950000000000002</v>
      </c>
      <c r="E1091" s="4502"/>
      <c r="F1091" s="4502"/>
      <c r="G1091" s="4502"/>
      <c r="H1091" s="4502"/>
      <c r="I1091" s="4502"/>
      <c r="J1091" s="4502"/>
      <c r="K1091" s="4502"/>
      <c r="L1091" s="4502"/>
      <c r="M1091" s="4502"/>
    </row>
    <row r="1092" spans="1:13" hidden="1">
      <c r="A1092" s="4501" t="s">
        <v>7823</v>
      </c>
      <c r="B1092" s="3">
        <v>2.6549999999999998</v>
      </c>
      <c r="E1092" s="4502"/>
      <c r="F1092" s="4502"/>
      <c r="G1092" s="4502"/>
      <c r="H1092" s="4502"/>
      <c r="I1092" s="4502"/>
      <c r="J1092" s="4502"/>
      <c r="K1092" s="4502"/>
      <c r="L1092" s="4502"/>
      <c r="M1092" s="4502"/>
    </row>
    <row r="1093" spans="1:13" hidden="1">
      <c r="A1093" s="4501" t="s">
        <v>7824</v>
      </c>
      <c r="B1093" s="3">
        <v>2.6549999999999998</v>
      </c>
      <c r="E1093" s="4502"/>
      <c r="F1093" s="4502"/>
      <c r="G1093" s="4502"/>
      <c r="H1093" s="4502"/>
      <c r="I1093" s="4502"/>
      <c r="J1093" s="4502"/>
      <c r="K1093" s="4502"/>
      <c r="L1093" s="4502"/>
      <c r="M1093" s="4502"/>
    </row>
    <row r="1094" spans="1:13" hidden="1">
      <c r="A1094" s="4501" t="s">
        <v>7825</v>
      </c>
      <c r="B1094" s="3">
        <v>2.6549999999999998</v>
      </c>
      <c r="E1094" s="4502"/>
      <c r="F1094" s="4502"/>
      <c r="G1094" s="4502"/>
      <c r="H1094" s="4502"/>
      <c r="I1094" s="4502"/>
      <c r="J1094" s="4502"/>
      <c r="K1094" s="4502"/>
      <c r="L1094" s="4502"/>
      <c r="M1094" s="4502"/>
    </row>
    <row r="1095" spans="1:13" hidden="1">
      <c r="A1095" s="4501" t="s">
        <v>7826</v>
      </c>
      <c r="B1095" s="3">
        <v>2.653</v>
      </c>
      <c r="E1095" s="4502"/>
      <c r="F1095" s="4502"/>
      <c r="G1095" s="4502"/>
      <c r="H1095" s="4502"/>
      <c r="I1095" s="4502"/>
      <c r="J1095" s="4502"/>
      <c r="K1095" s="4502"/>
      <c r="L1095" s="4502"/>
      <c r="M1095" s="4502"/>
    </row>
    <row r="1096" spans="1:13" hidden="1">
      <c r="A1096" s="4501" t="s">
        <v>7827</v>
      </c>
      <c r="B1096" s="3">
        <v>2.6890000000000001</v>
      </c>
      <c r="E1096" s="4502"/>
      <c r="F1096" s="4502"/>
      <c r="G1096" s="4502"/>
      <c r="H1096" s="4502"/>
      <c r="I1096" s="4502"/>
      <c r="J1096" s="4502"/>
      <c r="K1096" s="4502"/>
      <c r="L1096" s="4502"/>
      <c r="M1096" s="4502"/>
    </row>
    <row r="1097" spans="1:13" hidden="1">
      <c r="A1097" s="4501" t="s">
        <v>7828</v>
      </c>
      <c r="B1097" s="3">
        <v>2.6339999999999999</v>
      </c>
      <c r="E1097" s="4502"/>
      <c r="F1097" s="4502"/>
      <c r="G1097" s="4502"/>
      <c r="H1097" s="4502"/>
      <c r="I1097" s="4502"/>
      <c r="J1097" s="4502"/>
      <c r="K1097" s="4502"/>
      <c r="L1097" s="4502"/>
      <c r="M1097" s="4502"/>
    </row>
    <row r="1098" spans="1:13" hidden="1">
      <c r="A1098" s="4501" t="s">
        <v>7829</v>
      </c>
      <c r="B1098" s="3">
        <v>2.6739999999999999</v>
      </c>
      <c r="E1098" s="4502"/>
      <c r="F1098" s="4502"/>
      <c r="G1098" s="4502"/>
      <c r="H1098" s="4502"/>
      <c r="I1098" s="4502"/>
      <c r="J1098" s="4502"/>
      <c r="K1098" s="4502"/>
      <c r="L1098" s="4502"/>
      <c r="M1098" s="4502"/>
    </row>
    <row r="1099" spans="1:13" hidden="1">
      <c r="A1099" s="4501" t="s">
        <v>7830</v>
      </c>
      <c r="B1099" s="3">
        <v>2.6640000000000001</v>
      </c>
      <c r="E1099" s="4502"/>
      <c r="F1099" s="4502"/>
      <c r="G1099" s="4502"/>
      <c r="H1099" s="4502"/>
      <c r="I1099" s="4502"/>
      <c r="J1099" s="4502"/>
      <c r="K1099" s="4502"/>
      <c r="L1099" s="4502"/>
      <c r="M1099" s="4502"/>
    </row>
    <row r="1100" spans="1:13" hidden="1">
      <c r="A1100" s="4501" t="s">
        <v>7831</v>
      </c>
      <c r="B1100" s="3">
        <v>2.6640000000000001</v>
      </c>
      <c r="E1100" s="4502"/>
      <c r="F1100" s="4502"/>
      <c r="G1100" s="4502"/>
      <c r="H1100" s="4502"/>
      <c r="I1100" s="4502"/>
      <c r="J1100" s="4502"/>
      <c r="K1100" s="4502"/>
      <c r="L1100" s="4502"/>
      <c r="M1100" s="4502"/>
    </row>
    <row r="1101" spans="1:13" hidden="1">
      <c r="A1101" s="4501" t="s">
        <v>7832</v>
      </c>
      <c r="B1101" s="3">
        <v>2.6640000000000001</v>
      </c>
      <c r="E1101" s="4502"/>
      <c r="F1101" s="4502"/>
      <c r="G1101" s="4502"/>
      <c r="H1101" s="4502"/>
      <c r="I1101" s="4502"/>
      <c r="J1101" s="4502"/>
      <c r="K1101" s="4502"/>
      <c r="L1101" s="4502"/>
      <c r="M1101" s="4502"/>
    </row>
    <row r="1102" spans="1:13" hidden="1">
      <c r="A1102" s="4501" t="s">
        <v>7833</v>
      </c>
      <c r="B1102" s="3">
        <v>2.6989999999999998</v>
      </c>
      <c r="E1102" s="4502"/>
      <c r="F1102" s="4502"/>
      <c r="G1102" s="4502"/>
      <c r="H1102" s="4502"/>
      <c r="I1102" s="4502"/>
      <c r="J1102" s="4502"/>
      <c r="K1102" s="4502"/>
      <c r="L1102" s="4502"/>
      <c r="M1102" s="4502"/>
    </row>
    <row r="1103" spans="1:13" hidden="1">
      <c r="A1103" s="4501" t="s">
        <v>7834</v>
      </c>
      <c r="B1103" s="3">
        <v>2.641</v>
      </c>
      <c r="E1103" s="4502"/>
      <c r="F1103" s="4502"/>
      <c r="G1103" s="4502"/>
      <c r="H1103" s="4502"/>
      <c r="I1103" s="4502"/>
      <c r="J1103" s="4502"/>
      <c r="K1103" s="4502"/>
      <c r="L1103" s="4502"/>
      <c r="M1103" s="4502"/>
    </row>
    <row r="1104" spans="1:13" hidden="1">
      <c r="A1104" s="4501" t="s">
        <v>7835</v>
      </c>
      <c r="B1104" s="3">
        <v>2.5590000000000002</v>
      </c>
      <c r="E1104" s="4502"/>
      <c r="F1104" s="4502"/>
      <c r="G1104" s="4502"/>
      <c r="H1104" s="4502"/>
      <c r="I1104" s="4502"/>
      <c r="J1104" s="4502"/>
      <c r="K1104" s="4502"/>
      <c r="L1104" s="4502"/>
      <c r="M1104" s="4502"/>
    </row>
    <row r="1105" spans="1:13" hidden="1">
      <c r="A1105" s="4501" t="s">
        <v>7836</v>
      </c>
      <c r="B1105" s="3">
        <v>2.5920000000000001</v>
      </c>
      <c r="E1105" s="4502"/>
      <c r="F1105" s="4502"/>
      <c r="G1105" s="4502"/>
      <c r="H1105" s="4502"/>
      <c r="I1105" s="4502"/>
      <c r="J1105" s="4502"/>
      <c r="K1105" s="4502"/>
      <c r="L1105" s="4502"/>
      <c r="M1105" s="4502"/>
    </row>
    <row r="1106" spans="1:13" hidden="1">
      <c r="A1106" s="4501" t="s">
        <v>7837</v>
      </c>
      <c r="B1106" s="3">
        <v>2.6110000000000002</v>
      </c>
      <c r="E1106" s="4502"/>
      <c r="F1106" s="4502"/>
      <c r="G1106" s="4502"/>
      <c r="H1106" s="4502"/>
      <c r="I1106" s="4502"/>
      <c r="J1106" s="4502"/>
      <c r="K1106" s="4502"/>
      <c r="L1106" s="4502"/>
      <c r="M1106" s="4502"/>
    </row>
    <row r="1107" spans="1:13" hidden="1">
      <c r="A1107" s="4501" t="s">
        <v>7838</v>
      </c>
      <c r="B1107" s="3">
        <v>2.6110000000000002</v>
      </c>
      <c r="E1107" s="4502"/>
      <c r="F1107" s="4502"/>
      <c r="G1107" s="4502"/>
      <c r="H1107" s="4502"/>
      <c r="I1107" s="4502"/>
      <c r="J1107" s="4502"/>
      <c r="K1107" s="4502"/>
      <c r="L1107" s="4502"/>
      <c r="M1107" s="4502"/>
    </row>
    <row r="1108" spans="1:13" hidden="1">
      <c r="A1108" s="4501" t="s">
        <v>7839</v>
      </c>
      <c r="B1108" s="3">
        <v>2.6110000000000002</v>
      </c>
      <c r="E1108" s="4502"/>
      <c r="F1108" s="4502"/>
      <c r="G1108" s="4502"/>
      <c r="H1108" s="4502"/>
      <c r="I1108" s="4502"/>
      <c r="J1108" s="4502"/>
      <c r="K1108" s="4502"/>
      <c r="L1108" s="4502"/>
      <c r="M1108" s="4502"/>
    </row>
    <row r="1109" spans="1:13" hidden="1">
      <c r="A1109" s="4501" t="s">
        <v>7840</v>
      </c>
      <c r="B1109" s="3">
        <v>2.6110000000000002</v>
      </c>
      <c r="E1109" s="4502"/>
      <c r="F1109" s="4502"/>
      <c r="G1109" s="4502"/>
      <c r="H1109" s="4502"/>
      <c r="I1109" s="4502"/>
      <c r="J1109" s="4502"/>
      <c r="K1109" s="4502"/>
      <c r="L1109" s="4502"/>
      <c r="M1109" s="4502"/>
    </row>
    <row r="1110" spans="1:13" hidden="1">
      <c r="A1110" s="4501" t="s">
        <v>7841</v>
      </c>
      <c r="B1110" s="3">
        <v>2.5840000000000001</v>
      </c>
      <c r="E1110" s="4502"/>
      <c r="F1110" s="4502"/>
      <c r="G1110" s="4502"/>
      <c r="H1110" s="4502"/>
      <c r="I1110" s="4502"/>
      <c r="J1110" s="4502"/>
      <c r="K1110" s="4502"/>
      <c r="L1110" s="4502"/>
      <c r="M1110" s="4502"/>
    </row>
    <row r="1111" spans="1:13" hidden="1">
      <c r="A1111" s="4501" t="s">
        <v>7842</v>
      </c>
      <c r="B1111" s="3">
        <v>2.6240000000000001</v>
      </c>
      <c r="E1111" s="4502"/>
      <c r="F1111" s="4502"/>
      <c r="G1111" s="4502"/>
      <c r="H1111" s="4502"/>
      <c r="I1111" s="4502"/>
      <c r="J1111" s="4502"/>
      <c r="K1111" s="4502"/>
      <c r="L1111" s="4502"/>
      <c r="M1111" s="4502"/>
    </row>
    <row r="1112" spans="1:13" hidden="1">
      <c r="A1112" s="4501" t="s">
        <v>7843</v>
      </c>
      <c r="B1112" s="3">
        <v>2.5470000000000002</v>
      </c>
      <c r="E1112" s="4502"/>
      <c r="F1112" s="4502"/>
      <c r="G1112" s="4502"/>
      <c r="H1112" s="4502"/>
      <c r="I1112" s="4502"/>
      <c r="J1112" s="4502"/>
      <c r="K1112" s="4502"/>
      <c r="L1112" s="4502"/>
      <c r="M1112" s="4502"/>
    </row>
    <row r="1113" spans="1:13" hidden="1">
      <c r="A1113" s="4501" t="s">
        <v>7844</v>
      </c>
      <c r="B1113" s="3">
        <v>2.4540000000000002</v>
      </c>
      <c r="E1113" s="4502"/>
      <c r="F1113" s="4502"/>
      <c r="G1113" s="4502"/>
      <c r="H1113" s="4502"/>
      <c r="I1113" s="4502"/>
      <c r="J1113" s="4502"/>
      <c r="K1113" s="4502"/>
      <c r="L1113" s="4502"/>
      <c r="M1113" s="4502"/>
    </row>
    <row r="1114" spans="1:13" hidden="1">
      <c r="A1114" s="4501" t="s">
        <v>7845</v>
      </c>
      <c r="B1114" s="3">
        <v>2.4540000000000002</v>
      </c>
      <c r="E1114" s="4502"/>
      <c r="F1114" s="4502"/>
      <c r="G1114" s="4502"/>
      <c r="H1114" s="4502"/>
      <c r="I1114" s="4502"/>
      <c r="J1114" s="4502"/>
      <c r="K1114" s="4502"/>
      <c r="L1114" s="4502"/>
      <c r="M1114" s="4502"/>
    </row>
    <row r="1115" spans="1:13" hidden="1">
      <c r="A1115" s="4501" t="s">
        <v>7846</v>
      </c>
      <c r="B1115" s="3">
        <v>2.4540000000000002</v>
      </c>
      <c r="E1115" s="4502"/>
      <c r="F1115" s="4502"/>
      <c r="G1115" s="4502"/>
      <c r="H1115" s="4502"/>
      <c r="I1115" s="4502"/>
      <c r="J1115" s="4502"/>
      <c r="K1115" s="4502"/>
      <c r="L1115" s="4502"/>
      <c r="M1115" s="4502"/>
    </row>
    <row r="1116" spans="1:13" hidden="1">
      <c r="A1116" s="4501" t="s">
        <v>7847</v>
      </c>
      <c r="B1116" s="3">
        <v>2.403</v>
      </c>
      <c r="E1116" s="4502"/>
      <c r="F1116" s="4502"/>
      <c r="G1116" s="4502"/>
      <c r="H1116" s="4502"/>
      <c r="I1116" s="4502"/>
      <c r="J1116" s="4502"/>
      <c r="K1116" s="4502"/>
      <c r="L1116" s="4502"/>
      <c r="M1116" s="4502"/>
    </row>
    <row r="1117" spans="1:13" hidden="1">
      <c r="A1117" s="4501" t="s">
        <v>7848</v>
      </c>
      <c r="B1117" s="3">
        <v>2.4159999999999999</v>
      </c>
      <c r="E1117" s="4502"/>
      <c r="F1117" s="4502"/>
      <c r="G1117" s="4502"/>
      <c r="H1117" s="4502"/>
      <c r="I1117" s="4502"/>
      <c r="J1117" s="4502"/>
      <c r="K1117" s="4502"/>
      <c r="L1117" s="4502"/>
      <c r="M1117" s="4502"/>
    </row>
    <row r="1118" spans="1:13" hidden="1">
      <c r="A1118" s="4501" t="s">
        <v>7849</v>
      </c>
      <c r="B1118" s="3">
        <v>2.3780000000000001</v>
      </c>
      <c r="E1118" s="4502"/>
      <c r="F1118" s="4502"/>
      <c r="G1118" s="4502"/>
      <c r="H1118" s="4502"/>
      <c r="I1118" s="4502"/>
      <c r="J1118" s="4502"/>
      <c r="K1118" s="4502"/>
      <c r="L1118" s="4502"/>
      <c r="M1118" s="4502"/>
    </row>
    <row r="1119" spans="1:13" hidden="1">
      <c r="A1119" s="4501" t="s">
        <v>7850</v>
      </c>
      <c r="B1119" s="3">
        <v>2.3239999999999998</v>
      </c>
      <c r="E1119" s="4502"/>
      <c r="F1119" s="4502"/>
      <c r="G1119" s="4502"/>
      <c r="H1119" s="4502"/>
      <c r="I1119" s="4502"/>
      <c r="J1119" s="4502"/>
      <c r="K1119" s="4502"/>
      <c r="L1119" s="4502"/>
      <c r="M1119" s="4502"/>
    </row>
    <row r="1120" spans="1:13" hidden="1">
      <c r="A1120" s="4501" t="s">
        <v>7851</v>
      </c>
      <c r="B1120" s="3">
        <v>2.3370000000000002</v>
      </c>
      <c r="E1120" s="4502"/>
      <c r="F1120" s="4502"/>
      <c r="G1120" s="4502"/>
      <c r="H1120" s="4502"/>
      <c r="I1120" s="4502"/>
      <c r="J1120" s="4502"/>
      <c r="K1120" s="4502"/>
      <c r="L1120" s="4502"/>
      <c r="M1120" s="4502"/>
    </row>
    <row r="1121" spans="1:13" hidden="1">
      <c r="A1121" s="4501" t="s">
        <v>7852</v>
      </c>
      <c r="B1121" s="3">
        <v>2.3370000000000002</v>
      </c>
      <c r="E1121" s="4502"/>
      <c r="F1121" s="4502"/>
      <c r="G1121" s="4502"/>
      <c r="H1121" s="4502"/>
      <c r="I1121" s="4502"/>
      <c r="J1121" s="4502"/>
      <c r="K1121" s="4502"/>
      <c r="L1121" s="4502"/>
      <c r="M1121" s="4502"/>
    </row>
    <row r="1122" spans="1:13" hidden="1">
      <c r="A1122" s="4501" t="s">
        <v>7853</v>
      </c>
      <c r="B1122" s="3">
        <v>2.3370000000000002</v>
      </c>
      <c r="E1122" s="4502"/>
      <c r="F1122" s="4502"/>
      <c r="G1122" s="4502"/>
      <c r="H1122" s="4502"/>
      <c r="I1122" s="4502"/>
      <c r="J1122" s="4502"/>
      <c r="K1122" s="4502"/>
      <c r="L1122" s="4502"/>
      <c r="M1122" s="4502"/>
    </row>
    <row r="1123" spans="1:13" hidden="1">
      <c r="A1123" s="4501" t="s">
        <v>7854</v>
      </c>
      <c r="B1123" s="3">
        <v>2.3570000000000002</v>
      </c>
      <c r="E1123" s="4502"/>
      <c r="F1123" s="4502"/>
      <c r="G1123" s="4502"/>
      <c r="H1123" s="4502"/>
      <c r="I1123" s="4502"/>
      <c r="J1123" s="4502"/>
      <c r="K1123" s="4502"/>
      <c r="L1123" s="4502"/>
      <c r="M1123" s="4502"/>
    </row>
    <row r="1124" spans="1:13" hidden="1">
      <c r="A1124" s="4501" t="s">
        <v>7855</v>
      </c>
      <c r="B1124" s="3">
        <v>2.399</v>
      </c>
      <c r="E1124" s="4502"/>
      <c r="F1124" s="4502"/>
      <c r="G1124" s="4502"/>
      <c r="H1124" s="4502"/>
      <c r="I1124" s="4502"/>
      <c r="J1124" s="4502"/>
      <c r="K1124" s="4502"/>
      <c r="L1124" s="4502"/>
      <c r="M1124" s="4502"/>
    </row>
    <row r="1125" spans="1:13" hidden="1">
      <c r="A1125" s="4501" t="s">
        <v>7856</v>
      </c>
      <c r="B1125" s="3">
        <v>2.3860000000000001</v>
      </c>
      <c r="E1125" s="4502"/>
      <c r="F1125" s="4502"/>
      <c r="G1125" s="4502"/>
      <c r="H1125" s="4502"/>
      <c r="I1125" s="4502"/>
      <c r="J1125" s="4502"/>
      <c r="K1125" s="4502"/>
      <c r="L1125" s="4502"/>
      <c r="M1125" s="4502"/>
    </row>
    <row r="1126" spans="1:13" hidden="1">
      <c r="A1126" s="4501" t="s">
        <v>7857</v>
      </c>
      <c r="B1126" s="3">
        <v>2.3250000000000002</v>
      </c>
      <c r="E1126" s="4502"/>
      <c r="F1126" s="4502"/>
      <c r="G1126" s="4502"/>
      <c r="H1126" s="4502"/>
      <c r="I1126" s="4502"/>
      <c r="J1126" s="4502"/>
      <c r="K1126" s="4502"/>
      <c r="L1126" s="4502"/>
      <c r="M1126" s="4502"/>
    </row>
    <row r="1127" spans="1:13" hidden="1">
      <c r="A1127" s="4501" t="s">
        <v>7858</v>
      </c>
      <c r="B1127" s="3">
        <v>2.3809999999999998</v>
      </c>
      <c r="E1127" s="4502"/>
      <c r="F1127" s="4502"/>
      <c r="G1127" s="4502"/>
      <c r="H1127" s="4502"/>
      <c r="I1127" s="4502"/>
      <c r="J1127" s="4502"/>
      <c r="K1127" s="4502"/>
      <c r="L1127" s="4502"/>
      <c r="M1127" s="4502"/>
    </row>
    <row r="1128" spans="1:13" hidden="1">
      <c r="A1128" s="4501" t="s">
        <v>7859</v>
      </c>
      <c r="B1128" s="3">
        <v>2.3809999999999998</v>
      </c>
      <c r="E1128" s="4502"/>
      <c r="F1128" s="4502"/>
      <c r="G1128" s="4502"/>
      <c r="H1128" s="4502"/>
      <c r="I1128" s="4502"/>
      <c r="J1128" s="4502"/>
      <c r="K1128" s="4502"/>
      <c r="L1128" s="4502"/>
      <c r="M1128" s="4502"/>
    </row>
    <row r="1129" spans="1:13" hidden="1">
      <c r="A1129" s="4501" t="s">
        <v>7860</v>
      </c>
      <c r="B1129" s="3">
        <v>2.3809999999999998</v>
      </c>
      <c r="E1129" s="4502"/>
      <c r="F1129" s="4502"/>
      <c r="G1129" s="4502"/>
      <c r="H1129" s="4502"/>
      <c r="I1129" s="4502"/>
      <c r="J1129" s="4502"/>
      <c r="K1129" s="4502"/>
      <c r="L1129" s="4502"/>
      <c r="M1129" s="4502"/>
    </row>
    <row r="1130" spans="1:13" hidden="1">
      <c r="A1130" s="4501" t="s">
        <v>7861</v>
      </c>
      <c r="B1130" s="3">
        <v>2.3730000000000002</v>
      </c>
      <c r="E1130" s="4502"/>
      <c r="F1130" s="4502"/>
      <c r="G1130" s="4502"/>
      <c r="H1130" s="4502"/>
      <c r="I1130" s="4502"/>
      <c r="J1130" s="4502"/>
      <c r="K1130" s="4502"/>
      <c r="L1130" s="4502"/>
      <c r="M1130" s="4502"/>
    </row>
    <row r="1131" spans="1:13" hidden="1">
      <c r="A1131" s="4501" t="s">
        <v>7862</v>
      </c>
      <c r="B1131" s="3">
        <v>2.3109999999999999</v>
      </c>
      <c r="E1131" s="4502"/>
      <c r="F1131" s="4502"/>
      <c r="G1131" s="4502"/>
      <c r="H1131" s="4502"/>
      <c r="I1131" s="4502"/>
      <c r="J1131" s="4502"/>
      <c r="K1131" s="4502"/>
      <c r="L1131" s="4502"/>
      <c r="M1131" s="4502"/>
    </row>
    <row r="1132" spans="1:13" hidden="1">
      <c r="A1132" s="4501" t="s">
        <v>7863</v>
      </c>
      <c r="B1132" s="3">
        <v>2.2629999999999999</v>
      </c>
      <c r="E1132" s="4502"/>
      <c r="F1132" s="4502"/>
      <c r="G1132" s="4502"/>
      <c r="H1132" s="4502"/>
      <c r="I1132" s="4502"/>
      <c r="J1132" s="4502"/>
      <c r="K1132" s="4502"/>
      <c r="L1132" s="4502"/>
      <c r="M1132" s="4502"/>
    </row>
    <row r="1133" spans="1:13" hidden="1">
      <c r="A1133" s="4501" t="s">
        <v>7864</v>
      </c>
      <c r="B1133" s="3">
        <v>2.1659999999999999</v>
      </c>
      <c r="E1133" s="4502"/>
      <c r="F1133" s="4502"/>
      <c r="G1133" s="4502"/>
      <c r="H1133" s="4502"/>
      <c r="I1133" s="4502"/>
      <c r="J1133" s="4502"/>
      <c r="K1133" s="4502"/>
      <c r="L1133" s="4502"/>
      <c r="M1133" s="4502"/>
    </row>
    <row r="1134" spans="1:13" hidden="1">
      <c r="A1134" s="4501" t="s">
        <v>7865</v>
      </c>
      <c r="B1134" s="3">
        <v>2.169</v>
      </c>
      <c r="E1134" s="4502"/>
      <c r="F1134" s="4502"/>
      <c r="G1134" s="4502"/>
      <c r="H1134" s="4502"/>
      <c r="I1134" s="4502"/>
      <c r="J1134" s="4502"/>
      <c r="K1134" s="4502"/>
      <c r="L1134" s="4502"/>
      <c r="M1134" s="4502"/>
    </row>
    <row r="1135" spans="1:13" hidden="1">
      <c r="A1135" s="4501" t="s">
        <v>7866</v>
      </c>
      <c r="B1135" s="3">
        <v>2.169</v>
      </c>
      <c r="E1135" s="4502"/>
      <c r="F1135" s="4502"/>
      <c r="G1135" s="4502"/>
      <c r="H1135" s="4502"/>
      <c r="I1135" s="4502"/>
      <c r="J1135" s="4502"/>
      <c r="K1135" s="4502"/>
      <c r="L1135" s="4502"/>
      <c r="M1135" s="4502"/>
    </row>
    <row r="1136" spans="1:13" hidden="1">
      <c r="A1136" s="4501" t="s">
        <v>7867</v>
      </c>
      <c r="B1136" s="3">
        <v>2.169</v>
      </c>
      <c r="E1136" s="4502"/>
      <c r="F1136" s="4502"/>
      <c r="G1136" s="4502"/>
      <c r="H1136" s="4502"/>
      <c r="I1136" s="4502"/>
      <c r="J1136" s="4502"/>
      <c r="K1136" s="4502"/>
      <c r="L1136" s="4502"/>
      <c r="M1136" s="4502"/>
    </row>
    <row r="1137" spans="1:13" hidden="1">
      <c r="A1137" s="4501" t="s">
        <v>7868</v>
      </c>
      <c r="B1137" s="3">
        <v>2.2839999999999998</v>
      </c>
      <c r="E1137" s="4502"/>
      <c r="F1137" s="4502"/>
      <c r="G1137" s="4502"/>
      <c r="H1137" s="4502"/>
      <c r="I1137" s="4502"/>
      <c r="J1137" s="4502"/>
      <c r="K1137" s="4502"/>
      <c r="L1137" s="4502"/>
      <c r="M1137" s="4502"/>
    </row>
    <row r="1138" spans="1:13" hidden="1">
      <c r="A1138" s="4501" t="s">
        <v>7869</v>
      </c>
      <c r="B1138" s="3">
        <v>2.286</v>
      </c>
      <c r="E1138" s="4502"/>
      <c r="F1138" s="4502"/>
      <c r="G1138" s="4502"/>
      <c r="H1138" s="4502"/>
      <c r="I1138" s="4502"/>
      <c r="J1138" s="4502"/>
      <c r="K1138" s="4502"/>
      <c r="L1138" s="4502"/>
      <c r="M1138" s="4502"/>
    </row>
    <row r="1139" spans="1:13" hidden="1">
      <c r="A1139" s="4501" t="s">
        <v>7870</v>
      </c>
      <c r="B1139" s="3">
        <v>2.2679999999999998</v>
      </c>
      <c r="E1139" s="4502"/>
      <c r="F1139" s="4502"/>
      <c r="G1139" s="4502"/>
      <c r="H1139" s="4502"/>
      <c r="I1139" s="4502"/>
      <c r="J1139" s="4502"/>
      <c r="K1139" s="4502"/>
      <c r="L1139" s="4502"/>
      <c r="M1139" s="4502"/>
    </row>
    <row r="1140" spans="1:13" hidden="1">
      <c r="A1140" s="4501" t="s">
        <v>7871</v>
      </c>
      <c r="B1140" s="3">
        <v>2.3239999999999998</v>
      </c>
      <c r="E1140" s="4502"/>
      <c r="F1140" s="4502"/>
      <c r="G1140" s="4502"/>
      <c r="H1140" s="4502"/>
      <c r="I1140" s="4502"/>
      <c r="J1140" s="4502"/>
      <c r="K1140" s="4502"/>
      <c r="L1140" s="4502"/>
      <c r="M1140" s="4502"/>
    </row>
    <row r="1141" spans="1:13" hidden="1">
      <c r="A1141" s="4501" t="s">
        <v>7872</v>
      </c>
      <c r="B1141" s="3">
        <v>2.3079999999999998</v>
      </c>
      <c r="E1141" s="4502"/>
      <c r="F1141" s="4502"/>
      <c r="G1141" s="4502"/>
      <c r="H1141" s="4502"/>
      <c r="I1141" s="4502"/>
      <c r="J1141" s="4502"/>
      <c r="K1141" s="4502"/>
      <c r="L1141" s="4502"/>
      <c r="M1141" s="4502"/>
    </row>
    <row r="1142" spans="1:13" hidden="1">
      <c r="A1142" s="4501" t="s">
        <v>7873</v>
      </c>
      <c r="B1142" s="3">
        <v>2.3079999999999998</v>
      </c>
      <c r="E1142" s="4502"/>
      <c r="F1142" s="4502"/>
      <c r="G1142" s="4502"/>
      <c r="H1142" s="4502"/>
      <c r="I1142" s="4502"/>
      <c r="J1142" s="4502"/>
      <c r="K1142" s="4502"/>
      <c r="L1142" s="4502"/>
      <c r="M1142" s="4502"/>
    </row>
    <row r="1143" spans="1:13" hidden="1">
      <c r="A1143" s="4501" t="s">
        <v>7874</v>
      </c>
      <c r="B1143" s="3">
        <v>2.3079999999999998</v>
      </c>
      <c r="E1143" s="4502"/>
      <c r="F1143" s="4502"/>
      <c r="G1143" s="4502"/>
      <c r="H1143" s="4502"/>
      <c r="I1143" s="4502"/>
      <c r="J1143" s="4502"/>
      <c r="K1143" s="4502"/>
      <c r="L1143" s="4502"/>
      <c r="M1143" s="4502"/>
    </row>
    <row r="1144" spans="1:13" hidden="1">
      <c r="A1144" s="4501" t="s">
        <v>7875</v>
      </c>
      <c r="B1144" s="3">
        <v>2.2669999999999999</v>
      </c>
      <c r="E1144" s="4502"/>
      <c r="F1144" s="4502"/>
      <c r="G1144" s="4502"/>
      <c r="H1144" s="4502"/>
      <c r="I1144" s="4502"/>
      <c r="J1144" s="4502"/>
      <c r="K1144" s="4502"/>
      <c r="L1144" s="4502"/>
      <c r="M1144" s="4502"/>
    </row>
    <row r="1145" spans="1:13" hidden="1">
      <c r="A1145" s="4501" t="s">
        <v>7876</v>
      </c>
      <c r="B1145" s="3">
        <v>2.2400000000000002</v>
      </c>
      <c r="E1145" s="4502"/>
      <c r="F1145" s="4502"/>
      <c r="G1145" s="4502"/>
      <c r="H1145" s="4502"/>
      <c r="I1145" s="4502"/>
      <c r="J1145" s="4502"/>
      <c r="K1145" s="4502"/>
      <c r="L1145" s="4502"/>
      <c r="M1145" s="4502"/>
    </row>
    <row r="1146" spans="1:13" hidden="1">
      <c r="A1146" s="4501" t="s">
        <v>7877</v>
      </c>
      <c r="B1146" s="3">
        <v>2.29</v>
      </c>
      <c r="E1146" s="4502"/>
      <c r="F1146" s="4502"/>
      <c r="G1146" s="4502"/>
      <c r="H1146" s="4502"/>
      <c r="I1146" s="4502"/>
      <c r="J1146" s="4502"/>
      <c r="K1146" s="4502"/>
      <c r="L1146" s="4502"/>
      <c r="M1146" s="4502"/>
    </row>
    <row r="1147" spans="1:13" hidden="1">
      <c r="A1147" s="4501" t="s">
        <v>7878</v>
      </c>
      <c r="B1147" s="3">
        <v>2.29</v>
      </c>
      <c r="E1147" s="4502"/>
      <c r="F1147" s="4502"/>
      <c r="G1147" s="4502"/>
      <c r="H1147" s="4502"/>
      <c r="I1147" s="4502"/>
      <c r="J1147" s="4502"/>
      <c r="K1147" s="4502"/>
      <c r="L1147" s="4502"/>
      <c r="M1147" s="4502"/>
    </row>
    <row r="1148" spans="1:13" hidden="1">
      <c r="A1148" s="4501" t="s">
        <v>7879</v>
      </c>
      <c r="B1148" s="3">
        <v>2.4180000000000001</v>
      </c>
      <c r="E1148" s="4502"/>
      <c r="F1148" s="4502"/>
      <c r="G1148" s="4502"/>
      <c r="H1148" s="4502"/>
      <c r="I1148" s="4502"/>
      <c r="J1148" s="4502"/>
      <c r="K1148" s="4502"/>
      <c r="L1148" s="4502"/>
      <c r="M1148" s="4502"/>
    </row>
    <row r="1149" spans="1:13" hidden="1">
      <c r="A1149" s="4501" t="s">
        <v>7880</v>
      </c>
      <c r="B1149" s="3">
        <v>2.4180000000000001</v>
      </c>
      <c r="E1149" s="4502"/>
      <c r="F1149" s="4502"/>
      <c r="G1149" s="4502"/>
      <c r="H1149" s="4502"/>
      <c r="I1149" s="4502"/>
      <c r="J1149" s="4502"/>
      <c r="K1149" s="4502"/>
      <c r="L1149" s="4502"/>
      <c r="M1149" s="4502"/>
    </row>
    <row r="1150" spans="1:13" hidden="1">
      <c r="A1150" s="4501" t="s">
        <v>7881</v>
      </c>
      <c r="B1150" s="3">
        <v>2.4180000000000001</v>
      </c>
      <c r="E1150" s="4502"/>
      <c r="F1150" s="4502"/>
      <c r="G1150" s="4502"/>
      <c r="H1150" s="4502"/>
      <c r="I1150" s="4502"/>
      <c r="J1150" s="4502"/>
      <c r="K1150" s="4502"/>
      <c r="L1150" s="4502"/>
      <c r="M1150" s="4502"/>
    </row>
    <row r="1151" spans="1:13" hidden="1">
      <c r="A1151" s="4501" t="s">
        <v>7882</v>
      </c>
      <c r="B1151" s="3">
        <v>2.403</v>
      </c>
      <c r="E1151" s="4502"/>
      <c r="F1151" s="4502"/>
      <c r="G1151" s="4502"/>
      <c r="H1151" s="4502"/>
      <c r="I1151" s="4502"/>
      <c r="J1151" s="4502"/>
      <c r="K1151" s="4502"/>
      <c r="L1151" s="4502"/>
      <c r="M1151" s="4502"/>
    </row>
    <row r="1152" spans="1:13" hidden="1">
      <c r="A1152" s="4501" t="s">
        <v>7883</v>
      </c>
      <c r="B1152" s="3">
        <v>2.4249999999999998</v>
      </c>
      <c r="E1152" s="4502"/>
      <c r="F1152" s="4502"/>
      <c r="G1152" s="4502"/>
      <c r="H1152" s="4502"/>
      <c r="I1152" s="4502"/>
      <c r="J1152" s="4502"/>
      <c r="K1152" s="4502"/>
      <c r="L1152" s="4502"/>
      <c r="M1152" s="4502"/>
    </row>
    <row r="1153" spans="1:13" hidden="1">
      <c r="A1153" s="4501" t="s">
        <v>7884</v>
      </c>
      <c r="B1153" s="3">
        <v>2.444</v>
      </c>
      <c r="E1153" s="4502"/>
      <c r="F1153" s="4502"/>
      <c r="G1153" s="4502"/>
      <c r="H1153" s="4502"/>
      <c r="I1153" s="4502"/>
      <c r="J1153" s="4502"/>
      <c r="K1153" s="4502"/>
      <c r="L1153" s="4502"/>
      <c r="M1153" s="4502"/>
    </row>
    <row r="1154" spans="1:13" hidden="1">
      <c r="A1154" s="4501" t="s">
        <v>7885</v>
      </c>
      <c r="B1154" s="3">
        <v>2.4009999999999998</v>
      </c>
      <c r="E1154" s="4502"/>
      <c r="F1154" s="4502"/>
      <c r="G1154" s="4502"/>
      <c r="H1154" s="4502"/>
      <c r="I1154" s="4502"/>
      <c r="J1154" s="4502"/>
      <c r="K1154" s="4502"/>
      <c r="L1154" s="4502"/>
      <c r="M1154" s="4502"/>
    </row>
    <row r="1155" spans="1:13" hidden="1">
      <c r="A1155" s="4501" t="s">
        <v>7886</v>
      </c>
      <c r="B1155" s="3">
        <v>2.4340000000000002</v>
      </c>
      <c r="E1155" s="4502"/>
      <c r="F1155" s="4502"/>
      <c r="G1155" s="4502"/>
      <c r="H1155" s="4502"/>
      <c r="I1155" s="4502"/>
      <c r="J1155" s="4502"/>
      <c r="K1155" s="4502"/>
      <c r="L1155" s="4502"/>
      <c r="M1155" s="4502"/>
    </row>
    <row r="1156" spans="1:13" hidden="1">
      <c r="A1156" s="4501" t="s">
        <v>7887</v>
      </c>
      <c r="B1156" s="3">
        <v>2.4340000000000002</v>
      </c>
      <c r="E1156" s="4502"/>
      <c r="F1156" s="4502"/>
      <c r="G1156" s="4502"/>
      <c r="H1156" s="4502"/>
      <c r="I1156" s="4502"/>
      <c r="J1156" s="4502"/>
      <c r="K1156" s="4502"/>
      <c r="L1156" s="4502"/>
      <c r="M1156" s="4502"/>
    </row>
    <row r="1157" spans="1:13" hidden="1">
      <c r="A1157" s="4501" t="s">
        <v>7888</v>
      </c>
      <c r="B1157" s="3">
        <v>2.4340000000000002</v>
      </c>
      <c r="E1157" s="4502"/>
      <c r="F1157" s="4502"/>
      <c r="G1157" s="4502"/>
      <c r="H1157" s="4502"/>
      <c r="I1157" s="4502"/>
      <c r="J1157" s="4502"/>
      <c r="K1157" s="4502"/>
      <c r="L1157" s="4502"/>
      <c r="M1157" s="4502"/>
    </row>
    <row r="1158" spans="1:13" hidden="1">
      <c r="A1158" s="4501" t="s">
        <v>7889</v>
      </c>
      <c r="B1158" s="3">
        <v>2.3860000000000001</v>
      </c>
      <c r="E1158" s="4502"/>
      <c r="F1158" s="4502"/>
      <c r="G1158" s="4502"/>
      <c r="H1158" s="4502"/>
      <c r="I1158" s="4502"/>
      <c r="J1158" s="4502"/>
      <c r="K1158" s="4502"/>
      <c r="L1158" s="4502"/>
      <c r="M1158" s="4502"/>
    </row>
    <row r="1159" spans="1:13" hidden="1">
      <c r="A1159" s="4501" t="s">
        <v>7890</v>
      </c>
      <c r="B1159" s="3">
        <v>2.286</v>
      </c>
      <c r="E1159" s="4502"/>
      <c r="F1159" s="4502"/>
      <c r="G1159" s="4502"/>
      <c r="H1159" s="4502"/>
      <c r="I1159" s="4502"/>
      <c r="J1159" s="4502"/>
      <c r="K1159" s="4502"/>
      <c r="L1159" s="4502"/>
      <c r="M1159" s="4502"/>
    </row>
    <row r="1160" spans="1:13" hidden="1">
      <c r="A1160" s="4501" t="s">
        <v>7891</v>
      </c>
      <c r="B1160" s="3">
        <v>2.278</v>
      </c>
      <c r="E1160" s="4502"/>
      <c r="F1160" s="4502"/>
      <c r="G1160" s="4502"/>
      <c r="H1160" s="4502"/>
      <c r="I1160" s="4502"/>
      <c r="J1160" s="4502"/>
      <c r="K1160" s="4502"/>
      <c r="L1160" s="4502"/>
      <c r="M1160" s="4502"/>
    </row>
    <row r="1161" spans="1:13" hidden="1">
      <c r="A1161" s="4501" t="s">
        <v>7892</v>
      </c>
      <c r="B1161" s="3">
        <v>2.2629999999999999</v>
      </c>
      <c r="E1161" s="4502"/>
      <c r="F1161" s="4502"/>
      <c r="G1161" s="4502"/>
      <c r="H1161" s="4502"/>
      <c r="I1161" s="4502"/>
      <c r="J1161" s="4502"/>
      <c r="K1161" s="4502"/>
      <c r="L1161" s="4502"/>
      <c r="M1161" s="4502"/>
    </row>
    <row r="1162" spans="1:13" hidden="1">
      <c r="A1162" s="4501" t="s">
        <v>7893</v>
      </c>
      <c r="B1162" s="3">
        <v>2.2280000000000002</v>
      </c>
      <c r="E1162" s="4502"/>
      <c r="F1162" s="4502"/>
      <c r="G1162" s="4502"/>
      <c r="H1162" s="4502"/>
      <c r="I1162" s="4502"/>
      <c r="J1162" s="4502"/>
      <c r="K1162" s="4502"/>
      <c r="L1162" s="4502"/>
      <c r="M1162" s="4502"/>
    </row>
    <row r="1163" spans="1:13" hidden="1">
      <c r="A1163" s="4501" t="s">
        <v>7894</v>
      </c>
      <c r="B1163" s="3">
        <v>2.2280000000000002</v>
      </c>
      <c r="E1163" s="4502"/>
      <c r="F1163" s="4502"/>
      <c r="G1163" s="4502"/>
      <c r="H1163" s="4502"/>
      <c r="I1163" s="4502"/>
      <c r="J1163" s="4502"/>
      <c r="K1163" s="4502"/>
      <c r="L1163" s="4502"/>
      <c r="M1163" s="4502"/>
    </row>
    <row r="1164" spans="1:13" hidden="1">
      <c r="A1164" s="4501" t="s">
        <v>7895</v>
      </c>
      <c r="B1164" s="3">
        <v>2.2280000000000002</v>
      </c>
      <c r="E1164" s="4502"/>
      <c r="F1164" s="4502"/>
      <c r="G1164" s="4502"/>
      <c r="H1164" s="4502"/>
      <c r="I1164" s="4502"/>
      <c r="J1164" s="4502"/>
      <c r="K1164" s="4502"/>
      <c r="L1164" s="4502"/>
      <c r="M1164" s="4502"/>
    </row>
    <row r="1165" spans="1:13" hidden="1">
      <c r="A1165" s="4501" t="s">
        <v>7896</v>
      </c>
      <c r="B1165" s="3">
        <v>2.2930000000000001</v>
      </c>
      <c r="E1165" s="4502"/>
      <c r="F1165" s="4502"/>
      <c r="G1165" s="4502"/>
      <c r="H1165" s="4502"/>
      <c r="I1165" s="4502"/>
      <c r="J1165" s="4502"/>
      <c r="K1165" s="4502"/>
      <c r="L1165" s="4502"/>
      <c r="M1165" s="4502"/>
    </row>
    <row r="1166" spans="1:13" hidden="1">
      <c r="A1166" s="4501" t="s">
        <v>7897</v>
      </c>
      <c r="B1166" s="3">
        <v>2.2749999999999999</v>
      </c>
      <c r="E1166" s="4502"/>
      <c r="F1166" s="4502"/>
      <c r="G1166" s="4502"/>
      <c r="H1166" s="4502"/>
      <c r="I1166" s="4502"/>
      <c r="J1166" s="4502"/>
      <c r="K1166" s="4502"/>
      <c r="L1166" s="4502"/>
      <c r="M1166" s="4502"/>
    </row>
    <row r="1167" spans="1:13" hidden="1">
      <c r="A1167" s="4501" t="s">
        <v>7898</v>
      </c>
      <c r="B1167" s="3">
        <v>2.202</v>
      </c>
      <c r="E1167" s="4502"/>
      <c r="F1167" s="4502"/>
      <c r="G1167" s="4502"/>
      <c r="H1167" s="4502"/>
      <c r="I1167" s="4502"/>
      <c r="J1167" s="4502"/>
      <c r="K1167" s="4502"/>
      <c r="L1167" s="4502"/>
      <c r="M1167" s="4502"/>
    </row>
    <row r="1168" spans="1:13" hidden="1">
      <c r="A1168" s="4501" t="s">
        <v>7899</v>
      </c>
      <c r="B1168" s="3">
        <v>2.2269999999999999</v>
      </c>
      <c r="E1168" s="4502"/>
      <c r="F1168" s="4502"/>
      <c r="G1168" s="4502"/>
      <c r="H1168" s="4502"/>
      <c r="I1168" s="4502"/>
      <c r="J1168" s="4502"/>
      <c r="K1168" s="4502"/>
      <c r="L1168" s="4502"/>
      <c r="M1168" s="4502"/>
    </row>
    <row r="1169" spans="1:13" hidden="1">
      <c r="A1169" s="4501" t="s">
        <v>7900</v>
      </c>
      <c r="B1169" s="3">
        <v>2.15</v>
      </c>
      <c r="E1169" s="4502"/>
      <c r="F1169" s="4502"/>
      <c r="G1169" s="4502"/>
      <c r="H1169" s="4502"/>
      <c r="I1169" s="4502"/>
      <c r="J1169" s="4502"/>
      <c r="K1169" s="4502"/>
      <c r="L1169" s="4502"/>
      <c r="M1169" s="4502"/>
    </row>
    <row r="1170" spans="1:13" hidden="1">
      <c r="A1170" s="4501" t="s">
        <v>7901</v>
      </c>
      <c r="B1170" s="3">
        <v>2.15</v>
      </c>
      <c r="E1170" s="4502"/>
      <c r="F1170" s="4502"/>
      <c r="G1170" s="4502"/>
      <c r="H1170" s="4502"/>
      <c r="I1170" s="4502"/>
      <c r="J1170" s="4502"/>
      <c r="K1170" s="4502"/>
      <c r="L1170" s="4502"/>
      <c r="M1170" s="4502"/>
    </row>
    <row r="1171" spans="1:13" hidden="1">
      <c r="A1171" s="4501" t="s">
        <v>7902</v>
      </c>
      <c r="B1171" s="3">
        <v>2.15</v>
      </c>
      <c r="E1171" s="4502"/>
      <c r="F1171" s="4502"/>
      <c r="G1171" s="4502"/>
      <c r="H1171" s="4502"/>
      <c r="I1171" s="4502"/>
      <c r="J1171" s="4502"/>
      <c r="K1171" s="4502"/>
      <c r="L1171" s="4502"/>
      <c r="M1171" s="4502"/>
    </row>
    <row r="1172" spans="1:13" hidden="1">
      <c r="A1172" s="4501" t="s">
        <v>7903</v>
      </c>
      <c r="B1172" s="3">
        <v>2.1160000000000001</v>
      </c>
      <c r="E1172" s="4502"/>
      <c r="F1172" s="4502"/>
      <c r="G1172" s="4502"/>
      <c r="H1172" s="4502"/>
      <c r="I1172" s="4502"/>
      <c r="J1172" s="4502"/>
      <c r="K1172" s="4502"/>
      <c r="L1172" s="4502"/>
      <c r="M1172" s="4502"/>
    </row>
    <row r="1173" spans="1:13" hidden="1">
      <c r="A1173" s="4501" t="s">
        <v>7904</v>
      </c>
      <c r="B1173" s="3">
        <v>2.137</v>
      </c>
      <c r="E1173" s="4502"/>
      <c r="F1173" s="4502"/>
      <c r="G1173" s="4502"/>
      <c r="H1173" s="4502"/>
      <c r="I1173" s="4502"/>
      <c r="J1173" s="4502"/>
      <c r="K1173" s="4502"/>
      <c r="L1173" s="4502"/>
      <c r="M1173" s="4502"/>
    </row>
    <row r="1174" spans="1:13" hidden="1">
      <c r="A1174" s="4501" t="s">
        <v>7905</v>
      </c>
      <c r="B1174" s="3">
        <v>2.2330000000000001</v>
      </c>
      <c r="E1174" s="4502"/>
      <c r="F1174" s="4502"/>
      <c r="G1174" s="4502"/>
      <c r="H1174" s="4502"/>
      <c r="I1174" s="4502"/>
      <c r="J1174" s="4502"/>
      <c r="K1174" s="4502"/>
      <c r="L1174" s="4502"/>
      <c r="M1174" s="4502"/>
    </row>
    <row r="1175" spans="1:13" hidden="1">
      <c r="A1175" s="4501" t="s">
        <v>7906</v>
      </c>
      <c r="B1175" s="3">
        <v>2.202</v>
      </c>
      <c r="E1175" s="4502"/>
      <c r="F1175" s="4502"/>
      <c r="G1175" s="4502"/>
      <c r="H1175" s="4502"/>
      <c r="I1175" s="4502"/>
      <c r="J1175" s="4502"/>
      <c r="K1175" s="4502"/>
      <c r="L1175" s="4502"/>
      <c r="M1175" s="4502"/>
    </row>
    <row r="1176" spans="1:13" hidden="1">
      <c r="A1176" s="4501" t="s">
        <v>7907</v>
      </c>
      <c r="B1176" s="3">
        <v>2.121</v>
      </c>
      <c r="E1176" s="4502"/>
      <c r="F1176" s="4502"/>
      <c r="G1176" s="4502"/>
      <c r="H1176" s="4502"/>
      <c r="I1176" s="4502"/>
      <c r="J1176" s="4502"/>
      <c r="K1176" s="4502"/>
      <c r="L1176" s="4502"/>
      <c r="M1176" s="4502"/>
    </row>
    <row r="1177" spans="1:13" hidden="1">
      <c r="A1177" s="4501" t="s">
        <v>7908</v>
      </c>
      <c r="B1177" s="3">
        <v>2.121</v>
      </c>
      <c r="E1177" s="4502"/>
      <c r="F1177" s="4502"/>
      <c r="G1177" s="4502"/>
      <c r="H1177" s="4502"/>
      <c r="I1177" s="4502"/>
      <c r="J1177" s="4502"/>
      <c r="K1177" s="4502"/>
      <c r="L1177" s="4502"/>
      <c r="M1177" s="4502"/>
    </row>
    <row r="1178" spans="1:13" hidden="1">
      <c r="A1178" s="4501" t="s">
        <v>7909</v>
      </c>
      <c r="B1178" s="3">
        <v>2.121</v>
      </c>
      <c r="E1178" s="4502"/>
      <c r="F1178" s="4502"/>
      <c r="G1178" s="4502"/>
      <c r="H1178" s="4502"/>
      <c r="I1178" s="4502"/>
      <c r="J1178" s="4502"/>
      <c r="K1178" s="4502"/>
      <c r="L1178" s="4502"/>
      <c r="M1178" s="4502"/>
    </row>
    <row r="1179" spans="1:13" hidden="1">
      <c r="A1179" s="4501" t="s">
        <v>7910</v>
      </c>
      <c r="B1179" s="3">
        <v>2.0699999999999998</v>
      </c>
      <c r="E1179" s="4502"/>
      <c r="F1179" s="4502"/>
      <c r="G1179" s="4502"/>
      <c r="H1179" s="4502"/>
      <c r="I1179" s="4502"/>
      <c r="J1179" s="4502"/>
      <c r="K1179" s="4502"/>
      <c r="L1179" s="4502"/>
      <c r="M1179" s="4502"/>
    </row>
    <row r="1180" spans="1:13" hidden="1">
      <c r="A1180" s="4501" t="s">
        <v>7911</v>
      </c>
      <c r="B1180" s="3">
        <v>2.1110000000000002</v>
      </c>
      <c r="E1180" s="4502"/>
      <c r="F1180" s="4502"/>
      <c r="G1180" s="4502"/>
      <c r="H1180" s="4502"/>
      <c r="I1180" s="4502"/>
      <c r="J1180" s="4502"/>
      <c r="K1180" s="4502"/>
      <c r="L1180" s="4502"/>
      <c r="M1180" s="4502"/>
    </row>
    <row r="1181" spans="1:13" hidden="1">
      <c r="A1181" s="4501" t="s">
        <v>7912</v>
      </c>
      <c r="B1181" s="3">
        <v>2.0830000000000002</v>
      </c>
      <c r="E1181" s="4502"/>
      <c r="F1181" s="4502"/>
      <c r="G1181" s="4502"/>
      <c r="H1181" s="4502"/>
      <c r="I1181" s="4502"/>
      <c r="J1181" s="4502"/>
      <c r="K1181" s="4502"/>
      <c r="L1181" s="4502"/>
      <c r="M1181" s="4502"/>
    </row>
    <row r="1182" spans="1:13" hidden="1">
      <c r="A1182" s="4501" t="s">
        <v>7913</v>
      </c>
      <c r="B1182" s="3">
        <v>2.1280000000000001</v>
      </c>
      <c r="E1182" s="4502"/>
      <c r="F1182" s="4502"/>
      <c r="G1182" s="4502"/>
      <c r="H1182" s="4502"/>
      <c r="I1182" s="4502"/>
      <c r="J1182" s="4502"/>
      <c r="K1182" s="4502"/>
      <c r="L1182" s="4502"/>
      <c r="M1182" s="4502"/>
    </row>
    <row r="1183" spans="1:13" hidden="1">
      <c r="A1183" s="4501" t="s">
        <v>7914</v>
      </c>
      <c r="B1183" s="3">
        <v>2.1190000000000002</v>
      </c>
      <c r="E1183" s="4502"/>
      <c r="F1183" s="4502"/>
      <c r="G1183" s="4502"/>
      <c r="H1183" s="4502"/>
      <c r="I1183" s="4502"/>
      <c r="J1183" s="4502"/>
      <c r="K1183" s="4502"/>
      <c r="L1183" s="4502"/>
      <c r="M1183" s="4502"/>
    </row>
    <row r="1184" spans="1:13" hidden="1">
      <c r="A1184" s="4501" t="s">
        <v>7915</v>
      </c>
      <c r="B1184" s="3">
        <v>2.1190000000000002</v>
      </c>
      <c r="E1184" s="4502"/>
      <c r="F1184" s="4502"/>
      <c r="G1184" s="4502"/>
      <c r="H1184" s="4502"/>
      <c r="I1184" s="4502"/>
      <c r="J1184" s="4502"/>
      <c r="K1184" s="4502"/>
      <c r="L1184" s="4502"/>
      <c r="M1184" s="4502"/>
    </row>
    <row r="1185" spans="1:13" hidden="1">
      <c r="A1185" s="4501" t="s">
        <v>7916</v>
      </c>
      <c r="B1185" s="3">
        <v>2.1190000000000002</v>
      </c>
      <c r="E1185" s="4502"/>
      <c r="F1185" s="4502"/>
      <c r="G1185" s="4502"/>
      <c r="H1185" s="4502"/>
      <c r="I1185" s="4502"/>
      <c r="J1185" s="4502"/>
      <c r="K1185" s="4502"/>
      <c r="L1185" s="4502"/>
      <c r="M1185" s="4502"/>
    </row>
    <row r="1186" spans="1:13" hidden="1">
      <c r="A1186" s="4501" t="s">
        <v>7917</v>
      </c>
      <c r="B1186" s="3">
        <v>2.105</v>
      </c>
      <c r="E1186" s="4502"/>
      <c r="F1186" s="4502"/>
      <c r="G1186" s="4502"/>
      <c r="H1186" s="4502"/>
      <c r="I1186" s="4502"/>
      <c r="J1186" s="4502"/>
      <c r="K1186" s="4502"/>
      <c r="L1186" s="4502"/>
      <c r="M1186" s="4502"/>
    </row>
    <row r="1187" spans="1:13" hidden="1">
      <c r="A1187" s="4501" t="s">
        <v>7918</v>
      </c>
      <c r="B1187" s="3">
        <v>2.1469999999999998</v>
      </c>
      <c r="E1187" s="4502"/>
      <c r="F1187" s="4502"/>
      <c r="G1187" s="4502"/>
      <c r="H1187" s="4502"/>
      <c r="I1187" s="4502"/>
      <c r="J1187" s="4502"/>
      <c r="K1187" s="4502"/>
      <c r="L1187" s="4502"/>
      <c r="M1187" s="4502"/>
    </row>
    <row r="1188" spans="1:13" hidden="1">
      <c r="A1188" s="4501" t="s">
        <v>7919</v>
      </c>
      <c r="B1188" s="3">
        <v>2.1539999999999999</v>
      </c>
      <c r="E1188" s="4502"/>
      <c r="F1188" s="4502"/>
      <c r="G1188" s="4502"/>
      <c r="H1188" s="4502"/>
      <c r="I1188" s="4502"/>
      <c r="J1188" s="4502"/>
      <c r="K1188" s="4502"/>
      <c r="L1188" s="4502"/>
      <c r="M1188" s="4502"/>
    </row>
    <row r="1189" spans="1:13" hidden="1">
      <c r="A1189" s="4501" t="s">
        <v>7920</v>
      </c>
      <c r="B1189" s="3">
        <v>2.2370000000000001</v>
      </c>
      <c r="E1189" s="4502"/>
      <c r="F1189" s="4502"/>
      <c r="G1189" s="4502"/>
      <c r="H1189" s="4502"/>
      <c r="I1189" s="4502"/>
      <c r="J1189" s="4502"/>
      <c r="K1189" s="4502"/>
      <c r="L1189" s="4502"/>
      <c r="M1189" s="4502"/>
    </row>
    <row r="1190" spans="1:13" hidden="1">
      <c r="A1190" s="4501" t="s">
        <v>7921</v>
      </c>
      <c r="B1190" s="3">
        <v>2.2069999999999999</v>
      </c>
      <c r="E1190" s="4502"/>
      <c r="F1190" s="4502"/>
      <c r="G1190" s="4502"/>
      <c r="H1190" s="4502"/>
      <c r="I1190" s="4502"/>
      <c r="J1190" s="4502"/>
      <c r="K1190" s="4502"/>
      <c r="L1190" s="4502"/>
      <c r="M1190" s="4502"/>
    </row>
    <row r="1191" spans="1:13" hidden="1">
      <c r="A1191" s="4501" t="s">
        <v>7922</v>
      </c>
      <c r="B1191" s="3">
        <v>2.2069999999999999</v>
      </c>
      <c r="E1191" s="4502"/>
      <c r="F1191" s="4502"/>
      <c r="G1191" s="4502"/>
      <c r="H1191" s="4502"/>
      <c r="I1191" s="4502"/>
      <c r="J1191" s="4502"/>
      <c r="K1191" s="4502"/>
      <c r="L1191" s="4502"/>
      <c r="M1191" s="4502"/>
    </row>
    <row r="1192" spans="1:13" hidden="1">
      <c r="A1192" s="4501" t="s">
        <v>7923</v>
      </c>
      <c r="B1192" s="3">
        <v>2.2069999999999999</v>
      </c>
      <c r="E1192" s="4502"/>
      <c r="F1192" s="4502"/>
      <c r="G1192" s="4502"/>
      <c r="H1192" s="4502"/>
      <c r="I1192" s="4502"/>
      <c r="J1192" s="4502"/>
      <c r="K1192" s="4502"/>
      <c r="L1192" s="4502"/>
      <c r="M1192" s="4502"/>
    </row>
    <row r="1193" spans="1:13" hidden="1">
      <c r="A1193" s="4501" t="s">
        <v>7924</v>
      </c>
      <c r="B1193" s="3">
        <v>2.2130000000000001</v>
      </c>
      <c r="E1193" s="4502"/>
      <c r="F1193" s="4502"/>
      <c r="G1193" s="4502"/>
      <c r="H1193" s="4502"/>
      <c r="I1193" s="4502"/>
      <c r="J1193" s="4502"/>
      <c r="K1193" s="4502"/>
      <c r="L1193" s="4502"/>
      <c r="M1193" s="4502"/>
    </row>
    <row r="1194" spans="1:13" hidden="1">
      <c r="A1194" s="4501" t="s">
        <v>7925</v>
      </c>
      <c r="B1194" s="3">
        <v>2.2189999999999999</v>
      </c>
      <c r="E1194" s="4502"/>
      <c r="F1194" s="4502"/>
      <c r="G1194" s="4502"/>
      <c r="H1194" s="4502"/>
      <c r="I1194" s="4502"/>
      <c r="J1194" s="4502"/>
      <c r="K1194" s="4502"/>
      <c r="L1194" s="4502"/>
      <c r="M1194" s="4502"/>
    </row>
    <row r="1195" spans="1:13" hidden="1">
      <c r="A1195" s="4501" t="s">
        <v>7926</v>
      </c>
      <c r="B1195" s="3">
        <v>2.177</v>
      </c>
      <c r="E1195" s="4502"/>
      <c r="F1195" s="4502"/>
      <c r="G1195" s="4502"/>
      <c r="H1195" s="4502"/>
      <c r="I1195" s="4502"/>
      <c r="J1195" s="4502"/>
      <c r="K1195" s="4502"/>
      <c r="L1195" s="4502"/>
      <c r="M1195" s="4502"/>
    </row>
    <row r="1196" spans="1:13" hidden="1">
      <c r="A1196" s="4501" t="s">
        <v>7927</v>
      </c>
      <c r="B1196" s="3">
        <v>2.1629999999999998</v>
      </c>
      <c r="E1196" s="4502"/>
      <c r="F1196" s="4502"/>
      <c r="G1196" s="4502"/>
      <c r="H1196" s="4502"/>
      <c r="I1196" s="4502"/>
      <c r="J1196" s="4502"/>
      <c r="K1196" s="4502"/>
      <c r="L1196" s="4502"/>
      <c r="M1196" s="4502"/>
    </row>
    <row r="1197" spans="1:13" hidden="1">
      <c r="A1197" s="4501" t="s">
        <v>7928</v>
      </c>
      <c r="B1197" s="3">
        <v>2.1560000000000001</v>
      </c>
      <c r="E1197" s="4502"/>
      <c r="F1197" s="4502"/>
      <c r="G1197" s="4502"/>
      <c r="H1197" s="4502"/>
      <c r="I1197" s="4502"/>
      <c r="J1197" s="4502"/>
      <c r="K1197" s="4502"/>
      <c r="L1197" s="4502"/>
      <c r="M1197" s="4502"/>
    </row>
    <row r="1198" spans="1:13" hidden="1">
      <c r="A1198" s="4501" t="s">
        <v>7929</v>
      </c>
      <c r="B1198" s="3">
        <v>2.1560000000000001</v>
      </c>
      <c r="E1198" s="4502"/>
      <c r="F1198" s="4502"/>
      <c r="G1198" s="4502"/>
      <c r="H1198" s="4502"/>
      <c r="I1198" s="4502"/>
      <c r="J1198" s="4502"/>
      <c r="K1198" s="4502"/>
      <c r="L1198" s="4502"/>
      <c r="M1198" s="4502"/>
    </row>
    <row r="1199" spans="1:13" hidden="1">
      <c r="A1199" s="4501" t="s">
        <v>7930</v>
      </c>
      <c r="B1199" s="3">
        <v>2.1560000000000001</v>
      </c>
      <c r="E1199" s="4502"/>
      <c r="F1199" s="4502"/>
      <c r="G1199" s="4502"/>
      <c r="H1199" s="4502"/>
      <c r="I1199" s="4502"/>
      <c r="J1199" s="4502"/>
      <c r="K1199" s="4502"/>
      <c r="L1199" s="4502"/>
      <c r="M1199" s="4502"/>
    </row>
    <row r="1200" spans="1:13" hidden="1">
      <c r="A1200" s="4501" t="s">
        <v>7931</v>
      </c>
      <c r="B1200" s="3">
        <v>2.2330000000000001</v>
      </c>
      <c r="E1200" s="4502"/>
      <c r="F1200" s="4502"/>
      <c r="G1200" s="4502"/>
      <c r="H1200" s="4502"/>
      <c r="I1200" s="4502"/>
      <c r="J1200" s="4502"/>
      <c r="K1200" s="4502"/>
      <c r="L1200" s="4502"/>
      <c r="M1200" s="4502"/>
    </row>
    <row r="1201" spans="1:13" hidden="1">
      <c r="A1201" s="4501" t="s">
        <v>7932</v>
      </c>
      <c r="B1201" s="3">
        <v>2.1920000000000002</v>
      </c>
      <c r="E1201" s="4502"/>
      <c r="F1201" s="4502"/>
      <c r="G1201" s="4502"/>
      <c r="H1201" s="4502"/>
      <c r="I1201" s="4502"/>
      <c r="J1201" s="4502"/>
      <c r="K1201" s="4502"/>
      <c r="L1201" s="4502"/>
      <c r="M1201" s="4502"/>
    </row>
    <row r="1202" spans="1:13" hidden="1">
      <c r="A1202" s="4501" t="s">
        <v>7933</v>
      </c>
      <c r="B1202" s="3">
        <v>2.222</v>
      </c>
      <c r="E1202" s="4502"/>
      <c r="F1202" s="4502"/>
      <c r="G1202" s="4502"/>
      <c r="H1202" s="4502"/>
      <c r="I1202" s="4502"/>
      <c r="J1202" s="4502"/>
      <c r="K1202" s="4502"/>
      <c r="L1202" s="4502"/>
      <c r="M1202" s="4502"/>
    </row>
    <row r="1203" spans="1:13" hidden="1">
      <c r="A1203" s="4501" t="s">
        <v>7934</v>
      </c>
      <c r="B1203" s="3">
        <v>2.2959999999999998</v>
      </c>
      <c r="E1203" s="4502"/>
      <c r="F1203" s="4502"/>
      <c r="G1203" s="4502"/>
      <c r="H1203" s="4502"/>
      <c r="I1203" s="4502"/>
      <c r="J1203" s="4502"/>
      <c r="K1203" s="4502"/>
      <c r="L1203" s="4502"/>
      <c r="M1203" s="4502"/>
    </row>
    <row r="1204" spans="1:13" hidden="1">
      <c r="A1204" s="4501" t="s">
        <v>7935</v>
      </c>
      <c r="B1204" s="3">
        <v>2.2850000000000001</v>
      </c>
      <c r="E1204" s="4502"/>
      <c r="F1204" s="4502"/>
      <c r="G1204" s="4502"/>
      <c r="H1204" s="4502"/>
      <c r="I1204" s="4502"/>
      <c r="J1204" s="4502"/>
      <c r="K1204" s="4502"/>
      <c r="L1204" s="4502"/>
      <c r="M1204" s="4502"/>
    </row>
    <row r="1205" spans="1:13" hidden="1">
      <c r="A1205" s="4501" t="s">
        <v>7936</v>
      </c>
      <c r="B1205" s="3">
        <v>2.2850000000000001</v>
      </c>
      <c r="E1205" s="4502"/>
      <c r="F1205" s="4502"/>
      <c r="G1205" s="4502"/>
      <c r="H1205" s="4502"/>
      <c r="I1205" s="4502"/>
      <c r="J1205" s="4502"/>
      <c r="K1205" s="4502"/>
      <c r="L1205" s="4502"/>
      <c r="M1205" s="4502"/>
    </row>
    <row r="1206" spans="1:13" hidden="1">
      <c r="A1206" s="4501" t="s">
        <v>7937</v>
      </c>
      <c r="B1206" s="3">
        <v>2.2850000000000001</v>
      </c>
      <c r="E1206" s="4502"/>
      <c r="F1206" s="4502"/>
      <c r="G1206" s="4502"/>
      <c r="H1206" s="4502"/>
      <c r="I1206" s="4502"/>
      <c r="J1206" s="4502"/>
      <c r="K1206" s="4502"/>
      <c r="L1206" s="4502"/>
      <c r="M1206" s="4502"/>
    </row>
    <row r="1207" spans="1:13" hidden="1">
      <c r="A1207" s="4501" t="s">
        <v>7938</v>
      </c>
      <c r="B1207" s="3">
        <v>2.2850000000000001</v>
      </c>
      <c r="E1207" s="4502"/>
      <c r="F1207" s="4502"/>
      <c r="G1207" s="4502"/>
      <c r="H1207" s="4502"/>
      <c r="I1207" s="4502"/>
      <c r="J1207" s="4502"/>
      <c r="K1207" s="4502"/>
      <c r="L1207" s="4502"/>
      <c r="M1207" s="4502"/>
    </row>
    <row r="1208" spans="1:13" hidden="1">
      <c r="A1208" s="4501" t="s">
        <v>7939</v>
      </c>
      <c r="B1208" s="3">
        <v>2.3580000000000001</v>
      </c>
      <c r="E1208" s="4502"/>
      <c r="F1208" s="4502"/>
      <c r="G1208" s="4502"/>
      <c r="H1208" s="4502"/>
      <c r="I1208" s="4502"/>
      <c r="J1208" s="4502"/>
      <c r="K1208" s="4502"/>
      <c r="L1208" s="4502"/>
      <c r="M1208" s="4502"/>
    </row>
    <row r="1209" spans="1:13" hidden="1">
      <c r="A1209" s="4501" t="s">
        <v>7940</v>
      </c>
      <c r="B1209" s="3">
        <v>2.4449999999999998</v>
      </c>
      <c r="E1209" s="4502"/>
      <c r="F1209" s="4502"/>
      <c r="G1209" s="4502"/>
      <c r="H1209" s="4502"/>
      <c r="I1209" s="4502"/>
      <c r="J1209" s="4502"/>
      <c r="K1209" s="4502"/>
      <c r="L1209" s="4502"/>
      <c r="M1209" s="4502"/>
    </row>
    <row r="1210" spans="1:13" hidden="1">
      <c r="A1210" s="4501" t="s">
        <v>7941</v>
      </c>
      <c r="B1210" s="3">
        <v>2.4350000000000001</v>
      </c>
      <c r="E1210" s="4502"/>
      <c r="F1210" s="4502"/>
      <c r="G1210" s="4502"/>
      <c r="H1210" s="4502"/>
      <c r="I1210" s="4502"/>
      <c r="J1210" s="4502"/>
      <c r="K1210" s="4502"/>
      <c r="L1210" s="4502"/>
      <c r="M1210" s="4502"/>
    </row>
    <row r="1211" spans="1:13" hidden="1">
      <c r="A1211" s="4501" t="s">
        <v>7942</v>
      </c>
      <c r="B1211" s="3">
        <v>2.496</v>
      </c>
      <c r="E1211" s="4502"/>
      <c r="F1211" s="4502"/>
      <c r="G1211" s="4502"/>
      <c r="H1211" s="4502"/>
      <c r="I1211" s="4502"/>
      <c r="J1211" s="4502"/>
      <c r="K1211" s="4502"/>
      <c r="L1211" s="4502"/>
      <c r="M1211" s="4502"/>
    </row>
    <row r="1212" spans="1:13" hidden="1">
      <c r="A1212" s="4501" t="s">
        <v>7943</v>
      </c>
      <c r="B1212" s="3">
        <v>2.496</v>
      </c>
      <c r="E1212" s="4502"/>
      <c r="F1212" s="4502"/>
      <c r="G1212" s="4502"/>
      <c r="H1212" s="4502"/>
      <c r="I1212" s="4502"/>
      <c r="J1212" s="4502"/>
      <c r="K1212" s="4502"/>
      <c r="L1212" s="4502"/>
      <c r="M1212" s="4502"/>
    </row>
    <row r="1213" spans="1:13" hidden="1">
      <c r="A1213" s="4501" t="s">
        <v>7944</v>
      </c>
      <c r="B1213" s="3">
        <v>2.496</v>
      </c>
      <c r="E1213" s="4502"/>
      <c r="F1213" s="4502"/>
      <c r="G1213" s="4502"/>
      <c r="H1213" s="4502"/>
      <c r="I1213" s="4502"/>
      <c r="J1213" s="4502"/>
      <c r="K1213" s="4502"/>
      <c r="L1213" s="4502"/>
      <c r="M1213" s="4502"/>
    </row>
    <row r="1214" spans="1:13" hidden="1">
      <c r="A1214" s="4501" t="s">
        <v>7945</v>
      </c>
      <c r="B1214" s="3">
        <v>2.585</v>
      </c>
      <c r="E1214" s="4502"/>
      <c r="F1214" s="4502"/>
      <c r="G1214" s="4502"/>
      <c r="H1214" s="4502"/>
      <c r="I1214" s="4502"/>
      <c r="J1214" s="4502"/>
      <c r="K1214" s="4502"/>
      <c r="L1214" s="4502"/>
      <c r="M1214" s="4502"/>
    </row>
    <row r="1215" spans="1:13" hidden="1">
      <c r="A1215" s="4501" t="s">
        <v>7946</v>
      </c>
      <c r="B1215" s="3">
        <v>2.58</v>
      </c>
      <c r="E1215" s="4502"/>
      <c r="F1215" s="4502"/>
      <c r="G1215" s="4502"/>
      <c r="H1215" s="4502"/>
      <c r="I1215" s="4502"/>
      <c r="J1215" s="4502"/>
      <c r="K1215" s="4502"/>
      <c r="L1215" s="4502"/>
      <c r="M1215" s="4502"/>
    </row>
    <row r="1216" spans="1:13" hidden="1">
      <c r="A1216" s="4501" t="s">
        <v>7947</v>
      </c>
      <c r="B1216" s="3">
        <v>2.552</v>
      </c>
      <c r="E1216" s="4502"/>
      <c r="F1216" s="4502"/>
      <c r="G1216" s="4502"/>
      <c r="H1216" s="4502"/>
      <c r="I1216" s="4502"/>
      <c r="J1216" s="4502"/>
      <c r="K1216" s="4502"/>
      <c r="L1216" s="4502"/>
      <c r="M1216" s="4502"/>
    </row>
    <row r="1217" spans="1:13" hidden="1">
      <c r="A1217" s="4501" t="s">
        <v>7948</v>
      </c>
      <c r="B1217" s="3">
        <v>2.5739999999999998</v>
      </c>
      <c r="E1217" s="4502"/>
      <c r="F1217" s="4502"/>
      <c r="G1217" s="4502"/>
      <c r="H1217" s="4502"/>
      <c r="I1217" s="4502"/>
      <c r="J1217" s="4502"/>
      <c r="K1217" s="4502"/>
      <c r="L1217" s="4502"/>
      <c r="M1217" s="4502"/>
    </row>
    <row r="1218" spans="1:13" hidden="1">
      <c r="A1218" s="4501" t="s">
        <v>7949</v>
      </c>
      <c r="B1218" s="3">
        <v>2.653</v>
      </c>
      <c r="E1218" s="4502"/>
      <c r="F1218" s="4502"/>
      <c r="G1218" s="4502"/>
      <c r="H1218" s="4502"/>
      <c r="I1218" s="4502"/>
      <c r="J1218" s="4502"/>
      <c r="K1218" s="4502"/>
      <c r="L1218" s="4502"/>
      <c r="M1218" s="4502"/>
    </row>
    <row r="1219" spans="1:13" hidden="1">
      <c r="A1219" s="4501" t="s">
        <v>7950</v>
      </c>
      <c r="B1219" s="3">
        <v>2.653</v>
      </c>
      <c r="E1219" s="4502"/>
      <c r="F1219" s="4502"/>
      <c r="G1219" s="4502"/>
      <c r="H1219" s="4502"/>
      <c r="I1219" s="4502"/>
      <c r="J1219" s="4502"/>
      <c r="K1219" s="4502"/>
      <c r="L1219" s="4502"/>
      <c r="M1219" s="4502"/>
    </row>
    <row r="1220" spans="1:13" hidden="1">
      <c r="A1220" s="4501" t="s">
        <v>7951</v>
      </c>
      <c r="B1220" s="3">
        <v>2.653</v>
      </c>
      <c r="E1220" s="4502"/>
      <c r="F1220" s="4502"/>
      <c r="G1220" s="4502"/>
      <c r="H1220" s="4502"/>
      <c r="I1220" s="4502"/>
      <c r="J1220" s="4502"/>
      <c r="K1220" s="4502"/>
      <c r="L1220" s="4502"/>
      <c r="M1220" s="4502"/>
    </row>
    <row r="1221" spans="1:13" hidden="1">
      <c r="A1221" s="4501" t="s">
        <v>7952</v>
      </c>
      <c r="B1221" s="3">
        <v>2.7250000000000001</v>
      </c>
      <c r="E1221" s="4502"/>
      <c r="F1221" s="4502"/>
      <c r="G1221" s="4502"/>
      <c r="H1221" s="4502"/>
      <c r="I1221" s="4502"/>
      <c r="J1221" s="4502"/>
      <c r="K1221" s="4502"/>
      <c r="L1221" s="4502"/>
      <c r="M1221" s="4502"/>
    </row>
    <row r="1222" spans="1:13" hidden="1">
      <c r="A1222" s="4501" t="s">
        <v>7953</v>
      </c>
      <c r="B1222" s="3">
        <v>2.7</v>
      </c>
      <c r="E1222" s="4502"/>
      <c r="F1222" s="4502"/>
      <c r="G1222" s="4502"/>
      <c r="H1222" s="4502"/>
      <c r="I1222" s="4502"/>
      <c r="J1222" s="4502"/>
      <c r="K1222" s="4502"/>
      <c r="L1222" s="4502"/>
      <c r="M1222" s="4502"/>
    </row>
    <row r="1223" spans="1:13" hidden="1">
      <c r="A1223" s="4501" t="s">
        <v>7954</v>
      </c>
      <c r="B1223" s="3">
        <v>2.665</v>
      </c>
      <c r="E1223" s="4502"/>
      <c r="F1223" s="4502"/>
      <c r="G1223" s="4502"/>
      <c r="H1223" s="4502"/>
      <c r="I1223" s="4502"/>
      <c r="J1223" s="4502"/>
      <c r="K1223" s="4502"/>
      <c r="L1223" s="4502"/>
      <c r="M1223" s="4502"/>
    </row>
    <row r="1224" spans="1:13" hidden="1">
      <c r="A1224" s="4501" t="s">
        <v>7955</v>
      </c>
      <c r="B1224" s="3">
        <v>2.569</v>
      </c>
      <c r="E1224" s="4502"/>
      <c r="F1224" s="4502"/>
      <c r="G1224" s="4502"/>
      <c r="H1224" s="4502"/>
      <c r="I1224" s="4502"/>
      <c r="J1224" s="4502"/>
      <c r="K1224" s="4502"/>
      <c r="L1224" s="4502"/>
      <c r="M1224" s="4502"/>
    </row>
    <row r="1225" spans="1:13" hidden="1">
      <c r="A1225" s="4501" t="s">
        <v>7956</v>
      </c>
      <c r="B1225" s="3">
        <v>2.5550000000000002</v>
      </c>
      <c r="E1225" s="4502"/>
      <c r="F1225" s="4502"/>
      <c r="G1225" s="4502"/>
      <c r="H1225" s="4502"/>
      <c r="I1225" s="4502"/>
      <c r="J1225" s="4502"/>
      <c r="K1225" s="4502"/>
      <c r="L1225" s="4502"/>
      <c r="M1225" s="4502"/>
    </row>
    <row r="1226" spans="1:13" hidden="1">
      <c r="A1226" s="4501" t="s">
        <v>7957</v>
      </c>
      <c r="B1226" s="3">
        <v>2.5550000000000002</v>
      </c>
      <c r="E1226" s="4502"/>
      <c r="F1226" s="4502"/>
      <c r="G1226" s="4502"/>
      <c r="H1226" s="4502"/>
      <c r="I1226" s="4502"/>
      <c r="J1226" s="4502"/>
      <c r="K1226" s="4502"/>
      <c r="L1226" s="4502"/>
      <c r="M1226" s="4502"/>
    </row>
    <row r="1227" spans="1:13" hidden="1">
      <c r="A1227" s="4501" t="s">
        <v>7958</v>
      </c>
      <c r="B1227" s="3">
        <v>2.5550000000000002</v>
      </c>
      <c r="E1227" s="4502"/>
      <c r="F1227" s="4502"/>
      <c r="G1227" s="4502"/>
      <c r="H1227" s="4502"/>
      <c r="I1227" s="4502"/>
      <c r="J1227" s="4502"/>
      <c r="K1227" s="4502"/>
      <c r="L1227" s="4502"/>
      <c r="M1227" s="4502"/>
    </row>
    <row r="1228" spans="1:13" hidden="1">
      <c r="A1228" s="4501" t="s">
        <v>7959</v>
      </c>
      <c r="B1228" s="3">
        <v>2.5550000000000002</v>
      </c>
      <c r="E1228" s="4502"/>
      <c r="F1228" s="4502"/>
      <c r="G1228" s="4502"/>
      <c r="H1228" s="4502"/>
      <c r="I1228" s="4502"/>
      <c r="J1228" s="4502"/>
      <c r="K1228" s="4502"/>
      <c r="L1228" s="4502"/>
      <c r="M1228" s="4502"/>
    </row>
    <row r="1229" spans="1:13" hidden="1">
      <c r="A1229" s="4501" t="s">
        <v>7960</v>
      </c>
      <c r="B1229" s="3">
        <v>2.5249999999999999</v>
      </c>
      <c r="E1229" s="4502"/>
      <c r="F1229" s="4502"/>
      <c r="G1229" s="4502"/>
      <c r="H1229" s="4502"/>
      <c r="I1229" s="4502"/>
      <c r="J1229" s="4502"/>
      <c r="K1229" s="4502"/>
      <c r="L1229" s="4502"/>
      <c r="M1229" s="4502"/>
    </row>
    <row r="1230" spans="1:13" hidden="1">
      <c r="A1230" s="4501" t="s">
        <v>7961</v>
      </c>
      <c r="B1230" s="3">
        <v>2.5179999999999998</v>
      </c>
      <c r="E1230" s="4502"/>
      <c r="F1230" s="4502"/>
      <c r="G1230" s="4502"/>
      <c r="H1230" s="4502"/>
      <c r="I1230" s="4502"/>
      <c r="J1230" s="4502"/>
      <c r="K1230" s="4502"/>
      <c r="L1230" s="4502"/>
      <c r="M1230" s="4502"/>
    </row>
    <row r="1231" spans="1:13" hidden="1">
      <c r="A1231" s="4501" t="s">
        <v>7962</v>
      </c>
      <c r="B1231" s="3">
        <v>2.4430000000000001</v>
      </c>
      <c r="E1231" s="4502"/>
      <c r="F1231" s="4502"/>
      <c r="G1231" s="4502"/>
      <c r="H1231" s="4502"/>
      <c r="I1231" s="4502"/>
      <c r="J1231" s="4502"/>
      <c r="K1231" s="4502"/>
      <c r="L1231" s="4502"/>
      <c r="M1231" s="4502"/>
    </row>
    <row r="1232" spans="1:13" hidden="1">
      <c r="A1232" s="4501" t="s">
        <v>7963</v>
      </c>
      <c r="B1232" s="3">
        <v>2.4039999999999999</v>
      </c>
      <c r="E1232" s="4502"/>
      <c r="F1232" s="4502"/>
      <c r="G1232" s="4502"/>
      <c r="H1232" s="4502"/>
      <c r="I1232" s="4502"/>
      <c r="J1232" s="4502"/>
      <c r="K1232" s="4502"/>
      <c r="L1232" s="4502"/>
      <c r="M1232" s="4502"/>
    </row>
    <row r="1233" spans="1:13" hidden="1">
      <c r="A1233" s="4501" t="s">
        <v>7964</v>
      </c>
      <c r="B1233" s="3">
        <v>2.4039999999999999</v>
      </c>
      <c r="E1233" s="4502"/>
      <c r="F1233" s="4502"/>
      <c r="G1233" s="4502"/>
      <c r="H1233" s="4502"/>
      <c r="I1233" s="4502"/>
      <c r="J1233" s="4502"/>
      <c r="K1233" s="4502"/>
      <c r="L1233" s="4502"/>
      <c r="M1233" s="4502"/>
    </row>
    <row r="1234" spans="1:13" hidden="1">
      <c r="A1234" s="4501" t="s">
        <v>7965</v>
      </c>
      <c r="B1234" s="3">
        <v>2.4039999999999999</v>
      </c>
      <c r="E1234" s="4502"/>
      <c r="F1234" s="4502"/>
      <c r="G1234" s="4502"/>
      <c r="H1234" s="4502"/>
      <c r="I1234" s="4502"/>
      <c r="J1234" s="4502"/>
      <c r="K1234" s="4502"/>
      <c r="L1234" s="4502"/>
      <c r="M1234" s="4502"/>
    </row>
    <row r="1235" spans="1:13" hidden="1">
      <c r="A1235" s="4501" t="s">
        <v>7966</v>
      </c>
      <c r="B1235" s="3">
        <v>2.33</v>
      </c>
      <c r="E1235" s="4502"/>
      <c r="F1235" s="4502"/>
      <c r="G1235" s="4502"/>
      <c r="H1235" s="4502"/>
      <c r="I1235" s="4502"/>
      <c r="J1235" s="4502"/>
      <c r="K1235" s="4502"/>
      <c r="L1235" s="4502"/>
      <c r="M1235" s="4502"/>
    </row>
    <row r="1236" spans="1:13" hidden="1">
      <c r="A1236" s="4501" t="s">
        <v>7967</v>
      </c>
      <c r="B1236" s="3">
        <v>2.2829999999999999</v>
      </c>
      <c r="E1236" s="4502"/>
      <c r="F1236" s="4502"/>
      <c r="G1236" s="4502"/>
      <c r="H1236" s="4502"/>
      <c r="I1236" s="4502"/>
      <c r="J1236" s="4502"/>
      <c r="K1236" s="4502"/>
      <c r="L1236" s="4502"/>
      <c r="M1236" s="4502"/>
    </row>
    <row r="1237" spans="1:13" hidden="1">
      <c r="A1237" s="4501" t="s">
        <v>7968</v>
      </c>
      <c r="B1237" s="3">
        <v>2.2469999999999999</v>
      </c>
      <c r="E1237" s="4502"/>
      <c r="F1237" s="4502"/>
      <c r="G1237" s="4502"/>
      <c r="H1237" s="4502"/>
      <c r="I1237" s="4502"/>
      <c r="J1237" s="4502"/>
      <c r="K1237" s="4502"/>
      <c r="L1237" s="4502"/>
      <c r="M1237" s="4502"/>
    </row>
    <row r="1238" spans="1:13" hidden="1">
      <c r="A1238" s="4501" t="s">
        <v>7969</v>
      </c>
      <c r="B1238" s="3">
        <v>2.3290000000000002</v>
      </c>
      <c r="E1238" s="4502"/>
      <c r="F1238" s="4502"/>
      <c r="G1238" s="4502"/>
      <c r="H1238" s="4502"/>
      <c r="I1238" s="4502"/>
      <c r="J1238" s="4502"/>
      <c r="K1238" s="4502"/>
      <c r="L1238" s="4502"/>
      <c r="M1238" s="4502"/>
    </row>
    <row r="1239" spans="1:13" hidden="1">
      <c r="A1239" s="4501" t="s">
        <v>7970</v>
      </c>
      <c r="B1239" s="3">
        <v>2.3519999999999999</v>
      </c>
      <c r="E1239" s="4502"/>
      <c r="F1239" s="4502"/>
      <c r="G1239" s="4502"/>
      <c r="H1239" s="4502"/>
      <c r="I1239" s="4502"/>
      <c r="J1239" s="4502"/>
      <c r="K1239" s="4502"/>
      <c r="L1239" s="4502"/>
      <c r="M1239" s="4502"/>
    </row>
    <row r="1240" spans="1:13" hidden="1">
      <c r="A1240" s="4501" t="s">
        <v>7971</v>
      </c>
      <c r="B1240" s="3">
        <v>2.3519999999999999</v>
      </c>
      <c r="E1240" s="4502"/>
      <c r="F1240" s="4502"/>
      <c r="G1240" s="4502"/>
      <c r="H1240" s="4502"/>
      <c r="I1240" s="4502"/>
      <c r="J1240" s="4502"/>
      <c r="K1240" s="4502"/>
      <c r="L1240" s="4502"/>
      <c r="M1240" s="4502"/>
    </row>
    <row r="1241" spans="1:13" hidden="1">
      <c r="A1241" s="4501" t="s">
        <v>7972</v>
      </c>
      <c r="B1241" s="3">
        <v>2.3519999999999999</v>
      </c>
      <c r="E1241" s="4502"/>
      <c r="F1241" s="4502"/>
      <c r="G1241" s="4502"/>
      <c r="H1241" s="4502"/>
      <c r="I1241" s="4502"/>
      <c r="J1241" s="4502"/>
      <c r="K1241" s="4502"/>
      <c r="L1241" s="4502"/>
      <c r="M1241" s="4502"/>
    </row>
    <row r="1242" spans="1:13" hidden="1">
      <c r="A1242" s="4501" t="s">
        <v>7973</v>
      </c>
      <c r="B1242" s="3">
        <v>2.3029999999999999</v>
      </c>
      <c r="E1242" s="4502"/>
      <c r="F1242" s="4502"/>
      <c r="G1242" s="4502"/>
      <c r="H1242" s="4502"/>
      <c r="I1242" s="4502"/>
      <c r="J1242" s="4502"/>
      <c r="K1242" s="4502"/>
      <c r="L1242" s="4502"/>
      <c r="M1242" s="4502"/>
    </row>
    <row r="1243" spans="1:13" hidden="1">
      <c r="A1243" s="4501" t="s">
        <v>7974</v>
      </c>
      <c r="B1243" s="3">
        <v>2.2879999999999998</v>
      </c>
      <c r="E1243" s="4502"/>
      <c r="F1243" s="4502"/>
      <c r="G1243" s="4502"/>
      <c r="H1243" s="4502"/>
      <c r="I1243" s="4502"/>
      <c r="J1243" s="4502"/>
      <c r="K1243" s="4502"/>
      <c r="L1243" s="4502"/>
      <c r="M1243" s="4502"/>
    </row>
    <row r="1244" spans="1:13" hidden="1">
      <c r="A1244" s="4501" t="s">
        <v>7975</v>
      </c>
      <c r="B1244" s="3">
        <v>2.234</v>
      </c>
      <c r="E1244" s="4502"/>
      <c r="F1244" s="4502"/>
      <c r="G1244" s="4502"/>
      <c r="H1244" s="4502"/>
      <c r="I1244" s="4502"/>
      <c r="J1244" s="4502"/>
      <c r="K1244" s="4502"/>
      <c r="L1244" s="4502"/>
      <c r="M1244" s="4502"/>
    </row>
    <row r="1245" spans="1:13" hidden="1">
      <c r="A1245" s="4501" t="s">
        <v>7976</v>
      </c>
      <c r="B1245" s="3">
        <v>2.218</v>
      </c>
      <c r="E1245" s="4502"/>
      <c r="F1245" s="4502"/>
      <c r="G1245" s="4502"/>
      <c r="H1245" s="4502"/>
      <c r="I1245" s="4502"/>
      <c r="J1245" s="4502"/>
      <c r="K1245" s="4502"/>
      <c r="L1245" s="4502"/>
      <c r="M1245" s="4502"/>
    </row>
    <row r="1246" spans="1:13" hidden="1">
      <c r="A1246" s="4501" t="s">
        <v>7977</v>
      </c>
      <c r="B1246" s="3">
        <v>2.214</v>
      </c>
      <c r="E1246" s="4502"/>
      <c r="F1246" s="4502"/>
      <c r="G1246" s="4502"/>
      <c r="H1246" s="4502"/>
      <c r="I1246" s="4502"/>
      <c r="J1246" s="4502"/>
      <c r="K1246" s="4502"/>
      <c r="L1246" s="4502"/>
      <c r="M1246" s="4502"/>
    </row>
    <row r="1247" spans="1:13" hidden="1">
      <c r="A1247" s="4501" t="s">
        <v>7978</v>
      </c>
      <c r="B1247" s="3">
        <v>2.214</v>
      </c>
      <c r="E1247" s="4502"/>
      <c r="F1247" s="4502"/>
      <c r="G1247" s="4502"/>
      <c r="H1247" s="4502"/>
      <c r="I1247" s="4502"/>
      <c r="J1247" s="4502"/>
      <c r="K1247" s="4502"/>
      <c r="L1247" s="4502"/>
      <c r="M1247" s="4502"/>
    </row>
    <row r="1248" spans="1:13" hidden="1">
      <c r="A1248" s="4501" t="s">
        <v>7979</v>
      </c>
      <c r="B1248" s="3">
        <v>2.214</v>
      </c>
      <c r="E1248" s="4502"/>
      <c r="F1248" s="4502"/>
      <c r="G1248" s="4502"/>
      <c r="H1248" s="4502"/>
      <c r="I1248" s="4502"/>
      <c r="J1248" s="4502"/>
      <c r="K1248" s="4502"/>
      <c r="L1248" s="4502"/>
      <c r="M1248" s="4502"/>
    </row>
    <row r="1249" spans="1:13" hidden="1">
      <c r="A1249" s="4501" t="s">
        <v>7980</v>
      </c>
      <c r="B1249" s="3">
        <v>2.4980000000000002</v>
      </c>
      <c r="E1249" s="4502"/>
      <c r="F1249" s="4502"/>
      <c r="G1249" s="4502"/>
      <c r="H1249" s="4502"/>
      <c r="I1249" s="4502"/>
      <c r="J1249" s="4502"/>
      <c r="K1249" s="4502"/>
      <c r="L1249" s="4502"/>
      <c r="M1249" s="4502"/>
    </row>
    <row r="1250" spans="1:13" hidden="1">
      <c r="A1250" s="4501" t="s">
        <v>7981</v>
      </c>
      <c r="B1250" s="3">
        <v>2.532</v>
      </c>
      <c r="E1250" s="4502"/>
      <c r="F1250" s="4502"/>
      <c r="G1250" s="4502"/>
      <c r="H1250" s="4502"/>
      <c r="I1250" s="4502"/>
      <c r="J1250" s="4502"/>
      <c r="K1250" s="4502"/>
      <c r="L1250" s="4502"/>
      <c r="M1250" s="4502"/>
    </row>
    <row r="1251" spans="1:13" hidden="1">
      <c r="A1251" s="4501" t="s">
        <v>7982</v>
      </c>
      <c r="B1251" s="3">
        <v>2.4950000000000001</v>
      </c>
      <c r="E1251" s="4502"/>
      <c r="F1251" s="4502"/>
      <c r="G1251" s="4502"/>
      <c r="H1251" s="4502"/>
      <c r="I1251" s="4502"/>
      <c r="J1251" s="4502"/>
      <c r="K1251" s="4502"/>
      <c r="L1251" s="4502"/>
      <c r="M1251" s="4502"/>
    </row>
    <row r="1252" spans="1:13" hidden="1">
      <c r="A1252" s="4501" t="s">
        <v>7983</v>
      </c>
      <c r="B1252" s="3">
        <v>2.516</v>
      </c>
      <c r="E1252" s="4502"/>
      <c r="F1252" s="4502"/>
      <c r="G1252" s="4502"/>
      <c r="H1252" s="4502"/>
      <c r="I1252" s="4502"/>
      <c r="J1252" s="4502"/>
      <c r="K1252" s="4502"/>
      <c r="L1252" s="4502"/>
      <c r="M1252" s="4502"/>
    </row>
    <row r="1253" spans="1:13" hidden="1">
      <c r="A1253" s="4501" t="s">
        <v>7984</v>
      </c>
      <c r="B1253" s="3">
        <v>2.5169999999999999</v>
      </c>
      <c r="E1253" s="4502"/>
      <c r="F1253" s="4502"/>
      <c r="G1253" s="4502"/>
      <c r="H1253" s="4502"/>
      <c r="I1253" s="4502"/>
      <c r="J1253" s="4502"/>
      <c r="K1253" s="4502"/>
      <c r="L1253" s="4502"/>
      <c r="M1253" s="4502"/>
    </row>
    <row r="1254" spans="1:13" hidden="1">
      <c r="A1254" s="4501" t="s">
        <v>7985</v>
      </c>
      <c r="B1254" s="3">
        <v>2.5169999999999999</v>
      </c>
      <c r="E1254" s="4502"/>
      <c r="F1254" s="4502"/>
      <c r="G1254" s="4502"/>
      <c r="H1254" s="4502"/>
      <c r="I1254" s="4502"/>
      <c r="J1254" s="4502"/>
      <c r="K1254" s="4502"/>
      <c r="L1254" s="4502"/>
      <c r="M1254" s="4502"/>
    </row>
    <row r="1255" spans="1:13" hidden="1">
      <c r="A1255" s="4501" t="s">
        <v>7986</v>
      </c>
      <c r="B1255" s="3">
        <v>2.5169999999999999</v>
      </c>
      <c r="E1255" s="4502"/>
      <c r="F1255" s="4502"/>
      <c r="G1255" s="4502"/>
      <c r="H1255" s="4502"/>
      <c r="I1255" s="4502"/>
      <c r="J1255" s="4502"/>
      <c r="K1255" s="4502"/>
      <c r="L1255" s="4502"/>
      <c r="M1255" s="4502"/>
    </row>
    <row r="1256" spans="1:13" hidden="1">
      <c r="A1256" s="4501" t="s">
        <v>7987</v>
      </c>
      <c r="B1256" s="3">
        <v>2.4409999999999998</v>
      </c>
      <c r="E1256" s="4502"/>
      <c r="F1256" s="4502"/>
      <c r="G1256" s="4502"/>
      <c r="H1256" s="4502"/>
      <c r="I1256" s="4502"/>
      <c r="J1256" s="4502"/>
      <c r="K1256" s="4502"/>
      <c r="L1256" s="4502"/>
      <c r="M1256" s="4502"/>
    </row>
    <row r="1257" spans="1:13" hidden="1">
      <c r="A1257" s="4501" t="s">
        <v>7988</v>
      </c>
      <c r="B1257" s="3">
        <v>2.4489999999999998</v>
      </c>
      <c r="E1257" s="4502"/>
      <c r="F1257" s="4502"/>
      <c r="G1257" s="4502"/>
      <c r="H1257" s="4502"/>
      <c r="I1257" s="4502"/>
      <c r="J1257" s="4502"/>
      <c r="K1257" s="4502"/>
      <c r="L1257" s="4502"/>
      <c r="M1257" s="4502"/>
    </row>
    <row r="1258" spans="1:13" hidden="1">
      <c r="A1258" s="4501" t="s">
        <v>7989</v>
      </c>
      <c r="B1258" s="3">
        <v>2.427</v>
      </c>
      <c r="E1258" s="4502"/>
      <c r="F1258" s="4502"/>
      <c r="G1258" s="4502"/>
      <c r="H1258" s="4502"/>
      <c r="I1258" s="4502"/>
      <c r="J1258" s="4502"/>
      <c r="K1258" s="4502"/>
      <c r="L1258" s="4502"/>
      <c r="M1258" s="4502"/>
    </row>
    <row r="1259" spans="1:13" hidden="1">
      <c r="A1259" s="4501" t="s">
        <v>7990</v>
      </c>
      <c r="B1259" s="3">
        <v>2.4649999999999999</v>
      </c>
      <c r="E1259" s="4502"/>
      <c r="F1259" s="4502"/>
      <c r="G1259" s="4502"/>
      <c r="H1259" s="4502"/>
      <c r="I1259" s="4502"/>
      <c r="J1259" s="4502"/>
      <c r="K1259" s="4502"/>
      <c r="L1259" s="4502"/>
      <c r="M1259" s="4502"/>
    </row>
    <row r="1260" spans="1:13" hidden="1">
      <c r="A1260" s="4501" t="s">
        <v>7991</v>
      </c>
      <c r="B1260" s="3">
        <v>2.4590000000000001</v>
      </c>
      <c r="E1260" s="4502"/>
      <c r="F1260" s="4502"/>
      <c r="G1260" s="4502"/>
      <c r="H1260" s="4502"/>
      <c r="I1260" s="4502"/>
      <c r="J1260" s="4502"/>
      <c r="K1260" s="4502"/>
      <c r="L1260" s="4502"/>
      <c r="M1260" s="4502"/>
    </row>
    <row r="1261" spans="1:13" hidden="1">
      <c r="A1261" s="4501" t="s">
        <v>7992</v>
      </c>
      <c r="B1261" s="3">
        <v>2.4590000000000001</v>
      </c>
      <c r="E1261" s="4502"/>
      <c r="F1261" s="4502"/>
      <c r="G1261" s="4502"/>
      <c r="H1261" s="4502"/>
      <c r="I1261" s="4502"/>
      <c r="J1261" s="4502"/>
      <c r="K1261" s="4502"/>
      <c r="L1261" s="4502"/>
      <c r="M1261" s="4502"/>
    </row>
    <row r="1262" spans="1:13" hidden="1">
      <c r="A1262" s="4501" t="s">
        <v>7993</v>
      </c>
      <c r="B1262" s="3">
        <v>2.4590000000000001</v>
      </c>
      <c r="E1262" s="4502"/>
      <c r="F1262" s="4502"/>
      <c r="G1262" s="4502"/>
      <c r="H1262" s="4502"/>
      <c r="I1262" s="4502"/>
      <c r="J1262" s="4502"/>
      <c r="K1262" s="4502"/>
      <c r="L1262" s="4502"/>
      <c r="M1262" s="4502"/>
    </row>
    <row r="1263" spans="1:13" hidden="1">
      <c r="A1263" s="4501" t="s">
        <v>7994</v>
      </c>
      <c r="B1263" s="3">
        <v>2.5550000000000002</v>
      </c>
      <c r="E1263" s="4502"/>
      <c r="F1263" s="4502"/>
      <c r="G1263" s="4502"/>
      <c r="H1263" s="4502"/>
      <c r="I1263" s="4502"/>
      <c r="J1263" s="4502"/>
      <c r="K1263" s="4502"/>
      <c r="L1263" s="4502"/>
      <c r="M1263" s="4502"/>
    </row>
    <row r="1264" spans="1:13" hidden="1">
      <c r="A1264" s="4501" t="s">
        <v>7995</v>
      </c>
      <c r="B1264" s="3">
        <v>2.6389999999999998</v>
      </c>
      <c r="E1264" s="4502"/>
      <c r="F1264" s="4502"/>
      <c r="G1264" s="4502"/>
      <c r="H1264" s="4502"/>
      <c r="I1264" s="4502"/>
      <c r="J1264" s="4502"/>
      <c r="K1264" s="4502"/>
      <c r="L1264" s="4502"/>
      <c r="M1264" s="4502"/>
    </row>
    <row r="1265" spans="1:13" hidden="1">
      <c r="A1265" s="4501" t="s">
        <v>7996</v>
      </c>
      <c r="B1265" s="3">
        <v>2.6909999999999998</v>
      </c>
      <c r="E1265" s="4502"/>
      <c r="F1265" s="4502"/>
      <c r="G1265" s="4502"/>
      <c r="H1265" s="4502"/>
      <c r="I1265" s="4502"/>
      <c r="J1265" s="4502"/>
      <c r="K1265" s="4502"/>
      <c r="L1265" s="4502"/>
      <c r="M1265" s="4502"/>
    </row>
    <row r="1266" spans="1:13" hidden="1">
      <c r="A1266" s="4501" t="s">
        <v>7997</v>
      </c>
      <c r="B1266" s="3">
        <v>2.633</v>
      </c>
      <c r="E1266" s="4502"/>
      <c r="F1266" s="4502"/>
      <c r="G1266" s="4502"/>
      <c r="H1266" s="4502"/>
      <c r="I1266" s="4502"/>
      <c r="J1266" s="4502"/>
      <c r="K1266" s="4502"/>
      <c r="L1266" s="4502"/>
      <c r="M1266" s="4502"/>
    </row>
    <row r="1267" spans="1:13" hidden="1">
      <c r="A1267" s="4501" t="s">
        <v>7998</v>
      </c>
      <c r="B1267" s="3">
        <v>2.714</v>
      </c>
      <c r="E1267" s="4502"/>
      <c r="F1267" s="4502"/>
      <c r="G1267" s="4502"/>
      <c r="H1267" s="4502"/>
      <c r="I1267" s="4502"/>
      <c r="J1267" s="4502"/>
      <c r="K1267" s="4502"/>
      <c r="L1267" s="4502"/>
      <c r="M1267" s="4502"/>
    </row>
    <row r="1268" spans="1:13" hidden="1">
      <c r="A1268" s="4501" t="s">
        <v>7999</v>
      </c>
      <c r="B1268" s="3">
        <v>2.714</v>
      </c>
      <c r="E1268" s="4502"/>
      <c r="F1268" s="4502"/>
      <c r="G1268" s="4502"/>
      <c r="H1268" s="4502"/>
      <c r="I1268" s="4502"/>
      <c r="J1268" s="4502"/>
      <c r="K1268" s="4502"/>
      <c r="L1268" s="4502"/>
      <c r="M1268" s="4502"/>
    </row>
    <row r="1269" spans="1:13" hidden="1">
      <c r="A1269" s="4501" t="s">
        <v>8000</v>
      </c>
      <c r="B1269" s="3">
        <v>2.714</v>
      </c>
      <c r="E1269" s="4502"/>
      <c r="F1269" s="4502"/>
      <c r="G1269" s="4502"/>
      <c r="H1269" s="4502"/>
      <c r="I1269" s="4502"/>
      <c r="J1269" s="4502"/>
      <c r="K1269" s="4502"/>
      <c r="L1269" s="4502"/>
      <c r="M1269" s="4502"/>
    </row>
    <row r="1270" spans="1:13" hidden="1">
      <c r="A1270" s="4501" t="s">
        <v>8001</v>
      </c>
      <c r="B1270" s="3">
        <v>2.8210000000000002</v>
      </c>
      <c r="E1270" s="4502"/>
      <c r="F1270" s="4502"/>
      <c r="G1270" s="4502"/>
      <c r="H1270" s="4502"/>
      <c r="I1270" s="4502"/>
      <c r="J1270" s="4502"/>
      <c r="K1270" s="4502"/>
      <c r="L1270" s="4502"/>
      <c r="M1270" s="4502"/>
    </row>
    <row r="1271" spans="1:13" hidden="1">
      <c r="A1271" s="4501" t="s">
        <v>8002</v>
      </c>
      <c r="B1271" s="3">
        <v>2.8620000000000001</v>
      </c>
      <c r="E1271" s="4502"/>
      <c r="F1271" s="4502"/>
      <c r="G1271" s="4502"/>
      <c r="H1271" s="4502"/>
      <c r="I1271" s="4502"/>
      <c r="J1271" s="4502"/>
      <c r="K1271" s="4502"/>
      <c r="L1271" s="4502"/>
      <c r="M1271" s="4502"/>
    </row>
    <row r="1272" spans="1:13" hidden="1">
      <c r="A1272" s="4501" t="s">
        <v>8003</v>
      </c>
      <c r="B1272" s="3">
        <v>2.8279999999999998</v>
      </c>
      <c r="E1272" s="4502"/>
      <c r="F1272" s="4502"/>
      <c r="G1272" s="4502"/>
      <c r="H1272" s="4502"/>
      <c r="I1272" s="4502"/>
      <c r="J1272" s="4502"/>
      <c r="K1272" s="4502"/>
      <c r="L1272" s="4502"/>
      <c r="M1272" s="4502"/>
    </row>
    <row r="1273" spans="1:13" hidden="1">
      <c r="A1273" s="4501" t="s">
        <v>8004</v>
      </c>
      <c r="B1273" s="3">
        <v>2.7719999999999998</v>
      </c>
      <c r="E1273" s="4502"/>
      <c r="F1273" s="4502"/>
      <c r="G1273" s="4502"/>
      <c r="H1273" s="4502"/>
      <c r="I1273" s="4502"/>
      <c r="J1273" s="4502"/>
      <c r="K1273" s="4502"/>
      <c r="L1273" s="4502"/>
      <c r="M1273" s="4502"/>
    </row>
    <row r="1274" spans="1:13" hidden="1">
      <c r="A1274" s="4501" t="s">
        <v>8005</v>
      </c>
      <c r="B1274" s="3">
        <v>2.7890000000000001</v>
      </c>
      <c r="E1274" s="4502"/>
      <c r="F1274" s="4502"/>
      <c r="G1274" s="4502"/>
      <c r="H1274" s="4502"/>
      <c r="I1274" s="4502"/>
      <c r="J1274" s="4502"/>
      <c r="K1274" s="4502"/>
      <c r="L1274" s="4502"/>
      <c r="M1274" s="4502"/>
    </row>
    <row r="1275" spans="1:13" hidden="1">
      <c r="A1275" s="4501" t="s">
        <v>8006</v>
      </c>
      <c r="B1275" s="3">
        <v>2.7890000000000001</v>
      </c>
      <c r="E1275" s="4502"/>
      <c r="F1275" s="4502"/>
      <c r="G1275" s="4502"/>
      <c r="H1275" s="4502"/>
      <c r="I1275" s="4502"/>
      <c r="J1275" s="4502"/>
      <c r="K1275" s="4502"/>
      <c r="L1275" s="4502"/>
      <c r="M1275" s="4502"/>
    </row>
    <row r="1276" spans="1:13" hidden="1">
      <c r="A1276" s="4501" t="s">
        <v>8007</v>
      </c>
      <c r="B1276" s="3">
        <v>2.7890000000000001</v>
      </c>
      <c r="E1276" s="4502"/>
      <c r="F1276" s="4502"/>
      <c r="G1276" s="4502"/>
      <c r="H1276" s="4502"/>
      <c r="I1276" s="4502"/>
      <c r="J1276" s="4502"/>
      <c r="K1276" s="4502"/>
      <c r="L1276" s="4502"/>
      <c r="M1276" s="4502"/>
    </row>
    <row r="1277" spans="1:13" hidden="1">
      <c r="A1277" s="4501" t="s">
        <v>8008</v>
      </c>
      <c r="B1277" s="3">
        <v>2.7280000000000002</v>
      </c>
      <c r="E1277" s="4502"/>
      <c r="F1277" s="4502"/>
      <c r="G1277" s="4502"/>
      <c r="H1277" s="4502"/>
      <c r="I1277" s="4502"/>
      <c r="J1277" s="4502"/>
      <c r="K1277" s="4502"/>
      <c r="L1277" s="4502"/>
      <c r="M1277" s="4502"/>
    </row>
    <row r="1278" spans="1:13" hidden="1">
      <c r="A1278" s="4501" t="s">
        <v>8009</v>
      </c>
      <c r="B1278" s="3">
        <v>2.714</v>
      </c>
      <c r="E1278" s="4502"/>
      <c r="F1278" s="4502"/>
      <c r="G1278" s="4502"/>
      <c r="H1278" s="4502"/>
      <c r="I1278" s="4502"/>
      <c r="J1278" s="4502"/>
      <c r="K1278" s="4502"/>
      <c r="L1278" s="4502"/>
      <c r="M1278" s="4502"/>
    </row>
    <row r="1279" spans="1:13" hidden="1">
      <c r="A1279" s="4501" t="s">
        <v>8010</v>
      </c>
      <c r="B1279" s="3">
        <v>2.6920000000000002</v>
      </c>
      <c r="E1279" s="4502"/>
      <c r="F1279" s="4502"/>
      <c r="G1279" s="4502"/>
      <c r="H1279" s="4502"/>
      <c r="I1279" s="4502"/>
      <c r="J1279" s="4502"/>
      <c r="K1279" s="4502"/>
      <c r="L1279" s="4502"/>
      <c r="M1279" s="4502"/>
    </row>
    <row r="1280" spans="1:13" hidden="1">
      <c r="A1280" s="4501" t="s">
        <v>8011</v>
      </c>
      <c r="B1280" s="3">
        <v>2.7189999999999999</v>
      </c>
      <c r="E1280" s="4502"/>
      <c r="F1280" s="4502"/>
      <c r="G1280" s="4502"/>
      <c r="H1280" s="4502"/>
      <c r="I1280" s="4502"/>
      <c r="J1280" s="4502"/>
      <c r="K1280" s="4502"/>
      <c r="L1280" s="4502"/>
      <c r="M1280" s="4502"/>
    </row>
    <row r="1281" spans="1:13" hidden="1">
      <c r="A1281" s="4501" t="s">
        <v>8012</v>
      </c>
      <c r="B1281" s="3">
        <v>2.75</v>
      </c>
      <c r="E1281" s="4502"/>
      <c r="F1281" s="4502"/>
      <c r="G1281" s="4502"/>
      <c r="H1281" s="4502"/>
      <c r="I1281" s="4502"/>
      <c r="J1281" s="4502"/>
      <c r="K1281" s="4502"/>
      <c r="L1281" s="4502"/>
      <c r="M1281" s="4502"/>
    </row>
    <row r="1282" spans="1:13" hidden="1">
      <c r="A1282" s="4501" t="s">
        <v>8013</v>
      </c>
      <c r="B1282" s="3">
        <v>2.75</v>
      </c>
      <c r="E1282" s="4502"/>
      <c r="F1282" s="4502"/>
      <c r="G1282" s="4502"/>
      <c r="H1282" s="4502"/>
      <c r="I1282" s="4502"/>
      <c r="J1282" s="4502"/>
      <c r="K1282" s="4502"/>
      <c r="L1282" s="4502"/>
      <c r="M1282" s="4502"/>
    </row>
    <row r="1283" spans="1:13" hidden="1">
      <c r="A1283" s="4501" t="s">
        <v>8014</v>
      </c>
      <c r="B1283" s="3">
        <v>2.75</v>
      </c>
      <c r="E1283" s="4502"/>
      <c r="F1283" s="4502"/>
      <c r="G1283" s="4502"/>
      <c r="H1283" s="4502"/>
      <c r="I1283" s="4502"/>
      <c r="J1283" s="4502"/>
      <c r="K1283" s="4502"/>
      <c r="L1283" s="4502"/>
      <c r="M1283" s="4502"/>
    </row>
    <row r="1284" spans="1:13" hidden="1">
      <c r="A1284" s="4501" t="s">
        <v>8015</v>
      </c>
      <c r="B1284" s="3">
        <v>2.63</v>
      </c>
      <c r="E1284" s="4502"/>
      <c r="F1284" s="4502"/>
      <c r="G1284" s="4502"/>
      <c r="H1284" s="4502"/>
      <c r="I1284" s="4502"/>
      <c r="J1284" s="4502"/>
      <c r="K1284" s="4502"/>
      <c r="L1284" s="4502"/>
      <c r="M1284" s="4502"/>
    </row>
    <row r="1285" spans="1:13" hidden="1">
      <c r="A1285" s="4501" t="s">
        <v>8016</v>
      </c>
      <c r="B1285" s="3">
        <v>2.5760000000000001</v>
      </c>
      <c r="E1285" s="4502"/>
      <c r="F1285" s="4502"/>
      <c r="G1285" s="4502"/>
      <c r="H1285" s="4502"/>
      <c r="I1285" s="4502"/>
      <c r="J1285" s="4502"/>
      <c r="K1285" s="4502"/>
      <c r="L1285" s="4502"/>
      <c r="M1285" s="4502"/>
    </row>
    <row r="1286" spans="1:13" hidden="1">
      <c r="A1286" s="4501" t="s">
        <v>8017</v>
      </c>
      <c r="B1286" s="3">
        <v>2.6110000000000002</v>
      </c>
      <c r="E1286" s="4502"/>
      <c r="F1286" s="4502"/>
      <c r="G1286" s="4502"/>
      <c r="H1286" s="4502"/>
      <c r="I1286" s="4502"/>
      <c r="J1286" s="4502"/>
      <c r="K1286" s="4502"/>
      <c r="L1286" s="4502"/>
      <c r="M1286" s="4502"/>
    </row>
    <row r="1287" spans="1:13" hidden="1">
      <c r="A1287" s="4501" t="s">
        <v>8018</v>
      </c>
      <c r="B1287" s="3">
        <v>2.6219999999999999</v>
      </c>
      <c r="E1287" s="4502"/>
      <c r="F1287" s="4502"/>
      <c r="G1287" s="4502"/>
      <c r="H1287" s="4502"/>
      <c r="I1287" s="4502"/>
      <c r="J1287" s="4502"/>
      <c r="K1287" s="4502"/>
      <c r="L1287" s="4502"/>
      <c r="M1287" s="4502"/>
    </row>
    <row r="1288" spans="1:13" hidden="1">
      <c r="A1288" s="4501" t="s">
        <v>8019</v>
      </c>
      <c r="B1288" s="3">
        <v>2.71</v>
      </c>
      <c r="E1288" s="4502"/>
      <c r="F1288" s="4502"/>
      <c r="G1288" s="4502"/>
      <c r="H1288" s="4502"/>
      <c r="I1288" s="4502"/>
      <c r="J1288" s="4502"/>
      <c r="K1288" s="4502"/>
      <c r="L1288" s="4502"/>
      <c r="M1288" s="4502"/>
    </row>
    <row r="1289" spans="1:13" hidden="1">
      <c r="A1289" s="4501" t="s">
        <v>8020</v>
      </c>
      <c r="B1289" s="3">
        <v>2.71</v>
      </c>
      <c r="E1289" s="4502"/>
      <c r="F1289" s="4502"/>
      <c r="G1289" s="4502"/>
      <c r="H1289" s="4502"/>
      <c r="I1289" s="4502"/>
      <c r="J1289" s="4502"/>
      <c r="K1289" s="4502"/>
      <c r="L1289" s="4502"/>
      <c r="M1289" s="4502"/>
    </row>
    <row r="1290" spans="1:13" hidden="1">
      <c r="A1290" s="4501" t="s">
        <v>8021</v>
      </c>
      <c r="B1290" s="3">
        <v>2.71</v>
      </c>
      <c r="E1290" s="4502"/>
      <c r="F1290" s="4502"/>
      <c r="G1290" s="4502"/>
      <c r="H1290" s="4502"/>
      <c r="I1290" s="4502"/>
      <c r="J1290" s="4502"/>
      <c r="K1290" s="4502"/>
      <c r="L1290" s="4502"/>
      <c r="M1290" s="4502"/>
    </row>
    <row r="1291" spans="1:13" hidden="1">
      <c r="A1291" s="4501" t="s">
        <v>8022</v>
      </c>
      <c r="B1291" s="3">
        <v>2.5840000000000001</v>
      </c>
      <c r="E1291" s="4502"/>
      <c r="F1291" s="4502"/>
      <c r="G1291" s="4502"/>
      <c r="H1291" s="4502"/>
      <c r="I1291" s="4502"/>
      <c r="J1291" s="4502"/>
      <c r="K1291" s="4502"/>
      <c r="L1291" s="4502"/>
      <c r="M1291" s="4502"/>
    </row>
    <row r="1292" spans="1:13" hidden="1">
      <c r="A1292" s="4501" t="s">
        <v>8023</v>
      </c>
      <c r="B1292" s="3">
        <v>2.5329999999999999</v>
      </c>
      <c r="E1292" s="4502"/>
      <c r="F1292" s="4502"/>
      <c r="G1292" s="4502"/>
      <c r="H1292" s="4502"/>
      <c r="I1292" s="4502"/>
      <c r="J1292" s="4502"/>
      <c r="K1292" s="4502"/>
      <c r="L1292" s="4502"/>
      <c r="M1292" s="4502"/>
    </row>
    <row r="1293" spans="1:13" hidden="1">
      <c r="A1293" s="4501" t="s">
        <v>8024</v>
      </c>
      <c r="B1293" s="3">
        <v>2.5009999999999999</v>
      </c>
      <c r="E1293" s="4502"/>
      <c r="F1293" s="4502"/>
      <c r="G1293" s="4502"/>
      <c r="H1293" s="4502"/>
      <c r="I1293" s="4502"/>
      <c r="J1293" s="4502"/>
      <c r="K1293" s="4502"/>
      <c r="L1293" s="4502"/>
      <c r="M1293" s="4502"/>
    </row>
    <row r="1294" spans="1:13" hidden="1">
      <c r="A1294" s="4501" t="s">
        <v>8025</v>
      </c>
      <c r="B1294" s="3">
        <v>2.5009999999999999</v>
      </c>
      <c r="E1294" s="4502"/>
      <c r="F1294" s="4502"/>
      <c r="G1294" s="4502"/>
      <c r="H1294" s="4502"/>
      <c r="I1294" s="4502"/>
      <c r="J1294" s="4502"/>
      <c r="K1294" s="4502"/>
      <c r="L1294" s="4502"/>
      <c r="M1294" s="4502"/>
    </row>
    <row r="1295" spans="1:13" hidden="1">
      <c r="A1295" s="4501" t="s">
        <v>8026</v>
      </c>
      <c r="B1295" s="3">
        <v>2.2810000000000001</v>
      </c>
      <c r="E1295" s="4502"/>
      <c r="F1295" s="4502"/>
      <c r="G1295" s="4502"/>
      <c r="H1295" s="4502"/>
      <c r="I1295" s="4502"/>
      <c r="J1295" s="4502"/>
      <c r="K1295" s="4502"/>
      <c r="L1295" s="4502"/>
      <c r="M1295" s="4502"/>
    </row>
    <row r="1296" spans="1:13" hidden="1">
      <c r="A1296" s="4501" t="s">
        <v>8027</v>
      </c>
      <c r="B1296" s="3">
        <v>2.2810000000000001</v>
      </c>
      <c r="E1296" s="4502"/>
      <c r="F1296" s="4502"/>
      <c r="G1296" s="4502"/>
      <c r="H1296" s="4502"/>
      <c r="I1296" s="4502"/>
      <c r="J1296" s="4502"/>
      <c r="K1296" s="4502"/>
      <c r="L1296" s="4502"/>
      <c r="M1296" s="4502"/>
    </row>
    <row r="1297" spans="1:13" hidden="1">
      <c r="A1297" s="4501" t="s">
        <v>8028</v>
      </c>
      <c r="B1297" s="3">
        <v>2.2810000000000001</v>
      </c>
      <c r="E1297" s="4502"/>
      <c r="F1297" s="4502"/>
      <c r="G1297" s="4502"/>
      <c r="H1297" s="4502"/>
      <c r="I1297" s="4502"/>
      <c r="J1297" s="4502"/>
      <c r="K1297" s="4502"/>
      <c r="L1297" s="4502"/>
      <c r="M1297" s="4502"/>
    </row>
    <row r="1298" spans="1:13" hidden="1">
      <c r="A1298" s="4501" t="s">
        <v>8029</v>
      </c>
      <c r="B1298" s="3">
        <v>2.3290000000000002</v>
      </c>
      <c r="E1298" s="4502"/>
      <c r="F1298" s="4502"/>
      <c r="G1298" s="4502"/>
      <c r="H1298" s="4502"/>
      <c r="I1298" s="4502"/>
      <c r="J1298" s="4502"/>
      <c r="K1298" s="4502"/>
      <c r="L1298" s="4502"/>
      <c r="M1298" s="4502"/>
    </row>
    <row r="1299" spans="1:13" hidden="1">
      <c r="A1299" s="4501" t="s">
        <v>8030</v>
      </c>
      <c r="B1299" s="3">
        <v>2.4409999999999998</v>
      </c>
      <c r="E1299" s="4502"/>
      <c r="F1299" s="4502"/>
      <c r="G1299" s="4502"/>
      <c r="H1299" s="4502"/>
      <c r="I1299" s="4502"/>
      <c r="J1299" s="4502"/>
      <c r="K1299" s="4502"/>
      <c r="L1299" s="4502"/>
      <c r="M1299" s="4502"/>
    </row>
    <row r="1300" spans="1:13" hidden="1">
      <c r="A1300" s="4501" t="s">
        <v>8031</v>
      </c>
      <c r="B1300" s="3">
        <v>2.399</v>
      </c>
      <c r="E1300" s="4502"/>
      <c r="F1300" s="4502"/>
      <c r="G1300" s="4502"/>
      <c r="H1300" s="4502"/>
      <c r="I1300" s="4502"/>
      <c r="J1300" s="4502"/>
      <c r="K1300" s="4502"/>
      <c r="L1300" s="4502"/>
      <c r="M1300" s="4502"/>
    </row>
    <row r="1301" spans="1:13" hidden="1">
      <c r="A1301" s="4501" t="s">
        <v>8032</v>
      </c>
      <c r="B1301" s="3">
        <v>2.427</v>
      </c>
      <c r="E1301" s="4502"/>
      <c r="F1301" s="4502"/>
      <c r="G1301" s="4502"/>
      <c r="H1301" s="4502"/>
      <c r="I1301" s="4502"/>
      <c r="J1301" s="4502"/>
      <c r="K1301" s="4502"/>
      <c r="L1301" s="4502"/>
      <c r="M1301" s="4502"/>
    </row>
    <row r="1302" spans="1:13" hidden="1">
      <c r="A1302" s="4501" t="s">
        <v>8033</v>
      </c>
      <c r="B1302" s="3">
        <v>2.3340000000000001</v>
      </c>
      <c r="E1302" s="4502"/>
      <c r="F1302" s="4502"/>
      <c r="G1302" s="4502"/>
      <c r="H1302" s="4502"/>
      <c r="I1302" s="4502"/>
      <c r="J1302" s="4502"/>
      <c r="K1302" s="4502"/>
      <c r="L1302" s="4502"/>
      <c r="M1302" s="4502"/>
    </row>
    <row r="1303" spans="1:13" hidden="1">
      <c r="A1303" s="4501" t="s">
        <v>8034</v>
      </c>
      <c r="B1303" s="3">
        <v>2.3340000000000001</v>
      </c>
      <c r="E1303" s="4502"/>
      <c r="F1303" s="4502"/>
      <c r="G1303" s="4502"/>
      <c r="H1303" s="4502"/>
      <c r="I1303" s="4502"/>
      <c r="J1303" s="4502"/>
      <c r="K1303" s="4502"/>
      <c r="L1303" s="4502"/>
      <c r="M1303" s="4502"/>
    </row>
    <row r="1304" spans="1:13" hidden="1">
      <c r="A1304" s="4501" t="s">
        <v>8035</v>
      </c>
      <c r="B1304" s="3">
        <v>2.3340000000000001</v>
      </c>
      <c r="E1304" s="4502"/>
      <c r="F1304" s="4502"/>
      <c r="G1304" s="4502"/>
      <c r="H1304" s="4502"/>
      <c r="I1304" s="4502"/>
      <c r="J1304" s="4502"/>
      <c r="K1304" s="4502"/>
      <c r="L1304" s="4502"/>
      <c r="M1304" s="4502"/>
    </row>
    <row r="1305" spans="1:13" hidden="1">
      <c r="A1305" s="4501" t="s">
        <v>8036</v>
      </c>
      <c r="B1305" s="3">
        <v>2.2320000000000002</v>
      </c>
      <c r="E1305" s="4502"/>
      <c r="F1305" s="4502"/>
      <c r="G1305" s="4502"/>
      <c r="H1305" s="4502"/>
      <c r="I1305" s="4502"/>
      <c r="J1305" s="4502"/>
      <c r="K1305" s="4502"/>
      <c r="L1305" s="4502"/>
      <c r="M1305" s="4502"/>
    </row>
    <row r="1306" spans="1:13" hidden="1">
      <c r="A1306" s="4501" t="s">
        <v>8037</v>
      </c>
      <c r="B1306" s="3">
        <v>2.2639999999999998</v>
      </c>
      <c r="E1306" s="4502"/>
      <c r="F1306" s="4502"/>
      <c r="G1306" s="4502"/>
      <c r="H1306" s="4502"/>
      <c r="I1306" s="4502"/>
      <c r="J1306" s="4502"/>
      <c r="K1306" s="4502"/>
      <c r="L1306" s="4502"/>
      <c r="M1306" s="4502"/>
    </row>
    <row r="1307" spans="1:13" hidden="1">
      <c r="A1307" s="4501" t="s">
        <v>8038</v>
      </c>
      <c r="B1307" s="3">
        <v>2.2429999999999999</v>
      </c>
      <c r="E1307" s="4502"/>
      <c r="F1307" s="4502"/>
      <c r="G1307" s="4502"/>
      <c r="H1307" s="4502"/>
      <c r="I1307" s="4502"/>
      <c r="J1307" s="4502"/>
      <c r="K1307" s="4502"/>
      <c r="L1307" s="4502"/>
      <c r="M1307" s="4502"/>
    </row>
    <row r="1308" spans="1:13" hidden="1">
      <c r="A1308" s="4501" t="s">
        <v>8039</v>
      </c>
      <c r="B1308" s="3">
        <v>2.3199999999999998</v>
      </c>
      <c r="E1308" s="4502"/>
      <c r="F1308" s="4502"/>
      <c r="G1308" s="4502"/>
      <c r="H1308" s="4502"/>
      <c r="I1308" s="4502"/>
      <c r="J1308" s="4502"/>
      <c r="K1308" s="4502"/>
      <c r="L1308" s="4502"/>
      <c r="M1308" s="4502"/>
    </row>
    <row r="1309" spans="1:13" hidden="1">
      <c r="A1309" s="4501" t="s">
        <v>8040</v>
      </c>
      <c r="B1309" s="3">
        <v>2.282</v>
      </c>
      <c r="E1309" s="4502"/>
      <c r="F1309" s="4502"/>
      <c r="G1309" s="4502"/>
      <c r="H1309" s="4502"/>
      <c r="I1309" s="4502"/>
      <c r="J1309" s="4502"/>
      <c r="K1309" s="4502"/>
      <c r="L1309" s="4502"/>
      <c r="M1309" s="4502"/>
    </row>
    <row r="1310" spans="1:13" hidden="1">
      <c r="A1310" s="4501" t="s">
        <v>8041</v>
      </c>
      <c r="B1310" s="3">
        <v>2.282</v>
      </c>
      <c r="E1310" s="4502"/>
      <c r="F1310" s="4502"/>
      <c r="G1310" s="4502"/>
      <c r="H1310" s="4502"/>
      <c r="I1310" s="4502"/>
      <c r="J1310" s="4502"/>
      <c r="K1310" s="4502"/>
      <c r="L1310" s="4502"/>
      <c r="M1310" s="4502"/>
    </row>
    <row r="1311" spans="1:13" hidden="1">
      <c r="A1311" s="4501" t="s">
        <v>8042</v>
      </c>
      <c r="B1311" s="3">
        <v>2.282</v>
      </c>
      <c r="E1311" s="4502"/>
      <c r="F1311" s="4502"/>
      <c r="G1311" s="4502"/>
      <c r="H1311" s="4502"/>
      <c r="I1311" s="4502"/>
      <c r="J1311" s="4502"/>
      <c r="K1311" s="4502"/>
      <c r="L1311" s="4502"/>
      <c r="M1311" s="4502"/>
    </row>
    <row r="1312" spans="1:13" hidden="1">
      <c r="A1312" s="4501" t="s">
        <v>8043</v>
      </c>
      <c r="B1312" s="3">
        <v>2.3260000000000001</v>
      </c>
      <c r="E1312" s="4502"/>
      <c r="F1312" s="4502"/>
      <c r="G1312" s="4502"/>
      <c r="H1312" s="4502"/>
      <c r="I1312" s="4502"/>
      <c r="J1312" s="4502"/>
      <c r="K1312" s="4502"/>
      <c r="L1312" s="4502"/>
      <c r="M1312" s="4502"/>
    </row>
    <row r="1313" spans="1:13" hidden="1">
      <c r="A1313" s="4501" t="s">
        <v>8044</v>
      </c>
      <c r="B1313" s="3">
        <v>2.3029999999999999</v>
      </c>
      <c r="E1313" s="4502"/>
      <c r="F1313" s="4502"/>
      <c r="G1313" s="4502"/>
      <c r="H1313" s="4502"/>
      <c r="I1313" s="4502"/>
      <c r="J1313" s="4502"/>
      <c r="K1313" s="4502"/>
      <c r="L1313" s="4502"/>
      <c r="M1313" s="4502"/>
    </row>
    <row r="1314" spans="1:13" hidden="1">
      <c r="A1314" s="4501" t="s">
        <v>8045</v>
      </c>
      <c r="B1314" s="3">
        <v>2.2639999999999998</v>
      </c>
      <c r="E1314" s="4502"/>
      <c r="F1314" s="4502"/>
      <c r="G1314" s="4502"/>
      <c r="H1314" s="4502"/>
      <c r="I1314" s="4502"/>
      <c r="J1314" s="4502"/>
      <c r="K1314" s="4502"/>
      <c r="L1314" s="4502"/>
      <c r="M1314" s="4502"/>
    </row>
    <row r="1315" spans="1:13" hidden="1">
      <c r="A1315" s="4501" t="s">
        <v>8046</v>
      </c>
      <c r="B1315" s="3">
        <v>2.2650000000000001</v>
      </c>
      <c r="E1315" s="4502"/>
      <c r="F1315" s="4502"/>
      <c r="G1315" s="4502"/>
      <c r="H1315" s="4502"/>
      <c r="I1315" s="4502"/>
      <c r="J1315" s="4502"/>
      <c r="K1315" s="4502"/>
      <c r="L1315" s="4502"/>
      <c r="M1315" s="4502"/>
    </row>
    <row r="1316" spans="1:13" hidden="1">
      <c r="A1316" s="4501" t="s">
        <v>8047</v>
      </c>
      <c r="B1316" s="3">
        <v>2.31</v>
      </c>
      <c r="E1316" s="4502"/>
      <c r="F1316" s="4502"/>
      <c r="G1316" s="4502"/>
      <c r="H1316" s="4502"/>
      <c r="I1316" s="4502"/>
      <c r="J1316" s="4502"/>
      <c r="K1316" s="4502"/>
      <c r="L1316" s="4502"/>
      <c r="M1316" s="4502"/>
    </row>
    <row r="1317" spans="1:13" hidden="1">
      <c r="A1317" s="4501" t="s">
        <v>8048</v>
      </c>
      <c r="B1317" s="3">
        <v>2.31</v>
      </c>
      <c r="E1317" s="4502"/>
      <c r="F1317" s="4502"/>
      <c r="G1317" s="4502"/>
      <c r="H1317" s="4502"/>
      <c r="I1317" s="4502"/>
      <c r="J1317" s="4502"/>
      <c r="K1317" s="4502"/>
      <c r="L1317" s="4502"/>
      <c r="M1317" s="4502"/>
    </row>
    <row r="1318" spans="1:13" hidden="1">
      <c r="A1318" s="4501" t="s">
        <v>8049</v>
      </c>
      <c r="B1318" s="3">
        <v>2.31</v>
      </c>
      <c r="E1318" s="4502"/>
      <c r="F1318" s="4502"/>
      <c r="G1318" s="4502"/>
      <c r="H1318" s="4502"/>
      <c r="I1318" s="4502"/>
      <c r="J1318" s="4502"/>
      <c r="K1318" s="4502"/>
      <c r="L1318" s="4502"/>
      <c r="M1318" s="4502"/>
    </row>
    <row r="1319" spans="1:13" hidden="1">
      <c r="A1319" s="4501" t="s">
        <v>8050</v>
      </c>
      <c r="B1319" s="3">
        <v>2.2170000000000001</v>
      </c>
      <c r="E1319" s="4502"/>
      <c r="F1319" s="4502"/>
      <c r="G1319" s="4502"/>
      <c r="H1319" s="4502"/>
      <c r="I1319" s="4502"/>
      <c r="J1319" s="4502"/>
      <c r="K1319" s="4502"/>
      <c r="L1319" s="4502"/>
      <c r="M1319" s="4502"/>
    </row>
    <row r="1320" spans="1:13" hidden="1">
      <c r="A1320" s="4501" t="s">
        <v>8051</v>
      </c>
      <c r="B1320" s="3">
        <v>2.1869999999999998</v>
      </c>
      <c r="E1320" s="4502"/>
      <c r="F1320" s="4502"/>
      <c r="G1320" s="4502"/>
      <c r="H1320" s="4502"/>
      <c r="I1320" s="4502"/>
      <c r="J1320" s="4502"/>
      <c r="K1320" s="4502"/>
      <c r="L1320" s="4502"/>
      <c r="M1320" s="4502"/>
    </row>
    <row r="1321" spans="1:13" hidden="1">
      <c r="A1321" s="4501" t="s">
        <v>8052</v>
      </c>
      <c r="B1321" s="3">
        <v>2.1869999999999998</v>
      </c>
      <c r="E1321" s="4502"/>
      <c r="F1321" s="4502"/>
      <c r="G1321" s="4502"/>
      <c r="H1321" s="4502"/>
      <c r="I1321" s="4502"/>
      <c r="J1321" s="4502"/>
      <c r="K1321" s="4502"/>
      <c r="L1321" s="4502"/>
      <c r="M1321" s="4502"/>
    </row>
    <row r="1322" spans="1:13" hidden="1">
      <c r="A1322" s="4501" t="s">
        <v>8053</v>
      </c>
      <c r="B1322" s="3">
        <v>2.2850000000000001</v>
      </c>
      <c r="E1322" s="4502"/>
      <c r="F1322" s="4502"/>
      <c r="G1322" s="4502"/>
      <c r="H1322" s="4502"/>
      <c r="I1322" s="4502"/>
      <c r="J1322" s="4502"/>
      <c r="K1322" s="4502"/>
      <c r="L1322" s="4502"/>
      <c r="M1322" s="4502"/>
    </row>
    <row r="1323" spans="1:13" hidden="1">
      <c r="A1323" s="4501" t="s">
        <v>8054</v>
      </c>
      <c r="B1323" s="3">
        <v>2.2309999999999999</v>
      </c>
      <c r="E1323" s="4502"/>
      <c r="F1323" s="4502"/>
      <c r="G1323" s="4502"/>
      <c r="H1323" s="4502"/>
      <c r="I1323" s="4502"/>
      <c r="J1323" s="4502"/>
      <c r="K1323" s="4502"/>
      <c r="L1323" s="4502"/>
      <c r="M1323" s="4502"/>
    </row>
    <row r="1324" spans="1:13" hidden="1">
      <c r="A1324" s="4501" t="s">
        <v>8055</v>
      </c>
      <c r="B1324" s="3">
        <v>2.2309999999999999</v>
      </c>
      <c r="E1324" s="4502"/>
      <c r="F1324" s="4502"/>
      <c r="G1324" s="4502"/>
      <c r="H1324" s="4502"/>
      <c r="I1324" s="4502"/>
      <c r="J1324" s="4502"/>
      <c r="K1324" s="4502"/>
      <c r="L1324" s="4502"/>
      <c r="M1324" s="4502"/>
    </row>
    <row r="1325" spans="1:13" hidden="1">
      <c r="A1325" s="4501" t="s">
        <v>8056</v>
      </c>
      <c r="B1325" s="3">
        <v>2.2309999999999999</v>
      </c>
      <c r="E1325" s="4502"/>
      <c r="F1325" s="4502"/>
      <c r="G1325" s="4502"/>
      <c r="H1325" s="4502"/>
      <c r="I1325" s="4502"/>
      <c r="J1325" s="4502"/>
      <c r="K1325" s="4502"/>
      <c r="L1325" s="4502"/>
      <c r="M1325" s="4502"/>
    </row>
    <row r="1326" spans="1:13" hidden="1">
      <c r="A1326" s="4501" t="s">
        <v>8057</v>
      </c>
      <c r="B1326" s="3">
        <v>2.1859999999999999</v>
      </c>
      <c r="E1326" s="4502"/>
      <c r="F1326" s="4502"/>
      <c r="G1326" s="4502"/>
      <c r="H1326" s="4502"/>
      <c r="I1326" s="4502"/>
      <c r="J1326" s="4502"/>
      <c r="K1326" s="4502"/>
      <c r="L1326" s="4502"/>
      <c r="M1326" s="4502"/>
    </row>
    <row r="1327" spans="1:13" hidden="1">
      <c r="A1327" s="4501" t="s">
        <v>8058</v>
      </c>
      <c r="B1327" s="3">
        <v>2.1880000000000002</v>
      </c>
      <c r="E1327" s="4502"/>
      <c r="F1327" s="4502"/>
      <c r="G1327" s="4502"/>
      <c r="H1327" s="4502"/>
      <c r="I1327" s="4502"/>
      <c r="J1327" s="4502"/>
      <c r="K1327" s="4502"/>
      <c r="L1327" s="4502"/>
      <c r="M1327" s="4502"/>
    </row>
    <row r="1328" spans="1:13" hidden="1">
      <c r="A1328" s="4501" t="s">
        <v>8059</v>
      </c>
      <c r="B1328" s="3">
        <v>2.1880000000000002</v>
      </c>
      <c r="E1328" s="4502"/>
      <c r="F1328" s="4502"/>
      <c r="G1328" s="4502"/>
      <c r="H1328" s="4502"/>
      <c r="I1328" s="4502"/>
      <c r="J1328" s="4502"/>
      <c r="K1328" s="4502"/>
      <c r="L1328" s="4502"/>
      <c r="M1328" s="4502"/>
    </row>
    <row r="1329" spans="1:13" hidden="1">
      <c r="A1329" s="4501" t="s">
        <v>8060</v>
      </c>
      <c r="B1329" s="3">
        <v>2.1219999999999999</v>
      </c>
      <c r="E1329" s="4502"/>
      <c r="F1329" s="4502"/>
      <c r="G1329" s="4502"/>
      <c r="H1329" s="4502"/>
      <c r="I1329" s="4502"/>
      <c r="J1329" s="4502"/>
      <c r="K1329" s="4502"/>
      <c r="L1329" s="4502"/>
      <c r="M1329" s="4502"/>
    </row>
    <row r="1330" spans="1:13" hidden="1">
      <c r="A1330" s="4501" t="s">
        <v>8061</v>
      </c>
      <c r="B1330" s="3">
        <v>2.13</v>
      </c>
      <c r="E1330" s="4502"/>
      <c r="F1330" s="4502"/>
      <c r="G1330" s="4502"/>
      <c r="H1330" s="4502"/>
      <c r="I1330" s="4502"/>
      <c r="J1330" s="4502"/>
      <c r="K1330" s="4502"/>
      <c r="L1330" s="4502"/>
      <c r="M1330" s="4502"/>
    </row>
    <row r="1331" spans="1:13" hidden="1">
      <c r="A1331" s="4501" t="s">
        <v>8062</v>
      </c>
      <c r="B1331" s="3">
        <v>2.13</v>
      </c>
      <c r="E1331" s="4502"/>
      <c r="F1331" s="4502"/>
      <c r="G1331" s="4502"/>
      <c r="H1331" s="4502"/>
      <c r="I1331" s="4502"/>
      <c r="J1331" s="4502"/>
      <c r="K1331" s="4502"/>
      <c r="L1331" s="4502"/>
      <c r="M1331" s="4502"/>
    </row>
    <row r="1332" spans="1:13" hidden="1">
      <c r="A1332" s="4501" t="s">
        <v>8063</v>
      </c>
      <c r="B1332" s="3">
        <v>2.13</v>
      </c>
      <c r="E1332" s="4502"/>
      <c r="F1332" s="4502"/>
      <c r="G1332" s="4502"/>
      <c r="H1332" s="4502"/>
      <c r="I1332" s="4502"/>
      <c r="J1332" s="4502"/>
      <c r="K1332" s="4502"/>
      <c r="L1332" s="4502"/>
      <c r="M1332" s="4502"/>
    </row>
    <row r="1333" spans="1:13" hidden="1">
      <c r="A1333" s="4501" t="s">
        <v>8064</v>
      </c>
      <c r="B1333" s="3">
        <v>2.1349999999999998</v>
      </c>
      <c r="E1333" s="4502"/>
      <c r="F1333" s="4502"/>
      <c r="G1333" s="4502"/>
      <c r="H1333" s="4502"/>
      <c r="I1333" s="4502"/>
      <c r="J1333" s="4502"/>
      <c r="K1333" s="4502"/>
      <c r="L1333" s="4502"/>
      <c r="M1333" s="4502"/>
    </row>
    <row r="1334" spans="1:13" hidden="1">
      <c r="A1334" s="4501" t="s">
        <v>8065</v>
      </c>
      <c r="B1334" s="3">
        <v>2.1619999999999999</v>
      </c>
      <c r="E1334" s="4502"/>
      <c r="F1334" s="4502"/>
      <c r="G1334" s="4502"/>
      <c r="H1334" s="4502"/>
      <c r="I1334" s="4502"/>
      <c r="J1334" s="4502"/>
      <c r="K1334" s="4502"/>
      <c r="L1334" s="4502"/>
      <c r="M1334" s="4502"/>
    </row>
    <row r="1335" spans="1:13" hidden="1">
      <c r="A1335" s="4501" t="s">
        <v>8066</v>
      </c>
      <c r="B1335" s="3">
        <v>2.141</v>
      </c>
      <c r="E1335" s="4502"/>
      <c r="F1335" s="4502"/>
      <c r="G1335" s="4502"/>
      <c r="H1335" s="4502"/>
      <c r="I1335" s="4502"/>
      <c r="J1335" s="4502"/>
      <c r="K1335" s="4502"/>
      <c r="L1335" s="4502"/>
      <c r="M1335" s="4502"/>
    </row>
    <row r="1336" spans="1:13" hidden="1">
      <c r="A1336" s="4501" t="s">
        <v>8067</v>
      </c>
      <c r="B1336" s="3">
        <v>2.1659999999999999</v>
      </c>
      <c r="E1336" s="4502"/>
      <c r="F1336" s="4502"/>
      <c r="G1336" s="4502"/>
      <c r="H1336" s="4502"/>
      <c r="I1336" s="4502"/>
      <c r="J1336" s="4502"/>
      <c r="K1336" s="4502"/>
      <c r="L1336" s="4502"/>
      <c r="M1336" s="4502"/>
    </row>
    <row r="1337" spans="1:13" hidden="1">
      <c r="A1337" s="4501" t="s">
        <v>8068</v>
      </c>
      <c r="B1337" s="3">
        <v>2.1680000000000001</v>
      </c>
      <c r="E1337" s="4502"/>
      <c r="F1337" s="4502"/>
      <c r="G1337" s="4502"/>
      <c r="H1337" s="4502"/>
      <c r="I1337" s="4502"/>
      <c r="J1337" s="4502"/>
      <c r="K1337" s="4502"/>
      <c r="L1337" s="4502"/>
      <c r="M1337" s="4502"/>
    </row>
    <row r="1338" spans="1:13" hidden="1">
      <c r="A1338" s="4501" t="s">
        <v>8069</v>
      </c>
      <c r="B1338" s="3">
        <v>2.1680000000000001</v>
      </c>
      <c r="E1338" s="4502"/>
      <c r="F1338" s="4502"/>
      <c r="G1338" s="4502"/>
      <c r="H1338" s="4502"/>
      <c r="I1338" s="4502"/>
      <c r="J1338" s="4502"/>
      <c r="K1338" s="4502"/>
      <c r="L1338" s="4502"/>
      <c r="M1338" s="4502"/>
    </row>
    <row r="1339" spans="1:13" hidden="1">
      <c r="A1339" s="4501" t="s">
        <v>8070</v>
      </c>
      <c r="B1339" s="3">
        <v>2.1680000000000001</v>
      </c>
      <c r="E1339" s="4502"/>
      <c r="F1339" s="4502"/>
      <c r="G1339" s="4502"/>
      <c r="H1339" s="4502"/>
      <c r="I1339" s="4502"/>
      <c r="J1339" s="4502"/>
      <c r="K1339" s="4502"/>
      <c r="L1339" s="4502"/>
      <c r="M1339" s="4502"/>
    </row>
    <row r="1340" spans="1:13" hidden="1">
      <c r="A1340" s="4501" t="s">
        <v>8071</v>
      </c>
      <c r="B1340" s="3">
        <v>2.1579999999999999</v>
      </c>
      <c r="E1340" s="4502"/>
      <c r="F1340" s="4502"/>
      <c r="G1340" s="4502"/>
      <c r="H1340" s="4502"/>
      <c r="I1340" s="4502"/>
      <c r="J1340" s="4502"/>
      <c r="K1340" s="4502"/>
      <c r="L1340" s="4502"/>
      <c r="M1340" s="4502"/>
    </row>
    <row r="1341" spans="1:13" hidden="1">
      <c r="A1341" s="4501" t="s">
        <v>8072</v>
      </c>
      <c r="B1341" s="3">
        <v>2.1509999999999998</v>
      </c>
      <c r="E1341" s="4502"/>
      <c r="F1341" s="4502"/>
      <c r="G1341" s="4502"/>
      <c r="H1341" s="4502"/>
      <c r="I1341" s="4502"/>
      <c r="J1341" s="4502"/>
      <c r="K1341" s="4502"/>
      <c r="L1341" s="4502"/>
      <c r="M1341" s="4502"/>
    </row>
    <row r="1342" spans="1:13" hidden="1">
      <c r="A1342" s="4501" t="s">
        <v>8073</v>
      </c>
      <c r="B1342" s="3">
        <v>2.0830000000000002</v>
      </c>
      <c r="E1342" s="4502"/>
      <c r="F1342" s="4502"/>
      <c r="G1342" s="4502"/>
      <c r="H1342" s="4502"/>
      <c r="I1342" s="4502"/>
      <c r="J1342" s="4502"/>
      <c r="K1342" s="4502"/>
      <c r="L1342" s="4502"/>
      <c r="M1342" s="4502"/>
    </row>
    <row r="1343" spans="1:13" hidden="1">
      <c r="A1343" s="4501" t="s">
        <v>8074</v>
      </c>
      <c r="B1343" s="3">
        <v>2.0459999999999998</v>
      </c>
      <c r="E1343" s="4502"/>
      <c r="F1343" s="4502"/>
      <c r="G1343" s="4502"/>
      <c r="H1343" s="4502"/>
      <c r="I1343" s="4502"/>
      <c r="J1343" s="4502"/>
      <c r="K1343" s="4502"/>
      <c r="L1343" s="4502"/>
      <c r="M1343" s="4502"/>
    </row>
    <row r="1344" spans="1:13" hidden="1">
      <c r="A1344" s="4501" t="s">
        <v>8075</v>
      </c>
      <c r="B1344" s="3">
        <v>1.9850000000000001</v>
      </c>
      <c r="E1344" s="4502"/>
      <c r="F1344" s="4502"/>
      <c r="G1344" s="4502"/>
      <c r="H1344" s="4502"/>
      <c r="I1344" s="4502"/>
      <c r="J1344" s="4502"/>
      <c r="K1344" s="4502"/>
      <c r="L1344" s="4502"/>
      <c r="M1344" s="4502"/>
    </row>
    <row r="1345" spans="1:13" hidden="1">
      <c r="A1345" s="4501" t="s">
        <v>8076</v>
      </c>
      <c r="B1345" s="3">
        <v>1.9850000000000001</v>
      </c>
      <c r="E1345" s="4502"/>
      <c r="F1345" s="4502"/>
      <c r="G1345" s="4502"/>
      <c r="H1345" s="4502"/>
      <c r="I1345" s="4502"/>
      <c r="J1345" s="4502"/>
      <c r="K1345" s="4502"/>
      <c r="L1345" s="4502"/>
      <c r="M1345" s="4502"/>
    </row>
    <row r="1346" spans="1:13" hidden="1">
      <c r="A1346" s="4501" t="s">
        <v>8077</v>
      </c>
      <c r="B1346" s="3">
        <v>1.9850000000000001</v>
      </c>
      <c r="E1346" s="4502"/>
      <c r="F1346" s="4502"/>
      <c r="G1346" s="4502"/>
      <c r="H1346" s="4502"/>
      <c r="I1346" s="4502"/>
      <c r="J1346" s="4502"/>
      <c r="K1346" s="4502"/>
      <c r="L1346" s="4502"/>
      <c r="M1346" s="4502"/>
    </row>
    <row r="1347" spans="1:13" hidden="1">
      <c r="A1347" s="4501" t="s">
        <v>8078</v>
      </c>
      <c r="B1347" s="3">
        <v>1.9850000000000001</v>
      </c>
      <c r="E1347" s="4502"/>
      <c r="F1347" s="4502"/>
      <c r="G1347" s="4502"/>
      <c r="H1347" s="4502"/>
      <c r="I1347" s="4502"/>
      <c r="J1347" s="4502"/>
      <c r="K1347" s="4502"/>
      <c r="L1347" s="4502"/>
      <c r="M1347" s="4502"/>
    </row>
    <row r="1348" spans="1:13" hidden="1">
      <c r="A1348" s="4501" t="s">
        <v>8079</v>
      </c>
      <c r="B1348" s="3">
        <v>1.889</v>
      </c>
      <c r="E1348" s="4502"/>
      <c r="F1348" s="4502"/>
      <c r="G1348" s="4502"/>
      <c r="H1348" s="4502"/>
      <c r="I1348" s="4502"/>
      <c r="J1348" s="4502"/>
      <c r="K1348" s="4502"/>
      <c r="L1348" s="4502"/>
      <c r="M1348" s="4502"/>
    </row>
    <row r="1349" spans="1:13" hidden="1">
      <c r="A1349" s="4501" t="s">
        <v>8080</v>
      </c>
      <c r="B1349" s="3">
        <v>1.9</v>
      </c>
      <c r="E1349" s="4502"/>
      <c r="F1349" s="4502"/>
      <c r="G1349" s="4502"/>
      <c r="H1349" s="4502"/>
      <c r="I1349" s="4502"/>
      <c r="J1349" s="4502"/>
      <c r="K1349" s="4502"/>
      <c r="L1349" s="4502"/>
      <c r="M1349" s="4502"/>
    </row>
    <row r="1350" spans="1:13" hidden="1">
      <c r="A1350" s="4501" t="s">
        <v>8081</v>
      </c>
      <c r="B1350" s="3">
        <v>1.9039999999999999</v>
      </c>
      <c r="E1350" s="4502"/>
      <c r="F1350" s="4502"/>
      <c r="G1350" s="4502"/>
      <c r="H1350" s="4502"/>
      <c r="I1350" s="4502"/>
      <c r="J1350" s="4502"/>
      <c r="K1350" s="4502"/>
      <c r="L1350" s="4502"/>
      <c r="M1350" s="4502"/>
    </row>
    <row r="1351" spans="1:13" hidden="1">
      <c r="A1351" s="4501" t="s">
        <v>8082</v>
      </c>
      <c r="B1351" s="3">
        <v>1.87</v>
      </c>
      <c r="E1351" s="4502"/>
      <c r="F1351" s="4502"/>
      <c r="G1351" s="4502"/>
      <c r="H1351" s="4502"/>
      <c r="I1351" s="4502"/>
      <c r="J1351" s="4502"/>
      <c r="K1351" s="4502"/>
      <c r="L1351" s="4502"/>
      <c r="M1351" s="4502"/>
    </row>
    <row r="1352" spans="1:13" hidden="1">
      <c r="A1352" s="4501" t="s">
        <v>8083</v>
      </c>
      <c r="B1352" s="3">
        <v>1.87</v>
      </c>
      <c r="E1352" s="4502"/>
      <c r="F1352" s="4502"/>
      <c r="G1352" s="4502"/>
      <c r="H1352" s="4502"/>
      <c r="I1352" s="4502"/>
      <c r="J1352" s="4502"/>
      <c r="K1352" s="4502"/>
      <c r="L1352" s="4502"/>
      <c r="M1352" s="4502"/>
    </row>
    <row r="1353" spans="1:13" hidden="1">
      <c r="A1353" s="4501" t="s">
        <v>8084</v>
      </c>
      <c r="B1353" s="3">
        <v>1.87</v>
      </c>
      <c r="E1353" s="4502"/>
      <c r="F1353" s="4502"/>
      <c r="G1353" s="4502"/>
      <c r="H1353" s="4502"/>
      <c r="I1353" s="4502"/>
      <c r="J1353" s="4502"/>
      <c r="K1353" s="4502"/>
      <c r="L1353" s="4502"/>
      <c r="M1353" s="4502"/>
    </row>
    <row r="1354" spans="1:13" hidden="1">
      <c r="A1354" s="4501" t="s">
        <v>8085</v>
      </c>
      <c r="B1354" s="3">
        <v>1.8779999999999999</v>
      </c>
      <c r="E1354" s="4502"/>
      <c r="F1354" s="4502"/>
      <c r="G1354" s="4502"/>
      <c r="H1354" s="4502"/>
      <c r="I1354" s="4502"/>
      <c r="J1354" s="4502"/>
      <c r="K1354" s="4502"/>
      <c r="L1354" s="4502"/>
      <c r="M1354" s="4502"/>
    </row>
    <row r="1355" spans="1:13" hidden="1">
      <c r="A1355" s="4501" t="s">
        <v>8086</v>
      </c>
      <c r="B1355" s="3">
        <v>1.9079999999999999</v>
      </c>
      <c r="E1355" s="4502"/>
      <c r="F1355" s="4502"/>
      <c r="G1355" s="4502"/>
      <c r="H1355" s="4502"/>
      <c r="I1355" s="4502"/>
      <c r="J1355" s="4502"/>
      <c r="K1355" s="4502"/>
      <c r="L1355" s="4502"/>
      <c r="M1355" s="4502"/>
    </row>
    <row r="1356" spans="1:13" hidden="1">
      <c r="A1356" s="4501" t="s">
        <v>8087</v>
      </c>
      <c r="B1356" s="3">
        <v>1.865</v>
      </c>
      <c r="E1356" s="4502"/>
      <c r="F1356" s="4502"/>
      <c r="G1356" s="4502"/>
      <c r="H1356" s="4502"/>
      <c r="I1356" s="4502"/>
      <c r="J1356" s="4502"/>
      <c r="K1356" s="4502"/>
      <c r="L1356" s="4502"/>
      <c r="M1356" s="4502"/>
    </row>
    <row r="1357" spans="1:13" hidden="1">
      <c r="A1357" s="4501" t="s">
        <v>8088</v>
      </c>
      <c r="B1357" s="3">
        <v>1.829</v>
      </c>
      <c r="E1357" s="4502"/>
      <c r="F1357" s="4502"/>
      <c r="G1357" s="4502"/>
      <c r="H1357" s="4502"/>
      <c r="I1357" s="4502"/>
      <c r="J1357" s="4502"/>
      <c r="K1357" s="4502"/>
      <c r="L1357" s="4502"/>
      <c r="M1357" s="4502"/>
    </row>
    <row r="1358" spans="1:13" hidden="1">
      <c r="A1358" s="4501" t="s">
        <v>8089</v>
      </c>
      <c r="B1358" s="3">
        <v>1.841</v>
      </c>
      <c r="E1358" s="4502"/>
      <c r="F1358" s="4502"/>
      <c r="G1358" s="4502"/>
      <c r="H1358" s="4502"/>
      <c r="I1358" s="4502"/>
      <c r="J1358" s="4502"/>
      <c r="K1358" s="4502"/>
      <c r="L1358" s="4502"/>
      <c r="M1358" s="4502"/>
    </row>
    <row r="1359" spans="1:13" hidden="1">
      <c r="A1359" s="4501" t="s">
        <v>8090</v>
      </c>
      <c r="B1359" s="3">
        <v>1.841</v>
      </c>
      <c r="E1359" s="4502"/>
      <c r="F1359" s="4502"/>
      <c r="G1359" s="4502"/>
      <c r="H1359" s="4502"/>
      <c r="I1359" s="4502"/>
      <c r="J1359" s="4502"/>
      <c r="K1359" s="4502"/>
      <c r="L1359" s="4502"/>
      <c r="M1359" s="4502"/>
    </row>
    <row r="1360" spans="1:13" hidden="1">
      <c r="A1360" s="4501" t="s">
        <v>8091</v>
      </c>
      <c r="B1360" s="3">
        <v>1.841</v>
      </c>
      <c r="E1360" s="4502"/>
      <c r="F1360" s="4502"/>
      <c r="G1360" s="4502"/>
      <c r="H1360" s="4502"/>
      <c r="I1360" s="4502"/>
      <c r="J1360" s="4502"/>
      <c r="K1360" s="4502"/>
      <c r="L1360" s="4502"/>
      <c r="M1360" s="4502"/>
    </row>
    <row r="1361" spans="1:13" hidden="1">
      <c r="A1361" s="4501" t="s">
        <v>8092</v>
      </c>
      <c r="B1361" s="3">
        <v>1.819</v>
      </c>
      <c r="E1361" s="4502"/>
      <c r="F1361" s="4502"/>
      <c r="G1361" s="4502"/>
      <c r="H1361" s="4502"/>
      <c r="I1361" s="4502"/>
      <c r="J1361" s="4502"/>
      <c r="K1361" s="4502"/>
      <c r="L1361" s="4502"/>
      <c r="M1361" s="4502"/>
    </row>
    <row r="1362" spans="1:13" hidden="1">
      <c r="A1362" s="4501" t="s">
        <v>8093</v>
      </c>
      <c r="B1362" s="3">
        <v>1.8720000000000001</v>
      </c>
      <c r="E1362" s="4502"/>
      <c r="F1362" s="4502"/>
      <c r="G1362" s="4502"/>
      <c r="H1362" s="4502"/>
      <c r="I1362" s="4502"/>
      <c r="J1362" s="4502"/>
      <c r="K1362" s="4502"/>
      <c r="L1362" s="4502"/>
      <c r="M1362" s="4502"/>
    </row>
    <row r="1363" spans="1:13" hidden="1">
      <c r="A1363" s="4501" t="s">
        <v>8094</v>
      </c>
      <c r="B1363" s="3">
        <v>1.861</v>
      </c>
      <c r="E1363" s="4502"/>
      <c r="F1363" s="4502"/>
      <c r="G1363" s="4502"/>
      <c r="H1363" s="4502"/>
      <c r="I1363" s="4502"/>
      <c r="J1363" s="4502"/>
      <c r="K1363" s="4502"/>
      <c r="L1363" s="4502"/>
      <c r="M1363" s="4502"/>
    </row>
    <row r="1364" spans="1:13" hidden="1">
      <c r="A1364" s="4501" t="s">
        <v>8095</v>
      </c>
      <c r="B1364" s="3">
        <v>1.8620000000000001</v>
      </c>
      <c r="E1364" s="4502"/>
      <c r="F1364" s="4502"/>
      <c r="G1364" s="4502"/>
      <c r="H1364" s="4502"/>
      <c r="I1364" s="4502"/>
      <c r="J1364" s="4502"/>
      <c r="K1364" s="4502"/>
      <c r="L1364" s="4502"/>
      <c r="M1364" s="4502"/>
    </row>
    <row r="1365" spans="1:13" hidden="1">
      <c r="A1365" s="4501" t="s">
        <v>8096</v>
      </c>
      <c r="B1365" s="3">
        <v>1.8580000000000001</v>
      </c>
      <c r="E1365" s="4502"/>
      <c r="F1365" s="4502"/>
      <c r="G1365" s="4502"/>
      <c r="H1365" s="4502"/>
      <c r="I1365" s="4502"/>
      <c r="J1365" s="4502"/>
      <c r="K1365" s="4502"/>
      <c r="L1365" s="4502"/>
      <c r="M1365" s="4502"/>
    </row>
    <row r="1366" spans="1:13" hidden="1">
      <c r="A1366" s="4501" t="s">
        <v>8097</v>
      </c>
      <c r="B1366" s="3">
        <v>1.8580000000000001</v>
      </c>
      <c r="E1366" s="4502"/>
      <c r="F1366" s="4502"/>
      <c r="G1366" s="4502"/>
      <c r="H1366" s="4502"/>
      <c r="I1366" s="4502"/>
      <c r="J1366" s="4502"/>
      <c r="K1366" s="4502"/>
      <c r="L1366" s="4502"/>
      <c r="M1366" s="4502"/>
    </row>
    <row r="1367" spans="1:13" hidden="1">
      <c r="A1367" s="4501" t="s">
        <v>8098</v>
      </c>
      <c r="B1367" s="3">
        <v>1.8580000000000001</v>
      </c>
      <c r="E1367" s="4502"/>
      <c r="F1367" s="4502"/>
      <c r="G1367" s="4502"/>
      <c r="H1367" s="4502"/>
      <c r="I1367" s="4502"/>
      <c r="J1367" s="4502"/>
      <c r="K1367" s="4502"/>
      <c r="L1367" s="4502"/>
      <c r="M1367" s="4502"/>
    </row>
    <row r="1368" spans="1:13" hidden="1">
      <c r="A1368" s="4501" t="s">
        <v>8099</v>
      </c>
      <c r="B1368" s="3">
        <v>1.766</v>
      </c>
      <c r="E1368" s="4502"/>
      <c r="F1368" s="4502"/>
      <c r="G1368" s="4502"/>
      <c r="H1368" s="4502"/>
      <c r="I1368" s="4502"/>
      <c r="J1368" s="4502"/>
      <c r="K1368" s="4502"/>
      <c r="L1368" s="4502"/>
      <c r="M1368" s="4502"/>
    </row>
    <row r="1369" spans="1:13" hidden="1">
      <c r="A1369" s="4501" t="s">
        <v>8100</v>
      </c>
      <c r="B1369" s="3">
        <v>1.788</v>
      </c>
      <c r="E1369" s="4502"/>
      <c r="F1369" s="4502"/>
      <c r="G1369" s="4502"/>
      <c r="H1369" s="4502"/>
      <c r="I1369" s="4502"/>
      <c r="J1369" s="4502"/>
      <c r="K1369" s="4502"/>
      <c r="L1369" s="4502"/>
      <c r="M1369" s="4502"/>
    </row>
    <row r="1370" spans="1:13" hidden="1">
      <c r="A1370" s="4501" t="s">
        <v>8101</v>
      </c>
      <c r="B1370" s="3">
        <v>1.8440000000000001</v>
      </c>
      <c r="E1370" s="4502"/>
      <c r="F1370" s="4502"/>
      <c r="G1370" s="4502"/>
      <c r="H1370" s="4502"/>
      <c r="I1370" s="4502"/>
      <c r="J1370" s="4502"/>
      <c r="K1370" s="4502"/>
      <c r="L1370" s="4502"/>
      <c r="M1370" s="4502"/>
    </row>
    <row r="1371" spans="1:13" hidden="1">
      <c r="A1371" s="4501" t="s">
        <v>8102</v>
      </c>
      <c r="B1371" s="3">
        <v>1.8560000000000001</v>
      </c>
      <c r="E1371" s="4502"/>
      <c r="F1371" s="4502"/>
      <c r="G1371" s="4502"/>
      <c r="H1371" s="4502"/>
      <c r="I1371" s="4502"/>
      <c r="J1371" s="4502"/>
      <c r="K1371" s="4502"/>
      <c r="L1371" s="4502"/>
      <c r="M1371" s="4502"/>
    </row>
    <row r="1372" spans="1:13" hidden="1">
      <c r="A1372" s="4501" t="s">
        <v>8103</v>
      </c>
      <c r="B1372" s="3">
        <v>1.8560000000000001</v>
      </c>
      <c r="E1372" s="4502"/>
      <c r="F1372" s="4502"/>
      <c r="G1372" s="4502"/>
      <c r="H1372" s="4502"/>
      <c r="I1372" s="4502"/>
      <c r="J1372" s="4502"/>
      <c r="K1372" s="4502"/>
      <c r="L1372" s="4502"/>
      <c r="M1372" s="4502"/>
    </row>
    <row r="1373" spans="1:13" hidden="1">
      <c r="A1373" s="4501" t="s">
        <v>8104</v>
      </c>
      <c r="B1373" s="3">
        <v>1.8560000000000001</v>
      </c>
      <c r="E1373" s="4502"/>
      <c r="F1373" s="4502"/>
      <c r="G1373" s="4502"/>
      <c r="H1373" s="4502"/>
      <c r="I1373" s="4502"/>
      <c r="J1373" s="4502"/>
      <c r="K1373" s="4502"/>
      <c r="L1373" s="4502"/>
      <c r="M1373" s="4502"/>
    </row>
    <row r="1374" spans="1:13" hidden="1">
      <c r="A1374" s="4501" t="s">
        <v>8105</v>
      </c>
      <c r="B1374" s="3">
        <v>1.8560000000000001</v>
      </c>
      <c r="E1374" s="4502"/>
      <c r="F1374" s="4502"/>
      <c r="G1374" s="4502"/>
      <c r="H1374" s="4502"/>
      <c r="I1374" s="4502"/>
      <c r="J1374" s="4502"/>
      <c r="K1374" s="4502"/>
      <c r="L1374" s="4502"/>
      <c r="M1374" s="4502"/>
    </row>
    <row r="1375" spans="1:13" hidden="1">
      <c r="A1375" s="4501" t="s">
        <v>8106</v>
      </c>
      <c r="B1375" s="3">
        <v>1.8560000000000001</v>
      </c>
      <c r="E1375" s="4502"/>
      <c r="F1375" s="4502"/>
      <c r="G1375" s="4502"/>
      <c r="H1375" s="4502"/>
      <c r="I1375" s="4502"/>
      <c r="J1375" s="4502"/>
      <c r="K1375" s="4502"/>
      <c r="L1375" s="4502"/>
      <c r="M1375" s="4502"/>
    </row>
    <row r="1376" spans="1:13" hidden="1">
      <c r="A1376" s="4501" t="s">
        <v>8107</v>
      </c>
      <c r="B1376" s="3">
        <v>1.9710000000000001</v>
      </c>
      <c r="E1376" s="4502"/>
      <c r="F1376" s="4502"/>
      <c r="G1376" s="4502"/>
      <c r="H1376" s="4502"/>
      <c r="I1376" s="4502"/>
      <c r="J1376" s="4502"/>
      <c r="K1376" s="4502"/>
      <c r="L1376" s="4502"/>
      <c r="M1376" s="4502"/>
    </row>
    <row r="1377" spans="1:13" hidden="1">
      <c r="A1377" s="4501" t="s">
        <v>8108</v>
      </c>
      <c r="B1377" s="3">
        <v>1.9710000000000001</v>
      </c>
      <c r="E1377" s="4502"/>
      <c r="F1377" s="4502"/>
      <c r="G1377" s="4502"/>
      <c r="H1377" s="4502"/>
      <c r="I1377" s="4502"/>
      <c r="J1377" s="4502"/>
      <c r="K1377" s="4502"/>
      <c r="L1377" s="4502"/>
      <c r="M1377" s="4502"/>
    </row>
    <row r="1378" spans="1:13" hidden="1">
      <c r="A1378" s="4501" t="s">
        <v>8109</v>
      </c>
      <c r="B1378" s="3">
        <v>1.931</v>
      </c>
      <c r="E1378" s="4502"/>
      <c r="F1378" s="4502"/>
      <c r="G1378" s="4502"/>
      <c r="H1378" s="4502"/>
      <c r="I1378" s="4502"/>
      <c r="J1378" s="4502"/>
      <c r="K1378" s="4502"/>
      <c r="L1378" s="4502"/>
      <c r="M1378" s="4502"/>
    </row>
    <row r="1379" spans="1:13" hidden="1">
      <c r="A1379" s="4501" t="s">
        <v>8110</v>
      </c>
      <c r="B1379" s="3">
        <v>1.917</v>
      </c>
      <c r="E1379" s="4502"/>
      <c r="F1379" s="4502"/>
      <c r="G1379" s="4502"/>
      <c r="H1379" s="4502"/>
      <c r="I1379" s="4502"/>
      <c r="J1379" s="4502"/>
      <c r="K1379" s="4502"/>
      <c r="L1379" s="4502"/>
      <c r="M1379" s="4502"/>
    </row>
    <row r="1380" spans="1:13" hidden="1">
      <c r="A1380" s="4501" t="s">
        <v>8111</v>
      </c>
      <c r="B1380" s="3">
        <v>1.917</v>
      </c>
      <c r="E1380" s="4502"/>
      <c r="F1380" s="4502"/>
      <c r="G1380" s="4502"/>
      <c r="H1380" s="4502"/>
      <c r="I1380" s="4502"/>
      <c r="J1380" s="4502"/>
      <c r="K1380" s="4502"/>
      <c r="L1380" s="4502"/>
      <c r="M1380" s="4502"/>
    </row>
    <row r="1381" spans="1:13" hidden="1">
      <c r="A1381" s="4501" t="s">
        <v>8112</v>
      </c>
      <c r="B1381" s="3">
        <v>1.917</v>
      </c>
      <c r="E1381" s="4502"/>
      <c r="F1381" s="4502"/>
      <c r="G1381" s="4502"/>
      <c r="H1381" s="4502"/>
      <c r="I1381" s="4502"/>
      <c r="J1381" s="4502"/>
      <c r="K1381" s="4502"/>
      <c r="L1381" s="4502"/>
      <c r="M1381" s="4502"/>
    </row>
    <row r="1382" spans="1:13" hidden="1">
      <c r="A1382" s="4501" t="s">
        <v>8113</v>
      </c>
      <c r="B1382" s="3">
        <v>1.843</v>
      </c>
      <c r="E1382" s="4502"/>
      <c r="F1382" s="4502"/>
      <c r="G1382" s="4502"/>
      <c r="H1382" s="4502"/>
      <c r="I1382" s="4502"/>
      <c r="J1382" s="4502"/>
      <c r="K1382" s="4502"/>
      <c r="L1382" s="4502"/>
      <c r="M1382" s="4502"/>
    </row>
    <row r="1383" spans="1:13" hidden="1">
      <c r="A1383" s="4501" t="s">
        <v>8114</v>
      </c>
      <c r="B1383" s="3">
        <v>1.851</v>
      </c>
      <c r="E1383" s="4502"/>
      <c r="F1383" s="4502"/>
      <c r="G1383" s="4502"/>
      <c r="H1383" s="4502"/>
      <c r="I1383" s="4502"/>
      <c r="J1383" s="4502"/>
      <c r="K1383" s="4502"/>
      <c r="L1383" s="4502"/>
      <c r="M1383" s="4502"/>
    </row>
    <row r="1384" spans="1:13" hidden="1">
      <c r="A1384" s="4501" t="s">
        <v>8115</v>
      </c>
      <c r="B1384" s="3">
        <v>1.837</v>
      </c>
      <c r="E1384" s="4502"/>
      <c r="F1384" s="4502"/>
      <c r="G1384" s="4502"/>
      <c r="H1384" s="4502"/>
      <c r="I1384" s="4502"/>
      <c r="J1384" s="4502"/>
      <c r="K1384" s="4502"/>
      <c r="L1384" s="4502"/>
      <c r="M1384" s="4502"/>
    </row>
    <row r="1385" spans="1:13" hidden="1">
      <c r="A1385" s="4501" t="s">
        <v>8116</v>
      </c>
      <c r="B1385" s="3">
        <v>1.752</v>
      </c>
      <c r="E1385" s="4502"/>
      <c r="F1385" s="4502"/>
      <c r="G1385" s="4502"/>
      <c r="H1385" s="4502"/>
      <c r="I1385" s="4502"/>
      <c r="J1385" s="4502"/>
      <c r="K1385" s="4502"/>
      <c r="L1385" s="4502"/>
      <c r="M1385" s="4502"/>
    </row>
    <row r="1386" spans="1:13" hidden="1">
      <c r="A1386" s="4501" t="s">
        <v>8117</v>
      </c>
      <c r="B1386" s="3">
        <v>1.6839999999999999</v>
      </c>
      <c r="E1386" s="4502"/>
      <c r="F1386" s="4502"/>
      <c r="G1386" s="4502"/>
      <c r="H1386" s="4502"/>
      <c r="I1386" s="4502"/>
      <c r="J1386" s="4502"/>
      <c r="K1386" s="4502"/>
      <c r="L1386" s="4502"/>
      <c r="M1386" s="4502"/>
    </row>
    <row r="1387" spans="1:13" hidden="1">
      <c r="A1387" s="4501" t="s">
        <v>8118</v>
      </c>
      <c r="B1387" s="3">
        <v>1.6839999999999999</v>
      </c>
      <c r="E1387" s="4502"/>
      <c r="F1387" s="4502"/>
      <c r="G1387" s="4502"/>
      <c r="H1387" s="4502"/>
      <c r="I1387" s="4502"/>
      <c r="J1387" s="4502"/>
      <c r="K1387" s="4502"/>
      <c r="L1387" s="4502"/>
      <c r="M1387" s="4502"/>
    </row>
    <row r="1388" spans="1:13" hidden="1">
      <c r="A1388" s="4501" t="s">
        <v>8119</v>
      </c>
      <c r="B1388" s="3">
        <v>1.6839999999999999</v>
      </c>
      <c r="E1388" s="4502"/>
      <c r="F1388" s="4502"/>
      <c r="G1388" s="4502"/>
      <c r="H1388" s="4502"/>
      <c r="I1388" s="4502"/>
      <c r="J1388" s="4502"/>
      <c r="K1388" s="4502"/>
      <c r="L1388" s="4502"/>
      <c r="M1388" s="4502"/>
    </row>
    <row r="1389" spans="1:13" hidden="1">
      <c r="A1389" s="4501" t="s">
        <v>8120</v>
      </c>
      <c r="B1389" s="3">
        <v>1.756</v>
      </c>
      <c r="E1389" s="4502"/>
      <c r="F1389" s="4502"/>
      <c r="G1389" s="4502"/>
      <c r="H1389" s="4502"/>
      <c r="I1389" s="4502"/>
      <c r="J1389" s="4502"/>
      <c r="K1389" s="4502"/>
      <c r="L1389" s="4502"/>
      <c r="M1389" s="4502"/>
    </row>
    <row r="1390" spans="1:13" hidden="1">
      <c r="A1390" s="4501" t="s">
        <v>8121</v>
      </c>
      <c r="B1390" s="3">
        <v>1.8</v>
      </c>
      <c r="E1390" s="4502"/>
      <c r="F1390" s="4502"/>
      <c r="G1390" s="4502"/>
      <c r="H1390" s="4502"/>
      <c r="I1390" s="4502"/>
      <c r="J1390" s="4502"/>
      <c r="K1390" s="4502"/>
      <c r="L1390" s="4502"/>
      <c r="M1390" s="4502"/>
    </row>
    <row r="1391" spans="1:13" hidden="1">
      <c r="A1391" s="4501" t="s">
        <v>8122</v>
      </c>
      <c r="B1391" s="3">
        <v>1.827</v>
      </c>
      <c r="E1391" s="4502"/>
      <c r="F1391" s="4502"/>
      <c r="G1391" s="4502"/>
      <c r="H1391" s="4502"/>
      <c r="I1391" s="4502"/>
      <c r="J1391" s="4502"/>
      <c r="K1391" s="4502"/>
      <c r="L1391" s="4502"/>
      <c r="M1391" s="4502"/>
    </row>
    <row r="1392" spans="1:13" hidden="1">
      <c r="A1392" s="4501" t="s">
        <v>8123</v>
      </c>
      <c r="B1392" s="3">
        <v>1.772</v>
      </c>
      <c r="E1392" s="4502"/>
      <c r="F1392" s="4502"/>
      <c r="G1392" s="4502"/>
      <c r="H1392" s="4502"/>
      <c r="I1392" s="4502"/>
      <c r="J1392" s="4502"/>
      <c r="K1392" s="4502"/>
      <c r="L1392" s="4502"/>
      <c r="M1392" s="4502"/>
    </row>
    <row r="1393" spans="1:13" hidden="1">
      <c r="A1393" s="4501" t="s">
        <v>8124</v>
      </c>
      <c r="B1393" s="3">
        <v>1.708</v>
      </c>
      <c r="E1393" s="4502"/>
      <c r="F1393" s="4502"/>
      <c r="G1393" s="4502"/>
      <c r="H1393" s="4502"/>
      <c r="I1393" s="4502"/>
      <c r="J1393" s="4502"/>
      <c r="K1393" s="4502"/>
      <c r="L1393" s="4502"/>
      <c r="M1393" s="4502"/>
    </row>
    <row r="1394" spans="1:13" hidden="1">
      <c r="A1394" s="4501" t="s">
        <v>8125</v>
      </c>
      <c r="B1394" s="3">
        <v>1.708</v>
      </c>
      <c r="E1394" s="4502"/>
      <c r="F1394" s="4502"/>
      <c r="G1394" s="4502"/>
      <c r="H1394" s="4502"/>
      <c r="I1394" s="4502"/>
      <c r="J1394" s="4502"/>
      <c r="K1394" s="4502"/>
      <c r="L1394" s="4502"/>
      <c r="M1394" s="4502"/>
    </row>
    <row r="1395" spans="1:13" hidden="1">
      <c r="A1395" s="4501" t="s">
        <v>8126</v>
      </c>
      <c r="B1395" s="3">
        <v>1.708</v>
      </c>
      <c r="E1395" s="4502"/>
      <c r="F1395" s="4502"/>
      <c r="G1395" s="4502"/>
      <c r="H1395" s="4502"/>
      <c r="I1395" s="4502"/>
      <c r="J1395" s="4502"/>
      <c r="K1395" s="4502"/>
      <c r="L1395" s="4502"/>
      <c r="M1395" s="4502"/>
    </row>
    <row r="1396" spans="1:13" hidden="1">
      <c r="A1396" s="4501" t="s">
        <v>8127</v>
      </c>
      <c r="B1396" s="3">
        <v>1.778</v>
      </c>
      <c r="E1396" s="4502"/>
      <c r="F1396" s="4502"/>
      <c r="G1396" s="4502"/>
      <c r="H1396" s="4502"/>
      <c r="I1396" s="4502"/>
      <c r="J1396" s="4502"/>
      <c r="K1396" s="4502"/>
      <c r="L1396" s="4502"/>
      <c r="M1396" s="4502"/>
    </row>
    <row r="1397" spans="1:13" hidden="1">
      <c r="A1397" s="4501" t="s">
        <v>8128</v>
      </c>
      <c r="B1397" s="3">
        <v>1.9359999999999999</v>
      </c>
      <c r="E1397" s="4502"/>
      <c r="F1397" s="4502"/>
      <c r="G1397" s="4502"/>
      <c r="H1397" s="4502"/>
      <c r="I1397" s="4502"/>
      <c r="J1397" s="4502"/>
      <c r="K1397" s="4502"/>
      <c r="L1397" s="4502"/>
      <c r="M1397" s="4502"/>
    </row>
    <row r="1398" spans="1:13" hidden="1">
      <c r="A1398" s="4501" t="s">
        <v>8129</v>
      </c>
      <c r="B1398" s="3">
        <v>1.8779999999999999</v>
      </c>
      <c r="E1398" s="4502"/>
      <c r="F1398" s="4502"/>
      <c r="G1398" s="4502"/>
      <c r="H1398" s="4502"/>
      <c r="I1398" s="4502"/>
      <c r="J1398" s="4502"/>
      <c r="K1398" s="4502"/>
      <c r="L1398" s="4502"/>
      <c r="M1398" s="4502"/>
    </row>
    <row r="1399" spans="1:13" hidden="1">
      <c r="A1399" s="4501" t="s">
        <v>8130</v>
      </c>
      <c r="B1399" s="3">
        <v>1.885</v>
      </c>
      <c r="E1399" s="4502"/>
      <c r="F1399" s="4502"/>
      <c r="G1399" s="4502"/>
      <c r="H1399" s="4502"/>
      <c r="I1399" s="4502"/>
      <c r="J1399" s="4502"/>
      <c r="K1399" s="4502"/>
      <c r="L1399" s="4502"/>
      <c r="M1399" s="4502"/>
    </row>
    <row r="1400" spans="1:13" hidden="1">
      <c r="A1400" s="4501" t="s">
        <v>8131</v>
      </c>
      <c r="B1400" s="3">
        <v>1.901</v>
      </c>
      <c r="E1400" s="4502"/>
      <c r="F1400" s="4502"/>
      <c r="G1400" s="4502"/>
      <c r="H1400" s="4502"/>
      <c r="I1400" s="4502"/>
      <c r="J1400" s="4502"/>
      <c r="K1400" s="4502"/>
      <c r="L1400" s="4502"/>
      <c r="M1400" s="4502"/>
    </row>
    <row r="1401" spans="1:13" hidden="1">
      <c r="A1401" s="4501" t="s">
        <v>8132</v>
      </c>
      <c r="B1401" s="3">
        <v>1.901</v>
      </c>
      <c r="E1401" s="4502"/>
      <c r="F1401" s="4502"/>
      <c r="G1401" s="4502"/>
      <c r="H1401" s="4502"/>
      <c r="I1401" s="4502"/>
      <c r="J1401" s="4502"/>
      <c r="K1401" s="4502"/>
      <c r="L1401" s="4502"/>
      <c r="M1401" s="4502"/>
    </row>
    <row r="1402" spans="1:13" hidden="1">
      <c r="A1402" s="4501" t="s">
        <v>8133</v>
      </c>
      <c r="B1402" s="3">
        <v>1.901</v>
      </c>
      <c r="E1402" s="4502"/>
      <c r="F1402" s="4502"/>
      <c r="G1402" s="4502"/>
      <c r="H1402" s="4502"/>
      <c r="I1402" s="4502"/>
      <c r="J1402" s="4502"/>
      <c r="K1402" s="4502"/>
      <c r="L1402" s="4502"/>
      <c r="M1402" s="4502"/>
    </row>
    <row r="1403" spans="1:13" hidden="1">
      <c r="A1403" s="4501" t="s">
        <v>8134</v>
      </c>
      <c r="B1403" s="3">
        <v>1.853</v>
      </c>
      <c r="E1403" s="4502"/>
      <c r="F1403" s="4502"/>
      <c r="G1403" s="4502"/>
      <c r="H1403" s="4502"/>
      <c r="I1403" s="4502"/>
      <c r="J1403" s="4502"/>
      <c r="K1403" s="4502"/>
      <c r="L1403" s="4502"/>
      <c r="M1403" s="4502"/>
    </row>
    <row r="1404" spans="1:13" hidden="1">
      <c r="A1404" s="4501" t="s">
        <v>8135</v>
      </c>
      <c r="B1404" s="3">
        <v>1.7689999999999999</v>
      </c>
      <c r="E1404" s="4502"/>
      <c r="F1404" s="4502"/>
      <c r="G1404" s="4502"/>
      <c r="H1404" s="4502"/>
      <c r="I1404" s="4502"/>
      <c r="J1404" s="4502"/>
      <c r="K1404" s="4502"/>
      <c r="L1404" s="4502"/>
      <c r="M1404" s="4502"/>
    </row>
    <row r="1405" spans="1:13" hidden="1">
      <c r="A1405" s="4501" t="s">
        <v>8136</v>
      </c>
      <c r="B1405" s="3">
        <v>1.647</v>
      </c>
      <c r="E1405" s="4502"/>
      <c r="F1405" s="4502"/>
      <c r="G1405" s="4502"/>
      <c r="H1405" s="4502"/>
      <c r="I1405" s="4502"/>
      <c r="J1405" s="4502"/>
      <c r="K1405" s="4502"/>
      <c r="L1405" s="4502"/>
      <c r="M1405" s="4502"/>
    </row>
    <row r="1406" spans="1:13" hidden="1">
      <c r="A1406" s="4501" t="s">
        <v>8137</v>
      </c>
      <c r="B1406" s="3">
        <v>1.726</v>
      </c>
      <c r="E1406" s="4502"/>
      <c r="F1406" s="4502"/>
      <c r="G1406" s="4502"/>
      <c r="H1406" s="4502"/>
      <c r="I1406" s="4502"/>
      <c r="J1406" s="4502"/>
      <c r="K1406" s="4502"/>
      <c r="L1406" s="4502"/>
      <c r="M1406" s="4502"/>
    </row>
    <row r="1407" spans="1:13" hidden="1">
      <c r="A1407" s="4501" t="s">
        <v>8138</v>
      </c>
      <c r="B1407" s="3">
        <v>1.675</v>
      </c>
      <c r="E1407" s="4502"/>
      <c r="F1407" s="4502"/>
      <c r="G1407" s="4502"/>
      <c r="H1407" s="4502"/>
      <c r="I1407" s="4502"/>
      <c r="J1407" s="4502"/>
      <c r="K1407" s="4502"/>
      <c r="L1407" s="4502"/>
      <c r="M1407" s="4502"/>
    </row>
    <row r="1408" spans="1:13" hidden="1">
      <c r="A1408" s="4501" t="s">
        <v>8139</v>
      </c>
      <c r="B1408" s="3">
        <v>1.675</v>
      </c>
      <c r="E1408" s="4502"/>
      <c r="F1408" s="4502"/>
      <c r="G1408" s="4502"/>
      <c r="H1408" s="4502"/>
      <c r="I1408" s="4502"/>
      <c r="J1408" s="4502"/>
      <c r="K1408" s="4502"/>
      <c r="L1408" s="4502"/>
      <c r="M1408" s="4502"/>
    </row>
    <row r="1409" spans="1:13" hidden="1">
      <c r="A1409" s="4501" t="s">
        <v>8140</v>
      </c>
      <c r="B1409" s="3">
        <v>1.675</v>
      </c>
      <c r="E1409" s="4502"/>
      <c r="F1409" s="4502"/>
      <c r="G1409" s="4502"/>
      <c r="H1409" s="4502"/>
      <c r="I1409" s="4502"/>
      <c r="J1409" s="4502"/>
      <c r="K1409" s="4502"/>
      <c r="L1409" s="4502"/>
      <c r="M1409" s="4502"/>
    </row>
    <row r="1410" spans="1:13" hidden="1">
      <c r="A1410" s="4501" t="s">
        <v>8141</v>
      </c>
      <c r="B1410" s="3">
        <v>1.673</v>
      </c>
      <c r="E1410" s="4502"/>
      <c r="F1410" s="4502"/>
      <c r="G1410" s="4502"/>
      <c r="H1410" s="4502"/>
      <c r="I1410" s="4502"/>
      <c r="J1410" s="4502"/>
      <c r="K1410" s="4502"/>
      <c r="L1410" s="4502"/>
      <c r="M1410" s="4502"/>
    </row>
    <row r="1411" spans="1:13" hidden="1">
      <c r="A1411" s="4501" t="s">
        <v>8142</v>
      </c>
      <c r="B1411" s="3">
        <v>1.7290000000000001</v>
      </c>
      <c r="E1411" s="4502"/>
      <c r="F1411" s="4502"/>
      <c r="G1411" s="4502"/>
      <c r="H1411" s="4502"/>
      <c r="I1411" s="4502"/>
      <c r="J1411" s="4502"/>
      <c r="K1411" s="4502"/>
      <c r="L1411" s="4502"/>
      <c r="M1411" s="4502"/>
    </row>
    <row r="1412" spans="1:13" hidden="1">
      <c r="A1412" s="4501" t="s">
        <v>8143</v>
      </c>
      <c r="B1412" s="3">
        <v>1.714</v>
      </c>
      <c r="E1412" s="4502"/>
      <c r="F1412" s="4502"/>
      <c r="G1412" s="4502"/>
      <c r="H1412" s="4502"/>
      <c r="I1412" s="4502"/>
      <c r="J1412" s="4502"/>
      <c r="K1412" s="4502"/>
      <c r="L1412" s="4502"/>
      <c r="M1412" s="4502"/>
    </row>
    <row r="1413" spans="1:13" hidden="1">
      <c r="A1413" s="4501" t="s">
        <v>8144</v>
      </c>
      <c r="B1413" s="3">
        <v>1.6890000000000001</v>
      </c>
      <c r="E1413" s="4502"/>
      <c r="F1413" s="4502"/>
      <c r="G1413" s="4502"/>
      <c r="H1413" s="4502"/>
      <c r="I1413" s="4502"/>
      <c r="J1413" s="4502"/>
      <c r="K1413" s="4502"/>
      <c r="L1413" s="4502"/>
      <c r="M1413" s="4502"/>
    </row>
    <row r="1414" spans="1:13" hidden="1">
      <c r="A1414" s="4501" t="s">
        <v>8145</v>
      </c>
      <c r="B1414" s="3">
        <v>1.671</v>
      </c>
      <c r="E1414" s="4502"/>
      <c r="F1414" s="4502"/>
      <c r="G1414" s="4502"/>
      <c r="H1414" s="4502"/>
      <c r="I1414" s="4502"/>
      <c r="J1414" s="4502"/>
      <c r="K1414" s="4502"/>
      <c r="L1414" s="4502"/>
      <c r="M1414" s="4502"/>
    </row>
    <row r="1415" spans="1:13" hidden="1">
      <c r="A1415" s="4501" t="s">
        <v>8146</v>
      </c>
      <c r="B1415" s="3">
        <v>1.671</v>
      </c>
      <c r="E1415" s="4502"/>
      <c r="F1415" s="4502"/>
      <c r="G1415" s="4502"/>
      <c r="H1415" s="4502"/>
      <c r="I1415" s="4502"/>
      <c r="J1415" s="4502"/>
      <c r="K1415" s="4502"/>
      <c r="L1415" s="4502"/>
      <c r="M1415" s="4502"/>
    </row>
    <row r="1416" spans="1:13" hidden="1">
      <c r="A1416" s="4501" t="s">
        <v>8147</v>
      </c>
      <c r="B1416" s="3">
        <v>1.671</v>
      </c>
      <c r="E1416" s="4502"/>
      <c r="F1416" s="4502"/>
      <c r="G1416" s="4502"/>
      <c r="H1416" s="4502"/>
      <c r="I1416" s="4502"/>
      <c r="J1416" s="4502"/>
      <c r="K1416" s="4502"/>
      <c r="L1416" s="4502"/>
      <c r="M1416" s="4502"/>
    </row>
    <row r="1417" spans="1:13" hidden="1">
      <c r="A1417" s="4501" t="s">
        <v>8148</v>
      </c>
      <c r="B1417" s="3">
        <v>1.69</v>
      </c>
      <c r="E1417" s="4502"/>
      <c r="F1417" s="4502"/>
      <c r="G1417" s="4502"/>
      <c r="H1417" s="4502"/>
      <c r="I1417" s="4502"/>
      <c r="J1417" s="4502"/>
      <c r="K1417" s="4502"/>
      <c r="L1417" s="4502"/>
      <c r="M1417" s="4502"/>
    </row>
    <row r="1418" spans="1:13" hidden="1">
      <c r="A1418" s="4501" t="s">
        <v>8149</v>
      </c>
      <c r="B1418" s="3">
        <v>1.64</v>
      </c>
      <c r="E1418" s="4502"/>
      <c r="F1418" s="4502"/>
      <c r="G1418" s="4502"/>
      <c r="H1418" s="4502"/>
      <c r="I1418" s="4502"/>
      <c r="J1418" s="4502"/>
      <c r="K1418" s="4502"/>
      <c r="L1418" s="4502"/>
      <c r="M1418" s="4502"/>
    </row>
    <row r="1419" spans="1:13" hidden="1">
      <c r="A1419" s="4501" t="s">
        <v>8150</v>
      </c>
      <c r="B1419" s="3">
        <v>1.587</v>
      </c>
      <c r="E1419" s="4502"/>
      <c r="F1419" s="4502"/>
      <c r="G1419" s="4502"/>
      <c r="H1419" s="4502"/>
      <c r="I1419" s="4502"/>
      <c r="J1419" s="4502"/>
      <c r="K1419" s="4502"/>
      <c r="L1419" s="4502"/>
      <c r="M1419" s="4502"/>
    </row>
    <row r="1420" spans="1:13" hidden="1">
      <c r="A1420" s="4501" t="s">
        <v>8151</v>
      </c>
      <c r="B1420" s="3">
        <v>1.552</v>
      </c>
      <c r="E1420" s="4502"/>
      <c r="F1420" s="4502"/>
      <c r="G1420" s="4502"/>
      <c r="H1420" s="4502"/>
      <c r="I1420" s="4502"/>
      <c r="J1420" s="4502"/>
      <c r="K1420" s="4502"/>
      <c r="L1420" s="4502"/>
      <c r="M1420" s="4502"/>
    </row>
    <row r="1421" spans="1:13" hidden="1">
      <c r="A1421" s="4501" t="s">
        <v>8152</v>
      </c>
      <c r="B1421" s="3">
        <v>1.621</v>
      </c>
      <c r="E1421" s="4502"/>
      <c r="F1421" s="4502"/>
      <c r="G1421" s="4502"/>
      <c r="H1421" s="4502"/>
      <c r="I1421" s="4502"/>
      <c r="J1421" s="4502"/>
      <c r="K1421" s="4502"/>
      <c r="L1421" s="4502"/>
      <c r="M1421" s="4502"/>
    </row>
    <row r="1422" spans="1:13" hidden="1">
      <c r="A1422" s="4501" t="s">
        <v>8153</v>
      </c>
      <c r="B1422" s="3">
        <v>1.621</v>
      </c>
      <c r="E1422" s="4502"/>
      <c r="F1422" s="4502"/>
      <c r="G1422" s="4502"/>
      <c r="H1422" s="4502"/>
      <c r="I1422" s="4502"/>
      <c r="J1422" s="4502"/>
      <c r="K1422" s="4502"/>
      <c r="L1422" s="4502"/>
      <c r="M1422" s="4502"/>
    </row>
    <row r="1423" spans="1:13" hidden="1">
      <c r="A1423" s="4501" t="s">
        <v>8154</v>
      </c>
      <c r="B1423" s="3">
        <v>1.621</v>
      </c>
      <c r="E1423" s="4502"/>
      <c r="F1423" s="4502"/>
      <c r="G1423" s="4502"/>
      <c r="H1423" s="4502"/>
      <c r="I1423" s="4502"/>
      <c r="J1423" s="4502"/>
      <c r="K1423" s="4502"/>
      <c r="L1423" s="4502"/>
      <c r="M1423" s="4502"/>
    </row>
    <row r="1424" spans="1:13" hidden="1">
      <c r="A1424" s="4501" t="s">
        <v>8155</v>
      </c>
      <c r="B1424" s="3">
        <v>1.7310000000000001</v>
      </c>
      <c r="E1424" s="4502"/>
      <c r="F1424" s="4502"/>
      <c r="G1424" s="4502"/>
      <c r="H1424" s="4502"/>
      <c r="I1424" s="4502"/>
      <c r="J1424" s="4502"/>
      <c r="K1424" s="4502"/>
      <c r="L1424" s="4502"/>
      <c r="M1424" s="4502"/>
    </row>
    <row r="1425" spans="1:13" hidden="1">
      <c r="A1425" s="4501" t="s">
        <v>8156</v>
      </c>
      <c r="B1425" s="3">
        <v>1.8520000000000001</v>
      </c>
      <c r="E1425" s="4502"/>
      <c r="F1425" s="4502"/>
      <c r="G1425" s="4502"/>
      <c r="H1425" s="4502"/>
      <c r="I1425" s="4502"/>
      <c r="J1425" s="4502"/>
      <c r="K1425" s="4502"/>
      <c r="L1425" s="4502"/>
      <c r="M1425" s="4502"/>
    </row>
    <row r="1426" spans="1:13" hidden="1">
      <c r="A1426" s="4501" t="s">
        <v>8157</v>
      </c>
      <c r="B1426" s="3">
        <v>1.7829999999999999</v>
      </c>
      <c r="E1426" s="4502"/>
      <c r="F1426" s="4502"/>
      <c r="G1426" s="4502"/>
      <c r="H1426" s="4502"/>
      <c r="I1426" s="4502"/>
      <c r="J1426" s="4502"/>
      <c r="K1426" s="4502"/>
      <c r="L1426" s="4502"/>
      <c r="M1426" s="4502"/>
    </row>
    <row r="1427" spans="1:13" hidden="1">
      <c r="A1427" s="4501" t="s">
        <v>8158</v>
      </c>
      <c r="B1427" s="3">
        <v>1.7330000000000001</v>
      </c>
      <c r="E1427" s="4502"/>
      <c r="F1427" s="4502"/>
      <c r="G1427" s="4502"/>
      <c r="H1427" s="4502"/>
      <c r="I1427" s="4502"/>
      <c r="J1427" s="4502"/>
      <c r="K1427" s="4502"/>
      <c r="L1427" s="4502"/>
      <c r="M1427" s="4502"/>
    </row>
    <row r="1428" spans="1:13" hidden="1">
      <c r="A1428" s="4501" t="s">
        <v>8159</v>
      </c>
      <c r="B1428" s="3">
        <v>1.7330000000000001</v>
      </c>
      <c r="E1428" s="4502"/>
      <c r="F1428" s="4502"/>
      <c r="G1428" s="4502"/>
      <c r="H1428" s="4502"/>
      <c r="I1428" s="4502"/>
      <c r="J1428" s="4502"/>
      <c r="K1428" s="4502"/>
      <c r="L1428" s="4502"/>
      <c r="M1428" s="4502"/>
    </row>
    <row r="1429" spans="1:13" hidden="1">
      <c r="A1429" s="4501" t="s">
        <v>8160</v>
      </c>
      <c r="B1429" s="3">
        <v>1.7330000000000001</v>
      </c>
      <c r="E1429" s="4502"/>
      <c r="F1429" s="4502"/>
      <c r="G1429" s="4502"/>
      <c r="H1429" s="4502"/>
      <c r="I1429" s="4502"/>
      <c r="J1429" s="4502"/>
      <c r="K1429" s="4502"/>
      <c r="L1429" s="4502"/>
      <c r="M1429" s="4502"/>
    </row>
    <row r="1430" spans="1:13" hidden="1">
      <c r="A1430" s="4501" t="s">
        <v>8161</v>
      </c>
      <c r="B1430" s="3">
        <v>1.7330000000000001</v>
      </c>
      <c r="E1430" s="4502"/>
      <c r="F1430" s="4502"/>
      <c r="G1430" s="4502"/>
      <c r="H1430" s="4502"/>
      <c r="I1430" s="4502"/>
      <c r="J1430" s="4502"/>
      <c r="K1430" s="4502"/>
      <c r="L1430" s="4502"/>
      <c r="M1430" s="4502"/>
    </row>
    <row r="1431" spans="1:13" hidden="1">
      <c r="A1431" s="4501" t="s">
        <v>8162</v>
      </c>
      <c r="B1431" s="3">
        <v>1.724</v>
      </c>
      <c r="E1431" s="4502"/>
      <c r="F1431" s="4502"/>
      <c r="G1431" s="4502"/>
      <c r="H1431" s="4502"/>
      <c r="I1431" s="4502"/>
      <c r="J1431" s="4502"/>
      <c r="K1431" s="4502"/>
      <c r="L1431" s="4502"/>
      <c r="M1431" s="4502"/>
    </row>
    <row r="1432" spans="1:13" hidden="1">
      <c r="A1432" s="4501" t="s">
        <v>8163</v>
      </c>
      <c r="B1432" s="3">
        <v>1.65</v>
      </c>
      <c r="E1432" s="4502"/>
      <c r="F1432" s="4502"/>
      <c r="G1432" s="4502"/>
      <c r="H1432" s="4502"/>
      <c r="I1432" s="4502"/>
      <c r="J1432" s="4502"/>
      <c r="K1432" s="4502"/>
      <c r="L1432" s="4502"/>
      <c r="M1432" s="4502"/>
    </row>
    <row r="1433" spans="1:13" hidden="1">
      <c r="A1433" s="4501" t="s">
        <v>8164</v>
      </c>
      <c r="B1433" s="3">
        <v>1.748</v>
      </c>
      <c r="E1433" s="4502"/>
      <c r="F1433" s="4502"/>
      <c r="G1433" s="4502"/>
      <c r="H1433" s="4502"/>
      <c r="I1433" s="4502"/>
      <c r="J1433" s="4502"/>
      <c r="K1433" s="4502"/>
      <c r="L1433" s="4502"/>
      <c r="M1433" s="4502"/>
    </row>
    <row r="1434" spans="1:13" hidden="1">
      <c r="A1434" s="4501" t="s">
        <v>8165</v>
      </c>
      <c r="B1434" s="3">
        <v>1.845</v>
      </c>
      <c r="E1434" s="4502"/>
      <c r="F1434" s="4502"/>
      <c r="G1434" s="4502"/>
      <c r="H1434" s="4502"/>
      <c r="I1434" s="4502"/>
      <c r="J1434" s="4502"/>
      <c r="K1434" s="4502"/>
      <c r="L1434" s="4502"/>
      <c r="M1434" s="4502"/>
    </row>
    <row r="1435" spans="1:13" hidden="1">
      <c r="A1435" s="4501" t="s">
        <v>8166</v>
      </c>
      <c r="B1435" s="3">
        <v>1.903</v>
      </c>
      <c r="E1435" s="4502"/>
      <c r="F1435" s="4502"/>
      <c r="G1435" s="4502"/>
      <c r="H1435" s="4502"/>
      <c r="I1435" s="4502"/>
      <c r="J1435" s="4502"/>
      <c r="K1435" s="4502"/>
      <c r="L1435" s="4502"/>
      <c r="M1435" s="4502"/>
    </row>
    <row r="1436" spans="1:13" hidden="1">
      <c r="A1436" s="4501" t="s">
        <v>8167</v>
      </c>
      <c r="B1436" s="3">
        <v>1.903</v>
      </c>
      <c r="E1436" s="4502"/>
      <c r="F1436" s="4502"/>
      <c r="G1436" s="4502"/>
      <c r="H1436" s="4502"/>
      <c r="I1436" s="4502"/>
      <c r="J1436" s="4502"/>
      <c r="K1436" s="4502"/>
      <c r="L1436" s="4502"/>
      <c r="M1436" s="4502"/>
    </row>
    <row r="1437" spans="1:13" hidden="1">
      <c r="A1437" s="4501" t="s">
        <v>8168</v>
      </c>
      <c r="B1437" s="3">
        <v>1.903</v>
      </c>
      <c r="E1437" s="4502"/>
      <c r="F1437" s="4502"/>
      <c r="G1437" s="4502"/>
      <c r="H1437" s="4502"/>
      <c r="I1437" s="4502"/>
      <c r="J1437" s="4502"/>
      <c r="K1437" s="4502"/>
      <c r="L1437" s="4502"/>
      <c r="M1437" s="4502"/>
    </row>
    <row r="1438" spans="1:13" hidden="1">
      <c r="A1438" s="4501" t="s">
        <v>8169</v>
      </c>
      <c r="B1438" s="3">
        <v>2.0489999999999999</v>
      </c>
      <c r="E1438" s="4502"/>
      <c r="F1438" s="4502"/>
      <c r="G1438" s="4502"/>
      <c r="H1438" s="4502"/>
      <c r="I1438" s="4502"/>
      <c r="J1438" s="4502"/>
      <c r="K1438" s="4502"/>
      <c r="L1438" s="4502"/>
      <c r="M1438" s="4502"/>
    </row>
    <row r="1439" spans="1:13" hidden="1">
      <c r="A1439" s="4501" t="s">
        <v>8170</v>
      </c>
      <c r="B1439" s="3">
        <v>1.984</v>
      </c>
      <c r="E1439" s="4502"/>
      <c r="F1439" s="4502"/>
      <c r="G1439" s="4502"/>
      <c r="H1439" s="4502"/>
      <c r="I1439" s="4502"/>
      <c r="J1439" s="4502"/>
      <c r="K1439" s="4502"/>
      <c r="L1439" s="4502"/>
      <c r="M1439" s="4502"/>
    </row>
    <row r="1440" spans="1:13" hidden="1">
      <c r="A1440" s="4501" t="s">
        <v>8171</v>
      </c>
      <c r="B1440" s="3">
        <v>2.0529999999999999</v>
      </c>
      <c r="E1440" s="4502"/>
      <c r="F1440" s="4502"/>
      <c r="G1440" s="4502"/>
      <c r="H1440" s="4502"/>
      <c r="I1440" s="4502"/>
      <c r="J1440" s="4502"/>
      <c r="K1440" s="4502"/>
      <c r="L1440" s="4502"/>
      <c r="M1440" s="4502"/>
    </row>
    <row r="1441" spans="1:13" hidden="1">
      <c r="A1441" s="4501" t="s">
        <v>8172</v>
      </c>
      <c r="B1441" s="3">
        <v>1.9419999999999999</v>
      </c>
      <c r="E1441" s="4502"/>
      <c r="F1441" s="4502"/>
      <c r="G1441" s="4502"/>
      <c r="H1441" s="4502"/>
      <c r="I1441" s="4502"/>
      <c r="J1441" s="4502"/>
      <c r="K1441" s="4502"/>
      <c r="L1441" s="4502"/>
      <c r="M1441" s="4502"/>
    </row>
    <row r="1442" spans="1:13" hidden="1">
      <c r="A1442" s="4501" t="s">
        <v>8173</v>
      </c>
      <c r="B1442" s="3">
        <v>1.895</v>
      </c>
      <c r="E1442" s="4502"/>
      <c r="F1442" s="4502"/>
      <c r="G1442" s="4502"/>
      <c r="H1442" s="4502"/>
      <c r="I1442" s="4502"/>
      <c r="J1442" s="4502"/>
      <c r="K1442" s="4502"/>
      <c r="L1442" s="4502"/>
      <c r="M1442" s="4502"/>
    </row>
    <row r="1443" spans="1:13" hidden="1">
      <c r="A1443" s="4501" t="s">
        <v>8174</v>
      </c>
      <c r="B1443" s="3">
        <v>1.895</v>
      </c>
      <c r="E1443" s="4502"/>
      <c r="F1443" s="4502"/>
      <c r="G1443" s="4502"/>
      <c r="H1443" s="4502"/>
      <c r="I1443" s="4502"/>
      <c r="J1443" s="4502"/>
      <c r="K1443" s="4502"/>
      <c r="L1443" s="4502"/>
      <c r="M1443" s="4502"/>
    </row>
    <row r="1444" spans="1:13" hidden="1">
      <c r="A1444" s="4501" t="s">
        <v>8175</v>
      </c>
      <c r="B1444" s="3">
        <v>1.895</v>
      </c>
      <c r="E1444" s="4502"/>
      <c r="F1444" s="4502"/>
      <c r="G1444" s="4502"/>
      <c r="H1444" s="4502"/>
      <c r="I1444" s="4502"/>
      <c r="J1444" s="4502"/>
      <c r="K1444" s="4502"/>
      <c r="L1444" s="4502"/>
      <c r="M1444" s="4502"/>
    </row>
    <row r="1445" spans="1:13" hidden="1">
      <c r="A1445" s="4501" t="s">
        <v>8176</v>
      </c>
      <c r="B1445" s="3">
        <v>1.9159999999999999</v>
      </c>
      <c r="E1445" s="4502"/>
      <c r="F1445" s="4502"/>
      <c r="G1445" s="4502"/>
      <c r="H1445" s="4502"/>
      <c r="I1445" s="4502"/>
      <c r="J1445" s="4502"/>
      <c r="K1445" s="4502"/>
      <c r="L1445" s="4502"/>
      <c r="M1445" s="4502"/>
    </row>
    <row r="1446" spans="1:13" hidden="1">
      <c r="A1446" s="4501" t="s">
        <v>8177</v>
      </c>
      <c r="B1446" s="3">
        <v>1.948</v>
      </c>
      <c r="E1446" s="4502"/>
      <c r="F1446" s="4502"/>
      <c r="G1446" s="4502"/>
      <c r="H1446" s="4502"/>
      <c r="I1446" s="4502"/>
      <c r="J1446" s="4502"/>
      <c r="K1446" s="4502"/>
      <c r="L1446" s="4502"/>
      <c r="M1446" s="4502"/>
    </row>
    <row r="1447" spans="1:13" hidden="1">
      <c r="A1447" s="4501" t="s">
        <v>8178</v>
      </c>
      <c r="B1447" s="3">
        <v>1.869</v>
      </c>
      <c r="E1447" s="4502"/>
      <c r="F1447" s="4502"/>
      <c r="G1447" s="4502"/>
      <c r="H1447" s="4502"/>
      <c r="I1447" s="4502"/>
      <c r="J1447" s="4502"/>
      <c r="K1447" s="4502"/>
      <c r="L1447" s="4502"/>
      <c r="M1447" s="4502"/>
    </row>
    <row r="1448" spans="1:13" hidden="1">
      <c r="A1448" s="4501" t="s">
        <v>8179</v>
      </c>
      <c r="B1448" s="3">
        <v>1.9490000000000001</v>
      </c>
      <c r="E1448" s="4502"/>
      <c r="F1448" s="4502"/>
      <c r="G1448" s="4502"/>
      <c r="H1448" s="4502"/>
      <c r="I1448" s="4502"/>
      <c r="J1448" s="4502"/>
      <c r="K1448" s="4502"/>
      <c r="L1448" s="4502"/>
      <c r="M1448" s="4502"/>
    </row>
    <row r="1449" spans="1:13" hidden="1">
      <c r="A1449" s="4501" t="s">
        <v>8180</v>
      </c>
      <c r="B1449" s="3">
        <v>1.89</v>
      </c>
      <c r="E1449" s="4502"/>
      <c r="F1449" s="4502"/>
      <c r="G1449" s="4502"/>
      <c r="H1449" s="4502"/>
      <c r="I1449" s="4502"/>
      <c r="J1449" s="4502"/>
      <c r="K1449" s="4502"/>
      <c r="L1449" s="4502"/>
      <c r="M1449" s="4502"/>
    </row>
    <row r="1450" spans="1:13" hidden="1">
      <c r="A1450" s="4501" t="s">
        <v>8181</v>
      </c>
      <c r="B1450" s="3">
        <v>1.89</v>
      </c>
      <c r="E1450" s="4502"/>
      <c r="F1450" s="4502"/>
      <c r="G1450" s="4502"/>
      <c r="H1450" s="4502"/>
      <c r="I1450" s="4502"/>
      <c r="J1450" s="4502"/>
      <c r="K1450" s="4502"/>
      <c r="L1450" s="4502"/>
      <c r="M1450" s="4502"/>
    </row>
    <row r="1451" spans="1:13" hidden="1">
      <c r="A1451" s="4501" t="s">
        <v>8182</v>
      </c>
      <c r="B1451" s="3">
        <v>1.89</v>
      </c>
      <c r="E1451" s="4502"/>
      <c r="F1451" s="4502"/>
      <c r="G1451" s="4502"/>
      <c r="H1451" s="4502"/>
      <c r="I1451" s="4502"/>
      <c r="J1451" s="4502"/>
      <c r="K1451" s="4502"/>
      <c r="L1451" s="4502"/>
      <c r="M1451" s="4502"/>
    </row>
    <row r="1452" spans="1:13" hidden="1">
      <c r="A1452" s="4501" t="s">
        <v>8183</v>
      </c>
      <c r="B1452" s="3">
        <v>1.9930000000000001</v>
      </c>
      <c r="E1452" s="4502"/>
      <c r="F1452" s="4502"/>
      <c r="G1452" s="4502"/>
      <c r="H1452" s="4502"/>
      <c r="I1452" s="4502"/>
      <c r="J1452" s="4502"/>
      <c r="K1452" s="4502"/>
      <c r="L1452" s="4502"/>
      <c r="M1452" s="4502"/>
    </row>
    <row r="1453" spans="1:13" hidden="1">
      <c r="A1453" s="4501" t="s">
        <v>8184</v>
      </c>
      <c r="B1453" s="3">
        <v>2.1339999999999999</v>
      </c>
      <c r="E1453" s="4502"/>
      <c r="F1453" s="4502"/>
      <c r="G1453" s="4502"/>
      <c r="H1453" s="4502"/>
      <c r="I1453" s="4502"/>
      <c r="J1453" s="4502"/>
      <c r="K1453" s="4502"/>
      <c r="L1453" s="4502"/>
      <c r="M1453" s="4502"/>
    </row>
    <row r="1454" spans="1:13" hidden="1">
      <c r="A1454" s="4501" t="s">
        <v>8185</v>
      </c>
      <c r="B1454" s="3">
        <v>1.944</v>
      </c>
      <c r="E1454" s="4502"/>
      <c r="F1454" s="4502"/>
      <c r="G1454" s="4502"/>
      <c r="H1454" s="4502"/>
      <c r="I1454" s="4502"/>
      <c r="J1454" s="4502"/>
      <c r="K1454" s="4502"/>
      <c r="L1454" s="4502"/>
      <c r="M1454" s="4502"/>
    </row>
    <row r="1455" spans="1:13" hidden="1">
      <c r="A1455" s="4501" t="s">
        <v>8186</v>
      </c>
      <c r="B1455" s="3">
        <v>1.8939999999999999</v>
      </c>
      <c r="E1455" s="4502"/>
      <c r="F1455" s="4502"/>
      <c r="G1455" s="4502"/>
      <c r="H1455" s="4502"/>
      <c r="I1455" s="4502"/>
      <c r="J1455" s="4502"/>
      <c r="K1455" s="4502"/>
      <c r="L1455" s="4502"/>
      <c r="M1455" s="4502"/>
    </row>
    <row r="1456" spans="1:13" hidden="1">
      <c r="A1456" s="4501" t="s">
        <v>8187</v>
      </c>
      <c r="B1456" s="3">
        <v>1.823</v>
      </c>
      <c r="E1456" s="4502"/>
      <c r="F1456" s="4502"/>
      <c r="G1456" s="4502"/>
      <c r="H1456" s="4502"/>
      <c r="I1456" s="4502"/>
      <c r="J1456" s="4502"/>
      <c r="K1456" s="4502"/>
      <c r="L1456" s="4502"/>
      <c r="M1456" s="4502"/>
    </row>
    <row r="1457" spans="1:13" hidden="1">
      <c r="A1457" s="4501" t="s">
        <v>8188</v>
      </c>
      <c r="B1457" s="3">
        <v>1.823</v>
      </c>
      <c r="E1457" s="4502"/>
      <c r="F1457" s="4502"/>
      <c r="G1457" s="4502"/>
      <c r="H1457" s="4502"/>
      <c r="I1457" s="4502"/>
      <c r="J1457" s="4502"/>
      <c r="K1457" s="4502"/>
      <c r="L1457" s="4502"/>
      <c r="M1457" s="4502"/>
    </row>
    <row r="1458" spans="1:13" hidden="1">
      <c r="A1458" s="4501" t="s">
        <v>8189</v>
      </c>
      <c r="B1458" s="3">
        <v>1.823</v>
      </c>
      <c r="E1458" s="4502"/>
      <c r="F1458" s="4502"/>
      <c r="G1458" s="4502"/>
      <c r="H1458" s="4502"/>
      <c r="I1458" s="4502"/>
      <c r="J1458" s="4502"/>
      <c r="K1458" s="4502"/>
      <c r="L1458" s="4502"/>
      <c r="M1458" s="4502"/>
    </row>
    <row r="1459" spans="1:13" hidden="1">
      <c r="A1459" s="4501" t="s">
        <v>8190</v>
      </c>
      <c r="B1459" s="3">
        <v>2.085</v>
      </c>
      <c r="E1459" s="4502"/>
      <c r="F1459" s="4502"/>
      <c r="G1459" s="4502"/>
      <c r="H1459" s="4502"/>
      <c r="I1459" s="4502"/>
      <c r="J1459" s="4502"/>
      <c r="K1459" s="4502"/>
      <c r="L1459" s="4502"/>
      <c r="M1459" s="4502"/>
    </row>
    <row r="1460" spans="1:13" hidden="1">
      <c r="A1460" s="4501" t="s">
        <v>8191</v>
      </c>
      <c r="B1460" s="3">
        <v>1.9650000000000001</v>
      </c>
      <c r="E1460" s="4502"/>
      <c r="F1460" s="4502"/>
      <c r="G1460" s="4502"/>
      <c r="H1460" s="4502"/>
      <c r="I1460" s="4502"/>
      <c r="J1460" s="4502"/>
      <c r="K1460" s="4502"/>
      <c r="L1460" s="4502"/>
      <c r="M1460" s="4502"/>
    </row>
    <row r="1461" spans="1:13" hidden="1">
      <c r="A1461" s="4501" t="s">
        <v>8192</v>
      </c>
      <c r="B1461" s="3">
        <v>1.8560000000000001</v>
      </c>
      <c r="E1461" s="4502"/>
      <c r="F1461" s="4502"/>
      <c r="G1461" s="4502"/>
      <c r="H1461" s="4502"/>
      <c r="I1461" s="4502"/>
      <c r="J1461" s="4502"/>
      <c r="K1461" s="4502"/>
      <c r="L1461" s="4502"/>
      <c r="M1461" s="4502"/>
    </row>
    <row r="1462" spans="1:13" hidden="1">
      <c r="A1462" s="4501" t="s">
        <v>8193</v>
      </c>
      <c r="B1462" s="3">
        <v>1.8839999999999999</v>
      </c>
      <c r="E1462" s="4502"/>
      <c r="F1462" s="4502"/>
      <c r="G1462" s="4502"/>
      <c r="H1462" s="4502"/>
      <c r="I1462" s="4502"/>
      <c r="J1462" s="4502"/>
      <c r="K1462" s="4502"/>
      <c r="L1462" s="4502"/>
      <c r="M1462" s="4502"/>
    </row>
    <row r="1463" spans="1:13" hidden="1">
      <c r="A1463" s="4501" t="s">
        <v>8194</v>
      </c>
      <c r="B1463" s="3">
        <v>1.833</v>
      </c>
      <c r="E1463" s="4502"/>
      <c r="F1463" s="4502"/>
      <c r="G1463" s="4502"/>
      <c r="H1463" s="4502"/>
      <c r="I1463" s="4502"/>
      <c r="J1463" s="4502"/>
      <c r="K1463" s="4502"/>
      <c r="L1463" s="4502"/>
      <c r="M1463" s="4502"/>
    </row>
    <row r="1464" spans="1:13" hidden="1">
      <c r="A1464" s="4501" t="s">
        <v>8195</v>
      </c>
      <c r="B1464" s="3">
        <v>1.833</v>
      </c>
      <c r="E1464" s="4502"/>
      <c r="F1464" s="4502"/>
      <c r="G1464" s="4502"/>
      <c r="H1464" s="4502"/>
      <c r="I1464" s="4502"/>
      <c r="J1464" s="4502"/>
      <c r="K1464" s="4502"/>
      <c r="L1464" s="4502"/>
      <c r="M1464" s="4502"/>
    </row>
    <row r="1465" spans="1:13" hidden="1">
      <c r="A1465" s="4501" t="s">
        <v>8196</v>
      </c>
      <c r="B1465" s="3">
        <v>1.833</v>
      </c>
      <c r="E1465" s="4502"/>
      <c r="F1465" s="4502"/>
      <c r="G1465" s="4502"/>
      <c r="H1465" s="4502"/>
      <c r="I1465" s="4502"/>
      <c r="J1465" s="4502"/>
      <c r="K1465" s="4502"/>
      <c r="L1465" s="4502"/>
      <c r="M1465" s="4502"/>
    </row>
    <row r="1466" spans="1:13" hidden="1">
      <c r="A1466" s="4501" t="s">
        <v>8197</v>
      </c>
      <c r="B1466" s="3">
        <v>1.9590000000000001</v>
      </c>
      <c r="E1466" s="4502"/>
      <c r="F1466" s="4502"/>
      <c r="G1466" s="4502"/>
      <c r="H1466" s="4502"/>
      <c r="I1466" s="4502"/>
      <c r="J1466" s="4502"/>
      <c r="K1466" s="4502"/>
      <c r="L1466" s="4502"/>
      <c r="M1466" s="4502"/>
    </row>
    <row r="1467" spans="1:13" hidden="1">
      <c r="A1467" s="4501" t="s">
        <v>8198</v>
      </c>
      <c r="B1467" s="3">
        <v>1.9850000000000001</v>
      </c>
      <c r="E1467" s="4502"/>
      <c r="F1467" s="4502"/>
      <c r="G1467" s="4502"/>
      <c r="H1467" s="4502"/>
      <c r="I1467" s="4502"/>
      <c r="J1467" s="4502"/>
      <c r="K1467" s="4502"/>
      <c r="L1467" s="4502"/>
      <c r="M1467" s="4502"/>
    </row>
    <row r="1468" spans="1:13" hidden="1">
      <c r="A1468" s="4501" t="s">
        <v>8199</v>
      </c>
      <c r="B1468" s="3">
        <v>1.909</v>
      </c>
      <c r="E1468" s="4502"/>
      <c r="F1468" s="4502"/>
      <c r="G1468" s="4502"/>
      <c r="H1468" s="4502"/>
      <c r="I1468" s="4502"/>
      <c r="J1468" s="4502"/>
      <c r="K1468" s="4502"/>
      <c r="L1468" s="4502"/>
      <c r="M1468" s="4502"/>
    </row>
    <row r="1469" spans="1:13" hidden="1">
      <c r="A1469" s="4501" t="s">
        <v>8200</v>
      </c>
      <c r="B1469" s="3">
        <v>1.8520000000000001</v>
      </c>
      <c r="E1469" s="4502"/>
      <c r="F1469" s="4502"/>
      <c r="G1469" s="4502"/>
      <c r="H1469" s="4502"/>
      <c r="I1469" s="4502"/>
      <c r="J1469" s="4502"/>
      <c r="K1469" s="4502"/>
      <c r="L1469" s="4502"/>
      <c r="M1469" s="4502"/>
    </row>
    <row r="1470" spans="1:13" hidden="1">
      <c r="A1470" s="4501" t="s">
        <v>8201</v>
      </c>
      <c r="B1470" s="3">
        <v>1.881</v>
      </c>
      <c r="E1470" s="4502"/>
      <c r="F1470" s="4502"/>
      <c r="G1470" s="4502"/>
      <c r="H1470" s="4502"/>
      <c r="I1470" s="4502"/>
      <c r="J1470" s="4502"/>
      <c r="K1470" s="4502"/>
      <c r="L1470" s="4502"/>
      <c r="M1470" s="4502"/>
    </row>
    <row r="1471" spans="1:13" hidden="1">
      <c r="A1471" s="4501" t="s">
        <v>8202</v>
      </c>
      <c r="B1471" s="3">
        <v>1.881</v>
      </c>
      <c r="E1471" s="4502"/>
      <c r="F1471" s="4502"/>
      <c r="G1471" s="4502"/>
      <c r="H1471" s="4502"/>
      <c r="I1471" s="4502"/>
      <c r="J1471" s="4502"/>
      <c r="K1471" s="4502"/>
      <c r="L1471" s="4502"/>
      <c r="M1471" s="4502"/>
    </row>
    <row r="1472" spans="1:13" hidden="1">
      <c r="A1472" s="4501" t="s">
        <v>8203</v>
      </c>
      <c r="B1472" s="3">
        <v>1.881</v>
      </c>
      <c r="E1472" s="4502"/>
      <c r="F1472" s="4502"/>
      <c r="G1472" s="4502"/>
      <c r="H1472" s="4502"/>
      <c r="I1472" s="4502"/>
      <c r="J1472" s="4502"/>
      <c r="K1472" s="4502"/>
      <c r="L1472" s="4502"/>
      <c r="M1472" s="4502"/>
    </row>
    <row r="1473" spans="1:13" hidden="1">
      <c r="A1473" s="4501" t="s">
        <v>8204</v>
      </c>
      <c r="B1473" s="3">
        <v>1.881</v>
      </c>
      <c r="E1473" s="4502"/>
      <c r="F1473" s="4502"/>
      <c r="G1473" s="4502"/>
      <c r="H1473" s="4502"/>
      <c r="I1473" s="4502"/>
      <c r="J1473" s="4502"/>
      <c r="K1473" s="4502"/>
      <c r="L1473" s="4502"/>
      <c r="M1473" s="4502"/>
    </row>
    <row r="1474" spans="1:13" hidden="1">
      <c r="A1474" s="4501" t="s">
        <v>8205</v>
      </c>
      <c r="B1474" s="3">
        <v>1.9450000000000001</v>
      </c>
      <c r="E1474" s="4502"/>
      <c r="F1474" s="4502"/>
      <c r="G1474" s="4502"/>
      <c r="H1474" s="4502"/>
      <c r="I1474" s="4502"/>
      <c r="J1474" s="4502"/>
      <c r="K1474" s="4502"/>
      <c r="L1474" s="4502"/>
      <c r="M1474" s="4502"/>
    </row>
    <row r="1475" spans="1:13" hidden="1">
      <c r="A1475" s="4501" t="s">
        <v>8206</v>
      </c>
      <c r="B1475" s="3">
        <v>1.8859999999999999</v>
      </c>
      <c r="E1475" s="4502"/>
      <c r="F1475" s="4502"/>
      <c r="G1475" s="4502"/>
      <c r="H1475" s="4502"/>
      <c r="I1475" s="4502"/>
      <c r="J1475" s="4502"/>
      <c r="K1475" s="4502"/>
      <c r="L1475" s="4502"/>
      <c r="M1475" s="4502"/>
    </row>
    <row r="1476" spans="1:13" hidden="1">
      <c r="A1476" s="4501" t="s">
        <v>8207</v>
      </c>
      <c r="B1476" s="3">
        <v>1.827</v>
      </c>
      <c r="E1476" s="4502"/>
      <c r="F1476" s="4502"/>
      <c r="G1476" s="4502"/>
      <c r="H1476" s="4502"/>
      <c r="I1476" s="4502"/>
      <c r="J1476" s="4502"/>
      <c r="K1476" s="4502"/>
      <c r="L1476" s="4502"/>
      <c r="M1476" s="4502"/>
    </row>
    <row r="1477" spans="1:13" hidden="1">
      <c r="A1477" s="4501" t="s">
        <v>8208</v>
      </c>
      <c r="B1477" s="3">
        <v>1.849</v>
      </c>
      <c r="E1477" s="4502"/>
      <c r="F1477" s="4502"/>
      <c r="G1477" s="4502"/>
      <c r="H1477" s="4502"/>
      <c r="I1477" s="4502"/>
      <c r="J1477" s="4502"/>
      <c r="K1477" s="4502"/>
      <c r="L1477" s="4502"/>
      <c r="M1477" s="4502"/>
    </row>
    <row r="1478" spans="1:13" hidden="1">
      <c r="A1478" s="4501" t="s">
        <v>8209</v>
      </c>
      <c r="B1478" s="3">
        <v>1.849</v>
      </c>
      <c r="E1478" s="4502"/>
      <c r="F1478" s="4502"/>
      <c r="G1478" s="4502"/>
      <c r="H1478" s="4502"/>
      <c r="I1478" s="4502"/>
      <c r="J1478" s="4502"/>
      <c r="K1478" s="4502"/>
      <c r="L1478" s="4502"/>
      <c r="M1478" s="4502"/>
    </row>
    <row r="1479" spans="1:13" hidden="1">
      <c r="A1479" s="4501" t="s">
        <v>8210</v>
      </c>
      <c r="B1479" s="3">
        <v>1.849</v>
      </c>
      <c r="E1479" s="4502"/>
      <c r="F1479" s="4502"/>
      <c r="G1479" s="4502"/>
      <c r="H1479" s="4502"/>
      <c r="I1479" s="4502"/>
      <c r="J1479" s="4502"/>
      <c r="K1479" s="4502"/>
      <c r="L1479" s="4502"/>
      <c r="M1479" s="4502"/>
    </row>
    <row r="1480" spans="1:13" hidden="1">
      <c r="A1480" s="4501" t="s">
        <v>8211</v>
      </c>
      <c r="B1480" s="3">
        <v>1.774</v>
      </c>
      <c r="E1480" s="4502"/>
      <c r="F1480" s="4502"/>
      <c r="G1480" s="4502"/>
      <c r="H1480" s="4502"/>
      <c r="I1480" s="4502"/>
      <c r="J1480" s="4502"/>
      <c r="K1480" s="4502"/>
      <c r="L1480" s="4502"/>
      <c r="M1480" s="4502"/>
    </row>
    <row r="1481" spans="1:13" hidden="1">
      <c r="A1481" s="4501" t="s">
        <v>8212</v>
      </c>
      <c r="B1481" s="3">
        <v>1.7769999999999999</v>
      </c>
      <c r="E1481" s="4502"/>
      <c r="F1481" s="4502"/>
      <c r="G1481" s="4502"/>
      <c r="H1481" s="4502"/>
      <c r="I1481" s="4502"/>
      <c r="J1481" s="4502"/>
      <c r="K1481" s="4502"/>
      <c r="L1481" s="4502"/>
      <c r="M1481" s="4502"/>
    </row>
    <row r="1482" spans="1:13" hidden="1">
      <c r="A1482" s="4501" t="s">
        <v>8213</v>
      </c>
      <c r="B1482" s="3">
        <v>1.821</v>
      </c>
      <c r="E1482" s="4502"/>
      <c r="F1482" s="4502"/>
      <c r="G1482" s="4502"/>
      <c r="H1482" s="4502"/>
      <c r="I1482" s="4502"/>
      <c r="J1482" s="4502"/>
      <c r="K1482" s="4502"/>
      <c r="L1482" s="4502"/>
      <c r="M1482" s="4502"/>
    </row>
    <row r="1483" spans="1:13" hidden="1">
      <c r="A1483" s="4501" t="s">
        <v>8214</v>
      </c>
      <c r="B1483" s="3">
        <v>1.8220000000000001</v>
      </c>
      <c r="E1483" s="4502"/>
      <c r="F1483" s="4502"/>
      <c r="G1483" s="4502"/>
      <c r="H1483" s="4502"/>
      <c r="I1483" s="4502"/>
      <c r="J1483" s="4502"/>
      <c r="K1483" s="4502"/>
      <c r="L1483" s="4502"/>
      <c r="M1483" s="4502"/>
    </row>
    <row r="1484" spans="1:13" hidden="1">
      <c r="A1484" s="4501" t="s">
        <v>8215</v>
      </c>
      <c r="B1484" s="3">
        <v>1.782</v>
      </c>
      <c r="E1484" s="4502"/>
      <c r="F1484" s="4502"/>
      <c r="G1484" s="4502"/>
      <c r="H1484" s="4502"/>
      <c r="I1484" s="4502"/>
      <c r="J1484" s="4502"/>
      <c r="K1484" s="4502"/>
      <c r="L1484" s="4502"/>
      <c r="M1484" s="4502"/>
    </row>
    <row r="1485" spans="1:13" hidden="1">
      <c r="A1485" s="4501" t="s">
        <v>8216</v>
      </c>
      <c r="B1485" s="3">
        <v>1.782</v>
      </c>
      <c r="E1485" s="4502"/>
      <c r="F1485" s="4502"/>
      <c r="G1485" s="4502"/>
      <c r="H1485" s="4502"/>
      <c r="I1485" s="4502"/>
      <c r="J1485" s="4502"/>
      <c r="K1485" s="4502"/>
      <c r="L1485" s="4502"/>
      <c r="M1485" s="4502"/>
    </row>
    <row r="1486" spans="1:13" hidden="1">
      <c r="A1486" s="4501" t="s">
        <v>8217</v>
      </c>
      <c r="B1486" s="3">
        <v>1.782</v>
      </c>
      <c r="E1486" s="4502"/>
      <c r="F1486" s="4502"/>
      <c r="G1486" s="4502"/>
      <c r="H1486" s="4502"/>
      <c r="I1486" s="4502"/>
      <c r="J1486" s="4502"/>
      <c r="K1486" s="4502"/>
      <c r="L1486" s="4502"/>
      <c r="M1486" s="4502"/>
    </row>
    <row r="1487" spans="1:13" hidden="1">
      <c r="A1487" s="4501" t="s">
        <v>8218</v>
      </c>
      <c r="B1487" s="3">
        <v>1.7889999999999999</v>
      </c>
      <c r="E1487" s="4502"/>
      <c r="F1487" s="4502"/>
      <c r="G1487" s="4502"/>
      <c r="H1487" s="4502"/>
      <c r="I1487" s="4502"/>
      <c r="J1487" s="4502"/>
      <c r="K1487" s="4502"/>
      <c r="L1487" s="4502"/>
      <c r="M1487" s="4502"/>
    </row>
    <row r="1488" spans="1:13" hidden="1">
      <c r="A1488" s="4501" t="s">
        <v>8219</v>
      </c>
      <c r="B1488" s="3">
        <v>1.7669999999999999</v>
      </c>
      <c r="E1488" s="4502"/>
      <c r="F1488" s="4502"/>
      <c r="G1488" s="4502"/>
      <c r="H1488" s="4502"/>
      <c r="I1488" s="4502"/>
      <c r="J1488" s="4502"/>
      <c r="K1488" s="4502"/>
      <c r="L1488" s="4502"/>
      <c r="M1488" s="4502"/>
    </row>
    <row r="1489" spans="1:13" hidden="1">
      <c r="A1489" s="4501" t="s">
        <v>8220</v>
      </c>
      <c r="B1489" s="3">
        <v>1.78</v>
      </c>
      <c r="E1489" s="4502"/>
      <c r="F1489" s="4502"/>
      <c r="G1489" s="4502"/>
      <c r="H1489" s="4502"/>
      <c r="I1489" s="4502"/>
      <c r="J1489" s="4502"/>
      <c r="K1489" s="4502"/>
      <c r="L1489" s="4502"/>
      <c r="M1489" s="4502"/>
    </row>
    <row r="1490" spans="1:13" hidden="1">
      <c r="A1490" s="4501" t="s">
        <v>8221</v>
      </c>
      <c r="B1490" s="3">
        <v>1.8129999999999999</v>
      </c>
      <c r="E1490" s="4502"/>
      <c r="F1490" s="4502"/>
      <c r="G1490" s="4502"/>
      <c r="H1490" s="4502"/>
      <c r="I1490" s="4502"/>
      <c r="J1490" s="4502"/>
      <c r="K1490" s="4502"/>
      <c r="L1490" s="4502"/>
      <c r="M1490" s="4502"/>
    </row>
    <row r="1491" spans="1:13" hidden="1">
      <c r="A1491" s="4501" t="s">
        <v>8222</v>
      </c>
      <c r="B1491" s="3">
        <v>1.865</v>
      </c>
      <c r="E1491" s="4502"/>
      <c r="F1491" s="4502"/>
      <c r="G1491" s="4502"/>
      <c r="H1491" s="4502"/>
      <c r="I1491" s="4502"/>
      <c r="J1491" s="4502"/>
      <c r="K1491" s="4502"/>
      <c r="L1491" s="4502"/>
      <c r="M1491" s="4502"/>
    </row>
    <row r="1492" spans="1:13" hidden="1">
      <c r="A1492" s="4501" t="s">
        <v>8223</v>
      </c>
      <c r="B1492" s="3">
        <v>1.865</v>
      </c>
      <c r="E1492" s="4502"/>
      <c r="F1492" s="4502"/>
      <c r="G1492" s="4502"/>
      <c r="H1492" s="4502"/>
      <c r="I1492" s="4502"/>
      <c r="J1492" s="4502"/>
      <c r="K1492" s="4502"/>
      <c r="L1492" s="4502"/>
      <c r="M1492" s="4502"/>
    </row>
    <row r="1493" spans="1:13" hidden="1">
      <c r="A1493" s="4501" t="s">
        <v>8224</v>
      </c>
      <c r="B1493" s="3">
        <v>1.865</v>
      </c>
      <c r="E1493" s="4502"/>
      <c r="F1493" s="4502"/>
      <c r="G1493" s="4502"/>
      <c r="H1493" s="4502"/>
      <c r="I1493" s="4502"/>
      <c r="J1493" s="4502"/>
      <c r="K1493" s="4502"/>
      <c r="L1493" s="4502"/>
      <c r="M1493" s="4502"/>
    </row>
    <row r="1494" spans="1:13" hidden="1">
      <c r="A1494" s="4501" t="s">
        <v>8225</v>
      </c>
      <c r="B1494" s="3">
        <v>1.8140000000000001</v>
      </c>
      <c r="E1494" s="4502"/>
      <c r="F1494" s="4502"/>
      <c r="G1494" s="4502"/>
      <c r="H1494" s="4502"/>
      <c r="I1494" s="4502"/>
      <c r="J1494" s="4502"/>
      <c r="K1494" s="4502"/>
      <c r="L1494" s="4502"/>
      <c r="M1494" s="4502"/>
    </row>
    <row r="1495" spans="1:13" hidden="1">
      <c r="A1495" s="4501" t="s">
        <v>8226</v>
      </c>
      <c r="B1495" s="3">
        <v>1.7010000000000001</v>
      </c>
      <c r="E1495" s="4502"/>
      <c r="F1495" s="4502"/>
      <c r="G1495" s="4502"/>
      <c r="H1495" s="4502"/>
      <c r="I1495" s="4502"/>
      <c r="J1495" s="4502"/>
      <c r="K1495" s="4502"/>
      <c r="L1495" s="4502"/>
      <c r="M1495" s="4502"/>
    </row>
    <row r="1496" spans="1:13" hidden="1">
      <c r="A1496" s="4501" t="s">
        <v>8227</v>
      </c>
      <c r="B1496" s="3">
        <v>1.7270000000000001</v>
      </c>
      <c r="E1496" s="4502"/>
      <c r="F1496" s="4502"/>
      <c r="G1496" s="4502"/>
      <c r="H1496" s="4502"/>
      <c r="I1496" s="4502"/>
      <c r="J1496" s="4502"/>
      <c r="K1496" s="4502"/>
      <c r="L1496" s="4502"/>
      <c r="M1496" s="4502"/>
    </row>
    <row r="1497" spans="1:13" hidden="1">
      <c r="A1497" s="4501" t="s">
        <v>8228</v>
      </c>
      <c r="B1497" s="3">
        <v>1.728</v>
      </c>
      <c r="E1497" s="4502"/>
      <c r="F1497" s="4502"/>
      <c r="G1497" s="4502"/>
      <c r="H1497" s="4502"/>
      <c r="I1497" s="4502"/>
      <c r="J1497" s="4502"/>
      <c r="K1497" s="4502"/>
      <c r="L1497" s="4502"/>
      <c r="M1497" s="4502"/>
    </row>
    <row r="1498" spans="1:13" hidden="1">
      <c r="A1498" s="4501" t="s">
        <v>8229</v>
      </c>
      <c r="B1498" s="3">
        <v>1.748</v>
      </c>
      <c r="E1498" s="4502"/>
      <c r="F1498" s="4502"/>
      <c r="G1498" s="4502"/>
      <c r="H1498" s="4502"/>
      <c r="I1498" s="4502"/>
      <c r="J1498" s="4502"/>
      <c r="K1498" s="4502"/>
      <c r="L1498" s="4502"/>
      <c r="M1498" s="4502"/>
    </row>
    <row r="1499" spans="1:13" hidden="1">
      <c r="A1499" s="4501" t="s">
        <v>8230</v>
      </c>
      <c r="B1499" s="3">
        <v>1.748</v>
      </c>
      <c r="E1499" s="4502"/>
      <c r="F1499" s="4502"/>
      <c r="G1499" s="4502"/>
      <c r="H1499" s="4502"/>
      <c r="I1499" s="4502"/>
      <c r="J1499" s="4502"/>
      <c r="K1499" s="4502"/>
      <c r="L1499" s="4502"/>
      <c r="M1499" s="4502"/>
    </row>
    <row r="1500" spans="1:13" hidden="1">
      <c r="A1500" s="4501" t="s">
        <v>8231</v>
      </c>
      <c r="B1500" s="3">
        <v>1.748</v>
      </c>
      <c r="E1500" s="4502"/>
      <c r="F1500" s="4502"/>
      <c r="G1500" s="4502"/>
      <c r="H1500" s="4502"/>
      <c r="I1500" s="4502"/>
      <c r="J1500" s="4502"/>
      <c r="K1500" s="4502"/>
      <c r="L1500" s="4502"/>
      <c r="M1500" s="4502"/>
    </row>
    <row r="1501" spans="1:13" hidden="1">
      <c r="A1501" s="4501" t="s">
        <v>8232</v>
      </c>
      <c r="B1501" s="3">
        <v>1.738</v>
      </c>
      <c r="E1501" s="4502"/>
      <c r="F1501" s="4502"/>
      <c r="G1501" s="4502"/>
      <c r="H1501" s="4502"/>
      <c r="I1501" s="4502"/>
      <c r="J1501" s="4502"/>
      <c r="K1501" s="4502"/>
      <c r="L1501" s="4502"/>
      <c r="M1501" s="4502"/>
    </row>
    <row r="1502" spans="1:13" hidden="1">
      <c r="A1502" s="4501" t="s">
        <v>8233</v>
      </c>
      <c r="B1502" s="3">
        <v>1.6910000000000001</v>
      </c>
      <c r="E1502" s="4502"/>
      <c r="F1502" s="4502"/>
      <c r="G1502" s="4502"/>
      <c r="H1502" s="4502"/>
      <c r="I1502" s="4502"/>
      <c r="J1502" s="4502"/>
      <c r="K1502" s="4502"/>
      <c r="L1502" s="4502"/>
      <c r="M1502" s="4502"/>
    </row>
    <row r="1503" spans="1:13" hidden="1">
      <c r="A1503" s="4501" t="s">
        <v>8234</v>
      </c>
      <c r="B1503" s="3">
        <v>1.661</v>
      </c>
      <c r="E1503" s="4502"/>
      <c r="F1503" s="4502"/>
      <c r="G1503" s="4502"/>
      <c r="H1503" s="4502"/>
      <c r="I1503" s="4502"/>
      <c r="J1503" s="4502"/>
      <c r="K1503" s="4502"/>
      <c r="L1503" s="4502"/>
      <c r="M1503" s="4502"/>
    </row>
    <row r="1504" spans="1:13" hidden="1">
      <c r="A1504" s="4501" t="s">
        <v>8235</v>
      </c>
      <c r="B1504" s="3">
        <v>1.546</v>
      </c>
      <c r="E1504" s="4502"/>
      <c r="F1504" s="4502"/>
      <c r="G1504" s="4502"/>
      <c r="H1504" s="4502"/>
      <c r="I1504" s="4502"/>
      <c r="J1504" s="4502"/>
      <c r="K1504" s="4502"/>
      <c r="L1504" s="4502"/>
      <c r="M1504" s="4502"/>
    </row>
    <row r="1505" spans="1:13" hidden="1">
      <c r="A1505" s="4501" t="s">
        <v>8236</v>
      </c>
      <c r="B1505" s="3">
        <v>1.544</v>
      </c>
      <c r="E1505" s="4502"/>
      <c r="F1505" s="4502"/>
      <c r="G1505" s="4502"/>
      <c r="H1505" s="4502"/>
      <c r="I1505" s="4502"/>
      <c r="J1505" s="4502"/>
      <c r="K1505" s="4502"/>
      <c r="L1505" s="4502"/>
      <c r="M1505" s="4502"/>
    </row>
    <row r="1506" spans="1:13" hidden="1">
      <c r="A1506" s="4501" t="s">
        <v>8237</v>
      </c>
      <c r="B1506" s="3">
        <v>1.544</v>
      </c>
      <c r="E1506" s="4502"/>
      <c r="F1506" s="4502"/>
      <c r="G1506" s="4502"/>
      <c r="H1506" s="4502"/>
      <c r="I1506" s="4502"/>
      <c r="J1506" s="4502"/>
      <c r="K1506" s="4502"/>
      <c r="L1506" s="4502"/>
      <c r="M1506" s="4502"/>
    </row>
    <row r="1507" spans="1:13" hidden="1">
      <c r="A1507" s="4501" t="s">
        <v>8238</v>
      </c>
      <c r="B1507" s="3">
        <v>1.544</v>
      </c>
      <c r="E1507" s="4502"/>
      <c r="F1507" s="4502"/>
      <c r="G1507" s="4502"/>
      <c r="H1507" s="4502"/>
      <c r="I1507" s="4502"/>
      <c r="J1507" s="4502"/>
      <c r="K1507" s="4502"/>
      <c r="L1507" s="4502"/>
      <c r="M1507" s="4502"/>
    </row>
    <row r="1508" spans="1:13" hidden="1">
      <c r="A1508" s="4501" t="s">
        <v>8239</v>
      </c>
      <c r="B1508" s="3">
        <v>1.7090000000000001</v>
      </c>
      <c r="E1508" s="4502"/>
      <c r="F1508" s="4502"/>
      <c r="G1508" s="4502"/>
      <c r="H1508" s="4502"/>
      <c r="I1508" s="4502"/>
      <c r="J1508" s="4502"/>
      <c r="K1508" s="4502"/>
      <c r="L1508" s="4502"/>
      <c r="M1508" s="4502"/>
    </row>
    <row r="1509" spans="1:13" hidden="1">
      <c r="A1509" s="4501" t="s">
        <v>8240</v>
      </c>
      <c r="B1509" s="3">
        <v>1.7509999999999999</v>
      </c>
      <c r="E1509" s="4502"/>
      <c r="F1509" s="4502"/>
      <c r="G1509" s="4502"/>
      <c r="H1509" s="4502"/>
      <c r="I1509" s="4502"/>
      <c r="J1509" s="4502"/>
      <c r="K1509" s="4502"/>
      <c r="L1509" s="4502"/>
      <c r="M1509" s="4502"/>
    </row>
    <row r="1510" spans="1:13" hidden="1">
      <c r="A1510" s="4501" t="s">
        <v>8241</v>
      </c>
      <c r="B1510" s="3">
        <v>1.671</v>
      </c>
      <c r="E1510" s="4502"/>
      <c r="F1510" s="4502"/>
      <c r="G1510" s="4502"/>
      <c r="H1510" s="4502"/>
      <c r="I1510" s="4502"/>
      <c r="J1510" s="4502"/>
      <c r="K1510" s="4502"/>
      <c r="L1510" s="4502"/>
      <c r="M1510" s="4502"/>
    </row>
    <row r="1511" spans="1:13" hidden="1">
      <c r="A1511" s="4501" t="s">
        <v>8242</v>
      </c>
      <c r="B1511" s="3">
        <v>1.734</v>
      </c>
      <c r="E1511" s="4502"/>
      <c r="F1511" s="4502"/>
      <c r="G1511" s="4502"/>
      <c r="H1511" s="4502"/>
      <c r="I1511" s="4502"/>
      <c r="J1511" s="4502"/>
      <c r="K1511" s="4502"/>
      <c r="L1511" s="4502"/>
      <c r="M1511" s="4502"/>
    </row>
    <row r="1512" spans="1:13" hidden="1">
      <c r="A1512" s="4501" t="s">
        <v>8243</v>
      </c>
      <c r="B1512" s="3">
        <v>1.734</v>
      </c>
      <c r="E1512" s="4502"/>
      <c r="F1512" s="4502"/>
      <c r="G1512" s="4502"/>
      <c r="H1512" s="4502"/>
      <c r="I1512" s="4502"/>
      <c r="J1512" s="4502"/>
      <c r="K1512" s="4502"/>
      <c r="L1512" s="4502"/>
      <c r="M1512" s="4502"/>
    </row>
    <row r="1513" spans="1:13" hidden="1">
      <c r="A1513" s="4501" t="s">
        <v>8244</v>
      </c>
      <c r="B1513" s="3">
        <v>1.734</v>
      </c>
      <c r="E1513" s="4502"/>
      <c r="F1513" s="4502"/>
      <c r="G1513" s="4502"/>
      <c r="H1513" s="4502"/>
      <c r="I1513" s="4502"/>
      <c r="J1513" s="4502"/>
      <c r="K1513" s="4502"/>
      <c r="L1513" s="4502"/>
      <c r="M1513" s="4502"/>
    </row>
    <row r="1514" spans="1:13" hidden="1">
      <c r="A1514" s="4501" t="s">
        <v>8245</v>
      </c>
      <c r="B1514" s="3">
        <v>1.734</v>
      </c>
      <c r="E1514" s="4502"/>
      <c r="F1514" s="4502"/>
      <c r="G1514" s="4502"/>
      <c r="H1514" s="4502"/>
      <c r="I1514" s="4502"/>
      <c r="J1514" s="4502"/>
      <c r="K1514" s="4502"/>
      <c r="L1514" s="4502"/>
      <c r="M1514" s="4502"/>
    </row>
    <row r="1515" spans="1:13" hidden="1">
      <c r="A1515" s="4501" t="s">
        <v>8246</v>
      </c>
      <c r="B1515" s="3">
        <v>1.83</v>
      </c>
      <c r="E1515" s="4502"/>
      <c r="F1515" s="4502"/>
      <c r="G1515" s="4502"/>
      <c r="H1515" s="4502"/>
      <c r="I1515" s="4502"/>
      <c r="J1515" s="4502"/>
      <c r="K1515" s="4502"/>
      <c r="L1515" s="4502"/>
      <c r="M1515" s="4502"/>
    </row>
    <row r="1516" spans="1:13" hidden="1">
      <c r="A1516" s="4501" t="s">
        <v>8247</v>
      </c>
      <c r="B1516" s="3">
        <v>1.8759999999999999</v>
      </c>
      <c r="E1516" s="4502"/>
      <c r="F1516" s="4502"/>
      <c r="G1516" s="4502"/>
      <c r="H1516" s="4502"/>
      <c r="I1516" s="4502"/>
      <c r="J1516" s="4502"/>
      <c r="K1516" s="4502"/>
      <c r="L1516" s="4502"/>
      <c r="M1516" s="4502"/>
    </row>
    <row r="1517" spans="1:13" hidden="1">
      <c r="A1517" s="4501" t="s">
        <v>8248</v>
      </c>
      <c r="B1517" s="3">
        <v>1.8240000000000001</v>
      </c>
      <c r="E1517" s="4502"/>
      <c r="F1517" s="4502"/>
      <c r="G1517" s="4502"/>
      <c r="H1517" s="4502"/>
      <c r="I1517" s="4502"/>
      <c r="J1517" s="4502"/>
      <c r="K1517" s="4502"/>
      <c r="L1517" s="4502"/>
      <c r="M1517" s="4502"/>
    </row>
    <row r="1518" spans="1:13" hidden="1">
      <c r="A1518" s="4501" t="s">
        <v>8249</v>
      </c>
      <c r="B1518" s="3">
        <v>1.7789999999999999</v>
      </c>
      <c r="E1518" s="4502"/>
      <c r="F1518" s="4502"/>
      <c r="G1518" s="4502"/>
      <c r="H1518" s="4502"/>
      <c r="I1518" s="4502"/>
      <c r="J1518" s="4502"/>
      <c r="K1518" s="4502"/>
      <c r="L1518" s="4502"/>
      <c r="M1518" s="4502"/>
    </row>
    <row r="1519" spans="1:13" hidden="1">
      <c r="A1519" s="4501" t="s">
        <v>8250</v>
      </c>
      <c r="B1519" s="3">
        <v>1.847</v>
      </c>
      <c r="E1519" s="4502"/>
      <c r="F1519" s="4502"/>
      <c r="G1519" s="4502"/>
      <c r="H1519" s="4502"/>
      <c r="I1519" s="4502"/>
      <c r="J1519" s="4502"/>
      <c r="K1519" s="4502"/>
      <c r="L1519" s="4502"/>
      <c r="M1519" s="4502"/>
    </row>
    <row r="1520" spans="1:13" hidden="1">
      <c r="A1520" s="4501" t="s">
        <v>8251</v>
      </c>
      <c r="B1520" s="3">
        <v>1.847</v>
      </c>
      <c r="E1520" s="4502"/>
      <c r="F1520" s="4502"/>
      <c r="G1520" s="4502"/>
      <c r="H1520" s="4502"/>
      <c r="I1520" s="4502"/>
      <c r="J1520" s="4502"/>
      <c r="K1520" s="4502"/>
      <c r="L1520" s="4502"/>
      <c r="M1520" s="4502"/>
    </row>
    <row r="1521" spans="1:13" hidden="1">
      <c r="A1521" s="4501" t="s">
        <v>8252</v>
      </c>
      <c r="B1521" s="3">
        <v>1.847</v>
      </c>
      <c r="E1521" s="4502"/>
      <c r="F1521" s="4502"/>
      <c r="G1521" s="4502"/>
      <c r="H1521" s="4502"/>
      <c r="I1521" s="4502"/>
      <c r="J1521" s="4502"/>
      <c r="K1521" s="4502"/>
      <c r="L1521" s="4502"/>
      <c r="M1521" s="4502"/>
    </row>
    <row r="1522" spans="1:13" hidden="1">
      <c r="A1522" s="4501" t="s">
        <v>8253</v>
      </c>
      <c r="B1522" s="3">
        <v>1.7969999999999999</v>
      </c>
      <c r="E1522" s="4502"/>
      <c r="F1522" s="4502"/>
      <c r="G1522" s="4502"/>
      <c r="H1522" s="4502"/>
      <c r="I1522" s="4502"/>
      <c r="J1522" s="4502"/>
      <c r="K1522" s="4502"/>
      <c r="L1522" s="4502"/>
      <c r="M1522" s="4502"/>
    </row>
    <row r="1523" spans="1:13" hidden="1">
      <c r="A1523" s="4501" t="s">
        <v>8254</v>
      </c>
      <c r="B1523" s="3">
        <v>1.7869999999999999</v>
      </c>
      <c r="E1523" s="4502"/>
      <c r="F1523" s="4502"/>
      <c r="G1523" s="4502"/>
      <c r="H1523" s="4502"/>
      <c r="I1523" s="4502"/>
      <c r="J1523" s="4502"/>
      <c r="K1523" s="4502"/>
      <c r="L1523" s="4502"/>
      <c r="M1523" s="4502"/>
    </row>
    <row r="1524" spans="1:13" hidden="1">
      <c r="A1524" s="4501" t="s">
        <v>8255</v>
      </c>
      <c r="B1524" s="3">
        <v>1.8180000000000001</v>
      </c>
      <c r="E1524" s="4502"/>
      <c r="F1524" s="4502"/>
      <c r="G1524" s="4502"/>
      <c r="H1524" s="4502"/>
      <c r="I1524" s="4502"/>
      <c r="J1524" s="4502"/>
      <c r="K1524" s="4502"/>
      <c r="L1524" s="4502"/>
      <c r="M1524" s="4502"/>
    </row>
    <row r="1525" spans="1:13" hidden="1">
      <c r="A1525" s="4501" t="s">
        <v>8256</v>
      </c>
      <c r="B1525" s="3">
        <v>1.776</v>
      </c>
      <c r="E1525" s="4502"/>
      <c r="F1525" s="4502"/>
      <c r="G1525" s="4502"/>
      <c r="H1525" s="4502"/>
      <c r="I1525" s="4502"/>
      <c r="J1525" s="4502"/>
      <c r="K1525" s="4502"/>
      <c r="L1525" s="4502"/>
      <c r="M1525" s="4502"/>
    </row>
    <row r="1526" spans="1:13" hidden="1">
      <c r="A1526" s="4501" t="s">
        <v>8257</v>
      </c>
      <c r="B1526" s="3">
        <v>1.7649999999999999</v>
      </c>
      <c r="E1526" s="4502"/>
      <c r="F1526" s="4502"/>
      <c r="G1526" s="4502"/>
      <c r="H1526" s="4502"/>
      <c r="I1526" s="4502"/>
      <c r="J1526" s="4502"/>
      <c r="K1526" s="4502"/>
      <c r="L1526" s="4502"/>
      <c r="M1526" s="4502"/>
    </row>
    <row r="1527" spans="1:13" hidden="1">
      <c r="A1527" s="4501" t="s">
        <v>8258</v>
      </c>
      <c r="B1527" s="3">
        <v>1.7649999999999999</v>
      </c>
      <c r="E1527" s="4502"/>
      <c r="F1527" s="4502"/>
      <c r="G1527" s="4502"/>
      <c r="H1527" s="4502"/>
      <c r="I1527" s="4502"/>
      <c r="J1527" s="4502"/>
      <c r="K1527" s="4502"/>
      <c r="L1527" s="4502"/>
      <c r="M1527" s="4502"/>
    </row>
    <row r="1528" spans="1:13" hidden="1">
      <c r="A1528" s="4501" t="s">
        <v>8259</v>
      </c>
      <c r="B1528" s="3">
        <v>1.7649999999999999</v>
      </c>
      <c r="E1528" s="4502"/>
      <c r="F1528" s="4502"/>
      <c r="G1528" s="4502"/>
      <c r="H1528" s="4502"/>
      <c r="I1528" s="4502"/>
      <c r="J1528" s="4502"/>
      <c r="K1528" s="4502"/>
      <c r="L1528" s="4502"/>
      <c r="M1528" s="4502"/>
    </row>
    <row r="1529" spans="1:13" hidden="1">
      <c r="A1529" s="4501" t="s">
        <v>8260</v>
      </c>
      <c r="B1529" s="3">
        <v>1.6839999999999999</v>
      </c>
      <c r="E1529" s="4502"/>
      <c r="F1529" s="4502"/>
      <c r="G1529" s="4502"/>
      <c r="H1529" s="4502"/>
      <c r="I1529" s="4502"/>
      <c r="J1529" s="4502"/>
      <c r="K1529" s="4502"/>
      <c r="L1529" s="4502"/>
      <c r="M1529" s="4502"/>
    </row>
    <row r="1530" spans="1:13" hidden="1">
      <c r="A1530" s="4501" t="s">
        <v>8261</v>
      </c>
      <c r="B1530" s="3">
        <v>1.714</v>
      </c>
      <c r="E1530" s="4502"/>
      <c r="F1530" s="4502"/>
      <c r="G1530" s="4502"/>
      <c r="H1530" s="4502"/>
      <c r="I1530" s="4502"/>
      <c r="J1530" s="4502"/>
      <c r="K1530" s="4502"/>
      <c r="L1530" s="4502"/>
      <c r="M1530" s="4502"/>
    </row>
    <row r="1531" spans="1:13" hidden="1">
      <c r="A1531" s="4501" t="s">
        <v>8262</v>
      </c>
      <c r="B1531" s="3">
        <v>1.718</v>
      </c>
      <c r="E1531" s="4502"/>
      <c r="F1531" s="4502"/>
      <c r="G1531" s="4502"/>
      <c r="H1531" s="4502"/>
      <c r="I1531" s="4502"/>
      <c r="J1531" s="4502"/>
      <c r="K1531" s="4502"/>
      <c r="L1531" s="4502"/>
      <c r="M1531" s="4502"/>
    </row>
    <row r="1532" spans="1:13" hidden="1">
      <c r="A1532" s="4501" t="s">
        <v>8263</v>
      </c>
      <c r="B1532" s="3">
        <v>1.835</v>
      </c>
      <c r="E1532" s="4502"/>
      <c r="F1532" s="4502"/>
      <c r="G1532" s="4502"/>
      <c r="H1532" s="4502"/>
      <c r="I1532" s="4502"/>
      <c r="J1532" s="4502"/>
      <c r="K1532" s="4502"/>
      <c r="L1532" s="4502"/>
      <c r="M1532" s="4502"/>
    </row>
    <row r="1533" spans="1:13" hidden="1">
      <c r="A1533" s="4501" t="s">
        <v>8264</v>
      </c>
      <c r="B1533" s="3">
        <v>1.867</v>
      </c>
      <c r="E1533" s="4502"/>
      <c r="F1533" s="4502"/>
      <c r="G1533" s="4502"/>
      <c r="H1533" s="4502"/>
      <c r="I1533" s="4502"/>
      <c r="J1533" s="4502"/>
      <c r="K1533" s="4502"/>
      <c r="L1533" s="4502"/>
      <c r="M1533" s="4502"/>
    </row>
    <row r="1534" spans="1:13" hidden="1">
      <c r="A1534" s="4501" t="s">
        <v>8265</v>
      </c>
      <c r="B1534" s="3">
        <v>1.867</v>
      </c>
      <c r="E1534" s="4502"/>
      <c r="F1534" s="4502"/>
      <c r="G1534" s="4502"/>
      <c r="H1534" s="4502"/>
      <c r="I1534" s="4502"/>
      <c r="J1534" s="4502"/>
      <c r="K1534" s="4502"/>
      <c r="L1534" s="4502"/>
      <c r="M1534" s="4502"/>
    </row>
    <row r="1535" spans="1:13" hidden="1">
      <c r="A1535" s="4501" t="s">
        <v>8266</v>
      </c>
      <c r="B1535" s="3">
        <v>1.867</v>
      </c>
      <c r="E1535" s="4502"/>
      <c r="F1535" s="4502"/>
      <c r="G1535" s="4502"/>
      <c r="H1535" s="4502"/>
      <c r="I1535" s="4502"/>
      <c r="J1535" s="4502"/>
      <c r="K1535" s="4502"/>
      <c r="L1535" s="4502"/>
      <c r="M1535" s="4502"/>
    </row>
    <row r="1536" spans="1:13" hidden="1">
      <c r="A1536" s="4501" t="s">
        <v>8267</v>
      </c>
      <c r="B1536" s="3">
        <v>1.786</v>
      </c>
      <c r="E1536" s="4502"/>
      <c r="F1536" s="4502"/>
      <c r="G1536" s="4502"/>
      <c r="H1536" s="4502"/>
      <c r="I1536" s="4502"/>
      <c r="J1536" s="4502"/>
      <c r="K1536" s="4502"/>
      <c r="L1536" s="4502"/>
      <c r="M1536" s="4502"/>
    </row>
    <row r="1537" spans="1:13" hidden="1">
      <c r="A1537" s="4501" t="s">
        <v>8268</v>
      </c>
      <c r="B1537" s="3">
        <v>1.8640000000000001</v>
      </c>
      <c r="E1537" s="4502"/>
      <c r="F1537" s="4502"/>
      <c r="G1537" s="4502"/>
      <c r="H1537" s="4502"/>
      <c r="I1537" s="4502"/>
      <c r="J1537" s="4502"/>
      <c r="K1537" s="4502"/>
      <c r="L1537" s="4502"/>
      <c r="M1537" s="4502"/>
    </row>
    <row r="1538" spans="1:13" hidden="1">
      <c r="A1538" s="4501" t="s">
        <v>8269</v>
      </c>
      <c r="B1538" s="3">
        <v>1.93</v>
      </c>
      <c r="E1538" s="4502"/>
      <c r="F1538" s="4502"/>
      <c r="G1538" s="4502"/>
      <c r="H1538" s="4502"/>
      <c r="I1538" s="4502"/>
      <c r="J1538" s="4502"/>
      <c r="K1538" s="4502"/>
      <c r="L1538" s="4502"/>
      <c r="M1538" s="4502"/>
    </row>
    <row r="1539" spans="1:13" hidden="1">
      <c r="A1539" s="4501" t="s">
        <v>8270</v>
      </c>
      <c r="B1539" s="3">
        <v>1.829</v>
      </c>
      <c r="E1539" s="4502"/>
      <c r="F1539" s="4502"/>
      <c r="G1539" s="4502"/>
      <c r="H1539" s="4502"/>
      <c r="I1539" s="4502"/>
      <c r="J1539" s="4502"/>
      <c r="K1539" s="4502"/>
      <c r="L1539" s="4502"/>
      <c r="M1539" s="4502"/>
    </row>
    <row r="1540" spans="1:13" hidden="1">
      <c r="A1540" s="4501" t="s">
        <v>8271</v>
      </c>
      <c r="B1540" s="3">
        <v>1.7989999999999999</v>
      </c>
      <c r="E1540" s="4502"/>
      <c r="F1540" s="4502"/>
      <c r="G1540" s="4502"/>
      <c r="H1540" s="4502"/>
      <c r="I1540" s="4502"/>
      <c r="J1540" s="4502"/>
      <c r="K1540" s="4502"/>
      <c r="L1540" s="4502"/>
      <c r="M1540" s="4502"/>
    </row>
    <row r="1541" spans="1:13" hidden="1">
      <c r="A1541" s="4501" t="s">
        <v>8272</v>
      </c>
      <c r="B1541" s="3">
        <v>1.7989999999999999</v>
      </c>
      <c r="E1541" s="4502"/>
      <c r="F1541" s="4502"/>
      <c r="G1541" s="4502"/>
      <c r="H1541" s="4502"/>
      <c r="I1541" s="4502"/>
      <c r="J1541" s="4502"/>
      <c r="K1541" s="4502"/>
      <c r="L1541" s="4502"/>
      <c r="M1541" s="4502"/>
    </row>
    <row r="1542" spans="1:13" hidden="1">
      <c r="A1542" s="4501" t="s">
        <v>8273</v>
      </c>
      <c r="B1542" s="3">
        <v>1.7989999999999999</v>
      </c>
      <c r="E1542" s="4502"/>
      <c r="F1542" s="4502"/>
      <c r="G1542" s="4502"/>
      <c r="H1542" s="4502"/>
      <c r="I1542" s="4502"/>
      <c r="J1542" s="4502"/>
      <c r="K1542" s="4502"/>
      <c r="L1542" s="4502"/>
      <c r="M1542" s="4502"/>
    </row>
    <row r="1543" spans="1:13" hidden="1">
      <c r="A1543" s="4501" t="s">
        <v>8274</v>
      </c>
      <c r="B1543" s="3">
        <v>2.101</v>
      </c>
      <c r="E1543" s="4502"/>
      <c r="F1543" s="4502"/>
      <c r="G1543" s="4502"/>
      <c r="H1543" s="4502"/>
      <c r="I1543" s="4502"/>
      <c r="J1543" s="4502"/>
      <c r="K1543" s="4502"/>
      <c r="L1543" s="4502"/>
      <c r="M1543" s="4502"/>
    </row>
    <row r="1544" spans="1:13" hidden="1">
      <c r="A1544" s="4501" t="s">
        <v>8275</v>
      </c>
      <c r="B1544" s="3">
        <v>2.1930000000000001</v>
      </c>
      <c r="E1544" s="4502"/>
      <c r="F1544" s="4502"/>
      <c r="G1544" s="4502"/>
      <c r="H1544" s="4502"/>
      <c r="I1544" s="4502"/>
      <c r="J1544" s="4502"/>
      <c r="K1544" s="4502"/>
      <c r="L1544" s="4502"/>
      <c r="M1544" s="4502"/>
    </row>
    <row r="1545" spans="1:13" hidden="1">
      <c r="A1545" s="4501" t="s">
        <v>8276</v>
      </c>
      <c r="B1545" s="3">
        <v>2.1909999999999998</v>
      </c>
      <c r="E1545" s="4502"/>
      <c r="F1545" s="4502"/>
      <c r="G1545" s="4502"/>
      <c r="H1545" s="4502"/>
      <c r="I1545" s="4502"/>
      <c r="J1545" s="4502"/>
      <c r="K1545" s="4502"/>
      <c r="L1545" s="4502"/>
      <c r="M1545" s="4502"/>
    </row>
    <row r="1546" spans="1:13" hidden="1">
      <c r="A1546" s="4501" t="s">
        <v>8277</v>
      </c>
      <c r="B1546" s="3">
        <v>2.165</v>
      </c>
      <c r="E1546" s="4502"/>
      <c r="F1546" s="4502"/>
      <c r="G1546" s="4502"/>
      <c r="H1546" s="4502"/>
      <c r="I1546" s="4502"/>
      <c r="J1546" s="4502"/>
      <c r="K1546" s="4502"/>
      <c r="L1546" s="4502"/>
      <c r="M1546" s="4502"/>
    </row>
    <row r="1547" spans="1:13" hidden="1">
      <c r="A1547" s="4501" t="s">
        <v>8278</v>
      </c>
      <c r="B1547" s="3">
        <v>2.238</v>
      </c>
      <c r="E1547" s="4502"/>
      <c r="F1547" s="4502"/>
      <c r="G1547" s="4502"/>
      <c r="H1547" s="4502"/>
      <c r="I1547" s="4502"/>
      <c r="J1547" s="4502"/>
      <c r="K1547" s="4502"/>
      <c r="L1547" s="4502"/>
      <c r="M1547" s="4502"/>
    </row>
    <row r="1548" spans="1:13" hidden="1">
      <c r="A1548" s="4501" t="s">
        <v>8279</v>
      </c>
      <c r="B1548" s="3">
        <v>2.238</v>
      </c>
      <c r="E1548" s="4502"/>
      <c r="F1548" s="4502"/>
      <c r="G1548" s="4502"/>
      <c r="H1548" s="4502"/>
      <c r="I1548" s="4502"/>
      <c r="J1548" s="4502"/>
      <c r="K1548" s="4502"/>
      <c r="L1548" s="4502"/>
      <c r="M1548" s="4502"/>
    </row>
    <row r="1549" spans="1:13" hidden="1">
      <c r="A1549" s="4501" t="s">
        <v>8280</v>
      </c>
      <c r="B1549" s="3">
        <v>2.238</v>
      </c>
      <c r="E1549" s="4502"/>
      <c r="F1549" s="4502"/>
      <c r="G1549" s="4502"/>
      <c r="H1549" s="4502"/>
      <c r="I1549" s="4502"/>
      <c r="J1549" s="4502"/>
      <c r="K1549" s="4502"/>
      <c r="L1549" s="4502"/>
      <c r="M1549" s="4502"/>
    </row>
    <row r="1550" spans="1:13" hidden="1">
      <c r="A1550" s="4501" t="s">
        <v>8281</v>
      </c>
      <c r="B1550" s="3">
        <v>2.153</v>
      </c>
      <c r="E1550" s="4502"/>
      <c r="F1550" s="4502"/>
      <c r="G1550" s="4502"/>
      <c r="H1550" s="4502"/>
      <c r="I1550" s="4502"/>
      <c r="J1550" s="4502"/>
      <c r="K1550" s="4502"/>
      <c r="L1550" s="4502"/>
      <c r="M1550" s="4502"/>
    </row>
    <row r="1551" spans="1:13" hidden="1">
      <c r="A1551" s="4501" t="s">
        <v>8282</v>
      </c>
      <c r="B1551" s="3">
        <v>2.1709999999999998</v>
      </c>
      <c r="E1551" s="4502"/>
      <c r="F1551" s="4502"/>
      <c r="G1551" s="4502"/>
      <c r="H1551" s="4502"/>
      <c r="I1551" s="4502"/>
      <c r="J1551" s="4502"/>
      <c r="K1551" s="4502"/>
      <c r="L1551" s="4502"/>
      <c r="M1551" s="4502"/>
    </row>
    <row r="1552" spans="1:13" hidden="1">
      <c r="A1552" s="4501" t="s">
        <v>8283</v>
      </c>
      <c r="B1552" s="3">
        <v>2.1520000000000001</v>
      </c>
      <c r="E1552" s="4502"/>
      <c r="F1552" s="4502"/>
      <c r="G1552" s="4502"/>
      <c r="H1552" s="4502"/>
      <c r="I1552" s="4502"/>
      <c r="J1552" s="4502"/>
      <c r="K1552" s="4502"/>
      <c r="L1552" s="4502"/>
      <c r="M1552" s="4502"/>
    </row>
    <row r="1553" spans="1:13" hidden="1">
      <c r="A1553" s="4501" t="s">
        <v>8284</v>
      </c>
      <c r="B1553" s="3">
        <v>2.3239999999999998</v>
      </c>
      <c r="E1553" s="4502"/>
      <c r="F1553" s="4502"/>
      <c r="G1553" s="4502"/>
      <c r="H1553" s="4502"/>
      <c r="I1553" s="4502"/>
      <c r="J1553" s="4502"/>
      <c r="K1553" s="4502"/>
      <c r="L1553" s="4502"/>
      <c r="M1553" s="4502"/>
    </row>
    <row r="1554" spans="1:13" hidden="1">
      <c r="A1554" s="4501" t="s">
        <v>8285</v>
      </c>
      <c r="B1554" s="3">
        <v>2.4950000000000001</v>
      </c>
      <c r="E1554" s="4502"/>
      <c r="F1554" s="4502"/>
      <c r="G1554" s="4502"/>
      <c r="H1554" s="4502"/>
      <c r="I1554" s="4502"/>
      <c r="J1554" s="4502"/>
      <c r="K1554" s="4502"/>
      <c r="L1554" s="4502"/>
      <c r="M1554" s="4502"/>
    </row>
    <row r="1555" spans="1:13" hidden="1">
      <c r="A1555" s="4501" t="s">
        <v>8286</v>
      </c>
      <c r="B1555" s="3">
        <v>2.4950000000000001</v>
      </c>
      <c r="E1555" s="4502"/>
      <c r="F1555" s="4502"/>
      <c r="G1555" s="4502"/>
      <c r="H1555" s="4502"/>
      <c r="I1555" s="4502"/>
      <c r="J1555" s="4502"/>
      <c r="K1555" s="4502"/>
      <c r="L1555" s="4502"/>
      <c r="M1555" s="4502"/>
    </row>
    <row r="1556" spans="1:13" hidden="1">
      <c r="A1556" s="4501" t="s">
        <v>8287</v>
      </c>
      <c r="B1556" s="3">
        <v>2.4950000000000001</v>
      </c>
      <c r="E1556" s="4502"/>
      <c r="F1556" s="4502"/>
      <c r="G1556" s="4502"/>
      <c r="H1556" s="4502"/>
      <c r="I1556" s="4502"/>
      <c r="J1556" s="4502"/>
      <c r="K1556" s="4502"/>
      <c r="L1556" s="4502"/>
      <c r="M1556" s="4502"/>
    </row>
    <row r="1557" spans="1:13" hidden="1">
      <c r="A1557" s="4501" t="s">
        <v>8288</v>
      </c>
      <c r="B1557" s="3">
        <v>2.476</v>
      </c>
      <c r="E1557" s="4502"/>
      <c r="F1557" s="4502"/>
      <c r="G1557" s="4502"/>
      <c r="H1557" s="4502"/>
      <c r="I1557" s="4502"/>
      <c r="J1557" s="4502"/>
      <c r="K1557" s="4502"/>
      <c r="L1557" s="4502"/>
      <c r="M1557" s="4502"/>
    </row>
    <row r="1558" spans="1:13" hidden="1">
      <c r="A1558" s="4501" t="s">
        <v>8289</v>
      </c>
      <c r="B1558" s="3">
        <v>2.556</v>
      </c>
      <c r="E1558" s="4502"/>
      <c r="F1558" s="4502"/>
      <c r="G1558" s="4502"/>
      <c r="H1558" s="4502"/>
      <c r="I1558" s="4502"/>
      <c r="J1558" s="4502"/>
      <c r="K1558" s="4502"/>
      <c r="L1558" s="4502"/>
      <c r="M1558" s="4502"/>
    </row>
    <row r="1559" spans="1:13" hidden="1">
      <c r="A1559" s="4501" t="s">
        <v>8290</v>
      </c>
      <c r="B1559" s="3">
        <v>2.5630000000000002</v>
      </c>
      <c r="E1559" s="4502"/>
      <c r="F1559" s="4502"/>
      <c r="G1559" s="4502"/>
      <c r="H1559" s="4502"/>
      <c r="I1559" s="4502"/>
      <c r="J1559" s="4502"/>
      <c r="K1559" s="4502"/>
      <c r="L1559" s="4502"/>
      <c r="M1559" s="4502"/>
    </row>
    <row r="1560" spans="1:13" hidden="1">
      <c r="A1560" s="4501" t="s">
        <v>8291</v>
      </c>
      <c r="B1560" s="3">
        <v>2.5030000000000001</v>
      </c>
      <c r="E1560" s="4502"/>
      <c r="F1560" s="4502"/>
      <c r="G1560" s="4502"/>
      <c r="H1560" s="4502"/>
      <c r="I1560" s="4502"/>
      <c r="J1560" s="4502"/>
      <c r="K1560" s="4502"/>
      <c r="L1560" s="4502"/>
      <c r="M1560" s="4502"/>
    </row>
    <row r="1561" spans="1:13" hidden="1">
      <c r="A1561" s="4501" t="s">
        <v>8292</v>
      </c>
      <c r="B1561" s="3">
        <v>2.573</v>
      </c>
      <c r="E1561" s="4502"/>
      <c r="F1561" s="4502"/>
      <c r="G1561" s="4502"/>
      <c r="H1561" s="4502"/>
      <c r="I1561" s="4502"/>
      <c r="J1561" s="4502"/>
      <c r="K1561" s="4502"/>
      <c r="L1561" s="4502"/>
      <c r="M1561" s="4502"/>
    </row>
    <row r="1562" spans="1:13" hidden="1">
      <c r="A1562" s="4501" t="s">
        <v>8293</v>
      </c>
      <c r="B1562" s="3">
        <v>2.573</v>
      </c>
      <c r="E1562" s="4502"/>
      <c r="F1562" s="4502"/>
      <c r="G1562" s="4502"/>
      <c r="H1562" s="4502"/>
      <c r="I1562" s="4502"/>
      <c r="J1562" s="4502"/>
      <c r="K1562" s="4502"/>
      <c r="L1562" s="4502"/>
      <c r="M1562" s="4502"/>
    </row>
    <row r="1563" spans="1:13" hidden="1">
      <c r="A1563" s="4501" t="s">
        <v>8294</v>
      </c>
      <c r="B1563" s="3">
        <v>2.573</v>
      </c>
      <c r="E1563" s="4502"/>
      <c r="F1563" s="4502"/>
      <c r="G1563" s="4502"/>
      <c r="H1563" s="4502"/>
      <c r="I1563" s="4502"/>
      <c r="J1563" s="4502"/>
      <c r="K1563" s="4502"/>
      <c r="L1563" s="4502"/>
      <c r="M1563" s="4502"/>
    </row>
    <row r="1564" spans="1:13" hidden="1">
      <c r="A1564" s="4501" t="s">
        <v>8295</v>
      </c>
      <c r="B1564" s="3">
        <v>2.6160000000000001</v>
      </c>
      <c r="E1564" s="4502"/>
      <c r="F1564" s="4502"/>
      <c r="G1564" s="4502"/>
      <c r="H1564" s="4502"/>
      <c r="I1564" s="4502"/>
      <c r="J1564" s="4502"/>
      <c r="K1564" s="4502"/>
      <c r="L1564" s="4502"/>
      <c r="M1564" s="4502"/>
    </row>
    <row r="1565" spans="1:13" hidden="1">
      <c r="A1565" s="4501" t="s">
        <v>8296</v>
      </c>
      <c r="B1565" s="3">
        <v>2.5960000000000001</v>
      </c>
      <c r="E1565" s="4502"/>
      <c r="F1565" s="4502"/>
      <c r="G1565" s="4502"/>
      <c r="H1565" s="4502"/>
      <c r="I1565" s="4502"/>
      <c r="J1565" s="4502"/>
      <c r="K1565" s="4502"/>
      <c r="L1565" s="4502"/>
      <c r="M1565" s="4502"/>
    </row>
    <row r="1566" spans="1:13" hidden="1">
      <c r="A1566" s="4501" t="s">
        <v>8297</v>
      </c>
      <c r="B1566" s="3">
        <v>2.5739999999999998</v>
      </c>
      <c r="E1566" s="4502"/>
      <c r="F1566" s="4502"/>
      <c r="G1566" s="4502"/>
      <c r="H1566" s="4502"/>
      <c r="I1566" s="4502"/>
      <c r="J1566" s="4502"/>
      <c r="K1566" s="4502"/>
      <c r="L1566" s="4502"/>
      <c r="M1566" s="4502"/>
    </row>
    <row r="1567" spans="1:13" hidden="1">
      <c r="A1567" s="4501" t="s">
        <v>8298</v>
      </c>
      <c r="B1567" s="3">
        <v>2.71</v>
      </c>
      <c r="E1567" s="4502"/>
      <c r="F1567" s="4502"/>
      <c r="G1567" s="4502"/>
      <c r="H1567" s="4502"/>
      <c r="I1567" s="4502"/>
      <c r="J1567" s="4502"/>
      <c r="K1567" s="4502"/>
      <c r="L1567" s="4502"/>
      <c r="M1567" s="4502"/>
    </row>
    <row r="1568" spans="1:13" hidden="1">
      <c r="A1568" s="4501" t="s">
        <v>8299</v>
      </c>
      <c r="B1568" s="3">
        <v>2.657</v>
      </c>
      <c r="E1568" s="4502"/>
      <c r="F1568" s="4502"/>
      <c r="G1568" s="4502"/>
      <c r="H1568" s="4502"/>
      <c r="I1568" s="4502"/>
      <c r="J1568" s="4502"/>
      <c r="K1568" s="4502"/>
      <c r="L1568" s="4502"/>
      <c r="M1568" s="4502"/>
    </row>
    <row r="1569" spans="1:13" hidden="1">
      <c r="A1569" s="4501" t="s">
        <v>8300</v>
      </c>
      <c r="B1569" s="3">
        <v>2.657</v>
      </c>
      <c r="E1569" s="4502"/>
      <c r="F1569" s="4502"/>
      <c r="G1569" s="4502"/>
      <c r="H1569" s="4502"/>
      <c r="I1569" s="4502"/>
      <c r="J1569" s="4502"/>
      <c r="K1569" s="4502"/>
      <c r="L1569" s="4502"/>
      <c r="M1569" s="4502"/>
    </row>
    <row r="1570" spans="1:13" hidden="1">
      <c r="A1570" s="4501" t="s">
        <v>8301</v>
      </c>
      <c r="B1570" s="3">
        <v>2.657</v>
      </c>
      <c r="E1570" s="4502"/>
      <c r="F1570" s="4502"/>
      <c r="G1570" s="4502"/>
      <c r="H1570" s="4502"/>
      <c r="I1570" s="4502"/>
      <c r="J1570" s="4502"/>
      <c r="K1570" s="4502"/>
      <c r="L1570" s="4502"/>
      <c r="M1570" s="4502"/>
    </row>
    <row r="1571" spans="1:13" hidden="1">
      <c r="A1571" s="4501" t="s">
        <v>8302</v>
      </c>
      <c r="B1571" s="3">
        <v>2.63</v>
      </c>
      <c r="E1571" s="4502"/>
      <c r="F1571" s="4502"/>
      <c r="G1571" s="4502"/>
      <c r="H1571" s="4502"/>
      <c r="I1571" s="4502"/>
      <c r="J1571" s="4502"/>
      <c r="K1571" s="4502"/>
      <c r="L1571" s="4502"/>
      <c r="M1571" s="4502"/>
    </row>
    <row r="1572" spans="1:13" hidden="1">
      <c r="A1572" s="4501" t="s">
        <v>8303</v>
      </c>
      <c r="B1572" s="3">
        <v>2.5270000000000001</v>
      </c>
      <c r="E1572" s="4502"/>
      <c r="F1572" s="4502"/>
      <c r="G1572" s="4502"/>
      <c r="H1572" s="4502"/>
      <c r="I1572" s="4502"/>
      <c r="J1572" s="4502"/>
      <c r="K1572" s="4502"/>
      <c r="L1572" s="4502"/>
      <c r="M1572" s="4502"/>
    </row>
    <row r="1573" spans="1:13" hidden="1">
      <c r="A1573" s="4501" t="s">
        <v>8304</v>
      </c>
      <c r="B1573" s="3">
        <v>2.4860000000000002</v>
      </c>
      <c r="E1573" s="4502"/>
      <c r="F1573" s="4502"/>
      <c r="G1573" s="4502"/>
      <c r="H1573" s="4502"/>
      <c r="I1573" s="4502"/>
      <c r="J1573" s="4502"/>
      <c r="K1573" s="4502"/>
      <c r="L1573" s="4502"/>
      <c r="M1573" s="4502"/>
    </row>
    <row r="1574" spans="1:13" hidden="1">
      <c r="A1574" s="4501" t="s">
        <v>8305</v>
      </c>
      <c r="B1574" s="3">
        <v>2.4870000000000001</v>
      </c>
      <c r="E1574" s="4502"/>
      <c r="F1574" s="4502"/>
      <c r="G1574" s="4502"/>
      <c r="H1574" s="4502"/>
      <c r="I1574" s="4502"/>
      <c r="J1574" s="4502"/>
      <c r="K1574" s="4502"/>
      <c r="L1574" s="4502"/>
      <c r="M1574" s="4502"/>
    </row>
    <row r="1575" spans="1:13" hidden="1">
      <c r="A1575" s="4501" t="s">
        <v>8306</v>
      </c>
      <c r="B1575" s="3">
        <v>2.5880000000000001</v>
      </c>
      <c r="E1575" s="4502"/>
      <c r="F1575" s="4502"/>
      <c r="G1575" s="4502"/>
      <c r="H1575" s="4502"/>
      <c r="I1575" s="4502"/>
      <c r="J1575" s="4502"/>
      <c r="K1575" s="4502"/>
      <c r="L1575" s="4502"/>
      <c r="M1575" s="4502"/>
    </row>
    <row r="1576" spans="1:13" hidden="1">
      <c r="A1576" s="4501" t="s">
        <v>8307</v>
      </c>
      <c r="B1576" s="3">
        <v>2.5880000000000001</v>
      </c>
      <c r="E1576" s="4502"/>
      <c r="F1576" s="4502"/>
      <c r="G1576" s="4502"/>
      <c r="H1576" s="4502"/>
      <c r="I1576" s="4502"/>
      <c r="J1576" s="4502"/>
      <c r="K1576" s="4502"/>
      <c r="L1576" s="4502"/>
      <c r="M1576" s="4502"/>
    </row>
    <row r="1577" spans="1:13" hidden="1">
      <c r="A1577" s="4501" t="s">
        <v>8308</v>
      </c>
      <c r="B1577" s="3">
        <v>2.5880000000000001</v>
      </c>
      <c r="E1577" s="4502"/>
      <c r="F1577" s="4502"/>
      <c r="G1577" s="4502"/>
      <c r="H1577" s="4502"/>
      <c r="I1577" s="4502"/>
      <c r="J1577" s="4502"/>
      <c r="K1577" s="4502"/>
      <c r="L1577" s="4502"/>
      <c r="M1577" s="4502"/>
    </row>
    <row r="1578" spans="1:13" hidden="1">
      <c r="A1578" s="4501" t="s">
        <v>8309</v>
      </c>
      <c r="B1578" s="3">
        <v>2.5880000000000001</v>
      </c>
      <c r="E1578" s="4502"/>
      <c r="F1578" s="4502"/>
      <c r="G1578" s="4502"/>
      <c r="H1578" s="4502"/>
      <c r="I1578" s="4502"/>
      <c r="J1578" s="4502"/>
      <c r="K1578" s="4502"/>
      <c r="L1578" s="4502"/>
      <c r="M1578" s="4502"/>
    </row>
    <row r="1579" spans="1:13" hidden="1">
      <c r="A1579" s="4501" t="s">
        <v>8310</v>
      </c>
      <c r="B1579" s="3">
        <v>2.4</v>
      </c>
      <c r="E1579" s="4502"/>
      <c r="F1579" s="4502"/>
      <c r="G1579" s="4502"/>
      <c r="H1579" s="4502"/>
      <c r="I1579" s="4502"/>
      <c r="J1579" s="4502"/>
      <c r="K1579" s="4502"/>
      <c r="L1579" s="4502"/>
      <c r="M1579" s="4502"/>
    </row>
    <row r="1580" spans="1:13" hidden="1">
      <c r="A1580" s="4501" t="s">
        <v>8311</v>
      </c>
      <c r="B1580" s="3">
        <v>2.8730000000000002</v>
      </c>
      <c r="E1580" s="4502"/>
      <c r="F1580" s="4502"/>
      <c r="G1580" s="4502"/>
      <c r="H1580" s="4502"/>
      <c r="I1580" s="4502"/>
      <c r="J1580" s="4502"/>
      <c r="K1580" s="4502"/>
      <c r="L1580" s="4502"/>
      <c r="M1580" s="4502"/>
    </row>
    <row r="1581" spans="1:13" hidden="1">
      <c r="A1581" s="4501" t="s">
        <v>8312</v>
      </c>
      <c r="B1581" s="3">
        <v>2.798</v>
      </c>
      <c r="E1581" s="4502"/>
      <c r="F1581" s="4502"/>
      <c r="G1581" s="4502"/>
      <c r="H1581" s="4502"/>
      <c r="I1581" s="4502"/>
      <c r="J1581" s="4502"/>
      <c r="K1581" s="4502"/>
      <c r="L1581" s="4502"/>
      <c r="M1581" s="4502"/>
    </row>
    <row r="1582" spans="1:13" hidden="1">
      <c r="A1582" s="4501" t="s">
        <v>8313</v>
      </c>
      <c r="B1582" s="3">
        <v>2.7440000000000002</v>
      </c>
      <c r="E1582" s="4502"/>
      <c r="F1582" s="4502"/>
      <c r="G1582" s="4502"/>
      <c r="H1582" s="4502"/>
      <c r="I1582" s="4502"/>
      <c r="J1582" s="4502"/>
      <c r="K1582" s="4502"/>
      <c r="L1582" s="4502"/>
      <c r="M1582" s="4502"/>
    </row>
    <row r="1583" spans="1:13" hidden="1">
      <c r="A1583" s="4501" t="s">
        <v>8314</v>
      </c>
      <c r="B1583" s="3">
        <v>2.7440000000000002</v>
      </c>
      <c r="E1583" s="4502"/>
      <c r="F1583" s="4502"/>
      <c r="G1583" s="4502"/>
      <c r="H1583" s="4502"/>
      <c r="I1583" s="4502"/>
      <c r="J1583" s="4502"/>
      <c r="K1583" s="4502"/>
      <c r="L1583" s="4502"/>
      <c r="M1583" s="4502"/>
    </row>
    <row r="1584" spans="1:13" hidden="1">
      <c r="A1584" s="4501" t="s">
        <v>8315</v>
      </c>
      <c r="B1584" s="3">
        <v>2.7440000000000002</v>
      </c>
      <c r="E1584" s="4502"/>
      <c r="F1584" s="4502"/>
      <c r="G1584" s="4502"/>
      <c r="H1584" s="4502"/>
      <c r="I1584" s="4502"/>
      <c r="J1584" s="4502"/>
      <c r="K1584" s="4502"/>
      <c r="L1584" s="4502"/>
      <c r="M1584" s="4502"/>
    </row>
    <row r="1585" spans="1:13" hidden="1">
      <c r="A1585" s="4501" t="s">
        <v>8316</v>
      </c>
      <c r="B1585" s="3">
        <v>2.74</v>
      </c>
      <c r="E1585" s="4502"/>
      <c r="F1585" s="4502"/>
      <c r="G1585" s="4502"/>
      <c r="H1585" s="4502"/>
      <c r="I1585" s="4502"/>
      <c r="J1585" s="4502"/>
      <c r="K1585" s="4502"/>
      <c r="L1585" s="4502"/>
      <c r="M1585" s="4502"/>
    </row>
    <row r="1586" spans="1:13" hidden="1">
      <c r="A1586" s="4501" t="s">
        <v>8317</v>
      </c>
      <c r="B1586" s="3">
        <v>2.7410000000000001</v>
      </c>
      <c r="E1586" s="4502"/>
      <c r="F1586" s="4502"/>
      <c r="G1586" s="4502"/>
      <c r="H1586" s="4502"/>
      <c r="I1586" s="4502"/>
      <c r="J1586" s="4502"/>
      <c r="K1586" s="4502"/>
      <c r="L1586" s="4502"/>
      <c r="M1586" s="4502"/>
    </row>
    <row r="1587" spans="1:13" hidden="1">
      <c r="A1587" s="4501" t="s">
        <v>8318</v>
      </c>
      <c r="B1587" s="3">
        <v>2.6640000000000001</v>
      </c>
      <c r="E1587" s="4502"/>
      <c r="F1587" s="4502"/>
      <c r="G1587" s="4502"/>
      <c r="H1587" s="4502"/>
      <c r="I1587" s="4502"/>
      <c r="J1587" s="4502"/>
      <c r="K1587" s="4502"/>
      <c r="L1587" s="4502"/>
      <c r="M1587" s="4502"/>
    </row>
    <row r="1588" spans="1:13" hidden="1">
      <c r="A1588" s="4501" t="s">
        <v>8319</v>
      </c>
      <c r="B1588" s="3">
        <v>2.577</v>
      </c>
      <c r="E1588" s="4502"/>
      <c r="F1588" s="4502"/>
      <c r="G1588" s="4502"/>
      <c r="H1588" s="4502"/>
      <c r="I1588" s="4502"/>
      <c r="J1588" s="4502"/>
      <c r="K1588" s="4502"/>
      <c r="L1588" s="4502"/>
      <c r="M1588" s="4502"/>
    </row>
    <row r="1589" spans="1:13" hidden="1">
      <c r="A1589" s="4501" t="s">
        <v>8320</v>
      </c>
      <c r="B1589" s="3">
        <v>2.633</v>
      </c>
      <c r="E1589" s="4502"/>
      <c r="F1589" s="4502"/>
      <c r="G1589" s="4502"/>
      <c r="H1589" s="4502"/>
      <c r="I1589" s="4502"/>
      <c r="J1589" s="4502"/>
      <c r="K1589" s="4502"/>
      <c r="L1589" s="4502"/>
      <c r="M1589" s="4502"/>
    </row>
    <row r="1590" spans="1:13" hidden="1">
      <c r="A1590" s="4501" t="s">
        <v>8321</v>
      </c>
      <c r="B1590" s="3">
        <v>2.633</v>
      </c>
      <c r="E1590" s="4502"/>
      <c r="F1590" s="4502"/>
      <c r="G1590" s="4502"/>
      <c r="H1590" s="4502"/>
      <c r="I1590" s="4502"/>
      <c r="J1590" s="4502"/>
      <c r="K1590" s="4502"/>
      <c r="L1590" s="4502"/>
      <c r="M1590" s="4502"/>
    </row>
    <row r="1591" spans="1:13" hidden="1">
      <c r="A1591" s="4501" t="s">
        <v>8322</v>
      </c>
      <c r="B1591" s="3">
        <v>2.633</v>
      </c>
      <c r="E1591" s="4502"/>
      <c r="F1591" s="4502"/>
      <c r="G1591" s="4502"/>
      <c r="H1591" s="4502"/>
      <c r="I1591" s="4502"/>
      <c r="J1591" s="4502"/>
      <c r="K1591" s="4502"/>
      <c r="L1591" s="4502"/>
      <c r="M1591" s="4502"/>
    </row>
    <row r="1592" spans="1:13" hidden="1">
      <c r="A1592" s="4501" t="s">
        <v>8323</v>
      </c>
      <c r="B1592" s="3">
        <v>2.71</v>
      </c>
      <c r="E1592" s="4502"/>
      <c r="F1592" s="4502"/>
      <c r="G1592" s="4502"/>
      <c r="H1592" s="4502"/>
      <c r="I1592" s="4502"/>
      <c r="J1592" s="4502"/>
      <c r="K1592" s="4502"/>
      <c r="L1592" s="4502"/>
      <c r="M1592" s="4502"/>
    </row>
    <row r="1593" spans="1:13" hidden="1">
      <c r="A1593" s="4501" t="s">
        <v>8324</v>
      </c>
      <c r="B1593" s="3">
        <v>2.597</v>
      </c>
      <c r="E1593" s="4502"/>
      <c r="F1593" s="4502"/>
      <c r="G1593" s="4502"/>
      <c r="H1593" s="4502"/>
      <c r="I1593" s="4502"/>
      <c r="J1593" s="4502"/>
      <c r="K1593" s="4502"/>
      <c r="L1593" s="4502"/>
      <c r="M1593" s="4502"/>
    </row>
    <row r="1594" spans="1:13" hidden="1">
      <c r="A1594" s="4501" t="s">
        <v>8325</v>
      </c>
      <c r="B1594" s="3">
        <v>2.794</v>
      </c>
      <c r="E1594" s="4502"/>
      <c r="F1594" s="4502"/>
      <c r="G1594" s="4502"/>
      <c r="H1594" s="4502"/>
      <c r="I1594" s="4502"/>
      <c r="J1594" s="4502"/>
      <c r="K1594" s="4502"/>
      <c r="L1594" s="4502"/>
      <c r="M1594" s="4502"/>
    </row>
    <row r="1595" spans="1:13" hidden="1">
      <c r="A1595" s="4501" t="s">
        <v>8326</v>
      </c>
      <c r="B1595" s="3">
        <v>2.899</v>
      </c>
      <c r="E1595" s="4502"/>
      <c r="F1595" s="4502"/>
      <c r="G1595" s="4502"/>
      <c r="H1595" s="4502"/>
      <c r="I1595" s="4502"/>
      <c r="J1595" s="4502"/>
      <c r="K1595" s="4502"/>
      <c r="L1595" s="4502"/>
      <c r="M1595" s="4502"/>
    </row>
    <row r="1596" spans="1:13" hidden="1">
      <c r="A1596" s="4501" t="s">
        <v>8327</v>
      </c>
      <c r="B1596" s="3">
        <v>2.8069999999999999</v>
      </c>
      <c r="E1596" s="4502"/>
      <c r="F1596" s="4502"/>
      <c r="G1596" s="4502"/>
      <c r="H1596" s="4502"/>
      <c r="I1596" s="4502"/>
      <c r="J1596" s="4502"/>
      <c r="K1596" s="4502"/>
      <c r="L1596" s="4502"/>
      <c r="M1596" s="4502"/>
    </row>
    <row r="1597" spans="1:13" hidden="1">
      <c r="A1597" s="4501" t="s">
        <v>8328</v>
      </c>
      <c r="B1597" s="3">
        <v>2.8069999999999999</v>
      </c>
      <c r="E1597" s="4502"/>
      <c r="F1597" s="4502"/>
      <c r="G1597" s="4502"/>
      <c r="H1597" s="4502"/>
      <c r="I1597" s="4502"/>
      <c r="J1597" s="4502"/>
      <c r="K1597" s="4502"/>
      <c r="L1597" s="4502"/>
      <c r="M1597" s="4502"/>
    </row>
    <row r="1598" spans="1:13" hidden="1">
      <c r="A1598" s="4501" t="s">
        <v>8329</v>
      </c>
      <c r="B1598" s="3">
        <v>2.8069999999999999</v>
      </c>
      <c r="E1598" s="4502"/>
      <c r="F1598" s="4502"/>
      <c r="G1598" s="4502"/>
      <c r="H1598" s="4502"/>
      <c r="I1598" s="4502"/>
      <c r="J1598" s="4502"/>
      <c r="K1598" s="4502"/>
      <c r="L1598" s="4502"/>
      <c r="M1598" s="4502"/>
    </row>
    <row r="1599" spans="1:13" hidden="1">
      <c r="A1599" s="4501" t="s">
        <v>8330</v>
      </c>
      <c r="B1599" s="3">
        <v>2.7949999999999999</v>
      </c>
      <c r="E1599" s="4502"/>
      <c r="F1599" s="4502"/>
      <c r="G1599" s="4502"/>
      <c r="H1599" s="4502"/>
      <c r="I1599" s="4502"/>
      <c r="J1599" s="4502"/>
      <c r="K1599" s="4502"/>
      <c r="L1599" s="4502"/>
      <c r="M1599" s="4502"/>
    </row>
    <row r="1600" spans="1:13" hidden="1">
      <c r="A1600" s="4501" t="s">
        <v>8331</v>
      </c>
      <c r="B1600" s="3">
        <v>2.5609999999999999</v>
      </c>
      <c r="E1600" s="4502"/>
      <c r="F1600" s="4502"/>
      <c r="G1600" s="4502"/>
      <c r="H1600" s="4502"/>
      <c r="I1600" s="4502"/>
      <c r="J1600" s="4502"/>
      <c r="K1600" s="4502"/>
      <c r="L1600" s="4502"/>
      <c r="M1600" s="4502"/>
    </row>
    <row r="1601" spans="1:13" hidden="1">
      <c r="A1601" s="4501" t="s">
        <v>8332</v>
      </c>
      <c r="B1601" s="3">
        <v>2.5270000000000001</v>
      </c>
      <c r="E1601" s="4502"/>
      <c r="F1601" s="4502"/>
      <c r="G1601" s="4502"/>
      <c r="H1601" s="4502"/>
      <c r="I1601" s="4502"/>
      <c r="J1601" s="4502"/>
      <c r="K1601" s="4502"/>
      <c r="L1601" s="4502"/>
      <c r="M1601" s="4502"/>
    </row>
    <row r="1602" spans="1:13" hidden="1">
      <c r="A1602" s="4501" t="s">
        <v>8333</v>
      </c>
      <c r="B1602" s="3">
        <v>2.5270000000000001</v>
      </c>
      <c r="E1602" s="4502"/>
      <c r="F1602" s="4502"/>
      <c r="G1602" s="4502"/>
      <c r="H1602" s="4502"/>
      <c r="I1602" s="4502"/>
      <c r="J1602" s="4502"/>
      <c r="K1602" s="4502"/>
      <c r="L1602" s="4502"/>
      <c r="M1602" s="4502"/>
    </row>
    <row r="1603" spans="1:13" hidden="1">
      <c r="A1603" s="4501" t="s">
        <v>8334</v>
      </c>
      <c r="B1603" s="3">
        <v>2.4380000000000002</v>
      </c>
      <c r="E1603" s="4502"/>
      <c r="F1603" s="4502"/>
      <c r="G1603" s="4502"/>
      <c r="H1603" s="4502"/>
      <c r="I1603" s="4502"/>
      <c r="J1603" s="4502"/>
      <c r="K1603" s="4502"/>
      <c r="L1603" s="4502"/>
      <c r="M1603" s="4502"/>
    </row>
    <row r="1604" spans="1:13" hidden="1">
      <c r="A1604" s="4501" t="s">
        <v>8335</v>
      </c>
      <c r="B1604" s="3">
        <v>2.4380000000000002</v>
      </c>
      <c r="E1604" s="4502"/>
      <c r="F1604" s="4502"/>
      <c r="G1604" s="4502"/>
      <c r="H1604" s="4502"/>
      <c r="I1604" s="4502"/>
      <c r="J1604" s="4502"/>
      <c r="K1604" s="4502"/>
      <c r="L1604" s="4502"/>
      <c r="M1604" s="4502"/>
    </row>
    <row r="1605" spans="1:13" hidden="1">
      <c r="A1605" s="4501" t="s">
        <v>8336</v>
      </c>
      <c r="B1605" s="3">
        <v>2.4380000000000002</v>
      </c>
      <c r="E1605" s="4502"/>
      <c r="F1605" s="4502"/>
      <c r="G1605" s="4502"/>
      <c r="H1605" s="4502"/>
      <c r="I1605" s="4502"/>
      <c r="J1605" s="4502"/>
      <c r="K1605" s="4502"/>
      <c r="L1605" s="4502"/>
      <c r="M1605" s="4502"/>
    </row>
    <row r="1606" spans="1:13" hidden="1">
      <c r="A1606" s="4501" t="s">
        <v>8337</v>
      </c>
      <c r="B1606" s="3">
        <v>2.6150000000000002</v>
      </c>
      <c r="E1606" s="4502"/>
      <c r="F1606" s="4502"/>
      <c r="G1606" s="4502"/>
      <c r="H1606" s="4502"/>
      <c r="I1606" s="4502"/>
      <c r="J1606" s="4502"/>
      <c r="K1606" s="4502"/>
      <c r="L1606" s="4502"/>
      <c r="M1606" s="4502"/>
    </row>
    <row r="1607" spans="1:13" hidden="1">
      <c r="A1607" s="4501" t="s">
        <v>8338</v>
      </c>
      <c r="B1607" s="3">
        <v>2.52</v>
      </c>
      <c r="E1607" s="4502"/>
      <c r="F1607" s="4502"/>
      <c r="G1607" s="4502"/>
      <c r="H1607" s="4502"/>
      <c r="I1607" s="4502"/>
      <c r="J1607" s="4502"/>
      <c r="K1607" s="4502"/>
      <c r="L1607" s="4502"/>
      <c r="M1607" s="4502"/>
    </row>
    <row r="1608" spans="1:13" hidden="1">
      <c r="A1608" s="4501" t="s">
        <v>8339</v>
      </c>
      <c r="B1608" s="3">
        <v>2.6059999999999999</v>
      </c>
      <c r="E1608" s="4502"/>
      <c r="F1608" s="4502"/>
      <c r="G1608" s="4502"/>
      <c r="H1608" s="4502"/>
      <c r="I1608" s="4502"/>
      <c r="J1608" s="4502"/>
      <c r="K1608" s="4502"/>
      <c r="L1608" s="4502"/>
      <c r="M1608" s="4502"/>
    </row>
    <row r="1609" spans="1:13" hidden="1">
      <c r="A1609" s="4501" t="s">
        <v>8340</v>
      </c>
      <c r="B1609" s="3">
        <v>2.6269999999999998</v>
      </c>
      <c r="E1609" s="4502"/>
      <c r="F1609" s="4502"/>
      <c r="G1609" s="4502"/>
      <c r="H1609" s="4502"/>
      <c r="I1609" s="4502"/>
      <c r="J1609" s="4502"/>
      <c r="K1609" s="4502"/>
      <c r="L1609" s="4502"/>
      <c r="M1609" s="4502"/>
    </row>
    <row r="1610" spans="1:13" hidden="1">
      <c r="A1610" s="4501" t="s">
        <v>8341</v>
      </c>
      <c r="B1610" s="3">
        <v>2.7410000000000001</v>
      </c>
      <c r="E1610" s="4502"/>
      <c r="F1610" s="4502"/>
      <c r="G1610" s="4502"/>
      <c r="H1610" s="4502"/>
      <c r="I1610" s="4502"/>
      <c r="J1610" s="4502"/>
      <c r="K1610" s="4502"/>
      <c r="L1610" s="4502"/>
      <c r="M1610" s="4502"/>
    </row>
    <row r="1611" spans="1:13" hidden="1">
      <c r="A1611" s="4501" t="s">
        <v>8342</v>
      </c>
      <c r="B1611" s="3">
        <v>2.7410000000000001</v>
      </c>
      <c r="E1611" s="4502"/>
      <c r="F1611" s="4502"/>
      <c r="G1611" s="4502"/>
      <c r="H1611" s="4502"/>
      <c r="I1611" s="4502"/>
      <c r="J1611" s="4502"/>
      <c r="K1611" s="4502"/>
      <c r="L1611" s="4502"/>
      <c r="M1611" s="4502"/>
    </row>
    <row r="1612" spans="1:13" hidden="1">
      <c r="A1612" s="4501" t="s">
        <v>8343</v>
      </c>
      <c r="B1612" s="3">
        <v>2.7410000000000001</v>
      </c>
      <c r="E1612" s="4502"/>
      <c r="F1612" s="4502"/>
      <c r="G1612" s="4502"/>
      <c r="H1612" s="4502"/>
      <c r="I1612" s="4502"/>
      <c r="J1612" s="4502"/>
      <c r="K1612" s="4502"/>
      <c r="L1612" s="4502"/>
      <c r="M1612" s="4502"/>
    </row>
    <row r="1613" spans="1:13" hidden="1">
      <c r="A1613" s="4501" t="s">
        <v>8344</v>
      </c>
      <c r="B1613" s="3">
        <v>2.8809999999999998</v>
      </c>
      <c r="E1613" s="4502"/>
      <c r="F1613" s="4502"/>
      <c r="G1613" s="4502"/>
      <c r="H1613" s="4502"/>
      <c r="I1613" s="4502"/>
      <c r="J1613" s="4502"/>
      <c r="K1613" s="4502"/>
      <c r="L1613" s="4502"/>
      <c r="M1613" s="4502"/>
    </row>
    <row r="1614" spans="1:13" hidden="1">
      <c r="A1614" s="4501" t="s">
        <v>8345</v>
      </c>
      <c r="B1614" s="3">
        <v>2.855</v>
      </c>
      <c r="E1614" s="4502"/>
      <c r="F1614" s="4502"/>
      <c r="G1614" s="4502"/>
      <c r="H1614" s="4502"/>
      <c r="I1614" s="4502"/>
      <c r="J1614" s="4502"/>
      <c r="K1614" s="4502"/>
      <c r="L1614" s="4502"/>
      <c r="M1614" s="4502"/>
    </row>
    <row r="1615" spans="1:13" hidden="1">
      <c r="A1615" s="4501" t="s">
        <v>8346</v>
      </c>
      <c r="B1615" s="3">
        <v>3.1890000000000001</v>
      </c>
      <c r="E1615" s="4502"/>
      <c r="F1615" s="4502"/>
      <c r="G1615" s="4502"/>
      <c r="H1615" s="4502"/>
      <c r="I1615" s="4502"/>
      <c r="J1615" s="4502"/>
      <c r="K1615" s="4502"/>
      <c r="L1615" s="4502"/>
      <c r="M1615" s="4502"/>
    </row>
    <row r="1616" spans="1:13" hidden="1">
      <c r="A1616" s="4501" t="s">
        <v>8347</v>
      </c>
      <c r="B1616" s="3">
        <v>3.2610000000000001</v>
      </c>
      <c r="E1616" s="4502"/>
      <c r="F1616" s="4502"/>
      <c r="G1616" s="4502"/>
      <c r="H1616" s="4502"/>
      <c r="I1616" s="4502"/>
      <c r="J1616" s="4502"/>
      <c r="K1616" s="4502"/>
      <c r="L1616" s="4502"/>
      <c r="M1616" s="4502"/>
    </row>
    <row r="1617" spans="1:13" hidden="1">
      <c r="A1617" s="4501" t="s">
        <v>8348</v>
      </c>
      <c r="B1617" s="3">
        <v>3.2709999999999999</v>
      </c>
      <c r="E1617" s="4502"/>
      <c r="F1617" s="4502"/>
      <c r="G1617" s="4502"/>
      <c r="H1617" s="4502"/>
      <c r="I1617" s="4502"/>
      <c r="J1617" s="4502"/>
      <c r="K1617" s="4502"/>
      <c r="L1617" s="4502"/>
      <c r="M1617" s="4502"/>
    </row>
    <row r="1618" spans="1:13" hidden="1">
      <c r="A1618" s="4501" t="s">
        <v>8349</v>
      </c>
      <c r="B1618" s="3">
        <v>3.2709999999999999</v>
      </c>
      <c r="E1618" s="4502"/>
      <c r="F1618" s="4502"/>
      <c r="G1618" s="4502"/>
      <c r="H1618" s="4502"/>
      <c r="I1618" s="4502"/>
      <c r="J1618" s="4502"/>
      <c r="K1618" s="4502"/>
      <c r="L1618" s="4502"/>
      <c r="M1618" s="4502"/>
    </row>
    <row r="1619" spans="1:13" hidden="1">
      <c r="A1619" s="4501" t="s">
        <v>8350</v>
      </c>
      <c r="B1619" s="3">
        <v>3.2709999999999999</v>
      </c>
      <c r="E1619" s="4502"/>
      <c r="F1619" s="4502"/>
      <c r="G1619" s="4502"/>
      <c r="H1619" s="4502"/>
      <c r="I1619" s="4502"/>
      <c r="J1619" s="4502"/>
      <c r="K1619" s="4502"/>
      <c r="L1619" s="4502"/>
      <c r="M1619" s="4502"/>
    </row>
    <row r="1620" spans="1:13" hidden="1">
      <c r="A1620" s="4501" t="s">
        <v>8351</v>
      </c>
      <c r="B1620" s="3">
        <v>3.28</v>
      </c>
      <c r="E1620" s="4502"/>
      <c r="F1620" s="4502"/>
      <c r="G1620" s="4502"/>
      <c r="H1620" s="4502"/>
      <c r="I1620" s="4502"/>
      <c r="J1620" s="4502"/>
      <c r="K1620" s="4502"/>
      <c r="L1620" s="4502"/>
      <c r="M1620" s="4502"/>
    </row>
    <row r="1621" spans="1:13" hidden="1">
      <c r="A1621" s="4501" t="s">
        <v>8352</v>
      </c>
      <c r="B1621" s="3">
        <v>3.26</v>
      </c>
      <c r="E1621" s="4502"/>
      <c r="F1621" s="4502"/>
      <c r="G1621" s="4502"/>
      <c r="H1621" s="4502"/>
      <c r="I1621" s="4502"/>
      <c r="J1621" s="4502"/>
      <c r="K1621" s="4502"/>
      <c r="L1621" s="4502"/>
      <c r="M1621" s="4502"/>
    </row>
    <row r="1622" spans="1:13" hidden="1">
      <c r="A1622" s="4501" t="s">
        <v>8353</v>
      </c>
      <c r="B1622" s="3">
        <v>3.3479999999999999</v>
      </c>
      <c r="E1622" s="4502"/>
      <c r="F1622" s="4502"/>
      <c r="G1622" s="4502"/>
      <c r="H1622" s="4502"/>
      <c r="I1622" s="4502"/>
      <c r="J1622" s="4502"/>
      <c r="K1622" s="4502"/>
      <c r="L1622" s="4502"/>
      <c r="M1622" s="4502"/>
    </row>
    <row r="1623" spans="1:13" hidden="1">
      <c r="A1623" s="4501" t="s">
        <v>8354</v>
      </c>
      <c r="B1623" s="3">
        <v>3.2719999999999998</v>
      </c>
      <c r="E1623" s="4502"/>
      <c r="F1623" s="4502"/>
      <c r="G1623" s="4502"/>
      <c r="H1623" s="4502"/>
      <c r="I1623" s="4502"/>
      <c r="J1623" s="4502"/>
      <c r="K1623" s="4502"/>
      <c r="L1623" s="4502"/>
      <c r="M1623" s="4502"/>
    </row>
    <row r="1624" spans="1:13" hidden="1">
      <c r="A1624" s="4501" t="s">
        <v>8355</v>
      </c>
      <c r="B1624" s="3">
        <v>3.1949999999999998</v>
      </c>
      <c r="E1624" s="4502"/>
      <c r="F1624" s="4502"/>
      <c r="G1624" s="4502"/>
      <c r="H1624" s="4502"/>
      <c r="I1624" s="4502"/>
      <c r="J1624" s="4502"/>
      <c r="K1624" s="4502"/>
      <c r="L1624" s="4502"/>
      <c r="M1624" s="4502"/>
    </row>
    <row r="1625" spans="1:13" hidden="1">
      <c r="A1625" s="4501" t="s">
        <v>8356</v>
      </c>
      <c r="B1625" s="3">
        <v>3.1949999999999998</v>
      </c>
      <c r="E1625" s="4502"/>
      <c r="F1625" s="4502"/>
      <c r="G1625" s="4502"/>
      <c r="H1625" s="4502"/>
      <c r="I1625" s="4502"/>
      <c r="J1625" s="4502"/>
      <c r="K1625" s="4502"/>
      <c r="L1625" s="4502"/>
      <c r="M1625" s="4502"/>
    </row>
    <row r="1626" spans="1:13" hidden="1">
      <c r="A1626" s="4501" t="s">
        <v>8357</v>
      </c>
      <c r="B1626" s="3">
        <v>3.1949999999999998</v>
      </c>
      <c r="E1626" s="4502"/>
      <c r="F1626" s="4502"/>
      <c r="G1626" s="4502"/>
      <c r="H1626" s="4502"/>
      <c r="I1626" s="4502"/>
      <c r="J1626" s="4502"/>
      <c r="K1626" s="4502"/>
      <c r="L1626" s="4502"/>
      <c r="M1626" s="4502"/>
    </row>
    <row r="1627" spans="1:13" hidden="1">
      <c r="A1627" s="4501" t="s">
        <v>8358</v>
      </c>
      <c r="B1627" s="3">
        <v>3.2530000000000001</v>
      </c>
      <c r="E1627" s="4502"/>
      <c r="F1627" s="4502"/>
      <c r="G1627" s="4502"/>
      <c r="H1627" s="4502"/>
      <c r="I1627" s="4502"/>
      <c r="J1627" s="4502"/>
      <c r="K1627" s="4502"/>
      <c r="L1627" s="4502"/>
      <c r="M1627" s="4502"/>
    </row>
    <row r="1628" spans="1:13" hidden="1">
      <c r="A1628" s="4501" t="s">
        <v>8359</v>
      </c>
      <c r="B1628" s="3">
        <v>3.3109999999999999</v>
      </c>
      <c r="E1628" s="4502"/>
      <c r="F1628" s="4502"/>
      <c r="G1628" s="4502"/>
      <c r="H1628" s="4502"/>
      <c r="I1628" s="4502"/>
      <c r="J1628" s="4502"/>
      <c r="K1628" s="4502"/>
      <c r="L1628" s="4502"/>
      <c r="M1628" s="4502"/>
    </row>
    <row r="1629" spans="1:13" hidden="1">
      <c r="A1629" s="4501" t="s">
        <v>8360</v>
      </c>
      <c r="B1629" s="3">
        <v>3.2909999999999999</v>
      </c>
      <c r="E1629" s="4502"/>
      <c r="F1629" s="4502"/>
      <c r="G1629" s="4502"/>
      <c r="H1629" s="4502"/>
      <c r="I1629" s="4502"/>
      <c r="J1629" s="4502"/>
      <c r="K1629" s="4502"/>
      <c r="L1629" s="4502"/>
      <c r="M1629" s="4502"/>
    </row>
    <row r="1630" spans="1:13" hidden="1">
      <c r="A1630" s="4501" t="s">
        <v>8361</v>
      </c>
      <c r="B1630" s="3">
        <v>3.3010000000000002</v>
      </c>
      <c r="E1630" s="4502"/>
      <c r="F1630" s="4502"/>
      <c r="G1630" s="4502"/>
      <c r="H1630" s="4502"/>
      <c r="I1630" s="4502"/>
      <c r="J1630" s="4502"/>
      <c r="K1630" s="4502"/>
      <c r="L1630" s="4502"/>
      <c r="M1630" s="4502"/>
    </row>
    <row r="1631" spans="1:13" hidden="1">
      <c r="A1631" s="4501" t="s">
        <v>8362</v>
      </c>
      <c r="B1631" s="3">
        <v>3.3540000000000001</v>
      </c>
      <c r="E1631" s="4502"/>
      <c r="F1631" s="4502"/>
      <c r="G1631" s="4502"/>
      <c r="H1631" s="4502"/>
      <c r="I1631" s="4502"/>
      <c r="J1631" s="4502"/>
      <c r="K1631" s="4502"/>
      <c r="L1631" s="4502"/>
      <c r="M1631" s="4502"/>
    </row>
    <row r="1632" spans="1:13" hidden="1">
      <c r="A1632" s="4501" t="s">
        <v>8363</v>
      </c>
      <c r="B1632" s="3">
        <v>3.3540000000000001</v>
      </c>
      <c r="E1632" s="4502"/>
      <c r="F1632" s="4502"/>
      <c r="G1632" s="4502"/>
      <c r="H1632" s="4502"/>
      <c r="I1632" s="4502"/>
      <c r="J1632" s="4502"/>
      <c r="K1632" s="4502"/>
      <c r="L1632" s="4502"/>
      <c r="M1632" s="4502"/>
    </row>
    <row r="1633" spans="1:13" hidden="1">
      <c r="A1633" s="4501" t="s">
        <v>8364</v>
      </c>
      <c r="B1633" s="3">
        <v>3.3540000000000001</v>
      </c>
      <c r="E1633" s="4502"/>
      <c r="F1633" s="4502"/>
      <c r="G1633" s="4502"/>
      <c r="H1633" s="4502"/>
      <c r="I1633" s="4502"/>
      <c r="J1633" s="4502"/>
      <c r="K1633" s="4502"/>
      <c r="L1633" s="4502"/>
      <c r="M1633" s="4502"/>
    </row>
    <row r="1634" spans="1:13" hidden="1">
      <c r="A1634" s="4501" t="s">
        <v>8365</v>
      </c>
      <c r="B1634" s="3">
        <v>3.375</v>
      </c>
      <c r="E1634" s="4502"/>
      <c r="F1634" s="4502"/>
      <c r="G1634" s="4502"/>
      <c r="H1634" s="4502"/>
      <c r="I1634" s="4502"/>
      <c r="J1634" s="4502"/>
      <c r="K1634" s="4502"/>
      <c r="L1634" s="4502"/>
      <c r="M1634" s="4502"/>
    </row>
    <row r="1635" spans="1:13" hidden="1">
      <c r="A1635" s="4501" t="s">
        <v>8366</v>
      </c>
      <c r="B1635" s="3">
        <v>3.1949999999999998</v>
      </c>
      <c r="E1635" s="4502"/>
      <c r="F1635" s="4502"/>
      <c r="G1635" s="4502"/>
      <c r="H1635" s="4502"/>
      <c r="I1635" s="4502"/>
      <c r="J1635" s="4502"/>
      <c r="K1635" s="4502"/>
      <c r="L1635" s="4502"/>
      <c r="M1635" s="4502"/>
    </row>
    <row r="1636" spans="1:13" hidden="1">
      <c r="A1636" s="4501" t="s">
        <v>8367</v>
      </c>
      <c r="B1636" s="3">
        <v>3.177</v>
      </c>
      <c r="E1636" s="4502"/>
      <c r="F1636" s="4502"/>
      <c r="G1636" s="4502"/>
      <c r="H1636" s="4502"/>
      <c r="I1636" s="4502"/>
      <c r="J1636" s="4502"/>
      <c r="K1636" s="4502"/>
      <c r="L1636" s="4502"/>
      <c r="M1636" s="4502"/>
    </row>
    <row r="1637" spans="1:13" hidden="1">
      <c r="A1637" s="4501" t="s">
        <v>8368</v>
      </c>
      <c r="B1637" s="3">
        <v>3.0840000000000001</v>
      </c>
      <c r="E1637" s="4502"/>
      <c r="F1637" s="4502"/>
      <c r="G1637" s="4502"/>
      <c r="H1637" s="4502"/>
      <c r="I1637" s="4502"/>
      <c r="J1637" s="4502"/>
      <c r="K1637" s="4502"/>
      <c r="L1637" s="4502"/>
      <c r="M1637" s="4502"/>
    </row>
    <row r="1638" spans="1:13" hidden="1">
      <c r="A1638" s="4501" t="s">
        <v>8369</v>
      </c>
      <c r="B1638" s="3">
        <v>3.0310000000000001</v>
      </c>
      <c r="E1638" s="4502"/>
      <c r="F1638" s="4502"/>
      <c r="G1638" s="4502"/>
      <c r="H1638" s="4502"/>
      <c r="I1638" s="4502"/>
      <c r="J1638" s="4502"/>
      <c r="K1638" s="4502"/>
      <c r="L1638" s="4502"/>
      <c r="M1638" s="4502"/>
    </row>
    <row r="1639" spans="1:13" hidden="1">
      <c r="A1639" s="4501" t="s">
        <v>8370</v>
      </c>
      <c r="B1639" s="3">
        <v>3.0310000000000001</v>
      </c>
      <c r="E1639" s="4502"/>
      <c r="F1639" s="4502"/>
      <c r="G1639" s="4502"/>
      <c r="H1639" s="4502"/>
      <c r="I1639" s="4502"/>
      <c r="J1639" s="4502"/>
      <c r="K1639" s="4502"/>
      <c r="L1639" s="4502"/>
      <c r="M1639" s="4502"/>
    </row>
    <row r="1640" spans="1:13" hidden="1">
      <c r="A1640" s="4501" t="s">
        <v>8371</v>
      </c>
      <c r="B1640" s="3">
        <v>3.0310000000000001</v>
      </c>
      <c r="E1640" s="4502"/>
      <c r="F1640" s="4502"/>
      <c r="G1640" s="4502"/>
      <c r="H1640" s="4502"/>
      <c r="I1640" s="4502"/>
      <c r="J1640" s="4502"/>
      <c r="K1640" s="4502"/>
      <c r="L1640" s="4502"/>
      <c r="M1640" s="4502"/>
    </row>
    <row r="1641" spans="1:13" hidden="1">
      <c r="A1641" s="4501" t="s">
        <v>8372</v>
      </c>
      <c r="B1641" s="3">
        <v>2.9990000000000001</v>
      </c>
      <c r="E1641" s="4502"/>
      <c r="F1641" s="4502"/>
      <c r="G1641" s="4502"/>
      <c r="H1641" s="4502"/>
      <c r="I1641" s="4502"/>
      <c r="J1641" s="4502"/>
      <c r="K1641" s="4502"/>
      <c r="L1641" s="4502"/>
      <c r="M1641" s="4502"/>
    </row>
    <row r="1642" spans="1:13" hidden="1">
      <c r="A1642" s="4501" t="s">
        <v>8373</v>
      </c>
      <c r="B1642" s="3">
        <v>3.073</v>
      </c>
      <c r="E1642" s="4502"/>
      <c r="F1642" s="4502"/>
      <c r="G1642" s="4502"/>
      <c r="H1642" s="4502"/>
      <c r="I1642" s="4502"/>
      <c r="J1642" s="4502"/>
      <c r="K1642" s="4502"/>
      <c r="L1642" s="4502"/>
      <c r="M1642" s="4502"/>
    </row>
    <row r="1643" spans="1:13" hidden="1">
      <c r="A1643" s="4501" t="s">
        <v>8374</v>
      </c>
      <c r="B1643" s="3">
        <v>3.1509999999999998</v>
      </c>
      <c r="E1643" s="4502"/>
      <c r="F1643" s="4502"/>
      <c r="G1643" s="4502"/>
      <c r="H1643" s="4502"/>
      <c r="I1643" s="4502"/>
      <c r="J1643" s="4502"/>
      <c r="K1643" s="4502"/>
      <c r="L1643" s="4502"/>
      <c r="M1643" s="4502"/>
    </row>
    <row r="1644" spans="1:13" hidden="1">
      <c r="A1644" s="4501" t="s">
        <v>8375</v>
      </c>
      <c r="B1644" s="3">
        <v>3.0939999999999999</v>
      </c>
      <c r="E1644" s="4502"/>
      <c r="F1644" s="4502"/>
      <c r="G1644" s="4502"/>
      <c r="H1644" s="4502"/>
      <c r="I1644" s="4502"/>
      <c r="J1644" s="4502"/>
      <c r="K1644" s="4502"/>
      <c r="L1644" s="4502"/>
      <c r="M1644" s="4502"/>
    </row>
    <row r="1645" spans="1:13" hidden="1">
      <c r="A1645" s="4501" t="s">
        <v>8376</v>
      </c>
      <c r="B1645" s="3">
        <v>3.1219999999999999</v>
      </c>
      <c r="E1645" s="4502"/>
      <c r="F1645" s="4502"/>
      <c r="G1645" s="4502"/>
      <c r="H1645" s="4502"/>
      <c r="I1645" s="4502"/>
      <c r="J1645" s="4502"/>
      <c r="K1645" s="4502"/>
      <c r="L1645" s="4502"/>
      <c r="M1645" s="4502"/>
    </row>
    <row r="1646" spans="1:13" hidden="1">
      <c r="A1646" s="4501" t="s">
        <v>8377</v>
      </c>
      <c r="B1646" s="3">
        <v>3.1219999999999999</v>
      </c>
      <c r="E1646" s="4502"/>
      <c r="F1646" s="4502"/>
      <c r="G1646" s="4502"/>
      <c r="H1646" s="4502"/>
      <c r="I1646" s="4502"/>
      <c r="J1646" s="4502"/>
      <c r="K1646" s="4502"/>
      <c r="L1646" s="4502"/>
      <c r="M1646" s="4502"/>
    </row>
    <row r="1647" spans="1:13" hidden="1">
      <c r="A1647" s="4501" t="s">
        <v>8378</v>
      </c>
      <c r="B1647" s="3">
        <v>3.1219999999999999</v>
      </c>
      <c r="E1647" s="4502"/>
      <c r="F1647" s="4502"/>
      <c r="G1647" s="4502"/>
      <c r="H1647" s="4502"/>
      <c r="I1647" s="4502"/>
      <c r="J1647" s="4502"/>
      <c r="K1647" s="4502"/>
      <c r="L1647" s="4502"/>
      <c r="M1647" s="4502"/>
    </row>
    <row r="1648" spans="1:13" hidden="1">
      <c r="A1648" s="4501" t="s">
        <v>8379</v>
      </c>
      <c r="B1648" s="3">
        <v>2.8639999999999999</v>
      </c>
      <c r="E1648" s="4502"/>
      <c r="F1648" s="4502"/>
      <c r="G1648" s="4502"/>
      <c r="H1648" s="4502"/>
      <c r="I1648" s="4502"/>
      <c r="J1648" s="4502"/>
      <c r="K1648" s="4502"/>
      <c r="L1648" s="4502"/>
      <c r="M1648" s="4502"/>
    </row>
    <row r="1649" spans="1:13" hidden="1">
      <c r="A1649" s="4501" t="s">
        <v>8380</v>
      </c>
      <c r="B1649" s="3">
        <v>2.8439999999999999</v>
      </c>
      <c r="E1649" s="4502"/>
      <c r="F1649" s="4502"/>
      <c r="G1649" s="4502"/>
      <c r="H1649" s="4502"/>
      <c r="I1649" s="4502"/>
      <c r="J1649" s="4502"/>
      <c r="K1649" s="4502"/>
      <c r="L1649" s="4502"/>
      <c r="M1649" s="4502"/>
    </row>
    <row r="1650" spans="1:13" hidden="1">
      <c r="A1650" s="4501" t="s">
        <v>8381</v>
      </c>
      <c r="B1650" s="3">
        <v>2.8380000000000001</v>
      </c>
      <c r="E1650" s="4502"/>
      <c r="F1650" s="4502"/>
      <c r="G1650" s="4502"/>
      <c r="H1650" s="4502"/>
      <c r="I1650" s="4502"/>
      <c r="J1650" s="4502"/>
      <c r="K1650" s="4502"/>
      <c r="L1650" s="4502"/>
      <c r="M1650" s="4502"/>
    </row>
    <row r="1651" spans="1:13" hidden="1">
      <c r="A1651" s="4501" t="s">
        <v>8382</v>
      </c>
      <c r="B1651" s="3">
        <v>2.72</v>
      </c>
      <c r="E1651" s="4502"/>
      <c r="F1651" s="4502"/>
      <c r="G1651" s="4502"/>
      <c r="H1651" s="4502"/>
      <c r="I1651" s="4502"/>
      <c r="J1651" s="4502"/>
      <c r="K1651" s="4502"/>
      <c r="L1651" s="4502"/>
      <c r="M1651" s="4502"/>
    </row>
    <row r="1652" spans="1:13" hidden="1">
      <c r="A1652" s="4501" t="s">
        <v>8383</v>
      </c>
      <c r="B1652" s="3">
        <v>2.77</v>
      </c>
      <c r="E1652" s="4502"/>
      <c r="F1652" s="4502"/>
      <c r="G1652" s="4502"/>
      <c r="H1652" s="4502"/>
      <c r="I1652" s="4502"/>
      <c r="J1652" s="4502"/>
      <c r="K1652" s="4502"/>
      <c r="L1652" s="4502"/>
      <c r="M1652" s="4502"/>
    </row>
    <row r="1653" spans="1:13" hidden="1">
      <c r="A1653" s="4501" t="s">
        <v>8384</v>
      </c>
      <c r="B1653" s="3">
        <v>2.77</v>
      </c>
      <c r="E1653" s="4502"/>
      <c r="F1653" s="4502"/>
      <c r="G1653" s="4502"/>
      <c r="H1653" s="4502"/>
      <c r="I1653" s="4502"/>
      <c r="J1653" s="4502"/>
      <c r="K1653" s="4502"/>
      <c r="L1653" s="4502"/>
      <c r="M1653" s="4502"/>
    </row>
    <row r="1654" spans="1:13" hidden="1">
      <c r="A1654" s="4501" t="s">
        <v>8385</v>
      </c>
      <c r="B1654" s="3">
        <v>2.77</v>
      </c>
      <c r="E1654" s="4502"/>
      <c r="F1654" s="4502"/>
      <c r="G1654" s="4502"/>
      <c r="H1654" s="4502"/>
      <c r="I1654" s="4502"/>
      <c r="J1654" s="4502"/>
      <c r="K1654" s="4502"/>
      <c r="L1654" s="4502"/>
      <c r="M1654" s="4502"/>
    </row>
    <row r="1655" spans="1:13" hidden="1">
      <c r="A1655" s="4501" t="s">
        <v>8386</v>
      </c>
      <c r="B1655" s="3">
        <v>2.823</v>
      </c>
      <c r="E1655" s="4502"/>
      <c r="F1655" s="4502"/>
      <c r="G1655" s="4502"/>
      <c r="H1655" s="4502"/>
      <c r="I1655" s="4502"/>
      <c r="J1655" s="4502"/>
      <c r="K1655" s="4502"/>
      <c r="L1655" s="4502"/>
      <c r="M1655" s="4502"/>
    </row>
    <row r="1656" spans="1:13" hidden="1">
      <c r="A1656" s="4501" t="s">
        <v>8387</v>
      </c>
      <c r="B1656" s="3">
        <v>2.9</v>
      </c>
      <c r="E1656" s="4502"/>
      <c r="F1656" s="4502"/>
      <c r="G1656" s="4502"/>
      <c r="H1656" s="4502"/>
      <c r="I1656" s="4502"/>
      <c r="J1656" s="4502"/>
      <c r="K1656" s="4502"/>
      <c r="L1656" s="4502"/>
      <c r="M1656" s="4502"/>
    </row>
    <row r="1657" spans="1:13" hidden="1">
      <c r="A1657" s="4501" t="s">
        <v>8388</v>
      </c>
      <c r="B1657" s="3">
        <v>2.9609999999999999</v>
      </c>
      <c r="E1657" s="4502"/>
      <c r="F1657" s="4502"/>
      <c r="G1657" s="4502"/>
      <c r="H1657" s="4502"/>
      <c r="I1657" s="4502"/>
      <c r="J1657" s="4502"/>
      <c r="K1657" s="4502"/>
      <c r="L1657" s="4502"/>
      <c r="M1657" s="4502"/>
    </row>
    <row r="1658" spans="1:13" hidden="1">
      <c r="A1658" s="4501" t="s">
        <v>8389</v>
      </c>
      <c r="B1658" s="3">
        <v>2.9609999999999999</v>
      </c>
      <c r="E1658" s="4502"/>
      <c r="F1658" s="4502"/>
      <c r="G1658" s="4502"/>
      <c r="H1658" s="4502"/>
      <c r="I1658" s="4502"/>
      <c r="J1658" s="4502"/>
      <c r="K1658" s="4502"/>
      <c r="L1658" s="4502"/>
      <c r="M1658" s="4502"/>
    </row>
    <row r="1659" spans="1:13" hidden="1">
      <c r="A1659" s="4501" t="s">
        <v>8390</v>
      </c>
      <c r="B1659" s="3">
        <v>2.843</v>
      </c>
      <c r="E1659" s="4502"/>
      <c r="F1659" s="4502"/>
      <c r="G1659" s="4502"/>
      <c r="H1659" s="4502"/>
      <c r="I1659" s="4502"/>
      <c r="J1659" s="4502"/>
      <c r="K1659" s="4502"/>
      <c r="L1659" s="4502"/>
      <c r="M1659" s="4502"/>
    </row>
    <row r="1660" spans="1:13" hidden="1">
      <c r="A1660" s="4501" t="s">
        <v>8391</v>
      </c>
      <c r="B1660" s="3">
        <v>2.843</v>
      </c>
      <c r="E1660" s="4502"/>
      <c r="F1660" s="4502"/>
      <c r="G1660" s="4502"/>
      <c r="H1660" s="4502"/>
      <c r="I1660" s="4502"/>
      <c r="J1660" s="4502"/>
      <c r="K1660" s="4502"/>
      <c r="L1660" s="4502"/>
      <c r="M1660" s="4502"/>
    </row>
    <row r="1661" spans="1:13" hidden="1">
      <c r="A1661" s="4501" t="s">
        <v>8392</v>
      </c>
      <c r="B1661" s="3">
        <v>2.843</v>
      </c>
      <c r="E1661" s="4502"/>
      <c r="F1661" s="4502"/>
      <c r="G1661" s="4502"/>
      <c r="H1661" s="4502"/>
      <c r="I1661" s="4502"/>
      <c r="J1661" s="4502"/>
      <c r="K1661" s="4502"/>
      <c r="L1661" s="4502"/>
      <c r="M1661" s="4502"/>
    </row>
    <row r="1662" spans="1:13" hidden="1">
      <c r="A1662" s="4501" t="s">
        <v>8393</v>
      </c>
      <c r="B1662" s="3">
        <v>2.8820000000000001</v>
      </c>
      <c r="E1662" s="4502"/>
      <c r="F1662" s="4502"/>
      <c r="G1662" s="4502"/>
      <c r="H1662" s="4502"/>
      <c r="I1662" s="4502"/>
      <c r="J1662" s="4502"/>
      <c r="K1662" s="4502"/>
      <c r="L1662" s="4502"/>
      <c r="M1662" s="4502"/>
    </row>
    <row r="1663" spans="1:13" hidden="1">
      <c r="A1663" s="4501" t="s">
        <v>8394</v>
      </c>
      <c r="B1663" s="3">
        <v>2.88</v>
      </c>
      <c r="E1663" s="4502"/>
      <c r="F1663" s="4502"/>
      <c r="G1663" s="4502"/>
      <c r="H1663" s="4502"/>
      <c r="I1663" s="4502"/>
      <c r="J1663" s="4502"/>
      <c r="K1663" s="4502"/>
      <c r="L1663" s="4502"/>
      <c r="M1663" s="4502"/>
    </row>
    <row r="1664" spans="1:13" hidden="1">
      <c r="A1664" s="4501" t="s">
        <v>8395</v>
      </c>
      <c r="B1664" s="3">
        <v>2.78</v>
      </c>
      <c r="E1664" s="4502"/>
      <c r="F1664" s="4502"/>
      <c r="G1664" s="4502"/>
      <c r="H1664" s="4502"/>
      <c r="I1664" s="4502"/>
      <c r="J1664" s="4502"/>
      <c r="K1664" s="4502"/>
      <c r="L1664" s="4502"/>
      <c r="M1664" s="4502"/>
    </row>
    <row r="1665" spans="1:13" hidden="1">
      <c r="A1665" s="4501" t="s">
        <v>8396</v>
      </c>
      <c r="B1665" s="3">
        <v>2.5070000000000001</v>
      </c>
      <c r="E1665" s="4502"/>
      <c r="F1665" s="4502"/>
      <c r="G1665" s="4502"/>
      <c r="H1665" s="4502"/>
      <c r="I1665" s="4502"/>
      <c r="J1665" s="4502"/>
      <c r="K1665" s="4502"/>
      <c r="L1665" s="4502"/>
      <c r="M1665" s="4502"/>
    </row>
    <row r="1666" spans="1:13" hidden="1">
      <c r="A1666" s="4501" t="s">
        <v>8397</v>
      </c>
      <c r="B1666" s="3">
        <v>2.5750000000000002</v>
      </c>
      <c r="E1666" s="4502"/>
      <c r="F1666" s="4502"/>
      <c r="G1666" s="4502"/>
      <c r="H1666" s="4502"/>
      <c r="I1666" s="4502"/>
      <c r="J1666" s="4502"/>
      <c r="K1666" s="4502"/>
      <c r="L1666" s="4502"/>
      <c r="M1666" s="4502"/>
    </row>
    <row r="1667" spans="1:13" hidden="1">
      <c r="A1667" s="4501" t="s">
        <v>8398</v>
      </c>
      <c r="B1667" s="3">
        <v>2.5750000000000002</v>
      </c>
      <c r="E1667" s="4502"/>
      <c r="F1667" s="4502"/>
      <c r="G1667" s="4502"/>
      <c r="H1667" s="4502"/>
      <c r="I1667" s="4502"/>
      <c r="J1667" s="4502"/>
      <c r="K1667" s="4502"/>
      <c r="L1667" s="4502"/>
      <c r="M1667" s="4502"/>
    </row>
    <row r="1668" spans="1:13" hidden="1">
      <c r="A1668" s="4501" t="s">
        <v>8399</v>
      </c>
      <c r="B1668" s="3">
        <v>2.5750000000000002</v>
      </c>
      <c r="E1668" s="4502"/>
      <c r="F1668" s="4502"/>
      <c r="G1668" s="4502"/>
      <c r="H1668" s="4502"/>
      <c r="I1668" s="4502"/>
      <c r="J1668" s="4502"/>
      <c r="K1668" s="4502"/>
      <c r="L1668" s="4502"/>
      <c r="M1668" s="4502"/>
    </row>
    <row r="1669" spans="1:13" hidden="1">
      <c r="A1669" s="4501" t="s">
        <v>8400</v>
      </c>
      <c r="B1669" s="3">
        <v>2.4060000000000001</v>
      </c>
      <c r="E1669" s="4502"/>
      <c r="F1669" s="4502"/>
      <c r="G1669" s="4502"/>
      <c r="H1669" s="4502"/>
      <c r="I1669" s="4502"/>
      <c r="J1669" s="4502"/>
      <c r="K1669" s="4502"/>
      <c r="L1669" s="4502"/>
      <c r="M1669" s="4502"/>
    </row>
    <row r="1670" spans="1:13" hidden="1">
      <c r="A1670" s="4501" t="s">
        <v>8401</v>
      </c>
      <c r="B1670" s="3">
        <v>2.399</v>
      </c>
      <c r="E1670" s="4502"/>
      <c r="F1670" s="4502"/>
      <c r="G1670" s="4502"/>
      <c r="H1670" s="4502"/>
      <c r="I1670" s="4502"/>
      <c r="J1670" s="4502"/>
      <c r="K1670" s="4502"/>
      <c r="L1670" s="4502"/>
      <c r="M1670" s="4502"/>
    </row>
    <row r="1671" spans="1:13" hidden="1">
      <c r="A1671" s="4501" t="s">
        <v>8402</v>
      </c>
      <c r="B1671" s="3">
        <v>2.4420000000000002</v>
      </c>
      <c r="E1671" s="4502"/>
      <c r="F1671" s="4502"/>
      <c r="G1671" s="4502"/>
      <c r="H1671" s="4502"/>
      <c r="I1671" s="4502"/>
      <c r="J1671" s="4502"/>
      <c r="K1671" s="4502"/>
      <c r="L1671" s="4502"/>
      <c r="M1671" s="4502"/>
    </row>
    <row r="1672" spans="1:13" hidden="1">
      <c r="A1672" s="4501" t="s">
        <v>8403</v>
      </c>
      <c r="B1672" s="3">
        <v>2.5649999999999999</v>
      </c>
      <c r="E1672" s="4502"/>
      <c r="F1672" s="4502"/>
      <c r="G1672" s="4502"/>
      <c r="H1672" s="4502"/>
      <c r="I1672" s="4502"/>
      <c r="J1672" s="4502"/>
      <c r="K1672" s="4502"/>
      <c r="L1672" s="4502"/>
      <c r="M1672" s="4502"/>
    </row>
    <row r="1673" spans="1:13" hidden="1">
      <c r="A1673" s="4501" t="s">
        <v>8404</v>
      </c>
      <c r="B1673" s="3">
        <v>2.597</v>
      </c>
      <c r="E1673" s="4502"/>
      <c r="F1673" s="4502"/>
      <c r="G1673" s="4502"/>
      <c r="H1673" s="4502"/>
      <c r="I1673" s="4502"/>
      <c r="J1673" s="4502"/>
      <c r="K1673" s="4502"/>
      <c r="L1673" s="4502"/>
      <c r="M1673" s="4502"/>
    </row>
    <row r="1674" spans="1:13" hidden="1">
      <c r="A1674" s="4501" t="s">
        <v>8405</v>
      </c>
      <c r="B1674" s="3">
        <v>2.597</v>
      </c>
      <c r="E1674" s="4502"/>
      <c r="F1674" s="4502"/>
      <c r="G1674" s="4502"/>
      <c r="H1674" s="4502"/>
      <c r="I1674" s="4502"/>
      <c r="J1674" s="4502"/>
      <c r="K1674" s="4502"/>
      <c r="L1674" s="4502"/>
      <c r="M1674" s="4502"/>
    </row>
    <row r="1675" spans="1:13" hidden="1">
      <c r="A1675" s="4501" t="s">
        <v>8406</v>
      </c>
      <c r="B1675" s="3">
        <v>2.597</v>
      </c>
      <c r="E1675" s="4502"/>
      <c r="F1675" s="4502"/>
      <c r="G1675" s="4502"/>
      <c r="H1675" s="4502"/>
      <c r="I1675" s="4502"/>
      <c r="J1675" s="4502"/>
      <c r="K1675" s="4502"/>
      <c r="L1675" s="4502"/>
      <c r="M1675" s="4502"/>
    </row>
    <row r="1676" spans="1:13" hidden="1">
      <c r="A1676" s="4501" t="s">
        <v>8407</v>
      </c>
      <c r="B1676" s="3">
        <v>2.66</v>
      </c>
      <c r="E1676" s="4502"/>
      <c r="F1676" s="4502"/>
      <c r="G1676" s="4502"/>
      <c r="H1676" s="4502"/>
      <c r="I1676" s="4502"/>
      <c r="J1676" s="4502"/>
      <c r="K1676" s="4502"/>
      <c r="L1676" s="4502"/>
      <c r="M1676" s="4502"/>
    </row>
    <row r="1677" spans="1:13" hidden="1">
      <c r="A1677" s="4501" t="s">
        <v>8408</v>
      </c>
      <c r="B1677" s="3">
        <v>2.6619999999999999</v>
      </c>
      <c r="E1677" s="4502"/>
      <c r="F1677" s="4502"/>
      <c r="G1677" s="4502"/>
      <c r="H1677" s="4502"/>
      <c r="I1677" s="4502"/>
      <c r="J1677" s="4502"/>
      <c r="K1677" s="4502"/>
      <c r="L1677" s="4502"/>
      <c r="M1677" s="4502"/>
    </row>
    <row r="1678" spans="1:13" hidden="1">
      <c r="A1678" s="4501" t="s">
        <v>8409</v>
      </c>
      <c r="B1678" s="3">
        <v>2.665</v>
      </c>
      <c r="E1678" s="4502"/>
      <c r="F1678" s="4502"/>
      <c r="G1678" s="4502"/>
      <c r="H1678" s="4502"/>
      <c r="I1678" s="4502"/>
      <c r="J1678" s="4502"/>
      <c r="K1678" s="4502"/>
      <c r="L1678" s="4502"/>
      <c r="M1678" s="4502"/>
    </row>
    <row r="1679" spans="1:13" hidden="1">
      <c r="A1679" s="4501" t="s">
        <v>8410</v>
      </c>
      <c r="B1679" s="3">
        <v>2.6190000000000002</v>
      </c>
      <c r="E1679" s="4502"/>
      <c r="F1679" s="4502"/>
      <c r="G1679" s="4502"/>
      <c r="H1679" s="4502"/>
      <c r="I1679" s="4502"/>
      <c r="J1679" s="4502"/>
      <c r="K1679" s="4502"/>
      <c r="L1679" s="4502"/>
      <c r="M1679" s="4502"/>
    </row>
    <row r="1680" spans="1:13" hidden="1">
      <c r="A1680" s="4501" t="s">
        <v>8411</v>
      </c>
      <c r="B1680" s="3">
        <v>2.6619999999999999</v>
      </c>
      <c r="E1680" s="4502"/>
      <c r="F1680" s="4502"/>
      <c r="G1680" s="4502"/>
      <c r="H1680" s="4502"/>
      <c r="I1680" s="4502"/>
      <c r="J1680" s="4502"/>
      <c r="K1680" s="4502"/>
      <c r="L1680" s="4502"/>
      <c r="M1680" s="4502"/>
    </row>
    <row r="1681" spans="1:13" hidden="1">
      <c r="A1681" s="4501" t="s">
        <v>8412</v>
      </c>
      <c r="B1681" s="3">
        <v>2.6619999999999999</v>
      </c>
      <c r="E1681" s="4502"/>
      <c r="F1681" s="4502"/>
      <c r="G1681" s="4502"/>
      <c r="H1681" s="4502"/>
      <c r="I1681" s="4502"/>
      <c r="J1681" s="4502"/>
      <c r="K1681" s="4502"/>
      <c r="L1681" s="4502"/>
      <c r="M1681" s="4502"/>
    </row>
    <row r="1682" spans="1:13" hidden="1">
      <c r="A1682" s="4501" t="s">
        <v>8413</v>
      </c>
      <c r="B1682" s="3">
        <v>2.6619999999999999</v>
      </c>
      <c r="E1682" s="4502"/>
      <c r="F1682" s="4502"/>
      <c r="G1682" s="4502"/>
      <c r="H1682" s="4502"/>
      <c r="I1682" s="4502"/>
      <c r="J1682" s="4502"/>
      <c r="K1682" s="4502"/>
      <c r="L1682" s="4502"/>
      <c r="M1682" s="4502"/>
    </row>
    <row r="1683" spans="1:13" hidden="1">
      <c r="A1683" s="4501" t="s">
        <v>8414</v>
      </c>
      <c r="B1683" s="3">
        <v>2.67</v>
      </c>
      <c r="E1683" s="4502"/>
      <c r="F1683" s="4502"/>
      <c r="G1683" s="4502"/>
      <c r="H1683" s="4502"/>
      <c r="I1683" s="4502"/>
      <c r="J1683" s="4502"/>
      <c r="K1683" s="4502"/>
      <c r="L1683" s="4502"/>
      <c r="M1683" s="4502"/>
    </row>
    <row r="1684" spans="1:13" hidden="1">
      <c r="A1684" s="4501" t="s">
        <v>8415</v>
      </c>
      <c r="B1684" s="3">
        <v>2.726</v>
      </c>
      <c r="E1684" s="4502"/>
      <c r="F1684" s="4502"/>
      <c r="G1684" s="4502"/>
      <c r="H1684" s="4502"/>
      <c r="I1684" s="4502"/>
      <c r="J1684" s="4502"/>
      <c r="K1684" s="4502"/>
      <c r="L1684" s="4502"/>
      <c r="M1684" s="4502"/>
    </row>
    <row r="1685" spans="1:13" hidden="1">
      <c r="A1685" s="4501" t="s">
        <v>8416</v>
      </c>
      <c r="B1685" s="3">
        <v>2.5710000000000002</v>
      </c>
      <c r="E1685" s="4502"/>
      <c r="F1685" s="4502"/>
      <c r="G1685" s="4502"/>
      <c r="H1685" s="4502"/>
      <c r="I1685" s="4502"/>
      <c r="J1685" s="4502"/>
      <c r="K1685" s="4502"/>
      <c r="L1685" s="4502"/>
      <c r="M1685" s="4502"/>
    </row>
    <row r="1686" spans="1:13" hidden="1">
      <c r="A1686" s="4501" t="s">
        <v>8417</v>
      </c>
      <c r="B1686" s="3">
        <v>2.4980000000000002</v>
      </c>
      <c r="E1686" s="4502"/>
      <c r="F1686" s="4502"/>
      <c r="G1686" s="4502"/>
      <c r="H1686" s="4502"/>
      <c r="I1686" s="4502"/>
      <c r="J1686" s="4502"/>
      <c r="K1686" s="4502"/>
      <c r="L1686" s="4502"/>
      <c r="M1686" s="4502"/>
    </row>
    <row r="1687" spans="1:13" hidden="1">
      <c r="A1687" s="4501" t="s">
        <v>8418</v>
      </c>
      <c r="B1687" s="3">
        <v>2.4980000000000002</v>
      </c>
      <c r="E1687" s="4502"/>
      <c r="F1687" s="4502"/>
      <c r="G1687" s="4502"/>
      <c r="H1687" s="4502"/>
      <c r="I1687" s="4502"/>
      <c r="J1687" s="4502"/>
      <c r="K1687" s="4502"/>
      <c r="L1687" s="4502"/>
      <c r="M1687" s="4502"/>
    </row>
    <row r="1688" spans="1:13" hidden="1">
      <c r="A1688" s="4501" t="s">
        <v>8419</v>
      </c>
      <c r="B1688" s="3">
        <v>2.4980000000000002</v>
      </c>
      <c r="E1688" s="4502"/>
      <c r="F1688" s="4502"/>
      <c r="G1688" s="4502"/>
      <c r="H1688" s="4502"/>
      <c r="I1688" s="4502"/>
      <c r="J1688" s="4502"/>
      <c r="K1688" s="4502"/>
      <c r="L1688" s="4502"/>
      <c r="M1688" s="4502"/>
    </row>
    <row r="1689" spans="1:13" hidden="1">
      <c r="A1689" s="4501" t="s">
        <v>8420</v>
      </c>
      <c r="B1689" s="3">
        <v>2.4980000000000002</v>
      </c>
      <c r="E1689" s="4502"/>
      <c r="F1689" s="4502"/>
      <c r="G1689" s="4502"/>
      <c r="H1689" s="4502"/>
      <c r="I1689" s="4502"/>
      <c r="J1689" s="4502"/>
      <c r="K1689" s="4502"/>
      <c r="L1689" s="4502"/>
      <c r="M1689" s="4502"/>
    </row>
    <row r="1690" spans="1:13" hidden="1">
      <c r="A1690" s="4501" t="s">
        <v>8421</v>
      </c>
      <c r="B1690" s="3">
        <v>2.3290000000000002</v>
      </c>
      <c r="E1690" s="4502"/>
      <c r="F1690" s="4502"/>
      <c r="G1690" s="4502"/>
      <c r="H1690" s="4502"/>
      <c r="I1690" s="4502"/>
      <c r="J1690" s="4502"/>
      <c r="K1690" s="4502"/>
      <c r="L1690" s="4502"/>
      <c r="M1690" s="4502"/>
    </row>
    <row r="1691" spans="1:13" hidden="1">
      <c r="A1691" s="4501" t="s">
        <v>8422</v>
      </c>
      <c r="B1691" s="3">
        <v>2.4390000000000001</v>
      </c>
      <c r="E1691" s="4502"/>
      <c r="F1691" s="4502"/>
      <c r="G1691" s="4502"/>
      <c r="H1691" s="4502"/>
      <c r="I1691" s="4502"/>
      <c r="J1691" s="4502"/>
      <c r="K1691" s="4502"/>
      <c r="L1691" s="4502"/>
      <c r="M1691" s="4502"/>
    </row>
    <row r="1692" spans="1:13" hidden="1">
      <c r="A1692" s="4501" t="s">
        <v>8423</v>
      </c>
      <c r="B1692" s="3">
        <v>2.4220000000000002</v>
      </c>
      <c r="E1692" s="4502"/>
      <c r="F1692" s="4502"/>
      <c r="G1692" s="4502"/>
      <c r="H1692" s="4502"/>
      <c r="I1692" s="4502"/>
      <c r="J1692" s="4502"/>
      <c r="K1692" s="4502"/>
      <c r="L1692" s="4502"/>
      <c r="M1692" s="4502"/>
    </row>
    <row r="1693" spans="1:13" hidden="1">
      <c r="A1693" s="4501" t="s">
        <v>8424</v>
      </c>
      <c r="B1693" s="3">
        <v>2.5259999999999998</v>
      </c>
      <c r="E1693" s="4502"/>
      <c r="F1693" s="4502"/>
      <c r="G1693" s="4502"/>
      <c r="H1693" s="4502"/>
      <c r="I1693" s="4502"/>
      <c r="J1693" s="4502"/>
      <c r="K1693" s="4502"/>
      <c r="L1693" s="4502"/>
      <c r="M1693" s="4502"/>
    </row>
    <row r="1694" spans="1:13" hidden="1">
      <c r="A1694" s="4501" t="s">
        <v>8425</v>
      </c>
      <c r="B1694" s="3">
        <v>2.5259999999999998</v>
      </c>
      <c r="E1694" s="4502"/>
      <c r="F1694" s="4502"/>
      <c r="G1694" s="4502"/>
      <c r="H1694" s="4502"/>
      <c r="I1694" s="4502"/>
      <c r="J1694" s="4502"/>
      <c r="K1694" s="4502"/>
      <c r="L1694" s="4502"/>
      <c r="M1694" s="4502"/>
    </row>
    <row r="1695" spans="1:13" hidden="1">
      <c r="A1695" s="4501" t="s">
        <v>8426</v>
      </c>
      <c r="B1695" s="3">
        <v>2.5259999999999998</v>
      </c>
      <c r="E1695" s="4502"/>
      <c r="F1695" s="4502"/>
      <c r="G1695" s="4502"/>
      <c r="H1695" s="4502"/>
      <c r="I1695" s="4502"/>
      <c r="J1695" s="4502"/>
      <c r="K1695" s="4502"/>
      <c r="L1695" s="4502"/>
      <c r="M1695" s="4502"/>
    </row>
    <row r="1696" spans="1:13" hidden="1">
      <c r="A1696" s="4501" t="s">
        <v>8427</v>
      </c>
      <c r="B1696" s="3">
        <v>2.5259999999999998</v>
      </c>
      <c r="E1696" s="4502"/>
      <c r="F1696" s="4502"/>
      <c r="G1696" s="4502"/>
      <c r="H1696" s="4502"/>
      <c r="I1696" s="4502"/>
      <c r="J1696" s="4502"/>
      <c r="K1696" s="4502"/>
      <c r="L1696" s="4502"/>
      <c r="M1696" s="4502"/>
    </row>
    <row r="1697" spans="1:13" hidden="1">
      <c r="A1697" s="4501" t="s">
        <v>8428</v>
      </c>
      <c r="B1697" s="3">
        <v>2.5609999999999999</v>
      </c>
      <c r="E1697" s="4502"/>
      <c r="F1697" s="4502"/>
      <c r="G1697" s="4502"/>
      <c r="H1697" s="4502"/>
      <c r="I1697" s="4502"/>
      <c r="J1697" s="4502"/>
      <c r="K1697" s="4502"/>
      <c r="L1697" s="4502"/>
      <c r="M1697" s="4502"/>
    </row>
    <row r="1698" spans="1:13" hidden="1">
      <c r="A1698" s="4501" t="s">
        <v>8429</v>
      </c>
      <c r="B1698" s="3">
        <v>2.673</v>
      </c>
      <c r="E1698" s="4502"/>
      <c r="F1698" s="4502"/>
      <c r="G1698" s="4502"/>
      <c r="H1698" s="4502"/>
      <c r="I1698" s="4502"/>
      <c r="J1698" s="4502"/>
      <c r="K1698" s="4502"/>
      <c r="L1698" s="4502"/>
      <c r="M1698" s="4502"/>
    </row>
    <row r="1699" spans="1:13" hidden="1">
      <c r="A1699" s="4501" t="s">
        <v>8430</v>
      </c>
      <c r="B1699" s="3">
        <v>2.6840000000000002</v>
      </c>
      <c r="E1699" s="4502"/>
      <c r="F1699" s="4502"/>
      <c r="G1699" s="4502"/>
      <c r="H1699" s="4502"/>
      <c r="I1699" s="4502"/>
      <c r="J1699" s="4502"/>
      <c r="K1699" s="4502"/>
      <c r="L1699" s="4502"/>
      <c r="M1699" s="4502"/>
    </row>
    <row r="1700" spans="1:13" hidden="1">
      <c r="A1700" s="4501" t="s">
        <v>8431</v>
      </c>
      <c r="B1700" s="3">
        <v>2.6909999999999998</v>
      </c>
      <c r="E1700" s="4502"/>
      <c r="F1700" s="4502"/>
      <c r="G1700" s="4502"/>
      <c r="H1700" s="4502"/>
      <c r="I1700" s="4502"/>
      <c r="J1700" s="4502"/>
      <c r="K1700" s="4502"/>
      <c r="L1700" s="4502"/>
      <c r="M1700" s="4502"/>
    </row>
    <row r="1701" spans="1:13" hidden="1">
      <c r="A1701" s="4501" t="s">
        <v>8432</v>
      </c>
      <c r="B1701" s="3">
        <v>2.6560000000000001</v>
      </c>
      <c r="E1701" s="4502"/>
      <c r="F1701" s="4502"/>
      <c r="G1701" s="4502"/>
      <c r="H1701" s="4502"/>
      <c r="I1701" s="4502"/>
      <c r="J1701" s="4502"/>
      <c r="K1701" s="4502"/>
      <c r="L1701" s="4502"/>
      <c r="M1701" s="4502"/>
    </row>
    <row r="1702" spans="1:13" hidden="1">
      <c r="A1702" s="4501" t="s">
        <v>8433</v>
      </c>
      <c r="B1702" s="3">
        <v>2.6560000000000001</v>
      </c>
      <c r="E1702" s="4502"/>
      <c r="F1702" s="4502"/>
      <c r="G1702" s="4502"/>
      <c r="H1702" s="4502"/>
      <c r="I1702" s="4502"/>
      <c r="J1702" s="4502"/>
      <c r="K1702" s="4502"/>
      <c r="L1702" s="4502"/>
      <c r="M1702" s="4502"/>
    </row>
    <row r="1703" spans="1:13" hidden="1">
      <c r="A1703" s="4501" t="s">
        <v>8434</v>
      </c>
      <c r="B1703" s="3">
        <v>2.6560000000000001</v>
      </c>
      <c r="E1703" s="4502"/>
      <c r="F1703" s="4502"/>
      <c r="G1703" s="4502"/>
      <c r="H1703" s="4502"/>
      <c r="I1703" s="4502"/>
      <c r="J1703" s="4502"/>
      <c r="K1703" s="4502"/>
      <c r="L1703" s="4502"/>
      <c r="M1703" s="4502"/>
    </row>
    <row r="1704" spans="1:13" hidden="1">
      <c r="A1704" s="4501" t="s">
        <v>8435</v>
      </c>
      <c r="B1704" s="3">
        <v>2.7029999999999998</v>
      </c>
      <c r="E1704" s="4502"/>
      <c r="F1704" s="4502"/>
      <c r="G1704" s="4502"/>
      <c r="H1704" s="4502"/>
      <c r="I1704" s="4502"/>
      <c r="J1704" s="4502"/>
      <c r="K1704" s="4502"/>
      <c r="L1704" s="4502"/>
      <c r="M1704" s="4502"/>
    </row>
    <row r="1705" spans="1:13" hidden="1">
      <c r="A1705" s="4501" t="s">
        <v>8436</v>
      </c>
      <c r="B1705" s="3">
        <v>2.7069999999999999</v>
      </c>
      <c r="E1705" s="4502"/>
      <c r="F1705" s="4502"/>
      <c r="G1705" s="4502"/>
      <c r="H1705" s="4502"/>
      <c r="I1705" s="4502"/>
      <c r="J1705" s="4502"/>
      <c r="K1705" s="4502"/>
      <c r="L1705" s="4502"/>
      <c r="M1705" s="4502"/>
    </row>
    <row r="1706" spans="1:13" hidden="1">
      <c r="A1706" s="4501" t="s">
        <v>8437</v>
      </c>
      <c r="B1706" s="3">
        <v>2.6890000000000001</v>
      </c>
      <c r="E1706" s="4502"/>
      <c r="F1706" s="4502"/>
      <c r="G1706" s="4502"/>
      <c r="H1706" s="4502"/>
      <c r="I1706" s="4502"/>
      <c r="J1706" s="4502"/>
      <c r="K1706" s="4502"/>
      <c r="L1706" s="4502"/>
      <c r="M1706" s="4502"/>
    </row>
    <row r="1707" spans="1:13" hidden="1">
      <c r="A1707" s="4501" t="s">
        <v>8438</v>
      </c>
      <c r="B1707" s="3">
        <v>2.63</v>
      </c>
      <c r="E1707" s="4502"/>
      <c r="F1707" s="4502"/>
      <c r="G1707" s="4502"/>
      <c r="H1707" s="4502"/>
      <c r="I1707" s="4502"/>
      <c r="J1707" s="4502"/>
      <c r="K1707" s="4502"/>
      <c r="L1707" s="4502"/>
      <c r="M1707" s="4502"/>
    </row>
    <row r="1708" spans="1:13" hidden="1">
      <c r="A1708" s="4501" t="s">
        <v>8439</v>
      </c>
      <c r="B1708" s="3">
        <v>2.6960000000000002</v>
      </c>
      <c r="E1708" s="4502"/>
      <c r="F1708" s="4502"/>
      <c r="G1708" s="4502"/>
      <c r="H1708" s="4502"/>
      <c r="I1708" s="4502"/>
      <c r="J1708" s="4502"/>
      <c r="K1708" s="4502"/>
      <c r="L1708" s="4502"/>
      <c r="M1708" s="4502"/>
    </row>
    <row r="1709" spans="1:13" hidden="1">
      <c r="A1709" s="4501" t="s">
        <v>8440</v>
      </c>
      <c r="B1709" s="3">
        <v>2.6960000000000002</v>
      </c>
      <c r="E1709" s="4502"/>
      <c r="F1709" s="4502"/>
      <c r="G1709" s="4502"/>
      <c r="H1709" s="4502"/>
      <c r="I1709" s="4502"/>
      <c r="J1709" s="4502"/>
      <c r="K1709" s="4502"/>
      <c r="L1709" s="4502"/>
      <c r="M1709" s="4502"/>
    </row>
    <row r="1710" spans="1:13" hidden="1">
      <c r="A1710" s="4501" t="s">
        <v>8441</v>
      </c>
      <c r="B1710" s="3">
        <v>2.6960000000000002</v>
      </c>
      <c r="E1710" s="4502"/>
      <c r="F1710" s="4502"/>
      <c r="G1710" s="4502"/>
      <c r="H1710" s="4502"/>
      <c r="I1710" s="4502"/>
      <c r="J1710" s="4502"/>
      <c r="K1710" s="4502"/>
      <c r="L1710" s="4502"/>
      <c r="M1710" s="4502"/>
    </row>
    <row r="1711" spans="1:13" hidden="1">
      <c r="A1711" s="4501" t="s">
        <v>8442</v>
      </c>
      <c r="B1711" s="3">
        <v>2.6960000000000002</v>
      </c>
      <c r="E1711" s="4502"/>
      <c r="F1711" s="4502"/>
      <c r="G1711" s="4502"/>
      <c r="H1711" s="4502"/>
      <c r="I1711" s="4502"/>
      <c r="J1711" s="4502"/>
      <c r="K1711" s="4502"/>
      <c r="L1711" s="4502"/>
      <c r="M1711" s="4502"/>
    </row>
    <row r="1712" spans="1:13" hidden="1">
      <c r="A1712" s="4501" t="s">
        <v>8443</v>
      </c>
      <c r="B1712" s="3">
        <v>2.5289999999999999</v>
      </c>
      <c r="E1712" s="4502"/>
      <c r="F1712" s="4502"/>
      <c r="G1712" s="4502"/>
      <c r="H1712" s="4502"/>
      <c r="I1712" s="4502"/>
      <c r="J1712" s="4502"/>
      <c r="K1712" s="4502"/>
      <c r="L1712" s="4502"/>
      <c r="M1712" s="4502"/>
    </row>
    <row r="1713" spans="1:13" hidden="1">
      <c r="A1713" s="4501" t="s">
        <v>8444</v>
      </c>
      <c r="B1713" s="3">
        <v>2.5329999999999999</v>
      </c>
      <c r="E1713" s="4502"/>
      <c r="F1713" s="4502"/>
      <c r="G1713" s="4502"/>
      <c r="H1713" s="4502"/>
      <c r="I1713" s="4502"/>
      <c r="J1713" s="4502"/>
      <c r="K1713" s="4502"/>
      <c r="L1713" s="4502"/>
      <c r="M1713" s="4502"/>
    </row>
    <row r="1714" spans="1:13" hidden="1">
      <c r="A1714" s="4501" t="s">
        <v>8445</v>
      </c>
      <c r="B1714" s="3">
        <v>2.4969999999999999</v>
      </c>
      <c r="E1714" s="4502"/>
      <c r="F1714" s="4502"/>
      <c r="G1714" s="4502"/>
      <c r="H1714" s="4502"/>
      <c r="I1714" s="4502"/>
      <c r="J1714" s="4502"/>
      <c r="K1714" s="4502"/>
      <c r="L1714" s="4502"/>
      <c r="M1714" s="4502"/>
    </row>
    <row r="1715" spans="1:13" hidden="1">
      <c r="A1715" s="4501" t="s">
        <v>8446</v>
      </c>
      <c r="B1715" s="3">
        <v>2.456</v>
      </c>
      <c r="E1715" s="4502"/>
      <c r="F1715" s="4502"/>
      <c r="G1715" s="4502"/>
      <c r="H1715" s="4502"/>
      <c r="I1715" s="4502"/>
      <c r="J1715" s="4502"/>
      <c r="K1715" s="4502"/>
      <c r="L1715" s="4502"/>
      <c r="M1715" s="4502"/>
    </row>
    <row r="1716" spans="1:13" hidden="1">
      <c r="A1716" s="4501" t="s">
        <v>8447</v>
      </c>
      <c r="B1716" s="3">
        <v>2.456</v>
      </c>
      <c r="E1716" s="4502"/>
      <c r="F1716" s="4502"/>
      <c r="G1716" s="4502"/>
      <c r="H1716" s="4502"/>
      <c r="I1716" s="4502"/>
      <c r="J1716" s="4502"/>
      <c r="K1716" s="4502"/>
      <c r="L1716" s="4502"/>
      <c r="M1716" s="4502"/>
    </row>
    <row r="1717" spans="1:13" hidden="1">
      <c r="A1717" s="4501" t="s">
        <v>8448</v>
      </c>
      <c r="B1717" s="3">
        <v>2.456</v>
      </c>
      <c r="E1717" s="4502"/>
      <c r="F1717" s="4502"/>
      <c r="G1717" s="4502"/>
      <c r="H1717" s="4502"/>
      <c r="I1717" s="4502"/>
      <c r="J1717" s="4502"/>
      <c r="K1717" s="4502"/>
      <c r="L1717" s="4502"/>
      <c r="M1717" s="4502"/>
    </row>
    <row r="1718" spans="1:13" hidden="1">
      <c r="A1718" s="4501" t="s">
        <v>8449</v>
      </c>
      <c r="B1718" s="3">
        <v>2.5979999999999999</v>
      </c>
      <c r="E1718" s="4502"/>
      <c r="F1718" s="4502"/>
      <c r="G1718" s="4502"/>
      <c r="H1718" s="4502"/>
      <c r="I1718" s="4502"/>
      <c r="J1718" s="4502"/>
      <c r="K1718" s="4502"/>
      <c r="L1718" s="4502"/>
      <c r="M1718" s="4502"/>
    </row>
    <row r="1719" spans="1:13" hidden="1">
      <c r="A1719" s="4501" t="s">
        <v>8450</v>
      </c>
      <c r="B1719" s="3">
        <v>2.6360000000000001</v>
      </c>
      <c r="E1719" s="4502"/>
      <c r="F1719" s="4502"/>
      <c r="G1719" s="4502"/>
      <c r="H1719" s="4502"/>
      <c r="I1719" s="4502"/>
      <c r="J1719" s="4502"/>
      <c r="K1719" s="4502"/>
      <c r="L1719" s="4502"/>
      <c r="M1719" s="4502"/>
    </row>
    <row r="1720" spans="1:13" hidden="1">
      <c r="A1720" s="4501" t="s">
        <v>8451</v>
      </c>
      <c r="B1720" s="3">
        <v>2.702</v>
      </c>
      <c r="E1720" s="4502"/>
      <c r="F1720" s="4502"/>
      <c r="G1720" s="4502"/>
      <c r="H1720" s="4502"/>
      <c r="I1720" s="4502"/>
      <c r="J1720" s="4502"/>
      <c r="K1720" s="4502"/>
      <c r="L1720" s="4502"/>
      <c r="M1720" s="4502"/>
    </row>
    <row r="1721" spans="1:13" hidden="1">
      <c r="A1721" s="4501" t="s">
        <v>8452</v>
      </c>
      <c r="B1721" s="3">
        <v>2.6640000000000001</v>
      </c>
      <c r="E1721" s="4502"/>
      <c r="F1721" s="4502"/>
      <c r="G1721" s="4502"/>
      <c r="H1721" s="4502"/>
      <c r="I1721" s="4502"/>
      <c r="J1721" s="4502"/>
      <c r="K1721" s="4502"/>
      <c r="L1721" s="4502"/>
      <c r="M1721" s="4502"/>
    </row>
    <row r="1722" spans="1:13" hidden="1">
      <c r="A1722" s="4501" t="s">
        <v>8453</v>
      </c>
      <c r="B1722" s="3">
        <v>2.5640000000000001</v>
      </c>
      <c r="E1722" s="4502"/>
      <c r="F1722" s="4502"/>
      <c r="G1722" s="4502"/>
      <c r="H1722" s="4502"/>
      <c r="I1722" s="4502"/>
      <c r="J1722" s="4502"/>
      <c r="K1722" s="4502"/>
      <c r="L1722" s="4502"/>
      <c r="M1722" s="4502"/>
    </row>
    <row r="1723" spans="1:13" hidden="1">
      <c r="A1723" s="4501" t="s">
        <v>8454</v>
      </c>
      <c r="B1723" s="3">
        <v>2.5640000000000001</v>
      </c>
      <c r="E1723" s="4502"/>
      <c r="F1723" s="4502"/>
      <c r="G1723" s="4502"/>
      <c r="H1723" s="4502"/>
      <c r="I1723" s="4502"/>
      <c r="J1723" s="4502"/>
      <c r="K1723" s="4502"/>
      <c r="L1723" s="4502"/>
      <c r="M1723" s="4502"/>
    </row>
    <row r="1724" spans="1:13" hidden="1">
      <c r="A1724" s="4501" t="s">
        <v>8455</v>
      </c>
      <c r="B1724" s="3">
        <v>2.5640000000000001</v>
      </c>
      <c r="E1724" s="4502"/>
      <c r="F1724" s="4502"/>
      <c r="G1724" s="4502"/>
      <c r="H1724" s="4502"/>
      <c r="I1724" s="4502"/>
      <c r="J1724" s="4502"/>
      <c r="K1724" s="4502"/>
      <c r="L1724" s="4502"/>
      <c r="M1724" s="4502"/>
    </row>
    <row r="1725" spans="1:13" hidden="1">
      <c r="A1725" s="4501" t="s">
        <v>8456</v>
      </c>
      <c r="B1725" s="3">
        <v>2.85</v>
      </c>
      <c r="E1725" s="4502"/>
      <c r="F1725" s="4502"/>
      <c r="G1725" s="4502"/>
      <c r="H1725" s="4502"/>
      <c r="I1725" s="4502"/>
      <c r="J1725" s="4502"/>
      <c r="K1725" s="4502"/>
      <c r="L1725" s="4502"/>
      <c r="M1725" s="4502"/>
    </row>
    <row r="1726" spans="1:13" hidden="1">
      <c r="A1726" s="4501" t="s">
        <v>8457</v>
      </c>
      <c r="B1726" s="3">
        <v>2.8450000000000002</v>
      </c>
      <c r="E1726" s="4502"/>
      <c r="F1726" s="4502"/>
      <c r="G1726" s="4502"/>
      <c r="H1726" s="4502"/>
      <c r="I1726" s="4502"/>
      <c r="J1726" s="4502"/>
      <c r="K1726" s="4502"/>
      <c r="L1726" s="4502"/>
      <c r="M1726" s="4502"/>
    </row>
    <row r="1727" spans="1:13" hidden="1">
      <c r="A1727" s="4501" t="s">
        <v>8458</v>
      </c>
      <c r="B1727" s="3">
        <v>2.7890000000000001</v>
      </c>
      <c r="E1727" s="4502"/>
      <c r="F1727" s="4502"/>
      <c r="G1727" s="4502"/>
      <c r="H1727" s="4502"/>
      <c r="I1727" s="4502"/>
      <c r="J1727" s="4502"/>
      <c r="K1727" s="4502"/>
      <c r="L1727" s="4502"/>
      <c r="M1727" s="4502"/>
    </row>
    <row r="1728" spans="1:13" hidden="1">
      <c r="A1728" s="4501" t="s">
        <v>8459</v>
      </c>
      <c r="B1728" s="3">
        <v>2.9350000000000001</v>
      </c>
      <c r="E1728" s="4502"/>
      <c r="F1728" s="4502"/>
      <c r="G1728" s="4502"/>
      <c r="H1728" s="4502"/>
      <c r="I1728" s="4502"/>
      <c r="J1728" s="4502"/>
      <c r="K1728" s="4502"/>
      <c r="L1728" s="4502"/>
      <c r="M1728" s="4502"/>
    </row>
    <row r="1729" spans="1:13" hidden="1">
      <c r="A1729" s="4501" t="s">
        <v>8460</v>
      </c>
      <c r="B1729" s="3">
        <v>2.863</v>
      </c>
      <c r="E1729" s="4502"/>
      <c r="F1729" s="4502"/>
      <c r="G1729" s="4502"/>
      <c r="H1729" s="4502"/>
      <c r="I1729" s="4502"/>
      <c r="J1729" s="4502"/>
      <c r="K1729" s="4502"/>
      <c r="L1729" s="4502"/>
      <c r="M1729" s="4502"/>
    </row>
    <row r="1730" spans="1:13" hidden="1">
      <c r="A1730" s="4501" t="s">
        <v>8461</v>
      </c>
      <c r="B1730" s="3">
        <v>2.863</v>
      </c>
      <c r="E1730" s="4502"/>
      <c r="F1730" s="4502"/>
      <c r="G1730" s="4502"/>
      <c r="H1730" s="4502"/>
      <c r="I1730" s="4502"/>
      <c r="J1730" s="4502"/>
      <c r="K1730" s="4502"/>
      <c r="L1730" s="4502"/>
      <c r="M1730" s="4502"/>
    </row>
    <row r="1731" spans="1:13" hidden="1">
      <c r="A1731" s="4501" t="s">
        <v>8462</v>
      </c>
      <c r="B1731" s="3">
        <v>2.863</v>
      </c>
      <c r="E1731" s="4502"/>
      <c r="F1731" s="4502"/>
      <c r="G1731" s="4502"/>
      <c r="H1731" s="4502"/>
      <c r="I1731" s="4502"/>
      <c r="J1731" s="4502"/>
      <c r="K1731" s="4502"/>
      <c r="L1731" s="4502"/>
      <c r="M1731" s="4502"/>
    </row>
    <row r="1732" spans="1:13" hidden="1">
      <c r="A1732" s="4501" t="s">
        <v>8463</v>
      </c>
      <c r="B1732" s="3">
        <v>2.8820000000000001</v>
      </c>
      <c r="E1732" s="4502"/>
      <c r="F1732" s="4502"/>
      <c r="G1732" s="4502"/>
      <c r="H1732" s="4502"/>
      <c r="I1732" s="4502"/>
      <c r="J1732" s="4502"/>
      <c r="K1732" s="4502"/>
      <c r="L1732" s="4502"/>
      <c r="M1732" s="4502"/>
    </row>
    <row r="1733" spans="1:13" hidden="1">
      <c r="A1733" s="4501" t="s">
        <v>8464</v>
      </c>
      <c r="B1733" s="3">
        <v>2.835</v>
      </c>
      <c r="E1733" s="4502"/>
      <c r="F1733" s="4502"/>
      <c r="G1733" s="4502"/>
      <c r="H1733" s="4502"/>
      <c r="I1733" s="4502"/>
      <c r="J1733" s="4502"/>
      <c r="K1733" s="4502"/>
      <c r="L1733" s="4502"/>
      <c r="M1733" s="4502"/>
    </row>
    <row r="1734" spans="1:13" hidden="1">
      <c r="A1734" s="4501" t="s">
        <v>8465</v>
      </c>
      <c r="B1734" s="3">
        <v>2.911</v>
      </c>
      <c r="E1734" s="4502"/>
      <c r="F1734" s="4502"/>
      <c r="G1734" s="4502"/>
      <c r="H1734" s="4502"/>
      <c r="I1734" s="4502"/>
      <c r="J1734" s="4502"/>
      <c r="K1734" s="4502"/>
      <c r="L1734" s="4502"/>
      <c r="M1734" s="4502"/>
    </row>
    <row r="1735" spans="1:13" hidden="1">
      <c r="A1735" s="4501" t="s">
        <v>8466</v>
      </c>
      <c r="B1735" s="3">
        <v>2.8639999999999999</v>
      </c>
      <c r="E1735" s="4502"/>
      <c r="F1735" s="4502"/>
      <c r="G1735" s="4502"/>
      <c r="H1735" s="4502"/>
      <c r="I1735" s="4502"/>
      <c r="J1735" s="4502"/>
      <c r="K1735" s="4502"/>
      <c r="L1735" s="4502"/>
      <c r="M1735" s="4502"/>
    </row>
    <row r="1736" spans="1:13" hidden="1">
      <c r="A1736" s="4501" t="s">
        <v>8467</v>
      </c>
      <c r="B1736" s="3">
        <v>2.9</v>
      </c>
      <c r="E1736" s="4502"/>
      <c r="F1736" s="4502"/>
      <c r="G1736" s="4502"/>
      <c r="H1736" s="4502"/>
      <c r="I1736" s="4502"/>
      <c r="J1736" s="4502"/>
      <c r="K1736" s="4502"/>
      <c r="L1736" s="4502"/>
      <c r="M1736" s="4502"/>
    </row>
    <row r="1737" spans="1:13" hidden="1">
      <c r="A1737" s="4501" t="s">
        <v>8468</v>
      </c>
      <c r="B1737" s="3">
        <v>2.9</v>
      </c>
      <c r="E1737" s="4502"/>
      <c r="F1737" s="4502"/>
      <c r="G1737" s="4502"/>
      <c r="H1737" s="4502"/>
      <c r="I1737" s="4502"/>
      <c r="J1737" s="4502"/>
      <c r="K1737" s="4502"/>
      <c r="L1737" s="4502"/>
      <c r="M1737" s="4502"/>
    </row>
    <row r="1738" spans="1:13" hidden="1">
      <c r="A1738" s="4501" t="s">
        <v>8469</v>
      </c>
      <c r="B1738" s="3">
        <v>2.9</v>
      </c>
      <c r="E1738" s="4502"/>
      <c r="F1738" s="4502"/>
      <c r="G1738" s="4502"/>
      <c r="H1738" s="4502"/>
      <c r="I1738" s="4502"/>
      <c r="J1738" s="4502"/>
      <c r="K1738" s="4502"/>
      <c r="L1738" s="4502"/>
      <c r="M1738" s="4502"/>
    </row>
    <row r="1739" spans="1:13" hidden="1">
      <c r="A1739" s="4501" t="s">
        <v>8470</v>
      </c>
      <c r="B1739" s="3">
        <v>2.9</v>
      </c>
      <c r="E1739" s="4502"/>
      <c r="F1739" s="4502"/>
      <c r="G1739" s="4502"/>
      <c r="H1739" s="4502"/>
      <c r="I1739" s="4502"/>
      <c r="J1739" s="4502"/>
      <c r="K1739" s="4502"/>
      <c r="L1739" s="4502"/>
      <c r="M1739" s="4502"/>
    </row>
    <row r="1740" spans="1:13" hidden="1">
      <c r="A1740" s="4501" t="s">
        <v>8471</v>
      </c>
      <c r="B1740" s="3">
        <v>2.9950000000000001</v>
      </c>
      <c r="E1740" s="4502"/>
      <c r="F1740" s="4502"/>
      <c r="G1740" s="4502"/>
      <c r="H1740" s="4502"/>
      <c r="I1740" s="4502"/>
      <c r="J1740" s="4502"/>
      <c r="K1740" s="4502"/>
      <c r="L1740" s="4502"/>
      <c r="M1740" s="4502"/>
    </row>
    <row r="1741" spans="1:13" hidden="1">
      <c r="A1741" s="4501" t="s">
        <v>8472</v>
      </c>
      <c r="B1741" s="3">
        <v>3.04</v>
      </c>
      <c r="E1741" s="4502"/>
      <c r="F1741" s="4502"/>
      <c r="G1741" s="4502"/>
      <c r="H1741" s="4502"/>
      <c r="I1741" s="4502"/>
      <c r="J1741" s="4502"/>
      <c r="K1741" s="4502"/>
      <c r="L1741" s="4502"/>
      <c r="M1741" s="4502"/>
    </row>
    <row r="1742" spans="1:13" hidden="1">
      <c r="A1742" s="4501" t="s">
        <v>8473</v>
      </c>
      <c r="B1742" s="3">
        <v>2.9769999999999999</v>
      </c>
      <c r="E1742" s="4502"/>
      <c r="F1742" s="4502"/>
      <c r="G1742" s="4502"/>
      <c r="H1742" s="4502"/>
      <c r="I1742" s="4502"/>
      <c r="J1742" s="4502"/>
      <c r="K1742" s="4502"/>
      <c r="L1742" s="4502"/>
      <c r="M1742" s="4502"/>
    </row>
    <row r="1743" spans="1:13" hidden="1">
      <c r="A1743" s="4501" t="s">
        <v>8474</v>
      </c>
      <c r="B1743" s="3">
        <v>3.0009999999999999</v>
      </c>
      <c r="E1743" s="4502"/>
      <c r="F1743" s="4502"/>
      <c r="G1743" s="4502"/>
      <c r="H1743" s="4502"/>
      <c r="I1743" s="4502"/>
      <c r="J1743" s="4502"/>
      <c r="K1743" s="4502"/>
      <c r="L1743" s="4502"/>
      <c r="M1743" s="4502"/>
    </row>
    <row r="1744" spans="1:13" hidden="1">
      <c r="A1744" s="4501" t="s">
        <v>8475</v>
      </c>
      <c r="B1744" s="3">
        <v>3.0009999999999999</v>
      </c>
      <c r="E1744" s="4502"/>
      <c r="F1744" s="4502"/>
      <c r="G1744" s="4502"/>
      <c r="H1744" s="4502"/>
      <c r="I1744" s="4502"/>
      <c r="J1744" s="4502"/>
      <c r="K1744" s="4502"/>
      <c r="L1744" s="4502"/>
      <c r="M1744" s="4502"/>
    </row>
    <row r="1745" spans="1:13" hidden="1">
      <c r="A1745" s="4501" t="s">
        <v>8476</v>
      </c>
      <c r="B1745" s="3">
        <v>3.0009999999999999</v>
      </c>
      <c r="E1745" s="4502"/>
      <c r="F1745" s="4502"/>
      <c r="G1745" s="4502"/>
      <c r="H1745" s="4502"/>
      <c r="I1745" s="4502"/>
      <c r="J1745" s="4502"/>
      <c r="K1745" s="4502"/>
      <c r="L1745" s="4502"/>
      <c r="M1745" s="4502"/>
    </row>
    <row r="1746" spans="1:13" hidden="1">
      <c r="A1746" s="4501" t="s">
        <v>8477</v>
      </c>
      <c r="B1746" s="3">
        <v>2.96</v>
      </c>
      <c r="E1746" s="4502"/>
      <c r="F1746" s="4502"/>
      <c r="G1746" s="4502"/>
      <c r="H1746" s="4502"/>
      <c r="I1746" s="4502"/>
      <c r="J1746" s="4502"/>
      <c r="K1746" s="4502"/>
      <c r="L1746" s="4502"/>
      <c r="M1746" s="4502"/>
    </row>
    <row r="1747" spans="1:13" hidden="1">
      <c r="A1747" s="4501" t="s">
        <v>8478</v>
      </c>
      <c r="B1747" s="3">
        <v>2.8849999999999998</v>
      </c>
      <c r="E1747" s="4502"/>
      <c r="F1747" s="4502"/>
      <c r="G1747" s="4502"/>
      <c r="H1747" s="4502"/>
      <c r="I1747" s="4502"/>
      <c r="J1747" s="4502"/>
      <c r="K1747" s="4502"/>
      <c r="L1747" s="4502"/>
      <c r="M1747" s="4502"/>
    </row>
    <row r="1748" spans="1:13" hidden="1">
      <c r="A1748" s="4501" t="s">
        <v>8479</v>
      </c>
      <c r="B1748" s="3">
        <v>2.8220000000000001</v>
      </c>
      <c r="E1748" s="4502"/>
      <c r="F1748" s="4502"/>
      <c r="G1748" s="4502"/>
      <c r="H1748" s="4502"/>
      <c r="I1748" s="4502"/>
      <c r="J1748" s="4502"/>
      <c r="K1748" s="4502"/>
      <c r="L1748" s="4502"/>
      <c r="M1748" s="4502"/>
    </row>
    <row r="1749" spans="1:13" hidden="1">
      <c r="A1749" s="4501" t="s">
        <v>8480</v>
      </c>
      <c r="B1749" s="3">
        <v>2.8090000000000002</v>
      </c>
      <c r="E1749" s="4502"/>
      <c r="F1749" s="4502"/>
      <c r="G1749" s="4502"/>
      <c r="H1749" s="4502"/>
      <c r="I1749" s="4502"/>
      <c r="J1749" s="4502"/>
      <c r="K1749" s="4502"/>
      <c r="L1749" s="4502"/>
      <c r="M1749" s="4502"/>
    </row>
    <row r="1750" spans="1:13" hidden="1">
      <c r="A1750" s="4501" t="s">
        <v>8481</v>
      </c>
      <c r="B1750" s="3">
        <v>2.8090000000000002</v>
      </c>
      <c r="E1750" s="4502"/>
      <c r="F1750" s="4502"/>
      <c r="G1750" s="4502"/>
      <c r="H1750" s="4502"/>
      <c r="I1750" s="4502"/>
      <c r="J1750" s="4502"/>
      <c r="K1750" s="4502"/>
      <c r="L1750" s="4502"/>
      <c r="M1750" s="4502"/>
    </row>
    <row r="1751" spans="1:13" hidden="1">
      <c r="A1751" s="4501" t="s">
        <v>8482</v>
      </c>
      <c r="B1751" s="3">
        <v>2.8090000000000002</v>
      </c>
      <c r="E1751" s="4502"/>
      <c r="F1751" s="4502"/>
      <c r="G1751" s="4502"/>
      <c r="H1751" s="4502"/>
      <c r="I1751" s="4502"/>
      <c r="J1751" s="4502"/>
      <c r="K1751" s="4502"/>
      <c r="L1751" s="4502"/>
      <c r="M1751" s="4502"/>
    </row>
    <row r="1752" spans="1:13" hidden="1">
      <c r="A1752" s="4501" t="s">
        <v>8483</v>
      </c>
      <c r="B1752" s="3">
        <v>2.8090000000000002</v>
      </c>
      <c r="E1752" s="4502"/>
      <c r="F1752" s="4502"/>
      <c r="G1752" s="4502"/>
      <c r="H1752" s="4502"/>
      <c r="I1752" s="4502"/>
      <c r="J1752" s="4502"/>
      <c r="K1752" s="4502"/>
      <c r="L1752" s="4502"/>
      <c r="M1752" s="4502"/>
    </row>
    <row r="1753" spans="1:13" hidden="1">
      <c r="A1753" s="4501" t="s">
        <v>8484</v>
      </c>
      <c r="B1753" s="3">
        <v>2.8180000000000001</v>
      </c>
      <c r="E1753" s="4502"/>
      <c r="F1753" s="4502"/>
      <c r="G1753" s="4502"/>
      <c r="H1753" s="4502"/>
      <c r="I1753" s="4502"/>
      <c r="J1753" s="4502"/>
      <c r="K1753" s="4502"/>
      <c r="L1753" s="4502"/>
      <c r="M1753" s="4502"/>
    </row>
    <row r="1754" spans="1:13" hidden="1">
      <c r="A1754" s="4501" t="s">
        <v>8485</v>
      </c>
      <c r="B1754" s="3">
        <v>2.875</v>
      </c>
      <c r="E1754" s="4502"/>
      <c r="F1754" s="4502"/>
      <c r="G1754" s="4502"/>
      <c r="H1754" s="4502"/>
      <c r="I1754" s="4502"/>
      <c r="J1754" s="4502"/>
      <c r="K1754" s="4502"/>
      <c r="L1754" s="4502"/>
      <c r="M1754" s="4502"/>
    </row>
    <row r="1755" spans="1:13" hidden="1">
      <c r="A1755" s="4501" t="s">
        <v>8486</v>
      </c>
      <c r="B1755" s="3">
        <v>2.8490000000000002</v>
      </c>
      <c r="E1755" s="4502"/>
      <c r="F1755" s="4502"/>
      <c r="G1755" s="4502"/>
      <c r="H1755" s="4502"/>
      <c r="I1755" s="4502"/>
      <c r="J1755" s="4502"/>
      <c r="K1755" s="4502"/>
      <c r="L1755" s="4502"/>
      <c r="M1755" s="4502"/>
    </row>
    <row r="1756" spans="1:13" hidden="1">
      <c r="A1756" s="4501" t="s">
        <v>8487</v>
      </c>
      <c r="B1756" s="3">
        <v>2.7810000000000001</v>
      </c>
      <c r="E1756" s="4502"/>
      <c r="F1756" s="4502"/>
      <c r="G1756" s="4502"/>
      <c r="H1756" s="4502"/>
      <c r="I1756" s="4502"/>
      <c r="J1756" s="4502"/>
      <c r="K1756" s="4502"/>
      <c r="L1756" s="4502"/>
      <c r="M1756" s="4502"/>
    </row>
    <row r="1757" spans="1:13" hidden="1">
      <c r="A1757" s="4501" t="s">
        <v>8488</v>
      </c>
      <c r="B1757" s="3">
        <v>2.7389999999999999</v>
      </c>
      <c r="E1757" s="4502"/>
      <c r="F1757" s="4502"/>
      <c r="G1757" s="4502"/>
      <c r="H1757" s="4502"/>
      <c r="I1757" s="4502"/>
      <c r="J1757" s="4502"/>
      <c r="K1757" s="4502"/>
      <c r="L1757" s="4502"/>
      <c r="M1757" s="4502"/>
    </row>
    <row r="1758" spans="1:13" hidden="1">
      <c r="A1758" s="4501" t="s">
        <v>8489</v>
      </c>
      <c r="B1758" s="3">
        <v>2.7389999999999999</v>
      </c>
      <c r="E1758" s="4502"/>
      <c r="F1758" s="4502"/>
      <c r="G1758" s="4502"/>
      <c r="H1758" s="4502"/>
      <c r="I1758" s="4502"/>
      <c r="J1758" s="4502"/>
      <c r="K1758" s="4502"/>
      <c r="L1758" s="4502"/>
      <c r="M1758" s="4502"/>
    </row>
    <row r="1759" spans="1:13" hidden="1">
      <c r="A1759" s="4501" t="s">
        <v>8490</v>
      </c>
      <c r="B1759" s="3">
        <v>2.7389999999999999</v>
      </c>
      <c r="E1759" s="4502"/>
      <c r="F1759" s="4502"/>
      <c r="G1759" s="4502"/>
      <c r="H1759" s="4502"/>
      <c r="I1759" s="4502"/>
      <c r="J1759" s="4502"/>
      <c r="K1759" s="4502"/>
      <c r="L1759" s="4502"/>
      <c r="M1759" s="4502"/>
    </row>
    <row r="1760" spans="1:13" hidden="1">
      <c r="A1760" s="4501" t="s">
        <v>8491</v>
      </c>
      <c r="B1760" s="3">
        <v>2.698</v>
      </c>
      <c r="E1760" s="4502"/>
      <c r="F1760" s="4502"/>
      <c r="G1760" s="4502"/>
      <c r="H1760" s="4502"/>
      <c r="I1760" s="4502"/>
      <c r="J1760" s="4502"/>
      <c r="K1760" s="4502"/>
      <c r="L1760" s="4502"/>
      <c r="M1760" s="4502"/>
    </row>
    <row r="1761" spans="1:13" hidden="1">
      <c r="A1761" s="4501" t="s">
        <v>8492</v>
      </c>
      <c r="B1761" s="3">
        <v>2.6960000000000002</v>
      </c>
      <c r="E1761" s="4502"/>
      <c r="F1761" s="4502"/>
      <c r="G1761" s="4502"/>
      <c r="H1761" s="4502"/>
      <c r="I1761" s="4502"/>
      <c r="J1761" s="4502"/>
      <c r="K1761" s="4502"/>
      <c r="L1761" s="4502"/>
      <c r="M1761" s="4502"/>
    </row>
    <row r="1762" spans="1:13" hidden="1">
      <c r="A1762" s="4501" t="s">
        <v>8493</v>
      </c>
      <c r="B1762" s="3">
        <v>2.7280000000000002</v>
      </c>
      <c r="E1762" s="4502"/>
      <c r="F1762" s="4502"/>
      <c r="G1762" s="4502"/>
      <c r="H1762" s="4502"/>
      <c r="I1762" s="4502"/>
      <c r="J1762" s="4502"/>
      <c r="K1762" s="4502"/>
      <c r="L1762" s="4502"/>
      <c r="M1762" s="4502"/>
    </row>
    <row r="1763" spans="1:13" hidden="1">
      <c r="A1763" s="4501" t="s">
        <v>8494</v>
      </c>
      <c r="B1763" s="3">
        <v>2.7029999999999998</v>
      </c>
      <c r="E1763" s="4502"/>
      <c r="F1763" s="4502"/>
      <c r="G1763" s="4502"/>
      <c r="H1763" s="4502"/>
      <c r="I1763" s="4502"/>
      <c r="J1763" s="4502"/>
      <c r="K1763" s="4502"/>
      <c r="L1763" s="4502"/>
      <c r="M1763" s="4502"/>
    </row>
    <row r="1764" spans="1:13" hidden="1">
      <c r="A1764" s="4501" t="s">
        <v>8495</v>
      </c>
      <c r="B1764" s="3">
        <v>2.6360000000000001</v>
      </c>
      <c r="E1764" s="4502"/>
      <c r="F1764" s="4502"/>
      <c r="G1764" s="4502"/>
      <c r="H1764" s="4502"/>
      <c r="I1764" s="4502"/>
      <c r="J1764" s="4502"/>
      <c r="K1764" s="4502"/>
      <c r="L1764" s="4502"/>
      <c r="M1764" s="4502"/>
    </row>
    <row r="1765" spans="1:13" hidden="1">
      <c r="A1765" s="4501" t="s">
        <v>8496</v>
      </c>
      <c r="B1765" s="3">
        <v>2.6360000000000001</v>
      </c>
      <c r="E1765" s="4502"/>
      <c r="F1765" s="4502"/>
      <c r="G1765" s="4502"/>
      <c r="H1765" s="4502"/>
      <c r="I1765" s="4502"/>
      <c r="J1765" s="4502"/>
      <c r="K1765" s="4502"/>
      <c r="L1765" s="4502"/>
      <c r="M1765" s="4502"/>
    </row>
    <row r="1766" spans="1:13" hidden="1">
      <c r="A1766" s="4501" t="s">
        <v>8497</v>
      </c>
      <c r="B1766" s="3">
        <v>2.6360000000000001</v>
      </c>
      <c r="E1766" s="4502"/>
      <c r="F1766" s="4502"/>
      <c r="G1766" s="4502"/>
      <c r="H1766" s="4502"/>
      <c r="I1766" s="4502"/>
      <c r="J1766" s="4502"/>
      <c r="K1766" s="4502"/>
      <c r="L1766" s="4502"/>
      <c r="M1766" s="4502"/>
    </row>
    <row r="1767" spans="1:13" hidden="1">
      <c r="A1767" s="4501" t="s">
        <v>8498</v>
      </c>
      <c r="B1767" s="3">
        <v>2.5230000000000001</v>
      </c>
      <c r="E1767" s="4502"/>
      <c r="F1767" s="4502"/>
      <c r="G1767" s="4502"/>
      <c r="H1767" s="4502"/>
      <c r="I1767" s="4502"/>
      <c r="J1767" s="4502"/>
      <c r="K1767" s="4502"/>
      <c r="L1767" s="4502"/>
      <c r="M1767" s="4502"/>
    </row>
    <row r="1768" spans="1:13" hidden="1">
      <c r="A1768" s="4501" t="s">
        <v>8499</v>
      </c>
      <c r="B1768" s="3">
        <v>2.597</v>
      </c>
      <c r="E1768" s="4502"/>
      <c r="F1768" s="4502"/>
      <c r="G1768" s="4502"/>
      <c r="H1768" s="4502"/>
      <c r="I1768" s="4502"/>
      <c r="J1768" s="4502"/>
      <c r="K1768" s="4502"/>
      <c r="L1768" s="4502"/>
      <c r="M1768" s="4502"/>
    </row>
    <row r="1769" spans="1:13" hidden="1">
      <c r="A1769" s="4501" t="s">
        <v>8500</v>
      </c>
      <c r="B1769" s="3">
        <v>2.5550000000000002</v>
      </c>
      <c r="E1769" s="4502"/>
      <c r="F1769" s="4502"/>
      <c r="G1769" s="4502"/>
      <c r="H1769" s="4502"/>
      <c r="I1769" s="4502"/>
      <c r="J1769" s="4502"/>
      <c r="K1769" s="4502"/>
      <c r="L1769" s="4502"/>
      <c r="M1769" s="4502"/>
    </row>
    <row r="1770" spans="1:13" hidden="1">
      <c r="A1770" s="4501" t="s">
        <v>8501</v>
      </c>
      <c r="B1770" s="3">
        <v>2.5110000000000001</v>
      </c>
      <c r="E1770" s="4502"/>
      <c r="F1770" s="4502"/>
      <c r="G1770" s="4502"/>
      <c r="H1770" s="4502"/>
      <c r="I1770" s="4502"/>
      <c r="J1770" s="4502"/>
      <c r="K1770" s="4502"/>
      <c r="L1770" s="4502"/>
      <c r="M1770" s="4502"/>
    </row>
    <row r="1771" spans="1:13" hidden="1">
      <c r="A1771" s="4501" t="s">
        <v>8502</v>
      </c>
      <c r="B1771" s="3">
        <v>2.5659999999999998</v>
      </c>
      <c r="E1771" s="4502"/>
      <c r="F1771" s="4502"/>
      <c r="G1771" s="4502"/>
      <c r="H1771" s="4502"/>
      <c r="I1771" s="4502"/>
      <c r="J1771" s="4502"/>
      <c r="K1771" s="4502"/>
      <c r="L1771" s="4502"/>
      <c r="M1771" s="4502"/>
    </row>
    <row r="1772" spans="1:13" hidden="1">
      <c r="A1772" s="4501" t="s">
        <v>8503</v>
      </c>
      <c r="B1772" s="3">
        <v>2.5659999999999998</v>
      </c>
      <c r="E1772" s="4502"/>
      <c r="F1772" s="4502"/>
      <c r="G1772" s="4502"/>
      <c r="H1772" s="4502"/>
      <c r="I1772" s="4502"/>
      <c r="J1772" s="4502"/>
      <c r="K1772" s="4502"/>
      <c r="L1772" s="4502"/>
      <c r="M1772" s="4502"/>
    </row>
    <row r="1773" spans="1:13" hidden="1">
      <c r="A1773" s="4501" t="s">
        <v>8504</v>
      </c>
      <c r="B1773" s="3">
        <v>2.5659999999999998</v>
      </c>
      <c r="E1773" s="4502"/>
      <c r="F1773" s="4502"/>
      <c r="G1773" s="4502"/>
      <c r="H1773" s="4502"/>
      <c r="I1773" s="4502"/>
      <c r="J1773" s="4502"/>
      <c r="K1773" s="4502"/>
      <c r="L1773" s="4502"/>
      <c r="M1773" s="4502"/>
    </row>
    <row r="1774" spans="1:13" hidden="1">
      <c r="A1774" s="4501" t="s">
        <v>8505</v>
      </c>
      <c r="B1774" s="3">
        <v>2.6190000000000002</v>
      </c>
      <c r="E1774" s="4502"/>
      <c r="F1774" s="4502"/>
      <c r="G1774" s="4502"/>
      <c r="H1774" s="4502"/>
      <c r="I1774" s="4502"/>
      <c r="J1774" s="4502"/>
      <c r="K1774" s="4502"/>
      <c r="L1774" s="4502"/>
      <c r="M1774" s="4502"/>
    </row>
    <row r="1775" spans="1:13" hidden="1">
      <c r="A1775" s="4501" t="s">
        <v>8506</v>
      </c>
      <c r="B1775" s="3">
        <v>2.5539999999999998</v>
      </c>
      <c r="E1775" s="4502"/>
      <c r="F1775" s="4502"/>
      <c r="G1775" s="4502"/>
      <c r="H1775" s="4502"/>
      <c r="I1775" s="4502"/>
      <c r="J1775" s="4502"/>
      <c r="K1775" s="4502"/>
      <c r="L1775" s="4502"/>
      <c r="M1775" s="4502"/>
    </row>
    <row r="1776" spans="1:13" hidden="1">
      <c r="A1776" s="4501" t="s">
        <v>8507</v>
      </c>
      <c r="B1776" s="3">
        <v>2.5680000000000001</v>
      </c>
      <c r="E1776" s="4502"/>
      <c r="F1776" s="4502"/>
      <c r="G1776" s="4502"/>
      <c r="H1776" s="4502"/>
      <c r="I1776" s="4502"/>
      <c r="J1776" s="4502"/>
      <c r="K1776" s="4502"/>
      <c r="L1776" s="4502"/>
      <c r="M1776" s="4502"/>
    </row>
    <row r="1777" spans="1:13" hidden="1">
      <c r="A1777" s="4501" t="s">
        <v>8508</v>
      </c>
      <c r="B1777" s="3">
        <v>2.6160000000000001</v>
      </c>
      <c r="E1777" s="4502"/>
      <c r="F1777" s="4502"/>
      <c r="G1777" s="4502"/>
      <c r="H1777" s="4502"/>
      <c r="I1777" s="4502"/>
      <c r="J1777" s="4502"/>
      <c r="K1777" s="4502"/>
      <c r="L1777" s="4502"/>
      <c r="M1777" s="4502"/>
    </row>
    <row r="1778" spans="1:13" hidden="1">
      <c r="A1778" s="4501" t="s">
        <v>8509</v>
      </c>
      <c r="B1778" s="3">
        <v>2.6190000000000002</v>
      </c>
      <c r="E1778" s="4502"/>
      <c r="F1778" s="4502"/>
      <c r="G1778" s="4502"/>
      <c r="H1778" s="4502"/>
      <c r="I1778" s="4502"/>
      <c r="J1778" s="4502"/>
      <c r="K1778" s="4502"/>
      <c r="L1778" s="4502"/>
      <c r="M1778" s="4502"/>
    </row>
    <row r="1779" spans="1:13" hidden="1">
      <c r="A1779" s="4501" t="s">
        <v>8510</v>
      </c>
      <c r="B1779" s="3">
        <v>2.6190000000000002</v>
      </c>
      <c r="E1779" s="4502"/>
      <c r="F1779" s="4502"/>
      <c r="G1779" s="4502"/>
      <c r="H1779" s="4502"/>
      <c r="I1779" s="4502"/>
      <c r="J1779" s="4502"/>
      <c r="K1779" s="4502"/>
      <c r="L1779" s="4502"/>
      <c r="M1779" s="4502"/>
    </row>
    <row r="1780" spans="1:13" hidden="1">
      <c r="A1780" s="4501" t="s">
        <v>8511</v>
      </c>
      <c r="B1780" s="3">
        <v>2.6190000000000002</v>
      </c>
      <c r="E1780" s="4502"/>
      <c r="F1780" s="4502"/>
      <c r="G1780" s="4502"/>
      <c r="H1780" s="4502"/>
      <c r="I1780" s="4502"/>
      <c r="J1780" s="4502"/>
      <c r="K1780" s="4502"/>
      <c r="L1780" s="4502"/>
      <c r="M1780" s="4502"/>
    </row>
    <row r="1781" spans="1:13" hidden="1">
      <c r="A1781" s="4501" t="s">
        <v>8512</v>
      </c>
      <c r="B1781" s="3">
        <v>2.653</v>
      </c>
      <c r="E1781" s="4502"/>
      <c r="F1781" s="4502"/>
      <c r="G1781" s="4502"/>
      <c r="H1781" s="4502"/>
      <c r="I1781" s="4502"/>
      <c r="J1781" s="4502"/>
      <c r="K1781" s="4502"/>
      <c r="L1781" s="4502"/>
      <c r="M1781" s="4502"/>
    </row>
    <row r="1782" spans="1:13" hidden="1">
      <c r="A1782" s="4501" t="s">
        <v>8513</v>
      </c>
      <c r="B1782" s="3">
        <v>2.6230000000000002</v>
      </c>
      <c r="E1782" s="4502"/>
      <c r="F1782" s="4502"/>
      <c r="G1782" s="4502"/>
      <c r="H1782" s="4502"/>
      <c r="I1782" s="4502"/>
      <c r="J1782" s="4502"/>
      <c r="K1782" s="4502"/>
      <c r="L1782" s="4502"/>
      <c r="M1782" s="4502"/>
    </row>
    <row r="1783" spans="1:13" hidden="1">
      <c r="A1783" s="4501" t="s">
        <v>8514</v>
      </c>
      <c r="B1783" s="3">
        <v>2.6080000000000001</v>
      </c>
      <c r="E1783" s="4502"/>
      <c r="F1783" s="4502"/>
      <c r="G1783" s="4502"/>
      <c r="H1783" s="4502"/>
      <c r="I1783" s="4502"/>
      <c r="J1783" s="4502"/>
      <c r="K1783" s="4502"/>
      <c r="L1783" s="4502"/>
      <c r="M1783" s="4502"/>
    </row>
    <row r="1784" spans="1:13" hidden="1">
      <c r="A1784" s="4501" t="s">
        <v>8515</v>
      </c>
      <c r="B1784" s="3">
        <v>2.6389999999999998</v>
      </c>
      <c r="E1784" s="4502"/>
      <c r="F1784" s="4502"/>
      <c r="G1784" s="4502"/>
      <c r="H1784" s="4502"/>
      <c r="I1784" s="4502"/>
      <c r="J1784" s="4502"/>
      <c r="K1784" s="4502"/>
      <c r="L1784" s="4502"/>
      <c r="M1784" s="4502"/>
    </row>
    <row r="1785" spans="1:13" hidden="1">
      <c r="A1785" s="4501" t="s">
        <v>8516</v>
      </c>
      <c r="B1785" s="3">
        <v>2.6389999999999998</v>
      </c>
      <c r="E1785" s="4502"/>
      <c r="F1785" s="4502"/>
      <c r="G1785" s="4502"/>
      <c r="H1785" s="4502"/>
      <c r="I1785" s="4502"/>
      <c r="J1785" s="4502"/>
      <c r="K1785" s="4502"/>
      <c r="L1785" s="4502"/>
      <c r="M1785" s="4502"/>
    </row>
    <row r="1786" spans="1:13" hidden="1">
      <c r="A1786" s="4501" t="s">
        <v>8517</v>
      </c>
      <c r="B1786" s="3">
        <v>2.6389999999999998</v>
      </c>
      <c r="E1786" s="4502"/>
      <c r="F1786" s="4502"/>
      <c r="G1786" s="4502"/>
      <c r="H1786" s="4502"/>
      <c r="I1786" s="4502"/>
      <c r="J1786" s="4502"/>
      <c r="K1786" s="4502"/>
      <c r="L1786" s="4502"/>
      <c r="M1786" s="4502"/>
    </row>
    <row r="1787" spans="1:13" hidden="1">
      <c r="A1787" s="4501" t="s">
        <v>8518</v>
      </c>
      <c r="B1787" s="3">
        <v>2.6389999999999998</v>
      </c>
      <c r="E1787" s="4502"/>
      <c r="F1787" s="4502"/>
      <c r="G1787" s="4502"/>
      <c r="H1787" s="4502"/>
      <c r="I1787" s="4502"/>
      <c r="J1787" s="4502"/>
      <c r="K1787" s="4502"/>
      <c r="L1787" s="4502"/>
      <c r="M1787" s="4502"/>
    </row>
    <row r="1788" spans="1:13" hidden="1">
      <c r="A1788" s="4501" t="s">
        <v>8519</v>
      </c>
      <c r="B1788" s="3">
        <v>2.5110000000000001</v>
      </c>
      <c r="E1788" s="4502"/>
      <c r="F1788" s="4502"/>
      <c r="G1788" s="4502"/>
      <c r="H1788" s="4502"/>
      <c r="I1788" s="4502"/>
      <c r="J1788" s="4502"/>
      <c r="K1788" s="4502"/>
      <c r="L1788" s="4502"/>
      <c r="M1788" s="4502"/>
    </row>
    <row r="1789" spans="1:13" hidden="1">
      <c r="A1789" s="4501" t="s">
        <v>8520</v>
      </c>
      <c r="B1789" s="3">
        <v>2.456</v>
      </c>
      <c r="E1789" s="4502"/>
      <c r="F1789" s="4502"/>
      <c r="G1789" s="4502"/>
      <c r="H1789" s="4502"/>
      <c r="I1789" s="4502"/>
      <c r="J1789" s="4502"/>
      <c r="K1789" s="4502"/>
      <c r="L1789" s="4502"/>
      <c r="M1789" s="4502"/>
    </row>
    <row r="1790" spans="1:13" hidden="1">
      <c r="A1790" s="4501" t="s">
        <v>8521</v>
      </c>
      <c r="B1790" s="3">
        <v>2.52</v>
      </c>
      <c r="E1790" s="4502"/>
      <c r="F1790" s="4502"/>
      <c r="G1790" s="4502"/>
      <c r="H1790" s="4502"/>
      <c r="I1790" s="4502"/>
      <c r="J1790" s="4502"/>
      <c r="K1790" s="4502"/>
      <c r="L1790" s="4502"/>
      <c r="M1790" s="4502"/>
    </row>
    <row r="1791" spans="1:13" hidden="1">
      <c r="A1791" s="4501" t="s">
        <v>8522</v>
      </c>
      <c r="B1791" s="3">
        <v>2.5219999999999998</v>
      </c>
      <c r="E1791" s="4502"/>
      <c r="F1791" s="4502"/>
      <c r="G1791" s="4502"/>
      <c r="H1791" s="4502"/>
      <c r="I1791" s="4502"/>
      <c r="J1791" s="4502"/>
      <c r="K1791" s="4502"/>
      <c r="L1791" s="4502"/>
      <c r="M1791" s="4502"/>
    </row>
    <row r="1792" spans="1:13" hidden="1">
      <c r="A1792" s="4501" t="s">
        <v>8523</v>
      </c>
      <c r="B1792" s="3">
        <v>2.5259999999999998</v>
      </c>
      <c r="E1792" s="4502"/>
      <c r="F1792" s="4502"/>
      <c r="G1792" s="4502"/>
      <c r="H1792" s="4502"/>
      <c r="I1792" s="4502"/>
      <c r="J1792" s="4502"/>
      <c r="K1792" s="4502"/>
      <c r="L1792" s="4502"/>
      <c r="M1792" s="4502"/>
    </row>
    <row r="1793" spans="1:13" hidden="1">
      <c r="A1793" s="4501" t="s">
        <v>8524</v>
      </c>
      <c r="B1793" s="3">
        <v>2.5259999999999998</v>
      </c>
      <c r="E1793" s="4502"/>
      <c r="F1793" s="4502"/>
      <c r="G1793" s="4502"/>
      <c r="H1793" s="4502"/>
      <c r="I1793" s="4502"/>
      <c r="J1793" s="4502"/>
      <c r="K1793" s="4502"/>
      <c r="L1793" s="4502"/>
      <c r="M1793" s="4502"/>
    </row>
    <row r="1794" spans="1:13" hidden="1">
      <c r="A1794" s="4501" t="s">
        <v>8525</v>
      </c>
      <c r="B1794" s="3">
        <v>2.5259999999999998</v>
      </c>
      <c r="E1794" s="4502"/>
      <c r="F1794" s="4502"/>
      <c r="G1794" s="4502"/>
      <c r="H1794" s="4502"/>
      <c r="I1794" s="4502"/>
      <c r="J1794" s="4502"/>
      <c r="K1794" s="4502"/>
      <c r="L1794" s="4502"/>
      <c r="M1794" s="4502"/>
    </row>
    <row r="1795" spans="1:13" hidden="1">
      <c r="A1795" s="4501" t="s">
        <v>8526</v>
      </c>
      <c r="B1795" s="3">
        <v>2.5609999999999999</v>
      </c>
      <c r="E1795" s="4502"/>
      <c r="F1795" s="4502"/>
      <c r="G1795" s="4502"/>
      <c r="H1795" s="4502"/>
      <c r="I1795" s="4502"/>
      <c r="J1795" s="4502"/>
      <c r="K1795" s="4502"/>
      <c r="L1795" s="4502"/>
      <c r="M1795" s="4502"/>
    </row>
    <row r="1796" spans="1:13" hidden="1">
      <c r="A1796" s="4501" t="s">
        <v>8527</v>
      </c>
      <c r="B1796" s="3">
        <v>2.6190000000000002</v>
      </c>
      <c r="E1796" s="4502"/>
      <c r="F1796" s="4502"/>
      <c r="G1796" s="4502"/>
      <c r="H1796" s="4502"/>
      <c r="I1796" s="4502"/>
      <c r="J1796" s="4502"/>
      <c r="K1796" s="4502"/>
      <c r="L1796" s="4502"/>
      <c r="M1796" s="4502"/>
    </row>
    <row r="1797" spans="1:13" hidden="1">
      <c r="A1797" s="4501" t="s">
        <v>8528</v>
      </c>
      <c r="B1797" s="3">
        <v>2.7749999999999999</v>
      </c>
      <c r="E1797" s="4502"/>
      <c r="F1797" s="4502"/>
      <c r="G1797" s="4502"/>
      <c r="H1797" s="4502"/>
      <c r="I1797" s="4502"/>
      <c r="J1797" s="4502"/>
      <c r="K1797" s="4502"/>
      <c r="L1797" s="4502"/>
      <c r="M1797" s="4502"/>
    </row>
    <row r="1798" spans="1:13" hidden="1">
      <c r="A1798" s="4501" t="s">
        <v>8529</v>
      </c>
      <c r="B1798" s="3">
        <v>2.8050000000000002</v>
      </c>
      <c r="E1798" s="4502"/>
      <c r="F1798" s="4502"/>
      <c r="G1798" s="4502"/>
      <c r="H1798" s="4502"/>
      <c r="I1798" s="4502"/>
      <c r="J1798" s="4502"/>
      <c r="K1798" s="4502"/>
      <c r="L1798" s="4502"/>
      <c r="M1798" s="4502"/>
    </row>
    <row r="1799" spans="1:13" hidden="1">
      <c r="A1799" s="4501" t="s">
        <v>8530</v>
      </c>
      <c r="B1799" s="3">
        <v>2.8290000000000002</v>
      </c>
      <c r="E1799" s="4502"/>
      <c r="F1799" s="4502"/>
      <c r="G1799" s="4502"/>
      <c r="H1799" s="4502"/>
      <c r="I1799" s="4502"/>
      <c r="J1799" s="4502"/>
      <c r="K1799" s="4502"/>
      <c r="L1799" s="4502"/>
      <c r="M1799" s="4502"/>
    </row>
    <row r="1800" spans="1:13" hidden="1">
      <c r="A1800" s="4501" t="s">
        <v>8531</v>
      </c>
      <c r="B1800" s="3">
        <v>2.8290000000000002</v>
      </c>
      <c r="E1800" s="4502"/>
      <c r="F1800" s="4502"/>
      <c r="G1800" s="4502"/>
      <c r="H1800" s="4502"/>
      <c r="I1800" s="4502"/>
      <c r="J1800" s="4502"/>
      <c r="K1800" s="4502"/>
      <c r="L1800" s="4502"/>
      <c r="M1800" s="4502"/>
    </row>
    <row r="1801" spans="1:13" hidden="1">
      <c r="A1801" s="4501" t="s">
        <v>8532</v>
      </c>
      <c r="B1801" s="3">
        <v>2.8290000000000002</v>
      </c>
      <c r="E1801" s="4502"/>
      <c r="F1801" s="4502"/>
      <c r="G1801" s="4502"/>
      <c r="H1801" s="4502"/>
      <c r="I1801" s="4502"/>
      <c r="J1801" s="4502"/>
      <c r="K1801" s="4502"/>
      <c r="L1801" s="4502"/>
      <c r="M1801" s="4502"/>
    </row>
    <row r="1802" spans="1:13" hidden="1">
      <c r="A1802" s="4501" t="s">
        <v>8533</v>
      </c>
      <c r="B1802" s="3">
        <v>2.8849999999999998</v>
      </c>
      <c r="E1802" s="4502"/>
      <c r="F1802" s="4502"/>
      <c r="G1802" s="4502"/>
      <c r="H1802" s="4502"/>
      <c r="I1802" s="4502"/>
      <c r="J1802" s="4502"/>
      <c r="K1802" s="4502"/>
      <c r="L1802" s="4502"/>
      <c r="M1802" s="4502"/>
    </row>
    <row r="1803" spans="1:13" hidden="1">
      <c r="A1803" s="4501" t="s">
        <v>8534</v>
      </c>
      <c r="B1803" s="3">
        <v>2.8740000000000001</v>
      </c>
      <c r="E1803" s="4502"/>
      <c r="F1803" s="4502"/>
      <c r="G1803" s="4502"/>
      <c r="H1803" s="4502"/>
      <c r="I1803" s="4502"/>
      <c r="J1803" s="4502"/>
      <c r="K1803" s="4502"/>
      <c r="L1803" s="4502"/>
      <c r="M1803" s="4502"/>
    </row>
    <row r="1804" spans="1:13" hidden="1">
      <c r="A1804" s="4501" t="s">
        <v>8535</v>
      </c>
      <c r="B1804" s="3">
        <v>2.8460000000000001</v>
      </c>
      <c r="E1804" s="4502"/>
      <c r="F1804" s="4502"/>
      <c r="G1804" s="4502"/>
      <c r="H1804" s="4502"/>
      <c r="I1804" s="4502"/>
      <c r="J1804" s="4502"/>
      <c r="K1804" s="4502"/>
      <c r="L1804" s="4502"/>
      <c r="M1804" s="4502"/>
    </row>
    <row r="1805" spans="1:13" hidden="1">
      <c r="A1805" s="4501" t="s">
        <v>8536</v>
      </c>
      <c r="B1805" s="3">
        <v>2.8980000000000001</v>
      </c>
      <c r="E1805" s="4502"/>
      <c r="F1805" s="4502"/>
      <c r="G1805" s="4502"/>
      <c r="H1805" s="4502"/>
      <c r="I1805" s="4502"/>
      <c r="J1805" s="4502"/>
      <c r="K1805" s="4502"/>
      <c r="L1805" s="4502"/>
      <c r="M1805" s="4502"/>
    </row>
    <row r="1806" spans="1:13" hidden="1">
      <c r="A1806" s="4501" t="s">
        <v>8537</v>
      </c>
      <c r="B1806" s="3">
        <v>2.8180000000000001</v>
      </c>
      <c r="E1806" s="4502"/>
      <c r="F1806" s="4502"/>
      <c r="G1806" s="4502"/>
      <c r="H1806" s="4502"/>
      <c r="I1806" s="4502"/>
      <c r="J1806" s="4502"/>
      <c r="K1806" s="4502"/>
      <c r="L1806" s="4502"/>
      <c r="M1806" s="4502"/>
    </row>
    <row r="1807" spans="1:13" hidden="1">
      <c r="A1807" s="4501" t="s">
        <v>8538</v>
      </c>
      <c r="B1807" s="3">
        <v>2.8180000000000001</v>
      </c>
      <c r="E1807" s="4502"/>
      <c r="F1807" s="4502"/>
      <c r="G1807" s="4502"/>
      <c r="H1807" s="4502"/>
      <c r="I1807" s="4502"/>
      <c r="J1807" s="4502"/>
      <c r="K1807" s="4502"/>
      <c r="L1807" s="4502"/>
      <c r="M1807" s="4502"/>
    </row>
    <row r="1808" spans="1:13" hidden="1">
      <c r="A1808" s="4501" t="s">
        <v>8539</v>
      </c>
      <c r="B1808" s="3">
        <v>2.8180000000000001</v>
      </c>
      <c r="E1808" s="4502"/>
      <c r="F1808" s="4502"/>
      <c r="G1808" s="4502"/>
      <c r="H1808" s="4502"/>
      <c r="I1808" s="4502"/>
      <c r="J1808" s="4502"/>
      <c r="K1808" s="4502"/>
      <c r="L1808" s="4502"/>
      <c r="M1808" s="4502"/>
    </row>
    <row r="1809" spans="1:13" hidden="1">
      <c r="A1809" s="4501" t="s">
        <v>8540</v>
      </c>
      <c r="B1809" s="3">
        <v>2.8740000000000001</v>
      </c>
      <c r="E1809" s="4502"/>
      <c r="F1809" s="4502"/>
      <c r="G1809" s="4502"/>
      <c r="H1809" s="4502"/>
      <c r="I1809" s="4502"/>
      <c r="J1809" s="4502"/>
      <c r="K1809" s="4502"/>
      <c r="L1809" s="4502"/>
      <c r="M1809" s="4502"/>
    </row>
    <row r="1810" spans="1:13" hidden="1">
      <c r="A1810" s="4501" t="s">
        <v>8541</v>
      </c>
      <c r="B1810" s="3">
        <v>2.9420000000000002</v>
      </c>
      <c r="E1810" s="4502"/>
      <c r="F1810" s="4502"/>
      <c r="G1810" s="4502"/>
      <c r="H1810" s="4502"/>
      <c r="I1810" s="4502"/>
      <c r="J1810" s="4502"/>
      <c r="K1810" s="4502"/>
      <c r="L1810" s="4502"/>
      <c r="M1810" s="4502"/>
    </row>
    <row r="1811" spans="1:13" hidden="1">
      <c r="A1811" s="4501" t="s">
        <v>8542</v>
      </c>
      <c r="B1811" s="3">
        <v>2.96</v>
      </c>
      <c r="E1811" s="4502"/>
      <c r="F1811" s="4502"/>
      <c r="G1811" s="4502"/>
      <c r="H1811" s="4502"/>
      <c r="I1811" s="4502"/>
      <c r="J1811" s="4502"/>
      <c r="K1811" s="4502"/>
      <c r="L1811" s="4502"/>
      <c r="M1811" s="4502"/>
    </row>
    <row r="1812" spans="1:13" hidden="1">
      <c r="A1812" s="4501" t="s">
        <v>8543</v>
      </c>
      <c r="B1812" s="3">
        <v>2.911</v>
      </c>
      <c r="E1812" s="4502"/>
      <c r="F1812" s="4502"/>
      <c r="G1812" s="4502"/>
      <c r="H1812" s="4502"/>
      <c r="I1812" s="4502"/>
      <c r="J1812" s="4502"/>
      <c r="K1812" s="4502"/>
      <c r="L1812" s="4502"/>
      <c r="M1812" s="4502"/>
    </row>
    <row r="1813" spans="1:13" hidden="1">
      <c r="A1813" s="4501" t="s">
        <v>8544</v>
      </c>
      <c r="B1813" s="3">
        <v>2.931</v>
      </c>
      <c r="E1813" s="4502"/>
      <c r="F1813" s="4502"/>
      <c r="G1813" s="4502"/>
      <c r="H1813" s="4502"/>
      <c r="I1813" s="4502"/>
      <c r="J1813" s="4502"/>
      <c r="K1813" s="4502"/>
      <c r="L1813" s="4502"/>
      <c r="M1813" s="4502"/>
    </row>
    <row r="1814" spans="1:13" hidden="1">
      <c r="A1814" s="4501" t="s">
        <v>8545</v>
      </c>
      <c r="B1814" s="3">
        <v>2.931</v>
      </c>
      <c r="E1814" s="4502"/>
      <c r="F1814" s="4502"/>
      <c r="G1814" s="4502"/>
      <c r="H1814" s="4502"/>
      <c r="I1814" s="4502"/>
      <c r="J1814" s="4502"/>
      <c r="K1814" s="4502"/>
      <c r="L1814" s="4502"/>
      <c r="M1814" s="4502"/>
    </row>
    <row r="1815" spans="1:13" hidden="1">
      <c r="A1815" s="4501" t="s">
        <v>8546</v>
      </c>
      <c r="B1815" s="3">
        <v>2.931</v>
      </c>
      <c r="E1815" s="4502"/>
      <c r="F1815" s="4502"/>
      <c r="G1815" s="4502"/>
      <c r="H1815" s="4502"/>
      <c r="I1815" s="4502"/>
      <c r="J1815" s="4502"/>
      <c r="K1815" s="4502"/>
      <c r="L1815" s="4502"/>
      <c r="M1815" s="4502"/>
    </row>
    <row r="1816" spans="1:13" hidden="1">
      <c r="A1816" s="4501" t="s">
        <v>8547</v>
      </c>
      <c r="B1816" s="3">
        <v>2.9660000000000002</v>
      </c>
      <c r="E1816" s="4502"/>
      <c r="F1816" s="4502"/>
      <c r="G1816" s="4502"/>
      <c r="H1816" s="4502"/>
      <c r="I1816" s="4502"/>
      <c r="J1816" s="4502"/>
      <c r="K1816" s="4502"/>
      <c r="L1816" s="4502"/>
      <c r="M1816" s="4502"/>
    </row>
    <row r="1817" spans="1:13" hidden="1">
      <c r="A1817" s="4501" t="s">
        <v>8548</v>
      </c>
      <c r="B1817" s="3">
        <v>3.012</v>
      </c>
      <c r="E1817" s="4502"/>
      <c r="F1817" s="4502"/>
      <c r="G1817" s="4502"/>
      <c r="H1817" s="4502"/>
      <c r="I1817" s="4502"/>
      <c r="J1817" s="4502"/>
      <c r="K1817" s="4502"/>
      <c r="L1817" s="4502"/>
      <c r="M1817" s="4502"/>
    </row>
    <row r="1818" spans="1:13" hidden="1">
      <c r="A1818" s="4501" t="s">
        <v>8549</v>
      </c>
      <c r="B1818" s="3">
        <v>2.9820000000000002</v>
      </c>
      <c r="E1818" s="4502"/>
      <c r="F1818" s="4502"/>
      <c r="G1818" s="4502"/>
      <c r="H1818" s="4502"/>
      <c r="I1818" s="4502"/>
      <c r="J1818" s="4502"/>
      <c r="K1818" s="4502"/>
      <c r="L1818" s="4502"/>
      <c r="M1818" s="4502"/>
    </row>
    <row r="1819" spans="1:13" hidden="1">
      <c r="A1819" s="4501" t="s">
        <v>8550</v>
      </c>
      <c r="B1819" s="3">
        <v>2.9740000000000002</v>
      </c>
      <c r="E1819" s="4502"/>
      <c r="F1819" s="4502"/>
      <c r="G1819" s="4502"/>
      <c r="H1819" s="4502"/>
      <c r="I1819" s="4502"/>
      <c r="J1819" s="4502"/>
      <c r="K1819" s="4502"/>
      <c r="L1819" s="4502"/>
      <c r="M1819" s="4502"/>
    </row>
    <row r="1820" spans="1:13" hidden="1">
      <c r="A1820" s="4501" t="s">
        <v>8551</v>
      </c>
      <c r="B1820" s="3">
        <v>3.004</v>
      </c>
      <c r="E1820" s="4502"/>
      <c r="F1820" s="4502"/>
      <c r="G1820" s="4502"/>
      <c r="H1820" s="4502"/>
      <c r="I1820" s="4502"/>
      <c r="J1820" s="4502"/>
      <c r="K1820" s="4502"/>
      <c r="L1820" s="4502"/>
      <c r="M1820" s="4502"/>
    </row>
    <row r="1821" spans="1:13" hidden="1">
      <c r="A1821" s="4501" t="s">
        <v>8552</v>
      </c>
      <c r="B1821" s="3">
        <v>3.004</v>
      </c>
      <c r="E1821" s="4502"/>
      <c r="F1821" s="4502"/>
      <c r="G1821" s="4502"/>
      <c r="H1821" s="4502"/>
      <c r="I1821" s="4502"/>
      <c r="J1821" s="4502"/>
      <c r="K1821" s="4502"/>
      <c r="L1821" s="4502"/>
      <c r="M1821" s="4502"/>
    </row>
    <row r="1822" spans="1:13" hidden="1">
      <c r="A1822" s="4501" t="s">
        <v>8553</v>
      </c>
      <c r="B1822" s="3">
        <v>3.004</v>
      </c>
      <c r="E1822" s="4502"/>
      <c r="F1822" s="4502"/>
      <c r="G1822" s="4502"/>
      <c r="H1822" s="4502"/>
      <c r="I1822" s="4502"/>
      <c r="J1822" s="4502"/>
      <c r="K1822" s="4502"/>
      <c r="L1822" s="4502"/>
      <c r="M1822" s="4502"/>
    </row>
    <row r="1823" spans="1:13" hidden="1">
      <c r="A1823" s="4501" t="s">
        <v>8554</v>
      </c>
      <c r="B1823" s="3">
        <v>2.9780000000000002</v>
      </c>
      <c r="E1823" s="4502"/>
      <c r="F1823" s="4502"/>
      <c r="G1823" s="4502"/>
      <c r="H1823" s="4502"/>
      <c r="I1823" s="4502"/>
      <c r="J1823" s="4502"/>
      <c r="K1823" s="4502"/>
      <c r="L1823" s="4502"/>
      <c r="M1823" s="4502"/>
    </row>
    <row r="1824" spans="1:13" hidden="1">
      <c r="A1824" s="4501" t="s">
        <v>8555</v>
      </c>
      <c r="B1824" s="3">
        <v>2.9990000000000001</v>
      </c>
      <c r="E1824" s="4502"/>
      <c r="F1824" s="4502"/>
      <c r="G1824" s="4502"/>
      <c r="H1824" s="4502"/>
      <c r="I1824" s="4502"/>
      <c r="J1824" s="4502"/>
      <c r="K1824" s="4502"/>
      <c r="L1824" s="4502"/>
      <c r="M1824" s="4502"/>
    </row>
    <row r="1825" spans="1:13" hidden="1">
      <c r="A1825" s="4501" t="s">
        <v>8556</v>
      </c>
      <c r="B1825" s="3">
        <v>3.0179999999999998</v>
      </c>
      <c r="E1825" s="4502"/>
      <c r="F1825" s="4502"/>
      <c r="G1825" s="4502"/>
      <c r="H1825" s="4502"/>
      <c r="I1825" s="4502"/>
      <c r="J1825" s="4502"/>
      <c r="K1825" s="4502"/>
      <c r="L1825" s="4502"/>
      <c r="M1825" s="4502"/>
    </row>
    <row r="1826" spans="1:13" hidden="1">
      <c r="A1826" s="4501" t="s">
        <v>8557</v>
      </c>
      <c r="B1826" s="3">
        <v>3.0249999999999999</v>
      </c>
      <c r="E1826" s="4502"/>
      <c r="F1826" s="4502"/>
      <c r="G1826" s="4502"/>
      <c r="H1826" s="4502"/>
      <c r="I1826" s="4502"/>
      <c r="J1826" s="4502"/>
      <c r="K1826" s="4502"/>
      <c r="L1826" s="4502"/>
      <c r="M1826" s="4502"/>
    </row>
    <row r="1827" spans="1:13" hidden="1">
      <c r="A1827" s="4501" t="s">
        <v>8558</v>
      </c>
      <c r="B1827" s="3">
        <v>3.0179999999999998</v>
      </c>
      <c r="E1827" s="4502"/>
      <c r="F1827" s="4502"/>
      <c r="G1827" s="4502"/>
      <c r="H1827" s="4502"/>
      <c r="I1827" s="4502"/>
      <c r="J1827" s="4502"/>
      <c r="K1827" s="4502"/>
      <c r="L1827" s="4502"/>
      <c r="M1827" s="4502"/>
    </row>
    <row r="1828" spans="1:13" hidden="1">
      <c r="A1828" s="4501" t="s">
        <v>8559</v>
      </c>
      <c r="B1828" s="3">
        <v>3.0179999999999998</v>
      </c>
      <c r="E1828" s="4502"/>
      <c r="F1828" s="4502"/>
      <c r="G1828" s="4502"/>
      <c r="H1828" s="4502"/>
      <c r="I1828" s="4502"/>
      <c r="J1828" s="4502"/>
      <c r="K1828" s="4502"/>
      <c r="L1828" s="4502"/>
      <c r="M1828" s="4502"/>
    </row>
    <row r="1829" spans="1:13" hidden="1">
      <c r="A1829" s="4501" t="s">
        <v>8560</v>
      </c>
      <c r="B1829" s="3">
        <v>3.0179999999999998</v>
      </c>
      <c r="E1829" s="4502"/>
      <c r="F1829" s="4502"/>
      <c r="G1829" s="4502"/>
      <c r="H1829" s="4502"/>
      <c r="I1829" s="4502"/>
      <c r="J1829" s="4502"/>
      <c r="K1829" s="4502"/>
      <c r="L1829" s="4502"/>
      <c r="M1829" s="4502"/>
    </row>
    <row r="1830" spans="1:13" hidden="1">
      <c r="A1830" s="4501" t="s">
        <v>8561</v>
      </c>
      <c r="B1830" s="3">
        <v>3.1640000000000001</v>
      </c>
      <c r="E1830" s="4502"/>
      <c r="F1830" s="4502"/>
      <c r="G1830" s="4502"/>
      <c r="H1830" s="4502"/>
      <c r="I1830" s="4502"/>
      <c r="J1830" s="4502"/>
      <c r="K1830" s="4502"/>
      <c r="L1830" s="4502"/>
      <c r="M1830" s="4502"/>
    </row>
    <row r="1831" spans="1:13" hidden="1">
      <c r="A1831" s="4501" t="s">
        <v>8562</v>
      </c>
      <c r="B1831" s="3">
        <v>3.0779999999999998</v>
      </c>
      <c r="E1831" s="4502"/>
      <c r="F1831" s="4502"/>
      <c r="G1831" s="4502"/>
      <c r="H1831" s="4502"/>
      <c r="I1831" s="4502"/>
      <c r="J1831" s="4502"/>
      <c r="K1831" s="4502"/>
      <c r="L1831" s="4502"/>
      <c r="M1831" s="4502"/>
    </row>
    <row r="1832" spans="1:13" hidden="1">
      <c r="A1832" s="4501" t="s">
        <v>8563</v>
      </c>
      <c r="B1832" s="3">
        <v>3.028</v>
      </c>
      <c r="E1832" s="4502"/>
      <c r="F1832" s="4502"/>
      <c r="G1832" s="4502"/>
      <c r="H1832" s="4502"/>
      <c r="I1832" s="4502"/>
      <c r="J1832" s="4502"/>
      <c r="K1832" s="4502"/>
      <c r="L1832" s="4502"/>
      <c r="M1832" s="4502"/>
    </row>
    <row r="1833" spans="1:13" hidden="1">
      <c r="A1833" s="4501" t="s">
        <v>8564</v>
      </c>
      <c r="B1833" s="3">
        <v>2.9910000000000001</v>
      </c>
      <c r="E1833" s="4502"/>
      <c r="F1833" s="4502"/>
      <c r="G1833" s="4502"/>
      <c r="H1833" s="4502"/>
      <c r="I1833" s="4502"/>
      <c r="J1833" s="4502"/>
      <c r="K1833" s="4502"/>
      <c r="L1833" s="4502"/>
      <c r="M1833" s="4502"/>
    </row>
    <row r="1834" spans="1:13" hidden="1">
      <c r="A1834" s="4501" t="s">
        <v>8565</v>
      </c>
      <c r="B1834" s="3">
        <v>2.9769999999999999</v>
      </c>
      <c r="E1834" s="4502"/>
      <c r="F1834" s="4502"/>
      <c r="G1834" s="4502"/>
      <c r="H1834" s="4502"/>
      <c r="I1834" s="4502"/>
      <c r="J1834" s="4502"/>
      <c r="K1834" s="4502"/>
      <c r="L1834" s="4502"/>
      <c r="M1834" s="4502"/>
    </row>
    <row r="1835" spans="1:13" hidden="1">
      <c r="A1835" s="4501" t="s">
        <v>8566</v>
      </c>
      <c r="B1835" s="3">
        <v>2.9769999999999999</v>
      </c>
      <c r="E1835" s="4502"/>
      <c r="F1835" s="4502"/>
      <c r="G1835" s="4502"/>
      <c r="H1835" s="4502"/>
      <c r="I1835" s="4502"/>
      <c r="J1835" s="4502"/>
      <c r="K1835" s="4502"/>
      <c r="L1835" s="4502"/>
      <c r="M1835" s="4502"/>
    </row>
    <row r="1836" spans="1:13" hidden="1">
      <c r="A1836" s="4501" t="s">
        <v>8567</v>
      </c>
      <c r="B1836" s="3">
        <v>2.9769999999999999</v>
      </c>
      <c r="E1836" s="4502"/>
      <c r="F1836" s="4502"/>
      <c r="G1836" s="4502"/>
      <c r="H1836" s="4502"/>
      <c r="I1836" s="4502"/>
      <c r="J1836" s="4502"/>
      <c r="K1836" s="4502"/>
      <c r="L1836" s="4502"/>
      <c r="M1836" s="4502"/>
    </row>
    <row r="1837" spans="1:13" hidden="1">
      <c r="A1837" s="4501" t="s">
        <v>8568</v>
      </c>
      <c r="B1837" s="3">
        <v>2.96</v>
      </c>
      <c r="E1837" s="4502"/>
      <c r="F1837" s="4502"/>
      <c r="G1837" s="4502"/>
      <c r="H1837" s="4502"/>
      <c r="I1837" s="4502"/>
      <c r="J1837" s="4502"/>
      <c r="K1837" s="4502"/>
      <c r="L1837" s="4502"/>
      <c r="M1837" s="4502"/>
    </row>
    <row r="1838" spans="1:13" hidden="1">
      <c r="A1838" s="4501" t="s">
        <v>8569</v>
      </c>
      <c r="B1838" s="3">
        <v>2.9740000000000002</v>
      </c>
      <c r="E1838" s="4502"/>
      <c r="F1838" s="4502"/>
      <c r="G1838" s="4502"/>
      <c r="H1838" s="4502"/>
      <c r="I1838" s="4502"/>
      <c r="J1838" s="4502"/>
      <c r="K1838" s="4502"/>
      <c r="L1838" s="4502"/>
      <c r="M1838" s="4502"/>
    </row>
    <row r="1839" spans="1:13" hidden="1">
      <c r="A1839" s="4501" t="s">
        <v>8570</v>
      </c>
      <c r="B1839" s="3">
        <v>3.0270000000000001</v>
      </c>
      <c r="E1839" s="4502"/>
      <c r="F1839" s="4502"/>
      <c r="G1839" s="4502"/>
      <c r="H1839" s="4502"/>
      <c r="I1839" s="4502"/>
      <c r="J1839" s="4502"/>
      <c r="K1839" s="4502"/>
      <c r="L1839" s="4502"/>
      <c r="M1839" s="4502"/>
    </row>
    <row r="1840" spans="1:13" hidden="1">
      <c r="A1840" s="4501" t="s">
        <v>8571</v>
      </c>
      <c r="B1840" s="3">
        <v>2.9580000000000002</v>
      </c>
      <c r="E1840" s="4502"/>
      <c r="F1840" s="4502"/>
      <c r="G1840" s="4502"/>
      <c r="H1840" s="4502"/>
      <c r="I1840" s="4502"/>
      <c r="J1840" s="4502"/>
      <c r="K1840" s="4502"/>
      <c r="L1840" s="4502"/>
      <c r="M1840" s="4502"/>
    </row>
    <row r="1841" spans="1:13" hidden="1">
      <c r="A1841" s="4501" t="s">
        <v>8572</v>
      </c>
      <c r="B1841" s="3">
        <v>2.9860000000000002</v>
      </c>
      <c r="E1841" s="4502"/>
      <c r="F1841" s="4502"/>
      <c r="G1841" s="4502"/>
      <c r="H1841" s="4502"/>
      <c r="I1841" s="4502"/>
      <c r="J1841" s="4502"/>
      <c r="K1841" s="4502"/>
      <c r="L1841" s="4502"/>
      <c r="M1841" s="4502"/>
    </row>
    <row r="1842" spans="1:13" hidden="1">
      <c r="A1842" s="4501" t="s">
        <v>8573</v>
      </c>
      <c r="B1842" s="3">
        <v>2.9860000000000002</v>
      </c>
      <c r="E1842" s="4502"/>
      <c r="F1842" s="4502"/>
      <c r="G1842" s="4502"/>
      <c r="H1842" s="4502"/>
      <c r="I1842" s="4502"/>
      <c r="J1842" s="4502"/>
      <c r="K1842" s="4502"/>
      <c r="L1842" s="4502"/>
      <c r="M1842" s="4502"/>
    </row>
    <row r="1843" spans="1:13" hidden="1">
      <c r="A1843" s="4501" t="s">
        <v>8574</v>
      </c>
      <c r="B1843" s="3">
        <v>2.9860000000000002</v>
      </c>
      <c r="E1843" s="4502"/>
      <c r="F1843" s="4502"/>
      <c r="G1843" s="4502"/>
      <c r="H1843" s="4502"/>
      <c r="I1843" s="4502"/>
      <c r="J1843" s="4502"/>
      <c r="K1843" s="4502"/>
      <c r="L1843" s="4502"/>
      <c r="M1843" s="4502"/>
    </row>
    <row r="1844" spans="1:13" hidden="1">
      <c r="A1844" s="4501" t="s">
        <v>8575</v>
      </c>
      <c r="B1844" s="3">
        <v>2.9860000000000002</v>
      </c>
      <c r="E1844" s="4502"/>
      <c r="F1844" s="4502"/>
      <c r="G1844" s="4502"/>
      <c r="H1844" s="4502"/>
      <c r="I1844" s="4502"/>
      <c r="J1844" s="4502"/>
      <c r="K1844" s="4502"/>
      <c r="L1844" s="4502"/>
      <c r="M1844" s="4502"/>
    </row>
    <row r="1845" spans="1:13" hidden="1">
      <c r="A1845" s="4501" t="s">
        <v>8576</v>
      </c>
      <c r="B1845" s="3">
        <v>3.1040000000000001</v>
      </c>
      <c r="E1845" s="4502"/>
      <c r="F1845" s="4502"/>
      <c r="G1845" s="4502"/>
      <c r="H1845" s="4502"/>
      <c r="I1845" s="4502"/>
      <c r="J1845" s="4502"/>
      <c r="K1845" s="4502"/>
      <c r="L1845" s="4502"/>
      <c r="M1845" s="4502"/>
    </row>
    <row r="1846" spans="1:13" hidden="1">
      <c r="A1846" s="4501" t="s">
        <v>8577</v>
      </c>
      <c r="B1846" s="3">
        <v>3.0750000000000002</v>
      </c>
      <c r="E1846" s="4502"/>
      <c r="F1846" s="4502"/>
      <c r="G1846" s="4502"/>
      <c r="H1846" s="4502"/>
      <c r="I1846" s="4502"/>
      <c r="J1846" s="4502"/>
      <c r="K1846" s="4502"/>
      <c r="L1846" s="4502"/>
      <c r="M1846" s="4502"/>
    </row>
    <row r="1847" spans="1:13" hidden="1">
      <c r="A1847" s="4501" t="s">
        <v>8578</v>
      </c>
      <c r="B1847" s="3">
        <v>3.0409999999999999</v>
      </c>
      <c r="E1847" s="4502"/>
      <c r="F1847" s="4502"/>
      <c r="G1847" s="4502"/>
      <c r="H1847" s="4502"/>
      <c r="I1847" s="4502"/>
      <c r="J1847" s="4502"/>
      <c r="K1847" s="4502"/>
      <c r="L1847" s="4502"/>
      <c r="M1847" s="4502"/>
    </row>
    <row r="1848" spans="1:13" hidden="1">
      <c r="A1848" s="4501" t="s">
        <v>8579</v>
      </c>
      <c r="B1848" s="3">
        <v>3.097</v>
      </c>
      <c r="E1848" s="4502"/>
      <c r="F1848" s="4502"/>
      <c r="G1848" s="4502"/>
      <c r="H1848" s="4502"/>
      <c r="I1848" s="4502"/>
      <c r="J1848" s="4502"/>
      <c r="K1848" s="4502"/>
      <c r="L1848" s="4502"/>
      <c r="M1848" s="4502"/>
    </row>
    <row r="1849" spans="1:13" hidden="1">
      <c r="A1849" s="4501" t="s">
        <v>8580</v>
      </c>
      <c r="B1849" s="3">
        <v>3.097</v>
      </c>
      <c r="E1849" s="4502"/>
      <c r="F1849" s="4502"/>
      <c r="G1849" s="4502"/>
      <c r="H1849" s="4502"/>
      <c r="I1849" s="4502"/>
      <c r="J1849" s="4502"/>
      <c r="K1849" s="4502"/>
      <c r="L1849" s="4502"/>
      <c r="M1849" s="4502"/>
    </row>
    <row r="1850" spans="1:13" hidden="1">
      <c r="A1850" s="4501" t="s">
        <v>8581</v>
      </c>
      <c r="B1850" s="3">
        <v>3.097</v>
      </c>
      <c r="E1850" s="4502"/>
      <c r="F1850" s="4502"/>
      <c r="G1850" s="4502"/>
      <c r="H1850" s="4502"/>
      <c r="I1850" s="4502"/>
      <c r="J1850" s="4502"/>
      <c r="K1850" s="4502"/>
      <c r="L1850" s="4502"/>
      <c r="M1850" s="4502"/>
    </row>
    <row r="1851" spans="1:13" hidden="1">
      <c r="A1851" s="4501" t="s">
        <v>8582</v>
      </c>
      <c r="B1851" s="3">
        <v>3.07</v>
      </c>
      <c r="E1851" s="4502"/>
      <c r="F1851" s="4502"/>
      <c r="G1851" s="4502"/>
      <c r="H1851" s="4502"/>
      <c r="I1851" s="4502"/>
      <c r="J1851" s="4502"/>
      <c r="K1851" s="4502"/>
      <c r="L1851" s="4502"/>
      <c r="M1851" s="4502"/>
    </row>
    <row r="1852" spans="1:13" hidden="1">
      <c r="A1852" s="4501" t="s">
        <v>8583</v>
      </c>
      <c r="B1852" s="3">
        <v>3.1280000000000001</v>
      </c>
      <c r="E1852" s="4502"/>
      <c r="F1852" s="4502"/>
      <c r="G1852" s="4502"/>
      <c r="H1852" s="4502"/>
      <c r="I1852" s="4502"/>
      <c r="J1852" s="4502"/>
      <c r="K1852" s="4502"/>
      <c r="L1852" s="4502"/>
      <c r="M1852" s="4502"/>
    </row>
    <row r="1853" spans="1:13" hidden="1">
      <c r="A1853" s="4501" t="s">
        <v>8584</v>
      </c>
      <c r="B1853" s="3">
        <v>3.129</v>
      </c>
      <c r="E1853" s="4502"/>
      <c r="F1853" s="4502"/>
      <c r="G1853" s="4502"/>
      <c r="H1853" s="4502"/>
      <c r="I1853" s="4502"/>
      <c r="J1853" s="4502"/>
      <c r="K1853" s="4502"/>
      <c r="L1853" s="4502"/>
      <c r="M1853" s="4502"/>
    </row>
    <row r="1854" spans="1:13" hidden="1">
      <c r="A1854" s="4501" t="s">
        <v>8585</v>
      </c>
      <c r="B1854" s="3">
        <v>3.149</v>
      </c>
      <c r="E1854" s="4502"/>
      <c r="F1854" s="4502"/>
      <c r="G1854" s="4502"/>
      <c r="H1854" s="4502"/>
      <c r="I1854" s="4502"/>
      <c r="J1854" s="4502"/>
      <c r="K1854" s="4502"/>
      <c r="L1854" s="4502"/>
      <c r="M1854" s="4502"/>
    </row>
    <row r="1855" spans="1:13" hidden="1">
      <c r="A1855" s="4501" t="s">
        <v>8586</v>
      </c>
      <c r="B1855" s="3">
        <v>3.2959999999999998</v>
      </c>
      <c r="E1855" s="4502"/>
      <c r="F1855" s="4502"/>
      <c r="G1855" s="4502"/>
      <c r="H1855" s="4502"/>
      <c r="I1855" s="4502"/>
      <c r="J1855" s="4502"/>
      <c r="K1855" s="4502"/>
      <c r="L1855" s="4502"/>
      <c r="M1855" s="4502"/>
    </row>
    <row r="1856" spans="1:13" hidden="1">
      <c r="A1856" s="4501" t="s">
        <v>8587</v>
      </c>
      <c r="B1856" s="3">
        <v>3.2959999999999998</v>
      </c>
      <c r="E1856" s="4502"/>
      <c r="F1856" s="4502"/>
      <c r="G1856" s="4502"/>
      <c r="H1856" s="4502"/>
      <c r="I1856" s="4502"/>
      <c r="J1856" s="4502"/>
      <c r="K1856" s="4502"/>
      <c r="L1856" s="4502"/>
      <c r="M1856" s="4502"/>
    </row>
    <row r="1857" spans="1:13" hidden="1">
      <c r="A1857" s="4501" t="s">
        <v>8588</v>
      </c>
      <c r="B1857" s="3">
        <v>3.2959999999999998</v>
      </c>
      <c r="E1857" s="4502"/>
      <c r="F1857" s="4502"/>
      <c r="G1857" s="4502"/>
      <c r="H1857" s="4502"/>
      <c r="I1857" s="4502"/>
      <c r="J1857" s="4502"/>
      <c r="K1857" s="4502"/>
      <c r="L1857" s="4502"/>
      <c r="M1857" s="4502"/>
    </row>
    <row r="1858" spans="1:13" hidden="1">
      <c r="A1858" s="4501" t="s">
        <v>8589</v>
      </c>
      <c r="B1858" s="3">
        <v>3.3540000000000001</v>
      </c>
      <c r="E1858" s="4502"/>
      <c r="F1858" s="4502"/>
      <c r="G1858" s="4502"/>
      <c r="H1858" s="4502"/>
      <c r="I1858" s="4502"/>
      <c r="J1858" s="4502"/>
      <c r="K1858" s="4502"/>
      <c r="L1858" s="4502"/>
      <c r="M1858" s="4502"/>
    </row>
    <row r="1859" spans="1:13" hidden="1">
      <c r="A1859" s="4501" t="s">
        <v>8590</v>
      </c>
      <c r="B1859" s="3">
        <v>3.2440000000000002</v>
      </c>
      <c r="E1859" s="4502"/>
      <c r="F1859" s="4502"/>
      <c r="G1859" s="4502"/>
      <c r="H1859" s="4502"/>
      <c r="I1859" s="4502"/>
      <c r="J1859" s="4502"/>
      <c r="K1859" s="4502"/>
      <c r="L1859" s="4502"/>
      <c r="M1859" s="4502"/>
    </row>
    <row r="1860" spans="1:13" hidden="1">
      <c r="A1860" s="4501" t="s">
        <v>8591</v>
      </c>
      <c r="B1860" s="3">
        <v>3.2589999999999999</v>
      </c>
      <c r="E1860" s="4502"/>
      <c r="F1860" s="4502"/>
      <c r="G1860" s="4502"/>
      <c r="H1860" s="4502"/>
      <c r="I1860" s="4502"/>
      <c r="J1860" s="4502"/>
      <c r="K1860" s="4502"/>
      <c r="L1860" s="4502"/>
      <c r="M1860" s="4502"/>
    </row>
    <row r="1861" spans="1:13" hidden="1">
      <c r="A1861" s="4501" t="s">
        <v>8592</v>
      </c>
      <c r="B1861" s="3">
        <v>3.26</v>
      </c>
      <c r="E1861" s="4502"/>
      <c r="F1861" s="4502"/>
      <c r="G1861" s="4502"/>
      <c r="H1861" s="4502"/>
      <c r="I1861" s="4502"/>
      <c r="J1861" s="4502"/>
      <c r="K1861" s="4502"/>
      <c r="L1861" s="4502"/>
      <c r="M1861" s="4502"/>
    </row>
    <row r="1862" spans="1:13" hidden="1">
      <c r="A1862" s="4501" t="s">
        <v>8593</v>
      </c>
      <c r="B1862" s="3">
        <v>3.222</v>
      </c>
      <c r="E1862" s="4502"/>
      <c r="F1862" s="4502"/>
      <c r="G1862" s="4502"/>
      <c r="H1862" s="4502"/>
      <c r="I1862" s="4502"/>
      <c r="J1862" s="4502"/>
      <c r="K1862" s="4502"/>
      <c r="L1862" s="4502"/>
      <c r="M1862" s="4502"/>
    </row>
    <row r="1863" spans="1:13" hidden="1">
      <c r="A1863" s="4501" t="s">
        <v>8594</v>
      </c>
      <c r="B1863" s="3">
        <v>3.222</v>
      </c>
      <c r="E1863" s="4502"/>
      <c r="F1863" s="4502"/>
      <c r="G1863" s="4502"/>
      <c r="H1863" s="4502"/>
      <c r="I1863" s="4502"/>
      <c r="J1863" s="4502"/>
      <c r="K1863" s="4502"/>
      <c r="L1863" s="4502"/>
      <c r="M1863" s="4502"/>
    </row>
    <row r="1864" spans="1:13" hidden="1">
      <c r="A1864" s="4501" t="s">
        <v>8595</v>
      </c>
      <c r="B1864" s="3">
        <v>3.222</v>
      </c>
      <c r="E1864" s="4502"/>
      <c r="F1864" s="4502"/>
      <c r="G1864" s="4502"/>
      <c r="H1864" s="4502"/>
      <c r="I1864" s="4502"/>
      <c r="J1864" s="4502"/>
      <c r="K1864" s="4502"/>
      <c r="L1864" s="4502"/>
      <c r="M1864" s="4502"/>
    </row>
    <row r="1865" spans="1:13" hidden="1">
      <c r="A1865" s="4501" t="s">
        <v>8596</v>
      </c>
      <c r="B1865" s="3">
        <v>3.2010000000000001</v>
      </c>
      <c r="E1865" s="4502"/>
      <c r="F1865" s="4502"/>
      <c r="G1865" s="4502"/>
      <c r="H1865" s="4502"/>
      <c r="I1865" s="4502"/>
      <c r="J1865" s="4502"/>
      <c r="K1865" s="4502"/>
      <c r="L1865" s="4502"/>
      <c r="M1865" s="4502"/>
    </row>
    <row r="1866" spans="1:13" hidden="1">
      <c r="A1866" s="4501" t="s">
        <v>8597</v>
      </c>
      <c r="B1866" s="3">
        <v>3.262</v>
      </c>
      <c r="E1866" s="4502"/>
      <c r="F1866" s="4502"/>
      <c r="G1866" s="4502"/>
      <c r="H1866" s="4502"/>
      <c r="I1866" s="4502"/>
      <c r="J1866" s="4502"/>
      <c r="K1866" s="4502"/>
      <c r="L1866" s="4502"/>
      <c r="M1866" s="4502"/>
    </row>
    <row r="1867" spans="1:13" hidden="1">
      <c r="A1867" s="4501" t="s">
        <v>8598</v>
      </c>
      <c r="B1867" s="3">
        <v>3.3519999999999999</v>
      </c>
      <c r="E1867" s="4502"/>
      <c r="F1867" s="4502"/>
      <c r="G1867" s="4502"/>
      <c r="H1867" s="4502"/>
      <c r="I1867" s="4502"/>
      <c r="J1867" s="4502"/>
      <c r="K1867" s="4502"/>
      <c r="L1867" s="4502"/>
      <c r="M1867" s="4502"/>
    </row>
    <row r="1868" spans="1:13" hidden="1">
      <c r="A1868" s="4501" t="s">
        <v>8599</v>
      </c>
      <c r="B1868" s="3">
        <v>3.4369999999999998</v>
      </c>
      <c r="E1868" s="4502"/>
      <c r="F1868" s="4502"/>
      <c r="G1868" s="4502"/>
      <c r="H1868" s="4502"/>
      <c r="I1868" s="4502"/>
      <c r="J1868" s="4502"/>
      <c r="K1868" s="4502"/>
      <c r="L1868" s="4502"/>
      <c r="M1868" s="4502"/>
    </row>
    <row r="1869" spans="1:13" hidden="1">
      <c r="A1869" s="4501" t="s">
        <v>8600</v>
      </c>
      <c r="B1869" s="3">
        <v>3.52</v>
      </c>
      <c r="E1869" s="4502"/>
      <c r="F1869" s="4502"/>
      <c r="G1869" s="4502"/>
      <c r="H1869" s="4502"/>
      <c r="I1869" s="4502"/>
      <c r="J1869" s="4502"/>
      <c r="K1869" s="4502"/>
      <c r="L1869" s="4502"/>
      <c r="M1869" s="4502"/>
    </row>
    <row r="1870" spans="1:13" hidden="1">
      <c r="A1870" s="4501" t="s">
        <v>8601</v>
      </c>
      <c r="B1870" s="3">
        <v>3.52</v>
      </c>
      <c r="E1870" s="4502"/>
      <c r="F1870" s="4502"/>
      <c r="G1870" s="4502"/>
      <c r="H1870" s="4502"/>
      <c r="I1870" s="4502"/>
      <c r="J1870" s="4502"/>
      <c r="K1870" s="4502"/>
      <c r="L1870" s="4502"/>
      <c r="M1870" s="4502"/>
    </row>
    <row r="1871" spans="1:13" hidden="1">
      <c r="A1871" s="4501" t="s">
        <v>8602</v>
      </c>
      <c r="B1871" s="3">
        <v>3.52</v>
      </c>
      <c r="E1871" s="4502"/>
      <c r="F1871" s="4502"/>
      <c r="G1871" s="4502"/>
      <c r="H1871" s="4502"/>
      <c r="I1871" s="4502"/>
      <c r="J1871" s="4502"/>
      <c r="K1871" s="4502"/>
      <c r="L1871" s="4502"/>
      <c r="M1871" s="4502"/>
    </row>
    <row r="1872" spans="1:13" hidden="1">
      <c r="A1872" s="4501" t="s">
        <v>8603</v>
      </c>
      <c r="B1872" s="3">
        <v>3.593</v>
      </c>
      <c r="E1872" s="4502"/>
      <c r="F1872" s="4502"/>
      <c r="G1872" s="4502"/>
      <c r="H1872" s="4502"/>
      <c r="I1872" s="4502"/>
      <c r="J1872" s="4502"/>
      <c r="K1872" s="4502"/>
      <c r="L1872" s="4502"/>
      <c r="M1872" s="4502"/>
    </row>
    <row r="1873" spans="1:13" hidden="1">
      <c r="A1873" s="4501" t="s">
        <v>8604</v>
      </c>
      <c r="B1873" s="3">
        <v>3.63</v>
      </c>
      <c r="E1873" s="4502"/>
      <c r="F1873" s="4502"/>
      <c r="G1873" s="4502"/>
      <c r="H1873" s="4502"/>
      <c r="I1873" s="4502"/>
      <c r="J1873" s="4502"/>
      <c r="K1873" s="4502"/>
      <c r="L1873" s="4502"/>
      <c r="M1873" s="4502"/>
    </row>
    <row r="1874" spans="1:13" hidden="1">
      <c r="A1874" s="4501" t="s">
        <v>8605</v>
      </c>
      <c r="B1874" s="3">
        <v>3.6240000000000001</v>
      </c>
      <c r="E1874" s="4502"/>
      <c r="F1874" s="4502"/>
      <c r="G1874" s="4502"/>
      <c r="H1874" s="4502"/>
      <c r="I1874" s="4502"/>
      <c r="J1874" s="4502"/>
      <c r="K1874" s="4502"/>
      <c r="L1874" s="4502"/>
      <c r="M1874" s="4502"/>
    </row>
    <row r="1875" spans="1:13" hidden="1">
      <c r="A1875" s="4501" t="s">
        <v>8606</v>
      </c>
      <c r="B1875" s="3">
        <v>3.6320000000000001</v>
      </c>
      <c r="E1875" s="4502"/>
      <c r="F1875" s="4502"/>
      <c r="G1875" s="4502"/>
      <c r="H1875" s="4502"/>
      <c r="I1875" s="4502"/>
      <c r="J1875" s="4502"/>
      <c r="K1875" s="4502"/>
      <c r="L1875" s="4502"/>
      <c r="M1875" s="4502"/>
    </row>
    <row r="1876" spans="1:13" hidden="1">
      <c r="A1876" s="4501" t="s">
        <v>8607</v>
      </c>
      <c r="B1876" s="3">
        <v>3.6680000000000001</v>
      </c>
      <c r="E1876" s="4502"/>
      <c r="F1876" s="4502"/>
      <c r="G1876" s="4502"/>
      <c r="H1876" s="4502"/>
      <c r="I1876" s="4502"/>
      <c r="J1876" s="4502"/>
      <c r="K1876" s="4502"/>
      <c r="L1876" s="4502"/>
      <c r="M1876" s="4502"/>
    </row>
    <row r="1877" spans="1:13" hidden="1">
      <c r="A1877" s="4501" t="s">
        <v>8608</v>
      </c>
      <c r="B1877" s="3">
        <v>3.6680000000000001</v>
      </c>
      <c r="E1877" s="4502"/>
      <c r="F1877" s="4502"/>
      <c r="G1877" s="4502"/>
      <c r="H1877" s="4502"/>
      <c r="I1877" s="4502"/>
      <c r="J1877" s="4502"/>
      <c r="K1877" s="4502"/>
      <c r="L1877" s="4502"/>
      <c r="M1877" s="4502"/>
    </row>
    <row r="1878" spans="1:13" hidden="1">
      <c r="A1878" s="4501" t="s">
        <v>8609</v>
      </c>
      <c r="B1878" s="3">
        <v>3.6680000000000001</v>
      </c>
      <c r="E1878" s="4502"/>
      <c r="F1878" s="4502"/>
      <c r="G1878" s="4502"/>
      <c r="H1878" s="4502"/>
      <c r="I1878" s="4502"/>
      <c r="J1878" s="4502"/>
      <c r="K1878" s="4502"/>
      <c r="L1878" s="4502"/>
      <c r="M1878" s="4502"/>
    </row>
    <row r="1879" spans="1:13" hidden="1">
      <c r="A1879" s="4501" t="s">
        <v>8610</v>
      </c>
      <c r="B1879" s="3">
        <v>3.6680000000000001</v>
      </c>
      <c r="E1879" s="4502"/>
      <c r="F1879" s="4502"/>
      <c r="G1879" s="4502"/>
      <c r="H1879" s="4502"/>
      <c r="I1879" s="4502"/>
      <c r="J1879" s="4502"/>
      <c r="K1879" s="4502"/>
      <c r="L1879" s="4502"/>
      <c r="M1879" s="4502"/>
    </row>
    <row r="1880" spans="1:13" hidden="1">
      <c r="A1880" s="4501" t="s">
        <v>8611</v>
      </c>
      <c r="B1880" s="3">
        <v>3.6080000000000001</v>
      </c>
      <c r="E1880" s="4502"/>
      <c r="F1880" s="4502"/>
      <c r="G1880" s="4502"/>
      <c r="H1880" s="4502"/>
      <c r="I1880" s="4502"/>
      <c r="J1880" s="4502"/>
      <c r="K1880" s="4502"/>
      <c r="L1880" s="4502"/>
      <c r="M1880" s="4502"/>
    </row>
    <row r="1881" spans="1:13" hidden="1">
      <c r="A1881" s="4501" t="s">
        <v>8612</v>
      </c>
      <c r="B1881" s="3">
        <v>3.5739999999999998</v>
      </c>
      <c r="E1881" s="4502"/>
      <c r="F1881" s="4502"/>
      <c r="G1881" s="4502"/>
      <c r="H1881" s="4502"/>
      <c r="I1881" s="4502"/>
      <c r="J1881" s="4502"/>
      <c r="K1881" s="4502"/>
      <c r="L1881" s="4502"/>
      <c r="M1881" s="4502"/>
    </row>
    <row r="1882" spans="1:13" hidden="1">
      <c r="A1882" s="4501" t="s">
        <v>8613</v>
      </c>
      <c r="B1882" s="3">
        <v>3.6669999999999998</v>
      </c>
      <c r="E1882" s="4502"/>
      <c r="F1882" s="4502"/>
      <c r="G1882" s="4502"/>
      <c r="H1882" s="4502"/>
      <c r="I1882" s="4502"/>
      <c r="J1882" s="4502"/>
      <c r="K1882" s="4502"/>
      <c r="L1882" s="4502"/>
      <c r="M1882" s="4502"/>
    </row>
    <row r="1883" spans="1:13" hidden="1">
      <c r="A1883" s="4501" t="s">
        <v>8614</v>
      </c>
      <c r="B1883" s="3">
        <v>3.657</v>
      </c>
      <c r="E1883" s="4502"/>
      <c r="F1883" s="4502"/>
      <c r="G1883" s="4502"/>
      <c r="H1883" s="4502"/>
      <c r="I1883" s="4502"/>
      <c r="J1883" s="4502"/>
      <c r="K1883" s="4502"/>
      <c r="L1883" s="4502"/>
      <c r="M1883" s="4502"/>
    </row>
    <row r="1884" spans="1:13" hidden="1">
      <c r="A1884" s="4501" t="s">
        <v>8615</v>
      </c>
      <c r="B1884" s="3">
        <v>3.657</v>
      </c>
      <c r="E1884" s="4502"/>
      <c r="F1884" s="4502"/>
      <c r="G1884" s="4502"/>
      <c r="H1884" s="4502"/>
      <c r="I1884" s="4502"/>
      <c r="J1884" s="4502"/>
      <c r="K1884" s="4502"/>
      <c r="L1884" s="4502"/>
      <c r="M1884" s="4502"/>
    </row>
    <row r="1885" spans="1:13" hidden="1">
      <c r="A1885" s="4501" t="s">
        <v>8616</v>
      </c>
      <c r="B1885" s="3">
        <v>3.657</v>
      </c>
      <c r="E1885" s="4502"/>
      <c r="F1885" s="4502"/>
      <c r="G1885" s="4502"/>
      <c r="H1885" s="4502"/>
      <c r="I1885" s="4502"/>
      <c r="J1885" s="4502"/>
      <c r="K1885" s="4502"/>
      <c r="L1885" s="4502"/>
      <c r="M1885" s="4502"/>
    </row>
    <row r="1886" spans="1:13" hidden="1">
      <c r="A1886" s="4501" t="s">
        <v>8617</v>
      </c>
      <c r="B1886" s="3">
        <v>3.7320000000000002</v>
      </c>
      <c r="E1886" s="4502"/>
      <c r="F1886" s="4502"/>
      <c r="G1886" s="4502"/>
      <c r="H1886" s="4502"/>
      <c r="I1886" s="4502"/>
      <c r="J1886" s="4502"/>
      <c r="K1886" s="4502"/>
      <c r="L1886" s="4502"/>
      <c r="M1886" s="4502"/>
    </row>
    <row r="1887" spans="1:13" hidden="1">
      <c r="A1887" s="4501" t="s">
        <v>8618</v>
      </c>
      <c r="B1887" s="3">
        <v>3.6819999999999999</v>
      </c>
      <c r="E1887" s="4502"/>
      <c r="F1887" s="4502"/>
      <c r="G1887" s="4502"/>
      <c r="H1887" s="4502"/>
      <c r="I1887" s="4502"/>
      <c r="J1887" s="4502"/>
      <c r="K1887" s="4502"/>
      <c r="L1887" s="4502"/>
      <c r="M1887" s="4502"/>
    </row>
    <row r="1888" spans="1:13" hidden="1">
      <c r="A1888" s="4501" t="s">
        <v>8619</v>
      </c>
      <c r="B1888" s="3">
        <v>3.6480000000000001</v>
      </c>
      <c r="E1888" s="4502"/>
      <c r="F1888" s="4502"/>
      <c r="G1888" s="4502"/>
      <c r="H1888" s="4502"/>
      <c r="I1888" s="4502"/>
      <c r="J1888" s="4502"/>
      <c r="K1888" s="4502"/>
      <c r="L1888" s="4502"/>
      <c r="M1888" s="4502"/>
    </row>
    <row r="1889" spans="1:13" hidden="1">
      <c r="A1889" s="4501" t="s">
        <v>8620</v>
      </c>
      <c r="B1889" s="3">
        <v>3.601</v>
      </c>
      <c r="E1889" s="4502"/>
      <c r="F1889" s="4502"/>
      <c r="G1889" s="4502"/>
      <c r="H1889" s="4502"/>
      <c r="I1889" s="4502"/>
      <c r="J1889" s="4502"/>
      <c r="K1889" s="4502"/>
      <c r="L1889" s="4502"/>
      <c r="M1889" s="4502"/>
    </row>
    <row r="1890" spans="1:13" hidden="1">
      <c r="A1890" s="4501" t="s">
        <v>8621</v>
      </c>
      <c r="B1890" s="3">
        <v>3.6579999999999999</v>
      </c>
      <c r="E1890" s="4502"/>
      <c r="F1890" s="4502"/>
      <c r="G1890" s="4502"/>
      <c r="H1890" s="4502"/>
      <c r="I1890" s="4502"/>
      <c r="J1890" s="4502"/>
      <c r="K1890" s="4502"/>
      <c r="L1890" s="4502"/>
      <c r="M1890" s="4502"/>
    </row>
    <row r="1891" spans="1:13" hidden="1">
      <c r="A1891" s="4501" t="s">
        <v>8622</v>
      </c>
      <c r="B1891" s="3">
        <v>3.6579999999999999</v>
      </c>
      <c r="E1891" s="4502"/>
      <c r="F1891" s="4502"/>
      <c r="G1891" s="4502"/>
      <c r="H1891" s="4502"/>
      <c r="I1891" s="4502"/>
      <c r="J1891" s="4502"/>
      <c r="K1891" s="4502"/>
      <c r="L1891" s="4502"/>
      <c r="M1891" s="4502"/>
    </row>
    <row r="1892" spans="1:13" hidden="1">
      <c r="A1892" s="4501" t="s">
        <v>8623</v>
      </c>
      <c r="B1892" s="3">
        <v>3.6579999999999999</v>
      </c>
      <c r="E1892" s="4502"/>
      <c r="F1892" s="4502"/>
      <c r="G1892" s="4502"/>
      <c r="H1892" s="4502"/>
      <c r="I1892" s="4502"/>
      <c r="J1892" s="4502"/>
      <c r="K1892" s="4502"/>
      <c r="L1892" s="4502"/>
      <c r="M1892" s="4502"/>
    </row>
    <row r="1893" spans="1:13" hidden="1">
      <c r="A1893" s="4501" t="s">
        <v>8624</v>
      </c>
      <c r="B1893" s="3">
        <v>3.754</v>
      </c>
      <c r="E1893" s="4502"/>
      <c r="F1893" s="4502"/>
      <c r="G1893" s="4502"/>
      <c r="H1893" s="4502"/>
      <c r="I1893" s="4502"/>
      <c r="J1893" s="4502"/>
      <c r="K1893" s="4502"/>
      <c r="L1893" s="4502"/>
      <c r="M1893" s="4502"/>
    </row>
    <row r="1894" spans="1:13" hidden="1">
      <c r="A1894" s="4501" t="s">
        <v>8625</v>
      </c>
      <c r="B1894" s="3">
        <v>3.8519999999999999</v>
      </c>
      <c r="E1894" s="4502"/>
      <c r="F1894" s="4502"/>
      <c r="G1894" s="4502"/>
      <c r="H1894" s="4502"/>
      <c r="I1894" s="4502"/>
      <c r="J1894" s="4502"/>
      <c r="K1894" s="4502"/>
      <c r="L1894" s="4502"/>
      <c r="M1894" s="4502"/>
    </row>
    <row r="1895" spans="1:13" hidden="1">
      <c r="A1895" s="4501" t="s">
        <v>8626</v>
      </c>
      <c r="B1895" s="3">
        <v>3.9380000000000002</v>
      </c>
      <c r="E1895" s="4502"/>
      <c r="F1895" s="4502"/>
      <c r="G1895" s="4502"/>
      <c r="H1895" s="4502"/>
      <c r="I1895" s="4502"/>
      <c r="J1895" s="4502"/>
      <c r="K1895" s="4502"/>
      <c r="L1895" s="4502"/>
      <c r="M1895" s="4502"/>
    </row>
    <row r="1896" spans="1:13" hidden="1">
      <c r="A1896" s="4501" t="s">
        <v>8627</v>
      </c>
      <c r="B1896" s="3">
        <v>3.9820000000000002</v>
      </c>
      <c r="E1896" s="4502"/>
      <c r="F1896" s="4502"/>
      <c r="G1896" s="4502"/>
      <c r="H1896" s="4502"/>
      <c r="I1896" s="4502"/>
      <c r="J1896" s="4502"/>
      <c r="K1896" s="4502"/>
      <c r="L1896" s="4502"/>
      <c r="M1896" s="4502"/>
    </row>
    <row r="1897" spans="1:13" hidden="1">
      <c r="A1897" s="4501" t="s">
        <v>8628</v>
      </c>
      <c r="B1897" s="3">
        <v>4.0419999999999998</v>
      </c>
      <c r="E1897" s="4502"/>
      <c r="F1897" s="4502"/>
      <c r="G1897" s="4502"/>
      <c r="H1897" s="4502"/>
      <c r="I1897" s="4502"/>
      <c r="J1897" s="4502"/>
      <c r="K1897" s="4502"/>
      <c r="L1897" s="4502"/>
      <c r="M1897" s="4502"/>
    </row>
    <row r="1898" spans="1:13" hidden="1">
      <c r="A1898" s="4501" t="s">
        <v>8629</v>
      </c>
      <c r="B1898" s="3">
        <v>4.0419999999999998</v>
      </c>
      <c r="E1898" s="4502"/>
      <c r="F1898" s="4502"/>
      <c r="G1898" s="4502"/>
      <c r="H1898" s="4502"/>
      <c r="I1898" s="4502"/>
      <c r="J1898" s="4502"/>
      <c r="K1898" s="4502"/>
      <c r="L1898" s="4502"/>
      <c r="M1898" s="4502"/>
    </row>
    <row r="1899" spans="1:13" hidden="1">
      <c r="A1899" s="4501" t="s">
        <v>8630</v>
      </c>
      <c r="B1899" s="3">
        <v>4.0419999999999998</v>
      </c>
      <c r="E1899" s="4502"/>
      <c r="F1899" s="4502"/>
      <c r="G1899" s="4502"/>
      <c r="H1899" s="4502"/>
      <c r="I1899" s="4502"/>
      <c r="J1899" s="4502"/>
      <c r="K1899" s="4502"/>
      <c r="L1899" s="4502"/>
      <c r="M1899" s="4502"/>
    </row>
    <row r="1900" spans="1:13" hidden="1">
      <c r="A1900" s="4501" t="s">
        <v>8631</v>
      </c>
      <c r="B1900" s="3">
        <v>4.0819999999999999</v>
      </c>
      <c r="E1900" s="4502"/>
      <c r="F1900" s="4502"/>
      <c r="G1900" s="4502"/>
      <c r="H1900" s="4502"/>
      <c r="I1900" s="4502"/>
      <c r="J1900" s="4502"/>
      <c r="K1900" s="4502"/>
      <c r="L1900" s="4502"/>
      <c r="M1900" s="4502"/>
    </row>
    <row r="1901" spans="1:13" hidden="1">
      <c r="A1901" s="4501" t="s">
        <v>8632</v>
      </c>
      <c r="B1901" s="3">
        <v>3.9420000000000002</v>
      </c>
      <c r="E1901" s="4502"/>
      <c r="F1901" s="4502"/>
      <c r="G1901" s="4502"/>
      <c r="H1901" s="4502"/>
      <c r="I1901" s="4502"/>
      <c r="J1901" s="4502"/>
      <c r="K1901" s="4502"/>
      <c r="L1901" s="4502"/>
      <c r="M1901" s="4502"/>
    </row>
    <row r="1902" spans="1:13" hidden="1">
      <c r="A1902" s="4501" t="s">
        <v>8633</v>
      </c>
      <c r="B1902" s="3">
        <v>3.9670000000000001</v>
      </c>
      <c r="E1902" s="4502"/>
      <c r="F1902" s="4502"/>
      <c r="G1902" s="4502"/>
      <c r="H1902" s="4502"/>
      <c r="I1902" s="4502"/>
      <c r="J1902" s="4502"/>
      <c r="K1902" s="4502"/>
      <c r="L1902" s="4502"/>
      <c r="M1902" s="4502"/>
    </row>
    <row r="1903" spans="1:13" hidden="1">
      <c r="A1903" s="4501" t="s">
        <v>8634</v>
      </c>
      <c r="B1903" s="3">
        <v>4.0590000000000002</v>
      </c>
      <c r="E1903" s="4502"/>
      <c r="F1903" s="4502"/>
      <c r="G1903" s="4502"/>
      <c r="H1903" s="4502"/>
      <c r="I1903" s="4502"/>
      <c r="J1903" s="4502"/>
      <c r="K1903" s="4502"/>
      <c r="L1903" s="4502"/>
      <c r="M1903" s="4502"/>
    </row>
    <row r="1904" spans="1:13" hidden="1">
      <c r="A1904" s="4501" t="s">
        <v>8635</v>
      </c>
      <c r="B1904" s="3">
        <v>3.9140000000000001</v>
      </c>
      <c r="E1904" s="4502"/>
      <c r="F1904" s="4502"/>
      <c r="G1904" s="4502"/>
      <c r="H1904" s="4502"/>
      <c r="I1904" s="4502"/>
      <c r="J1904" s="4502"/>
      <c r="K1904" s="4502"/>
      <c r="L1904" s="4502"/>
      <c r="M1904" s="4502"/>
    </row>
    <row r="1905" spans="1:13" hidden="1">
      <c r="A1905" s="4501" t="s">
        <v>8636</v>
      </c>
      <c r="B1905" s="3">
        <v>3.9140000000000001</v>
      </c>
      <c r="E1905" s="4502"/>
      <c r="F1905" s="4502"/>
      <c r="G1905" s="4502"/>
      <c r="H1905" s="4502"/>
      <c r="I1905" s="4502"/>
      <c r="J1905" s="4502"/>
      <c r="K1905" s="4502"/>
      <c r="L1905" s="4502"/>
      <c r="M1905" s="4502"/>
    </row>
    <row r="1906" spans="1:13" hidden="1">
      <c r="A1906" s="4501" t="s">
        <v>8637</v>
      </c>
      <c r="B1906" s="3">
        <v>3.9140000000000001</v>
      </c>
      <c r="E1906" s="4502"/>
      <c r="F1906" s="4502"/>
      <c r="G1906" s="4502"/>
      <c r="H1906" s="4502"/>
      <c r="I1906" s="4502"/>
      <c r="J1906" s="4502"/>
      <c r="K1906" s="4502"/>
      <c r="L1906" s="4502"/>
      <c r="M1906" s="4502"/>
    </row>
    <row r="1907" spans="1:13" hidden="1">
      <c r="A1907" s="4501" t="s">
        <v>8638</v>
      </c>
      <c r="B1907" s="3">
        <v>3.9350000000000001</v>
      </c>
      <c r="E1907" s="4502"/>
      <c r="F1907" s="4502"/>
      <c r="G1907" s="4502"/>
      <c r="H1907" s="4502"/>
      <c r="I1907" s="4502"/>
      <c r="J1907" s="4502"/>
      <c r="K1907" s="4502"/>
      <c r="L1907" s="4502"/>
      <c r="M1907" s="4502"/>
    </row>
    <row r="1908" spans="1:13" hidden="1">
      <c r="A1908" s="4501" t="s">
        <v>8639</v>
      </c>
      <c r="B1908" s="3">
        <v>4.0270000000000001</v>
      </c>
      <c r="E1908" s="4502"/>
      <c r="F1908" s="4502"/>
      <c r="G1908" s="4502"/>
      <c r="H1908" s="4502"/>
      <c r="I1908" s="4502"/>
      <c r="J1908" s="4502"/>
      <c r="K1908" s="4502"/>
      <c r="L1908" s="4502"/>
      <c r="M1908" s="4502"/>
    </row>
    <row r="1909" spans="1:13" hidden="1">
      <c r="A1909" s="4501" t="s">
        <v>8640</v>
      </c>
      <c r="B1909" s="3">
        <v>4.1580000000000004</v>
      </c>
      <c r="E1909" s="4502"/>
      <c r="F1909" s="4502"/>
      <c r="G1909" s="4502"/>
      <c r="H1909" s="4502"/>
      <c r="I1909" s="4502"/>
      <c r="J1909" s="4502"/>
      <c r="K1909" s="4502"/>
      <c r="L1909" s="4502"/>
      <c r="M1909" s="4502"/>
    </row>
    <row r="1910" spans="1:13" hidden="1">
      <c r="A1910" s="4501" t="s">
        <v>8641</v>
      </c>
      <c r="B1910" s="3">
        <v>4.1399999999999997</v>
      </c>
      <c r="E1910" s="4502"/>
      <c r="F1910" s="4502"/>
      <c r="G1910" s="4502"/>
      <c r="H1910" s="4502"/>
      <c r="I1910" s="4502"/>
      <c r="J1910" s="4502"/>
      <c r="K1910" s="4502"/>
      <c r="L1910" s="4502"/>
      <c r="M1910" s="4502"/>
    </row>
    <row r="1911" spans="1:13" hidden="1">
      <c r="A1911" s="4501" t="s">
        <v>8642</v>
      </c>
      <c r="B1911" s="3">
        <v>4.1399999999999997</v>
      </c>
      <c r="E1911" s="4502"/>
      <c r="F1911" s="4502"/>
      <c r="G1911" s="4502"/>
      <c r="H1911" s="4502"/>
      <c r="I1911" s="4502"/>
      <c r="J1911" s="4502"/>
      <c r="K1911" s="4502"/>
      <c r="L1911" s="4502"/>
      <c r="M1911" s="4502"/>
    </row>
    <row r="1912" spans="1:13" hidden="1">
      <c r="A1912" s="4501" t="s">
        <v>8643</v>
      </c>
      <c r="B1912" s="3">
        <v>4.1399999999999997</v>
      </c>
      <c r="E1912" s="4502"/>
      <c r="F1912" s="4502"/>
      <c r="G1912" s="4502"/>
      <c r="H1912" s="4502"/>
      <c r="I1912" s="4502"/>
      <c r="J1912" s="4502"/>
      <c r="K1912" s="4502"/>
      <c r="L1912" s="4502"/>
      <c r="M1912" s="4502"/>
    </row>
    <row r="1913" spans="1:13" hidden="1">
      <c r="A1913" s="4501" t="s">
        <v>8644</v>
      </c>
      <c r="B1913" s="3">
        <v>4.1399999999999997</v>
      </c>
      <c r="E1913" s="4502"/>
      <c r="F1913" s="4502"/>
      <c r="G1913" s="4502"/>
      <c r="H1913" s="4502"/>
      <c r="I1913" s="4502"/>
      <c r="J1913" s="4502"/>
      <c r="K1913" s="4502"/>
      <c r="L1913" s="4502"/>
      <c r="M1913" s="4502"/>
    </row>
    <row r="1914" spans="1:13" hidden="1">
      <c r="A1914" s="4501" t="s">
        <v>8645</v>
      </c>
      <c r="B1914" s="3">
        <v>4.0599999999999996</v>
      </c>
      <c r="E1914" s="4502"/>
      <c r="F1914" s="4502"/>
      <c r="G1914" s="4502"/>
      <c r="H1914" s="4502"/>
      <c r="I1914" s="4502"/>
      <c r="J1914" s="4502"/>
      <c r="K1914" s="4502"/>
      <c r="L1914" s="4502"/>
      <c r="M1914" s="4502"/>
    </row>
    <row r="1915" spans="1:13" hidden="1">
      <c r="A1915" s="4501" t="s">
        <v>8646</v>
      </c>
      <c r="B1915" s="3">
        <v>4.0890000000000004</v>
      </c>
      <c r="E1915" s="4502"/>
      <c r="F1915" s="4502"/>
      <c r="G1915" s="4502"/>
      <c r="H1915" s="4502"/>
      <c r="I1915" s="4502"/>
      <c r="J1915" s="4502"/>
      <c r="K1915" s="4502"/>
      <c r="L1915" s="4502"/>
      <c r="M1915" s="4502"/>
    </row>
    <row r="1916" spans="1:13" hidden="1">
      <c r="A1916" s="4501" t="s">
        <v>8647</v>
      </c>
      <c r="B1916" s="3">
        <v>4.0590000000000002</v>
      </c>
      <c r="E1916" s="4502"/>
      <c r="F1916" s="4502"/>
      <c r="G1916" s="4502"/>
      <c r="H1916" s="4502"/>
      <c r="I1916" s="4502"/>
      <c r="J1916" s="4502"/>
      <c r="K1916" s="4502"/>
      <c r="L1916" s="4502"/>
      <c r="M1916" s="4502"/>
    </row>
    <row r="1917" spans="1:13" hidden="1">
      <c r="A1917" s="4501" t="s">
        <v>8648</v>
      </c>
      <c r="B1917" s="3">
        <v>3.948</v>
      </c>
      <c r="E1917" s="4502"/>
      <c r="F1917" s="4502"/>
      <c r="G1917" s="4502"/>
      <c r="H1917" s="4502"/>
      <c r="I1917" s="4502"/>
      <c r="J1917" s="4502"/>
      <c r="K1917" s="4502"/>
      <c r="L1917" s="4502"/>
      <c r="M1917" s="4502"/>
    </row>
    <row r="1918" spans="1:13" hidden="1">
      <c r="A1918" s="4501" t="s">
        <v>8649</v>
      </c>
      <c r="B1918" s="3">
        <v>3.875</v>
      </c>
      <c r="E1918" s="4502"/>
      <c r="F1918" s="4502"/>
      <c r="G1918" s="4502"/>
      <c r="H1918" s="4502"/>
      <c r="I1918" s="4502"/>
      <c r="J1918" s="4502"/>
      <c r="K1918" s="4502"/>
      <c r="L1918" s="4502"/>
      <c r="M1918" s="4502"/>
    </row>
    <row r="1919" spans="1:13" hidden="1">
      <c r="A1919" s="4501" t="s">
        <v>8650</v>
      </c>
      <c r="B1919" s="3">
        <v>3.875</v>
      </c>
      <c r="E1919" s="4502"/>
      <c r="F1919" s="4502"/>
      <c r="G1919" s="4502"/>
      <c r="H1919" s="4502"/>
      <c r="I1919" s="4502"/>
      <c r="J1919" s="4502"/>
      <c r="K1919" s="4502"/>
      <c r="L1919" s="4502"/>
      <c r="M1919" s="4502"/>
    </row>
    <row r="1920" spans="1:13" hidden="1">
      <c r="A1920" s="4501" t="s">
        <v>8651</v>
      </c>
      <c r="B1920" s="3">
        <v>3.875</v>
      </c>
      <c r="E1920" s="4502"/>
      <c r="F1920" s="4502"/>
      <c r="G1920" s="4502"/>
      <c r="H1920" s="4502"/>
      <c r="I1920" s="4502"/>
      <c r="J1920" s="4502"/>
      <c r="K1920" s="4502"/>
      <c r="L1920" s="4502"/>
      <c r="M1920" s="4502"/>
    </row>
    <row r="1921" spans="1:13" hidden="1">
      <c r="A1921" s="4501" t="s">
        <v>8652</v>
      </c>
      <c r="B1921" s="3">
        <v>3.96</v>
      </c>
      <c r="E1921" s="4502"/>
      <c r="F1921" s="4502"/>
      <c r="G1921" s="4502"/>
      <c r="H1921" s="4502"/>
      <c r="I1921" s="4502"/>
      <c r="J1921" s="4502"/>
      <c r="K1921" s="4502"/>
      <c r="L1921" s="4502"/>
      <c r="M1921" s="4502"/>
    </row>
    <row r="1922" spans="1:13" hidden="1">
      <c r="A1922" s="4501" t="s">
        <v>8653</v>
      </c>
      <c r="B1922" s="3">
        <v>3.851</v>
      </c>
      <c r="E1922" s="4502"/>
      <c r="F1922" s="4502"/>
      <c r="G1922" s="4502"/>
      <c r="H1922" s="4502"/>
      <c r="I1922" s="4502"/>
      <c r="J1922" s="4502"/>
      <c r="K1922" s="4502"/>
      <c r="L1922" s="4502"/>
      <c r="M1922" s="4502"/>
    </row>
    <row r="1923" spans="1:13" hidden="1">
      <c r="A1923" s="4501" t="s">
        <v>8654</v>
      </c>
      <c r="B1923" s="3">
        <v>3.8660000000000001</v>
      </c>
      <c r="E1923" s="4502"/>
      <c r="F1923" s="4502"/>
      <c r="G1923" s="4502"/>
      <c r="H1923" s="4502"/>
      <c r="I1923" s="4502"/>
      <c r="J1923" s="4502"/>
      <c r="K1923" s="4502"/>
      <c r="L1923" s="4502"/>
      <c r="M1923" s="4502"/>
    </row>
    <row r="1924" spans="1:13" hidden="1">
      <c r="A1924" s="4501" t="s">
        <v>8655</v>
      </c>
      <c r="B1924" s="3">
        <v>3.8439999999999999</v>
      </c>
      <c r="E1924" s="4502"/>
      <c r="F1924" s="4502"/>
      <c r="G1924" s="4502"/>
      <c r="H1924" s="4502"/>
      <c r="I1924" s="4502"/>
      <c r="J1924" s="4502"/>
      <c r="K1924" s="4502"/>
      <c r="L1924" s="4502"/>
      <c r="M1924" s="4502"/>
    </row>
    <row r="1925" spans="1:13" hidden="1">
      <c r="A1925" s="4501" t="s">
        <v>8656</v>
      </c>
      <c r="B1925" s="3">
        <v>3.8660000000000001</v>
      </c>
      <c r="E1925" s="4502"/>
      <c r="F1925" s="4502"/>
      <c r="G1925" s="4502"/>
      <c r="H1925" s="4502"/>
      <c r="I1925" s="4502"/>
      <c r="J1925" s="4502"/>
      <c r="K1925" s="4502"/>
      <c r="L1925" s="4502"/>
      <c r="M1925" s="4502"/>
    </row>
    <row r="1926" spans="1:13" hidden="1">
      <c r="A1926" s="4501" t="s">
        <v>8657</v>
      </c>
      <c r="B1926" s="3">
        <v>3.8660000000000001</v>
      </c>
      <c r="E1926" s="4502"/>
      <c r="F1926" s="4502"/>
      <c r="G1926" s="4502"/>
      <c r="H1926" s="4502"/>
      <c r="I1926" s="4502"/>
      <c r="J1926" s="4502"/>
      <c r="K1926" s="4502"/>
      <c r="L1926" s="4502"/>
      <c r="M1926" s="4502"/>
    </row>
    <row r="1927" spans="1:13" hidden="1">
      <c r="A1927" s="4501" t="s">
        <v>8658</v>
      </c>
      <c r="B1927" s="3">
        <v>3.8660000000000001</v>
      </c>
      <c r="E1927" s="4502"/>
      <c r="F1927" s="4502"/>
      <c r="G1927" s="4502"/>
      <c r="H1927" s="4502"/>
      <c r="I1927" s="4502"/>
      <c r="J1927" s="4502"/>
      <c r="K1927" s="4502"/>
      <c r="L1927" s="4502"/>
      <c r="M1927" s="4502"/>
    </row>
    <row r="1928" spans="1:13" hidden="1">
      <c r="A1928" s="4501" t="s">
        <v>8659</v>
      </c>
      <c r="B1928" s="3">
        <v>3.96</v>
      </c>
      <c r="E1928" s="4502"/>
      <c r="F1928" s="4502"/>
      <c r="G1928" s="4502"/>
      <c r="H1928" s="4502"/>
      <c r="I1928" s="4502"/>
      <c r="J1928" s="4502"/>
      <c r="K1928" s="4502"/>
      <c r="L1928" s="4502"/>
      <c r="M1928" s="4502"/>
    </row>
    <row r="1929" spans="1:13" hidden="1">
      <c r="A1929" s="4501" t="s">
        <v>8660</v>
      </c>
      <c r="B1929" s="3">
        <v>3.9159999999999999</v>
      </c>
      <c r="E1929" s="4502"/>
      <c r="F1929" s="4502"/>
      <c r="G1929" s="4502"/>
      <c r="H1929" s="4502"/>
      <c r="I1929" s="4502"/>
      <c r="J1929" s="4502"/>
      <c r="K1929" s="4502"/>
      <c r="L1929" s="4502"/>
      <c r="M1929" s="4502"/>
    </row>
    <row r="1930" spans="1:13" hidden="1">
      <c r="A1930" s="4501" t="s">
        <v>8661</v>
      </c>
      <c r="B1930" s="3">
        <v>3.9249999999999998</v>
      </c>
      <c r="E1930" s="4502"/>
      <c r="F1930" s="4502"/>
      <c r="G1930" s="4502"/>
      <c r="H1930" s="4502"/>
      <c r="I1930" s="4502"/>
      <c r="J1930" s="4502"/>
      <c r="K1930" s="4502"/>
      <c r="L1930" s="4502"/>
      <c r="M1930" s="4502"/>
    </row>
    <row r="1931" spans="1:13" hidden="1">
      <c r="A1931" s="4501" t="s">
        <v>8662</v>
      </c>
      <c r="B1931" s="3">
        <v>4.2110000000000003</v>
      </c>
      <c r="E1931" s="4502"/>
      <c r="F1931" s="4502"/>
      <c r="G1931" s="4502"/>
      <c r="H1931" s="4502"/>
      <c r="I1931" s="4502"/>
      <c r="J1931" s="4502"/>
      <c r="K1931" s="4502"/>
      <c r="L1931" s="4502"/>
      <c r="M1931" s="4502"/>
    </row>
    <row r="1932" spans="1:13" hidden="1">
      <c r="A1932" s="4501" t="s">
        <v>8663</v>
      </c>
      <c r="B1932" s="3">
        <v>4.3879999999999999</v>
      </c>
      <c r="E1932" s="4502"/>
      <c r="F1932" s="4502"/>
      <c r="G1932" s="4502"/>
      <c r="H1932" s="4502"/>
      <c r="I1932" s="4502"/>
      <c r="J1932" s="4502"/>
      <c r="K1932" s="4502"/>
      <c r="L1932" s="4502"/>
      <c r="M1932" s="4502"/>
    </row>
    <row r="1933" spans="1:13" hidden="1">
      <c r="A1933" s="4501" t="s">
        <v>8664</v>
      </c>
      <c r="B1933" s="3">
        <v>4.3879999999999999</v>
      </c>
      <c r="E1933" s="4502"/>
      <c r="F1933" s="4502"/>
      <c r="G1933" s="4502"/>
      <c r="H1933" s="4502"/>
      <c r="I1933" s="4502"/>
      <c r="J1933" s="4502"/>
      <c r="K1933" s="4502"/>
      <c r="L1933" s="4502"/>
      <c r="M1933" s="4502"/>
    </row>
    <row r="1934" spans="1:13" hidden="1">
      <c r="A1934" s="4501" t="s">
        <v>8665</v>
      </c>
      <c r="B1934" s="3">
        <v>4.3879999999999999</v>
      </c>
      <c r="E1934" s="4502"/>
      <c r="F1934" s="4502"/>
      <c r="G1934" s="4502"/>
      <c r="H1934" s="4502"/>
      <c r="I1934" s="4502"/>
      <c r="J1934" s="4502"/>
      <c r="K1934" s="4502"/>
      <c r="L1934" s="4502"/>
      <c r="M1934" s="4502"/>
    </row>
    <row r="1935" spans="1:13" hidden="1">
      <c r="A1935" s="4501" t="s">
        <v>8666</v>
      </c>
      <c r="B1935" s="3">
        <v>4.3049999999999997</v>
      </c>
      <c r="E1935" s="4502"/>
      <c r="F1935" s="4502"/>
      <c r="G1935" s="4502"/>
      <c r="H1935" s="4502"/>
      <c r="I1935" s="4502"/>
      <c r="J1935" s="4502"/>
      <c r="K1935" s="4502"/>
      <c r="L1935" s="4502"/>
      <c r="M1935" s="4502"/>
    </row>
    <row r="1936" spans="1:13" hidden="1">
      <c r="A1936" s="4501" t="s">
        <v>8667</v>
      </c>
      <c r="B1936" s="3">
        <v>4.3769999999999998</v>
      </c>
      <c r="E1936" s="4502"/>
      <c r="F1936" s="4502"/>
      <c r="G1936" s="4502"/>
      <c r="H1936" s="4502"/>
      <c r="I1936" s="4502"/>
      <c r="J1936" s="4502"/>
      <c r="K1936" s="4502"/>
      <c r="L1936" s="4502"/>
      <c r="M1936" s="4502"/>
    </row>
    <row r="1937" spans="1:13" hidden="1">
      <c r="A1937" s="4501" t="s">
        <v>8668</v>
      </c>
      <c r="B1937" s="3">
        <v>4.6150000000000002</v>
      </c>
      <c r="E1937" s="4502"/>
      <c r="F1937" s="4502"/>
      <c r="G1937" s="4502"/>
      <c r="H1937" s="4502"/>
      <c r="I1937" s="4502"/>
      <c r="J1937" s="4502"/>
      <c r="K1937" s="4502"/>
      <c r="L1937" s="4502"/>
      <c r="M1937" s="4502"/>
    </row>
    <row r="1938" spans="1:13" hidden="1">
      <c r="A1938" s="4501" t="s">
        <v>8669</v>
      </c>
      <c r="B1938" s="3">
        <v>4.641</v>
      </c>
      <c r="E1938" s="4502"/>
      <c r="F1938" s="4502"/>
      <c r="G1938" s="4502"/>
      <c r="H1938" s="4502"/>
      <c r="I1938" s="4502"/>
      <c r="J1938" s="4502"/>
      <c r="K1938" s="4502"/>
      <c r="L1938" s="4502"/>
      <c r="M1938" s="4502"/>
    </row>
    <row r="1939" spans="1:13" hidden="1">
      <c r="A1939" s="4501" t="s">
        <v>8670</v>
      </c>
      <c r="B1939" s="3">
        <v>4.7119999999999997</v>
      </c>
      <c r="E1939" s="4502"/>
      <c r="F1939" s="4502"/>
      <c r="G1939" s="4502"/>
      <c r="H1939" s="4502"/>
      <c r="I1939" s="4502"/>
      <c r="J1939" s="4502"/>
      <c r="K1939" s="4502"/>
      <c r="L1939" s="4502"/>
      <c r="M1939" s="4502"/>
    </row>
    <row r="1940" spans="1:13" hidden="1">
      <c r="A1940" s="4501" t="s">
        <v>8671</v>
      </c>
      <c r="B1940" s="3">
        <v>4.7119999999999997</v>
      </c>
      <c r="E1940" s="4502"/>
      <c r="F1940" s="4502"/>
      <c r="G1940" s="4502"/>
      <c r="H1940" s="4502"/>
      <c r="I1940" s="4502"/>
      <c r="J1940" s="4502"/>
      <c r="K1940" s="4502"/>
      <c r="L1940" s="4502"/>
      <c r="M1940" s="4502"/>
    </row>
    <row r="1941" spans="1:13" hidden="1">
      <c r="A1941" s="4501" t="s">
        <v>8672</v>
      </c>
      <c r="B1941" s="3">
        <v>4.7119999999999997</v>
      </c>
      <c r="E1941" s="4502"/>
      <c r="F1941" s="4502"/>
      <c r="G1941" s="4502"/>
      <c r="H1941" s="4502"/>
      <c r="I1941" s="4502"/>
      <c r="J1941" s="4502"/>
      <c r="K1941" s="4502"/>
      <c r="L1941" s="4502"/>
      <c r="M1941" s="4502"/>
    </row>
    <row r="1942" spans="1:13" hidden="1">
      <c r="A1942" s="4501" t="s">
        <v>8673</v>
      </c>
      <c r="B1942" s="3">
        <v>4.7119999999999997</v>
      </c>
      <c r="E1942" s="4502"/>
      <c r="F1942" s="4502"/>
      <c r="G1942" s="4502"/>
      <c r="H1942" s="4502"/>
      <c r="I1942" s="4502"/>
      <c r="J1942" s="4502"/>
      <c r="K1942" s="4502"/>
      <c r="L1942" s="4502"/>
      <c r="M1942" s="4502"/>
    </row>
    <row r="1943" spans="1:13" hidden="1">
      <c r="A1943" s="4501" t="s">
        <v>8674</v>
      </c>
      <c r="B1943" s="3">
        <v>4.5679999999999996</v>
      </c>
      <c r="E1943" s="4502"/>
      <c r="F1943" s="4502"/>
      <c r="G1943" s="4502"/>
      <c r="H1943" s="4502"/>
      <c r="I1943" s="4502"/>
      <c r="J1943" s="4502"/>
      <c r="K1943" s="4502"/>
      <c r="L1943" s="4502"/>
      <c r="M1943" s="4502"/>
    </row>
    <row r="1944" spans="1:13" hidden="1">
      <c r="A1944" s="4501" t="s">
        <v>8675</v>
      </c>
      <c r="B1944" s="3">
        <v>4.9139999999999997</v>
      </c>
      <c r="E1944" s="4502"/>
      <c r="F1944" s="4502"/>
      <c r="G1944" s="4502"/>
      <c r="H1944" s="4502"/>
      <c r="I1944" s="4502"/>
      <c r="J1944" s="4502"/>
      <c r="K1944" s="4502"/>
      <c r="L1944" s="4502"/>
      <c r="M1944" s="4502"/>
    </row>
    <row r="1945" spans="1:13" hidden="1">
      <c r="A1945" s="4501" t="s">
        <v>8676</v>
      </c>
      <c r="B1945" s="3">
        <v>5.0720000000000001</v>
      </c>
      <c r="E1945" s="4502"/>
      <c r="F1945" s="4502"/>
      <c r="G1945" s="4502"/>
      <c r="H1945" s="4502"/>
      <c r="I1945" s="4502"/>
      <c r="J1945" s="4502"/>
      <c r="K1945" s="4502"/>
      <c r="L1945" s="4502"/>
      <c r="M1945" s="4502"/>
    </row>
    <row r="1946" spans="1:13" hidden="1">
      <c r="A1946" s="4501" t="s">
        <v>8677</v>
      </c>
      <c r="B1946" s="3">
        <v>4.9729999999999999</v>
      </c>
      <c r="E1946" s="4502"/>
      <c r="F1946" s="4502"/>
      <c r="G1946" s="4502"/>
      <c r="H1946" s="4502"/>
      <c r="I1946" s="4502"/>
      <c r="J1946" s="4502"/>
      <c r="K1946" s="4502"/>
      <c r="L1946" s="4502"/>
      <c r="M1946" s="4502"/>
    </row>
    <row r="1947" spans="1:13" hidden="1">
      <c r="A1947" s="4501" t="s">
        <v>8678</v>
      </c>
      <c r="B1947" s="3">
        <v>4.9729999999999999</v>
      </c>
      <c r="E1947" s="4502"/>
      <c r="F1947" s="4502"/>
      <c r="G1947" s="4502"/>
      <c r="H1947" s="4502"/>
      <c r="I1947" s="4502"/>
      <c r="J1947" s="4502"/>
      <c r="K1947" s="4502"/>
      <c r="L1947" s="4502"/>
      <c r="M1947" s="4502"/>
    </row>
    <row r="1948" spans="1:13" hidden="1">
      <c r="A1948" s="4501" t="s">
        <v>8679</v>
      </c>
      <c r="B1948" s="3">
        <v>4.9729999999999999</v>
      </c>
      <c r="E1948" s="4502"/>
      <c r="F1948" s="4502"/>
      <c r="G1948" s="4502"/>
      <c r="H1948" s="4502"/>
      <c r="I1948" s="4502"/>
      <c r="J1948" s="4502"/>
      <c r="K1948" s="4502"/>
      <c r="L1948" s="4502"/>
      <c r="M1948" s="4502"/>
    </row>
    <row r="1949" spans="1:13" hidden="1">
      <c r="A1949" s="4501" t="s">
        <v>8680</v>
      </c>
      <c r="B1949" s="3">
        <v>5.2729999999999997</v>
      </c>
      <c r="E1949" s="4502"/>
      <c r="F1949" s="4502"/>
      <c r="G1949" s="4502"/>
      <c r="H1949" s="4502"/>
      <c r="I1949" s="4502"/>
      <c r="J1949" s="4502"/>
      <c r="K1949" s="4502"/>
      <c r="L1949" s="4502"/>
      <c r="M1949" s="4502"/>
    </row>
    <row r="1950" spans="1:13" hidden="1">
      <c r="A1950" s="4501" t="s">
        <v>8681</v>
      </c>
      <c r="B1950" s="3">
        <v>5.3049999999999997</v>
      </c>
      <c r="E1950" s="4502"/>
      <c r="F1950" s="4502"/>
      <c r="G1950" s="4502"/>
      <c r="H1950" s="4502"/>
      <c r="I1950" s="4502"/>
      <c r="J1950" s="4502"/>
      <c r="K1950" s="4502"/>
      <c r="L1950" s="4502"/>
      <c r="M1950" s="4502"/>
    </row>
    <row r="1951" spans="1:13" hidden="1">
      <c r="A1951" s="4501" t="s">
        <v>8682</v>
      </c>
      <c r="B1951" s="3">
        <v>5.5069999999999997</v>
      </c>
      <c r="E1951" s="4502"/>
      <c r="F1951" s="4502"/>
      <c r="G1951" s="4502"/>
      <c r="H1951" s="4502"/>
      <c r="I1951" s="4502"/>
      <c r="J1951" s="4502"/>
      <c r="K1951" s="4502"/>
      <c r="L1951" s="4502"/>
      <c r="M1951" s="4502"/>
    </row>
    <row r="1952" spans="1:13" hidden="1">
      <c r="A1952" s="4501" t="s">
        <v>8683</v>
      </c>
      <c r="B1952" s="3">
        <v>5.3819999999999997</v>
      </c>
      <c r="E1952" s="4502"/>
      <c r="F1952" s="4502"/>
      <c r="G1952" s="4502"/>
      <c r="H1952" s="4502"/>
      <c r="I1952" s="4502"/>
      <c r="J1952" s="4502"/>
      <c r="K1952" s="4502"/>
      <c r="L1952" s="4502"/>
      <c r="M1952" s="4502"/>
    </row>
    <row r="1953" spans="1:13" hidden="1">
      <c r="A1953" s="4501" t="s">
        <v>8684</v>
      </c>
      <c r="B1953" s="3">
        <v>5.1459999999999999</v>
      </c>
      <c r="E1953" s="4502"/>
      <c r="F1953" s="4502"/>
      <c r="G1953" s="4502"/>
      <c r="H1953" s="4502"/>
      <c r="I1953" s="4502"/>
      <c r="J1953" s="4502"/>
      <c r="K1953" s="4502"/>
      <c r="L1953" s="4502"/>
      <c r="M1953" s="4502"/>
    </row>
    <row r="1954" spans="1:13" hidden="1">
      <c r="A1954" s="4501" t="s">
        <v>8685</v>
      </c>
      <c r="B1954" s="3">
        <v>5.1459999999999999</v>
      </c>
      <c r="E1954" s="4502"/>
      <c r="F1954" s="4502"/>
      <c r="G1954" s="4502"/>
      <c r="H1954" s="4502"/>
      <c r="I1954" s="4502"/>
      <c r="J1954" s="4502"/>
      <c r="K1954" s="4502"/>
      <c r="L1954" s="4502"/>
      <c r="M1954" s="4502"/>
    </row>
    <row r="1955" spans="1:13" hidden="1">
      <c r="A1955" s="4501" t="s">
        <v>8686</v>
      </c>
      <c r="B1955" s="3">
        <v>5.1459999999999999</v>
      </c>
      <c r="E1955" s="4502"/>
      <c r="F1955" s="4502"/>
      <c r="G1955" s="4502"/>
      <c r="H1955" s="4502"/>
      <c r="I1955" s="4502"/>
      <c r="J1955" s="4502"/>
      <c r="K1955" s="4502"/>
      <c r="L1955" s="4502"/>
      <c r="M1955" s="4502"/>
    </row>
    <row r="1956" spans="1:13" hidden="1">
      <c r="A1956" s="4501" t="s">
        <v>8687</v>
      </c>
      <c r="B1956" s="3">
        <v>5.0220000000000002</v>
      </c>
      <c r="E1956" s="4502"/>
      <c r="F1956" s="4502"/>
      <c r="G1956" s="4502"/>
      <c r="H1956" s="4502"/>
      <c r="I1956" s="4502"/>
      <c r="J1956" s="4502"/>
      <c r="K1956" s="4502"/>
      <c r="L1956" s="4502"/>
      <c r="M1956" s="4502"/>
    </row>
    <row r="1957" spans="1:13" hidden="1">
      <c r="A1957" s="4501" t="s">
        <v>8688</v>
      </c>
      <c r="B1957" s="3">
        <v>4.8419999999999996</v>
      </c>
      <c r="E1957" s="4502"/>
      <c r="F1957" s="4502"/>
      <c r="G1957" s="4502"/>
      <c r="H1957" s="4502"/>
      <c r="I1957" s="4502"/>
      <c r="J1957" s="4502"/>
      <c r="K1957" s="4502"/>
      <c r="L1957" s="4502"/>
      <c r="M1957" s="4502"/>
    </row>
    <row r="1958" spans="1:13" hidden="1">
      <c r="A1958" s="4501" t="s">
        <v>8689</v>
      </c>
      <c r="B1958" s="3">
        <v>4.8550000000000004</v>
      </c>
      <c r="E1958" s="4502"/>
      <c r="F1958" s="4502"/>
      <c r="G1958" s="4502"/>
      <c r="H1958" s="4502"/>
      <c r="I1958" s="4502"/>
      <c r="J1958" s="4502"/>
      <c r="K1958" s="4502"/>
      <c r="L1958" s="4502"/>
      <c r="M1958" s="4502"/>
    </row>
    <row r="1959" spans="1:13" hidden="1">
      <c r="A1959" s="4501" t="s">
        <v>8690</v>
      </c>
      <c r="B1959" s="3">
        <v>5.0430000000000001</v>
      </c>
      <c r="E1959" s="4502"/>
      <c r="F1959" s="4502"/>
      <c r="G1959" s="4502"/>
      <c r="H1959" s="4502"/>
      <c r="I1959" s="4502"/>
      <c r="J1959" s="4502"/>
      <c r="K1959" s="4502"/>
      <c r="L1959" s="4502"/>
      <c r="M1959" s="4502"/>
    </row>
    <row r="1960" spans="1:13" hidden="1">
      <c r="A1960" s="4501" t="s">
        <v>8691</v>
      </c>
      <c r="B1960" s="3">
        <v>5.2</v>
      </c>
      <c r="E1960" s="4502"/>
      <c r="F1960" s="4502"/>
      <c r="G1960" s="4502"/>
      <c r="H1960" s="4502"/>
      <c r="I1960" s="4502"/>
      <c r="J1960" s="4502"/>
      <c r="K1960" s="4502"/>
      <c r="L1960" s="4502"/>
      <c r="M1960" s="4502"/>
    </row>
    <row r="1961" spans="1:13" hidden="1">
      <c r="A1961" s="4501" t="s">
        <v>8692</v>
      </c>
      <c r="B1961" s="3">
        <v>5.2</v>
      </c>
      <c r="E1961" s="4502"/>
      <c r="F1961" s="4502"/>
      <c r="G1961" s="4502"/>
      <c r="H1961" s="4502"/>
      <c r="I1961" s="4502"/>
      <c r="J1961" s="4502"/>
      <c r="K1961" s="4502"/>
      <c r="L1961" s="4502"/>
      <c r="M1961" s="4502"/>
    </row>
    <row r="1962" spans="1:13" hidden="1">
      <c r="A1962" s="4501" t="s">
        <v>8693</v>
      </c>
      <c r="B1962" s="3">
        <v>5.2</v>
      </c>
      <c r="E1962" s="4502"/>
      <c r="F1962" s="4502"/>
      <c r="G1962" s="4502"/>
      <c r="H1962" s="4502"/>
      <c r="I1962" s="4502"/>
      <c r="J1962" s="4502"/>
      <c r="K1962" s="4502"/>
      <c r="L1962" s="4502"/>
      <c r="M1962" s="4502"/>
    </row>
    <row r="1963" spans="1:13" hidden="1">
      <c r="A1963" s="4501" t="s">
        <v>8694</v>
      </c>
      <c r="B1963" s="3">
        <v>5.7309999999999999</v>
      </c>
      <c r="E1963" s="4502"/>
      <c r="F1963" s="4502"/>
      <c r="G1963" s="4502"/>
      <c r="H1963" s="4502"/>
      <c r="I1963" s="4502"/>
      <c r="J1963" s="4502"/>
      <c r="K1963" s="4502"/>
      <c r="L1963" s="4502"/>
      <c r="M1963" s="4502"/>
    </row>
    <row r="1964" spans="1:13" hidden="1">
      <c r="A1964" s="4501" t="s">
        <v>8695</v>
      </c>
      <c r="B1964" s="3">
        <v>5.88</v>
      </c>
      <c r="E1964" s="4502"/>
      <c r="F1964" s="4502"/>
      <c r="G1964" s="4502"/>
      <c r="H1964" s="4502"/>
      <c r="I1964" s="4502"/>
      <c r="J1964" s="4502"/>
      <c r="K1964" s="4502"/>
      <c r="L1964" s="4502"/>
      <c r="M1964" s="4502"/>
    </row>
    <row r="1965" spans="1:13" hidden="1">
      <c r="A1965" s="4501" t="s">
        <v>8696</v>
      </c>
      <c r="B1965" s="3">
        <v>5.4770000000000003</v>
      </c>
      <c r="E1965" s="4502"/>
      <c r="F1965" s="4502"/>
      <c r="G1965" s="4502"/>
      <c r="H1965" s="4502"/>
      <c r="I1965" s="4502"/>
      <c r="J1965" s="4502"/>
      <c r="K1965" s="4502"/>
      <c r="L1965" s="4502"/>
      <c r="M1965" s="4502"/>
    </row>
    <row r="1966" spans="1:13" hidden="1">
      <c r="A1966" s="4501" t="s">
        <v>8697</v>
      </c>
      <c r="B1966" s="3">
        <v>5.867</v>
      </c>
      <c r="E1966" s="4502"/>
      <c r="F1966" s="4502"/>
      <c r="G1966" s="4502"/>
      <c r="H1966" s="4502"/>
      <c r="I1966" s="4502"/>
      <c r="J1966" s="4502"/>
      <c r="K1966" s="4502"/>
      <c r="L1966" s="4502"/>
      <c r="M1966" s="4502"/>
    </row>
    <row r="1967" spans="1:13" hidden="1">
      <c r="A1967" s="4501" t="s">
        <v>8698</v>
      </c>
      <c r="B1967" s="3">
        <v>5.6189999999999998</v>
      </c>
      <c r="E1967" s="4502"/>
      <c r="F1967" s="4502"/>
      <c r="G1967" s="4502"/>
      <c r="H1967" s="4502"/>
      <c r="I1967" s="4502"/>
      <c r="J1967" s="4502"/>
      <c r="K1967" s="4502"/>
      <c r="L1967" s="4502"/>
      <c r="M1967" s="4502"/>
    </row>
    <row r="1968" spans="1:13" hidden="1">
      <c r="A1968" s="4501" t="s">
        <v>8699</v>
      </c>
      <c r="B1968" s="3">
        <v>5.6189999999999998</v>
      </c>
      <c r="E1968" s="4502"/>
      <c r="F1968" s="4502"/>
      <c r="G1968" s="4502"/>
      <c r="H1968" s="4502"/>
      <c r="I1968" s="4502"/>
      <c r="J1968" s="4502"/>
      <c r="K1968" s="4502"/>
      <c r="L1968" s="4502"/>
      <c r="M1968" s="4502"/>
    </row>
    <row r="1969" spans="1:13" hidden="1">
      <c r="A1969" s="4501" t="s">
        <v>8700</v>
      </c>
      <c r="B1969" s="3">
        <v>5.6189999999999998</v>
      </c>
      <c r="E1969" s="4502"/>
      <c r="F1969" s="4502"/>
      <c r="G1969" s="4502"/>
      <c r="H1969" s="4502"/>
      <c r="I1969" s="4502"/>
      <c r="J1969" s="4502"/>
      <c r="K1969" s="4502"/>
      <c r="L1969" s="4502"/>
      <c r="M1969" s="4502"/>
    </row>
    <row r="1970" spans="1:13" hidden="1">
      <c r="A1970" s="4501" t="s">
        <v>8701</v>
      </c>
      <c r="B1970" s="3">
        <v>5.766</v>
      </c>
      <c r="E1970" s="4502"/>
      <c r="F1970" s="4502"/>
      <c r="G1970" s="4502"/>
      <c r="H1970" s="4502"/>
      <c r="I1970" s="4502"/>
      <c r="J1970" s="4502"/>
      <c r="K1970" s="4502"/>
      <c r="L1970" s="4502"/>
      <c r="M1970" s="4502"/>
    </row>
    <row r="1971" spans="1:13" hidden="1">
      <c r="A1971" s="4501" t="s">
        <v>8702</v>
      </c>
      <c r="B1971" s="3">
        <v>6.3120000000000003</v>
      </c>
      <c r="E1971" s="4502"/>
      <c r="F1971" s="4502"/>
      <c r="G1971" s="4502"/>
      <c r="H1971" s="4502"/>
      <c r="I1971" s="4502"/>
      <c r="J1971" s="4502"/>
      <c r="K1971" s="4502"/>
      <c r="L1971" s="4502"/>
      <c r="M1971" s="4502"/>
    </row>
    <row r="1972" spans="1:13" hidden="1">
      <c r="A1972" s="4501" t="s">
        <v>8703</v>
      </c>
      <c r="B1972" s="3">
        <v>5.6749999999999998</v>
      </c>
      <c r="E1972" s="4502"/>
      <c r="F1972" s="4502"/>
      <c r="G1972" s="4502"/>
      <c r="H1972" s="4502"/>
      <c r="I1972" s="4502"/>
      <c r="J1972" s="4502"/>
      <c r="K1972" s="4502"/>
      <c r="L1972" s="4502"/>
      <c r="M1972" s="4502"/>
    </row>
    <row r="1973" spans="1:13" hidden="1">
      <c r="A1973" s="4501" t="s">
        <v>8704</v>
      </c>
      <c r="B1973" s="3">
        <v>5.6769999999999996</v>
      </c>
      <c r="E1973" s="4502"/>
      <c r="F1973" s="4502"/>
      <c r="G1973" s="4502"/>
      <c r="H1973" s="4502"/>
      <c r="I1973" s="4502"/>
      <c r="J1973" s="4502"/>
      <c r="K1973" s="4502"/>
      <c r="L1973" s="4502"/>
      <c r="M1973" s="4502"/>
    </row>
    <row r="1974" spans="1:13" hidden="1">
      <c r="A1974" s="4501" t="s">
        <v>8705</v>
      </c>
      <c r="B1974" s="3">
        <v>5.5650000000000004</v>
      </c>
      <c r="E1974" s="4502"/>
      <c r="F1974" s="4502"/>
      <c r="G1974" s="4502"/>
      <c r="H1974" s="4502"/>
      <c r="I1974" s="4502"/>
      <c r="J1974" s="4502"/>
      <c r="K1974" s="4502"/>
      <c r="L1974" s="4502"/>
      <c r="M1974" s="4502"/>
    </row>
    <row r="1975" spans="1:13" hidden="1">
      <c r="A1975" s="4501" t="s">
        <v>8706</v>
      </c>
      <c r="B1975" s="3">
        <v>5.5650000000000004</v>
      </c>
      <c r="E1975" s="4502"/>
      <c r="F1975" s="4502"/>
      <c r="G1975" s="4502"/>
      <c r="H1975" s="4502"/>
      <c r="I1975" s="4502"/>
      <c r="J1975" s="4502"/>
      <c r="K1975" s="4502"/>
      <c r="L1975" s="4502"/>
      <c r="M1975" s="4502"/>
    </row>
    <row r="1976" spans="1:13" hidden="1">
      <c r="A1976" s="4501" t="s">
        <v>8707</v>
      </c>
      <c r="B1976" s="3">
        <v>5.5650000000000004</v>
      </c>
      <c r="E1976" s="4502"/>
      <c r="F1976" s="4502"/>
      <c r="G1976" s="4502"/>
      <c r="H1976" s="4502"/>
      <c r="I1976" s="4502"/>
      <c r="J1976" s="4502"/>
      <c r="K1976" s="4502"/>
      <c r="L1976" s="4502"/>
      <c r="M1976" s="4502"/>
    </row>
    <row r="1977" spans="1:13" hidden="1">
      <c r="A1977" s="4501" t="s">
        <v>8708</v>
      </c>
      <c r="B1977" s="3">
        <v>5.3449999999999998</v>
      </c>
      <c r="E1977" s="4502"/>
      <c r="F1977" s="4502"/>
      <c r="G1977" s="4502"/>
      <c r="H1977" s="4502"/>
      <c r="I1977" s="4502"/>
      <c r="J1977" s="4502"/>
      <c r="K1977" s="4502"/>
      <c r="L1977" s="4502"/>
      <c r="M1977" s="4502"/>
    </row>
    <row r="1978" spans="1:13" hidden="1">
      <c r="A1978" s="4501" t="s">
        <v>8709</v>
      </c>
      <c r="B1978" s="3">
        <v>5.7610000000000001</v>
      </c>
      <c r="E1978" s="4502"/>
      <c r="F1978" s="4502"/>
      <c r="G1978" s="4502"/>
      <c r="H1978" s="4502"/>
      <c r="I1978" s="4502"/>
      <c r="J1978" s="4502"/>
      <c r="K1978" s="4502"/>
      <c r="L1978" s="4502"/>
      <c r="M1978" s="4502"/>
    </row>
    <row r="1979" spans="1:13" hidden="1">
      <c r="A1979" s="4501" t="s">
        <v>8710</v>
      </c>
      <c r="B1979" s="3">
        <v>5.8540000000000001</v>
      </c>
      <c r="E1979" s="4502"/>
      <c r="F1979" s="4502"/>
      <c r="G1979" s="4502"/>
      <c r="H1979" s="4502"/>
      <c r="I1979" s="4502"/>
      <c r="J1979" s="4502"/>
      <c r="K1979" s="4502"/>
      <c r="L1979" s="4502"/>
      <c r="M1979" s="4502"/>
    </row>
    <row r="1980" spans="1:13" hidden="1">
      <c r="A1980" s="4501" t="s">
        <v>8711</v>
      </c>
      <c r="B1980" s="3">
        <v>5.9359999999999999</v>
      </c>
      <c r="E1980" s="4502"/>
      <c r="F1980" s="4502"/>
      <c r="G1980" s="4502"/>
      <c r="H1980" s="4502"/>
      <c r="I1980" s="4502"/>
      <c r="J1980" s="4502"/>
      <c r="K1980" s="4502"/>
      <c r="L1980" s="4502"/>
      <c r="M1980" s="4502"/>
    </row>
    <row r="1981" spans="1:13" hidden="1">
      <c r="A1981" s="4501" t="s">
        <v>8712</v>
      </c>
      <c r="B1981" s="3">
        <v>5.7080000000000002</v>
      </c>
      <c r="E1981" s="4502"/>
      <c r="F1981" s="4502"/>
      <c r="G1981" s="4502"/>
      <c r="H1981" s="4502"/>
      <c r="I1981" s="4502"/>
      <c r="J1981" s="4502"/>
      <c r="K1981" s="4502"/>
      <c r="L1981" s="4502"/>
      <c r="M1981" s="4502"/>
    </row>
    <row r="1982" spans="1:13" hidden="1">
      <c r="A1982" s="4501" t="s">
        <v>8713</v>
      </c>
      <c r="B1982" s="3">
        <v>5.7080000000000002</v>
      </c>
      <c r="E1982" s="4502"/>
      <c r="F1982" s="4502"/>
      <c r="G1982" s="4502"/>
      <c r="H1982" s="4502"/>
      <c r="I1982" s="4502"/>
      <c r="J1982" s="4502"/>
      <c r="K1982" s="4502"/>
      <c r="L1982" s="4502"/>
      <c r="M1982" s="4502"/>
    </row>
    <row r="1983" spans="1:13" hidden="1">
      <c r="A1983" s="4501" t="s">
        <v>8714</v>
      </c>
      <c r="B1983" s="3">
        <v>5.7080000000000002</v>
      </c>
      <c r="E1983" s="4502"/>
      <c r="F1983" s="4502"/>
      <c r="G1983" s="4502"/>
      <c r="H1983" s="4502"/>
      <c r="I1983" s="4502"/>
      <c r="J1983" s="4502"/>
      <c r="K1983" s="4502"/>
      <c r="L1983" s="4502"/>
      <c r="M1983" s="4502"/>
    </row>
    <row r="1984" spans="1:13" hidden="1">
      <c r="A1984" s="4501" t="s">
        <v>8715</v>
      </c>
      <c r="B1984" s="3">
        <v>5.3460000000000001</v>
      </c>
      <c r="E1984" s="4502"/>
      <c r="F1984" s="4502"/>
      <c r="G1984" s="4502"/>
      <c r="H1984" s="4502"/>
      <c r="I1984" s="4502"/>
      <c r="J1984" s="4502"/>
      <c r="K1984" s="4502"/>
      <c r="L1984" s="4502"/>
      <c r="M1984" s="4502"/>
    </row>
    <row r="1985" spans="1:13" hidden="1">
      <c r="A1985" s="4501" t="s">
        <v>8716</v>
      </c>
      <c r="B1985" s="3">
        <v>5.4649999999999999</v>
      </c>
      <c r="E1985" s="4502"/>
      <c r="F1985" s="4502"/>
      <c r="G1985" s="4502"/>
      <c r="H1985" s="4502"/>
      <c r="I1985" s="4502"/>
      <c r="J1985" s="4502"/>
      <c r="K1985" s="4502"/>
      <c r="L1985" s="4502"/>
      <c r="M1985" s="4502"/>
    </row>
    <row r="1986" spans="1:13" hidden="1">
      <c r="A1986" s="4501" t="s">
        <v>8717</v>
      </c>
      <c r="B1986" s="3">
        <v>5.5620000000000003</v>
      </c>
      <c r="E1986" s="4502"/>
      <c r="F1986" s="4502"/>
      <c r="G1986" s="4502"/>
      <c r="H1986" s="4502"/>
      <c r="I1986" s="4502"/>
      <c r="J1986" s="4502"/>
      <c r="K1986" s="4502"/>
      <c r="L1986" s="4502"/>
      <c r="M1986" s="4502"/>
    </row>
    <row r="1987" spans="1:13" hidden="1">
      <c r="A1987" s="4501" t="s">
        <v>8718</v>
      </c>
      <c r="B1987" s="3">
        <v>5.4610000000000003</v>
      </c>
      <c r="E1987" s="4502"/>
      <c r="F1987" s="4502"/>
      <c r="G1987" s="4502"/>
      <c r="H1987" s="4502"/>
      <c r="I1987" s="4502"/>
      <c r="J1987" s="4502"/>
      <c r="K1987" s="4502"/>
      <c r="L1987" s="4502"/>
      <c r="M1987" s="4502"/>
    </row>
    <row r="1988" spans="1:13" hidden="1">
      <c r="A1988" s="4501" t="s">
        <v>8719</v>
      </c>
      <c r="B1988" s="3">
        <v>5.5650000000000004</v>
      </c>
      <c r="E1988" s="4502"/>
      <c r="F1988" s="4502"/>
      <c r="G1988" s="4502"/>
      <c r="H1988" s="4502"/>
      <c r="I1988" s="4502"/>
      <c r="J1988" s="4502"/>
      <c r="K1988" s="4502"/>
      <c r="L1988" s="4502"/>
      <c r="M1988" s="4502"/>
    </row>
    <row r="1989" spans="1:13" hidden="1">
      <c r="A1989" s="4501" t="s">
        <v>8720</v>
      </c>
      <c r="B1989" s="3">
        <v>5.5650000000000004</v>
      </c>
      <c r="E1989" s="4502"/>
      <c r="F1989" s="4502"/>
      <c r="G1989" s="4502"/>
      <c r="H1989" s="4502"/>
      <c r="I1989" s="4502"/>
      <c r="J1989" s="4502"/>
      <c r="K1989" s="4502"/>
      <c r="L1989" s="4502"/>
      <c r="M1989" s="4502"/>
    </row>
    <row r="1990" spans="1:13" hidden="1">
      <c r="A1990" s="4501" t="s">
        <v>8721</v>
      </c>
      <c r="B1990" s="3">
        <v>5.5650000000000004</v>
      </c>
      <c r="E1990" s="4502"/>
      <c r="F1990" s="4502"/>
      <c r="G1990" s="4502"/>
      <c r="H1990" s="4502"/>
      <c r="I1990" s="4502"/>
      <c r="J1990" s="4502"/>
      <c r="K1990" s="4502"/>
      <c r="L1990" s="4502"/>
      <c r="M1990" s="4502"/>
    </row>
    <row r="1991" spans="1:13" hidden="1">
      <c r="A1991" s="4501" t="s">
        <v>8722</v>
      </c>
      <c r="B1991" s="3">
        <v>6.149</v>
      </c>
      <c r="E1991" s="4502"/>
      <c r="F1991" s="4502"/>
      <c r="G1991" s="4502"/>
      <c r="H1991" s="4502"/>
      <c r="I1991" s="4502"/>
      <c r="J1991" s="4502"/>
      <c r="K1991" s="4502"/>
      <c r="L1991" s="4502"/>
      <c r="M1991" s="4502"/>
    </row>
    <row r="1992" spans="1:13" hidden="1">
      <c r="A1992" s="4501" t="s">
        <v>8723</v>
      </c>
      <c r="B1992" s="3">
        <v>6.093</v>
      </c>
      <c r="E1992" s="4502"/>
      <c r="F1992" s="4502"/>
      <c r="G1992" s="4502"/>
      <c r="H1992" s="4502"/>
      <c r="I1992" s="4502"/>
      <c r="J1992" s="4502"/>
      <c r="K1992" s="4502"/>
      <c r="L1992" s="4502"/>
      <c r="M1992" s="4502"/>
    </row>
    <row r="1993" spans="1:13" hidden="1">
      <c r="A1993" s="4501" t="s">
        <v>8724</v>
      </c>
      <c r="B1993" s="3">
        <v>6.2770000000000001</v>
      </c>
      <c r="E1993" s="4502"/>
      <c r="F1993" s="4502"/>
      <c r="G1993" s="4502"/>
      <c r="H1993" s="4502"/>
      <c r="I1993" s="4502"/>
      <c r="J1993" s="4502"/>
      <c r="K1993" s="4502"/>
      <c r="L1993" s="4502"/>
      <c r="M1993" s="4502"/>
    </row>
    <row r="1994" spans="1:13" hidden="1">
      <c r="A1994" s="4501" t="s">
        <v>8725</v>
      </c>
      <c r="B1994" s="3">
        <v>5.8710000000000004</v>
      </c>
      <c r="E1994" s="4502"/>
      <c r="F1994" s="4502"/>
      <c r="G1994" s="4502"/>
      <c r="H1994" s="4502"/>
      <c r="I1994" s="4502"/>
      <c r="J1994" s="4502"/>
      <c r="K1994" s="4502"/>
      <c r="L1994" s="4502"/>
      <c r="M1994" s="4502"/>
    </row>
    <row r="1995" spans="1:13" hidden="1">
      <c r="A1995" s="4501" t="s">
        <v>8726</v>
      </c>
      <c r="B1995" s="3">
        <v>5.5289999999999999</v>
      </c>
      <c r="E1995" s="4502"/>
      <c r="F1995" s="4502"/>
      <c r="G1995" s="4502"/>
      <c r="H1995" s="4502"/>
      <c r="I1995" s="4502"/>
      <c r="J1995" s="4502"/>
      <c r="K1995" s="4502"/>
      <c r="L1995" s="4502"/>
      <c r="M1995" s="4502"/>
    </row>
    <row r="1996" spans="1:13" hidden="1">
      <c r="A1996" s="4501" t="s">
        <v>8727</v>
      </c>
      <c r="B1996" s="3">
        <v>5.5289999999999999</v>
      </c>
      <c r="E1996" s="4502"/>
      <c r="F1996" s="4502"/>
      <c r="G1996" s="4502"/>
      <c r="H1996" s="4502"/>
      <c r="I1996" s="4502"/>
      <c r="J1996" s="4502"/>
      <c r="K1996" s="4502"/>
      <c r="L1996" s="4502"/>
      <c r="M1996" s="4502"/>
    </row>
    <row r="1997" spans="1:13" hidden="1">
      <c r="A1997" s="4501" t="s">
        <v>8728</v>
      </c>
      <c r="B1997" s="3">
        <v>5.5289999999999999</v>
      </c>
      <c r="E1997" s="4502"/>
      <c r="F1997" s="4502"/>
      <c r="G1997" s="4502"/>
      <c r="H1997" s="4502"/>
      <c r="I1997" s="4502"/>
      <c r="J1997" s="4502"/>
      <c r="K1997" s="4502"/>
      <c r="L1997" s="4502"/>
      <c r="M1997" s="4502"/>
    </row>
    <row r="1998" spans="1:13" hidden="1">
      <c r="A1998" s="4501" t="s">
        <v>8729</v>
      </c>
      <c r="B1998" s="3">
        <v>5.3049999999999997</v>
      </c>
      <c r="E1998" s="4502"/>
      <c r="F1998" s="4502"/>
      <c r="G1998" s="4502"/>
      <c r="H1998" s="4502"/>
      <c r="I1998" s="4502"/>
      <c r="J1998" s="4502"/>
      <c r="K1998" s="4502"/>
      <c r="L1998" s="4502"/>
      <c r="M1998" s="4502"/>
    </row>
    <row r="1999" spans="1:13" hidden="1">
      <c r="A1999" s="4501" t="s">
        <v>8730</v>
      </c>
      <c r="B1999" s="3">
        <v>5.64</v>
      </c>
      <c r="E1999" s="4502"/>
      <c r="F1999" s="4502"/>
      <c r="G1999" s="4502"/>
      <c r="H1999" s="4502"/>
      <c r="I1999" s="4502"/>
      <c r="J1999" s="4502"/>
      <c r="K1999" s="4502"/>
      <c r="L1999" s="4502"/>
      <c r="M1999" s="4502"/>
    </row>
    <row r="2000" spans="1:13" hidden="1">
      <c r="A2000" s="4501" t="s">
        <v>8731</v>
      </c>
      <c r="B2000" s="3">
        <v>5.78</v>
      </c>
      <c r="E2000" s="4502"/>
      <c r="F2000" s="4502"/>
      <c r="G2000" s="4502"/>
      <c r="H2000" s="4502"/>
      <c r="I2000" s="4502"/>
      <c r="J2000" s="4502"/>
      <c r="K2000" s="4502"/>
      <c r="L2000" s="4502"/>
      <c r="M2000" s="4502"/>
    </row>
    <row r="2001" spans="1:13" hidden="1">
      <c r="A2001" s="4501" t="s">
        <v>8732</v>
      </c>
      <c r="B2001" s="3">
        <v>5.8259999999999996</v>
      </c>
      <c r="E2001" s="4502"/>
      <c r="F2001" s="4502"/>
      <c r="G2001" s="4502"/>
      <c r="H2001" s="4502"/>
      <c r="I2001" s="4502"/>
      <c r="J2001" s="4502"/>
      <c r="K2001" s="4502"/>
      <c r="L2001" s="4502"/>
      <c r="M2001" s="4502"/>
    </row>
    <row r="2002" spans="1:13" hidden="1">
      <c r="A2002" s="4501" t="s">
        <v>8733</v>
      </c>
      <c r="B2002" s="3">
        <v>5.6260000000000003</v>
      </c>
      <c r="E2002" s="4502"/>
      <c r="F2002" s="4502"/>
      <c r="G2002" s="4502"/>
      <c r="H2002" s="4502"/>
      <c r="I2002" s="4502"/>
      <c r="J2002" s="4502"/>
      <c r="K2002" s="4502"/>
      <c r="L2002" s="4502"/>
      <c r="M2002" s="4502"/>
    </row>
    <row r="2003" spans="1:13" hidden="1">
      <c r="A2003" s="4501" t="s">
        <v>8734</v>
      </c>
      <c r="B2003" s="3">
        <v>5.6260000000000003</v>
      </c>
      <c r="E2003" s="4502"/>
      <c r="F2003" s="4502"/>
      <c r="G2003" s="4502"/>
      <c r="H2003" s="4502"/>
      <c r="I2003" s="4502"/>
      <c r="J2003" s="4502"/>
      <c r="K2003" s="4502"/>
      <c r="L2003" s="4502"/>
      <c r="M2003" s="4502"/>
    </row>
    <row r="2004" spans="1:13" hidden="1">
      <c r="A2004" s="4501" t="s">
        <v>8735</v>
      </c>
      <c r="B2004" s="3">
        <v>5.6260000000000003</v>
      </c>
      <c r="E2004" s="4502"/>
      <c r="F2004" s="4502"/>
      <c r="G2004" s="4502"/>
      <c r="H2004" s="4502"/>
      <c r="I2004" s="4502"/>
      <c r="J2004" s="4502"/>
      <c r="K2004" s="4502"/>
      <c r="L2004" s="4502"/>
      <c r="M2004" s="4502"/>
    </row>
    <row r="2005" spans="1:13" hidden="1">
      <c r="A2005" s="4501" t="s">
        <v>8736</v>
      </c>
      <c r="B2005" s="3">
        <v>5.5049999999999999</v>
      </c>
      <c r="E2005" s="4502"/>
      <c r="F2005" s="4502"/>
      <c r="G2005" s="4502"/>
      <c r="H2005" s="4502"/>
      <c r="I2005" s="4502"/>
      <c r="J2005" s="4502"/>
      <c r="K2005" s="4502"/>
      <c r="L2005" s="4502"/>
      <c r="M2005" s="4502"/>
    </row>
    <row r="2006" spans="1:13" hidden="1">
      <c r="A2006" s="4501" t="s">
        <v>8737</v>
      </c>
      <c r="B2006" s="3">
        <v>5.07</v>
      </c>
      <c r="E2006" s="4502"/>
      <c r="F2006" s="4502"/>
      <c r="G2006" s="4502"/>
      <c r="H2006" s="4502"/>
      <c r="I2006" s="4502"/>
      <c r="J2006" s="4502"/>
      <c r="K2006" s="4502"/>
      <c r="L2006" s="4502"/>
      <c r="M2006" s="4502"/>
    </row>
    <row r="2007" spans="1:13" hidden="1">
      <c r="A2007" s="4501" t="s">
        <v>8738</v>
      </c>
      <c r="B2007" s="3">
        <v>4.9740000000000002</v>
      </c>
      <c r="E2007" s="4502"/>
      <c r="F2007" s="4502"/>
      <c r="G2007" s="4502"/>
      <c r="H2007" s="4502"/>
      <c r="I2007" s="4502"/>
      <c r="J2007" s="4502"/>
      <c r="K2007" s="4502"/>
      <c r="L2007" s="4502"/>
      <c r="M2007" s="4502"/>
    </row>
    <row r="2008" spans="1:13" hidden="1">
      <c r="A2008" s="4501" t="s">
        <v>8739</v>
      </c>
      <c r="B2008" s="3">
        <v>5.2450000000000001</v>
      </c>
      <c r="E2008" s="4502"/>
      <c r="F2008" s="4502"/>
      <c r="G2008" s="4502"/>
      <c r="H2008" s="4502"/>
      <c r="I2008" s="4502"/>
      <c r="J2008" s="4502"/>
      <c r="K2008" s="4502"/>
      <c r="L2008" s="4502"/>
      <c r="M2008" s="4502"/>
    </row>
    <row r="2009" spans="1:13" hidden="1">
      <c r="A2009" s="4501" t="s">
        <v>8740</v>
      </c>
      <c r="B2009" s="3">
        <v>4.88</v>
      </c>
      <c r="E2009" s="4502"/>
      <c r="F2009" s="4502"/>
      <c r="G2009" s="4502"/>
      <c r="H2009" s="4502"/>
      <c r="I2009" s="4502"/>
      <c r="J2009" s="4502"/>
      <c r="K2009" s="4502"/>
      <c r="L2009" s="4502"/>
      <c r="M2009" s="4502"/>
    </row>
    <row r="2010" spans="1:13" hidden="1">
      <c r="A2010" s="4501" t="s">
        <v>8741</v>
      </c>
      <c r="B2010" s="3">
        <v>4.88</v>
      </c>
      <c r="E2010" s="4502"/>
      <c r="F2010" s="4502"/>
      <c r="G2010" s="4502"/>
      <c r="H2010" s="4502"/>
      <c r="I2010" s="4502"/>
      <c r="J2010" s="4502"/>
      <c r="K2010" s="4502"/>
      <c r="L2010" s="4502"/>
      <c r="M2010" s="4502"/>
    </row>
    <row r="2011" spans="1:13" hidden="1">
      <c r="A2011" s="4501" t="s">
        <v>8742</v>
      </c>
      <c r="B2011" s="3">
        <v>4.88</v>
      </c>
      <c r="E2011" s="4502"/>
      <c r="F2011" s="4502"/>
      <c r="G2011" s="4502"/>
      <c r="H2011" s="4502"/>
      <c r="I2011" s="4502"/>
      <c r="J2011" s="4502"/>
      <c r="K2011" s="4502"/>
      <c r="L2011" s="4502"/>
      <c r="M2011" s="4502"/>
    </row>
    <row r="2012" spans="1:13" hidden="1">
      <c r="A2012" s="4501" t="s">
        <v>8743</v>
      </c>
      <c r="B2012" s="3">
        <v>5.1040000000000001</v>
      </c>
      <c r="E2012" s="4502"/>
      <c r="F2012" s="4502"/>
      <c r="G2012" s="4502"/>
      <c r="H2012" s="4502"/>
      <c r="I2012" s="4502"/>
      <c r="J2012" s="4502"/>
      <c r="K2012" s="4502"/>
      <c r="L2012" s="4502"/>
      <c r="M2012" s="4502"/>
    </row>
    <row r="2013" spans="1:13" hidden="1">
      <c r="A2013" s="4501" t="s">
        <v>8744</v>
      </c>
      <c r="B2013" s="3">
        <v>5.27</v>
      </c>
      <c r="E2013" s="4502"/>
      <c r="F2013" s="4502"/>
      <c r="G2013" s="4502"/>
      <c r="H2013" s="4502"/>
      <c r="I2013" s="4502"/>
      <c r="J2013" s="4502"/>
      <c r="K2013" s="4502"/>
      <c r="L2013" s="4502"/>
      <c r="M2013" s="4502"/>
    </row>
    <row r="2014" spans="1:13" hidden="1">
      <c r="A2014" s="4501" t="s">
        <v>8745</v>
      </c>
      <c r="B2014" s="3">
        <v>4.9139999999999997</v>
      </c>
      <c r="E2014" s="4502"/>
      <c r="F2014" s="4502"/>
      <c r="G2014" s="4502"/>
      <c r="H2014" s="4502"/>
      <c r="I2014" s="4502"/>
      <c r="J2014" s="4502"/>
      <c r="K2014" s="4502"/>
      <c r="L2014" s="4502"/>
      <c r="M2014" s="4502"/>
    </row>
    <row r="2015" spans="1:13" hidden="1">
      <c r="A2015" s="4501" t="s">
        <v>8746</v>
      </c>
      <c r="B2015" s="3">
        <v>4.9950000000000001</v>
      </c>
      <c r="E2015" s="4502"/>
      <c r="F2015" s="4502"/>
      <c r="G2015" s="4502"/>
      <c r="H2015" s="4502"/>
      <c r="I2015" s="4502"/>
      <c r="J2015" s="4502"/>
      <c r="K2015" s="4502"/>
      <c r="L2015" s="4502"/>
      <c r="M2015" s="4502"/>
    </row>
    <row r="2016" spans="1:13" hidden="1">
      <c r="A2016" s="4501" t="s">
        <v>8747</v>
      </c>
      <c r="B2016" s="3">
        <v>5.1449999999999996</v>
      </c>
      <c r="E2016" s="4502"/>
      <c r="F2016" s="4502"/>
      <c r="G2016" s="4502"/>
      <c r="H2016" s="4502"/>
      <c r="I2016" s="4502"/>
      <c r="J2016" s="4502"/>
      <c r="K2016" s="4502"/>
      <c r="L2016" s="4502"/>
      <c r="M2016" s="4502"/>
    </row>
    <row r="2017" spans="1:13" hidden="1">
      <c r="A2017" s="4501" t="s">
        <v>8748</v>
      </c>
      <c r="B2017" s="3">
        <v>5.1449999999999996</v>
      </c>
      <c r="E2017" s="4502"/>
      <c r="F2017" s="4502"/>
      <c r="G2017" s="4502"/>
      <c r="H2017" s="4502"/>
      <c r="I2017" s="4502"/>
      <c r="J2017" s="4502"/>
      <c r="K2017" s="4502"/>
      <c r="L2017" s="4502"/>
      <c r="M2017" s="4502"/>
    </row>
    <row r="2018" spans="1:13" hidden="1">
      <c r="A2018" s="4501" t="s">
        <v>8749</v>
      </c>
      <c r="B2018" s="3">
        <v>5.1449999999999996</v>
      </c>
      <c r="E2018" s="4502"/>
      <c r="F2018" s="4502"/>
      <c r="G2018" s="4502"/>
      <c r="H2018" s="4502"/>
      <c r="I2018" s="4502"/>
      <c r="J2018" s="4502"/>
      <c r="K2018" s="4502"/>
      <c r="L2018" s="4502"/>
      <c r="M2018" s="4502"/>
    </row>
    <row r="2019" spans="1:13" hidden="1">
      <c r="A2019" s="4501" t="s">
        <v>8750</v>
      </c>
      <c r="B2019" s="3">
        <v>4.8609999999999998</v>
      </c>
      <c r="E2019" s="4502"/>
      <c r="F2019" s="4502"/>
      <c r="G2019" s="4502"/>
      <c r="H2019" s="4502"/>
      <c r="I2019" s="4502"/>
      <c r="J2019" s="4502"/>
      <c r="K2019" s="4502"/>
      <c r="L2019" s="4502"/>
      <c r="M2019" s="4502"/>
    </row>
    <row r="2020" spans="1:13" hidden="1">
      <c r="A2020" s="4501" t="s">
        <v>8751</v>
      </c>
      <c r="B2020" s="3">
        <v>5.0350000000000001</v>
      </c>
      <c r="E2020" s="4502"/>
      <c r="F2020" s="4502"/>
      <c r="G2020" s="4502"/>
      <c r="H2020" s="4502"/>
      <c r="I2020" s="4502"/>
      <c r="J2020" s="4502"/>
      <c r="K2020" s="4502"/>
      <c r="L2020" s="4502"/>
      <c r="M2020" s="4502"/>
    </row>
    <row r="2021" spans="1:13" hidden="1">
      <c r="A2021" s="4501" t="s">
        <v>8752</v>
      </c>
      <c r="B2021" s="3">
        <v>5.1139999999999999</v>
      </c>
      <c r="E2021" s="4502"/>
      <c r="F2021" s="4502"/>
      <c r="G2021" s="4502"/>
      <c r="H2021" s="4502"/>
      <c r="I2021" s="4502"/>
      <c r="J2021" s="4502"/>
      <c r="K2021" s="4502"/>
      <c r="L2021" s="4502"/>
      <c r="M2021" s="4502"/>
    </row>
    <row r="2022" spans="1:13" hidden="1">
      <c r="A2022" s="4501" t="s">
        <v>8753</v>
      </c>
      <c r="B2022" s="3">
        <v>5.1139999999999999</v>
      </c>
      <c r="E2022" s="4502"/>
      <c r="F2022" s="4502"/>
      <c r="G2022" s="4502"/>
      <c r="H2022" s="4502"/>
      <c r="I2022" s="4502"/>
      <c r="J2022" s="4502"/>
      <c r="K2022" s="4502"/>
      <c r="L2022" s="4502"/>
      <c r="M2022" s="4502"/>
    </row>
    <row r="2023" spans="1:13" hidden="1">
      <c r="A2023" s="4501" t="s">
        <v>8754</v>
      </c>
      <c r="B2023" s="3">
        <v>5.4770000000000003</v>
      </c>
      <c r="E2023" s="4502"/>
      <c r="F2023" s="4502"/>
      <c r="G2023" s="4502"/>
      <c r="H2023" s="4502"/>
      <c r="I2023" s="4502"/>
      <c r="J2023" s="4502"/>
      <c r="K2023" s="4502"/>
      <c r="L2023" s="4502"/>
      <c r="M2023" s="4502"/>
    </row>
    <row r="2024" spans="1:13" hidden="1">
      <c r="A2024" s="4501" t="s">
        <v>8755</v>
      </c>
      <c r="B2024" s="3">
        <v>5.4770000000000003</v>
      </c>
      <c r="E2024" s="4502"/>
      <c r="F2024" s="4502"/>
      <c r="G2024" s="4502"/>
      <c r="H2024" s="4502"/>
      <c r="I2024" s="4502"/>
      <c r="J2024" s="4502"/>
      <c r="K2024" s="4502"/>
      <c r="L2024" s="4502"/>
      <c r="M2024" s="4502"/>
    </row>
    <row r="2025" spans="1:13" hidden="1">
      <c r="A2025" s="4501" t="s">
        <v>8756</v>
      </c>
      <c r="B2025" s="3">
        <v>5.4770000000000003</v>
      </c>
      <c r="E2025" s="4502"/>
      <c r="F2025" s="4502"/>
      <c r="G2025" s="4502"/>
      <c r="H2025" s="4502"/>
      <c r="I2025" s="4502"/>
      <c r="J2025" s="4502"/>
      <c r="K2025" s="4502"/>
      <c r="L2025" s="4502"/>
      <c r="M2025" s="4502"/>
    </row>
    <row r="2026" spans="1:13" hidden="1">
      <c r="A2026" s="4501" t="s">
        <v>8757</v>
      </c>
      <c r="B2026" s="3">
        <v>4.8540000000000001</v>
      </c>
      <c r="E2026" s="4502"/>
      <c r="F2026" s="4502"/>
      <c r="G2026" s="4502"/>
      <c r="H2026" s="4502"/>
      <c r="I2026" s="4502"/>
      <c r="J2026" s="4502"/>
      <c r="K2026" s="4502"/>
      <c r="L2026" s="4502"/>
      <c r="M2026" s="4502"/>
    </row>
    <row r="2027" spans="1:13" hidden="1">
      <c r="A2027" s="4501" t="s">
        <v>8758</v>
      </c>
      <c r="B2027" s="3">
        <v>4.5670000000000002</v>
      </c>
      <c r="E2027" s="4502"/>
      <c r="F2027" s="4502"/>
      <c r="G2027" s="4502"/>
      <c r="H2027" s="4502"/>
      <c r="I2027" s="4502"/>
      <c r="J2027" s="4502"/>
      <c r="K2027" s="4502"/>
      <c r="L2027" s="4502"/>
      <c r="M2027" s="4502"/>
    </row>
    <row r="2028" spans="1:13" hidden="1">
      <c r="A2028" s="4501" t="s">
        <v>8759</v>
      </c>
      <c r="B2028" s="3">
        <v>4.258</v>
      </c>
      <c r="E2028" s="4502"/>
      <c r="F2028" s="4502"/>
      <c r="G2028" s="4502"/>
      <c r="H2028" s="4502"/>
      <c r="I2028" s="4502"/>
      <c r="J2028" s="4502"/>
      <c r="K2028" s="4502"/>
      <c r="L2028" s="4502"/>
      <c r="M2028" s="4502"/>
    </row>
    <row r="2029" spans="1:13" hidden="1">
      <c r="A2029" s="4501" t="s">
        <v>8760</v>
      </c>
      <c r="B2029" s="3">
        <v>4.056</v>
      </c>
      <c r="E2029" s="4502"/>
      <c r="F2029" s="4502"/>
      <c r="G2029" s="4502"/>
      <c r="H2029" s="4502"/>
      <c r="I2029" s="4502"/>
      <c r="J2029" s="4502"/>
      <c r="K2029" s="4502"/>
      <c r="L2029" s="4502"/>
      <c r="M2029" s="4502"/>
    </row>
    <row r="2030" spans="1:13" hidden="1">
      <c r="A2030" s="4501" t="s">
        <v>8761</v>
      </c>
      <c r="B2030" s="3">
        <v>4.1319999999999997</v>
      </c>
      <c r="E2030" s="4502"/>
      <c r="F2030" s="4502"/>
      <c r="G2030" s="4502"/>
      <c r="H2030" s="4502"/>
      <c r="I2030" s="4502"/>
      <c r="J2030" s="4502"/>
      <c r="K2030" s="4502"/>
      <c r="L2030" s="4502"/>
      <c r="M2030" s="4502"/>
    </row>
    <row r="2031" spans="1:13" hidden="1">
      <c r="A2031" s="4501" t="s">
        <v>8762</v>
      </c>
      <c r="B2031" s="3">
        <v>4.1319999999999997</v>
      </c>
      <c r="E2031" s="4502"/>
      <c r="F2031" s="4502"/>
      <c r="G2031" s="4502"/>
      <c r="H2031" s="4502"/>
      <c r="I2031" s="4502"/>
      <c r="J2031" s="4502"/>
      <c r="K2031" s="4502"/>
      <c r="L2031" s="4502"/>
      <c r="M2031" s="4502"/>
    </row>
    <row r="2032" spans="1:13" hidden="1">
      <c r="A2032" s="4501" t="s">
        <v>8763</v>
      </c>
      <c r="B2032" s="3">
        <v>4.1319999999999997</v>
      </c>
      <c r="E2032" s="4502"/>
      <c r="F2032" s="4502"/>
      <c r="G2032" s="4502"/>
      <c r="H2032" s="4502"/>
      <c r="I2032" s="4502"/>
      <c r="J2032" s="4502"/>
      <c r="K2032" s="4502"/>
      <c r="L2032" s="4502"/>
      <c r="M2032" s="4502"/>
    </row>
    <row r="2033" spans="1:13" hidden="1">
      <c r="A2033" s="4501" t="s">
        <v>8764</v>
      </c>
      <c r="B2033" s="3">
        <v>3.657</v>
      </c>
      <c r="E2033" s="4502"/>
      <c r="F2033" s="4502"/>
      <c r="G2033" s="4502"/>
      <c r="H2033" s="4502"/>
      <c r="I2033" s="4502"/>
      <c r="J2033" s="4502"/>
      <c r="K2033" s="4502"/>
      <c r="L2033" s="4502"/>
      <c r="M2033" s="4502"/>
    </row>
    <row r="2034" spans="1:13" hidden="1">
      <c r="A2034" s="4501" t="s">
        <v>8765</v>
      </c>
      <c r="B2034" s="3">
        <v>3.7080000000000002</v>
      </c>
      <c r="E2034" s="4502"/>
      <c r="F2034" s="4502"/>
      <c r="G2034" s="4502"/>
      <c r="H2034" s="4502"/>
      <c r="I2034" s="4502"/>
      <c r="J2034" s="4502"/>
      <c r="K2034" s="4502"/>
      <c r="L2034" s="4502"/>
      <c r="M2034" s="4502"/>
    </row>
    <row r="2035" spans="1:13" hidden="1">
      <c r="A2035" s="4501" t="s">
        <v>8766</v>
      </c>
      <c r="B2035" s="3">
        <v>3.8149999999999999</v>
      </c>
      <c r="E2035" s="4502"/>
      <c r="F2035" s="4502"/>
      <c r="G2035" s="4502"/>
      <c r="H2035" s="4502"/>
      <c r="I2035" s="4502"/>
      <c r="J2035" s="4502"/>
      <c r="K2035" s="4502"/>
      <c r="L2035" s="4502"/>
      <c r="M2035" s="4502"/>
    </row>
    <row r="2036" spans="1:13" hidden="1">
      <c r="A2036" s="4501" t="s">
        <v>8767</v>
      </c>
      <c r="B2036" s="3">
        <v>3.6859999999999999</v>
      </c>
      <c r="E2036" s="4502"/>
      <c r="F2036" s="4502"/>
      <c r="G2036" s="4502"/>
      <c r="H2036" s="4502"/>
      <c r="I2036" s="4502"/>
      <c r="J2036" s="4502"/>
      <c r="K2036" s="4502"/>
      <c r="L2036" s="4502"/>
      <c r="M2036" s="4502"/>
    </row>
    <row r="2037" spans="1:13" hidden="1">
      <c r="A2037" s="4501" t="s">
        <v>8768</v>
      </c>
      <c r="B2037" s="3">
        <v>3.7879999999999998</v>
      </c>
      <c r="E2037" s="4502"/>
      <c r="F2037" s="4502"/>
      <c r="G2037" s="4502"/>
      <c r="H2037" s="4502"/>
      <c r="I2037" s="4502"/>
      <c r="J2037" s="4502"/>
      <c r="K2037" s="4502"/>
      <c r="L2037" s="4502"/>
      <c r="M2037" s="4502"/>
    </row>
    <row r="2038" spans="1:13" hidden="1">
      <c r="A2038" s="4501" t="s">
        <v>8769</v>
      </c>
      <c r="B2038" s="3">
        <v>3.7879999999999998</v>
      </c>
      <c r="E2038" s="4502"/>
      <c r="F2038" s="4502"/>
      <c r="G2038" s="4502"/>
      <c r="H2038" s="4502"/>
      <c r="I2038" s="4502"/>
      <c r="J2038" s="4502"/>
      <c r="K2038" s="4502"/>
      <c r="L2038" s="4502"/>
      <c r="M2038" s="4502"/>
    </row>
    <row r="2039" spans="1:13" hidden="1">
      <c r="A2039" s="4501" t="s">
        <v>8770</v>
      </c>
      <c r="B2039" s="3">
        <v>3.7879999999999998</v>
      </c>
      <c r="E2039" s="4502"/>
      <c r="F2039" s="4502"/>
      <c r="G2039" s="4502"/>
      <c r="H2039" s="4502"/>
      <c r="I2039" s="4502"/>
      <c r="J2039" s="4502"/>
      <c r="K2039" s="4502"/>
      <c r="L2039" s="4502"/>
      <c r="M2039" s="4502"/>
    </row>
    <row r="2040" spans="1:13" hidden="1">
      <c r="A2040" s="4501" t="s">
        <v>8771</v>
      </c>
      <c r="B2040" s="3">
        <v>3.673</v>
      </c>
      <c r="E2040" s="4502"/>
      <c r="F2040" s="4502"/>
      <c r="G2040" s="4502"/>
      <c r="H2040" s="4502"/>
      <c r="I2040" s="4502"/>
      <c r="J2040" s="4502"/>
      <c r="K2040" s="4502"/>
      <c r="L2040" s="4502"/>
      <c r="M2040" s="4502"/>
    </row>
    <row r="2041" spans="1:13" hidden="1">
      <c r="A2041" s="4501" t="s">
        <v>8772</v>
      </c>
      <c r="B2041" s="3">
        <v>3.6190000000000002</v>
      </c>
      <c r="E2041" s="4502"/>
      <c r="F2041" s="4502"/>
      <c r="G2041" s="4502"/>
      <c r="H2041" s="4502"/>
      <c r="I2041" s="4502"/>
      <c r="J2041" s="4502"/>
      <c r="K2041" s="4502"/>
      <c r="L2041" s="4502"/>
      <c r="M2041" s="4502"/>
    </row>
    <row r="2042" spans="1:13" hidden="1">
      <c r="A2042" s="4501" t="s">
        <v>8773</v>
      </c>
      <c r="B2042" s="3">
        <v>3.6680000000000001</v>
      </c>
      <c r="E2042" s="4502"/>
      <c r="F2042" s="4502"/>
      <c r="G2042" s="4502"/>
      <c r="H2042" s="4502"/>
      <c r="I2042" s="4502"/>
      <c r="J2042" s="4502"/>
      <c r="K2042" s="4502"/>
      <c r="L2042" s="4502"/>
      <c r="M2042" s="4502"/>
    </row>
    <row r="2043" spans="1:13" hidden="1">
      <c r="A2043" s="4501" t="s">
        <v>8774</v>
      </c>
      <c r="B2043" s="3">
        <v>3.6179999999999999</v>
      </c>
      <c r="E2043" s="4502"/>
      <c r="F2043" s="4502"/>
      <c r="G2043" s="4502"/>
      <c r="H2043" s="4502"/>
      <c r="I2043" s="4502"/>
      <c r="J2043" s="4502"/>
      <c r="K2043" s="4502"/>
      <c r="L2043" s="4502"/>
      <c r="M2043" s="4502"/>
    </row>
    <row r="2044" spans="1:13" hidden="1">
      <c r="A2044" s="4501" t="s">
        <v>8775</v>
      </c>
      <c r="B2044" s="3">
        <v>3.5339999999999998</v>
      </c>
      <c r="E2044" s="4502"/>
      <c r="F2044" s="4502"/>
      <c r="G2044" s="4502"/>
      <c r="H2044" s="4502"/>
      <c r="I2044" s="4502"/>
      <c r="J2044" s="4502"/>
      <c r="K2044" s="4502"/>
      <c r="L2044" s="4502"/>
      <c r="M2044" s="4502"/>
    </row>
    <row r="2045" spans="1:13" hidden="1">
      <c r="A2045" s="4501" t="s">
        <v>8776</v>
      </c>
      <c r="B2045" s="3">
        <v>3.5339999999999998</v>
      </c>
      <c r="E2045" s="4502"/>
      <c r="F2045" s="4502"/>
      <c r="G2045" s="4502"/>
      <c r="H2045" s="4502"/>
      <c r="I2045" s="4502"/>
      <c r="J2045" s="4502"/>
      <c r="K2045" s="4502"/>
      <c r="L2045" s="4502"/>
      <c r="M2045" s="4502"/>
    </row>
    <row r="2046" spans="1:13" hidden="1">
      <c r="A2046" s="4501" t="s">
        <v>8777</v>
      </c>
      <c r="B2046" s="3">
        <v>3.5339999999999998</v>
      </c>
      <c r="E2046" s="4502"/>
      <c r="F2046" s="4502"/>
      <c r="G2046" s="4502"/>
      <c r="H2046" s="4502"/>
      <c r="I2046" s="4502"/>
      <c r="J2046" s="4502"/>
      <c r="K2046" s="4502"/>
      <c r="L2046" s="4502"/>
      <c r="M2046" s="4502"/>
    </row>
    <row r="2047" spans="1:13" hidden="1">
      <c r="A2047" s="4501" t="s">
        <v>8778</v>
      </c>
      <c r="B2047" s="3">
        <v>3.6419999999999999</v>
      </c>
      <c r="E2047" s="4502"/>
      <c r="F2047" s="4502"/>
      <c r="G2047" s="4502"/>
      <c r="H2047" s="4502"/>
      <c r="I2047" s="4502"/>
      <c r="J2047" s="4502"/>
      <c r="K2047" s="4502"/>
      <c r="L2047" s="4502"/>
      <c r="M2047" s="4502"/>
    </row>
    <row r="2048" spans="1:13" hidden="1">
      <c r="A2048" s="4501" t="s">
        <v>8779</v>
      </c>
      <c r="B2048" s="3">
        <v>3.6440000000000001</v>
      </c>
      <c r="E2048" s="4502"/>
      <c r="F2048" s="4502"/>
      <c r="G2048" s="4502"/>
      <c r="H2048" s="4502"/>
      <c r="I2048" s="4502"/>
      <c r="J2048" s="4502"/>
      <c r="K2048" s="4502"/>
      <c r="L2048" s="4502"/>
      <c r="M2048" s="4502"/>
    </row>
    <row r="2049" spans="1:13" hidden="1">
      <c r="A2049" s="4501" t="s">
        <v>8780</v>
      </c>
      <c r="B2049" s="3">
        <v>3.7130000000000001</v>
      </c>
      <c r="E2049" s="4502"/>
      <c r="F2049" s="4502"/>
      <c r="G2049" s="4502"/>
      <c r="H2049" s="4502"/>
      <c r="I2049" s="4502"/>
      <c r="J2049" s="4502"/>
      <c r="K2049" s="4502"/>
      <c r="L2049" s="4502"/>
      <c r="M2049" s="4502"/>
    </row>
    <row r="2050" spans="1:13" hidden="1">
      <c r="A2050" s="4501" t="s">
        <v>8781</v>
      </c>
      <c r="B2050" s="3">
        <v>3.5139999999999998</v>
      </c>
      <c r="E2050" s="4502"/>
      <c r="F2050" s="4502"/>
      <c r="G2050" s="4502"/>
      <c r="H2050" s="4502"/>
      <c r="I2050" s="4502"/>
      <c r="J2050" s="4502"/>
      <c r="K2050" s="4502"/>
      <c r="L2050" s="4502"/>
      <c r="M2050" s="4502"/>
    </row>
    <row r="2051" spans="1:13" hidden="1">
      <c r="A2051" s="4501" t="s">
        <v>8782</v>
      </c>
      <c r="B2051" s="3">
        <v>3.5139999999999998</v>
      </c>
      <c r="E2051" s="4502"/>
      <c r="F2051" s="4502"/>
      <c r="G2051" s="4502"/>
      <c r="H2051" s="4502"/>
      <c r="I2051" s="4502"/>
      <c r="J2051" s="4502"/>
      <c r="K2051" s="4502"/>
      <c r="L2051" s="4502"/>
      <c r="M2051" s="4502"/>
    </row>
    <row r="2052" spans="1:13" hidden="1">
      <c r="A2052" s="4501" t="s">
        <v>8783</v>
      </c>
      <c r="B2052" s="3">
        <v>3.5139999999999998</v>
      </c>
      <c r="E2052" s="4502"/>
      <c r="F2052" s="4502"/>
      <c r="G2052" s="4502"/>
      <c r="H2052" s="4502"/>
      <c r="I2052" s="4502"/>
      <c r="J2052" s="4502"/>
      <c r="K2052" s="4502"/>
      <c r="L2052" s="4502"/>
      <c r="M2052" s="4502"/>
    </row>
    <row r="2053" spans="1:13" hidden="1">
      <c r="A2053" s="4501" t="s">
        <v>8784</v>
      </c>
      <c r="B2053" s="3">
        <v>3.5139999999999998</v>
      </c>
      <c r="E2053" s="4502"/>
      <c r="F2053" s="4502"/>
      <c r="G2053" s="4502"/>
      <c r="H2053" s="4502"/>
      <c r="I2053" s="4502"/>
      <c r="J2053" s="4502"/>
      <c r="K2053" s="4502"/>
      <c r="L2053" s="4502"/>
      <c r="M2053" s="4502"/>
    </row>
    <row r="2054" spans="1:13" hidden="1">
      <c r="A2054" s="4501" t="s">
        <v>8785</v>
      </c>
      <c r="B2054" s="3">
        <v>3.782</v>
      </c>
      <c r="E2054" s="4502"/>
      <c r="F2054" s="4502"/>
      <c r="G2054" s="4502"/>
      <c r="H2054" s="4502"/>
      <c r="I2054" s="4502"/>
      <c r="J2054" s="4502"/>
      <c r="K2054" s="4502"/>
      <c r="L2054" s="4502"/>
      <c r="M2054" s="4502"/>
    </row>
    <row r="2055" spans="1:13" hidden="1">
      <c r="A2055" s="4501" t="s">
        <v>8786</v>
      </c>
      <c r="B2055" s="3">
        <v>3.742</v>
      </c>
      <c r="E2055" s="4502"/>
      <c r="F2055" s="4502"/>
      <c r="G2055" s="4502"/>
      <c r="H2055" s="4502"/>
      <c r="I2055" s="4502"/>
      <c r="J2055" s="4502"/>
      <c r="K2055" s="4502"/>
      <c r="L2055" s="4502"/>
      <c r="M2055" s="4502"/>
    </row>
    <row r="2056" spans="1:13" hidden="1">
      <c r="A2056" s="4501" t="s">
        <v>8787</v>
      </c>
      <c r="B2056" s="3">
        <v>3.6960000000000002</v>
      </c>
      <c r="E2056" s="4502"/>
      <c r="F2056" s="4502"/>
      <c r="G2056" s="4502"/>
      <c r="H2056" s="4502"/>
      <c r="I2056" s="4502"/>
      <c r="J2056" s="4502"/>
      <c r="K2056" s="4502"/>
      <c r="L2056" s="4502"/>
      <c r="M2056" s="4502"/>
    </row>
    <row r="2057" spans="1:13" hidden="1">
      <c r="A2057" s="4501" t="s">
        <v>8788</v>
      </c>
      <c r="B2057" s="3">
        <v>3.4350000000000001</v>
      </c>
      <c r="E2057" s="4502"/>
      <c r="F2057" s="4502"/>
      <c r="G2057" s="4502"/>
      <c r="H2057" s="4502"/>
      <c r="I2057" s="4502"/>
      <c r="J2057" s="4502"/>
      <c r="K2057" s="4502"/>
      <c r="L2057" s="4502"/>
      <c r="M2057" s="4502"/>
    </row>
    <row r="2058" spans="1:13" hidden="1">
      <c r="A2058" s="4501" t="s">
        <v>8789</v>
      </c>
      <c r="B2058" s="3">
        <v>3.5569999999999999</v>
      </c>
      <c r="E2058" s="4502"/>
      <c r="F2058" s="4502"/>
      <c r="G2058" s="4502"/>
      <c r="H2058" s="4502"/>
      <c r="I2058" s="4502"/>
      <c r="J2058" s="4502"/>
      <c r="K2058" s="4502"/>
      <c r="L2058" s="4502"/>
      <c r="M2058" s="4502"/>
    </row>
    <row r="2059" spans="1:13" hidden="1">
      <c r="A2059" s="4501" t="s">
        <v>8790</v>
      </c>
      <c r="B2059" s="3">
        <v>3.5569999999999999</v>
      </c>
      <c r="E2059" s="4502"/>
      <c r="F2059" s="4502"/>
      <c r="G2059" s="4502"/>
      <c r="H2059" s="4502"/>
      <c r="I2059" s="4502"/>
      <c r="J2059" s="4502"/>
      <c r="K2059" s="4502"/>
      <c r="L2059" s="4502"/>
      <c r="M2059" s="4502"/>
    </row>
    <row r="2060" spans="1:13" hidden="1">
      <c r="A2060" s="4501" t="s">
        <v>8791</v>
      </c>
      <c r="B2060" s="3">
        <v>3.5569999999999999</v>
      </c>
      <c r="E2060" s="4502"/>
      <c r="F2060" s="4502"/>
      <c r="G2060" s="4502"/>
      <c r="H2060" s="4502"/>
      <c r="I2060" s="4502"/>
      <c r="J2060" s="4502"/>
      <c r="K2060" s="4502"/>
      <c r="L2060" s="4502"/>
      <c r="M2060" s="4502"/>
    </row>
    <row r="2061" spans="1:13" hidden="1">
      <c r="A2061" s="4501" t="s">
        <v>8792</v>
      </c>
      <c r="B2061" s="3">
        <v>3.56392</v>
      </c>
      <c r="E2061" s="4502"/>
      <c r="F2061" s="4502"/>
      <c r="G2061" s="4502"/>
      <c r="H2061" s="4502"/>
      <c r="I2061" s="4502"/>
      <c r="J2061" s="4502"/>
      <c r="K2061" s="4502"/>
      <c r="L2061" s="4502"/>
      <c r="M2061" s="4502"/>
    </row>
    <row r="2062" spans="1:13" hidden="1">
      <c r="A2062" s="4501" t="s">
        <v>8793</v>
      </c>
      <c r="B2062" s="3">
        <v>3.57084</v>
      </c>
      <c r="E2062" s="4502"/>
      <c r="F2062" s="4502"/>
      <c r="G2062" s="4502"/>
      <c r="H2062" s="4502"/>
      <c r="I2062" s="4502"/>
      <c r="J2062" s="4502"/>
      <c r="K2062" s="4502"/>
      <c r="L2062" s="4502"/>
      <c r="M2062" s="4502"/>
    </row>
    <row r="2063" spans="1:13" hidden="1">
      <c r="A2063" s="4501" t="s">
        <v>8794</v>
      </c>
      <c r="B2063" s="3">
        <v>3.5777600000000001</v>
      </c>
      <c r="E2063" s="4502"/>
      <c r="F2063" s="4502"/>
      <c r="G2063" s="4502"/>
      <c r="H2063" s="4502"/>
      <c r="I2063" s="4502"/>
      <c r="J2063" s="4502"/>
      <c r="K2063" s="4502"/>
      <c r="L2063" s="4502"/>
      <c r="M2063" s="4502"/>
    </row>
    <row r="2064" spans="1:13" hidden="1">
      <c r="A2064" s="4501" t="s">
        <v>8795</v>
      </c>
      <c r="B2064" s="3">
        <v>3.5846800000000001</v>
      </c>
      <c r="E2064" s="4502"/>
      <c r="F2064" s="4502"/>
      <c r="G2064" s="4502"/>
      <c r="H2064" s="4502"/>
      <c r="I2064" s="4502"/>
      <c r="J2064" s="4502"/>
      <c r="K2064" s="4502"/>
      <c r="L2064" s="4502"/>
      <c r="M2064" s="4502"/>
    </row>
    <row r="2065" spans="1:13" hidden="1">
      <c r="A2065" s="4501" t="s">
        <v>8796</v>
      </c>
      <c r="B2065" s="3">
        <v>3.5916000000000001</v>
      </c>
      <c r="E2065" s="4502"/>
      <c r="F2065" s="4502"/>
      <c r="G2065" s="4502"/>
      <c r="H2065" s="4502"/>
      <c r="I2065" s="4502"/>
      <c r="J2065" s="4502"/>
      <c r="K2065" s="4502"/>
      <c r="L2065" s="4502"/>
      <c r="M2065" s="4502"/>
    </row>
    <row r="2066" spans="1:13" hidden="1">
      <c r="A2066" s="4501" t="s">
        <v>8797</v>
      </c>
      <c r="B2066" s="3">
        <v>3.5985200000000002</v>
      </c>
      <c r="E2066" s="4502"/>
      <c r="F2066" s="4502"/>
      <c r="G2066" s="4502"/>
      <c r="H2066" s="4502"/>
      <c r="I2066" s="4502"/>
      <c r="J2066" s="4502"/>
      <c r="K2066" s="4502"/>
      <c r="L2066" s="4502"/>
      <c r="M2066" s="4502"/>
    </row>
    <row r="2067" spans="1:13" hidden="1">
      <c r="A2067" s="4501" t="s">
        <v>8798</v>
      </c>
      <c r="B2067" s="3">
        <v>3.6054400000000002</v>
      </c>
      <c r="E2067" s="4502"/>
      <c r="F2067" s="4502"/>
      <c r="G2067" s="4502"/>
      <c r="H2067" s="4502"/>
      <c r="I2067" s="4502"/>
      <c r="J2067" s="4502"/>
      <c r="K2067" s="4502"/>
      <c r="L2067" s="4502"/>
      <c r="M2067" s="4502"/>
    </row>
    <row r="2068" spans="1:13" hidden="1">
      <c r="A2068" s="4501" t="s">
        <v>8799</v>
      </c>
      <c r="B2068" s="3">
        <v>3.6123599999999998</v>
      </c>
      <c r="E2068" s="4502"/>
      <c r="F2068" s="4502"/>
      <c r="G2068" s="4502"/>
      <c r="H2068" s="4502"/>
      <c r="I2068" s="4502"/>
      <c r="J2068" s="4502"/>
      <c r="K2068" s="4502"/>
      <c r="L2068" s="4502"/>
      <c r="M2068" s="4502"/>
    </row>
    <row r="2069" spans="1:13" hidden="1">
      <c r="A2069" s="4501" t="s">
        <v>8800</v>
      </c>
      <c r="B2069" s="3">
        <v>3.6192799999999998</v>
      </c>
      <c r="E2069" s="4502"/>
      <c r="F2069" s="4502"/>
      <c r="G2069" s="4502"/>
      <c r="H2069" s="4502"/>
      <c r="I2069" s="4502"/>
      <c r="J2069" s="4502"/>
      <c r="K2069" s="4502"/>
      <c r="L2069" s="4502"/>
      <c r="M2069" s="4502"/>
    </row>
    <row r="2070" spans="1:13" hidden="1">
      <c r="A2070" s="4501" t="s">
        <v>8801</v>
      </c>
      <c r="B2070" s="3">
        <v>3.6261999999999999</v>
      </c>
      <c r="E2070" s="4502"/>
      <c r="F2070" s="4502"/>
      <c r="G2070" s="4502"/>
      <c r="H2070" s="4502"/>
      <c r="I2070" s="4502"/>
      <c r="J2070" s="4502"/>
      <c r="K2070" s="4502"/>
      <c r="L2070" s="4502"/>
      <c r="M2070" s="4502"/>
    </row>
    <row r="2071" spans="1:13" hidden="1">
      <c r="A2071" s="4501" t="s">
        <v>8802</v>
      </c>
      <c r="B2071" s="3">
        <v>3.6331199999999999</v>
      </c>
      <c r="E2071" s="4502"/>
      <c r="F2071" s="4502"/>
      <c r="G2071" s="4502"/>
      <c r="H2071" s="4502"/>
      <c r="I2071" s="4502"/>
      <c r="J2071" s="4502"/>
      <c r="K2071" s="4502"/>
      <c r="L2071" s="4502"/>
      <c r="M2071" s="4502"/>
    </row>
    <row r="2072" spans="1:13" hidden="1">
      <c r="A2072" s="4501" t="s">
        <v>8803</v>
      </c>
      <c r="B2072" s="3">
        <v>3.6400399999999999</v>
      </c>
      <c r="E2072" s="4502"/>
      <c r="F2072" s="4502"/>
      <c r="G2072" s="4502"/>
      <c r="H2072" s="4502"/>
      <c r="I2072" s="4502"/>
      <c r="J2072" s="4502"/>
      <c r="K2072" s="4502"/>
      <c r="L2072" s="4502"/>
      <c r="M2072" s="4502"/>
    </row>
    <row r="2073" spans="1:13" hidden="1">
      <c r="A2073" s="4501" t="s">
        <v>8804</v>
      </c>
      <c r="B2073" s="3">
        <v>3.64696</v>
      </c>
      <c r="E2073" s="4502"/>
      <c r="F2073" s="4502"/>
      <c r="G2073" s="4502"/>
      <c r="H2073" s="4502"/>
      <c r="I2073" s="4502"/>
      <c r="J2073" s="4502"/>
      <c r="K2073" s="4502"/>
      <c r="L2073" s="4502"/>
      <c r="M2073" s="4502"/>
    </row>
    <row r="2074" spans="1:13" hidden="1">
      <c r="A2074" s="4501" t="s">
        <v>8805</v>
      </c>
      <c r="B2074" s="3">
        <v>3.65388</v>
      </c>
      <c r="E2074" s="4502"/>
      <c r="F2074" s="4502"/>
      <c r="G2074" s="4502"/>
      <c r="H2074" s="4502"/>
      <c r="I2074" s="4502"/>
      <c r="J2074" s="4502"/>
      <c r="K2074" s="4502"/>
      <c r="L2074" s="4502"/>
      <c r="M2074" s="4502"/>
    </row>
    <row r="2075" spans="1:13" hidden="1">
      <c r="A2075" s="4501" t="s">
        <v>8806</v>
      </c>
      <c r="B2075" s="3">
        <v>3.6608000000000001</v>
      </c>
      <c r="E2075" s="4502"/>
      <c r="F2075" s="4502"/>
      <c r="G2075" s="4502"/>
      <c r="H2075" s="4502"/>
      <c r="I2075" s="4502"/>
      <c r="J2075" s="4502"/>
      <c r="K2075" s="4502"/>
      <c r="L2075" s="4502"/>
      <c r="M2075" s="4502"/>
    </row>
    <row r="2076" spans="1:13" hidden="1">
      <c r="A2076" s="4501" t="s">
        <v>8807</v>
      </c>
      <c r="B2076" s="3">
        <v>3.6677200000000001</v>
      </c>
      <c r="E2076" s="4502"/>
      <c r="F2076" s="4502"/>
      <c r="G2076" s="4502"/>
      <c r="H2076" s="4502"/>
      <c r="I2076" s="4502"/>
      <c r="J2076" s="4502"/>
      <c r="K2076" s="4502"/>
      <c r="L2076" s="4502"/>
      <c r="M2076" s="4502"/>
    </row>
    <row r="2077" spans="1:13" hidden="1">
      <c r="A2077" s="4501" t="s">
        <v>8808</v>
      </c>
      <c r="B2077" s="3">
        <v>3.6746400000000001</v>
      </c>
      <c r="E2077" s="4502"/>
      <c r="F2077" s="4502"/>
      <c r="G2077" s="4502"/>
      <c r="H2077" s="4502"/>
      <c r="I2077" s="4502"/>
      <c r="J2077" s="4502"/>
      <c r="K2077" s="4502"/>
      <c r="L2077" s="4502"/>
      <c r="M2077" s="4502"/>
    </row>
    <row r="2078" spans="1:13" hidden="1">
      <c r="A2078" s="4501" t="s">
        <v>8809</v>
      </c>
      <c r="B2078" s="3">
        <v>3.6815600000000002</v>
      </c>
      <c r="E2078" s="4502"/>
      <c r="F2078" s="4502"/>
      <c r="G2078" s="4502"/>
      <c r="H2078" s="4502"/>
      <c r="I2078" s="4502"/>
      <c r="J2078" s="4502"/>
      <c r="K2078" s="4502"/>
      <c r="L2078" s="4502"/>
      <c r="M2078" s="4502"/>
    </row>
    <row r="2079" spans="1:13" hidden="1">
      <c r="A2079" s="4501" t="s">
        <v>8810</v>
      </c>
      <c r="B2079" s="3">
        <v>3.6884800000000002</v>
      </c>
      <c r="E2079" s="4502"/>
      <c r="F2079" s="4502"/>
      <c r="G2079" s="4502"/>
      <c r="H2079" s="4502"/>
      <c r="I2079" s="4502"/>
      <c r="J2079" s="4502"/>
      <c r="K2079" s="4502"/>
      <c r="L2079" s="4502"/>
      <c r="M2079" s="4502"/>
    </row>
    <row r="2080" spans="1:13" hidden="1">
      <c r="A2080" s="4501" t="s">
        <v>8811</v>
      </c>
      <c r="B2080" s="3">
        <v>3.6953999999999998</v>
      </c>
      <c r="E2080" s="4502"/>
      <c r="F2080" s="4502"/>
      <c r="G2080" s="4502"/>
      <c r="H2080" s="4502"/>
      <c r="I2080" s="4502"/>
      <c r="J2080" s="4502"/>
      <c r="K2080" s="4502"/>
      <c r="L2080" s="4502"/>
      <c r="M2080" s="4502"/>
    </row>
    <row r="2081" spans="1:13" hidden="1">
      <c r="A2081" s="4501" t="s">
        <v>8812</v>
      </c>
      <c r="B2081" s="3">
        <v>3.7023199999999998</v>
      </c>
      <c r="E2081" s="4502"/>
      <c r="F2081" s="4502"/>
      <c r="G2081" s="4502"/>
      <c r="H2081" s="4502"/>
      <c r="I2081" s="4502"/>
      <c r="J2081" s="4502"/>
      <c r="K2081" s="4502"/>
      <c r="L2081" s="4502"/>
      <c r="M2081" s="4502"/>
    </row>
    <row r="2082" spans="1:13" hidden="1">
      <c r="A2082" s="4501" t="s">
        <v>8813</v>
      </c>
      <c r="B2082" s="3">
        <v>3.7092399999999999</v>
      </c>
      <c r="E2082" s="4502"/>
      <c r="F2082" s="4502"/>
      <c r="G2082" s="4502"/>
      <c r="H2082" s="4502"/>
      <c r="I2082" s="4502"/>
      <c r="J2082" s="4502"/>
      <c r="K2082" s="4502"/>
      <c r="L2082" s="4502"/>
      <c r="M2082" s="4502"/>
    </row>
    <row r="2083" spans="1:13" hidden="1">
      <c r="A2083" s="4501" t="s">
        <v>8814</v>
      </c>
      <c r="B2083" s="3">
        <v>3.7161599999999999</v>
      </c>
      <c r="E2083" s="4502"/>
      <c r="F2083" s="4502"/>
      <c r="G2083" s="4502"/>
      <c r="H2083" s="4502"/>
      <c r="I2083" s="4502"/>
      <c r="J2083" s="4502"/>
      <c r="K2083" s="4502"/>
      <c r="L2083" s="4502"/>
      <c r="M2083" s="4502"/>
    </row>
    <row r="2084" spans="1:13" hidden="1">
      <c r="A2084" s="4501" t="s">
        <v>8815</v>
      </c>
      <c r="B2084" s="3">
        <v>3.7230799999999999</v>
      </c>
      <c r="E2084" s="4502"/>
      <c r="F2084" s="4502"/>
      <c r="G2084" s="4502"/>
      <c r="H2084" s="4502"/>
      <c r="I2084" s="4502"/>
      <c r="J2084" s="4502"/>
      <c r="K2084" s="4502"/>
      <c r="L2084" s="4502"/>
      <c r="M2084" s="4502"/>
    </row>
    <row r="2085" spans="1:13" hidden="1">
      <c r="A2085" s="4501" t="s">
        <v>8816</v>
      </c>
      <c r="B2085" s="3">
        <v>3.73</v>
      </c>
      <c r="E2085" s="4502"/>
      <c r="F2085" s="4502"/>
      <c r="G2085" s="4502"/>
      <c r="H2085" s="4502"/>
      <c r="I2085" s="4502"/>
      <c r="J2085" s="4502"/>
      <c r="K2085" s="4502"/>
      <c r="L2085" s="4502"/>
      <c r="M2085" s="4502"/>
    </row>
    <row r="2086" spans="1:13" hidden="1">
      <c r="A2086" s="4501" t="s">
        <v>8817</v>
      </c>
      <c r="B2086" s="3">
        <v>3.7238214285714299</v>
      </c>
      <c r="E2086" s="4502"/>
      <c r="F2086" s="4502"/>
      <c r="G2086" s="4502"/>
      <c r="H2086" s="4502"/>
      <c r="I2086" s="4502"/>
      <c r="J2086" s="4502"/>
      <c r="K2086" s="4502"/>
      <c r="L2086" s="4502"/>
      <c r="M2086" s="4502"/>
    </row>
    <row r="2087" spans="1:13" hidden="1">
      <c r="A2087" s="4501" t="s">
        <v>8818</v>
      </c>
      <c r="B2087" s="3">
        <v>3.7176428571428599</v>
      </c>
      <c r="E2087" s="4502"/>
      <c r="F2087" s="4502"/>
      <c r="G2087" s="4502"/>
      <c r="H2087" s="4502"/>
      <c r="I2087" s="4502"/>
      <c r="J2087" s="4502"/>
      <c r="K2087" s="4502"/>
      <c r="L2087" s="4502"/>
      <c r="M2087" s="4502"/>
    </row>
    <row r="2088" spans="1:13" hidden="1">
      <c r="A2088" s="4501" t="s">
        <v>8819</v>
      </c>
      <c r="B2088" s="3">
        <v>3.7114642857142899</v>
      </c>
      <c r="E2088" s="4502"/>
      <c r="F2088" s="4502"/>
      <c r="G2088" s="4502"/>
      <c r="H2088" s="4502"/>
      <c r="I2088" s="4502"/>
      <c r="J2088" s="4502"/>
      <c r="K2088" s="4502"/>
      <c r="L2088" s="4502"/>
      <c r="M2088" s="4502"/>
    </row>
    <row r="2089" spans="1:13" hidden="1">
      <c r="A2089" s="4501" t="s">
        <v>8820</v>
      </c>
      <c r="B2089" s="3">
        <v>3.7052857142857101</v>
      </c>
      <c r="E2089" s="4502"/>
      <c r="F2089" s="4502"/>
      <c r="G2089" s="4502"/>
      <c r="H2089" s="4502"/>
      <c r="I2089" s="4502"/>
      <c r="J2089" s="4502"/>
      <c r="K2089" s="4502"/>
      <c r="L2089" s="4502"/>
      <c r="M2089" s="4502"/>
    </row>
    <row r="2090" spans="1:13" hidden="1">
      <c r="A2090" s="4501" t="s">
        <v>8821</v>
      </c>
      <c r="B2090" s="3">
        <v>3.69910714285714</v>
      </c>
      <c r="E2090" s="4502"/>
      <c r="F2090" s="4502"/>
      <c r="G2090" s="4502"/>
      <c r="H2090" s="4502"/>
      <c r="I2090" s="4502"/>
      <c r="J2090" s="4502"/>
      <c r="K2090" s="4502"/>
      <c r="L2090" s="4502"/>
      <c r="M2090" s="4502"/>
    </row>
    <row r="2091" spans="1:13" hidden="1">
      <c r="A2091" s="4501" t="s">
        <v>8822</v>
      </c>
      <c r="B2091" s="3">
        <v>3.69292857142857</v>
      </c>
      <c r="E2091" s="4502"/>
      <c r="F2091" s="4502"/>
      <c r="G2091" s="4502"/>
      <c r="H2091" s="4502"/>
      <c r="I2091" s="4502"/>
      <c r="J2091" s="4502"/>
      <c r="K2091" s="4502"/>
      <c r="L2091" s="4502"/>
      <c r="M2091" s="4502"/>
    </row>
    <row r="2092" spans="1:13" hidden="1">
      <c r="A2092" s="4501" t="s">
        <v>8823</v>
      </c>
      <c r="B2092" s="3">
        <v>3.68675</v>
      </c>
      <c r="E2092" s="4502"/>
      <c r="F2092" s="4502"/>
      <c r="G2092" s="4502"/>
      <c r="H2092" s="4502"/>
      <c r="I2092" s="4502"/>
      <c r="J2092" s="4502"/>
      <c r="K2092" s="4502"/>
      <c r="L2092" s="4502"/>
      <c r="M2092" s="4502"/>
    </row>
    <row r="2093" spans="1:13" hidden="1">
      <c r="A2093" s="4501" t="s">
        <v>8824</v>
      </c>
      <c r="B2093" s="3">
        <v>3.6805714285714299</v>
      </c>
      <c r="E2093" s="4502"/>
      <c r="F2093" s="4502"/>
      <c r="G2093" s="4502"/>
      <c r="H2093" s="4502"/>
      <c r="I2093" s="4502"/>
      <c r="J2093" s="4502"/>
      <c r="K2093" s="4502"/>
      <c r="L2093" s="4502"/>
      <c r="M2093" s="4502"/>
    </row>
    <row r="2094" spans="1:13" hidden="1">
      <c r="A2094" s="4501" t="s">
        <v>8825</v>
      </c>
      <c r="B2094" s="3">
        <v>3.6743928571428599</v>
      </c>
      <c r="E2094" s="4502"/>
      <c r="F2094" s="4502"/>
      <c r="G2094" s="4502"/>
      <c r="H2094" s="4502"/>
      <c r="I2094" s="4502"/>
      <c r="J2094" s="4502"/>
      <c r="K2094" s="4502"/>
      <c r="L2094" s="4502"/>
      <c r="M2094" s="4502"/>
    </row>
    <row r="2095" spans="1:13" hidden="1">
      <c r="A2095" s="4501" t="s">
        <v>8826</v>
      </c>
      <c r="B2095" s="3">
        <v>3.6682142857142899</v>
      </c>
      <c r="E2095" s="4502"/>
      <c r="F2095" s="4502"/>
      <c r="G2095" s="4502"/>
      <c r="H2095" s="4502"/>
      <c r="I2095" s="4502"/>
      <c r="J2095" s="4502"/>
      <c r="K2095" s="4502"/>
      <c r="L2095" s="4502"/>
      <c r="M2095" s="4502"/>
    </row>
    <row r="2096" spans="1:13" hidden="1">
      <c r="A2096" s="4501" t="s">
        <v>8827</v>
      </c>
      <c r="B2096" s="3">
        <v>3.6620357142857101</v>
      </c>
      <c r="E2096" s="4502"/>
      <c r="F2096" s="4502"/>
      <c r="G2096" s="4502"/>
      <c r="H2096" s="4502"/>
      <c r="I2096" s="4502"/>
      <c r="J2096" s="4502"/>
      <c r="K2096" s="4502"/>
      <c r="L2096" s="4502"/>
      <c r="M2096" s="4502"/>
    </row>
    <row r="2097" spans="1:13" hidden="1">
      <c r="A2097" s="4501" t="s">
        <v>8828</v>
      </c>
      <c r="B2097" s="3">
        <v>3.65585714285714</v>
      </c>
      <c r="E2097" s="4502"/>
      <c r="F2097" s="4502"/>
      <c r="G2097" s="4502"/>
      <c r="H2097" s="4502"/>
      <c r="I2097" s="4502"/>
      <c r="J2097" s="4502"/>
      <c r="K2097" s="4502"/>
      <c r="L2097" s="4502"/>
      <c r="M2097" s="4502"/>
    </row>
    <row r="2098" spans="1:13" hidden="1">
      <c r="A2098" s="4501" t="s">
        <v>8829</v>
      </c>
      <c r="B2098" s="3">
        <v>3.64967857142857</v>
      </c>
      <c r="E2098" s="4502"/>
      <c r="F2098" s="4502"/>
      <c r="G2098" s="4502"/>
      <c r="H2098" s="4502"/>
      <c r="I2098" s="4502"/>
      <c r="J2098" s="4502"/>
      <c r="K2098" s="4502"/>
      <c r="L2098" s="4502"/>
      <c r="M2098" s="4502"/>
    </row>
    <row r="2099" spans="1:13" hidden="1">
      <c r="A2099" s="4501" t="s">
        <v>8830</v>
      </c>
      <c r="B2099" s="3">
        <v>3.6435</v>
      </c>
      <c r="E2099" s="4502"/>
      <c r="F2099" s="4502"/>
      <c r="G2099" s="4502"/>
      <c r="H2099" s="4502"/>
      <c r="I2099" s="4502"/>
      <c r="J2099" s="4502"/>
      <c r="K2099" s="4502"/>
      <c r="L2099" s="4502"/>
      <c r="M2099" s="4502"/>
    </row>
    <row r="2100" spans="1:13" hidden="1">
      <c r="A2100" s="4501" t="s">
        <v>8831</v>
      </c>
      <c r="B2100" s="3">
        <v>3.6373214285714299</v>
      </c>
      <c r="E2100" s="4502"/>
      <c r="F2100" s="4502"/>
      <c r="G2100" s="4502"/>
      <c r="H2100" s="4502"/>
      <c r="I2100" s="4502"/>
      <c r="J2100" s="4502"/>
      <c r="K2100" s="4502"/>
      <c r="L2100" s="4502"/>
      <c r="M2100" s="4502"/>
    </row>
    <row r="2101" spans="1:13" hidden="1">
      <c r="A2101" s="4501" t="s">
        <v>8832</v>
      </c>
      <c r="B2101" s="3">
        <v>3.6311428571428599</v>
      </c>
      <c r="E2101" s="4502"/>
      <c r="F2101" s="4502"/>
      <c r="G2101" s="4502"/>
      <c r="H2101" s="4502"/>
      <c r="I2101" s="4502"/>
      <c r="J2101" s="4502"/>
      <c r="K2101" s="4502"/>
      <c r="L2101" s="4502"/>
      <c r="M2101" s="4502"/>
    </row>
    <row r="2102" spans="1:13" hidden="1">
      <c r="A2102" s="4501" t="s">
        <v>8833</v>
      </c>
      <c r="B2102" s="3">
        <v>3.6249642857142899</v>
      </c>
      <c r="E2102" s="4502"/>
      <c r="F2102" s="4502"/>
      <c r="G2102" s="4502"/>
      <c r="H2102" s="4502"/>
      <c r="I2102" s="4502"/>
      <c r="J2102" s="4502"/>
      <c r="K2102" s="4502"/>
      <c r="L2102" s="4502"/>
      <c r="M2102" s="4502"/>
    </row>
    <row r="2103" spans="1:13" hidden="1">
      <c r="A2103" s="4501" t="s">
        <v>8834</v>
      </c>
      <c r="B2103" s="3">
        <v>3.6187857142857101</v>
      </c>
      <c r="E2103" s="4502"/>
      <c r="F2103" s="4502"/>
      <c r="G2103" s="4502"/>
      <c r="H2103" s="4502"/>
      <c r="I2103" s="4502"/>
      <c r="J2103" s="4502"/>
      <c r="K2103" s="4502"/>
      <c r="L2103" s="4502"/>
      <c r="M2103" s="4502"/>
    </row>
    <row r="2104" spans="1:13" hidden="1">
      <c r="A2104" s="4501" t="s">
        <v>8835</v>
      </c>
      <c r="B2104" s="3">
        <v>3.61260714285714</v>
      </c>
      <c r="E2104" s="4502"/>
      <c r="F2104" s="4502"/>
      <c r="G2104" s="4502"/>
      <c r="H2104" s="4502"/>
      <c r="I2104" s="4502"/>
      <c r="J2104" s="4502"/>
      <c r="K2104" s="4502"/>
      <c r="L2104" s="4502"/>
      <c r="M2104" s="4502"/>
    </row>
    <row r="2105" spans="1:13" hidden="1">
      <c r="A2105" s="4501" t="s">
        <v>8836</v>
      </c>
      <c r="B2105" s="3">
        <v>3.60642857142857</v>
      </c>
      <c r="E2105" s="4502"/>
      <c r="F2105" s="4502"/>
      <c r="G2105" s="4502"/>
      <c r="H2105" s="4502"/>
      <c r="I2105" s="4502"/>
      <c r="J2105" s="4502"/>
      <c r="K2105" s="4502"/>
      <c r="L2105" s="4502"/>
      <c r="M2105" s="4502"/>
    </row>
    <row r="2106" spans="1:13" hidden="1">
      <c r="A2106" s="4501" t="s">
        <v>8837</v>
      </c>
      <c r="B2106" s="3">
        <v>3.60025</v>
      </c>
      <c r="E2106" s="4502"/>
      <c r="F2106" s="4502"/>
      <c r="G2106" s="4502"/>
      <c r="H2106" s="4502"/>
      <c r="I2106" s="4502"/>
      <c r="J2106" s="4502"/>
      <c r="K2106" s="4502"/>
      <c r="L2106" s="4502"/>
      <c r="M2106" s="4502"/>
    </row>
    <row r="2107" spans="1:13" hidden="1">
      <c r="A2107" s="4501" t="s">
        <v>8838</v>
      </c>
      <c r="B2107" s="3">
        <v>3.5940714285714299</v>
      </c>
      <c r="E2107" s="4502"/>
      <c r="F2107" s="4502"/>
      <c r="G2107" s="4502"/>
      <c r="H2107" s="4502"/>
      <c r="I2107" s="4502"/>
      <c r="J2107" s="4502"/>
      <c r="K2107" s="4502"/>
      <c r="L2107" s="4502"/>
      <c r="M2107" s="4502"/>
    </row>
    <row r="2108" spans="1:13" hidden="1">
      <c r="A2108" s="4501" t="s">
        <v>8839</v>
      </c>
      <c r="B2108" s="3">
        <v>3.5878928571428599</v>
      </c>
      <c r="E2108" s="4502"/>
      <c r="F2108" s="4502"/>
      <c r="G2108" s="4502"/>
      <c r="H2108" s="4502"/>
      <c r="I2108" s="4502"/>
      <c r="J2108" s="4502"/>
      <c r="K2108" s="4502"/>
      <c r="L2108" s="4502"/>
      <c r="M2108" s="4502"/>
    </row>
    <row r="2109" spans="1:13" hidden="1">
      <c r="A2109" s="4501" t="s">
        <v>8840</v>
      </c>
      <c r="B2109" s="3">
        <v>3.5817142857142898</v>
      </c>
      <c r="E2109" s="4502"/>
      <c r="F2109" s="4502"/>
      <c r="G2109" s="4502"/>
      <c r="H2109" s="4502"/>
      <c r="I2109" s="4502"/>
      <c r="J2109" s="4502"/>
      <c r="K2109" s="4502"/>
      <c r="L2109" s="4502"/>
      <c r="M2109" s="4502"/>
    </row>
    <row r="2110" spans="1:13" hidden="1">
      <c r="A2110" s="4501" t="s">
        <v>8841</v>
      </c>
      <c r="B2110" s="3">
        <v>3.57553571428571</v>
      </c>
      <c r="E2110" s="4502"/>
      <c r="F2110" s="4502"/>
      <c r="G2110" s="4502"/>
      <c r="H2110" s="4502"/>
      <c r="I2110" s="4502"/>
      <c r="J2110" s="4502"/>
      <c r="K2110" s="4502"/>
      <c r="L2110" s="4502"/>
      <c r="M2110" s="4502"/>
    </row>
    <row r="2111" spans="1:13" hidden="1">
      <c r="A2111" s="4501" t="s">
        <v>8842</v>
      </c>
      <c r="B2111" s="3">
        <v>3.56935714285714</v>
      </c>
      <c r="E2111" s="4502"/>
      <c r="F2111" s="4502"/>
      <c r="G2111" s="4502"/>
      <c r="H2111" s="4502"/>
      <c r="I2111" s="4502"/>
      <c r="J2111" s="4502"/>
      <c r="K2111" s="4502"/>
      <c r="L2111" s="4502"/>
      <c r="M2111" s="4502"/>
    </row>
    <row r="2112" spans="1:13" hidden="1">
      <c r="A2112" s="4501" t="s">
        <v>8843</v>
      </c>
      <c r="B2112" s="3">
        <v>3.56317857142857</v>
      </c>
      <c r="E2112" s="4502"/>
      <c r="F2112" s="4502"/>
      <c r="G2112" s="4502"/>
      <c r="H2112" s="4502"/>
      <c r="I2112" s="4502"/>
      <c r="J2112" s="4502"/>
      <c r="K2112" s="4502"/>
      <c r="L2112" s="4502"/>
      <c r="M2112" s="4502"/>
    </row>
    <row r="2113" spans="1:13" hidden="1">
      <c r="A2113" s="4501" t="s">
        <v>8844</v>
      </c>
      <c r="B2113" s="3">
        <v>3.5569999999999999</v>
      </c>
      <c r="E2113" s="4502"/>
      <c r="F2113" s="4502"/>
      <c r="G2113" s="4502"/>
      <c r="H2113" s="4502"/>
      <c r="I2113" s="4502"/>
      <c r="J2113" s="4502"/>
      <c r="K2113" s="4502"/>
      <c r="L2113" s="4502"/>
      <c r="M2113" s="4502"/>
    </row>
    <row r="2114" spans="1:13" hidden="1">
      <c r="A2114" s="4501" t="s">
        <v>8845</v>
      </c>
      <c r="B2114" s="3">
        <v>3.5554848484848498</v>
      </c>
      <c r="E2114" s="4502"/>
      <c r="F2114" s="4502"/>
      <c r="G2114" s="4502"/>
      <c r="H2114" s="4502"/>
      <c r="I2114" s="4502"/>
      <c r="J2114" s="4502"/>
      <c r="K2114" s="4502"/>
      <c r="L2114" s="4502"/>
      <c r="M2114" s="4502"/>
    </row>
    <row r="2115" spans="1:13" hidden="1">
      <c r="A2115" s="4501" t="s">
        <v>8846</v>
      </c>
      <c r="B2115" s="3">
        <v>3.5539696969697001</v>
      </c>
      <c r="E2115" s="4502"/>
      <c r="F2115" s="4502"/>
      <c r="G2115" s="4502"/>
      <c r="H2115" s="4502"/>
      <c r="I2115" s="4502"/>
      <c r="J2115" s="4502"/>
      <c r="K2115" s="4502"/>
      <c r="L2115" s="4502"/>
      <c r="M2115" s="4502"/>
    </row>
    <row r="2116" spans="1:13" hidden="1">
      <c r="A2116" s="4501" t="s">
        <v>8847</v>
      </c>
      <c r="B2116" s="3">
        <v>3.55245454545455</v>
      </c>
      <c r="E2116" s="4502"/>
      <c r="F2116" s="4502"/>
      <c r="G2116" s="4502"/>
      <c r="H2116" s="4502"/>
      <c r="I2116" s="4502"/>
      <c r="J2116" s="4502"/>
      <c r="K2116" s="4502"/>
      <c r="L2116" s="4502"/>
      <c r="M2116" s="4502"/>
    </row>
    <row r="2117" spans="1:13" hidden="1">
      <c r="A2117" s="4501" t="s">
        <v>8848</v>
      </c>
      <c r="B2117" s="3">
        <v>3.5509393939393901</v>
      </c>
      <c r="E2117" s="4502"/>
      <c r="F2117" s="4502"/>
      <c r="G2117" s="4502"/>
      <c r="H2117" s="4502"/>
      <c r="I2117" s="4502"/>
      <c r="J2117" s="4502"/>
      <c r="K2117" s="4502"/>
      <c r="L2117" s="4502"/>
      <c r="M2117" s="4502"/>
    </row>
    <row r="2118" spans="1:13" hidden="1">
      <c r="A2118" s="4501" t="s">
        <v>8849</v>
      </c>
      <c r="B2118" s="3">
        <v>3.5494242424242399</v>
      </c>
      <c r="E2118" s="4502"/>
      <c r="F2118" s="4502"/>
      <c r="G2118" s="4502"/>
      <c r="H2118" s="4502"/>
      <c r="I2118" s="4502"/>
      <c r="J2118" s="4502"/>
      <c r="K2118" s="4502"/>
      <c r="L2118" s="4502"/>
      <c r="M2118" s="4502"/>
    </row>
    <row r="2119" spans="1:13" hidden="1">
      <c r="A2119" s="4501" t="s">
        <v>8850</v>
      </c>
      <c r="B2119" s="3">
        <v>3.5479090909090898</v>
      </c>
      <c r="E2119" s="4502"/>
      <c r="F2119" s="4502"/>
      <c r="G2119" s="4502"/>
      <c r="H2119" s="4502"/>
      <c r="I2119" s="4502"/>
      <c r="J2119" s="4502"/>
      <c r="K2119" s="4502"/>
      <c r="L2119" s="4502"/>
      <c r="M2119" s="4502"/>
    </row>
    <row r="2120" spans="1:13" hidden="1">
      <c r="A2120" s="4501" t="s">
        <v>8851</v>
      </c>
      <c r="B2120" s="3">
        <v>3.5463939393939401</v>
      </c>
      <c r="E2120" s="4502"/>
      <c r="F2120" s="4502"/>
      <c r="G2120" s="4502"/>
      <c r="H2120" s="4502"/>
      <c r="I2120" s="4502"/>
      <c r="J2120" s="4502"/>
      <c r="K2120" s="4502"/>
      <c r="L2120" s="4502"/>
      <c r="M2120" s="4502"/>
    </row>
    <row r="2121" spans="1:13" hidden="1">
      <c r="A2121" s="4501" t="s">
        <v>8852</v>
      </c>
      <c r="B2121" s="3">
        <v>3.54487878787879</v>
      </c>
      <c r="E2121" s="4502"/>
      <c r="F2121" s="4502"/>
      <c r="G2121" s="4502"/>
      <c r="H2121" s="4502"/>
      <c r="I2121" s="4502"/>
      <c r="J2121" s="4502"/>
      <c r="K2121" s="4502"/>
      <c r="L2121" s="4502"/>
      <c r="M2121" s="4502"/>
    </row>
    <row r="2122" spans="1:13" hidden="1">
      <c r="A2122" s="4501" t="s">
        <v>8853</v>
      </c>
      <c r="B2122" s="3">
        <v>3.5433636363636398</v>
      </c>
      <c r="E2122" s="4502"/>
      <c r="F2122" s="4502"/>
      <c r="G2122" s="4502"/>
      <c r="H2122" s="4502"/>
      <c r="I2122" s="4502"/>
      <c r="J2122" s="4502"/>
      <c r="K2122" s="4502"/>
      <c r="L2122" s="4502"/>
      <c r="M2122" s="4502"/>
    </row>
    <row r="2123" spans="1:13" hidden="1">
      <c r="A2123" s="4501" t="s">
        <v>8854</v>
      </c>
      <c r="B2123" s="3">
        <v>3.5418484848484799</v>
      </c>
      <c r="E2123" s="4502"/>
      <c r="F2123" s="4502"/>
      <c r="G2123" s="4502"/>
      <c r="H2123" s="4502"/>
      <c r="I2123" s="4502"/>
      <c r="J2123" s="4502"/>
      <c r="K2123" s="4502"/>
      <c r="L2123" s="4502"/>
      <c r="M2123" s="4502"/>
    </row>
    <row r="2124" spans="1:13" hidden="1">
      <c r="A2124" s="4501" t="s">
        <v>8855</v>
      </c>
      <c r="B2124" s="3">
        <v>3.5403333333333298</v>
      </c>
      <c r="E2124" s="4502"/>
      <c r="F2124" s="4502"/>
      <c r="G2124" s="4502"/>
      <c r="H2124" s="4502"/>
      <c r="I2124" s="4502"/>
      <c r="J2124" s="4502"/>
      <c r="K2124" s="4502"/>
      <c r="L2124" s="4502"/>
      <c r="M2124" s="4502"/>
    </row>
    <row r="2125" spans="1:13" hidden="1">
      <c r="A2125" s="4501" t="s">
        <v>8856</v>
      </c>
      <c r="B2125" s="3">
        <v>3.5388181818181801</v>
      </c>
      <c r="E2125" s="4502"/>
      <c r="F2125" s="4502"/>
      <c r="G2125" s="4502"/>
      <c r="H2125" s="4502"/>
      <c r="I2125" s="4502"/>
      <c r="J2125" s="4502"/>
      <c r="K2125" s="4502"/>
      <c r="L2125" s="4502"/>
      <c r="M2125" s="4502"/>
    </row>
    <row r="2126" spans="1:13" hidden="1">
      <c r="A2126" s="4501" t="s">
        <v>8857</v>
      </c>
      <c r="B2126" s="3">
        <v>3.5373030303030299</v>
      </c>
      <c r="E2126" s="4502"/>
      <c r="F2126" s="4502"/>
      <c r="G2126" s="4502"/>
      <c r="H2126" s="4502"/>
      <c r="I2126" s="4502"/>
      <c r="J2126" s="4502"/>
      <c r="K2126" s="4502"/>
      <c r="L2126" s="4502"/>
      <c r="M2126" s="4502"/>
    </row>
    <row r="2127" spans="1:13" hidden="1">
      <c r="A2127" s="4501" t="s">
        <v>8858</v>
      </c>
      <c r="B2127" s="3">
        <v>3.5357878787878798</v>
      </c>
      <c r="E2127" s="4502"/>
      <c r="F2127" s="4502"/>
      <c r="G2127" s="4502"/>
      <c r="H2127" s="4502"/>
      <c r="I2127" s="4502"/>
      <c r="J2127" s="4502"/>
      <c r="K2127" s="4502"/>
      <c r="L2127" s="4502"/>
      <c r="M2127" s="4502"/>
    </row>
    <row r="2128" spans="1:13" hidden="1">
      <c r="A2128" s="4501" t="s">
        <v>8859</v>
      </c>
      <c r="B2128" s="3">
        <v>3.5342727272727301</v>
      </c>
      <c r="E2128" s="4502"/>
      <c r="F2128" s="4502"/>
      <c r="G2128" s="4502"/>
      <c r="H2128" s="4502"/>
      <c r="I2128" s="4502"/>
      <c r="J2128" s="4502"/>
      <c r="K2128" s="4502"/>
      <c r="L2128" s="4502"/>
      <c r="M2128" s="4502"/>
    </row>
    <row r="2129" spans="1:13" hidden="1">
      <c r="A2129" s="4501" t="s">
        <v>8860</v>
      </c>
      <c r="B2129" s="3">
        <v>3.53275757575758</v>
      </c>
      <c r="E2129" s="4502"/>
      <c r="F2129" s="4502"/>
      <c r="G2129" s="4502"/>
      <c r="H2129" s="4502"/>
      <c r="I2129" s="4502"/>
      <c r="J2129" s="4502"/>
      <c r="K2129" s="4502"/>
      <c r="L2129" s="4502"/>
      <c r="M2129" s="4502"/>
    </row>
    <row r="2130" spans="1:13" hidden="1">
      <c r="A2130" s="4501" t="s">
        <v>8861</v>
      </c>
      <c r="B2130" s="3">
        <v>3.5312424242424201</v>
      </c>
      <c r="E2130" s="4502"/>
      <c r="F2130" s="4502"/>
      <c r="G2130" s="4502"/>
      <c r="H2130" s="4502"/>
      <c r="I2130" s="4502"/>
      <c r="J2130" s="4502"/>
      <c r="K2130" s="4502"/>
      <c r="L2130" s="4502"/>
      <c r="M2130" s="4502"/>
    </row>
    <row r="2131" spans="1:13" hidden="1">
      <c r="A2131" s="4501" t="s">
        <v>8862</v>
      </c>
      <c r="B2131" s="3">
        <v>3.5297272727272699</v>
      </c>
      <c r="E2131" s="4502"/>
      <c r="F2131" s="4502"/>
      <c r="G2131" s="4502"/>
      <c r="H2131" s="4502"/>
      <c r="I2131" s="4502"/>
      <c r="J2131" s="4502"/>
      <c r="K2131" s="4502"/>
      <c r="L2131" s="4502"/>
      <c r="M2131" s="4502"/>
    </row>
    <row r="2132" spans="1:13" hidden="1">
      <c r="A2132" s="4501" t="s">
        <v>8863</v>
      </c>
      <c r="B2132" s="3">
        <v>3.5282121212121198</v>
      </c>
      <c r="E2132" s="4502"/>
      <c r="F2132" s="4502"/>
      <c r="G2132" s="4502"/>
      <c r="H2132" s="4502"/>
      <c r="I2132" s="4502"/>
      <c r="J2132" s="4502"/>
      <c r="K2132" s="4502"/>
      <c r="L2132" s="4502"/>
      <c r="M2132" s="4502"/>
    </row>
    <row r="2133" spans="1:13" hidden="1">
      <c r="A2133" s="4501" t="s">
        <v>8864</v>
      </c>
      <c r="B2133" s="3">
        <v>3.5266969696969701</v>
      </c>
      <c r="E2133" s="4502"/>
      <c r="F2133" s="4502"/>
      <c r="G2133" s="4502"/>
      <c r="H2133" s="4502"/>
      <c r="I2133" s="4502"/>
      <c r="J2133" s="4502"/>
      <c r="K2133" s="4502"/>
      <c r="L2133" s="4502"/>
      <c r="M2133" s="4502"/>
    </row>
    <row r="2134" spans="1:13" hidden="1">
      <c r="A2134" s="4501" t="s">
        <v>8865</v>
      </c>
      <c r="B2134" s="3">
        <v>3.52518181818182</v>
      </c>
      <c r="E2134" s="4502"/>
      <c r="F2134" s="4502"/>
      <c r="G2134" s="4502"/>
      <c r="H2134" s="4502"/>
      <c r="I2134" s="4502"/>
      <c r="J2134" s="4502"/>
      <c r="K2134" s="4502"/>
      <c r="L2134" s="4502"/>
      <c r="M2134" s="4502"/>
    </row>
    <row r="2135" spans="1:13" hidden="1">
      <c r="A2135" s="4501" t="s">
        <v>8866</v>
      </c>
      <c r="B2135" s="3">
        <v>3.5236666666666698</v>
      </c>
      <c r="E2135" s="4502"/>
      <c r="F2135" s="4502"/>
      <c r="G2135" s="4502"/>
      <c r="H2135" s="4502"/>
      <c r="I2135" s="4502"/>
      <c r="J2135" s="4502"/>
      <c r="K2135" s="4502"/>
      <c r="L2135" s="4502"/>
      <c r="M2135" s="4502"/>
    </row>
    <row r="2136" spans="1:13" hidden="1">
      <c r="A2136" s="4501" t="s">
        <v>8867</v>
      </c>
      <c r="B2136" s="3">
        <v>3.5221515151515201</v>
      </c>
      <c r="E2136" s="4502"/>
      <c r="F2136" s="4502"/>
      <c r="G2136" s="4502"/>
      <c r="H2136" s="4502"/>
      <c r="I2136" s="4502"/>
      <c r="J2136" s="4502"/>
      <c r="K2136" s="4502"/>
      <c r="L2136" s="4502"/>
      <c r="M2136" s="4502"/>
    </row>
    <row r="2137" spans="1:13" hidden="1">
      <c r="A2137" s="4501" t="s">
        <v>8868</v>
      </c>
      <c r="B2137" s="3">
        <v>3.5206363636363598</v>
      </c>
      <c r="E2137" s="4502"/>
      <c r="F2137" s="4502"/>
      <c r="G2137" s="4502"/>
      <c r="H2137" s="4502"/>
      <c r="I2137" s="4502"/>
      <c r="J2137" s="4502"/>
      <c r="K2137" s="4502"/>
      <c r="L2137" s="4502"/>
      <c r="M2137" s="4502"/>
    </row>
    <row r="2138" spans="1:13" hidden="1">
      <c r="A2138" s="4501" t="s">
        <v>8869</v>
      </c>
      <c r="B2138" s="3">
        <v>3.5191212121212101</v>
      </c>
      <c r="E2138" s="4502"/>
      <c r="F2138" s="4502"/>
      <c r="G2138" s="4502"/>
      <c r="H2138" s="4502"/>
      <c r="I2138" s="4502"/>
      <c r="J2138" s="4502"/>
      <c r="K2138" s="4502"/>
      <c r="L2138" s="4502"/>
      <c r="M2138" s="4502"/>
    </row>
    <row r="2139" spans="1:13" hidden="1">
      <c r="A2139" s="4501" t="s">
        <v>8870</v>
      </c>
      <c r="B2139" s="3">
        <v>3.51760606060606</v>
      </c>
      <c r="E2139" s="4502"/>
      <c r="F2139" s="4502"/>
      <c r="G2139" s="4502"/>
      <c r="H2139" s="4502"/>
      <c r="I2139" s="4502"/>
      <c r="J2139" s="4502"/>
      <c r="K2139" s="4502"/>
      <c r="L2139" s="4502"/>
      <c r="M2139" s="4502"/>
    </row>
    <row r="2140" spans="1:13" hidden="1">
      <c r="A2140" s="4501" t="s">
        <v>8871</v>
      </c>
      <c r="B2140" s="3">
        <v>3.5160909090909098</v>
      </c>
      <c r="E2140" s="4502"/>
      <c r="F2140" s="4502"/>
      <c r="G2140" s="4502"/>
      <c r="H2140" s="4502"/>
      <c r="I2140" s="4502"/>
      <c r="J2140" s="4502"/>
      <c r="K2140" s="4502"/>
      <c r="L2140" s="4502"/>
      <c r="M2140" s="4502"/>
    </row>
    <row r="2141" spans="1:13" hidden="1">
      <c r="A2141" s="4501" t="s">
        <v>8872</v>
      </c>
      <c r="B2141" s="3">
        <v>3.5145757575757601</v>
      </c>
      <c r="E2141" s="4502"/>
      <c r="F2141" s="4502"/>
      <c r="G2141" s="4502"/>
      <c r="H2141" s="4502"/>
      <c r="I2141" s="4502"/>
      <c r="J2141" s="4502"/>
      <c r="K2141" s="4502"/>
      <c r="L2141" s="4502"/>
      <c r="M2141" s="4502"/>
    </row>
    <row r="2142" spans="1:13" hidden="1">
      <c r="A2142" s="4501" t="s">
        <v>8873</v>
      </c>
      <c r="B2142" s="3">
        <v>3.51306060606061</v>
      </c>
      <c r="E2142" s="4502"/>
      <c r="F2142" s="4502"/>
      <c r="G2142" s="4502"/>
      <c r="H2142" s="4502"/>
      <c r="I2142" s="4502"/>
      <c r="J2142" s="4502"/>
      <c r="K2142" s="4502"/>
      <c r="L2142" s="4502"/>
      <c r="M2142" s="4502"/>
    </row>
    <row r="2143" spans="1:13" hidden="1">
      <c r="A2143" s="4501" t="s">
        <v>8874</v>
      </c>
      <c r="B2143" s="3">
        <v>3.5115454545454501</v>
      </c>
      <c r="E2143" s="4502"/>
      <c r="F2143" s="4502"/>
      <c r="G2143" s="4502"/>
      <c r="H2143" s="4502"/>
      <c r="I2143" s="4502"/>
      <c r="J2143" s="4502"/>
      <c r="K2143" s="4502"/>
      <c r="L2143" s="4502"/>
      <c r="M2143" s="4502"/>
    </row>
    <row r="2144" spans="1:13" hidden="1">
      <c r="A2144" s="4501" t="s">
        <v>8875</v>
      </c>
      <c r="B2144" s="3">
        <v>3.5100303030302999</v>
      </c>
      <c r="E2144" s="4502"/>
      <c r="F2144" s="4502"/>
      <c r="G2144" s="4502"/>
      <c r="H2144" s="4502"/>
      <c r="I2144" s="4502"/>
      <c r="J2144" s="4502"/>
      <c r="K2144" s="4502"/>
      <c r="L2144" s="4502"/>
      <c r="M2144" s="4502"/>
    </row>
    <row r="2145" spans="1:13" hidden="1">
      <c r="A2145" s="4501" t="s">
        <v>8876</v>
      </c>
      <c r="B2145" s="3">
        <v>3.5085151515151498</v>
      </c>
      <c r="E2145" s="4502"/>
      <c r="F2145" s="4502"/>
      <c r="G2145" s="4502"/>
      <c r="H2145" s="4502"/>
      <c r="I2145" s="4502"/>
      <c r="J2145" s="4502"/>
      <c r="K2145" s="4502"/>
      <c r="L2145" s="4502"/>
      <c r="M2145" s="4502"/>
    </row>
    <row r="2146" spans="1:13" hidden="1">
      <c r="A2146" s="4501" t="s">
        <v>8877</v>
      </c>
      <c r="B2146" s="3">
        <v>3.5070000000000001</v>
      </c>
      <c r="E2146" s="4502"/>
      <c r="F2146" s="4502"/>
      <c r="G2146" s="4502"/>
      <c r="H2146" s="4502"/>
      <c r="I2146" s="4502"/>
      <c r="J2146" s="4502"/>
      <c r="K2146" s="4502"/>
      <c r="L2146" s="4502"/>
      <c r="M2146" s="4502"/>
    </row>
    <row r="2147" spans="1:13" hidden="1">
      <c r="A2147" s="4501" t="s">
        <v>8878</v>
      </c>
      <c r="B2147" s="3">
        <v>3.50762068965517</v>
      </c>
      <c r="E2147" s="4502"/>
      <c r="F2147" s="4502"/>
      <c r="G2147" s="4502"/>
      <c r="H2147" s="4502"/>
      <c r="I2147" s="4502"/>
      <c r="J2147" s="4502"/>
      <c r="K2147" s="4502"/>
      <c r="L2147" s="4502"/>
      <c r="M2147" s="4502"/>
    </row>
    <row r="2148" spans="1:13" hidden="1">
      <c r="A2148" s="4501" t="s">
        <v>8879</v>
      </c>
      <c r="B2148" s="3">
        <v>3.50824137931034</v>
      </c>
      <c r="E2148" s="4502"/>
      <c r="F2148" s="4502"/>
      <c r="G2148" s="4502"/>
      <c r="H2148" s="4502"/>
      <c r="I2148" s="4502"/>
      <c r="J2148" s="4502"/>
      <c r="K2148" s="4502"/>
      <c r="L2148" s="4502"/>
      <c r="M2148" s="4502"/>
    </row>
    <row r="2149" spans="1:13" hidden="1">
      <c r="A2149" s="4501" t="s">
        <v>8880</v>
      </c>
      <c r="B2149" s="3">
        <v>3.5088620689655201</v>
      </c>
      <c r="E2149" s="4502"/>
      <c r="F2149" s="4502"/>
      <c r="G2149" s="4502"/>
      <c r="H2149" s="4502"/>
      <c r="I2149" s="4502"/>
      <c r="J2149" s="4502"/>
      <c r="K2149" s="4502"/>
      <c r="L2149" s="4502"/>
      <c r="M2149" s="4502"/>
    </row>
    <row r="2150" spans="1:13" hidden="1">
      <c r="A2150" s="4501" t="s">
        <v>8881</v>
      </c>
      <c r="B2150" s="3">
        <v>3.50948275862069</v>
      </c>
      <c r="E2150" s="4502"/>
      <c r="F2150" s="4502"/>
      <c r="G2150" s="4502"/>
      <c r="H2150" s="4502"/>
      <c r="I2150" s="4502"/>
      <c r="J2150" s="4502"/>
      <c r="K2150" s="4502"/>
      <c r="L2150" s="4502"/>
      <c r="M2150" s="4502"/>
    </row>
    <row r="2151" spans="1:13" hidden="1">
      <c r="A2151" s="4501" t="s">
        <v>8882</v>
      </c>
      <c r="B2151" s="3">
        <v>3.51010344827586</v>
      </c>
      <c r="E2151" s="4502"/>
      <c r="F2151" s="4502"/>
      <c r="G2151" s="4502"/>
      <c r="H2151" s="4502"/>
      <c r="I2151" s="4502"/>
      <c r="J2151" s="4502"/>
      <c r="K2151" s="4502"/>
      <c r="L2151" s="4502"/>
      <c r="M2151" s="4502"/>
    </row>
    <row r="2152" spans="1:13" hidden="1">
      <c r="A2152" s="4501" t="s">
        <v>8883</v>
      </c>
      <c r="B2152" s="3">
        <v>3.5107241379310299</v>
      </c>
      <c r="E2152" s="4502"/>
      <c r="F2152" s="4502"/>
      <c r="G2152" s="4502"/>
      <c r="H2152" s="4502"/>
      <c r="I2152" s="4502"/>
      <c r="J2152" s="4502"/>
      <c r="K2152" s="4502"/>
      <c r="L2152" s="4502"/>
      <c r="M2152" s="4502"/>
    </row>
    <row r="2153" spans="1:13" hidden="1">
      <c r="A2153" s="4501" t="s">
        <v>8884</v>
      </c>
      <c r="B2153" s="3">
        <v>3.51134482758621</v>
      </c>
      <c r="E2153" s="4502"/>
      <c r="F2153" s="4502"/>
      <c r="G2153" s="4502"/>
      <c r="H2153" s="4502"/>
      <c r="I2153" s="4502"/>
      <c r="J2153" s="4502"/>
      <c r="K2153" s="4502"/>
      <c r="L2153" s="4502"/>
      <c r="M2153" s="4502"/>
    </row>
    <row r="2154" spans="1:13" hidden="1">
      <c r="A2154" s="4501" t="s">
        <v>8885</v>
      </c>
      <c r="B2154" s="3">
        <v>3.51196551724138</v>
      </c>
      <c r="E2154" s="4502"/>
      <c r="F2154" s="4502"/>
      <c r="G2154" s="4502"/>
      <c r="H2154" s="4502"/>
      <c r="I2154" s="4502"/>
      <c r="J2154" s="4502"/>
      <c r="K2154" s="4502"/>
      <c r="L2154" s="4502"/>
      <c r="M2154" s="4502"/>
    </row>
    <row r="2155" spans="1:13" hidden="1">
      <c r="A2155" s="4501" t="s">
        <v>8886</v>
      </c>
      <c r="B2155" s="3">
        <v>3.5125862068965499</v>
      </c>
      <c r="E2155" s="4502"/>
      <c r="F2155" s="4502"/>
      <c r="G2155" s="4502"/>
      <c r="H2155" s="4502"/>
      <c r="I2155" s="4502"/>
      <c r="J2155" s="4502"/>
      <c r="K2155" s="4502"/>
      <c r="L2155" s="4502"/>
      <c r="M2155" s="4502"/>
    </row>
    <row r="2156" spans="1:13" hidden="1">
      <c r="A2156" s="4501" t="s">
        <v>8887</v>
      </c>
      <c r="B2156" s="3">
        <v>3.5132068965517198</v>
      </c>
      <c r="E2156" s="4502"/>
      <c r="F2156" s="4502"/>
      <c r="G2156" s="4502"/>
      <c r="H2156" s="4502"/>
      <c r="I2156" s="4502"/>
      <c r="J2156" s="4502"/>
      <c r="K2156" s="4502"/>
      <c r="L2156" s="4502"/>
      <c r="M2156" s="4502"/>
    </row>
    <row r="2157" spans="1:13" hidden="1">
      <c r="A2157" s="4501" t="s">
        <v>8888</v>
      </c>
      <c r="B2157" s="3">
        <v>3.5138275862068999</v>
      </c>
      <c r="E2157" s="4502"/>
      <c r="F2157" s="4502"/>
      <c r="G2157" s="4502"/>
      <c r="H2157" s="4502"/>
      <c r="I2157" s="4502"/>
      <c r="J2157" s="4502"/>
      <c r="K2157" s="4502"/>
      <c r="L2157" s="4502"/>
      <c r="M2157" s="4502"/>
    </row>
    <row r="2158" spans="1:13" hidden="1">
      <c r="A2158" s="4501" t="s">
        <v>8889</v>
      </c>
      <c r="B2158" s="3">
        <v>3.5144482758620699</v>
      </c>
      <c r="E2158" s="4502"/>
      <c r="F2158" s="4502"/>
      <c r="G2158" s="4502"/>
      <c r="H2158" s="4502"/>
      <c r="I2158" s="4502"/>
      <c r="J2158" s="4502"/>
      <c r="K2158" s="4502"/>
      <c r="L2158" s="4502"/>
      <c r="M2158" s="4502"/>
    </row>
    <row r="2159" spans="1:13" hidden="1">
      <c r="A2159" s="4501" t="s">
        <v>8890</v>
      </c>
      <c r="B2159" s="3">
        <v>3.5150689655172398</v>
      </c>
      <c r="E2159" s="4502"/>
      <c r="F2159" s="4502"/>
      <c r="G2159" s="4502"/>
      <c r="H2159" s="4502"/>
      <c r="I2159" s="4502"/>
      <c r="J2159" s="4502"/>
      <c r="K2159" s="4502"/>
      <c r="L2159" s="4502"/>
      <c r="M2159" s="4502"/>
    </row>
    <row r="2160" spans="1:13" hidden="1">
      <c r="A2160" s="4501" t="s">
        <v>8891</v>
      </c>
      <c r="B2160" s="3">
        <v>3.5156896551724102</v>
      </c>
      <c r="E2160" s="4502"/>
      <c r="F2160" s="4502"/>
      <c r="G2160" s="4502"/>
      <c r="H2160" s="4502"/>
      <c r="I2160" s="4502"/>
      <c r="J2160" s="4502"/>
      <c r="K2160" s="4502"/>
      <c r="L2160" s="4502"/>
      <c r="M2160" s="4502"/>
    </row>
    <row r="2161" spans="1:13" hidden="1">
      <c r="A2161" s="4501" t="s">
        <v>8892</v>
      </c>
      <c r="B2161" s="3">
        <v>3.5163103448275899</v>
      </c>
      <c r="E2161" s="4502"/>
      <c r="F2161" s="4502"/>
      <c r="G2161" s="4502"/>
      <c r="H2161" s="4502"/>
      <c r="I2161" s="4502"/>
      <c r="J2161" s="4502"/>
      <c r="K2161" s="4502"/>
      <c r="L2161" s="4502"/>
      <c r="M2161" s="4502"/>
    </row>
    <row r="2162" spans="1:13" hidden="1">
      <c r="A2162" s="4501" t="s">
        <v>8893</v>
      </c>
      <c r="B2162" s="3">
        <v>3.5169310344827598</v>
      </c>
      <c r="E2162" s="4502"/>
      <c r="F2162" s="4502"/>
      <c r="G2162" s="4502"/>
      <c r="H2162" s="4502"/>
      <c r="I2162" s="4502"/>
      <c r="J2162" s="4502"/>
      <c r="K2162" s="4502"/>
      <c r="L2162" s="4502"/>
      <c r="M2162" s="4502"/>
    </row>
    <row r="2163" spans="1:13" hidden="1">
      <c r="A2163" s="4501" t="s">
        <v>8894</v>
      </c>
      <c r="B2163" s="3">
        <v>3.5175517241379302</v>
      </c>
      <c r="E2163" s="4502"/>
      <c r="F2163" s="4502"/>
      <c r="G2163" s="4502"/>
      <c r="H2163" s="4502"/>
      <c r="I2163" s="4502"/>
      <c r="J2163" s="4502"/>
      <c r="K2163" s="4502"/>
      <c r="L2163" s="4502"/>
      <c r="M2163" s="4502"/>
    </row>
    <row r="2164" spans="1:13" hidden="1">
      <c r="A2164" s="4501" t="s">
        <v>8895</v>
      </c>
      <c r="B2164" s="3">
        <v>3.5181724137931001</v>
      </c>
      <c r="E2164" s="4502"/>
      <c r="F2164" s="4502"/>
      <c r="G2164" s="4502"/>
      <c r="H2164" s="4502"/>
      <c r="I2164" s="4502"/>
      <c r="J2164" s="4502"/>
      <c r="K2164" s="4502"/>
      <c r="L2164" s="4502"/>
      <c r="M2164" s="4502"/>
    </row>
    <row r="2165" spans="1:13" hidden="1">
      <c r="A2165" s="4501" t="s">
        <v>8896</v>
      </c>
      <c r="B2165" s="3">
        <v>3.5187931034482798</v>
      </c>
      <c r="E2165" s="4502"/>
      <c r="F2165" s="4502"/>
      <c r="G2165" s="4502"/>
      <c r="H2165" s="4502"/>
      <c r="I2165" s="4502"/>
      <c r="J2165" s="4502"/>
      <c r="K2165" s="4502"/>
      <c r="L2165" s="4502"/>
      <c r="M2165" s="4502"/>
    </row>
    <row r="2166" spans="1:13" hidden="1">
      <c r="A2166" s="4501" t="s">
        <v>8897</v>
      </c>
      <c r="B2166" s="3">
        <v>3.5194137931034501</v>
      </c>
      <c r="E2166" s="4502"/>
      <c r="F2166" s="4502"/>
      <c r="G2166" s="4502"/>
      <c r="H2166" s="4502"/>
      <c r="I2166" s="4502"/>
      <c r="J2166" s="4502"/>
      <c r="K2166" s="4502"/>
      <c r="L2166" s="4502"/>
      <c r="M2166" s="4502"/>
    </row>
    <row r="2167" spans="1:13" hidden="1">
      <c r="A2167" s="4501" t="s">
        <v>8898</v>
      </c>
      <c r="B2167" s="3">
        <v>3.5200344827586201</v>
      </c>
      <c r="E2167" s="4502"/>
      <c r="F2167" s="4502"/>
      <c r="G2167" s="4502"/>
      <c r="H2167" s="4502"/>
      <c r="I2167" s="4502"/>
      <c r="J2167" s="4502"/>
      <c r="K2167" s="4502"/>
      <c r="L2167" s="4502"/>
      <c r="M2167" s="4502"/>
    </row>
    <row r="2168" spans="1:13" hidden="1">
      <c r="A2168" s="4501" t="s">
        <v>8899</v>
      </c>
      <c r="B2168" s="3">
        <v>3.52065517241379</v>
      </c>
      <c r="E2168" s="4502"/>
      <c r="F2168" s="4502"/>
      <c r="G2168" s="4502"/>
      <c r="H2168" s="4502"/>
      <c r="I2168" s="4502"/>
      <c r="J2168" s="4502"/>
      <c r="K2168" s="4502"/>
      <c r="L2168" s="4502"/>
      <c r="M2168" s="4502"/>
    </row>
    <row r="2169" spans="1:13" hidden="1">
      <c r="A2169" s="4501" t="s">
        <v>8900</v>
      </c>
      <c r="B2169" s="3">
        <v>3.5212758620689701</v>
      </c>
      <c r="E2169" s="4502"/>
      <c r="F2169" s="4502"/>
      <c r="G2169" s="4502"/>
      <c r="H2169" s="4502"/>
      <c r="I2169" s="4502"/>
      <c r="J2169" s="4502"/>
      <c r="K2169" s="4502"/>
      <c r="L2169" s="4502"/>
      <c r="M2169" s="4502"/>
    </row>
    <row r="2170" spans="1:13" hidden="1">
      <c r="A2170" s="4501" t="s">
        <v>8901</v>
      </c>
      <c r="B2170" s="3">
        <v>3.5218965517241401</v>
      </c>
      <c r="E2170" s="4502"/>
      <c r="F2170" s="4502"/>
      <c r="G2170" s="4502"/>
      <c r="H2170" s="4502"/>
      <c r="I2170" s="4502"/>
      <c r="J2170" s="4502"/>
      <c r="K2170" s="4502"/>
      <c r="L2170" s="4502"/>
      <c r="M2170" s="4502"/>
    </row>
    <row r="2171" spans="1:13" hidden="1">
      <c r="A2171" s="4501" t="s">
        <v>8902</v>
      </c>
      <c r="B2171" s="3">
        <v>3.52251724137931</v>
      </c>
      <c r="E2171" s="4502"/>
      <c r="F2171" s="4502"/>
      <c r="G2171" s="4502"/>
      <c r="H2171" s="4502"/>
      <c r="I2171" s="4502"/>
      <c r="J2171" s="4502"/>
      <c r="K2171" s="4502"/>
      <c r="L2171" s="4502"/>
      <c r="M2171" s="4502"/>
    </row>
    <row r="2172" spans="1:13" hidden="1">
      <c r="A2172" s="4501" t="s">
        <v>8903</v>
      </c>
      <c r="B2172" s="3">
        <v>3.5231379310344799</v>
      </c>
      <c r="E2172" s="4502"/>
      <c r="F2172" s="4502"/>
      <c r="G2172" s="4502"/>
      <c r="H2172" s="4502"/>
      <c r="I2172" s="4502"/>
      <c r="J2172" s="4502"/>
      <c r="K2172" s="4502"/>
      <c r="L2172" s="4502"/>
      <c r="M2172" s="4502"/>
    </row>
    <row r="2173" spans="1:13" hidden="1">
      <c r="A2173" s="4501" t="s">
        <v>8904</v>
      </c>
      <c r="B2173" s="3">
        <v>3.5237586206896601</v>
      </c>
      <c r="E2173" s="4502"/>
      <c r="F2173" s="4502"/>
      <c r="G2173" s="4502"/>
      <c r="H2173" s="4502"/>
      <c r="I2173" s="4502"/>
      <c r="J2173" s="4502"/>
      <c r="K2173" s="4502"/>
      <c r="L2173" s="4502"/>
      <c r="M2173" s="4502"/>
    </row>
    <row r="2174" spans="1:13" hidden="1">
      <c r="A2174" s="4501" t="s">
        <v>8905</v>
      </c>
      <c r="B2174" s="3">
        <v>3.52437931034483</v>
      </c>
      <c r="E2174" s="4502"/>
      <c r="F2174" s="4502"/>
      <c r="G2174" s="4502"/>
      <c r="H2174" s="4502"/>
      <c r="I2174" s="4502"/>
      <c r="J2174" s="4502"/>
      <c r="K2174" s="4502"/>
      <c r="L2174" s="4502"/>
      <c r="M2174" s="4502"/>
    </row>
    <row r="2175" spans="1:13" hidden="1">
      <c r="A2175" s="4501" t="s">
        <v>8906</v>
      </c>
      <c r="B2175" s="3">
        <v>3.5249999999999999</v>
      </c>
      <c r="E2175" s="4502"/>
      <c r="F2175" s="4502"/>
      <c r="G2175" s="4502"/>
      <c r="H2175" s="4502"/>
      <c r="I2175" s="4502"/>
      <c r="J2175" s="4502"/>
      <c r="K2175" s="4502"/>
      <c r="L2175" s="4502"/>
      <c r="M2175" s="4502"/>
    </row>
    <row r="2176" spans="1:13" hidden="1">
      <c r="A2176" s="4501" t="s">
        <v>8907</v>
      </c>
      <c r="B2176" s="3">
        <v>3.5268620689655199</v>
      </c>
      <c r="E2176" s="4502"/>
      <c r="F2176" s="4502"/>
      <c r="G2176" s="4502"/>
      <c r="H2176" s="4502"/>
      <c r="I2176" s="4502"/>
      <c r="J2176" s="4502"/>
      <c r="K2176" s="4502"/>
      <c r="L2176" s="4502"/>
      <c r="M2176" s="4502"/>
    </row>
    <row r="2177" spans="1:13" hidden="1">
      <c r="A2177" s="4501" t="s">
        <v>8908</v>
      </c>
      <c r="B2177" s="3">
        <v>3.5287241379310301</v>
      </c>
      <c r="E2177" s="4502"/>
      <c r="F2177" s="4502"/>
      <c r="G2177" s="4502"/>
      <c r="H2177" s="4502"/>
      <c r="I2177" s="4502"/>
      <c r="J2177" s="4502"/>
      <c r="K2177" s="4502"/>
      <c r="L2177" s="4502"/>
      <c r="M2177" s="4502"/>
    </row>
    <row r="2178" spans="1:13" hidden="1">
      <c r="A2178" s="4501" t="s">
        <v>8909</v>
      </c>
      <c r="B2178" s="3">
        <v>3.5305862068965501</v>
      </c>
      <c r="E2178" s="4502"/>
      <c r="F2178" s="4502"/>
      <c r="G2178" s="4502"/>
      <c r="H2178" s="4502"/>
      <c r="I2178" s="4502"/>
      <c r="J2178" s="4502"/>
      <c r="K2178" s="4502"/>
      <c r="L2178" s="4502"/>
      <c r="M2178" s="4502"/>
    </row>
    <row r="2179" spans="1:13" hidden="1">
      <c r="A2179" s="4501" t="s">
        <v>8910</v>
      </c>
      <c r="B2179" s="3">
        <v>3.5324482758620701</v>
      </c>
      <c r="E2179" s="4502"/>
      <c r="F2179" s="4502"/>
      <c r="G2179" s="4502"/>
      <c r="H2179" s="4502"/>
      <c r="I2179" s="4502"/>
      <c r="J2179" s="4502"/>
      <c r="K2179" s="4502"/>
      <c r="L2179" s="4502"/>
      <c r="M2179" s="4502"/>
    </row>
    <row r="2180" spans="1:13" hidden="1">
      <c r="A2180" s="4501" t="s">
        <v>8911</v>
      </c>
      <c r="B2180" s="3">
        <v>3.5343103448275901</v>
      </c>
      <c r="E2180" s="4502"/>
      <c r="F2180" s="4502"/>
      <c r="G2180" s="4502"/>
      <c r="H2180" s="4502"/>
      <c r="I2180" s="4502"/>
      <c r="J2180" s="4502"/>
      <c r="K2180" s="4502"/>
      <c r="L2180" s="4502"/>
      <c r="M2180" s="4502"/>
    </row>
    <row r="2181" spans="1:13" hidden="1">
      <c r="A2181" s="4501" t="s">
        <v>8912</v>
      </c>
      <c r="B2181" s="3">
        <v>3.5361724137930999</v>
      </c>
      <c r="E2181" s="4502"/>
      <c r="F2181" s="4502"/>
      <c r="G2181" s="4502"/>
      <c r="H2181" s="4502"/>
      <c r="I2181" s="4502"/>
      <c r="J2181" s="4502"/>
      <c r="K2181" s="4502"/>
      <c r="L2181" s="4502"/>
      <c r="M2181" s="4502"/>
    </row>
    <row r="2182" spans="1:13" hidden="1">
      <c r="A2182" s="4501" t="s">
        <v>8913</v>
      </c>
      <c r="B2182" s="3">
        <v>3.5380344827586199</v>
      </c>
      <c r="E2182" s="4502"/>
      <c r="F2182" s="4502"/>
      <c r="G2182" s="4502"/>
      <c r="H2182" s="4502"/>
      <c r="I2182" s="4502"/>
      <c r="J2182" s="4502"/>
      <c r="K2182" s="4502"/>
      <c r="L2182" s="4502"/>
      <c r="M2182" s="4502"/>
    </row>
    <row r="2183" spans="1:13" hidden="1">
      <c r="A2183" s="4501" t="s">
        <v>8914</v>
      </c>
      <c r="B2183" s="3">
        <v>3.5398965517241399</v>
      </c>
      <c r="E2183" s="4502"/>
      <c r="F2183" s="4502"/>
      <c r="G2183" s="4502"/>
      <c r="H2183" s="4502"/>
      <c r="I2183" s="4502"/>
      <c r="J2183" s="4502"/>
      <c r="K2183" s="4502"/>
      <c r="L2183" s="4502"/>
      <c r="M2183" s="4502"/>
    </row>
    <row r="2184" spans="1:13" hidden="1">
      <c r="A2184" s="4501" t="s">
        <v>8915</v>
      </c>
      <c r="B2184" s="3">
        <v>3.5417586206896599</v>
      </c>
      <c r="E2184" s="4502"/>
      <c r="F2184" s="4502"/>
      <c r="G2184" s="4502"/>
      <c r="H2184" s="4502"/>
      <c r="I2184" s="4502"/>
      <c r="J2184" s="4502"/>
      <c r="K2184" s="4502"/>
      <c r="L2184" s="4502"/>
      <c r="M2184" s="4502"/>
    </row>
    <row r="2185" spans="1:13" hidden="1">
      <c r="A2185" s="4501" t="s">
        <v>8916</v>
      </c>
      <c r="B2185" s="3">
        <v>3.5436206896551701</v>
      </c>
      <c r="E2185" s="4502"/>
      <c r="F2185" s="4502"/>
      <c r="G2185" s="4502"/>
      <c r="H2185" s="4502"/>
      <c r="I2185" s="4502"/>
      <c r="J2185" s="4502"/>
      <c r="K2185" s="4502"/>
      <c r="L2185" s="4502"/>
      <c r="M2185" s="4502"/>
    </row>
    <row r="2186" spans="1:13" hidden="1">
      <c r="A2186" s="4501" t="s">
        <v>8917</v>
      </c>
      <c r="B2186" s="3">
        <v>3.5454827586206901</v>
      </c>
      <c r="E2186" s="4502"/>
      <c r="F2186" s="4502"/>
      <c r="G2186" s="4502"/>
      <c r="H2186" s="4502"/>
      <c r="I2186" s="4502"/>
      <c r="J2186" s="4502"/>
      <c r="K2186" s="4502"/>
      <c r="L2186" s="4502"/>
      <c r="M2186" s="4502"/>
    </row>
    <row r="2187" spans="1:13" hidden="1">
      <c r="A2187" s="4501" t="s">
        <v>8918</v>
      </c>
      <c r="B2187" s="3">
        <v>3.5473448275862101</v>
      </c>
      <c r="E2187" s="4502"/>
      <c r="F2187" s="4502"/>
      <c r="G2187" s="4502"/>
      <c r="H2187" s="4502"/>
      <c r="I2187" s="4502"/>
      <c r="J2187" s="4502"/>
      <c r="K2187" s="4502"/>
      <c r="L2187" s="4502"/>
      <c r="M2187" s="4502"/>
    </row>
    <row r="2188" spans="1:13" hidden="1">
      <c r="A2188" s="4501" t="s">
        <v>8919</v>
      </c>
      <c r="B2188" s="3">
        <v>3.5492068965517198</v>
      </c>
      <c r="E2188" s="4502"/>
      <c r="F2188" s="4502"/>
      <c r="G2188" s="4502"/>
      <c r="H2188" s="4502"/>
      <c r="I2188" s="4502"/>
      <c r="J2188" s="4502"/>
      <c r="K2188" s="4502"/>
      <c r="L2188" s="4502"/>
      <c r="M2188" s="4502"/>
    </row>
    <row r="2189" spans="1:13" hidden="1">
      <c r="A2189" s="4501" t="s">
        <v>8920</v>
      </c>
      <c r="B2189" s="3">
        <v>3.5510689655172398</v>
      </c>
      <c r="E2189" s="4502"/>
      <c r="F2189" s="4502"/>
      <c r="G2189" s="4502"/>
      <c r="H2189" s="4502"/>
      <c r="I2189" s="4502"/>
      <c r="J2189" s="4502"/>
      <c r="K2189" s="4502"/>
      <c r="L2189" s="4502"/>
      <c r="M2189" s="4502"/>
    </row>
    <row r="2190" spans="1:13" hidden="1">
      <c r="A2190" s="4501" t="s">
        <v>8921</v>
      </c>
      <c r="B2190" s="3">
        <v>3.5529310344827598</v>
      </c>
      <c r="E2190" s="4502"/>
      <c r="F2190" s="4502"/>
      <c r="G2190" s="4502"/>
      <c r="H2190" s="4502"/>
      <c r="I2190" s="4502"/>
      <c r="J2190" s="4502"/>
      <c r="K2190" s="4502"/>
      <c r="L2190" s="4502"/>
      <c r="M2190" s="4502"/>
    </row>
    <row r="2191" spans="1:13" hidden="1">
      <c r="A2191" s="4501" t="s">
        <v>8922</v>
      </c>
      <c r="B2191" s="3">
        <v>3.5547931034482798</v>
      </c>
      <c r="E2191" s="4502"/>
      <c r="F2191" s="4502"/>
      <c r="G2191" s="4502"/>
      <c r="H2191" s="4502"/>
      <c r="I2191" s="4502"/>
      <c r="J2191" s="4502"/>
      <c r="K2191" s="4502"/>
      <c r="L2191" s="4502"/>
      <c r="M2191" s="4502"/>
    </row>
    <row r="2192" spans="1:13" hidden="1">
      <c r="A2192" s="4501" t="s">
        <v>8923</v>
      </c>
      <c r="B2192" s="3">
        <v>3.55665517241379</v>
      </c>
      <c r="E2192" s="4502"/>
      <c r="F2192" s="4502"/>
      <c r="G2192" s="4502"/>
      <c r="H2192" s="4502"/>
      <c r="I2192" s="4502"/>
      <c r="J2192" s="4502"/>
      <c r="K2192" s="4502"/>
      <c r="L2192" s="4502"/>
      <c r="M2192" s="4502"/>
    </row>
    <row r="2193" spans="1:13" hidden="1">
      <c r="A2193" s="4501" t="s">
        <v>8924</v>
      </c>
      <c r="B2193" s="3">
        <v>3.55851724137931</v>
      </c>
      <c r="E2193" s="4502"/>
      <c r="F2193" s="4502"/>
      <c r="G2193" s="4502"/>
      <c r="H2193" s="4502"/>
      <c r="I2193" s="4502"/>
      <c r="J2193" s="4502"/>
      <c r="K2193" s="4502"/>
      <c r="L2193" s="4502"/>
      <c r="M2193" s="4502"/>
    </row>
    <row r="2194" spans="1:13" hidden="1">
      <c r="A2194" s="4501" t="s">
        <v>8925</v>
      </c>
      <c r="B2194" s="3">
        <v>3.56037931034483</v>
      </c>
      <c r="E2194" s="4502"/>
      <c r="F2194" s="4502"/>
      <c r="G2194" s="4502"/>
      <c r="H2194" s="4502"/>
      <c r="I2194" s="4502"/>
      <c r="J2194" s="4502"/>
      <c r="K2194" s="4502"/>
      <c r="L2194" s="4502"/>
      <c r="M2194" s="4502"/>
    </row>
    <row r="2195" spans="1:13" hidden="1">
      <c r="A2195" s="4501" t="s">
        <v>8926</v>
      </c>
      <c r="B2195" s="3">
        <v>3.56224137931035</v>
      </c>
      <c r="E2195" s="4502"/>
      <c r="F2195" s="4502"/>
      <c r="G2195" s="4502"/>
      <c r="H2195" s="4502"/>
      <c r="I2195" s="4502"/>
      <c r="J2195" s="4502"/>
      <c r="K2195" s="4502"/>
      <c r="L2195" s="4502"/>
      <c r="M2195" s="4502"/>
    </row>
    <row r="2196" spans="1:13" hidden="1">
      <c r="A2196" s="4501" t="s">
        <v>8927</v>
      </c>
      <c r="B2196" s="3">
        <v>3.5641034482758598</v>
      </c>
      <c r="E2196" s="4502"/>
      <c r="F2196" s="4502"/>
      <c r="G2196" s="4502"/>
      <c r="H2196" s="4502"/>
      <c r="I2196" s="4502"/>
      <c r="J2196" s="4502"/>
      <c r="K2196" s="4502"/>
      <c r="L2196" s="4502"/>
      <c r="M2196" s="4502"/>
    </row>
    <row r="2197" spans="1:13" hidden="1">
      <c r="A2197" s="4501" t="s">
        <v>8928</v>
      </c>
      <c r="B2197" s="3">
        <v>3.5659655172413798</v>
      </c>
      <c r="E2197" s="4502"/>
      <c r="F2197" s="4502"/>
      <c r="G2197" s="4502"/>
      <c r="H2197" s="4502"/>
      <c r="I2197" s="4502"/>
      <c r="J2197" s="4502"/>
      <c r="K2197" s="4502"/>
      <c r="L2197" s="4502"/>
      <c r="M2197" s="4502"/>
    </row>
    <row r="2198" spans="1:13" hidden="1">
      <c r="A2198" s="4501" t="s">
        <v>8929</v>
      </c>
      <c r="B2198" s="3">
        <v>3.5678275862069002</v>
      </c>
      <c r="E2198" s="4502"/>
      <c r="F2198" s="4502"/>
      <c r="G2198" s="4502"/>
      <c r="H2198" s="4502"/>
      <c r="I2198" s="4502"/>
      <c r="J2198" s="4502"/>
      <c r="K2198" s="4502"/>
      <c r="L2198" s="4502"/>
      <c r="M2198" s="4502"/>
    </row>
    <row r="2199" spans="1:13" hidden="1">
      <c r="A2199" s="4501" t="s">
        <v>8930</v>
      </c>
      <c r="B2199" s="3">
        <v>3.56968965517241</v>
      </c>
      <c r="E2199" s="4502"/>
      <c r="F2199" s="4502"/>
      <c r="G2199" s="4502"/>
      <c r="H2199" s="4502"/>
      <c r="I2199" s="4502"/>
      <c r="J2199" s="4502"/>
      <c r="K2199" s="4502"/>
      <c r="L2199" s="4502"/>
      <c r="M2199" s="4502"/>
    </row>
    <row r="2200" spans="1:13" hidden="1">
      <c r="A2200" s="4501" t="s">
        <v>8931</v>
      </c>
      <c r="B2200" s="3">
        <v>3.57155172413793</v>
      </c>
      <c r="E2200" s="4502"/>
      <c r="F2200" s="4502"/>
      <c r="G2200" s="4502"/>
      <c r="H2200" s="4502"/>
      <c r="I2200" s="4502"/>
      <c r="J2200" s="4502"/>
      <c r="K2200" s="4502"/>
      <c r="L2200" s="4502"/>
      <c r="M2200" s="4502"/>
    </row>
    <row r="2201" spans="1:13" hidden="1">
      <c r="A2201" s="4501" t="s">
        <v>8932</v>
      </c>
      <c r="B2201" s="3">
        <v>3.57341379310345</v>
      </c>
      <c r="E2201" s="4502"/>
      <c r="F2201" s="4502"/>
      <c r="G2201" s="4502"/>
      <c r="H2201" s="4502"/>
      <c r="I2201" s="4502"/>
      <c r="J2201" s="4502"/>
      <c r="K2201" s="4502"/>
      <c r="L2201" s="4502"/>
      <c r="M2201" s="4502"/>
    </row>
    <row r="2202" spans="1:13" hidden="1">
      <c r="A2202" s="4501" t="s">
        <v>8933</v>
      </c>
      <c r="B2202" s="3">
        <v>3.57527586206897</v>
      </c>
      <c r="E2202" s="4502"/>
      <c r="F2202" s="4502"/>
      <c r="G2202" s="4502"/>
      <c r="H2202" s="4502"/>
      <c r="I2202" s="4502"/>
      <c r="J2202" s="4502"/>
      <c r="K2202" s="4502"/>
      <c r="L2202" s="4502"/>
      <c r="M2202" s="4502"/>
    </row>
    <row r="2203" spans="1:13" hidden="1">
      <c r="A2203" s="4501" t="s">
        <v>8934</v>
      </c>
      <c r="B2203" s="3">
        <v>3.5771379310344802</v>
      </c>
      <c r="E2203" s="4502"/>
      <c r="F2203" s="4502"/>
      <c r="G2203" s="4502"/>
      <c r="H2203" s="4502"/>
      <c r="I2203" s="4502"/>
      <c r="J2203" s="4502"/>
      <c r="K2203" s="4502"/>
      <c r="L2203" s="4502"/>
      <c r="M2203" s="4502"/>
    </row>
    <row r="2204" spans="1:13" hidden="1">
      <c r="A2204" s="4501" t="s">
        <v>8935</v>
      </c>
      <c r="B2204" s="3">
        <v>3.5790000000000002</v>
      </c>
      <c r="E2204" s="4502"/>
      <c r="F2204" s="4502"/>
      <c r="G2204" s="4502"/>
      <c r="H2204" s="4502"/>
      <c r="I2204" s="4502"/>
      <c r="J2204" s="4502"/>
      <c r="K2204" s="4502"/>
      <c r="L2204" s="4502"/>
      <c r="M2204" s="4502"/>
    </row>
    <row r="2205" spans="1:13" hidden="1">
      <c r="A2205" s="4501" t="s">
        <v>8936</v>
      </c>
      <c r="B2205" s="3">
        <v>3.5807878787878802</v>
      </c>
      <c r="E2205" s="4502"/>
      <c r="F2205" s="4502"/>
      <c r="G2205" s="4502"/>
      <c r="H2205" s="4502"/>
      <c r="I2205" s="4502"/>
      <c r="J2205" s="4502"/>
      <c r="K2205" s="4502"/>
      <c r="L2205" s="4502"/>
      <c r="M2205" s="4502"/>
    </row>
    <row r="2206" spans="1:13" hidden="1">
      <c r="A2206" s="4501" t="s">
        <v>8937</v>
      </c>
      <c r="B2206" s="3">
        <v>3.5825757575757602</v>
      </c>
      <c r="E2206" s="4502"/>
      <c r="F2206" s="4502"/>
      <c r="G2206" s="4502"/>
      <c r="H2206" s="4502"/>
      <c r="I2206" s="4502"/>
      <c r="J2206" s="4502"/>
      <c r="K2206" s="4502"/>
      <c r="L2206" s="4502"/>
      <c r="M2206" s="4502"/>
    </row>
    <row r="2207" spans="1:13" hidden="1">
      <c r="A2207" s="4501" t="s">
        <v>8938</v>
      </c>
      <c r="B2207" s="3">
        <v>3.5843636363636402</v>
      </c>
      <c r="E2207" s="4502"/>
      <c r="F2207" s="4502"/>
      <c r="G2207" s="4502"/>
      <c r="H2207" s="4502"/>
      <c r="I2207" s="4502"/>
      <c r="J2207" s="4502"/>
      <c r="K2207" s="4502"/>
      <c r="L2207" s="4502"/>
      <c r="M2207" s="4502"/>
    </row>
    <row r="2208" spans="1:13" hidden="1">
      <c r="A2208" s="4501" t="s">
        <v>8939</v>
      </c>
      <c r="B2208" s="3">
        <v>3.5861515151515202</v>
      </c>
      <c r="E2208" s="4502"/>
      <c r="F2208" s="4502"/>
      <c r="G2208" s="4502"/>
      <c r="H2208" s="4502"/>
      <c r="I2208" s="4502"/>
      <c r="J2208" s="4502"/>
      <c r="K2208" s="4502"/>
      <c r="L2208" s="4502"/>
      <c r="M2208" s="4502"/>
    </row>
    <row r="2209" spans="1:13" hidden="1">
      <c r="A2209" s="4501" t="s">
        <v>8940</v>
      </c>
      <c r="B2209" s="3">
        <v>3.58793939393939</v>
      </c>
      <c r="E2209" s="4502"/>
      <c r="F2209" s="4502"/>
      <c r="G2209" s="4502"/>
      <c r="H2209" s="4502"/>
      <c r="I2209" s="4502"/>
      <c r="J2209" s="4502"/>
      <c r="K2209" s="4502"/>
      <c r="L2209" s="4502"/>
      <c r="M2209" s="4502"/>
    </row>
    <row r="2210" spans="1:13" hidden="1">
      <c r="A2210" s="4501" t="s">
        <v>8941</v>
      </c>
      <c r="B2210" s="3">
        <v>3.58972727272727</v>
      </c>
      <c r="E2210" s="4502"/>
      <c r="F2210" s="4502"/>
      <c r="G2210" s="4502"/>
      <c r="H2210" s="4502"/>
      <c r="I2210" s="4502"/>
      <c r="J2210" s="4502"/>
      <c r="K2210" s="4502"/>
      <c r="L2210" s="4502"/>
      <c r="M2210" s="4502"/>
    </row>
    <row r="2211" spans="1:13" hidden="1">
      <c r="A2211" s="4501" t="s">
        <v>8942</v>
      </c>
      <c r="B2211" s="3">
        <v>3.59151515151515</v>
      </c>
      <c r="E2211" s="4502"/>
      <c r="F2211" s="4502"/>
      <c r="G2211" s="4502"/>
      <c r="H2211" s="4502"/>
      <c r="I2211" s="4502"/>
      <c r="J2211" s="4502"/>
      <c r="K2211" s="4502"/>
      <c r="L2211" s="4502"/>
      <c r="M2211" s="4502"/>
    </row>
    <row r="2212" spans="1:13" hidden="1">
      <c r="A2212" s="4501" t="s">
        <v>8943</v>
      </c>
      <c r="B2212" s="3">
        <v>3.59330303030303</v>
      </c>
      <c r="E2212" s="4502"/>
      <c r="F2212" s="4502"/>
      <c r="G2212" s="4502"/>
      <c r="H2212" s="4502"/>
      <c r="I2212" s="4502"/>
      <c r="J2212" s="4502"/>
      <c r="K2212" s="4502"/>
      <c r="L2212" s="4502"/>
      <c r="M2212" s="4502"/>
    </row>
    <row r="2213" spans="1:13" hidden="1">
      <c r="A2213" s="4501" t="s">
        <v>8944</v>
      </c>
      <c r="B2213" s="3">
        <v>3.59509090909091</v>
      </c>
      <c r="E2213" s="4502"/>
      <c r="F2213" s="4502"/>
      <c r="G2213" s="4502"/>
      <c r="H2213" s="4502"/>
      <c r="I2213" s="4502"/>
      <c r="J2213" s="4502"/>
      <c r="K2213" s="4502"/>
      <c r="L2213" s="4502"/>
      <c r="M2213" s="4502"/>
    </row>
    <row r="2214" spans="1:13" hidden="1">
      <c r="A2214" s="4501" t="s">
        <v>8945</v>
      </c>
      <c r="B2214" s="3">
        <v>3.59687878787879</v>
      </c>
      <c r="E2214" s="4502"/>
      <c r="F2214" s="4502"/>
      <c r="G2214" s="4502"/>
      <c r="H2214" s="4502"/>
      <c r="I2214" s="4502"/>
      <c r="J2214" s="4502"/>
      <c r="K2214" s="4502"/>
      <c r="L2214" s="4502"/>
      <c r="M2214" s="4502"/>
    </row>
    <row r="2215" spans="1:13" hidden="1">
      <c r="A2215" s="4501" t="s">
        <v>8946</v>
      </c>
      <c r="B2215" s="3">
        <v>3.59866666666667</v>
      </c>
      <c r="E2215" s="4502"/>
      <c r="F2215" s="4502"/>
      <c r="G2215" s="4502"/>
      <c r="H2215" s="4502"/>
      <c r="I2215" s="4502"/>
      <c r="J2215" s="4502"/>
      <c r="K2215" s="4502"/>
      <c r="L2215" s="4502"/>
      <c r="M2215" s="4502"/>
    </row>
    <row r="2216" spans="1:13" hidden="1">
      <c r="A2216" s="4501" t="s">
        <v>8947</v>
      </c>
      <c r="B2216" s="3">
        <v>3.60045454545455</v>
      </c>
      <c r="E2216" s="4502"/>
      <c r="F2216" s="4502"/>
      <c r="G2216" s="4502"/>
      <c r="H2216" s="4502"/>
      <c r="I2216" s="4502"/>
      <c r="J2216" s="4502"/>
      <c r="K2216" s="4502"/>
      <c r="L2216" s="4502"/>
      <c r="M2216" s="4502"/>
    </row>
    <row r="2217" spans="1:13" hidden="1">
      <c r="A2217" s="4501" t="s">
        <v>8948</v>
      </c>
      <c r="B2217" s="3">
        <v>3.6022424242424198</v>
      </c>
      <c r="E2217" s="4502"/>
      <c r="F2217" s="4502"/>
      <c r="G2217" s="4502"/>
      <c r="H2217" s="4502"/>
      <c r="I2217" s="4502"/>
      <c r="J2217" s="4502"/>
      <c r="K2217" s="4502"/>
      <c r="L2217" s="4502"/>
      <c r="M2217" s="4502"/>
    </row>
    <row r="2218" spans="1:13" hidden="1">
      <c r="A2218" s="4501" t="s">
        <v>8949</v>
      </c>
      <c r="B2218" s="3">
        <v>3.6040303030302998</v>
      </c>
      <c r="E2218" s="4502"/>
      <c r="F2218" s="4502"/>
      <c r="G2218" s="4502"/>
      <c r="H2218" s="4502"/>
      <c r="I2218" s="4502"/>
      <c r="J2218" s="4502"/>
      <c r="K2218" s="4502"/>
      <c r="L2218" s="4502"/>
      <c r="M2218" s="4502"/>
    </row>
    <row r="2219" spans="1:13" hidden="1">
      <c r="A2219" s="4501" t="s">
        <v>8950</v>
      </c>
      <c r="B2219" s="3">
        <v>3.6058181818181798</v>
      </c>
      <c r="E2219" s="4502"/>
      <c r="F2219" s="4502"/>
      <c r="G2219" s="4502"/>
      <c r="H2219" s="4502"/>
      <c r="I2219" s="4502"/>
      <c r="J2219" s="4502"/>
      <c r="K2219" s="4502"/>
      <c r="L2219" s="4502"/>
      <c r="M2219" s="4502"/>
    </row>
    <row r="2220" spans="1:13" hidden="1">
      <c r="A2220" s="4501" t="s">
        <v>8951</v>
      </c>
      <c r="B2220" s="3">
        <v>3.6076060606060598</v>
      </c>
      <c r="E2220" s="4502"/>
      <c r="F2220" s="4502"/>
      <c r="G2220" s="4502"/>
      <c r="H2220" s="4502"/>
      <c r="I2220" s="4502"/>
      <c r="J2220" s="4502"/>
      <c r="K2220" s="4502"/>
      <c r="L2220" s="4502"/>
      <c r="M2220" s="4502"/>
    </row>
    <row r="2221" spans="1:13" hidden="1">
      <c r="A2221" s="4501" t="s">
        <v>8952</v>
      </c>
      <c r="B2221" s="3">
        <v>3.6093939393939398</v>
      </c>
      <c r="E2221" s="4502"/>
      <c r="F2221" s="4502"/>
      <c r="G2221" s="4502"/>
      <c r="H2221" s="4502"/>
      <c r="I2221" s="4502"/>
      <c r="J2221" s="4502"/>
      <c r="K2221" s="4502"/>
      <c r="L2221" s="4502"/>
      <c r="M2221" s="4502"/>
    </row>
    <row r="2222" spans="1:13" hidden="1">
      <c r="A2222" s="4501" t="s">
        <v>8953</v>
      </c>
      <c r="B2222" s="3">
        <v>3.6111818181818198</v>
      </c>
      <c r="E2222" s="4502"/>
      <c r="F2222" s="4502"/>
      <c r="G2222" s="4502"/>
      <c r="H2222" s="4502"/>
      <c r="I2222" s="4502"/>
      <c r="J2222" s="4502"/>
      <c r="K2222" s="4502"/>
      <c r="L2222" s="4502"/>
      <c r="M2222" s="4502"/>
    </row>
    <row r="2223" spans="1:13" hidden="1">
      <c r="A2223" s="4501" t="s">
        <v>8954</v>
      </c>
      <c r="B2223" s="3">
        <v>3.6129696969696998</v>
      </c>
      <c r="E2223" s="4502"/>
      <c r="F2223" s="4502"/>
      <c r="G2223" s="4502"/>
      <c r="H2223" s="4502"/>
      <c r="I2223" s="4502"/>
      <c r="J2223" s="4502"/>
      <c r="K2223" s="4502"/>
      <c r="L2223" s="4502"/>
      <c r="M2223" s="4502"/>
    </row>
    <row r="2224" spans="1:13" hidden="1">
      <c r="A2224" s="4501" t="s">
        <v>8955</v>
      </c>
      <c r="B2224" s="3">
        <v>3.6147575757575798</v>
      </c>
      <c r="E2224" s="4502"/>
      <c r="F2224" s="4502"/>
      <c r="G2224" s="4502"/>
      <c r="H2224" s="4502"/>
      <c r="I2224" s="4502"/>
      <c r="J2224" s="4502"/>
      <c r="K2224" s="4502"/>
      <c r="L2224" s="4502"/>
      <c r="M2224" s="4502"/>
    </row>
    <row r="2225" spans="1:13" hidden="1">
      <c r="A2225" s="4501" t="s">
        <v>8956</v>
      </c>
      <c r="B2225" s="3">
        <v>3.6165454545454501</v>
      </c>
      <c r="E2225" s="4502"/>
      <c r="F2225" s="4502"/>
      <c r="G2225" s="4502"/>
      <c r="H2225" s="4502"/>
      <c r="I2225" s="4502"/>
      <c r="J2225" s="4502"/>
      <c r="K2225" s="4502"/>
      <c r="L2225" s="4502"/>
      <c r="M2225" s="4502"/>
    </row>
    <row r="2226" spans="1:13" hidden="1">
      <c r="A2226" s="4501" t="s">
        <v>8957</v>
      </c>
      <c r="B2226" s="3">
        <v>3.6183333333333301</v>
      </c>
      <c r="E2226" s="4502"/>
      <c r="F2226" s="4502"/>
      <c r="G2226" s="4502"/>
      <c r="H2226" s="4502"/>
      <c r="I2226" s="4502"/>
      <c r="J2226" s="4502"/>
      <c r="K2226" s="4502"/>
      <c r="L2226" s="4502"/>
      <c r="M2226" s="4502"/>
    </row>
    <row r="2227" spans="1:13" hidden="1">
      <c r="A2227" s="4501" t="s">
        <v>8958</v>
      </c>
      <c r="B2227" s="3">
        <v>3.6201212121212101</v>
      </c>
      <c r="E2227" s="4502"/>
      <c r="F2227" s="4502"/>
      <c r="G2227" s="4502"/>
      <c r="H2227" s="4502"/>
      <c r="I2227" s="4502"/>
      <c r="J2227" s="4502"/>
      <c r="K2227" s="4502"/>
      <c r="L2227" s="4502"/>
      <c r="M2227" s="4502"/>
    </row>
    <row r="2228" spans="1:13" hidden="1">
      <c r="A2228" s="4501" t="s">
        <v>8959</v>
      </c>
      <c r="B2228" s="3">
        <v>3.6219090909090901</v>
      </c>
      <c r="E2228" s="4502"/>
      <c r="F2228" s="4502"/>
      <c r="G2228" s="4502"/>
      <c r="H2228" s="4502"/>
      <c r="I2228" s="4502"/>
      <c r="J2228" s="4502"/>
      <c r="K2228" s="4502"/>
      <c r="L2228" s="4502"/>
      <c r="M2228" s="4502"/>
    </row>
    <row r="2229" spans="1:13" hidden="1">
      <c r="A2229" s="4501" t="s">
        <v>8960</v>
      </c>
      <c r="B2229" s="3">
        <v>3.6236969696969701</v>
      </c>
      <c r="E2229" s="4502"/>
      <c r="F2229" s="4502"/>
      <c r="G2229" s="4502"/>
      <c r="H2229" s="4502"/>
      <c r="I2229" s="4502"/>
      <c r="J2229" s="4502"/>
      <c r="K2229" s="4502"/>
      <c r="L2229" s="4502"/>
      <c r="M2229" s="4502"/>
    </row>
    <row r="2230" spans="1:13" hidden="1">
      <c r="A2230" s="4501" t="s">
        <v>8961</v>
      </c>
      <c r="B2230" s="3">
        <v>3.6254848484848501</v>
      </c>
      <c r="E2230" s="4502"/>
      <c r="F2230" s="4502"/>
      <c r="G2230" s="4502"/>
      <c r="H2230" s="4502"/>
      <c r="I2230" s="4502"/>
      <c r="J2230" s="4502"/>
      <c r="K2230" s="4502"/>
      <c r="L2230" s="4502"/>
      <c r="M2230" s="4502"/>
    </row>
    <row r="2231" spans="1:13" hidden="1">
      <c r="A2231" s="4501" t="s">
        <v>8962</v>
      </c>
      <c r="B2231" s="3">
        <v>3.6272727272727301</v>
      </c>
      <c r="E2231" s="4502"/>
      <c r="F2231" s="4502"/>
      <c r="G2231" s="4502"/>
      <c r="H2231" s="4502"/>
      <c r="I2231" s="4502"/>
      <c r="J2231" s="4502"/>
      <c r="K2231" s="4502"/>
      <c r="L2231" s="4502"/>
      <c r="M2231" s="4502"/>
    </row>
    <row r="2232" spans="1:13" hidden="1">
      <c r="A2232" s="4501" t="s">
        <v>8963</v>
      </c>
      <c r="B2232" s="3">
        <v>3.6290606060606101</v>
      </c>
      <c r="E2232" s="4502"/>
      <c r="F2232" s="4502"/>
      <c r="G2232" s="4502"/>
      <c r="H2232" s="4502"/>
      <c r="I2232" s="4502"/>
      <c r="J2232" s="4502"/>
      <c r="K2232" s="4502"/>
      <c r="L2232" s="4502"/>
      <c r="M2232" s="4502"/>
    </row>
    <row r="2233" spans="1:13" hidden="1">
      <c r="A2233" s="4501" t="s">
        <v>8964</v>
      </c>
      <c r="B2233" s="3">
        <v>3.6308484848484799</v>
      </c>
      <c r="E2233" s="4502"/>
      <c r="F2233" s="4502"/>
      <c r="G2233" s="4502"/>
      <c r="H2233" s="4502"/>
      <c r="I2233" s="4502"/>
      <c r="J2233" s="4502"/>
      <c r="K2233" s="4502"/>
      <c r="L2233" s="4502"/>
      <c r="M2233" s="4502"/>
    </row>
    <row r="2234" spans="1:13" hidden="1">
      <c r="A2234" s="4501" t="s">
        <v>8965</v>
      </c>
      <c r="B2234" s="3">
        <v>3.6326363636363599</v>
      </c>
      <c r="E2234" s="4502"/>
      <c r="F2234" s="4502"/>
      <c r="G2234" s="4502"/>
      <c r="H2234" s="4502"/>
      <c r="I2234" s="4502"/>
      <c r="J2234" s="4502"/>
      <c r="K2234" s="4502"/>
      <c r="L2234" s="4502"/>
      <c r="M2234" s="4502"/>
    </row>
    <row r="2235" spans="1:13" hidden="1">
      <c r="A2235" s="4501" t="s">
        <v>8966</v>
      </c>
      <c r="B2235" s="3">
        <v>3.6344242424242399</v>
      </c>
      <c r="E2235" s="4502"/>
      <c r="F2235" s="4502"/>
      <c r="G2235" s="4502"/>
      <c r="H2235" s="4502"/>
      <c r="I2235" s="4502"/>
      <c r="J2235" s="4502"/>
      <c r="K2235" s="4502"/>
      <c r="L2235" s="4502"/>
      <c r="M2235" s="4502"/>
    </row>
    <row r="2236" spans="1:13" hidden="1">
      <c r="A2236" s="4501" t="s">
        <v>8967</v>
      </c>
      <c r="B2236" s="3">
        <v>3.6362121212121199</v>
      </c>
      <c r="E2236" s="4502"/>
      <c r="F2236" s="4502"/>
      <c r="G2236" s="4502"/>
      <c r="H2236" s="4502"/>
      <c r="I2236" s="4502"/>
      <c r="J2236" s="4502"/>
      <c r="K2236" s="4502"/>
      <c r="L2236" s="4502"/>
      <c r="M2236" s="4502"/>
    </row>
    <row r="2237" spans="1:13" hidden="1">
      <c r="A2237" s="4501" t="s">
        <v>8968</v>
      </c>
      <c r="B2237" s="3">
        <v>3.6379999999999999</v>
      </c>
      <c r="E2237" s="4502"/>
      <c r="F2237" s="4502"/>
      <c r="G2237" s="4502"/>
      <c r="H2237" s="4502"/>
      <c r="I2237" s="4502"/>
      <c r="J2237" s="4502"/>
      <c r="K2237" s="4502"/>
      <c r="L2237" s="4502"/>
      <c r="M2237" s="4502"/>
    </row>
    <row r="2238" spans="1:13" hidden="1">
      <c r="A2238" s="4501" t="s">
        <v>8969</v>
      </c>
      <c r="B2238" s="3">
        <v>3.6386551724137899</v>
      </c>
      <c r="E2238" s="4502"/>
      <c r="F2238" s="4502"/>
      <c r="G2238" s="4502"/>
      <c r="H2238" s="4502"/>
      <c r="I2238" s="4502"/>
      <c r="J2238" s="4502"/>
      <c r="K2238" s="4502"/>
      <c r="L2238" s="4502"/>
      <c r="M2238" s="4502"/>
    </row>
    <row r="2239" spans="1:13" hidden="1">
      <c r="A2239" s="4501" t="s">
        <v>8970</v>
      </c>
      <c r="B2239" s="3">
        <v>3.6393103448275901</v>
      </c>
      <c r="E2239" s="4502"/>
      <c r="F2239" s="4502"/>
      <c r="G2239" s="4502"/>
      <c r="H2239" s="4502"/>
      <c r="I2239" s="4502"/>
      <c r="J2239" s="4502"/>
      <c r="K2239" s="4502"/>
      <c r="L2239" s="4502"/>
      <c r="M2239" s="4502"/>
    </row>
    <row r="2240" spans="1:13" hidden="1">
      <c r="A2240" s="4501" t="s">
        <v>8971</v>
      </c>
      <c r="B2240" s="3">
        <v>3.6399655172413801</v>
      </c>
      <c r="E2240" s="4502"/>
      <c r="F2240" s="4502"/>
      <c r="G2240" s="4502"/>
      <c r="H2240" s="4502"/>
      <c r="I2240" s="4502"/>
      <c r="J2240" s="4502"/>
      <c r="K2240" s="4502"/>
      <c r="L2240" s="4502"/>
      <c r="M2240" s="4502"/>
    </row>
    <row r="2241" spans="1:13" hidden="1">
      <c r="A2241" s="4501" t="s">
        <v>8972</v>
      </c>
      <c r="B2241" s="3">
        <v>3.6406206896551701</v>
      </c>
      <c r="E2241" s="4502"/>
      <c r="F2241" s="4502"/>
      <c r="G2241" s="4502"/>
      <c r="H2241" s="4502"/>
      <c r="I2241" s="4502"/>
      <c r="J2241" s="4502"/>
      <c r="K2241" s="4502"/>
      <c r="L2241" s="4502"/>
      <c r="M2241" s="4502"/>
    </row>
    <row r="2242" spans="1:13" hidden="1">
      <c r="A2242" s="4501" t="s">
        <v>8973</v>
      </c>
      <c r="B2242" s="3">
        <v>3.6412758620689698</v>
      </c>
      <c r="E2242" s="4502"/>
      <c r="F2242" s="4502"/>
      <c r="G2242" s="4502"/>
      <c r="H2242" s="4502"/>
      <c r="I2242" s="4502"/>
      <c r="J2242" s="4502"/>
      <c r="K2242" s="4502"/>
      <c r="L2242" s="4502"/>
      <c r="M2242" s="4502"/>
    </row>
    <row r="2243" spans="1:13" hidden="1">
      <c r="A2243" s="4501" t="s">
        <v>8974</v>
      </c>
      <c r="B2243" s="3">
        <v>3.6419310344827598</v>
      </c>
      <c r="E2243" s="4502"/>
      <c r="F2243" s="4502"/>
      <c r="G2243" s="4502"/>
      <c r="H2243" s="4502"/>
      <c r="I2243" s="4502"/>
      <c r="J2243" s="4502"/>
      <c r="K2243" s="4502"/>
      <c r="L2243" s="4502"/>
      <c r="M2243" s="4502"/>
    </row>
    <row r="2244" spans="1:13" hidden="1">
      <c r="A2244" s="4501" t="s">
        <v>8975</v>
      </c>
      <c r="B2244" s="3">
        <v>3.6425862068965502</v>
      </c>
      <c r="E2244" s="4502"/>
      <c r="F2244" s="4502"/>
      <c r="G2244" s="4502"/>
      <c r="H2244" s="4502"/>
      <c r="I2244" s="4502"/>
      <c r="J2244" s="4502"/>
      <c r="K2244" s="4502"/>
      <c r="L2244" s="4502"/>
      <c r="M2244" s="4502"/>
    </row>
    <row r="2245" spans="1:13" hidden="1">
      <c r="A2245" s="4501" t="s">
        <v>8976</v>
      </c>
      <c r="B2245" s="3">
        <v>3.6432413793103402</v>
      </c>
      <c r="E2245" s="4502"/>
      <c r="F2245" s="4502"/>
      <c r="G2245" s="4502"/>
      <c r="H2245" s="4502"/>
      <c r="I2245" s="4502"/>
      <c r="J2245" s="4502"/>
      <c r="K2245" s="4502"/>
      <c r="L2245" s="4502"/>
      <c r="M2245" s="4502"/>
    </row>
    <row r="2246" spans="1:13" hidden="1">
      <c r="A2246" s="4501" t="s">
        <v>8977</v>
      </c>
      <c r="B2246" s="3">
        <v>3.64389655172414</v>
      </c>
      <c r="E2246" s="4502"/>
      <c r="F2246" s="4502"/>
      <c r="G2246" s="4502"/>
      <c r="H2246" s="4502"/>
      <c r="I2246" s="4502"/>
      <c r="J2246" s="4502"/>
      <c r="K2246" s="4502"/>
      <c r="L2246" s="4502"/>
      <c r="M2246" s="4502"/>
    </row>
    <row r="2247" spans="1:13" hidden="1">
      <c r="A2247" s="4501" t="s">
        <v>8978</v>
      </c>
      <c r="B2247" s="3">
        <v>3.6445517241379299</v>
      </c>
      <c r="E2247" s="4502"/>
      <c r="F2247" s="4502"/>
      <c r="G2247" s="4502"/>
      <c r="H2247" s="4502"/>
      <c r="I2247" s="4502"/>
      <c r="J2247" s="4502"/>
      <c r="K2247" s="4502"/>
      <c r="L2247" s="4502"/>
      <c r="M2247" s="4502"/>
    </row>
    <row r="2248" spans="1:13" hidden="1">
      <c r="A2248" s="4501" t="s">
        <v>8979</v>
      </c>
      <c r="B2248" s="3">
        <v>3.6452068965517199</v>
      </c>
      <c r="E2248" s="4502"/>
      <c r="F2248" s="4502"/>
      <c r="G2248" s="4502"/>
      <c r="H2248" s="4502"/>
      <c r="I2248" s="4502"/>
      <c r="J2248" s="4502"/>
      <c r="K2248" s="4502"/>
      <c r="L2248" s="4502"/>
      <c r="M2248" s="4502"/>
    </row>
    <row r="2249" spans="1:13" hidden="1">
      <c r="A2249" s="4501" t="s">
        <v>8980</v>
      </c>
      <c r="B2249" s="3">
        <v>3.6458620689655201</v>
      </c>
      <c r="E2249" s="4502"/>
      <c r="F2249" s="4502"/>
      <c r="G2249" s="4502"/>
      <c r="H2249" s="4502"/>
      <c r="I2249" s="4502"/>
      <c r="J2249" s="4502"/>
      <c r="K2249" s="4502"/>
      <c r="L2249" s="4502"/>
      <c r="M2249" s="4502"/>
    </row>
    <row r="2250" spans="1:13" hidden="1">
      <c r="A2250" s="4501" t="s">
        <v>8981</v>
      </c>
      <c r="B2250" s="3">
        <v>3.6465172413793101</v>
      </c>
      <c r="E2250" s="4502"/>
      <c r="F2250" s="4502"/>
      <c r="G2250" s="4502"/>
      <c r="H2250" s="4502"/>
      <c r="I2250" s="4502"/>
      <c r="J2250" s="4502"/>
      <c r="K2250" s="4502"/>
      <c r="L2250" s="4502"/>
      <c r="M2250" s="4502"/>
    </row>
    <row r="2251" spans="1:13" hidden="1">
      <c r="A2251" s="4501" t="s">
        <v>8982</v>
      </c>
      <c r="B2251" s="3">
        <v>3.6471724137931001</v>
      </c>
      <c r="E2251" s="4502"/>
      <c r="F2251" s="4502"/>
      <c r="G2251" s="4502"/>
      <c r="H2251" s="4502"/>
      <c r="I2251" s="4502"/>
      <c r="J2251" s="4502"/>
      <c r="K2251" s="4502"/>
      <c r="L2251" s="4502"/>
      <c r="M2251" s="4502"/>
    </row>
    <row r="2252" spans="1:13" hidden="1">
      <c r="A2252" s="4501" t="s">
        <v>8983</v>
      </c>
      <c r="B2252" s="3">
        <v>3.6478275862068998</v>
      </c>
      <c r="E2252" s="4502"/>
      <c r="F2252" s="4502"/>
      <c r="G2252" s="4502"/>
      <c r="H2252" s="4502"/>
      <c r="I2252" s="4502"/>
      <c r="J2252" s="4502"/>
      <c r="K2252" s="4502"/>
      <c r="L2252" s="4502"/>
      <c r="M2252" s="4502"/>
    </row>
    <row r="2253" spans="1:13" hidden="1">
      <c r="A2253" s="4501" t="s">
        <v>8984</v>
      </c>
      <c r="B2253" s="3">
        <v>3.6484827586206898</v>
      </c>
      <c r="E2253" s="4502"/>
      <c r="F2253" s="4502"/>
      <c r="G2253" s="4502"/>
      <c r="H2253" s="4502"/>
      <c r="I2253" s="4502"/>
      <c r="J2253" s="4502"/>
      <c r="K2253" s="4502"/>
      <c r="L2253" s="4502"/>
      <c r="M2253" s="4502"/>
    </row>
    <row r="2254" spans="1:13" hidden="1">
      <c r="A2254" s="4501" t="s">
        <v>8985</v>
      </c>
      <c r="B2254" s="3">
        <v>3.6491379310344798</v>
      </c>
      <c r="E2254" s="4502"/>
      <c r="F2254" s="4502"/>
      <c r="G2254" s="4502"/>
      <c r="H2254" s="4502"/>
      <c r="I2254" s="4502"/>
      <c r="J2254" s="4502"/>
      <c r="K2254" s="4502"/>
      <c r="L2254" s="4502"/>
      <c r="M2254" s="4502"/>
    </row>
    <row r="2255" spans="1:13" hidden="1">
      <c r="A2255" s="4501" t="s">
        <v>8986</v>
      </c>
      <c r="B2255" s="3">
        <v>3.64979310344828</v>
      </c>
      <c r="E2255" s="4502"/>
      <c r="F2255" s="4502"/>
      <c r="G2255" s="4502"/>
      <c r="H2255" s="4502"/>
      <c r="I2255" s="4502"/>
      <c r="J2255" s="4502"/>
      <c r="K2255" s="4502"/>
      <c r="L2255" s="4502"/>
      <c r="M2255" s="4502"/>
    </row>
    <row r="2256" spans="1:13" hidden="1">
      <c r="A2256" s="4501" t="s">
        <v>8987</v>
      </c>
      <c r="B2256" s="3">
        <v>3.65044827586207</v>
      </c>
      <c r="E2256" s="4502"/>
      <c r="F2256" s="4502"/>
      <c r="G2256" s="4502"/>
      <c r="H2256" s="4502"/>
      <c r="I2256" s="4502"/>
      <c r="J2256" s="4502"/>
      <c r="K2256" s="4502"/>
      <c r="L2256" s="4502"/>
      <c r="M2256" s="4502"/>
    </row>
    <row r="2257" spans="1:13" hidden="1">
      <c r="A2257" s="4501" t="s">
        <v>8988</v>
      </c>
      <c r="B2257" s="3">
        <v>3.65110344827586</v>
      </c>
      <c r="E2257" s="4502"/>
      <c r="F2257" s="4502"/>
      <c r="G2257" s="4502"/>
      <c r="H2257" s="4502"/>
      <c r="I2257" s="4502"/>
      <c r="J2257" s="4502"/>
      <c r="K2257" s="4502"/>
      <c r="L2257" s="4502"/>
      <c r="M2257" s="4502"/>
    </row>
    <row r="2258" spans="1:13" hidden="1">
      <c r="A2258" s="4501" t="s">
        <v>8989</v>
      </c>
      <c r="B2258" s="3">
        <v>3.6517586206896602</v>
      </c>
      <c r="E2258" s="4502"/>
      <c r="F2258" s="4502"/>
      <c r="G2258" s="4502"/>
      <c r="H2258" s="4502"/>
      <c r="I2258" s="4502"/>
      <c r="J2258" s="4502"/>
      <c r="K2258" s="4502"/>
      <c r="L2258" s="4502"/>
      <c r="M2258" s="4502"/>
    </row>
    <row r="2259" spans="1:13" hidden="1">
      <c r="A2259" s="4501" t="s">
        <v>8990</v>
      </c>
      <c r="B2259" s="3">
        <v>3.6524137931034502</v>
      </c>
      <c r="E2259" s="4502"/>
      <c r="F2259" s="4502"/>
      <c r="G2259" s="4502"/>
      <c r="H2259" s="4502"/>
      <c r="I2259" s="4502"/>
      <c r="J2259" s="4502"/>
      <c r="K2259" s="4502"/>
      <c r="L2259" s="4502"/>
      <c r="M2259" s="4502"/>
    </row>
    <row r="2260" spans="1:13" hidden="1">
      <c r="A2260" s="4501" t="s">
        <v>8991</v>
      </c>
      <c r="B2260" s="3">
        <v>3.6530689655172401</v>
      </c>
      <c r="E2260" s="4502"/>
      <c r="F2260" s="4502"/>
      <c r="G2260" s="4502"/>
      <c r="H2260" s="4502"/>
      <c r="I2260" s="4502"/>
      <c r="J2260" s="4502"/>
      <c r="K2260" s="4502"/>
      <c r="L2260" s="4502"/>
      <c r="M2260" s="4502"/>
    </row>
    <row r="2261" spans="1:13" hidden="1">
      <c r="A2261" s="4501" t="s">
        <v>8992</v>
      </c>
      <c r="B2261" s="3">
        <v>3.6537241379310301</v>
      </c>
      <c r="E2261" s="4502"/>
      <c r="F2261" s="4502"/>
      <c r="G2261" s="4502"/>
      <c r="H2261" s="4502"/>
      <c r="I2261" s="4502"/>
      <c r="J2261" s="4502"/>
      <c r="K2261" s="4502"/>
      <c r="L2261" s="4502"/>
      <c r="M2261" s="4502"/>
    </row>
    <row r="2262" spans="1:13" hidden="1">
      <c r="A2262" s="4501" t="s">
        <v>8993</v>
      </c>
      <c r="B2262" s="3">
        <v>3.6543793103448299</v>
      </c>
      <c r="E2262" s="4502"/>
      <c r="F2262" s="4502"/>
      <c r="G2262" s="4502"/>
      <c r="H2262" s="4502"/>
      <c r="I2262" s="4502"/>
      <c r="J2262" s="4502"/>
      <c r="K2262" s="4502"/>
      <c r="L2262" s="4502"/>
      <c r="M2262" s="4502"/>
    </row>
    <row r="2263" spans="1:13" hidden="1">
      <c r="A2263" s="4501" t="s">
        <v>8994</v>
      </c>
      <c r="B2263" s="3">
        <v>3.6550344827586199</v>
      </c>
      <c r="E2263" s="4502"/>
      <c r="F2263" s="4502"/>
      <c r="G2263" s="4502"/>
      <c r="H2263" s="4502"/>
      <c r="I2263" s="4502"/>
      <c r="J2263" s="4502"/>
      <c r="K2263" s="4502"/>
      <c r="L2263" s="4502"/>
      <c r="M2263" s="4502"/>
    </row>
    <row r="2264" spans="1:13" hidden="1">
      <c r="A2264" s="4501" t="s">
        <v>8995</v>
      </c>
      <c r="B2264" s="3">
        <v>3.6556896551724098</v>
      </c>
      <c r="E2264" s="4502"/>
      <c r="F2264" s="4502"/>
      <c r="G2264" s="4502"/>
      <c r="H2264" s="4502"/>
      <c r="I2264" s="4502"/>
      <c r="J2264" s="4502"/>
      <c r="K2264" s="4502"/>
      <c r="L2264" s="4502"/>
      <c r="M2264" s="4502"/>
    </row>
    <row r="2265" spans="1:13" hidden="1">
      <c r="A2265" s="4501" t="s">
        <v>8996</v>
      </c>
      <c r="B2265" s="3">
        <v>3.65634482758621</v>
      </c>
      <c r="E2265" s="4502"/>
      <c r="F2265" s="4502"/>
      <c r="G2265" s="4502"/>
      <c r="H2265" s="4502"/>
      <c r="I2265" s="4502"/>
      <c r="J2265" s="4502"/>
      <c r="K2265" s="4502"/>
      <c r="L2265" s="4502"/>
      <c r="M2265" s="4502"/>
    </row>
    <row r="2266" spans="1:13" hidden="1">
      <c r="A2266" s="4501" t="s">
        <v>8997</v>
      </c>
      <c r="B2266" s="3">
        <v>3.657</v>
      </c>
      <c r="E2266" s="4502"/>
      <c r="F2266" s="4502"/>
      <c r="G2266" s="4502"/>
      <c r="H2266" s="4502"/>
      <c r="I2266" s="4502"/>
      <c r="J2266" s="4502"/>
      <c r="K2266" s="4502"/>
      <c r="L2266" s="4502"/>
      <c r="M2266" s="4502"/>
    </row>
    <row r="2267" spans="1:13" hidden="1">
      <c r="A2267" s="4501" t="s">
        <v>8998</v>
      </c>
      <c r="B2267" s="3">
        <v>3.6566363636363599</v>
      </c>
      <c r="E2267" s="4502"/>
      <c r="F2267" s="4502"/>
      <c r="G2267" s="4502"/>
      <c r="H2267" s="4502"/>
      <c r="I2267" s="4502"/>
      <c r="J2267" s="4502"/>
      <c r="K2267" s="4502"/>
      <c r="L2267" s="4502"/>
      <c r="M2267" s="4502"/>
    </row>
    <row r="2268" spans="1:13" hidden="1">
      <c r="A2268" s="4501" t="s">
        <v>8999</v>
      </c>
      <c r="B2268" s="3">
        <v>3.65627272727273</v>
      </c>
      <c r="E2268" s="4502"/>
      <c r="F2268" s="4502"/>
      <c r="G2268" s="4502"/>
      <c r="H2268" s="4502"/>
      <c r="I2268" s="4502"/>
      <c r="J2268" s="4502"/>
      <c r="K2268" s="4502"/>
      <c r="L2268" s="4502"/>
      <c r="M2268" s="4502"/>
    </row>
    <row r="2269" spans="1:13" hidden="1">
      <c r="A2269" s="4501" t="s">
        <v>9000</v>
      </c>
      <c r="B2269" s="3">
        <v>3.6559090909090899</v>
      </c>
      <c r="E2269" s="4502"/>
      <c r="F2269" s="4502"/>
      <c r="G2269" s="4502"/>
      <c r="H2269" s="4502"/>
      <c r="I2269" s="4502"/>
      <c r="J2269" s="4502"/>
      <c r="K2269" s="4502"/>
      <c r="L2269" s="4502"/>
      <c r="M2269" s="4502"/>
    </row>
    <row r="2270" spans="1:13" hidden="1">
      <c r="A2270" s="4501" t="s">
        <v>9001</v>
      </c>
      <c r="B2270" s="3">
        <v>3.6555454545454502</v>
      </c>
      <c r="E2270" s="4502"/>
      <c r="F2270" s="4502"/>
      <c r="G2270" s="4502"/>
      <c r="H2270" s="4502"/>
      <c r="I2270" s="4502"/>
      <c r="J2270" s="4502"/>
      <c r="K2270" s="4502"/>
      <c r="L2270" s="4502"/>
      <c r="M2270" s="4502"/>
    </row>
    <row r="2271" spans="1:13" hidden="1">
      <c r="A2271" s="4501" t="s">
        <v>9002</v>
      </c>
      <c r="B2271" s="3">
        <v>3.6551818181818199</v>
      </c>
      <c r="E2271" s="4502"/>
      <c r="F2271" s="4502"/>
      <c r="G2271" s="4502"/>
      <c r="H2271" s="4502"/>
      <c r="I2271" s="4502"/>
      <c r="J2271" s="4502"/>
      <c r="K2271" s="4502"/>
      <c r="L2271" s="4502"/>
      <c r="M2271" s="4502"/>
    </row>
    <row r="2272" spans="1:13" hidden="1">
      <c r="A2272" s="4501" t="s">
        <v>9003</v>
      </c>
      <c r="B2272" s="3">
        <v>3.6548181818181802</v>
      </c>
      <c r="E2272" s="4502"/>
      <c r="F2272" s="4502"/>
      <c r="G2272" s="4502"/>
      <c r="H2272" s="4502"/>
      <c r="I2272" s="4502"/>
      <c r="J2272" s="4502"/>
      <c r="K2272" s="4502"/>
      <c r="L2272" s="4502"/>
      <c r="M2272" s="4502"/>
    </row>
    <row r="2273" spans="1:13" hidden="1">
      <c r="A2273" s="4501" t="s">
        <v>9004</v>
      </c>
      <c r="B2273" s="3">
        <v>3.6544545454545498</v>
      </c>
      <c r="E2273" s="4502"/>
      <c r="F2273" s="4502"/>
      <c r="G2273" s="4502"/>
      <c r="H2273" s="4502"/>
      <c r="I2273" s="4502"/>
      <c r="J2273" s="4502"/>
      <c r="K2273" s="4502"/>
      <c r="L2273" s="4502"/>
      <c r="M2273" s="4502"/>
    </row>
    <row r="2274" spans="1:13" hidden="1">
      <c r="A2274" s="4501" t="s">
        <v>9005</v>
      </c>
      <c r="B2274" s="3">
        <v>3.6540909090909102</v>
      </c>
      <c r="E2274" s="4502"/>
      <c r="F2274" s="4502"/>
      <c r="G2274" s="4502"/>
      <c r="H2274" s="4502"/>
      <c r="I2274" s="4502"/>
      <c r="J2274" s="4502"/>
      <c r="K2274" s="4502"/>
      <c r="L2274" s="4502"/>
      <c r="M2274" s="4502"/>
    </row>
    <row r="2275" spans="1:13" hidden="1">
      <c r="A2275" s="4501" t="s">
        <v>9006</v>
      </c>
      <c r="B2275" s="3">
        <v>3.65372727272727</v>
      </c>
      <c r="E2275" s="4502"/>
      <c r="F2275" s="4502"/>
      <c r="G2275" s="4502"/>
      <c r="H2275" s="4502"/>
      <c r="I2275" s="4502"/>
      <c r="J2275" s="4502"/>
      <c r="K2275" s="4502"/>
      <c r="L2275" s="4502"/>
      <c r="M2275" s="4502"/>
    </row>
    <row r="2276" spans="1:13" hidden="1">
      <c r="A2276" s="4501" t="s">
        <v>9007</v>
      </c>
      <c r="B2276" s="3">
        <v>3.6533636363636401</v>
      </c>
      <c r="E2276" s="4502"/>
      <c r="F2276" s="4502"/>
      <c r="G2276" s="4502"/>
      <c r="H2276" s="4502"/>
      <c r="I2276" s="4502"/>
      <c r="J2276" s="4502"/>
      <c r="K2276" s="4502"/>
      <c r="L2276" s="4502"/>
      <c r="M2276" s="4502"/>
    </row>
    <row r="2277" spans="1:13" hidden="1">
      <c r="A2277" s="4501" t="s">
        <v>9008</v>
      </c>
      <c r="B2277" s="3">
        <v>3.653</v>
      </c>
      <c r="E2277" s="4502"/>
      <c r="F2277" s="4502"/>
      <c r="G2277" s="4502"/>
      <c r="H2277" s="4502"/>
      <c r="I2277" s="4502"/>
      <c r="J2277" s="4502"/>
      <c r="K2277" s="4502"/>
      <c r="L2277" s="4502"/>
      <c r="M2277" s="4502"/>
    </row>
    <row r="2278" spans="1:13" hidden="1">
      <c r="A2278" s="4501" t="s">
        <v>9009</v>
      </c>
      <c r="B2278" s="3">
        <v>3.6526363636363599</v>
      </c>
      <c r="E2278" s="4502"/>
      <c r="F2278" s="4502"/>
      <c r="G2278" s="4502"/>
      <c r="H2278" s="4502"/>
      <c r="I2278" s="4502"/>
      <c r="J2278" s="4502"/>
      <c r="K2278" s="4502"/>
      <c r="L2278" s="4502"/>
      <c r="M2278" s="4502"/>
    </row>
    <row r="2279" spans="1:13" hidden="1">
      <c r="A2279" s="4501" t="s">
        <v>9010</v>
      </c>
      <c r="B2279" s="3">
        <v>3.65227272727273</v>
      </c>
      <c r="E2279" s="4502"/>
      <c r="F2279" s="4502"/>
      <c r="G2279" s="4502"/>
      <c r="H2279" s="4502"/>
      <c r="I2279" s="4502"/>
      <c r="J2279" s="4502"/>
      <c r="K2279" s="4502"/>
      <c r="L2279" s="4502"/>
      <c r="M2279" s="4502"/>
    </row>
    <row r="2280" spans="1:13" hidden="1">
      <c r="A2280" s="4501" t="s">
        <v>9011</v>
      </c>
      <c r="B2280" s="3">
        <v>3.6519090909090899</v>
      </c>
      <c r="E2280" s="4502"/>
      <c r="F2280" s="4502"/>
      <c r="G2280" s="4502"/>
      <c r="H2280" s="4502"/>
      <c r="I2280" s="4502"/>
      <c r="J2280" s="4502"/>
      <c r="K2280" s="4502"/>
      <c r="L2280" s="4502"/>
      <c r="M2280" s="4502"/>
    </row>
    <row r="2281" spans="1:13" hidden="1">
      <c r="A2281" s="4501" t="s">
        <v>9012</v>
      </c>
      <c r="B2281" s="3">
        <v>3.6515454545454502</v>
      </c>
      <c r="E2281" s="4502"/>
      <c r="F2281" s="4502"/>
      <c r="G2281" s="4502"/>
      <c r="H2281" s="4502"/>
      <c r="I2281" s="4502"/>
      <c r="J2281" s="4502"/>
      <c r="K2281" s="4502"/>
      <c r="L2281" s="4502"/>
      <c r="M2281" s="4502"/>
    </row>
    <row r="2282" spans="1:13" hidden="1">
      <c r="A2282" s="4501" t="s">
        <v>9013</v>
      </c>
      <c r="B2282" s="3">
        <v>3.6511818181818199</v>
      </c>
      <c r="E2282" s="4502"/>
      <c r="F2282" s="4502"/>
      <c r="G2282" s="4502"/>
      <c r="H2282" s="4502"/>
      <c r="I2282" s="4502"/>
      <c r="J2282" s="4502"/>
      <c r="K2282" s="4502"/>
      <c r="L2282" s="4502"/>
      <c r="M2282" s="4502"/>
    </row>
    <row r="2283" spans="1:13" hidden="1">
      <c r="A2283" s="4501" t="s">
        <v>9014</v>
      </c>
      <c r="B2283" s="3">
        <v>3.6508181818181802</v>
      </c>
      <c r="E2283" s="4502"/>
      <c r="F2283" s="4502"/>
      <c r="G2283" s="4502"/>
      <c r="H2283" s="4502"/>
      <c r="I2283" s="4502"/>
      <c r="J2283" s="4502"/>
      <c r="K2283" s="4502"/>
      <c r="L2283" s="4502"/>
      <c r="M2283" s="4502"/>
    </row>
    <row r="2284" spans="1:13" hidden="1">
      <c r="A2284" s="4501" t="s">
        <v>9015</v>
      </c>
      <c r="B2284" s="3">
        <v>3.6504545454545498</v>
      </c>
      <c r="E2284" s="4502"/>
      <c r="F2284" s="4502"/>
      <c r="G2284" s="4502"/>
      <c r="H2284" s="4502"/>
      <c r="I2284" s="4502"/>
      <c r="J2284" s="4502"/>
      <c r="K2284" s="4502"/>
      <c r="L2284" s="4502"/>
      <c r="M2284" s="4502"/>
    </row>
    <row r="2285" spans="1:13" hidden="1">
      <c r="A2285" s="4501" t="s">
        <v>9016</v>
      </c>
      <c r="B2285" s="3">
        <v>3.6500909090909102</v>
      </c>
      <c r="E2285" s="4502"/>
      <c r="F2285" s="4502"/>
      <c r="G2285" s="4502"/>
      <c r="H2285" s="4502"/>
      <c r="I2285" s="4502"/>
      <c r="J2285" s="4502"/>
      <c r="K2285" s="4502"/>
      <c r="L2285" s="4502"/>
      <c r="M2285" s="4502"/>
    </row>
    <row r="2286" spans="1:13" hidden="1">
      <c r="A2286" s="4501" t="s">
        <v>9017</v>
      </c>
      <c r="B2286" s="3">
        <v>3.64972727272727</v>
      </c>
      <c r="E2286" s="4502"/>
      <c r="F2286" s="4502"/>
      <c r="G2286" s="4502"/>
      <c r="H2286" s="4502"/>
      <c r="I2286" s="4502"/>
      <c r="J2286" s="4502"/>
      <c r="K2286" s="4502"/>
      <c r="L2286" s="4502"/>
      <c r="M2286" s="4502"/>
    </row>
    <row r="2287" spans="1:13" hidden="1">
      <c r="A2287" s="4501" t="s">
        <v>9018</v>
      </c>
      <c r="B2287" s="3">
        <v>3.6493636363636401</v>
      </c>
      <c r="E2287" s="4502"/>
      <c r="F2287" s="4502"/>
      <c r="G2287" s="4502"/>
      <c r="H2287" s="4502"/>
      <c r="I2287" s="4502"/>
      <c r="J2287" s="4502"/>
      <c r="K2287" s="4502"/>
      <c r="L2287" s="4502"/>
      <c r="M2287" s="4502"/>
    </row>
    <row r="2288" spans="1:13" hidden="1">
      <c r="A2288" s="4501" t="s">
        <v>9019</v>
      </c>
      <c r="B2288" s="3">
        <v>3.649</v>
      </c>
      <c r="E2288" s="4502"/>
      <c r="F2288" s="4502"/>
      <c r="G2288" s="4502"/>
      <c r="H2288" s="4502"/>
      <c r="I2288" s="4502"/>
      <c r="J2288" s="4502"/>
      <c r="K2288" s="4502"/>
      <c r="L2288" s="4502"/>
      <c r="M2288" s="4502"/>
    </row>
    <row r="2289" spans="1:13" hidden="1">
      <c r="A2289" s="4501" t="s">
        <v>9020</v>
      </c>
      <c r="B2289" s="3">
        <v>3.6486363636363599</v>
      </c>
      <c r="E2289" s="4502"/>
      <c r="F2289" s="4502"/>
      <c r="G2289" s="4502"/>
      <c r="H2289" s="4502"/>
      <c r="I2289" s="4502"/>
      <c r="J2289" s="4502"/>
      <c r="K2289" s="4502"/>
      <c r="L2289" s="4502"/>
      <c r="M2289" s="4502"/>
    </row>
    <row r="2290" spans="1:13" hidden="1">
      <c r="A2290" s="4501" t="s">
        <v>9021</v>
      </c>
      <c r="B2290" s="3">
        <v>3.64827272727273</v>
      </c>
      <c r="E2290" s="4502"/>
      <c r="F2290" s="4502"/>
      <c r="G2290" s="4502"/>
      <c r="H2290" s="4502"/>
      <c r="I2290" s="4502"/>
      <c r="J2290" s="4502"/>
      <c r="K2290" s="4502"/>
      <c r="L2290" s="4502"/>
      <c r="M2290" s="4502"/>
    </row>
    <row r="2291" spans="1:13" hidden="1">
      <c r="A2291" s="4501" t="s">
        <v>9022</v>
      </c>
      <c r="B2291" s="3">
        <v>3.6479090909090899</v>
      </c>
      <c r="E2291" s="4502"/>
      <c r="F2291" s="4502"/>
      <c r="G2291" s="4502"/>
      <c r="H2291" s="4502"/>
      <c r="I2291" s="4502"/>
      <c r="J2291" s="4502"/>
      <c r="K2291" s="4502"/>
      <c r="L2291" s="4502"/>
      <c r="M2291" s="4502"/>
    </row>
    <row r="2292" spans="1:13" hidden="1">
      <c r="A2292" s="4501" t="s">
        <v>9023</v>
      </c>
      <c r="B2292" s="3">
        <v>3.6475454545454502</v>
      </c>
      <c r="E2292" s="4502"/>
      <c r="F2292" s="4502"/>
      <c r="G2292" s="4502"/>
      <c r="H2292" s="4502"/>
      <c r="I2292" s="4502"/>
      <c r="J2292" s="4502"/>
      <c r="K2292" s="4502"/>
      <c r="L2292" s="4502"/>
      <c r="M2292" s="4502"/>
    </row>
    <row r="2293" spans="1:13" hidden="1">
      <c r="A2293" s="4501" t="s">
        <v>9024</v>
      </c>
      <c r="B2293" s="3">
        <v>3.6471818181818199</v>
      </c>
      <c r="E2293" s="4502"/>
      <c r="F2293" s="4502"/>
      <c r="G2293" s="4502"/>
      <c r="H2293" s="4502"/>
      <c r="I2293" s="4502"/>
      <c r="J2293" s="4502"/>
      <c r="K2293" s="4502"/>
      <c r="L2293" s="4502"/>
      <c r="M2293" s="4502"/>
    </row>
    <row r="2294" spans="1:13" hidden="1">
      <c r="A2294" s="4501" t="s">
        <v>9025</v>
      </c>
      <c r="B2294" s="3">
        <v>3.6468181818181802</v>
      </c>
      <c r="E2294" s="4502"/>
      <c r="F2294" s="4502"/>
      <c r="G2294" s="4502"/>
      <c r="H2294" s="4502"/>
      <c r="I2294" s="4502"/>
      <c r="J2294" s="4502"/>
      <c r="K2294" s="4502"/>
      <c r="L2294" s="4502"/>
      <c r="M2294" s="4502"/>
    </row>
    <row r="2295" spans="1:13" hidden="1">
      <c r="A2295" s="4501" t="s">
        <v>9026</v>
      </c>
      <c r="B2295" s="3">
        <v>3.6464545454545498</v>
      </c>
      <c r="E2295" s="4502"/>
      <c r="F2295" s="4502"/>
      <c r="G2295" s="4502"/>
      <c r="H2295" s="4502"/>
      <c r="I2295" s="4502"/>
      <c r="J2295" s="4502"/>
      <c r="K2295" s="4502"/>
      <c r="L2295" s="4502"/>
      <c r="M2295" s="4502"/>
    </row>
    <row r="2296" spans="1:13" hidden="1">
      <c r="A2296" s="4501" t="s">
        <v>9027</v>
      </c>
      <c r="B2296" s="3">
        <v>3.6460909090909102</v>
      </c>
      <c r="E2296" s="4502"/>
      <c r="F2296" s="4502"/>
      <c r="G2296" s="4502"/>
      <c r="H2296" s="4502"/>
      <c r="I2296" s="4502"/>
      <c r="J2296" s="4502"/>
      <c r="K2296" s="4502"/>
      <c r="L2296" s="4502"/>
      <c r="M2296" s="4502"/>
    </row>
    <row r="2297" spans="1:13" hidden="1">
      <c r="A2297" s="4501" t="s">
        <v>9028</v>
      </c>
      <c r="B2297" s="3">
        <v>3.64572727272727</v>
      </c>
      <c r="E2297" s="4502"/>
      <c r="F2297" s="4502"/>
      <c r="G2297" s="4502"/>
      <c r="H2297" s="4502"/>
      <c r="I2297" s="4502"/>
      <c r="J2297" s="4502"/>
      <c r="K2297" s="4502"/>
      <c r="L2297" s="4502"/>
      <c r="M2297" s="4502"/>
    </row>
    <row r="2298" spans="1:13" hidden="1">
      <c r="A2298" s="4501" t="s">
        <v>9029</v>
      </c>
      <c r="B2298" s="3">
        <v>3.6453636363636401</v>
      </c>
      <c r="E2298" s="4502"/>
      <c r="F2298" s="4502"/>
      <c r="G2298" s="4502"/>
      <c r="H2298" s="4502"/>
      <c r="I2298" s="4502"/>
      <c r="J2298" s="4502"/>
      <c r="K2298" s="4502"/>
      <c r="L2298" s="4502"/>
      <c r="M2298" s="4502"/>
    </row>
    <row r="2299" spans="1:13" hidden="1">
      <c r="A2299" s="4501" t="s">
        <v>9030</v>
      </c>
      <c r="B2299" s="3">
        <v>3.645</v>
      </c>
      <c r="E2299" s="4502"/>
      <c r="F2299" s="4502"/>
      <c r="G2299" s="4502"/>
      <c r="H2299" s="4502"/>
      <c r="I2299" s="4502"/>
      <c r="J2299" s="4502"/>
      <c r="K2299" s="4502"/>
      <c r="L2299" s="4502"/>
      <c r="M2299" s="4502"/>
    </row>
    <row r="2300" spans="1:13" hidden="1">
      <c r="A2300" s="4501" t="s">
        <v>9031</v>
      </c>
      <c r="B2300" s="3">
        <v>3.6460333333333299</v>
      </c>
      <c r="E2300" s="4502"/>
      <c r="F2300" s="4502"/>
      <c r="G2300" s="4502"/>
      <c r="H2300" s="4502"/>
      <c r="I2300" s="4502"/>
      <c r="J2300" s="4502"/>
      <c r="K2300" s="4502"/>
      <c r="L2300" s="4502"/>
      <c r="M2300" s="4502"/>
    </row>
    <row r="2301" spans="1:13" hidden="1">
      <c r="A2301" s="4501" t="s">
        <v>9032</v>
      </c>
      <c r="B2301" s="3">
        <v>3.64706666666667</v>
      </c>
      <c r="E2301" s="4502"/>
      <c r="F2301" s="4502"/>
      <c r="G2301" s="4502"/>
      <c r="H2301" s="4502"/>
      <c r="I2301" s="4502"/>
      <c r="J2301" s="4502"/>
      <c r="K2301" s="4502"/>
      <c r="L2301" s="4502"/>
      <c r="M2301" s="4502"/>
    </row>
    <row r="2302" spans="1:13" hidden="1">
      <c r="A2302" s="4501" t="s">
        <v>9033</v>
      </c>
      <c r="B2302" s="3">
        <v>3.6480999999999999</v>
      </c>
      <c r="E2302" s="4502"/>
      <c r="F2302" s="4502"/>
      <c r="G2302" s="4502"/>
      <c r="H2302" s="4502"/>
      <c r="I2302" s="4502"/>
      <c r="J2302" s="4502"/>
      <c r="K2302" s="4502"/>
      <c r="L2302" s="4502"/>
      <c r="M2302" s="4502"/>
    </row>
    <row r="2303" spans="1:13" hidden="1">
      <c r="A2303" s="4501" t="s">
        <v>9034</v>
      </c>
      <c r="B2303" s="3">
        <v>3.6491333333333298</v>
      </c>
      <c r="E2303" s="4502"/>
      <c r="F2303" s="4502"/>
      <c r="G2303" s="4502"/>
      <c r="H2303" s="4502"/>
      <c r="I2303" s="4502"/>
      <c r="J2303" s="4502"/>
      <c r="K2303" s="4502"/>
      <c r="L2303" s="4502"/>
      <c r="M2303" s="4502"/>
    </row>
    <row r="2304" spans="1:13" hidden="1">
      <c r="A2304" s="4501" t="s">
        <v>9035</v>
      </c>
      <c r="B2304" s="3">
        <v>3.6501666666666699</v>
      </c>
      <c r="E2304" s="4502"/>
      <c r="F2304" s="4502"/>
      <c r="G2304" s="4502"/>
      <c r="H2304" s="4502"/>
      <c r="I2304" s="4502"/>
      <c r="J2304" s="4502"/>
      <c r="K2304" s="4502"/>
      <c r="L2304" s="4502"/>
      <c r="M2304" s="4502"/>
    </row>
    <row r="2305" spans="1:13" hidden="1">
      <c r="A2305" s="4501" t="s">
        <v>9036</v>
      </c>
      <c r="B2305" s="3">
        <v>3.6511999999999998</v>
      </c>
      <c r="E2305" s="4502"/>
      <c r="F2305" s="4502"/>
      <c r="G2305" s="4502"/>
      <c r="H2305" s="4502"/>
      <c r="I2305" s="4502"/>
      <c r="J2305" s="4502"/>
      <c r="K2305" s="4502"/>
      <c r="L2305" s="4502"/>
      <c r="M2305" s="4502"/>
    </row>
    <row r="2306" spans="1:13" hidden="1">
      <c r="A2306" s="4501" t="s">
        <v>9037</v>
      </c>
      <c r="B2306" s="3">
        <v>3.6522333333333301</v>
      </c>
      <c r="E2306" s="4502"/>
      <c r="F2306" s="4502"/>
      <c r="G2306" s="4502"/>
      <c r="H2306" s="4502"/>
      <c r="I2306" s="4502"/>
      <c r="J2306" s="4502"/>
      <c r="K2306" s="4502"/>
      <c r="L2306" s="4502"/>
      <c r="M2306" s="4502"/>
    </row>
    <row r="2307" spans="1:13" hidden="1">
      <c r="A2307" s="4501" t="s">
        <v>9038</v>
      </c>
      <c r="B2307" s="3">
        <v>3.6532666666666702</v>
      </c>
      <c r="E2307" s="4502"/>
      <c r="F2307" s="4502"/>
      <c r="G2307" s="4502"/>
      <c r="H2307" s="4502"/>
      <c r="I2307" s="4502"/>
      <c r="J2307" s="4502"/>
      <c r="K2307" s="4502"/>
      <c r="L2307" s="4502"/>
      <c r="M2307" s="4502"/>
    </row>
    <row r="2308" spans="1:13" hidden="1">
      <c r="A2308" s="4501" t="s">
        <v>9039</v>
      </c>
      <c r="B2308" s="3">
        <v>3.6543000000000001</v>
      </c>
      <c r="E2308" s="4502"/>
      <c r="F2308" s="4502"/>
      <c r="G2308" s="4502"/>
      <c r="H2308" s="4502"/>
      <c r="I2308" s="4502"/>
      <c r="J2308" s="4502"/>
      <c r="K2308" s="4502"/>
      <c r="L2308" s="4502"/>
      <c r="M2308" s="4502"/>
    </row>
    <row r="2309" spans="1:13" hidden="1">
      <c r="A2309" s="4501" t="s">
        <v>9040</v>
      </c>
      <c r="B2309" s="3">
        <v>3.65533333333333</v>
      </c>
      <c r="E2309" s="4502"/>
      <c r="F2309" s="4502"/>
      <c r="G2309" s="4502"/>
      <c r="H2309" s="4502"/>
      <c r="I2309" s="4502"/>
      <c r="J2309" s="4502"/>
      <c r="K2309" s="4502"/>
      <c r="L2309" s="4502"/>
      <c r="M2309" s="4502"/>
    </row>
    <row r="2310" spans="1:13" hidden="1">
      <c r="A2310" s="4501" t="s">
        <v>9041</v>
      </c>
      <c r="B2310" s="3">
        <v>3.6563666666666701</v>
      </c>
      <c r="E2310" s="4502"/>
      <c r="F2310" s="4502"/>
      <c r="G2310" s="4502"/>
      <c r="H2310" s="4502"/>
      <c r="I2310" s="4502"/>
      <c r="J2310" s="4502"/>
      <c r="K2310" s="4502"/>
      <c r="L2310" s="4502"/>
      <c r="M2310" s="4502"/>
    </row>
    <row r="2311" spans="1:13" hidden="1">
      <c r="A2311" s="4501" t="s">
        <v>9042</v>
      </c>
      <c r="B2311" s="3">
        <v>3.6574</v>
      </c>
      <c r="E2311" s="4502"/>
      <c r="F2311" s="4502"/>
      <c r="G2311" s="4502"/>
      <c r="H2311" s="4502"/>
      <c r="I2311" s="4502"/>
      <c r="J2311" s="4502"/>
      <c r="K2311" s="4502"/>
      <c r="L2311" s="4502"/>
      <c r="M2311" s="4502"/>
    </row>
    <row r="2312" spans="1:13" hidden="1">
      <c r="A2312" s="4501" t="s">
        <v>9043</v>
      </c>
      <c r="B2312" s="3">
        <v>3.6584333333333299</v>
      </c>
      <c r="E2312" s="4502"/>
      <c r="F2312" s="4502"/>
      <c r="G2312" s="4502"/>
      <c r="H2312" s="4502"/>
      <c r="I2312" s="4502"/>
      <c r="J2312" s="4502"/>
      <c r="K2312" s="4502"/>
      <c r="L2312" s="4502"/>
      <c r="M2312" s="4502"/>
    </row>
    <row r="2313" spans="1:13" hidden="1">
      <c r="A2313" s="4501" t="s">
        <v>9044</v>
      </c>
      <c r="B2313" s="3">
        <v>3.65946666666667</v>
      </c>
      <c r="E2313" s="4502"/>
      <c r="F2313" s="4502"/>
      <c r="G2313" s="4502"/>
      <c r="H2313" s="4502"/>
      <c r="I2313" s="4502"/>
      <c r="J2313" s="4502"/>
      <c r="K2313" s="4502"/>
      <c r="L2313" s="4502"/>
      <c r="M2313" s="4502"/>
    </row>
    <row r="2314" spans="1:13" hidden="1">
      <c r="A2314" s="4501" t="s">
        <v>9045</v>
      </c>
      <c r="B2314" s="3">
        <v>3.6604999999999999</v>
      </c>
      <c r="E2314" s="4502"/>
      <c r="F2314" s="4502"/>
      <c r="G2314" s="4502"/>
      <c r="H2314" s="4502"/>
      <c r="I2314" s="4502"/>
      <c r="J2314" s="4502"/>
      <c r="K2314" s="4502"/>
      <c r="L2314" s="4502"/>
      <c r="M2314" s="4502"/>
    </row>
    <row r="2315" spans="1:13" hidden="1">
      <c r="A2315" s="4501" t="s">
        <v>9046</v>
      </c>
      <c r="B2315" s="3">
        <v>3.6615333333333302</v>
      </c>
      <c r="E2315" s="4502"/>
      <c r="F2315" s="4502"/>
      <c r="G2315" s="4502"/>
      <c r="H2315" s="4502"/>
      <c r="I2315" s="4502"/>
      <c r="J2315" s="4502"/>
      <c r="K2315" s="4502"/>
      <c r="L2315" s="4502"/>
      <c r="M2315" s="4502"/>
    </row>
    <row r="2316" spans="1:13" hidden="1">
      <c r="A2316" s="4501" t="s">
        <v>9047</v>
      </c>
      <c r="B2316" s="3">
        <v>3.6625666666666699</v>
      </c>
      <c r="E2316" s="4502"/>
      <c r="F2316" s="4502"/>
      <c r="G2316" s="4502"/>
      <c r="H2316" s="4502"/>
      <c r="I2316" s="4502"/>
      <c r="J2316" s="4502"/>
      <c r="K2316" s="4502"/>
      <c r="L2316" s="4502"/>
      <c r="M2316" s="4502"/>
    </row>
    <row r="2317" spans="1:13" hidden="1">
      <c r="A2317" s="4501" t="s">
        <v>9048</v>
      </c>
      <c r="B2317" s="3">
        <v>3.6636000000000002</v>
      </c>
      <c r="E2317" s="4502"/>
      <c r="F2317" s="4502"/>
      <c r="G2317" s="4502"/>
      <c r="H2317" s="4502"/>
      <c r="I2317" s="4502"/>
      <c r="J2317" s="4502"/>
      <c r="K2317" s="4502"/>
      <c r="L2317" s="4502"/>
      <c r="M2317" s="4502"/>
    </row>
    <row r="2318" spans="1:13" hidden="1">
      <c r="A2318" s="4501" t="s">
        <v>9049</v>
      </c>
      <c r="B2318" s="3">
        <v>3.6646333333333301</v>
      </c>
      <c r="E2318" s="4502"/>
      <c r="F2318" s="4502"/>
      <c r="G2318" s="4502"/>
      <c r="H2318" s="4502"/>
      <c r="I2318" s="4502"/>
      <c r="J2318" s="4502"/>
      <c r="K2318" s="4502"/>
      <c r="L2318" s="4502"/>
      <c r="M2318" s="4502"/>
    </row>
    <row r="2319" spans="1:13" hidden="1">
      <c r="A2319" s="4501" t="s">
        <v>9050</v>
      </c>
      <c r="B2319" s="3">
        <v>3.6656666666666702</v>
      </c>
      <c r="E2319" s="4502"/>
      <c r="F2319" s="4502"/>
      <c r="G2319" s="4502"/>
      <c r="H2319" s="4502"/>
      <c r="I2319" s="4502"/>
      <c r="J2319" s="4502"/>
      <c r="K2319" s="4502"/>
      <c r="L2319" s="4502"/>
      <c r="M2319" s="4502"/>
    </row>
    <row r="2320" spans="1:13" hidden="1">
      <c r="A2320" s="4501" t="s">
        <v>9051</v>
      </c>
      <c r="B2320" s="3">
        <v>3.6667000000000001</v>
      </c>
      <c r="E2320" s="4502"/>
      <c r="F2320" s="4502"/>
      <c r="G2320" s="4502"/>
      <c r="H2320" s="4502"/>
      <c r="I2320" s="4502"/>
      <c r="J2320" s="4502"/>
      <c r="K2320" s="4502"/>
      <c r="L2320" s="4502"/>
      <c r="M2320" s="4502"/>
    </row>
    <row r="2321" spans="1:13" hidden="1">
      <c r="A2321" s="4501" t="s">
        <v>9052</v>
      </c>
      <c r="B2321" s="3">
        <v>3.66773333333333</v>
      </c>
      <c r="E2321" s="4502"/>
      <c r="F2321" s="4502"/>
      <c r="G2321" s="4502"/>
      <c r="H2321" s="4502"/>
      <c r="I2321" s="4502"/>
      <c r="J2321" s="4502"/>
      <c r="K2321" s="4502"/>
      <c r="L2321" s="4502"/>
      <c r="M2321" s="4502"/>
    </row>
    <row r="2322" spans="1:13" hidden="1">
      <c r="A2322" s="4501" t="s">
        <v>9053</v>
      </c>
      <c r="B2322" s="3">
        <v>3.6687666666666701</v>
      </c>
      <c r="E2322" s="4502"/>
      <c r="F2322" s="4502"/>
      <c r="G2322" s="4502"/>
      <c r="H2322" s="4502"/>
      <c r="I2322" s="4502"/>
      <c r="J2322" s="4502"/>
      <c r="K2322" s="4502"/>
      <c r="L2322" s="4502"/>
      <c r="M2322" s="4502"/>
    </row>
    <row r="2323" spans="1:13" hidden="1">
      <c r="A2323" s="4501" t="s">
        <v>9054</v>
      </c>
      <c r="B2323" s="3">
        <v>3.6698</v>
      </c>
      <c r="E2323" s="4502"/>
      <c r="F2323" s="4502"/>
      <c r="G2323" s="4502"/>
      <c r="H2323" s="4502"/>
      <c r="I2323" s="4502"/>
      <c r="J2323" s="4502"/>
      <c r="K2323" s="4502"/>
      <c r="L2323" s="4502"/>
      <c r="M2323" s="4502"/>
    </row>
    <row r="2324" spans="1:13" hidden="1">
      <c r="A2324" s="4501" t="s">
        <v>9055</v>
      </c>
      <c r="B2324" s="3">
        <v>3.6708333333333298</v>
      </c>
      <c r="E2324" s="4502"/>
      <c r="F2324" s="4502"/>
      <c r="G2324" s="4502"/>
      <c r="H2324" s="4502"/>
      <c r="I2324" s="4502"/>
      <c r="J2324" s="4502"/>
      <c r="K2324" s="4502"/>
      <c r="L2324" s="4502"/>
      <c r="M2324" s="4502"/>
    </row>
    <row r="2325" spans="1:13" hidden="1">
      <c r="A2325" s="4501" t="s">
        <v>9056</v>
      </c>
      <c r="B2325" s="3">
        <v>3.6718666666666699</v>
      </c>
      <c r="E2325" s="4502"/>
      <c r="F2325" s="4502"/>
      <c r="G2325" s="4502"/>
      <c r="H2325" s="4502"/>
      <c r="I2325" s="4502"/>
      <c r="J2325" s="4502"/>
      <c r="K2325" s="4502"/>
      <c r="L2325" s="4502"/>
      <c r="M2325" s="4502"/>
    </row>
    <row r="2326" spans="1:13" hidden="1">
      <c r="A2326" s="4501" t="s">
        <v>9057</v>
      </c>
      <c r="B2326" s="3">
        <v>3.6728999999999998</v>
      </c>
      <c r="E2326" s="4502"/>
      <c r="F2326" s="4502"/>
      <c r="G2326" s="4502"/>
      <c r="H2326" s="4502"/>
      <c r="I2326" s="4502"/>
      <c r="J2326" s="4502"/>
      <c r="K2326" s="4502"/>
      <c r="L2326" s="4502"/>
      <c r="M2326" s="4502"/>
    </row>
    <row r="2327" spans="1:13" hidden="1">
      <c r="A2327" s="4501" t="s">
        <v>9058</v>
      </c>
      <c r="B2327" s="3">
        <v>3.6739333333333302</v>
      </c>
      <c r="E2327" s="4502"/>
      <c r="F2327" s="4502"/>
      <c r="G2327" s="4502"/>
      <c r="H2327" s="4502"/>
      <c r="I2327" s="4502"/>
      <c r="J2327" s="4502"/>
      <c r="K2327" s="4502"/>
      <c r="L2327" s="4502"/>
      <c r="M2327" s="4502"/>
    </row>
    <row r="2328" spans="1:13" hidden="1">
      <c r="A2328" s="4501" t="s">
        <v>9059</v>
      </c>
      <c r="B2328" s="3">
        <v>3.6749666666666698</v>
      </c>
      <c r="E2328" s="4502"/>
      <c r="F2328" s="4502"/>
      <c r="G2328" s="4502"/>
      <c r="H2328" s="4502"/>
      <c r="I2328" s="4502"/>
      <c r="J2328" s="4502"/>
      <c r="K2328" s="4502"/>
      <c r="L2328" s="4502"/>
      <c r="M2328" s="4502"/>
    </row>
    <row r="2329" spans="1:13" hidden="1">
      <c r="A2329" s="4501" t="s">
        <v>9060</v>
      </c>
      <c r="B2329" s="3">
        <v>3.6760000000000002</v>
      </c>
      <c r="E2329" s="4502"/>
      <c r="F2329" s="4502"/>
      <c r="G2329" s="4502"/>
      <c r="H2329" s="4502"/>
      <c r="I2329" s="4502"/>
      <c r="J2329" s="4502"/>
      <c r="K2329" s="4502"/>
      <c r="L2329" s="4502"/>
      <c r="M2329" s="4502"/>
    </row>
    <row r="2330" spans="1:13" hidden="1">
      <c r="A2330" s="4501" t="s">
        <v>9061</v>
      </c>
      <c r="B2330" s="3">
        <v>3.6797931034482798</v>
      </c>
      <c r="E2330" s="4502"/>
      <c r="F2330" s="4502"/>
      <c r="G2330" s="4502"/>
      <c r="H2330" s="4502"/>
      <c r="I2330" s="4502"/>
      <c r="J2330" s="4502"/>
      <c r="K2330" s="4502"/>
      <c r="L2330" s="4502"/>
      <c r="M2330" s="4502"/>
    </row>
    <row r="2331" spans="1:13" hidden="1">
      <c r="A2331" s="4501" t="s">
        <v>9062</v>
      </c>
      <c r="B2331" s="3">
        <v>3.6835862068965501</v>
      </c>
      <c r="E2331" s="4502"/>
      <c r="F2331" s="4502"/>
      <c r="G2331" s="4502"/>
      <c r="H2331" s="4502"/>
      <c r="I2331" s="4502"/>
      <c r="J2331" s="4502"/>
      <c r="K2331" s="4502"/>
      <c r="L2331" s="4502"/>
      <c r="M2331" s="4502"/>
    </row>
    <row r="2332" spans="1:13" hidden="1">
      <c r="A2332" s="4501" t="s">
        <v>9063</v>
      </c>
      <c r="B2332" s="3">
        <v>3.6873793103448298</v>
      </c>
      <c r="E2332" s="4502"/>
      <c r="F2332" s="4502"/>
      <c r="G2332" s="4502"/>
      <c r="H2332" s="4502"/>
      <c r="I2332" s="4502"/>
      <c r="J2332" s="4502"/>
      <c r="K2332" s="4502"/>
      <c r="L2332" s="4502"/>
      <c r="M2332" s="4502"/>
    </row>
    <row r="2333" spans="1:13" hidden="1">
      <c r="A2333" s="4501" t="s">
        <v>9064</v>
      </c>
      <c r="B2333" s="3">
        <v>3.6911724137931001</v>
      </c>
      <c r="E2333" s="4502"/>
      <c r="F2333" s="4502"/>
      <c r="G2333" s="4502"/>
      <c r="H2333" s="4502"/>
      <c r="I2333" s="4502"/>
      <c r="J2333" s="4502"/>
      <c r="K2333" s="4502"/>
      <c r="L2333" s="4502"/>
      <c r="M2333" s="4502"/>
    </row>
    <row r="2334" spans="1:13" hidden="1">
      <c r="A2334" s="4501" t="s">
        <v>9065</v>
      </c>
      <c r="B2334" s="3">
        <v>3.6949655172413798</v>
      </c>
      <c r="E2334" s="4502"/>
      <c r="F2334" s="4502"/>
      <c r="G2334" s="4502"/>
      <c r="H2334" s="4502"/>
      <c r="I2334" s="4502"/>
      <c r="J2334" s="4502"/>
      <c r="K2334" s="4502"/>
      <c r="L2334" s="4502"/>
      <c r="M2334" s="4502"/>
    </row>
    <row r="2335" spans="1:13" hidden="1">
      <c r="A2335" s="4501" t="s">
        <v>9066</v>
      </c>
      <c r="B2335" s="3">
        <v>3.6987586206896599</v>
      </c>
      <c r="E2335" s="4502"/>
      <c r="F2335" s="4502"/>
      <c r="G2335" s="4502"/>
      <c r="H2335" s="4502"/>
      <c r="I2335" s="4502"/>
      <c r="J2335" s="4502"/>
      <c r="K2335" s="4502"/>
      <c r="L2335" s="4502"/>
      <c r="M2335" s="4502"/>
    </row>
    <row r="2336" spans="1:13" hidden="1">
      <c r="A2336" s="4501" t="s">
        <v>9067</v>
      </c>
      <c r="B2336" s="3">
        <v>3.7025517241379302</v>
      </c>
      <c r="E2336" s="4502"/>
      <c r="F2336" s="4502"/>
      <c r="G2336" s="4502"/>
      <c r="H2336" s="4502"/>
      <c r="I2336" s="4502"/>
      <c r="J2336" s="4502"/>
      <c r="K2336" s="4502"/>
      <c r="L2336" s="4502"/>
      <c r="M2336" s="4502"/>
    </row>
    <row r="2337" spans="1:13" hidden="1">
      <c r="A2337" s="4501" t="s">
        <v>9068</v>
      </c>
      <c r="B2337" s="3">
        <v>3.7063448275862099</v>
      </c>
      <c r="E2337" s="4502"/>
      <c r="F2337" s="4502"/>
      <c r="G2337" s="4502"/>
      <c r="H2337" s="4502"/>
      <c r="I2337" s="4502"/>
      <c r="J2337" s="4502"/>
      <c r="K2337" s="4502"/>
      <c r="L2337" s="4502"/>
      <c r="M2337" s="4502"/>
    </row>
    <row r="2338" spans="1:13" hidden="1">
      <c r="A2338" s="4501" t="s">
        <v>9069</v>
      </c>
      <c r="B2338" s="3">
        <v>3.7101379310344802</v>
      </c>
      <c r="E2338" s="4502"/>
      <c r="F2338" s="4502"/>
      <c r="G2338" s="4502"/>
      <c r="H2338" s="4502"/>
      <c r="I2338" s="4502"/>
      <c r="J2338" s="4502"/>
      <c r="K2338" s="4502"/>
      <c r="L2338" s="4502"/>
      <c r="M2338" s="4502"/>
    </row>
    <row r="2339" spans="1:13" hidden="1">
      <c r="A2339" s="4501" t="s">
        <v>9070</v>
      </c>
      <c r="B2339" s="3">
        <v>3.7139310344827599</v>
      </c>
      <c r="E2339" s="4502"/>
      <c r="F2339" s="4502"/>
      <c r="G2339" s="4502"/>
      <c r="H2339" s="4502"/>
      <c r="I2339" s="4502"/>
      <c r="J2339" s="4502"/>
      <c r="K2339" s="4502"/>
      <c r="L2339" s="4502"/>
      <c r="M2339" s="4502"/>
    </row>
    <row r="2340" spans="1:13" hidden="1">
      <c r="A2340" s="4501" t="s">
        <v>9071</v>
      </c>
      <c r="B2340" s="3">
        <v>3.7177241379310302</v>
      </c>
      <c r="E2340" s="4502"/>
      <c r="F2340" s="4502"/>
      <c r="G2340" s="4502"/>
      <c r="H2340" s="4502"/>
      <c r="I2340" s="4502"/>
      <c r="J2340" s="4502"/>
      <c r="K2340" s="4502"/>
      <c r="L2340" s="4502"/>
      <c r="M2340" s="4502"/>
    </row>
    <row r="2341" spans="1:13" hidden="1">
      <c r="A2341" s="4501" t="s">
        <v>9072</v>
      </c>
      <c r="B2341" s="3">
        <v>3.7215172413793098</v>
      </c>
      <c r="E2341" s="4502"/>
      <c r="F2341" s="4502"/>
      <c r="G2341" s="4502"/>
      <c r="H2341" s="4502"/>
      <c r="I2341" s="4502"/>
      <c r="J2341" s="4502"/>
      <c r="K2341" s="4502"/>
      <c r="L2341" s="4502"/>
      <c r="M2341" s="4502"/>
    </row>
    <row r="2342" spans="1:13" hidden="1">
      <c r="A2342" s="4501" t="s">
        <v>9073</v>
      </c>
      <c r="B2342" s="3">
        <v>3.7253103448275899</v>
      </c>
      <c r="E2342" s="4502"/>
      <c r="F2342" s="4502"/>
      <c r="G2342" s="4502"/>
      <c r="H2342" s="4502"/>
      <c r="I2342" s="4502"/>
      <c r="J2342" s="4502"/>
      <c r="K2342" s="4502"/>
      <c r="L2342" s="4502"/>
      <c r="M2342" s="4502"/>
    </row>
    <row r="2343" spans="1:13" hidden="1">
      <c r="A2343" s="4501" t="s">
        <v>9074</v>
      </c>
      <c r="B2343" s="3">
        <v>3.7291034482758598</v>
      </c>
      <c r="E2343" s="4502"/>
      <c r="F2343" s="4502"/>
      <c r="G2343" s="4502"/>
      <c r="H2343" s="4502"/>
      <c r="I2343" s="4502"/>
      <c r="J2343" s="4502"/>
      <c r="K2343" s="4502"/>
      <c r="L2343" s="4502"/>
      <c r="M2343" s="4502"/>
    </row>
    <row r="2344" spans="1:13" hidden="1">
      <c r="A2344" s="4501" t="s">
        <v>9075</v>
      </c>
      <c r="B2344" s="3">
        <v>3.7328965517241399</v>
      </c>
      <c r="E2344" s="4502"/>
      <c r="F2344" s="4502"/>
      <c r="G2344" s="4502"/>
      <c r="H2344" s="4502"/>
      <c r="I2344" s="4502"/>
      <c r="J2344" s="4502"/>
      <c r="K2344" s="4502"/>
      <c r="L2344" s="4502"/>
      <c r="M2344" s="4502"/>
    </row>
    <row r="2345" spans="1:13" hidden="1">
      <c r="A2345" s="4501" t="s">
        <v>9076</v>
      </c>
      <c r="B2345" s="3">
        <v>3.7366896551724098</v>
      </c>
      <c r="E2345" s="4502"/>
      <c r="F2345" s="4502"/>
      <c r="G2345" s="4502"/>
      <c r="H2345" s="4502"/>
      <c r="I2345" s="4502"/>
      <c r="J2345" s="4502"/>
      <c r="K2345" s="4502"/>
      <c r="L2345" s="4502"/>
      <c r="M2345" s="4502"/>
    </row>
    <row r="2346" spans="1:13" hidden="1">
      <c r="A2346" s="4501" t="s">
        <v>9077</v>
      </c>
      <c r="B2346" s="3">
        <v>3.7404827586206899</v>
      </c>
      <c r="E2346" s="4502"/>
      <c r="F2346" s="4502"/>
      <c r="G2346" s="4502"/>
      <c r="H2346" s="4502"/>
      <c r="I2346" s="4502"/>
      <c r="J2346" s="4502"/>
      <c r="K2346" s="4502"/>
      <c r="L2346" s="4502"/>
      <c r="M2346" s="4502"/>
    </row>
    <row r="2347" spans="1:13" hidden="1">
      <c r="A2347" s="4501" t="s">
        <v>9078</v>
      </c>
      <c r="B2347" s="3">
        <v>3.74427586206897</v>
      </c>
      <c r="E2347" s="4502"/>
      <c r="F2347" s="4502"/>
      <c r="G2347" s="4502"/>
      <c r="H2347" s="4502"/>
      <c r="I2347" s="4502"/>
      <c r="J2347" s="4502"/>
      <c r="K2347" s="4502"/>
      <c r="L2347" s="4502"/>
      <c r="M2347" s="4502"/>
    </row>
    <row r="2348" spans="1:13" hidden="1">
      <c r="A2348" s="4501" t="s">
        <v>9079</v>
      </c>
      <c r="B2348" s="3">
        <v>3.7480689655172399</v>
      </c>
      <c r="E2348" s="4502"/>
      <c r="F2348" s="4502"/>
      <c r="G2348" s="4502"/>
      <c r="H2348" s="4502"/>
      <c r="I2348" s="4502"/>
      <c r="J2348" s="4502"/>
      <c r="K2348" s="4502"/>
      <c r="L2348" s="4502"/>
      <c r="M2348" s="4502"/>
    </row>
    <row r="2349" spans="1:13" hidden="1">
      <c r="A2349" s="4501" t="s">
        <v>9080</v>
      </c>
      <c r="B2349" s="3">
        <v>3.75186206896552</v>
      </c>
      <c r="E2349" s="4502"/>
      <c r="F2349" s="4502"/>
      <c r="G2349" s="4502"/>
      <c r="H2349" s="4502"/>
      <c r="I2349" s="4502"/>
      <c r="J2349" s="4502"/>
      <c r="K2349" s="4502"/>
      <c r="L2349" s="4502"/>
      <c r="M2349" s="4502"/>
    </row>
    <row r="2350" spans="1:13" hidden="1">
      <c r="A2350" s="4501" t="s">
        <v>9081</v>
      </c>
      <c r="B2350" s="3">
        <v>3.7556551724137899</v>
      </c>
      <c r="E2350" s="4502"/>
      <c r="F2350" s="4502"/>
      <c r="G2350" s="4502"/>
      <c r="H2350" s="4502"/>
      <c r="I2350" s="4502"/>
      <c r="J2350" s="4502"/>
      <c r="K2350" s="4502"/>
      <c r="L2350" s="4502"/>
      <c r="M2350" s="4502"/>
    </row>
    <row r="2351" spans="1:13" hidden="1">
      <c r="A2351" s="4501" t="s">
        <v>9082</v>
      </c>
      <c r="B2351" s="3">
        <v>3.75944827586207</v>
      </c>
      <c r="E2351" s="4502"/>
      <c r="F2351" s="4502"/>
      <c r="G2351" s="4502"/>
      <c r="H2351" s="4502"/>
      <c r="I2351" s="4502"/>
      <c r="J2351" s="4502"/>
      <c r="K2351" s="4502"/>
      <c r="L2351" s="4502"/>
      <c r="M2351" s="4502"/>
    </row>
    <row r="2352" spans="1:13" hidden="1">
      <c r="A2352" s="4501" t="s">
        <v>9083</v>
      </c>
      <c r="B2352" s="3">
        <v>3.7632413793103399</v>
      </c>
      <c r="E2352" s="4502"/>
      <c r="F2352" s="4502"/>
      <c r="G2352" s="4502"/>
      <c r="H2352" s="4502"/>
      <c r="I2352" s="4502"/>
      <c r="J2352" s="4502"/>
      <c r="K2352" s="4502"/>
      <c r="L2352" s="4502"/>
      <c r="M2352" s="4502"/>
    </row>
    <row r="2353" spans="1:13" hidden="1">
      <c r="A2353" s="4501" t="s">
        <v>9084</v>
      </c>
      <c r="B2353" s="3">
        <v>3.76703448275862</v>
      </c>
      <c r="E2353" s="4502"/>
      <c r="F2353" s="4502"/>
      <c r="G2353" s="4502"/>
      <c r="H2353" s="4502"/>
      <c r="I2353" s="4502"/>
      <c r="J2353" s="4502"/>
      <c r="K2353" s="4502"/>
      <c r="L2353" s="4502"/>
      <c r="M2353" s="4502"/>
    </row>
    <row r="2354" spans="1:13" hidden="1">
      <c r="A2354" s="4501" t="s">
        <v>9085</v>
      </c>
      <c r="B2354" s="3">
        <v>3.7708275862069001</v>
      </c>
      <c r="E2354" s="4502"/>
      <c r="F2354" s="4502"/>
      <c r="G2354" s="4502"/>
      <c r="H2354" s="4502"/>
      <c r="I2354" s="4502"/>
      <c r="J2354" s="4502"/>
      <c r="K2354" s="4502"/>
      <c r="L2354" s="4502"/>
      <c r="M2354" s="4502"/>
    </row>
    <row r="2355" spans="1:13" hidden="1">
      <c r="A2355" s="4501" t="s">
        <v>9086</v>
      </c>
      <c r="B2355" s="3">
        <v>3.7746206896551699</v>
      </c>
      <c r="E2355" s="4502"/>
      <c r="F2355" s="4502"/>
      <c r="G2355" s="4502"/>
      <c r="H2355" s="4502"/>
      <c r="I2355" s="4502"/>
      <c r="J2355" s="4502"/>
      <c r="K2355" s="4502"/>
      <c r="L2355" s="4502"/>
      <c r="M2355" s="4502"/>
    </row>
    <row r="2356" spans="1:13" hidden="1">
      <c r="A2356" s="4501" t="s">
        <v>9087</v>
      </c>
      <c r="B2356" s="3">
        <v>3.77841379310345</v>
      </c>
      <c r="E2356" s="4502"/>
      <c r="F2356" s="4502"/>
      <c r="G2356" s="4502"/>
      <c r="H2356" s="4502"/>
      <c r="I2356" s="4502"/>
      <c r="J2356" s="4502"/>
      <c r="K2356" s="4502"/>
      <c r="L2356" s="4502"/>
      <c r="M2356" s="4502"/>
    </row>
    <row r="2357" spans="1:13" hidden="1">
      <c r="A2357" s="4501" t="s">
        <v>9088</v>
      </c>
      <c r="B2357" s="3">
        <v>3.7822068965517199</v>
      </c>
      <c r="E2357" s="4502"/>
      <c r="F2357" s="4502"/>
      <c r="G2357" s="4502"/>
      <c r="H2357" s="4502"/>
      <c r="I2357" s="4502"/>
      <c r="J2357" s="4502"/>
      <c r="K2357" s="4502"/>
      <c r="L2357" s="4502"/>
      <c r="M2357" s="4502"/>
    </row>
    <row r="2358" spans="1:13" hidden="1">
      <c r="A2358" s="4501" t="s">
        <v>9089</v>
      </c>
      <c r="B2358" s="3">
        <v>3.786</v>
      </c>
      <c r="E2358" s="4502"/>
      <c r="F2358" s="4502"/>
      <c r="G2358" s="4502"/>
      <c r="H2358" s="4502"/>
      <c r="I2358" s="4502"/>
      <c r="J2358" s="4502"/>
      <c r="K2358" s="4502"/>
      <c r="L2358" s="4502"/>
      <c r="M2358" s="4502"/>
    </row>
    <row r="2359" spans="1:13" hidden="1">
      <c r="A2359" s="4501" t="s">
        <v>9090</v>
      </c>
      <c r="B2359" s="3">
        <v>3.7921562500000001</v>
      </c>
      <c r="E2359" s="4502"/>
      <c r="F2359" s="4502"/>
      <c r="G2359" s="4502"/>
      <c r="H2359" s="4502"/>
      <c r="I2359" s="4502"/>
      <c r="J2359" s="4502"/>
      <c r="K2359" s="4502"/>
      <c r="L2359" s="4502"/>
      <c r="M2359" s="4502"/>
    </row>
    <row r="2360" spans="1:13" hidden="1">
      <c r="A2360" s="4501" t="s">
        <v>9091</v>
      </c>
      <c r="B2360" s="3">
        <v>3.7983125000000002</v>
      </c>
      <c r="E2360" s="4502"/>
      <c r="F2360" s="4502"/>
      <c r="G2360" s="4502"/>
      <c r="H2360" s="4502"/>
      <c r="I2360" s="4502"/>
      <c r="J2360" s="4502"/>
      <c r="K2360" s="4502"/>
      <c r="L2360" s="4502"/>
      <c r="M2360" s="4502"/>
    </row>
    <row r="2361" spans="1:13" hidden="1">
      <c r="A2361" s="4501" t="s">
        <v>9092</v>
      </c>
      <c r="B2361" s="3">
        <v>3.8044687499999998</v>
      </c>
      <c r="E2361" s="4502"/>
      <c r="F2361" s="4502"/>
      <c r="G2361" s="4502"/>
      <c r="H2361" s="4502"/>
      <c r="I2361" s="4502"/>
      <c r="J2361" s="4502"/>
      <c r="K2361" s="4502"/>
      <c r="L2361" s="4502"/>
      <c r="M2361" s="4502"/>
    </row>
    <row r="2362" spans="1:13" hidden="1">
      <c r="A2362" s="4501" t="s">
        <v>9093</v>
      </c>
      <c r="B2362" s="3">
        <v>3.8106249999999999</v>
      </c>
      <c r="E2362" s="4502"/>
      <c r="F2362" s="4502"/>
      <c r="G2362" s="4502"/>
      <c r="H2362" s="4502"/>
      <c r="I2362" s="4502"/>
      <c r="J2362" s="4502"/>
      <c r="K2362" s="4502"/>
      <c r="L2362" s="4502"/>
      <c r="M2362" s="4502"/>
    </row>
    <row r="2363" spans="1:13" hidden="1">
      <c r="A2363" s="4501" t="s">
        <v>9094</v>
      </c>
      <c r="B2363" s="3">
        <v>3.81678125</v>
      </c>
      <c r="E2363" s="4502"/>
      <c r="F2363" s="4502"/>
      <c r="G2363" s="4502"/>
      <c r="H2363" s="4502"/>
      <c r="I2363" s="4502"/>
      <c r="J2363" s="4502"/>
      <c r="K2363" s="4502"/>
      <c r="L2363" s="4502"/>
      <c r="M2363" s="4502"/>
    </row>
    <row r="2364" spans="1:13" hidden="1">
      <c r="A2364" s="4501" t="s">
        <v>9095</v>
      </c>
      <c r="B2364" s="3">
        <v>3.8229375000000001</v>
      </c>
      <c r="E2364" s="4502"/>
      <c r="F2364" s="4502"/>
      <c r="G2364" s="4502"/>
      <c r="H2364" s="4502"/>
      <c r="I2364" s="4502"/>
      <c r="J2364" s="4502"/>
      <c r="K2364" s="4502"/>
      <c r="L2364" s="4502"/>
      <c r="M2364" s="4502"/>
    </row>
    <row r="2365" spans="1:13" hidden="1">
      <c r="A2365" s="4501" t="s">
        <v>9096</v>
      </c>
      <c r="B2365" s="3">
        <v>3.8290937500000002</v>
      </c>
      <c r="E2365" s="4502"/>
      <c r="F2365" s="4502"/>
      <c r="G2365" s="4502"/>
      <c r="H2365" s="4502"/>
      <c r="I2365" s="4502"/>
      <c r="J2365" s="4502"/>
      <c r="K2365" s="4502"/>
      <c r="L2365" s="4502"/>
      <c r="M2365" s="4502"/>
    </row>
    <row r="2366" spans="1:13" hidden="1">
      <c r="A2366" s="4501" t="s">
        <v>9097</v>
      </c>
      <c r="B2366" s="3">
        <v>3.8352499999999998</v>
      </c>
      <c r="E2366" s="4502"/>
      <c r="F2366" s="4502"/>
      <c r="G2366" s="4502"/>
      <c r="H2366" s="4502"/>
      <c r="I2366" s="4502"/>
      <c r="J2366" s="4502"/>
      <c r="K2366" s="4502"/>
      <c r="L2366" s="4502"/>
      <c r="M2366" s="4502"/>
    </row>
    <row r="2367" spans="1:13" hidden="1">
      <c r="A2367" s="4501" t="s">
        <v>9098</v>
      </c>
      <c r="B2367" s="3">
        <v>3.8414062499999999</v>
      </c>
      <c r="E2367" s="4502"/>
      <c r="F2367" s="4502"/>
      <c r="G2367" s="4502"/>
      <c r="H2367" s="4502"/>
      <c r="I2367" s="4502"/>
      <c r="J2367" s="4502"/>
      <c r="K2367" s="4502"/>
      <c r="L2367" s="4502"/>
      <c r="M2367" s="4502"/>
    </row>
    <row r="2368" spans="1:13" hidden="1">
      <c r="A2368" s="4501" t="s">
        <v>9099</v>
      </c>
      <c r="B2368" s="3">
        <v>3.8475625</v>
      </c>
      <c r="E2368" s="4502"/>
      <c r="F2368" s="4502"/>
      <c r="G2368" s="4502"/>
      <c r="H2368" s="4502"/>
      <c r="I2368" s="4502"/>
      <c r="J2368" s="4502"/>
      <c r="K2368" s="4502"/>
      <c r="L2368" s="4502"/>
      <c r="M2368" s="4502"/>
    </row>
    <row r="2369" spans="1:13" hidden="1">
      <c r="A2369" s="4501" t="s">
        <v>9100</v>
      </c>
      <c r="B2369" s="3">
        <v>3.8537187500000001</v>
      </c>
      <c r="E2369" s="4502"/>
      <c r="F2369" s="4502"/>
      <c r="G2369" s="4502"/>
      <c r="H2369" s="4502"/>
      <c r="I2369" s="4502"/>
      <c r="J2369" s="4502"/>
      <c r="K2369" s="4502"/>
      <c r="L2369" s="4502"/>
      <c r="M2369" s="4502"/>
    </row>
    <row r="2370" spans="1:13" hidden="1">
      <c r="A2370" s="4501" t="s">
        <v>9101</v>
      </c>
      <c r="B2370" s="3">
        <v>3.8598750000000002</v>
      </c>
      <c r="E2370" s="4502"/>
      <c r="F2370" s="4502"/>
      <c r="G2370" s="4502"/>
      <c r="H2370" s="4502"/>
      <c r="I2370" s="4502"/>
      <c r="J2370" s="4502"/>
      <c r="K2370" s="4502"/>
      <c r="L2370" s="4502"/>
      <c r="M2370" s="4502"/>
    </row>
    <row r="2371" spans="1:13" hidden="1">
      <c r="A2371" s="4501" t="s">
        <v>9102</v>
      </c>
      <c r="B2371" s="3">
        <v>3.8660312499999998</v>
      </c>
      <c r="E2371" s="4502"/>
      <c r="F2371" s="4502"/>
      <c r="G2371" s="4502"/>
      <c r="H2371" s="4502"/>
      <c r="I2371" s="4502"/>
      <c r="J2371" s="4502"/>
      <c r="K2371" s="4502"/>
      <c r="L2371" s="4502"/>
      <c r="M2371" s="4502"/>
    </row>
    <row r="2372" spans="1:13" hidden="1">
      <c r="A2372" s="4501" t="s">
        <v>9103</v>
      </c>
      <c r="B2372" s="3">
        <v>3.8721874999999999</v>
      </c>
      <c r="E2372" s="4502"/>
      <c r="F2372" s="4502"/>
      <c r="G2372" s="4502"/>
      <c r="H2372" s="4502"/>
      <c r="I2372" s="4502"/>
      <c r="J2372" s="4502"/>
      <c r="K2372" s="4502"/>
      <c r="L2372" s="4502"/>
      <c r="M2372" s="4502"/>
    </row>
    <row r="2373" spans="1:13" hidden="1">
      <c r="A2373" s="4501" t="s">
        <v>9104</v>
      </c>
      <c r="B2373" s="3">
        <v>3.87834375</v>
      </c>
      <c r="E2373" s="4502"/>
      <c r="F2373" s="4502"/>
      <c r="G2373" s="4502"/>
      <c r="H2373" s="4502"/>
      <c r="I2373" s="4502"/>
      <c r="J2373" s="4502"/>
      <c r="K2373" s="4502"/>
      <c r="L2373" s="4502"/>
      <c r="M2373" s="4502"/>
    </row>
    <row r="2374" spans="1:13" hidden="1">
      <c r="A2374" s="4501" t="s">
        <v>9105</v>
      </c>
      <c r="B2374" s="3">
        <v>3.8845000000000001</v>
      </c>
      <c r="E2374" s="4502"/>
      <c r="F2374" s="4502"/>
      <c r="G2374" s="4502"/>
      <c r="H2374" s="4502"/>
      <c r="I2374" s="4502"/>
      <c r="J2374" s="4502"/>
      <c r="K2374" s="4502"/>
      <c r="L2374" s="4502"/>
      <c r="M2374" s="4502"/>
    </row>
    <row r="2375" spans="1:13" hidden="1">
      <c r="A2375" s="4501" t="s">
        <v>9106</v>
      </c>
      <c r="B2375" s="3">
        <v>3.8906562500000001</v>
      </c>
      <c r="E2375" s="4502"/>
      <c r="F2375" s="4502"/>
      <c r="G2375" s="4502"/>
      <c r="H2375" s="4502"/>
      <c r="I2375" s="4502"/>
      <c r="J2375" s="4502"/>
      <c r="K2375" s="4502"/>
      <c r="L2375" s="4502"/>
      <c r="M2375" s="4502"/>
    </row>
    <row r="2376" spans="1:13" hidden="1">
      <c r="A2376" s="4501" t="s">
        <v>9107</v>
      </c>
      <c r="B2376" s="3">
        <v>3.8968124999999998</v>
      </c>
      <c r="E2376" s="4502"/>
      <c r="F2376" s="4502"/>
      <c r="G2376" s="4502"/>
      <c r="H2376" s="4502"/>
      <c r="I2376" s="4502"/>
      <c r="J2376" s="4502"/>
      <c r="K2376" s="4502"/>
      <c r="L2376" s="4502"/>
      <c r="M2376" s="4502"/>
    </row>
    <row r="2377" spans="1:13" hidden="1">
      <c r="A2377" s="4501" t="s">
        <v>9108</v>
      </c>
      <c r="B2377" s="3">
        <v>3.9029687499999999</v>
      </c>
      <c r="E2377" s="4502"/>
      <c r="F2377" s="4502"/>
      <c r="G2377" s="4502"/>
      <c r="H2377" s="4502"/>
      <c r="I2377" s="4502"/>
      <c r="J2377" s="4502"/>
      <c r="K2377" s="4502"/>
      <c r="L2377" s="4502"/>
      <c r="M2377" s="4502"/>
    </row>
    <row r="2378" spans="1:13" hidden="1">
      <c r="A2378" s="4501" t="s">
        <v>9109</v>
      </c>
      <c r="B2378" s="3">
        <v>3.909125</v>
      </c>
      <c r="E2378" s="4502"/>
      <c r="F2378" s="4502"/>
      <c r="G2378" s="4502"/>
      <c r="H2378" s="4502"/>
      <c r="I2378" s="4502"/>
      <c r="J2378" s="4502"/>
      <c r="K2378" s="4502"/>
      <c r="L2378" s="4502"/>
      <c r="M2378" s="4502"/>
    </row>
    <row r="2379" spans="1:13" hidden="1">
      <c r="A2379" s="4501" t="s">
        <v>9110</v>
      </c>
      <c r="B2379" s="3">
        <v>3.91528125</v>
      </c>
      <c r="E2379" s="4502"/>
      <c r="F2379" s="4502"/>
      <c r="G2379" s="4502"/>
      <c r="H2379" s="4502"/>
      <c r="I2379" s="4502"/>
      <c r="J2379" s="4502"/>
      <c r="K2379" s="4502"/>
      <c r="L2379" s="4502"/>
      <c r="M2379" s="4502"/>
    </row>
    <row r="2380" spans="1:13" hidden="1">
      <c r="A2380" s="4501" t="s">
        <v>9111</v>
      </c>
      <c r="B2380" s="3">
        <v>3.9214375000000001</v>
      </c>
      <c r="E2380" s="4502"/>
      <c r="F2380" s="4502"/>
      <c r="G2380" s="4502"/>
      <c r="H2380" s="4502"/>
      <c r="I2380" s="4502"/>
      <c r="J2380" s="4502"/>
      <c r="K2380" s="4502"/>
      <c r="L2380" s="4502"/>
      <c r="M2380" s="4502"/>
    </row>
    <row r="2381" spans="1:13" hidden="1">
      <c r="A2381" s="4501" t="s">
        <v>9112</v>
      </c>
      <c r="B2381" s="3">
        <v>3.9275937500000002</v>
      </c>
      <c r="E2381" s="4502"/>
      <c r="F2381" s="4502"/>
      <c r="G2381" s="4502"/>
      <c r="H2381" s="4502"/>
      <c r="I2381" s="4502"/>
      <c r="J2381" s="4502"/>
      <c r="K2381" s="4502"/>
      <c r="L2381" s="4502"/>
      <c r="M2381" s="4502"/>
    </row>
    <row r="2382" spans="1:13" hidden="1">
      <c r="A2382" s="4501" t="s">
        <v>9113</v>
      </c>
      <c r="B2382" s="3">
        <v>3.9337499999999999</v>
      </c>
      <c r="E2382" s="4502"/>
      <c r="F2382" s="4502"/>
      <c r="G2382" s="4502"/>
      <c r="H2382" s="4502"/>
      <c r="I2382" s="4502"/>
      <c r="J2382" s="4502"/>
      <c r="K2382" s="4502"/>
      <c r="L2382" s="4502"/>
      <c r="M2382" s="4502"/>
    </row>
    <row r="2383" spans="1:13" hidden="1">
      <c r="A2383" s="4501" t="s">
        <v>9114</v>
      </c>
      <c r="B2383" s="3">
        <v>3.9399062499999999</v>
      </c>
      <c r="E2383" s="4502"/>
      <c r="F2383" s="4502"/>
      <c r="G2383" s="4502"/>
      <c r="H2383" s="4502"/>
      <c r="I2383" s="4502"/>
      <c r="J2383" s="4502"/>
      <c r="K2383" s="4502"/>
      <c r="L2383" s="4502"/>
      <c r="M2383" s="4502"/>
    </row>
    <row r="2384" spans="1:13" hidden="1">
      <c r="A2384" s="4501" t="s">
        <v>9115</v>
      </c>
      <c r="B2384" s="3">
        <v>3.9460625</v>
      </c>
      <c r="E2384" s="4502"/>
      <c r="F2384" s="4502"/>
      <c r="G2384" s="4502"/>
      <c r="H2384" s="4502"/>
      <c r="I2384" s="4502"/>
      <c r="J2384" s="4502"/>
      <c r="K2384" s="4502"/>
      <c r="L2384" s="4502"/>
      <c r="M2384" s="4502"/>
    </row>
    <row r="2385" spans="1:13" hidden="1">
      <c r="A2385" s="4501" t="s">
        <v>9116</v>
      </c>
      <c r="B2385" s="3">
        <v>3.9522187500000001</v>
      </c>
      <c r="E2385" s="4502"/>
      <c r="F2385" s="4502"/>
      <c r="G2385" s="4502"/>
      <c r="H2385" s="4502"/>
      <c r="I2385" s="4502"/>
      <c r="J2385" s="4502"/>
      <c r="K2385" s="4502"/>
      <c r="L2385" s="4502"/>
      <c r="M2385" s="4502"/>
    </row>
    <row r="2386" spans="1:13" hidden="1">
      <c r="A2386" s="4501" t="s">
        <v>9117</v>
      </c>
      <c r="B2386" s="3">
        <v>3.9583750000000002</v>
      </c>
      <c r="E2386" s="4502"/>
      <c r="F2386" s="4502"/>
      <c r="G2386" s="4502"/>
      <c r="H2386" s="4502"/>
      <c r="I2386" s="4502"/>
      <c r="J2386" s="4502"/>
      <c r="K2386" s="4502"/>
      <c r="L2386" s="4502"/>
      <c r="M2386" s="4502"/>
    </row>
    <row r="2387" spans="1:13" hidden="1">
      <c r="A2387" s="4501" t="s">
        <v>9118</v>
      </c>
      <c r="B2387" s="3">
        <v>3.9645312499999998</v>
      </c>
      <c r="E2387" s="4502"/>
      <c r="F2387" s="4502"/>
      <c r="G2387" s="4502"/>
      <c r="H2387" s="4502"/>
      <c r="I2387" s="4502"/>
      <c r="J2387" s="4502"/>
      <c r="K2387" s="4502"/>
      <c r="L2387" s="4502"/>
      <c r="M2387" s="4502"/>
    </row>
    <row r="2388" spans="1:13" hidden="1">
      <c r="A2388" s="4501" t="s">
        <v>9119</v>
      </c>
      <c r="B2388" s="3">
        <v>3.9706874999999999</v>
      </c>
      <c r="E2388" s="4502"/>
      <c r="F2388" s="4502"/>
      <c r="G2388" s="4502"/>
      <c r="H2388" s="4502"/>
      <c r="I2388" s="4502"/>
      <c r="J2388" s="4502"/>
      <c r="K2388" s="4502"/>
      <c r="L2388" s="4502"/>
      <c r="M2388" s="4502"/>
    </row>
    <row r="2389" spans="1:13" hidden="1">
      <c r="A2389" s="4501" t="s">
        <v>9120</v>
      </c>
      <c r="B2389" s="3">
        <v>3.97684375</v>
      </c>
      <c r="E2389" s="4502"/>
      <c r="F2389" s="4502"/>
      <c r="G2389" s="4502"/>
      <c r="H2389" s="4502"/>
      <c r="I2389" s="4502"/>
      <c r="J2389" s="4502"/>
      <c r="K2389" s="4502"/>
      <c r="L2389" s="4502"/>
      <c r="M2389" s="4502"/>
    </row>
    <row r="2390" spans="1:13" hidden="1">
      <c r="A2390" s="4501" t="s">
        <v>9121</v>
      </c>
      <c r="B2390" s="3">
        <v>3.9830000000000001</v>
      </c>
      <c r="E2390" s="4502"/>
      <c r="F2390" s="4502"/>
      <c r="G2390" s="4502"/>
      <c r="H2390" s="4502"/>
      <c r="I2390" s="4502"/>
      <c r="J2390" s="4502"/>
      <c r="K2390" s="4502"/>
      <c r="L2390" s="4502"/>
      <c r="M2390" s="4502"/>
    </row>
    <row r="2391" spans="1:13" hidden="1">
      <c r="A2391" s="4501" t="s">
        <v>9122</v>
      </c>
      <c r="B2391" s="3">
        <v>3.9865666666666701</v>
      </c>
      <c r="E2391" s="4502"/>
      <c r="F2391" s="4502"/>
      <c r="G2391" s="4502"/>
      <c r="H2391" s="4502"/>
      <c r="I2391" s="4502"/>
      <c r="J2391" s="4502"/>
      <c r="K2391" s="4502"/>
      <c r="L2391" s="4502"/>
      <c r="M2391" s="4502"/>
    </row>
    <row r="2392" spans="1:13" hidden="1">
      <c r="A2392" s="4501" t="s">
        <v>9123</v>
      </c>
      <c r="B2392" s="3">
        <v>3.99013333333333</v>
      </c>
      <c r="E2392" s="4502"/>
      <c r="F2392" s="4502"/>
      <c r="G2392" s="4502"/>
      <c r="H2392" s="4502"/>
      <c r="I2392" s="4502"/>
      <c r="J2392" s="4502"/>
      <c r="K2392" s="4502"/>
      <c r="L2392" s="4502"/>
      <c r="M2392" s="4502"/>
    </row>
    <row r="2393" spans="1:13" hidden="1">
      <c r="A2393" s="4501" t="s">
        <v>9124</v>
      </c>
      <c r="B2393" s="3">
        <v>3.9937</v>
      </c>
      <c r="E2393" s="4502"/>
      <c r="F2393" s="4502"/>
      <c r="G2393" s="4502"/>
      <c r="H2393" s="4502"/>
      <c r="I2393" s="4502"/>
      <c r="J2393" s="4502"/>
      <c r="K2393" s="4502"/>
      <c r="L2393" s="4502"/>
      <c r="M2393" s="4502"/>
    </row>
    <row r="2394" spans="1:13" hidden="1">
      <c r="A2394" s="4501" t="s">
        <v>9125</v>
      </c>
      <c r="B2394" s="3">
        <v>3.9972666666666701</v>
      </c>
      <c r="E2394" s="4502"/>
      <c r="F2394" s="4502"/>
      <c r="G2394" s="4502"/>
      <c r="H2394" s="4502"/>
      <c r="I2394" s="4502"/>
      <c r="J2394" s="4502"/>
      <c r="K2394" s="4502"/>
      <c r="L2394" s="4502"/>
      <c r="M2394" s="4502"/>
    </row>
    <row r="2395" spans="1:13" hidden="1">
      <c r="A2395" s="4501" t="s">
        <v>9126</v>
      </c>
      <c r="B2395" s="3">
        <v>4.0008333333333299</v>
      </c>
      <c r="E2395" s="4502"/>
      <c r="F2395" s="4502"/>
      <c r="G2395" s="4502"/>
      <c r="H2395" s="4502"/>
      <c r="I2395" s="4502"/>
      <c r="J2395" s="4502"/>
      <c r="K2395" s="4502"/>
      <c r="L2395" s="4502"/>
      <c r="M2395" s="4502"/>
    </row>
    <row r="2396" spans="1:13" hidden="1">
      <c r="A2396" s="4501" t="s">
        <v>9127</v>
      </c>
      <c r="B2396" s="3">
        <v>4.0044000000000004</v>
      </c>
      <c r="E2396" s="4502"/>
      <c r="F2396" s="4502"/>
      <c r="G2396" s="4502"/>
      <c r="H2396" s="4502"/>
      <c r="I2396" s="4502"/>
      <c r="J2396" s="4502"/>
      <c r="K2396" s="4502"/>
      <c r="L2396" s="4502"/>
      <c r="M2396" s="4502"/>
    </row>
    <row r="2397" spans="1:13" hidden="1">
      <c r="A2397" s="4501" t="s">
        <v>9128</v>
      </c>
      <c r="B2397" s="3">
        <v>4.00796666666667</v>
      </c>
      <c r="E2397" s="4502"/>
      <c r="F2397" s="4502"/>
      <c r="G2397" s="4502"/>
      <c r="H2397" s="4502"/>
      <c r="I2397" s="4502"/>
      <c r="J2397" s="4502"/>
      <c r="K2397" s="4502"/>
      <c r="L2397" s="4502"/>
      <c r="M2397" s="4502"/>
    </row>
    <row r="2398" spans="1:13" hidden="1">
      <c r="A2398" s="4501" t="s">
        <v>9129</v>
      </c>
      <c r="B2398" s="3">
        <v>4.0115333333333298</v>
      </c>
      <c r="E2398" s="4502"/>
      <c r="F2398" s="4502"/>
      <c r="G2398" s="4502"/>
      <c r="H2398" s="4502"/>
      <c r="I2398" s="4502"/>
      <c r="J2398" s="4502"/>
      <c r="K2398" s="4502"/>
      <c r="L2398" s="4502"/>
      <c r="M2398" s="4502"/>
    </row>
    <row r="2399" spans="1:13" hidden="1">
      <c r="A2399" s="4501" t="s">
        <v>9130</v>
      </c>
      <c r="B2399" s="3">
        <v>4.0151000000000003</v>
      </c>
      <c r="E2399" s="4502"/>
      <c r="F2399" s="4502"/>
      <c r="G2399" s="4502"/>
      <c r="H2399" s="4502"/>
      <c r="I2399" s="4502"/>
      <c r="J2399" s="4502"/>
      <c r="K2399" s="4502"/>
      <c r="L2399" s="4502"/>
      <c r="M2399" s="4502"/>
    </row>
    <row r="2400" spans="1:13" hidden="1">
      <c r="A2400" s="4501" t="s">
        <v>9131</v>
      </c>
      <c r="B2400" s="3">
        <v>4.0186666666666699</v>
      </c>
      <c r="E2400" s="4502"/>
      <c r="F2400" s="4502"/>
      <c r="G2400" s="4502"/>
      <c r="H2400" s="4502"/>
      <c r="I2400" s="4502"/>
      <c r="J2400" s="4502"/>
      <c r="K2400" s="4502"/>
      <c r="L2400" s="4502"/>
      <c r="M2400" s="4502"/>
    </row>
    <row r="2401" spans="1:13" hidden="1">
      <c r="A2401" s="4501" t="s">
        <v>9132</v>
      </c>
      <c r="B2401" s="3">
        <v>4.0222333333333298</v>
      </c>
      <c r="E2401" s="4502"/>
      <c r="F2401" s="4502"/>
      <c r="G2401" s="4502"/>
      <c r="H2401" s="4502"/>
      <c r="I2401" s="4502"/>
      <c r="J2401" s="4502"/>
      <c r="K2401" s="4502"/>
      <c r="L2401" s="4502"/>
      <c r="M2401" s="4502"/>
    </row>
    <row r="2402" spans="1:13" hidden="1">
      <c r="A2402" s="4501" t="s">
        <v>9133</v>
      </c>
      <c r="B2402" s="3">
        <v>4.0258000000000003</v>
      </c>
      <c r="E2402" s="4502"/>
      <c r="F2402" s="4502"/>
      <c r="G2402" s="4502"/>
      <c r="H2402" s="4502"/>
      <c r="I2402" s="4502"/>
      <c r="J2402" s="4502"/>
      <c r="K2402" s="4502"/>
      <c r="L2402" s="4502"/>
      <c r="M2402" s="4502"/>
    </row>
    <row r="2403" spans="1:13" hidden="1">
      <c r="A2403" s="4501" t="s">
        <v>9134</v>
      </c>
      <c r="B2403" s="3">
        <v>4.0293666666666699</v>
      </c>
      <c r="E2403" s="4502"/>
      <c r="F2403" s="4502"/>
      <c r="G2403" s="4502"/>
      <c r="H2403" s="4502"/>
      <c r="I2403" s="4502"/>
      <c r="J2403" s="4502"/>
      <c r="K2403" s="4502"/>
      <c r="L2403" s="4502"/>
      <c r="M2403" s="4502"/>
    </row>
    <row r="2404" spans="1:13" hidden="1">
      <c r="A2404" s="4501" t="s">
        <v>9135</v>
      </c>
      <c r="B2404" s="3">
        <v>4.0329333333333297</v>
      </c>
      <c r="E2404" s="4502"/>
      <c r="F2404" s="4502"/>
      <c r="G2404" s="4502"/>
      <c r="H2404" s="4502"/>
      <c r="I2404" s="4502"/>
      <c r="J2404" s="4502"/>
      <c r="K2404" s="4502"/>
      <c r="L2404" s="4502"/>
      <c r="M2404" s="4502"/>
    </row>
    <row r="2405" spans="1:13" hidden="1">
      <c r="A2405" s="4501" t="s">
        <v>9136</v>
      </c>
      <c r="B2405" s="3">
        <v>4.0365000000000002</v>
      </c>
      <c r="E2405" s="4502"/>
      <c r="F2405" s="4502"/>
      <c r="G2405" s="4502"/>
      <c r="H2405" s="4502"/>
      <c r="I2405" s="4502"/>
      <c r="J2405" s="4502"/>
      <c r="K2405" s="4502"/>
      <c r="L2405" s="4502"/>
      <c r="M2405" s="4502"/>
    </row>
    <row r="2406" spans="1:13" hidden="1">
      <c r="A2406" s="4501" t="s">
        <v>9137</v>
      </c>
      <c r="B2406" s="3">
        <v>4.0400666666666698</v>
      </c>
      <c r="E2406" s="4502"/>
      <c r="F2406" s="4502"/>
      <c r="G2406" s="4502"/>
      <c r="H2406" s="4502"/>
      <c r="I2406" s="4502"/>
      <c r="J2406" s="4502"/>
      <c r="K2406" s="4502"/>
      <c r="L2406" s="4502"/>
      <c r="M2406" s="4502"/>
    </row>
    <row r="2407" spans="1:13" hidden="1">
      <c r="A2407" s="4501" t="s">
        <v>9138</v>
      </c>
      <c r="B2407" s="3">
        <v>4.0436333333333296</v>
      </c>
      <c r="E2407" s="4502"/>
      <c r="F2407" s="4502"/>
      <c r="G2407" s="4502"/>
      <c r="H2407" s="4502"/>
      <c r="I2407" s="4502"/>
      <c r="J2407" s="4502"/>
      <c r="K2407" s="4502"/>
      <c r="L2407" s="4502"/>
      <c r="M2407" s="4502"/>
    </row>
    <row r="2408" spans="1:13" hidden="1">
      <c r="A2408" s="4501" t="s">
        <v>9139</v>
      </c>
      <c r="B2408" s="3">
        <v>4.0472000000000001</v>
      </c>
      <c r="E2408" s="4502"/>
      <c r="F2408" s="4502"/>
      <c r="G2408" s="4502"/>
      <c r="H2408" s="4502"/>
      <c r="I2408" s="4502"/>
      <c r="J2408" s="4502"/>
      <c r="K2408" s="4502"/>
      <c r="L2408" s="4502"/>
      <c r="M2408" s="4502"/>
    </row>
    <row r="2409" spans="1:13" hidden="1">
      <c r="A2409" s="4501" t="s">
        <v>9140</v>
      </c>
      <c r="B2409" s="3">
        <v>4.0507666666666697</v>
      </c>
      <c r="E2409" s="4502"/>
      <c r="F2409" s="4502"/>
      <c r="G2409" s="4502"/>
      <c r="H2409" s="4502"/>
      <c r="I2409" s="4502"/>
      <c r="J2409" s="4502"/>
      <c r="K2409" s="4502"/>
      <c r="L2409" s="4502"/>
      <c r="M2409" s="4502"/>
    </row>
    <row r="2410" spans="1:13" hidden="1">
      <c r="A2410" s="4501" t="s">
        <v>9141</v>
      </c>
      <c r="B2410" s="3">
        <v>4.0543333333333296</v>
      </c>
      <c r="E2410" s="4502"/>
      <c r="F2410" s="4502"/>
      <c r="G2410" s="4502"/>
      <c r="H2410" s="4502"/>
      <c r="I2410" s="4502"/>
      <c r="J2410" s="4502"/>
      <c r="K2410" s="4502"/>
      <c r="L2410" s="4502"/>
      <c r="M2410" s="4502"/>
    </row>
    <row r="2411" spans="1:13" hidden="1">
      <c r="A2411" s="4501" t="s">
        <v>9142</v>
      </c>
      <c r="B2411" s="3">
        <v>4.0579000000000001</v>
      </c>
      <c r="E2411" s="4502"/>
      <c r="F2411" s="4502"/>
      <c r="G2411" s="4502"/>
      <c r="H2411" s="4502"/>
      <c r="I2411" s="4502"/>
      <c r="J2411" s="4502"/>
      <c r="K2411" s="4502"/>
      <c r="L2411" s="4502"/>
      <c r="M2411" s="4502"/>
    </row>
    <row r="2412" spans="1:13" hidden="1">
      <c r="A2412" s="4501" t="s">
        <v>9143</v>
      </c>
      <c r="B2412" s="3">
        <v>4.0614666666666697</v>
      </c>
      <c r="E2412" s="4502"/>
      <c r="F2412" s="4502"/>
      <c r="G2412" s="4502"/>
      <c r="H2412" s="4502"/>
      <c r="I2412" s="4502"/>
      <c r="J2412" s="4502"/>
      <c r="K2412" s="4502"/>
      <c r="L2412" s="4502"/>
      <c r="M2412" s="4502"/>
    </row>
    <row r="2413" spans="1:13" hidden="1">
      <c r="A2413" s="4501" t="s">
        <v>9144</v>
      </c>
      <c r="B2413" s="3">
        <v>4.0650333333333304</v>
      </c>
      <c r="E2413" s="4502"/>
      <c r="F2413" s="4502"/>
      <c r="G2413" s="4502"/>
      <c r="H2413" s="4502"/>
      <c r="I2413" s="4502"/>
      <c r="J2413" s="4502"/>
      <c r="K2413" s="4502"/>
      <c r="L2413" s="4502"/>
      <c r="M2413" s="4502"/>
    </row>
    <row r="2414" spans="1:13" hidden="1">
      <c r="A2414" s="4501" t="s">
        <v>9145</v>
      </c>
      <c r="B2414" s="3">
        <v>4.0686</v>
      </c>
      <c r="E2414" s="4502"/>
      <c r="F2414" s="4502"/>
      <c r="G2414" s="4502"/>
      <c r="H2414" s="4502"/>
      <c r="I2414" s="4502"/>
      <c r="J2414" s="4502"/>
      <c r="K2414" s="4502"/>
      <c r="L2414" s="4502"/>
      <c r="M2414" s="4502"/>
    </row>
    <row r="2415" spans="1:13" hidden="1">
      <c r="A2415" s="4501" t="s">
        <v>9146</v>
      </c>
      <c r="B2415" s="3">
        <v>4.0721666666666696</v>
      </c>
      <c r="E2415" s="4502"/>
      <c r="F2415" s="4502"/>
      <c r="G2415" s="4502"/>
      <c r="H2415" s="4502"/>
      <c r="I2415" s="4502"/>
      <c r="J2415" s="4502"/>
      <c r="K2415" s="4502"/>
      <c r="L2415" s="4502"/>
      <c r="M2415" s="4502"/>
    </row>
    <row r="2416" spans="1:13" hidden="1">
      <c r="A2416" s="4501" t="s">
        <v>9147</v>
      </c>
      <c r="B2416" s="3">
        <v>4.0757333333333303</v>
      </c>
      <c r="E2416" s="4502"/>
      <c r="F2416" s="4502"/>
      <c r="G2416" s="4502"/>
      <c r="H2416" s="4502"/>
      <c r="I2416" s="4502"/>
      <c r="J2416" s="4502"/>
      <c r="K2416" s="4502"/>
      <c r="L2416" s="4502"/>
      <c r="M2416" s="4502"/>
    </row>
    <row r="2417" spans="1:13" hidden="1">
      <c r="A2417" s="4501" t="s">
        <v>9148</v>
      </c>
      <c r="B2417" s="3">
        <v>4.0792999999999999</v>
      </c>
      <c r="E2417" s="4502"/>
      <c r="F2417" s="4502"/>
      <c r="G2417" s="4502"/>
      <c r="H2417" s="4502"/>
      <c r="I2417" s="4502"/>
      <c r="J2417" s="4502"/>
      <c r="K2417" s="4502"/>
      <c r="L2417" s="4502"/>
      <c r="M2417" s="4502"/>
    </row>
    <row r="2418" spans="1:13" hidden="1">
      <c r="A2418" s="4501" t="s">
        <v>9149</v>
      </c>
      <c r="B2418" s="3">
        <v>4.0828666666666704</v>
      </c>
      <c r="E2418" s="4502"/>
      <c r="F2418" s="4502"/>
      <c r="G2418" s="4502"/>
      <c r="H2418" s="4502"/>
      <c r="I2418" s="4502"/>
      <c r="J2418" s="4502"/>
      <c r="K2418" s="4502"/>
      <c r="L2418" s="4502"/>
      <c r="M2418" s="4502"/>
    </row>
    <row r="2419" spans="1:13" hidden="1">
      <c r="A2419" s="4501" t="s">
        <v>9150</v>
      </c>
      <c r="B2419" s="3">
        <v>4.0864333333333303</v>
      </c>
      <c r="E2419" s="4502"/>
      <c r="F2419" s="4502"/>
      <c r="G2419" s="4502"/>
      <c r="H2419" s="4502"/>
      <c r="I2419" s="4502"/>
      <c r="J2419" s="4502"/>
      <c r="K2419" s="4502"/>
      <c r="L2419" s="4502"/>
      <c r="M2419" s="4502"/>
    </row>
    <row r="2420" spans="1:13" hidden="1">
      <c r="A2420" s="4501" t="s">
        <v>9151</v>
      </c>
      <c r="B2420" s="3">
        <v>4.09</v>
      </c>
      <c r="E2420" s="4502"/>
      <c r="F2420" s="4502"/>
      <c r="G2420" s="4502"/>
      <c r="H2420" s="4502"/>
      <c r="I2420" s="4502"/>
      <c r="J2420" s="4502"/>
      <c r="K2420" s="4502"/>
      <c r="L2420" s="4502"/>
      <c r="M2420" s="4502"/>
    </row>
    <row r="2421" spans="1:13" hidden="1">
      <c r="A2421" s="4501" t="s">
        <v>9152</v>
      </c>
      <c r="B2421" s="3">
        <v>4.0863333333333296</v>
      </c>
      <c r="E2421" s="4502"/>
      <c r="F2421" s="4502"/>
      <c r="G2421" s="4502"/>
      <c r="H2421" s="4502"/>
      <c r="I2421" s="4502"/>
      <c r="J2421" s="4502"/>
      <c r="K2421" s="4502"/>
      <c r="L2421" s="4502"/>
      <c r="M2421" s="4502"/>
    </row>
    <row r="2422" spans="1:13" hidden="1">
      <c r="A2422" s="4501" t="s">
        <v>9153</v>
      </c>
      <c r="B2422" s="3">
        <v>4.08266666666667</v>
      </c>
      <c r="E2422" s="4502"/>
      <c r="F2422" s="4502"/>
      <c r="G2422" s="4502"/>
      <c r="H2422" s="4502"/>
      <c r="I2422" s="4502"/>
      <c r="J2422" s="4502"/>
      <c r="K2422" s="4502"/>
      <c r="L2422" s="4502"/>
      <c r="M2422" s="4502"/>
    </row>
    <row r="2423" spans="1:13" hidden="1">
      <c r="A2423" s="4501" t="s">
        <v>9154</v>
      </c>
      <c r="B2423" s="3">
        <v>4.0789999999999997</v>
      </c>
      <c r="E2423" s="4502"/>
      <c r="F2423" s="4502"/>
      <c r="G2423" s="4502"/>
      <c r="H2423" s="4502"/>
      <c r="I2423" s="4502"/>
      <c r="J2423" s="4502"/>
      <c r="K2423" s="4502"/>
      <c r="L2423" s="4502"/>
      <c r="M2423" s="4502"/>
    </row>
    <row r="2424" spans="1:13" hidden="1">
      <c r="A2424" s="4501" t="s">
        <v>9155</v>
      </c>
      <c r="B2424" s="3">
        <v>4.0753333333333304</v>
      </c>
      <c r="E2424" s="4502"/>
      <c r="F2424" s="4502"/>
      <c r="G2424" s="4502"/>
      <c r="H2424" s="4502"/>
      <c r="I2424" s="4502"/>
      <c r="J2424" s="4502"/>
      <c r="K2424" s="4502"/>
      <c r="L2424" s="4502"/>
      <c r="M2424" s="4502"/>
    </row>
    <row r="2425" spans="1:13" hidden="1">
      <c r="A2425" s="4501" t="s">
        <v>9156</v>
      </c>
      <c r="B2425" s="3">
        <v>4.0716666666666699</v>
      </c>
      <c r="E2425" s="4502"/>
      <c r="F2425" s="4502"/>
      <c r="G2425" s="4502"/>
      <c r="H2425" s="4502"/>
      <c r="I2425" s="4502"/>
      <c r="J2425" s="4502"/>
      <c r="K2425" s="4502"/>
      <c r="L2425" s="4502"/>
      <c r="M2425" s="4502"/>
    </row>
    <row r="2426" spans="1:13" hidden="1">
      <c r="A2426" s="4501" t="s">
        <v>9157</v>
      </c>
      <c r="B2426" s="3">
        <v>4.0679999999999996</v>
      </c>
      <c r="E2426" s="4502"/>
      <c r="F2426" s="4502"/>
      <c r="G2426" s="4502"/>
      <c r="H2426" s="4502"/>
      <c r="I2426" s="4502"/>
      <c r="J2426" s="4502"/>
      <c r="K2426" s="4502"/>
      <c r="L2426" s="4502"/>
      <c r="M2426" s="4502"/>
    </row>
    <row r="2427" spans="1:13" hidden="1">
      <c r="A2427" s="4501" t="s">
        <v>9158</v>
      </c>
      <c r="B2427" s="3">
        <v>4.0643333333333302</v>
      </c>
      <c r="E2427" s="4502"/>
      <c r="F2427" s="4502"/>
      <c r="G2427" s="4502"/>
      <c r="H2427" s="4502"/>
      <c r="I2427" s="4502"/>
      <c r="J2427" s="4502"/>
      <c r="K2427" s="4502"/>
      <c r="L2427" s="4502"/>
      <c r="M2427" s="4502"/>
    </row>
    <row r="2428" spans="1:13" hidden="1">
      <c r="A2428" s="4501" t="s">
        <v>9159</v>
      </c>
      <c r="B2428" s="3">
        <v>4.0606666666666698</v>
      </c>
      <c r="E2428" s="4502"/>
      <c r="F2428" s="4502"/>
      <c r="G2428" s="4502"/>
      <c r="H2428" s="4502"/>
      <c r="I2428" s="4502"/>
      <c r="J2428" s="4502"/>
      <c r="K2428" s="4502"/>
      <c r="L2428" s="4502"/>
      <c r="M2428" s="4502"/>
    </row>
    <row r="2429" spans="1:13" hidden="1">
      <c r="A2429" s="4501" t="s">
        <v>9160</v>
      </c>
      <c r="B2429" s="3">
        <v>4.0570000000000004</v>
      </c>
      <c r="E2429" s="4502"/>
      <c r="F2429" s="4502"/>
      <c r="G2429" s="4502"/>
      <c r="H2429" s="4502"/>
      <c r="I2429" s="4502"/>
      <c r="J2429" s="4502"/>
      <c r="K2429" s="4502"/>
      <c r="L2429" s="4502"/>
      <c r="M2429" s="4502"/>
    </row>
    <row r="2430" spans="1:13" hidden="1">
      <c r="A2430" s="4501" t="s">
        <v>9161</v>
      </c>
      <c r="B2430" s="3">
        <v>4.0533333333333301</v>
      </c>
      <c r="E2430" s="4502"/>
      <c r="F2430" s="4502"/>
      <c r="G2430" s="4502"/>
      <c r="H2430" s="4502"/>
      <c r="I2430" s="4502"/>
      <c r="J2430" s="4502"/>
      <c r="K2430" s="4502"/>
      <c r="L2430" s="4502"/>
      <c r="M2430" s="4502"/>
    </row>
    <row r="2431" spans="1:13" hidden="1">
      <c r="A2431" s="4501" t="s">
        <v>9162</v>
      </c>
      <c r="B2431" s="3">
        <v>4.0496666666666696</v>
      </c>
      <c r="E2431" s="4502"/>
      <c r="F2431" s="4502"/>
      <c r="G2431" s="4502"/>
      <c r="H2431" s="4502"/>
      <c r="I2431" s="4502"/>
      <c r="J2431" s="4502"/>
      <c r="K2431" s="4502"/>
      <c r="L2431" s="4502"/>
      <c r="M2431" s="4502"/>
    </row>
    <row r="2432" spans="1:13" hidden="1">
      <c r="A2432" s="4501" t="s">
        <v>9163</v>
      </c>
      <c r="B2432" s="3">
        <v>4.0460000000000003</v>
      </c>
      <c r="E2432" s="4502"/>
      <c r="F2432" s="4502"/>
      <c r="G2432" s="4502"/>
      <c r="H2432" s="4502"/>
      <c r="I2432" s="4502"/>
      <c r="J2432" s="4502"/>
      <c r="K2432" s="4502"/>
      <c r="L2432" s="4502"/>
      <c r="M2432" s="4502"/>
    </row>
    <row r="2433" spans="1:13" hidden="1">
      <c r="A2433" s="4501" t="s">
        <v>9164</v>
      </c>
      <c r="B2433" s="3">
        <v>4.04233333333333</v>
      </c>
      <c r="E2433" s="4502"/>
      <c r="F2433" s="4502"/>
      <c r="G2433" s="4502"/>
      <c r="H2433" s="4502"/>
      <c r="I2433" s="4502"/>
      <c r="J2433" s="4502"/>
      <c r="K2433" s="4502"/>
      <c r="L2433" s="4502"/>
      <c r="M2433" s="4502"/>
    </row>
    <row r="2434" spans="1:13" hidden="1">
      <c r="A2434" s="4501" t="s">
        <v>9165</v>
      </c>
      <c r="B2434" s="3">
        <v>4.0386666666666704</v>
      </c>
      <c r="E2434" s="4502"/>
      <c r="F2434" s="4502"/>
      <c r="G2434" s="4502"/>
      <c r="H2434" s="4502"/>
      <c r="I2434" s="4502"/>
      <c r="J2434" s="4502"/>
      <c r="K2434" s="4502"/>
      <c r="L2434" s="4502"/>
      <c r="M2434" s="4502"/>
    </row>
    <row r="2435" spans="1:13" hidden="1">
      <c r="A2435" s="4501" t="s">
        <v>9166</v>
      </c>
      <c r="B2435" s="3">
        <v>4.0350000000000001</v>
      </c>
      <c r="E2435" s="4502"/>
      <c r="F2435" s="4502"/>
      <c r="G2435" s="4502"/>
      <c r="H2435" s="4502"/>
      <c r="I2435" s="4502"/>
      <c r="J2435" s="4502"/>
      <c r="K2435" s="4502"/>
      <c r="L2435" s="4502"/>
      <c r="M2435" s="4502"/>
    </row>
    <row r="2436" spans="1:13" hidden="1">
      <c r="A2436" s="4501" t="s">
        <v>9167</v>
      </c>
      <c r="B2436" s="3">
        <v>4.0313333333333299</v>
      </c>
      <c r="E2436" s="4502"/>
      <c r="F2436" s="4502"/>
      <c r="G2436" s="4502"/>
      <c r="H2436" s="4502"/>
      <c r="I2436" s="4502"/>
      <c r="J2436" s="4502"/>
      <c r="K2436" s="4502"/>
      <c r="L2436" s="4502"/>
      <c r="M2436" s="4502"/>
    </row>
    <row r="2437" spans="1:13" hidden="1">
      <c r="A2437" s="4501" t="s">
        <v>9168</v>
      </c>
      <c r="B2437" s="3">
        <v>4.0276666666666703</v>
      </c>
      <c r="E2437" s="4502"/>
      <c r="F2437" s="4502"/>
      <c r="G2437" s="4502"/>
      <c r="H2437" s="4502"/>
      <c r="I2437" s="4502"/>
      <c r="J2437" s="4502"/>
      <c r="K2437" s="4502"/>
      <c r="L2437" s="4502"/>
      <c r="M2437" s="4502"/>
    </row>
    <row r="2438" spans="1:13" hidden="1">
      <c r="A2438" s="4501" t="s">
        <v>9169</v>
      </c>
      <c r="B2438" s="3">
        <v>4.024</v>
      </c>
      <c r="E2438" s="4502"/>
      <c r="F2438" s="4502"/>
      <c r="G2438" s="4502"/>
      <c r="H2438" s="4502"/>
      <c r="I2438" s="4502"/>
      <c r="J2438" s="4502"/>
      <c r="K2438" s="4502"/>
      <c r="L2438" s="4502"/>
      <c r="M2438" s="4502"/>
    </row>
    <row r="2439" spans="1:13" hidden="1">
      <c r="A2439" s="4501" t="s">
        <v>9170</v>
      </c>
      <c r="B2439" s="3">
        <v>4.0203333333333298</v>
      </c>
      <c r="E2439" s="4502"/>
      <c r="F2439" s="4502"/>
      <c r="G2439" s="4502"/>
      <c r="H2439" s="4502"/>
      <c r="I2439" s="4502"/>
      <c r="J2439" s="4502"/>
      <c r="K2439" s="4502"/>
      <c r="L2439" s="4502"/>
      <c r="M2439" s="4502"/>
    </row>
    <row r="2440" spans="1:13" hidden="1">
      <c r="A2440" s="4501" t="s">
        <v>9171</v>
      </c>
      <c r="B2440" s="3">
        <v>4.0166666666666702</v>
      </c>
      <c r="E2440" s="4502"/>
      <c r="F2440" s="4502"/>
      <c r="G2440" s="4502"/>
      <c r="H2440" s="4502"/>
      <c r="I2440" s="4502"/>
      <c r="J2440" s="4502"/>
      <c r="K2440" s="4502"/>
      <c r="L2440" s="4502"/>
      <c r="M2440" s="4502"/>
    </row>
    <row r="2441" spans="1:13" hidden="1">
      <c r="A2441" s="4501" t="s">
        <v>9172</v>
      </c>
      <c r="B2441" s="3">
        <v>4.0129999999999999</v>
      </c>
      <c r="E2441" s="4502"/>
      <c r="F2441" s="4502"/>
      <c r="G2441" s="4502"/>
      <c r="H2441" s="4502"/>
      <c r="I2441" s="4502"/>
      <c r="J2441" s="4502"/>
      <c r="K2441" s="4502"/>
      <c r="L2441" s="4502"/>
      <c r="M2441" s="4502"/>
    </row>
    <row r="2442" spans="1:13" hidden="1">
      <c r="A2442" s="4501" t="s">
        <v>9173</v>
      </c>
      <c r="B2442" s="3">
        <v>4.0093333333333296</v>
      </c>
      <c r="E2442" s="4502"/>
      <c r="F2442" s="4502"/>
      <c r="G2442" s="4502"/>
      <c r="H2442" s="4502"/>
      <c r="I2442" s="4502"/>
      <c r="J2442" s="4502"/>
      <c r="K2442" s="4502"/>
      <c r="L2442" s="4502"/>
      <c r="M2442" s="4502"/>
    </row>
    <row r="2443" spans="1:13" hidden="1">
      <c r="A2443" s="4501" t="s">
        <v>9174</v>
      </c>
      <c r="B2443" s="3">
        <v>4.00566666666667</v>
      </c>
      <c r="E2443" s="4502"/>
      <c r="F2443" s="4502"/>
      <c r="G2443" s="4502"/>
      <c r="H2443" s="4502"/>
      <c r="I2443" s="4502"/>
      <c r="J2443" s="4502"/>
      <c r="K2443" s="4502"/>
      <c r="L2443" s="4502"/>
      <c r="M2443" s="4502"/>
    </row>
    <row r="2444" spans="1:13" hidden="1">
      <c r="A2444" s="4501" t="s">
        <v>9175</v>
      </c>
      <c r="B2444" s="3">
        <v>4.0019999999999998</v>
      </c>
      <c r="E2444" s="4502"/>
      <c r="F2444" s="4502"/>
      <c r="G2444" s="4502"/>
      <c r="H2444" s="4502"/>
      <c r="I2444" s="4502"/>
      <c r="J2444" s="4502"/>
      <c r="K2444" s="4502"/>
      <c r="L2444" s="4502"/>
      <c r="M2444" s="4502"/>
    </row>
    <row r="2445" spans="1:13" hidden="1">
      <c r="A2445" s="4501" t="s">
        <v>9176</v>
      </c>
      <c r="B2445" s="3">
        <v>3.99833333333333</v>
      </c>
      <c r="E2445" s="4502"/>
      <c r="F2445" s="4502"/>
      <c r="G2445" s="4502"/>
      <c r="H2445" s="4502"/>
      <c r="I2445" s="4502"/>
      <c r="J2445" s="4502"/>
      <c r="K2445" s="4502"/>
      <c r="L2445" s="4502"/>
      <c r="M2445" s="4502"/>
    </row>
    <row r="2446" spans="1:13" hidden="1">
      <c r="A2446" s="4501" t="s">
        <v>9177</v>
      </c>
      <c r="B2446" s="3">
        <v>3.9946666666666699</v>
      </c>
      <c r="E2446" s="4502"/>
      <c r="F2446" s="4502"/>
      <c r="G2446" s="4502"/>
      <c r="H2446" s="4502"/>
      <c r="I2446" s="4502"/>
      <c r="J2446" s="4502"/>
      <c r="K2446" s="4502"/>
      <c r="L2446" s="4502"/>
      <c r="M2446" s="4502"/>
    </row>
    <row r="2447" spans="1:13" hidden="1">
      <c r="A2447" s="4501" t="s">
        <v>9178</v>
      </c>
      <c r="B2447" s="3">
        <v>3.9910000000000001</v>
      </c>
      <c r="E2447" s="4502"/>
      <c r="F2447" s="4502"/>
      <c r="G2447" s="4502"/>
      <c r="H2447" s="4502"/>
      <c r="I2447" s="4502"/>
      <c r="J2447" s="4502"/>
      <c r="K2447" s="4502"/>
      <c r="L2447" s="4502"/>
      <c r="M2447" s="4502"/>
    </row>
    <row r="2448" spans="1:13" hidden="1">
      <c r="A2448" s="4501" t="s">
        <v>9179</v>
      </c>
      <c r="B2448" s="3">
        <v>3.9873333333333298</v>
      </c>
      <c r="E2448" s="4502"/>
      <c r="F2448" s="4502"/>
      <c r="G2448" s="4502"/>
      <c r="H2448" s="4502"/>
      <c r="I2448" s="4502"/>
      <c r="J2448" s="4502"/>
      <c r="K2448" s="4502"/>
      <c r="L2448" s="4502"/>
      <c r="M2448" s="4502"/>
    </row>
    <row r="2449" spans="1:13" hidden="1">
      <c r="A2449" s="4501" t="s">
        <v>9180</v>
      </c>
      <c r="B2449" s="3">
        <v>3.9836666666666698</v>
      </c>
      <c r="E2449" s="4502"/>
      <c r="F2449" s="4502"/>
      <c r="G2449" s="4502"/>
      <c r="H2449" s="4502"/>
      <c r="I2449" s="4502"/>
      <c r="J2449" s="4502"/>
      <c r="K2449" s="4502"/>
      <c r="L2449" s="4502"/>
      <c r="M2449" s="4502"/>
    </row>
    <row r="2450" spans="1:13" hidden="1">
      <c r="A2450" s="4501" t="s">
        <v>9181</v>
      </c>
      <c r="B2450" s="3">
        <v>3.98</v>
      </c>
      <c r="E2450" s="4502"/>
      <c r="F2450" s="4502"/>
      <c r="G2450" s="4502"/>
      <c r="H2450" s="4502"/>
      <c r="I2450" s="4502"/>
      <c r="J2450" s="4502"/>
      <c r="K2450" s="4502"/>
      <c r="L2450" s="4502"/>
      <c r="M2450" s="4502"/>
    </row>
    <row r="2451" spans="1:13" hidden="1">
      <c r="A2451" s="4501" t="s">
        <v>9182</v>
      </c>
      <c r="B2451" s="3">
        <v>3.9695</v>
      </c>
      <c r="E2451" s="4502"/>
      <c r="F2451" s="4502"/>
      <c r="G2451" s="4502"/>
      <c r="H2451" s="4502"/>
      <c r="I2451" s="4502"/>
      <c r="J2451" s="4502"/>
      <c r="K2451" s="4502"/>
      <c r="L2451" s="4502"/>
      <c r="M2451" s="4502"/>
    </row>
    <row r="2452" spans="1:13" hidden="1">
      <c r="A2452" s="4501" t="s">
        <v>9183</v>
      </c>
      <c r="B2452" s="3">
        <v>3.9590000000000001</v>
      </c>
      <c r="E2452" s="4502"/>
      <c r="F2452" s="4502"/>
      <c r="G2452" s="4502"/>
      <c r="H2452" s="4502"/>
      <c r="I2452" s="4502"/>
      <c r="J2452" s="4502"/>
      <c r="K2452" s="4502"/>
      <c r="L2452" s="4502"/>
      <c r="M2452" s="4502"/>
    </row>
    <row r="2453" spans="1:13" hidden="1">
      <c r="A2453" s="4501" t="s">
        <v>9184</v>
      </c>
      <c r="B2453" s="3">
        <v>3.9485000000000001</v>
      </c>
      <c r="E2453" s="4502"/>
      <c r="F2453" s="4502"/>
      <c r="G2453" s="4502"/>
      <c r="H2453" s="4502"/>
      <c r="I2453" s="4502"/>
      <c r="J2453" s="4502"/>
      <c r="K2453" s="4502"/>
      <c r="L2453" s="4502"/>
      <c r="M2453" s="4502"/>
    </row>
    <row r="2454" spans="1:13" hidden="1">
      <c r="A2454" s="4501" t="s">
        <v>9185</v>
      </c>
      <c r="B2454" s="3">
        <v>3.9380000000000002</v>
      </c>
      <c r="E2454" s="4502"/>
      <c r="F2454" s="4502"/>
      <c r="G2454" s="4502"/>
      <c r="H2454" s="4502"/>
      <c r="I2454" s="4502"/>
      <c r="J2454" s="4502"/>
      <c r="K2454" s="4502"/>
      <c r="L2454" s="4502"/>
      <c r="M2454" s="4502"/>
    </row>
    <row r="2455" spans="1:13" hidden="1">
      <c r="A2455" s="4501" t="s">
        <v>9186</v>
      </c>
      <c r="B2455" s="3">
        <v>3.9275000000000002</v>
      </c>
      <c r="E2455" s="4502"/>
      <c r="F2455" s="4502"/>
      <c r="G2455" s="4502"/>
      <c r="H2455" s="4502"/>
      <c r="I2455" s="4502"/>
      <c r="J2455" s="4502"/>
      <c r="K2455" s="4502"/>
      <c r="L2455" s="4502"/>
      <c r="M2455" s="4502"/>
    </row>
    <row r="2456" spans="1:13" hidden="1">
      <c r="A2456" s="4501" t="s">
        <v>9187</v>
      </c>
      <c r="B2456" s="3">
        <v>3.9169999999999998</v>
      </c>
      <c r="E2456" s="4502"/>
      <c r="F2456" s="4502"/>
      <c r="G2456" s="4502"/>
      <c r="H2456" s="4502"/>
      <c r="I2456" s="4502"/>
      <c r="J2456" s="4502"/>
      <c r="K2456" s="4502"/>
      <c r="L2456" s="4502"/>
      <c r="M2456" s="4502"/>
    </row>
    <row r="2457" spans="1:13" hidden="1">
      <c r="A2457" s="4501" t="s">
        <v>9188</v>
      </c>
      <c r="B2457" s="3">
        <v>3.9064999999999999</v>
      </c>
      <c r="E2457" s="4502"/>
      <c r="F2457" s="4502"/>
      <c r="G2457" s="4502"/>
      <c r="H2457" s="4502"/>
      <c r="I2457" s="4502"/>
      <c r="J2457" s="4502"/>
      <c r="K2457" s="4502"/>
      <c r="L2457" s="4502"/>
      <c r="M2457" s="4502"/>
    </row>
    <row r="2458" spans="1:13" hidden="1">
      <c r="A2458" s="4501" t="s">
        <v>9189</v>
      </c>
      <c r="B2458" s="3">
        <v>3.8959999999999999</v>
      </c>
      <c r="E2458" s="4502"/>
      <c r="F2458" s="4502"/>
      <c r="G2458" s="4502"/>
      <c r="H2458" s="4502"/>
      <c r="I2458" s="4502"/>
      <c r="J2458" s="4502"/>
      <c r="K2458" s="4502"/>
      <c r="L2458" s="4502"/>
      <c r="M2458" s="4502"/>
    </row>
    <row r="2459" spans="1:13" hidden="1">
      <c r="A2459" s="4501" t="s">
        <v>9190</v>
      </c>
      <c r="B2459" s="3">
        <v>3.8855</v>
      </c>
      <c r="E2459" s="4502"/>
      <c r="F2459" s="4502"/>
      <c r="G2459" s="4502"/>
      <c r="H2459" s="4502"/>
      <c r="I2459" s="4502"/>
      <c r="J2459" s="4502"/>
      <c r="K2459" s="4502"/>
      <c r="L2459" s="4502"/>
      <c r="M2459" s="4502"/>
    </row>
    <row r="2460" spans="1:13" hidden="1">
      <c r="A2460" s="4501" t="s">
        <v>9191</v>
      </c>
      <c r="B2460" s="3">
        <v>3.875</v>
      </c>
      <c r="E2460" s="4502"/>
      <c r="F2460" s="4502"/>
      <c r="G2460" s="4502"/>
      <c r="H2460" s="4502"/>
      <c r="I2460" s="4502"/>
      <c r="J2460" s="4502"/>
      <c r="K2460" s="4502"/>
      <c r="L2460" s="4502"/>
      <c r="M2460" s="4502"/>
    </row>
    <row r="2461" spans="1:13" hidden="1">
      <c r="A2461" s="4501" t="s">
        <v>9192</v>
      </c>
      <c r="B2461" s="3">
        <v>3.8645</v>
      </c>
      <c r="E2461" s="4502"/>
      <c r="F2461" s="4502"/>
      <c r="G2461" s="4502"/>
      <c r="H2461" s="4502"/>
      <c r="I2461" s="4502"/>
      <c r="J2461" s="4502"/>
      <c r="K2461" s="4502"/>
      <c r="L2461" s="4502"/>
      <c r="M2461" s="4502"/>
    </row>
    <row r="2462" spans="1:13" hidden="1">
      <c r="A2462" s="4501" t="s">
        <v>9193</v>
      </c>
      <c r="B2462" s="3">
        <v>3.8540000000000001</v>
      </c>
      <c r="E2462" s="4502"/>
      <c r="F2462" s="4502"/>
      <c r="G2462" s="4502"/>
      <c r="H2462" s="4502"/>
      <c r="I2462" s="4502"/>
      <c r="J2462" s="4502"/>
      <c r="K2462" s="4502"/>
      <c r="L2462" s="4502"/>
      <c r="M2462" s="4502"/>
    </row>
    <row r="2463" spans="1:13" hidden="1">
      <c r="A2463" s="4501" t="s">
        <v>9194</v>
      </c>
      <c r="B2463" s="3">
        <v>3.8435000000000001</v>
      </c>
      <c r="E2463" s="4502"/>
      <c r="F2463" s="4502"/>
      <c r="G2463" s="4502"/>
      <c r="H2463" s="4502"/>
      <c r="I2463" s="4502"/>
      <c r="J2463" s="4502"/>
      <c r="K2463" s="4502"/>
      <c r="L2463" s="4502"/>
      <c r="M2463" s="4502"/>
    </row>
    <row r="2464" spans="1:13" hidden="1">
      <c r="A2464" s="4501" t="s">
        <v>9195</v>
      </c>
      <c r="B2464" s="3">
        <v>3.8330000000000002</v>
      </c>
      <c r="E2464" s="4502"/>
      <c r="F2464" s="4502"/>
      <c r="G2464" s="4502"/>
      <c r="H2464" s="4502"/>
      <c r="I2464" s="4502"/>
      <c r="J2464" s="4502"/>
      <c r="K2464" s="4502"/>
      <c r="L2464" s="4502"/>
      <c r="M2464" s="4502"/>
    </row>
    <row r="2465" spans="1:13" hidden="1">
      <c r="A2465" s="4501" t="s">
        <v>9196</v>
      </c>
      <c r="B2465" s="3">
        <v>3.8224999999999998</v>
      </c>
      <c r="E2465" s="4502"/>
      <c r="F2465" s="4502"/>
      <c r="G2465" s="4502"/>
      <c r="H2465" s="4502"/>
      <c r="I2465" s="4502"/>
      <c r="J2465" s="4502"/>
      <c r="K2465" s="4502"/>
      <c r="L2465" s="4502"/>
      <c r="M2465" s="4502"/>
    </row>
    <row r="2466" spans="1:13" hidden="1">
      <c r="A2466" s="4501" t="s">
        <v>9197</v>
      </c>
      <c r="B2466" s="3">
        <v>3.8119999999999998</v>
      </c>
      <c r="E2466" s="4502"/>
      <c r="F2466" s="4502"/>
      <c r="G2466" s="4502"/>
      <c r="H2466" s="4502"/>
      <c r="I2466" s="4502"/>
      <c r="J2466" s="4502"/>
      <c r="K2466" s="4502"/>
      <c r="L2466" s="4502"/>
      <c r="M2466" s="4502"/>
    </row>
    <row r="2467" spans="1:13" hidden="1">
      <c r="A2467" s="4501" t="s">
        <v>9198</v>
      </c>
      <c r="B2467" s="3">
        <v>3.8014999999999999</v>
      </c>
      <c r="E2467" s="4502"/>
      <c r="F2467" s="4502"/>
      <c r="G2467" s="4502"/>
      <c r="H2467" s="4502"/>
      <c r="I2467" s="4502"/>
      <c r="J2467" s="4502"/>
      <c r="K2467" s="4502"/>
      <c r="L2467" s="4502"/>
      <c r="M2467" s="4502"/>
    </row>
    <row r="2468" spans="1:13" hidden="1">
      <c r="A2468" s="4501" t="s">
        <v>9199</v>
      </c>
      <c r="B2468" s="3">
        <v>3.7909999999999999</v>
      </c>
      <c r="E2468" s="4502"/>
      <c r="F2468" s="4502"/>
      <c r="G2468" s="4502"/>
      <c r="H2468" s="4502"/>
      <c r="I2468" s="4502"/>
      <c r="J2468" s="4502"/>
      <c r="K2468" s="4502"/>
      <c r="L2468" s="4502"/>
      <c r="M2468" s="4502"/>
    </row>
    <row r="2469" spans="1:13" hidden="1">
      <c r="A2469" s="4501" t="s">
        <v>9200</v>
      </c>
      <c r="B2469" s="3">
        <v>3.7805</v>
      </c>
      <c r="E2469" s="4502"/>
      <c r="F2469" s="4502"/>
      <c r="G2469" s="4502"/>
      <c r="H2469" s="4502"/>
      <c r="I2469" s="4502"/>
      <c r="J2469" s="4502"/>
      <c r="K2469" s="4502"/>
      <c r="L2469" s="4502"/>
      <c r="M2469" s="4502"/>
    </row>
    <row r="2470" spans="1:13" hidden="1">
      <c r="A2470" s="4501" t="s">
        <v>9201</v>
      </c>
      <c r="B2470" s="3">
        <v>3.77</v>
      </c>
      <c r="E2470" s="4502"/>
      <c r="F2470" s="4502"/>
      <c r="G2470" s="4502"/>
      <c r="H2470" s="4502"/>
      <c r="I2470" s="4502"/>
      <c r="J2470" s="4502"/>
      <c r="K2470" s="4502"/>
      <c r="L2470" s="4502"/>
      <c r="M2470" s="4502"/>
    </row>
    <row r="2471" spans="1:13" hidden="1">
      <c r="A2471" s="4501" t="s">
        <v>9202</v>
      </c>
      <c r="B2471" s="3">
        <v>3.7595000000000001</v>
      </c>
      <c r="E2471" s="4502"/>
      <c r="F2471" s="4502"/>
      <c r="G2471" s="4502"/>
      <c r="H2471" s="4502"/>
      <c r="I2471" s="4502"/>
      <c r="J2471" s="4502"/>
      <c r="K2471" s="4502"/>
      <c r="L2471" s="4502"/>
      <c r="M2471" s="4502"/>
    </row>
    <row r="2472" spans="1:13" hidden="1">
      <c r="A2472" s="4501" t="s">
        <v>9203</v>
      </c>
      <c r="B2472" s="3">
        <v>3.7490000000000001</v>
      </c>
      <c r="E2472" s="4502"/>
      <c r="F2472" s="4502"/>
      <c r="G2472" s="4502"/>
      <c r="H2472" s="4502"/>
      <c r="I2472" s="4502"/>
      <c r="J2472" s="4502"/>
      <c r="K2472" s="4502"/>
      <c r="L2472" s="4502"/>
      <c r="M2472" s="4502"/>
    </row>
    <row r="2473" spans="1:13" hidden="1">
      <c r="A2473" s="4501" t="s">
        <v>9204</v>
      </c>
      <c r="B2473" s="3">
        <v>3.7385000000000002</v>
      </c>
      <c r="E2473" s="4502"/>
      <c r="F2473" s="4502"/>
      <c r="G2473" s="4502"/>
      <c r="H2473" s="4502"/>
      <c r="I2473" s="4502"/>
      <c r="J2473" s="4502"/>
      <c r="K2473" s="4502"/>
      <c r="L2473" s="4502"/>
      <c r="M2473" s="4502"/>
    </row>
    <row r="2474" spans="1:13" hidden="1">
      <c r="A2474" s="4501" t="s">
        <v>9205</v>
      </c>
      <c r="B2474" s="3">
        <v>3.7280000000000002</v>
      </c>
      <c r="E2474" s="4502"/>
      <c r="F2474" s="4502"/>
      <c r="G2474" s="4502"/>
      <c r="H2474" s="4502"/>
      <c r="I2474" s="4502"/>
      <c r="J2474" s="4502"/>
      <c r="K2474" s="4502"/>
      <c r="L2474" s="4502"/>
      <c r="M2474" s="4502"/>
    </row>
    <row r="2475" spans="1:13" hidden="1">
      <c r="A2475" s="4501" t="s">
        <v>9206</v>
      </c>
      <c r="B2475" s="3">
        <v>3.7174999999999998</v>
      </c>
      <c r="E2475" s="4502"/>
      <c r="F2475" s="4502"/>
      <c r="G2475" s="4502"/>
      <c r="H2475" s="4502"/>
      <c r="I2475" s="4502"/>
      <c r="J2475" s="4502"/>
      <c r="K2475" s="4502"/>
      <c r="L2475" s="4502"/>
      <c r="M2475" s="4502"/>
    </row>
    <row r="2476" spans="1:13" hidden="1">
      <c r="A2476" s="4501" t="s">
        <v>9207</v>
      </c>
      <c r="B2476" s="3">
        <v>3.7069999999999999</v>
      </c>
      <c r="E2476" s="4502"/>
      <c r="F2476" s="4502"/>
      <c r="G2476" s="4502"/>
      <c r="H2476" s="4502"/>
      <c r="I2476" s="4502"/>
      <c r="J2476" s="4502"/>
      <c r="K2476" s="4502"/>
      <c r="L2476" s="4502"/>
      <c r="M2476" s="4502"/>
    </row>
    <row r="2477" spans="1:13" hidden="1">
      <c r="A2477" s="4501" t="s">
        <v>9208</v>
      </c>
      <c r="B2477" s="3">
        <v>3.6964999999999999</v>
      </c>
      <c r="E2477" s="4502"/>
      <c r="F2477" s="4502"/>
      <c r="G2477" s="4502"/>
      <c r="H2477" s="4502"/>
      <c r="I2477" s="4502"/>
      <c r="J2477" s="4502"/>
      <c r="K2477" s="4502"/>
      <c r="L2477" s="4502"/>
      <c r="M2477" s="4502"/>
    </row>
    <row r="2478" spans="1:13" hidden="1">
      <c r="A2478" s="4501" t="s">
        <v>9209</v>
      </c>
      <c r="B2478" s="3">
        <v>3.6859999999999999</v>
      </c>
      <c r="E2478" s="4502"/>
      <c r="F2478" s="4502"/>
      <c r="G2478" s="4502"/>
      <c r="H2478" s="4502"/>
      <c r="I2478" s="4502"/>
      <c r="J2478" s="4502"/>
      <c r="K2478" s="4502"/>
      <c r="L2478" s="4502"/>
      <c r="M2478" s="4502"/>
    </row>
    <row r="2479" spans="1:13" hidden="1">
      <c r="A2479" s="4501" t="s">
        <v>9210</v>
      </c>
      <c r="B2479" s="3">
        <v>3.66851515151515</v>
      </c>
      <c r="E2479" s="4502"/>
      <c r="F2479" s="4502"/>
      <c r="G2479" s="4502"/>
      <c r="H2479" s="4502"/>
      <c r="I2479" s="4502"/>
      <c r="J2479" s="4502"/>
      <c r="K2479" s="4502"/>
      <c r="L2479" s="4502"/>
      <c r="M2479" s="4502"/>
    </row>
    <row r="2480" spans="1:13" hidden="1">
      <c r="A2480" s="4501" t="s">
        <v>9211</v>
      </c>
      <c r="B2480" s="3">
        <v>3.6510303030303</v>
      </c>
      <c r="E2480" s="4502"/>
      <c r="F2480" s="4502"/>
      <c r="G2480" s="4502"/>
      <c r="H2480" s="4502"/>
      <c r="I2480" s="4502"/>
      <c r="J2480" s="4502"/>
      <c r="K2480" s="4502"/>
      <c r="L2480" s="4502"/>
      <c r="M2480" s="4502"/>
    </row>
    <row r="2481" spans="1:13" hidden="1">
      <c r="A2481" s="4501" t="s">
        <v>9212</v>
      </c>
      <c r="B2481" s="3">
        <v>3.63354545454545</v>
      </c>
      <c r="E2481" s="4502"/>
      <c r="F2481" s="4502"/>
      <c r="G2481" s="4502"/>
      <c r="H2481" s="4502"/>
      <c r="I2481" s="4502"/>
      <c r="J2481" s="4502"/>
      <c r="K2481" s="4502"/>
      <c r="L2481" s="4502"/>
      <c r="M2481" s="4502"/>
    </row>
    <row r="2482" spans="1:13" hidden="1">
      <c r="A2482" s="4501" t="s">
        <v>9213</v>
      </c>
      <c r="B2482" s="3">
        <v>3.6160606060606102</v>
      </c>
      <c r="E2482" s="4502"/>
      <c r="F2482" s="4502"/>
      <c r="G2482" s="4502"/>
      <c r="H2482" s="4502"/>
      <c r="I2482" s="4502"/>
      <c r="J2482" s="4502"/>
      <c r="K2482" s="4502"/>
      <c r="L2482" s="4502"/>
      <c r="M2482" s="4502"/>
    </row>
    <row r="2483" spans="1:13" hidden="1">
      <c r="A2483" s="4501" t="s">
        <v>9214</v>
      </c>
      <c r="B2483" s="3">
        <v>3.5985757575757602</v>
      </c>
      <c r="E2483" s="4502"/>
      <c r="F2483" s="4502"/>
      <c r="G2483" s="4502"/>
      <c r="H2483" s="4502"/>
      <c r="I2483" s="4502"/>
      <c r="J2483" s="4502"/>
      <c r="K2483" s="4502"/>
      <c r="L2483" s="4502"/>
      <c r="M2483" s="4502"/>
    </row>
    <row r="2484" spans="1:13" hidden="1">
      <c r="A2484" s="4501" t="s">
        <v>9215</v>
      </c>
      <c r="B2484" s="3">
        <v>3.5810909090909102</v>
      </c>
      <c r="E2484" s="4502"/>
      <c r="F2484" s="4502"/>
      <c r="G2484" s="4502"/>
      <c r="H2484" s="4502"/>
      <c r="I2484" s="4502"/>
      <c r="J2484" s="4502"/>
      <c r="K2484" s="4502"/>
      <c r="L2484" s="4502"/>
      <c r="M2484" s="4502"/>
    </row>
    <row r="2485" spans="1:13" hidden="1">
      <c r="A2485" s="4501" t="s">
        <v>9216</v>
      </c>
      <c r="B2485" s="3">
        <v>3.5636060606060602</v>
      </c>
      <c r="E2485" s="4502"/>
      <c r="F2485" s="4502"/>
      <c r="G2485" s="4502"/>
      <c r="H2485" s="4502"/>
      <c r="I2485" s="4502"/>
      <c r="J2485" s="4502"/>
      <c r="K2485" s="4502"/>
      <c r="L2485" s="4502"/>
      <c r="M2485" s="4502"/>
    </row>
    <row r="2486" spans="1:13" hidden="1">
      <c r="A2486" s="4501" t="s">
        <v>9217</v>
      </c>
      <c r="B2486" s="3">
        <v>3.5461212121212098</v>
      </c>
      <c r="E2486" s="4502"/>
      <c r="F2486" s="4502"/>
      <c r="G2486" s="4502"/>
      <c r="H2486" s="4502"/>
      <c r="I2486" s="4502"/>
      <c r="J2486" s="4502"/>
      <c r="K2486" s="4502"/>
      <c r="L2486" s="4502"/>
      <c r="M2486" s="4502"/>
    </row>
    <row r="2487" spans="1:13" hidden="1">
      <c r="A2487" s="4501" t="s">
        <v>9218</v>
      </c>
      <c r="B2487" s="3">
        <v>3.5286363636363598</v>
      </c>
      <c r="E2487" s="4502"/>
      <c r="F2487" s="4502"/>
      <c r="G2487" s="4502"/>
      <c r="H2487" s="4502"/>
      <c r="I2487" s="4502"/>
      <c r="J2487" s="4502"/>
      <c r="K2487" s="4502"/>
      <c r="L2487" s="4502"/>
      <c r="M2487" s="4502"/>
    </row>
    <row r="2488" spans="1:13" hidden="1">
      <c r="A2488" s="4501" t="s">
        <v>9219</v>
      </c>
      <c r="B2488" s="3">
        <v>3.51115151515152</v>
      </c>
      <c r="E2488" s="4502"/>
      <c r="F2488" s="4502"/>
      <c r="G2488" s="4502"/>
      <c r="H2488" s="4502"/>
      <c r="I2488" s="4502"/>
      <c r="J2488" s="4502"/>
      <c r="K2488" s="4502"/>
      <c r="L2488" s="4502"/>
      <c r="M2488" s="4502"/>
    </row>
    <row r="2489" spans="1:13" hidden="1">
      <c r="A2489" s="4501" t="s">
        <v>9220</v>
      </c>
      <c r="B2489" s="3">
        <v>3.49366666666667</v>
      </c>
      <c r="E2489" s="4502"/>
      <c r="F2489" s="4502"/>
      <c r="G2489" s="4502"/>
      <c r="H2489" s="4502"/>
      <c r="I2489" s="4502"/>
      <c r="J2489" s="4502"/>
      <c r="K2489" s="4502"/>
      <c r="L2489" s="4502"/>
      <c r="M2489" s="4502"/>
    </row>
    <row r="2490" spans="1:13" hidden="1">
      <c r="A2490" s="4501" t="s">
        <v>9221</v>
      </c>
      <c r="B2490" s="3">
        <v>3.47618181818182</v>
      </c>
      <c r="E2490" s="4502"/>
      <c r="F2490" s="4502"/>
      <c r="G2490" s="4502"/>
      <c r="H2490" s="4502"/>
      <c r="I2490" s="4502"/>
      <c r="J2490" s="4502"/>
      <c r="K2490" s="4502"/>
      <c r="L2490" s="4502"/>
      <c r="M2490" s="4502"/>
    </row>
    <row r="2491" spans="1:13" hidden="1">
      <c r="A2491" s="4501" t="s">
        <v>9222</v>
      </c>
      <c r="B2491" s="3">
        <v>3.45869696969697</v>
      </c>
      <c r="E2491" s="4502"/>
      <c r="F2491" s="4502"/>
      <c r="G2491" s="4502"/>
      <c r="H2491" s="4502"/>
      <c r="I2491" s="4502"/>
      <c r="J2491" s="4502"/>
      <c r="K2491" s="4502"/>
      <c r="L2491" s="4502"/>
      <c r="M2491" s="4502"/>
    </row>
    <row r="2492" spans="1:13" hidden="1">
      <c r="A2492" s="4501" t="s">
        <v>9223</v>
      </c>
      <c r="B2492" s="3">
        <v>3.4412121212121201</v>
      </c>
      <c r="E2492" s="4502"/>
      <c r="F2492" s="4502"/>
      <c r="G2492" s="4502"/>
      <c r="H2492" s="4502"/>
      <c r="I2492" s="4502"/>
      <c r="J2492" s="4502"/>
      <c r="K2492" s="4502"/>
      <c r="L2492" s="4502"/>
      <c r="M2492" s="4502"/>
    </row>
    <row r="2493" spans="1:13" hidden="1">
      <c r="A2493" s="4501" t="s">
        <v>9224</v>
      </c>
      <c r="B2493" s="3">
        <v>3.4237272727272701</v>
      </c>
      <c r="E2493" s="4502"/>
      <c r="F2493" s="4502"/>
      <c r="G2493" s="4502"/>
      <c r="H2493" s="4502"/>
      <c r="I2493" s="4502"/>
      <c r="J2493" s="4502"/>
      <c r="K2493" s="4502"/>
      <c r="L2493" s="4502"/>
      <c r="M2493" s="4502"/>
    </row>
    <row r="2494" spans="1:13" hidden="1">
      <c r="A2494" s="4501" t="s">
        <v>9225</v>
      </c>
      <c r="B2494" s="3">
        <v>3.4062424242424201</v>
      </c>
      <c r="E2494" s="4502"/>
      <c r="F2494" s="4502"/>
      <c r="G2494" s="4502"/>
      <c r="H2494" s="4502"/>
      <c r="I2494" s="4502"/>
      <c r="J2494" s="4502"/>
      <c r="K2494" s="4502"/>
      <c r="L2494" s="4502"/>
      <c r="M2494" s="4502"/>
    </row>
    <row r="2495" spans="1:13" hidden="1">
      <c r="A2495" s="4501" t="s">
        <v>9226</v>
      </c>
      <c r="B2495" s="3">
        <v>3.3887575757575799</v>
      </c>
      <c r="E2495" s="4502"/>
      <c r="F2495" s="4502"/>
      <c r="G2495" s="4502"/>
      <c r="H2495" s="4502"/>
      <c r="I2495" s="4502"/>
      <c r="J2495" s="4502"/>
      <c r="K2495" s="4502"/>
      <c r="L2495" s="4502"/>
      <c r="M2495" s="4502"/>
    </row>
    <row r="2496" spans="1:13" hidden="1">
      <c r="A2496" s="4501" t="s">
        <v>9227</v>
      </c>
      <c r="B2496" s="3">
        <v>3.3712727272727299</v>
      </c>
      <c r="E2496" s="4502"/>
      <c r="F2496" s="4502"/>
      <c r="G2496" s="4502"/>
      <c r="H2496" s="4502"/>
      <c r="I2496" s="4502"/>
      <c r="J2496" s="4502"/>
      <c r="K2496" s="4502"/>
      <c r="L2496" s="4502"/>
      <c r="M2496" s="4502"/>
    </row>
    <row r="2497" spans="1:13" hidden="1">
      <c r="A2497" s="4501" t="s">
        <v>9228</v>
      </c>
      <c r="B2497" s="3">
        <v>3.3537878787878799</v>
      </c>
      <c r="E2497" s="4502"/>
      <c r="F2497" s="4502"/>
      <c r="G2497" s="4502"/>
      <c r="H2497" s="4502"/>
      <c r="I2497" s="4502"/>
      <c r="J2497" s="4502"/>
      <c r="K2497" s="4502"/>
      <c r="L2497" s="4502"/>
      <c r="M2497" s="4502"/>
    </row>
    <row r="2498" spans="1:13" hidden="1">
      <c r="A2498" s="4501" t="s">
        <v>9229</v>
      </c>
      <c r="B2498" s="3">
        <v>3.3363030303030299</v>
      </c>
      <c r="E2498" s="4502"/>
      <c r="F2498" s="4502"/>
      <c r="G2498" s="4502"/>
      <c r="H2498" s="4502"/>
      <c r="I2498" s="4502"/>
      <c r="J2498" s="4502"/>
      <c r="K2498" s="4502"/>
      <c r="L2498" s="4502"/>
      <c r="M2498" s="4502"/>
    </row>
    <row r="2499" spans="1:13" hidden="1">
      <c r="A2499" s="4501" t="s">
        <v>9230</v>
      </c>
      <c r="B2499" s="3">
        <v>3.3188181818181799</v>
      </c>
      <c r="E2499" s="4502"/>
      <c r="F2499" s="4502"/>
      <c r="G2499" s="4502"/>
      <c r="H2499" s="4502"/>
      <c r="I2499" s="4502"/>
      <c r="J2499" s="4502"/>
      <c r="K2499" s="4502"/>
      <c r="L2499" s="4502"/>
      <c r="M2499" s="4502"/>
    </row>
    <row r="2500" spans="1:13" hidden="1">
      <c r="A2500" s="4501" t="s">
        <v>9231</v>
      </c>
      <c r="B2500" s="3">
        <v>3.3013333333333299</v>
      </c>
      <c r="E2500" s="4502"/>
      <c r="F2500" s="4502"/>
      <c r="G2500" s="4502"/>
      <c r="H2500" s="4502"/>
      <c r="I2500" s="4502"/>
      <c r="J2500" s="4502"/>
      <c r="K2500" s="4502"/>
      <c r="L2500" s="4502"/>
      <c r="M2500" s="4502"/>
    </row>
    <row r="2501" spans="1:13" hidden="1">
      <c r="A2501" s="4501" t="s">
        <v>9232</v>
      </c>
      <c r="B2501" s="3">
        <v>3.2838484848484799</v>
      </c>
      <c r="E2501" s="4502"/>
      <c r="F2501" s="4502"/>
      <c r="G2501" s="4502"/>
      <c r="H2501" s="4502"/>
      <c r="I2501" s="4502"/>
      <c r="J2501" s="4502"/>
      <c r="K2501" s="4502"/>
      <c r="L2501" s="4502"/>
      <c r="M2501" s="4502"/>
    </row>
    <row r="2502" spans="1:13" hidden="1">
      <c r="A2502" s="4501" t="s">
        <v>9233</v>
      </c>
      <c r="B2502" s="3">
        <v>3.2663636363636401</v>
      </c>
      <c r="E2502" s="4502"/>
      <c r="F2502" s="4502"/>
      <c r="G2502" s="4502"/>
      <c r="H2502" s="4502"/>
      <c r="I2502" s="4502"/>
      <c r="J2502" s="4502"/>
      <c r="K2502" s="4502"/>
      <c r="L2502" s="4502"/>
      <c r="M2502" s="4502"/>
    </row>
    <row r="2503" spans="1:13" hidden="1">
      <c r="A2503" s="4501" t="s">
        <v>9234</v>
      </c>
      <c r="B2503" s="3">
        <v>3.2488787878787901</v>
      </c>
      <c r="E2503" s="4502"/>
      <c r="F2503" s="4502"/>
      <c r="G2503" s="4502"/>
      <c r="H2503" s="4502"/>
      <c r="I2503" s="4502"/>
      <c r="J2503" s="4502"/>
      <c r="K2503" s="4502"/>
      <c r="L2503" s="4502"/>
      <c r="M2503" s="4502"/>
    </row>
    <row r="2504" spans="1:13" hidden="1">
      <c r="A2504" s="4501" t="s">
        <v>9235</v>
      </c>
      <c r="B2504" s="3">
        <v>3.2313939393939402</v>
      </c>
      <c r="E2504" s="4502"/>
      <c r="F2504" s="4502"/>
      <c r="G2504" s="4502"/>
      <c r="H2504" s="4502"/>
      <c r="I2504" s="4502"/>
      <c r="J2504" s="4502"/>
      <c r="K2504" s="4502"/>
      <c r="L2504" s="4502"/>
      <c r="M2504" s="4502"/>
    </row>
    <row r="2505" spans="1:13" hidden="1">
      <c r="A2505" s="4501" t="s">
        <v>9236</v>
      </c>
      <c r="B2505" s="3">
        <v>3.2139090909090902</v>
      </c>
      <c r="E2505" s="4502"/>
      <c r="F2505" s="4502"/>
      <c r="G2505" s="4502"/>
      <c r="H2505" s="4502"/>
      <c r="I2505" s="4502"/>
      <c r="J2505" s="4502"/>
      <c r="K2505" s="4502"/>
      <c r="L2505" s="4502"/>
      <c r="M2505" s="4502"/>
    </row>
    <row r="2506" spans="1:13" hidden="1">
      <c r="A2506" s="4501" t="s">
        <v>9237</v>
      </c>
      <c r="B2506" s="3">
        <v>3.1964242424242402</v>
      </c>
      <c r="E2506" s="4502"/>
      <c r="F2506" s="4502"/>
      <c r="G2506" s="4502"/>
      <c r="H2506" s="4502"/>
      <c r="I2506" s="4502"/>
      <c r="J2506" s="4502"/>
      <c r="K2506" s="4502"/>
      <c r="L2506" s="4502"/>
      <c r="M2506" s="4502"/>
    </row>
    <row r="2507" spans="1:13" hidden="1">
      <c r="A2507" s="4501" t="s">
        <v>9238</v>
      </c>
      <c r="B2507" s="3">
        <v>3.1789393939393902</v>
      </c>
      <c r="E2507" s="4502"/>
      <c r="F2507" s="4502"/>
      <c r="G2507" s="4502"/>
      <c r="H2507" s="4502"/>
      <c r="I2507" s="4502"/>
      <c r="J2507" s="4502"/>
      <c r="K2507" s="4502"/>
      <c r="L2507" s="4502"/>
      <c r="M2507" s="4502"/>
    </row>
    <row r="2508" spans="1:13" hidden="1">
      <c r="A2508" s="4501" t="s">
        <v>9239</v>
      </c>
      <c r="B2508" s="3">
        <v>3.16145454545455</v>
      </c>
      <c r="E2508" s="4502"/>
      <c r="F2508" s="4502"/>
      <c r="G2508" s="4502"/>
      <c r="H2508" s="4502"/>
      <c r="I2508" s="4502"/>
      <c r="J2508" s="4502"/>
      <c r="K2508" s="4502"/>
      <c r="L2508" s="4502"/>
      <c r="M2508" s="4502"/>
    </row>
    <row r="2509" spans="1:13" hidden="1">
      <c r="A2509" s="4501" t="s">
        <v>9240</v>
      </c>
      <c r="B2509" s="3">
        <v>3.1439696969697</v>
      </c>
      <c r="E2509" s="4502"/>
      <c r="F2509" s="4502"/>
      <c r="G2509" s="4502"/>
      <c r="H2509" s="4502"/>
      <c r="I2509" s="4502"/>
      <c r="J2509" s="4502"/>
      <c r="K2509" s="4502"/>
      <c r="L2509" s="4502"/>
      <c r="M2509" s="4502"/>
    </row>
    <row r="2510" spans="1:13" hidden="1">
      <c r="A2510" s="4501" t="s">
        <v>9241</v>
      </c>
      <c r="B2510" s="3">
        <v>3.12648484848485</v>
      </c>
      <c r="E2510" s="4502"/>
      <c r="F2510" s="4502"/>
      <c r="G2510" s="4502"/>
      <c r="H2510" s="4502"/>
      <c r="I2510" s="4502"/>
      <c r="J2510" s="4502"/>
      <c r="K2510" s="4502"/>
      <c r="L2510" s="4502"/>
      <c r="M2510" s="4502"/>
    </row>
    <row r="2511" spans="1:13" hidden="1">
      <c r="A2511" s="4501" t="s">
        <v>9242</v>
      </c>
      <c r="B2511" s="3">
        <v>3.109</v>
      </c>
      <c r="E2511" s="4502"/>
      <c r="F2511" s="4502"/>
      <c r="G2511" s="4502"/>
      <c r="H2511" s="4502"/>
      <c r="I2511" s="4502"/>
      <c r="J2511" s="4502"/>
      <c r="K2511" s="4502"/>
      <c r="L2511" s="4502"/>
      <c r="M2511" s="4502"/>
    </row>
    <row r="2512" spans="1:13" hidden="1">
      <c r="A2512" s="4501" t="s">
        <v>9243</v>
      </c>
      <c r="B2512" s="3">
        <v>3.1065</v>
      </c>
      <c r="E2512" s="4502"/>
      <c r="F2512" s="4502"/>
      <c r="G2512" s="4502"/>
      <c r="H2512" s="4502"/>
      <c r="I2512" s="4502"/>
      <c r="J2512" s="4502"/>
      <c r="K2512" s="4502"/>
      <c r="L2512" s="4502"/>
      <c r="M2512" s="4502"/>
    </row>
    <row r="2513" spans="1:13" hidden="1">
      <c r="A2513" s="4501" t="s">
        <v>9244</v>
      </c>
      <c r="B2513" s="3">
        <v>3.1040000000000001</v>
      </c>
      <c r="E2513" s="4502"/>
      <c r="F2513" s="4502"/>
      <c r="G2513" s="4502"/>
      <c r="H2513" s="4502"/>
      <c r="I2513" s="4502"/>
      <c r="J2513" s="4502"/>
      <c r="K2513" s="4502"/>
      <c r="L2513" s="4502"/>
      <c r="M2513" s="4502"/>
    </row>
    <row r="2514" spans="1:13" hidden="1">
      <c r="A2514" s="4501" t="s">
        <v>9245</v>
      </c>
      <c r="B2514" s="3">
        <v>3.1015000000000001</v>
      </c>
      <c r="E2514" s="4502"/>
      <c r="F2514" s="4502"/>
      <c r="G2514" s="4502"/>
      <c r="H2514" s="4502"/>
      <c r="I2514" s="4502"/>
      <c r="J2514" s="4502"/>
      <c r="K2514" s="4502"/>
      <c r="L2514" s="4502"/>
      <c r="M2514" s="4502"/>
    </row>
    <row r="2515" spans="1:13" hidden="1">
      <c r="A2515" s="4501" t="s">
        <v>9246</v>
      </c>
      <c r="B2515" s="3">
        <v>3.0990000000000002</v>
      </c>
      <c r="E2515" s="4502"/>
      <c r="F2515" s="4502"/>
      <c r="G2515" s="4502"/>
      <c r="H2515" s="4502"/>
      <c r="I2515" s="4502"/>
      <c r="J2515" s="4502"/>
      <c r="K2515" s="4502"/>
      <c r="L2515" s="4502"/>
      <c r="M2515" s="4502"/>
    </row>
    <row r="2516" spans="1:13" hidden="1">
      <c r="A2516" s="4501" t="s">
        <v>9247</v>
      </c>
      <c r="B2516" s="3">
        <v>3.0964999999999998</v>
      </c>
      <c r="E2516" s="4502"/>
      <c r="F2516" s="4502"/>
      <c r="G2516" s="4502"/>
      <c r="H2516" s="4502"/>
      <c r="I2516" s="4502"/>
      <c r="J2516" s="4502"/>
      <c r="K2516" s="4502"/>
      <c r="L2516" s="4502"/>
      <c r="M2516" s="4502"/>
    </row>
    <row r="2517" spans="1:13" hidden="1">
      <c r="A2517" s="4501" t="s">
        <v>9248</v>
      </c>
      <c r="B2517" s="3">
        <v>3.0939999999999999</v>
      </c>
      <c r="E2517" s="4502"/>
      <c r="F2517" s="4502"/>
      <c r="G2517" s="4502"/>
      <c r="H2517" s="4502"/>
      <c r="I2517" s="4502"/>
      <c r="J2517" s="4502"/>
      <c r="K2517" s="4502"/>
      <c r="L2517" s="4502"/>
      <c r="M2517" s="4502"/>
    </row>
    <row r="2518" spans="1:13" hidden="1">
      <c r="A2518" s="4501" t="s">
        <v>9249</v>
      </c>
      <c r="B2518" s="3">
        <v>3.0914999999999999</v>
      </c>
      <c r="E2518" s="4502"/>
      <c r="F2518" s="4502"/>
      <c r="G2518" s="4502"/>
      <c r="H2518" s="4502"/>
      <c r="I2518" s="4502"/>
      <c r="J2518" s="4502"/>
      <c r="K2518" s="4502"/>
      <c r="L2518" s="4502"/>
      <c r="M2518" s="4502"/>
    </row>
    <row r="2519" spans="1:13" hidden="1">
      <c r="A2519" s="4501" t="s">
        <v>9250</v>
      </c>
      <c r="B2519" s="3">
        <v>3.089</v>
      </c>
      <c r="E2519" s="4502"/>
      <c r="F2519" s="4502"/>
      <c r="G2519" s="4502"/>
      <c r="H2519" s="4502"/>
      <c r="I2519" s="4502"/>
      <c r="J2519" s="4502"/>
      <c r="K2519" s="4502"/>
      <c r="L2519" s="4502"/>
      <c r="M2519" s="4502"/>
    </row>
    <row r="2520" spans="1:13" hidden="1">
      <c r="A2520" s="4501" t="s">
        <v>9251</v>
      </c>
      <c r="B2520" s="3">
        <v>3.0865</v>
      </c>
      <c r="E2520" s="4502"/>
      <c r="F2520" s="4502"/>
      <c r="G2520" s="4502"/>
      <c r="H2520" s="4502"/>
      <c r="I2520" s="4502"/>
      <c r="J2520" s="4502"/>
      <c r="K2520" s="4502"/>
      <c r="L2520" s="4502"/>
      <c r="M2520" s="4502"/>
    </row>
    <row r="2521" spans="1:13" hidden="1">
      <c r="A2521" s="4501" t="s">
        <v>9252</v>
      </c>
      <c r="B2521" s="3">
        <v>3.0840000000000001</v>
      </c>
      <c r="E2521" s="4502"/>
      <c r="F2521" s="4502"/>
      <c r="G2521" s="4502"/>
      <c r="H2521" s="4502"/>
      <c r="I2521" s="4502"/>
      <c r="J2521" s="4502"/>
      <c r="K2521" s="4502"/>
      <c r="L2521" s="4502"/>
      <c r="M2521" s="4502"/>
    </row>
    <row r="2522" spans="1:13" hidden="1">
      <c r="A2522" s="4501" t="s">
        <v>9253</v>
      </c>
      <c r="B2522" s="3">
        <v>3.0815000000000001</v>
      </c>
      <c r="E2522" s="4502"/>
      <c r="F2522" s="4502"/>
      <c r="G2522" s="4502"/>
      <c r="H2522" s="4502"/>
      <c r="I2522" s="4502"/>
      <c r="J2522" s="4502"/>
      <c r="K2522" s="4502"/>
      <c r="L2522" s="4502"/>
      <c r="M2522" s="4502"/>
    </row>
    <row r="2523" spans="1:13" hidden="1">
      <c r="A2523" s="4501" t="s">
        <v>9254</v>
      </c>
      <c r="B2523" s="3">
        <v>3.0790000000000002</v>
      </c>
      <c r="E2523" s="4502"/>
      <c r="F2523" s="4502"/>
      <c r="G2523" s="4502"/>
      <c r="H2523" s="4502"/>
      <c r="I2523" s="4502"/>
      <c r="J2523" s="4502"/>
      <c r="K2523" s="4502"/>
      <c r="L2523" s="4502"/>
      <c r="M2523" s="4502"/>
    </row>
    <row r="2524" spans="1:13" hidden="1">
      <c r="A2524" s="4501" t="s">
        <v>9255</v>
      </c>
      <c r="B2524" s="3">
        <v>3.0764999999999998</v>
      </c>
      <c r="E2524" s="4502"/>
      <c r="F2524" s="4502"/>
      <c r="G2524" s="4502"/>
      <c r="H2524" s="4502"/>
      <c r="I2524" s="4502"/>
      <c r="J2524" s="4502"/>
      <c r="K2524" s="4502"/>
      <c r="L2524" s="4502"/>
      <c r="M2524" s="4502"/>
    </row>
    <row r="2525" spans="1:13" hidden="1">
      <c r="A2525" s="4501" t="s">
        <v>9256</v>
      </c>
      <c r="B2525" s="3">
        <v>3.0739999999999998</v>
      </c>
      <c r="E2525" s="4502"/>
      <c r="F2525" s="4502"/>
      <c r="G2525" s="4502"/>
      <c r="H2525" s="4502"/>
      <c r="I2525" s="4502"/>
      <c r="J2525" s="4502"/>
      <c r="K2525" s="4502"/>
      <c r="L2525" s="4502"/>
      <c r="M2525" s="4502"/>
    </row>
    <row r="2526" spans="1:13" hidden="1">
      <c r="A2526" s="4501" t="s">
        <v>9257</v>
      </c>
      <c r="B2526" s="3">
        <v>3.0714999999999999</v>
      </c>
      <c r="E2526" s="4502"/>
      <c r="F2526" s="4502"/>
      <c r="G2526" s="4502"/>
      <c r="H2526" s="4502"/>
      <c r="I2526" s="4502"/>
      <c r="J2526" s="4502"/>
      <c r="K2526" s="4502"/>
      <c r="L2526" s="4502"/>
      <c r="M2526" s="4502"/>
    </row>
    <row r="2527" spans="1:13" hidden="1">
      <c r="A2527" s="4501" t="s">
        <v>9258</v>
      </c>
      <c r="B2527" s="3">
        <v>3.069</v>
      </c>
      <c r="E2527" s="4502"/>
      <c r="F2527" s="4502"/>
      <c r="G2527" s="4502"/>
      <c r="H2527" s="4502"/>
      <c r="I2527" s="4502"/>
      <c r="J2527" s="4502"/>
      <c r="K2527" s="4502"/>
      <c r="L2527" s="4502"/>
      <c r="M2527" s="4502"/>
    </row>
    <row r="2528" spans="1:13" hidden="1">
      <c r="A2528" s="4501" t="s">
        <v>9259</v>
      </c>
      <c r="B2528" s="3">
        <v>3.0665</v>
      </c>
      <c r="E2528" s="4502"/>
      <c r="F2528" s="4502"/>
      <c r="G2528" s="4502"/>
      <c r="H2528" s="4502"/>
      <c r="I2528" s="4502"/>
      <c r="J2528" s="4502"/>
      <c r="K2528" s="4502"/>
      <c r="L2528" s="4502"/>
      <c r="M2528" s="4502"/>
    </row>
    <row r="2529" spans="1:13" hidden="1">
      <c r="A2529" s="4501" t="s">
        <v>9260</v>
      </c>
      <c r="B2529" s="3">
        <v>3.0640000000000001</v>
      </c>
      <c r="E2529" s="4502"/>
      <c r="F2529" s="4502"/>
      <c r="G2529" s="4502"/>
      <c r="H2529" s="4502"/>
      <c r="I2529" s="4502"/>
      <c r="J2529" s="4502"/>
      <c r="K2529" s="4502"/>
      <c r="L2529" s="4502"/>
      <c r="M2529" s="4502"/>
    </row>
    <row r="2530" spans="1:13" hidden="1">
      <c r="A2530" s="4501" t="s">
        <v>9261</v>
      </c>
      <c r="B2530" s="3">
        <v>3.0615000000000001</v>
      </c>
      <c r="E2530" s="4502"/>
      <c r="F2530" s="4502"/>
      <c r="G2530" s="4502"/>
      <c r="H2530" s="4502"/>
      <c r="I2530" s="4502"/>
      <c r="J2530" s="4502"/>
      <c r="K2530" s="4502"/>
      <c r="L2530" s="4502"/>
      <c r="M2530" s="4502"/>
    </row>
    <row r="2531" spans="1:13" hidden="1">
      <c r="A2531" s="4501" t="s">
        <v>9262</v>
      </c>
      <c r="B2531" s="3">
        <v>3.0590000000000002</v>
      </c>
      <c r="E2531" s="4502"/>
      <c r="F2531" s="4502"/>
      <c r="G2531" s="4502"/>
      <c r="H2531" s="4502"/>
      <c r="I2531" s="4502"/>
      <c r="J2531" s="4502"/>
      <c r="K2531" s="4502"/>
      <c r="L2531" s="4502"/>
      <c r="M2531" s="4502"/>
    </row>
    <row r="2532" spans="1:13" hidden="1">
      <c r="A2532" s="4501" t="s">
        <v>9263</v>
      </c>
      <c r="B2532" s="3">
        <v>3.0565000000000002</v>
      </c>
      <c r="E2532" s="4502"/>
      <c r="F2532" s="4502"/>
      <c r="G2532" s="4502"/>
      <c r="H2532" s="4502"/>
      <c r="I2532" s="4502"/>
      <c r="J2532" s="4502"/>
      <c r="K2532" s="4502"/>
      <c r="L2532" s="4502"/>
      <c r="M2532" s="4502"/>
    </row>
    <row r="2533" spans="1:13" hidden="1">
      <c r="A2533" s="4501" t="s">
        <v>9264</v>
      </c>
      <c r="B2533" s="3">
        <v>3.0539999999999998</v>
      </c>
      <c r="E2533" s="4502"/>
      <c r="F2533" s="4502"/>
      <c r="G2533" s="4502"/>
      <c r="H2533" s="4502"/>
      <c r="I2533" s="4502"/>
      <c r="J2533" s="4502"/>
      <c r="K2533" s="4502"/>
      <c r="L2533" s="4502"/>
      <c r="M2533" s="4502"/>
    </row>
    <row r="2534" spans="1:13" hidden="1">
      <c r="A2534" s="4501" t="s">
        <v>9265</v>
      </c>
      <c r="B2534" s="3">
        <v>3.0514999999999999</v>
      </c>
      <c r="E2534" s="4502"/>
      <c r="F2534" s="4502"/>
      <c r="G2534" s="4502"/>
      <c r="H2534" s="4502"/>
      <c r="I2534" s="4502"/>
      <c r="J2534" s="4502"/>
      <c r="K2534" s="4502"/>
      <c r="L2534" s="4502"/>
      <c r="M2534" s="4502"/>
    </row>
    <row r="2535" spans="1:13" hidden="1">
      <c r="A2535" s="4501" t="s">
        <v>9266</v>
      </c>
      <c r="B2535" s="3">
        <v>3.0489999999999999</v>
      </c>
      <c r="E2535" s="4502"/>
      <c r="F2535" s="4502"/>
      <c r="G2535" s="4502"/>
      <c r="H2535" s="4502"/>
      <c r="I2535" s="4502"/>
      <c r="J2535" s="4502"/>
      <c r="K2535" s="4502"/>
      <c r="L2535" s="4502"/>
      <c r="M2535" s="4502"/>
    </row>
    <row r="2536" spans="1:13" hidden="1">
      <c r="A2536" s="4501" t="s">
        <v>9267</v>
      </c>
      <c r="B2536" s="3">
        <v>3.0465</v>
      </c>
      <c r="E2536" s="4502"/>
      <c r="F2536" s="4502"/>
      <c r="G2536" s="4502"/>
      <c r="H2536" s="4502"/>
      <c r="I2536" s="4502"/>
      <c r="J2536" s="4502"/>
      <c r="K2536" s="4502"/>
      <c r="L2536" s="4502"/>
      <c r="M2536" s="4502"/>
    </row>
    <row r="2537" spans="1:13" hidden="1">
      <c r="A2537" s="4501" t="s">
        <v>9268</v>
      </c>
      <c r="B2537" s="3">
        <v>3.044</v>
      </c>
      <c r="E2537" s="4502"/>
      <c r="F2537" s="4502"/>
      <c r="G2537" s="4502"/>
      <c r="H2537" s="4502"/>
      <c r="I2537" s="4502"/>
      <c r="J2537" s="4502"/>
      <c r="K2537" s="4502"/>
      <c r="L2537" s="4502"/>
      <c r="M2537" s="4502"/>
    </row>
    <row r="2538" spans="1:13" hidden="1">
      <c r="A2538" s="4501" t="s">
        <v>9269</v>
      </c>
      <c r="B2538" s="3">
        <v>3.0415000000000001</v>
      </c>
      <c r="E2538" s="4502"/>
      <c r="F2538" s="4502"/>
      <c r="G2538" s="4502"/>
      <c r="H2538" s="4502"/>
      <c r="I2538" s="4502"/>
      <c r="J2538" s="4502"/>
      <c r="K2538" s="4502"/>
      <c r="L2538" s="4502"/>
      <c r="M2538" s="4502"/>
    </row>
    <row r="2539" spans="1:13" hidden="1">
      <c r="A2539" s="4501" t="s">
        <v>9270</v>
      </c>
      <c r="B2539" s="3">
        <v>3.0390000000000001</v>
      </c>
      <c r="E2539" s="4502"/>
      <c r="F2539" s="4502"/>
      <c r="G2539" s="4502"/>
      <c r="H2539" s="4502"/>
      <c r="I2539" s="4502"/>
      <c r="J2539" s="4502"/>
      <c r="K2539" s="4502"/>
      <c r="L2539" s="4502"/>
      <c r="M2539" s="4502"/>
    </row>
    <row r="2540" spans="1:13" hidden="1">
      <c r="A2540" s="4501" t="s">
        <v>9271</v>
      </c>
      <c r="B2540" s="3">
        <v>3.0402999999999998</v>
      </c>
      <c r="E2540" s="4502"/>
      <c r="F2540" s="4502"/>
      <c r="G2540" s="4502"/>
      <c r="H2540" s="4502"/>
      <c r="I2540" s="4502"/>
      <c r="J2540" s="4502"/>
      <c r="K2540" s="4502"/>
      <c r="L2540" s="4502"/>
      <c r="M2540" s="4502"/>
    </row>
    <row r="2541" spans="1:13" hidden="1">
      <c r="A2541" s="4501" t="s">
        <v>9272</v>
      </c>
      <c r="B2541" s="3">
        <v>3.0415999999999999</v>
      </c>
      <c r="E2541" s="4502"/>
      <c r="F2541" s="4502"/>
      <c r="G2541" s="4502"/>
      <c r="H2541" s="4502"/>
      <c r="I2541" s="4502"/>
      <c r="J2541" s="4502"/>
      <c r="K2541" s="4502"/>
      <c r="L2541" s="4502"/>
      <c r="M2541" s="4502"/>
    </row>
    <row r="2542" spans="1:13" hidden="1">
      <c r="A2542" s="4501" t="s">
        <v>9273</v>
      </c>
      <c r="B2542" s="3">
        <v>3.0428999999999999</v>
      </c>
      <c r="E2542" s="4502"/>
      <c r="F2542" s="4502"/>
      <c r="G2542" s="4502"/>
      <c r="H2542" s="4502"/>
      <c r="I2542" s="4502"/>
      <c r="J2542" s="4502"/>
      <c r="K2542" s="4502"/>
      <c r="L2542" s="4502"/>
      <c r="M2542" s="4502"/>
    </row>
    <row r="2543" spans="1:13" hidden="1">
      <c r="A2543" s="4501" t="s">
        <v>9274</v>
      </c>
      <c r="B2543" s="3">
        <v>3.0442</v>
      </c>
      <c r="E2543" s="4502"/>
      <c r="F2543" s="4502"/>
      <c r="G2543" s="4502"/>
      <c r="H2543" s="4502"/>
      <c r="I2543" s="4502"/>
      <c r="J2543" s="4502"/>
      <c r="K2543" s="4502"/>
      <c r="L2543" s="4502"/>
      <c r="M2543" s="4502"/>
    </row>
    <row r="2544" spans="1:13" hidden="1">
      <c r="A2544" s="4501" t="s">
        <v>9275</v>
      </c>
      <c r="B2544" s="3">
        <v>3.0455000000000001</v>
      </c>
      <c r="E2544" s="4502"/>
      <c r="F2544" s="4502"/>
      <c r="G2544" s="4502"/>
      <c r="H2544" s="4502"/>
      <c r="I2544" s="4502"/>
      <c r="J2544" s="4502"/>
      <c r="K2544" s="4502"/>
      <c r="L2544" s="4502"/>
      <c r="M2544" s="4502"/>
    </row>
    <row r="2545" spans="1:13" hidden="1">
      <c r="A2545" s="4501" t="s">
        <v>9276</v>
      </c>
      <c r="B2545" s="3">
        <v>3.0468000000000002</v>
      </c>
      <c r="E2545" s="4502"/>
      <c r="F2545" s="4502"/>
      <c r="G2545" s="4502"/>
      <c r="H2545" s="4502"/>
      <c r="I2545" s="4502"/>
      <c r="J2545" s="4502"/>
      <c r="K2545" s="4502"/>
      <c r="L2545" s="4502"/>
      <c r="M2545" s="4502"/>
    </row>
    <row r="2546" spans="1:13" hidden="1">
      <c r="A2546" s="4501" t="s">
        <v>9277</v>
      </c>
      <c r="B2546" s="3">
        <v>3.0480999999999998</v>
      </c>
      <c r="E2546" s="4502"/>
      <c r="F2546" s="4502"/>
      <c r="G2546" s="4502"/>
      <c r="H2546" s="4502"/>
      <c r="I2546" s="4502"/>
      <c r="J2546" s="4502"/>
      <c r="K2546" s="4502"/>
      <c r="L2546" s="4502"/>
      <c r="M2546" s="4502"/>
    </row>
    <row r="2547" spans="1:13" hidden="1">
      <c r="A2547" s="4501" t="s">
        <v>9278</v>
      </c>
      <c r="B2547" s="3">
        <v>3.0493999999999999</v>
      </c>
      <c r="E2547" s="4502"/>
      <c r="F2547" s="4502"/>
      <c r="G2547" s="4502"/>
      <c r="H2547" s="4502"/>
      <c r="I2547" s="4502"/>
      <c r="J2547" s="4502"/>
      <c r="K2547" s="4502"/>
      <c r="L2547" s="4502"/>
      <c r="M2547" s="4502"/>
    </row>
    <row r="2548" spans="1:13" hidden="1">
      <c r="A2548" s="4501" t="s">
        <v>9279</v>
      </c>
      <c r="B2548" s="3">
        <v>3.0507</v>
      </c>
      <c r="E2548" s="4502"/>
      <c r="F2548" s="4502"/>
      <c r="G2548" s="4502"/>
      <c r="H2548" s="4502"/>
      <c r="I2548" s="4502"/>
      <c r="J2548" s="4502"/>
      <c r="K2548" s="4502"/>
      <c r="L2548" s="4502"/>
      <c r="M2548" s="4502"/>
    </row>
    <row r="2549" spans="1:13" hidden="1">
      <c r="A2549" s="4501" t="s">
        <v>9280</v>
      </c>
      <c r="B2549" s="3">
        <v>3.052</v>
      </c>
      <c r="E2549" s="4502"/>
      <c r="F2549" s="4502"/>
      <c r="G2549" s="4502"/>
      <c r="H2549" s="4502"/>
      <c r="I2549" s="4502"/>
      <c r="J2549" s="4502"/>
      <c r="K2549" s="4502"/>
      <c r="L2549" s="4502"/>
      <c r="M2549" s="4502"/>
    </row>
    <row r="2550" spans="1:13" hidden="1">
      <c r="A2550" s="4501" t="s">
        <v>9281</v>
      </c>
      <c r="B2550" s="3">
        <v>3.0533000000000001</v>
      </c>
      <c r="E2550" s="4502"/>
      <c r="F2550" s="4502"/>
      <c r="G2550" s="4502"/>
      <c r="H2550" s="4502"/>
      <c r="I2550" s="4502"/>
      <c r="J2550" s="4502"/>
      <c r="K2550" s="4502"/>
      <c r="L2550" s="4502"/>
      <c r="M2550" s="4502"/>
    </row>
    <row r="2551" spans="1:13" hidden="1">
      <c r="A2551" s="4501" t="s">
        <v>9282</v>
      </c>
      <c r="B2551" s="3">
        <v>3.0546000000000002</v>
      </c>
      <c r="E2551" s="4502"/>
      <c r="F2551" s="4502"/>
      <c r="G2551" s="4502"/>
      <c r="H2551" s="4502"/>
      <c r="I2551" s="4502"/>
      <c r="J2551" s="4502"/>
      <c r="K2551" s="4502"/>
      <c r="L2551" s="4502"/>
      <c r="M2551" s="4502"/>
    </row>
    <row r="2552" spans="1:13" hidden="1">
      <c r="A2552" s="4501" t="s">
        <v>9283</v>
      </c>
      <c r="B2552" s="3">
        <v>3.0558999999999998</v>
      </c>
      <c r="E2552" s="4502"/>
      <c r="F2552" s="4502"/>
      <c r="G2552" s="4502"/>
      <c r="H2552" s="4502"/>
      <c r="I2552" s="4502"/>
      <c r="J2552" s="4502"/>
      <c r="K2552" s="4502"/>
      <c r="L2552" s="4502"/>
      <c r="M2552" s="4502"/>
    </row>
    <row r="2553" spans="1:13" hidden="1">
      <c r="A2553" s="4501" t="s">
        <v>9284</v>
      </c>
      <c r="B2553" s="3">
        <v>3.0571999999999999</v>
      </c>
      <c r="E2553" s="4502"/>
      <c r="F2553" s="4502"/>
      <c r="G2553" s="4502"/>
      <c r="H2553" s="4502"/>
      <c r="I2553" s="4502"/>
      <c r="J2553" s="4502"/>
      <c r="K2553" s="4502"/>
      <c r="L2553" s="4502"/>
      <c r="M2553" s="4502"/>
    </row>
    <row r="2554" spans="1:13" hidden="1">
      <c r="A2554" s="4501" t="s">
        <v>9285</v>
      </c>
      <c r="B2554" s="3">
        <v>3.0585</v>
      </c>
      <c r="E2554" s="4502"/>
      <c r="F2554" s="4502"/>
      <c r="G2554" s="4502"/>
      <c r="H2554" s="4502"/>
      <c r="I2554" s="4502"/>
      <c r="J2554" s="4502"/>
      <c r="K2554" s="4502"/>
      <c r="L2554" s="4502"/>
      <c r="M2554" s="4502"/>
    </row>
    <row r="2555" spans="1:13" hidden="1">
      <c r="A2555" s="4501" t="s">
        <v>9286</v>
      </c>
      <c r="B2555" s="3">
        <v>3.0598000000000001</v>
      </c>
      <c r="E2555" s="4502"/>
      <c r="F2555" s="4502"/>
      <c r="G2555" s="4502"/>
      <c r="H2555" s="4502"/>
      <c r="I2555" s="4502"/>
      <c r="J2555" s="4502"/>
      <c r="K2555" s="4502"/>
      <c r="L2555" s="4502"/>
      <c r="M2555" s="4502"/>
    </row>
    <row r="2556" spans="1:13" hidden="1">
      <c r="A2556" s="4501" t="s">
        <v>9287</v>
      </c>
      <c r="B2556" s="3">
        <v>3.0611000000000002</v>
      </c>
      <c r="E2556" s="4502"/>
      <c r="F2556" s="4502"/>
      <c r="G2556" s="4502"/>
      <c r="H2556" s="4502"/>
      <c r="I2556" s="4502"/>
      <c r="J2556" s="4502"/>
      <c r="K2556" s="4502"/>
      <c r="L2556" s="4502"/>
      <c r="M2556" s="4502"/>
    </row>
    <row r="2557" spans="1:13" hidden="1">
      <c r="A2557" s="4501" t="s">
        <v>9288</v>
      </c>
      <c r="B2557" s="3">
        <v>3.0623999999999998</v>
      </c>
      <c r="E2557" s="4502"/>
      <c r="F2557" s="4502"/>
      <c r="G2557" s="4502"/>
      <c r="H2557" s="4502"/>
      <c r="I2557" s="4502"/>
      <c r="J2557" s="4502"/>
      <c r="K2557" s="4502"/>
      <c r="L2557" s="4502"/>
      <c r="M2557" s="4502"/>
    </row>
    <row r="2558" spans="1:13" hidden="1">
      <c r="A2558" s="4501" t="s">
        <v>9289</v>
      </c>
      <c r="B2558" s="3">
        <v>3.0636999999999999</v>
      </c>
      <c r="E2558" s="4502"/>
      <c r="F2558" s="4502"/>
      <c r="G2558" s="4502"/>
      <c r="H2558" s="4502"/>
      <c r="I2558" s="4502"/>
      <c r="J2558" s="4502"/>
      <c r="K2558" s="4502"/>
      <c r="L2558" s="4502"/>
      <c r="M2558" s="4502"/>
    </row>
    <row r="2559" spans="1:13" hidden="1">
      <c r="A2559" s="4501" t="s">
        <v>9290</v>
      </c>
      <c r="B2559" s="3">
        <v>3.0649999999999999</v>
      </c>
      <c r="E2559" s="4502"/>
      <c r="F2559" s="4502"/>
      <c r="G2559" s="4502"/>
      <c r="H2559" s="4502"/>
      <c r="I2559" s="4502"/>
      <c r="J2559" s="4502"/>
      <c r="K2559" s="4502"/>
      <c r="L2559" s="4502"/>
      <c r="M2559" s="4502"/>
    </row>
    <row r="2560" spans="1:13" hidden="1">
      <c r="A2560" s="4501" t="s">
        <v>9291</v>
      </c>
      <c r="B2560" s="3">
        <v>3.0663</v>
      </c>
      <c r="E2560" s="4502"/>
      <c r="F2560" s="4502"/>
      <c r="G2560" s="4502"/>
      <c r="H2560" s="4502"/>
      <c r="I2560" s="4502"/>
      <c r="J2560" s="4502"/>
      <c r="K2560" s="4502"/>
      <c r="L2560" s="4502"/>
      <c r="M2560" s="4502"/>
    </row>
    <row r="2561" spans="1:13" hidden="1">
      <c r="A2561" s="4501" t="s">
        <v>9292</v>
      </c>
      <c r="B2561" s="3">
        <v>3.0676000000000001</v>
      </c>
      <c r="E2561" s="4502"/>
      <c r="F2561" s="4502"/>
      <c r="G2561" s="4502"/>
      <c r="H2561" s="4502"/>
      <c r="I2561" s="4502"/>
      <c r="J2561" s="4502"/>
      <c r="K2561" s="4502"/>
      <c r="L2561" s="4502"/>
      <c r="M2561" s="4502"/>
    </row>
    <row r="2562" spans="1:13" hidden="1">
      <c r="A2562" s="4501" t="s">
        <v>9293</v>
      </c>
      <c r="B2562" s="3">
        <v>3.0689000000000002</v>
      </c>
      <c r="E2562" s="4502"/>
      <c r="F2562" s="4502"/>
      <c r="G2562" s="4502"/>
      <c r="H2562" s="4502"/>
      <c r="I2562" s="4502"/>
      <c r="J2562" s="4502"/>
      <c r="K2562" s="4502"/>
      <c r="L2562" s="4502"/>
      <c r="M2562" s="4502"/>
    </row>
    <row r="2563" spans="1:13" hidden="1">
      <c r="A2563" s="4501" t="s">
        <v>9294</v>
      </c>
      <c r="B2563" s="3">
        <v>3.0701999999999998</v>
      </c>
      <c r="E2563" s="4502"/>
      <c r="F2563" s="4502"/>
      <c r="G2563" s="4502"/>
      <c r="H2563" s="4502"/>
      <c r="I2563" s="4502"/>
      <c r="J2563" s="4502"/>
      <c r="K2563" s="4502"/>
      <c r="L2563" s="4502"/>
      <c r="M2563" s="4502"/>
    </row>
    <row r="2564" spans="1:13" hidden="1">
      <c r="A2564" s="4501" t="s">
        <v>9295</v>
      </c>
      <c r="B2564" s="3">
        <v>3.0714999999999999</v>
      </c>
      <c r="E2564" s="4502"/>
      <c r="F2564" s="4502"/>
      <c r="G2564" s="4502"/>
      <c r="H2564" s="4502"/>
      <c r="I2564" s="4502"/>
      <c r="J2564" s="4502"/>
      <c r="K2564" s="4502"/>
      <c r="L2564" s="4502"/>
      <c r="M2564" s="4502"/>
    </row>
    <row r="2565" spans="1:13" hidden="1">
      <c r="A2565" s="4501" t="s">
        <v>9296</v>
      </c>
      <c r="B2565" s="3">
        <v>3.0728</v>
      </c>
      <c r="E2565" s="4502"/>
      <c r="F2565" s="4502"/>
      <c r="G2565" s="4502"/>
      <c r="H2565" s="4502"/>
      <c r="I2565" s="4502"/>
      <c r="J2565" s="4502"/>
      <c r="K2565" s="4502"/>
      <c r="L2565" s="4502"/>
      <c r="M2565" s="4502"/>
    </row>
    <row r="2566" spans="1:13" hidden="1">
      <c r="A2566" s="4501" t="s">
        <v>9297</v>
      </c>
      <c r="B2566" s="3">
        <v>3.0741000000000001</v>
      </c>
      <c r="E2566" s="4502"/>
      <c r="F2566" s="4502"/>
      <c r="G2566" s="4502"/>
      <c r="H2566" s="4502"/>
      <c r="I2566" s="4502"/>
      <c r="J2566" s="4502"/>
      <c r="K2566" s="4502"/>
      <c r="L2566" s="4502"/>
      <c r="M2566" s="4502"/>
    </row>
    <row r="2567" spans="1:13" hidden="1">
      <c r="A2567" s="4501" t="s">
        <v>9298</v>
      </c>
      <c r="B2567" s="3">
        <v>3.0754000000000001</v>
      </c>
      <c r="E2567" s="4502"/>
      <c r="F2567" s="4502"/>
      <c r="G2567" s="4502"/>
      <c r="H2567" s="4502"/>
      <c r="I2567" s="4502"/>
      <c r="J2567" s="4502"/>
      <c r="K2567" s="4502"/>
      <c r="L2567" s="4502"/>
      <c r="M2567" s="4502"/>
    </row>
    <row r="2568" spans="1:13" hidden="1">
      <c r="A2568" s="4501" t="s">
        <v>9299</v>
      </c>
      <c r="B2568" s="3">
        <v>3.0767000000000002</v>
      </c>
      <c r="E2568" s="4502"/>
      <c r="F2568" s="4502"/>
      <c r="G2568" s="4502"/>
      <c r="H2568" s="4502"/>
      <c r="I2568" s="4502"/>
      <c r="J2568" s="4502"/>
      <c r="K2568" s="4502"/>
      <c r="L2568" s="4502"/>
      <c r="M2568" s="4502"/>
    </row>
    <row r="2569" spans="1:13" hidden="1">
      <c r="A2569" s="4501" t="s">
        <v>9300</v>
      </c>
      <c r="B2569" s="3">
        <v>3.0779999999999998</v>
      </c>
      <c r="E2569" s="4502"/>
      <c r="F2569" s="4502"/>
      <c r="G2569" s="4502"/>
      <c r="H2569" s="4502"/>
      <c r="I2569" s="4502"/>
      <c r="J2569" s="4502"/>
      <c r="K2569" s="4502"/>
      <c r="L2569" s="4502"/>
      <c r="M2569" s="4502"/>
    </row>
    <row r="2570" spans="1:13" hidden="1">
      <c r="A2570" s="4501" t="s">
        <v>9301</v>
      </c>
      <c r="B2570" s="3">
        <v>3.0794242424242402</v>
      </c>
      <c r="E2570" s="4502"/>
      <c r="F2570" s="4502"/>
      <c r="G2570" s="4502"/>
      <c r="H2570" s="4502"/>
      <c r="I2570" s="4502"/>
      <c r="J2570" s="4502"/>
      <c r="K2570" s="4502"/>
      <c r="L2570" s="4502"/>
      <c r="M2570" s="4502"/>
    </row>
    <row r="2571" spans="1:13" hidden="1">
      <c r="A2571" s="4501" t="s">
        <v>9302</v>
      </c>
      <c r="B2571" s="3">
        <v>3.0808484848484801</v>
      </c>
      <c r="E2571" s="4502"/>
      <c r="F2571" s="4502"/>
      <c r="G2571" s="4502"/>
      <c r="H2571" s="4502"/>
      <c r="I2571" s="4502"/>
      <c r="J2571" s="4502"/>
      <c r="K2571" s="4502"/>
      <c r="L2571" s="4502"/>
      <c r="M2571" s="4502"/>
    </row>
    <row r="2572" spans="1:13" hidden="1">
      <c r="A2572" s="4501" t="s">
        <v>9303</v>
      </c>
      <c r="B2572" s="3">
        <v>3.0822727272727302</v>
      </c>
      <c r="E2572" s="4502"/>
      <c r="F2572" s="4502"/>
      <c r="G2572" s="4502"/>
      <c r="H2572" s="4502"/>
      <c r="I2572" s="4502"/>
      <c r="J2572" s="4502"/>
      <c r="K2572" s="4502"/>
      <c r="L2572" s="4502"/>
      <c r="M2572" s="4502"/>
    </row>
    <row r="2573" spans="1:13" hidden="1">
      <c r="A2573" s="4501" t="s">
        <v>9304</v>
      </c>
      <c r="B2573" s="3">
        <v>3.08369696969697</v>
      </c>
      <c r="E2573" s="4502"/>
      <c r="F2573" s="4502"/>
      <c r="G2573" s="4502"/>
      <c r="H2573" s="4502"/>
      <c r="I2573" s="4502"/>
      <c r="J2573" s="4502"/>
      <c r="K2573" s="4502"/>
      <c r="L2573" s="4502"/>
      <c r="M2573" s="4502"/>
    </row>
    <row r="2574" spans="1:13" hidden="1">
      <c r="A2574" s="4501" t="s">
        <v>9305</v>
      </c>
      <c r="B2574" s="3">
        <v>3.0851212121212099</v>
      </c>
      <c r="E2574" s="4502"/>
      <c r="F2574" s="4502"/>
      <c r="G2574" s="4502"/>
      <c r="H2574" s="4502"/>
      <c r="I2574" s="4502"/>
      <c r="J2574" s="4502"/>
      <c r="K2574" s="4502"/>
      <c r="L2574" s="4502"/>
      <c r="M2574" s="4502"/>
    </row>
    <row r="2575" spans="1:13" hidden="1">
      <c r="A2575" s="4501" t="s">
        <v>9306</v>
      </c>
      <c r="B2575" s="3">
        <v>3.0865454545454498</v>
      </c>
      <c r="E2575" s="4502"/>
      <c r="F2575" s="4502"/>
      <c r="G2575" s="4502"/>
      <c r="H2575" s="4502"/>
      <c r="I2575" s="4502"/>
      <c r="J2575" s="4502"/>
      <c r="K2575" s="4502"/>
      <c r="L2575" s="4502"/>
      <c r="M2575" s="4502"/>
    </row>
    <row r="2576" spans="1:13" hidden="1">
      <c r="A2576" s="4501" t="s">
        <v>9307</v>
      </c>
      <c r="B2576" s="3">
        <v>3.0879696969696999</v>
      </c>
      <c r="E2576" s="4502"/>
      <c r="F2576" s="4502"/>
      <c r="G2576" s="4502"/>
      <c r="H2576" s="4502"/>
      <c r="I2576" s="4502"/>
      <c r="J2576" s="4502"/>
      <c r="K2576" s="4502"/>
      <c r="L2576" s="4502"/>
      <c r="M2576" s="4502"/>
    </row>
    <row r="2577" spans="1:13" hidden="1">
      <c r="A2577" s="4501" t="s">
        <v>9308</v>
      </c>
      <c r="B2577" s="3">
        <v>3.0893939393939398</v>
      </c>
      <c r="E2577" s="4502"/>
      <c r="F2577" s="4502"/>
      <c r="G2577" s="4502"/>
      <c r="H2577" s="4502"/>
      <c r="I2577" s="4502"/>
      <c r="J2577" s="4502"/>
      <c r="K2577" s="4502"/>
      <c r="L2577" s="4502"/>
      <c r="M2577" s="4502"/>
    </row>
    <row r="2578" spans="1:13" hidden="1">
      <c r="A2578" s="4501" t="s">
        <v>9309</v>
      </c>
      <c r="B2578" s="3">
        <v>3.0908181818181801</v>
      </c>
      <c r="E2578" s="4502"/>
      <c r="F2578" s="4502"/>
      <c r="G2578" s="4502"/>
      <c r="H2578" s="4502"/>
      <c r="I2578" s="4502"/>
      <c r="J2578" s="4502"/>
      <c r="K2578" s="4502"/>
      <c r="L2578" s="4502"/>
      <c r="M2578" s="4502"/>
    </row>
    <row r="2579" spans="1:13" hidden="1">
      <c r="A2579" s="4501" t="s">
        <v>9310</v>
      </c>
      <c r="B2579" s="3">
        <v>3.09224242424242</v>
      </c>
      <c r="E2579" s="4502"/>
      <c r="F2579" s="4502"/>
      <c r="G2579" s="4502"/>
      <c r="H2579" s="4502"/>
      <c r="I2579" s="4502"/>
      <c r="J2579" s="4502"/>
      <c r="K2579" s="4502"/>
      <c r="L2579" s="4502"/>
      <c r="M2579" s="4502"/>
    </row>
    <row r="2580" spans="1:13" hidden="1">
      <c r="A2580" s="4501" t="s">
        <v>9311</v>
      </c>
      <c r="B2580" s="3">
        <v>3.0936666666666701</v>
      </c>
      <c r="E2580" s="4502"/>
      <c r="F2580" s="4502"/>
      <c r="G2580" s="4502"/>
      <c r="H2580" s="4502"/>
      <c r="I2580" s="4502"/>
      <c r="J2580" s="4502"/>
      <c r="K2580" s="4502"/>
      <c r="L2580" s="4502"/>
      <c r="M2580" s="4502"/>
    </row>
    <row r="2581" spans="1:13" hidden="1">
      <c r="A2581" s="4501" t="s">
        <v>9312</v>
      </c>
      <c r="B2581" s="3">
        <v>3.09509090909091</v>
      </c>
      <c r="E2581" s="4502"/>
      <c r="F2581" s="4502"/>
      <c r="G2581" s="4502"/>
      <c r="H2581" s="4502"/>
      <c r="I2581" s="4502"/>
      <c r="J2581" s="4502"/>
      <c r="K2581" s="4502"/>
      <c r="L2581" s="4502"/>
      <c r="M2581" s="4502"/>
    </row>
    <row r="2582" spans="1:13" hidden="1">
      <c r="A2582" s="4501" t="s">
        <v>9313</v>
      </c>
      <c r="B2582" s="3">
        <v>3.0965151515151499</v>
      </c>
      <c r="E2582" s="4502"/>
      <c r="F2582" s="4502"/>
      <c r="G2582" s="4502"/>
      <c r="H2582" s="4502"/>
      <c r="I2582" s="4502"/>
      <c r="J2582" s="4502"/>
      <c r="K2582" s="4502"/>
      <c r="L2582" s="4502"/>
      <c r="M2582" s="4502"/>
    </row>
    <row r="2583" spans="1:13" hidden="1">
      <c r="A2583" s="4501" t="s">
        <v>9314</v>
      </c>
      <c r="B2583" s="3">
        <v>3.0979393939393902</v>
      </c>
      <c r="E2583" s="4502"/>
      <c r="F2583" s="4502"/>
      <c r="G2583" s="4502"/>
      <c r="H2583" s="4502"/>
      <c r="I2583" s="4502"/>
      <c r="J2583" s="4502"/>
      <c r="K2583" s="4502"/>
      <c r="L2583" s="4502"/>
      <c r="M2583" s="4502"/>
    </row>
    <row r="2584" spans="1:13" hidden="1">
      <c r="A2584" s="4501" t="s">
        <v>9315</v>
      </c>
      <c r="B2584" s="3">
        <v>3.0993636363636399</v>
      </c>
      <c r="E2584" s="4502"/>
      <c r="F2584" s="4502"/>
      <c r="G2584" s="4502"/>
      <c r="H2584" s="4502"/>
      <c r="I2584" s="4502"/>
      <c r="J2584" s="4502"/>
      <c r="K2584" s="4502"/>
      <c r="L2584" s="4502"/>
      <c r="M2584" s="4502"/>
    </row>
    <row r="2585" spans="1:13" hidden="1">
      <c r="A2585" s="4501" t="s">
        <v>9316</v>
      </c>
      <c r="B2585" s="3">
        <v>3.1007878787878802</v>
      </c>
      <c r="E2585" s="4502"/>
      <c r="F2585" s="4502"/>
      <c r="G2585" s="4502"/>
      <c r="H2585" s="4502"/>
      <c r="I2585" s="4502"/>
      <c r="J2585" s="4502"/>
      <c r="K2585" s="4502"/>
      <c r="L2585" s="4502"/>
      <c r="M2585" s="4502"/>
    </row>
    <row r="2586" spans="1:13" hidden="1">
      <c r="A2586" s="4501" t="s">
        <v>9317</v>
      </c>
      <c r="B2586" s="3">
        <v>3.1022121212121201</v>
      </c>
      <c r="E2586" s="4502"/>
      <c r="F2586" s="4502"/>
      <c r="G2586" s="4502"/>
      <c r="H2586" s="4502"/>
      <c r="I2586" s="4502"/>
      <c r="J2586" s="4502"/>
      <c r="K2586" s="4502"/>
      <c r="L2586" s="4502"/>
      <c r="M2586" s="4502"/>
    </row>
    <row r="2587" spans="1:13" hidden="1">
      <c r="A2587" s="4501" t="s">
        <v>9318</v>
      </c>
      <c r="B2587" s="3">
        <v>3.10363636363636</v>
      </c>
      <c r="E2587" s="4502"/>
      <c r="F2587" s="4502"/>
      <c r="G2587" s="4502"/>
      <c r="H2587" s="4502"/>
      <c r="I2587" s="4502"/>
      <c r="J2587" s="4502"/>
      <c r="K2587" s="4502"/>
      <c r="L2587" s="4502"/>
      <c r="M2587" s="4502"/>
    </row>
    <row r="2588" spans="1:13" hidden="1">
      <c r="A2588" s="4501" t="s">
        <v>9319</v>
      </c>
      <c r="B2588" s="3">
        <v>3.1050606060606101</v>
      </c>
      <c r="E2588" s="4502"/>
      <c r="F2588" s="4502"/>
      <c r="G2588" s="4502"/>
      <c r="H2588" s="4502"/>
      <c r="I2588" s="4502"/>
      <c r="J2588" s="4502"/>
      <c r="K2588" s="4502"/>
      <c r="L2588" s="4502"/>
      <c r="M2588" s="4502"/>
    </row>
    <row r="2589" spans="1:13" hidden="1">
      <c r="A2589" s="4501" t="s">
        <v>9320</v>
      </c>
      <c r="B2589" s="3">
        <v>3.10648484848485</v>
      </c>
      <c r="E2589" s="4502"/>
      <c r="F2589" s="4502"/>
      <c r="G2589" s="4502"/>
      <c r="H2589" s="4502"/>
      <c r="I2589" s="4502"/>
      <c r="J2589" s="4502"/>
      <c r="K2589" s="4502"/>
      <c r="L2589" s="4502"/>
      <c r="M2589" s="4502"/>
    </row>
    <row r="2590" spans="1:13" hidden="1">
      <c r="A2590" s="4501" t="s">
        <v>9321</v>
      </c>
      <c r="B2590" s="3">
        <v>3.1079090909090898</v>
      </c>
      <c r="E2590" s="4502"/>
      <c r="F2590" s="4502"/>
      <c r="G2590" s="4502"/>
      <c r="H2590" s="4502"/>
      <c r="I2590" s="4502"/>
      <c r="J2590" s="4502"/>
      <c r="K2590" s="4502"/>
      <c r="L2590" s="4502"/>
      <c r="M2590" s="4502"/>
    </row>
    <row r="2591" spans="1:13" hidden="1">
      <c r="A2591" s="4501" t="s">
        <v>9322</v>
      </c>
      <c r="B2591" s="3">
        <v>3.1093333333333302</v>
      </c>
      <c r="E2591" s="4502"/>
      <c r="F2591" s="4502"/>
      <c r="G2591" s="4502"/>
      <c r="H2591" s="4502"/>
      <c r="I2591" s="4502"/>
      <c r="J2591" s="4502"/>
      <c r="K2591" s="4502"/>
      <c r="L2591" s="4502"/>
      <c r="M2591" s="4502"/>
    </row>
    <row r="2592" spans="1:13" hidden="1">
      <c r="A2592" s="4501" t="s">
        <v>9323</v>
      </c>
      <c r="B2592" s="3">
        <v>3.1107575757575798</v>
      </c>
      <c r="E2592" s="4502"/>
      <c r="F2592" s="4502"/>
      <c r="G2592" s="4502"/>
      <c r="H2592" s="4502"/>
      <c r="I2592" s="4502"/>
      <c r="J2592" s="4502"/>
      <c r="K2592" s="4502"/>
      <c r="L2592" s="4502"/>
      <c r="M2592" s="4502"/>
    </row>
    <row r="2593" spans="1:13" hidden="1">
      <c r="A2593" s="4501" t="s">
        <v>9324</v>
      </c>
      <c r="B2593" s="3">
        <v>3.1121818181818202</v>
      </c>
      <c r="E2593" s="4502"/>
      <c r="F2593" s="4502"/>
      <c r="G2593" s="4502"/>
      <c r="H2593" s="4502"/>
      <c r="I2593" s="4502"/>
      <c r="J2593" s="4502"/>
      <c r="K2593" s="4502"/>
      <c r="L2593" s="4502"/>
      <c r="M2593" s="4502"/>
    </row>
    <row r="2594" spans="1:13" hidden="1">
      <c r="A2594" s="4501" t="s">
        <v>9325</v>
      </c>
      <c r="B2594" s="3">
        <v>3.11360606060606</v>
      </c>
      <c r="E2594" s="4502"/>
      <c r="F2594" s="4502"/>
      <c r="G2594" s="4502"/>
      <c r="H2594" s="4502"/>
      <c r="I2594" s="4502"/>
      <c r="J2594" s="4502"/>
      <c r="K2594" s="4502"/>
      <c r="L2594" s="4502"/>
      <c r="M2594" s="4502"/>
    </row>
    <row r="2595" spans="1:13" hidden="1">
      <c r="A2595" s="4501" t="s">
        <v>9326</v>
      </c>
      <c r="B2595" s="3">
        <v>3.1150303030302999</v>
      </c>
      <c r="E2595" s="4502"/>
      <c r="F2595" s="4502"/>
      <c r="G2595" s="4502"/>
      <c r="H2595" s="4502"/>
      <c r="I2595" s="4502"/>
      <c r="J2595" s="4502"/>
      <c r="K2595" s="4502"/>
      <c r="L2595" s="4502"/>
      <c r="M2595" s="4502"/>
    </row>
    <row r="2596" spans="1:13" hidden="1">
      <c r="A2596" s="4501" t="s">
        <v>9327</v>
      </c>
      <c r="B2596" s="3">
        <v>3.11645454545455</v>
      </c>
      <c r="E2596" s="4502"/>
      <c r="F2596" s="4502"/>
      <c r="G2596" s="4502"/>
      <c r="H2596" s="4502"/>
      <c r="I2596" s="4502"/>
      <c r="J2596" s="4502"/>
      <c r="K2596" s="4502"/>
      <c r="L2596" s="4502"/>
      <c r="M2596" s="4502"/>
    </row>
    <row r="2597" spans="1:13" hidden="1">
      <c r="A2597" s="4501" t="s">
        <v>9328</v>
      </c>
      <c r="B2597" s="3">
        <v>3.1178787878787899</v>
      </c>
      <c r="E2597" s="4502"/>
      <c r="F2597" s="4502"/>
      <c r="G2597" s="4502"/>
      <c r="H2597" s="4502"/>
      <c r="I2597" s="4502"/>
      <c r="J2597" s="4502"/>
      <c r="K2597" s="4502"/>
      <c r="L2597" s="4502"/>
      <c r="M2597" s="4502"/>
    </row>
    <row r="2598" spans="1:13" hidden="1">
      <c r="A2598" s="4501" t="s">
        <v>9329</v>
      </c>
      <c r="B2598" s="3">
        <v>3.1193030303030298</v>
      </c>
      <c r="E2598" s="4502"/>
      <c r="F2598" s="4502"/>
      <c r="G2598" s="4502"/>
      <c r="H2598" s="4502"/>
      <c r="I2598" s="4502"/>
      <c r="J2598" s="4502"/>
      <c r="K2598" s="4502"/>
      <c r="L2598" s="4502"/>
      <c r="M2598" s="4502"/>
    </row>
    <row r="2599" spans="1:13" hidden="1">
      <c r="A2599" s="4501" t="s">
        <v>9330</v>
      </c>
      <c r="B2599" s="3">
        <v>3.1207272727272701</v>
      </c>
      <c r="E2599" s="4502"/>
      <c r="F2599" s="4502"/>
      <c r="G2599" s="4502"/>
      <c r="H2599" s="4502"/>
      <c r="I2599" s="4502"/>
      <c r="J2599" s="4502"/>
      <c r="K2599" s="4502"/>
      <c r="L2599" s="4502"/>
      <c r="M2599" s="4502"/>
    </row>
    <row r="2600" spans="1:13" hidden="1">
      <c r="A2600" s="4501" t="s">
        <v>9331</v>
      </c>
      <c r="B2600" s="3">
        <v>3.1221515151515198</v>
      </c>
      <c r="E2600" s="4502"/>
      <c r="F2600" s="4502"/>
      <c r="G2600" s="4502"/>
      <c r="H2600" s="4502"/>
      <c r="I2600" s="4502"/>
      <c r="J2600" s="4502"/>
      <c r="K2600" s="4502"/>
      <c r="L2600" s="4502"/>
      <c r="M2600" s="4502"/>
    </row>
    <row r="2601" spans="1:13" hidden="1">
      <c r="A2601" s="4501" t="s">
        <v>9332</v>
      </c>
      <c r="B2601" s="3">
        <v>3.1235757575757601</v>
      </c>
      <c r="E2601" s="4502"/>
      <c r="F2601" s="4502"/>
      <c r="G2601" s="4502"/>
      <c r="H2601" s="4502"/>
      <c r="I2601" s="4502"/>
      <c r="J2601" s="4502"/>
      <c r="K2601" s="4502"/>
      <c r="L2601" s="4502"/>
      <c r="M2601" s="4502"/>
    </row>
    <row r="2602" spans="1:13" hidden="1">
      <c r="A2602" s="4501" t="s">
        <v>9333</v>
      </c>
      <c r="B2602" s="3">
        <v>3.125</v>
      </c>
      <c r="E2602" s="4502"/>
      <c r="F2602" s="4502"/>
      <c r="G2602" s="4502"/>
      <c r="H2602" s="4502"/>
      <c r="I2602" s="4502"/>
      <c r="J2602" s="4502"/>
      <c r="K2602" s="4502"/>
      <c r="L2602" s="4502"/>
      <c r="M2602" s="4502"/>
    </row>
    <row r="2603" spans="1:13" hidden="1">
      <c r="A2603" s="4501" t="s">
        <v>9334</v>
      </c>
      <c r="B2603" s="3">
        <v>3.1255862068965499</v>
      </c>
      <c r="E2603" s="4502"/>
      <c r="F2603" s="4502"/>
      <c r="G2603" s="4502"/>
      <c r="H2603" s="4502"/>
      <c r="I2603" s="4502"/>
      <c r="J2603" s="4502"/>
      <c r="K2603" s="4502"/>
      <c r="L2603" s="4502"/>
      <c r="M2603" s="4502"/>
    </row>
    <row r="2604" spans="1:13" hidden="1">
      <c r="A2604" s="4501" t="s">
        <v>9335</v>
      </c>
      <c r="B2604" s="3">
        <v>3.1261724137931002</v>
      </c>
      <c r="E2604" s="4502"/>
      <c r="F2604" s="4502"/>
      <c r="G2604" s="4502"/>
      <c r="H2604" s="4502"/>
      <c r="I2604" s="4502"/>
      <c r="J2604" s="4502"/>
      <c r="K2604" s="4502"/>
      <c r="L2604" s="4502"/>
      <c r="M2604" s="4502"/>
    </row>
    <row r="2605" spans="1:13" hidden="1">
      <c r="A2605" s="4501" t="s">
        <v>9336</v>
      </c>
      <c r="B2605" s="3">
        <v>3.1267586206896598</v>
      </c>
      <c r="E2605" s="4502"/>
      <c r="F2605" s="4502"/>
      <c r="G2605" s="4502"/>
      <c r="H2605" s="4502"/>
      <c r="I2605" s="4502"/>
      <c r="J2605" s="4502"/>
      <c r="K2605" s="4502"/>
      <c r="L2605" s="4502"/>
      <c r="M2605" s="4502"/>
    </row>
    <row r="2606" spans="1:13" hidden="1">
      <c r="A2606" s="4501" t="s">
        <v>9337</v>
      </c>
      <c r="B2606" s="3">
        <v>3.1273448275862101</v>
      </c>
      <c r="E2606" s="4502"/>
      <c r="F2606" s="4502"/>
      <c r="G2606" s="4502"/>
      <c r="H2606" s="4502"/>
      <c r="I2606" s="4502"/>
      <c r="J2606" s="4502"/>
      <c r="K2606" s="4502"/>
      <c r="L2606" s="4502"/>
      <c r="M2606" s="4502"/>
    </row>
    <row r="2607" spans="1:13" hidden="1">
      <c r="A2607" s="4501" t="s">
        <v>9338</v>
      </c>
      <c r="B2607" s="3">
        <v>3.12793103448276</v>
      </c>
      <c r="E2607" s="4502"/>
      <c r="F2607" s="4502"/>
      <c r="G2607" s="4502"/>
      <c r="H2607" s="4502"/>
      <c r="I2607" s="4502"/>
      <c r="J2607" s="4502"/>
      <c r="K2607" s="4502"/>
      <c r="L2607" s="4502"/>
      <c r="M2607" s="4502"/>
    </row>
    <row r="2608" spans="1:13" hidden="1">
      <c r="A2608" s="4501" t="s">
        <v>9339</v>
      </c>
      <c r="B2608" s="3">
        <v>3.1285172413793099</v>
      </c>
      <c r="E2608" s="4502"/>
      <c r="F2608" s="4502"/>
      <c r="G2608" s="4502"/>
      <c r="H2608" s="4502"/>
      <c r="I2608" s="4502"/>
      <c r="J2608" s="4502"/>
      <c r="K2608" s="4502"/>
      <c r="L2608" s="4502"/>
      <c r="M2608" s="4502"/>
    </row>
    <row r="2609" spans="1:13" hidden="1">
      <c r="A2609" s="4501" t="s">
        <v>9340</v>
      </c>
      <c r="B2609" s="3">
        <v>3.1291034482758602</v>
      </c>
      <c r="E2609" s="4502"/>
      <c r="F2609" s="4502"/>
      <c r="G2609" s="4502"/>
      <c r="H2609" s="4502"/>
      <c r="I2609" s="4502"/>
      <c r="J2609" s="4502"/>
      <c r="K2609" s="4502"/>
      <c r="L2609" s="4502"/>
      <c r="M2609" s="4502"/>
    </row>
    <row r="2610" spans="1:13" hidden="1">
      <c r="A2610" s="4501" t="s">
        <v>9341</v>
      </c>
      <c r="B2610" s="3">
        <v>3.12968965517241</v>
      </c>
      <c r="E2610" s="4502"/>
      <c r="F2610" s="4502"/>
      <c r="G2610" s="4502"/>
      <c r="H2610" s="4502"/>
      <c r="I2610" s="4502"/>
      <c r="J2610" s="4502"/>
      <c r="K2610" s="4502"/>
      <c r="L2610" s="4502"/>
      <c r="M2610" s="4502"/>
    </row>
    <row r="2611" spans="1:13" hidden="1">
      <c r="A2611" s="4501" t="s">
        <v>9342</v>
      </c>
      <c r="B2611" s="3">
        <v>3.1302758620689701</v>
      </c>
      <c r="E2611" s="4502"/>
      <c r="F2611" s="4502"/>
      <c r="G2611" s="4502"/>
      <c r="H2611" s="4502"/>
      <c r="I2611" s="4502"/>
      <c r="J2611" s="4502"/>
      <c r="K2611" s="4502"/>
      <c r="L2611" s="4502"/>
      <c r="M2611" s="4502"/>
    </row>
    <row r="2612" spans="1:13" hidden="1">
      <c r="A2612" s="4501" t="s">
        <v>9343</v>
      </c>
      <c r="B2612" s="3">
        <v>3.13086206896552</v>
      </c>
      <c r="E2612" s="4502"/>
      <c r="F2612" s="4502"/>
      <c r="G2612" s="4502"/>
      <c r="H2612" s="4502"/>
      <c r="I2612" s="4502"/>
      <c r="J2612" s="4502"/>
      <c r="K2612" s="4502"/>
      <c r="L2612" s="4502"/>
      <c r="M2612" s="4502"/>
    </row>
    <row r="2613" spans="1:13" hidden="1">
      <c r="A2613" s="4501" t="s">
        <v>9344</v>
      </c>
      <c r="B2613" s="3">
        <v>3.1314482758620699</v>
      </c>
      <c r="E2613" s="4502"/>
      <c r="F2613" s="4502"/>
      <c r="G2613" s="4502"/>
      <c r="H2613" s="4502"/>
      <c r="I2613" s="4502"/>
      <c r="J2613" s="4502"/>
      <c r="K2613" s="4502"/>
      <c r="L2613" s="4502"/>
      <c r="M2613" s="4502"/>
    </row>
    <row r="2614" spans="1:13" hidden="1">
      <c r="A2614" s="4501" t="s">
        <v>9345</v>
      </c>
      <c r="B2614" s="3">
        <v>3.1320344827586202</v>
      </c>
      <c r="E2614" s="4502"/>
      <c r="F2614" s="4502"/>
      <c r="G2614" s="4502"/>
      <c r="H2614" s="4502"/>
      <c r="I2614" s="4502"/>
      <c r="J2614" s="4502"/>
      <c r="K2614" s="4502"/>
      <c r="L2614" s="4502"/>
      <c r="M2614" s="4502"/>
    </row>
    <row r="2615" spans="1:13" hidden="1">
      <c r="A2615" s="4501" t="s">
        <v>9346</v>
      </c>
      <c r="B2615" s="3">
        <v>3.13262068965517</v>
      </c>
      <c r="E2615" s="4502"/>
      <c r="F2615" s="4502"/>
      <c r="G2615" s="4502"/>
      <c r="H2615" s="4502"/>
      <c r="I2615" s="4502"/>
      <c r="J2615" s="4502"/>
      <c r="K2615" s="4502"/>
      <c r="L2615" s="4502"/>
      <c r="M2615" s="4502"/>
    </row>
    <row r="2616" spans="1:13" hidden="1">
      <c r="A2616" s="4501" t="s">
        <v>9347</v>
      </c>
      <c r="B2616" s="3">
        <v>3.1332068965517199</v>
      </c>
      <c r="E2616" s="4502"/>
      <c r="F2616" s="4502"/>
      <c r="G2616" s="4502"/>
      <c r="H2616" s="4502"/>
      <c r="I2616" s="4502"/>
      <c r="J2616" s="4502"/>
      <c r="K2616" s="4502"/>
      <c r="L2616" s="4502"/>
      <c r="M2616" s="4502"/>
    </row>
    <row r="2617" spans="1:13" hidden="1">
      <c r="A2617" s="4501" t="s">
        <v>9348</v>
      </c>
      <c r="B2617" s="3">
        <v>3.13379310344828</v>
      </c>
      <c r="E2617" s="4502"/>
      <c r="F2617" s="4502"/>
      <c r="G2617" s="4502"/>
      <c r="H2617" s="4502"/>
      <c r="I2617" s="4502"/>
      <c r="J2617" s="4502"/>
      <c r="K2617" s="4502"/>
      <c r="L2617" s="4502"/>
      <c r="M2617" s="4502"/>
    </row>
    <row r="2618" spans="1:13" hidden="1">
      <c r="A2618" s="4501" t="s">
        <v>9349</v>
      </c>
      <c r="B2618" s="3">
        <v>3.1343793103448299</v>
      </c>
      <c r="E2618" s="4502"/>
      <c r="F2618" s="4502"/>
      <c r="G2618" s="4502"/>
      <c r="H2618" s="4502"/>
      <c r="I2618" s="4502"/>
      <c r="J2618" s="4502"/>
      <c r="K2618" s="4502"/>
      <c r="L2618" s="4502"/>
      <c r="M2618" s="4502"/>
    </row>
    <row r="2619" spans="1:13" hidden="1">
      <c r="A2619" s="4501" t="s">
        <v>9350</v>
      </c>
      <c r="B2619" s="3">
        <v>3.1349655172413802</v>
      </c>
      <c r="E2619" s="4502"/>
      <c r="F2619" s="4502"/>
      <c r="G2619" s="4502"/>
      <c r="H2619" s="4502"/>
      <c r="I2619" s="4502"/>
      <c r="J2619" s="4502"/>
      <c r="K2619" s="4502"/>
      <c r="L2619" s="4502"/>
      <c r="M2619" s="4502"/>
    </row>
    <row r="2620" spans="1:13" hidden="1">
      <c r="A2620" s="4501" t="s">
        <v>9351</v>
      </c>
      <c r="B2620" s="3">
        <v>3.13555172413793</v>
      </c>
      <c r="E2620" s="4502"/>
      <c r="F2620" s="4502"/>
      <c r="G2620" s="4502"/>
      <c r="H2620" s="4502"/>
      <c r="I2620" s="4502"/>
      <c r="J2620" s="4502"/>
      <c r="K2620" s="4502"/>
      <c r="L2620" s="4502"/>
      <c r="M2620" s="4502"/>
    </row>
    <row r="2621" spans="1:13" hidden="1">
      <c r="A2621" s="4501" t="s">
        <v>9352</v>
      </c>
      <c r="B2621" s="3">
        <v>3.1361379310344799</v>
      </c>
      <c r="E2621" s="4502"/>
      <c r="F2621" s="4502"/>
      <c r="G2621" s="4502"/>
      <c r="H2621" s="4502"/>
      <c r="I2621" s="4502"/>
      <c r="J2621" s="4502"/>
      <c r="K2621" s="4502"/>
      <c r="L2621" s="4502"/>
      <c r="M2621" s="4502"/>
    </row>
    <row r="2622" spans="1:13" hidden="1">
      <c r="A2622" s="4501" t="s">
        <v>9353</v>
      </c>
      <c r="B2622" s="3">
        <v>3.1367241379310302</v>
      </c>
      <c r="E2622" s="4502"/>
      <c r="F2622" s="4502"/>
      <c r="G2622" s="4502"/>
      <c r="H2622" s="4502"/>
      <c r="I2622" s="4502"/>
      <c r="J2622" s="4502"/>
      <c r="K2622" s="4502"/>
      <c r="L2622" s="4502"/>
      <c r="M2622" s="4502"/>
    </row>
    <row r="2623" spans="1:13" hidden="1">
      <c r="A2623" s="4501" t="s">
        <v>9354</v>
      </c>
      <c r="B2623" s="3">
        <v>3.1373103448275899</v>
      </c>
      <c r="E2623" s="4502"/>
      <c r="F2623" s="4502"/>
      <c r="G2623" s="4502"/>
      <c r="H2623" s="4502"/>
      <c r="I2623" s="4502"/>
      <c r="J2623" s="4502"/>
      <c r="K2623" s="4502"/>
      <c r="L2623" s="4502"/>
      <c r="M2623" s="4502"/>
    </row>
    <row r="2624" spans="1:13" hidden="1">
      <c r="A2624" s="4501" t="s">
        <v>9355</v>
      </c>
      <c r="B2624" s="3">
        <v>3.1378965517241402</v>
      </c>
      <c r="E2624" s="4502"/>
      <c r="F2624" s="4502"/>
      <c r="G2624" s="4502"/>
      <c r="H2624" s="4502"/>
      <c r="I2624" s="4502"/>
      <c r="J2624" s="4502"/>
      <c r="K2624" s="4502"/>
      <c r="L2624" s="4502"/>
      <c r="M2624" s="4502"/>
    </row>
    <row r="2625" spans="1:13" hidden="1">
      <c r="A2625" s="4501" t="s">
        <v>9356</v>
      </c>
      <c r="B2625" s="3">
        <v>3.13848275862069</v>
      </c>
      <c r="E2625" s="4502"/>
      <c r="F2625" s="4502"/>
      <c r="G2625" s="4502"/>
      <c r="H2625" s="4502"/>
      <c r="I2625" s="4502"/>
      <c r="J2625" s="4502"/>
      <c r="K2625" s="4502"/>
      <c r="L2625" s="4502"/>
      <c r="M2625" s="4502"/>
    </row>
    <row r="2626" spans="1:13" hidden="1">
      <c r="A2626" s="4501" t="s">
        <v>9357</v>
      </c>
      <c r="B2626" s="3">
        <v>3.1390689655172399</v>
      </c>
      <c r="E2626" s="4502"/>
      <c r="F2626" s="4502"/>
      <c r="G2626" s="4502"/>
      <c r="H2626" s="4502"/>
      <c r="I2626" s="4502"/>
      <c r="J2626" s="4502"/>
      <c r="K2626" s="4502"/>
      <c r="L2626" s="4502"/>
      <c r="M2626" s="4502"/>
    </row>
    <row r="2627" spans="1:13" hidden="1">
      <c r="A2627" s="4501" t="s">
        <v>9358</v>
      </c>
      <c r="B2627" s="3">
        <v>3.1396551724137902</v>
      </c>
      <c r="E2627" s="4502"/>
      <c r="F2627" s="4502"/>
      <c r="G2627" s="4502"/>
      <c r="H2627" s="4502"/>
      <c r="I2627" s="4502"/>
      <c r="J2627" s="4502"/>
      <c r="K2627" s="4502"/>
      <c r="L2627" s="4502"/>
      <c r="M2627" s="4502"/>
    </row>
    <row r="2628" spans="1:13" hidden="1">
      <c r="A2628" s="4501" t="s">
        <v>9359</v>
      </c>
      <c r="B2628" s="3">
        <v>3.1402413793103401</v>
      </c>
      <c r="E2628" s="4502"/>
      <c r="F2628" s="4502"/>
      <c r="G2628" s="4502"/>
      <c r="H2628" s="4502"/>
      <c r="I2628" s="4502"/>
      <c r="J2628" s="4502"/>
      <c r="K2628" s="4502"/>
      <c r="L2628" s="4502"/>
      <c r="M2628" s="4502"/>
    </row>
    <row r="2629" spans="1:13" hidden="1">
      <c r="A2629" s="4501" t="s">
        <v>9360</v>
      </c>
      <c r="B2629" s="3">
        <v>3.1408275862069002</v>
      </c>
      <c r="E2629" s="4502"/>
      <c r="F2629" s="4502"/>
      <c r="G2629" s="4502"/>
      <c r="H2629" s="4502"/>
      <c r="I2629" s="4502"/>
      <c r="J2629" s="4502"/>
      <c r="K2629" s="4502"/>
      <c r="L2629" s="4502"/>
      <c r="M2629" s="4502"/>
    </row>
    <row r="2630" spans="1:13" hidden="1">
      <c r="A2630" s="4501" t="s">
        <v>9361</v>
      </c>
      <c r="B2630" s="3">
        <v>3.14141379310345</v>
      </c>
      <c r="E2630" s="4502"/>
      <c r="F2630" s="4502"/>
      <c r="G2630" s="4502"/>
      <c r="H2630" s="4502"/>
      <c r="I2630" s="4502"/>
      <c r="J2630" s="4502"/>
      <c r="K2630" s="4502"/>
      <c r="L2630" s="4502"/>
      <c r="M2630" s="4502"/>
    </row>
    <row r="2631" spans="1:13" hidden="1">
      <c r="A2631" s="4501" t="s">
        <v>9362</v>
      </c>
      <c r="B2631" s="3">
        <v>3.1419999999999999</v>
      </c>
      <c r="E2631" s="4502"/>
      <c r="F2631" s="4502"/>
      <c r="G2631" s="4502"/>
      <c r="H2631" s="4502"/>
      <c r="I2631" s="4502"/>
      <c r="J2631" s="4502"/>
      <c r="K2631" s="4502"/>
      <c r="L2631" s="4502"/>
      <c r="M2631" s="4502"/>
    </row>
    <row r="2632" spans="1:13" hidden="1">
      <c r="A2632" s="4501" t="s">
        <v>9363</v>
      </c>
      <c r="B2632" s="3">
        <v>3.14175757575758</v>
      </c>
      <c r="E2632" s="4502"/>
      <c r="F2632" s="4502"/>
      <c r="G2632" s="4502"/>
      <c r="H2632" s="4502"/>
      <c r="I2632" s="4502"/>
      <c r="J2632" s="4502"/>
      <c r="K2632" s="4502"/>
      <c r="L2632" s="4502"/>
      <c r="M2632" s="4502"/>
    </row>
    <row r="2633" spans="1:13" hidden="1">
      <c r="A2633" s="4501" t="s">
        <v>9364</v>
      </c>
      <c r="B2633" s="3">
        <v>3.1415151515151498</v>
      </c>
      <c r="E2633" s="4502"/>
      <c r="F2633" s="4502"/>
      <c r="G2633" s="4502"/>
      <c r="H2633" s="4502"/>
      <c r="I2633" s="4502"/>
      <c r="J2633" s="4502"/>
      <c r="K2633" s="4502"/>
      <c r="L2633" s="4502"/>
      <c r="M2633" s="4502"/>
    </row>
    <row r="2634" spans="1:13" hidden="1">
      <c r="A2634" s="4501" t="s">
        <v>9365</v>
      </c>
      <c r="B2634" s="3">
        <v>3.1412727272727299</v>
      </c>
      <c r="E2634" s="4502"/>
      <c r="F2634" s="4502"/>
      <c r="G2634" s="4502"/>
      <c r="H2634" s="4502"/>
      <c r="I2634" s="4502"/>
      <c r="J2634" s="4502"/>
      <c r="K2634" s="4502"/>
      <c r="L2634" s="4502"/>
      <c r="M2634" s="4502"/>
    </row>
    <row r="2635" spans="1:13" hidden="1">
      <c r="A2635" s="4501" t="s">
        <v>9366</v>
      </c>
      <c r="B2635" s="3">
        <v>3.1410303030303002</v>
      </c>
      <c r="E2635" s="4502"/>
      <c r="F2635" s="4502"/>
      <c r="G2635" s="4502"/>
      <c r="H2635" s="4502"/>
      <c r="I2635" s="4502"/>
      <c r="J2635" s="4502"/>
      <c r="K2635" s="4502"/>
      <c r="L2635" s="4502"/>
      <c r="M2635" s="4502"/>
    </row>
    <row r="2636" spans="1:13" hidden="1">
      <c r="A2636" s="4501" t="s">
        <v>9367</v>
      </c>
      <c r="B2636" s="3">
        <v>3.1407878787878798</v>
      </c>
      <c r="E2636" s="4502"/>
      <c r="F2636" s="4502"/>
      <c r="G2636" s="4502"/>
      <c r="H2636" s="4502"/>
      <c r="I2636" s="4502"/>
      <c r="J2636" s="4502"/>
      <c r="K2636" s="4502"/>
      <c r="L2636" s="4502"/>
      <c r="M2636" s="4502"/>
    </row>
    <row r="2637" spans="1:13" hidden="1">
      <c r="A2637" s="4501" t="s">
        <v>9368</v>
      </c>
      <c r="B2637" s="3">
        <v>3.1405454545454501</v>
      </c>
      <c r="E2637" s="4502"/>
      <c r="F2637" s="4502"/>
      <c r="G2637" s="4502"/>
      <c r="H2637" s="4502"/>
      <c r="I2637" s="4502"/>
      <c r="J2637" s="4502"/>
      <c r="K2637" s="4502"/>
      <c r="L2637" s="4502"/>
      <c r="M2637" s="4502"/>
    </row>
    <row r="2638" spans="1:13" hidden="1">
      <c r="A2638" s="4501" t="s">
        <v>9369</v>
      </c>
      <c r="B2638" s="3">
        <v>3.1403030303030302</v>
      </c>
      <c r="E2638" s="4502"/>
      <c r="F2638" s="4502"/>
      <c r="G2638" s="4502"/>
      <c r="H2638" s="4502"/>
      <c r="I2638" s="4502"/>
      <c r="J2638" s="4502"/>
      <c r="K2638" s="4502"/>
      <c r="L2638" s="4502"/>
      <c r="M2638" s="4502"/>
    </row>
    <row r="2639" spans="1:13" hidden="1">
      <c r="A2639" s="4501" t="s">
        <v>9370</v>
      </c>
      <c r="B2639" s="3">
        <v>3.1400606060606102</v>
      </c>
      <c r="E2639" s="4502"/>
      <c r="F2639" s="4502"/>
      <c r="G2639" s="4502"/>
      <c r="H2639" s="4502"/>
      <c r="I2639" s="4502"/>
      <c r="J2639" s="4502"/>
      <c r="K2639" s="4502"/>
      <c r="L2639" s="4502"/>
      <c r="M2639" s="4502"/>
    </row>
    <row r="2640" spans="1:13" hidden="1">
      <c r="A2640" s="4501" t="s">
        <v>9371</v>
      </c>
      <c r="B2640" s="3">
        <v>3.1398181818181801</v>
      </c>
      <c r="E2640" s="4502"/>
      <c r="F2640" s="4502"/>
      <c r="G2640" s="4502"/>
      <c r="H2640" s="4502"/>
      <c r="I2640" s="4502"/>
      <c r="J2640" s="4502"/>
      <c r="K2640" s="4502"/>
      <c r="L2640" s="4502"/>
      <c r="M2640" s="4502"/>
    </row>
    <row r="2641" spans="1:13" hidden="1">
      <c r="A2641" s="4501" t="s">
        <v>9372</v>
      </c>
      <c r="B2641" s="3">
        <v>3.1395757575757601</v>
      </c>
      <c r="E2641" s="4502"/>
      <c r="F2641" s="4502"/>
      <c r="G2641" s="4502"/>
      <c r="H2641" s="4502"/>
      <c r="I2641" s="4502"/>
      <c r="J2641" s="4502"/>
      <c r="K2641" s="4502"/>
      <c r="L2641" s="4502"/>
      <c r="M2641" s="4502"/>
    </row>
    <row r="2642" spans="1:13" hidden="1">
      <c r="A2642" s="4501" t="s">
        <v>9373</v>
      </c>
      <c r="B2642" s="3">
        <v>3.13933333333333</v>
      </c>
      <c r="E2642" s="4502"/>
      <c r="F2642" s="4502"/>
      <c r="G2642" s="4502"/>
      <c r="H2642" s="4502"/>
      <c r="I2642" s="4502"/>
      <c r="J2642" s="4502"/>
      <c r="K2642" s="4502"/>
      <c r="L2642" s="4502"/>
      <c r="M2642" s="4502"/>
    </row>
    <row r="2643" spans="1:13" hidden="1">
      <c r="A2643" s="4501" t="s">
        <v>9374</v>
      </c>
      <c r="B2643" s="3">
        <v>3.13909090909091</v>
      </c>
      <c r="E2643" s="4502"/>
      <c r="F2643" s="4502"/>
      <c r="G2643" s="4502"/>
      <c r="H2643" s="4502"/>
      <c r="I2643" s="4502"/>
      <c r="J2643" s="4502"/>
      <c r="K2643" s="4502"/>
      <c r="L2643" s="4502"/>
      <c r="M2643" s="4502"/>
    </row>
    <row r="2644" spans="1:13" hidden="1">
      <c r="A2644" s="4501" t="s">
        <v>9375</v>
      </c>
      <c r="B2644" s="3">
        <v>3.1388484848484799</v>
      </c>
      <c r="E2644" s="4502"/>
      <c r="F2644" s="4502"/>
      <c r="G2644" s="4502"/>
      <c r="H2644" s="4502"/>
      <c r="I2644" s="4502"/>
      <c r="J2644" s="4502"/>
      <c r="K2644" s="4502"/>
      <c r="L2644" s="4502"/>
      <c r="M2644" s="4502"/>
    </row>
    <row r="2645" spans="1:13" hidden="1">
      <c r="A2645" s="4501" t="s">
        <v>9376</v>
      </c>
      <c r="B2645" s="3">
        <v>3.13860606060606</v>
      </c>
      <c r="E2645" s="4502"/>
      <c r="F2645" s="4502"/>
      <c r="G2645" s="4502"/>
      <c r="H2645" s="4502"/>
      <c r="I2645" s="4502"/>
      <c r="J2645" s="4502"/>
      <c r="K2645" s="4502"/>
      <c r="L2645" s="4502"/>
      <c r="M2645" s="4502"/>
    </row>
    <row r="2646" spans="1:13" hidden="1">
      <c r="A2646" s="4501" t="s">
        <v>9377</v>
      </c>
      <c r="B2646" s="3">
        <v>3.13836363636364</v>
      </c>
      <c r="E2646" s="4502"/>
      <c r="F2646" s="4502"/>
      <c r="G2646" s="4502"/>
      <c r="H2646" s="4502"/>
      <c r="I2646" s="4502"/>
      <c r="J2646" s="4502"/>
      <c r="K2646" s="4502"/>
      <c r="L2646" s="4502"/>
      <c r="M2646" s="4502"/>
    </row>
    <row r="2647" spans="1:13" hidden="1">
      <c r="A2647" s="4501" t="s">
        <v>9378</v>
      </c>
      <c r="B2647" s="3">
        <v>3.1381212121212099</v>
      </c>
      <c r="E2647" s="4502"/>
      <c r="F2647" s="4502"/>
      <c r="G2647" s="4502"/>
      <c r="H2647" s="4502"/>
      <c r="I2647" s="4502"/>
      <c r="J2647" s="4502"/>
      <c r="K2647" s="4502"/>
      <c r="L2647" s="4502"/>
      <c r="M2647" s="4502"/>
    </row>
    <row r="2648" spans="1:13" hidden="1">
      <c r="A2648" s="4501" t="s">
        <v>9379</v>
      </c>
      <c r="B2648" s="3">
        <v>3.1378787878787899</v>
      </c>
      <c r="E2648" s="4502"/>
      <c r="F2648" s="4502"/>
      <c r="G2648" s="4502"/>
      <c r="H2648" s="4502"/>
      <c r="I2648" s="4502"/>
      <c r="J2648" s="4502"/>
      <c r="K2648" s="4502"/>
      <c r="L2648" s="4502"/>
      <c r="M2648" s="4502"/>
    </row>
    <row r="2649" spans="1:13" hidden="1">
      <c r="A2649" s="4501" t="s">
        <v>9380</v>
      </c>
      <c r="B2649" s="3">
        <v>3.1376363636363598</v>
      </c>
      <c r="E2649" s="4502"/>
      <c r="F2649" s="4502"/>
      <c r="G2649" s="4502"/>
      <c r="H2649" s="4502"/>
      <c r="I2649" s="4502"/>
      <c r="J2649" s="4502"/>
      <c r="K2649" s="4502"/>
      <c r="L2649" s="4502"/>
      <c r="M2649" s="4502"/>
    </row>
    <row r="2650" spans="1:13" hidden="1">
      <c r="A2650" s="4501" t="s">
        <v>9381</v>
      </c>
      <c r="B2650" s="3">
        <v>3.1373939393939398</v>
      </c>
      <c r="E2650" s="4502"/>
      <c r="F2650" s="4502"/>
      <c r="G2650" s="4502"/>
      <c r="H2650" s="4502"/>
      <c r="I2650" s="4502"/>
      <c r="J2650" s="4502"/>
      <c r="K2650" s="4502"/>
      <c r="L2650" s="4502"/>
      <c r="M2650" s="4502"/>
    </row>
    <row r="2651" spans="1:13" hidden="1">
      <c r="A2651" s="4501" t="s">
        <v>9382</v>
      </c>
      <c r="B2651" s="3">
        <v>3.1371515151515199</v>
      </c>
      <c r="E2651" s="4502"/>
      <c r="F2651" s="4502"/>
      <c r="G2651" s="4502"/>
      <c r="H2651" s="4502"/>
      <c r="I2651" s="4502"/>
      <c r="J2651" s="4502"/>
      <c r="K2651" s="4502"/>
      <c r="L2651" s="4502"/>
      <c r="M2651" s="4502"/>
    </row>
    <row r="2652" spans="1:13" hidden="1">
      <c r="A2652" s="4501" t="s">
        <v>9383</v>
      </c>
      <c r="B2652" s="3">
        <v>3.1369090909090902</v>
      </c>
      <c r="E2652" s="4502"/>
      <c r="F2652" s="4502"/>
      <c r="G2652" s="4502"/>
      <c r="H2652" s="4502"/>
      <c r="I2652" s="4502"/>
      <c r="J2652" s="4502"/>
      <c r="K2652" s="4502"/>
      <c r="L2652" s="4502"/>
      <c r="M2652" s="4502"/>
    </row>
    <row r="2653" spans="1:13" hidden="1">
      <c r="A2653" s="4501" t="s">
        <v>9384</v>
      </c>
      <c r="B2653" s="3">
        <v>3.1366666666666698</v>
      </c>
      <c r="E2653" s="4502"/>
      <c r="F2653" s="4502"/>
      <c r="G2653" s="4502"/>
      <c r="H2653" s="4502"/>
      <c r="I2653" s="4502"/>
      <c r="J2653" s="4502"/>
      <c r="K2653" s="4502"/>
      <c r="L2653" s="4502"/>
      <c r="M2653" s="4502"/>
    </row>
    <row r="2654" spans="1:13" hidden="1">
      <c r="A2654" s="4501" t="s">
        <v>9385</v>
      </c>
      <c r="B2654" s="3">
        <v>3.1364242424242401</v>
      </c>
      <c r="E2654" s="4502"/>
      <c r="F2654" s="4502"/>
      <c r="G2654" s="4502"/>
      <c r="H2654" s="4502"/>
      <c r="I2654" s="4502"/>
      <c r="J2654" s="4502"/>
      <c r="K2654" s="4502"/>
      <c r="L2654" s="4502"/>
      <c r="M2654" s="4502"/>
    </row>
    <row r="2655" spans="1:13" hidden="1">
      <c r="A2655" s="4501" t="s">
        <v>9386</v>
      </c>
      <c r="B2655" s="3">
        <v>3.1361818181818202</v>
      </c>
      <c r="E2655" s="4502"/>
      <c r="F2655" s="4502"/>
      <c r="G2655" s="4502"/>
      <c r="H2655" s="4502"/>
      <c r="I2655" s="4502"/>
      <c r="J2655" s="4502"/>
      <c r="K2655" s="4502"/>
      <c r="L2655" s="4502"/>
      <c r="M2655" s="4502"/>
    </row>
    <row r="2656" spans="1:13" hidden="1">
      <c r="A2656" s="4501" t="s">
        <v>9387</v>
      </c>
      <c r="B2656" s="3">
        <v>3.13593939393939</v>
      </c>
      <c r="E2656" s="4502"/>
      <c r="F2656" s="4502"/>
      <c r="G2656" s="4502"/>
      <c r="H2656" s="4502"/>
      <c r="I2656" s="4502"/>
      <c r="J2656" s="4502"/>
      <c r="K2656" s="4502"/>
      <c r="L2656" s="4502"/>
      <c r="M2656" s="4502"/>
    </row>
    <row r="2657" spans="1:13" hidden="1">
      <c r="A2657" s="4501" t="s">
        <v>9388</v>
      </c>
      <c r="B2657" s="3">
        <v>3.1356969696969701</v>
      </c>
      <c r="E2657" s="4502"/>
      <c r="F2657" s="4502"/>
      <c r="G2657" s="4502"/>
      <c r="H2657" s="4502"/>
      <c r="I2657" s="4502"/>
      <c r="J2657" s="4502"/>
      <c r="K2657" s="4502"/>
      <c r="L2657" s="4502"/>
      <c r="M2657" s="4502"/>
    </row>
    <row r="2658" spans="1:13" hidden="1">
      <c r="A2658" s="4501" t="s">
        <v>9389</v>
      </c>
      <c r="B2658" s="3">
        <v>3.1354545454545502</v>
      </c>
      <c r="E2658" s="4502"/>
      <c r="F2658" s="4502"/>
      <c r="G2658" s="4502"/>
      <c r="H2658" s="4502"/>
      <c r="I2658" s="4502"/>
      <c r="J2658" s="4502"/>
      <c r="K2658" s="4502"/>
      <c r="L2658" s="4502"/>
      <c r="M2658" s="4502"/>
    </row>
    <row r="2659" spans="1:13" hidden="1">
      <c r="A2659" s="4501" t="s">
        <v>9390</v>
      </c>
      <c r="B2659" s="3">
        <v>3.13521212121212</v>
      </c>
      <c r="E2659" s="4502"/>
      <c r="F2659" s="4502"/>
      <c r="G2659" s="4502"/>
      <c r="H2659" s="4502"/>
      <c r="I2659" s="4502"/>
      <c r="J2659" s="4502"/>
      <c r="K2659" s="4502"/>
      <c r="L2659" s="4502"/>
      <c r="M2659" s="4502"/>
    </row>
    <row r="2660" spans="1:13" hidden="1">
      <c r="A2660" s="4501" t="s">
        <v>9391</v>
      </c>
      <c r="B2660" s="3">
        <v>3.1349696969697001</v>
      </c>
      <c r="E2660" s="4502"/>
      <c r="F2660" s="4502"/>
      <c r="G2660" s="4502"/>
      <c r="H2660" s="4502"/>
      <c r="I2660" s="4502"/>
      <c r="J2660" s="4502"/>
      <c r="K2660" s="4502"/>
      <c r="L2660" s="4502"/>
      <c r="M2660" s="4502"/>
    </row>
    <row r="2661" spans="1:13" hidden="1">
      <c r="A2661" s="4501" t="s">
        <v>9392</v>
      </c>
      <c r="B2661" s="3">
        <v>3.1347272727272699</v>
      </c>
      <c r="E2661" s="4502"/>
      <c r="F2661" s="4502"/>
      <c r="G2661" s="4502"/>
      <c r="H2661" s="4502"/>
      <c r="I2661" s="4502"/>
      <c r="J2661" s="4502"/>
      <c r="K2661" s="4502"/>
      <c r="L2661" s="4502"/>
      <c r="M2661" s="4502"/>
    </row>
    <row r="2662" spans="1:13" hidden="1">
      <c r="A2662" s="4501" t="s">
        <v>9393</v>
      </c>
      <c r="B2662" s="3">
        <v>3.13448484848485</v>
      </c>
      <c r="E2662" s="4502"/>
      <c r="F2662" s="4502"/>
      <c r="G2662" s="4502"/>
      <c r="H2662" s="4502"/>
      <c r="I2662" s="4502"/>
      <c r="J2662" s="4502"/>
      <c r="K2662" s="4502"/>
      <c r="L2662" s="4502"/>
      <c r="M2662" s="4502"/>
    </row>
    <row r="2663" spans="1:13" hidden="1">
      <c r="A2663" s="4501" t="s">
        <v>9394</v>
      </c>
      <c r="B2663" s="3">
        <v>3.1342424242424198</v>
      </c>
      <c r="E2663" s="4502"/>
      <c r="F2663" s="4502"/>
      <c r="G2663" s="4502"/>
      <c r="H2663" s="4502"/>
      <c r="I2663" s="4502"/>
      <c r="J2663" s="4502"/>
      <c r="K2663" s="4502"/>
      <c r="L2663" s="4502"/>
      <c r="M2663" s="4502"/>
    </row>
    <row r="2664" spans="1:13" hidden="1">
      <c r="A2664" s="4501" t="s">
        <v>9395</v>
      </c>
      <c r="B2664" s="3">
        <v>3.1339999999999999</v>
      </c>
      <c r="E2664" s="4502"/>
      <c r="F2664" s="4502"/>
      <c r="G2664" s="4502"/>
      <c r="H2664" s="4502"/>
      <c r="I2664" s="4502"/>
      <c r="J2664" s="4502"/>
      <c r="K2664" s="4502"/>
      <c r="L2664" s="4502"/>
      <c r="M2664" s="4502"/>
    </row>
    <row r="2665" spans="1:13" hidden="1">
      <c r="A2665" s="4501" t="s">
        <v>9396</v>
      </c>
      <c r="B2665" s="3">
        <v>3.1353103448275901</v>
      </c>
      <c r="E2665" s="4502"/>
      <c r="F2665" s="4502"/>
      <c r="G2665" s="4502"/>
      <c r="H2665" s="4502"/>
      <c r="I2665" s="4502"/>
      <c r="J2665" s="4502"/>
      <c r="K2665" s="4502"/>
      <c r="L2665" s="4502"/>
      <c r="M2665" s="4502"/>
    </row>
    <row r="2666" spans="1:13" hidden="1">
      <c r="A2666" s="4501" t="s">
        <v>9397</v>
      </c>
      <c r="B2666" s="3">
        <v>3.13662068965517</v>
      </c>
      <c r="E2666" s="4502"/>
      <c r="F2666" s="4502"/>
      <c r="G2666" s="4502"/>
      <c r="H2666" s="4502"/>
      <c r="I2666" s="4502"/>
      <c r="J2666" s="4502"/>
      <c r="K2666" s="4502"/>
      <c r="L2666" s="4502"/>
      <c r="M2666" s="4502"/>
    </row>
    <row r="2667" spans="1:13" hidden="1">
      <c r="A2667" s="4501" t="s">
        <v>9398</v>
      </c>
      <c r="B2667" s="3">
        <v>3.1379310344827598</v>
      </c>
      <c r="E2667" s="4502"/>
      <c r="F2667" s="4502"/>
      <c r="G2667" s="4502"/>
      <c r="H2667" s="4502"/>
      <c r="I2667" s="4502"/>
      <c r="J2667" s="4502"/>
      <c r="K2667" s="4502"/>
      <c r="L2667" s="4502"/>
      <c r="M2667" s="4502"/>
    </row>
    <row r="2668" spans="1:13" hidden="1">
      <c r="A2668" s="4501" t="s">
        <v>9399</v>
      </c>
      <c r="B2668" s="3">
        <v>3.1392413793103402</v>
      </c>
      <c r="E2668" s="4502"/>
      <c r="F2668" s="4502"/>
      <c r="G2668" s="4502"/>
      <c r="H2668" s="4502"/>
      <c r="I2668" s="4502"/>
      <c r="J2668" s="4502"/>
      <c r="K2668" s="4502"/>
      <c r="L2668" s="4502"/>
      <c r="M2668" s="4502"/>
    </row>
    <row r="2669" spans="1:13" hidden="1">
      <c r="A2669" s="4501" t="s">
        <v>9400</v>
      </c>
      <c r="B2669" s="3">
        <v>3.1405517241379299</v>
      </c>
      <c r="E2669" s="4502"/>
      <c r="F2669" s="4502"/>
      <c r="G2669" s="4502"/>
      <c r="H2669" s="4502"/>
      <c r="I2669" s="4502"/>
      <c r="J2669" s="4502"/>
      <c r="K2669" s="4502"/>
      <c r="L2669" s="4502"/>
      <c r="M2669" s="4502"/>
    </row>
    <row r="2670" spans="1:13" hidden="1">
      <c r="A2670" s="4501" t="s">
        <v>9401</v>
      </c>
      <c r="B2670" s="3">
        <v>3.1418620689655201</v>
      </c>
      <c r="E2670" s="4502"/>
      <c r="F2670" s="4502"/>
      <c r="G2670" s="4502"/>
      <c r="H2670" s="4502"/>
      <c r="I2670" s="4502"/>
      <c r="J2670" s="4502"/>
      <c r="K2670" s="4502"/>
      <c r="L2670" s="4502"/>
      <c r="M2670" s="4502"/>
    </row>
    <row r="2671" spans="1:13" hidden="1">
      <c r="A2671" s="4501" t="s">
        <v>9402</v>
      </c>
      <c r="B2671" s="3">
        <v>3.1431724137931001</v>
      </c>
      <c r="E2671" s="4502"/>
      <c r="F2671" s="4502"/>
      <c r="G2671" s="4502"/>
      <c r="H2671" s="4502"/>
      <c r="I2671" s="4502"/>
      <c r="J2671" s="4502"/>
      <c r="K2671" s="4502"/>
      <c r="L2671" s="4502"/>
      <c r="M2671" s="4502"/>
    </row>
    <row r="2672" spans="1:13" hidden="1">
      <c r="A2672" s="4501" t="s">
        <v>9403</v>
      </c>
      <c r="B2672" s="3">
        <v>3.1444827586206898</v>
      </c>
      <c r="E2672" s="4502"/>
      <c r="F2672" s="4502"/>
      <c r="G2672" s="4502"/>
      <c r="H2672" s="4502"/>
      <c r="I2672" s="4502"/>
      <c r="J2672" s="4502"/>
      <c r="K2672" s="4502"/>
      <c r="L2672" s="4502"/>
      <c r="M2672" s="4502"/>
    </row>
    <row r="2673" spans="1:13" hidden="1">
      <c r="A2673" s="4501" t="s">
        <v>9404</v>
      </c>
      <c r="B2673" s="3">
        <v>3.14579310344828</v>
      </c>
      <c r="E2673" s="4502"/>
      <c r="F2673" s="4502"/>
      <c r="G2673" s="4502"/>
      <c r="H2673" s="4502"/>
      <c r="I2673" s="4502"/>
      <c r="J2673" s="4502"/>
      <c r="K2673" s="4502"/>
      <c r="L2673" s="4502"/>
      <c r="M2673" s="4502"/>
    </row>
    <row r="2674" spans="1:13" hidden="1">
      <c r="A2674" s="4501" t="s">
        <v>9405</v>
      </c>
      <c r="B2674" s="3">
        <v>3.14710344827586</v>
      </c>
      <c r="E2674" s="4502"/>
      <c r="F2674" s="4502"/>
      <c r="G2674" s="4502"/>
      <c r="H2674" s="4502"/>
      <c r="I2674" s="4502"/>
      <c r="J2674" s="4502"/>
      <c r="K2674" s="4502"/>
      <c r="L2674" s="4502"/>
      <c r="M2674" s="4502"/>
    </row>
    <row r="2675" spans="1:13" hidden="1">
      <c r="A2675" s="4501" t="s">
        <v>9406</v>
      </c>
      <c r="B2675" s="3">
        <v>3.1484137931034502</v>
      </c>
      <c r="E2675" s="4502"/>
      <c r="F2675" s="4502"/>
      <c r="G2675" s="4502"/>
      <c r="H2675" s="4502"/>
      <c r="I2675" s="4502"/>
      <c r="J2675" s="4502"/>
      <c r="K2675" s="4502"/>
      <c r="L2675" s="4502"/>
      <c r="M2675" s="4502"/>
    </row>
    <row r="2676" spans="1:13" hidden="1">
      <c r="A2676" s="4501" t="s">
        <v>9407</v>
      </c>
      <c r="B2676" s="3">
        <v>3.1497241379310301</v>
      </c>
      <c r="E2676" s="4502"/>
      <c r="F2676" s="4502"/>
      <c r="G2676" s="4502"/>
      <c r="H2676" s="4502"/>
      <c r="I2676" s="4502"/>
      <c r="J2676" s="4502"/>
      <c r="K2676" s="4502"/>
      <c r="L2676" s="4502"/>
      <c r="M2676" s="4502"/>
    </row>
    <row r="2677" spans="1:13" hidden="1">
      <c r="A2677" s="4501" t="s">
        <v>9408</v>
      </c>
      <c r="B2677" s="3">
        <v>3.1510344827586199</v>
      </c>
      <c r="E2677" s="4502"/>
      <c r="F2677" s="4502"/>
      <c r="G2677" s="4502"/>
      <c r="H2677" s="4502"/>
      <c r="I2677" s="4502"/>
      <c r="J2677" s="4502"/>
      <c r="K2677" s="4502"/>
      <c r="L2677" s="4502"/>
      <c r="M2677" s="4502"/>
    </row>
    <row r="2678" spans="1:13" hidden="1">
      <c r="A2678" s="4501" t="s">
        <v>9409</v>
      </c>
      <c r="B2678" s="3">
        <v>3.15234482758621</v>
      </c>
      <c r="E2678" s="4502"/>
      <c r="F2678" s="4502"/>
      <c r="G2678" s="4502"/>
      <c r="H2678" s="4502"/>
      <c r="I2678" s="4502"/>
      <c r="J2678" s="4502"/>
      <c r="K2678" s="4502"/>
      <c r="L2678" s="4502"/>
      <c r="M2678" s="4502"/>
    </row>
    <row r="2679" spans="1:13" hidden="1">
      <c r="A2679" s="4501" t="s">
        <v>9410</v>
      </c>
      <c r="B2679" s="3">
        <v>3.15365517241379</v>
      </c>
      <c r="E2679" s="4502"/>
      <c r="F2679" s="4502"/>
      <c r="G2679" s="4502"/>
      <c r="H2679" s="4502"/>
      <c r="I2679" s="4502"/>
      <c r="J2679" s="4502"/>
      <c r="K2679" s="4502"/>
      <c r="L2679" s="4502"/>
      <c r="M2679" s="4502"/>
    </row>
    <row r="2680" spans="1:13" hidden="1">
      <c r="A2680" s="4501" t="s">
        <v>9411</v>
      </c>
      <c r="B2680" s="3">
        <v>3.1549655172413802</v>
      </c>
      <c r="E2680" s="4502"/>
      <c r="F2680" s="4502"/>
      <c r="G2680" s="4502"/>
      <c r="H2680" s="4502"/>
      <c r="I2680" s="4502"/>
      <c r="J2680" s="4502"/>
      <c r="K2680" s="4502"/>
      <c r="L2680" s="4502"/>
      <c r="M2680" s="4502"/>
    </row>
    <row r="2681" spans="1:13" hidden="1">
      <c r="A2681" s="4501" t="s">
        <v>9412</v>
      </c>
      <c r="B2681" s="3">
        <v>3.1562758620689699</v>
      </c>
      <c r="E2681" s="4502"/>
      <c r="F2681" s="4502"/>
      <c r="G2681" s="4502"/>
      <c r="H2681" s="4502"/>
      <c r="I2681" s="4502"/>
      <c r="J2681" s="4502"/>
      <c r="K2681" s="4502"/>
      <c r="L2681" s="4502"/>
      <c r="M2681" s="4502"/>
    </row>
    <row r="2682" spans="1:13" hidden="1">
      <c r="A2682" s="4501" t="s">
        <v>9413</v>
      </c>
      <c r="B2682" s="3">
        <v>3.1575862068965499</v>
      </c>
      <c r="E2682" s="4502"/>
      <c r="F2682" s="4502"/>
      <c r="G2682" s="4502"/>
      <c r="H2682" s="4502"/>
      <c r="I2682" s="4502"/>
      <c r="J2682" s="4502"/>
      <c r="K2682" s="4502"/>
      <c r="L2682" s="4502"/>
      <c r="M2682" s="4502"/>
    </row>
    <row r="2683" spans="1:13" hidden="1">
      <c r="A2683" s="4501" t="s">
        <v>9414</v>
      </c>
      <c r="B2683" s="3">
        <v>3.1588965517241401</v>
      </c>
      <c r="E2683" s="4502"/>
      <c r="F2683" s="4502"/>
      <c r="G2683" s="4502"/>
      <c r="H2683" s="4502"/>
      <c r="I2683" s="4502"/>
      <c r="J2683" s="4502"/>
      <c r="K2683" s="4502"/>
      <c r="L2683" s="4502"/>
      <c r="M2683" s="4502"/>
    </row>
    <row r="2684" spans="1:13" hidden="1">
      <c r="A2684" s="4501" t="s">
        <v>9415</v>
      </c>
      <c r="B2684" s="3">
        <v>3.16020689655172</v>
      </c>
      <c r="E2684" s="4502"/>
      <c r="F2684" s="4502"/>
      <c r="G2684" s="4502"/>
      <c r="H2684" s="4502"/>
      <c r="I2684" s="4502"/>
      <c r="J2684" s="4502"/>
      <c r="K2684" s="4502"/>
      <c r="L2684" s="4502"/>
      <c r="M2684" s="4502"/>
    </row>
    <row r="2685" spans="1:13" hidden="1">
      <c r="A2685" s="4501" t="s">
        <v>9416</v>
      </c>
      <c r="B2685" s="3">
        <v>3.1615172413793098</v>
      </c>
      <c r="E2685" s="4502"/>
      <c r="F2685" s="4502"/>
      <c r="G2685" s="4502"/>
      <c r="H2685" s="4502"/>
      <c r="I2685" s="4502"/>
      <c r="J2685" s="4502"/>
      <c r="K2685" s="4502"/>
      <c r="L2685" s="4502"/>
      <c r="M2685" s="4502"/>
    </row>
    <row r="2686" spans="1:13" hidden="1">
      <c r="A2686" s="4501" t="s">
        <v>9417</v>
      </c>
      <c r="B2686" s="3">
        <v>3.1628275862069</v>
      </c>
      <c r="E2686" s="4502"/>
      <c r="F2686" s="4502"/>
      <c r="G2686" s="4502"/>
      <c r="H2686" s="4502"/>
      <c r="I2686" s="4502"/>
      <c r="J2686" s="4502"/>
      <c r="K2686" s="4502"/>
      <c r="L2686" s="4502"/>
      <c r="M2686" s="4502"/>
    </row>
    <row r="2687" spans="1:13" hidden="1">
      <c r="A2687" s="4501" t="s">
        <v>9418</v>
      </c>
      <c r="B2687" s="3">
        <v>3.1641379310344799</v>
      </c>
      <c r="E2687" s="4502"/>
      <c r="F2687" s="4502"/>
      <c r="G2687" s="4502"/>
      <c r="H2687" s="4502"/>
      <c r="I2687" s="4502"/>
      <c r="J2687" s="4502"/>
      <c r="K2687" s="4502"/>
      <c r="L2687" s="4502"/>
      <c r="M2687" s="4502"/>
    </row>
    <row r="2688" spans="1:13" hidden="1">
      <c r="A2688" s="4501" t="s">
        <v>9419</v>
      </c>
      <c r="B2688" s="3">
        <v>3.1654482758620701</v>
      </c>
      <c r="E2688" s="4502"/>
      <c r="F2688" s="4502"/>
      <c r="G2688" s="4502"/>
      <c r="H2688" s="4502"/>
      <c r="I2688" s="4502"/>
      <c r="J2688" s="4502"/>
      <c r="K2688" s="4502"/>
      <c r="L2688" s="4502"/>
      <c r="M2688" s="4502"/>
    </row>
    <row r="2689" spans="1:13" hidden="1">
      <c r="A2689" s="4501" t="s">
        <v>9420</v>
      </c>
      <c r="B2689" s="3">
        <v>3.1667586206896599</v>
      </c>
      <c r="E2689" s="4502"/>
      <c r="F2689" s="4502"/>
      <c r="G2689" s="4502"/>
      <c r="H2689" s="4502"/>
      <c r="I2689" s="4502"/>
      <c r="J2689" s="4502"/>
      <c r="K2689" s="4502"/>
      <c r="L2689" s="4502"/>
      <c r="M2689" s="4502"/>
    </row>
    <row r="2690" spans="1:13" hidden="1">
      <c r="A2690" s="4501" t="s">
        <v>9421</v>
      </c>
      <c r="B2690" s="3">
        <v>3.1680689655172398</v>
      </c>
      <c r="E2690" s="4502"/>
      <c r="F2690" s="4502"/>
      <c r="G2690" s="4502"/>
      <c r="H2690" s="4502"/>
      <c r="I2690" s="4502"/>
      <c r="J2690" s="4502"/>
      <c r="K2690" s="4502"/>
      <c r="L2690" s="4502"/>
      <c r="M2690" s="4502"/>
    </row>
    <row r="2691" spans="1:13" hidden="1">
      <c r="A2691" s="4501" t="s">
        <v>9422</v>
      </c>
      <c r="B2691" s="3">
        <v>3.16937931034483</v>
      </c>
      <c r="E2691" s="4502"/>
      <c r="F2691" s="4502"/>
      <c r="G2691" s="4502"/>
      <c r="H2691" s="4502"/>
      <c r="I2691" s="4502"/>
      <c r="J2691" s="4502"/>
      <c r="K2691" s="4502"/>
      <c r="L2691" s="4502"/>
      <c r="M2691" s="4502"/>
    </row>
    <row r="2692" spans="1:13" hidden="1">
      <c r="A2692" s="4501" t="s">
        <v>9423</v>
      </c>
      <c r="B2692" s="3">
        <v>3.17068965517241</v>
      </c>
      <c r="E2692" s="4502"/>
      <c r="F2692" s="4502"/>
      <c r="G2692" s="4502"/>
      <c r="H2692" s="4502"/>
      <c r="I2692" s="4502"/>
      <c r="J2692" s="4502"/>
      <c r="K2692" s="4502"/>
      <c r="L2692" s="4502"/>
      <c r="M2692" s="4502"/>
    </row>
    <row r="2693" spans="1:13" hidden="1">
      <c r="A2693" s="4501" t="s">
        <v>9424</v>
      </c>
      <c r="B2693" s="3">
        <v>3.1720000000000002</v>
      </c>
      <c r="E2693" s="4502"/>
      <c r="F2693" s="4502"/>
      <c r="G2693" s="4502"/>
      <c r="H2693" s="4502"/>
      <c r="I2693" s="4502"/>
      <c r="J2693" s="4502"/>
      <c r="K2693" s="4502"/>
      <c r="L2693" s="4502"/>
      <c r="M2693" s="4502"/>
    </row>
    <row r="2694" spans="1:13" hidden="1">
      <c r="A2694" s="4501" t="s">
        <v>9425</v>
      </c>
      <c r="B2694" s="3">
        <v>3.1761666666666701</v>
      </c>
      <c r="E2694" s="4502"/>
      <c r="F2694" s="4502"/>
      <c r="G2694" s="4502"/>
      <c r="H2694" s="4502"/>
      <c r="I2694" s="4502"/>
      <c r="J2694" s="4502"/>
      <c r="K2694" s="4502"/>
      <c r="L2694" s="4502"/>
      <c r="M2694" s="4502"/>
    </row>
    <row r="2695" spans="1:13" hidden="1">
      <c r="A2695" s="4501" t="s">
        <v>9426</v>
      </c>
      <c r="B2695" s="3">
        <v>3.1803333333333299</v>
      </c>
      <c r="E2695" s="4502"/>
      <c r="F2695" s="4502"/>
      <c r="G2695" s="4502"/>
      <c r="H2695" s="4502"/>
      <c r="I2695" s="4502"/>
      <c r="J2695" s="4502"/>
      <c r="K2695" s="4502"/>
      <c r="L2695" s="4502"/>
      <c r="M2695" s="4502"/>
    </row>
    <row r="2696" spans="1:13" hidden="1">
      <c r="A2696" s="4501" t="s">
        <v>9427</v>
      </c>
      <c r="B2696" s="3">
        <v>3.1844999999999999</v>
      </c>
      <c r="E2696" s="4502"/>
      <c r="F2696" s="4502"/>
      <c r="G2696" s="4502"/>
      <c r="H2696" s="4502"/>
      <c r="I2696" s="4502"/>
      <c r="J2696" s="4502"/>
      <c r="K2696" s="4502"/>
      <c r="L2696" s="4502"/>
      <c r="M2696" s="4502"/>
    </row>
    <row r="2697" spans="1:13" hidden="1">
      <c r="A2697" s="4501" t="s">
        <v>9428</v>
      </c>
      <c r="B2697" s="3">
        <v>3.1886666666666699</v>
      </c>
      <c r="E2697" s="4502"/>
      <c r="F2697" s="4502"/>
      <c r="G2697" s="4502"/>
      <c r="H2697" s="4502"/>
      <c r="I2697" s="4502"/>
      <c r="J2697" s="4502"/>
      <c r="K2697" s="4502"/>
      <c r="L2697" s="4502"/>
      <c r="M2697" s="4502"/>
    </row>
    <row r="2698" spans="1:13" hidden="1">
      <c r="A2698" s="4501" t="s">
        <v>9429</v>
      </c>
      <c r="B2698" s="3">
        <v>3.1928333333333301</v>
      </c>
      <c r="E2698" s="4502"/>
      <c r="F2698" s="4502"/>
      <c r="G2698" s="4502"/>
      <c r="H2698" s="4502"/>
      <c r="I2698" s="4502"/>
      <c r="J2698" s="4502"/>
      <c r="K2698" s="4502"/>
      <c r="L2698" s="4502"/>
      <c r="M2698" s="4502"/>
    </row>
    <row r="2699" spans="1:13" hidden="1">
      <c r="A2699" s="4501" t="s">
        <v>9430</v>
      </c>
      <c r="B2699" s="3">
        <v>3.1970000000000001</v>
      </c>
      <c r="E2699" s="4502"/>
      <c r="F2699" s="4502"/>
      <c r="G2699" s="4502"/>
      <c r="H2699" s="4502"/>
      <c r="I2699" s="4502"/>
      <c r="J2699" s="4502"/>
      <c r="K2699" s="4502"/>
      <c r="L2699" s="4502"/>
      <c r="M2699" s="4502"/>
    </row>
    <row r="2700" spans="1:13" hidden="1">
      <c r="A2700" s="4501" t="s">
        <v>9431</v>
      </c>
      <c r="B2700" s="3">
        <v>3.20116666666667</v>
      </c>
      <c r="E2700" s="4502"/>
      <c r="F2700" s="4502"/>
      <c r="G2700" s="4502"/>
      <c r="H2700" s="4502"/>
      <c r="I2700" s="4502"/>
      <c r="J2700" s="4502"/>
      <c r="K2700" s="4502"/>
      <c r="L2700" s="4502"/>
      <c r="M2700" s="4502"/>
    </row>
    <row r="2701" spans="1:13" hidden="1">
      <c r="A2701" s="4501" t="s">
        <v>9432</v>
      </c>
      <c r="B2701" s="3">
        <v>3.2053333333333298</v>
      </c>
      <c r="E2701" s="4502"/>
      <c r="F2701" s="4502"/>
      <c r="G2701" s="4502"/>
      <c r="H2701" s="4502"/>
      <c r="I2701" s="4502"/>
      <c r="J2701" s="4502"/>
      <c r="K2701" s="4502"/>
      <c r="L2701" s="4502"/>
      <c r="M2701" s="4502"/>
    </row>
    <row r="2702" spans="1:13" hidden="1">
      <c r="A2702" s="4501" t="s">
        <v>9433</v>
      </c>
      <c r="B2702" s="3">
        <v>3.2094999999999998</v>
      </c>
      <c r="E2702" s="4502"/>
      <c r="F2702" s="4502"/>
      <c r="G2702" s="4502"/>
      <c r="H2702" s="4502"/>
      <c r="I2702" s="4502"/>
      <c r="J2702" s="4502"/>
      <c r="K2702" s="4502"/>
      <c r="L2702" s="4502"/>
      <c r="M2702" s="4502"/>
    </row>
    <row r="2703" spans="1:13" hidden="1">
      <c r="A2703" s="4501" t="s">
        <v>9434</v>
      </c>
      <c r="B2703" s="3">
        <v>3.2136666666666698</v>
      </c>
      <c r="E2703" s="4502"/>
      <c r="F2703" s="4502"/>
      <c r="G2703" s="4502"/>
      <c r="H2703" s="4502"/>
      <c r="I2703" s="4502"/>
      <c r="J2703" s="4502"/>
      <c r="K2703" s="4502"/>
      <c r="L2703" s="4502"/>
      <c r="M2703" s="4502"/>
    </row>
    <row r="2704" spans="1:13" hidden="1">
      <c r="A2704" s="4501" t="s">
        <v>9435</v>
      </c>
      <c r="B2704" s="3">
        <v>3.21783333333333</v>
      </c>
      <c r="E2704" s="4502"/>
      <c r="F2704" s="4502"/>
      <c r="G2704" s="4502"/>
      <c r="H2704" s="4502"/>
      <c r="I2704" s="4502"/>
      <c r="J2704" s="4502"/>
      <c r="K2704" s="4502"/>
      <c r="L2704" s="4502"/>
      <c r="M2704" s="4502"/>
    </row>
    <row r="2705" spans="1:13" hidden="1">
      <c r="A2705" s="4501" t="s">
        <v>9436</v>
      </c>
      <c r="B2705" s="3">
        <v>3.222</v>
      </c>
      <c r="E2705" s="4502"/>
      <c r="F2705" s="4502"/>
      <c r="G2705" s="4502"/>
      <c r="H2705" s="4502"/>
      <c r="I2705" s="4502"/>
      <c r="J2705" s="4502"/>
      <c r="K2705" s="4502"/>
      <c r="L2705" s="4502"/>
      <c r="M2705" s="4502"/>
    </row>
    <row r="2706" spans="1:13" hidden="1">
      <c r="A2706" s="4501" t="s">
        <v>9437</v>
      </c>
      <c r="B2706" s="3">
        <v>3.22616666666667</v>
      </c>
      <c r="E2706" s="4502"/>
      <c r="F2706" s="4502"/>
      <c r="G2706" s="4502"/>
      <c r="H2706" s="4502"/>
      <c r="I2706" s="4502"/>
      <c r="J2706" s="4502"/>
      <c r="K2706" s="4502"/>
      <c r="L2706" s="4502"/>
      <c r="M2706" s="4502"/>
    </row>
    <row r="2707" spans="1:13" hidden="1">
      <c r="A2707" s="4501" t="s">
        <v>9438</v>
      </c>
      <c r="B2707" s="3">
        <v>3.2303333333333302</v>
      </c>
      <c r="E2707" s="4502"/>
      <c r="F2707" s="4502"/>
      <c r="G2707" s="4502"/>
      <c r="H2707" s="4502"/>
      <c r="I2707" s="4502"/>
      <c r="J2707" s="4502"/>
      <c r="K2707" s="4502"/>
      <c r="L2707" s="4502"/>
      <c r="M2707" s="4502"/>
    </row>
    <row r="2708" spans="1:13" hidden="1">
      <c r="A2708" s="4501" t="s">
        <v>9439</v>
      </c>
      <c r="B2708" s="3">
        <v>3.2345000000000002</v>
      </c>
      <c r="E2708" s="4502"/>
      <c r="F2708" s="4502"/>
      <c r="G2708" s="4502"/>
      <c r="H2708" s="4502"/>
      <c r="I2708" s="4502"/>
      <c r="J2708" s="4502"/>
      <c r="K2708" s="4502"/>
      <c r="L2708" s="4502"/>
      <c r="M2708" s="4502"/>
    </row>
    <row r="2709" spans="1:13" hidden="1">
      <c r="A2709" s="4501" t="s">
        <v>9440</v>
      </c>
      <c r="B2709" s="3">
        <v>3.2386666666666701</v>
      </c>
      <c r="E2709" s="4502"/>
      <c r="F2709" s="4502"/>
      <c r="G2709" s="4502"/>
      <c r="H2709" s="4502"/>
      <c r="I2709" s="4502"/>
      <c r="J2709" s="4502"/>
      <c r="K2709" s="4502"/>
      <c r="L2709" s="4502"/>
      <c r="M2709" s="4502"/>
    </row>
    <row r="2710" spans="1:13" hidden="1">
      <c r="A2710" s="4501" t="s">
        <v>9441</v>
      </c>
      <c r="B2710" s="3">
        <v>3.2428333333333299</v>
      </c>
      <c r="E2710" s="4502"/>
      <c r="F2710" s="4502"/>
      <c r="G2710" s="4502"/>
      <c r="H2710" s="4502"/>
      <c r="I2710" s="4502"/>
      <c r="J2710" s="4502"/>
      <c r="K2710" s="4502"/>
      <c r="L2710" s="4502"/>
      <c r="M2710" s="4502"/>
    </row>
    <row r="2711" spans="1:13" hidden="1">
      <c r="A2711" s="4501" t="s">
        <v>9442</v>
      </c>
      <c r="B2711" s="3">
        <v>3.2469999999999999</v>
      </c>
      <c r="E2711" s="4502"/>
      <c r="F2711" s="4502"/>
      <c r="G2711" s="4502"/>
      <c r="H2711" s="4502"/>
      <c r="I2711" s="4502"/>
      <c r="J2711" s="4502"/>
      <c r="K2711" s="4502"/>
      <c r="L2711" s="4502"/>
      <c r="M2711" s="4502"/>
    </row>
    <row r="2712" spans="1:13" hidden="1">
      <c r="A2712" s="4501" t="s">
        <v>9443</v>
      </c>
      <c r="B2712" s="3">
        <v>3.2511666666666699</v>
      </c>
      <c r="E2712" s="4502"/>
      <c r="F2712" s="4502"/>
      <c r="G2712" s="4502"/>
      <c r="H2712" s="4502"/>
      <c r="I2712" s="4502"/>
      <c r="J2712" s="4502"/>
      <c r="K2712" s="4502"/>
      <c r="L2712" s="4502"/>
      <c r="M2712" s="4502"/>
    </row>
    <row r="2713" spans="1:13" hidden="1">
      <c r="A2713" s="4501" t="s">
        <v>9444</v>
      </c>
      <c r="B2713" s="3">
        <v>3.2553333333333301</v>
      </c>
      <c r="E2713" s="4502"/>
      <c r="F2713" s="4502"/>
      <c r="G2713" s="4502"/>
      <c r="H2713" s="4502"/>
      <c r="I2713" s="4502"/>
      <c r="J2713" s="4502"/>
      <c r="K2713" s="4502"/>
      <c r="L2713" s="4502"/>
      <c r="M2713" s="4502"/>
    </row>
    <row r="2714" spans="1:13" hidden="1">
      <c r="A2714" s="4501" t="s">
        <v>9445</v>
      </c>
      <c r="B2714" s="3">
        <v>3.2595000000000001</v>
      </c>
      <c r="E2714" s="4502"/>
      <c r="F2714" s="4502"/>
      <c r="G2714" s="4502"/>
      <c r="H2714" s="4502"/>
      <c r="I2714" s="4502"/>
      <c r="J2714" s="4502"/>
      <c r="K2714" s="4502"/>
      <c r="L2714" s="4502"/>
      <c r="M2714" s="4502"/>
    </row>
    <row r="2715" spans="1:13" hidden="1">
      <c r="A2715" s="4501" t="s">
        <v>9446</v>
      </c>
      <c r="B2715" s="3">
        <v>3.26366666666667</v>
      </c>
      <c r="E2715" s="4502"/>
      <c r="F2715" s="4502"/>
      <c r="G2715" s="4502"/>
      <c r="H2715" s="4502"/>
      <c r="I2715" s="4502"/>
      <c r="J2715" s="4502"/>
      <c r="K2715" s="4502"/>
      <c r="L2715" s="4502"/>
      <c r="M2715" s="4502"/>
    </row>
    <row r="2716" spans="1:13" hidden="1">
      <c r="A2716" s="4501" t="s">
        <v>9447</v>
      </c>
      <c r="B2716" s="3">
        <v>3.2678333333333298</v>
      </c>
      <c r="E2716" s="4502"/>
      <c r="F2716" s="4502"/>
      <c r="G2716" s="4502"/>
      <c r="H2716" s="4502"/>
      <c r="I2716" s="4502"/>
      <c r="J2716" s="4502"/>
      <c r="K2716" s="4502"/>
      <c r="L2716" s="4502"/>
      <c r="M2716" s="4502"/>
    </row>
    <row r="2717" spans="1:13" hidden="1">
      <c r="A2717" s="4501" t="s">
        <v>9448</v>
      </c>
      <c r="B2717" s="3">
        <v>3.2719999999999998</v>
      </c>
      <c r="E2717" s="4502"/>
      <c r="F2717" s="4502"/>
      <c r="G2717" s="4502"/>
      <c r="H2717" s="4502"/>
      <c r="I2717" s="4502"/>
      <c r="J2717" s="4502"/>
      <c r="K2717" s="4502"/>
      <c r="L2717" s="4502"/>
      <c r="M2717" s="4502"/>
    </row>
    <row r="2718" spans="1:13" hidden="1">
      <c r="A2718" s="4501" t="s">
        <v>9449</v>
      </c>
      <c r="B2718" s="3">
        <v>3.2761666666666698</v>
      </c>
      <c r="E2718" s="4502"/>
      <c r="F2718" s="4502"/>
      <c r="G2718" s="4502"/>
      <c r="H2718" s="4502"/>
      <c r="I2718" s="4502"/>
      <c r="J2718" s="4502"/>
      <c r="K2718" s="4502"/>
      <c r="L2718" s="4502"/>
      <c r="M2718" s="4502"/>
    </row>
    <row r="2719" spans="1:13" hidden="1">
      <c r="A2719" s="4501" t="s">
        <v>9450</v>
      </c>
      <c r="B2719" s="3">
        <v>3.28033333333333</v>
      </c>
      <c r="E2719" s="4502"/>
      <c r="F2719" s="4502"/>
      <c r="G2719" s="4502"/>
      <c r="H2719" s="4502"/>
      <c r="I2719" s="4502"/>
      <c r="J2719" s="4502"/>
      <c r="K2719" s="4502"/>
      <c r="L2719" s="4502"/>
      <c r="M2719" s="4502"/>
    </row>
    <row r="2720" spans="1:13" hidden="1">
      <c r="A2720" s="4501" t="s">
        <v>9451</v>
      </c>
      <c r="B2720" s="3">
        <v>3.2845</v>
      </c>
      <c r="E2720" s="4502"/>
      <c r="F2720" s="4502"/>
      <c r="G2720" s="4502"/>
      <c r="H2720" s="4502"/>
      <c r="I2720" s="4502"/>
      <c r="J2720" s="4502"/>
      <c r="K2720" s="4502"/>
      <c r="L2720" s="4502"/>
      <c r="M2720" s="4502"/>
    </row>
    <row r="2721" spans="1:13" hidden="1">
      <c r="A2721" s="4501" t="s">
        <v>9452</v>
      </c>
      <c r="B2721" s="3">
        <v>3.28866666666667</v>
      </c>
      <c r="E2721" s="4502"/>
      <c r="F2721" s="4502"/>
      <c r="G2721" s="4502"/>
      <c r="H2721" s="4502"/>
      <c r="I2721" s="4502"/>
      <c r="J2721" s="4502"/>
      <c r="K2721" s="4502"/>
      <c r="L2721" s="4502"/>
      <c r="M2721" s="4502"/>
    </row>
    <row r="2722" spans="1:13" hidden="1">
      <c r="A2722" s="4501" t="s">
        <v>9453</v>
      </c>
      <c r="B2722" s="3">
        <v>3.2928333333333302</v>
      </c>
      <c r="E2722" s="4502"/>
      <c r="F2722" s="4502"/>
      <c r="G2722" s="4502"/>
      <c r="H2722" s="4502"/>
      <c r="I2722" s="4502"/>
      <c r="J2722" s="4502"/>
      <c r="K2722" s="4502"/>
      <c r="L2722" s="4502"/>
      <c r="M2722" s="4502"/>
    </row>
    <row r="2723" spans="1:13" hidden="1">
      <c r="A2723" s="4501" t="s">
        <v>9454</v>
      </c>
      <c r="B2723" s="3">
        <v>3.2970000000000002</v>
      </c>
      <c r="E2723" s="4502"/>
      <c r="F2723" s="4502"/>
      <c r="G2723" s="4502"/>
      <c r="H2723" s="4502"/>
      <c r="I2723" s="4502"/>
      <c r="J2723" s="4502"/>
      <c r="K2723" s="4502"/>
      <c r="L2723" s="4502"/>
      <c r="M2723" s="4502"/>
    </row>
    <row r="2724" spans="1:13" hidden="1">
      <c r="A2724" s="4501" t="s">
        <v>9455</v>
      </c>
      <c r="B2724" s="3">
        <v>3.30375</v>
      </c>
      <c r="E2724" s="4502"/>
      <c r="F2724" s="4502"/>
      <c r="G2724" s="4502"/>
      <c r="H2724" s="4502"/>
      <c r="I2724" s="4502"/>
      <c r="J2724" s="4502"/>
      <c r="K2724" s="4502"/>
      <c r="L2724" s="4502"/>
      <c r="M2724" s="4502"/>
    </row>
    <row r="2725" spans="1:13" hidden="1">
      <c r="A2725" s="4501" t="s">
        <v>9456</v>
      </c>
      <c r="B2725" s="3">
        <v>3.3105000000000002</v>
      </c>
      <c r="E2725" s="4502"/>
      <c r="F2725" s="4502"/>
      <c r="G2725" s="4502"/>
      <c r="H2725" s="4502"/>
      <c r="I2725" s="4502"/>
      <c r="J2725" s="4502"/>
      <c r="K2725" s="4502"/>
      <c r="L2725" s="4502"/>
      <c r="M2725" s="4502"/>
    </row>
    <row r="2726" spans="1:13" hidden="1">
      <c r="A2726" s="4501" t="s">
        <v>9457</v>
      </c>
      <c r="B2726" s="3">
        <v>3.31725</v>
      </c>
      <c r="E2726" s="4502"/>
      <c r="F2726" s="4502"/>
      <c r="G2726" s="4502"/>
      <c r="H2726" s="4502"/>
      <c r="I2726" s="4502"/>
      <c r="J2726" s="4502"/>
      <c r="K2726" s="4502"/>
      <c r="L2726" s="4502"/>
      <c r="M2726" s="4502"/>
    </row>
    <row r="2727" spans="1:13" hidden="1">
      <c r="A2727" s="4501" t="s">
        <v>9458</v>
      </c>
      <c r="B2727" s="3">
        <v>3.3239999999999998</v>
      </c>
      <c r="E2727" s="4502"/>
      <c r="F2727" s="4502"/>
      <c r="G2727" s="4502"/>
      <c r="H2727" s="4502"/>
      <c r="I2727" s="4502"/>
      <c r="J2727" s="4502"/>
      <c r="K2727" s="4502"/>
      <c r="L2727" s="4502"/>
      <c r="M2727" s="4502"/>
    </row>
    <row r="2728" spans="1:13" hidden="1">
      <c r="A2728" s="4501" t="s">
        <v>9459</v>
      </c>
      <c r="B2728" s="3">
        <v>3.3307500000000001</v>
      </c>
      <c r="E2728" s="4502"/>
      <c r="F2728" s="4502"/>
      <c r="G2728" s="4502"/>
      <c r="H2728" s="4502"/>
      <c r="I2728" s="4502"/>
      <c r="J2728" s="4502"/>
      <c r="K2728" s="4502"/>
      <c r="L2728" s="4502"/>
      <c r="M2728" s="4502"/>
    </row>
    <row r="2729" spans="1:13" hidden="1">
      <c r="A2729" s="4501" t="s">
        <v>9460</v>
      </c>
      <c r="B2729" s="3">
        <v>3.3374999999999999</v>
      </c>
      <c r="E2729" s="4502"/>
      <c r="F2729" s="4502"/>
      <c r="G2729" s="4502"/>
      <c r="H2729" s="4502"/>
      <c r="I2729" s="4502"/>
      <c r="J2729" s="4502"/>
      <c r="K2729" s="4502"/>
      <c r="L2729" s="4502"/>
      <c r="M2729" s="4502"/>
    </row>
    <row r="2730" spans="1:13" hidden="1">
      <c r="A2730" s="4501" t="s">
        <v>9461</v>
      </c>
      <c r="B2730" s="3">
        <v>3.3442500000000002</v>
      </c>
      <c r="E2730" s="4502"/>
      <c r="F2730" s="4502"/>
      <c r="G2730" s="4502"/>
      <c r="H2730" s="4502"/>
      <c r="I2730" s="4502"/>
      <c r="J2730" s="4502"/>
      <c r="K2730" s="4502"/>
      <c r="L2730" s="4502"/>
      <c r="M2730" s="4502"/>
    </row>
    <row r="2731" spans="1:13" hidden="1">
      <c r="A2731" s="4501" t="s">
        <v>9462</v>
      </c>
      <c r="B2731" s="3">
        <v>3.351</v>
      </c>
      <c r="E2731" s="4502"/>
      <c r="F2731" s="4502"/>
      <c r="G2731" s="4502"/>
      <c r="H2731" s="4502"/>
      <c r="I2731" s="4502"/>
      <c r="J2731" s="4502"/>
      <c r="K2731" s="4502"/>
      <c r="L2731" s="4502"/>
      <c r="M2731" s="4502"/>
    </row>
    <row r="2732" spans="1:13" hidden="1">
      <c r="A2732" s="4501" t="s">
        <v>9463</v>
      </c>
      <c r="B2732" s="3">
        <v>3.3577499999999998</v>
      </c>
      <c r="E2732" s="4502"/>
      <c r="F2732" s="4502"/>
      <c r="G2732" s="4502"/>
      <c r="H2732" s="4502"/>
      <c r="I2732" s="4502"/>
      <c r="J2732" s="4502"/>
      <c r="K2732" s="4502"/>
      <c r="L2732" s="4502"/>
      <c r="M2732" s="4502"/>
    </row>
    <row r="2733" spans="1:13" hidden="1">
      <c r="A2733" s="4501" t="s">
        <v>9464</v>
      </c>
      <c r="B2733" s="3">
        <v>3.3645</v>
      </c>
      <c r="E2733" s="4502"/>
      <c r="F2733" s="4502"/>
      <c r="G2733" s="4502"/>
      <c r="H2733" s="4502"/>
      <c r="I2733" s="4502"/>
      <c r="J2733" s="4502"/>
      <c r="K2733" s="4502"/>
      <c r="L2733" s="4502"/>
      <c r="M2733" s="4502"/>
    </row>
    <row r="2734" spans="1:13" hidden="1">
      <c r="A2734" s="4501" t="s">
        <v>9465</v>
      </c>
      <c r="B2734" s="3">
        <v>3.3712499999999999</v>
      </c>
      <c r="E2734" s="4502"/>
      <c r="F2734" s="4502"/>
      <c r="G2734" s="4502"/>
      <c r="H2734" s="4502"/>
      <c r="I2734" s="4502"/>
      <c r="J2734" s="4502"/>
      <c r="K2734" s="4502"/>
      <c r="L2734" s="4502"/>
      <c r="M2734" s="4502"/>
    </row>
    <row r="2735" spans="1:13" hidden="1">
      <c r="A2735" s="4501" t="s">
        <v>9466</v>
      </c>
      <c r="B2735" s="3">
        <v>3.3780000000000001</v>
      </c>
      <c r="E2735" s="4502"/>
      <c r="F2735" s="4502"/>
      <c r="G2735" s="4502"/>
      <c r="H2735" s="4502"/>
      <c r="I2735" s="4502"/>
      <c r="J2735" s="4502"/>
      <c r="K2735" s="4502"/>
      <c r="L2735" s="4502"/>
      <c r="M2735" s="4502"/>
    </row>
    <row r="2736" spans="1:13" hidden="1">
      <c r="A2736" s="4501" t="s">
        <v>9467</v>
      </c>
      <c r="B2736" s="3">
        <v>3.3847499999999999</v>
      </c>
      <c r="E2736" s="4502"/>
      <c r="F2736" s="4502"/>
      <c r="G2736" s="4502"/>
      <c r="H2736" s="4502"/>
      <c r="I2736" s="4502"/>
      <c r="J2736" s="4502"/>
      <c r="K2736" s="4502"/>
      <c r="L2736" s="4502"/>
      <c r="M2736" s="4502"/>
    </row>
    <row r="2737" spans="1:13" hidden="1">
      <c r="A2737" s="4501" t="s">
        <v>9468</v>
      </c>
      <c r="B2737" s="3">
        <v>3.3915000000000002</v>
      </c>
      <c r="E2737" s="4502"/>
      <c r="F2737" s="4502"/>
      <c r="G2737" s="4502"/>
      <c r="H2737" s="4502"/>
      <c r="I2737" s="4502"/>
      <c r="J2737" s="4502"/>
      <c r="K2737" s="4502"/>
      <c r="L2737" s="4502"/>
      <c r="M2737" s="4502"/>
    </row>
    <row r="2738" spans="1:13" hidden="1">
      <c r="A2738" s="4501" t="s">
        <v>9469</v>
      </c>
      <c r="B2738" s="3">
        <v>3.39825</v>
      </c>
      <c r="E2738" s="4502"/>
      <c r="F2738" s="4502"/>
      <c r="G2738" s="4502"/>
      <c r="H2738" s="4502"/>
      <c r="I2738" s="4502"/>
      <c r="J2738" s="4502"/>
      <c r="K2738" s="4502"/>
      <c r="L2738" s="4502"/>
      <c r="M2738" s="4502"/>
    </row>
    <row r="2739" spans="1:13" hidden="1">
      <c r="A2739" s="4501" t="s">
        <v>9470</v>
      </c>
      <c r="B2739" s="3">
        <v>3.4049999999999998</v>
      </c>
      <c r="E2739" s="4502"/>
      <c r="F2739" s="4502"/>
      <c r="G2739" s="4502"/>
      <c r="H2739" s="4502"/>
      <c r="I2739" s="4502"/>
      <c r="J2739" s="4502"/>
      <c r="K2739" s="4502"/>
      <c r="L2739" s="4502"/>
      <c r="M2739" s="4502"/>
    </row>
    <row r="2740" spans="1:13" hidden="1">
      <c r="A2740" s="4501" t="s">
        <v>9471</v>
      </c>
      <c r="B2740" s="3">
        <v>3.4117500000000001</v>
      </c>
      <c r="E2740" s="4502"/>
      <c r="F2740" s="4502"/>
      <c r="G2740" s="4502"/>
      <c r="H2740" s="4502"/>
      <c r="I2740" s="4502"/>
      <c r="J2740" s="4502"/>
      <c r="K2740" s="4502"/>
      <c r="L2740" s="4502"/>
      <c r="M2740" s="4502"/>
    </row>
    <row r="2741" spans="1:13" hidden="1">
      <c r="A2741" s="4501" t="s">
        <v>9472</v>
      </c>
      <c r="B2741" s="3">
        <v>3.4184999999999999</v>
      </c>
      <c r="E2741" s="4502"/>
      <c r="F2741" s="4502"/>
      <c r="G2741" s="4502"/>
      <c r="H2741" s="4502"/>
      <c r="I2741" s="4502"/>
      <c r="J2741" s="4502"/>
      <c r="K2741" s="4502"/>
      <c r="L2741" s="4502"/>
      <c r="M2741" s="4502"/>
    </row>
    <row r="2742" spans="1:13" hidden="1">
      <c r="A2742" s="4501" t="s">
        <v>9473</v>
      </c>
      <c r="B2742" s="3">
        <v>3.4252500000000001</v>
      </c>
      <c r="E2742" s="4502"/>
      <c r="F2742" s="4502"/>
      <c r="G2742" s="4502"/>
      <c r="H2742" s="4502"/>
      <c r="I2742" s="4502"/>
      <c r="J2742" s="4502"/>
      <c r="K2742" s="4502"/>
      <c r="L2742" s="4502"/>
      <c r="M2742" s="4502"/>
    </row>
    <row r="2743" spans="1:13" hidden="1">
      <c r="A2743" s="4501" t="s">
        <v>9474</v>
      </c>
      <c r="B2743" s="3">
        <v>3.4319999999999999</v>
      </c>
      <c r="E2743" s="4502"/>
      <c r="F2743" s="4502"/>
      <c r="G2743" s="4502"/>
      <c r="H2743" s="4502"/>
      <c r="I2743" s="4502"/>
      <c r="J2743" s="4502"/>
      <c r="K2743" s="4502"/>
      <c r="L2743" s="4502"/>
      <c r="M2743" s="4502"/>
    </row>
    <row r="2744" spans="1:13" hidden="1">
      <c r="A2744" s="4501" t="s">
        <v>9475</v>
      </c>
      <c r="B2744" s="3">
        <v>3.4387500000000002</v>
      </c>
      <c r="E2744" s="4502"/>
      <c r="F2744" s="4502"/>
      <c r="G2744" s="4502"/>
      <c r="H2744" s="4502"/>
      <c r="I2744" s="4502"/>
      <c r="J2744" s="4502"/>
      <c r="K2744" s="4502"/>
      <c r="L2744" s="4502"/>
      <c r="M2744" s="4502"/>
    </row>
    <row r="2745" spans="1:13" hidden="1">
      <c r="A2745" s="4501" t="s">
        <v>9476</v>
      </c>
      <c r="B2745" s="3">
        <v>3.4455</v>
      </c>
      <c r="E2745" s="4502"/>
      <c r="F2745" s="4502"/>
      <c r="G2745" s="4502"/>
      <c r="H2745" s="4502"/>
      <c r="I2745" s="4502"/>
      <c r="J2745" s="4502"/>
      <c r="K2745" s="4502"/>
      <c r="L2745" s="4502"/>
      <c r="M2745" s="4502"/>
    </row>
    <row r="2746" spans="1:13" hidden="1">
      <c r="A2746" s="4501" t="s">
        <v>9477</v>
      </c>
      <c r="B2746" s="3">
        <v>3.4522499999999998</v>
      </c>
      <c r="E2746" s="4502"/>
      <c r="F2746" s="4502"/>
      <c r="G2746" s="4502"/>
      <c r="H2746" s="4502"/>
      <c r="I2746" s="4502"/>
      <c r="J2746" s="4502"/>
      <c r="K2746" s="4502"/>
      <c r="L2746" s="4502"/>
      <c r="M2746" s="4502"/>
    </row>
    <row r="2747" spans="1:13" hidden="1">
      <c r="A2747" s="4501" t="s">
        <v>9478</v>
      </c>
      <c r="B2747" s="3">
        <v>3.4590000000000001</v>
      </c>
      <c r="E2747" s="4502"/>
      <c r="F2747" s="4502"/>
      <c r="G2747" s="4502"/>
      <c r="H2747" s="4502"/>
      <c r="I2747" s="4502"/>
      <c r="J2747" s="4502"/>
      <c r="K2747" s="4502"/>
      <c r="L2747" s="4502"/>
      <c r="M2747" s="4502"/>
    </row>
    <row r="2748" spans="1:13" hidden="1">
      <c r="A2748" s="4501" t="s">
        <v>9479</v>
      </c>
      <c r="B2748" s="3">
        <v>3.4657499999999999</v>
      </c>
      <c r="E2748" s="4502"/>
      <c r="F2748" s="4502"/>
      <c r="G2748" s="4502"/>
      <c r="H2748" s="4502"/>
      <c r="I2748" s="4502"/>
      <c r="J2748" s="4502"/>
      <c r="K2748" s="4502"/>
      <c r="L2748" s="4502"/>
      <c r="M2748" s="4502"/>
    </row>
    <row r="2749" spans="1:13" hidden="1">
      <c r="A2749" s="4501" t="s">
        <v>9480</v>
      </c>
      <c r="B2749" s="3">
        <v>3.4725000000000001</v>
      </c>
      <c r="E2749" s="4502"/>
      <c r="F2749" s="4502"/>
      <c r="G2749" s="4502"/>
      <c r="H2749" s="4502"/>
      <c r="I2749" s="4502"/>
      <c r="J2749" s="4502"/>
      <c r="K2749" s="4502"/>
      <c r="L2749" s="4502"/>
      <c r="M2749" s="4502"/>
    </row>
    <row r="2750" spans="1:13" hidden="1">
      <c r="A2750" s="4501" t="s">
        <v>9481</v>
      </c>
      <c r="B2750" s="3">
        <v>3.47925</v>
      </c>
      <c r="E2750" s="4502"/>
      <c r="F2750" s="4502"/>
      <c r="G2750" s="4502"/>
      <c r="H2750" s="4502"/>
      <c r="I2750" s="4502"/>
      <c r="J2750" s="4502"/>
      <c r="K2750" s="4502"/>
      <c r="L2750" s="4502"/>
      <c r="M2750" s="4502"/>
    </row>
    <row r="2751" spans="1:13" hidden="1">
      <c r="A2751" s="4501" t="s">
        <v>9482</v>
      </c>
      <c r="B2751" s="3">
        <v>3.4860000000000002</v>
      </c>
      <c r="E2751" s="4502"/>
      <c r="F2751" s="4502"/>
      <c r="G2751" s="4502"/>
      <c r="H2751" s="4502"/>
      <c r="I2751" s="4502"/>
      <c r="J2751" s="4502"/>
      <c r="K2751" s="4502"/>
      <c r="L2751" s="4502"/>
      <c r="M2751" s="4502"/>
    </row>
    <row r="2752" spans="1:13" hidden="1">
      <c r="A2752" s="4501" t="s">
        <v>9483</v>
      </c>
      <c r="B2752" s="3">
        <v>3.49275</v>
      </c>
      <c r="E2752" s="4502"/>
      <c r="F2752" s="4502"/>
      <c r="G2752" s="4502"/>
      <c r="H2752" s="4502"/>
      <c r="I2752" s="4502"/>
      <c r="J2752" s="4502"/>
      <c r="K2752" s="4502"/>
      <c r="L2752" s="4502"/>
      <c r="M2752" s="4502"/>
    </row>
    <row r="2753" spans="1:13" hidden="1">
      <c r="A2753" s="4501" t="s">
        <v>9484</v>
      </c>
      <c r="B2753" s="3">
        <v>3.4994999999999998</v>
      </c>
      <c r="E2753" s="4502"/>
      <c r="F2753" s="4502"/>
      <c r="G2753" s="4502"/>
      <c r="H2753" s="4502"/>
      <c r="I2753" s="4502"/>
      <c r="J2753" s="4502"/>
      <c r="K2753" s="4502"/>
      <c r="L2753" s="4502"/>
      <c r="M2753" s="4502"/>
    </row>
    <row r="2754" spans="1:13" hidden="1">
      <c r="A2754" s="4501" t="s">
        <v>9485</v>
      </c>
      <c r="B2754" s="3">
        <v>3.5062500000000001</v>
      </c>
      <c r="E2754" s="4502"/>
      <c r="F2754" s="4502"/>
      <c r="G2754" s="4502"/>
      <c r="H2754" s="4502"/>
      <c r="I2754" s="4502"/>
      <c r="J2754" s="4502"/>
      <c r="K2754" s="4502"/>
      <c r="L2754" s="4502"/>
      <c r="M2754" s="4502"/>
    </row>
    <row r="2755" spans="1:13" hidden="1">
      <c r="A2755" s="4501" t="s">
        <v>9486</v>
      </c>
      <c r="B2755" s="3">
        <v>3.5129999999999999</v>
      </c>
      <c r="E2755" s="4502"/>
      <c r="F2755" s="4502"/>
      <c r="G2755" s="4502"/>
      <c r="H2755" s="4502"/>
      <c r="I2755" s="4502"/>
      <c r="J2755" s="4502"/>
      <c r="K2755" s="4502"/>
      <c r="L2755" s="4502"/>
      <c r="M2755" s="4502"/>
    </row>
    <row r="2756" spans="1:13" hidden="1">
      <c r="A2756" s="4501" t="s">
        <v>9487</v>
      </c>
      <c r="B2756" s="3">
        <v>3.5165172413793102</v>
      </c>
      <c r="E2756" s="4502"/>
      <c r="F2756" s="4502"/>
      <c r="G2756" s="4502"/>
      <c r="H2756" s="4502"/>
      <c r="I2756" s="4502"/>
      <c r="J2756" s="4502"/>
      <c r="K2756" s="4502"/>
      <c r="L2756" s="4502"/>
      <c r="M2756" s="4502"/>
    </row>
    <row r="2757" spans="1:13" hidden="1">
      <c r="A2757" s="4501" t="s">
        <v>9488</v>
      </c>
      <c r="B2757" s="3">
        <v>3.5200344827586201</v>
      </c>
      <c r="E2757" s="4502"/>
      <c r="F2757" s="4502"/>
      <c r="G2757" s="4502"/>
      <c r="H2757" s="4502"/>
      <c r="I2757" s="4502"/>
      <c r="J2757" s="4502"/>
      <c r="K2757" s="4502"/>
      <c r="L2757" s="4502"/>
      <c r="M2757" s="4502"/>
    </row>
    <row r="2758" spans="1:13" hidden="1">
      <c r="A2758" s="4501" t="s">
        <v>9489</v>
      </c>
      <c r="B2758" s="3">
        <v>3.5235517241379299</v>
      </c>
      <c r="E2758" s="4502"/>
      <c r="F2758" s="4502"/>
      <c r="G2758" s="4502"/>
      <c r="H2758" s="4502"/>
      <c r="I2758" s="4502"/>
      <c r="J2758" s="4502"/>
      <c r="K2758" s="4502"/>
      <c r="L2758" s="4502"/>
      <c r="M2758" s="4502"/>
    </row>
    <row r="2759" spans="1:13" hidden="1">
      <c r="A2759" s="4501" t="s">
        <v>9490</v>
      </c>
      <c r="B2759" s="3">
        <v>3.5270689655172398</v>
      </c>
      <c r="E2759" s="4502"/>
      <c r="F2759" s="4502"/>
      <c r="G2759" s="4502"/>
      <c r="H2759" s="4502"/>
      <c r="I2759" s="4502"/>
      <c r="J2759" s="4502"/>
      <c r="K2759" s="4502"/>
      <c r="L2759" s="4502"/>
      <c r="M2759" s="4502"/>
    </row>
    <row r="2760" spans="1:13" hidden="1">
      <c r="A2760" s="4501" t="s">
        <v>9491</v>
      </c>
      <c r="B2760" s="3">
        <v>3.5305862068965501</v>
      </c>
      <c r="E2760" s="4502"/>
      <c r="F2760" s="4502"/>
      <c r="G2760" s="4502"/>
      <c r="H2760" s="4502"/>
      <c r="I2760" s="4502"/>
      <c r="J2760" s="4502"/>
      <c r="K2760" s="4502"/>
      <c r="L2760" s="4502"/>
      <c r="M2760" s="4502"/>
    </row>
    <row r="2761" spans="1:13" hidden="1">
      <c r="A2761" s="4501" t="s">
        <v>9492</v>
      </c>
      <c r="B2761" s="3">
        <v>3.53410344827586</v>
      </c>
      <c r="E2761" s="4502"/>
      <c r="F2761" s="4502"/>
      <c r="G2761" s="4502"/>
      <c r="H2761" s="4502"/>
      <c r="I2761" s="4502"/>
      <c r="J2761" s="4502"/>
      <c r="K2761" s="4502"/>
      <c r="L2761" s="4502"/>
      <c r="M2761" s="4502"/>
    </row>
    <row r="2762" spans="1:13" hidden="1">
      <c r="A2762" s="4501" t="s">
        <v>9493</v>
      </c>
      <c r="B2762" s="3">
        <v>3.5376206896551698</v>
      </c>
      <c r="E2762" s="4502"/>
      <c r="F2762" s="4502"/>
      <c r="G2762" s="4502"/>
      <c r="H2762" s="4502"/>
      <c r="I2762" s="4502"/>
      <c r="J2762" s="4502"/>
      <c r="K2762" s="4502"/>
      <c r="L2762" s="4502"/>
      <c r="M2762" s="4502"/>
    </row>
    <row r="2763" spans="1:13" hidden="1">
      <c r="A2763" s="4501" t="s">
        <v>9494</v>
      </c>
      <c r="B2763" s="3">
        <v>3.5411379310344802</v>
      </c>
      <c r="E2763" s="4502"/>
      <c r="F2763" s="4502"/>
      <c r="G2763" s="4502"/>
      <c r="H2763" s="4502"/>
      <c r="I2763" s="4502"/>
      <c r="J2763" s="4502"/>
      <c r="K2763" s="4502"/>
      <c r="L2763" s="4502"/>
      <c r="M2763" s="4502"/>
    </row>
    <row r="2764" spans="1:13" hidden="1">
      <c r="A2764" s="4501" t="s">
        <v>9495</v>
      </c>
      <c r="B2764" s="3">
        <v>3.54465517241379</v>
      </c>
      <c r="E2764" s="4502"/>
      <c r="F2764" s="4502"/>
      <c r="G2764" s="4502"/>
      <c r="H2764" s="4502"/>
      <c r="I2764" s="4502"/>
      <c r="J2764" s="4502"/>
      <c r="K2764" s="4502"/>
      <c r="L2764" s="4502"/>
      <c r="M2764" s="4502"/>
    </row>
    <row r="2765" spans="1:13" hidden="1">
      <c r="A2765" s="4501" t="s">
        <v>9496</v>
      </c>
      <c r="B2765" s="3">
        <v>3.5481724137930999</v>
      </c>
      <c r="E2765" s="4502"/>
      <c r="F2765" s="4502"/>
      <c r="G2765" s="4502"/>
      <c r="H2765" s="4502"/>
      <c r="I2765" s="4502"/>
      <c r="J2765" s="4502"/>
      <c r="K2765" s="4502"/>
      <c r="L2765" s="4502"/>
      <c r="M2765" s="4502"/>
    </row>
    <row r="2766" spans="1:13" hidden="1">
      <c r="A2766" s="4501" t="s">
        <v>9497</v>
      </c>
      <c r="B2766" s="3">
        <v>3.5516896551724102</v>
      </c>
      <c r="E2766" s="4502"/>
      <c r="F2766" s="4502"/>
      <c r="G2766" s="4502"/>
      <c r="H2766" s="4502"/>
      <c r="I2766" s="4502"/>
      <c r="J2766" s="4502"/>
      <c r="K2766" s="4502"/>
      <c r="L2766" s="4502"/>
      <c r="M2766" s="4502"/>
    </row>
    <row r="2767" spans="1:13" hidden="1">
      <c r="A2767" s="4501" t="s">
        <v>9498</v>
      </c>
      <c r="B2767" s="3">
        <v>3.5552068965517201</v>
      </c>
      <c r="E2767" s="4502"/>
      <c r="F2767" s="4502"/>
      <c r="G2767" s="4502"/>
      <c r="H2767" s="4502"/>
      <c r="I2767" s="4502"/>
      <c r="J2767" s="4502"/>
      <c r="K2767" s="4502"/>
      <c r="L2767" s="4502"/>
      <c r="M2767" s="4502"/>
    </row>
    <row r="2768" spans="1:13" hidden="1">
      <c r="A2768" s="4501" t="s">
        <v>9499</v>
      </c>
      <c r="B2768" s="3">
        <v>3.5587241379310299</v>
      </c>
      <c r="E2768" s="4502"/>
      <c r="F2768" s="4502"/>
      <c r="G2768" s="4502"/>
      <c r="H2768" s="4502"/>
      <c r="I2768" s="4502"/>
      <c r="J2768" s="4502"/>
      <c r="K2768" s="4502"/>
      <c r="L2768" s="4502"/>
      <c r="M2768" s="4502"/>
    </row>
    <row r="2769" spans="1:13" hidden="1">
      <c r="A2769" s="4501" t="s">
        <v>9500</v>
      </c>
      <c r="B2769" s="3">
        <v>3.5622413793103398</v>
      </c>
      <c r="E2769" s="4502"/>
      <c r="F2769" s="4502"/>
      <c r="G2769" s="4502"/>
      <c r="H2769" s="4502"/>
      <c r="I2769" s="4502"/>
      <c r="J2769" s="4502"/>
      <c r="K2769" s="4502"/>
      <c r="L2769" s="4502"/>
      <c r="M2769" s="4502"/>
    </row>
    <row r="2770" spans="1:13" hidden="1">
      <c r="A2770" s="4501" t="s">
        <v>9501</v>
      </c>
      <c r="B2770" s="3">
        <v>3.5657586206896599</v>
      </c>
      <c r="E2770" s="4502"/>
      <c r="F2770" s="4502"/>
      <c r="G2770" s="4502"/>
      <c r="H2770" s="4502"/>
      <c r="I2770" s="4502"/>
      <c r="J2770" s="4502"/>
      <c r="K2770" s="4502"/>
      <c r="L2770" s="4502"/>
      <c r="M2770" s="4502"/>
    </row>
    <row r="2771" spans="1:13" hidden="1">
      <c r="A2771" s="4501" t="s">
        <v>9502</v>
      </c>
      <c r="B2771" s="3">
        <v>3.5692758620689702</v>
      </c>
      <c r="E2771" s="4502"/>
      <c r="F2771" s="4502"/>
      <c r="G2771" s="4502"/>
      <c r="H2771" s="4502"/>
      <c r="I2771" s="4502"/>
      <c r="J2771" s="4502"/>
      <c r="K2771" s="4502"/>
      <c r="L2771" s="4502"/>
      <c r="M2771" s="4502"/>
    </row>
    <row r="2772" spans="1:13" hidden="1">
      <c r="A2772" s="4501" t="s">
        <v>9503</v>
      </c>
      <c r="B2772" s="3">
        <v>3.57279310344828</v>
      </c>
      <c r="E2772" s="4502"/>
      <c r="F2772" s="4502"/>
      <c r="G2772" s="4502"/>
      <c r="H2772" s="4502"/>
      <c r="I2772" s="4502"/>
      <c r="J2772" s="4502"/>
      <c r="K2772" s="4502"/>
      <c r="L2772" s="4502"/>
      <c r="M2772" s="4502"/>
    </row>
    <row r="2773" spans="1:13" hidden="1">
      <c r="A2773" s="4501" t="s">
        <v>9504</v>
      </c>
      <c r="B2773" s="3">
        <v>3.5763103448275899</v>
      </c>
      <c r="E2773" s="4502"/>
      <c r="F2773" s="4502"/>
      <c r="G2773" s="4502"/>
      <c r="H2773" s="4502"/>
      <c r="I2773" s="4502"/>
      <c r="J2773" s="4502"/>
      <c r="K2773" s="4502"/>
      <c r="L2773" s="4502"/>
      <c r="M2773" s="4502"/>
    </row>
    <row r="2774" spans="1:13" hidden="1">
      <c r="A2774" s="4501" t="s">
        <v>9505</v>
      </c>
      <c r="B2774" s="3">
        <v>3.5798275862068998</v>
      </c>
      <c r="E2774" s="4502"/>
      <c r="F2774" s="4502"/>
      <c r="G2774" s="4502"/>
      <c r="H2774" s="4502"/>
      <c r="I2774" s="4502"/>
      <c r="J2774" s="4502"/>
      <c r="K2774" s="4502"/>
      <c r="L2774" s="4502"/>
      <c r="M2774" s="4502"/>
    </row>
    <row r="2775" spans="1:13" hidden="1">
      <c r="A2775" s="4501" t="s">
        <v>9506</v>
      </c>
      <c r="B2775" s="3">
        <v>3.5833448275862101</v>
      </c>
      <c r="E2775" s="4502"/>
      <c r="F2775" s="4502"/>
      <c r="G2775" s="4502"/>
      <c r="H2775" s="4502"/>
      <c r="I2775" s="4502"/>
      <c r="J2775" s="4502"/>
      <c r="K2775" s="4502"/>
      <c r="L2775" s="4502"/>
      <c r="M2775" s="4502"/>
    </row>
    <row r="2776" spans="1:13" hidden="1">
      <c r="A2776" s="4501" t="s">
        <v>9507</v>
      </c>
      <c r="B2776" s="3">
        <v>3.58686206896552</v>
      </c>
      <c r="E2776" s="4502"/>
      <c r="F2776" s="4502"/>
      <c r="G2776" s="4502"/>
      <c r="H2776" s="4502"/>
      <c r="I2776" s="4502"/>
      <c r="J2776" s="4502"/>
      <c r="K2776" s="4502"/>
      <c r="L2776" s="4502"/>
      <c r="M2776" s="4502"/>
    </row>
    <row r="2777" spans="1:13" hidden="1">
      <c r="A2777" s="4501" t="s">
        <v>9508</v>
      </c>
      <c r="B2777" s="3">
        <v>3.5903793103448298</v>
      </c>
      <c r="E2777" s="4502"/>
      <c r="F2777" s="4502"/>
      <c r="G2777" s="4502"/>
      <c r="H2777" s="4502"/>
      <c r="I2777" s="4502"/>
      <c r="J2777" s="4502"/>
      <c r="K2777" s="4502"/>
      <c r="L2777" s="4502"/>
      <c r="M2777" s="4502"/>
    </row>
    <row r="2778" spans="1:13" hidden="1">
      <c r="A2778" s="4501" t="s">
        <v>9509</v>
      </c>
      <c r="B2778" s="3">
        <v>3.5938965517241401</v>
      </c>
      <c r="E2778" s="4502"/>
      <c r="F2778" s="4502"/>
      <c r="G2778" s="4502"/>
      <c r="H2778" s="4502"/>
      <c r="I2778" s="4502"/>
      <c r="J2778" s="4502"/>
      <c r="K2778" s="4502"/>
      <c r="L2778" s="4502"/>
      <c r="M2778" s="4502"/>
    </row>
    <row r="2779" spans="1:13" hidden="1">
      <c r="A2779" s="4501" t="s">
        <v>9510</v>
      </c>
      <c r="B2779" s="3">
        <v>3.59741379310345</v>
      </c>
      <c r="E2779" s="4502"/>
      <c r="F2779" s="4502"/>
      <c r="G2779" s="4502"/>
      <c r="H2779" s="4502"/>
      <c r="I2779" s="4502"/>
      <c r="J2779" s="4502"/>
      <c r="K2779" s="4502"/>
      <c r="L2779" s="4502"/>
      <c r="M2779" s="4502"/>
    </row>
    <row r="2780" spans="1:13" hidden="1">
      <c r="A2780" s="4501" t="s">
        <v>9511</v>
      </c>
      <c r="B2780" s="3">
        <v>3.6009310344827599</v>
      </c>
      <c r="E2780" s="4502"/>
      <c r="F2780" s="4502"/>
      <c r="G2780" s="4502"/>
      <c r="H2780" s="4502"/>
      <c r="I2780" s="4502"/>
      <c r="J2780" s="4502"/>
      <c r="K2780" s="4502"/>
      <c r="L2780" s="4502"/>
      <c r="M2780" s="4502"/>
    </row>
    <row r="2781" spans="1:13" hidden="1">
      <c r="A2781" s="4501" t="s">
        <v>9512</v>
      </c>
      <c r="B2781" s="3">
        <v>3.6044482758620702</v>
      </c>
      <c r="E2781" s="4502"/>
      <c r="F2781" s="4502"/>
      <c r="G2781" s="4502"/>
      <c r="H2781" s="4502"/>
      <c r="I2781" s="4502"/>
      <c r="J2781" s="4502"/>
      <c r="K2781" s="4502"/>
      <c r="L2781" s="4502"/>
      <c r="M2781" s="4502"/>
    </row>
    <row r="2782" spans="1:13" hidden="1">
      <c r="A2782" s="4501" t="s">
        <v>9513</v>
      </c>
      <c r="B2782" s="3">
        <v>3.60796551724138</v>
      </c>
      <c r="E2782" s="4502"/>
      <c r="F2782" s="4502"/>
      <c r="G2782" s="4502"/>
      <c r="H2782" s="4502"/>
      <c r="I2782" s="4502"/>
      <c r="J2782" s="4502"/>
      <c r="K2782" s="4502"/>
      <c r="L2782" s="4502"/>
      <c r="M2782" s="4502"/>
    </row>
    <row r="2783" spans="1:13" hidden="1">
      <c r="A2783" s="4501" t="s">
        <v>9514</v>
      </c>
      <c r="B2783" s="3">
        <v>3.6114827586206899</v>
      </c>
      <c r="E2783" s="4502"/>
      <c r="F2783" s="4502"/>
      <c r="G2783" s="4502"/>
      <c r="H2783" s="4502"/>
      <c r="I2783" s="4502"/>
      <c r="J2783" s="4502"/>
      <c r="K2783" s="4502"/>
      <c r="L2783" s="4502"/>
      <c r="M2783" s="4502"/>
    </row>
    <row r="2784" spans="1:13" hidden="1">
      <c r="A2784" s="4501" t="s">
        <v>9515</v>
      </c>
      <c r="B2784" s="3">
        <v>3.6150000000000002</v>
      </c>
      <c r="E2784" s="4502"/>
      <c r="F2784" s="4502"/>
      <c r="G2784" s="4502"/>
      <c r="H2784" s="4502"/>
      <c r="I2784" s="4502"/>
      <c r="J2784" s="4502"/>
      <c r="K2784" s="4502"/>
      <c r="L2784" s="4502"/>
      <c r="M2784" s="4502"/>
    </row>
    <row r="2785" spans="1:13" hidden="1">
      <c r="A2785" s="4501" t="s">
        <v>9516</v>
      </c>
      <c r="B2785" s="3">
        <v>3.61224242424242</v>
      </c>
      <c r="E2785" s="4502"/>
      <c r="F2785" s="4502"/>
      <c r="G2785" s="4502"/>
      <c r="H2785" s="4502"/>
      <c r="I2785" s="4502"/>
      <c r="J2785" s="4502"/>
      <c r="K2785" s="4502"/>
      <c r="L2785" s="4502"/>
      <c r="M2785" s="4502"/>
    </row>
    <row r="2786" spans="1:13" hidden="1">
      <c r="A2786" s="4501" t="s">
        <v>9517</v>
      </c>
      <c r="B2786" s="3">
        <v>3.6094848484848501</v>
      </c>
      <c r="E2786" s="4502"/>
      <c r="F2786" s="4502"/>
      <c r="G2786" s="4502"/>
      <c r="H2786" s="4502"/>
      <c r="I2786" s="4502"/>
      <c r="J2786" s="4502"/>
      <c r="K2786" s="4502"/>
      <c r="L2786" s="4502"/>
      <c r="M2786" s="4502"/>
    </row>
    <row r="2787" spans="1:13" hidden="1">
      <c r="A2787" s="4501" t="s">
        <v>9518</v>
      </c>
      <c r="B2787" s="3">
        <v>3.6067272727272699</v>
      </c>
      <c r="E2787" s="4502"/>
      <c r="F2787" s="4502"/>
      <c r="G2787" s="4502"/>
      <c r="H2787" s="4502"/>
      <c r="I2787" s="4502"/>
      <c r="J2787" s="4502"/>
      <c r="K2787" s="4502"/>
      <c r="L2787" s="4502"/>
      <c r="M2787" s="4502"/>
    </row>
    <row r="2788" spans="1:13" hidden="1">
      <c r="A2788" s="4501" t="s">
        <v>9519</v>
      </c>
      <c r="B2788" s="3">
        <v>3.6039696969696999</v>
      </c>
      <c r="E2788" s="4502"/>
      <c r="F2788" s="4502"/>
      <c r="G2788" s="4502"/>
      <c r="H2788" s="4502"/>
      <c r="I2788" s="4502"/>
      <c r="J2788" s="4502"/>
      <c r="K2788" s="4502"/>
      <c r="L2788" s="4502"/>
      <c r="M2788" s="4502"/>
    </row>
    <row r="2789" spans="1:13">
      <c r="A2789" s="4501" t="s">
        <v>9520</v>
      </c>
      <c r="B2789" s="3">
        <v>3.6012121212121202</v>
      </c>
      <c r="E2789" s="4502"/>
      <c r="F2789" s="4502"/>
      <c r="G2789" s="4502"/>
      <c r="H2789" s="4502"/>
      <c r="I2789" s="4502"/>
      <c r="J2789" s="4502"/>
      <c r="K2789" s="4502"/>
      <c r="L2789" s="4502"/>
      <c r="M2789" s="4502"/>
    </row>
    <row r="2790" spans="1:13">
      <c r="A2790" s="4501" t="s">
        <v>9521</v>
      </c>
      <c r="B2790" s="3">
        <v>3.5984545454545498</v>
      </c>
    </row>
    <row r="2791" spans="1:13">
      <c r="A2791" s="4501" t="s">
        <v>9522</v>
      </c>
      <c r="B2791" s="3">
        <v>3.5956969696969701</v>
      </c>
    </row>
    <row r="2792" spans="1:13">
      <c r="A2792" s="4501" t="s">
        <v>9523</v>
      </c>
      <c r="B2792" s="3">
        <v>3.5929393939393899</v>
      </c>
    </row>
    <row r="2793" spans="1:13">
      <c r="A2793" s="4501" t="s">
        <v>9524</v>
      </c>
      <c r="B2793" s="3">
        <v>3.5901818181818199</v>
      </c>
    </row>
    <row r="2794" spans="1:13">
      <c r="A2794" s="4501" t="s">
        <v>9525</v>
      </c>
      <c r="B2794" s="3">
        <v>3.5874242424242402</v>
      </c>
    </row>
    <row r="2795" spans="1:13">
      <c r="A2795" s="4501" t="s">
        <v>9526</v>
      </c>
      <c r="B2795" s="3">
        <v>3.5846666666666702</v>
      </c>
    </row>
    <row r="2796" spans="1:13">
      <c r="A2796" s="4501" t="s">
        <v>9527</v>
      </c>
      <c r="B2796" s="3">
        <v>3.58190909090909</v>
      </c>
    </row>
    <row r="2797" spans="1:13">
      <c r="A2797" s="4501" t="s">
        <v>9528</v>
      </c>
      <c r="B2797" s="3">
        <v>3.5791515151515201</v>
      </c>
    </row>
    <row r="2798" spans="1:13">
      <c r="A2798" s="4501" t="s">
        <v>9529</v>
      </c>
      <c r="B2798" s="3">
        <v>3.5763939393939399</v>
      </c>
    </row>
    <row r="2799" spans="1:13">
      <c r="A2799" s="4501" t="s">
        <v>9530</v>
      </c>
      <c r="B2799" s="3">
        <v>3.5736363636363602</v>
      </c>
    </row>
    <row r="2800" spans="1:13">
      <c r="A2800" s="4501" t="s">
        <v>9531</v>
      </c>
      <c r="B2800" s="3">
        <v>3.5708787878787902</v>
      </c>
    </row>
    <row r="2801" spans="1:2">
      <c r="A2801" s="4501" t="s">
        <v>9532</v>
      </c>
      <c r="B2801" s="3">
        <v>3.56812121212121</v>
      </c>
    </row>
    <row r="2802" spans="1:2">
      <c r="A2802" s="4501" t="s">
        <v>9533</v>
      </c>
      <c r="B2802" s="3">
        <v>3.5653636363636401</v>
      </c>
    </row>
    <row r="2803" spans="1:2">
      <c r="A2803" s="4501" t="s">
        <v>9534</v>
      </c>
      <c r="B2803" s="3">
        <v>3.5626060606060599</v>
      </c>
    </row>
    <row r="2804" spans="1:2">
      <c r="A2804" s="4501" t="s">
        <v>9535</v>
      </c>
      <c r="B2804" s="3">
        <v>3.5598484848484899</v>
      </c>
    </row>
    <row r="2805" spans="1:2">
      <c r="A2805" s="4501" t="s">
        <v>9536</v>
      </c>
      <c r="B2805" s="3">
        <v>3.5570909090909102</v>
      </c>
    </row>
    <row r="2806" spans="1:2">
      <c r="A2806" s="4501" t="s">
        <v>9537</v>
      </c>
      <c r="B2806" s="3">
        <v>3.55433333333333</v>
      </c>
    </row>
    <row r="2807" spans="1:2">
      <c r="A2807" s="4501" t="s">
        <v>9538</v>
      </c>
      <c r="B2807" s="3">
        <v>3.5515757575757601</v>
      </c>
    </row>
    <row r="2808" spans="1:2">
      <c r="A2808" s="4501" t="s">
        <v>9539</v>
      </c>
      <c r="B2808" s="3">
        <v>3.5488181818181799</v>
      </c>
    </row>
    <row r="2809" spans="1:2">
      <c r="A2809" s="4501" t="s">
        <v>9540</v>
      </c>
      <c r="B2809" s="3">
        <v>3.5460606060606099</v>
      </c>
    </row>
    <row r="2810" spans="1:2">
      <c r="A2810" s="4501" t="s">
        <v>9541</v>
      </c>
      <c r="B2810" s="3">
        <v>3.5433030303030302</v>
      </c>
    </row>
    <row r="2811" spans="1:2">
      <c r="A2811" s="4501" t="s">
        <v>9542</v>
      </c>
      <c r="B2811" s="3">
        <v>3.54054545454545</v>
      </c>
    </row>
    <row r="2812" spans="1:2">
      <c r="A2812" s="4501" t="s">
        <v>9543</v>
      </c>
      <c r="B2812" s="3">
        <v>3.53778787878788</v>
      </c>
    </row>
    <row r="2813" spans="1:2">
      <c r="A2813" s="4501" t="s">
        <v>9544</v>
      </c>
      <c r="B2813" s="3">
        <v>3.5350303030302999</v>
      </c>
    </row>
    <row r="2814" spans="1:2">
      <c r="A2814" s="4501" t="s">
        <v>9545</v>
      </c>
      <c r="B2814" s="3">
        <v>3.5322727272727299</v>
      </c>
    </row>
    <row r="2815" spans="1:2">
      <c r="A2815" s="4501" t="s">
        <v>9546</v>
      </c>
      <c r="B2815" s="3">
        <v>3.5295151515151502</v>
      </c>
    </row>
    <row r="2816" spans="1:2">
      <c r="A2816" s="4501" t="s">
        <v>9547</v>
      </c>
      <c r="B2816" s="3">
        <v>3.5267575757575802</v>
      </c>
    </row>
    <row r="2817" spans="1:2">
      <c r="A2817" s="4501" t="s">
        <v>9548</v>
      </c>
      <c r="B2817" s="3">
        <v>3.524</v>
      </c>
    </row>
    <row r="2818" spans="1:2">
      <c r="A2818" s="4501" t="s">
        <v>9549</v>
      </c>
      <c r="B2818" s="3">
        <v>3.5150689655172398</v>
      </c>
    </row>
    <row r="2819" spans="1:2">
      <c r="A2819" s="4501" t="s">
        <v>9550</v>
      </c>
      <c r="B2819" s="3">
        <v>3.50613793103448</v>
      </c>
    </row>
    <row r="2820" spans="1:2">
      <c r="A2820" s="4501" t="s">
        <v>9551</v>
      </c>
      <c r="B2820" s="3">
        <v>3.4972068965517198</v>
      </c>
    </row>
    <row r="2821" spans="1:2">
      <c r="A2821" s="4501" t="s">
        <v>9552</v>
      </c>
      <c r="B2821" s="3">
        <v>3.4882758620689698</v>
      </c>
    </row>
    <row r="2822" spans="1:2">
      <c r="A2822" s="4501" t="s">
        <v>9553</v>
      </c>
      <c r="B2822" s="3">
        <v>3.47934482758621</v>
      </c>
    </row>
    <row r="2823" spans="1:2">
      <c r="A2823" s="4501" t="s">
        <v>9554</v>
      </c>
      <c r="B2823" s="3">
        <v>3.4704137931034502</v>
      </c>
    </row>
    <row r="2824" spans="1:2">
      <c r="A2824" s="4501" t="s">
        <v>9555</v>
      </c>
      <c r="B2824" s="3">
        <v>3.46148275862069</v>
      </c>
    </row>
    <row r="2825" spans="1:2">
      <c r="A2825" s="4501" t="s">
        <v>9556</v>
      </c>
      <c r="B2825" s="3">
        <v>3.4525517241379302</v>
      </c>
    </row>
    <row r="2826" spans="1:2">
      <c r="A2826" s="4501" t="s">
        <v>9557</v>
      </c>
      <c r="B2826" s="3">
        <v>3.44362068965517</v>
      </c>
    </row>
    <row r="2827" spans="1:2">
      <c r="A2827" s="4501" t="s">
        <v>9558</v>
      </c>
      <c r="B2827" s="3">
        <v>3.4346896551724102</v>
      </c>
    </row>
    <row r="2828" spans="1:2">
      <c r="A2828" s="4501" t="s">
        <v>9559</v>
      </c>
      <c r="B2828" s="3">
        <v>3.4257586206896602</v>
      </c>
    </row>
    <row r="2829" spans="1:2">
      <c r="A2829" s="4501" t="s">
        <v>9560</v>
      </c>
      <c r="B2829" s="3">
        <v>3.4168275862069</v>
      </c>
    </row>
    <row r="2830" spans="1:2">
      <c r="A2830" s="4501" t="s">
        <v>9561</v>
      </c>
      <c r="B2830" s="3">
        <v>3.4078965517241402</v>
      </c>
    </row>
    <row r="2831" spans="1:2">
      <c r="A2831" s="4501" t="s">
        <v>9562</v>
      </c>
      <c r="B2831" s="3">
        <v>3.39896551724138</v>
      </c>
    </row>
    <row r="2832" spans="1:2">
      <c r="A2832" s="4501" t="s">
        <v>9563</v>
      </c>
      <c r="B2832" s="3">
        <v>3.3900344827586202</v>
      </c>
    </row>
    <row r="2833" spans="1:2">
      <c r="A2833" s="4501" t="s">
        <v>9564</v>
      </c>
      <c r="B2833" s="3">
        <v>3.38110344827586</v>
      </c>
    </row>
    <row r="2834" spans="1:2">
      <c r="A2834" s="4501" t="s">
        <v>9565</v>
      </c>
      <c r="B2834" s="3">
        <v>3.3721724137931002</v>
      </c>
    </row>
    <row r="2835" spans="1:2">
      <c r="A2835" s="4501" t="s">
        <v>9566</v>
      </c>
      <c r="B2835" s="3">
        <v>3.36324137931034</v>
      </c>
    </row>
    <row r="2836" spans="1:2">
      <c r="A2836" s="4501" t="s">
        <v>9567</v>
      </c>
      <c r="B2836" s="3">
        <v>3.3543103448275899</v>
      </c>
    </row>
    <row r="2837" spans="1:2">
      <c r="A2837" s="4501" t="s">
        <v>9568</v>
      </c>
      <c r="B2837" s="3">
        <v>3.3453793103448302</v>
      </c>
    </row>
    <row r="2838" spans="1:2">
      <c r="A2838" s="4501" t="s">
        <v>9569</v>
      </c>
      <c r="B2838" s="3">
        <v>3.3364482758620699</v>
      </c>
    </row>
    <row r="2839" spans="1:2">
      <c r="A2839" s="4501" t="s">
        <v>9570</v>
      </c>
      <c r="B2839" s="3">
        <v>3.3275172413793102</v>
      </c>
    </row>
    <row r="2840" spans="1:2">
      <c r="A2840" s="4501" t="s">
        <v>9571</v>
      </c>
      <c r="B2840" s="3">
        <v>3.3185862068965499</v>
      </c>
    </row>
    <row r="2841" spans="1:2">
      <c r="A2841" s="4501" t="s">
        <v>9572</v>
      </c>
      <c r="B2841" s="3">
        <v>3.3096551724137901</v>
      </c>
    </row>
    <row r="2842" spans="1:2">
      <c r="A2842" s="4501" t="s">
        <v>9573</v>
      </c>
      <c r="B2842" s="3">
        <v>3.3007241379310299</v>
      </c>
    </row>
    <row r="2843" spans="1:2">
      <c r="A2843" s="4501" t="s">
        <v>9574</v>
      </c>
      <c r="B2843" s="3">
        <v>3.2917931034482799</v>
      </c>
    </row>
    <row r="2844" spans="1:2">
      <c r="A2844" s="4501" t="s">
        <v>9575</v>
      </c>
      <c r="B2844" s="3">
        <v>3.2828620689655201</v>
      </c>
    </row>
    <row r="2845" spans="1:2">
      <c r="A2845" s="4501" t="s">
        <v>9576</v>
      </c>
      <c r="B2845" s="3">
        <v>3.2739310344827599</v>
      </c>
    </row>
    <row r="2846" spans="1:2">
      <c r="A2846" s="4501" t="s">
        <v>9577</v>
      </c>
      <c r="B2846" s="3">
        <v>3.2650000000000001</v>
      </c>
    </row>
    <row r="2847" spans="1:2">
      <c r="A2847" s="4501" t="s">
        <v>9578</v>
      </c>
      <c r="B2847" s="3">
        <v>3.2503214285714299</v>
      </c>
    </row>
    <row r="2848" spans="1:2">
      <c r="A2848" s="4501" t="s">
        <v>9579</v>
      </c>
      <c r="B2848" s="3">
        <v>3.2356428571428602</v>
      </c>
    </row>
    <row r="2849" spans="1:2">
      <c r="A2849" s="4501" t="s">
        <v>9580</v>
      </c>
      <c r="B2849" s="3">
        <v>3.2209642857142899</v>
      </c>
    </row>
    <row r="2850" spans="1:2">
      <c r="A2850" s="4501" t="s">
        <v>9581</v>
      </c>
      <c r="B2850" s="3">
        <v>3.20628571428571</v>
      </c>
    </row>
    <row r="2851" spans="1:2">
      <c r="A2851" s="4501" t="s">
        <v>9582</v>
      </c>
      <c r="B2851" s="3">
        <v>3.1916071428571402</v>
      </c>
    </row>
    <row r="2852" spans="1:2">
      <c r="A2852" s="4501" t="s">
        <v>9583</v>
      </c>
      <c r="B2852" s="3">
        <v>3.17692857142857</v>
      </c>
    </row>
    <row r="2853" spans="1:2">
      <c r="A2853" s="4501" t="s">
        <v>9584</v>
      </c>
      <c r="B2853" s="3">
        <v>3.1622499999999998</v>
      </c>
    </row>
    <row r="2854" spans="1:2">
      <c r="A2854" s="4501" t="s">
        <v>9585</v>
      </c>
      <c r="B2854" s="3">
        <v>3.14757142857143</v>
      </c>
    </row>
    <row r="2855" spans="1:2">
      <c r="A2855" s="4501" t="s">
        <v>9586</v>
      </c>
      <c r="B2855" s="3">
        <v>3.1328928571428598</v>
      </c>
    </row>
    <row r="2856" spans="1:2">
      <c r="A2856" s="4501" t="s">
        <v>9587</v>
      </c>
      <c r="B2856" s="3">
        <v>3.11821428571429</v>
      </c>
    </row>
    <row r="2857" spans="1:2">
      <c r="A2857" s="4501" t="s">
        <v>9588</v>
      </c>
      <c r="B2857" s="3">
        <v>3.1035357142857101</v>
      </c>
    </row>
    <row r="2858" spans="1:2">
      <c r="A2858" s="4501" t="s">
        <v>9589</v>
      </c>
      <c r="B2858" s="3">
        <v>3.0888571428571399</v>
      </c>
    </row>
    <row r="2859" spans="1:2">
      <c r="A2859" s="4501" t="s">
        <v>9590</v>
      </c>
      <c r="B2859" s="3">
        <v>3.0741785714285701</v>
      </c>
    </row>
    <row r="2860" spans="1:2">
      <c r="A2860" s="4501" t="s">
        <v>9591</v>
      </c>
      <c r="B2860" s="3">
        <v>3.0594999999999999</v>
      </c>
    </row>
    <row r="2861" spans="1:2">
      <c r="A2861" s="4501" t="s">
        <v>9592</v>
      </c>
      <c r="B2861" s="3">
        <v>3.0448214285714301</v>
      </c>
    </row>
    <row r="2862" spans="1:2">
      <c r="A2862" s="4501" t="s">
        <v>9593</v>
      </c>
      <c r="B2862" s="3">
        <v>3.0301428571428599</v>
      </c>
    </row>
    <row r="2863" spans="1:2">
      <c r="A2863" s="4501" t="s">
        <v>9594</v>
      </c>
      <c r="B2863" s="3">
        <v>3.0154642857142901</v>
      </c>
    </row>
    <row r="2864" spans="1:2">
      <c r="A2864" s="4501" t="s">
        <v>9595</v>
      </c>
      <c r="B2864" s="3">
        <v>3.0007857142857102</v>
      </c>
    </row>
    <row r="2865" spans="1:2">
      <c r="A2865" s="4501" t="s">
        <v>9596</v>
      </c>
      <c r="B2865" s="3">
        <v>2.98610714285714</v>
      </c>
    </row>
    <row r="2866" spans="1:2">
      <c r="A2866" s="4501" t="s">
        <v>9597</v>
      </c>
      <c r="B2866" s="3">
        <v>2.9714285714285702</v>
      </c>
    </row>
    <row r="2867" spans="1:2">
      <c r="A2867" s="4501" t="s">
        <v>9598</v>
      </c>
      <c r="B2867" s="3">
        <v>2.95675</v>
      </c>
    </row>
    <row r="2868" spans="1:2">
      <c r="A2868" s="4501" t="s">
        <v>9599</v>
      </c>
      <c r="B2868" s="3">
        <v>2.9420714285714298</v>
      </c>
    </row>
    <row r="2869" spans="1:2">
      <c r="A2869" s="4501" t="s">
        <v>9600</v>
      </c>
      <c r="B2869" s="3">
        <v>2.92739285714286</v>
      </c>
    </row>
    <row r="2870" spans="1:2">
      <c r="A2870" s="4501" t="s">
        <v>9601</v>
      </c>
      <c r="B2870" s="3">
        <v>2.9127142857142898</v>
      </c>
    </row>
    <row r="2871" spans="1:2">
      <c r="A2871" s="4501" t="s">
        <v>9602</v>
      </c>
      <c r="B2871" s="3">
        <v>2.8980357142857098</v>
      </c>
    </row>
    <row r="2872" spans="1:2">
      <c r="A2872" s="4501" t="s">
        <v>9603</v>
      </c>
      <c r="B2872" s="3">
        <v>2.8833571428571401</v>
      </c>
    </row>
    <row r="2873" spans="1:2">
      <c r="A2873" s="4501" t="s">
        <v>9604</v>
      </c>
      <c r="B2873" s="3">
        <v>2.8686785714285699</v>
      </c>
    </row>
    <row r="2874" spans="1:2">
      <c r="A2874" s="4501" t="s">
        <v>9605</v>
      </c>
      <c r="B2874" s="3">
        <v>2.8540000000000001</v>
      </c>
    </row>
    <row r="2875" spans="1:2">
      <c r="A2875" s="4501" t="s">
        <v>9606</v>
      </c>
      <c r="B2875" s="3">
        <v>2.8530322580645202</v>
      </c>
    </row>
    <row r="2876" spans="1:2">
      <c r="A2876" s="4501" t="s">
        <v>9607</v>
      </c>
      <c r="B2876" s="3">
        <v>2.8520645161290301</v>
      </c>
    </row>
    <row r="2877" spans="1:2">
      <c r="A2877" s="4501" t="s">
        <v>9608</v>
      </c>
      <c r="B2877" s="3">
        <v>2.8510967741935498</v>
      </c>
    </row>
    <row r="2878" spans="1:2">
      <c r="A2878" s="4501" t="s">
        <v>9609</v>
      </c>
      <c r="B2878" s="3">
        <v>2.8501290322580601</v>
      </c>
    </row>
    <row r="2879" spans="1:2">
      <c r="A2879" s="4501" t="s">
        <v>9610</v>
      </c>
      <c r="B2879" s="3">
        <v>2.8491612903225798</v>
      </c>
    </row>
    <row r="2880" spans="1:2">
      <c r="A2880" s="4501" t="s">
        <v>9611</v>
      </c>
      <c r="B2880" s="3">
        <v>2.8481935483870999</v>
      </c>
    </row>
    <row r="2881" spans="1:2">
      <c r="A2881" s="4501" t="s">
        <v>9612</v>
      </c>
      <c r="B2881" s="3">
        <v>2.8472258064516098</v>
      </c>
    </row>
    <row r="2882" spans="1:2">
      <c r="A2882" s="4501" t="s">
        <v>9613</v>
      </c>
      <c r="B2882" s="3">
        <v>2.8462580645161299</v>
      </c>
    </row>
    <row r="2883" spans="1:2">
      <c r="A2883" s="4501" t="s">
        <v>9614</v>
      </c>
      <c r="B2883" s="3">
        <v>2.8452903225806501</v>
      </c>
    </row>
    <row r="2884" spans="1:2">
      <c r="A2884" s="4501" t="s">
        <v>9615</v>
      </c>
      <c r="B2884" s="3">
        <v>2.84432258064516</v>
      </c>
    </row>
    <row r="2885" spans="1:2">
      <c r="A2885" s="4501" t="s">
        <v>9616</v>
      </c>
      <c r="B2885" s="3">
        <v>2.8433548387096801</v>
      </c>
    </row>
    <row r="2886" spans="1:2">
      <c r="A2886" s="4501" t="s">
        <v>9617</v>
      </c>
      <c r="B2886" s="3">
        <v>2.84238709677419</v>
      </c>
    </row>
    <row r="2887" spans="1:2">
      <c r="A2887" s="4501" t="s">
        <v>9618</v>
      </c>
      <c r="B2887" s="3">
        <v>2.8414193548387101</v>
      </c>
    </row>
    <row r="2888" spans="1:2">
      <c r="A2888" s="4501" t="s">
        <v>9619</v>
      </c>
      <c r="B2888" s="3">
        <v>2.8404516129032298</v>
      </c>
    </row>
    <row r="2889" spans="1:2">
      <c r="A2889" s="4501" t="s">
        <v>9620</v>
      </c>
      <c r="B2889" s="3">
        <v>2.8394838709677401</v>
      </c>
    </row>
    <row r="2890" spans="1:2">
      <c r="A2890" s="4501" t="s">
        <v>9621</v>
      </c>
      <c r="B2890" s="3">
        <v>2.8385161290322598</v>
      </c>
    </row>
    <row r="2891" spans="1:2">
      <c r="A2891" s="4501" t="s">
        <v>9622</v>
      </c>
      <c r="B2891" s="3">
        <v>2.8375483870967702</v>
      </c>
    </row>
    <row r="2892" spans="1:2">
      <c r="A2892" s="4501" t="s">
        <v>9623</v>
      </c>
      <c r="B2892" s="3">
        <v>2.8365806451612898</v>
      </c>
    </row>
    <row r="2893" spans="1:2">
      <c r="A2893" s="4501" t="s">
        <v>9624</v>
      </c>
      <c r="B2893" s="3">
        <v>2.8356129032258099</v>
      </c>
    </row>
    <row r="2894" spans="1:2">
      <c r="A2894" s="4501" t="s">
        <v>9625</v>
      </c>
      <c r="B2894" s="3">
        <v>2.8346451612903198</v>
      </c>
    </row>
    <row r="2895" spans="1:2">
      <c r="A2895" s="4501" t="s">
        <v>9626</v>
      </c>
      <c r="B2895" s="3">
        <v>2.83367741935484</v>
      </c>
    </row>
    <row r="2896" spans="1:2">
      <c r="A2896" s="4501" t="s">
        <v>9627</v>
      </c>
      <c r="B2896" s="3">
        <v>2.8327096774193499</v>
      </c>
    </row>
    <row r="2897" spans="1:2">
      <c r="A2897" s="4501" t="s">
        <v>9628</v>
      </c>
      <c r="B2897" s="3">
        <v>2.83174193548387</v>
      </c>
    </row>
    <row r="2898" spans="1:2">
      <c r="A2898" s="4501" t="s">
        <v>9629</v>
      </c>
      <c r="B2898" s="3">
        <v>2.8307741935483901</v>
      </c>
    </row>
    <row r="2899" spans="1:2">
      <c r="A2899" s="4501" t="s">
        <v>9630</v>
      </c>
      <c r="B2899" s="3">
        <v>2.8298064516129</v>
      </c>
    </row>
    <row r="2900" spans="1:2">
      <c r="A2900" s="4501" t="s">
        <v>9631</v>
      </c>
      <c r="B2900" s="3">
        <v>2.8288387096774201</v>
      </c>
    </row>
    <row r="2901" spans="1:2">
      <c r="A2901" s="4501" t="s">
        <v>9632</v>
      </c>
      <c r="B2901" s="3">
        <v>2.8278709677419398</v>
      </c>
    </row>
    <row r="2902" spans="1:2">
      <c r="A2902" s="4501" t="s">
        <v>9633</v>
      </c>
      <c r="B2902" s="3">
        <v>2.8269032258064501</v>
      </c>
    </row>
    <row r="2903" spans="1:2">
      <c r="A2903" s="4501" t="s">
        <v>9634</v>
      </c>
      <c r="B2903" s="3">
        <v>2.8259354838709698</v>
      </c>
    </row>
    <row r="2904" spans="1:2">
      <c r="A2904" s="4501" t="s">
        <v>9635</v>
      </c>
      <c r="B2904" s="3">
        <v>2.8249677419354802</v>
      </c>
    </row>
    <row r="2905" spans="1:2">
      <c r="A2905" s="4501" t="s">
        <v>9636</v>
      </c>
      <c r="B2905" s="3">
        <v>2.8239999999999998</v>
      </c>
    </row>
    <row r="2906" spans="1:2">
      <c r="A2906" s="4501" t="s">
        <v>9637</v>
      </c>
      <c r="B2906" s="3">
        <v>2.8260000000000001</v>
      </c>
    </row>
    <row r="2907" spans="1:2">
      <c r="A2907" s="4501" t="s">
        <v>9638</v>
      </c>
      <c r="B2907" s="3">
        <v>2.8279999999999998</v>
      </c>
    </row>
    <row r="2908" spans="1:2">
      <c r="A2908" s="4501" t="s">
        <v>9639</v>
      </c>
      <c r="B2908" s="3">
        <v>2.83</v>
      </c>
    </row>
    <row r="2909" spans="1:2">
      <c r="A2909" s="4501" t="s">
        <v>9640</v>
      </c>
      <c r="B2909" s="3">
        <v>2.8319999999999999</v>
      </c>
    </row>
    <row r="2910" spans="1:2">
      <c r="A2910" s="4501" t="s">
        <v>9641</v>
      </c>
      <c r="B2910" s="3">
        <v>2.8340000000000001</v>
      </c>
    </row>
    <row r="2911" spans="1:2">
      <c r="A2911" s="4501" t="s">
        <v>9642</v>
      </c>
      <c r="B2911" s="3">
        <v>2.8359999999999999</v>
      </c>
    </row>
    <row r="2912" spans="1:2">
      <c r="A2912" s="4501" t="s">
        <v>9643</v>
      </c>
      <c r="B2912" s="3">
        <v>2.8380000000000001</v>
      </c>
    </row>
    <row r="2913" spans="1:2">
      <c r="A2913" s="4501" t="s">
        <v>9644</v>
      </c>
      <c r="B2913" s="3">
        <v>2.84</v>
      </c>
    </row>
    <row r="2914" spans="1:2">
      <c r="A2914" s="4501" t="s">
        <v>9645</v>
      </c>
      <c r="B2914" s="3">
        <v>2.8420000000000001</v>
      </c>
    </row>
    <row r="2915" spans="1:2">
      <c r="A2915" s="4501" t="s">
        <v>9646</v>
      </c>
      <c r="B2915" s="3">
        <v>2.8439999999999999</v>
      </c>
    </row>
    <row r="2916" spans="1:2">
      <c r="A2916" s="4501" t="s">
        <v>9647</v>
      </c>
      <c r="B2916" s="3">
        <v>2.8460000000000001</v>
      </c>
    </row>
    <row r="2917" spans="1:2">
      <c r="A2917" s="4501" t="s">
        <v>9648</v>
      </c>
      <c r="B2917" s="3">
        <v>2.8479999999999999</v>
      </c>
    </row>
    <row r="2918" spans="1:2">
      <c r="A2918" s="4501" t="s">
        <v>9649</v>
      </c>
      <c r="B2918" s="3">
        <v>2.85</v>
      </c>
    </row>
    <row r="2919" spans="1:2">
      <c r="A2919" s="4501" t="s">
        <v>9650</v>
      </c>
      <c r="B2919" s="3">
        <v>2.8519999999999999</v>
      </c>
    </row>
    <row r="2920" spans="1:2">
      <c r="A2920" s="4501" t="s">
        <v>9651</v>
      </c>
      <c r="B2920" s="3">
        <v>2.8540000000000001</v>
      </c>
    </row>
    <row r="2921" spans="1:2">
      <c r="A2921" s="4501" t="s">
        <v>9652</v>
      </c>
      <c r="B2921" s="3">
        <v>2.8559999999999999</v>
      </c>
    </row>
    <row r="2922" spans="1:2">
      <c r="A2922" s="4501" t="s">
        <v>9653</v>
      </c>
      <c r="B2922" s="3">
        <v>2.8580000000000001</v>
      </c>
    </row>
    <row r="2923" spans="1:2">
      <c r="A2923" s="4501" t="s">
        <v>9654</v>
      </c>
      <c r="B2923" s="3">
        <v>2.86</v>
      </c>
    </row>
    <row r="2924" spans="1:2">
      <c r="A2924" s="4501" t="s">
        <v>9655</v>
      </c>
      <c r="B2924" s="3">
        <v>2.8620000000000001</v>
      </c>
    </row>
    <row r="2925" spans="1:2">
      <c r="A2925" s="4501" t="s">
        <v>9656</v>
      </c>
      <c r="B2925" s="3">
        <v>2.8639999999999999</v>
      </c>
    </row>
    <row r="2926" spans="1:2">
      <c r="A2926" s="4501" t="s">
        <v>9657</v>
      </c>
      <c r="B2926" s="3">
        <v>2.8660000000000001</v>
      </c>
    </row>
    <row r="2927" spans="1:2">
      <c r="A2927" s="4501" t="s">
        <v>9658</v>
      </c>
      <c r="B2927" s="3">
        <v>2.8679999999999999</v>
      </c>
    </row>
    <row r="2928" spans="1:2">
      <c r="A2928" s="4501" t="s">
        <v>9659</v>
      </c>
      <c r="B2928" s="3">
        <v>2.87</v>
      </c>
    </row>
    <row r="2929" spans="1:2">
      <c r="A2929" s="4501" t="s">
        <v>9660</v>
      </c>
      <c r="B2929" s="3">
        <v>2.8719999999999999</v>
      </c>
    </row>
    <row r="2930" spans="1:2">
      <c r="A2930" s="4501" t="s">
        <v>9661</v>
      </c>
      <c r="B2930" s="3">
        <v>2.8740000000000001</v>
      </c>
    </row>
    <row r="2931" spans="1:2">
      <c r="A2931" s="4501" t="s">
        <v>9662</v>
      </c>
      <c r="B2931" s="3">
        <v>2.8759999999999999</v>
      </c>
    </row>
    <row r="2932" spans="1:2">
      <c r="A2932" s="4501" t="s">
        <v>9663</v>
      </c>
      <c r="B2932" s="3">
        <v>2.8780000000000001</v>
      </c>
    </row>
    <row r="2933" spans="1:2">
      <c r="A2933" s="4501" t="s">
        <v>9664</v>
      </c>
      <c r="B2933" s="3">
        <v>2.88</v>
      </c>
    </row>
    <row r="2934" spans="1:2">
      <c r="A2934" s="4501" t="s">
        <v>9665</v>
      </c>
      <c r="B2934" s="3">
        <v>2.8820000000000001</v>
      </c>
    </row>
    <row r="2935" spans="1:2">
      <c r="A2935" s="4501" t="s">
        <v>9666</v>
      </c>
      <c r="B2935" s="3">
        <v>2.8839999999999999</v>
      </c>
    </row>
    <row r="2936" spans="1:2">
      <c r="A2936" s="4501" t="s">
        <v>9667</v>
      </c>
      <c r="B2936" s="3">
        <v>2.8860000000000001</v>
      </c>
    </row>
    <row r="2937" spans="1:2">
      <c r="A2937" s="4501" t="s">
        <v>9668</v>
      </c>
      <c r="B2937" s="3">
        <v>2.8879999999999999</v>
      </c>
    </row>
    <row r="2938" spans="1:2">
      <c r="A2938" s="4501" t="s">
        <v>9669</v>
      </c>
      <c r="B2938" s="3">
        <v>2.89</v>
      </c>
    </row>
    <row r="2939" spans="1:2">
      <c r="A2939" s="4501" t="s">
        <v>9670</v>
      </c>
      <c r="B2939" s="3">
        <v>2.8923214285714298</v>
      </c>
    </row>
    <row r="2940" spans="1:2">
      <c r="A2940" s="4501" t="s">
        <v>9671</v>
      </c>
      <c r="B2940" s="3">
        <v>2.89464285714286</v>
      </c>
    </row>
    <row r="2941" spans="1:2">
      <c r="A2941" s="4501" t="s">
        <v>9672</v>
      </c>
      <c r="B2941" s="3">
        <v>2.8969642857142901</v>
      </c>
    </row>
    <row r="2942" spans="1:2">
      <c r="A2942" s="4501" t="s">
        <v>9673</v>
      </c>
      <c r="B2942" s="3">
        <v>2.89928571428571</v>
      </c>
    </row>
    <row r="2943" spans="1:2">
      <c r="A2943" s="4501" t="s">
        <v>9674</v>
      </c>
      <c r="B2943" s="3">
        <v>2.9016071428571402</v>
      </c>
    </row>
    <row r="2944" spans="1:2">
      <c r="A2944" s="4501" t="s">
        <v>9675</v>
      </c>
      <c r="B2944" s="3">
        <v>2.9039285714285699</v>
      </c>
    </row>
    <row r="2945" spans="1:2">
      <c r="A2945" s="4501" t="s">
        <v>9676</v>
      </c>
      <c r="B2945" s="3">
        <v>2.90625</v>
      </c>
    </row>
    <row r="2946" spans="1:2">
      <c r="A2946" s="4501" t="s">
        <v>9677</v>
      </c>
      <c r="B2946" s="3">
        <v>2.9085714285714301</v>
      </c>
    </row>
    <row r="2947" spans="1:2">
      <c r="A2947" s="4501" t="s">
        <v>9678</v>
      </c>
      <c r="B2947" s="3">
        <v>2.9108928571428598</v>
      </c>
    </row>
    <row r="2948" spans="1:2">
      <c r="A2948" s="4501" t="s">
        <v>9679</v>
      </c>
      <c r="B2948" s="3">
        <v>2.91321428571429</v>
      </c>
    </row>
    <row r="2949" spans="1:2">
      <c r="A2949" s="4501" t="s">
        <v>9680</v>
      </c>
      <c r="B2949" s="3">
        <v>2.9155357142857099</v>
      </c>
    </row>
    <row r="2950" spans="1:2">
      <c r="A2950" s="4501" t="s">
        <v>9681</v>
      </c>
      <c r="B2950" s="3">
        <v>2.91785714285714</v>
      </c>
    </row>
    <row r="2951" spans="1:2">
      <c r="A2951" s="4501" t="s">
        <v>9682</v>
      </c>
      <c r="B2951" s="3">
        <v>2.9201785714285702</v>
      </c>
    </row>
    <row r="2952" spans="1:2">
      <c r="A2952" s="4501" t="s">
        <v>9683</v>
      </c>
      <c r="B2952" s="3">
        <v>2.9224999999999999</v>
      </c>
    </row>
    <row r="2953" spans="1:2">
      <c r="A2953" s="4501" t="s">
        <v>9684</v>
      </c>
      <c r="B2953" s="3">
        <v>2.92482142857143</v>
      </c>
    </row>
    <row r="2954" spans="1:2">
      <c r="A2954" s="4501" t="s">
        <v>9685</v>
      </c>
      <c r="B2954" s="3">
        <v>2.9271428571428602</v>
      </c>
    </row>
    <row r="2955" spans="1:2">
      <c r="A2955" s="4501" t="s">
        <v>9686</v>
      </c>
      <c r="B2955" s="3">
        <v>2.9294642857142899</v>
      </c>
    </row>
    <row r="2956" spans="1:2">
      <c r="A2956" s="4501" t="s">
        <v>9687</v>
      </c>
      <c r="B2956" s="3">
        <v>2.9317857142857102</v>
      </c>
    </row>
    <row r="2957" spans="1:2">
      <c r="A2957" s="4501" t="s">
        <v>9688</v>
      </c>
      <c r="B2957" s="3">
        <v>2.9341071428571399</v>
      </c>
    </row>
    <row r="2958" spans="1:2">
      <c r="A2958" s="4501" t="s">
        <v>9689</v>
      </c>
      <c r="B2958" s="3">
        <v>2.9364285714285701</v>
      </c>
    </row>
    <row r="2959" spans="1:2">
      <c r="A2959" s="4501" t="s">
        <v>9690</v>
      </c>
      <c r="B2959" s="3">
        <v>2.9387500000000002</v>
      </c>
    </row>
    <row r="2960" spans="1:2">
      <c r="A2960" s="4501" t="s">
        <v>9691</v>
      </c>
      <c r="B2960" s="3">
        <v>2.9410714285714299</v>
      </c>
    </row>
    <row r="2961" spans="1:2">
      <c r="A2961" s="4501" t="s">
        <v>9692</v>
      </c>
      <c r="B2961" s="3">
        <v>2.94339285714286</v>
      </c>
    </row>
    <row r="2962" spans="1:2">
      <c r="A2962" s="4501" t="s">
        <v>9693</v>
      </c>
      <c r="B2962" s="3">
        <v>2.9457142857142902</v>
      </c>
    </row>
    <row r="2963" spans="1:2">
      <c r="A2963" s="4501" t="s">
        <v>9694</v>
      </c>
      <c r="B2963" s="3">
        <v>2.9480357142857101</v>
      </c>
    </row>
    <row r="2964" spans="1:2">
      <c r="A2964" s="4501" t="s">
        <v>9695</v>
      </c>
      <c r="B2964" s="3">
        <v>2.9503571428571398</v>
      </c>
    </row>
    <row r="2965" spans="1:2">
      <c r="A2965" s="4501" t="s">
        <v>9696</v>
      </c>
      <c r="B2965" s="3">
        <v>2.9526785714285699</v>
      </c>
    </row>
    <row r="2966" spans="1:2">
      <c r="A2966" s="4501" t="s">
        <v>9697</v>
      </c>
      <c r="B2966" s="3">
        <v>2.9550000000000001</v>
      </c>
    </row>
    <row r="2967" spans="1:2">
      <c r="A2967" s="4501" t="s">
        <v>9698</v>
      </c>
      <c r="B2967" s="3">
        <v>2.9561212121212099</v>
      </c>
    </row>
    <row r="2968" spans="1:2">
      <c r="A2968" s="4501" t="s">
        <v>9699</v>
      </c>
      <c r="B2968" s="3">
        <v>2.9572424242424198</v>
      </c>
    </row>
    <row r="2969" spans="1:2">
      <c r="A2969" s="4501" t="s">
        <v>9700</v>
      </c>
      <c r="B2969" s="3">
        <v>2.9583636363636399</v>
      </c>
    </row>
    <row r="2970" spans="1:2">
      <c r="A2970" s="4501" t="s">
        <v>9701</v>
      </c>
      <c r="B2970" s="3">
        <v>2.9594848484848502</v>
      </c>
    </row>
    <row r="2971" spans="1:2">
      <c r="A2971" s="4501" t="s">
        <v>9702</v>
      </c>
      <c r="B2971" s="3">
        <v>2.96060606060606</v>
      </c>
    </row>
    <row r="2972" spans="1:2">
      <c r="A2972" s="4501" t="s">
        <v>9703</v>
      </c>
      <c r="B2972" s="3">
        <v>2.9617272727272699</v>
      </c>
    </row>
    <row r="2973" spans="1:2">
      <c r="A2973" s="4501" t="s">
        <v>9704</v>
      </c>
      <c r="B2973" s="3">
        <v>2.9628484848484899</v>
      </c>
    </row>
    <row r="2974" spans="1:2">
      <c r="A2974" s="4501" t="s">
        <v>9705</v>
      </c>
      <c r="B2974" s="3">
        <v>2.9639696969696998</v>
      </c>
    </row>
    <row r="2975" spans="1:2">
      <c r="A2975" s="4501" t="s">
        <v>9706</v>
      </c>
      <c r="B2975" s="3">
        <v>2.9650909090909101</v>
      </c>
    </row>
    <row r="2976" spans="1:2">
      <c r="A2976" s="4501" t="s">
        <v>9707</v>
      </c>
      <c r="B2976" s="3">
        <v>2.96621212121212</v>
      </c>
    </row>
    <row r="2977" spans="1:2">
      <c r="A2977" s="4501" t="s">
        <v>9708</v>
      </c>
      <c r="B2977" s="3">
        <v>2.9673333333333298</v>
      </c>
    </row>
    <row r="2978" spans="1:2">
      <c r="A2978" s="4501" t="s">
        <v>9709</v>
      </c>
      <c r="B2978" s="3">
        <v>2.9684545454545499</v>
      </c>
    </row>
    <row r="2979" spans="1:2">
      <c r="A2979" s="4501" t="s">
        <v>9710</v>
      </c>
      <c r="B2979" s="3">
        <v>2.9695757575757602</v>
      </c>
    </row>
    <row r="2980" spans="1:2">
      <c r="A2980" s="4501" t="s">
        <v>9711</v>
      </c>
      <c r="B2980" s="3">
        <v>2.9706969696969701</v>
      </c>
    </row>
    <row r="2981" spans="1:2">
      <c r="A2981" s="4501" t="s">
        <v>9712</v>
      </c>
      <c r="B2981" s="3">
        <v>2.9718181818181799</v>
      </c>
    </row>
    <row r="2982" spans="1:2">
      <c r="A2982" s="4501" t="s">
        <v>9713</v>
      </c>
      <c r="B2982" s="3">
        <v>2.9729393939393902</v>
      </c>
    </row>
    <row r="2983" spans="1:2">
      <c r="A2983" s="4501" t="s">
        <v>9714</v>
      </c>
      <c r="B2983" s="3">
        <v>2.9740606060606098</v>
      </c>
    </row>
    <row r="2984" spans="1:2">
      <c r="A2984" s="4501" t="s">
        <v>9715</v>
      </c>
      <c r="B2984" s="3">
        <v>2.9751818181818201</v>
      </c>
    </row>
    <row r="2985" spans="1:2">
      <c r="A2985" s="4501" t="s">
        <v>9716</v>
      </c>
      <c r="B2985" s="3">
        <v>2.97630303030303</v>
      </c>
    </row>
    <row r="2986" spans="1:2">
      <c r="A2986" s="4501" t="s">
        <v>9717</v>
      </c>
      <c r="B2986" s="3">
        <v>2.9774242424242399</v>
      </c>
    </row>
    <row r="2987" spans="1:2">
      <c r="A2987" s="4501" t="s">
        <v>9718</v>
      </c>
      <c r="B2987" s="3">
        <v>2.9785454545454502</v>
      </c>
    </row>
    <row r="2988" spans="1:2">
      <c r="A2988" s="4501" t="s">
        <v>9719</v>
      </c>
      <c r="B2988" s="3">
        <v>2.9796666666666698</v>
      </c>
    </row>
    <row r="2989" spans="1:2">
      <c r="A2989" s="4501" t="s">
        <v>9720</v>
      </c>
      <c r="B2989" s="3">
        <v>2.9807878787878801</v>
      </c>
    </row>
    <row r="2990" spans="1:2">
      <c r="A2990" s="4501" t="s">
        <v>9721</v>
      </c>
      <c r="B2990" s="3">
        <v>2.98190909090909</v>
      </c>
    </row>
    <row r="2991" spans="1:2">
      <c r="A2991" s="4501" t="s">
        <v>9722</v>
      </c>
      <c r="B2991" s="3">
        <v>2.9830303030302998</v>
      </c>
    </row>
    <row r="2992" spans="1:2">
      <c r="A2992" s="4501" t="s">
        <v>9723</v>
      </c>
      <c r="B2992" s="3">
        <v>2.9841515151515199</v>
      </c>
    </row>
    <row r="2993" spans="1:2">
      <c r="A2993" s="4501" t="s">
        <v>9724</v>
      </c>
      <c r="B2993" s="3">
        <v>2.9852727272727302</v>
      </c>
    </row>
    <row r="2994" spans="1:2">
      <c r="A2994" s="4501" t="s">
        <v>9725</v>
      </c>
      <c r="B2994" s="3">
        <v>2.98639393939394</v>
      </c>
    </row>
    <row r="2995" spans="1:2">
      <c r="A2995" s="4501" t="s">
        <v>9726</v>
      </c>
      <c r="B2995" s="3">
        <v>2.9875151515151499</v>
      </c>
    </row>
    <row r="2996" spans="1:2">
      <c r="A2996" s="4501" t="s">
        <v>9727</v>
      </c>
      <c r="B2996" s="3">
        <v>2.9886363636363602</v>
      </c>
    </row>
    <row r="2997" spans="1:2">
      <c r="A2997" s="4501" t="s">
        <v>9728</v>
      </c>
      <c r="B2997" s="3">
        <v>2.9897575757575798</v>
      </c>
    </row>
    <row r="2998" spans="1:2">
      <c r="A2998" s="4501" t="s">
        <v>9729</v>
      </c>
      <c r="B2998" s="3">
        <v>2.9908787878787901</v>
      </c>
    </row>
    <row r="2999" spans="1:2">
      <c r="A2999" s="4501" t="s">
        <v>9730</v>
      </c>
      <c r="B2999" s="3">
        <v>2.992</v>
      </c>
    </row>
    <row r="3000" spans="1:2">
      <c r="A3000" s="4501" t="s">
        <v>9731</v>
      </c>
      <c r="B3000" s="3">
        <v>2.9918999999999998</v>
      </c>
    </row>
    <row r="3001" spans="1:2">
      <c r="A3001" s="4501" t="s">
        <v>9732</v>
      </c>
      <c r="B3001" s="3">
        <v>2.9918</v>
      </c>
    </row>
    <row r="3002" spans="1:2">
      <c r="A3002" s="4501" t="s">
        <v>9733</v>
      </c>
      <c r="B3002" s="3">
        <v>2.9916999999999998</v>
      </c>
    </row>
    <row r="3003" spans="1:2">
      <c r="A3003" s="4501" t="s">
        <v>9734</v>
      </c>
      <c r="B3003" s="3">
        <v>2.9916</v>
      </c>
    </row>
    <row r="3004" spans="1:2">
      <c r="A3004" s="4501" t="s">
        <v>9735</v>
      </c>
      <c r="B3004" s="3">
        <v>2.9914999999999998</v>
      </c>
    </row>
    <row r="3005" spans="1:2">
      <c r="A3005" s="4501" t="s">
        <v>9736</v>
      </c>
      <c r="B3005" s="3">
        <v>2.9914000000000001</v>
      </c>
    </row>
    <row r="3006" spans="1:2">
      <c r="A3006" s="4501" t="s">
        <v>9737</v>
      </c>
      <c r="B3006" s="3">
        <v>2.9912999999999998</v>
      </c>
    </row>
    <row r="3007" spans="1:2">
      <c r="A3007" s="4501" t="s">
        <v>9738</v>
      </c>
      <c r="B3007" s="3">
        <v>2.9912000000000001</v>
      </c>
    </row>
    <row r="3008" spans="1:2">
      <c r="A3008" s="4501" t="s">
        <v>9739</v>
      </c>
      <c r="B3008" s="3">
        <v>2.9910999999999999</v>
      </c>
    </row>
    <row r="3009" spans="1:2">
      <c r="A3009" s="4501" t="s">
        <v>9740</v>
      </c>
      <c r="B3009" s="3">
        <v>2.9910000000000001</v>
      </c>
    </row>
    <row r="3010" spans="1:2">
      <c r="A3010" s="4501" t="s">
        <v>9741</v>
      </c>
      <c r="B3010" s="3">
        <v>2.9908999999999999</v>
      </c>
    </row>
    <row r="3011" spans="1:2">
      <c r="A3011" s="4501" t="s">
        <v>9742</v>
      </c>
      <c r="B3011" s="3">
        <v>2.9908000000000001</v>
      </c>
    </row>
    <row r="3012" spans="1:2">
      <c r="A3012" s="4501" t="s">
        <v>9743</v>
      </c>
      <c r="B3012" s="3">
        <v>2.9906999999999999</v>
      </c>
    </row>
    <row r="3013" spans="1:2">
      <c r="A3013" s="4501" t="s">
        <v>9744</v>
      </c>
      <c r="B3013" s="3">
        <v>2.9906000000000001</v>
      </c>
    </row>
    <row r="3014" spans="1:2">
      <c r="A3014" s="4501" t="s">
        <v>9745</v>
      </c>
      <c r="B3014" s="3">
        <v>2.9904999999999999</v>
      </c>
    </row>
    <row r="3015" spans="1:2">
      <c r="A3015" s="4501" t="s">
        <v>9746</v>
      </c>
      <c r="B3015" s="3">
        <v>2.9904000000000002</v>
      </c>
    </row>
    <row r="3016" spans="1:2">
      <c r="A3016" s="4501" t="s">
        <v>9747</v>
      </c>
      <c r="B3016" s="3">
        <v>2.9903</v>
      </c>
    </row>
    <row r="3017" spans="1:2">
      <c r="A3017" s="4501" t="s">
        <v>9748</v>
      </c>
      <c r="B3017" s="3">
        <v>2.9902000000000002</v>
      </c>
    </row>
    <row r="3018" spans="1:2">
      <c r="A3018" s="4501" t="s">
        <v>9749</v>
      </c>
      <c r="B3018" s="3">
        <v>2.9901</v>
      </c>
    </row>
    <row r="3019" spans="1:2">
      <c r="A3019" s="4501" t="s">
        <v>9750</v>
      </c>
      <c r="B3019" s="3">
        <v>2.99</v>
      </c>
    </row>
    <row r="3020" spans="1:2">
      <c r="A3020" s="4501" t="s">
        <v>9751</v>
      </c>
      <c r="B3020" s="3">
        <v>2.9899</v>
      </c>
    </row>
    <row r="3021" spans="1:2">
      <c r="A3021" s="4501" t="s">
        <v>9752</v>
      </c>
      <c r="B3021" s="3">
        <v>2.9897999999999998</v>
      </c>
    </row>
    <row r="3022" spans="1:2">
      <c r="A3022" s="4501" t="s">
        <v>9753</v>
      </c>
      <c r="B3022" s="3">
        <v>2.9897</v>
      </c>
    </row>
    <row r="3023" spans="1:2">
      <c r="A3023" s="4501" t="s">
        <v>9754</v>
      </c>
      <c r="B3023" s="3">
        <v>2.9895999999999998</v>
      </c>
    </row>
    <row r="3024" spans="1:2">
      <c r="A3024" s="4501" t="s">
        <v>9755</v>
      </c>
      <c r="B3024" s="3">
        <v>2.9895</v>
      </c>
    </row>
    <row r="3025" spans="1:2">
      <c r="A3025" s="4501" t="s">
        <v>9756</v>
      </c>
      <c r="B3025" s="3">
        <v>2.9893999999999998</v>
      </c>
    </row>
    <row r="3026" spans="1:2">
      <c r="A3026" s="4501" t="s">
        <v>9757</v>
      </c>
      <c r="B3026" s="3">
        <v>2.9893000000000001</v>
      </c>
    </row>
    <row r="3027" spans="1:2">
      <c r="A3027" s="4501" t="s">
        <v>9758</v>
      </c>
      <c r="B3027" s="3">
        <v>2.9891999999999999</v>
      </c>
    </row>
    <row r="3028" spans="1:2">
      <c r="A3028" s="4501" t="s">
        <v>9759</v>
      </c>
      <c r="B3028" s="3">
        <v>2.9891000000000001</v>
      </c>
    </row>
    <row r="3029" spans="1:2">
      <c r="A3029" s="4501" t="s">
        <v>9760</v>
      </c>
      <c r="B3029" s="3">
        <v>2.9889999999999999</v>
      </c>
    </row>
    <row r="3030" spans="1:2">
      <c r="A3030" s="4501" t="s">
        <v>9761</v>
      </c>
      <c r="B3030" s="3">
        <v>2.9906551724137902</v>
      </c>
    </row>
    <row r="3031" spans="1:2">
      <c r="A3031" s="4501" t="s">
        <v>9762</v>
      </c>
      <c r="B3031" s="3">
        <v>2.9923103448275898</v>
      </c>
    </row>
    <row r="3032" spans="1:2">
      <c r="A3032" s="4501" t="s">
        <v>9763</v>
      </c>
      <c r="B3032" s="3">
        <v>2.9939655172413802</v>
      </c>
    </row>
    <row r="3033" spans="1:2">
      <c r="A3033" s="4501" t="s">
        <v>9764</v>
      </c>
      <c r="B3033" s="3">
        <v>2.99562068965517</v>
      </c>
    </row>
    <row r="3034" spans="1:2">
      <c r="A3034" s="4501" t="s">
        <v>9765</v>
      </c>
      <c r="B3034" s="3">
        <v>2.9972758620689701</v>
      </c>
    </row>
    <row r="3035" spans="1:2">
      <c r="A3035" s="4501" t="s">
        <v>9766</v>
      </c>
      <c r="B3035" s="3">
        <v>2.99893103448276</v>
      </c>
    </row>
    <row r="3036" spans="1:2">
      <c r="A3036" s="4501" t="s">
        <v>9767</v>
      </c>
      <c r="B3036" s="3">
        <v>3.0005862068965499</v>
      </c>
    </row>
    <row r="3037" spans="1:2">
      <c r="A3037" s="4501" t="s">
        <v>9768</v>
      </c>
      <c r="B3037" s="3">
        <v>3.0022413793103402</v>
      </c>
    </row>
    <row r="3038" spans="1:2">
      <c r="A3038" s="4501" t="s">
        <v>9769</v>
      </c>
      <c r="B3038" s="3">
        <v>3.0038965517241398</v>
      </c>
    </row>
    <row r="3039" spans="1:2">
      <c r="A3039" s="4501" t="s">
        <v>9770</v>
      </c>
      <c r="B3039" s="3">
        <v>3.0055517241379301</v>
      </c>
    </row>
    <row r="3040" spans="1:2">
      <c r="A3040" s="4501" t="s">
        <v>9771</v>
      </c>
      <c r="B3040" s="3">
        <v>3.00720689655172</v>
      </c>
    </row>
    <row r="3041" spans="1:2">
      <c r="A3041" s="4501" t="s">
        <v>9772</v>
      </c>
      <c r="B3041" s="3">
        <v>3.0088620689655201</v>
      </c>
    </row>
    <row r="3042" spans="1:2">
      <c r="A3042" s="4501" t="s">
        <v>9773</v>
      </c>
      <c r="B3042" s="3">
        <v>3.01051724137931</v>
      </c>
    </row>
    <row r="3043" spans="1:2">
      <c r="A3043" s="4501" t="s">
        <v>9774</v>
      </c>
      <c r="B3043" s="3">
        <v>3.0121724137930999</v>
      </c>
    </row>
    <row r="3044" spans="1:2">
      <c r="A3044" s="4501" t="s">
        <v>9775</v>
      </c>
      <c r="B3044" s="3">
        <v>3.0138275862068999</v>
      </c>
    </row>
    <row r="3045" spans="1:2">
      <c r="A3045" s="4501" t="s">
        <v>9776</v>
      </c>
      <c r="B3045" s="3">
        <v>3.0154827586206898</v>
      </c>
    </row>
    <row r="3046" spans="1:2">
      <c r="A3046" s="4501" t="s">
        <v>9777</v>
      </c>
      <c r="B3046" s="3">
        <v>3.0171379310344801</v>
      </c>
    </row>
    <row r="3047" spans="1:2">
      <c r="A3047" s="4501" t="s">
        <v>9778</v>
      </c>
      <c r="B3047" s="3">
        <v>3.0187931034482798</v>
      </c>
    </row>
    <row r="3048" spans="1:2">
      <c r="A3048" s="4501" t="s">
        <v>9779</v>
      </c>
      <c r="B3048" s="3">
        <v>3.0204482758620701</v>
      </c>
    </row>
    <row r="3049" spans="1:2">
      <c r="A3049" s="4501" t="s">
        <v>9780</v>
      </c>
      <c r="B3049" s="3">
        <v>3.02210344827586</v>
      </c>
    </row>
    <row r="3050" spans="1:2">
      <c r="A3050" s="4501" t="s">
        <v>9781</v>
      </c>
      <c r="B3050" s="3">
        <v>3.0237586206896601</v>
      </c>
    </row>
    <row r="3051" spans="1:2">
      <c r="A3051" s="4501" t="s">
        <v>9782</v>
      </c>
      <c r="B3051" s="3">
        <v>3.0254137931034499</v>
      </c>
    </row>
    <row r="3052" spans="1:2">
      <c r="A3052" s="4501" t="s">
        <v>9783</v>
      </c>
      <c r="B3052" s="3">
        <v>3.0270689655172398</v>
      </c>
    </row>
    <row r="3053" spans="1:2">
      <c r="A3053" s="4501" t="s">
        <v>9784</v>
      </c>
      <c r="B3053" s="3">
        <v>3.0287241379310301</v>
      </c>
    </row>
    <row r="3054" spans="1:2">
      <c r="A3054" s="4501" t="s">
        <v>9785</v>
      </c>
      <c r="B3054" s="3">
        <v>3.0303793103448302</v>
      </c>
    </row>
    <row r="3055" spans="1:2">
      <c r="A3055" s="4501" t="s">
        <v>9786</v>
      </c>
      <c r="B3055" s="3">
        <v>3.0320344827586201</v>
      </c>
    </row>
    <row r="3056" spans="1:2">
      <c r="A3056" s="4501" t="s">
        <v>9787</v>
      </c>
      <c r="B3056" s="3">
        <v>3.03368965517241</v>
      </c>
    </row>
    <row r="3057" spans="1:2">
      <c r="A3057" s="4501" t="s">
        <v>9788</v>
      </c>
      <c r="B3057" s="3">
        <v>3.03534482758621</v>
      </c>
    </row>
    <row r="3058" spans="1:2">
      <c r="A3058" s="4501" t="s">
        <v>9789</v>
      </c>
      <c r="B3058" s="3">
        <v>3.0369999999999999</v>
      </c>
    </row>
    <row r="3059" spans="1:2">
      <c r="A3059" s="4501" t="s">
        <v>9790</v>
      </c>
      <c r="B3059" s="3">
        <v>3.0412727272727298</v>
      </c>
    </row>
    <row r="3060" spans="1:2">
      <c r="A3060" s="4501" t="s">
        <v>9791</v>
      </c>
      <c r="B3060" s="3">
        <v>3.0455454545454499</v>
      </c>
    </row>
    <row r="3061" spans="1:2">
      <c r="A3061" s="4501" t="s">
        <v>9792</v>
      </c>
      <c r="B3061" s="3">
        <v>3.0498181818181802</v>
      </c>
    </row>
    <row r="3062" spans="1:2">
      <c r="A3062" s="4501" t="s">
        <v>9793</v>
      </c>
      <c r="B3062" s="3">
        <v>3.0540909090909101</v>
      </c>
    </row>
    <row r="3063" spans="1:2">
      <c r="A3063" s="4501" t="s">
        <v>9794</v>
      </c>
      <c r="B3063" s="3">
        <v>3.0583636363636399</v>
      </c>
    </row>
    <row r="3064" spans="1:2">
      <c r="A3064" s="4501" t="s">
        <v>9795</v>
      </c>
      <c r="B3064" s="3">
        <v>3.06263636363636</v>
      </c>
    </row>
    <row r="3065" spans="1:2">
      <c r="A3065" s="4501" t="s">
        <v>9796</v>
      </c>
      <c r="B3065" s="3">
        <v>3.0669090909090899</v>
      </c>
    </row>
    <row r="3066" spans="1:2">
      <c r="A3066" s="4501" t="s">
        <v>9797</v>
      </c>
      <c r="B3066" s="3">
        <v>3.0711818181818198</v>
      </c>
    </row>
    <row r="3067" spans="1:2">
      <c r="A3067" s="4501" t="s">
        <v>9798</v>
      </c>
      <c r="B3067" s="3">
        <v>3.0754545454545501</v>
      </c>
    </row>
    <row r="3068" spans="1:2">
      <c r="A3068" s="4501" t="s">
        <v>9799</v>
      </c>
      <c r="B3068" s="3">
        <v>3.0797272727272702</v>
      </c>
    </row>
    <row r="3069" spans="1:2">
      <c r="A3069" s="4501" t="s">
        <v>9800</v>
      </c>
      <c r="B3069" s="3">
        <v>3.0840000000000001</v>
      </c>
    </row>
    <row r="3070" spans="1:2">
      <c r="A3070" s="4501" t="s">
        <v>9801</v>
      </c>
      <c r="B3070" s="3">
        <v>3.0882727272727299</v>
      </c>
    </row>
    <row r="3071" spans="1:2">
      <c r="A3071" s="4501" t="s">
        <v>9802</v>
      </c>
      <c r="B3071" s="3">
        <v>3.09254545454545</v>
      </c>
    </row>
    <row r="3072" spans="1:2">
      <c r="A3072" s="4501" t="s">
        <v>9803</v>
      </c>
      <c r="B3072" s="3">
        <v>3.0968181818181799</v>
      </c>
    </row>
    <row r="3073" spans="1:2">
      <c r="A3073" s="4501" t="s">
        <v>9804</v>
      </c>
      <c r="B3073" s="3">
        <v>3.1010909090909098</v>
      </c>
    </row>
    <row r="3074" spans="1:2">
      <c r="A3074" s="4501" t="s">
        <v>9805</v>
      </c>
      <c r="B3074" s="3">
        <v>3.1053636363636401</v>
      </c>
    </row>
    <row r="3075" spans="1:2">
      <c r="A3075" s="4501" t="s">
        <v>9806</v>
      </c>
      <c r="B3075" s="3">
        <v>3.1096363636363602</v>
      </c>
    </row>
    <row r="3076" spans="1:2">
      <c r="A3076" s="4501" t="s">
        <v>9807</v>
      </c>
      <c r="B3076" s="3">
        <v>3.1139090909090901</v>
      </c>
    </row>
    <row r="3077" spans="1:2">
      <c r="A3077" s="4501" t="s">
        <v>9808</v>
      </c>
      <c r="B3077" s="3">
        <v>3.1181818181818199</v>
      </c>
    </row>
    <row r="3078" spans="1:2">
      <c r="A3078" s="4501" t="s">
        <v>9809</v>
      </c>
      <c r="B3078" s="3">
        <v>3.1224545454545498</v>
      </c>
    </row>
    <row r="3079" spans="1:2">
      <c r="A3079" s="4501" t="s">
        <v>9810</v>
      </c>
      <c r="B3079" s="3">
        <v>3.1267272727272699</v>
      </c>
    </row>
    <row r="3080" spans="1:2">
      <c r="A3080" s="4501" t="s">
        <v>9811</v>
      </c>
      <c r="B3080" s="3">
        <v>3.1309999999999998</v>
      </c>
    </row>
    <row r="3081" spans="1:2">
      <c r="A3081" s="4501" t="s">
        <v>9812</v>
      </c>
      <c r="B3081" s="3">
        <v>3.1352727272727301</v>
      </c>
    </row>
    <row r="3082" spans="1:2">
      <c r="A3082" s="4501" t="s">
        <v>9813</v>
      </c>
      <c r="B3082" s="3">
        <v>3.1395454545454502</v>
      </c>
    </row>
    <row r="3083" spans="1:2">
      <c r="A3083" s="4501" t="s">
        <v>9814</v>
      </c>
      <c r="B3083" s="3">
        <v>3.1438181818181801</v>
      </c>
    </row>
    <row r="3084" spans="1:2">
      <c r="A3084" s="4501" t="s">
        <v>9815</v>
      </c>
      <c r="B3084" s="3">
        <v>3.1480909090909099</v>
      </c>
    </row>
    <row r="3085" spans="1:2">
      <c r="A3085" s="4501" t="s">
        <v>9816</v>
      </c>
      <c r="B3085" s="3">
        <v>3.1523636363636398</v>
      </c>
    </row>
    <row r="3086" spans="1:2">
      <c r="A3086" s="4501" t="s">
        <v>9817</v>
      </c>
      <c r="B3086" s="3">
        <v>3.1566363636363599</v>
      </c>
    </row>
    <row r="3087" spans="1:2">
      <c r="A3087" s="4501" t="s">
        <v>9818</v>
      </c>
      <c r="B3087" s="3">
        <v>3.1609090909090898</v>
      </c>
    </row>
    <row r="3088" spans="1:2">
      <c r="A3088" s="4501" t="s">
        <v>9819</v>
      </c>
      <c r="B3088" s="3">
        <v>3.1651818181818201</v>
      </c>
    </row>
    <row r="3089" spans="1:2">
      <c r="A3089" s="4501" t="s">
        <v>9820</v>
      </c>
      <c r="B3089" s="3">
        <v>3.16945454545455</v>
      </c>
    </row>
    <row r="3090" spans="1:2">
      <c r="A3090" s="4501" t="s">
        <v>9821</v>
      </c>
      <c r="B3090" s="3">
        <v>3.1737272727272701</v>
      </c>
    </row>
    <row r="3091" spans="1:2">
      <c r="A3091" s="4501" t="s">
        <v>9822</v>
      </c>
      <c r="B3091" s="3">
        <v>3.1779999999999999</v>
      </c>
    </row>
    <row r="3092" spans="1:2">
      <c r="A3092" s="4501" t="s">
        <v>9823</v>
      </c>
      <c r="B3092" s="3">
        <v>3.1870714285714299</v>
      </c>
    </row>
    <row r="3093" spans="1:2">
      <c r="A3093" s="4501" t="s">
        <v>9824</v>
      </c>
      <c r="B3093" s="3">
        <v>3.1961428571428598</v>
      </c>
    </row>
    <row r="3094" spans="1:2">
      <c r="A3094" s="4501" t="s">
        <v>9825</v>
      </c>
      <c r="B3094" s="3">
        <v>3.2052142857142898</v>
      </c>
    </row>
    <row r="3095" spans="1:2">
      <c r="A3095" s="4501" t="s">
        <v>9826</v>
      </c>
      <c r="B3095" s="3">
        <v>3.21428571428571</v>
      </c>
    </row>
    <row r="3096" spans="1:2">
      <c r="A3096" s="4501" t="s">
        <v>9827</v>
      </c>
      <c r="B3096" s="3">
        <v>3.2233571428571399</v>
      </c>
    </row>
    <row r="3097" spans="1:2">
      <c r="A3097" s="4501" t="s">
        <v>9828</v>
      </c>
      <c r="B3097" s="3">
        <v>3.2324285714285699</v>
      </c>
    </row>
    <row r="3098" spans="1:2">
      <c r="A3098" s="4501" t="s">
        <v>9829</v>
      </c>
      <c r="B3098" s="3">
        <v>3.2414999999999998</v>
      </c>
    </row>
    <row r="3099" spans="1:2">
      <c r="A3099" s="4501" t="s">
        <v>9830</v>
      </c>
      <c r="B3099" s="3">
        <v>3.2505714285714302</v>
      </c>
    </row>
    <row r="3100" spans="1:2">
      <c r="A3100" s="4501" t="s">
        <v>9831</v>
      </c>
      <c r="B3100" s="3">
        <v>3.2596428571428602</v>
      </c>
    </row>
    <row r="3101" spans="1:2">
      <c r="A3101" s="4501" t="s">
        <v>9832</v>
      </c>
      <c r="B3101" s="3">
        <v>3.2687142857142901</v>
      </c>
    </row>
    <row r="3102" spans="1:2">
      <c r="A3102" s="4501" t="s">
        <v>9833</v>
      </c>
      <c r="B3102" s="3">
        <v>3.2777857142857099</v>
      </c>
    </row>
    <row r="3103" spans="1:2">
      <c r="A3103" s="4501" t="s">
        <v>9834</v>
      </c>
      <c r="B3103" s="3">
        <v>3.2868571428571398</v>
      </c>
    </row>
    <row r="3104" spans="1:2">
      <c r="A3104" s="4501" t="s">
        <v>9835</v>
      </c>
      <c r="B3104" s="3">
        <v>3.2959285714285702</v>
      </c>
    </row>
    <row r="3105" spans="1:2">
      <c r="A3105" s="4501" t="s">
        <v>9836</v>
      </c>
      <c r="B3105" s="3">
        <v>3.3050000000000002</v>
      </c>
    </row>
    <row r="3106" spans="1:2">
      <c r="A3106" s="4501" t="s">
        <v>9837</v>
      </c>
      <c r="B3106" s="3">
        <v>3.3140714285714301</v>
      </c>
    </row>
    <row r="3107" spans="1:2">
      <c r="A3107" s="4501" t="s">
        <v>9838</v>
      </c>
      <c r="B3107" s="3">
        <v>3.3231428571428601</v>
      </c>
    </row>
    <row r="3108" spans="1:2">
      <c r="A3108" s="4501" t="s">
        <v>9839</v>
      </c>
      <c r="B3108" s="3">
        <v>3.33221428571429</v>
      </c>
    </row>
    <row r="3109" spans="1:2">
      <c r="A3109" s="4501" t="s">
        <v>9840</v>
      </c>
      <c r="B3109" s="3">
        <v>3.3412857142857102</v>
      </c>
    </row>
    <row r="3110" spans="1:2">
      <c r="A3110" s="4501" t="s">
        <v>9841</v>
      </c>
      <c r="B3110" s="3">
        <v>3.3503571428571401</v>
      </c>
    </row>
    <row r="3111" spans="1:2">
      <c r="A3111" s="4501" t="s">
        <v>9842</v>
      </c>
      <c r="B3111" s="3">
        <v>3.3594285714285701</v>
      </c>
    </row>
    <row r="3112" spans="1:2">
      <c r="A3112" s="4501" t="s">
        <v>9843</v>
      </c>
      <c r="B3112" s="3">
        <v>3.3685</v>
      </c>
    </row>
    <row r="3113" spans="1:2">
      <c r="A3113" s="4501" t="s">
        <v>9844</v>
      </c>
      <c r="B3113" s="3">
        <v>3.37757142857143</v>
      </c>
    </row>
    <row r="3114" spans="1:2">
      <c r="A3114" s="4501" t="s">
        <v>9845</v>
      </c>
      <c r="B3114" s="3">
        <v>3.38664285714286</v>
      </c>
    </row>
    <row r="3115" spans="1:2">
      <c r="A3115" s="4501" t="s">
        <v>9846</v>
      </c>
      <c r="B3115" s="3">
        <v>3.3957142857142899</v>
      </c>
    </row>
    <row r="3116" spans="1:2">
      <c r="A3116" s="4501" t="s">
        <v>9847</v>
      </c>
      <c r="B3116" s="3">
        <v>3.4047857142857101</v>
      </c>
    </row>
    <row r="3117" spans="1:2">
      <c r="A3117" s="4501" t="s">
        <v>9848</v>
      </c>
      <c r="B3117" s="3">
        <v>3.41385714285714</v>
      </c>
    </row>
    <row r="3118" spans="1:2">
      <c r="A3118" s="4501" t="s">
        <v>9849</v>
      </c>
      <c r="B3118" s="3">
        <v>3.42292857142857</v>
      </c>
    </row>
    <row r="3119" spans="1:2">
      <c r="A3119" s="4501" t="s">
        <v>9850</v>
      </c>
      <c r="B3119" s="3">
        <v>3.4319999999999999</v>
      </c>
    </row>
    <row r="3120" spans="1:2">
      <c r="A3120" s="4501" t="s">
        <v>9851</v>
      </c>
      <c r="B3120" s="3">
        <v>3.4361935483871</v>
      </c>
    </row>
    <row r="3121" spans="1:2">
      <c r="A3121" s="4501" t="s">
        <v>9852</v>
      </c>
      <c r="B3121" s="3">
        <v>3.4403870967741899</v>
      </c>
    </row>
    <row r="3122" spans="1:2">
      <c r="A3122" s="4501" t="s">
        <v>9853</v>
      </c>
      <c r="B3122" s="3">
        <v>3.4445806451612899</v>
      </c>
    </row>
    <row r="3123" spans="1:2">
      <c r="A3123" s="4501" t="s">
        <v>9854</v>
      </c>
      <c r="B3123" s="3">
        <v>3.44877419354839</v>
      </c>
    </row>
    <row r="3124" spans="1:2">
      <c r="A3124" s="4501" t="s">
        <v>9855</v>
      </c>
      <c r="B3124" s="3">
        <v>3.4529677419354798</v>
      </c>
    </row>
    <row r="3125" spans="1:2">
      <c r="A3125" s="4501" t="s">
        <v>9856</v>
      </c>
      <c r="B3125" s="3">
        <v>3.4571612903225799</v>
      </c>
    </row>
    <row r="3126" spans="1:2">
      <c r="A3126" s="4501" t="s">
        <v>9857</v>
      </c>
      <c r="B3126" s="3">
        <v>3.46135483870968</v>
      </c>
    </row>
    <row r="3127" spans="1:2">
      <c r="A3127" s="4501" t="s">
        <v>9858</v>
      </c>
      <c r="B3127" s="3">
        <v>3.4655483870967698</v>
      </c>
    </row>
    <row r="3128" spans="1:2">
      <c r="A3128" s="4501" t="s">
        <v>9859</v>
      </c>
      <c r="B3128" s="3">
        <v>3.4697419354838699</v>
      </c>
    </row>
    <row r="3129" spans="1:2">
      <c r="A3129" s="4501" t="s">
        <v>9860</v>
      </c>
      <c r="B3129" s="3">
        <v>3.47393548387097</v>
      </c>
    </row>
    <row r="3130" spans="1:2">
      <c r="A3130" s="4501" t="s">
        <v>9861</v>
      </c>
      <c r="B3130" s="3">
        <v>3.4781290322580598</v>
      </c>
    </row>
    <row r="3131" spans="1:2">
      <c r="A3131" s="4501" t="s">
        <v>9862</v>
      </c>
      <c r="B3131" s="3">
        <v>3.4823225806451599</v>
      </c>
    </row>
    <row r="3132" spans="1:2">
      <c r="A3132" s="4501" t="s">
        <v>9863</v>
      </c>
      <c r="B3132" s="3">
        <v>3.4865161290322599</v>
      </c>
    </row>
    <row r="3133" spans="1:2">
      <c r="A3133" s="4501" t="s">
        <v>9864</v>
      </c>
      <c r="B3133" s="3">
        <v>3.4907096774193498</v>
      </c>
    </row>
    <row r="3134" spans="1:2">
      <c r="A3134" s="4501" t="s">
        <v>9865</v>
      </c>
      <c r="B3134" s="3">
        <v>3.4949032258064499</v>
      </c>
    </row>
    <row r="3135" spans="1:2">
      <c r="A3135" s="4501" t="s">
        <v>9866</v>
      </c>
      <c r="B3135" s="3">
        <v>3.4990967741935499</v>
      </c>
    </row>
    <row r="3136" spans="1:2">
      <c r="A3136" s="4501" t="s">
        <v>9867</v>
      </c>
      <c r="B3136" s="3">
        <v>3.50329032258065</v>
      </c>
    </row>
    <row r="3137" spans="1:2">
      <c r="A3137" s="4501" t="s">
        <v>9868</v>
      </c>
      <c r="B3137" s="3">
        <v>3.5074838709677398</v>
      </c>
    </row>
    <row r="3138" spans="1:2">
      <c r="A3138" s="4501" t="s">
        <v>9869</v>
      </c>
      <c r="B3138" s="3">
        <v>3.5116774193548399</v>
      </c>
    </row>
    <row r="3139" spans="1:2">
      <c r="A3139" s="4501" t="s">
        <v>9870</v>
      </c>
      <c r="B3139" s="3">
        <v>3.51587096774194</v>
      </c>
    </row>
    <row r="3140" spans="1:2">
      <c r="A3140" s="4501" t="s">
        <v>9871</v>
      </c>
      <c r="B3140" s="3">
        <v>3.5200645161290298</v>
      </c>
    </row>
    <row r="3141" spans="1:2">
      <c r="A3141" s="4501" t="s">
        <v>9872</v>
      </c>
      <c r="B3141" s="3">
        <v>3.5242580645161299</v>
      </c>
    </row>
    <row r="3142" spans="1:2">
      <c r="A3142" s="4501" t="s">
        <v>9873</v>
      </c>
      <c r="B3142" s="3">
        <v>3.52845161290323</v>
      </c>
    </row>
    <row r="3143" spans="1:2">
      <c r="A3143" s="4501" t="s">
        <v>9874</v>
      </c>
      <c r="B3143" s="3">
        <v>3.5326451612903198</v>
      </c>
    </row>
    <row r="3144" spans="1:2">
      <c r="A3144" s="4501" t="s">
        <v>9875</v>
      </c>
      <c r="B3144" s="3">
        <v>3.5368387096774199</v>
      </c>
    </row>
    <row r="3145" spans="1:2">
      <c r="A3145" s="4501" t="s">
        <v>9876</v>
      </c>
      <c r="B3145" s="3">
        <v>3.5410322580645199</v>
      </c>
    </row>
    <row r="3146" spans="1:2">
      <c r="A3146" s="4501" t="s">
        <v>9877</v>
      </c>
      <c r="B3146" s="3">
        <v>3.5452258064516098</v>
      </c>
    </row>
    <row r="3147" spans="1:2">
      <c r="A3147" s="4501" t="s">
        <v>9878</v>
      </c>
      <c r="B3147" s="3">
        <v>3.5494193548387099</v>
      </c>
    </row>
    <row r="3148" spans="1:2">
      <c r="A3148" s="4501" t="s">
        <v>9879</v>
      </c>
      <c r="B3148" s="3">
        <v>3.5536129032258099</v>
      </c>
    </row>
    <row r="3149" spans="1:2">
      <c r="A3149" s="4501" t="s">
        <v>9880</v>
      </c>
      <c r="B3149" s="3">
        <v>3.5578064516129002</v>
      </c>
    </row>
    <row r="3150" spans="1:2">
      <c r="A3150" s="4501" t="s">
        <v>9881</v>
      </c>
      <c r="B3150" s="3">
        <v>3.5619999999999998</v>
      </c>
    </row>
    <row r="3151" spans="1:2">
      <c r="A3151" s="4501" t="s">
        <v>9882</v>
      </c>
      <c r="B3151" s="3">
        <v>3.5597272727272702</v>
      </c>
    </row>
    <row r="3152" spans="1:2">
      <c r="A3152" s="4501" t="s">
        <v>9883</v>
      </c>
      <c r="B3152" s="3">
        <v>3.5574545454545499</v>
      </c>
    </row>
    <row r="3153" spans="1:2">
      <c r="A3153" s="4501" t="s">
        <v>9884</v>
      </c>
      <c r="B3153" s="3">
        <v>3.5551818181818202</v>
      </c>
    </row>
    <row r="3154" spans="1:2">
      <c r="A3154" s="4501" t="s">
        <v>9885</v>
      </c>
      <c r="B3154" s="3">
        <v>3.5529090909090901</v>
      </c>
    </row>
    <row r="3155" spans="1:2">
      <c r="A3155" s="4501" t="s">
        <v>9886</v>
      </c>
      <c r="B3155" s="3">
        <v>3.55063636363636</v>
      </c>
    </row>
    <row r="3156" spans="1:2">
      <c r="A3156" s="4501" t="s">
        <v>9887</v>
      </c>
      <c r="B3156" s="3">
        <v>3.5483636363636402</v>
      </c>
    </row>
    <row r="3157" spans="1:2">
      <c r="A3157" s="4501" t="s">
        <v>9888</v>
      </c>
      <c r="B3157" s="3">
        <v>3.5460909090909101</v>
      </c>
    </row>
    <row r="3158" spans="1:2">
      <c r="A3158" s="4501" t="s">
        <v>9889</v>
      </c>
      <c r="B3158" s="3">
        <v>3.54381818181818</v>
      </c>
    </row>
    <row r="3159" spans="1:2">
      <c r="A3159" s="4501" t="s">
        <v>9890</v>
      </c>
      <c r="B3159" s="3">
        <v>3.5415454545454499</v>
      </c>
    </row>
    <row r="3160" spans="1:2">
      <c r="A3160" s="4501" t="s">
        <v>9891</v>
      </c>
      <c r="B3160" s="3">
        <v>3.53927272727273</v>
      </c>
    </row>
    <row r="3161" spans="1:2">
      <c r="A3161" s="4501" t="s">
        <v>9892</v>
      </c>
      <c r="B3161" s="3">
        <v>3.5369999999999999</v>
      </c>
    </row>
    <row r="3162" spans="1:2">
      <c r="A3162" s="4501" t="s">
        <v>9893</v>
      </c>
      <c r="B3162" s="3">
        <v>3.5347272727272698</v>
      </c>
    </row>
    <row r="3163" spans="1:2">
      <c r="A3163" s="4501" t="s">
        <v>9894</v>
      </c>
      <c r="B3163" s="3">
        <v>3.53245454545455</v>
      </c>
    </row>
    <row r="3164" spans="1:2">
      <c r="A3164" s="4501" t="s">
        <v>9895</v>
      </c>
      <c r="B3164" s="3">
        <v>3.5301818181818199</v>
      </c>
    </row>
    <row r="3165" spans="1:2">
      <c r="A3165" s="4501" t="s">
        <v>9896</v>
      </c>
      <c r="B3165" s="3">
        <v>3.5279090909090902</v>
      </c>
    </row>
    <row r="3166" spans="1:2">
      <c r="A3166" s="4501" t="s">
        <v>9897</v>
      </c>
      <c r="B3166" s="3">
        <v>3.5256363636363601</v>
      </c>
    </row>
    <row r="3167" spans="1:2">
      <c r="A3167" s="4501" t="s">
        <v>9898</v>
      </c>
      <c r="B3167" s="3">
        <v>3.5233636363636398</v>
      </c>
    </row>
    <row r="3168" spans="1:2">
      <c r="A3168" s="4501" t="s">
        <v>9899</v>
      </c>
      <c r="B3168" s="3">
        <v>3.5210909090909102</v>
      </c>
    </row>
    <row r="3169" spans="1:2">
      <c r="A3169" s="4501" t="s">
        <v>9900</v>
      </c>
      <c r="B3169" s="3">
        <v>3.5188181818181801</v>
      </c>
    </row>
    <row r="3170" spans="1:2">
      <c r="A3170" s="4501" t="s">
        <v>9901</v>
      </c>
      <c r="B3170" s="3">
        <v>3.51654545454545</v>
      </c>
    </row>
    <row r="3171" spans="1:2">
      <c r="A3171" s="4501" t="s">
        <v>9902</v>
      </c>
      <c r="B3171" s="3">
        <v>3.5142727272727301</v>
      </c>
    </row>
    <row r="3172" spans="1:2">
      <c r="A3172" s="4501" t="s">
        <v>9903</v>
      </c>
      <c r="B3172" s="3">
        <v>3.512</v>
      </c>
    </row>
    <row r="3173" spans="1:2">
      <c r="A3173" s="4501" t="s">
        <v>9904</v>
      </c>
      <c r="B3173" s="3">
        <v>3.5097272727272699</v>
      </c>
    </row>
    <row r="3174" spans="1:2">
      <c r="A3174" s="4501" t="s">
        <v>9905</v>
      </c>
      <c r="B3174" s="3">
        <v>3.50745454545455</v>
      </c>
    </row>
    <row r="3175" spans="1:2">
      <c r="A3175" s="4501" t="s">
        <v>9906</v>
      </c>
      <c r="B3175" s="3">
        <v>3.50518181818182</v>
      </c>
    </row>
    <row r="3176" spans="1:2">
      <c r="A3176" s="4501" t="s">
        <v>9907</v>
      </c>
      <c r="B3176" s="3">
        <v>3.5029090909090899</v>
      </c>
    </row>
    <row r="3177" spans="1:2">
      <c r="A3177" s="4501" t="s">
        <v>9908</v>
      </c>
      <c r="B3177" s="3">
        <v>3.5006363636363602</v>
      </c>
    </row>
    <row r="3178" spans="1:2">
      <c r="A3178" s="4501" t="s">
        <v>9909</v>
      </c>
      <c r="B3178" s="3">
        <v>3.4983636363636399</v>
      </c>
    </row>
    <row r="3179" spans="1:2">
      <c r="A3179" s="4501" t="s">
        <v>9910</v>
      </c>
      <c r="B3179" s="3">
        <v>3.4960909090909098</v>
      </c>
    </row>
    <row r="3180" spans="1:2">
      <c r="A3180" s="4501" t="s">
        <v>9911</v>
      </c>
      <c r="B3180" s="3">
        <v>3.4938181818181802</v>
      </c>
    </row>
    <row r="3181" spans="1:2">
      <c r="A3181" s="4501" t="s">
        <v>9912</v>
      </c>
      <c r="B3181" s="3">
        <v>3.4915454545454501</v>
      </c>
    </row>
    <row r="3182" spans="1:2">
      <c r="A3182" s="4501" t="s">
        <v>9913</v>
      </c>
      <c r="B3182" s="3">
        <v>3.4892727272727302</v>
      </c>
    </row>
    <row r="3183" spans="1:2">
      <c r="A3183" s="4501" t="s">
        <v>9914</v>
      </c>
      <c r="B3183" s="3">
        <v>3.4870000000000001</v>
      </c>
    </row>
    <row r="3184" spans="1:2">
      <c r="A3184" s="4501" t="s">
        <v>9915</v>
      </c>
      <c r="B3184" s="3">
        <v>3.47789285714286</v>
      </c>
    </row>
    <row r="3185" spans="1:2">
      <c r="A3185" s="4501" t="s">
        <v>9916</v>
      </c>
      <c r="B3185" s="3">
        <v>3.4687857142857101</v>
      </c>
    </row>
    <row r="3186" spans="1:2">
      <c r="A3186" s="4501" t="s">
        <v>9917</v>
      </c>
      <c r="B3186" s="3">
        <v>3.45967857142857</v>
      </c>
    </row>
    <row r="3187" spans="1:2">
      <c r="A3187" s="4501" t="s">
        <v>9918</v>
      </c>
      <c r="B3187" s="3">
        <v>3.45057142857143</v>
      </c>
    </row>
    <row r="3188" spans="1:2">
      <c r="A3188" s="4501" t="s">
        <v>9919</v>
      </c>
      <c r="B3188" s="3">
        <v>3.4414642857142899</v>
      </c>
    </row>
    <row r="3189" spans="1:2">
      <c r="A3189" s="4501" t="s">
        <v>9920</v>
      </c>
      <c r="B3189" s="3">
        <v>3.43235714285714</v>
      </c>
    </row>
    <row r="3190" spans="1:2">
      <c r="A3190" s="4501" t="s">
        <v>9921</v>
      </c>
      <c r="B3190" s="3">
        <v>3.4232499999999999</v>
      </c>
    </row>
    <row r="3191" spans="1:2">
      <c r="A3191" s="4501" t="s">
        <v>9922</v>
      </c>
      <c r="B3191" s="3">
        <v>3.4141428571428598</v>
      </c>
    </row>
    <row r="3192" spans="1:2">
      <c r="A3192" s="4501" t="s">
        <v>9923</v>
      </c>
      <c r="B3192" s="3">
        <v>3.4050357142857099</v>
      </c>
    </row>
    <row r="3193" spans="1:2">
      <c r="A3193" s="4501" t="s">
        <v>9924</v>
      </c>
      <c r="B3193" s="3">
        <v>3.3959285714285699</v>
      </c>
    </row>
    <row r="3194" spans="1:2">
      <c r="A3194" s="4501" t="s">
        <v>9925</v>
      </c>
      <c r="B3194" s="3">
        <v>3.3868214285714302</v>
      </c>
    </row>
    <row r="3195" spans="1:2">
      <c r="A3195" s="4501" t="s">
        <v>9926</v>
      </c>
      <c r="B3195" s="3">
        <v>3.3777142857142901</v>
      </c>
    </row>
    <row r="3196" spans="1:2">
      <c r="A3196" s="4501" t="s">
        <v>9927</v>
      </c>
      <c r="B3196" s="3">
        <v>3.3686071428571398</v>
      </c>
    </row>
    <row r="3197" spans="1:2">
      <c r="A3197" s="4501" t="s">
        <v>9928</v>
      </c>
      <c r="B3197" s="3">
        <v>3.3595000000000002</v>
      </c>
    </row>
    <row r="3198" spans="1:2">
      <c r="A3198" s="4501" t="s">
        <v>9929</v>
      </c>
      <c r="B3198" s="3">
        <v>3.3503928571428601</v>
      </c>
    </row>
    <row r="3199" spans="1:2">
      <c r="A3199" s="4501" t="s">
        <v>9930</v>
      </c>
      <c r="B3199" s="3">
        <v>3.3412857142857102</v>
      </c>
    </row>
    <row r="3200" spans="1:2">
      <c r="A3200" s="4501" t="s">
        <v>9931</v>
      </c>
      <c r="B3200" s="3">
        <v>3.3321785714285701</v>
      </c>
    </row>
    <row r="3201" spans="1:2">
      <c r="A3201" s="4501" t="s">
        <v>9932</v>
      </c>
      <c r="B3201" s="3">
        <v>3.32307142857143</v>
      </c>
    </row>
    <row r="3202" spans="1:2">
      <c r="A3202" s="4501" t="s">
        <v>9933</v>
      </c>
      <c r="B3202" s="3">
        <v>3.3139642857142899</v>
      </c>
    </row>
    <row r="3203" spans="1:2">
      <c r="A3203" s="4501" t="s">
        <v>9934</v>
      </c>
      <c r="B3203" s="3">
        <v>3.3048571428571401</v>
      </c>
    </row>
    <row r="3204" spans="1:2">
      <c r="A3204" s="4501" t="s">
        <v>9935</v>
      </c>
      <c r="B3204" s="3">
        <v>3.29575</v>
      </c>
    </row>
    <row r="3205" spans="1:2">
      <c r="A3205" s="4501" t="s">
        <v>9936</v>
      </c>
      <c r="B3205" s="3">
        <v>3.2866428571428599</v>
      </c>
    </row>
    <row r="3206" spans="1:2">
      <c r="A3206" s="4501" t="s">
        <v>9937</v>
      </c>
      <c r="B3206" s="3">
        <v>3.27753571428571</v>
      </c>
    </row>
    <row r="3207" spans="1:2">
      <c r="A3207" s="4501" t="s">
        <v>9938</v>
      </c>
      <c r="B3207" s="3">
        <v>3.2684285714285699</v>
      </c>
    </row>
    <row r="3208" spans="1:2">
      <c r="A3208" s="4501" t="s">
        <v>9939</v>
      </c>
      <c r="B3208" s="3">
        <v>3.2593214285714298</v>
      </c>
    </row>
    <row r="3209" spans="1:2">
      <c r="A3209" s="4501" t="s">
        <v>9940</v>
      </c>
      <c r="B3209" s="3">
        <v>3.2502142857142902</v>
      </c>
    </row>
    <row r="3210" spans="1:2">
      <c r="A3210" s="4501" t="s">
        <v>9941</v>
      </c>
      <c r="B3210" s="3">
        <v>3.2411071428571399</v>
      </c>
    </row>
    <row r="3211" spans="1:2">
      <c r="A3211" s="4501" t="s">
        <v>9942</v>
      </c>
      <c r="B3211" s="3">
        <v>3.2320000000000002</v>
      </c>
    </row>
    <row r="3212" spans="1:2">
      <c r="A3212" s="4501" t="s">
        <v>9943</v>
      </c>
      <c r="B3212" s="3">
        <v>3.2183793103448299</v>
      </c>
    </row>
    <row r="3213" spans="1:2">
      <c r="A3213" s="4501" t="s">
        <v>9944</v>
      </c>
      <c r="B3213" s="3">
        <v>3.2047586206896601</v>
      </c>
    </row>
    <row r="3214" spans="1:2">
      <c r="A3214" s="4501" t="s">
        <v>9945</v>
      </c>
      <c r="B3214" s="3">
        <v>3.1911379310344801</v>
      </c>
    </row>
    <row r="3215" spans="1:2">
      <c r="A3215" s="4501" t="s">
        <v>9946</v>
      </c>
      <c r="B3215" s="3">
        <v>3.1775172413793098</v>
      </c>
    </row>
    <row r="3216" spans="1:2">
      <c r="A3216" s="4501" t="s">
        <v>9947</v>
      </c>
      <c r="B3216" s="3">
        <v>3.16389655172414</v>
      </c>
    </row>
    <row r="3217" spans="1:2">
      <c r="A3217" s="4501" t="s">
        <v>9948</v>
      </c>
      <c r="B3217" s="3">
        <v>3.1502758620689701</v>
      </c>
    </row>
    <row r="3218" spans="1:2">
      <c r="A3218" s="4501" t="s">
        <v>9949</v>
      </c>
      <c r="B3218" s="3">
        <v>3.1366551724137901</v>
      </c>
    </row>
    <row r="3219" spans="1:2">
      <c r="A3219" s="4501" t="s">
        <v>9950</v>
      </c>
      <c r="B3219" s="3">
        <v>3.1230344827586198</v>
      </c>
    </row>
    <row r="3220" spans="1:2">
      <c r="A3220" s="4501" t="s">
        <v>9951</v>
      </c>
      <c r="B3220" s="3">
        <v>3.10941379310345</v>
      </c>
    </row>
    <row r="3221" spans="1:2">
      <c r="A3221" s="4501" t="s">
        <v>9952</v>
      </c>
      <c r="B3221" s="3">
        <v>3.0957931034482802</v>
      </c>
    </row>
    <row r="3222" spans="1:2">
      <c r="A3222" s="4501" t="s">
        <v>9953</v>
      </c>
      <c r="B3222" s="3">
        <v>3.0821724137931001</v>
      </c>
    </row>
    <row r="3223" spans="1:2">
      <c r="A3223" s="4501" t="s">
        <v>9954</v>
      </c>
      <c r="B3223" s="3">
        <v>3.0685517241379299</v>
      </c>
    </row>
    <row r="3224" spans="1:2">
      <c r="A3224" s="4501" t="s">
        <v>9955</v>
      </c>
      <c r="B3224" s="3">
        <v>3.05493103448276</v>
      </c>
    </row>
    <row r="3225" spans="1:2">
      <c r="A3225" s="4501" t="s">
        <v>9956</v>
      </c>
      <c r="B3225" s="3">
        <v>3.0413103448275902</v>
      </c>
    </row>
    <row r="3226" spans="1:2">
      <c r="A3226" s="4501" t="s">
        <v>9957</v>
      </c>
      <c r="B3226" s="3">
        <v>3.0276896551724102</v>
      </c>
    </row>
    <row r="3227" spans="1:2">
      <c r="A3227" s="4501" t="s">
        <v>9958</v>
      </c>
      <c r="B3227" s="3">
        <v>3.0140689655172399</v>
      </c>
    </row>
    <row r="3228" spans="1:2">
      <c r="A3228" s="4501" t="s">
        <v>9959</v>
      </c>
      <c r="B3228" s="3">
        <v>3.0004482758620701</v>
      </c>
    </row>
    <row r="3229" spans="1:2">
      <c r="A3229" s="4501" t="s">
        <v>9960</v>
      </c>
      <c r="B3229" s="3">
        <v>2.9868275862068998</v>
      </c>
    </row>
    <row r="3230" spans="1:2">
      <c r="A3230" s="4501" t="s">
        <v>9961</v>
      </c>
      <c r="B3230" s="3">
        <v>2.9732068965517202</v>
      </c>
    </row>
    <row r="3231" spans="1:2">
      <c r="A3231" s="4501" t="s">
        <v>9962</v>
      </c>
      <c r="B3231" s="3">
        <v>2.9595862068965499</v>
      </c>
    </row>
    <row r="3232" spans="1:2">
      <c r="A3232" s="4501" t="s">
        <v>9963</v>
      </c>
      <c r="B3232" s="3">
        <v>2.9459655172413801</v>
      </c>
    </row>
    <row r="3233" spans="1:2">
      <c r="A3233" s="4501" t="s">
        <v>9964</v>
      </c>
      <c r="B3233" s="3">
        <v>2.9323448275862098</v>
      </c>
    </row>
    <row r="3234" spans="1:2">
      <c r="A3234" s="4501" t="s">
        <v>9965</v>
      </c>
      <c r="B3234" s="3">
        <v>2.9187241379310298</v>
      </c>
    </row>
    <row r="3235" spans="1:2">
      <c r="A3235" s="4501" t="s">
        <v>9966</v>
      </c>
      <c r="B3235" s="3">
        <v>2.90510344827586</v>
      </c>
    </row>
    <row r="3236" spans="1:2">
      <c r="A3236" s="4501" t="s">
        <v>9967</v>
      </c>
      <c r="B3236" s="3">
        <v>2.8914827586206902</v>
      </c>
    </row>
    <row r="3237" spans="1:2">
      <c r="A3237" s="4501" t="s">
        <v>9968</v>
      </c>
      <c r="B3237" s="3">
        <v>2.8778620689655199</v>
      </c>
    </row>
    <row r="3238" spans="1:2">
      <c r="A3238" s="4501" t="s">
        <v>9969</v>
      </c>
      <c r="B3238" s="3">
        <v>2.8642413793103501</v>
      </c>
    </row>
    <row r="3239" spans="1:2">
      <c r="A3239" s="4501" t="s">
        <v>9970</v>
      </c>
      <c r="B3239" s="3">
        <v>2.85062068965517</v>
      </c>
    </row>
    <row r="3240" spans="1:2">
      <c r="A3240" s="4501" t="s">
        <v>9971</v>
      </c>
      <c r="B3240" s="3">
        <v>2.8370000000000002</v>
      </c>
    </row>
    <row r="3241" spans="1:2">
      <c r="A3241" s="4501" t="s">
        <v>9972</v>
      </c>
      <c r="B3241" s="3">
        <v>2.8359062499999999</v>
      </c>
    </row>
    <row r="3242" spans="1:2">
      <c r="A3242" s="4501" t="s">
        <v>9973</v>
      </c>
      <c r="B3242" s="3">
        <v>2.8348125</v>
      </c>
    </row>
    <row r="3243" spans="1:2">
      <c r="A3243" s="4501" t="s">
        <v>9974</v>
      </c>
      <c r="B3243" s="3">
        <v>2.8337187500000001</v>
      </c>
    </row>
    <row r="3244" spans="1:2">
      <c r="A3244" s="4501" t="s">
        <v>9975</v>
      </c>
      <c r="B3244" s="3">
        <v>2.8326250000000002</v>
      </c>
    </row>
    <row r="3245" spans="1:2">
      <c r="A3245" s="4501" t="s">
        <v>9976</v>
      </c>
      <c r="B3245" s="3">
        <v>2.8315312499999998</v>
      </c>
    </row>
    <row r="3246" spans="1:2">
      <c r="A3246" s="4501" t="s">
        <v>9977</v>
      </c>
      <c r="B3246" s="3">
        <v>2.8304374999999999</v>
      </c>
    </row>
    <row r="3247" spans="1:2">
      <c r="A3247" s="4501" t="s">
        <v>9978</v>
      </c>
      <c r="B3247" s="3">
        <v>2.82934375</v>
      </c>
    </row>
    <row r="3248" spans="1:2">
      <c r="A3248" s="4501" t="s">
        <v>9979</v>
      </c>
      <c r="B3248" s="3">
        <v>2.8282500000000002</v>
      </c>
    </row>
    <row r="3249" spans="1:2">
      <c r="A3249" s="4501" t="s">
        <v>9980</v>
      </c>
      <c r="B3249" s="3">
        <v>2.8271562499999998</v>
      </c>
    </row>
    <row r="3250" spans="1:2">
      <c r="A3250" s="4501" t="s">
        <v>9981</v>
      </c>
      <c r="B3250" s="3">
        <v>2.8260624999999999</v>
      </c>
    </row>
    <row r="3251" spans="1:2">
      <c r="A3251" s="4501" t="s">
        <v>9982</v>
      </c>
      <c r="B3251" s="3">
        <v>2.82496875</v>
      </c>
    </row>
    <row r="3252" spans="1:2">
      <c r="A3252" s="4501" t="s">
        <v>9983</v>
      </c>
      <c r="B3252" s="3">
        <v>2.8238750000000001</v>
      </c>
    </row>
    <row r="3253" spans="1:2">
      <c r="A3253" s="4501" t="s">
        <v>9984</v>
      </c>
      <c r="B3253" s="3">
        <v>2.8227812499999998</v>
      </c>
    </row>
    <row r="3254" spans="1:2">
      <c r="A3254" s="4501" t="s">
        <v>9985</v>
      </c>
      <c r="B3254" s="3">
        <v>2.8216874999999999</v>
      </c>
    </row>
    <row r="3255" spans="1:2">
      <c r="A3255" s="4501" t="s">
        <v>9986</v>
      </c>
      <c r="B3255" s="3">
        <v>2.82059375</v>
      </c>
    </row>
    <row r="3256" spans="1:2">
      <c r="A3256" s="4501" t="s">
        <v>9987</v>
      </c>
      <c r="B3256" s="3">
        <v>2.8195000000000001</v>
      </c>
    </row>
    <row r="3257" spans="1:2">
      <c r="A3257" s="4501" t="s">
        <v>9988</v>
      </c>
      <c r="B3257" s="3">
        <v>2.8184062499999998</v>
      </c>
    </row>
    <row r="3258" spans="1:2">
      <c r="A3258" s="4501" t="s">
        <v>9989</v>
      </c>
      <c r="B3258" s="3">
        <v>2.8173124999999999</v>
      </c>
    </row>
    <row r="3259" spans="1:2">
      <c r="A3259" s="4501" t="s">
        <v>9990</v>
      </c>
      <c r="B3259" s="3">
        <v>2.81621875</v>
      </c>
    </row>
    <row r="3260" spans="1:2">
      <c r="A3260" s="4501" t="s">
        <v>9991</v>
      </c>
      <c r="B3260" s="3">
        <v>2.8151250000000001</v>
      </c>
    </row>
    <row r="3261" spans="1:2">
      <c r="A3261" s="4501" t="s">
        <v>9992</v>
      </c>
      <c r="B3261" s="3">
        <v>2.8140312500000002</v>
      </c>
    </row>
    <row r="3262" spans="1:2">
      <c r="A3262" s="4501" t="s">
        <v>9993</v>
      </c>
      <c r="B3262" s="3">
        <v>2.8129374999999999</v>
      </c>
    </row>
    <row r="3263" spans="1:2">
      <c r="A3263" s="4501" t="s">
        <v>9994</v>
      </c>
      <c r="B3263" s="3">
        <v>2.81184375</v>
      </c>
    </row>
    <row r="3264" spans="1:2">
      <c r="A3264" s="4501" t="s">
        <v>9995</v>
      </c>
      <c r="B3264" s="3">
        <v>2.8107500000000001</v>
      </c>
    </row>
    <row r="3265" spans="1:2">
      <c r="A3265" s="4501" t="s">
        <v>9996</v>
      </c>
      <c r="B3265" s="3">
        <v>2.8096562500000002</v>
      </c>
    </row>
    <row r="3266" spans="1:2">
      <c r="A3266" s="4501" t="s">
        <v>9997</v>
      </c>
      <c r="B3266" s="3">
        <v>2.8085624999999999</v>
      </c>
    </row>
    <row r="3267" spans="1:2">
      <c r="A3267" s="4501" t="s">
        <v>9998</v>
      </c>
      <c r="B3267" s="3">
        <v>2.80746875</v>
      </c>
    </row>
    <row r="3268" spans="1:2">
      <c r="A3268" s="4501" t="s">
        <v>9999</v>
      </c>
      <c r="B3268" s="3">
        <v>2.8063750000000001</v>
      </c>
    </row>
    <row r="3269" spans="1:2">
      <c r="A3269" s="4501" t="s">
        <v>10000</v>
      </c>
      <c r="B3269" s="3">
        <v>2.8052812500000002</v>
      </c>
    </row>
    <row r="3270" spans="1:2">
      <c r="A3270" s="4501" t="s">
        <v>10001</v>
      </c>
      <c r="B3270" s="3">
        <v>2.8041874999999998</v>
      </c>
    </row>
    <row r="3271" spans="1:2">
      <c r="A3271" s="4501" t="s">
        <v>10002</v>
      </c>
      <c r="B3271" s="3">
        <v>2.8030937499999999</v>
      </c>
    </row>
    <row r="3272" spans="1:2">
      <c r="A3272" s="4501" t="s">
        <v>10003</v>
      </c>
      <c r="B3272" s="3">
        <v>2.802</v>
      </c>
    </row>
    <row r="3273" spans="1:2">
      <c r="A3273" s="4501" t="s">
        <v>10004</v>
      </c>
      <c r="B3273" s="3">
        <v>2.8035999999999999</v>
      </c>
    </row>
    <row r="3274" spans="1:2">
      <c r="A3274" s="4501" t="s">
        <v>10005</v>
      </c>
      <c r="B3274" s="3">
        <v>2.8052000000000001</v>
      </c>
    </row>
    <row r="3275" spans="1:2">
      <c r="A3275" s="4501" t="s">
        <v>10006</v>
      </c>
      <c r="B3275" s="3">
        <v>2.8068</v>
      </c>
    </row>
    <row r="3276" spans="1:2">
      <c r="A3276" s="4501" t="s">
        <v>10007</v>
      </c>
      <c r="B3276" s="3">
        <v>2.8083999999999998</v>
      </c>
    </row>
    <row r="3277" spans="1:2">
      <c r="A3277" s="4501" t="s">
        <v>10008</v>
      </c>
      <c r="B3277" s="3">
        <v>2.81</v>
      </c>
    </row>
    <row r="3278" spans="1:2">
      <c r="A3278" s="4501" t="s">
        <v>10009</v>
      </c>
      <c r="B3278" s="3">
        <v>2.8115999999999999</v>
      </c>
    </row>
    <row r="3279" spans="1:2">
      <c r="A3279" s="4501" t="s">
        <v>10010</v>
      </c>
      <c r="B3279" s="3">
        <v>2.8132000000000001</v>
      </c>
    </row>
    <row r="3280" spans="1:2">
      <c r="A3280" s="4501" t="s">
        <v>10011</v>
      </c>
      <c r="B3280" s="3">
        <v>2.8148</v>
      </c>
    </row>
    <row r="3281" spans="1:2">
      <c r="A3281" s="4501" t="s">
        <v>10012</v>
      </c>
      <c r="B3281" s="3">
        <v>2.8163999999999998</v>
      </c>
    </row>
    <row r="3282" spans="1:2">
      <c r="A3282" s="4501" t="s">
        <v>10013</v>
      </c>
      <c r="B3282" s="3">
        <v>2.8180000000000001</v>
      </c>
    </row>
    <row r="3283" spans="1:2">
      <c r="A3283" s="4501" t="s">
        <v>10014</v>
      </c>
      <c r="B3283" s="3">
        <v>2.8195999999999999</v>
      </c>
    </row>
    <row r="3284" spans="1:2">
      <c r="A3284" s="4501" t="s">
        <v>10015</v>
      </c>
      <c r="B3284" s="3">
        <v>2.8212000000000002</v>
      </c>
    </row>
    <row r="3285" spans="1:2">
      <c r="A3285" s="4501" t="s">
        <v>10016</v>
      </c>
      <c r="B3285" s="3">
        <v>2.8228</v>
      </c>
    </row>
    <row r="3286" spans="1:2">
      <c r="A3286" s="4501" t="s">
        <v>10017</v>
      </c>
      <c r="B3286" s="3">
        <v>2.8243999999999998</v>
      </c>
    </row>
    <row r="3287" spans="1:2">
      <c r="A3287" s="4501" t="s">
        <v>10018</v>
      </c>
      <c r="B3287" s="3">
        <v>2.8260000000000001</v>
      </c>
    </row>
    <row r="3288" spans="1:2">
      <c r="A3288" s="4501" t="s">
        <v>10019</v>
      </c>
      <c r="B3288" s="3">
        <v>2.8275999999999999</v>
      </c>
    </row>
    <row r="3289" spans="1:2">
      <c r="A3289" s="4501" t="s">
        <v>10020</v>
      </c>
      <c r="B3289" s="3">
        <v>2.8292000000000002</v>
      </c>
    </row>
    <row r="3290" spans="1:2">
      <c r="A3290" s="4501" t="s">
        <v>10021</v>
      </c>
      <c r="B3290" s="3">
        <v>2.8308</v>
      </c>
    </row>
    <row r="3291" spans="1:2">
      <c r="A3291" s="4501" t="s">
        <v>10022</v>
      </c>
      <c r="B3291" s="3">
        <v>2.8323999999999998</v>
      </c>
    </row>
    <row r="3292" spans="1:2">
      <c r="A3292" s="4501" t="s">
        <v>10023</v>
      </c>
      <c r="B3292" s="3">
        <v>2.8340000000000001</v>
      </c>
    </row>
    <row r="3293" spans="1:2">
      <c r="A3293" s="4501" t="s">
        <v>10024</v>
      </c>
      <c r="B3293" s="3">
        <v>2.8355999999999999</v>
      </c>
    </row>
    <row r="3294" spans="1:2">
      <c r="A3294" s="4501" t="s">
        <v>10025</v>
      </c>
      <c r="B3294" s="3">
        <v>2.8372000000000002</v>
      </c>
    </row>
    <row r="3295" spans="1:2">
      <c r="A3295" s="4501" t="s">
        <v>10026</v>
      </c>
      <c r="B3295" s="3">
        <v>2.8388</v>
      </c>
    </row>
    <row r="3296" spans="1:2">
      <c r="A3296" s="4501" t="s">
        <v>10027</v>
      </c>
      <c r="B3296" s="3">
        <v>2.8403999999999998</v>
      </c>
    </row>
    <row r="3297" spans="1:2">
      <c r="A3297" s="4501" t="s">
        <v>10028</v>
      </c>
      <c r="B3297" s="3">
        <v>2.8420000000000001</v>
      </c>
    </row>
    <row r="3298" spans="1:2">
      <c r="A3298" s="4501" t="s">
        <v>10029</v>
      </c>
      <c r="B3298" s="3">
        <v>2.8435999999999999</v>
      </c>
    </row>
    <row r="3299" spans="1:2">
      <c r="A3299" s="4501" t="s">
        <v>10030</v>
      </c>
      <c r="B3299" s="3">
        <v>2.8452000000000002</v>
      </c>
    </row>
    <row r="3300" spans="1:2">
      <c r="A3300" s="4501" t="s">
        <v>10031</v>
      </c>
      <c r="B3300" s="3">
        <v>2.8468</v>
      </c>
    </row>
    <row r="3301" spans="1:2">
      <c r="A3301" s="4501" t="s">
        <v>10032</v>
      </c>
      <c r="B3301" s="3">
        <v>2.8483999999999998</v>
      </c>
    </row>
    <row r="3302" spans="1:2">
      <c r="A3302" s="4501" t="s">
        <v>10033</v>
      </c>
      <c r="B3302" s="3">
        <v>2.85</v>
      </c>
    </row>
    <row r="3303" spans="1:2">
      <c r="A3303" s="4501" t="s">
        <v>10034</v>
      </c>
      <c r="B3303" s="3">
        <v>2.85165517241379</v>
      </c>
    </row>
    <row r="3304" spans="1:2">
      <c r="A3304" s="4501" t="s">
        <v>10035</v>
      </c>
      <c r="B3304" s="3">
        <v>2.8533103448275901</v>
      </c>
    </row>
    <row r="3305" spans="1:2">
      <c r="A3305" s="4501" t="s">
        <v>10036</v>
      </c>
      <c r="B3305" s="3">
        <v>2.8549655172413799</v>
      </c>
    </row>
    <row r="3306" spans="1:2">
      <c r="A3306" s="4501" t="s">
        <v>10037</v>
      </c>
      <c r="B3306" s="3">
        <v>2.8566206896551698</v>
      </c>
    </row>
    <row r="3307" spans="1:2">
      <c r="A3307" s="4501" t="s">
        <v>10038</v>
      </c>
      <c r="B3307" s="3">
        <v>2.8582758620689699</v>
      </c>
    </row>
    <row r="3308" spans="1:2">
      <c r="A3308" s="4501" t="s">
        <v>10039</v>
      </c>
      <c r="B3308" s="3">
        <v>2.8599310344827602</v>
      </c>
    </row>
    <row r="3309" spans="1:2">
      <c r="A3309" s="4501" t="s">
        <v>10040</v>
      </c>
      <c r="B3309" s="3">
        <v>2.8615862068965501</v>
      </c>
    </row>
    <row r="3310" spans="1:2">
      <c r="A3310" s="4501" t="s">
        <v>10041</v>
      </c>
      <c r="B3310" s="3">
        <v>2.86324137931034</v>
      </c>
    </row>
    <row r="3311" spans="1:2">
      <c r="A3311" s="4501" t="s">
        <v>10042</v>
      </c>
      <c r="B3311" s="3">
        <v>2.86489655172414</v>
      </c>
    </row>
    <row r="3312" spans="1:2">
      <c r="A3312" s="4501" t="s">
        <v>10043</v>
      </c>
      <c r="B3312" s="3">
        <v>2.8665517241379299</v>
      </c>
    </row>
    <row r="3313" spans="1:2">
      <c r="A3313" s="4501" t="s">
        <v>10044</v>
      </c>
      <c r="B3313" s="3">
        <v>2.8682068965517198</v>
      </c>
    </row>
    <row r="3314" spans="1:2">
      <c r="A3314" s="4501" t="s">
        <v>10045</v>
      </c>
      <c r="B3314" s="3">
        <v>2.8698620689655199</v>
      </c>
    </row>
    <row r="3315" spans="1:2">
      <c r="A3315" s="4501" t="s">
        <v>10046</v>
      </c>
      <c r="B3315" s="3">
        <v>2.8715172413793102</v>
      </c>
    </row>
    <row r="3316" spans="1:2">
      <c r="A3316" s="4501" t="s">
        <v>10047</v>
      </c>
      <c r="B3316" s="3">
        <v>2.8731724137931001</v>
      </c>
    </row>
    <row r="3317" spans="1:2">
      <c r="A3317" s="4501" t="s">
        <v>10048</v>
      </c>
      <c r="B3317" s="3">
        <v>2.8748275862069002</v>
      </c>
    </row>
    <row r="3318" spans="1:2">
      <c r="A3318" s="4501" t="s">
        <v>10049</v>
      </c>
      <c r="B3318" s="3">
        <v>2.87648275862069</v>
      </c>
    </row>
    <row r="3319" spans="1:2">
      <c r="A3319" s="4501" t="s">
        <v>10050</v>
      </c>
      <c r="B3319" s="3">
        <v>2.8781379310344799</v>
      </c>
    </row>
    <row r="3320" spans="1:2">
      <c r="A3320" s="4501" t="s">
        <v>10051</v>
      </c>
      <c r="B3320" s="3">
        <v>2.87979310344828</v>
      </c>
    </row>
    <row r="3321" spans="1:2">
      <c r="A3321" s="4501" t="s">
        <v>10052</v>
      </c>
      <c r="B3321" s="3">
        <v>2.8814482758620699</v>
      </c>
    </row>
    <row r="3322" spans="1:2">
      <c r="A3322" s="4501" t="s">
        <v>10053</v>
      </c>
      <c r="B3322" s="3">
        <v>2.8831034482758602</v>
      </c>
    </row>
    <row r="3323" spans="1:2">
      <c r="A3323" s="4501" t="s">
        <v>10054</v>
      </c>
      <c r="B3323" s="3">
        <v>2.8847586206896598</v>
      </c>
    </row>
    <row r="3324" spans="1:2">
      <c r="A3324" s="4501" t="s">
        <v>10055</v>
      </c>
      <c r="B3324" s="3">
        <v>2.8864137931034501</v>
      </c>
    </row>
    <row r="3325" spans="1:2">
      <c r="A3325" s="4501" t="s">
        <v>10056</v>
      </c>
      <c r="B3325" s="3">
        <v>2.88806896551724</v>
      </c>
    </row>
    <row r="3326" spans="1:2">
      <c r="A3326" s="4501" t="s">
        <v>10057</v>
      </c>
      <c r="B3326" s="3">
        <v>2.8897241379310299</v>
      </c>
    </row>
    <row r="3327" spans="1:2">
      <c r="A3327" s="4501" t="s">
        <v>10058</v>
      </c>
      <c r="B3327" s="3">
        <v>2.89137931034483</v>
      </c>
    </row>
    <row r="3328" spans="1:2">
      <c r="A3328" s="4501" t="s">
        <v>10059</v>
      </c>
      <c r="B3328" s="3">
        <v>2.8930344827586199</v>
      </c>
    </row>
    <row r="3329" spans="1:2">
      <c r="A3329" s="4501" t="s">
        <v>10060</v>
      </c>
      <c r="B3329" s="3">
        <v>2.8946896551724102</v>
      </c>
    </row>
    <row r="3330" spans="1:2">
      <c r="A3330" s="4501" t="s">
        <v>10061</v>
      </c>
      <c r="B3330" s="3">
        <v>2.8963448275862098</v>
      </c>
    </row>
    <row r="3331" spans="1:2">
      <c r="A3331" s="4501" t="s">
        <v>10062</v>
      </c>
      <c r="B3331" s="3">
        <v>2.8980000000000001</v>
      </c>
    </row>
    <row r="3332" spans="1:2">
      <c r="A3332" s="4501" t="s">
        <v>10063</v>
      </c>
      <c r="B3332" s="3">
        <v>2.8984545454545501</v>
      </c>
    </row>
    <row r="3333" spans="1:2">
      <c r="A3333" s="4501" t="s">
        <v>10064</v>
      </c>
      <c r="B3333" s="3">
        <v>2.8989090909090902</v>
      </c>
    </row>
    <row r="3334" spans="1:2">
      <c r="A3334" s="4501" t="s">
        <v>10065</v>
      </c>
      <c r="B3334" s="3">
        <v>2.8993636363636401</v>
      </c>
    </row>
    <row r="3335" spans="1:2">
      <c r="A3335" s="4501" t="s">
        <v>10066</v>
      </c>
      <c r="B3335" s="3">
        <v>2.8998181818181799</v>
      </c>
    </row>
    <row r="3336" spans="1:2">
      <c r="A3336" s="4501" t="s">
        <v>10067</v>
      </c>
      <c r="B3336" s="3">
        <v>2.9002727272727302</v>
      </c>
    </row>
    <row r="3337" spans="1:2">
      <c r="A3337" s="4501" t="s">
        <v>10068</v>
      </c>
      <c r="B3337" s="3">
        <v>2.9007272727272699</v>
      </c>
    </row>
    <row r="3338" spans="1:2">
      <c r="A3338" s="4501" t="s">
        <v>10069</v>
      </c>
      <c r="B3338" s="3">
        <v>2.9011818181818199</v>
      </c>
    </row>
    <row r="3339" spans="1:2">
      <c r="A3339" s="4501" t="s">
        <v>10070</v>
      </c>
      <c r="B3339" s="3">
        <v>2.90163636363636</v>
      </c>
    </row>
    <row r="3340" spans="1:2">
      <c r="A3340" s="4501" t="s">
        <v>10071</v>
      </c>
      <c r="B3340" s="3">
        <v>2.9020909090909099</v>
      </c>
    </row>
    <row r="3341" spans="1:2">
      <c r="A3341" s="4501" t="s">
        <v>10072</v>
      </c>
      <c r="B3341" s="3">
        <v>2.9025454545454501</v>
      </c>
    </row>
    <row r="3342" spans="1:2">
      <c r="A3342" s="4501" t="s">
        <v>10073</v>
      </c>
      <c r="B3342" s="3">
        <v>2.903</v>
      </c>
    </row>
    <row r="3343" spans="1:2">
      <c r="A3343" s="4501" t="s">
        <v>10074</v>
      </c>
      <c r="B3343" s="3">
        <v>2.90345454545455</v>
      </c>
    </row>
    <row r="3344" spans="1:2">
      <c r="A3344" s="4501" t="s">
        <v>10075</v>
      </c>
      <c r="B3344" s="3">
        <v>2.9039090909090901</v>
      </c>
    </row>
    <row r="3345" spans="1:2">
      <c r="A3345" s="4501" t="s">
        <v>10076</v>
      </c>
      <c r="B3345" s="3">
        <v>2.90436363636364</v>
      </c>
    </row>
    <row r="3346" spans="1:2">
      <c r="A3346" s="4501" t="s">
        <v>10077</v>
      </c>
      <c r="B3346" s="3">
        <v>2.9048181818181802</v>
      </c>
    </row>
    <row r="3347" spans="1:2">
      <c r="A3347" s="4501" t="s">
        <v>10078</v>
      </c>
      <c r="B3347" s="3">
        <v>2.9052727272727301</v>
      </c>
    </row>
    <row r="3348" spans="1:2">
      <c r="A3348" s="4501" t="s">
        <v>10079</v>
      </c>
      <c r="B3348" s="3">
        <v>2.9057272727272698</v>
      </c>
    </row>
    <row r="3349" spans="1:2">
      <c r="A3349" s="4501" t="s">
        <v>10080</v>
      </c>
      <c r="B3349" s="3">
        <v>2.9061818181818202</v>
      </c>
    </row>
    <row r="3350" spans="1:2">
      <c r="A3350" s="4501" t="s">
        <v>10081</v>
      </c>
      <c r="B3350" s="3">
        <v>2.9066363636363599</v>
      </c>
    </row>
    <row r="3351" spans="1:2">
      <c r="A3351" s="4501" t="s">
        <v>10082</v>
      </c>
      <c r="B3351" s="3">
        <v>2.9070909090909098</v>
      </c>
    </row>
    <row r="3352" spans="1:2">
      <c r="A3352" s="4501" t="s">
        <v>10083</v>
      </c>
      <c r="B3352" s="3">
        <v>2.90754545454545</v>
      </c>
    </row>
    <row r="3353" spans="1:2">
      <c r="A3353" s="4501" t="s">
        <v>10084</v>
      </c>
      <c r="B3353" s="3">
        <v>2.9079999999999999</v>
      </c>
    </row>
    <row r="3354" spans="1:2">
      <c r="A3354" s="4501" t="s">
        <v>10085</v>
      </c>
      <c r="B3354" s="3">
        <v>2.9084545454545498</v>
      </c>
    </row>
    <row r="3355" spans="1:2">
      <c r="A3355" s="4501" t="s">
        <v>10086</v>
      </c>
      <c r="B3355" s="3">
        <v>2.90890909090909</v>
      </c>
    </row>
    <row r="3356" spans="1:2">
      <c r="A3356" s="4501" t="s">
        <v>10087</v>
      </c>
      <c r="B3356" s="3">
        <v>2.9093636363636399</v>
      </c>
    </row>
    <row r="3357" spans="1:2">
      <c r="A3357" s="4501" t="s">
        <v>10088</v>
      </c>
      <c r="B3357" s="3">
        <v>2.9098181818181801</v>
      </c>
    </row>
    <row r="3358" spans="1:2">
      <c r="A3358" s="4501" t="s">
        <v>10089</v>
      </c>
      <c r="B3358" s="3">
        <v>2.91027272727273</v>
      </c>
    </row>
    <row r="3359" spans="1:2">
      <c r="A3359" s="4501" t="s">
        <v>10090</v>
      </c>
      <c r="B3359" s="3">
        <v>2.9107272727272702</v>
      </c>
    </row>
    <row r="3360" spans="1:2">
      <c r="A3360" s="4501" t="s">
        <v>10091</v>
      </c>
      <c r="B3360" s="3">
        <v>2.9111818181818201</v>
      </c>
    </row>
    <row r="3361" spans="1:2">
      <c r="A3361" s="4501" t="s">
        <v>10092</v>
      </c>
      <c r="B3361" s="3">
        <v>2.9116363636363598</v>
      </c>
    </row>
    <row r="3362" spans="1:2">
      <c r="A3362" s="4501" t="s">
        <v>10093</v>
      </c>
      <c r="B3362" s="3">
        <v>2.9120909090909102</v>
      </c>
    </row>
    <row r="3363" spans="1:2">
      <c r="A3363" s="4501" t="s">
        <v>10094</v>
      </c>
      <c r="B3363" s="3">
        <v>2.9125454545454499</v>
      </c>
    </row>
    <row r="3364" spans="1:2">
      <c r="A3364" s="4501" t="s">
        <v>10095</v>
      </c>
      <c r="B3364" s="3">
        <v>2.9129999999999998</v>
      </c>
    </row>
    <row r="3365" spans="1:2">
      <c r="A3365" s="4501" t="s">
        <v>10096</v>
      </c>
      <c r="B3365" s="3">
        <v>2.9126206896551698</v>
      </c>
    </row>
    <row r="3366" spans="1:2">
      <c r="A3366" s="4501" t="s">
        <v>10097</v>
      </c>
      <c r="B3366" s="3">
        <v>2.9122413793103399</v>
      </c>
    </row>
    <row r="3367" spans="1:2">
      <c r="A3367" s="4501" t="s">
        <v>10098</v>
      </c>
      <c r="B3367" s="3">
        <v>2.9118620689655201</v>
      </c>
    </row>
    <row r="3368" spans="1:2">
      <c r="A3368" s="4501" t="s">
        <v>10099</v>
      </c>
      <c r="B3368" s="3">
        <v>2.9114827586206902</v>
      </c>
    </row>
    <row r="3369" spans="1:2">
      <c r="A3369" s="4501" t="s">
        <v>10100</v>
      </c>
      <c r="B3369" s="3">
        <v>2.9111034482758602</v>
      </c>
    </row>
    <row r="3370" spans="1:2">
      <c r="A3370" s="4501" t="s">
        <v>10101</v>
      </c>
      <c r="B3370" s="3">
        <v>2.9107241379310298</v>
      </c>
    </row>
    <row r="3371" spans="1:2">
      <c r="A3371" s="4501" t="s">
        <v>10102</v>
      </c>
      <c r="B3371" s="3">
        <v>2.91034482758621</v>
      </c>
    </row>
    <row r="3372" spans="1:2">
      <c r="A3372" s="4501" t="s">
        <v>10103</v>
      </c>
      <c r="B3372" s="3">
        <v>2.9099655172413801</v>
      </c>
    </row>
    <row r="3373" spans="1:2">
      <c r="A3373" s="4501" t="s">
        <v>10104</v>
      </c>
      <c r="B3373" s="3">
        <v>2.9095862068965501</v>
      </c>
    </row>
    <row r="3374" spans="1:2">
      <c r="A3374" s="4501" t="s">
        <v>10105</v>
      </c>
      <c r="B3374" s="3">
        <v>2.9092068965517202</v>
      </c>
    </row>
    <row r="3375" spans="1:2">
      <c r="A3375" s="4501" t="s">
        <v>10106</v>
      </c>
      <c r="B3375" s="3">
        <v>2.9088275862069</v>
      </c>
    </row>
    <row r="3376" spans="1:2">
      <c r="A3376" s="4501" t="s">
        <v>10107</v>
      </c>
      <c r="B3376" s="3">
        <v>2.90844827586207</v>
      </c>
    </row>
    <row r="3377" spans="1:2">
      <c r="A3377" s="4501" t="s">
        <v>10108</v>
      </c>
      <c r="B3377" s="3">
        <v>2.90806896551724</v>
      </c>
    </row>
    <row r="3378" spans="1:2">
      <c r="A3378" s="4501" t="s">
        <v>10109</v>
      </c>
      <c r="B3378" s="3">
        <v>2.9076896551724101</v>
      </c>
    </row>
    <row r="3379" spans="1:2">
      <c r="A3379" s="4501" t="s">
        <v>10110</v>
      </c>
      <c r="B3379" s="3">
        <v>2.9073103448275899</v>
      </c>
    </row>
    <row r="3380" spans="1:2">
      <c r="A3380" s="4501" t="s">
        <v>10111</v>
      </c>
      <c r="B3380" s="3">
        <v>2.9069310344827599</v>
      </c>
    </row>
    <row r="3381" spans="1:2">
      <c r="A3381" s="4501" t="s">
        <v>10112</v>
      </c>
      <c r="B3381" s="3">
        <v>2.9065517241379299</v>
      </c>
    </row>
    <row r="3382" spans="1:2">
      <c r="A3382" s="4501" t="s">
        <v>10113</v>
      </c>
      <c r="B3382" s="3">
        <v>2.9061724137931</v>
      </c>
    </row>
    <row r="3383" spans="1:2">
      <c r="A3383" s="4501" t="s">
        <v>10114</v>
      </c>
      <c r="B3383" s="3">
        <v>2.9057931034482798</v>
      </c>
    </row>
    <row r="3384" spans="1:2">
      <c r="A3384" s="4501" t="s">
        <v>10115</v>
      </c>
      <c r="B3384" s="3">
        <v>2.9054137931034498</v>
      </c>
    </row>
    <row r="3385" spans="1:2">
      <c r="A3385" s="4501" t="s">
        <v>10116</v>
      </c>
      <c r="B3385" s="3">
        <v>2.9050344827586199</v>
      </c>
    </row>
    <row r="3386" spans="1:2">
      <c r="A3386" s="4501" t="s">
        <v>10117</v>
      </c>
      <c r="B3386" s="3">
        <v>2.9046551724137899</v>
      </c>
    </row>
    <row r="3387" spans="1:2">
      <c r="A3387" s="4501" t="s">
        <v>10118</v>
      </c>
      <c r="B3387" s="3">
        <v>2.9042758620689701</v>
      </c>
    </row>
    <row r="3388" spans="1:2">
      <c r="A3388" s="4501" t="s">
        <v>10119</v>
      </c>
      <c r="B3388" s="3">
        <v>2.9038965517241402</v>
      </c>
    </row>
    <row r="3389" spans="1:2">
      <c r="A3389" s="4501" t="s">
        <v>10120</v>
      </c>
      <c r="B3389" s="3">
        <v>2.9035172413793102</v>
      </c>
    </row>
    <row r="3390" spans="1:2">
      <c r="A3390" s="4501" t="s">
        <v>10121</v>
      </c>
      <c r="B3390" s="3">
        <v>2.9031379310344798</v>
      </c>
    </row>
    <row r="3391" spans="1:2">
      <c r="A3391" s="4501" t="s">
        <v>10122</v>
      </c>
      <c r="B3391" s="3">
        <v>2.9027586206896601</v>
      </c>
    </row>
    <row r="3392" spans="1:2">
      <c r="A3392" s="4501" t="s">
        <v>10123</v>
      </c>
      <c r="B3392" s="3">
        <v>2.9023793103448301</v>
      </c>
    </row>
    <row r="3393" spans="1:2">
      <c r="A3393" s="4501" t="s">
        <v>10124</v>
      </c>
      <c r="B3393" s="3">
        <v>2.9020000000000001</v>
      </c>
    </row>
    <row r="3394" spans="1:2">
      <c r="A3394" s="4501" t="s">
        <v>10125</v>
      </c>
      <c r="B3394" s="3">
        <v>2.9034</v>
      </c>
    </row>
    <row r="3395" spans="1:2">
      <c r="A3395" s="4501" t="s">
        <v>10126</v>
      </c>
      <c r="B3395" s="3">
        <v>2.9047999999999998</v>
      </c>
    </row>
    <row r="3396" spans="1:2">
      <c r="A3396" s="4501" t="s">
        <v>10127</v>
      </c>
      <c r="B3396" s="3">
        <v>2.9062000000000001</v>
      </c>
    </row>
    <row r="3397" spans="1:2">
      <c r="A3397" s="4501" t="s">
        <v>10128</v>
      </c>
      <c r="B3397" s="3">
        <v>2.9076</v>
      </c>
    </row>
    <row r="3398" spans="1:2">
      <c r="A3398" s="4501" t="s">
        <v>10129</v>
      </c>
      <c r="B3398" s="3">
        <v>2.9089999999999998</v>
      </c>
    </row>
    <row r="3399" spans="1:2">
      <c r="A3399" s="4501" t="s">
        <v>10130</v>
      </c>
      <c r="B3399" s="3">
        <v>2.9104000000000001</v>
      </c>
    </row>
    <row r="3400" spans="1:2">
      <c r="A3400" s="4501" t="s">
        <v>10131</v>
      </c>
      <c r="B3400" s="3">
        <v>2.9117999999999999</v>
      </c>
    </row>
    <row r="3401" spans="1:2">
      <c r="A3401" s="4501" t="s">
        <v>10132</v>
      </c>
      <c r="B3401" s="3">
        <v>2.9131999999999998</v>
      </c>
    </row>
    <row r="3402" spans="1:2">
      <c r="A3402" s="4501" t="s">
        <v>10133</v>
      </c>
      <c r="B3402" s="3">
        <v>2.9146000000000001</v>
      </c>
    </row>
    <row r="3403" spans="1:2">
      <c r="A3403" s="4501" t="s">
        <v>10134</v>
      </c>
      <c r="B3403" s="3">
        <v>2.9159999999999999</v>
      </c>
    </row>
    <row r="3404" spans="1:2">
      <c r="A3404" s="4501" t="s">
        <v>10135</v>
      </c>
      <c r="B3404" s="3">
        <v>2.9174000000000002</v>
      </c>
    </row>
    <row r="3405" spans="1:2">
      <c r="A3405" s="4501" t="s">
        <v>10136</v>
      </c>
      <c r="B3405" s="3">
        <v>2.9188000000000001</v>
      </c>
    </row>
    <row r="3406" spans="1:2">
      <c r="A3406" s="4501" t="s">
        <v>10137</v>
      </c>
      <c r="B3406" s="3">
        <v>2.9201999999999999</v>
      </c>
    </row>
    <row r="3407" spans="1:2">
      <c r="A3407" s="4501" t="s">
        <v>10138</v>
      </c>
      <c r="B3407" s="3">
        <v>2.9216000000000002</v>
      </c>
    </row>
    <row r="3408" spans="1:2">
      <c r="A3408" s="4501" t="s">
        <v>10139</v>
      </c>
      <c r="B3408" s="3">
        <v>2.923</v>
      </c>
    </row>
    <row r="3409" spans="1:2">
      <c r="A3409" s="4501" t="s">
        <v>10140</v>
      </c>
      <c r="B3409" s="3">
        <v>2.9243999999999999</v>
      </c>
    </row>
    <row r="3410" spans="1:2">
      <c r="A3410" s="4501" t="s">
        <v>10141</v>
      </c>
      <c r="B3410" s="3">
        <v>2.9258000000000002</v>
      </c>
    </row>
    <row r="3411" spans="1:2">
      <c r="A3411" s="4501" t="s">
        <v>10142</v>
      </c>
      <c r="B3411" s="3">
        <v>2.9272</v>
      </c>
    </row>
    <row r="3412" spans="1:2">
      <c r="A3412" s="4501" t="s">
        <v>10143</v>
      </c>
      <c r="B3412" s="3">
        <v>2.9285999999999999</v>
      </c>
    </row>
    <row r="3413" spans="1:2">
      <c r="A3413" s="4501" t="s">
        <v>10144</v>
      </c>
      <c r="B3413" s="3">
        <v>2.93</v>
      </c>
    </row>
    <row r="3414" spans="1:2">
      <c r="A3414" s="4501" t="s">
        <v>10145</v>
      </c>
      <c r="B3414" s="3">
        <v>2.9314</v>
      </c>
    </row>
    <row r="3415" spans="1:2">
      <c r="A3415" s="4501" t="s">
        <v>10146</v>
      </c>
      <c r="B3415" s="3">
        <v>2.9327999999999999</v>
      </c>
    </row>
    <row r="3416" spans="1:2">
      <c r="A3416" s="4501" t="s">
        <v>10147</v>
      </c>
      <c r="B3416" s="3">
        <v>2.9342000000000001</v>
      </c>
    </row>
    <row r="3417" spans="1:2">
      <c r="A3417" s="4501" t="s">
        <v>10148</v>
      </c>
      <c r="B3417" s="3">
        <v>2.9356</v>
      </c>
    </row>
    <row r="3418" spans="1:2">
      <c r="A3418" s="4501" t="s">
        <v>10149</v>
      </c>
      <c r="B3418" s="3">
        <v>2.9369999999999998</v>
      </c>
    </row>
    <row r="3419" spans="1:2">
      <c r="A3419" s="4501" t="s">
        <v>10150</v>
      </c>
      <c r="B3419" s="3">
        <v>2.9384000000000001</v>
      </c>
    </row>
    <row r="3420" spans="1:2">
      <c r="A3420" s="4501" t="s">
        <v>10151</v>
      </c>
      <c r="B3420" s="3">
        <v>2.9398</v>
      </c>
    </row>
    <row r="3421" spans="1:2">
      <c r="A3421" s="4501" t="s">
        <v>10152</v>
      </c>
      <c r="B3421" s="3">
        <v>2.9411999999999998</v>
      </c>
    </row>
    <row r="3422" spans="1:2">
      <c r="A3422" s="4501" t="s">
        <v>10153</v>
      </c>
      <c r="B3422" s="3">
        <v>2.9426000000000001</v>
      </c>
    </row>
    <row r="3423" spans="1:2">
      <c r="A3423" s="4501" t="s">
        <v>10154</v>
      </c>
      <c r="B3423" s="3">
        <v>2.944</v>
      </c>
    </row>
    <row r="3424" spans="1:2">
      <c r="A3424" s="4501" t="s">
        <v>10155</v>
      </c>
      <c r="B3424" s="3">
        <v>2.9481515151515199</v>
      </c>
    </row>
    <row r="3425" spans="1:2">
      <c r="A3425" s="4501" t="s">
        <v>10156</v>
      </c>
      <c r="B3425" s="3">
        <v>2.95230303030303</v>
      </c>
    </row>
    <row r="3426" spans="1:2">
      <c r="A3426" s="4501" t="s">
        <v>10157</v>
      </c>
      <c r="B3426" s="3">
        <v>2.9564545454545499</v>
      </c>
    </row>
    <row r="3427" spans="1:2">
      <c r="A3427" s="4501" t="s">
        <v>10158</v>
      </c>
      <c r="B3427" s="3">
        <v>2.96060606060606</v>
      </c>
    </row>
    <row r="3428" spans="1:2">
      <c r="A3428" s="4501" t="s">
        <v>10159</v>
      </c>
      <c r="B3428" s="3">
        <v>2.9647575757575799</v>
      </c>
    </row>
    <row r="3429" spans="1:2">
      <c r="A3429" s="4501" t="s">
        <v>10160</v>
      </c>
      <c r="B3429" s="3">
        <v>2.9689090909090901</v>
      </c>
    </row>
    <row r="3430" spans="1:2">
      <c r="A3430" s="4501" t="s">
        <v>10161</v>
      </c>
      <c r="B3430" s="3">
        <v>2.97306060606061</v>
      </c>
    </row>
    <row r="3431" spans="1:2">
      <c r="A3431" s="4501" t="s">
        <v>10162</v>
      </c>
      <c r="B3431" s="3">
        <v>2.9772121212121201</v>
      </c>
    </row>
    <row r="3432" spans="1:2">
      <c r="A3432" s="4501" t="s">
        <v>10163</v>
      </c>
      <c r="B3432" s="3">
        <v>2.98136363636364</v>
      </c>
    </row>
    <row r="3433" spans="1:2">
      <c r="A3433" s="4501" t="s">
        <v>10164</v>
      </c>
      <c r="B3433" s="3">
        <v>2.9855151515151501</v>
      </c>
    </row>
    <row r="3434" spans="1:2">
      <c r="A3434" s="4501" t="s">
        <v>10165</v>
      </c>
      <c r="B3434" s="3">
        <v>2.98966666666667</v>
      </c>
    </row>
    <row r="3435" spans="1:2">
      <c r="A3435" s="4501" t="s">
        <v>10166</v>
      </c>
      <c r="B3435" s="3">
        <v>2.9938181818181802</v>
      </c>
    </row>
    <row r="3436" spans="1:2">
      <c r="A3436" s="4501" t="s">
        <v>10167</v>
      </c>
      <c r="B3436" s="3">
        <v>2.9979696969697001</v>
      </c>
    </row>
    <row r="3437" spans="1:2">
      <c r="A3437" s="4501" t="s">
        <v>10168</v>
      </c>
      <c r="B3437" s="3">
        <v>3.0021212121212102</v>
      </c>
    </row>
    <row r="3438" spans="1:2">
      <c r="A3438" s="4501" t="s">
        <v>10169</v>
      </c>
      <c r="B3438" s="3">
        <v>3.0062727272727301</v>
      </c>
    </row>
    <row r="3439" spans="1:2">
      <c r="A3439" s="4501" t="s">
        <v>10170</v>
      </c>
      <c r="B3439" s="3">
        <v>3.0104242424242398</v>
      </c>
    </row>
    <row r="3440" spans="1:2">
      <c r="A3440" s="4501" t="s">
        <v>10171</v>
      </c>
      <c r="B3440" s="3">
        <v>3.0145757575757601</v>
      </c>
    </row>
    <row r="3441" spans="1:2">
      <c r="A3441" s="4501" t="s">
        <v>10172</v>
      </c>
      <c r="B3441" s="3">
        <v>3.0187272727272698</v>
      </c>
    </row>
    <row r="3442" spans="1:2">
      <c r="A3442" s="4501" t="s">
        <v>10173</v>
      </c>
      <c r="B3442" s="3">
        <v>3.0228787878787902</v>
      </c>
    </row>
    <row r="3443" spans="1:2">
      <c r="A3443" s="4501" t="s">
        <v>10174</v>
      </c>
      <c r="B3443" s="3">
        <v>3.0270303030302999</v>
      </c>
    </row>
    <row r="3444" spans="1:2">
      <c r="A3444" s="4501" t="s">
        <v>10175</v>
      </c>
      <c r="B3444" s="3">
        <v>3.0311818181818202</v>
      </c>
    </row>
    <row r="3445" spans="1:2">
      <c r="A3445" s="4501" t="s">
        <v>10176</v>
      </c>
      <c r="B3445" s="3">
        <v>3.0353333333333299</v>
      </c>
    </row>
    <row r="3446" spans="1:2">
      <c r="A3446" s="4501" t="s">
        <v>10177</v>
      </c>
      <c r="B3446" s="3">
        <v>3.0394848484848498</v>
      </c>
    </row>
    <row r="3447" spans="1:2">
      <c r="A3447" s="4501" t="s">
        <v>10178</v>
      </c>
      <c r="B3447" s="3">
        <v>3.0436363636363599</v>
      </c>
    </row>
    <row r="3448" spans="1:2">
      <c r="A3448" s="4501" t="s">
        <v>10179</v>
      </c>
      <c r="B3448" s="3">
        <v>3.0477878787878798</v>
      </c>
    </row>
    <row r="3449" spans="1:2">
      <c r="A3449" s="4501" t="s">
        <v>10180</v>
      </c>
      <c r="B3449" s="3">
        <v>3.05193939393939</v>
      </c>
    </row>
    <row r="3450" spans="1:2">
      <c r="A3450" s="4501" t="s">
        <v>10181</v>
      </c>
      <c r="B3450" s="3">
        <v>3.0560909090909099</v>
      </c>
    </row>
    <row r="3451" spans="1:2">
      <c r="A3451" s="4501" t="s">
        <v>10182</v>
      </c>
      <c r="B3451" s="3">
        <v>3.06024242424242</v>
      </c>
    </row>
    <row r="3452" spans="1:2">
      <c r="A3452" s="4501" t="s">
        <v>10183</v>
      </c>
      <c r="B3452" s="3">
        <v>3.0643939393939399</v>
      </c>
    </row>
    <row r="3453" spans="1:2">
      <c r="A3453" s="4501" t="s">
        <v>10184</v>
      </c>
      <c r="B3453" s="3">
        <v>3.06854545454545</v>
      </c>
    </row>
    <row r="3454" spans="1:2">
      <c r="A3454" s="4501" t="s">
        <v>10185</v>
      </c>
      <c r="B3454" s="3">
        <v>3.0726969696969699</v>
      </c>
    </row>
    <row r="3455" spans="1:2">
      <c r="A3455" s="4501" t="s">
        <v>10186</v>
      </c>
      <c r="B3455" s="3">
        <v>3.0768484848484801</v>
      </c>
    </row>
    <row r="3456" spans="1:2">
      <c r="A3456" s="4501" t="s">
        <v>10187</v>
      </c>
      <c r="B3456" s="3">
        <v>3.081</v>
      </c>
    </row>
    <row r="3457" spans="1:2">
      <c r="A3457" s="4501" t="s">
        <v>10188</v>
      </c>
      <c r="B3457" s="3">
        <v>3.0902962962962999</v>
      </c>
    </row>
    <row r="3458" spans="1:2">
      <c r="A3458" s="4501" t="s">
        <v>10189</v>
      </c>
      <c r="B3458" s="3">
        <v>3.09959259259259</v>
      </c>
    </row>
    <row r="3459" spans="1:2">
      <c r="A3459" s="4501" t="s">
        <v>10190</v>
      </c>
      <c r="B3459" s="3">
        <v>3.1088888888888899</v>
      </c>
    </row>
    <row r="3460" spans="1:2">
      <c r="A3460" s="4501" t="s">
        <v>10191</v>
      </c>
      <c r="B3460" s="3">
        <v>3.1181851851851801</v>
      </c>
    </row>
    <row r="3461" spans="1:2">
      <c r="A3461" s="4501" t="s">
        <v>10192</v>
      </c>
      <c r="B3461" s="3">
        <v>3.12748148148148</v>
      </c>
    </row>
    <row r="3462" spans="1:2">
      <c r="A3462" s="4501" t="s">
        <v>10193</v>
      </c>
      <c r="B3462" s="3">
        <v>3.1367777777777799</v>
      </c>
    </row>
    <row r="3463" spans="1:2">
      <c r="A3463" s="4501" t="s">
        <v>10194</v>
      </c>
      <c r="B3463" s="3">
        <v>3.14607407407407</v>
      </c>
    </row>
    <row r="3464" spans="1:2">
      <c r="A3464" s="4501" t="s">
        <v>10195</v>
      </c>
      <c r="B3464" s="3">
        <v>3.1553703703703699</v>
      </c>
    </row>
    <row r="3465" spans="1:2">
      <c r="A3465" s="4501" t="s">
        <v>10196</v>
      </c>
      <c r="B3465" s="3">
        <v>3.1646666666666698</v>
      </c>
    </row>
    <row r="3466" spans="1:2">
      <c r="A3466" s="4501" t="s">
        <v>10197</v>
      </c>
      <c r="B3466" s="3">
        <v>3.17396296296296</v>
      </c>
    </row>
    <row r="3467" spans="1:2">
      <c r="A3467" s="4501" t="s">
        <v>10198</v>
      </c>
      <c r="B3467" s="3">
        <v>3.1832592592592599</v>
      </c>
    </row>
    <row r="3468" spans="1:2">
      <c r="A3468" s="4501" t="s">
        <v>10199</v>
      </c>
      <c r="B3468" s="3">
        <v>3.1925555555555598</v>
      </c>
    </row>
    <row r="3469" spans="1:2">
      <c r="A3469" s="4501" t="s">
        <v>10200</v>
      </c>
      <c r="B3469" s="3">
        <v>3.20185185185185</v>
      </c>
    </row>
    <row r="3470" spans="1:2">
      <c r="A3470" s="4501" t="s">
        <v>10201</v>
      </c>
      <c r="B3470" s="3">
        <v>3.2111481481481499</v>
      </c>
    </row>
    <row r="3471" spans="1:2">
      <c r="A3471" s="4501" t="s">
        <v>10202</v>
      </c>
      <c r="B3471" s="3">
        <v>3.22044444444444</v>
      </c>
    </row>
    <row r="3472" spans="1:2">
      <c r="A3472" s="4501" t="s">
        <v>10203</v>
      </c>
      <c r="B3472" s="3">
        <v>3.2297407407407399</v>
      </c>
    </row>
    <row r="3473" spans="1:2">
      <c r="A3473" s="4501" t="s">
        <v>10204</v>
      </c>
      <c r="B3473" s="3">
        <v>3.2390370370370398</v>
      </c>
    </row>
    <row r="3474" spans="1:2">
      <c r="A3474" s="4501" t="s">
        <v>10205</v>
      </c>
      <c r="B3474" s="3">
        <v>3.24833333333333</v>
      </c>
    </row>
    <row r="3475" spans="1:2">
      <c r="A3475" s="4501" t="s">
        <v>10206</v>
      </c>
      <c r="B3475" s="3">
        <v>3.2576296296296299</v>
      </c>
    </row>
    <row r="3476" spans="1:2">
      <c r="A3476" s="4501" t="s">
        <v>10207</v>
      </c>
      <c r="B3476" s="3">
        <v>3.2669259259259298</v>
      </c>
    </row>
    <row r="3477" spans="1:2">
      <c r="A3477" s="4501" t="s">
        <v>10208</v>
      </c>
      <c r="B3477" s="3">
        <v>3.2762222222222199</v>
      </c>
    </row>
    <row r="3478" spans="1:2">
      <c r="A3478" s="4501" t="s">
        <v>10209</v>
      </c>
      <c r="B3478" s="3">
        <v>3.2855185185185198</v>
      </c>
    </row>
    <row r="3479" spans="1:2">
      <c r="A3479" s="4501" t="s">
        <v>10210</v>
      </c>
      <c r="B3479" s="3">
        <v>3.29481481481481</v>
      </c>
    </row>
    <row r="3480" spans="1:2">
      <c r="A3480" s="4501" t="s">
        <v>10211</v>
      </c>
      <c r="B3480" s="3">
        <v>3.3041111111111099</v>
      </c>
    </row>
    <row r="3481" spans="1:2">
      <c r="A3481" s="4501" t="s">
        <v>10212</v>
      </c>
      <c r="B3481" s="3">
        <v>3.3134074074074098</v>
      </c>
    </row>
    <row r="3482" spans="1:2">
      <c r="A3482" s="4501" t="s">
        <v>10213</v>
      </c>
      <c r="B3482" s="3">
        <v>3.3227037037036999</v>
      </c>
    </row>
    <row r="3483" spans="1:2">
      <c r="A3483" s="4501" t="s">
        <v>10214</v>
      </c>
      <c r="B3483" s="3">
        <v>3.3319999999999999</v>
      </c>
    </row>
    <row r="3484" spans="1:2">
      <c r="A3484" s="4501" t="s">
        <v>10215</v>
      </c>
      <c r="B3484" s="3">
        <v>3.3358235294117602</v>
      </c>
    </row>
    <row r="3485" spans="1:2">
      <c r="A3485" s="4501" t="s">
        <v>10216</v>
      </c>
      <c r="B3485" s="3">
        <v>3.3396470588235299</v>
      </c>
    </row>
    <row r="3486" spans="1:2">
      <c r="A3486" s="4501" t="s">
        <v>10217</v>
      </c>
      <c r="B3486" s="3">
        <v>3.3434705882352902</v>
      </c>
    </row>
    <row r="3487" spans="1:2">
      <c r="A3487" s="4501" t="s">
        <v>10218</v>
      </c>
      <c r="B3487" s="3">
        <v>3.3472941176470599</v>
      </c>
    </row>
    <row r="3488" spans="1:2">
      <c r="A3488" s="4501" t="s">
        <v>10219</v>
      </c>
      <c r="B3488" s="3">
        <v>3.3511176470588202</v>
      </c>
    </row>
    <row r="3489" spans="1:2">
      <c r="A3489" s="4501" t="s">
        <v>10220</v>
      </c>
      <c r="B3489" s="3">
        <v>3.3549411764705899</v>
      </c>
    </row>
    <row r="3490" spans="1:2">
      <c r="A3490" s="4501" t="s">
        <v>10221</v>
      </c>
      <c r="B3490" s="3">
        <v>3.3587647058823502</v>
      </c>
    </row>
    <row r="3491" spans="1:2">
      <c r="A3491" s="4501" t="s">
        <v>10222</v>
      </c>
      <c r="B3491" s="3">
        <v>3.3625882352941199</v>
      </c>
    </row>
    <row r="3492" spans="1:2">
      <c r="A3492" s="4501" t="s">
        <v>10223</v>
      </c>
      <c r="B3492" s="3">
        <v>3.3664117647058802</v>
      </c>
    </row>
    <row r="3493" spans="1:2">
      <c r="A3493" s="4501" t="s">
        <v>10224</v>
      </c>
      <c r="B3493" s="3">
        <v>3.3702352941176499</v>
      </c>
    </row>
    <row r="3494" spans="1:2">
      <c r="A3494" s="4501" t="s">
        <v>10225</v>
      </c>
      <c r="B3494" s="3">
        <v>3.3740588235294098</v>
      </c>
    </row>
    <row r="3495" spans="1:2">
      <c r="A3495" s="4501" t="s">
        <v>10226</v>
      </c>
      <c r="B3495" s="3">
        <v>3.3778823529411799</v>
      </c>
    </row>
    <row r="3496" spans="1:2">
      <c r="A3496" s="4501" t="s">
        <v>10227</v>
      </c>
      <c r="B3496" s="3">
        <v>3.3817058823529398</v>
      </c>
    </row>
    <row r="3497" spans="1:2">
      <c r="A3497" s="4501" t="s">
        <v>10228</v>
      </c>
      <c r="B3497" s="3">
        <v>3.3855294117647099</v>
      </c>
    </row>
    <row r="3498" spans="1:2">
      <c r="A3498" s="4501" t="s">
        <v>10229</v>
      </c>
      <c r="B3498" s="3">
        <v>3.3893529411764698</v>
      </c>
    </row>
    <row r="3499" spans="1:2">
      <c r="A3499" s="4501" t="s">
        <v>10230</v>
      </c>
      <c r="B3499" s="3">
        <v>3.3931764705882399</v>
      </c>
    </row>
    <row r="3500" spans="1:2">
      <c r="A3500" s="4501" t="s">
        <v>10231</v>
      </c>
      <c r="B3500" s="3">
        <v>3.3969999999999998</v>
      </c>
    </row>
    <row r="3501" spans="1:2">
      <c r="A3501" s="4501" t="s">
        <v>10232</v>
      </c>
      <c r="B3501" s="3">
        <v>3.4008235294117601</v>
      </c>
    </row>
    <row r="3502" spans="1:2">
      <c r="A3502" s="4501" t="s">
        <v>10233</v>
      </c>
      <c r="B3502" s="3">
        <v>3.4046470588235298</v>
      </c>
    </row>
    <row r="3503" spans="1:2">
      <c r="A3503" s="4501" t="s">
        <v>10234</v>
      </c>
      <c r="B3503" s="3">
        <v>3.4084705882352901</v>
      </c>
    </row>
    <row r="3504" spans="1:2">
      <c r="A3504" s="4501" t="s">
        <v>10235</v>
      </c>
      <c r="B3504" s="3">
        <v>3.4122941176470598</v>
      </c>
    </row>
    <row r="3505" spans="1:2">
      <c r="A3505" s="4501" t="s">
        <v>10236</v>
      </c>
      <c r="B3505" s="3">
        <v>3.4161176470588202</v>
      </c>
    </row>
    <row r="3506" spans="1:2">
      <c r="A3506" s="4501" t="s">
        <v>10237</v>
      </c>
      <c r="B3506" s="3">
        <v>3.4199411764705898</v>
      </c>
    </row>
    <row r="3507" spans="1:2">
      <c r="A3507" s="4501" t="s">
        <v>10238</v>
      </c>
      <c r="B3507" s="3">
        <v>3.4237647058823502</v>
      </c>
    </row>
    <row r="3508" spans="1:2">
      <c r="A3508" s="4501" t="s">
        <v>10239</v>
      </c>
      <c r="B3508" s="3">
        <v>3.4275882352941198</v>
      </c>
    </row>
    <row r="3509" spans="1:2">
      <c r="A3509" s="4501" t="s">
        <v>10240</v>
      </c>
      <c r="B3509" s="3">
        <v>3.4314117647058802</v>
      </c>
    </row>
    <row r="3510" spans="1:2">
      <c r="A3510" s="4501" t="s">
        <v>10241</v>
      </c>
      <c r="B3510" s="3">
        <v>3.4352352941176498</v>
      </c>
    </row>
    <row r="3511" spans="1:2">
      <c r="A3511" s="4501" t="s">
        <v>10242</v>
      </c>
      <c r="B3511" s="3">
        <v>3.4390588235294102</v>
      </c>
    </row>
    <row r="3512" spans="1:2">
      <c r="A3512" s="4501" t="s">
        <v>10243</v>
      </c>
      <c r="B3512" s="3">
        <v>3.4428823529411798</v>
      </c>
    </row>
    <row r="3513" spans="1:2">
      <c r="A3513" s="4501" t="s">
        <v>10244</v>
      </c>
      <c r="B3513" s="3">
        <v>3.4467058823529402</v>
      </c>
    </row>
    <row r="3514" spans="1:2">
      <c r="A3514" s="4501" t="s">
        <v>10245</v>
      </c>
      <c r="B3514" s="3">
        <v>3.4505294117647098</v>
      </c>
    </row>
    <row r="3515" spans="1:2">
      <c r="A3515" s="4501" t="s">
        <v>10246</v>
      </c>
      <c r="B3515" s="3">
        <v>3.4543529411764702</v>
      </c>
    </row>
    <row r="3516" spans="1:2">
      <c r="A3516" s="4501" t="s">
        <v>10247</v>
      </c>
      <c r="B3516" s="3">
        <v>3.4581764705882398</v>
      </c>
    </row>
    <row r="3517" spans="1:2">
      <c r="A3517" s="4501" t="s">
        <v>10248</v>
      </c>
      <c r="B3517" s="3">
        <v>3.4620000000000002</v>
      </c>
    </row>
    <row r="3518" spans="1:2">
      <c r="A3518" s="4501" t="s">
        <v>10249</v>
      </c>
      <c r="B3518" s="3">
        <v>3.4594999999999998</v>
      </c>
    </row>
    <row r="3519" spans="1:2">
      <c r="A3519" s="4501" t="s">
        <v>10250</v>
      </c>
      <c r="B3519" s="3">
        <v>3.4569999999999999</v>
      </c>
    </row>
    <row r="3520" spans="1:2">
      <c r="A3520" s="4501" t="s">
        <v>10251</v>
      </c>
      <c r="B3520" s="3">
        <v>3.4544999999999999</v>
      </c>
    </row>
    <row r="3521" spans="1:2">
      <c r="A3521" s="4501" t="s">
        <v>10252</v>
      </c>
      <c r="B3521" s="3">
        <v>3.452</v>
      </c>
    </row>
    <row r="3522" spans="1:2">
      <c r="A3522" s="4501" t="s">
        <v>10253</v>
      </c>
      <c r="B3522" s="3">
        <v>3.4495</v>
      </c>
    </row>
    <row r="3523" spans="1:2">
      <c r="A3523" s="4501" t="s">
        <v>10254</v>
      </c>
      <c r="B3523" s="3">
        <v>3.4470000000000001</v>
      </c>
    </row>
    <row r="3524" spans="1:2">
      <c r="A3524" s="4501" t="s">
        <v>10255</v>
      </c>
      <c r="B3524" s="3">
        <v>3.4445000000000001</v>
      </c>
    </row>
    <row r="3525" spans="1:2">
      <c r="A3525" s="4501" t="s">
        <v>10256</v>
      </c>
      <c r="B3525" s="3">
        <v>3.4420000000000002</v>
      </c>
    </row>
    <row r="3526" spans="1:2">
      <c r="A3526" s="4501" t="s">
        <v>10257</v>
      </c>
      <c r="B3526" s="3">
        <v>3.4394999999999998</v>
      </c>
    </row>
    <row r="3527" spans="1:2">
      <c r="A3527" s="4501" t="s">
        <v>10258</v>
      </c>
      <c r="B3527" s="3">
        <v>3.4369999999999998</v>
      </c>
    </row>
    <row r="3528" spans="1:2">
      <c r="A3528" s="4501" t="s">
        <v>10259</v>
      </c>
      <c r="B3528" s="3">
        <v>3.4344999999999999</v>
      </c>
    </row>
    <row r="3529" spans="1:2">
      <c r="A3529" s="4501" t="s">
        <v>10260</v>
      </c>
      <c r="B3529" s="3">
        <v>3.4319999999999999</v>
      </c>
    </row>
    <row r="3530" spans="1:2">
      <c r="A3530" s="4501" t="s">
        <v>10261</v>
      </c>
      <c r="B3530" s="3">
        <v>3.4295</v>
      </c>
    </row>
    <row r="3531" spans="1:2">
      <c r="A3531" s="4501" t="s">
        <v>10262</v>
      </c>
      <c r="B3531" s="3">
        <v>3.427</v>
      </c>
    </row>
    <row r="3532" spans="1:2">
      <c r="A3532" s="4501" t="s">
        <v>10263</v>
      </c>
      <c r="B3532" s="3">
        <v>3.4245000000000001</v>
      </c>
    </row>
    <row r="3533" spans="1:2">
      <c r="A3533" s="4501" t="s">
        <v>10264</v>
      </c>
      <c r="B3533" s="3">
        <v>3.4220000000000002</v>
      </c>
    </row>
    <row r="3534" spans="1:2">
      <c r="A3534" s="4501" t="s">
        <v>10265</v>
      </c>
      <c r="B3534" s="3">
        <v>3.4195000000000002</v>
      </c>
    </row>
    <row r="3535" spans="1:2">
      <c r="A3535" s="4501" t="s">
        <v>10266</v>
      </c>
      <c r="B3535" s="3">
        <v>3.4169999999999998</v>
      </c>
    </row>
    <row r="3536" spans="1:2">
      <c r="A3536" s="4501" t="s">
        <v>10267</v>
      </c>
      <c r="B3536" s="3">
        <v>3.4144999999999999</v>
      </c>
    </row>
    <row r="3537" spans="1:2">
      <c r="A3537" s="4501" t="s">
        <v>10268</v>
      </c>
      <c r="B3537" s="3">
        <v>3.4119999999999999</v>
      </c>
    </row>
    <row r="3538" spans="1:2">
      <c r="A3538" s="4501" t="s">
        <v>10269</v>
      </c>
      <c r="B3538" s="3">
        <v>3.4095</v>
      </c>
    </row>
    <row r="3539" spans="1:2">
      <c r="A3539" s="4501" t="s">
        <v>10270</v>
      </c>
      <c r="B3539" s="3">
        <v>3.407</v>
      </c>
    </row>
    <row r="3540" spans="1:2">
      <c r="A3540" s="4501" t="s">
        <v>10271</v>
      </c>
      <c r="B3540" s="3">
        <v>3.4045000000000001</v>
      </c>
    </row>
    <row r="3541" spans="1:2">
      <c r="A3541" s="4501" t="s">
        <v>10272</v>
      </c>
      <c r="B3541" s="3">
        <v>3.4020000000000001</v>
      </c>
    </row>
    <row r="3542" spans="1:2">
      <c r="A3542" s="4501" t="s">
        <v>10273</v>
      </c>
      <c r="B3542" s="3">
        <v>3.3995000000000002</v>
      </c>
    </row>
    <row r="3543" spans="1:2">
      <c r="A3543" s="4501" t="s">
        <v>10274</v>
      </c>
      <c r="B3543" s="3">
        <v>3.3969999999999998</v>
      </c>
    </row>
    <row r="3544" spans="1:2">
      <c r="A3544" s="4501" t="s">
        <v>10275</v>
      </c>
      <c r="B3544" s="3">
        <v>3.3944999999999999</v>
      </c>
    </row>
    <row r="3545" spans="1:2">
      <c r="A3545" s="4501" t="s">
        <v>10276</v>
      </c>
      <c r="B3545" s="3">
        <v>3.3919999999999999</v>
      </c>
    </row>
    <row r="3546" spans="1:2">
      <c r="A3546" s="4501" t="s">
        <v>10277</v>
      </c>
      <c r="B3546" s="3">
        <v>3.3895</v>
      </c>
    </row>
    <row r="3547" spans="1:2">
      <c r="A3547" s="4501" t="s">
        <v>10278</v>
      </c>
      <c r="B3547" s="3">
        <v>3.387</v>
      </c>
    </row>
    <row r="3548" spans="1:2">
      <c r="A3548" s="4501" t="s">
        <v>10279</v>
      </c>
      <c r="B3548" s="3">
        <v>3.3805714285714301</v>
      </c>
    </row>
    <row r="3549" spans="1:2">
      <c r="A3549" s="4501" t="s">
        <v>10280</v>
      </c>
      <c r="B3549" s="3">
        <v>3.3741428571428602</v>
      </c>
    </row>
    <row r="3550" spans="1:2">
      <c r="A3550" s="4501" t="s">
        <v>10281</v>
      </c>
      <c r="B3550" s="3">
        <v>3.3677142857142899</v>
      </c>
    </row>
    <row r="3551" spans="1:2">
      <c r="A3551" s="4501" t="s">
        <v>10282</v>
      </c>
      <c r="B3551" s="3">
        <v>3.3612857142857102</v>
      </c>
    </row>
    <row r="3552" spans="1:2">
      <c r="A3552" s="4501" t="s">
        <v>10283</v>
      </c>
      <c r="B3552" s="3">
        <v>3.3548571428571399</v>
      </c>
    </row>
    <row r="3553" spans="1:2">
      <c r="A3553" s="4501" t="s">
        <v>10284</v>
      </c>
      <c r="B3553" s="3">
        <v>3.34842857142857</v>
      </c>
    </row>
    <row r="3554" spans="1:2">
      <c r="A3554" s="4501" t="s">
        <v>10285</v>
      </c>
      <c r="B3554" s="3">
        <v>3.3420000000000001</v>
      </c>
    </row>
    <row r="3555" spans="1:2">
      <c r="A3555" s="4501" t="s">
        <v>10286</v>
      </c>
      <c r="B3555" s="3">
        <v>3.3355714285714302</v>
      </c>
    </row>
    <row r="3556" spans="1:2">
      <c r="A3556" s="4501" t="s">
        <v>10287</v>
      </c>
      <c r="B3556" s="3">
        <v>3.3291428571428598</v>
      </c>
    </row>
    <row r="3557" spans="1:2">
      <c r="A3557" s="4501" t="s">
        <v>10288</v>
      </c>
      <c r="B3557" s="3">
        <v>3.32271428571429</v>
      </c>
    </row>
    <row r="3558" spans="1:2">
      <c r="A3558" s="4501" t="s">
        <v>10289</v>
      </c>
      <c r="B3558" s="3">
        <v>3.3162857142857098</v>
      </c>
    </row>
    <row r="3559" spans="1:2">
      <c r="A3559" s="4501" t="s">
        <v>10290</v>
      </c>
      <c r="B3559" s="3">
        <v>3.3098571428571399</v>
      </c>
    </row>
    <row r="3560" spans="1:2">
      <c r="A3560" s="4501" t="s">
        <v>10291</v>
      </c>
      <c r="B3560" s="3">
        <v>3.30342857142857</v>
      </c>
    </row>
    <row r="3561" spans="1:2">
      <c r="A3561" s="4501" t="s">
        <v>10292</v>
      </c>
      <c r="B3561" s="3">
        <v>3.2970000000000002</v>
      </c>
    </row>
    <row r="3562" spans="1:2">
      <c r="A3562" s="4501" t="s">
        <v>10293</v>
      </c>
      <c r="B3562" s="3">
        <v>3.2905714285714298</v>
      </c>
    </row>
    <row r="3563" spans="1:2">
      <c r="A3563" s="4501" t="s">
        <v>10294</v>
      </c>
      <c r="B3563" s="3">
        <v>3.2841428571428599</v>
      </c>
    </row>
    <row r="3564" spans="1:2">
      <c r="A3564" s="4501" t="s">
        <v>10295</v>
      </c>
      <c r="B3564" s="3">
        <v>3.27771428571429</v>
      </c>
    </row>
    <row r="3565" spans="1:2">
      <c r="A3565" s="4501" t="s">
        <v>10296</v>
      </c>
      <c r="B3565" s="3">
        <v>3.2712857142857099</v>
      </c>
    </row>
    <row r="3566" spans="1:2">
      <c r="A3566" s="4501" t="s">
        <v>10297</v>
      </c>
      <c r="B3566" s="3">
        <v>3.26485714285714</v>
      </c>
    </row>
    <row r="3567" spans="1:2">
      <c r="A3567" s="4501" t="s">
        <v>10298</v>
      </c>
      <c r="B3567" s="3">
        <v>3.2584285714285701</v>
      </c>
    </row>
    <row r="3568" spans="1:2">
      <c r="A3568" s="4501" t="s">
        <v>10299</v>
      </c>
      <c r="B3568" s="3">
        <v>3.2519999999999998</v>
      </c>
    </row>
    <row r="3569" spans="1:2">
      <c r="A3569" s="4501" t="s">
        <v>10300</v>
      </c>
      <c r="B3569" s="3">
        <v>3.2455714285714299</v>
      </c>
    </row>
    <row r="3570" spans="1:2">
      <c r="A3570" s="4501" t="s">
        <v>10301</v>
      </c>
      <c r="B3570" s="3">
        <v>3.23914285714286</v>
      </c>
    </row>
    <row r="3571" spans="1:2">
      <c r="A3571" s="4501" t="s">
        <v>10302</v>
      </c>
      <c r="B3571" s="3">
        <v>3.2327142857142901</v>
      </c>
    </row>
    <row r="3572" spans="1:2">
      <c r="A3572" s="4501" t="s">
        <v>10303</v>
      </c>
      <c r="B3572" s="3">
        <v>3.22628571428571</v>
      </c>
    </row>
    <row r="3573" spans="1:2">
      <c r="A3573" s="4501" t="s">
        <v>10304</v>
      </c>
      <c r="B3573" s="3">
        <v>3.2198571428571401</v>
      </c>
    </row>
    <row r="3574" spans="1:2">
      <c r="A3574" s="4501" t="s">
        <v>10305</v>
      </c>
      <c r="B3574" s="3">
        <v>3.2134285714285702</v>
      </c>
    </row>
    <row r="3575" spans="1:2">
      <c r="A3575" s="4501" t="s">
        <v>10306</v>
      </c>
      <c r="B3575" s="3">
        <v>3.2069999999999999</v>
      </c>
    </row>
    <row r="3576" spans="1:2">
      <c r="A3576" s="4501" t="s">
        <v>10307</v>
      </c>
      <c r="B3576" s="3">
        <v>3.1936666666666702</v>
      </c>
    </row>
    <row r="3577" spans="1:2">
      <c r="A3577" s="4501" t="s">
        <v>10308</v>
      </c>
      <c r="B3577" s="3">
        <v>3.1803333333333299</v>
      </c>
    </row>
    <row r="3578" spans="1:2">
      <c r="A3578" s="4501" t="s">
        <v>10309</v>
      </c>
      <c r="B3578" s="3">
        <v>3.1669999999999998</v>
      </c>
    </row>
    <row r="3579" spans="1:2">
      <c r="A3579" s="4501" t="s">
        <v>10310</v>
      </c>
      <c r="B3579" s="3">
        <v>3.1536666666666702</v>
      </c>
    </row>
    <row r="3580" spans="1:2">
      <c r="A3580" s="4501" t="s">
        <v>10311</v>
      </c>
      <c r="B3580" s="3">
        <v>3.1403333333333299</v>
      </c>
    </row>
    <row r="3581" spans="1:2">
      <c r="A3581" s="4501" t="s">
        <v>10312</v>
      </c>
      <c r="B3581" s="3">
        <v>3.1269999999999998</v>
      </c>
    </row>
    <row r="3582" spans="1:2">
      <c r="A3582" s="4501" t="s">
        <v>10313</v>
      </c>
      <c r="B3582" s="3">
        <v>3.1136666666666701</v>
      </c>
    </row>
    <row r="3583" spans="1:2">
      <c r="A3583" s="4501" t="s">
        <v>10314</v>
      </c>
      <c r="B3583" s="3">
        <v>3.1003333333333298</v>
      </c>
    </row>
    <row r="3584" spans="1:2">
      <c r="A3584" s="4501" t="s">
        <v>10315</v>
      </c>
      <c r="B3584" s="3">
        <v>3.0870000000000002</v>
      </c>
    </row>
    <row r="3585" spans="1:2">
      <c r="A3585" s="4501" t="s">
        <v>10316</v>
      </c>
      <c r="B3585" s="3">
        <v>3.0736666666666701</v>
      </c>
    </row>
    <row r="3586" spans="1:2">
      <c r="A3586" s="4501" t="s">
        <v>10317</v>
      </c>
      <c r="B3586" s="3">
        <v>3.0603333333333298</v>
      </c>
    </row>
    <row r="3587" spans="1:2">
      <c r="A3587" s="4501" t="s">
        <v>10318</v>
      </c>
      <c r="B3587" s="3">
        <v>3.0470000000000002</v>
      </c>
    </row>
    <row r="3588" spans="1:2">
      <c r="A3588" s="4501" t="s">
        <v>10319</v>
      </c>
      <c r="B3588" s="3">
        <v>3.0336666666666701</v>
      </c>
    </row>
    <row r="3589" spans="1:2">
      <c r="A3589" s="4501" t="s">
        <v>10320</v>
      </c>
      <c r="B3589" s="3">
        <v>3.0203333333333302</v>
      </c>
    </row>
    <row r="3590" spans="1:2">
      <c r="A3590" s="4501" t="s">
        <v>10321</v>
      </c>
      <c r="B3590" s="3">
        <v>3.0070000000000001</v>
      </c>
    </row>
    <row r="3591" spans="1:2">
      <c r="A3591" s="4501" t="s">
        <v>10322</v>
      </c>
      <c r="B3591" s="3">
        <v>2.99366666666667</v>
      </c>
    </row>
    <row r="3592" spans="1:2">
      <c r="A3592" s="4501" t="s">
        <v>10323</v>
      </c>
      <c r="B3592" s="3">
        <v>2.9803333333333302</v>
      </c>
    </row>
    <row r="3593" spans="1:2">
      <c r="A3593" s="4501" t="s">
        <v>10324</v>
      </c>
      <c r="B3593" s="3">
        <v>2.9670000000000001</v>
      </c>
    </row>
    <row r="3594" spans="1:2">
      <c r="A3594" s="4501" t="s">
        <v>10325</v>
      </c>
      <c r="B3594" s="3">
        <v>2.95366666666667</v>
      </c>
    </row>
    <row r="3595" spans="1:2">
      <c r="A3595" s="4501" t="s">
        <v>10326</v>
      </c>
      <c r="B3595" s="3">
        <v>2.9403333333333301</v>
      </c>
    </row>
    <row r="3596" spans="1:2">
      <c r="A3596" s="4501" t="s">
        <v>10327</v>
      </c>
      <c r="B3596" s="3">
        <v>2.927</v>
      </c>
    </row>
    <row r="3597" spans="1:2">
      <c r="A3597" s="4501" t="s">
        <v>10328</v>
      </c>
      <c r="B3597" s="3">
        <v>2.91366666666667</v>
      </c>
    </row>
    <row r="3598" spans="1:2">
      <c r="A3598" s="4501" t="s">
        <v>10329</v>
      </c>
      <c r="B3598" s="3">
        <v>2.9003333333333301</v>
      </c>
    </row>
    <row r="3599" spans="1:2">
      <c r="A3599" s="4501" t="s">
        <v>10330</v>
      </c>
      <c r="B3599" s="3">
        <v>2.887</v>
      </c>
    </row>
    <row r="3600" spans="1:2">
      <c r="A3600" s="4501" t="s">
        <v>10331</v>
      </c>
      <c r="B3600" s="3">
        <v>2.8736666666666699</v>
      </c>
    </row>
    <row r="3601" spans="1:2">
      <c r="A3601" s="4501" t="s">
        <v>10332</v>
      </c>
      <c r="B3601" s="3">
        <v>2.8603333333333301</v>
      </c>
    </row>
    <row r="3602" spans="1:2">
      <c r="A3602" s="4501" t="s">
        <v>10333</v>
      </c>
      <c r="B3602" s="3">
        <v>2.847</v>
      </c>
    </row>
    <row r="3603" spans="1:2">
      <c r="A3603" s="4501" t="s">
        <v>10334</v>
      </c>
      <c r="B3603" s="3">
        <v>2.8336666666666699</v>
      </c>
    </row>
    <row r="3604" spans="1:2">
      <c r="A3604" s="4501" t="s">
        <v>10335</v>
      </c>
      <c r="B3604" s="3">
        <v>2.82033333333333</v>
      </c>
    </row>
    <row r="3605" spans="1:2">
      <c r="A3605" s="4501" t="s">
        <v>10336</v>
      </c>
      <c r="B3605" s="3">
        <v>2.8069999999999999</v>
      </c>
    </row>
    <row r="3606" spans="1:2">
      <c r="A3606" s="4501" t="s">
        <v>10337</v>
      </c>
      <c r="B3606" s="3">
        <v>2.80590625</v>
      </c>
    </row>
    <row r="3607" spans="1:2">
      <c r="A3607" s="4501" t="s">
        <v>10338</v>
      </c>
      <c r="B3607" s="3">
        <v>2.8048125000000002</v>
      </c>
    </row>
    <row r="3608" spans="1:2">
      <c r="A3608" s="4501" t="s">
        <v>10339</v>
      </c>
      <c r="B3608" s="3">
        <v>2.8037187499999998</v>
      </c>
    </row>
    <row r="3609" spans="1:2">
      <c r="A3609" s="4501" t="s">
        <v>10340</v>
      </c>
      <c r="B3609" s="3">
        <v>2.8026249999999999</v>
      </c>
    </row>
    <row r="3610" spans="1:2">
      <c r="A3610" s="4501" t="s">
        <v>10341</v>
      </c>
      <c r="B3610" s="3">
        <v>2.80153125</v>
      </c>
    </row>
    <row r="3611" spans="1:2">
      <c r="A3611" s="4501" t="s">
        <v>10342</v>
      </c>
      <c r="B3611" s="3">
        <v>2.8004375000000001</v>
      </c>
    </row>
    <row r="3612" spans="1:2">
      <c r="A3612" s="4501" t="s">
        <v>10343</v>
      </c>
      <c r="B3612" s="3">
        <v>2.7993437499999998</v>
      </c>
    </row>
    <row r="3613" spans="1:2">
      <c r="A3613" s="4501" t="s">
        <v>10344</v>
      </c>
      <c r="B3613" s="3">
        <v>2.7982499999999999</v>
      </c>
    </row>
    <row r="3614" spans="1:2">
      <c r="A3614" s="4501" t="s">
        <v>10345</v>
      </c>
      <c r="B3614" s="3">
        <v>2.79715625</v>
      </c>
    </row>
    <row r="3615" spans="1:2">
      <c r="A3615" s="4501" t="s">
        <v>10346</v>
      </c>
      <c r="B3615" s="3">
        <v>2.7960625000000001</v>
      </c>
    </row>
    <row r="3616" spans="1:2">
      <c r="A3616" s="4501" t="s">
        <v>10347</v>
      </c>
      <c r="B3616" s="3">
        <v>2.7949687499999998</v>
      </c>
    </row>
    <row r="3617" spans="1:2">
      <c r="A3617" s="4501" t="s">
        <v>10348</v>
      </c>
      <c r="B3617" s="3">
        <v>2.7938749999999999</v>
      </c>
    </row>
    <row r="3618" spans="1:2">
      <c r="A3618" s="4501" t="s">
        <v>10349</v>
      </c>
      <c r="B3618" s="3">
        <v>2.79278125</v>
      </c>
    </row>
    <row r="3619" spans="1:2">
      <c r="A3619" s="4501" t="s">
        <v>10350</v>
      </c>
      <c r="B3619" s="3">
        <v>2.7916875000000001</v>
      </c>
    </row>
    <row r="3620" spans="1:2">
      <c r="A3620" s="4501" t="s">
        <v>10351</v>
      </c>
      <c r="B3620" s="3">
        <v>2.7905937500000002</v>
      </c>
    </row>
    <row r="3621" spans="1:2">
      <c r="A3621" s="4501" t="s">
        <v>10352</v>
      </c>
      <c r="B3621" s="3">
        <v>2.7894999999999999</v>
      </c>
    </row>
    <row r="3622" spans="1:2">
      <c r="A3622" s="4501" t="s">
        <v>10353</v>
      </c>
      <c r="B3622" s="3">
        <v>2.78840625</v>
      </c>
    </row>
    <row r="3623" spans="1:2">
      <c r="A3623" s="4501" t="s">
        <v>10354</v>
      </c>
      <c r="B3623" s="3">
        <v>2.7873125000000001</v>
      </c>
    </row>
    <row r="3624" spans="1:2">
      <c r="A3624" s="4501" t="s">
        <v>10355</v>
      </c>
      <c r="B3624" s="3">
        <v>2.7862187500000002</v>
      </c>
    </row>
    <row r="3625" spans="1:2">
      <c r="A3625" s="4501" t="s">
        <v>10356</v>
      </c>
      <c r="B3625" s="3">
        <v>2.7851249999999999</v>
      </c>
    </row>
    <row r="3626" spans="1:2">
      <c r="A3626" s="4501" t="s">
        <v>10357</v>
      </c>
      <c r="B3626" s="3">
        <v>2.78403125</v>
      </c>
    </row>
    <row r="3627" spans="1:2">
      <c r="A3627" s="4501" t="s">
        <v>10358</v>
      </c>
      <c r="B3627" s="3">
        <v>2.7829375000000001</v>
      </c>
    </row>
    <row r="3628" spans="1:2">
      <c r="A3628" s="4501" t="s">
        <v>10359</v>
      </c>
      <c r="B3628" s="3">
        <v>2.7818437500000002</v>
      </c>
    </row>
    <row r="3629" spans="1:2">
      <c r="A3629" s="4501" t="s">
        <v>10360</v>
      </c>
      <c r="B3629" s="3">
        <v>2.7807499999999998</v>
      </c>
    </row>
    <row r="3630" spans="1:2">
      <c r="A3630" s="4501" t="s">
        <v>10361</v>
      </c>
      <c r="B3630" s="3">
        <v>2.7796562499999999</v>
      </c>
    </row>
    <row r="3631" spans="1:2">
      <c r="A3631" s="4501" t="s">
        <v>10362</v>
      </c>
      <c r="B3631" s="3">
        <v>2.7785625</v>
      </c>
    </row>
    <row r="3632" spans="1:2">
      <c r="A3632" s="4501" t="s">
        <v>10363</v>
      </c>
      <c r="B3632" s="3">
        <v>2.7774687500000002</v>
      </c>
    </row>
    <row r="3633" spans="1:2">
      <c r="A3633" s="4501" t="s">
        <v>10364</v>
      </c>
      <c r="B3633" s="3">
        <v>2.7763749999999998</v>
      </c>
    </row>
    <row r="3634" spans="1:2">
      <c r="A3634" s="4501" t="s">
        <v>10365</v>
      </c>
      <c r="B3634" s="3">
        <v>2.7752812499999999</v>
      </c>
    </row>
    <row r="3635" spans="1:2">
      <c r="A3635" s="4501" t="s">
        <v>10366</v>
      </c>
      <c r="B3635" s="3">
        <v>2.7741875</v>
      </c>
    </row>
    <row r="3636" spans="1:2">
      <c r="A3636" s="4501" t="s">
        <v>10367</v>
      </c>
      <c r="B3636" s="3">
        <v>2.7730937500000001</v>
      </c>
    </row>
    <row r="3637" spans="1:2">
      <c r="A3637" s="4501" t="s">
        <v>10368</v>
      </c>
      <c r="B3637" s="3">
        <v>2.7719999999999998</v>
      </c>
    </row>
    <row r="3638" spans="1:2">
      <c r="A3638" s="4501" t="s">
        <v>10369</v>
      </c>
      <c r="B3638" s="3">
        <v>2.77358620689655</v>
      </c>
    </row>
    <row r="3639" spans="1:2">
      <c r="A3639" s="4501" t="s">
        <v>10370</v>
      </c>
      <c r="B3639" s="3">
        <v>2.7751724137931002</v>
      </c>
    </row>
    <row r="3640" spans="1:2">
      <c r="A3640" s="4501" t="s">
        <v>10371</v>
      </c>
      <c r="B3640" s="3">
        <v>2.77675862068965</v>
      </c>
    </row>
    <row r="3641" spans="1:2">
      <c r="A3641" s="4501" t="s">
        <v>10372</v>
      </c>
      <c r="B3641" s="3">
        <v>2.7783448275862099</v>
      </c>
    </row>
    <row r="3642" spans="1:2">
      <c r="A3642" s="4501" t="s">
        <v>10373</v>
      </c>
      <c r="B3642" s="3">
        <v>2.7799310344827601</v>
      </c>
    </row>
    <row r="3643" spans="1:2">
      <c r="A3643" s="4501" t="s">
        <v>10374</v>
      </c>
      <c r="B3643" s="3">
        <v>2.7815172413793099</v>
      </c>
    </row>
    <row r="3644" spans="1:2">
      <c r="A3644" s="4501" t="s">
        <v>10375</v>
      </c>
      <c r="B3644" s="3">
        <v>2.7831034482758601</v>
      </c>
    </row>
    <row r="3645" spans="1:2">
      <c r="A3645" s="4501" t="s">
        <v>10376</v>
      </c>
      <c r="B3645" s="3">
        <v>2.7846896551724099</v>
      </c>
    </row>
    <row r="3646" spans="1:2">
      <c r="A3646" s="4501" t="s">
        <v>10377</v>
      </c>
      <c r="B3646" s="3">
        <v>2.7862758620689698</v>
      </c>
    </row>
    <row r="3647" spans="1:2">
      <c r="A3647" s="4501" t="s">
        <v>10378</v>
      </c>
      <c r="B3647" s="3">
        <v>2.78786206896552</v>
      </c>
    </row>
    <row r="3648" spans="1:2">
      <c r="A3648" s="4501" t="s">
        <v>10379</v>
      </c>
      <c r="B3648" s="3">
        <v>2.7894482758620698</v>
      </c>
    </row>
    <row r="3649" spans="1:2">
      <c r="A3649" s="4501" t="s">
        <v>10380</v>
      </c>
      <c r="B3649" s="3">
        <v>2.79103448275862</v>
      </c>
    </row>
    <row r="3650" spans="1:2">
      <c r="A3650" s="4501" t="s">
        <v>10381</v>
      </c>
      <c r="B3650" s="3">
        <v>2.7926206896551702</v>
      </c>
    </row>
    <row r="3651" spans="1:2">
      <c r="A3651" s="4501" t="s">
        <v>10382</v>
      </c>
      <c r="B3651" s="3">
        <v>2.7942068965517199</v>
      </c>
    </row>
    <row r="3652" spans="1:2">
      <c r="A3652" s="4501" t="s">
        <v>10383</v>
      </c>
      <c r="B3652" s="3">
        <v>2.7957931034482799</v>
      </c>
    </row>
    <row r="3653" spans="1:2">
      <c r="A3653" s="4501" t="s">
        <v>10384</v>
      </c>
      <c r="B3653" s="3">
        <v>2.7973793103448301</v>
      </c>
    </row>
    <row r="3654" spans="1:2">
      <c r="A3654" s="4501" t="s">
        <v>10385</v>
      </c>
      <c r="B3654" s="3">
        <v>2.7989655172413799</v>
      </c>
    </row>
    <row r="3655" spans="1:2">
      <c r="A3655" s="4501" t="s">
        <v>10386</v>
      </c>
      <c r="B3655" s="3">
        <v>2.8005517241379301</v>
      </c>
    </row>
    <row r="3656" spans="1:2">
      <c r="A3656" s="4501" t="s">
        <v>10387</v>
      </c>
      <c r="B3656" s="3">
        <v>2.8021379310344798</v>
      </c>
    </row>
    <row r="3657" spans="1:2">
      <c r="A3657" s="4501" t="s">
        <v>10388</v>
      </c>
      <c r="B3657" s="3">
        <v>2.80372413793103</v>
      </c>
    </row>
    <row r="3658" spans="1:2">
      <c r="A3658" s="4501" t="s">
        <v>10389</v>
      </c>
      <c r="B3658" s="3">
        <v>2.80531034482759</v>
      </c>
    </row>
    <row r="3659" spans="1:2">
      <c r="A3659" s="4501" t="s">
        <v>10390</v>
      </c>
      <c r="B3659" s="3">
        <v>2.8068965517241402</v>
      </c>
    </row>
    <row r="3660" spans="1:2">
      <c r="A3660" s="4501" t="s">
        <v>10391</v>
      </c>
      <c r="B3660" s="3">
        <v>2.80848275862069</v>
      </c>
    </row>
    <row r="3661" spans="1:2">
      <c r="A3661" s="4501" t="s">
        <v>10392</v>
      </c>
      <c r="B3661" s="3">
        <v>2.8100689655172402</v>
      </c>
    </row>
    <row r="3662" spans="1:2">
      <c r="A3662" s="4501" t="s">
        <v>10393</v>
      </c>
      <c r="B3662" s="3">
        <v>2.8116551724137899</v>
      </c>
    </row>
    <row r="3663" spans="1:2">
      <c r="A3663" s="4501" t="s">
        <v>10394</v>
      </c>
      <c r="B3663" s="3">
        <v>2.8132413793103499</v>
      </c>
    </row>
    <row r="3664" spans="1:2">
      <c r="A3664" s="4501" t="s">
        <v>10395</v>
      </c>
      <c r="B3664" s="3">
        <v>2.8148275862069001</v>
      </c>
    </row>
    <row r="3665" spans="1:2">
      <c r="A3665" s="4501" t="s">
        <v>10396</v>
      </c>
      <c r="B3665" s="3">
        <v>2.8164137931034499</v>
      </c>
    </row>
    <row r="3666" spans="1:2">
      <c r="A3666" s="4501" t="s">
        <v>10397</v>
      </c>
      <c r="B3666" s="3">
        <v>2.8180000000000001</v>
      </c>
    </row>
    <row r="3667" spans="1:2">
      <c r="A3667" s="4501" t="s">
        <v>10398</v>
      </c>
      <c r="B3667" s="3">
        <v>2.8195666666666699</v>
      </c>
    </row>
    <row r="3668" spans="1:2">
      <c r="A3668" s="4501" t="s">
        <v>10399</v>
      </c>
      <c r="B3668" s="3">
        <v>2.8211333333333299</v>
      </c>
    </row>
    <row r="3669" spans="1:2">
      <c r="A3669" s="4501" t="s">
        <v>10400</v>
      </c>
      <c r="B3669" s="3">
        <v>2.8227000000000002</v>
      </c>
    </row>
    <row r="3670" spans="1:2">
      <c r="A3670" s="4501" t="s">
        <v>10401</v>
      </c>
      <c r="B3670" s="3">
        <v>2.82426666666667</v>
      </c>
    </row>
    <row r="3671" spans="1:2">
      <c r="A3671" s="4501" t="s">
        <v>10402</v>
      </c>
      <c r="B3671" s="3">
        <v>2.8258333333333301</v>
      </c>
    </row>
    <row r="3672" spans="1:2">
      <c r="A3672" s="4501" t="s">
        <v>10403</v>
      </c>
      <c r="B3672" s="3">
        <v>2.8273999999999999</v>
      </c>
    </row>
    <row r="3673" spans="1:2">
      <c r="A3673" s="4501" t="s">
        <v>10404</v>
      </c>
      <c r="B3673" s="3">
        <v>2.8289666666666702</v>
      </c>
    </row>
    <row r="3674" spans="1:2">
      <c r="A3674" s="4501" t="s">
        <v>10405</v>
      </c>
      <c r="B3674" s="3">
        <v>2.8305333333333298</v>
      </c>
    </row>
    <row r="3675" spans="1:2">
      <c r="A3675" s="4501" t="s">
        <v>10406</v>
      </c>
      <c r="B3675" s="3">
        <v>2.8321000000000001</v>
      </c>
    </row>
    <row r="3676" spans="1:2">
      <c r="A3676" s="4501" t="s">
        <v>10407</v>
      </c>
      <c r="B3676" s="3">
        <v>2.8336666666666699</v>
      </c>
    </row>
    <row r="3677" spans="1:2">
      <c r="A3677" s="4501" t="s">
        <v>10408</v>
      </c>
      <c r="B3677" s="3">
        <v>2.8352333333333299</v>
      </c>
    </row>
    <row r="3678" spans="1:2">
      <c r="A3678" s="4501" t="s">
        <v>10409</v>
      </c>
      <c r="B3678" s="3">
        <v>2.8368000000000002</v>
      </c>
    </row>
    <row r="3679" spans="1:2">
      <c r="A3679" s="4501" t="s">
        <v>10410</v>
      </c>
      <c r="B3679" s="3">
        <v>2.83836666666667</v>
      </c>
    </row>
    <row r="3680" spans="1:2">
      <c r="A3680" s="4501" t="s">
        <v>10411</v>
      </c>
      <c r="B3680" s="3">
        <v>2.8399333333333301</v>
      </c>
    </row>
    <row r="3681" spans="1:2">
      <c r="A3681" s="4501" t="s">
        <v>10412</v>
      </c>
      <c r="B3681" s="3">
        <v>2.8414999999999999</v>
      </c>
    </row>
    <row r="3682" spans="1:2">
      <c r="A3682" s="4501" t="s">
        <v>10413</v>
      </c>
      <c r="B3682" s="3">
        <v>2.8430666666666702</v>
      </c>
    </row>
    <row r="3683" spans="1:2">
      <c r="A3683" s="4501" t="s">
        <v>10414</v>
      </c>
      <c r="B3683" s="3">
        <v>2.8446333333333298</v>
      </c>
    </row>
    <row r="3684" spans="1:2">
      <c r="A3684" s="4501" t="s">
        <v>10415</v>
      </c>
      <c r="B3684" s="3">
        <v>2.8462000000000001</v>
      </c>
    </row>
    <row r="3685" spans="1:2">
      <c r="A3685" s="4501" t="s">
        <v>10416</v>
      </c>
      <c r="B3685" s="3">
        <v>2.8477666666666699</v>
      </c>
    </row>
    <row r="3686" spans="1:2">
      <c r="A3686" s="4501" t="s">
        <v>10417</v>
      </c>
      <c r="B3686" s="3">
        <v>2.8493333333333299</v>
      </c>
    </row>
    <row r="3687" spans="1:2">
      <c r="A3687" s="4501" t="s">
        <v>10418</v>
      </c>
      <c r="B3687" s="3">
        <v>2.8509000000000002</v>
      </c>
    </row>
    <row r="3688" spans="1:2">
      <c r="A3688" s="4501" t="s">
        <v>10419</v>
      </c>
      <c r="B3688" s="3">
        <v>2.85246666666667</v>
      </c>
    </row>
    <row r="3689" spans="1:2">
      <c r="A3689" s="4501" t="s">
        <v>10420</v>
      </c>
      <c r="B3689" s="3">
        <v>2.8540333333333301</v>
      </c>
    </row>
    <row r="3690" spans="1:2">
      <c r="A3690" s="4501" t="s">
        <v>10421</v>
      </c>
      <c r="B3690" s="3">
        <v>2.8555999999999999</v>
      </c>
    </row>
    <row r="3691" spans="1:2">
      <c r="A3691" s="4501" t="s">
        <v>10422</v>
      </c>
      <c r="B3691" s="3">
        <v>2.8571666666666702</v>
      </c>
    </row>
    <row r="3692" spans="1:2">
      <c r="A3692" s="4501" t="s">
        <v>10423</v>
      </c>
      <c r="B3692" s="3">
        <v>2.8587333333333298</v>
      </c>
    </row>
    <row r="3693" spans="1:2">
      <c r="A3693" s="4501" t="s">
        <v>10424</v>
      </c>
      <c r="B3693" s="3">
        <v>2.8603000000000001</v>
      </c>
    </row>
    <row r="3694" spans="1:2">
      <c r="A3694" s="4501" t="s">
        <v>10425</v>
      </c>
      <c r="B3694" s="3">
        <v>2.8618666666666699</v>
      </c>
    </row>
    <row r="3695" spans="1:2">
      <c r="A3695" s="4501" t="s">
        <v>10426</v>
      </c>
      <c r="B3695" s="3">
        <v>2.8634333333333299</v>
      </c>
    </row>
    <row r="3696" spans="1:2">
      <c r="A3696" s="4501" t="s">
        <v>10427</v>
      </c>
      <c r="B3696" s="3">
        <v>2.8650000000000002</v>
      </c>
    </row>
    <row r="3697" spans="1:2">
      <c r="A3697" s="4501" t="s">
        <v>10428</v>
      </c>
      <c r="B3697" s="3">
        <v>2.86551515151515</v>
      </c>
    </row>
    <row r="3698" spans="1:2">
      <c r="A3698" s="4501" t="s">
        <v>10429</v>
      </c>
      <c r="B3698" s="3">
        <v>2.8660303030302998</v>
      </c>
    </row>
    <row r="3699" spans="1:2">
      <c r="A3699" s="4501" t="s">
        <v>10430</v>
      </c>
      <c r="B3699" s="3">
        <v>2.8665454545454598</v>
      </c>
    </row>
    <row r="3700" spans="1:2">
      <c r="A3700" s="4501" t="s">
        <v>10431</v>
      </c>
      <c r="B3700" s="3">
        <v>2.8670606060606101</v>
      </c>
    </row>
    <row r="3701" spans="1:2">
      <c r="A3701" s="4501" t="s">
        <v>10432</v>
      </c>
      <c r="B3701" s="3">
        <v>2.8675757575757599</v>
      </c>
    </row>
    <row r="3702" spans="1:2">
      <c r="A3702" s="4501" t="s">
        <v>10433</v>
      </c>
      <c r="B3702" s="3">
        <v>2.8680909090909101</v>
      </c>
    </row>
    <row r="3703" spans="1:2">
      <c r="A3703" s="4501" t="s">
        <v>10434</v>
      </c>
      <c r="B3703" s="3">
        <v>2.8686060606060599</v>
      </c>
    </row>
    <row r="3704" spans="1:2">
      <c r="A3704" s="4501" t="s">
        <v>10435</v>
      </c>
      <c r="B3704" s="3">
        <v>2.8691212121212102</v>
      </c>
    </row>
    <row r="3705" spans="1:2">
      <c r="A3705" s="4501" t="s">
        <v>10436</v>
      </c>
      <c r="B3705" s="3">
        <v>2.86963636363636</v>
      </c>
    </row>
    <row r="3706" spans="1:2">
      <c r="A3706" s="4501" t="s">
        <v>10437</v>
      </c>
      <c r="B3706" s="3">
        <v>2.87015151515152</v>
      </c>
    </row>
    <row r="3707" spans="1:2">
      <c r="A3707" s="4501" t="s">
        <v>10438</v>
      </c>
      <c r="B3707" s="3">
        <v>2.8706666666666698</v>
      </c>
    </row>
    <row r="3708" spans="1:2">
      <c r="A3708" s="4501" t="s">
        <v>10439</v>
      </c>
      <c r="B3708" s="3">
        <v>2.8711818181818201</v>
      </c>
    </row>
    <row r="3709" spans="1:2">
      <c r="A3709" s="4501" t="s">
        <v>10440</v>
      </c>
      <c r="B3709" s="3">
        <v>2.8716969696969699</v>
      </c>
    </row>
    <row r="3710" spans="1:2">
      <c r="A3710" s="4501" t="s">
        <v>10441</v>
      </c>
      <c r="B3710" s="3">
        <v>2.8722121212121201</v>
      </c>
    </row>
    <row r="3711" spans="1:2">
      <c r="A3711" s="4501" t="s">
        <v>10442</v>
      </c>
      <c r="B3711" s="3">
        <v>2.8727272727272699</v>
      </c>
    </row>
    <row r="3712" spans="1:2">
      <c r="A3712" s="4501" t="s">
        <v>10443</v>
      </c>
      <c r="B3712" s="3">
        <v>2.8732424242424202</v>
      </c>
    </row>
    <row r="3713" spans="1:2">
      <c r="A3713" s="4501" t="s">
        <v>10444</v>
      </c>
      <c r="B3713" s="3">
        <v>2.8737575757575802</v>
      </c>
    </row>
    <row r="3714" spans="1:2">
      <c r="A3714" s="4501" t="s">
        <v>10445</v>
      </c>
      <c r="B3714" s="3">
        <v>2.87427272727273</v>
      </c>
    </row>
    <row r="3715" spans="1:2">
      <c r="A3715" s="4501" t="s">
        <v>10446</v>
      </c>
      <c r="B3715" s="3">
        <v>2.8747878787878798</v>
      </c>
    </row>
    <row r="3716" spans="1:2">
      <c r="A3716" s="4501" t="s">
        <v>10447</v>
      </c>
      <c r="B3716" s="3">
        <v>2.87530303030303</v>
      </c>
    </row>
    <row r="3717" spans="1:2">
      <c r="A3717" s="4501" t="s">
        <v>10448</v>
      </c>
      <c r="B3717" s="3">
        <v>2.8758181818181798</v>
      </c>
    </row>
    <row r="3718" spans="1:2">
      <c r="A3718" s="4501" t="s">
        <v>10449</v>
      </c>
      <c r="B3718" s="3">
        <v>2.8763333333333301</v>
      </c>
    </row>
    <row r="3719" spans="1:2">
      <c r="A3719" s="4501" t="s">
        <v>10450</v>
      </c>
      <c r="B3719" s="3">
        <v>2.8768484848484901</v>
      </c>
    </row>
    <row r="3720" spans="1:2">
      <c r="A3720" s="4501" t="s">
        <v>10451</v>
      </c>
      <c r="B3720" s="3">
        <v>2.8773636363636399</v>
      </c>
    </row>
    <row r="3721" spans="1:2">
      <c r="A3721" s="4501" t="s">
        <v>10452</v>
      </c>
      <c r="B3721" s="3">
        <v>2.8778787878787901</v>
      </c>
    </row>
    <row r="3722" spans="1:2">
      <c r="A3722" s="4501" t="s">
        <v>10453</v>
      </c>
      <c r="B3722" s="3">
        <v>2.8783939393939399</v>
      </c>
    </row>
    <row r="3723" spans="1:2">
      <c r="A3723" s="4501" t="s">
        <v>10454</v>
      </c>
      <c r="B3723" s="3">
        <v>2.8789090909090902</v>
      </c>
    </row>
    <row r="3724" spans="1:2">
      <c r="A3724" s="4501" t="s">
        <v>10455</v>
      </c>
      <c r="B3724" s="3">
        <v>2.87942424242424</v>
      </c>
    </row>
    <row r="3725" spans="1:2">
      <c r="A3725" s="4501" t="s">
        <v>10456</v>
      </c>
      <c r="B3725" s="3">
        <v>2.8799393939393898</v>
      </c>
    </row>
    <row r="3726" spans="1:2">
      <c r="A3726" s="4501" t="s">
        <v>10457</v>
      </c>
      <c r="B3726" s="3">
        <v>2.8804545454545498</v>
      </c>
    </row>
    <row r="3727" spans="1:2">
      <c r="A3727" s="4501" t="s">
        <v>10458</v>
      </c>
      <c r="B3727" s="3">
        <v>2.8809696969697001</v>
      </c>
    </row>
    <row r="3728" spans="1:2">
      <c r="A3728" s="4501" t="s">
        <v>10459</v>
      </c>
      <c r="B3728" s="3">
        <v>2.8814848484848499</v>
      </c>
    </row>
    <row r="3729" spans="1:2">
      <c r="A3729" s="4501" t="s">
        <v>10460</v>
      </c>
      <c r="B3729" s="3">
        <v>2.8820000000000001</v>
      </c>
    </row>
    <row r="3730" spans="1:2">
      <c r="A3730" s="4501" t="s">
        <v>10461</v>
      </c>
      <c r="B3730" s="3">
        <v>2.88193103448276</v>
      </c>
    </row>
    <row r="3731" spans="1:2">
      <c r="A3731" s="4501" t="s">
        <v>10462</v>
      </c>
      <c r="B3731" s="3">
        <v>2.8818620689655199</v>
      </c>
    </row>
    <row r="3732" spans="1:2">
      <c r="A3732" s="4501" t="s">
        <v>10463</v>
      </c>
      <c r="B3732" s="3">
        <v>2.8817931034482802</v>
      </c>
    </row>
    <row r="3733" spans="1:2">
      <c r="A3733" s="4501" t="s">
        <v>10464</v>
      </c>
      <c r="B3733" s="3">
        <v>2.8817241379310299</v>
      </c>
    </row>
    <row r="3734" spans="1:2">
      <c r="A3734" s="4501" t="s">
        <v>10465</v>
      </c>
      <c r="B3734" s="3">
        <v>2.8816551724137902</v>
      </c>
    </row>
    <row r="3735" spans="1:2">
      <c r="A3735" s="4501" t="s">
        <v>10466</v>
      </c>
      <c r="B3735" s="3">
        <v>2.8815862068965501</v>
      </c>
    </row>
    <row r="3736" spans="1:2">
      <c r="A3736" s="4501" t="s">
        <v>10467</v>
      </c>
      <c r="B3736" s="3">
        <v>2.88151724137931</v>
      </c>
    </row>
    <row r="3737" spans="1:2">
      <c r="A3737" s="4501" t="s">
        <v>10468</v>
      </c>
      <c r="B3737" s="3">
        <v>2.8814482758620699</v>
      </c>
    </row>
    <row r="3738" spans="1:2">
      <c r="A3738" s="4501" t="s">
        <v>10469</v>
      </c>
      <c r="B3738" s="3">
        <v>2.8813793103448302</v>
      </c>
    </row>
    <row r="3739" spans="1:2">
      <c r="A3739" s="4501" t="s">
        <v>10470</v>
      </c>
      <c r="B3739" s="3">
        <v>2.8813103448275901</v>
      </c>
    </row>
    <row r="3740" spans="1:2">
      <c r="A3740" s="4501" t="s">
        <v>10471</v>
      </c>
      <c r="B3740" s="3">
        <v>2.88124137931035</v>
      </c>
    </row>
    <row r="3741" spans="1:2">
      <c r="A3741" s="4501" t="s">
        <v>10472</v>
      </c>
      <c r="B3741" s="3">
        <v>2.8811724137931001</v>
      </c>
    </row>
    <row r="3742" spans="1:2">
      <c r="A3742" s="4501" t="s">
        <v>10473</v>
      </c>
      <c r="B3742" s="3">
        <v>2.88110344827586</v>
      </c>
    </row>
    <row r="3743" spans="1:2">
      <c r="A3743" s="4501" t="s">
        <v>10474</v>
      </c>
      <c r="B3743" s="3">
        <v>2.8810344827586198</v>
      </c>
    </row>
    <row r="3744" spans="1:2">
      <c r="A3744" s="4501" t="s">
        <v>10475</v>
      </c>
      <c r="B3744" s="3">
        <v>2.8809655172413802</v>
      </c>
    </row>
    <row r="3745" spans="1:2">
      <c r="A3745" s="4501" t="s">
        <v>10476</v>
      </c>
      <c r="B3745" s="3">
        <v>2.8808965517241401</v>
      </c>
    </row>
    <row r="3746" spans="1:2">
      <c r="A3746" s="4501" t="s">
        <v>10477</v>
      </c>
      <c r="B3746" s="3">
        <v>2.8808275862068999</v>
      </c>
    </row>
    <row r="3747" spans="1:2">
      <c r="A3747" s="4501" t="s">
        <v>10478</v>
      </c>
      <c r="B3747" s="3">
        <v>2.8807586206896501</v>
      </c>
    </row>
    <row r="3748" spans="1:2">
      <c r="A3748" s="4501" t="s">
        <v>10479</v>
      </c>
      <c r="B3748" s="3">
        <v>2.8806896551724099</v>
      </c>
    </row>
    <row r="3749" spans="1:2">
      <c r="A3749" s="4501" t="s">
        <v>10480</v>
      </c>
      <c r="B3749" s="3">
        <v>2.8806206896551698</v>
      </c>
    </row>
    <row r="3750" spans="1:2">
      <c r="A3750" s="4501" t="s">
        <v>10481</v>
      </c>
      <c r="B3750" s="3">
        <v>2.8805517241379301</v>
      </c>
    </row>
    <row r="3751" spans="1:2">
      <c r="A3751" s="4501" t="s">
        <v>10482</v>
      </c>
      <c r="B3751" s="3">
        <v>2.88048275862069</v>
      </c>
    </row>
    <row r="3752" spans="1:2">
      <c r="A3752" s="4501" t="s">
        <v>10483</v>
      </c>
      <c r="B3752" s="3">
        <v>2.8804137931034499</v>
      </c>
    </row>
    <row r="3753" spans="1:2">
      <c r="A3753" s="4501" t="s">
        <v>10484</v>
      </c>
      <c r="B3753" s="3">
        <v>2.8803448275862098</v>
      </c>
    </row>
    <row r="3754" spans="1:2">
      <c r="A3754" s="4501" t="s">
        <v>10485</v>
      </c>
      <c r="B3754" s="3">
        <v>2.8802758620689701</v>
      </c>
    </row>
    <row r="3755" spans="1:2">
      <c r="A3755" s="4501" t="s">
        <v>10486</v>
      </c>
      <c r="B3755" s="3">
        <v>2.8802068965517198</v>
      </c>
    </row>
    <row r="3756" spans="1:2">
      <c r="A3756" s="4501" t="s">
        <v>10487</v>
      </c>
      <c r="B3756" s="3">
        <v>2.8801379310344801</v>
      </c>
    </row>
    <row r="3757" spans="1:2">
      <c r="A3757" s="4501" t="s">
        <v>10488</v>
      </c>
      <c r="B3757" s="3">
        <v>2.88006896551724</v>
      </c>
    </row>
    <row r="3758" spans="1:2">
      <c r="A3758" s="4501" t="s">
        <v>10489</v>
      </c>
      <c r="B3758" s="3">
        <v>2.88</v>
      </c>
    </row>
    <row r="3759" spans="1:2">
      <c r="A3759" s="4501" t="s">
        <v>10490</v>
      </c>
      <c r="B3759" s="3">
        <v>2.8811249999999999</v>
      </c>
    </row>
    <row r="3760" spans="1:2">
      <c r="A3760" s="4501" t="s">
        <v>10491</v>
      </c>
      <c r="B3760" s="3">
        <v>2.88225</v>
      </c>
    </row>
    <row r="3761" spans="1:2">
      <c r="A3761" s="4501" t="s">
        <v>10492</v>
      </c>
      <c r="B3761" s="3">
        <v>2.883375</v>
      </c>
    </row>
    <row r="3762" spans="1:2">
      <c r="A3762" s="4501" t="s">
        <v>10493</v>
      </c>
      <c r="B3762" s="3">
        <v>2.8845000000000001</v>
      </c>
    </row>
    <row r="3763" spans="1:2">
      <c r="A3763" s="4501" t="s">
        <v>10494</v>
      </c>
      <c r="B3763" s="3">
        <v>2.8856250000000001</v>
      </c>
    </row>
    <row r="3764" spans="1:2">
      <c r="A3764" s="4501" t="s">
        <v>10495</v>
      </c>
      <c r="B3764" s="3">
        <v>2.8867500000000001</v>
      </c>
    </row>
    <row r="3765" spans="1:2">
      <c r="A3765" s="4501" t="s">
        <v>10496</v>
      </c>
      <c r="B3765" s="3">
        <v>2.8878750000000002</v>
      </c>
    </row>
    <row r="3766" spans="1:2">
      <c r="A3766" s="4501" t="s">
        <v>10497</v>
      </c>
      <c r="B3766" s="3">
        <v>2.8889999999999998</v>
      </c>
    </row>
    <row r="3767" spans="1:2">
      <c r="A3767" s="4501" t="s">
        <v>10498</v>
      </c>
      <c r="B3767" s="3">
        <v>2.8901249999999998</v>
      </c>
    </row>
    <row r="3768" spans="1:2">
      <c r="A3768" s="4501" t="s">
        <v>10499</v>
      </c>
      <c r="B3768" s="3">
        <v>2.8912499999999999</v>
      </c>
    </row>
    <row r="3769" spans="1:2">
      <c r="A3769" s="4501" t="s">
        <v>10500</v>
      </c>
      <c r="B3769" s="3">
        <v>2.8923749999999999</v>
      </c>
    </row>
    <row r="3770" spans="1:2">
      <c r="A3770" s="4501" t="s">
        <v>10501</v>
      </c>
      <c r="B3770" s="3">
        <v>2.8935</v>
      </c>
    </row>
    <row r="3771" spans="1:2">
      <c r="A3771" s="4501" t="s">
        <v>10502</v>
      </c>
      <c r="B3771" s="3">
        <v>2.894625</v>
      </c>
    </row>
    <row r="3772" spans="1:2">
      <c r="A3772" s="4501" t="s">
        <v>10503</v>
      </c>
      <c r="B3772" s="3">
        <v>2.89575</v>
      </c>
    </row>
    <row r="3773" spans="1:2">
      <c r="A3773" s="4501" t="s">
        <v>10504</v>
      </c>
      <c r="B3773" s="3">
        <v>2.8968750000000001</v>
      </c>
    </row>
    <row r="3774" spans="1:2">
      <c r="A3774" s="4501" t="s">
        <v>10505</v>
      </c>
      <c r="B3774" s="3">
        <v>2.8980000000000001</v>
      </c>
    </row>
    <row r="3775" spans="1:2">
      <c r="A3775" s="4501" t="s">
        <v>10506</v>
      </c>
      <c r="B3775" s="3">
        <v>2.8991250000000002</v>
      </c>
    </row>
    <row r="3776" spans="1:2">
      <c r="A3776" s="4501" t="s">
        <v>10507</v>
      </c>
      <c r="B3776" s="3">
        <v>2.9002500000000002</v>
      </c>
    </row>
    <row r="3777" spans="1:2">
      <c r="A3777" s="4501" t="s">
        <v>10508</v>
      </c>
      <c r="B3777" s="3">
        <v>2.9013749999999998</v>
      </c>
    </row>
    <row r="3778" spans="1:2">
      <c r="A3778" s="4501" t="s">
        <v>10509</v>
      </c>
      <c r="B3778" s="3">
        <v>2.9024999999999999</v>
      </c>
    </row>
    <row r="3779" spans="1:2">
      <c r="A3779" s="4501" t="s">
        <v>10510</v>
      </c>
      <c r="B3779" s="3">
        <v>2.9036249999999999</v>
      </c>
    </row>
    <row r="3780" spans="1:2">
      <c r="A3780" s="4501" t="s">
        <v>10511</v>
      </c>
      <c r="B3780" s="3">
        <v>2.9047499999999999</v>
      </c>
    </row>
    <row r="3781" spans="1:2">
      <c r="A3781" s="4501" t="s">
        <v>10512</v>
      </c>
      <c r="B3781" s="3">
        <v>2.905875</v>
      </c>
    </row>
    <row r="3782" spans="1:2">
      <c r="A3782" s="4501" t="s">
        <v>10513</v>
      </c>
      <c r="B3782" s="3">
        <v>2.907</v>
      </c>
    </row>
    <row r="3783" spans="1:2">
      <c r="A3783" s="4501" t="s">
        <v>10514</v>
      </c>
      <c r="B3783" s="3">
        <v>2.9081250000000001</v>
      </c>
    </row>
    <row r="3784" spans="1:2">
      <c r="A3784" s="4501" t="s">
        <v>10515</v>
      </c>
      <c r="B3784" s="3">
        <v>2.9092500000000001</v>
      </c>
    </row>
    <row r="3785" spans="1:2">
      <c r="A3785" s="4501" t="s">
        <v>10516</v>
      </c>
      <c r="B3785" s="3">
        <v>2.9103750000000002</v>
      </c>
    </row>
    <row r="3786" spans="1:2">
      <c r="A3786" s="4501" t="s">
        <v>10517</v>
      </c>
      <c r="B3786" s="3">
        <v>2.9115000000000002</v>
      </c>
    </row>
    <row r="3787" spans="1:2">
      <c r="A3787" s="4501" t="s">
        <v>10518</v>
      </c>
      <c r="B3787" s="3">
        <v>2.9126249999999998</v>
      </c>
    </row>
    <row r="3788" spans="1:2">
      <c r="A3788" s="4501" t="s">
        <v>10519</v>
      </c>
      <c r="B3788" s="3">
        <v>2.9137499999999998</v>
      </c>
    </row>
    <row r="3789" spans="1:2">
      <c r="A3789" s="4501" t="s">
        <v>10520</v>
      </c>
      <c r="B3789" s="3">
        <v>2.9148749999999999</v>
      </c>
    </row>
    <row r="3790" spans="1:2">
      <c r="A3790" s="4501" t="s">
        <v>10521</v>
      </c>
      <c r="B3790" s="3">
        <v>2.9159999999999999</v>
      </c>
    </row>
    <row r="3791" spans="1:2">
      <c r="A3791" s="4501" t="s">
        <v>10522</v>
      </c>
      <c r="B3791" s="3">
        <v>2.9205000000000001</v>
      </c>
    </row>
    <row r="3792" spans="1:2">
      <c r="A3792" s="4501" t="s">
        <v>10523</v>
      </c>
      <c r="B3792" s="3">
        <v>2.9249999999999998</v>
      </c>
    </row>
    <row r="3793" spans="1:2">
      <c r="A3793" s="4501" t="s">
        <v>10524</v>
      </c>
      <c r="B3793" s="3">
        <v>2.9295</v>
      </c>
    </row>
    <row r="3794" spans="1:2">
      <c r="A3794" s="4501" t="s">
        <v>10525</v>
      </c>
      <c r="B3794" s="3">
        <v>2.9340000000000002</v>
      </c>
    </row>
    <row r="3795" spans="1:2">
      <c r="A3795" s="4501" t="s">
        <v>10526</v>
      </c>
      <c r="B3795" s="3">
        <v>2.9384999999999999</v>
      </c>
    </row>
    <row r="3796" spans="1:2">
      <c r="A3796" s="4501" t="s">
        <v>10527</v>
      </c>
      <c r="B3796" s="3">
        <v>2.9430000000000001</v>
      </c>
    </row>
    <row r="3797" spans="1:2">
      <c r="A3797" s="4501" t="s">
        <v>10528</v>
      </c>
      <c r="B3797" s="3">
        <v>2.9474999999999998</v>
      </c>
    </row>
    <row r="3798" spans="1:2">
      <c r="A3798" s="4501" t="s">
        <v>10529</v>
      </c>
      <c r="B3798" s="3">
        <v>2.952</v>
      </c>
    </row>
    <row r="3799" spans="1:2">
      <c r="A3799" s="4501" t="s">
        <v>10530</v>
      </c>
      <c r="B3799" s="3">
        <v>2.9565000000000001</v>
      </c>
    </row>
    <row r="3800" spans="1:2">
      <c r="A3800" s="4501" t="s">
        <v>10531</v>
      </c>
      <c r="B3800" s="3">
        <v>2.9609999999999999</v>
      </c>
    </row>
    <row r="3801" spans="1:2">
      <c r="A3801" s="4501" t="s">
        <v>10532</v>
      </c>
      <c r="B3801" s="3">
        <v>2.9655</v>
      </c>
    </row>
    <row r="3802" spans="1:2">
      <c r="A3802" s="4501" t="s">
        <v>10533</v>
      </c>
      <c r="B3802" s="3">
        <v>2.97</v>
      </c>
    </row>
    <row r="3803" spans="1:2">
      <c r="A3803" s="4501" t="s">
        <v>10534</v>
      </c>
      <c r="B3803" s="3">
        <v>2.9744999999999999</v>
      </c>
    </row>
    <row r="3804" spans="1:2">
      <c r="A3804" s="4501" t="s">
        <v>10535</v>
      </c>
      <c r="B3804" s="3">
        <v>2.9790000000000001</v>
      </c>
    </row>
    <row r="3805" spans="1:2">
      <c r="A3805" s="4501" t="s">
        <v>10536</v>
      </c>
      <c r="B3805" s="3">
        <v>2.9834999999999998</v>
      </c>
    </row>
    <row r="3806" spans="1:2">
      <c r="A3806" s="4501" t="s">
        <v>10537</v>
      </c>
      <c r="B3806" s="3">
        <v>2.988</v>
      </c>
    </row>
    <row r="3807" spans="1:2">
      <c r="A3807" s="4501" t="s">
        <v>10538</v>
      </c>
      <c r="B3807" s="3">
        <v>2.9925000000000002</v>
      </c>
    </row>
    <row r="3808" spans="1:2">
      <c r="A3808" s="4501" t="s">
        <v>10539</v>
      </c>
      <c r="B3808" s="3">
        <v>2.9969999999999999</v>
      </c>
    </row>
    <row r="3809" spans="1:2">
      <c r="A3809" s="4501" t="s">
        <v>10540</v>
      </c>
      <c r="B3809" s="3">
        <v>3.0015000000000001</v>
      </c>
    </row>
    <row r="3810" spans="1:2">
      <c r="A3810" s="4501" t="s">
        <v>10541</v>
      </c>
      <c r="B3810" s="3">
        <v>3.0059999999999998</v>
      </c>
    </row>
    <row r="3811" spans="1:2">
      <c r="A3811" s="4501" t="s">
        <v>10542</v>
      </c>
      <c r="B3811" s="3">
        <v>3.0105</v>
      </c>
    </row>
    <row r="3812" spans="1:2">
      <c r="A3812" s="4501" t="s">
        <v>10543</v>
      </c>
      <c r="B3812" s="3">
        <v>3.0150000000000001</v>
      </c>
    </row>
    <row r="3813" spans="1:2">
      <c r="A3813" s="4501" t="s">
        <v>10544</v>
      </c>
      <c r="B3813" s="3">
        <v>3.0194999999999999</v>
      </c>
    </row>
    <row r="3814" spans="1:2">
      <c r="A3814" s="4501" t="s">
        <v>10545</v>
      </c>
      <c r="B3814" s="3">
        <v>3.024</v>
      </c>
    </row>
    <row r="3815" spans="1:2">
      <c r="A3815" s="4501" t="s">
        <v>10546</v>
      </c>
      <c r="B3815" s="3">
        <v>3.0285000000000002</v>
      </c>
    </row>
    <row r="3816" spans="1:2">
      <c r="A3816" s="4501" t="s">
        <v>10547</v>
      </c>
      <c r="B3816" s="3">
        <v>3.0329999999999999</v>
      </c>
    </row>
    <row r="3817" spans="1:2">
      <c r="A3817" s="4501" t="s">
        <v>10548</v>
      </c>
      <c r="B3817" s="3">
        <v>3.0375000000000001</v>
      </c>
    </row>
    <row r="3818" spans="1:2">
      <c r="A3818" s="4501" t="s">
        <v>10549</v>
      </c>
      <c r="B3818" s="3">
        <v>3.0419999999999998</v>
      </c>
    </row>
    <row r="3819" spans="1:2">
      <c r="A3819" s="4501" t="s">
        <v>10550</v>
      </c>
      <c r="B3819" s="3">
        <v>3.0465</v>
      </c>
    </row>
    <row r="3820" spans="1:2">
      <c r="A3820" s="4501" t="s">
        <v>10551</v>
      </c>
      <c r="B3820" s="3">
        <v>3.0510000000000002</v>
      </c>
    </row>
    <row r="3821" spans="1:2">
      <c r="A3821" s="4501" t="s">
        <v>10552</v>
      </c>
      <c r="B3821" s="3">
        <v>3.05992857142857</v>
      </c>
    </row>
    <row r="3822" spans="1:2">
      <c r="A3822" s="4501" t="s">
        <v>10553</v>
      </c>
      <c r="B3822" s="3">
        <v>3.0688571428571398</v>
      </c>
    </row>
    <row r="3823" spans="1:2">
      <c r="A3823" s="4501" t="s">
        <v>10554</v>
      </c>
      <c r="B3823" s="3">
        <v>3.0777857142857101</v>
      </c>
    </row>
    <row r="3824" spans="1:2">
      <c r="A3824" s="4501" t="s">
        <v>10555</v>
      </c>
      <c r="B3824" s="3">
        <v>3.0867142857142902</v>
      </c>
    </row>
    <row r="3825" spans="1:2">
      <c r="A3825" s="4501" t="s">
        <v>10556</v>
      </c>
      <c r="B3825" s="3">
        <v>3.09564285714286</v>
      </c>
    </row>
    <row r="3826" spans="1:2">
      <c r="A3826" s="4501" t="s">
        <v>10557</v>
      </c>
      <c r="B3826" s="3">
        <v>3.1045714285714299</v>
      </c>
    </row>
    <row r="3827" spans="1:2">
      <c r="A3827" s="4501" t="s">
        <v>10558</v>
      </c>
      <c r="B3827" s="3">
        <v>3.1135000000000002</v>
      </c>
    </row>
    <row r="3828" spans="1:2">
      <c r="A3828" s="4501" t="s">
        <v>10559</v>
      </c>
      <c r="B3828" s="3">
        <v>3.12242857142857</v>
      </c>
    </row>
    <row r="3829" spans="1:2">
      <c r="A3829" s="4501" t="s">
        <v>10560</v>
      </c>
      <c r="B3829" s="3">
        <v>3.1313571428571398</v>
      </c>
    </row>
    <row r="3830" spans="1:2">
      <c r="A3830" s="4501" t="s">
        <v>10561</v>
      </c>
      <c r="B3830" s="3">
        <v>3.1402857142857101</v>
      </c>
    </row>
    <row r="3831" spans="1:2">
      <c r="A3831" s="4501" t="s">
        <v>10562</v>
      </c>
      <c r="B3831" s="3">
        <v>3.1492142857142902</v>
      </c>
    </row>
    <row r="3832" spans="1:2">
      <c r="A3832" s="4501" t="s">
        <v>10563</v>
      </c>
      <c r="B3832" s="3">
        <v>3.15814285714286</v>
      </c>
    </row>
    <row r="3833" spans="1:2">
      <c r="A3833" s="4501" t="s">
        <v>10564</v>
      </c>
      <c r="B3833" s="3">
        <v>3.1670714285714299</v>
      </c>
    </row>
    <row r="3834" spans="1:2">
      <c r="A3834" s="4501" t="s">
        <v>10565</v>
      </c>
      <c r="B3834" s="3">
        <v>3.1760000000000002</v>
      </c>
    </row>
    <row r="3835" spans="1:2">
      <c r="A3835" s="4501" t="s">
        <v>10566</v>
      </c>
      <c r="B3835" s="3">
        <v>3.18492857142857</v>
      </c>
    </row>
    <row r="3836" spans="1:2">
      <c r="A3836" s="4501" t="s">
        <v>10567</v>
      </c>
      <c r="B3836" s="3">
        <v>3.1938571428571398</v>
      </c>
    </row>
    <row r="3837" spans="1:2">
      <c r="A3837" s="4501" t="s">
        <v>10568</v>
      </c>
      <c r="B3837" s="3">
        <v>3.2027857142857101</v>
      </c>
    </row>
    <row r="3838" spans="1:2">
      <c r="A3838" s="4501" t="s">
        <v>10569</v>
      </c>
      <c r="B3838" s="3">
        <v>3.2117142857142902</v>
      </c>
    </row>
    <row r="3839" spans="1:2">
      <c r="A3839" s="4501" t="s">
        <v>10570</v>
      </c>
      <c r="B3839" s="3">
        <v>3.22064285714286</v>
      </c>
    </row>
    <row r="3840" spans="1:2">
      <c r="A3840" s="4501" t="s">
        <v>10571</v>
      </c>
      <c r="B3840" s="3">
        <v>3.2295714285714299</v>
      </c>
    </row>
    <row r="3841" spans="1:2">
      <c r="A3841" s="4501" t="s">
        <v>10572</v>
      </c>
      <c r="B3841" s="3">
        <v>3.2385000000000002</v>
      </c>
    </row>
    <row r="3842" spans="1:2">
      <c r="A3842" s="4501" t="s">
        <v>10573</v>
      </c>
      <c r="B3842" s="3">
        <v>3.24742857142857</v>
      </c>
    </row>
    <row r="3843" spans="1:2">
      <c r="A3843" s="4501" t="s">
        <v>10574</v>
      </c>
      <c r="B3843" s="3">
        <v>3.2563571428571398</v>
      </c>
    </row>
    <row r="3844" spans="1:2">
      <c r="A3844" s="4501" t="s">
        <v>10575</v>
      </c>
      <c r="B3844" s="3">
        <v>3.2652857142857101</v>
      </c>
    </row>
    <row r="3845" spans="1:2">
      <c r="A3845" s="4501" t="s">
        <v>10576</v>
      </c>
      <c r="B3845" s="3">
        <v>3.2742142857142902</v>
      </c>
    </row>
    <row r="3846" spans="1:2">
      <c r="A3846" s="4501" t="s">
        <v>10577</v>
      </c>
      <c r="B3846" s="3">
        <v>3.28314285714286</v>
      </c>
    </row>
    <row r="3847" spans="1:2">
      <c r="A3847" s="4501" t="s">
        <v>10578</v>
      </c>
      <c r="B3847" s="3">
        <v>3.2920714285714299</v>
      </c>
    </row>
    <row r="3848" spans="1:2">
      <c r="A3848" s="4501" t="s">
        <v>10579</v>
      </c>
      <c r="B3848" s="3">
        <v>3.3010000000000002</v>
      </c>
    </row>
    <row r="3849" spans="1:2">
      <c r="A3849" s="4501" t="s">
        <v>10580</v>
      </c>
      <c r="B3849" s="3">
        <v>3.3054117647058798</v>
      </c>
    </row>
    <row r="3850" spans="1:2">
      <c r="A3850" s="4501" t="s">
        <v>10581</v>
      </c>
      <c r="B3850" s="3">
        <v>3.3098235294117599</v>
      </c>
    </row>
    <row r="3851" spans="1:2">
      <c r="A3851" s="4501" t="s">
        <v>10582</v>
      </c>
      <c r="B3851" s="3">
        <v>3.3142352941176498</v>
      </c>
    </row>
    <row r="3852" spans="1:2">
      <c r="A3852" s="4501" t="s">
        <v>10583</v>
      </c>
      <c r="B3852" s="3">
        <v>3.3186470588235299</v>
      </c>
    </row>
    <row r="3853" spans="1:2">
      <c r="A3853" s="4501" t="s">
        <v>10584</v>
      </c>
      <c r="B3853" s="3">
        <v>3.3230588235294101</v>
      </c>
    </row>
    <row r="3854" spans="1:2">
      <c r="A3854" s="4501" t="s">
        <v>10585</v>
      </c>
      <c r="B3854" s="3">
        <v>3.3274705882352902</v>
      </c>
    </row>
    <row r="3855" spans="1:2">
      <c r="A3855" s="4501" t="s">
        <v>10586</v>
      </c>
      <c r="B3855" s="3">
        <v>3.3318823529411801</v>
      </c>
    </row>
    <row r="3856" spans="1:2">
      <c r="A3856" s="4501" t="s">
        <v>10587</v>
      </c>
      <c r="B3856" s="3">
        <v>3.3362941176470602</v>
      </c>
    </row>
    <row r="3857" spans="1:2">
      <c r="A3857" s="4501" t="s">
        <v>10588</v>
      </c>
      <c r="B3857" s="3">
        <v>3.3407058823529399</v>
      </c>
    </row>
    <row r="3858" spans="1:2">
      <c r="A3858" s="4501" t="s">
        <v>10589</v>
      </c>
      <c r="B3858" s="3">
        <v>3.34511764705882</v>
      </c>
    </row>
    <row r="3859" spans="1:2">
      <c r="A3859" s="4501" t="s">
        <v>10590</v>
      </c>
      <c r="B3859" s="3">
        <v>3.3495294117647099</v>
      </c>
    </row>
    <row r="3860" spans="1:2">
      <c r="A3860" s="4501" t="s">
        <v>10591</v>
      </c>
      <c r="B3860" s="3">
        <v>3.35394117647059</v>
      </c>
    </row>
    <row r="3861" spans="1:2">
      <c r="A3861" s="4501" t="s">
        <v>10592</v>
      </c>
      <c r="B3861" s="3">
        <v>3.3583529411764701</v>
      </c>
    </row>
    <row r="3862" spans="1:2">
      <c r="A3862" s="4501" t="s">
        <v>10593</v>
      </c>
      <c r="B3862" s="3">
        <v>3.3627647058823502</v>
      </c>
    </row>
    <row r="3863" spans="1:2">
      <c r="A3863" s="4501" t="s">
        <v>10594</v>
      </c>
      <c r="B3863" s="3">
        <v>3.3671764705882401</v>
      </c>
    </row>
    <row r="3864" spans="1:2">
      <c r="A3864" s="4501" t="s">
        <v>10595</v>
      </c>
      <c r="B3864" s="3">
        <v>3.3715882352941202</v>
      </c>
    </row>
    <row r="3865" spans="1:2">
      <c r="A3865" s="4501" t="s">
        <v>10596</v>
      </c>
      <c r="B3865" s="3">
        <v>3.3759999999999999</v>
      </c>
    </row>
    <row r="3866" spans="1:2">
      <c r="A3866" s="4501" t="s">
        <v>10597</v>
      </c>
      <c r="B3866" s="3">
        <v>3.38041176470588</v>
      </c>
    </row>
    <row r="3867" spans="1:2">
      <c r="A3867" s="4501" t="s">
        <v>10598</v>
      </c>
      <c r="B3867" s="3">
        <v>3.3848235294117699</v>
      </c>
    </row>
    <row r="3868" spans="1:2">
      <c r="A3868" s="4501" t="s">
        <v>10599</v>
      </c>
      <c r="B3868" s="3">
        <v>3.38923529411765</v>
      </c>
    </row>
    <row r="3869" spans="1:2">
      <c r="A3869" s="4501" t="s">
        <v>10600</v>
      </c>
      <c r="B3869" s="3">
        <v>3.3936470588235301</v>
      </c>
    </row>
    <row r="3870" spans="1:2">
      <c r="A3870" s="4501" t="s">
        <v>10601</v>
      </c>
      <c r="B3870" s="3">
        <v>3.3980588235294098</v>
      </c>
    </row>
    <row r="3871" spans="1:2">
      <c r="A3871" s="4501" t="s">
        <v>10602</v>
      </c>
      <c r="B3871" s="3">
        <v>3.4024705882352899</v>
      </c>
    </row>
    <row r="3872" spans="1:2">
      <c r="A3872" s="4501" t="s">
        <v>10603</v>
      </c>
      <c r="B3872" s="3">
        <v>3.4068823529411798</v>
      </c>
    </row>
    <row r="3873" spans="1:2">
      <c r="A3873" s="4501" t="s">
        <v>10604</v>
      </c>
      <c r="B3873" s="3">
        <v>3.4112941176470599</v>
      </c>
    </row>
    <row r="3874" spans="1:2">
      <c r="A3874" s="4501" t="s">
        <v>10605</v>
      </c>
      <c r="B3874" s="3">
        <v>3.41570588235294</v>
      </c>
    </row>
    <row r="3875" spans="1:2">
      <c r="A3875" s="4501" t="s">
        <v>10606</v>
      </c>
      <c r="B3875" s="3">
        <v>3.4201176470588202</v>
      </c>
    </row>
    <row r="3876" spans="1:2">
      <c r="A3876" s="4501" t="s">
        <v>10607</v>
      </c>
      <c r="B3876" s="3">
        <v>3.42452941176471</v>
      </c>
    </row>
    <row r="3877" spans="1:2">
      <c r="A3877" s="4501" t="s">
        <v>10608</v>
      </c>
      <c r="B3877" s="3">
        <v>3.4289411764705902</v>
      </c>
    </row>
    <row r="3878" spans="1:2">
      <c r="A3878" s="4501" t="s">
        <v>10609</v>
      </c>
      <c r="B3878" s="3">
        <v>3.4333529411764698</v>
      </c>
    </row>
    <row r="3879" spans="1:2">
      <c r="A3879" s="4501" t="s">
        <v>10610</v>
      </c>
      <c r="B3879" s="3">
        <v>3.4377647058823499</v>
      </c>
    </row>
    <row r="3880" spans="1:2">
      <c r="A3880" s="4501" t="s">
        <v>10611</v>
      </c>
      <c r="B3880" s="3">
        <v>3.4421764705882398</v>
      </c>
    </row>
    <row r="3881" spans="1:2">
      <c r="A3881" s="4501" t="s">
        <v>10612</v>
      </c>
      <c r="B3881" s="3">
        <v>3.44658823529412</v>
      </c>
    </row>
    <row r="3882" spans="1:2">
      <c r="A3882" s="4501" t="s">
        <v>10613</v>
      </c>
      <c r="B3882" s="3">
        <v>3.4510000000000001</v>
      </c>
    </row>
    <row r="3883" spans="1:2">
      <c r="A3883" s="4501" t="s">
        <v>10614</v>
      </c>
      <c r="B3883" s="3">
        <v>3.4497931034482798</v>
      </c>
    </row>
    <row r="3884" spans="1:2">
      <c r="A3884" s="4501" t="s">
        <v>10615</v>
      </c>
      <c r="B3884" s="3">
        <v>3.4485862068965498</v>
      </c>
    </row>
    <row r="3885" spans="1:2">
      <c r="A3885" s="4501" t="s">
        <v>10616</v>
      </c>
      <c r="B3885" s="3">
        <v>3.44737931034483</v>
      </c>
    </row>
    <row r="3886" spans="1:2">
      <c r="A3886" s="4501" t="s">
        <v>10617</v>
      </c>
      <c r="B3886" s="3">
        <v>3.4461724137931</v>
      </c>
    </row>
    <row r="3887" spans="1:2">
      <c r="A3887" s="4501" t="s">
        <v>10618</v>
      </c>
      <c r="B3887" s="3">
        <v>3.4449655172413798</v>
      </c>
    </row>
    <row r="3888" spans="1:2">
      <c r="A3888" s="4501" t="s">
        <v>10619</v>
      </c>
      <c r="B3888" s="3">
        <v>3.44375862068966</v>
      </c>
    </row>
    <row r="3889" spans="1:2">
      <c r="A3889" s="4501" t="s">
        <v>10620</v>
      </c>
      <c r="B3889" s="3">
        <v>3.44255172413793</v>
      </c>
    </row>
    <row r="3890" spans="1:2">
      <c r="A3890" s="4501" t="s">
        <v>10621</v>
      </c>
      <c r="B3890" s="3">
        <v>3.4413448275862102</v>
      </c>
    </row>
    <row r="3891" spans="1:2">
      <c r="A3891" s="4501" t="s">
        <v>10622</v>
      </c>
      <c r="B3891" s="3">
        <v>3.4401379310344802</v>
      </c>
    </row>
    <row r="3892" spans="1:2">
      <c r="A3892" s="4501" t="s">
        <v>10623</v>
      </c>
      <c r="B3892" s="3">
        <v>3.4389310344827599</v>
      </c>
    </row>
    <row r="3893" spans="1:2">
      <c r="A3893" s="4501" t="s">
        <v>10624</v>
      </c>
      <c r="B3893" s="3">
        <v>3.4377241379310299</v>
      </c>
    </row>
    <row r="3894" spans="1:2">
      <c r="A3894" s="4501" t="s">
        <v>10625</v>
      </c>
      <c r="B3894" s="3">
        <v>3.4365172413793101</v>
      </c>
    </row>
    <row r="3895" spans="1:2">
      <c r="A3895" s="4501" t="s">
        <v>10626</v>
      </c>
      <c r="B3895" s="3">
        <v>3.4353103448275899</v>
      </c>
    </row>
    <row r="3896" spans="1:2">
      <c r="A3896" s="4501" t="s">
        <v>10627</v>
      </c>
      <c r="B3896" s="3">
        <v>3.4341034482758599</v>
      </c>
    </row>
    <row r="3897" spans="1:2">
      <c r="A3897" s="4501" t="s">
        <v>10628</v>
      </c>
      <c r="B3897" s="3">
        <v>3.4328965517241401</v>
      </c>
    </row>
    <row r="3898" spans="1:2">
      <c r="A3898" s="4501" t="s">
        <v>10629</v>
      </c>
      <c r="B3898" s="3">
        <v>3.4316896551724101</v>
      </c>
    </row>
    <row r="3899" spans="1:2">
      <c r="A3899" s="4501" t="s">
        <v>10630</v>
      </c>
      <c r="B3899" s="3">
        <v>3.4304827586206899</v>
      </c>
    </row>
    <row r="3900" spans="1:2">
      <c r="A3900" s="4501" t="s">
        <v>10631</v>
      </c>
      <c r="B3900" s="3">
        <v>3.4292758620689701</v>
      </c>
    </row>
    <row r="3901" spans="1:2">
      <c r="A3901" s="4501" t="s">
        <v>10632</v>
      </c>
      <c r="B3901" s="3">
        <v>3.4280689655172401</v>
      </c>
    </row>
    <row r="3902" spans="1:2">
      <c r="A3902" s="4501" t="s">
        <v>10633</v>
      </c>
      <c r="B3902" s="3">
        <v>3.4268620689655198</v>
      </c>
    </row>
    <row r="3903" spans="1:2">
      <c r="A3903" s="4501" t="s">
        <v>10634</v>
      </c>
      <c r="B3903" s="3">
        <v>3.4256551724137898</v>
      </c>
    </row>
    <row r="3904" spans="1:2">
      <c r="A3904" s="4501" t="s">
        <v>10635</v>
      </c>
      <c r="B3904" s="3">
        <v>3.42444827586207</v>
      </c>
    </row>
    <row r="3905" spans="1:2">
      <c r="A3905" s="4501" t="s">
        <v>10636</v>
      </c>
      <c r="B3905" s="3">
        <v>3.42324137931034</v>
      </c>
    </row>
    <row r="3906" spans="1:2">
      <c r="A3906" s="4501" t="s">
        <v>10637</v>
      </c>
      <c r="B3906" s="3">
        <v>3.4220344827586202</v>
      </c>
    </row>
    <row r="3907" spans="1:2">
      <c r="A3907" s="4501" t="s">
        <v>10638</v>
      </c>
      <c r="B3907" s="3">
        <v>3.4208275862069</v>
      </c>
    </row>
    <row r="3908" spans="1:2">
      <c r="A3908" s="4501" t="s">
        <v>10639</v>
      </c>
      <c r="B3908" s="3">
        <v>3.41962068965517</v>
      </c>
    </row>
    <row r="3909" spans="1:2">
      <c r="A3909" s="4501" t="s">
        <v>10640</v>
      </c>
      <c r="B3909" s="3">
        <v>3.4184137931034502</v>
      </c>
    </row>
    <row r="3910" spans="1:2">
      <c r="A3910" s="4501" t="s">
        <v>10641</v>
      </c>
      <c r="B3910" s="3">
        <v>3.4172068965517202</v>
      </c>
    </row>
    <row r="3911" spans="1:2">
      <c r="A3911" s="4501" t="s">
        <v>10642</v>
      </c>
      <c r="B3911" s="3">
        <v>3.4159999999999999</v>
      </c>
    </row>
    <row r="3912" spans="1:2">
      <c r="A3912" s="4501" t="s">
        <v>10643</v>
      </c>
      <c r="B3912" s="3">
        <v>3.4159999999999999</v>
      </c>
    </row>
    <row r="3913" spans="1:2">
      <c r="A3913" s="4501" t="s">
        <v>10644</v>
      </c>
      <c r="B3913" s="3">
        <v>3.4159999999999999</v>
      </c>
    </row>
    <row r="3914" spans="1:2">
      <c r="A3914" s="4501" t="s">
        <v>10645</v>
      </c>
      <c r="B3914" s="3">
        <v>3.4159999999999999</v>
      </c>
    </row>
    <row r="3915" spans="1:2">
      <c r="A3915" s="4501" t="s">
        <v>10646</v>
      </c>
      <c r="B3915" s="3">
        <v>3.4159999999999999</v>
      </c>
    </row>
  </sheetData>
  <mergeCells count="358">
    <mergeCell ref="E205:F205"/>
    <mergeCell ref="I205:J205"/>
    <mergeCell ref="N205:O205"/>
    <mergeCell ref="E203:F203"/>
    <mergeCell ref="I203:J203"/>
    <mergeCell ref="N203:O203"/>
    <mergeCell ref="E204:F204"/>
    <mergeCell ref="I204:J204"/>
    <mergeCell ref="N204:O204"/>
    <mergeCell ref="B200:P200"/>
    <mergeCell ref="E201:F201"/>
    <mergeCell ref="I201:J201"/>
    <mergeCell ref="N201:O201"/>
    <mergeCell ref="E202:F202"/>
    <mergeCell ref="I202:J202"/>
    <mergeCell ref="N202:O202"/>
    <mergeCell ref="AD190:AF190"/>
    <mergeCell ref="AG190:AI190"/>
    <mergeCell ref="AJ190:AL190"/>
    <mergeCell ref="AM190:AO190"/>
    <mergeCell ref="B198:E199"/>
    <mergeCell ref="F198:O198"/>
    <mergeCell ref="F199:O199"/>
    <mergeCell ref="P190:R190"/>
    <mergeCell ref="S190:U190"/>
    <mergeCell ref="V190:W190"/>
    <mergeCell ref="X190:Z190"/>
    <mergeCell ref="AA190:AC190"/>
    <mergeCell ref="B190:E190"/>
    <mergeCell ref="F190:G190"/>
    <mergeCell ref="H190:I190"/>
    <mergeCell ref="J190:L190"/>
    <mergeCell ref="M190:O190"/>
    <mergeCell ref="AA189:AC189"/>
    <mergeCell ref="AD189:AF189"/>
    <mergeCell ref="AG189:AI189"/>
    <mergeCell ref="AJ189:AL189"/>
    <mergeCell ref="AM189:AO189"/>
    <mergeCell ref="AA188:AC188"/>
    <mergeCell ref="AD188:AF188"/>
    <mergeCell ref="AG188:AI188"/>
    <mergeCell ref="B188:E188"/>
    <mergeCell ref="F188:G188"/>
    <mergeCell ref="H188:I188"/>
    <mergeCell ref="J188:L188"/>
    <mergeCell ref="M188:O188"/>
    <mergeCell ref="B189:E189"/>
    <mergeCell ref="F189:G189"/>
    <mergeCell ref="H189:I189"/>
    <mergeCell ref="J189:L189"/>
    <mergeCell ref="M189:O189"/>
    <mergeCell ref="P189:R189"/>
    <mergeCell ref="S189:U189"/>
    <mergeCell ref="V189:W189"/>
    <mergeCell ref="X189:Z189"/>
    <mergeCell ref="P188:R188"/>
    <mergeCell ref="S188:U188"/>
    <mergeCell ref="V188:W188"/>
    <mergeCell ref="X188:Z188"/>
    <mergeCell ref="AJ186:AL186"/>
    <mergeCell ref="AM186:AO186"/>
    <mergeCell ref="P187:R187"/>
    <mergeCell ref="S187:U187"/>
    <mergeCell ref="V187:W187"/>
    <mergeCell ref="X187:Z187"/>
    <mergeCell ref="AA187:AC187"/>
    <mergeCell ref="P186:R186"/>
    <mergeCell ref="S186:U186"/>
    <mergeCell ref="V186:W186"/>
    <mergeCell ref="X186:Z186"/>
    <mergeCell ref="AD187:AF187"/>
    <mergeCell ref="AG187:AI187"/>
    <mergeCell ref="AJ187:AL187"/>
    <mergeCell ref="AM187:AO187"/>
    <mergeCell ref="AJ188:AL188"/>
    <mergeCell ref="AM188:AO188"/>
    <mergeCell ref="X184:Z184"/>
    <mergeCell ref="AA184:AC184"/>
    <mergeCell ref="S185:U185"/>
    <mergeCell ref="V185:W185"/>
    <mergeCell ref="X185:Z185"/>
    <mergeCell ref="AD184:AF184"/>
    <mergeCell ref="AG184:AI184"/>
    <mergeCell ref="B187:E187"/>
    <mergeCell ref="F187:G187"/>
    <mergeCell ref="H187:I187"/>
    <mergeCell ref="J187:L187"/>
    <mergeCell ref="M187:O187"/>
    <mergeCell ref="B186:E186"/>
    <mergeCell ref="F186:G186"/>
    <mergeCell ref="H186:I186"/>
    <mergeCell ref="J186:L186"/>
    <mergeCell ref="M186:O186"/>
    <mergeCell ref="AJ184:AL184"/>
    <mergeCell ref="AM184:AO184"/>
    <mergeCell ref="AJ185:AL185"/>
    <mergeCell ref="AM185:AO185"/>
    <mergeCell ref="AA186:AC186"/>
    <mergeCell ref="AD186:AF186"/>
    <mergeCell ref="AG186:AI186"/>
    <mergeCell ref="B184:E184"/>
    <mergeCell ref="F184:G184"/>
    <mergeCell ref="H184:I184"/>
    <mergeCell ref="B185:E185"/>
    <mergeCell ref="F185:G185"/>
    <mergeCell ref="H185:I185"/>
    <mergeCell ref="J185:L185"/>
    <mergeCell ref="M185:O185"/>
    <mergeCell ref="P185:R185"/>
    <mergeCell ref="J184:L184"/>
    <mergeCell ref="M184:O184"/>
    <mergeCell ref="AA185:AC185"/>
    <mergeCell ref="AD185:AF185"/>
    <mergeCell ref="AG185:AI185"/>
    <mergeCell ref="P184:R184"/>
    <mergeCell ref="S184:U184"/>
    <mergeCell ref="V184:W184"/>
    <mergeCell ref="AJ182:AL182"/>
    <mergeCell ref="AM182:AO182"/>
    <mergeCell ref="B183:E183"/>
    <mergeCell ref="F183:G183"/>
    <mergeCell ref="H183:I183"/>
    <mergeCell ref="J183:L183"/>
    <mergeCell ref="M183:O183"/>
    <mergeCell ref="P183:R183"/>
    <mergeCell ref="S183:U183"/>
    <mergeCell ref="V183:W183"/>
    <mergeCell ref="X183:Z183"/>
    <mergeCell ref="AA183:AC183"/>
    <mergeCell ref="AD183:AF183"/>
    <mergeCell ref="AG183:AI183"/>
    <mergeCell ref="AJ183:AL183"/>
    <mergeCell ref="AM183:AO183"/>
    <mergeCell ref="AA182:AC182"/>
    <mergeCell ref="AD182:AF182"/>
    <mergeCell ref="AG182:AI182"/>
    <mergeCell ref="P181:R181"/>
    <mergeCell ref="S181:U181"/>
    <mergeCell ref="V181:W181"/>
    <mergeCell ref="X181:Z181"/>
    <mergeCell ref="AA181:AC181"/>
    <mergeCell ref="B181:E181"/>
    <mergeCell ref="F181:G181"/>
    <mergeCell ref="H181:I181"/>
    <mergeCell ref="B182:E182"/>
    <mergeCell ref="F182:G182"/>
    <mergeCell ref="H182:I182"/>
    <mergeCell ref="J182:L182"/>
    <mergeCell ref="M182:O182"/>
    <mergeCell ref="P182:R182"/>
    <mergeCell ref="S182:U182"/>
    <mergeCell ref="V182:W182"/>
    <mergeCell ref="X182:Z182"/>
    <mergeCell ref="J181:L181"/>
    <mergeCell ref="M181:O181"/>
    <mergeCell ref="AA178:AC178"/>
    <mergeCell ref="AJ179:AL179"/>
    <mergeCell ref="AM179:AO179"/>
    <mergeCell ref="B180:E180"/>
    <mergeCell ref="F180:G180"/>
    <mergeCell ref="H180:I180"/>
    <mergeCell ref="J180:L180"/>
    <mergeCell ref="M180:O180"/>
    <mergeCell ref="P180:R180"/>
    <mergeCell ref="S180:U180"/>
    <mergeCell ref="V180:W180"/>
    <mergeCell ref="X180:Z180"/>
    <mergeCell ref="AA180:AC180"/>
    <mergeCell ref="AD180:AO180"/>
    <mergeCell ref="AD178:AF178"/>
    <mergeCell ref="B178:E178"/>
    <mergeCell ref="J178:L178"/>
    <mergeCell ref="M178:O178"/>
    <mergeCell ref="X178:Z178"/>
    <mergeCell ref="AD181:AF181"/>
    <mergeCell ref="AG181:AI181"/>
    <mergeCell ref="AJ181:AL181"/>
    <mergeCell ref="AM181:AO181"/>
    <mergeCell ref="AG178:AI178"/>
    <mergeCell ref="AJ178:AL178"/>
    <mergeCell ref="AM178:AO178"/>
    <mergeCell ref="B179:E179"/>
    <mergeCell ref="F179:G179"/>
    <mergeCell ref="H179:I179"/>
    <mergeCell ref="J179:L179"/>
    <mergeCell ref="M179:O179"/>
    <mergeCell ref="P179:R179"/>
    <mergeCell ref="S179:U179"/>
    <mergeCell ref="V179:W179"/>
    <mergeCell ref="X179:Z179"/>
    <mergeCell ref="AA179:AC179"/>
    <mergeCell ref="AD179:AF179"/>
    <mergeCell ref="AG179:AI179"/>
    <mergeCell ref="P178:R178"/>
    <mergeCell ref="S178:U178"/>
    <mergeCell ref="V178:W178"/>
    <mergeCell ref="F178:G178"/>
    <mergeCell ref="H178:I178"/>
    <mergeCell ref="AD166:AF166"/>
    <mergeCell ref="AG166:AI166"/>
    <mergeCell ref="AJ166:AL166"/>
    <mergeCell ref="AM166:AO166"/>
    <mergeCell ref="B177:E177"/>
    <mergeCell ref="F177:G177"/>
    <mergeCell ref="H177:I177"/>
    <mergeCell ref="J177:R177"/>
    <mergeCell ref="S177:U177"/>
    <mergeCell ref="V177:AC177"/>
    <mergeCell ref="AD177:AO177"/>
    <mergeCell ref="P166:R166"/>
    <mergeCell ref="S166:U166"/>
    <mergeCell ref="V166:W166"/>
    <mergeCell ref="X166:Z166"/>
    <mergeCell ref="AA166:AC166"/>
    <mergeCell ref="B166:E166"/>
    <mergeCell ref="F166:G166"/>
    <mergeCell ref="H166:I166"/>
    <mergeCell ref="J166:L166"/>
    <mergeCell ref="M166:O166"/>
    <mergeCell ref="AJ164:AL164"/>
    <mergeCell ref="AM164:AO164"/>
    <mergeCell ref="B165:E165"/>
    <mergeCell ref="F165:G165"/>
    <mergeCell ref="H165:I165"/>
    <mergeCell ref="J165:L165"/>
    <mergeCell ref="M165:O165"/>
    <mergeCell ref="P165:R165"/>
    <mergeCell ref="S165:U165"/>
    <mergeCell ref="V165:W165"/>
    <mergeCell ref="X165:Z165"/>
    <mergeCell ref="AA165:AC165"/>
    <mergeCell ref="AD165:AF165"/>
    <mergeCell ref="AG165:AI165"/>
    <mergeCell ref="AJ165:AL165"/>
    <mergeCell ref="AM165:AO165"/>
    <mergeCell ref="AA164:AC164"/>
    <mergeCell ref="AD164:AF164"/>
    <mergeCell ref="AG164:AI164"/>
    <mergeCell ref="P163:R163"/>
    <mergeCell ref="S163:U163"/>
    <mergeCell ref="V163:W163"/>
    <mergeCell ref="X163:Z163"/>
    <mergeCell ref="AA163:AC163"/>
    <mergeCell ref="B163:E163"/>
    <mergeCell ref="F163:G163"/>
    <mergeCell ref="H163:I163"/>
    <mergeCell ref="B164:E164"/>
    <mergeCell ref="F164:G164"/>
    <mergeCell ref="H164:I164"/>
    <mergeCell ref="J164:L164"/>
    <mergeCell ref="M164:O164"/>
    <mergeCell ref="P164:R164"/>
    <mergeCell ref="S164:U164"/>
    <mergeCell ref="V164:W164"/>
    <mergeCell ref="X164:Z164"/>
    <mergeCell ref="J163:L163"/>
    <mergeCell ref="M163:O163"/>
    <mergeCell ref="AJ161:AL161"/>
    <mergeCell ref="AM161:AO161"/>
    <mergeCell ref="B162:E162"/>
    <mergeCell ref="F162:G162"/>
    <mergeCell ref="H162:I162"/>
    <mergeCell ref="J162:L162"/>
    <mergeCell ref="M162:O162"/>
    <mergeCell ref="P162:R162"/>
    <mergeCell ref="S162:U162"/>
    <mergeCell ref="V162:W162"/>
    <mergeCell ref="X162:Z162"/>
    <mergeCell ref="AA162:AC162"/>
    <mergeCell ref="AD162:AF162"/>
    <mergeCell ref="AG162:AI162"/>
    <mergeCell ref="AJ162:AL162"/>
    <mergeCell ref="AM162:AO162"/>
    <mergeCell ref="AD163:AF163"/>
    <mergeCell ref="AG163:AI163"/>
    <mergeCell ref="AJ163:AL163"/>
    <mergeCell ref="AM163:AO163"/>
    <mergeCell ref="AD160:AF160"/>
    <mergeCell ref="AG160:AI160"/>
    <mergeCell ref="AJ160:AL160"/>
    <mergeCell ref="AM160:AO160"/>
    <mergeCell ref="B161:E161"/>
    <mergeCell ref="F161:G161"/>
    <mergeCell ref="H161:I161"/>
    <mergeCell ref="J161:L161"/>
    <mergeCell ref="M161:O161"/>
    <mergeCell ref="P161:R161"/>
    <mergeCell ref="S161:U161"/>
    <mergeCell ref="V161:W161"/>
    <mergeCell ref="X161:Z161"/>
    <mergeCell ref="AA161:AC161"/>
    <mergeCell ref="AD161:AF161"/>
    <mergeCell ref="AG161:AI161"/>
    <mergeCell ref="P160:R160"/>
    <mergeCell ref="S160:U160"/>
    <mergeCell ref="V160:W160"/>
    <mergeCell ref="X160:Z160"/>
    <mergeCell ref="AA160:AC160"/>
    <mergeCell ref="B160:E160"/>
    <mergeCell ref="F160:G160"/>
    <mergeCell ref="H160:I160"/>
    <mergeCell ref="J160:L160"/>
    <mergeCell ref="M160:O160"/>
    <mergeCell ref="AD158:AF158"/>
    <mergeCell ref="AG158:AI158"/>
    <mergeCell ref="AJ158:AL158"/>
    <mergeCell ref="AM158:AO158"/>
    <mergeCell ref="B159:E159"/>
    <mergeCell ref="F159:G159"/>
    <mergeCell ref="H159:I159"/>
    <mergeCell ref="J159:L159"/>
    <mergeCell ref="M159:O159"/>
    <mergeCell ref="P159:R159"/>
    <mergeCell ref="S159:U159"/>
    <mergeCell ref="V159:W159"/>
    <mergeCell ref="X159:Z159"/>
    <mergeCell ref="AA159:AC159"/>
    <mergeCell ref="AD159:AO159"/>
    <mergeCell ref="P158:R158"/>
    <mergeCell ref="S158:U158"/>
    <mergeCell ref="V158:W158"/>
    <mergeCell ref="X158:Z158"/>
    <mergeCell ref="AA158:AC158"/>
    <mergeCell ref="B158:E158"/>
    <mergeCell ref="F158:G158"/>
    <mergeCell ref="H158:I158"/>
    <mergeCell ref="J158:L158"/>
    <mergeCell ref="M158:O158"/>
    <mergeCell ref="V156:AC156"/>
    <mergeCell ref="AD156:AO156"/>
    <mergeCell ref="B157:E157"/>
    <mergeCell ref="F157:G157"/>
    <mergeCell ref="H157:I157"/>
    <mergeCell ref="J157:L157"/>
    <mergeCell ref="M157:O157"/>
    <mergeCell ref="P157:R157"/>
    <mergeCell ref="S157:U157"/>
    <mergeCell ref="V157:W157"/>
    <mergeCell ref="X157:Z157"/>
    <mergeCell ref="AA157:AC157"/>
    <mergeCell ref="AD157:AF157"/>
    <mergeCell ref="AG157:AI157"/>
    <mergeCell ref="AJ157:AL157"/>
    <mergeCell ref="AM157:AO157"/>
    <mergeCell ref="B156:E156"/>
    <mergeCell ref="F156:G156"/>
    <mergeCell ref="H156:I156"/>
    <mergeCell ref="J156:R156"/>
    <mergeCell ref="S156:U156"/>
    <mergeCell ref="B30:N30"/>
    <mergeCell ref="O30:O31"/>
    <mergeCell ref="L32:N33"/>
    <mergeCell ref="B18:N18"/>
    <mergeCell ref="O18:O19"/>
    <mergeCell ref="B22:N22"/>
    <mergeCell ref="O22:O23"/>
    <mergeCell ref="B26:N26"/>
    <mergeCell ref="O26:O27"/>
  </mergeCells>
  <phoneticPr fontId="1" type="noConversion"/>
  <conditionalFormatting sqref="M86:N86">
    <cfRule type="cellIs" dxfId="374" priority="26" operator="equal">
      <formula>"X"</formula>
    </cfRule>
    <cfRule type="cellIs" dxfId="373" priority="27" operator="equal">
      <formula>"O"</formula>
    </cfRule>
    <cfRule type="cellIs" dxfId="372" priority="28" operator="equal">
      <formula>"미정"</formula>
    </cfRule>
    <cfRule type="cellIs" dxfId="371" priority="29" operator="equal">
      <formula>"예정"</formula>
    </cfRule>
    <cfRule type="cellIs" dxfId="370" priority="30" operator="equal">
      <formula>"확정"</formula>
    </cfRule>
  </conditionalFormatting>
  <conditionalFormatting sqref="O86">
    <cfRule type="cellIs" dxfId="369" priority="21" operator="equal">
      <formula>"X"</formula>
    </cfRule>
    <cfRule type="cellIs" dxfId="368" priority="22" operator="equal">
      <formula>"O"</formula>
    </cfRule>
    <cfRule type="cellIs" dxfId="367" priority="23" operator="equal">
      <formula>"미정"</formula>
    </cfRule>
    <cfRule type="cellIs" dxfId="366" priority="24" operator="equal">
      <formula>"예정"</formula>
    </cfRule>
    <cfRule type="cellIs" dxfId="365" priority="25" operator="equal">
      <formula>"확정"</formula>
    </cfRule>
  </conditionalFormatting>
  <conditionalFormatting sqref="M99:N99">
    <cfRule type="cellIs" dxfId="364" priority="16" operator="equal">
      <formula>"X"</formula>
    </cfRule>
    <cfRule type="cellIs" dxfId="363" priority="17" operator="equal">
      <formula>"O"</formula>
    </cfRule>
    <cfRule type="cellIs" dxfId="362" priority="18" operator="equal">
      <formula>"미정"</formula>
    </cfRule>
    <cfRule type="cellIs" dxfId="361" priority="19" operator="equal">
      <formula>"예정"</formula>
    </cfRule>
    <cfRule type="cellIs" dxfId="360" priority="20" operator="equal">
      <formula>"확정"</formula>
    </cfRule>
  </conditionalFormatting>
  <conditionalFormatting sqref="O99">
    <cfRule type="cellIs" dxfId="359" priority="11" operator="equal">
      <formula>"X"</formula>
    </cfRule>
    <cfRule type="cellIs" dxfId="358" priority="12" operator="equal">
      <formula>"O"</formula>
    </cfRule>
    <cfRule type="cellIs" dxfId="357" priority="13" operator="equal">
      <formula>"미정"</formula>
    </cfRule>
    <cfRule type="cellIs" dxfId="356" priority="14" operator="equal">
      <formula>"예정"</formula>
    </cfRule>
    <cfRule type="cellIs" dxfId="355" priority="15" operator="equal">
      <formula>"확정"</formula>
    </cfRule>
  </conditionalFormatting>
  <conditionalFormatting sqref="M131:N131">
    <cfRule type="cellIs" dxfId="354" priority="6" operator="equal">
      <formula>"X"</formula>
    </cfRule>
    <cfRule type="cellIs" dxfId="353" priority="7" operator="equal">
      <formula>"O"</formula>
    </cfRule>
    <cfRule type="cellIs" dxfId="352" priority="8" operator="equal">
      <formula>"미정"</formula>
    </cfRule>
    <cfRule type="cellIs" dxfId="351" priority="9" operator="equal">
      <formula>"예정"</formula>
    </cfRule>
    <cfRule type="cellIs" dxfId="350" priority="10" operator="equal">
      <formula>"확정"</formula>
    </cfRule>
  </conditionalFormatting>
  <conditionalFormatting sqref="O131">
    <cfRule type="cellIs" dxfId="349" priority="1" operator="equal">
      <formula>"X"</formula>
    </cfRule>
    <cfRule type="cellIs" dxfId="348" priority="2" operator="equal">
      <formula>"O"</formula>
    </cfRule>
    <cfRule type="cellIs" dxfId="347" priority="3" operator="equal">
      <formula>"미정"</formula>
    </cfRule>
    <cfRule type="cellIs" dxfId="346" priority="4" operator="equal">
      <formula>"예정"</formula>
    </cfRule>
    <cfRule type="cellIs" dxfId="345" priority="5" operator="equal">
      <formula>"확정"</formula>
    </cfRule>
  </conditionalFormatting>
  <pageMargins left="0.7" right="0.7" top="0.75" bottom="0.75" header="0.3" footer="0.3"/>
  <pageSetup paperSize="9"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66227-75C0-4380-AF80-60A53CC3283C}">
  <sheetPr codeName="Sheet47"/>
  <dimension ref="A1:S34"/>
  <sheetViews>
    <sheetView workbookViewId="0"/>
  </sheetViews>
  <sheetFormatPr defaultRowHeight="16.5"/>
  <cols>
    <col min="4" max="7" width="12.875" bestFit="1" customWidth="1"/>
    <col min="13" max="19" width="9.125" bestFit="1" customWidth="1"/>
  </cols>
  <sheetData>
    <row r="1" spans="1:19">
      <c r="A1" s="268"/>
      <c r="B1" s="4256" t="s">
        <v>6622</v>
      </c>
      <c r="C1" s="4257"/>
      <c r="D1" s="268"/>
      <c r="E1" s="268"/>
      <c r="F1" s="268"/>
      <c r="G1" s="268"/>
      <c r="H1" s="268"/>
      <c r="I1" s="3"/>
      <c r="J1" s="3"/>
      <c r="K1" s="32" t="s">
        <v>6623</v>
      </c>
      <c r="L1" s="3"/>
      <c r="M1" s="3"/>
      <c r="N1" s="3"/>
      <c r="O1" s="3"/>
      <c r="P1" s="3"/>
      <c r="Q1" s="3"/>
      <c r="R1" s="3"/>
      <c r="S1" s="3"/>
    </row>
    <row r="2" spans="1:19">
      <c r="A2" s="268"/>
      <c r="B2" s="268"/>
      <c r="C2" s="4257"/>
      <c r="D2" s="268"/>
      <c r="E2" s="268"/>
      <c r="F2" s="268"/>
      <c r="G2" s="268"/>
      <c r="H2" s="4258" t="s">
        <v>6624</v>
      </c>
      <c r="I2" s="3"/>
      <c r="J2" s="3"/>
      <c r="K2" s="3"/>
      <c r="L2" s="3"/>
      <c r="M2" s="3"/>
      <c r="N2" s="3"/>
      <c r="O2" s="3"/>
      <c r="P2" s="2633" t="s">
        <v>6625</v>
      </c>
      <c r="Q2" s="3"/>
      <c r="R2" s="3"/>
      <c r="S2" s="3"/>
    </row>
    <row r="3" spans="1:19">
      <c r="A3" s="268"/>
      <c r="B3" s="5336" t="s">
        <v>354</v>
      </c>
      <c r="C3" s="5336"/>
      <c r="D3" s="4259" t="s">
        <v>134</v>
      </c>
      <c r="E3" s="4259" t="s">
        <v>129</v>
      </c>
      <c r="F3" s="4259" t="s">
        <v>127</v>
      </c>
      <c r="G3" s="4259" t="s">
        <v>2063</v>
      </c>
      <c r="H3" s="4259" t="s">
        <v>6626</v>
      </c>
      <c r="I3" s="3"/>
      <c r="J3" s="3"/>
      <c r="K3" s="5337" t="s">
        <v>354</v>
      </c>
      <c r="L3" s="5337"/>
      <c r="M3" s="270" t="s">
        <v>134</v>
      </c>
      <c r="N3" s="270" t="s">
        <v>129</v>
      </c>
      <c r="O3" s="270" t="s">
        <v>127</v>
      </c>
      <c r="P3" s="270" t="s">
        <v>2063</v>
      </c>
      <c r="Q3" s="270" t="s">
        <v>2064</v>
      </c>
      <c r="R3" s="270" t="s">
        <v>2065</v>
      </c>
      <c r="S3" s="270" t="s">
        <v>6627</v>
      </c>
    </row>
    <row r="4" spans="1:19">
      <c r="A4" s="268" t="s">
        <v>1289</v>
      </c>
      <c r="B4" s="5338" t="s">
        <v>4900</v>
      </c>
      <c r="C4" s="4260" t="s">
        <v>6064</v>
      </c>
      <c r="D4" s="4261">
        <v>1781237742</v>
      </c>
      <c r="E4" s="4261">
        <v>1830145499</v>
      </c>
      <c r="F4" s="4261">
        <v>1872505539</v>
      </c>
      <c r="G4" s="4261">
        <v>1459728785</v>
      </c>
      <c r="H4" s="4261"/>
      <c r="I4" s="3"/>
      <c r="J4" s="3"/>
      <c r="K4" s="5341" t="s">
        <v>6628</v>
      </c>
      <c r="L4" s="270" t="s">
        <v>6158</v>
      </c>
      <c r="M4" s="4261">
        <v>1</v>
      </c>
      <c r="N4" s="4261">
        <v>1</v>
      </c>
      <c r="O4" s="4261">
        <v>1</v>
      </c>
      <c r="P4" s="4261">
        <v>2</v>
      </c>
      <c r="Q4" s="4261">
        <v>2</v>
      </c>
      <c r="R4" s="4261">
        <v>2</v>
      </c>
      <c r="S4" s="4261">
        <v>2</v>
      </c>
    </row>
    <row r="5" spans="1:19">
      <c r="A5" s="268"/>
      <c r="B5" s="5339"/>
      <c r="C5" s="4260" t="s">
        <v>6065</v>
      </c>
      <c r="D5" s="4261">
        <v>1078055237</v>
      </c>
      <c r="E5" s="4261">
        <v>1097278123</v>
      </c>
      <c r="F5" s="4261">
        <v>1377889803</v>
      </c>
      <c r="G5" s="4261">
        <v>947696447</v>
      </c>
      <c r="H5" s="4261"/>
      <c r="I5" s="3"/>
      <c r="J5" s="3"/>
      <c r="K5" s="5342"/>
      <c r="L5" s="270" t="s">
        <v>6159</v>
      </c>
      <c r="M5" s="4261">
        <v>33</v>
      </c>
      <c r="N5" s="4261">
        <v>36</v>
      </c>
      <c r="O5" s="4261">
        <v>36</v>
      </c>
      <c r="P5" s="4261">
        <v>35</v>
      </c>
      <c r="Q5" s="4261">
        <v>35</v>
      </c>
      <c r="R5" s="4261">
        <v>35</v>
      </c>
      <c r="S5" s="4261">
        <v>35</v>
      </c>
    </row>
    <row r="6" spans="1:19">
      <c r="A6" s="268"/>
      <c r="B6" s="5340"/>
      <c r="C6" s="4262" t="s">
        <v>6629</v>
      </c>
      <c r="D6" s="4263">
        <v>2859292979</v>
      </c>
      <c r="E6" s="4263">
        <v>2927423622</v>
      </c>
      <c r="F6" s="4263">
        <v>3250395342</v>
      </c>
      <c r="G6" s="4263">
        <v>2407425232</v>
      </c>
      <c r="H6" s="4263"/>
      <c r="I6" s="3"/>
      <c r="J6" s="3"/>
      <c r="K6" s="5341" t="s">
        <v>6065</v>
      </c>
      <c r="L6" s="270" t="s">
        <v>6158</v>
      </c>
      <c r="M6" s="4261">
        <v>2</v>
      </c>
      <c r="N6" s="4261">
        <v>3</v>
      </c>
      <c r="O6" s="4261">
        <v>3</v>
      </c>
      <c r="P6" s="4261">
        <v>3</v>
      </c>
      <c r="Q6" s="4261">
        <v>3</v>
      </c>
      <c r="R6" s="4261">
        <v>3</v>
      </c>
      <c r="S6" s="4261">
        <v>3</v>
      </c>
    </row>
    <row r="7" spans="1:19">
      <c r="A7" s="268" t="s">
        <v>1289</v>
      </c>
      <c r="B7" s="5338" t="s">
        <v>4901</v>
      </c>
      <c r="C7" s="4260" t="s">
        <v>6064</v>
      </c>
      <c r="D7" s="4261">
        <v>227295600</v>
      </c>
      <c r="E7" s="4261">
        <v>199550742</v>
      </c>
      <c r="F7" s="4261">
        <v>214065900</v>
      </c>
      <c r="G7" s="4261">
        <v>109943827</v>
      </c>
      <c r="H7" s="4261"/>
      <c r="I7" s="3"/>
      <c r="J7" s="3"/>
      <c r="K7" s="5342"/>
      <c r="L7" s="270" t="s">
        <v>6159</v>
      </c>
      <c r="M7" s="4261">
        <v>29</v>
      </c>
      <c r="N7" s="4261">
        <v>26</v>
      </c>
      <c r="O7" s="4261">
        <v>27</v>
      </c>
      <c r="P7" s="4261">
        <v>29</v>
      </c>
      <c r="Q7" s="4261">
        <v>29</v>
      </c>
      <c r="R7" s="4261">
        <v>29</v>
      </c>
      <c r="S7" s="4261">
        <v>29</v>
      </c>
    </row>
    <row r="8" spans="1:19">
      <c r="A8" s="268"/>
      <c r="B8" s="5339"/>
      <c r="C8" s="4260" t="s">
        <v>6065</v>
      </c>
      <c r="D8" s="4261">
        <v>236102903</v>
      </c>
      <c r="E8" s="4261">
        <v>328071838</v>
      </c>
      <c r="F8" s="4261">
        <v>351410292</v>
      </c>
      <c r="G8" s="4261">
        <v>232557143</v>
      </c>
      <c r="H8" s="4261"/>
      <c r="I8" s="3"/>
      <c r="J8" s="3"/>
      <c r="K8" s="5337" t="s">
        <v>55</v>
      </c>
      <c r="L8" s="5337"/>
      <c r="M8" s="4261">
        <v>65</v>
      </c>
      <c r="N8" s="4261">
        <v>66</v>
      </c>
      <c r="O8" s="4261">
        <v>67</v>
      </c>
      <c r="P8" s="4261">
        <v>69</v>
      </c>
      <c r="Q8" s="4261">
        <v>69</v>
      </c>
      <c r="R8" s="4261">
        <v>69</v>
      </c>
      <c r="S8" s="4261">
        <v>69</v>
      </c>
    </row>
    <row r="9" spans="1:19">
      <c r="A9" s="268"/>
      <c r="B9" s="5343"/>
      <c r="C9" s="4262" t="s">
        <v>6629</v>
      </c>
      <c r="D9" s="4263">
        <v>463398503</v>
      </c>
      <c r="E9" s="4263">
        <v>527622580</v>
      </c>
      <c r="F9" s="4263">
        <v>565476192</v>
      </c>
      <c r="G9" s="4263">
        <v>342500970</v>
      </c>
      <c r="H9" s="4263"/>
      <c r="I9" s="3"/>
      <c r="J9" s="3"/>
      <c r="K9" s="3" t="s">
        <v>6630</v>
      </c>
      <c r="L9" s="3"/>
      <c r="M9" s="3"/>
      <c r="N9" s="3"/>
      <c r="O9" s="3"/>
      <c r="P9" s="3"/>
      <c r="Q9" s="3"/>
      <c r="R9" s="3"/>
      <c r="S9" s="3"/>
    </row>
    <row r="10" spans="1:19">
      <c r="A10" s="268" t="s">
        <v>1289</v>
      </c>
      <c r="B10" s="5338" t="s">
        <v>1414</v>
      </c>
      <c r="C10" s="4260" t="s">
        <v>6064</v>
      </c>
      <c r="D10" s="4261">
        <v>189487927</v>
      </c>
      <c r="E10" s="4261">
        <v>216454855</v>
      </c>
      <c r="F10" s="4261">
        <v>183692342</v>
      </c>
      <c r="G10" s="4261">
        <v>145221723</v>
      </c>
      <c r="H10" s="4261"/>
      <c r="I10" s="3"/>
      <c r="J10" s="3"/>
      <c r="K10" s="4264" t="s">
        <v>6631</v>
      </c>
      <c r="L10" s="3"/>
      <c r="M10" s="3"/>
      <c r="N10" s="3"/>
      <c r="O10" s="3"/>
      <c r="P10" s="3"/>
      <c r="Q10" s="3"/>
      <c r="R10" s="3"/>
      <c r="S10" s="3"/>
    </row>
    <row r="11" spans="1:19">
      <c r="A11" s="268"/>
      <c r="B11" s="5344"/>
      <c r="C11" s="4260" t="s">
        <v>6065</v>
      </c>
      <c r="D11" s="4261">
        <v>131052959</v>
      </c>
      <c r="E11" s="4261">
        <v>145583247</v>
      </c>
      <c r="F11" s="4261">
        <v>137393219</v>
      </c>
      <c r="G11" s="4261">
        <v>109047483</v>
      </c>
      <c r="H11" s="4261"/>
      <c r="I11" s="3"/>
      <c r="J11" s="3"/>
      <c r="K11" s="3" t="s">
        <v>6502</v>
      </c>
      <c r="L11" s="3"/>
      <c r="M11" s="3"/>
      <c r="N11" s="3"/>
      <c r="O11" s="3"/>
      <c r="P11" s="3"/>
      <c r="Q11" s="3"/>
      <c r="R11" s="3"/>
      <c r="S11" s="3"/>
    </row>
    <row r="12" spans="1:19">
      <c r="A12" s="268"/>
      <c r="B12" s="5343"/>
      <c r="C12" s="4262" t="s">
        <v>6629</v>
      </c>
      <c r="D12" s="4263">
        <v>320540886</v>
      </c>
      <c r="E12" s="4263">
        <v>362038102</v>
      </c>
      <c r="F12" s="4263">
        <v>321085561</v>
      </c>
      <c r="G12" s="4263">
        <v>254269206</v>
      </c>
      <c r="H12" s="4263"/>
      <c r="I12" s="3"/>
      <c r="J12" s="3"/>
      <c r="K12" s="3"/>
      <c r="L12" s="3"/>
      <c r="M12" s="3"/>
      <c r="N12" s="3"/>
      <c r="O12" s="3"/>
      <c r="P12" s="3"/>
      <c r="Q12" s="3"/>
      <c r="R12" s="3"/>
      <c r="S12" s="3"/>
    </row>
    <row r="13" spans="1:19">
      <c r="A13" s="268" t="s">
        <v>1287</v>
      </c>
      <c r="B13" s="5345" t="s">
        <v>1415</v>
      </c>
      <c r="C13" s="4265" t="s">
        <v>6064</v>
      </c>
      <c r="D13" s="4261">
        <v>620981307</v>
      </c>
      <c r="E13" s="4261">
        <v>512926947</v>
      </c>
      <c r="F13" s="4261">
        <v>521793915</v>
      </c>
      <c r="G13" s="4261">
        <v>384193234</v>
      </c>
      <c r="H13" s="4261"/>
      <c r="I13" s="3"/>
      <c r="J13" s="3"/>
      <c r="K13" s="3"/>
      <c r="L13" s="3"/>
      <c r="M13" s="3"/>
      <c r="N13" s="3"/>
      <c r="O13" s="3"/>
      <c r="P13" s="3"/>
      <c r="Q13" s="3"/>
      <c r="R13" s="3"/>
      <c r="S13" s="3"/>
    </row>
    <row r="14" spans="1:19">
      <c r="A14" s="268"/>
      <c r="B14" s="5346"/>
      <c r="C14" s="4265" t="s">
        <v>6065</v>
      </c>
      <c r="D14" s="4261">
        <v>259413359</v>
      </c>
      <c r="E14" s="4261">
        <v>260651051</v>
      </c>
      <c r="F14" s="4261">
        <v>348837997</v>
      </c>
      <c r="G14" s="4261">
        <v>250444703</v>
      </c>
      <c r="H14" s="4261"/>
      <c r="I14" s="3"/>
      <c r="J14" s="3"/>
      <c r="K14" s="3"/>
      <c r="L14" s="3"/>
      <c r="M14" s="3"/>
      <c r="N14" s="3"/>
      <c r="O14" s="3"/>
      <c r="P14" s="3"/>
      <c r="Q14" s="3"/>
      <c r="R14" s="3"/>
      <c r="S14" s="3"/>
    </row>
    <row r="15" spans="1:19">
      <c r="A15" s="268"/>
      <c r="B15" s="5346"/>
      <c r="C15" s="4266" t="s">
        <v>6629</v>
      </c>
      <c r="D15" s="4263">
        <v>880394666</v>
      </c>
      <c r="E15" s="4263">
        <v>773577998</v>
      </c>
      <c r="F15" s="4263">
        <v>870631912</v>
      </c>
      <c r="G15" s="4263">
        <v>634637937</v>
      </c>
      <c r="H15" s="4263"/>
      <c r="I15" s="3"/>
      <c r="J15" s="3"/>
      <c r="K15" s="3"/>
      <c r="L15" s="3"/>
      <c r="M15" s="3"/>
      <c r="N15" s="3"/>
      <c r="O15" s="3"/>
      <c r="P15" s="3"/>
      <c r="Q15" s="3"/>
      <c r="R15" s="3"/>
      <c r="S15" s="3"/>
    </row>
    <row r="16" spans="1:19">
      <c r="A16" s="268"/>
      <c r="B16" s="5347" t="s">
        <v>2890</v>
      </c>
      <c r="C16" s="5348"/>
      <c r="D16" s="4267">
        <v>4523627034</v>
      </c>
      <c r="E16" s="4267">
        <v>4590662302</v>
      </c>
      <c r="F16" s="4267">
        <v>5007589007</v>
      </c>
      <c r="G16" s="4267">
        <v>3638833345</v>
      </c>
      <c r="H16" s="4267"/>
      <c r="I16" s="3"/>
      <c r="J16" s="3"/>
      <c r="K16" s="3"/>
      <c r="L16" s="3"/>
      <c r="M16" s="3"/>
      <c r="N16" s="3"/>
      <c r="O16" s="3"/>
      <c r="P16" s="3"/>
      <c r="Q16" s="3"/>
      <c r="R16" s="3"/>
      <c r="S16" s="3"/>
    </row>
    <row r="17" spans="1:19">
      <c r="A17" s="268"/>
      <c r="B17" s="268" t="s">
        <v>6632</v>
      </c>
      <c r="C17" s="4257"/>
      <c r="D17" s="268"/>
      <c r="E17" s="268"/>
      <c r="F17" s="268"/>
      <c r="G17" s="268"/>
      <c r="H17" s="268"/>
      <c r="I17" s="3"/>
      <c r="J17" s="3"/>
      <c r="K17" s="3"/>
      <c r="L17" s="3"/>
      <c r="M17" s="3"/>
      <c r="N17" s="3"/>
      <c r="O17" s="3"/>
      <c r="P17" s="3"/>
      <c r="Q17" s="3"/>
      <c r="R17" s="3"/>
      <c r="S17" s="3"/>
    </row>
    <row r="18" spans="1:19">
      <c r="A18" s="268"/>
      <c r="B18" s="268"/>
      <c r="C18" s="4257"/>
      <c r="D18" s="268"/>
      <c r="E18" s="268"/>
      <c r="F18" s="268"/>
      <c r="G18" s="268"/>
      <c r="H18" s="268"/>
      <c r="I18" s="3"/>
      <c r="J18" s="3"/>
      <c r="K18" s="3"/>
      <c r="L18" s="3"/>
      <c r="M18" s="3"/>
      <c r="N18" s="3"/>
      <c r="O18" s="3"/>
      <c r="P18" s="3"/>
      <c r="Q18" s="3"/>
      <c r="R18" s="3"/>
      <c r="S18" s="3"/>
    </row>
    <row r="19" spans="1:19">
      <c r="A19" s="268"/>
      <c r="B19" s="4256" t="s">
        <v>6633</v>
      </c>
      <c r="C19" s="4257"/>
      <c r="D19" s="268"/>
      <c r="E19" s="268"/>
      <c r="F19" s="268"/>
      <c r="G19" s="268"/>
      <c r="H19" s="268"/>
      <c r="I19" s="3"/>
      <c r="J19" s="3"/>
      <c r="K19" s="3"/>
      <c r="L19" s="3"/>
      <c r="M19" s="3"/>
      <c r="N19" s="3"/>
      <c r="O19" s="3"/>
      <c r="P19" s="3"/>
      <c r="Q19" s="3"/>
      <c r="R19" s="3"/>
      <c r="S19" s="3"/>
    </row>
    <row r="20" spans="1:19">
      <c r="A20" s="268"/>
      <c r="B20" s="5349" t="s">
        <v>354</v>
      </c>
      <c r="C20" s="5350"/>
      <c r="D20" s="4259" t="s">
        <v>6634</v>
      </c>
      <c r="E20" s="5349" t="s">
        <v>6635</v>
      </c>
      <c r="F20" s="5350"/>
      <c r="G20" s="4259" t="s">
        <v>6636</v>
      </c>
      <c r="H20" s="4259" t="s">
        <v>6626</v>
      </c>
      <c r="I20" s="3"/>
      <c r="J20" s="3"/>
      <c r="K20" s="3"/>
      <c r="L20" s="3"/>
      <c r="M20" s="3"/>
      <c r="N20" s="3"/>
      <c r="O20" s="3"/>
      <c r="P20" s="3"/>
      <c r="Q20" s="3"/>
      <c r="R20" s="3"/>
      <c r="S20" s="3"/>
    </row>
    <row r="21" spans="1:19">
      <c r="A21" s="268"/>
      <c r="B21" s="4261" t="s">
        <v>4900</v>
      </c>
      <c r="C21" s="4260" t="s">
        <v>6065</v>
      </c>
      <c r="D21" s="4260" t="s">
        <v>6637</v>
      </c>
      <c r="E21" s="4268" t="s">
        <v>6620</v>
      </c>
      <c r="F21" s="4269"/>
      <c r="G21" s="4261">
        <v>4704000</v>
      </c>
      <c r="H21" s="4261"/>
      <c r="I21" s="3"/>
      <c r="J21" s="3"/>
      <c r="K21" s="3"/>
      <c r="L21" s="3"/>
      <c r="M21" s="3"/>
      <c r="N21" s="3"/>
      <c r="O21" s="3"/>
      <c r="P21" s="3"/>
      <c r="Q21" s="3"/>
      <c r="R21" s="3"/>
      <c r="S21" s="3"/>
    </row>
    <row r="22" spans="1:19">
      <c r="A22" s="268"/>
      <c r="B22" s="4261" t="s">
        <v>4900</v>
      </c>
      <c r="C22" s="4260" t="s">
        <v>6065</v>
      </c>
      <c r="D22" s="4260" t="s">
        <v>6638</v>
      </c>
      <c r="E22" s="4268" t="s">
        <v>6621</v>
      </c>
      <c r="F22" s="4269"/>
      <c r="G22" s="4261">
        <v>130000000</v>
      </c>
      <c r="H22" s="4261"/>
      <c r="I22" s="3"/>
      <c r="J22" s="3"/>
      <c r="K22" s="3"/>
      <c r="L22" s="3"/>
      <c r="M22" s="3"/>
      <c r="N22" s="3"/>
      <c r="O22" s="3"/>
      <c r="P22" s="3"/>
      <c r="Q22" s="3"/>
      <c r="R22" s="3"/>
      <c r="S22" s="3"/>
    </row>
    <row r="23" spans="1:19">
      <c r="A23" s="3"/>
      <c r="B23" s="3"/>
      <c r="C23" s="3"/>
      <c r="D23" s="3"/>
      <c r="E23" s="3"/>
      <c r="F23" s="3"/>
      <c r="G23" s="3"/>
      <c r="H23" s="3"/>
      <c r="I23" s="3"/>
      <c r="J23" s="3"/>
      <c r="K23" s="3"/>
      <c r="L23" s="3"/>
      <c r="M23" s="3"/>
      <c r="N23" s="3"/>
      <c r="O23" s="3"/>
      <c r="P23" s="3"/>
      <c r="Q23" s="3"/>
      <c r="R23" s="3"/>
      <c r="S23" s="3"/>
    </row>
    <row r="24" spans="1:19">
      <c r="A24" s="3"/>
      <c r="B24" s="3" t="s">
        <v>6502</v>
      </c>
      <c r="C24" s="3"/>
      <c r="D24" s="3"/>
      <c r="E24" s="3"/>
      <c r="F24" s="3"/>
      <c r="G24" s="3"/>
      <c r="H24" s="3"/>
      <c r="I24" s="3"/>
      <c r="J24" s="3"/>
      <c r="K24" s="3"/>
      <c r="L24" s="3"/>
      <c r="M24" s="3"/>
      <c r="N24" s="3"/>
      <c r="O24" s="3"/>
      <c r="P24" s="3"/>
      <c r="Q24" s="3"/>
      <c r="R24" s="3"/>
      <c r="S24" s="3"/>
    </row>
    <row r="25" spans="1:19">
      <c r="A25" s="3"/>
      <c r="B25" s="3"/>
      <c r="C25" s="3"/>
      <c r="D25" s="3"/>
      <c r="E25" s="3"/>
      <c r="F25" s="3"/>
      <c r="G25" s="3"/>
      <c r="H25" s="3"/>
      <c r="I25" s="3"/>
      <c r="J25" s="3"/>
      <c r="K25" s="3"/>
      <c r="L25" s="3"/>
      <c r="M25" s="3"/>
      <c r="N25" s="3"/>
      <c r="O25" s="3"/>
      <c r="P25" s="3"/>
      <c r="Q25" s="3"/>
      <c r="R25" s="3"/>
      <c r="S25" s="3"/>
    </row>
    <row r="26" spans="1:19">
      <c r="A26" s="569"/>
      <c r="B26" s="4155"/>
      <c r="C26" s="569"/>
      <c r="D26" s="569"/>
      <c r="E26" s="569"/>
      <c r="F26" s="569"/>
      <c r="G26" s="569"/>
      <c r="H26" s="569"/>
      <c r="I26" s="569"/>
      <c r="J26" s="569"/>
      <c r="K26" s="569"/>
      <c r="L26" s="569"/>
      <c r="M26" s="569"/>
      <c r="N26" s="569"/>
      <c r="O26" s="569"/>
      <c r="P26" s="569"/>
      <c r="Q26" s="569"/>
      <c r="R26" s="569"/>
      <c r="S26" s="569"/>
    </row>
    <row r="27" spans="1:19">
      <c r="A27" s="4270"/>
      <c r="B27" s="4270"/>
      <c r="C27" s="4270"/>
      <c r="D27" s="4270"/>
      <c r="E27" s="4270"/>
      <c r="F27" s="4270"/>
      <c r="G27" s="4270"/>
      <c r="H27" s="4270"/>
      <c r="I27" s="4270"/>
      <c r="J27" s="4270"/>
      <c r="K27" s="4270"/>
      <c r="L27" s="4270"/>
      <c r="M27" s="4270"/>
      <c r="N27" s="4270"/>
      <c r="O27" s="4270"/>
      <c r="P27" s="4270"/>
      <c r="Q27" s="4270"/>
      <c r="R27" s="4270"/>
      <c r="S27" s="4270"/>
    </row>
    <row r="28" spans="1:19">
      <c r="A28" s="569"/>
      <c r="B28" s="3"/>
      <c r="C28" s="569"/>
      <c r="D28" s="569"/>
      <c r="E28" s="569"/>
      <c r="F28" s="569"/>
      <c r="G28" s="569"/>
      <c r="H28" s="4271"/>
      <c r="I28" s="4271"/>
      <c r="J28" s="569"/>
      <c r="K28" s="3"/>
      <c r="L28" s="569"/>
      <c r="M28" s="569"/>
      <c r="N28" s="569"/>
      <c r="O28" s="569"/>
      <c r="P28" s="569"/>
      <c r="Q28" s="569"/>
      <c r="R28" s="569"/>
      <c r="S28" s="569"/>
    </row>
    <row r="29" spans="1:19">
      <c r="A29" s="3"/>
      <c r="B29" s="3"/>
      <c r="C29" s="3"/>
      <c r="D29" s="3"/>
      <c r="E29" s="3"/>
      <c r="F29" s="3"/>
      <c r="G29" s="3"/>
      <c r="H29" s="3"/>
      <c r="I29" s="3"/>
      <c r="J29" s="3"/>
      <c r="K29" s="3"/>
      <c r="L29" s="3"/>
      <c r="M29" s="3"/>
      <c r="N29" s="3"/>
      <c r="O29" s="3"/>
      <c r="P29" s="3"/>
      <c r="Q29" s="3"/>
      <c r="R29" s="3"/>
      <c r="S29" s="3"/>
    </row>
    <row r="30" spans="1:19">
      <c r="A30" s="3"/>
      <c r="B30" s="3"/>
      <c r="C30" s="3"/>
      <c r="D30" s="3"/>
      <c r="E30" s="3"/>
      <c r="F30" s="3"/>
      <c r="G30" s="3"/>
      <c r="H30" s="3"/>
      <c r="I30" s="3"/>
      <c r="J30" s="3"/>
      <c r="K30" s="3"/>
      <c r="L30" s="3"/>
      <c r="M30" s="3"/>
      <c r="N30" s="3"/>
      <c r="O30" s="3"/>
      <c r="P30" s="3"/>
      <c r="Q30" s="3"/>
      <c r="R30" s="3"/>
      <c r="S30" s="3"/>
    </row>
    <row r="31" spans="1:19">
      <c r="A31" s="3"/>
      <c r="B31" s="3"/>
      <c r="C31" s="3"/>
      <c r="D31" s="3"/>
      <c r="E31" s="3"/>
      <c r="F31" s="3"/>
      <c r="G31" s="3"/>
      <c r="H31" s="3"/>
      <c r="I31" s="3"/>
      <c r="J31" s="3"/>
      <c r="K31" s="3"/>
      <c r="L31" s="3"/>
      <c r="M31" s="3"/>
      <c r="N31" s="3"/>
      <c r="O31" s="3"/>
      <c r="P31" s="3"/>
      <c r="Q31" s="3"/>
      <c r="R31" s="3"/>
      <c r="S31" s="3"/>
    </row>
    <row r="32" spans="1:19">
      <c r="A32" s="3"/>
      <c r="B32" s="3"/>
      <c r="C32" s="3"/>
      <c r="D32" s="3"/>
      <c r="E32" s="3"/>
      <c r="F32" s="3"/>
      <c r="G32" s="3"/>
      <c r="H32" s="3"/>
      <c r="I32" s="3"/>
      <c r="J32" s="3"/>
      <c r="K32" s="3"/>
      <c r="L32" s="3"/>
      <c r="M32" s="3"/>
      <c r="N32" s="3"/>
      <c r="O32" s="3"/>
      <c r="P32" s="3"/>
      <c r="Q32" s="3"/>
      <c r="R32" s="3"/>
      <c r="S32" s="3"/>
    </row>
    <row r="33" spans="1:19">
      <c r="A33" s="3"/>
      <c r="B33" s="3"/>
      <c r="C33" s="3"/>
      <c r="D33" s="3"/>
      <c r="E33" s="3"/>
      <c r="F33" s="3"/>
      <c r="G33" s="3"/>
      <c r="H33" s="3"/>
      <c r="I33" s="3"/>
      <c r="J33" s="3"/>
      <c r="K33" s="4272" t="s">
        <v>6639</v>
      </c>
      <c r="L33" s="3"/>
      <c r="M33" s="3"/>
      <c r="N33" s="3"/>
      <c r="O33" s="3"/>
      <c r="P33" s="3"/>
      <c r="Q33" s="3"/>
      <c r="R33" s="3"/>
      <c r="S33" s="3"/>
    </row>
    <row r="34" spans="1:19">
      <c r="A34" s="3"/>
      <c r="B34" s="3"/>
      <c r="C34" s="3"/>
      <c r="D34" s="3"/>
      <c r="E34" s="3"/>
      <c r="F34" s="3"/>
      <c r="G34" s="3"/>
      <c r="H34" s="3"/>
      <c r="I34" s="3"/>
      <c r="J34" s="3"/>
      <c r="K34" s="3"/>
      <c r="L34" s="3"/>
      <c r="M34" s="3"/>
      <c r="N34" s="3"/>
      <c r="O34" s="3"/>
      <c r="P34" s="3"/>
      <c r="Q34" s="3"/>
      <c r="R34" s="3"/>
      <c r="S34" s="3"/>
    </row>
  </sheetData>
  <mergeCells count="12">
    <mergeCell ref="B10:B12"/>
    <mergeCell ref="B13:B15"/>
    <mergeCell ref="B16:C16"/>
    <mergeCell ref="B20:C20"/>
    <mergeCell ref="E20:F20"/>
    <mergeCell ref="B3:C3"/>
    <mergeCell ref="K3:L3"/>
    <mergeCell ref="B4:B6"/>
    <mergeCell ref="K4:K5"/>
    <mergeCell ref="K6:K7"/>
    <mergeCell ref="B7:B9"/>
    <mergeCell ref="K8:L8"/>
  </mergeCells>
  <phoneticPr fontId="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7DF72-9FB4-43D7-85D6-48EDD193CFF7}">
  <sheetPr codeName="Sheet48"/>
  <dimension ref="A1:R131"/>
  <sheetViews>
    <sheetView workbookViewId="0">
      <selection activeCell="F7" sqref="F7"/>
    </sheetView>
  </sheetViews>
  <sheetFormatPr defaultRowHeight="16.5"/>
  <cols>
    <col min="6" max="9" width="14" bestFit="1" customWidth="1"/>
    <col min="15" max="15" width="14" bestFit="1" customWidth="1"/>
    <col min="16" max="16" width="15.375" bestFit="1" customWidth="1"/>
    <col min="17" max="17" width="14" bestFit="1" customWidth="1"/>
    <col min="18" max="18" width="15.375" bestFit="1" customWidth="1"/>
  </cols>
  <sheetData>
    <row r="1" spans="1:18">
      <c r="A1" s="362"/>
      <c r="B1" s="362"/>
      <c r="C1" s="362"/>
      <c r="D1" s="4153"/>
      <c r="E1" s="4153"/>
      <c r="F1" s="4154" t="s">
        <v>1607</v>
      </c>
      <c r="G1" s="4153"/>
      <c r="H1" s="4153"/>
      <c r="I1" s="4153"/>
      <c r="J1" s="4155"/>
      <c r="K1" s="362"/>
      <c r="L1" s="362"/>
      <c r="M1" s="4156"/>
      <c r="N1" s="4156"/>
      <c r="O1" s="4157" t="s">
        <v>1607</v>
      </c>
      <c r="P1" s="4156"/>
      <c r="Q1" s="4156"/>
      <c r="R1" s="4158"/>
    </row>
    <row r="2" spans="1:18">
      <c r="A2" s="362"/>
      <c r="B2" s="362"/>
      <c r="C2" s="576"/>
      <c r="D2" s="574"/>
      <c r="E2" s="577"/>
      <c r="F2" s="574"/>
      <c r="G2" s="4159"/>
      <c r="H2" s="574"/>
      <c r="I2" s="4159" t="s">
        <v>1609</v>
      </c>
      <c r="J2" s="616"/>
      <c r="K2" s="362"/>
      <c r="L2" s="4160"/>
      <c r="M2" s="4161"/>
      <c r="N2" s="4162"/>
      <c r="O2" s="4161"/>
      <c r="P2" s="4161"/>
      <c r="Q2" s="4161"/>
      <c r="R2" s="4163" t="s">
        <v>1609</v>
      </c>
    </row>
    <row r="3" spans="1:18">
      <c r="A3" s="362"/>
      <c r="B3" s="362"/>
      <c r="C3" s="4136"/>
      <c r="D3" s="4164"/>
      <c r="E3" s="4165"/>
      <c r="F3" s="4166">
        <v>2021</v>
      </c>
      <c r="G3" s="4167"/>
      <c r="H3" s="4166">
        <v>2020</v>
      </c>
      <c r="I3" s="4167"/>
      <c r="J3" s="563"/>
      <c r="K3" s="362"/>
      <c r="L3" s="4168"/>
      <c r="M3" s="4169"/>
      <c r="N3" s="4170"/>
      <c r="O3" s="4166">
        <v>2019</v>
      </c>
      <c r="P3" s="4171"/>
      <c r="Q3" s="4166">
        <v>2018</v>
      </c>
      <c r="R3" s="4171"/>
    </row>
    <row r="4" spans="1:18">
      <c r="A4" s="362"/>
      <c r="B4" s="362"/>
      <c r="C4" s="4140"/>
      <c r="D4" s="4172"/>
      <c r="E4" s="4173"/>
      <c r="F4" s="4174" t="s">
        <v>6601</v>
      </c>
      <c r="G4" s="4167"/>
      <c r="H4" s="4174" t="s">
        <v>6601</v>
      </c>
      <c r="I4" s="4167"/>
      <c r="J4" s="563"/>
      <c r="K4" s="362"/>
      <c r="L4" s="4175"/>
      <c r="M4" s="4176"/>
      <c r="N4" s="4177"/>
      <c r="O4" s="4178" t="s">
        <v>6601</v>
      </c>
      <c r="P4" s="4171"/>
      <c r="Q4" s="4178" t="s">
        <v>6601</v>
      </c>
      <c r="R4" s="4171"/>
    </row>
    <row r="5" spans="1:18" ht="24">
      <c r="A5" s="362"/>
      <c r="B5" s="362"/>
      <c r="C5" s="588" t="s">
        <v>1621</v>
      </c>
      <c r="D5" s="4179" t="s">
        <v>1622</v>
      </c>
      <c r="E5" s="4180"/>
      <c r="F5" s="4181"/>
      <c r="G5" s="4182">
        <v>205681760146.92783</v>
      </c>
      <c r="H5" s="4181"/>
      <c r="I5" s="4182">
        <v>290252763293</v>
      </c>
      <c r="J5" s="615"/>
      <c r="K5" s="362"/>
      <c r="L5" s="4183" t="s">
        <v>1621</v>
      </c>
      <c r="M5" s="4184" t="s">
        <v>1622</v>
      </c>
      <c r="N5" s="4185"/>
      <c r="O5" s="4186"/>
      <c r="P5" s="4187">
        <v>223606369763.4404</v>
      </c>
      <c r="Q5" s="4186"/>
      <c r="R5" s="4187">
        <v>212743877690.8782</v>
      </c>
    </row>
    <row r="6" spans="1:18" ht="24">
      <c r="A6" s="362"/>
      <c r="B6" s="362"/>
      <c r="C6" s="597"/>
      <c r="D6" s="598" t="s">
        <v>1623</v>
      </c>
      <c r="E6" s="4188" t="s">
        <v>6591</v>
      </c>
      <c r="F6" s="4189">
        <v>2310758129</v>
      </c>
      <c r="G6" s="595"/>
      <c r="H6" s="4189">
        <v>845282548</v>
      </c>
      <c r="I6" s="595"/>
      <c r="J6" s="596"/>
      <c r="K6" s="362"/>
      <c r="L6" s="4190"/>
      <c r="M6" s="4191" t="s">
        <v>1623</v>
      </c>
      <c r="N6" s="4192" t="s">
        <v>6591</v>
      </c>
      <c r="O6" s="4193">
        <v>2648741525.7617769</v>
      </c>
      <c r="P6" s="4194"/>
      <c r="Q6" s="4193">
        <v>0</v>
      </c>
      <c r="R6" s="4194"/>
    </row>
    <row r="7" spans="1:18" ht="24">
      <c r="A7" s="362"/>
      <c r="B7" s="362"/>
      <c r="C7" s="597"/>
      <c r="D7" s="598" t="s">
        <v>1627</v>
      </c>
      <c r="E7" s="4188" t="s">
        <v>6592</v>
      </c>
      <c r="F7" s="4189">
        <v>205836446120</v>
      </c>
      <c r="G7" s="595"/>
      <c r="H7" s="4189">
        <v>291718238874</v>
      </c>
      <c r="I7" s="595"/>
      <c r="J7" s="596"/>
      <c r="K7" s="362"/>
      <c r="L7" s="4190"/>
      <c r="M7" s="4191" t="s">
        <v>1627</v>
      </c>
      <c r="N7" s="4192" t="s">
        <v>6592</v>
      </c>
      <c r="O7" s="4193">
        <v>221802910785</v>
      </c>
      <c r="P7" s="4195"/>
      <c r="Q7" s="4193">
        <v>213230644708.63998</v>
      </c>
      <c r="R7" s="4195"/>
    </row>
    <row r="8" spans="1:18" ht="24">
      <c r="A8" s="362"/>
      <c r="B8" s="362"/>
      <c r="C8" s="597"/>
      <c r="D8" s="598" t="s">
        <v>1629</v>
      </c>
      <c r="E8" s="4188" t="s">
        <v>1630</v>
      </c>
      <c r="F8" s="608">
        <v>0</v>
      </c>
      <c r="G8" s="595"/>
      <c r="H8" s="608">
        <v>0</v>
      </c>
      <c r="I8" s="595"/>
      <c r="J8" s="596"/>
      <c r="K8" s="362"/>
      <c r="L8" s="4190"/>
      <c r="M8" s="4191" t="s">
        <v>1629</v>
      </c>
      <c r="N8" s="4192" t="s">
        <v>1630</v>
      </c>
      <c r="O8" s="4196">
        <v>0</v>
      </c>
      <c r="P8" s="4195"/>
      <c r="Q8" s="4196">
        <v>0</v>
      </c>
      <c r="R8" s="4195"/>
    </row>
    <row r="9" spans="1:18">
      <c r="A9" s="362"/>
      <c r="B9" s="362"/>
      <c r="C9" s="611"/>
      <c r="D9" s="362"/>
      <c r="E9" s="4188" t="s">
        <v>400</v>
      </c>
      <c r="F9" s="4197">
        <v>208147204249</v>
      </c>
      <c r="G9" s="595"/>
      <c r="H9" s="4197">
        <v>292563521422</v>
      </c>
      <c r="I9" s="595"/>
      <c r="J9" s="596"/>
      <c r="K9" s="362"/>
      <c r="L9" s="4198"/>
      <c r="M9" s="4199"/>
      <c r="N9" s="4192" t="s">
        <v>400</v>
      </c>
      <c r="O9" s="4193">
        <v>224451652311</v>
      </c>
      <c r="P9" s="4195"/>
      <c r="Q9" s="4193">
        <v>215392619216.63998</v>
      </c>
      <c r="R9" s="4195"/>
    </row>
    <row r="10" spans="1:18" ht="24">
      <c r="A10" s="362"/>
      <c r="B10" s="362"/>
      <c r="C10" s="597"/>
      <c r="D10" s="598" t="s">
        <v>1633</v>
      </c>
      <c r="E10" s="4188" t="s">
        <v>1634</v>
      </c>
      <c r="F10" s="4189">
        <v>0</v>
      </c>
      <c r="G10" s="595"/>
      <c r="H10" s="4189">
        <v>0</v>
      </c>
      <c r="I10" s="595"/>
      <c r="J10" s="596"/>
      <c r="K10" s="362"/>
      <c r="L10" s="4190"/>
      <c r="M10" s="4191" t="s">
        <v>1633</v>
      </c>
      <c r="N10" s="4192" t="s">
        <v>1634</v>
      </c>
      <c r="O10" s="4193">
        <v>0</v>
      </c>
      <c r="P10" s="4195"/>
      <c r="Q10" s="4193">
        <v>0</v>
      </c>
      <c r="R10" s="4195"/>
    </row>
    <row r="11" spans="1:18" ht="24">
      <c r="A11" s="362"/>
      <c r="B11" s="362"/>
      <c r="C11" s="597"/>
      <c r="D11" s="598" t="s">
        <v>1636</v>
      </c>
      <c r="E11" s="4188" t="s">
        <v>1637</v>
      </c>
      <c r="F11" s="4189">
        <v>0</v>
      </c>
      <c r="G11" s="595"/>
      <c r="H11" s="4189">
        <v>0</v>
      </c>
      <c r="I11" s="595"/>
      <c r="J11" s="596"/>
      <c r="K11" s="362"/>
      <c r="L11" s="4190"/>
      <c r="M11" s="4191" t="s">
        <v>1636</v>
      </c>
      <c r="N11" s="4192" t="s">
        <v>6593</v>
      </c>
      <c r="O11" s="4193">
        <v>-22392754</v>
      </c>
      <c r="P11" s="4195"/>
      <c r="Q11" s="4193">
        <v>-30226555</v>
      </c>
      <c r="R11" s="4195"/>
    </row>
    <row r="12" spans="1:18" ht="24">
      <c r="A12" s="362"/>
      <c r="B12" s="362"/>
      <c r="C12" s="597"/>
      <c r="D12" s="624" t="s">
        <v>1640</v>
      </c>
      <c r="E12" s="4188" t="s">
        <v>6594</v>
      </c>
      <c r="F12" s="4189">
        <v>2465444102.0721788</v>
      </c>
      <c r="G12" s="595"/>
      <c r="H12" s="4189">
        <v>2310758129</v>
      </c>
      <c r="I12" s="595"/>
      <c r="J12" s="596"/>
      <c r="K12" s="362"/>
      <c r="L12" s="4190"/>
      <c r="M12" s="4191" t="s">
        <v>1675</v>
      </c>
      <c r="N12" s="4192" t="s">
        <v>6594</v>
      </c>
      <c r="O12" s="4193">
        <v>845282547.55960202</v>
      </c>
      <c r="P12" s="4195"/>
      <c r="Q12" s="4193">
        <v>2648741525.7617769</v>
      </c>
      <c r="R12" s="4195"/>
    </row>
    <row r="13" spans="1:18">
      <c r="A13" s="362"/>
      <c r="B13" s="362"/>
      <c r="C13" s="597"/>
      <c r="D13" s="598"/>
      <c r="E13" s="4188"/>
      <c r="F13" s="4189"/>
      <c r="G13" s="4189"/>
      <c r="H13" s="4189"/>
      <c r="I13" s="4189"/>
      <c r="J13" s="596"/>
      <c r="K13" s="362"/>
      <c r="L13" s="4190"/>
      <c r="M13" s="4200"/>
      <c r="N13" s="4192"/>
      <c r="O13" s="4193"/>
      <c r="P13" s="4195"/>
      <c r="Q13" s="4193"/>
      <c r="R13" s="4195"/>
    </row>
    <row r="14" spans="1:18">
      <c r="A14" s="362"/>
      <c r="B14" s="362"/>
      <c r="C14" s="630" t="s">
        <v>1644</v>
      </c>
      <c r="D14" s="4179" t="s">
        <v>1645</v>
      </c>
      <c r="E14" s="4180"/>
      <c r="F14" s="4181"/>
      <c r="G14" s="4181">
        <v>1742304335</v>
      </c>
      <c r="H14" s="4181"/>
      <c r="I14" s="4181">
        <v>2341537781</v>
      </c>
      <c r="J14" s="615"/>
      <c r="K14" s="362"/>
      <c r="L14" s="4201" t="s">
        <v>1644</v>
      </c>
      <c r="M14" s="4184" t="s">
        <v>1645</v>
      </c>
      <c r="N14" s="4185"/>
      <c r="O14" s="4186"/>
      <c r="P14" s="4202">
        <v>2278091096</v>
      </c>
      <c r="Q14" s="4186"/>
      <c r="R14" s="4202">
        <v>2237781269</v>
      </c>
    </row>
    <row r="15" spans="1:18">
      <c r="A15" s="362"/>
      <c r="B15" s="362"/>
      <c r="C15" s="634"/>
      <c r="D15" s="624" t="s">
        <v>1647</v>
      </c>
      <c r="E15" s="4188" t="s">
        <v>1648</v>
      </c>
      <c r="F15" s="4189">
        <v>1459728785</v>
      </c>
      <c r="G15" s="4189"/>
      <c r="H15" s="4189">
        <v>1872505539</v>
      </c>
      <c r="I15" s="4189"/>
      <c r="J15" s="596"/>
      <c r="K15" s="362"/>
      <c r="L15" s="4203"/>
      <c r="M15" s="4204" t="s">
        <v>1647</v>
      </c>
      <c r="N15" s="4192" t="s">
        <v>1648</v>
      </c>
      <c r="O15" s="4193">
        <v>1830145499</v>
      </c>
      <c r="P15" s="4205"/>
      <c r="Q15" s="4193">
        <v>1781237742</v>
      </c>
      <c r="R15" s="4205"/>
    </row>
    <row r="16" spans="1:18">
      <c r="A16" s="362"/>
      <c r="B16" s="362"/>
      <c r="C16" s="634"/>
      <c r="D16" s="624" t="s">
        <v>1650</v>
      </c>
      <c r="E16" s="4188" t="s">
        <v>1651</v>
      </c>
      <c r="F16" s="4189">
        <v>109943827</v>
      </c>
      <c r="G16" s="4189"/>
      <c r="H16" s="4189">
        <v>214065900</v>
      </c>
      <c r="I16" s="4189"/>
      <c r="J16" s="596"/>
      <c r="K16" s="362"/>
      <c r="L16" s="4203"/>
      <c r="M16" s="4204" t="s">
        <v>1650</v>
      </c>
      <c r="N16" s="4192" t="s">
        <v>1651</v>
      </c>
      <c r="O16" s="4193">
        <v>199550742</v>
      </c>
      <c r="P16" s="4193"/>
      <c r="Q16" s="4193">
        <v>227295600</v>
      </c>
      <c r="R16" s="4193"/>
    </row>
    <row r="17" spans="1:18">
      <c r="A17" s="362"/>
      <c r="B17" s="362"/>
      <c r="C17" s="634"/>
      <c r="D17" s="624" t="s">
        <v>1654</v>
      </c>
      <c r="E17" s="4188" t="s">
        <v>1655</v>
      </c>
      <c r="F17" s="4189">
        <v>145221723</v>
      </c>
      <c r="G17" s="4189"/>
      <c r="H17" s="4189">
        <v>183692342</v>
      </c>
      <c r="I17" s="4189"/>
      <c r="J17" s="596"/>
      <c r="K17" s="362"/>
      <c r="L17" s="4203"/>
      <c r="M17" s="4204" t="s">
        <v>1654</v>
      </c>
      <c r="N17" s="4192" t="s">
        <v>1655</v>
      </c>
      <c r="O17" s="4193">
        <v>216454855</v>
      </c>
      <c r="P17" s="4193"/>
      <c r="Q17" s="4193">
        <v>189487927</v>
      </c>
      <c r="R17" s="4193"/>
    </row>
    <row r="18" spans="1:18">
      <c r="A18" s="362"/>
      <c r="B18" s="362"/>
      <c r="C18" s="634"/>
      <c r="D18" s="624" t="s">
        <v>1658</v>
      </c>
      <c r="E18" s="4188" t="s">
        <v>1659</v>
      </c>
      <c r="F18" s="4189">
        <v>27410000</v>
      </c>
      <c r="G18" s="595"/>
      <c r="H18" s="4189">
        <v>71274000</v>
      </c>
      <c r="I18" s="595"/>
      <c r="J18" s="596"/>
      <c r="K18" s="362"/>
      <c r="L18" s="4203"/>
      <c r="M18" s="4204" t="s">
        <v>1658</v>
      </c>
      <c r="N18" s="4192" t="s">
        <v>1659</v>
      </c>
      <c r="O18" s="4196">
        <v>31940000</v>
      </c>
      <c r="P18" s="4195"/>
      <c r="Q18" s="4196">
        <v>39760000</v>
      </c>
      <c r="R18" s="4195"/>
    </row>
    <row r="19" spans="1:18">
      <c r="A19" s="362"/>
      <c r="B19" s="362"/>
      <c r="C19" s="634"/>
      <c r="D19" s="624"/>
      <c r="E19" s="4188"/>
      <c r="F19" s="4189"/>
      <c r="G19" s="595"/>
      <c r="H19" s="4189"/>
      <c r="I19" s="595"/>
      <c r="J19" s="596"/>
      <c r="K19" s="362"/>
      <c r="L19" s="4203"/>
      <c r="M19" s="4206"/>
      <c r="N19" s="4192"/>
      <c r="O19" s="4193"/>
      <c r="P19" s="4195"/>
      <c r="Q19" s="4193"/>
      <c r="R19" s="4195"/>
    </row>
    <row r="20" spans="1:18">
      <c r="A20" s="362"/>
      <c r="B20" s="362"/>
      <c r="C20" s="636" t="s">
        <v>1664</v>
      </c>
      <c r="D20" s="4179" t="s">
        <v>1665</v>
      </c>
      <c r="E20" s="4180"/>
      <c r="F20" s="4181"/>
      <c r="G20" s="614">
        <v>3536887407</v>
      </c>
      <c r="H20" s="4181"/>
      <c r="I20" s="614">
        <v>4643197736</v>
      </c>
      <c r="J20" s="615"/>
      <c r="K20" s="362"/>
      <c r="L20" s="4207" t="s">
        <v>1664</v>
      </c>
      <c r="M20" s="4184" t="s">
        <v>1665</v>
      </c>
      <c r="N20" s="4185"/>
      <c r="O20" s="4186"/>
      <c r="P20" s="4202">
        <v>4566811583</v>
      </c>
      <c r="Q20" s="4186"/>
      <c r="R20" s="4202">
        <v>4899066758</v>
      </c>
    </row>
    <row r="21" spans="1:18">
      <c r="A21" s="362"/>
      <c r="B21" s="362"/>
      <c r="C21" s="634"/>
      <c r="D21" s="624" t="s">
        <v>1647</v>
      </c>
      <c r="E21" s="4188" t="s">
        <v>1667</v>
      </c>
      <c r="F21" s="4189">
        <v>384193234</v>
      </c>
      <c r="G21" s="595"/>
      <c r="H21" s="4189">
        <v>521793915</v>
      </c>
      <c r="I21" s="595"/>
      <c r="J21" s="596"/>
      <c r="K21" s="362" t="s">
        <v>1388</v>
      </c>
      <c r="L21" s="4203"/>
      <c r="M21" s="4204" t="s">
        <v>1647</v>
      </c>
      <c r="N21" s="4192" t="s">
        <v>1667</v>
      </c>
      <c r="O21" s="4193">
        <v>512926947</v>
      </c>
      <c r="P21" s="4194"/>
      <c r="Q21" s="4193">
        <v>620981307</v>
      </c>
      <c r="R21" s="4194"/>
    </row>
    <row r="22" spans="1:18">
      <c r="A22" s="362"/>
      <c r="B22" s="362"/>
      <c r="C22" s="634"/>
      <c r="D22" s="624" t="s">
        <v>1650</v>
      </c>
      <c r="E22" s="4188" t="s">
        <v>1669</v>
      </c>
      <c r="F22" s="4189">
        <v>388288702</v>
      </c>
      <c r="G22" s="595"/>
      <c r="H22" s="4189">
        <v>532663625</v>
      </c>
      <c r="I22" s="595"/>
      <c r="J22" s="596" t="s">
        <v>6029</v>
      </c>
      <c r="K22" s="362" t="s">
        <v>2633</v>
      </c>
      <c r="L22" s="4203"/>
      <c r="M22" s="4204" t="s">
        <v>1650</v>
      </c>
      <c r="N22" s="4192" t="s">
        <v>1669</v>
      </c>
      <c r="O22" s="4193">
        <v>554739192</v>
      </c>
      <c r="P22" s="4195"/>
      <c r="Q22" s="4193">
        <v>605693016</v>
      </c>
      <c r="R22" s="4195"/>
    </row>
    <row r="23" spans="1:18">
      <c r="A23" s="362"/>
      <c r="B23" s="362"/>
      <c r="C23" s="634"/>
      <c r="D23" s="624" t="s">
        <v>1654</v>
      </c>
      <c r="E23" s="4188" t="s">
        <v>1671</v>
      </c>
      <c r="F23" s="4189">
        <v>128688394</v>
      </c>
      <c r="G23" s="595"/>
      <c r="H23" s="4189">
        <v>173774008</v>
      </c>
      <c r="I23" s="595"/>
      <c r="J23" s="596" t="s">
        <v>6029</v>
      </c>
      <c r="K23" s="362" t="s">
        <v>5871</v>
      </c>
      <c r="L23" s="4203"/>
      <c r="M23" s="4204" t="s">
        <v>1629</v>
      </c>
      <c r="N23" s="4192" t="s">
        <v>1671</v>
      </c>
      <c r="O23" s="4193">
        <v>182514329</v>
      </c>
      <c r="P23" s="4195"/>
      <c r="Q23" s="4193">
        <v>209381455</v>
      </c>
      <c r="R23" s="4195"/>
    </row>
    <row r="24" spans="1:18">
      <c r="A24" s="362"/>
      <c r="B24" s="362"/>
      <c r="C24" s="634"/>
      <c r="D24" s="624" t="s">
        <v>1633</v>
      </c>
      <c r="E24" s="4188" t="s">
        <v>1672</v>
      </c>
      <c r="F24" s="4189">
        <v>20015520</v>
      </c>
      <c r="G24" s="595"/>
      <c r="H24" s="4189">
        <v>18468080</v>
      </c>
      <c r="I24" s="595"/>
      <c r="J24" s="596" t="s">
        <v>6029</v>
      </c>
      <c r="K24" s="362" t="s">
        <v>1379</v>
      </c>
      <c r="L24" s="4203"/>
      <c r="M24" s="4204" t="s">
        <v>1633</v>
      </c>
      <c r="N24" s="4192" t="s">
        <v>1672</v>
      </c>
      <c r="O24" s="4193">
        <v>17902840</v>
      </c>
      <c r="P24" s="4195"/>
      <c r="Q24" s="4193">
        <v>36243550</v>
      </c>
      <c r="R24" s="4195"/>
    </row>
    <row r="25" spans="1:18">
      <c r="A25" s="362"/>
      <c r="B25" s="362"/>
      <c r="C25" s="634"/>
      <c r="D25" s="624" t="s">
        <v>1636</v>
      </c>
      <c r="E25" s="4188" t="s">
        <v>1673</v>
      </c>
      <c r="F25" s="4189">
        <v>7797053</v>
      </c>
      <c r="G25" s="595"/>
      <c r="H25" s="4189">
        <v>10244947</v>
      </c>
      <c r="I25" s="595"/>
      <c r="J25" s="596"/>
      <c r="K25" s="362" t="s">
        <v>1389</v>
      </c>
      <c r="L25" s="4203"/>
      <c r="M25" s="4204" t="s">
        <v>1636</v>
      </c>
      <c r="N25" s="4192" t="s">
        <v>1673</v>
      </c>
      <c r="O25" s="4193">
        <v>23244993</v>
      </c>
      <c r="P25" s="4195"/>
      <c r="Q25" s="4193">
        <v>27396130</v>
      </c>
      <c r="R25" s="4195"/>
    </row>
    <row r="26" spans="1:18">
      <c r="A26" s="362"/>
      <c r="B26" s="362"/>
      <c r="C26" s="634"/>
      <c r="D26" s="624" t="s">
        <v>1675</v>
      </c>
      <c r="E26" s="4188" t="s">
        <v>1676</v>
      </c>
      <c r="F26" s="4189">
        <v>5740805</v>
      </c>
      <c r="G26" s="595"/>
      <c r="H26" s="4189">
        <v>11170007</v>
      </c>
      <c r="I26" s="595"/>
      <c r="J26" s="596"/>
      <c r="K26" s="362" t="s">
        <v>1395</v>
      </c>
      <c r="L26" s="4203"/>
      <c r="M26" s="4204" t="s">
        <v>1675</v>
      </c>
      <c r="N26" s="4192" t="s">
        <v>1676</v>
      </c>
      <c r="O26" s="4193">
        <v>7563430</v>
      </c>
      <c r="P26" s="4195"/>
      <c r="Q26" s="4193">
        <v>8226532</v>
      </c>
      <c r="R26" s="4195"/>
    </row>
    <row r="27" spans="1:18">
      <c r="A27" s="362"/>
      <c r="B27" s="362"/>
      <c r="C27" s="634"/>
      <c r="D27" s="624" t="s">
        <v>1677</v>
      </c>
      <c r="E27" s="4188" t="s">
        <v>1678</v>
      </c>
      <c r="F27" s="4189">
        <v>12657747</v>
      </c>
      <c r="G27" s="595"/>
      <c r="H27" s="4189">
        <v>16496492</v>
      </c>
      <c r="I27" s="595"/>
      <c r="J27" s="596"/>
      <c r="K27" s="362" t="s">
        <v>1390</v>
      </c>
      <c r="L27" s="4203"/>
      <c r="M27" s="4204" t="s">
        <v>1677</v>
      </c>
      <c r="N27" s="4192" t="s">
        <v>1678</v>
      </c>
      <c r="O27" s="4193">
        <v>17449474</v>
      </c>
      <c r="P27" s="4195"/>
      <c r="Q27" s="4193">
        <v>12481660</v>
      </c>
      <c r="R27" s="4195"/>
    </row>
    <row r="28" spans="1:18" ht="24">
      <c r="A28" s="362"/>
      <c r="B28" s="362"/>
      <c r="C28" s="634"/>
      <c r="D28" s="624" t="s">
        <v>1681</v>
      </c>
      <c r="E28" s="4188" t="s">
        <v>1682</v>
      </c>
      <c r="F28" s="4189">
        <v>41090300</v>
      </c>
      <c r="G28" s="595"/>
      <c r="H28" s="4189">
        <v>47634520</v>
      </c>
      <c r="I28" s="595"/>
      <c r="J28" s="596"/>
      <c r="K28" s="362" t="s">
        <v>2703</v>
      </c>
      <c r="L28" s="4203"/>
      <c r="M28" s="4204" t="s">
        <v>1681</v>
      </c>
      <c r="N28" s="4192" t="s">
        <v>1682</v>
      </c>
      <c r="O28" s="4193">
        <v>42848550</v>
      </c>
      <c r="P28" s="4195"/>
      <c r="Q28" s="4193">
        <v>41263270</v>
      </c>
      <c r="R28" s="4195"/>
    </row>
    <row r="29" spans="1:18">
      <c r="A29" s="362"/>
      <c r="B29" s="362"/>
      <c r="C29" s="634"/>
      <c r="D29" s="624" t="s">
        <v>1683</v>
      </c>
      <c r="E29" s="4188" t="s">
        <v>1684</v>
      </c>
      <c r="F29" s="4189">
        <v>30029055</v>
      </c>
      <c r="G29" s="595"/>
      <c r="H29" s="4189">
        <v>26742644</v>
      </c>
      <c r="I29" s="595"/>
      <c r="J29" s="596"/>
      <c r="K29" s="362" t="s">
        <v>2371</v>
      </c>
      <c r="L29" s="4203"/>
      <c r="M29" s="4204" t="s">
        <v>1683</v>
      </c>
      <c r="N29" s="4192" t="s">
        <v>1684</v>
      </c>
      <c r="O29" s="4193">
        <v>21272646</v>
      </c>
      <c r="P29" s="4195"/>
      <c r="Q29" s="4193">
        <v>26014353</v>
      </c>
      <c r="R29" s="4195"/>
    </row>
    <row r="30" spans="1:18">
      <c r="A30" s="362"/>
      <c r="B30" s="362"/>
      <c r="C30" s="634"/>
      <c r="D30" s="624" t="s">
        <v>1687</v>
      </c>
      <c r="E30" s="4188" t="s">
        <v>1688</v>
      </c>
      <c r="F30" s="4189">
        <v>895550659</v>
      </c>
      <c r="G30" s="595"/>
      <c r="H30" s="4189">
        <v>1107874988</v>
      </c>
      <c r="I30" s="595"/>
      <c r="J30" s="596" t="s">
        <v>6029</v>
      </c>
      <c r="K30" s="362" t="s">
        <v>1384</v>
      </c>
      <c r="L30" s="4203"/>
      <c r="M30" s="4204" t="s">
        <v>1687</v>
      </c>
      <c r="N30" s="4192" t="s">
        <v>1688</v>
      </c>
      <c r="O30" s="4193">
        <v>995717008</v>
      </c>
      <c r="P30" s="4195"/>
      <c r="Q30" s="4193">
        <v>1136323923</v>
      </c>
      <c r="R30" s="4195"/>
    </row>
    <row r="31" spans="1:18">
      <c r="A31" s="362"/>
      <c r="B31" s="362"/>
      <c r="C31" s="634"/>
      <c r="D31" s="624" t="s">
        <v>1690</v>
      </c>
      <c r="E31" s="4188" t="s">
        <v>1691</v>
      </c>
      <c r="F31" s="4189">
        <v>475307137</v>
      </c>
      <c r="G31" s="595"/>
      <c r="H31" s="4189">
        <v>627836343</v>
      </c>
      <c r="I31" s="595"/>
      <c r="J31" s="596"/>
      <c r="K31" s="362" t="s">
        <v>1381</v>
      </c>
      <c r="L31" s="4203"/>
      <c r="M31" s="4204" t="s">
        <v>1690</v>
      </c>
      <c r="N31" s="4192" t="s">
        <v>1691</v>
      </c>
      <c r="O31" s="4193">
        <v>1177479608</v>
      </c>
      <c r="P31" s="4195"/>
      <c r="Q31" s="4193">
        <v>1139772075</v>
      </c>
      <c r="R31" s="4195"/>
    </row>
    <row r="32" spans="1:18">
      <c r="A32" s="362"/>
      <c r="B32" s="362"/>
      <c r="C32" s="634"/>
      <c r="D32" s="624" t="s">
        <v>1692</v>
      </c>
      <c r="E32" s="4188" t="s">
        <v>1693</v>
      </c>
      <c r="F32" s="4189">
        <v>197551665</v>
      </c>
      <c r="G32" s="595"/>
      <c r="H32" s="4189">
        <v>351904943</v>
      </c>
      <c r="I32" s="595"/>
      <c r="J32" s="596" t="s">
        <v>6029</v>
      </c>
      <c r="K32" s="362" t="s">
        <v>1383</v>
      </c>
      <c r="L32" s="4203"/>
      <c r="M32" s="4204" t="s">
        <v>1692</v>
      </c>
      <c r="N32" s="4192" t="s">
        <v>1693</v>
      </c>
      <c r="O32" s="4193">
        <v>246468423</v>
      </c>
      <c r="P32" s="4195"/>
      <c r="Q32" s="4193">
        <v>225845418</v>
      </c>
      <c r="R32" s="4195"/>
    </row>
    <row r="33" spans="1:18">
      <c r="A33" s="362"/>
      <c r="B33" s="362"/>
      <c r="C33" s="634"/>
      <c r="D33" s="624" t="s">
        <v>1695</v>
      </c>
      <c r="E33" s="4188" t="s">
        <v>1696</v>
      </c>
      <c r="F33" s="4189">
        <v>5899377</v>
      </c>
      <c r="G33" s="4189"/>
      <c r="H33" s="4189">
        <v>11786598</v>
      </c>
      <c r="I33" s="4189"/>
      <c r="J33" s="596"/>
      <c r="K33" s="362" t="s">
        <v>1394</v>
      </c>
      <c r="L33" s="4203"/>
      <c r="M33" s="4204" t="s">
        <v>1695</v>
      </c>
      <c r="N33" s="4192" t="s">
        <v>1696</v>
      </c>
      <c r="O33" s="4193">
        <v>8218921</v>
      </c>
      <c r="P33" s="4193"/>
      <c r="Q33" s="4193">
        <v>7043430</v>
      </c>
      <c r="R33" s="4193"/>
    </row>
    <row r="34" spans="1:18">
      <c r="A34" s="362"/>
      <c r="B34" s="362"/>
      <c r="C34" s="634"/>
      <c r="D34" s="624" t="s">
        <v>1697</v>
      </c>
      <c r="E34" s="4188" t="s">
        <v>1698</v>
      </c>
      <c r="F34" s="4189">
        <v>10192686</v>
      </c>
      <c r="G34" s="4189"/>
      <c r="H34" s="4189">
        <v>12880113</v>
      </c>
      <c r="I34" s="4189"/>
      <c r="J34" s="596"/>
      <c r="K34" s="362" t="s">
        <v>1393</v>
      </c>
      <c r="L34" s="4203"/>
      <c r="M34" s="4204" t="s">
        <v>1697</v>
      </c>
      <c r="N34" s="4192" t="s">
        <v>1698</v>
      </c>
      <c r="O34" s="4193">
        <v>9165961</v>
      </c>
      <c r="P34" s="4193"/>
      <c r="Q34" s="4193">
        <v>4815197</v>
      </c>
      <c r="R34" s="4193"/>
    </row>
    <row r="35" spans="1:18">
      <c r="A35" s="362"/>
      <c r="B35" s="362"/>
      <c r="C35" s="634"/>
      <c r="D35" s="624" t="s">
        <v>1699</v>
      </c>
      <c r="E35" s="4188" t="s">
        <v>1700</v>
      </c>
      <c r="F35" s="4189">
        <v>45603768</v>
      </c>
      <c r="G35" s="4189"/>
      <c r="H35" s="4189">
        <v>42507137</v>
      </c>
      <c r="I35" s="4189"/>
      <c r="J35" s="596"/>
      <c r="K35" s="362" t="s">
        <v>1387</v>
      </c>
      <c r="L35" s="4203"/>
      <c r="M35" s="4204" t="s">
        <v>1699</v>
      </c>
      <c r="N35" s="4192" t="s">
        <v>1700</v>
      </c>
      <c r="O35" s="4193">
        <v>46563448</v>
      </c>
      <c r="P35" s="4193"/>
      <c r="Q35" s="4193">
        <v>46969203</v>
      </c>
      <c r="R35" s="4193"/>
    </row>
    <row r="36" spans="1:18">
      <c r="A36" s="362"/>
      <c r="B36" s="362"/>
      <c r="C36" s="634"/>
      <c r="D36" s="624" t="s">
        <v>1701</v>
      </c>
      <c r="E36" s="4188" t="s">
        <v>1702</v>
      </c>
      <c r="F36" s="4189">
        <v>5675202</v>
      </c>
      <c r="G36" s="4189"/>
      <c r="H36" s="4189">
        <v>5938364</v>
      </c>
      <c r="I36" s="4189"/>
      <c r="J36" s="596"/>
      <c r="K36" s="362" t="s">
        <v>1392</v>
      </c>
      <c r="L36" s="4203"/>
      <c r="M36" s="4204" t="s">
        <v>1701</v>
      </c>
      <c r="N36" s="4192" t="s">
        <v>1702</v>
      </c>
      <c r="O36" s="4193">
        <v>5506320</v>
      </c>
      <c r="P36" s="4193"/>
      <c r="Q36" s="4193">
        <v>8000300</v>
      </c>
      <c r="R36" s="4193"/>
    </row>
    <row r="37" spans="1:18" ht="24">
      <c r="A37" s="362"/>
      <c r="B37" s="362"/>
      <c r="C37" s="634"/>
      <c r="D37" s="624" t="s">
        <v>1703</v>
      </c>
      <c r="E37" s="4188" t="s">
        <v>1704</v>
      </c>
      <c r="F37" s="4189">
        <v>206231200</v>
      </c>
      <c r="G37" s="595"/>
      <c r="H37" s="4189">
        <v>262811200</v>
      </c>
      <c r="I37" s="595"/>
      <c r="J37" s="596" t="s">
        <v>6029</v>
      </c>
      <c r="K37" s="362" t="s">
        <v>2755</v>
      </c>
      <c r="L37" s="4203"/>
      <c r="M37" s="4204" t="s">
        <v>1703</v>
      </c>
      <c r="N37" s="4192" t="s">
        <v>1704</v>
      </c>
      <c r="O37" s="4193">
        <v>134836000</v>
      </c>
      <c r="P37" s="4195"/>
      <c r="Q37" s="4193">
        <v>94033300</v>
      </c>
      <c r="R37" s="4195"/>
    </row>
    <row r="38" spans="1:18">
      <c r="A38" s="362"/>
      <c r="B38" s="362"/>
      <c r="C38" s="634"/>
      <c r="D38" s="624" t="s">
        <v>1705</v>
      </c>
      <c r="E38" s="4188" t="s">
        <v>1706</v>
      </c>
      <c r="F38" s="4189">
        <v>8644024</v>
      </c>
      <c r="G38" s="595"/>
      <c r="H38" s="4189">
        <v>20190865</v>
      </c>
      <c r="I38" s="595"/>
      <c r="J38" s="596"/>
      <c r="K38" s="362" t="s">
        <v>1380</v>
      </c>
      <c r="L38" s="4203"/>
      <c r="M38" s="4204" t="s">
        <v>1705</v>
      </c>
      <c r="N38" s="4192" t="s">
        <v>1706</v>
      </c>
      <c r="O38" s="4193">
        <v>17514652</v>
      </c>
      <c r="P38" s="4195"/>
      <c r="Q38" s="4193">
        <v>1462900</v>
      </c>
      <c r="R38" s="4195"/>
    </row>
    <row r="39" spans="1:18">
      <c r="A39" s="362"/>
      <c r="B39" s="362"/>
      <c r="C39" s="634"/>
      <c r="D39" s="624" t="s">
        <v>1707</v>
      </c>
      <c r="E39" s="4188" t="s">
        <v>1708</v>
      </c>
      <c r="F39" s="4189">
        <v>372142953</v>
      </c>
      <c r="G39" s="595"/>
      <c r="H39" s="4189">
        <v>546623638</v>
      </c>
      <c r="I39" s="595"/>
      <c r="J39" s="596"/>
      <c r="K39" s="362" t="s">
        <v>1391</v>
      </c>
      <c r="L39" s="4203"/>
      <c r="M39" s="4204" t="s">
        <v>1707</v>
      </c>
      <c r="N39" s="4192" t="s">
        <v>1708</v>
      </c>
      <c r="O39" s="4193">
        <v>235914863</v>
      </c>
      <c r="P39" s="4195"/>
      <c r="Q39" s="4193">
        <v>213089038</v>
      </c>
      <c r="R39" s="4195"/>
    </row>
    <row r="40" spans="1:18">
      <c r="A40" s="362"/>
      <c r="B40" s="362"/>
      <c r="C40" s="634"/>
      <c r="D40" s="624" t="s">
        <v>1709</v>
      </c>
      <c r="E40" s="4188" t="s">
        <v>1710</v>
      </c>
      <c r="F40" s="4189">
        <v>130081471</v>
      </c>
      <c r="G40" s="595"/>
      <c r="H40" s="4189">
        <v>82823059</v>
      </c>
      <c r="I40" s="595"/>
      <c r="J40" s="596" t="s">
        <v>6029</v>
      </c>
      <c r="K40" s="362" t="s">
        <v>2506</v>
      </c>
      <c r="L40" s="4203"/>
      <c r="M40" s="4204" t="s">
        <v>1709</v>
      </c>
      <c r="N40" s="4192" t="s">
        <v>1710</v>
      </c>
      <c r="O40" s="4193">
        <v>108010850</v>
      </c>
      <c r="P40" s="4195"/>
      <c r="Q40" s="4193">
        <v>299386387</v>
      </c>
      <c r="R40" s="4195"/>
    </row>
    <row r="41" spans="1:18">
      <c r="A41" s="362"/>
      <c r="B41" s="362"/>
      <c r="C41" s="634"/>
      <c r="D41" s="624" t="s">
        <v>1711</v>
      </c>
      <c r="E41" s="4188" t="s">
        <v>1712</v>
      </c>
      <c r="F41" s="4189">
        <v>144455000</v>
      </c>
      <c r="G41" s="595"/>
      <c r="H41" s="4189">
        <v>178767728</v>
      </c>
      <c r="I41" s="595"/>
      <c r="J41" s="596"/>
      <c r="K41" s="362" t="s">
        <v>6595</v>
      </c>
      <c r="L41" s="4203"/>
      <c r="M41" s="4204" t="s">
        <v>1711</v>
      </c>
      <c r="N41" s="4192" t="s">
        <v>1712</v>
      </c>
      <c r="O41" s="4193">
        <v>170954000</v>
      </c>
      <c r="P41" s="4195"/>
      <c r="Q41" s="4193">
        <v>133304000</v>
      </c>
      <c r="R41" s="4195"/>
    </row>
    <row r="42" spans="1:18">
      <c r="A42" s="362"/>
      <c r="B42" s="362"/>
      <c r="C42" s="642"/>
      <c r="D42" s="624" t="s">
        <v>1714</v>
      </c>
      <c r="E42" s="4208" t="s">
        <v>1715</v>
      </c>
      <c r="F42" s="4189">
        <v>2878899</v>
      </c>
      <c r="G42" s="595"/>
      <c r="H42" s="4189">
        <v>4187658</v>
      </c>
      <c r="I42" s="595"/>
      <c r="J42" s="596"/>
      <c r="K42" s="362" t="s">
        <v>1396</v>
      </c>
      <c r="L42" s="4209"/>
      <c r="M42" s="4204" t="s">
        <v>1714</v>
      </c>
      <c r="N42" s="4210" t="s">
        <v>1715</v>
      </c>
      <c r="O42" s="4193">
        <v>1776304</v>
      </c>
      <c r="P42" s="4195"/>
      <c r="Q42" s="4193">
        <v>1340314</v>
      </c>
      <c r="R42" s="4195"/>
    </row>
    <row r="43" spans="1:18">
      <c r="A43" s="362"/>
      <c r="B43" s="362"/>
      <c r="C43" s="634"/>
      <c r="D43" s="624" t="s">
        <v>1716</v>
      </c>
      <c r="E43" s="4188" t="s">
        <v>1717</v>
      </c>
      <c r="F43" s="4189">
        <v>0</v>
      </c>
      <c r="G43" s="595"/>
      <c r="H43" s="4189">
        <v>0</v>
      </c>
      <c r="I43" s="595"/>
      <c r="J43" s="596"/>
      <c r="K43" s="362" t="s">
        <v>6596</v>
      </c>
      <c r="L43" s="4203"/>
      <c r="M43" s="4204" t="s">
        <v>1716</v>
      </c>
      <c r="N43" s="4192" t="s">
        <v>1717</v>
      </c>
      <c r="O43" s="4193">
        <v>0</v>
      </c>
      <c r="P43" s="4195"/>
      <c r="Q43" s="4193">
        <v>0</v>
      </c>
      <c r="R43" s="4195"/>
    </row>
    <row r="44" spans="1:18">
      <c r="A44" s="362"/>
      <c r="B44" s="362"/>
      <c r="C44" s="642"/>
      <c r="D44" s="624" t="s">
        <v>1718</v>
      </c>
      <c r="E44" s="4208" t="s">
        <v>1719</v>
      </c>
      <c r="F44" s="4189">
        <v>0</v>
      </c>
      <c r="G44" s="595"/>
      <c r="H44" s="4189">
        <v>0</v>
      </c>
      <c r="I44" s="595"/>
      <c r="J44" s="596"/>
      <c r="K44" s="362" t="s">
        <v>2505</v>
      </c>
      <c r="L44" s="4209"/>
      <c r="M44" s="4204" t="s">
        <v>1718</v>
      </c>
      <c r="N44" s="4210" t="s">
        <v>1719</v>
      </c>
      <c r="O44" s="4193">
        <v>0</v>
      </c>
      <c r="P44" s="4195"/>
      <c r="Q44" s="4193">
        <v>0</v>
      </c>
      <c r="R44" s="4195"/>
    </row>
    <row r="45" spans="1:18" ht="24">
      <c r="A45" s="362"/>
      <c r="B45" s="362"/>
      <c r="C45" s="634"/>
      <c r="D45" s="624" t="s">
        <v>1720</v>
      </c>
      <c r="E45" s="4188" t="s">
        <v>1721</v>
      </c>
      <c r="F45" s="4189">
        <v>18172556</v>
      </c>
      <c r="G45" s="595"/>
      <c r="H45" s="4189">
        <v>28076864</v>
      </c>
      <c r="I45" s="595"/>
      <c r="J45" s="596"/>
      <c r="K45" s="362" t="s">
        <v>1382</v>
      </c>
      <c r="L45" s="4203"/>
      <c r="M45" s="4204" t="s">
        <v>1720</v>
      </c>
      <c r="N45" s="4192" t="s">
        <v>1721</v>
      </c>
      <c r="O45" s="4193">
        <v>28222824</v>
      </c>
      <c r="P45" s="4195"/>
      <c r="Q45" s="4193">
        <v>0</v>
      </c>
      <c r="R45" s="4195"/>
    </row>
    <row r="46" spans="1:18">
      <c r="A46" s="362"/>
      <c r="B46" s="362"/>
      <c r="C46" s="634"/>
      <c r="D46" s="624" t="s">
        <v>1722</v>
      </c>
      <c r="E46" s="4188" t="s">
        <v>1723</v>
      </c>
      <c r="F46" s="4189">
        <v>0</v>
      </c>
      <c r="G46" s="4211"/>
      <c r="H46" s="4189">
        <v>0</v>
      </c>
      <c r="I46" s="4211"/>
      <c r="J46" s="596"/>
      <c r="K46" s="362" t="s">
        <v>6598</v>
      </c>
      <c r="L46" s="4203"/>
      <c r="M46" s="4204" t="s">
        <v>1722</v>
      </c>
      <c r="N46" s="4192" t="s">
        <v>1745</v>
      </c>
      <c r="O46" s="4193">
        <v>0</v>
      </c>
      <c r="P46" s="4195"/>
      <c r="Q46" s="4193">
        <v>0</v>
      </c>
      <c r="R46" s="4195"/>
    </row>
    <row r="47" spans="1:18">
      <c r="A47" s="362"/>
      <c r="B47" s="362"/>
      <c r="C47" s="634"/>
      <c r="D47" s="624"/>
      <c r="E47" s="4188"/>
      <c r="F47" s="4189"/>
      <c r="G47" s="595"/>
      <c r="H47" s="4189"/>
      <c r="I47" s="595"/>
      <c r="J47" s="596"/>
      <c r="K47" s="362"/>
      <c r="L47" s="4203"/>
      <c r="M47" s="4206"/>
      <c r="N47" s="4192"/>
      <c r="O47" s="4196"/>
      <c r="P47" s="4196"/>
      <c r="Q47" s="4212"/>
      <c r="R47" s="4196"/>
    </row>
    <row r="48" spans="1:18" ht="24">
      <c r="A48" s="362"/>
      <c r="B48" s="362"/>
      <c r="C48" s="634" t="s">
        <v>1725</v>
      </c>
      <c r="D48" s="4213" t="s">
        <v>1726</v>
      </c>
      <c r="E48" s="4188"/>
      <c r="F48" s="4189"/>
      <c r="G48" s="595">
        <v>210960951888.92783</v>
      </c>
      <c r="H48" s="4189"/>
      <c r="I48" s="595">
        <v>297237498810</v>
      </c>
      <c r="J48" s="596"/>
      <c r="K48" s="362"/>
      <c r="L48" s="4203" t="s">
        <v>1725</v>
      </c>
      <c r="M48" s="4214" t="s">
        <v>1726</v>
      </c>
      <c r="N48" s="4192"/>
      <c r="O48" s="4193"/>
      <c r="P48" s="4215">
        <v>230451272442.4404</v>
      </c>
      <c r="Q48" s="4193"/>
      <c r="R48" s="4215">
        <v>219880725717.8782</v>
      </c>
    </row>
    <row r="49" spans="1:18" ht="24">
      <c r="A49" s="362"/>
      <c r="B49" s="362"/>
      <c r="C49" s="634" t="s">
        <v>1728</v>
      </c>
      <c r="D49" s="4213" t="s">
        <v>1729</v>
      </c>
      <c r="E49" s="4188"/>
      <c r="F49" s="4189"/>
      <c r="G49" s="595">
        <v>8725584387</v>
      </c>
      <c r="H49" s="4189"/>
      <c r="I49" s="595">
        <v>10625181834</v>
      </c>
      <c r="J49" s="596"/>
      <c r="K49" s="362"/>
      <c r="L49" s="4203" t="s">
        <v>1728</v>
      </c>
      <c r="M49" s="4214" t="s">
        <v>1729</v>
      </c>
      <c r="N49" s="4192"/>
      <c r="O49" s="4193"/>
      <c r="P49" s="4216">
        <v>5293982538</v>
      </c>
      <c r="Q49" s="4193"/>
      <c r="R49" s="4195">
        <v>3442412732</v>
      </c>
    </row>
    <row r="50" spans="1:18" ht="24">
      <c r="A50" s="362"/>
      <c r="B50" s="362"/>
      <c r="C50" s="634" t="s">
        <v>1731</v>
      </c>
      <c r="D50" s="4213" t="s">
        <v>1732</v>
      </c>
      <c r="E50" s="4188"/>
      <c r="F50" s="4189"/>
      <c r="G50" s="595">
        <v>25736463865.317505</v>
      </c>
      <c r="H50" s="4189"/>
      <c r="I50" s="595">
        <v>44049164218</v>
      </c>
      <c r="J50" s="596"/>
      <c r="K50" s="362"/>
      <c r="L50" s="4190" t="s">
        <v>1731</v>
      </c>
      <c r="M50" s="4214" t="s">
        <v>1732</v>
      </c>
      <c r="N50" s="4192"/>
      <c r="O50" s="4193"/>
      <c r="P50" s="4196">
        <v>21957509434.447498</v>
      </c>
      <c r="Q50" s="4193"/>
      <c r="R50" s="4196">
        <v>31648823384.399448</v>
      </c>
    </row>
    <row r="51" spans="1:18">
      <c r="A51" s="362"/>
      <c r="B51" s="362"/>
      <c r="C51" s="634" t="s">
        <v>1734</v>
      </c>
      <c r="D51" s="4213" t="s">
        <v>1735</v>
      </c>
      <c r="E51" s="4188"/>
      <c r="F51" s="4189"/>
      <c r="G51" s="595">
        <v>245423000141.24533</v>
      </c>
      <c r="H51" s="4189"/>
      <c r="I51" s="595">
        <v>351911844862</v>
      </c>
      <c r="J51" s="596"/>
      <c r="K51" s="362"/>
      <c r="L51" s="4203" t="s">
        <v>1734</v>
      </c>
      <c r="M51" s="4214" t="s">
        <v>1735</v>
      </c>
      <c r="N51" s="4192"/>
      <c r="O51" s="4193"/>
      <c r="P51" s="4195">
        <v>257702764414.88791</v>
      </c>
      <c r="Q51" s="4193"/>
      <c r="R51" s="4195">
        <v>254971961834.27765</v>
      </c>
    </row>
    <row r="52" spans="1:18" ht="24">
      <c r="A52" s="362"/>
      <c r="B52" s="362"/>
      <c r="C52" s="597" t="s">
        <v>1737</v>
      </c>
      <c r="D52" s="4213" t="s">
        <v>1634</v>
      </c>
      <c r="E52" s="4188"/>
      <c r="F52" s="4189"/>
      <c r="G52" s="595">
        <v>25781001090.335011</v>
      </c>
      <c r="H52" s="4189"/>
      <c r="I52" s="595">
        <v>30778118977</v>
      </c>
      <c r="J52" s="596"/>
      <c r="K52" s="362"/>
      <c r="L52" s="4190" t="s">
        <v>1737</v>
      </c>
      <c r="M52" s="4214" t="s">
        <v>1634</v>
      </c>
      <c r="N52" s="4192"/>
      <c r="O52" s="4193"/>
      <c r="P52" s="4195">
        <v>25741448659.687</v>
      </c>
      <c r="Q52" s="4193"/>
      <c r="R52" s="4195">
        <v>29249057255.82795</v>
      </c>
    </row>
    <row r="53" spans="1:18" ht="24">
      <c r="A53" s="362"/>
      <c r="B53" s="362"/>
      <c r="C53" s="634" t="s">
        <v>1739</v>
      </c>
      <c r="D53" s="4213" t="s">
        <v>1740</v>
      </c>
      <c r="E53" s="4188"/>
      <c r="F53" s="4189"/>
      <c r="G53" s="595">
        <v>9828589024.2313194</v>
      </c>
      <c r="H53" s="4189"/>
      <c r="I53" s="595">
        <v>8725584387</v>
      </c>
      <c r="J53" s="596"/>
      <c r="K53" s="362"/>
      <c r="L53" s="4203" t="s">
        <v>1739</v>
      </c>
      <c r="M53" s="4214" t="s">
        <v>1740</v>
      </c>
      <c r="N53" s="4192"/>
      <c r="O53" s="4193"/>
      <c r="P53" s="4195">
        <v>10625181834.449301</v>
      </c>
      <c r="Q53" s="4193"/>
      <c r="R53" s="4195">
        <v>5293982537.7356663</v>
      </c>
    </row>
    <row r="54" spans="1:18" ht="24">
      <c r="A54" s="362"/>
      <c r="B54" s="362"/>
      <c r="C54" s="634" t="s">
        <v>1741</v>
      </c>
      <c r="D54" s="4213" t="s">
        <v>1742</v>
      </c>
      <c r="E54" s="4188"/>
      <c r="F54" s="4189"/>
      <c r="G54" s="595">
        <v>0</v>
      </c>
      <c r="H54" s="4189"/>
      <c r="I54" s="595">
        <v>0</v>
      </c>
      <c r="J54" s="596"/>
      <c r="K54" s="362"/>
      <c r="L54" s="4203" t="s">
        <v>6599</v>
      </c>
      <c r="M54" s="4214" t="s">
        <v>1742</v>
      </c>
      <c r="N54" s="4192"/>
      <c r="O54" s="4193"/>
      <c r="P54" s="4196">
        <v>-732647473</v>
      </c>
      <c r="Q54" s="4193"/>
      <c r="R54" s="4196">
        <v>-80673198</v>
      </c>
    </row>
    <row r="55" spans="1:18" ht="24">
      <c r="A55" s="362"/>
      <c r="B55" s="362"/>
      <c r="C55" s="651" t="s">
        <v>1743</v>
      </c>
      <c r="D55" s="4217" t="s">
        <v>1744</v>
      </c>
      <c r="E55" s="4218"/>
      <c r="F55" s="4181"/>
      <c r="G55" s="661">
        <v>209813410026.67899</v>
      </c>
      <c r="H55" s="4181"/>
      <c r="I55" s="661">
        <v>312408141498</v>
      </c>
      <c r="J55" s="615"/>
      <c r="K55" s="362"/>
      <c r="L55" s="4219" t="s">
        <v>6600</v>
      </c>
      <c r="M55" s="4220" t="s">
        <v>1744</v>
      </c>
      <c r="N55" s="4221"/>
      <c r="O55" s="4222"/>
      <c r="P55" s="4223">
        <v>221336133920.75159</v>
      </c>
      <c r="Q55" s="4222"/>
      <c r="R55" s="4223">
        <v>220428922040.71405</v>
      </c>
    </row>
    <row r="56" spans="1:18">
      <c r="A56" s="362"/>
      <c r="B56" s="362"/>
      <c r="C56" s="362"/>
      <c r="D56" s="362"/>
      <c r="E56" s="362"/>
      <c r="F56" s="362"/>
      <c r="G56" s="362"/>
      <c r="H56" s="362"/>
      <c r="I56" s="362"/>
      <c r="J56" s="362"/>
      <c r="K56" s="362"/>
      <c r="L56" s="362"/>
      <c r="M56" s="362"/>
      <c r="N56" s="362"/>
      <c r="O56" s="362"/>
      <c r="P56" s="362"/>
      <c r="Q56" s="362"/>
      <c r="R56" s="362"/>
    </row>
    <row r="57" spans="1:18">
      <c r="A57" s="362"/>
      <c r="B57" s="362"/>
      <c r="C57" s="362"/>
      <c r="D57" s="362"/>
      <c r="E57" s="362"/>
      <c r="F57" s="362"/>
      <c r="G57" s="362"/>
      <c r="H57" s="362"/>
      <c r="I57" s="362"/>
      <c r="J57" s="362"/>
      <c r="K57" s="362"/>
      <c r="L57" s="362"/>
      <c r="M57" s="362"/>
      <c r="N57" s="362"/>
      <c r="O57" s="362"/>
      <c r="P57" s="362"/>
      <c r="Q57" s="362"/>
      <c r="R57" s="362"/>
    </row>
    <row r="58" spans="1:18">
      <c r="A58" s="362"/>
      <c r="B58" s="362"/>
      <c r="C58" s="362"/>
      <c r="D58" s="362"/>
      <c r="E58" s="362"/>
      <c r="F58" s="362"/>
      <c r="G58" s="362"/>
      <c r="H58" s="362"/>
      <c r="I58" s="362"/>
      <c r="J58" s="362"/>
      <c r="K58" s="362"/>
      <c r="L58" s="362"/>
      <c r="M58" s="362"/>
      <c r="N58" s="362"/>
      <c r="O58" s="362"/>
      <c r="P58" s="362"/>
      <c r="Q58" s="362"/>
      <c r="R58" s="362"/>
    </row>
    <row r="59" spans="1:18">
      <c r="A59" s="362"/>
      <c r="B59" s="4224" t="s">
        <v>2195</v>
      </c>
      <c r="C59" s="362"/>
      <c r="D59" s="362"/>
      <c r="E59" s="362"/>
      <c r="F59" s="567"/>
      <c r="G59" s="567"/>
      <c r="H59" s="573"/>
      <c r="I59" s="4225" t="s">
        <v>1609</v>
      </c>
      <c r="J59" s="362"/>
      <c r="K59" s="4224" t="s">
        <v>2195</v>
      </c>
      <c r="L59" s="4226"/>
      <c r="M59" s="4226"/>
      <c r="N59" s="4226"/>
      <c r="O59" s="4226"/>
      <c r="P59" s="4226"/>
      <c r="Q59" s="4227"/>
      <c r="R59" s="4228" t="s">
        <v>1609</v>
      </c>
    </row>
    <row r="60" spans="1:18">
      <c r="A60" s="362"/>
      <c r="B60" s="5351" t="s">
        <v>1610</v>
      </c>
      <c r="C60" s="5351"/>
      <c r="D60" s="5351"/>
      <c r="E60" s="5352"/>
      <c r="F60" s="5355" t="s">
        <v>6602</v>
      </c>
      <c r="G60" s="5356"/>
      <c r="H60" s="5355" t="s">
        <v>6603</v>
      </c>
      <c r="I60" s="5356"/>
      <c r="J60" s="362"/>
      <c r="K60" s="4229" t="s">
        <v>1610</v>
      </c>
      <c r="L60" s="4229"/>
      <c r="M60" s="4229"/>
      <c r="N60" s="4230"/>
      <c r="O60" s="5357" t="s">
        <v>6604</v>
      </c>
      <c r="P60" s="5358"/>
      <c r="Q60" s="5357" t="s">
        <v>6605</v>
      </c>
      <c r="R60" s="5358"/>
    </row>
    <row r="61" spans="1:18">
      <c r="A61" s="362"/>
      <c r="B61" s="5353"/>
      <c r="C61" s="5353"/>
      <c r="D61" s="5353"/>
      <c r="E61" s="5354"/>
      <c r="F61" s="5359" t="s">
        <v>6601</v>
      </c>
      <c r="G61" s="5356"/>
      <c r="H61" s="5359" t="s">
        <v>6601</v>
      </c>
      <c r="I61" s="5356"/>
      <c r="J61" s="362"/>
      <c r="K61" s="4231"/>
      <c r="L61" s="4231"/>
      <c r="M61" s="4231"/>
      <c r="N61" s="4232"/>
      <c r="O61" s="5360" t="s">
        <v>6601</v>
      </c>
      <c r="P61" s="5358"/>
      <c r="Q61" s="5360" t="s">
        <v>6601</v>
      </c>
      <c r="R61" s="5358"/>
    </row>
    <row r="62" spans="1:18">
      <c r="A62" s="362"/>
      <c r="B62" s="584" t="s">
        <v>1619</v>
      </c>
      <c r="C62" s="5364" t="s">
        <v>1620</v>
      </c>
      <c r="D62" s="5364"/>
      <c r="E62" s="5364"/>
      <c r="F62" s="4233"/>
      <c r="G62" s="4234">
        <v>213598362661</v>
      </c>
      <c r="H62" s="4233"/>
      <c r="I62" s="4234">
        <v>308139407885</v>
      </c>
      <c r="J62" s="362"/>
      <c r="K62" s="4235" t="s">
        <v>1619</v>
      </c>
      <c r="L62" s="4236" t="s">
        <v>1620</v>
      </c>
      <c r="M62" s="4236"/>
      <c r="N62" s="4236"/>
      <c r="O62" s="4237"/>
      <c r="P62" s="4238">
        <v>231687932258</v>
      </c>
      <c r="Q62" s="4237"/>
      <c r="R62" s="4238">
        <v>224839088866</v>
      </c>
    </row>
    <row r="63" spans="1:18">
      <c r="A63" s="362"/>
      <c r="B63" s="567"/>
      <c r="C63" s="567" t="s">
        <v>1623</v>
      </c>
      <c r="D63" s="5361" t="s">
        <v>1624</v>
      </c>
      <c r="E63" s="5362"/>
      <c r="F63" s="594">
        <v>213065511886</v>
      </c>
      <c r="G63" s="595"/>
      <c r="H63" s="594">
        <v>307185490076</v>
      </c>
      <c r="I63" s="595"/>
      <c r="J63" s="362"/>
      <c r="K63" s="4226"/>
      <c r="L63" s="4226" t="s">
        <v>1623</v>
      </c>
      <c r="M63" s="4239" t="s">
        <v>1624</v>
      </c>
      <c r="N63" s="4240"/>
      <c r="O63" s="4241">
        <v>230788409035</v>
      </c>
      <c r="P63" s="4195"/>
      <c r="Q63" s="4241">
        <v>224350389540</v>
      </c>
      <c r="R63" s="4195"/>
    </row>
    <row r="64" spans="1:18">
      <c r="A64" s="362"/>
      <c r="B64" s="567"/>
      <c r="C64" s="603" t="s">
        <v>1625</v>
      </c>
      <c r="D64" s="5361" t="s">
        <v>1626</v>
      </c>
      <c r="E64" s="5362"/>
      <c r="F64" s="594">
        <v>950000</v>
      </c>
      <c r="G64" s="595"/>
      <c r="H64" s="594">
        <v>2400000</v>
      </c>
      <c r="I64" s="595"/>
      <c r="J64" s="362"/>
      <c r="K64" s="4226"/>
      <c r="L64" s="4242" t="s">
        <v>1625</v>
      </c>
      <c r="M64" s="4239" t="s">
        <v>1626</v>
      </c>
      <c r="N64" s="4240"/>
      <c r="O64" s="4241">
        <v>48662000</v>
      </c>
      <c r="P64" s="4195"/>
      <c r="Q64" s="4241">
        <v>50745774</v>
      </c>
      <c r="R64" s="4195"/>
    </row>
    <row r="65" spans="1:18">
      <c r="A65" s="362"/>
      <c r="B65" s="567"/>
      <c r="C65" s="603" t="s">
        <v>1625</v>
      </c>
      <c r="D65" s="5361" t="s">
        <v>1628</v>
      </c>
      <c r="E65" s="5362"/>
      <c r="F65" s="594">
        <v>531900775</v>
      </c>
      <c r="G65" s="595"/>
      <c r="H65" s="594">
        <v>951517809</v>
      </c>
      <c r="I65" s="595"/>
      <c r="J65" s="362"/>
      <c r="K65" s="4226"/>
      <c r="L65" s="4242" t="s">
        <v>1625</v>
      </c>
      <c r="M65" s="4239" t="s">
        <v>1628</v>
      </c>
      <c r="N65" s="4240"/>
      <c r="O65" s="4241">
        <v>850861223</v>
      </c>
      <c r="P65" s="4195"/>
      <c r="Q65" s="4241">
        <v>437953552</v>
      </c>
      <c r="R65" s="4195"/>
    </row>
    <row r="66" spans="1:18">
      <c r="A66" s="362"/>
      <c r="B66" s="567"/>
      <c r="C66" s="603"/>
      <c r="D66" s="610"/>
      <c r="E66" s="610"/>
      <c r="F66" s="594"/>
      <c r="G66" s="595"/>
      <c r="H66" s="594"/>
      <c r="I66" s="595"/>
      <c r="J66" s="362"/>
      <c r="K66" s="4226"/>
      <c r="L66" s="4242"/>
      <c r="M66" s="4239"/>
      <c r="N66" s="4239"/>
      <c r="O66" s="4241"/>
      <c r="P66" s="4195"/>
      <c r="Q66" s="4241"/>
      <c r="R66" s="4195"/>
    </row>
    <row r="67" spans="1:18" ht="24">
      <c r="A67" s="362"/>
      <c r="B67" s="584" t="s">
        <v>1631</v>
      </c>
      <c r="C67" s="5363" t="s">
        <v>1632</v>
      </c>
      <c r="D67" s="5363"/>
      <c r="E67" s="5363"/>
      <c r="F67" s="4243"/>
      <c r="G67" s="614">
        <v>208094931265.07889</v>
      </c>
      <c r="H67" s="4243"/>
      <c r="I67" s="614">
        <v>298381611076</v>
      </c>
      <c r="J67" s="362"/>
      <c r="K67" s="4235" t="s">
        <v>1631</v>
      </c>
      <c r="L67" s="4244" t="s">
        <v>1632</v>
      </c>
      <c r="M67" s="4244"/>
      <c r="N67" s="4244"/>
      <c r="O67" s="4245"/>
      <c r="P67" s="4215">
        <v>221412739752.05707</v>
      </c>
      <c r="Q67" s="4245"/>
      <c r="R67" s="4215">
        <v>218323519927.70566</v>
      </c>
    </row>
    <row r="68" spans="1:18" ht="24">
      <c r="A68" s="362"/>
      <c r="B68" s="567"/>
      <c r="C68" s="616" t="s">
        <v>1623</v>
      </c>
      <c r="D68" s="5361" t="s">
        <v>1635</v>
      </c>
      <c r="E68" s="5362"/>
      <c r="F68" s="4243">
        <v>208094091265.07889</v>
      </c>
      <c r="G68" s="614"/>
      <c r="H68" s="4243">
        <v>298379931076</v>
      </c>
      <c r="I68" s="614"/>
      <c r="J68" s="362"/>
      <c r="K68" s="4226"/>
      <c r="L68" s="4246" t="s">
        <v>1623</v>
      </c>
      <c r="M68" s="4239" t="s">
        <v>1635</v>
      </c>
      <c r="N68" s="4240"/>
      <c r="O68" s="4245">
        <v>221373440252.05707</v>
      </c>
      <c r="P68" s="4215"/>
      <c r="Q68" s="4245">
        <v>218284090927.70566</v>
      </c>
      <c r="R68" s="4215"/>
    </row>
    <row r="69" spans="1:18" ht="24">
      <c r="A69" s="362"/>
      <c r="B69" s="567"/>
      <c r="C69" s="616"/>
      <c r="D69" s="567" t="s">
        <v>1638</v>
      </c>
      <c r="E69" s="610" t="s">
        <v>1639</v>
      </c>
      <c r="F69" s="620">
        <v>9820284440</v>
      </c>
      <c r="G69" s="595"/>
      <c r="H69" s="620">
        <v>11080998624</v>
      </c>
      <c r="I69" s="595"/>
      <c r="J69" s="362"/>
      <c r="K69" s="4226"/>
      <c r="L69" s="4246"/>
      <c r="M69" s="4226" t="s">
        <v>1638</v>
      </c>
      <c r="N69" s="4239" t="s">
        <v>1639</v>
      </c>
      <c r="O69" s="4247">
        <v>8060435208.0570555</v>
      </c>
      <c r="P69" s="4195"/>
      <c r="Q69" s="4247">
        <v>9525596157</v>
      </c>
      <c r="R69" s="4195"/>
    </row>
    <row r="70" spans="1:18" ht="24">
      <c r="A70" s="362"/>
      <c r="B70" s="567"/>
      <c r="C70" s="616"/>
      <c r="D70" s="567" t="s">
        <v>1641</v>
      </c>
      <c r="E70" s="610" t="s">
        <v>1642</v>
      </c>
      <c r="F70" s="620">
        <v>209813410026.67899</v>
      </c>
      <c r="G70" s="595"/>
      <c r="H70" s="620">
        <v>312408141498</v>
      </c>
      <c r="I70" s="595"/>
      <c r="J70" s="362"/>
      <c r="K70" s="4226"/>
      <c r="L70" s="4246"/>
      <c r="M70" s="4226" t="s">
        <v>1641</v>
      </c>
      <c r="N70" s="4239" t="s">
        <v>1642</v>
      </c>
      <c r="O70" s="4247">
        <v>221336136921</v>
      </c>
      <c r="P70" s="4195"/>
      <c r="Q70" s="4247">
        <v>220428922040.71405</v>
      </c>
      <c r="R70" s="4195"/>
    </row>
    <row r="71" spans="1:18" ht="24">
      <c r="A71" s="362"/>
      <c r="B71" s="567"/>
      <c r="C71" s="616"/>
      <c r="D71" s="567" t="s">
        <v>1643</v>
      </c>
      <c r="E71" s="610" t="s">
        <v>1630</v>
      </c>
      <c r="F71" s="628">
        <v>12604187391.460869</v>
      </c>
      <c r="G71" s="595"/>
      <c r="H71" s="628">
        <v>15018251508</v>
      </c>
      <c r="I71" s="595"/>
      <c r="J71" s="362"/>
      <c r="K71" s="4226"/>
      <c r="L71" s="4246"/>
      <c r="M71" s="4226" t="s">
        <v>1643</v>
      </c>
      <c r="N71" s="4239" t="s">
        <v>1630</v>
      </c>
      <c r="O71" s="4248">
        <v>12460486376</v>
      </c>
      <c r="P71" s="4195"/>
      <c r="Q71" s="4248">
        <v>14074644811.746693</v>
      </c>
      <c r="R71" s="4195"/>
    </row>
    <row r="72" spans="1:18">
      <c r="A72" s="362"/>
      <c r="B72" s="567"/>
      <c r="C72" s="616"/>
      <c r="D72" s="567"/>
      <c r="E72" s="610" t="s">
        <v>1646</v>
      </c>
      <c r="F72" s="620">
        <v>232237881858.13986</v>
      </c>
      <c r="G72" s="595"/>
      <c r="H72" s="620">
        <v>338507391630</v>
      </c>
      <c r="I72" s="595"/>
      <c r="J72" s="362"/>
      <c r="K72" s="4226"/>
      <c r="L72" s="4246"/>
      <c r="M72" s="4226"/>
      <c r="N72" s="4239" t="s">
        <v>1646</v>
      </c>
      <c r="O72" s="4247">
        <v>241857058505.05707</v>
      </c>
      <c r="P72" s="4195"/>
      <c r="Q72" s="4247">
        <v>244029163009.46075</v>
      </c>
      <c r="R72" s="4195"/>
    </row>
    <row r="73" spans="1:18" ht="24">
      <c r="A73" s="362"/>
      <c r="B73" s="567"/>
      <c r="C73" s="616"/>
      <c r="D73" s="567" t="s">
        <v>1649</v>
      </c>
      <c r="E73" s="610" t="s">
        <v>1634</v>
      </c>
      <c r="F73" s="635">
        <v>12838219281.33436</v>
      </c>
      <c r="G73" s="595"/>
      <c r="H73" s="620">
        <v>28565800760</v>
      </c>
      <c r="I73" s="595"/>
      <c r="J73" s="362"/>
      <c r="K73" s="4226"/>
      <c r="L73" s="4246"/>
      <c r="M73" s="4226" t="s">
        <v>1649</v>
      </c>
      <c r="N73" s="4239" t="s">
        <v>1634</v>
      </c>
      <c r="O73" s="4249">
        <v>8891404721</v>
      </c>
      <c r="P73" s="4195"/>
      <c r="Q73" s="4249">
        <v>16708373025.698032</v>
      </c>
      <c r="R73" s="4195"/>
    </row>
    <row r="74" spans="1:18">
      <c r="A74" s="362"/>
      <c r="B74" s="567"/>
      <c r="C74" s="616"/>
      <c r="D74" s="567" t="s">
        <v>1652</v>
      </c>
      <c r="E74" s="610" t="s">
        <v>1653</v>
      </c>
      <c r="F74" s="635">
        <v>686738490</v>
      </c>
      <c r="G74" s="595"/>
      <c r="H74" s="620">
        <v>1457278913</v>
      </c>
      <c r="I74" s="595"/>
      <c r="J74" s="362"/>
      <c r="K74" s="4226"/>
      <c r="L74" s="4246"/>
      <c r="M74" s="4226" t="s">
        <v>1652</v>
      </c>
      <c r="N74" s="4239" t="s">
        <v>1653</v>
      </c>
      <c r="O74" s="4249">
        <v>500936470</v>
      </c>
      <c r="P74" s="4195"/>
      <c r="Q74" s="4249">
        <v>854278026</v>
      </c>
      <c r="R74" s="4195"/>
    </row>
    <row r="75" spans="1:18" ht="24">
      <c r="A75" s="362"/>
      <c r="B75" s="567"/>
      <c r="C75" s="616"/>
      <c r="D75" s="567" t="s">
        <v>1656</v>
      </c>
      <c r="E75" s="610" t="s">
        <v>1657</v>
      </c>
      <c r="F75" s="635">
        <v>0</v>
      </c>
      <c r="G75" s="595"/>
      <c r="H75" s="620">
        <v>-284096441</v>
      </c>
      <c r="I75" s="595"/>
      <c r="J75" s="362"/>
      <c r="K75" s="4226"/>
      <c r="L75" s="4246"/>
      <c r="M75" s="4226" t="s">
        <v>1656</v>
      </c>
      <c r="N75" s="4239" t="s">
        <v>1657</v>
      </c>
      <c r="O75" s="4249">
        <v>-10278438</v>
      </c>
      <c r="P75" s="4195"/>
      <c r="Q75" s="4249">
        <v>-121985822</v>
      </c>
      <c r="R75" s="4195"/>
    </row>
    <row r="76" spans="1:18" ht="24">
      <c r="A76" s="362"/>
      <c r="B76" s="567"/>
      <c r="C76" s="616"/>
      <c r="D76" s="567" t="s">
        <v>1660</v>
      </c>
      <c r="E76" s="610" t="s">
        <v>1661</v>
      </c>
      <c r="F76" s="635">
        <v>0</v>
      </c>
      <c r="G76" s="595"/>
      <c r="H76" s="620">
        <v>0</v>
      </c>
      <c r="I76" s="595"/>
      <c r="J76" s="362"/>
      <c r="K76" s="4226"/>
      <c r="L76" s="4246"/>
      <c r="M76" s="4226" t="s">
        <v>1660</v>
      </c>
      <c r="N76" s="4239" t="s">
        <v>1661</v>
      </c>
      <c r="O76" s="4249">
        <v>-188438944</v>
      </c>
      <c r="P76" s="4195"/>
      <c r="Q76" s="4249">
        <v>-183475126</v>
      </c>
      <c r="R76" s="4195"/>
    </row>
    <row r="77" spans="1:18" ht="24">
      <c r="A77" s="362"/>
      <c r="B77" s="567"/>
      <c r="C77" s="616"/>
      <c r="D77" s="567" t="s">
        <v>1662</v>
      </c>
      <c r="E77" s="610" t="s">
        <v>1663</v>
      </c>
      <c r="F77" s="635">
        <v>10618832821.726612</v>
      </c>
      <c r="G77" s="595"/>
      <c r="H77" s="4250">
        <v>9820284440</v>
      </c>
      <c r="I77" s="595"/>
      <c r="J77" s="362"/>
      <c r="K77" s="4226"/>
      <c r="L77" s="4246"/>
      <c r="M77" s="4226" t="s">
        <v>1662</v>
      </c>
      <c r="N77" s="4239" t="s">
        <v>1663</v>
      </c>
      <c r="O77" s="4249">
        <v>11080998624</v>
      </c>
      <c r="P77" s="4195"/>
      <c r="Q77" s="4249">
        <v>8060435208.0570555</v>
      </c>
      <c r="R77" s="4195"/>
    </row>
    <row r="78" spans="1:18" ht="24">
      <c r="A78" s="362"/>
      <c r="B78" s="567"/>
      <c r="C78" s="616" t="s">
        <v>1627</v>
      </c>
      <c r="D78" s="5361" t="s">
        <v>1666</v>
      </c>
      <c r="E78" s="5362"/>
      <c r="F78" s="4243">
        <v>840000</v>
      </c>
      <c r="G78" s="614"/>
      <c r="H78" s="4243">
        <v>1680000</v>
      </c>
      <c r="I78" s="614"/>
      <c r="J78" s="362"/>
      <c r="K78" s="4226"/>
      <c r="L78" s="4246" t="s">
        <v>1627</v>
      </c>
      <c r="M78" s="4239" t="s">
        <v>1666</v>
      </c>
      <c r="N78" s="4240"/>
      <c r="O78" s="4245">
        <v>39299500</v>
      </c>
      <c r="P78" s="4215"/>
      <c r="Q78" s="4245">
        <v>39429000</v>
      </c>
      <c r="R78" s="4215"/>
    </row>
    <row r="79" spans="1:18" ht="24">
      <c r="A79" s="362"/>
      <c r="B79" s="567"/>
      <c r="C79" s="616"/>
      <c r="D79" s="610" t="s">
        <v>6606</v>
      </c>
      <c r="E79" s="610" t="s">
        <v>1668</v>
      </c>
      <c r="F79" s="620">
        <v>0</v>
      </c>
      <c r="G79" s="595"/>
      <c r="H79" s="620">
        <v>0</v>
      </c>
      <c r="I79" s="595"/>
      <c r="J79" s="362"/>
      <c r="K79" s="4226"/>
      <c r="L79" s="4246"/>
      <c r="M79" s="4239" t="s">
        <v>6606</v>
      </c>
      <c r="N79" s="4239" t="s">
        <v>1668</v>
      </c>
      <c r="O79" s="4247">
        <v>0</v>
      </c>
      <c r="P79" s="4195"/>
      <c r="Q79" s="4247">
        <v>0</v>
      </c>
      <c r="R79" s="4195"/>
    </row>
    <row r="80" spans="1:18" ht="24">
      <c r="A80" s="362"/>
      <c r="B80" s="567"/>
      <c r="C80" s="616"/>
      <c r="D80" s="610" t="s">
        <v>1641</v>
      </c>
      <c r="E80" s="610" t="s">
        <v>1670</v>
      </c>
      <c r="F80" s="620">
        <v>840000</v>
      </c>
      <c r="G80" s="595"/>
      <c r="H80" s="620">
        <v>1680000</v>
      </c>
      <c r="I80" s="595"/>
      <c r="J80" s="362"/>
      <c r="K80" s="4226"/>
      <c r="L80" s="4246"/>
      <c r="M80" s="4239" t="s">
        <v>1641</v>
      </c>
      <c r="N80" s="4239" t="s">
        <v>1670</v>
      </c>
      <c r="O80" s="4247">
        <v>39299500</v>
      </c>
      <c r="P80" s="4195"/>
      <c r="Q80" s="4247">
        <v>39429000</v>
      </c>
      <c r="R80" s="4195"/>
    </row>
    <row r="81" spans="1:18" ht="24">
      <c r="A81" s="362"/>
      <c r="B81" s="567"/>
      <c r="C81" s="616"/>
      <c r="D81" s="610" t="s">
        <v>1643</v>
      </c>
      <c r="E81" s="610" t="s">
        <v>1630</v>
      </c>
      <c r="F81" s="620">
        <v>0</v>
      </c>
      <c r="G81" s="595"/>
      <c r="H81" s="620">
        <v>0</v>
      </c>
      <c r="I81" s="595"/>
      <c r="J81" s="362"/>
      <c r="K81" s="4226"/>
      <c r="L81" s="4246"/>
      <c r="M81" s="4239" t="s">
        <v>1643</v>
      </c>
      <c r="N81" s="4239" t="s">
        <v>1630</v>
      </c>
      <c r="O81" s="4247">
        <v>0</v>
      </c>
      <c r="P81" s="4195"/>
      <c r="Q81" s="4247">
        <v>0</v>
      </c>
      <c r="R81" s="4195"/>
    </row>
    <row r="82" spans="1:18" ht="24">
      <c r="A82" s="362"/>
      <c r="B82" s="567"/>
      <c r="C82" s="616"/>
      <c r="D82" s="610" t="s">
        <v>1649</v>
      </c>
      <c r="E82" s="610" t="s">
        <v>1634</v>
      </c>
      <c r="F82" s="620">
        <v>0</v>
      </c>
      <c r="G82" s="595"/>
      <c r="H82" s="620">
        <v>0</v>
      </c>
      <c r="I82" s="595"/>
      <c r="J82" s="362"/>
      <c r="K82" s="4226"/>
      <c r="L82" s="4246"/>
      <c r="M82" s="4239" t="s">
        <v>1649</v>
      </c>
      <c r="N82" s="4239" t="s">
        <v>1634</v>
      </c>
      <c r="O82" s="4247">
        <v>0</v>
      </c>
      <c r="P82" s="4195"/>
      <c r="Q82" s="4247">
        <v>0</v>
      </c>
      <c r="R82" s="4195"/>
    </row>
    <row r="83" spans="1:18" ht="24">
      <c r="A83" s="362"/>
      <c r="B83" s="567"/>
      <c r="C83" s="616"/>
      <c r="D83" s="610" t="s">
        <v>1652</v>
      </c>
      <c r="E83" s="610" t="s">
        <v>1674</v>
      </c>
      <c r="F83" s="628">
        <v>0</v>
      </c>
      <c r="G83" s="4211"/>
      <c r="H83" s="637">
        <v>0</v>
      </c>
      <c r="I83" s="4211"/>
      <c r="J83" s="362"/>
      <c r="K83" s="4226"/>
      <c r="L83" s="4246"/>
      <c r="M83" s="4239" t="s">
        <v>1652</v>
      </c>
      <c r="N83" s="4239" t="s">
        <v>1674</v>
      </c>
      <c r="O83" s="4248">
        <v>0</v>
      </c>
      <c r="P83" s="4196"/>
      <c r="Q83" s="4248">
        <v>0</v>
      </c>
      <c r="R83" s="4196"/>
    </row>
    <row r="84" spans="1:18">
      <c r="A84" s="362"/>
      <c r="B84" s="567"/>
      <c r="C84" s="616"/>
      <c r="D84" s="610"/>
      <c r="E84" s="610"/>
      <c r="F84" s="620"/>
      <c r="G84" s="595"/>
      <c r="H84" s="620"/>
      <c r="I84" s="595"/>
      <c r="J84" s="362"/>
      <c r="K84" s="4226"/>
      <c r="L84" s="4246"/>
      <c r="M84" s="4239"/>
      <c r="N84" s="4239"/>
      <c r="O84" s="4247"/>
      <c r="P84" s="4195"/>
      <c r="Q84" s="4247"/>
      <c r="R84" s="4195"/>
    </row>
    <row r="85" spans="1:18">
      <c r="A85" s="362"/>
      <c r="B85" s="584" t="s">
        <v>1679</v>
      </c>
      <c r="C85" s="5363" t="s">
        <v>1680</v>
      </c>
      <c r="D85" s="5363"/>
      <c r="E85" s="5363"/>
      <c r="F85" s="4243"/>
      <c r="G85" s="614">
        <v>5503431395.9211121</v>
      </c>
      <c r="H85" s="4243"/>
      <c r="I85" s="614">
        <v>9757796809</v>
      </c>
      <c r="J85" s="362"/>
      <c r="K85" s="4235" t="s">
        <v>1679</v>
      </c>
      <c r="L85" s="4244" t="s">
        <v>1680</v>
      </c>
      <c r="M85" s="4244"/>
      <c r="N85" s="4244"/>
      <c r="O85" s="4245"/>
      <c r="P85" s="4215">
        <v>10275192505.942932</v>
      </c>
      <c r="Q85" s="4245"/>
      <c r="R85" s="4215">
        <v>6515568938.294342</v>
      </c>
    </row>
    <row r="86" spans="1:18">
      <c r="A86" s="362"/>
      <c r="B86" s="362"/>
      <c r="C86" s="362"/>
      <c r="D86" s="362"/>
      <c r="E86" s="362"/>
      <c r="F86" s="362"/>
      <c r="G86" s="362"/>
      <c r="H86" s="362"/>
      <c r="I86" s="362"/>
      <c r="J86" s="362"/>
      <c r="K86" s="362"/>
      <c r="L86" s="362"/>
      <c r="M86" s="362"/>
      <c r="N86" s="362"/>
      <c r="O86" s="362"/>
      <c r="P86" s="362"/>
      <c r="Q86" s="362"/>
      <c r="R86" s="362"/>
    </row>
    <row r="87" spans="1:18">
      <c r="A87" s="362"/>
      <c r="B87" s="362"/>
      <c r="C87" s="362"/>
      <c r="D87" s="362"/>
      <c r="E87" s="362"/>
      <c r="F87" s="362"/>
      <c r="G87" s="362"/>
      <c r="H87" s="362"/>
      <c r="I87" s="362"/>
      <c r="J87" s="362"/>
      <c r="K87" s="362"/>
      <c r="L87" s="362"/>
      <c r="M87" s="362"/>
      <c r="N87" s="362"/>
      <c r="O87" s="362"/>
      <c r="P87" s="362"/>
      <c r="Q87" s="362"/>
      <c r="R87" s="362"/>
    </row>
    <row r="88" spans="1:18">
      <c r="A88" s="362"/>
      <c r="B88" s="362"/>
      <c r="C88" s="362"/>
      <c r="D88" s="362"/>
      <c r="E88" s="362"/>
      <c r="F88" s="4251" t="s">
        <v>6607</v>
      </c>
      <c r="G88" s="4252">
        <v>-1147541862.2488251</v>
      </c>
      <c r="H88" s="4251" t="s">
        <v>6607</v>
      </c>
      <c r="I88" s="4252">
        <v>15170642688</v>
      </c>
      <c r="J88" s="362"/>
      <c r="K88" s="362"/>
      <c r="L88" s="362"/>
      <c r="M88" s="362"/>
      <c r="N88" s="362"/>
      <c r="O88" s="4251" t="s">
        <v>6607</v>
      </c>
      <c r="P88" s="4252">
        <v>-9115138521.6888027</v>
      </c>
      <c r="Q88" s="4251" t="s">
        <v>6607</v>
      </c>
      <c r="R88" s="4252">
        <v>548196322.83582878</v>
      </c>
    </row>
    <row r="89" spans="1:18">
      <c r="A89" s="362"/>
      <c r="B89" s="362"/>
      <c r="C89" s="362"/>
      <c r="D89" s="362"/>
      <c r="E89" s="362"/>
      <c r="F89" s="4251" t="s">
        <v>6608</v>
      </c>
      <c r="G89" s="4252">
        <v>-1719318761.6001034</v>
      </c>
      <c r="H89" s="4251" t="s">
        <v>6608</v>
      </c>
      <c r="I89" s="4252">
        <v>-14028210422</v>
      </c>
      <c r="J89" s="362"/>
      <c r="K89" s="362"/>
      <c r="L89" s="362"/>
      <c r="M89" s="362"/>
      <c r="N89" s="362"/>
      <c r="O89" s="4251" t="s">
        <v>6608</v>
      </c>
      <c r="P89" s="4252">
        <v>37303331.057056427</v>
      </c>
      <c r="Q89" s="4251" t="s">
        <v>6608</v>
      </c>
      <c r="R89" s="4252">
        <v>-2144831113.0083952</v>
      </c>
    </row>
    <row r="90" spans="1:18">
      <c r="A90" s="362"/>
      <c r="B90" s="362"/>
      <c r="C90" s="362"/>
      <c r="D90" s="362"/>
      <c r="E90" s="362"/>
      <c r="F90" s="4253" t="s">
        <v>6609</v>
      </c>
      <c r="G90" s="4254">
        <v>-2866860623.8489285</v>
      </c>
      <c r="H90" s="4253" t="s">
        <v>6609</v>
      </c>
      <c r="I90" s="4254">
        <v>1142432266</v>
      </c>
      <c r="J90" s="362"/>
      <c r="K90" s="362"/>
      <c r="L90" s="362"/>
      <c r="M90" s="362"/>
      <c r="N90" s="362"/>
      <c r="O90" s="4253" t="s">
        <v>6609</v>
      </c>
      <c r="P90" s="4254">
        <v>-9077835190.6317463</v>
      </c>
      <c r="Q90" s="4253" t="s">
        <v>6609</v>
      </c>
      <c r="R90" s="4254">
        <v>-1596634790.1725664</v>
      </c>
    </row>
    <row r="91" spans="1:18">
      <c r="A91" s="362"/>
      <c r="B91" s="362"/>
      <c r="C91" s="362"/>
      <c r="D91" s="362"/>
      <c r="E91" s="362"/>
      <c r="F91" s="362"/>
      <c r="G91" s="362"/>
      <c r="H91" s="362"/>
      <c r="I91" s="362"/>
      <c r="J91" s="362"/>
      <c r="K91" s="362"/>
      <c r="L91" s="362"/>
      <c r="M91" s="362"/>
      <c r="N91" s="362"/>
      <c r="O91" s="362"/>
      <c r="P91" s="362"/>
      <c r="Q91" s="362"/>
      <c r="R91" s="362"/>
    </row>
    <row r="92" spans="1:18">
      <c r="A92" s="362"/>
      <c r="B92" s="362"/>
      <c r="C92" s="362"/>
      <c r="D92" s="362"/>
      <c r="E92" s="362"/>
      <c r="F92" s="362"/>
      <c r="G92" s="362"/>
      <c r="H92" s="362"/>
      <c r="I92" s="362"/>
      <c r="J92" s="362"/>
      <c r="K92" s="362"/>
      <c r="L92" s="362"/>
      <c r="M92" s="362"/>
      <c r="N92" s="362"/>
      <c r="O92" s="362"/>
      <c r="P92" s="362"/>
      <c r="Q92" s="362"/>
      <c r="R92" s="362"/>
    </row>
    <row r="93" spans="1:18">
      <c r="A93" s="362"/>
      <c r="B93" s="362"/>
      <c r="C93" s="362"/>
      <c r="D93" s="362"/>
      <c r="E93" s="362"/>
      <c r="F93" s="362"/>
      <c r="G93" s="362"/>
      <c r="H93" s="362"/>
      <c r="I93" s="362"/>
      <c r="J93" s="362"/>
      <c r="K93" s="362"/>
      <c r="L93" s="362"/>
      <c r="M93" s="362"/>
      <c r="N93" s="362"/>
      <c r="O93" s="362"/>
      <c r="P93" s="362"/>
      <c r="Q93" s="362"/>
      <c r="R93" s="362"/>
    </row>
    <row r="94" spans="1:18">
      <c r="A94" s="362"/>
      <c r="B94" s="362"/>
      <c r="C94" s="362"/>
      <c r="D94" s="362"/>
      <c r="E94" s="362"/>
      <c r="F94" s="362"/>
      <c r="G94" s="362"/>
      <c r="H94" s="362"/>
      <c r="I94" s="362"/>
      <c r="J94" s="362"/>
      <c r="K94" s="362"/>
      <c r="L94" s="362"/>
      <c r="M94" s="362"/>
      <c r="N94" s="362"/>
      <c r="O94" s="362"/>
      <c r="P94" s="362"/>
      <c r="Q94" s="362"/>
      <c r="R94" s="362"/>
    </row>
    <row r="95" spans="1:18">
      <c r="A95" s="362"/>
      <c r="B95" s="362"/>
      <c r="C95" s="362"/>
      <c r="D95" s="362"/>
      <c r="E95" s="362"/>
      <c r="F95" s="362"/>
      <c r="G95" s="362"/>
      <c r="H95" s="362"/>
      <c r="I95" s="362"/>
      <c r="J95" s="362"/>
      <c r="K95" s="362"/>
      <c r="L95" s="362"/>
      <c r="M95" s="362"/>
      <c r="N95" s="362"/>
      <c r="O95" s="362"/>
      <c r="P95" s="362"/>
      <c r="Q95" s="362"/>
      <c r="R95" s="362"/>
    </row>
    <row r="96" spans="1:18">
      <c r="A96" s="362"/>
      <c r="B96" s="362"/>
      <c r="C96" s="362"/>
      <c r="D96" s="362"/>
      <c r="E96" s="362"/>
      <c r="F96" s="362"/>
      <c r="G96" s="362"/>
      <c r="H96" s="362"/>
      <c r="I96" s="362"/>
      <c r="J96" s="362"/>
      <c r="K96" s="362"/>
      <c r="L96" s="362"/>
      <c r="M96" s="362"/>
      <c r="N96" s="362"/>
      <c r="O96" s="362"/>
      <c r="P96" s="362"/>
      <c r="Q96" s="362"/>
      <c r="R96" s="362"/>
    </row>
    <row r="97" spans="1:18">
      <c r="A97" s="362"/>
      <c r="B97" s="362"/>
      <c r="C97" s="362"/>
      <c r="D97" s="362"/>
      <c r="E97" s="362"/>
      <c r="F97" s="362"/>
      <c r="G97" s="362"/>
      <c r="H97" s="362"/>
      <c r="I97" s="362"/>
      <c r="J97" s="362"/>
      <c r="K97" s="362"/>
      <c r="L97" s="362"/>
      <c r="M97" s="362"/>
      <c r="N97" s="362"/>
      <c r="O97" s="362"/>
      <c r="P97" s="362"/>
      <c r="Q97" s="362"/>
      <c r="R97" s="362"/>
    </row>
    <row r="98" spans="1:18">
      <c r="A98" s="362"/>
      <c r="B98" s="362"/>
      <c r="C98" s="362"/>
      <c r="D98" s="362"/>
      <c r="E98" s="362"/>
      <c r="F98" s="362"/>
      <c r="G98" s="362"/>
      <c r="H98" s="362"/>
      <c r="I98" s="362"/>
      <c r="J98" s="362"/>
      <c r="K98" s="362"/>
      <c r="L98" s="362"/>
      <c r="M98" s="362"/>
      <c r="N98" s="362"/>
      <c r="O98" s="362"/>
      <c r="P98" s="362"/>
      <c r="Q98" s="362"/>
      <c r="R98" s="362"/>
    </row>
    <row r="99" spans="1:18">
      <c r="A99" s="362"/>
      <c r="B99" s="362"/>
      <c r="C99" s="362"/>
      <c r="D99" s="362"/>
      <c r="E99" s="362"/>
      <c r="F99" s="362"/>
      <c r="G99" s="362"/>
      <c r="H99" s="362"/>
      <c r="I99" s="362"/>
      <c r="J99" s="362"/>
      <c r="K99" s="362"/>
      <c r="L99" s="362"/>
      <c r="M99" s="362"/>
      <c r="N99" s="362"/>
      <c r="O99" s="362"/>
      <c r="P99" s="362"/>
      <c r="Q99" s="362"/>
      <c r="R99" s="362"/>
    </row>
    <row r="100" spans="1:18">
      <c r="A100" s="362"/>
      <c r="B100" s="362"/>
      <c r="C100" s="362"/>
      <c r="D100" s="362"/>
      <c r="E100" s="362"/>
      <c r="F100" s="362"/>
      <c r="G100" s="362"/>
      <c r="H100" s="362"/>
      <c r="I100" s="362"/>
      <c r="J100" s="362"/>
      <c r="K100" s="362"/>
      <c r="L100" s="362"/>
      <c r="M100" s="362"/>
      <c r="N100" s="362"/>
      <c r="O100" s="362"/>
      <c r="P100" s="362"/>
      <c r="Q100" s="362"/>
      <c r="R100" s="362"/>
    </row>
    <row r="101" spans="1:18">
      <c r="A101" s="362"/>
      <c r="B101" s="362"/>
      <c r="C101" s="362"/>
      <c r="D101" s="362"/>
      <c r="E101" s="362"/>
      <c r="F101" s="362"/>
      <c r="G101" s="362"/>
      <c r="H101" s="362"/>
      <c r="I101" s="362"/>
      <c r="J101" s="362"/>
      <c r="K101" s="362"/>
      <c r="L101" s="362"/>
      <c r="M101" s="362"/>
      <c r="N101" s="362"/>
      <c r="O101" s="362"/>
      <c r="P101" s="362"/>
      <c r="Q101" s="362"/>
      <c r="R101" s="362"/>
    </row>
    <row r="102" spans="1:18">
      <c r="A102" s="362"/>
      <c r="B102" s="362"/>
      <c r="C102" s="362"/>
      <c r="D102" s="362"/>
      <c r="E102" s="362"/>
      <c r="F102" s="362"/>
      <c r="G102" s="362"/>
      <c r="H102" s="362"/>
      <c r="I102" s="362"/>
      <c r="J102" s="362"/>
      <c r="K102" s="362"/>
      <c r="L102" s="362"/>
      <c r="M102" s="362"/>
      <c r="N102" s="362"/>
      <c r="O102" s="362"/>
      <c r="P102" s="362"/>
      <c r="Q102" s="362"/>
      <c r="R102" s="362"/>
    </row>
    <row r="103" spans="1:18">
      <c r="A103" s="362"/>
      <c r="B103" s="362"/>
      <c r="C103" s="362"/>
      <c r="D103" s="362"/>
      <c r="E103" s="362"/>
      <c r="F103" s="362"/>
      <c r="G103" s="362"/>
      <c r="H103" s="362"/>
      <c r="I103" s="362"/>
      <c r="J103" s="362"/>
      <c r="K103" s="362"/>
      <c r="L103" s="362"/>
      <c r="M103" s="362"/>
      <c r="N103" s="362"/>
      <c r="O103" s="362"/>
      <c r="P103" s="362"/>
      <c r="Q103" s="362"/>
      <c r="R103" s="362"/>
    </row>
    <row r="104" spans="1:18">
      <c r="A104" s="362"/>
      <c r="B104" s="362"/>
      <c r="C104" s="362"/>
      <c r="D104" s="362"/>
      <c r="E104" s="362"/>
      <c r="F104" s="362"/>
      <c r="G104" s="362"/>
      <c r="H104" s="362"/>
      <c r="I104" s="362"/>
      <c r="J104" s="362"/>
      <c r="K104" s="362"/>
      <c r="L104" s="362"/>
      <c r="M104" s="362"/>
      <c r="N104" s="362"/>
      <c r="O104" s="362"/>
      <c r="P104" s="362"/>
      <c r="Q104" s="362"/>
      <c r="R104" s="362"/>
    </row>
    <row r="105" spans="1:18">
      <c r="A105" s="362"/>
      <c r="B105" s="362"/>
      <c r="C105" s="362"/>
      <c r="D105" s="362"/>
      <c r="E105" s="362"/>
      <c r="F105" s="362"/>
      <c r="G105" s="362"/>
      <c r="H105" s="362"/>
      <c r="I105" s="362"/>
      <c r="J105" s="362"/>
      <c r="K105" s="362"/>
      <c r="L105" s="362"/>
      <c r="M105" s="362"/>
      <c r="N105" s="362"/>
      <c r="O105" s="362"/>
      <c r="P105" s="362"/>
      <c r="Q105" s="362"/>
      <c r="R105" s="362"/>
    </row>
    <row r="106" spans="1:18">
      <c r="A106" s="362"/>
      <c r="B106" s="362"/>
      <c r="C106" s="362"/>
      <c r="D106" s="362"/>
      <c r="E106" s="362"/>
      <c r="F106" s="362"/>
      <c r="G106" s="362"/>
      <c r="H106" s="362"/>
      <c r="I106" s="362"/>
      <c r="J106" s="362"/>
      <c r="K106" s="362"/>
      <c r="L106" s="362"/>
      <c r="M106" s="362"/>
      <c r="N106" s="362"/>
      <c r="O106" s="362" t="s">
        <v>2165</v>
      </c>
      <c r="P106" s="567">
        <v>221373440252</v>
      </c>
      <c r="Q106" s="362"/>
      <c r="R106" s="362"/>
    </row>
    <row r="107" spans="1:18">
      <c r="A107" s="362"/>
      <c r="B107" s="362"/>
      <c r="C107" s="362"/>
      <c r="D107" s="362"/>
      <c r="E107" s="362"/>
      <c r="F107" s="362"/>
      <c r="G107" s="362"/>
      <c r="H107" s="362"/>
      <c r="I107" s="362"/>
      <c r="J107" s="362"/>
      <c r="K107" s="362"/>
      <c r="L107" s="362"/>
      <c r="M107" s="362"/>
      <c r="N107" s="362"/>
      <c r="O107" s="362" t="s">
        <v>2165</v>
      </c>
      <c r="P107" s="567">
        <v>221383718690</v>
      </c>
      <c r="Q107" s="362"/>
      <c r="R107" s="362"/>
    </row>
    <row r="108" spans="1:18">
      <c r="A108" s="362"/>
      <c r="B108" s="362"/>
      <c r="C108" s="362"/>
      <c r="D108" s="362"/>
      <c r="E108" s="362"/>
      <c r="F108" s="362"/>
      <c r="G108" s="362"/>
      <c r="H108" s="362"/>
      <c r="I108" s="362"/>
      <c r="J108" s="362"/>
      <c r="K108" s="362"/>
      <c r="L108" s="362"/>
      <c r="M108" s="362"/>
      <c r="N108" s="362"/>
      <c r="O108" s="362" t="s">
        <v>2494</v>
      </c>
      <c r="P108" s="567">
        <v>0</v>
      </c>
      <c r="Q108" s="362"/>
      <c r="R108" s="362"/>
    </row>
    <row r="109" spans="1:18">
      <c r="A109" s="362"/>
      <c r="B109" s="362"/>
      <c r="C109" s="362"/>
      <c r="D109" s="362"/>
      <c r="E109" s="362"/>
      <c r="F109" s="362"/>
      <c r="G109" s="362"/>
      <c r="H109" s="362"/>
      <c r="I109" s="362"/>
      <c r="J109" s="362"/>
      <c r="K109" s="362"/>
      <c r="L109" s="362"/>
      <c r="M109" s="362"/>
      <c r="N109" s="362"/>
      <c r="O109" s="362" t="s">
        <v>2495</v>
      </c>
      <c r="P109" s="567">
        <v>-10278438</v>
      </c>
      <c r="Q109" s="362"/>
      <c r="R109" s="362"/>
    </row>
    <row r="110" spans="1:18">
      <c r="A110" s="362"/>
      <c r="B110" s="362"/>
      <c r="C110" s="362"/>
      <c r="D110" s="362"/>
      <c r="E110" s="362"/>
      <c r="F110" s="362"/>
      <c r="G110" s="362"/>
      <c r="H110" s="362"/>
      <c r="I110" s="362"/>
      <c r="J110" s="362"/>
      <c r="K110" s="362"/>
      <c r="L110" s="362"/>
      <c r="M110" s="362"/>
      <c r="N110" s="362"/>
      <c r="O110" s="362"/>
      <c r="P110" s="362"/>
      <c r="Q110" s="362"/>
      <c r="R110" s="362"/>
    </row>
    <row r="111" spans="1:18">
      <c r="A111" s="362"/>
      <c r="B111" s="362"/>
      <c r="C111" s="362"/>
      <c r="D111" s="362"/>
      <c r="E111" s="362"/>
      <c r="F111" s="362"/>
      <c r="G111" s="362"/>
      <c r="H111" s="362"/>
      <c r="I111" s="362"/>
      <c r="J111" s="362"/>
      <c r="K111" s="362"/>
      <c r="L111" s="362"/>
      <c r="M111" s="362"/>
      <c r="N111" s="362"/>
      <c r="O111" s="362"/>
      <c r="P111" s="362"/>
      <c r="Q111" s="362"/>
      <c r="R111" s="362"/>
    </row>
    <row r="112" spans="1:18">
      <c r="A112" s="362"/>
      <c r="B112" s="362"/>
      <c r="C112" s="362"/>
      <c r="D112" s="362"/>
      <c r="E112" s="362"/>
      <c r="F112" s="362"/>
      <c r="G112" s="362"/>
      <c r="H112" s="362"/>
      <c r="I112" s="362"/>
      <c r="J112" s="362"/>
      <c r="K112" s="362"/>
      <c r="L112" s="362"/>
      <c r="M112" s="362"/>
      <c r="N112" s="362"/>
      <c r="O112" s="362"/>
      <c r="P112" s="362"/>
      <c r="Q112" s="362"/>
      <c r="R112" s="362"/>
    </row>
    <row r="113" spans="1:18">
      <c r="A113" s="362"/>
      <c r="B113" s="362"/>
      <c r="C113" s="362"/>
      <c r="D113" s="362"/>
      <c r="E113" s="362"/>
      <c r="F113" s="362"/>
      <c r="G113" s="362"/>
      <c r="H113" s="362"/>
      <c r="I113" s="362"/>
      <c r="J113" s="362"/>
      <c r="K113" s="362"/>
      <c r="L113" s="362"/>
      <c r="M113" s="362"/>
      <c r="N113" s="362"/>
      <c r="O113" s="362"/>
      <c r="P113" s="362"/>
      <c r="Q113" s="362"/>
      <c r="R113" s="362"/>
    </row>
    <row r="114" spans="1:18">
      <c r="A114" s="362"/>
      <c r="B114" s="362"/>
      <c r="C114" s="362"/>
      <c r="D114" s="362"/>
      <c r="E114" s="362"/>
      <c r="F114" s="362"/>
      <c r="G114" s="362"/>
      <c r="H114" s="362"/>
      <c r="I114" s="362"/>
      <c r="J114" s="362"/>
      <c r="K114" s="362"/>
      <c r="L114" s="362"/>
      <c r="M114" s="362"/>
      <c r="N114" s="362"/>
      <c r="O114" s="362" t="s">
        <v>6610</v>
      </c>
      <c r="P114" s="4255">
        <v>5293982538</v>
      </c>
      <c r="Q114" s="362" t="s">
        <v>6611</v>
      </c>
      <c r="R114" s="4252">
        <v>221336133920.75159</v>
      </c>
    </row>
    <row r="115" spans="1:18">
      <c r="A115" s="362"/>
      <c r="B115" s="362"/>
      <c r="C115" s="362"/>
      <c r="D115" s="362"/>
      <c r="E115" s="362"/>
      <c r="F115" s="362"/>
      <c r="G115" s="362"/>
      <c r="H115" s="362"/>
      <c r="I115" s="362"/>
      <c r="J115" s="362"/>
      <c r="K115" s="362"/>
      <c r="L115" s="362"/>
      <c r="M115" s="362"/>
      <c r="N115" s="362"/>
      <c r="O115" s="362"/>
      <c r="P115" s="362"/>
      <c r="Q115" s="362" t="s">
        <v>6612</v>
      </c>
      <c r="R115" s="4252">
        <v>25741448659.687</v>
      </c>
    </row>
    <row r="116" spans="1:18">
      <c r="A116" s="362"/>
      <c r="B116" s="362"/>
      <c r="C116" s="362"/>
      <c r="D116" s="362"/>
      <c r="E116" s="362"/>
      <c r="F116" s="362"/>
      <c r="G116" s="362"/>
      <c r="H116" s="362"/>
      <c r="I116" s="362"/>
      <c r="J116" s="362"/>
      <c r="K116" s="362"/>
      <c r="L116" s="362"/>
      <c r="M116" s="362"/>
      <c r="N116" s="362"/>
      <c r="O116" s="362" t="s">
        <v>2448</v>
      </c>
      <c r="P116" s="4252">
        <v>223606369763.4404</v>
      </c>
      <c r="Q116" s="362"/>
      <c r="R116" s="362"/>
    </row>
    <row r="117" spans="1:18">
      <c r="A117" s="362"/>
      <c r="B117" s="362"/>
      <c r="C117" s="362"/>
      <c r="D117" s="362"/>
      <c r="E117" s="362"/>
      <c r="F117" s="362"/>
      <c r="G117" s="362"/>
      <c r="H117" s="362"/>
      <c r="I117" s="362"/>
      <c r="J117" s="362"/>
      <c r="K117" s="362"/>
      <c r="L117" s="362"/>
      <c r="M117" s="362"/>
      <c r="N117" s="362"/>
      <c r="O117" s="362" t="s">
        <v>1289</v>
      </c>
      <c r="P117" s="4252">
        <v>2278091096</v>
      </c>
      <c r="Q117" s="362" t="s">
        <v>6613</v>
      </c>
      <c r="R117" s="4252">
        <v>10625181834.449301</v>
      </c>
    </row>
    <row r="118" spans="1:18">
      <c r="A118" s="362"/>
      <c r="B118" s="362"/>
      <c r="C118" s="362"/>
      <c r="D118" s="362"/>
      <c r="E118" s="362"/>
      <c r="F118" s="362"/>
      <c r="G118" s="362"/>
      <c r="H118" s="362"/>
      <c r="I118" s="362"/>
      <c r="J118" s="362"/>
      <c r="K118" s="362"/>
      <c r="L118" s="362"/>
      <c r="M118" s="362"/>
      <c r="N118" s="362"/>
      <c r="O118" s="362" t="s">
        <v>1287</v>
      </c>
      <c r="P118" s="4252">
        <v>4566811583</v>
      </c>
      <c r="Q118" s="362"/>
      <c r="R118" s="362"/>
    </row>
    <row r="119" spans="1:18">
      <c r="A119" s="362"/>
      <c r="B119" s="362"/>
      <c r="C119" s="362"/>
      <c r="D119" s="362"/>
      <c r="E119" s="362"/>
      <c r="F119" s="362"/>
      <c r="G119" s="362"/>
      <c r="H119" s="362"/>
      <c r="I119" s="362"/>
      <c r="J119" s="362"/>
      <c r="K119" s="362"/>
      <c r="L119" s="362"/>
      <c r="M119" s="362"/>
      <c r="N119" s="362"/>
      <c r="O119" s="362" t="s">
        <v>6614</v>
      </c>
      <c r="P119" s="4252">
        <v>21957509434.447498</v>
      </c>
      <c r="Q119" s="362"/>
      <c r="R119" s="362"/>
    </row>
    <row r="120" spans="1:18">
      <c r="A120" s="362"/>
      <c r="B120" s="362"/>
      <c r="C120" s="362"/>
      <c r="D120" s="362"/>
      <c r="E120" s="362"/>
      <c r="F120" s="362"/>
      <c r="G120" s="362"/>
      <c r="H120" s="362"/>
      <c r="I120" s="362"/>
      <c r="J120" s="362"/>
      <c r="K120" s="362"/>
      <c r="L120" s="362"/>
      <c r="M120" s="362"/>
      <c r="N120" s="362"/>
      <c r="O120" s="362"/>
      <c r="P120" s="362"/>
      <c r="Q120" s="362"/>
      <c r="R120" s="362"/>
    </row>
    <row r="121" spans="1:18">
      <c r="A121" s="362"/>
      <c r="B121" s="362"/>
      <c r="C121" s="362"/>
      <c r="D121" s="362"/>
      <c r="E121" s="362"/>
      <c r="F121" s="362"/>
      <c r="G121" s="362"/>
      <c r="H121" s="362"/>
      <c r="I121" s="362"/>
      <c r="J121" s="362"/>
      <c r="K121" s="362"/>
      <c r="L121" s="362"/>
      <c r="M121" s="362"/>
      <c r="N121" s="362"/>
      <c r="O121" s="362"/>
      <c r="P121" s="4255">
        <v>257702764414.88791</v>
      </c>
      <c r="Q121" s="362"/>
      <c r="R121" s="4255">
        <v>257702764414.88791</v>
      </c>
    </row>
    <row r="122" spans="1:18">
      <c r="A122" s="362"/>
      <c r="B122" s="362"/>
      <c r="C122" s="362"/>
      <c r="D122" s="362"/>
      <c r="E122" s="362"/>
      <c r="F122" s="362"/>
      <c r="G122" s="362"/>
      <c r="H122" s="362"/>
      <c r="I122" s="362"/>
      <c r="J122" s="362"/>
      <c r="K122" s="362"/>
      <c r="L122" s="362"/>
      <c r="M122" s="362"/>
      <c r="N122" s="362"/>
      <c r="O122" s="362"/>
      <c r="P122" s="362"/>
      <c r="Q122" s="362"/>
      <c r="R122" s="362"/>
    </row>
    <row r="123" spans="1:18">
      <c r="A123" s="362"/>
      <c r="B123" s="362"/>
      <c r="C123" s="362"/>
      <c r="D123" s="362"/>
      <c r="E123" s="362"/>
      <c r="F123" s="362"/>
      <c r="G123" s="362"/>
      <c r="H123" s="362"/>
      <c r="I123" s="362"/>
      <c r="J123" s="362"/>
      <c r="K123" s="362"/>
      <c r="L123" s="362"/>
      <c r="M123" s="362"/>
      <c r="N123" s="362"/>
      <c r="O123" s="362"/>
      <c r="P123" s="362"/>
      <c r="Q123" s="362"/>
      <c r="R123" s="362"/>
    </row>
    <row r="124" spans="1:18">
      <c r="A124" s="362"/>
      <c r="B124" s="362"/>
      <c r="C124" s="362"/>
      <c r="D124" s="362"/>
      <c r="E124" s="362"/>
      <c r="F124" s="362"/>
      <c r="G124" s="362"/>
      <c r="H124" s="362"/>
      <c r="I124" s="362"/>
      <c r="J124" s="362"/>
      <c r="K124" s="362"/>
      <c r="L124" s="362"/>
      <c r="M124" s="362"/>
      <c r="N124" s="362"/>
      <c r="O124" s="362"/>
      <c r="P124" s="362"/>
      <c r="Q124" s="362"/>
      <c r="R124" s="362"/>
    </row>
    <row r="125" spans="1:18">
      <c r="A125" s="362"/>
      <c r="B125" s="362"/>
      <c r="C125" s="362"/>
      <c r="D125" s="362"/>
      <c r="E125" s="362"/>
      <c r="F125" s="362"/>
      <c r="G125" s="362"/>
      <c r="H125" s="362"/>
      <c r="I125" s="362"/>
      <c r="J125" s="362"/>
      <c r="K125" s="362"/>
      <c r="L125" s="362"/>
      <c r="M125" s="362"/>
      <c r="N125" s="362"/>
      <c r="O125" s="362"/>
      <c r="P125" s="362"/>
      <c r="Q125" s="362"/>
      <c r="R125" s="362"/>
    </row>
    <row r="126" spans="1:18">
      <c r="A126" s="362"/>
      <c r="B126" s="362"/>
      <c r="C126" s="362"/>
      <c r="D126" s="362"/>
      <c r="E126" s="362"/>
      <c r="F126" s="362"/>
      <c r="G126" s="362"/>
      <c r="H126" s="362"/>
      <c r="I126" s="362"/>
      <c r="J126" s="362"/>
      <c r="K126" s="362"/>
      <c r="L126" s="362"/>
      <c r="M126" s="362"/>
      <c r="N126" s="362"/>
      <c r="O126" s="362" t="s">
        <v>6615</v>
      </c>
      <c r="P126" s="567">
        <v>8060435208</v>
      </c>
      <c r="Q126" s="362" t="s">
        <v>6616</v>
      </c>
      <c r="R126" s="567">
        <v>221373440252</v>
      </c>
    </row>
    <row r="127" spans="1:18">
      <c r="A127" s="362"/>
      <c r="B127" s="362"/>
      <c r="C127" s="362"/>
      <c r="D127" s="362"/>
      <c r="E127" s="362"/>
      <c r="F127" s="362"/>
      <c r="G127" s="362"/>
      <c r="H127" s="362"/>
      <c r="I127" s="362"/>
      <c r="J127" s="362"/>
      <c r="K127" s="362"/>
      <c r="L127" s="362"/>
      <c r="M127" s="362"/>
      <c r="N127" s="362"/>
      <c r="O127" s="362"/>
      <c r="P127" s="567"/>
      <c r="Q127" s="362" t="s">
        <v>6612</v>
      </c>
      <c r="R127" s="567">
        <v>8891404721</v>
      </c>
    </row>
    <row r="128" spans="1:18">
      <c r="A128" s="362"/>
      <c r="B128" s="362"/>
      <c r="C128" s="362"/>
      <c r="D128" s="362"/>
      <c r="E128" s="362"/>
      <c r="F128" s="362"/>
      <c r="G128" s="362"/>
      <c r="H128" s="362"/>
      <c r="I128" s="362"/>
      <c r="J128" s="362"/>
      <c r="K128" s="362"/>
      <c r="L128" s="362"/>
      <c r="M128" s="362"/>
      <c r="N128" s="362"/>
      <c r="O128" s="362" t="s">
        <v>6611</v>
      </c>
      <c r="P128" s="567">
        <v>221336133920.75159</v>
      </c>
      <c r="Q128" s="362" t="s">
        <v>6617</v>
      </c>
      <c r="R128" s="567">
        <v>500936470</v>
      </c>
    </row>
    <row r="129" spans="1:18">
      <c r="A129" s="362"/>
      <c r="B129" s="362"/>
      <c r="C129" s="362"/>
      <c r="D129" s="362"/>
      <c r="E129" s="362"/>
      <c r="F129" s="362"/>
      <c r="G129" s="362"/>
      <c r="H129" s="362"/>
      <c r="I129" s="362"/>
      <c r="J129" s="362"/>
      <c r="K129" s="362"/>
      <c r="L129" s="362"/>
      <c r="M129" s="362"/>
      <c r="N129" s="362"/>
      <c r="O129" s="362" t="s">
        <v>6614</v>
      </c>
      <c r="P129" s="567">
        <v>12460486376</v>
      </c>
      <c r="Q129" s="362" t="s">
        <v>6618</v>
      </c>
      <c r="R129" s="567">
        <v>10278438</v>
      </c>
    </row>
    <row r="130" spans="1:18">
      <c r="A130" s="362"/>
      <c r="B130" s="362"/>
      <c r="C130" s="362"/>
      <c r="D130" s="362"/>
      <c r="E130" s="362"/>
      <c r="F130" s="362"/>
      <c r="G130" s="362"/>
      <c r="H130" s="362"/>
      <c r="I130" s="362"/>
      <c r="J130" s="362"/>
      <c r="K130" s="362"/>
      <c r="L130" s="362"/>
      <c r="M130" s="362"/>
      <c r="N130" s="362"/>
      <c r="O130" s="362"/>
      <c r="P130" s="567"/>
      <c r="Q130" s="362" t="s">
        <v>6619</v>
      </c>
      <c r="R130" s="567">
        <v>11080998624</v>
      </c>
    </row>
    <row r="131" spans="1:18">
      <c r="A131" s="362"/>
      <c r="B131" s="362"/>
      <c r="C131" s="362"/>
      <c r="D131" s="362"/>
      <c r="E131" s="362"/>
      <c r="F131" s="362"/>
      <c r="G131" s="362"/>
      <c r="H131" s="362"/>
      <c r="I131" s="362"/>
      <c r="J131" s="362"/>
      <c r="K131" s="362"/>
      <c r="L131" s="362"/>
      <c r="M131" s="362"/>
      <c r="N131" s="362"/>
      <c r="O131" s="362"/>
      <c r="P131" s="567">
        <v>241857055504.75159</v>
      </c>
      <c r="Q131" s="362"/>
      <c r="R131" s="567">
        <v>241857058505</v>
      </c>
    </row>
  </sheetData>
  <mergeCells count="17">
    <mergeCell ref="D78:E78"/>
    <mergeCell ref="C85:E85"/>
    <mergeCell ref="C62:E62"/>
    <mergeCell ref="D63:E63"/>
    <mergeCell ref="D64:E64"/>
    <mergeCell ref="D65:E65"/>
    <mergeCell ref="C67:E67"/>
    <mergeCell ref="D68:E68"/>
    <mergeCell ref="B60:E61"/>
    <mergeCell ref="F60:G60"/>
    <mergeCell ref="H60:I60"/>
    <mergeCell ref="O60:P60"/>
    <mergeCell ref="Q60:R60"/>
    <mergeCell ref="F61:G61"/>
    <mergeCell ref="H61:I61"/>
    <mergeCell ref="O61:P61"/>
    <mergeCell ref="Q61:R61"/>
  </mergeCells>
  <phoneticPr fontId="1"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56229-57F3-4FC9-8ED6-A45C3C3F24CB}">
  <sheetPr codeName="Sheet50"/>
  <dimension ref="A1:Q91"/>
  <sheetViews>
    <sheetView topLeftCell="A49" workbookViewId="0">
      <selection activeCell="H17" sqref="H17"/>
    </sheetView>
  </sheetViews>
  <sheetFormatPr defaultRowHeight="16.5"/>
  <sheetData>
    <row r="1" spans="1:17">
      <c r="A1" s="3"/>
      <c r="B1" s="3"/>
      <c r="C1" s="3"/>
      <c r="D1" s="3"/>
      <c r="E1" s="3"/>
      <c r="F1" s="3"/>
      <c r="G1" s="3"/>
      <c r="H1" s="3"/>
      <c r="I1" s="3"/>
      <c r="J1" s="3"/>
      <c r="K1" s="3"/>
      <c r="L1" s="3"/>
      <c r="M1" s="3"/>
      <c r="N1" s="3"/>
      <c r="O1" s="3"/>
    </row>
    <row r="2" spans="1:17">
      <c r="A2" s="3"/>
      <c r="B2" s="3"/>
      <c r="C2" s="3"/>
      <c r="D2" s="110"/>
      <c r="E2" s="110"/>
      <c r="F2" s="110" t="s">
        <v>3487</v>
      </c>
      <c r="G2" s="2633" t="s">
        <v>6475</v>
      </c>
      <c r="H2" s="3"/>
      <c r="I2" s="3"/>
      <c r="J2" s="3"/>
      <c r="K2" s="3"/>
      <c r="L2" s="3"/>
      <c r="M2" s="3"/>
      <c r="N2" s="3"/>
      <c r="O2" s="2633"/>
    </row>
    <row r="3" spans="1:17" ht="17.25" thickBot="1">
      <c r="A3" s="3"/>
      <c r="B3" s="3"/>
      <c r="C3" s="5365" t="s">
        <v>6476</v>
      </c>
      <c r="D3" s="5365" t="s">
        <v>6477</v>
      </c>
      <c r="E3" s="3775" t="s">
        <v>6478</v>
      </c>
      <c r="F3" s="3776"/>
      <c r="G3" s="3777"/>
      <c r="H3" s="5368" t="s">
        <v>6479</v>
      </c>
      <c r="I3" s="5369"/>
      <c r="J3" s="5369"/>
      <c r="K3" s="5369"/>
      <c r="L3" s="5370"/>
      <c r="M3" s="5369"/>
      <c r="N3" s="5369"/>
      <c r="O3" s="5371"/>
    </row>
    <row r="4" spans="1:17" ht="17.25" thickBot="1">
      <c r="A4" s="3"/>
      <c r="B4" s="3"/>
      <c r="C4" s="5366"/>
      <c r="D4" s="5366"/>
      <c r="E4" s="3778" t="s">
        <v>6480</v>
      </c>
      <c r="F4" s="3778" t="s">
        <v>6481</v>
      </c>
      <c r="G4" s="3778" t="s">
        <v>6482</v>
      </c>
      <c r="H4" s="5368" t="s">
        <v>6483</v>
      </c>
      <c r="I4" s="5369"/>
      <c r="J4" s="5371"/>
      <c r="K4" s="5372" t="s">
        <v>6484</v>
      </c>
      <c r="L4" s="5374" t="s">
        <v>6485</v>
      </c>
      <c r="M4" s="5371" t="s">
        <v>6486</v>
      </c>
      <c r="N4" s="5372" t="s">
        <v>2583</v>
      </c>
      <c r="O4" s="5378" t="s">
        <v>6487</v>
      </c>
    </row>
    <row r="5" spans="1:17">
      <c r="A5" s="3"/>
      <c r="B5" s="3"/>
      <c r="C5" s="5367"/>
      <c r="D5" s="5367"/>
      <c r="E5" s="3779"/>
      <c r="F5" s="3779"/>
      <c r="G5" s="3779"/>
      <c r="H5" s="3780" t="s">
        <v>6488</v>
      </c>
      <c r="I5" s="3781" t="s">
        <v>6489</v>
      </c>
      <c r="J5" s="3782" t="s">
        <v>6490</v>
      </c>
      <c r="K5" s="5373"/>
      <c r="L5" s="5375"/>
      <c r="M5" s="5376"/>
      <c r="N5" s="5377"/>
      <c r="O5" s="5379"/>
    </row>
    <row r="6" spans="1:17">
      <c r="A6" s="3" t="s">
        <v>26</v>
      </c>
      <c r="B6" s="3013" t="s">
        <v>6469</v>
      </c>
      <c r="C6" s="3783" t="s">
        <v>6491</v>
      </c>
      <c r="D6" s="3784" t="s">
        <v>1308</v>
      </c>
      <c r="E6" s="3785">
        <v>2778.0016499999997</v>
      </c>
      <c r="F6" s="3785">
        <v>1910.2917699999998</v>
      </c>
      <c r="G6" s="3785">
        <v>83267.874905999997</v>
      </c>
      <c r="H6" s="3786">
        <v>584.84109764069217</v>
      </c>
      <c r="I6" s="3787">
        <v>632.82940911941614</v>
      </c>
      <c r="J6" s="3788">
        <v>1217.6705067601083</v>
      </c>
      <c r="K6" s="3789">
        <v>1063.3658837874023</v>
      </c>
      <c r="L6" s="3790">
        <v>2281.0363905475106</v>
      </c>
      <c r="M6" s="3791">
        <v>862.84807165268808</v>
      </c>
      <c r="N6" s="3792">
        <v>182.75209290456448</v>
      </c>
      <c r="O6" s="3788">
        <v>3326.6365551047634</v>
      </c>
      <c r="P6" s="3" t="s">
        <v>26</v>
      </c>
      <c r="Q6" s="3013" t="s">
        <v>6469</v>
      </c>
    </row>
    <row r="7" spans="1:17">
      <c r="A7" s="3" t="s">
        <v>26</v>
      </c>
      <c r="B7" s="3013" t="s">
        <v>6470</v>
      </c>
      <c r="C7" s="3793"/>
      <c r="D7" s="3794" t="s">
        <v>1309</v>
      </c>
      <c r="E7" s="3795">
        <v>26717.865860806003</v>
      </c>
      <c r="F7" s="3795">
        <v>27799.555420805998</v>
      </c>
      <c r="G7" s="3795">
        <v>15470.179181</v>
      </c>
      <c r="H7" s="3796">
        <v>147.50243749006356</v>
      </c>
      <c r="I7" s="3797">
        <v>159.60554197895658</v>
      </c>
      <c r="J7" s="3798">
        <v>307.10797946902017</v>
      </c>
      <c r="K7" s="3799">
        <v>268.19089909235583</v>
      </c>
      <c r="L7" s="3800">
        <v>575.298878561376</v>
      </c>
      <c r="M7" s="3801">
        <v>164.66036263943133</v>
      </c>
      <c r="N7" s="3802">
        <v>35.067445763720436</v>
      </c>
      <c r="O7" s="3798">
        <v>775.02668696452781</v>
      </c>
      <c r="P7" s="3" t="s">
        <v>26</v>
      </c>
      <c r="Q7" s="3013" t="s">
        <v>6470</v>
      </c>
    </row>
    <row r="8" spans="1:17">
      <c r="A8" s="3" t="s">
        <v>26</v>
      </c>
      <c r="B8" s="3013" t="s">
        <v>6471</v>
      </c>
      <c r="C8" s="3793"/>
      <c r="D8" s="3794" t="s">
        <v>1310</v>
      </c>
      <c r="E8" s="3795">
        <v>69.850430000000003</v>
      </c>
      <c r="F8" s="3803">
        <v>50.387900000000002</v>
      </c>
      <c r="G8" s="3795">
        <v>1541.1255219999998</v>
      </c>
      <c r="H8" s="3796">
        <v>64.318787479865577</v>
      </c>
      <c r="I8" s="3797">
        <v>69.596374879193519</v>
      </c>
      <c r="J8" s="3798">
        <v>133.91516235905908</v>
      </c>
      <c r="K8" s="3799">
        <v>116.94527721901093</v>
      </c>
      <c r="L8" s="3800">
        <v>250.86043957807001</v>
      </c>
      <c r="M8" s="3801">
        <v>17.184629646783833</v>
      </c>
      <c r="N8" s="3802">
        <v>3.4022884291809552</v>
      </c>
      <c r="O8" s="3798">
        <v>271.44735765403476</v>
      </c>
      <c r="P8" s="3" t="s">
        <v>26</v>
      </c>
      <c r="Q8" s="3013" t="s">
        <v>6471</v>
      </c>
    </row>
    <row r="9" spans="1:17">
      <c r="A9" s="3" t="s">
        <v>26</v>
      </c>
      <c r="B9" s="3013" t="s">
        <v>6472</v>
      </c>
      <c r="C9" s="3793"/>
      <c r="D9" s="3794" t="s">
        <v>1311</v>
      </c>
      <c r="E9" s="3795">
        <v>384.87649999999996</v>
      </c>
      <c r="F9" s="3795">
        <v>386.73642000000001</v>
      </c>
      <c r="G9" s="3795">
        <v>14206.034752</v>
      </c>
      <c r="H9" s="3796">
        <v>86.632378389378786</v>
      </c>
      <c r="I9" s="3797">
        <v>93.740876022433852</v>
      </c>
      <c r="J9" s="3798">
        <v>180.37325441181264</v>
      </c>
      <c r="K9" s="3799">
        <v>157.5161458082469</v>
      </c>
      <c r="L9" s="3800">
        <v>337.88940022005954</v>
      </c>
      <c r="M9" s="3801">
        <v>152.06305370832163</v>
      </c>
      <c r="N9" s="3802">
        <v>31.919902755401505</v>
      </c>
      <c r="O9" s="3798">
        <v>521.87235668378264</v>
      </c>
      <c r="P9" s="3" t="s">
        <v>26</v>
      </c>
      <c r="Q9" s="3013" t="s">
        <v>6472</v>
      </c>
    </row>
    <row r="10" spans="1:17">
      <c r="A10" s="3" t="s">
        <v>26</v>
      </c>
      <c r="B10" s="3013" t="s">
        <v>6473</v>
      </c>
      <c r="C10" s="3793"/>
      <c r="D10" s="3804" t="s">
        <v>1307</v>
      </c>
      <c r="E10" s="3805">
        <v>256541.10000000003</v>
      </c>
      <c r="F10" s="3805">
        <v>256584.03500000003</v>
      </c>
      <c r="G10" s="3805">
        <v>961.77258800000004</v>
      </c>
      <c r="H10" s="3806">
        <v>0</v>
      </c>
      <c r="I10" s="3807">
        <v>0</v>
      </c>
      <c r="J10" s="3808">
        <v>0</v>
      </c>
      <c r="K10" s="3809">
        <v>0</v>
      </c>
      <c r="L10" s="3810">
        <v>0</v>
      </c>
      <c r="M10" s="3811">
        <v>10.416793117258791</v>
      </c>
      <c r="N10" s="3812">
        <v>2.1447133896663386</v>
      </c>
      <c r="O10" s="3808">
        <v>12.561506506925131</v>
      </c>
      <c r="P10" s="3" t="s">
        <v>26</v>
      </c>
      <c r="Q10" s="3013" t="s">
        <v>6473</v>
      </c>
    </row>
    <row r="11" spans="1:17">
      <c r="A11" s="3"/>
      <c r="B11" s="3"/>
      <c r="C11" s="3813"/>
      <c r="D11" s="3814" t="s">
        <v>6490</v>
      </c>
      <c r="E11" s="3815"/>
      <c r="F11" s="3815"/>
      <c r="G11" s="3815">
        <v>115446.986949</v>
      </c>
      <c r="H11" s="3816">
        <v>883.29470100000003</v>
      </c>
      <c r="I11" s="3817">
        <v>955.77220200000011</v>
      </c>
      <c r="J11" s="3818">
        <v>1839.0669030000001</v>
      </c>
      <c r="K11" s="3819">
        <v>1606.0182059070157</v>
      </c>
      <c r="L11" s="3820">
        <v>3445.0851089070161</v>
      </c>
      <c r="M11" s="3821">
        <v>1207.1729107644835</v>
      </c>
      <c r="N11" s="3822">
        <v>255.28644324253369</v>
      </c>
      <c r="O11" s="3818">
        <v>4907.5444629140338</v>
      </c>
      <c r="P11" s="3"/>
      <c r="Q11" s="3"/>
    </row>
    <row r="12" spans="1:17">
      <c r="A12" s="3" t="s">
        <v>26</v>
      </c>
      <c r="B12" s="3" t="s">
        <v>6474</v>
      </c>
      <c r="C12" s="3783" t="s">
        <v>6492</v>
      </c>
      <c r="D12" s="3784" t="s">
        <v>1308</v>
      </c>
      <c r="E12" s="3785">
        <v>2891.8984299999997</v>
      </c>
      <c r="F12" s="3785">
        <v>2895.8606800000007</v>
      </c>
      <c r="G12" s="3785">
        <v>94723.53407899999</v>
      </c>
      <c r="H12" s="3786">
        <v>85.929503108719018</v>
      </c>
      <c r="I12" s="3787">
        <v>164.84453014728308</v>
      </c>
      <c r="J12" s="3788">
        <v>250.7740332560021</v>
      </c>
      <c r="K12" s="3789">
        <v>219.66731576322201</v>
      </c>
      <c r="L12" s="3789">
        <v>470.44134901922405</v>
      </c>
      <c r="M12" s="3791">
        <v>992.43979980252925</v>
      </c>
      <c r="N12" s="3792">
        <v>210.96446645223722</v>
      </c>
      <c r="O12" s="3788">
        <v>1673.8456152739907</v>
      </c>
      <c r="P12" s="3" t="s">
        <v>26</v>
      </c>
      <c r="Q12" s="3013" t="s">
        <v>6469</v>
      </c>
    </row>
    <row r="13" spans="1:17">
      <c r="A13" s="3" t="s">
        <v>26</v>
      </c>
      <c r="B13" s="3" t="s">
        <v>6493</v>
      </c>
      <c r="C13" s="3823" t="s">
        <v>6494</v>
      </c>
      <c r="D13" s="3794" t="s">
        <v>1309</v>
      </c>
      <c r="E13" s="3795">
        <v>13973.477320000002</v>
      </c>
      <c r="F13" s="3795">
        <v>13942.731999999998</v>
      </c>
      <c r="G13" s="3795">
        <v>8207.0029159999995</v>
      </c>
      <c r="H13" s="3796">
        <v>91.843967316932165</v>
      </c>
      <c r="I13" s="3797">
        <v>176.19065735858885</v>
      </c>
      <c r="J13" s="3798">
        <v>268.034624675521</v>
      </c>
      <c r="K13" s="3799">
        <v>234.78685480154334</v>
      </c>
      <c r="L13" s="3789">
        <v>502.82147947706432</v>
      </c>
      <c r="M13" s="3801">
        <v>84.911874024533205</v>
      </c>
      <c r="N13" s="3802">
        <v>18.159145078477064</v>
      </c>
      <c r="O13" s="3798">
        <v>605.89249858007463</v>
      </c>
      <c r="P13" s="3" t="s">
        <v>26</v>
      </c>
      <c r="Q13" s="3013" t="s">
        <v>6470</v>
      </c>
    </row>
    <row r="14" spans="1:17">
      <c r="A14" s="3" t="s">
        <v>26</v>
      </c>
      <c r="B14" s="3" t="s">
        <v>6495</v>
      </c>
      <c r="C14" s="3793"/>
      <c r="D14" s="3794" t="s">
        <v>1310</v>
      </c>
      <c r="E14" s="3795">
        <v>20.514600000000002</v>
      </c>
      <c r="F14" s="3795">
        <v>21.176440000000007</v>
      </c>
      <c r="G14" s="3795">
        <v>444.88803000000007</v>
      </c>
      <c r="H14" s="3796">
        <v>1.4863135743488836</v>
      </c>
      <c r="I14" s="3797">
        <v>2.851298494128149</v>
      </c>
      <c r="J14" s="3798">
        <v>4.3376120684770321</v>
      </c>
      <c r="K14" s="3799">
        <v>3.7995624488433819</v>
      </c>
      <c r="L14" s="3789">
        <v>8.137174517320414</v>
      </c>
      <c r="M14" s="3801">
        <v>4.7315818239485319</v>
      </c>
      <c r="N14" s="3802">
        <v>0.99356203128256637</v>
      </c>
      <c r="O14" s="3798">
        <v>13.862318372551512</v>
      </c>
      <c r="P14" s="3" t="s">
        <v>26</v>
      </c>
      <c r="Q14" s="3013" t="s">
        <v>6471</v>
      </c>
    </row>
    <row r="15" spans="1:17">
      <c r="A15" s="3" t="s">
        <v>26</v>
      </c>
      <c r="B15" s="3" t="s">
        <v>6496</v>
      </c>
      <c r="C15" s="3793"/>
      <c r="D15" s="3794" t="s">
        <v>1311</v>
      </c>
      <c r="E15" s="3795">
        <v>0</v>
      </c>
      <c r="F15" s="3795">
        <v>0.03</v>
      </c>
      <c r="G15" s="3795">
        <v>1.1966399999999999</v>
      </c>
      <c r="H15" s="3796">
        <v>0</v>
      </c>
      <c r="I15" s="3797">
        <v>0</v>
      </c>
      <c r="J15" s="3798">
        <v>0</v>
      </c>
      <c r="K15" s="3799">
        <v>0</v>
      </c>
      <c r="L15" s="3824">
        <v>0</v>
      </c>
      <c r="M15" s="3801">
        <v>1.2193162209015078E-2</v>
      </c>
      <c r="N15" s="3825">
        <v>2.2647210527862519E-3</v>
      </c>
      <c r="O15" s="3798">
        <v>1.445788326180133E-2</v>
      </c>
      <c r="P15" s="3" t="s">
        <v>26</v>
      </c>
      <c r="Q15" s="3013" t="s">
        <v>6472</v>
      </c>
    </row>
    <row r="16" spans="1:17">
      <c r="A16" s="3"/>
      <c r="B16" s="3"/>
      <c r="C16" s="3813"/>
      <c r="D16" s="3814" t="s">
        <v>6490</v>
      </c>
      <c r="E16" s="3815"/>
      <c r="F16" s="3815"/>
      <c r="G16" s="3815">
        <v>103376.62166499998</v>
      </c>
      <c r="H16" s="3816">
        <v>179.25978400000005</v>
      </c>
      <c r="I16" s="3817">
        <v>343.8864860000001</v>
      </c>
      <c r="J16" s="3818">
        <v>523.14627000000019</v>
      </c>
      <c r="K16" s="3819">
        <v>458.25373301360878</v>
      </c>
      <c r="L16" s="3820">
        <v>981.40000301360885</v>
      </c>
      <c r="M16" s="3821">
        <v>1082.0954488132202</v>
      </c>
      <c r="N16" s="3822">
        <v>230.11943828304965</v>
      </c>
      <c r="O16" s="3818">
        <v>2293.6148901098791</v>
      </c>
      <c r="P16" s="3"/>
      <c r="Q16" s="3"/>
    </row>
    <row r="17" spans="1:17">
      <c r="A17" s="3" t="s">
        <v>26</v>
      </c>
      <c r="B17" s="3013" t="s">
        <v>6497</v>
      </c>
      <c r="C17" s="3783" t="s">
        <v>6498</v>
      </c>
      <c r="D17" s="3784" t="s">
        <v>6499</v>
      </c>
      <c r="E17" s="3785">
        <v>404767.5</v>
      </c>
      <c r="F17" s="3785">
        <v>395950.5</v>
      </c>
      <c r="G17" s="3785">
        <v>5964.7344779999985</v>
      </c>
      <c r="H17" s="3786">
        <v>1212.5497810000002</v>
      </c>
      <c r="I17" s="3787">
        <v>1128.0761279999997</v>
      </c>
      <c r="J17" s="3788">
        <v>2340.6259089999999</v>
      </c>
      <c r="K17" s="3789">
        <v>369.73700607937508</v>
      </c>
      <c r="L17" s="3790">
        <v>2710.3629150793749</v>
      </c>
      <c r="M17" s="3791">
        <v>108.8752954222962</v>
      </c>
      <c r="N17" s="3826">
        <v>23.902217474416663</v>
      </c>
      <c r="O17" s="3788">
        <v>2843.1404279760882</v>
      </c>
      <c r="P17" s="3" t="s">
        <v>26</v>
      </c>
      <c r="Q17" s="3013" t="s">
        <v>6497</v>
      </c>
    </row>
    <row r="18" spans="1:17">
      <c r="A18" s="3"/>
      <c r="B18" s="3"/>
      <c r="C18" s="3793"/>
      <c r="D18" s="3804" t="s">
        <v>6500</v>
      </c>
      <c r="E18" s="3805"/>
      <c r="F18" s="3805">
        <v>0</v>
      </c>
      <c r="G18" s="3805">
        <v>0</v>
      </c>
      <c r="H18" s="3806"/>
      <c r="I18" s="3807"/>
      <c r="J18" s="3808">
        <v>0</v>
      </c>
      <c r="K18" s="3809">
        <v>0</v>
      </c>
      <c r="L18" s="3810">
        <v>0</v>
      </c>
      <c r="M18" s="3811">
        <v>0</v>
      </c>
      <c r="N18" s="3827">
        <v>0</v>
      </c>
      <c r="O18" s="3808">
        <v>0</v>
      </c>
    </row>
    <row r="19" spans="1:17">
      <c r="A19" s="3"/>
      <c r="B19" s="3"/>
      <c r="C19" s="3813"/>
      <c r="D19" s="3814" t="s">
        <v>6490</v>
      </c>
      <c r="E19" s="3815">
        <v>404767.5</v>
      </c>
      <c r="F19" s="3815">
        <v>395950.5</v>
      </c>
      <c r="G19" s="3815">
        <v>5964.7344779999985</v>
      </c>
      <c r="H19" s="3816">
        <v>1212.5497810000002</v>
      </c>
      <c r="I19" s="3817">
        <v>1128.0761279999997</v>
      </c>
      <c r="J19" s="3818">
        <v>2340.6259089999999</v>
      </c>
      <c r="K19" s="3819">
        <v>369.73700607937508</v>
      </c>
      <c r="L19" s="3820">
        <v>2710.3629150793749</v>
      </c>
      <c r="M19" s="3821">
        <v>108.8752954222962</v>
      </c>
      <c r="N19" s="3828">
        <v>23.902217474416663</v>
      </c>
      <c r="O19" s="3818">
        <v>2843.1404279760882</v>
      </c>
    </row>
    <row r="20" spans="1:17" ht="17.25" thickBot="1">
      <c r="A20" s="3"/>
      <c r="B20" s="3"/>
      <c r="C20" s="5380" t="s">
        <v>6501</v>
      </c>
      <c r="D20" s="5381"/>
      <c r="E20" s="3829"/>
      <c r="F20" s="3829"/>
      <c r="G20" s="3829">
        <v>224788.343092</v>
      </c>
      <c r="H20" s="3830">
        <v>2275.1042660000003</v>
      </c>
      <c r="I20" s="3831">
        <v>2427.7348160000001</v>
      </c>
      <c r="J20" s="3832">
        <v>4702.8390820000004</v>
      </c>
      <c r="K20" s="3833">
        <v>2434.0089449999996</v>
      </c>
      <c r="L20" s="3834">
        <v>7136.848027</v>
      </c>
      <c r="M20" s="3835">
        <v>2398.1436549999999</v>
      </c>
      <c r="N20" s="3836">
        <v>509.30809900000003</v>
      </c>
      <c r="O20" s="3832">
        <v>10044.299781000002</v>
      </c>
    </row>
    <row r="21" spans="1:17">
      <c r="A21" s="3"/>
      <c r="B21" s="3"/>
      <c r="C21" s="1" t="s">
        <v>6502</v>
      </c>
      <c r="D21" s="3"/>
      <c r="E21" s="3"/>
      <c r="F21" s="3"/>
      <c r="G21" s="3"/>
      <c r="H21" s="3"/>
      <c r="I21" s="3"/>
      <c r="J21" s="3"/>
      <c r="K21" s="3"/>
      <c r="L21" s="3"/>
      <c r="M21" s="3"/>
      <c r="N21" s="3"/>
      <c r="O21" s="3"/>
    </row>
    <row r="22" spans="1:17">
      <c r="A22" s="3"/>
      <c r="B22" s="3"/>
      <c r="C22" s="3"/>
      <c r="D22" s="110"/>
      <c r="E22" s="110"/>
      <c r="F22" s="110" t="s">
        <v>3487</v>
      </c>
      <c r="G22" s="2633" t="s">
        <v>6475</v>
      </c>
      <c r="H22" s="3"/>
      <c r="I22" s="3"/>
      <c r="J22" s="3"/>
      <c r="K22" s="3"/>
      <c r="L22" s="3"/>
      <c r="M22" s="3"/>
      <c r="N22" s="3"/>
      <c r="O22" s="2633"/>
    </row>
    <row r="23" spans="1:17" ht="17.25" thickBot="1">
      <c r="A23" s="3"/>
      <c r="B23" s="3"/>
      <c r="C23" s="5365" t="s">
        <v>6476</v>
      </c>
      <c r="D23" s="5365" t="s">
        <v>6477</v>
      </c>
      <c r="E23" s="3775" t="s">
        <v>6478</v>
      </c>
      <c r="F23" s="3776"/>
      <c r="G23" s="3777"/>
      <c r="H23" s="5368" t="s">
        <v>6479</v>
      </c>
      <c r="I23" s="5369"/>
      <c r="J23" s="5369"/>
      <c r="K23" s="5369"/>
      <c r="L23" s="5370"/>
      <c r="M23" s="5369"/>
      <c r="N23" s="5369"/>
      <c r="O23" s="5371"/>
    </row>
    <row r="24" spans="1:17" ht="17.25" thickBot="1">
      <c r="A24" s="3"/>
      <c r="B24" s="3"/>
      <c r="C24" s="5366"/>
      <c r="D24" s="5366"/>
      <c r="E24" s="3778" t="s">
        <v>6480</v>
      </c>
      <c r="F24" s="3778" t="s">
        <v>6481</v>
      </c>
      <c r="G24" s="3778" t="s">
        <v>6482</v>
      </c>
      <c r="H24" s="5368" t="s">
        <v>6483</v>
      </c>
      <c r="I24" s="5369"/>
      <c r="J24" s="5371"/>
      <c r="K24" s="5372" t="s">
        <v>6484</v>
      </c>
      <c r="L24" s="5374" t="s">
        <v>6485</v>
      </c>
      <c r="M24" s="5371" t="s">
        <v>6486</v>
      </c>
      <c r="N24" s="5372" t="s">
        <v>2583</v>
      </c>
      <c r="O24" s="5378" t="s">
        <v>6487</v>
      </c>
    </row>
    <row r="25" spans="1:17">
      <c r="A25" s="3"/>
      <c r="B25" s="3"/>
      <c r="C25" s="5367"/>
      <c r="D25" s="5367"/>
      <c r="E25" s="3779"/>
      <c r="F25" s="3779"/>
      <c r="G25" s="3779"/>
      <c r="H25" s="3780" t="s">
        <v>6488</v>
      </c>
      <c r="I25" s="3781" t="s">
        <v>6489</v>
      </c>
      <c r="J25" s="3782" t="s">
        <v>6490</v>
      </c>
      <c r="K25" s="5373"/>
      <c r="L25" s="5375"/>
      <c r="M25" s="5376"/>
      <c r="N25" s="5377"/>
      <c r="O25" s="5379"/>
    </row>
    <row r="26" spans="1:17">
      <c r="A26" s="3" t="s">
        <v>1318</v>
      </c>
      <c r="B26" s="3013" t="s">
        <v>6469</v>
      </c>
      <c r="C26" s="3783" t="s">
        <v>6491</v>
      </c>
      <c r="D26" s="3784" t="s">
        <v>1308</v>
      </c>
      <c r="E26" s="3785">
        <v>2027.69183</v>
      </c>
      <c r="F26" s="3785">
        <v>1758.9647000000002</v>
      </c>
      <c r="G26" s="3785">
        <v>85385.375081000006</v>
      </c>
      <c r="H26" s="3786">
        <v>317.27415850109685</v>
      </c>
      <c r="I26" s="3787">
        <v>504.77492824281126</v>
      </c>
      <c r="J26" s="3788">
        <v>822.04908674390811</v>
      </c>
      <c r="K26" s="3789">
        <v>846.32574369489987</v>
      </c>
      <c r="L26" s="3790">
        <v>1668.374830438808</v>
      </c>
      <c r="M26" s="3791">
        <v>844.7659675031623</v>
      </c>
      <c r="N26" s="3792">
        <v>142.51589298281968</v>
      </c>
      <c r="O26" s="3788">
        <v>2655.6566909247899</v>
      </c>
      <c r="P26" s="3" t="s">
        <v>1318</v>
      </c>
      <c r="Q26" s="3013" t="s">
        <v>6469</v>
      </c>
    </row>
    <row r="27" spans="1:17">
      <c r="A27" s="3" t="s">
        <v>1318</v>
      </c>
      <c r="B27" s="3013" t="s">
        <v>6470</v>
      </c>
      <c r="C27" s="3793"/>
      <c r="D27" s="3794" t="s">
        <v>1309</v>
      </c>
      <c r="E27" s="3795">
        <v>25285.991403799999</v>
      </c>
      <c r="F27" s="3795">
        <v>25324.723403799999</v>
      </c>
      <c r="G27" s="3795">
        <v>14932.985921000001</v>
      </c>
      <c r="H27" s="3796">
        <v>82.506924433441299</v>
      </c>
      <c r="I27" s="3797">
        <v>131.2663693040144</v>
      </c>
      <c r="J27" s="3798">
        <v>213.7732937374557</v>
      </c>
      <c r="K27" s="3799">
        <v>220.08642150687385</v>
      </c>
      <c r="L27" s="3800">
        <v>433.85971524432955</v>
      </c>
      <c r="M27" s="3801">
        <v>152.34789901927903</v>
      </c>
      <c r="N27" s="3802">
        <v>26.108253802248882</v>
      </c>
      <c r="O27" s="3798">
        <v>612.31586806585744</v>
      </c>
      <c r="P27" s="3" t="s">
        <v>1318</v>
      </c>
      <c r="Q27" s="3013" t="s">
        <v>6470</v>
      </c>
    </row>
    <row r="28" spans="1:17">
      <c r="A28" s="3" t="s">
        <v>1318</v>
      </c>
      <c r="B28" s="3013" t="s">
        <v>6471</v>
      </c>
      <c r="C28" s="3793"/>
      <c r="D28" s="3794" t="s">
        <v>1310</v>
      </c>
      <c r="E28" s="3795">
        <v>106.86224999999999</v>
      </c>
      <c r="F28" s="3803">
        <v>88.386030000000005</v>
      </c>
      <c r="G28" s="3795">
        <v>3303.1548659999999</v>
      </c>
      <c r="H28" s="3796">
        <v>74.826971169659444</v>
      </c>
      <c r="I28" s="3797">
        <v>119.04776355323996</v>
      </c>
      <c r="J28" s="3798">
        <v>193.8747347228994</v>
      </c>
      <c r="K28" s="3799">
        <v>199.60022058770954</v>
      </c>
      <c r="L28" s="3800">
        <v>393.47495531060895</v>
      </c>
      <c r="M28" s="3801">
        <v>31.797033799806663</v>
      </c>
      <c r="N28" s="3802">
        <v>5.096984104943548</v>
      </c>
      <c r="O28" s="3798">
        <v>430.36897321535918</v>
      </c>
      <c r="P28" s="3" t="s">
        <v>1318</v>
      </c>
      <c r="Q28" s="3013" t="s">
        <v>6471</v>
      </c>
    </row>
    <row r="29" spans="1:17">
      <c r="A29" s="3" t="s">
        <v>1318</v>
      </c>
      <c r="B29" s="3013" t="s">
        <v>6472</v>
      </c>
      <c r="C29" s="3793"/>
      <c r="D29" s="3794" t="s">
        <v>1311</v>
      </c>
      <c r="E29" s="3795">
        <v>418.47285999999997</v>
      </c>
      <c r="F29" s="3795">
        <v>428.45927999999998</v>
      </c>
      <c r="G29" s="3795">
        <v>24398.611664999997</v>
      </c>
      <c r="H29" s="3796">
        <v>59.121525895802357</v>
      </c>
      <c r="I29" s="3797">
        <v>94.060808899934315</v>
      </c>
      <c r="J29" s="3798">
        <v>153.18233479573667</v>
      </c>
      <c r="K29" s="3799">
        <v>157.70609749160906</v>
      </c>
      <c r="L29" s="3800">
        <v>310.88843228734572</v>
      </c>
      <c r="M29" s="3801">
        <v>245.35092431999379</v>
      </c>
      <c r="N29" s="3802">
        <v>41.682432300237714</v>
      </c>
      <c r="O29" s="3798">
        <v>597.92178890757714</v>
      </c>
      <c r="P29" s="3" t="s">
        <v>1318</v>
      </c>
      <c r="Q29" s="3013" t="s">
        <v>6472</v>
      </c>
    </row>
    <row r="30" spans="1:17">
      <c r="A30" s="3" t="s">
        <v>1318</v>
      </c>
      <c r="B30" s="3013" t="s">
        <v>6473</v>
      </c>
      <c r="C30" s="3793"/>
      <c r="D30" s="3804" t="s">
        <v>1307</v>
      </c>
      <c r="E30" s="3805">
        <v>48715.569775999989</v>
      </c>
      <c r="F30" s="3805">
        <v>72489.048775999996</v>
      </c>
      <c r="G30" s="3805">
        <v>436.28221599999989</v>
      </c>
      <c r="H30" s="3806">
        <v>0</v>
      </c>
      <c r="I30" s="3807">
        <v>0</v>
      </c>
      <c r="J30" s="3808">
        <v>0</v>
      </c>
      <c r="K30" s="3809">
        <v>0</v>
      </c>
      <c r="L30" s="3810">
        <v>0</v>
      </c>
      <c r="M30" s="3811">
        <v>4.4732820293644284</v>
      </c>
      <c r="N30" s="3812">
        <v>0.75274975268124988</v>
      </c>
      <c r="O30" s="3808">
        <v>5.2260317820456788</v>
      </c>
      <c r="P30" s="3" t="s">
        <v>1318</v>
      </c>
      <c r="Q30" s="3013" t="s">
        <v>6473</v>
      </c>
    </row>
    <row r="31" spans="1:17">
      <c r="A31" s="3"/>
      <c r="B31" s="3"/>
      <c r="C31" s="3813"/>
      <c r="D31" s="3814" t="s">
        <v>6490</v>
      </c>
      <c r="E31" s="3815"/>
      <c r="F31" s="3815"/>
      <c r="G31" s="3815">
        <v>128456.409749</v>
      </c>
      <c r="H31" s="3816">
        <v>533.72957999999994</v>
      </c>
      <c r="I31" s="3817">
        <v>849.14986999999996</v>
      </c>
      <c r="J31" s="3818">
        <v>1382.8794499999999</v>
      </c>
      <c r="K31" s="3819">
        <v>1423.7184832810922</v>
      </c>
      <c r="L31" s="3820">
        <v>2806.5979332810921</v>
      </c>
      <c r="M31" s="3821">
        <v>1278.735106671606</v>
      </c>
      <c r="N31" s="3822">
        <v>216.15631294293104</v>
      </c>
      <c r="O31" s="3818">
        <v>4301.4893528956291</v>
      </c>
      <c r="P31" s="3"/>
      <c r="Q31" s="3"/>
    </row>
    <row r="32" spans="1:17">
      <c r="A32" s="3" t="s">
        <v>1318</v>
      </c>
      <c r="B32" s="3" t="s">
        <v>6474</v>
      </c>
      <c r="C32" s="3783" t="s">
        <v>6492</v>
      </c>
      <c r="D32" s="3784" t="s">
        <v>1308</v>
      </c>
      <c r="E32" s="3785">
        <v>1888.0107900000003</v>
      </c>
      <c r="F32" s="3785">
        <v>1917.0271299999999</v>
      </c>
      <c r="G32" s="3785">
        <v>86904.199769999992</v>
      </c>
      <c r="H32" s="3786">
        <v>65.947486718760956</v>
      </c>
      <c r="I32" s="3787">
        <v>161.77610167801535</v>
      </c>
      <c r="J32" s="3788">
        <v>227.72358839677631</v>
      </c>
      <c r="K32" s="3789">
        <v>230.3263645152426</v>
      </c>
      <c r="L32" s="3790">
        <v>458.04995291201891</v>
      </c>
      <c r="M32" s="3791">
        <v>866.42293403872191</v>
      </c>
      <c r="N32" s="3792">
        <v>145.01826536544013</v>
      </c>
      <c r="O32" s="3788">
        <v>1469.4911523161809</v>
      </c>
      <c r="P32" s="3" t="s">
        <v>1318</v>
      </c>
      <c r="Q32" s="3013" t="s">
        <v>6469</v>
      </c>
    </row>
    <row r="33" spans="1:17">
      <c r="A33" s="3" t="s">
        <v>1318</v>
      </c>
      <c r="B33" s="3" t="s">
        <v>6493</v>
      </c>
      <c r="C33" s="3823" t="s">
        <v>6494</v>
      </c>
      <c r="D33" s="3794" t="s">
        <v>1309</v>
      </c>
      <c r="E33" s="3795">
        <v>8662.26037</v>
      </c>
      <c r="F33" s="3795">
        <v>9116.3104700000004</v>
      </c>
      <c r="G33" s="3795">
        <v>5785.4839810000003</v>
      </c>
      <c r="H33" s="3796">
        <v>62.82429864103171</v>
      </c>
      <c r="I33" s="3797">
        <v>154.11459375464284</v>
      </c>
      <c r="J33" s="3798">
        <v>216.93889239567454</v>
      </c>
      <c r="K33" s="3799">
        <v>219.41840438768739</v>
      </c>
      <c r="L33" s="3800">
        <v>436.3572967833619</v>
      </c>
      <c r="M33" s="3801">
        <v>58.450360227334144</v>
      </c>
      <c r="N33" s="3802">
        <v>9.7568839611751521</v>
      </c>
      <c r="O33" s="3798">
        <v>504.56454097187122</v>
      </c>
      <c r="P33" s="3" t="s">
        <v>1318</v>
      </c>
      <c r="Q33" s="3013" t="s">
        <v>6470</v>
      </c>
    </row>
    <row r="34" spans="1:17">
      <c r="A34" s="3" t="s">
        <v>1318</v>
      </c>
      <c r="B34" s="3" t="s">
        <v>6495</v>
      </c>
      <c r="C34" s="3793"/>
      <c r="D34" s="3794" t="s">
        <v>1310</v>
      </c>
      <c r="E34" s="3795">
        <v>16.8035</v>
      </c>
      <c r="F34" s="3795">
        <v>17.573930000000001</v>
      </c>
      <c r="G34" s="3795">
        <v>382.24024100000003</v>
      </c>
      <c r="H34" s="3796">
        <v>1.3415156402073336</v>
      </c>
      <c r="I34" s="3797">
        <v>3.2908785673418164</v>
      </c>
      <c r="J34" s="3798">
        <v>4.63239420754915</v>
      </c>
      <c r="K34" s="3799">
        <v>4.6853403476465152</v>
      </c>
      <c r="L34" s="3800">
        <v>9.3177345551956652</v>
      </c>
      <c r="M34" s="3801">
        <v>3.9597353722322199</v>
      </c>
      <c r="N34" s="3802">
        <v>0.67840761745413447</v>
      </c>
      <c r="O34" s="3798">
        <v>13.95587754488202</v>
      </c>
      <c r="P34" s="3" t="s">
        <v>1318</v>
      </c>
      <c r="Q34" s="3013" t="s">
        <v>6471</v>
      </c>
    </row>
    <row r="35" spans="1:17">
      <c r="A35" s="3" t="s">
        <v>1318</v>
      </c>
      <c r="B35" s="3" t="s">
        <v>6496</v>
      </c>
      <c r="C35" s="3793"/>
      <c r="D35" s="3794" t="s">
        <v>1311</v>
      </c>
      <c r="E35" s="3795">
        <v>-0.11840000000000001</v>
      </c>
      <c r="F35" s="3795">
        <v>0.06</v>
      </c>
      <c r="G35" s="3795">
        <v>3.1671</v>
      </c>
      <c r="H35" s="3796">
        <v>0</v>
      </c>
      <c r="I35" s="3797">
        <v>0</v>
      </c>
      <c r="J35" s="3798">
        <v>0</v>
      </c>
      <c r="K35" s="3799">
        <v>0</v>
      </c>
      <c r="L35" s="3800">
        <v>0</v>
      </c>
      <c r="M35" s="3801">
        <v>2.9315069031990111E-2</v>
      </c>
      <c r="N35" s="3825">
        <v>6.0528317260981953E-3</v>
      </c>
      <c r="O35" s="3798">
        <v>3.5367900758088308E-2</v>
      </c>
      <c r="P35" s="3" t="s">
        <v>1318</v>
      </c>
      <c r="Q35" s="3013" t="s">
        <v>6472</v>
      </c>
    </row>
    <row r="36" spans="1:17">
      <c r="A36" s="3"/>
      <c r="B36" s="3"/>
      <c r="C36" s="3813"/>
      <c r="D36" s="3814" t="s">
        <v>6490</v>
      </c>
      <c r="E36" s="3815"/>
      <c r="F36" s="3815"/>
      <c r="G36" s="3815">
        <v>93075.091092000002</v>
      </c>
      <c r="H36" s="3816">
        <v>130.11330099999998</v>
      </c>
      <c r="I36" s="3817">
        <v>319.18157399999996</v>
      </c>
      <c r="J36" s="3818">
        <v>449.29487499999993</v>
      </c>
      <c r="K36" s="3819">
        <v>454.43010925057649</v>
      </c>
      <c r="L36" s="3820">
        <v>903.72498425057654</v>
      </c>
      <c r="M36" s="3821">
        <v>928.86234470732029</v>
      </c>
      <c r="N36" s="3822">
        <v>155.45960977579551</v>
      </c>
      <c r="O36" s="3818">
        <v>1988.0469387336923</v>
      </c>
      <c r="P36" s="3"/>
      <c r="Q36" s="3"/>
    </row>
    <row r="37" spans="1:17">
      <c r="A37" s="3" t="s">
        <v>1318</v>
      </c>
      <c r="B37" s="3" t="s">
        <v>6468</v>
      </c>
      <c r="C37" s="3837" t="s">
        <v>2857</v>
      </c>
      <c r="D37" s="3838" t="s">
        <v>6499</v>
      </c>
      <c r="E37" s="3785">
        <v>63.969349999999999</v>
      </c>
      <c r="F37" s="3785">
        <v>63.969349999999999</v>
      </c>
      <c r="G37" s="3785">
        <v>3505.205121</v>
      </c>
      <c r="H37" s="3786">
        <v>10.403311564818642</v>
      </c>
      <c r="I37" s="3787">
        <v>8.5864517790337889</v>
      </c>
      <c r="J37" s="3788">
        <v>18.989763343852431</v>
      </c>
      <c r="K37" s="3789">
        <v>22.352336713832138</v>
      </c>
      <c r="L37" s="3790">
        <v>41.342100057684569</v>
      </c>
      <c r="M37" s="3791">
        <v>21.500552475077381</v>
      </c>
      <c r="N37" s="3826">
        <v>0</v>
      </c>
      <c r="O37" s="3788">
        <v>62.842652532761946</v>
      </c>
      <c r="P37" s="3" t="s">
        <v>1318</v>
      </c>
      <c r="Q37" s="3" t="s">
        <v>6468</v>
      </c>
    </row>
    <row r="38" spans="1:17">
      <c r="A38" s="3" t="s">
        <v>1318</v>
      </c>
      <c r="B38" s="3" t="s">
        <v>6468</v>
      </c>
      <c r="C38" s="3839"/>
      <c r="D38" s="3840" t="s">
        <v>6503</v>
      </c>
      <c r="E38" s="3805">
        <v>189036.02999999997</v>
      </c>
      <c r="F38" s="3805">
        <v>189036.02999999997</v>
      </c>
      <c r="G38" s="3805">
        <v>421.11407900000006</v>
      </c>
      <c r="H38" s="3806">
        <v>84.468286435181369</v>
      </c>
      <c r="I38" s="3807">
        <v>69.716538220966214</v>
      </c>
      <c r="J38" s="3808">
        <v>154.18482465614758</v>
      </c>
      <c r="K38" s="3809">
        <v>181.48678603691403</v>
      </c>
      <c r="L38" s="3810">
        <v>335.67161069306161</v>
      </c>
      <c r="M38" s="3811">
        <v>63.822087205685229</v>
      </c>
      <c r="N38" s="3812">
        <v>2.3090887591069724</v>
      </c>
      <c r="O38" s="3808">
        <v>401.80278665785386</v>
      </c>
      <c r="P38" s="3" t="s">
        <v>1318</v>
      </c>
      <c r="Q38" s="3" t="s">
        <v>6468</v>
      </c>
    </row>
    <row r="39" spans="1:17">
      <c r="A39" s="3"/>
      <c r="B39" s="3"/>
      <c r="C39" s="3841"/>
      <c r="D39" s="3842" t="s">
        <v>6490</v>
      </c>
      <c r="E39" s="3815">
        <v>189099.99934999997</v>
      </c>
      <c r="F39" s="3815">
        <v>189099.99934999997</v>
      </c>
      <c r="G39" s="3815">
        <v>3926.3191999999999</v>
      </c>
      <c r="H39" s="3816">
        <v>94.871598000000006</v>
      </c>
      <c r="I39" s="3817">
        <v>78.302990000000008</v>
      </c>
      <c r="J39" s="3818">
        <v>173.17458800000003</v>
      </c>
      <c r="K39" s="3819">
        <v>203.83912275074616</v>
      </c>
      <c r="L39" s="3820">
        <v>377.01371075074616</v>
      </c>
      <c r="M39" s="3821">
        <v>85.322639680762606</v>
      </c>
      <c r="N39" s="3822">
        <v>2.3090887591069724</v>
      </c>
      <c r="O39" s="3818">
        <v>464.64543919061578</v>
      </c>
      <c r="P39" s="3"/>
      <c r="Q39" s="3"/>
    </row>
    <row r="40" spans="1:17">
      <c r="A40" s="3" t="s">
        <v>1318</v>
      </c>
      <c r="B40" s="3013" t="s">
        <v>6497</v>
      </c>
      <c r="C40" s="3783" t="s">
        <v>6498</v>
      </c>
      <c r="D40" s="3784" t="s">
        <v>6499</v>
      </c>
      <c r="E40" s="3785">
        <v>377546</v>
      </c>
      <c r="F40" s="3785">
        <v>384173.5</v>
      </c>
      <c r="G40" s="3785">
        <v>6181.4502169999996</v>
      </c>
      <c r="H40" s="3786">
        <v>1159.186021</v>
      </c>
      <c r="I40" s="3787">
        <v>1190.9776594999998</v>
      </c>
      <c r="J40" s="3788">
        <v>2350.1636804999998</v>
      </c>
      <c r="K40" s="3789">
        <v>407.40537021758473</v>
      </c>
      <c r="L40" s="3790">
        <v>2757.5690507175846</v>
      </c>
      <c r="M40" s="3791">
        <v>107.27164294031094</v>
      </c>
      <c r="N40" s="3826">
        <v>11.977336522166418</v>
      </c>
      <c r="O40" s="3788">
        <v>2876.8180301800617</v>
      </c>
      <c r="P40" s="3" t="s">
        <v>1318</v>
      </c>
      <c r="Q40" s="3013" t="s">
        <v>6497</v>
      </c>
    </row>
    <row r="41" spans="1:17">
      <c r="A41" s="3"/>
      <c r="B41" s="3"/>
      <c r="C41" s="3793"/>
      <c r="D41" s="3804" t="s">
        <v>6500</v>
      </c>
      <c r="E41" s="3805"/>
      <c r="F41" s="3805">
        <v>0</v>
      </c>
      <c r="G41" s="3805">
        <v>0</v>
      </c>
      <c r="H41" s="3806"/>
      <c r="I41" s="3807"/>
      <c r="J41" s="3808">
        <v>0</v>
      </c>
      <c r="K41" s="3809">
        <v>0</v>
      </c>
      <c r="L41" s="3810">
        <v>0</v>
      </c>
      <c r="M41" s="3811">
        <v>0</v>
      </c>
      <c r="N41" s="3827">
        <v>0</v>
      </c>
      <c r="O41" s="3808">
        <v>0</v>
      </c>
    </row>
    <row r="42" spans="1:17">
      <c r="A42" s="3"/>
      <c r="B42" s="3"/>
      <c r="C42" s="3813"/>
      <c r="D42" s="3814" t="s">
        <v>6490</v>
      </c>
      <c r="E42" s="3815">
        <v>377546</v>
      </c>
      <c r="F42" s="3815">
        <v>384173.5</v>
      </c>
      <c r="G42" s="3815">
        <v>6181.4502169999996</v>
      </c>
      <c r="H42" s="3816">
        <v>1159.186021</v>
      </c>
      <c r="I42" s="3817">
        <v>1190.9776594999998</v>
      </c>
      <c r="J42" s="3818">
        <v>2350.1636804999998</v>
      </c>
      <c r="K42" s="3819">
        <v>407.40537021758473</v>
      </c>
      <c r="L42" s="3820">
        <v>2757.5690507175846</v>
      </c>
      <c r="M42" s="3821">
        <v>107.27164294031094</v>
      </c>
      <c r="N42" s="3828">
        <v>11.977336522166418</v>
      </c>
      <c r="O42" s="3818">
        <v>2876.8180301800617</v>
      </c>
    </row>
    <row r="43" spans="1:17" ht="17.25" thickBot="1">
      <c r="A43" s="3"/>
      <c r="B43" s="3"/>
      <c r="C43" s="5380" t="s">
        <v>6501</v>
      </c>
      <c r="D43" s="5381"/>
      <c r="E43" s="3829"/>
      <c r="F43" s="3829"/>
      <c r="G43" s="3829">
        <v>231639.270258</v>
      </c>
      <c r="H43" s="3830">
        <v>1917.9005</v>
      </c>
      <c r="I43" s="3831">
        <v>2437.6120934999999</v>
      </c>
      <c r="J43" s="3832">
        <v>4355.5125934999996</v>
      </c>
      <c r="K43" s="3833">
        <v>2489.3930854999994</v>
      </c>
      <c r="L43" s="3834">
        <v>6844.9056789999995</v>
      </c>
      <c r="M43" s="3835">
        <v>2400.1917339999995</v>
      </c>
      <c r="N43" s="3836">
        <v>385.90234799999996</v>
      </c>
      <c r="O43" s="3832">
        <v>9630.9997609999991</v>
      </c>
    </row>
    <row r="44" spans="1:17">
      <c r="A44" s="3"/>
      <c r="B44" s="3"/>
      <c r="C44" s="1" t="s">
        <v>6502</v>
      </c>
      <c r="D44" s="3"/>
      <c r="E44" s="3"/>
      <c r="F44" s="3"/>
      <c r="G44" s="3"/>
      <c r="H44" s="3"/>
      <c r="I44" s="3"/>
      <c r="J44" s="3"/>
      <c r="K44" s="3"/>
      <c r="L44" s="3"/>
      <c r="M44" s="3"/>
      <c r="N44" s="3"/>
      <c r="O44" s="3"/>
    </row>
    <row r="45" spans="1:17">
      <c r="A45" s="3"/>
      <c r="B45" s="3"/>
      <c r="C45" s="3"/>
      <c r="D45" s="110"/>
      <c r="E45" s="110"/>
      <c r="F45" s="110" t="s">
        <v>3487</v>
      </c>
      <c r="G45" s="2633" t="s">
        <v>6475</v>
      </c>
      <c r="H45" s="3"/>
      <c r="I45" s="3"/>
      <c r="J45" s="3"/>
      <c r="K45" s="3"/>
      <c r="L45" s="3"/>
      <c r="M45" s="3"/>
      <c r="N45" s="3"/>
      <c r="O45" s="2633"/>
    </row>
    <row r="46" spans="1:17" ht="17.25" thickBot="1">
      <c r="A46" s="3"/>
      <c r="B46" s="3"/>
      <c r="C46" s="5365" t="s">
        <v>6476</v>
      </c>
      <c r="D46" s="5365" t="s">
        <v>6477</v>
      </c>
      <c r="E46" s="3775" t="s">
        <v>6478</v>
      </c>
      <c r="F46" s="3776"/>
      <c r="G46" s="3777"/>
      <c r="H46" s="5368" t="s">
        <v>6479</v>
      </c>
      <c r="I46" s="5369"/>
      <c r="J46" s="5369"/>
      <c r="K46" s="5369"/>
      <c r="L46" s="5370"/>
      <c r="M46" s="5369"/>
      <c r="N46" s="5369"/>
      <c r="O46" s="5371"/>
    </row>
    <row r="47" spans="1:17" ht="17.25" thickBot="1">
      <c r="A47" s="3"/>
      <c r="B47" s="3"/>
      <c r="C47" s="5366"/>
      <c r="D47" s="5366"/>
      <c r="E47" s="3778" t="s">
        <v>6480</v>
      </c>
      <c r="F47" s="3778" t="s">
        <v>6481</v>
      </c>
      <c r="G47" s="3778" t="s">
        <v>6482</v>
      </c>
      <c r="H47" s="5368" t="s">
        <v>6483</v>
      </c>
      <c r="I47" s="5369"/>
      <c r="J47" s="5371"/>
      <c r="K47" s="5372" t="s">
        <v>6484</v>
      </c>
      <c r="L47" s="5374" t="s">
        <v>6485</v>
      </c>
      <c r="M47" s="5371" t="s">
        <v>6486</v>
      </c>
      <c r="N47" s="5372" t="s">
        <v>2583</v>
      </c>
      <c r="O47" s="5378" t="s">
        <v>6487</v>
      </c>
    </row>
    <row r="48" spans="1:17">
      <c r="A48" s="3"/>
      <c r="B48" s="3"/>
      <c r="C48" s="5367"/>
      <c r="D48" s="5367"/>
      <c r="E48" s="3779"/>
      <c r="F48" s="3779"/>
      <c r="G48" s="3779"/>
      <c r="H48" s="3780" t="s">
        <v>6488</v>
      </c>
      <c r="I48" s="3781" t="s">
        <v>6489</v>
      </c>
      <c r="J48" s="3782" t="s">
        <v>6490</v>
      </c>
      <c r="K48" s="5373"/>
      <c r="L48" s="5375"/>
      <c r="M48" s="5376"/>
      <c r="N48" s="5377"/>
      <c r="O48" s="5379"/>
    </row>
    <row r="49" spans="1:17">
      <c r="A49" s="3" t="s">
        <v>61</v>
      </c>
      <c r="B49" s="3013" t="s">
        <v>6469</v>
      </c>
      <c r="C49" s="3783" t="s">
        <v>6491</v>
      </c>
      <c r="D49" s="3784" t="s">
        <v>1308</v>
      </c>
      <c r="E49" s="3785">
        <v>2670.39102</v>
      </c>
      <c r="F49" s="3785">
        <v>2284.6891899999996</v>
      </c>
      <c r="G49" s="3785">
        <v>142603.19508600002</v>
      </c>
      <c r="H49" s="3786">
        <v>456.17384022329674</v>
      </c>
      <c r="I49" s="3787">
        <v>630.89360704928151</v>
      </c>
      <c r="J49" s="3788">
        <v>1087.0674472725782</v>
      </c>
      <c r="K49" s="3789">
        <v>1292.9077920733539</v>
      </c>
      <c r="L49" s="3790">
        <v>2379.9752393459321</v>
      </c>
      <c r="M49" s="3791">
        <v>1451.7664146812335</v>
      </c>
      <c r="N49" s="3792">
        <v>149.87720785158291</v>
      </c>
      <c r="O49" s="3788">
        <v>3981.6188618787487</v>
      </c>
      <c r="P49" s="3" t="s">
        <v>61</v>
      </c>
      <c r="Q49" s="3013" t="s">
        <v>6469</v>
      </c>
    </row>
    <row r="50" spans="1:17">
      <c r="A50" s="3" t="s">
        <v>61</v>
      </c>
      <c r="B50" s="3013" t="s">
        <v>6470</v>
      </c>
      <c r="C50" s="3793"/>
      <c r="D50" s="3794" t="s">
        <v>1309</v>
      </c>
      <c r="E50" s="3795">
        <v>14972.054958999999</v>
      </c>
      <c r="F50" s="3795">
        <v>15076.373909</v>
      </c>
      <c r="G50" s="3795">
        <v>11024.950790000001</v>
      </c>
      <c r="H50" s="3796">
        <v>57.421561278569158</v>
      </c>
      <c r="I50" s="3797">
        <v>79.414672046307643</v>
      </c>
      <c r="J50" s="3798">
        <v>136.83623332487679</v>
      </c>
      <c r="K50" s="3799">
        <v>162.74669317674778</v>
      </c>
      <c r="L50" s="3800">
        <v>299.58292650162457</v>
      </c>
      <c r="M50" s="3801">
        <v>110.58474051415197</v>
      </c>
      <c r="N50" s="3802">
        <v>11.373234096749881</v>
      </c>
      <c r="O50" s="3798">
        <v>421.5409011125264</v>
      </c>
      <c r="P50" s="3" t="s">
        <v>61</v>
      </c>
      <c r="Q50" s="3013" t="s">
        <v>6470</v>
      </c>
    </row>
    <row r="51" spans="1:17">
      <c r="A51" s="3" t="s">
        <v>61</v>
      </c>
      <c r="B51" s="3013" t="s">
        <v>6471</v>
      </c>
      <c r="C51" s="3793"/>
      <c r="D51" s="3794" t="s">
        <v>1310</v>
      </c>
      <c r="E51" s="3795">
        <v>207.35354999999998</v>
      </c>
      <c r="F51" s="3803">
        <v>174.71449999999999</v>
      </c>
      <c r="G51" s="3795">
        <v>6508.9899989999994</v>
      </c>
      <c r="H51" s="3796">
        <v>57.573207614356377</v>
      </c>
      <c r="I51" s="3797">
        <v>79.624400652695442</v>
      </c>
      <c r="J51" s="3798">
        <v>137.19760826705181</v>
      </c>
      <c r="K51" s="3799">
        <v>163.17649583505607</v>
      </c>
      <c r="L51" s="3800">
        <v>300.37410410210788</v>
      </c>
      <c r="M51" s="3801">
        <v>64.97822799489542</v>
      </c>
      <c r="N51" s="3802">
        <v>6.8829132512373796</v>
      </c>
      <c r="O51" s="3798">
        <v>372.23524534824065</v>
      </c>
      <c r="P51" s="3" t="s">
        <v>61</v>
      </c>
      <c r="Q51" s="3013" t="s">
        <v>6471</v>
      </c>
    </row>
    <row r="52" spans="1:17">
      <c r="A52" s="3" t="s">
        <v>61</v>
      </c>
      <c r="B52" s="3013" t="s">
        <v>6472</v>
      </c>
      <c r="C52" s="3793"/>
      <c r="D52" s="3794" t="s">
        <v>1311</v>
      </c>
      <c r="E52" s="3795">
        <v>307.24173999999999</v>
      </c>
      <c r="F52" s="3795">
        <v>304.96879999999999</v>
      </c>
      <c r="G52" s="3795">
        <v>24679.092841999998</v>
      </c>
      <c r="H52" s="3796">
        <v>76.275065883777714</v>
      </c>
      <c r="I52" s="3797">
        <v>105.48928325171541</v>
      </c>
      <c r="J52" s="3798">
        <v>181.76434913549312</v>
      </c>
      <c r="K52" s="3799">
        <v>216.18211814551196</v>
      </c>
      <c r="L52" s="3800">
        <v>397.94646728100508</v>
      </c>
      <c r="M52" s="3801">
        <v>241.55088063617356</v>
      </c>
      <c r="N52" s="3802">
        <v>25.939982371111409</v>
      </c>
      <c r="O52" s="3798">
        <v>665.43733028829013</v>
      </c>
      <c r="P52" s="3" t="s">
        <v>61</v>
      </c>
      <c r="Q52" s="3013" t="s">
        <v>6472</v>
      </c>
    </row>
    <row r="53" spans="1:17">
      <c r="A53" s="3" t="s">
        <v>61</v>
      </c>
      <c r="B53" s="3013" t="s">
        <v>6473</v>
      </c>
      <c r="C53" s="3793"/>
      <c r="D53" s="3804" t="s">
        <v>1307</v>
      </c>
      <c r="E53" s="3805">
        <v>28855.45</v>
      </c>
      <c r="F53" s="3805">
        <v>28855.45</v>
      </c>
      <c r="G53" s="3805">
        <v>229.06377000000001</v>
      </c>
      <c r="H53" s="3806">
        <v>0</v>
      </c>
      <c r="I53" s="3807">
        <v>0</v>
      </c>
      <c r="J53" s="3808">
        <v>0</v>
      </c>
      <c r="K53" s="3809">
        <v>0</v>
      </c>
      <c r="L53" s="3810">
        <v>0</v>
      </c>
      <c r="M53" s="3811">
        <v>2.5292348781196985</v>
      </c>
      <c r="N53" s="3812">
        <v>0.23320732305112032</v>
      </c>
      <c r="O53" s="3808">
        <v>2.7624422011708187</v>
      </c>
      <c r="P53" s="3" t="s">
        <v>61</v>
      </c>
      <c r="Q53" s="3013" t="s">
        <v>6473</v>
      </c>
    </row>
    <row r="54" spans="1:17">
      <c r="A54" s="3"/>
      <c r="B54" s="3"/>
      <c r="C54" s="3813"/>
      <c r="D54" s="3814" t="s">
        <v>6490</v>
      </c>
      <c r="E54" s="3815"/>
      <c r="F54" s="3815"/>
      <c r="G54" s="3815">
        <v>185045.29248700006</v>
      </c>
      <c r="H54" s="3816">
        <v>647.44367499999998</v>
      </c>
      <c r="I54" s="3817">
        <v>895.42196300000001</v>
      </c>
      <c r="J54" s="3818">
        <v>1542.865638</v>
      </c>
      <c r="K54" s="3819">
        <v>1835.0130992306699</v>
      </c>
      <c r="L54" s="3820">
        <v>3377.8787372306697</v>
      </c>
      <c r="M54" s="3821">
        <v>1871.4094987045742</v>
      </c>
      <c r="N54" s="3822">
        <v>194.30654489373268</v>
      </c>
      <c r="O54" s="3818">
        <v>5443.5947808289766</v>
      </c>
      <c r="P54" s="3"/>
      <c r="Q54" s="3"/>
    </row>
    <row r="55" spans="1:17">
      <c r="A55" s="3" t="s">
        <v>61</v>
      </c>
      <c r="B55" s="3" t="s">
        <v>6474</v>
      </c>
      <c r="C55" s="3783" t="s">
        <v>6492</v>
      </c>
      <c r="D55" s="3784" t="s">
        <v>1308</v>
      </c>
      <c r="E55" s="3785">
        <v>1735.7951539999999</v>
      </c>
      <c r="F55" s="3785">
        <v>1737.8580200000001</v>
      </c>
      <c r="G55" s="3785">
        <v>102904.03558099999</v>
      </c>
      <c r="H55" s="3786">
        <v>76.483664299195809</v>
      </c>
      <c r="I55" s="3787">
        <v>199.58068695461938</v>
      </c>
      <c r="J55" s="3788">
        <v>276.06435125381518</v>
      </c>
      <c r="K55" s="3789">
        <v>319.31612346871322</v>
      </c>
      <c r="L55" s="3790">
        <v>595.38047472252833</v>
      </c>
      <c r="M55" s="3791">
        <v>1061.3442708028542</v>
      </c>
      <c r="N55" s="3792">
        <v>108.10458384803164</v>
      </c>
      <c r="O55" s="3788">
        <v>1764.8293293734141</v>
      </c>
      <c r="P55" s="3" t="s">
        <v>61</v>
      </c>
      <c r="Q55" s="3013" t="s">
        <v>6469</v>
      </c>
    </row>
    <row r="56" spans="1:17">
      <c r="A56" s="3" t="s">
        <v>61</v>
      </c>
      <c r="B56" s="3" t="s">
        <v>6493</v>
      </c>
      <c r="C56" s="3823" t="s">
        <v>6494</v>
      </c>
      <c r="D56" s="3794" t="s">
        <v>1309</v>
      </c>
      <c r="E56" s="3795">
        <v>9154.726990000001</v>
      </c>
      <c r="F56" s="3795">
        <v>9040.2219999999998</v>
      </c>
      <c r="G56" s="3795">
        <v>6992.010599000002</v>
      </c>
      <c r="H56" s="3796">
        <v>48.025117272079761</v>
      </c>
      <c r="I56" s="3797">
        <v>125.31938661755012</v>
      </c>
      <c r="J56" s="3798">
        <v>173.34450388962989</v>
      </c>
      <c r="K56" s="3799">
        <v>200.50287099819428</v>
      </c>
      <c r="L56" s="3800">
        <v>373.84737488782417</v>
      </c>
      <c r="M56" s="3801">
        <v>73.912492158902495</v>
      </c>
      <c r="N56" s="3802">
        <v>7.2915049862602901</v>
      </c>
      <c r="O56" s="3798">
        <v>455.05137203298693</v>
      </c>
      <c r="P56" s="3" t="s">
        <v>61</v>
      </c>
      <c r="Q56" s="3013" t="s">
        <v>6470</v>
      </c>
    </row>
    <row r="57" spans="1:17">
      <c r="A57" s="3" t="s">
        <v>61</v>
      </c>
      <c r="B57" s="3" t="s">
        <v>6495</v>
      </c>
      <c r="C57" s="3793"/>
      <c r="D57" s="3794" t="s">
        <v>1310</v>
      </c>
      <c r="E57" s="3795">
        <v>19.094269999999998</v>
      </c>
      <c r="F57" s="3795">
        <v>18.283360000000002</v>
      </c>
      <c r="G57" s="3795">
        <v>372.33711799999998</v>
      </c>
      <c r="H57" s="3796">
        <v>1.7294526102310641</v>
      </c>
      <c r="I57" s="3797">
        <v>4.5129289132268298</v>
      </c>
      <c r="J57" s="3798">
        <v>6.2423815234578939</v>
      </c>
      <c r="K57" s="3799">
        <v>7.2203928548914664</v>
      </c>
      <c r="L57" s="3800">
        <v>13.46277437834936</v>
      </c>
      <c r="M57" s="3801">
        <v>3.8402352542465543</v>
      </c>
      <c r="N57" s="3802">
        <v>0.39940447670809764</v>
      </c>
      <c r="O57" s="3798">
        <v>17.702414109304016</v>
      </c>
      <c r="P57" s="3" t="s">
        <v>61</v>
      </c>
      <c r="Q57" s="3013" t="s">
        <v>6471</v>
      </c>
    </row>
    <row r="58" spans="1:17">
      <c r="A58" s="3" t="s">
        <v>61</v>
      </c>
      <c r="B58" s="3" t="s">
        <v>6496</v>
      </c>
      <c r="C58" s="3793"/>
      <c r="D58" s="3794" t="s">
        <v>1311</v>
      </c>
      <c r="E58" s="3795">
        <v>0.15</v>
      </c>
      <c r="F58" s="3795">
        <v>0.15</v>
      </c>
      <c r="G58" s="3795">
        <v>14.243905</v>
      </c>
      <c r="H58" s="3796">
        <v>5.7406818493381313E-2</v>
      </c>
      <c r="I58" s="3797">
        <v>0.1498005146035957</v>
      </c>
      <c r="J58" s="3798">
        <v>0.207207333096977</v>
      </c>
      <c r="K58" s="3799">
        <v>0.23967108414510549</v>
      </c>
      <c r="L58" s="3800">
        <v>0.44687841724208249</v>
      </c>
      <c r="M58" s="3801">
        <v>0.12813300336064162</v>
      </c>
      <c r="N58" s="3825">
        <v>1.2594667767247924E-2</v>
      </c>
      <c r="O58" s="3798">
        <v>0.58760608836997208</v>
      </c>
      <c r="P58" s="3" t="s">
        <v>61</v>
      </c>
      <c r="Q58" s="3013" t="s">
        <v>6472</v>
      </c>
    </row>
    <row r="59" spans="1:17">
      <c r="A59" s="3"/>
      <c r="B59" s="3"/>
      <c r="C59" s="3813"/>
      <c r="D59" s="3814" t="s">
        <v>6490</v>
      </c>
      <c r="E59" s="3815"/>
      <c r="F59" s="3815"/>
      <c r="G59" s="3815">
        <v>110282.62720299998</v>
      </c>
      <c r="H59" s="3816">
        <v>126.295641</v>
      </c>
      <c r="I59" s="3817">
        <v>329.56280299999992</v>
      </c>
      <c r="J59" s="3818">
        <v>455.85844399999991</v>
      </c>
      <c r="K59" s="3819">
        <v>527.27905840594406</v>
      </c>
      <c r="L59" s="3820">
        <v>983.13750240594379</v>
      </c>
      <c r="M59" s="3821">
        <v>1139.2251312193641</v>
      </c>
      <c r="N59" s="3822">
        <v>115.80808797876728</v>
      </c>
      <c r="O59" s="3818">
        <v>2238.170721604075</v>
      </c>
      <c r="P59" s="3"/>
      <c r="Q59" s="3"/>
    </row>
    <row r="60" spans="1:17">
      <c r="A60" s="3" t="s">
        <v>61</v>
      </c>
      <c r="B60" s="3" t="s">
        <v>6468</v>
      </c>
      <c r="C60" s="3837" t="s">
        <v>2857</v>
      </c>
      <c r="D60" s="3838" t="s">
        <v>6499</v>
      </c>
      <c r="E60" s="3785">
        <v>93.089340000000007</v>
      </c>
      <c r="F60" s="3785">
        <v>93.089340000000007</v>
      </c>
      <c r="G60" s="3785">
        <v>6194.9058380000006</v>
      </c>
      <c r="H60" s="3786">
        <v>20.234534613415502</v>
      </c>
      <c r="I60" s="3787">
        <v>17.564301612318911</v>
      </c>
      <c r="J60" s="3788">
        <v>37.798836225734412</v>
      </c>
      <c r="K60" s="3789">
        <v>34.00533445433441</v>
      </c>
      <c r="L60" s="3790">
        <v>71.804170680068822</v>
      </c>
      <c r="M60" s="3791">
        <v>47.600248057367658</v>
      </c>
      <c r="N60" s="3826">
        <v>0</v>
      </c>
      <c r="O60" s="3788">
        <v>119.40441873743649</v>
      </c>
      <c r="P60" s="3" t="s">
        <v>61</v>
      </c>
      <c r="Q60" s="3" t="s">
        <v>6468</v>
      </c>
    </row>
    <row r="61" spans="1:17">
      <c r="A61" s="3" t="s">
        <v>61</v>
      </c>
      <c r="B61" s="3" t="s">
        <v>6468</v>
      </c>
      <c r="C61" s="3839"/>
      <c r="D61" s="3840" t="s">
        <v>6503</v>
      </c>
      <c r="E61" s="3805">
        <v>195884.73000000004</v>
      </c>
      <c r="F61" s="3805">
        <v>195884.73000000004</v>
      </c>
      <c r="G61" s="3805">
        <v>430.64013900000003</v>
      </c>
      <c r="H61" s="3806">
        <v>89.454550386584501</v>
      </c>
      <c r="I61" s="3807">
        <v>77.649757387681106</v>
      </c>
      <c r="J61" s="3808">
        <v>167.10430777426561</v>
      </c>
      <c r="K61" s="3809">
        <v>150.3336727270769</v>
      </c>
      <c r="L61" s="3810">
        <v>317.43798050134251</v>
      </c>
      <c r="M61" s="3811">
        <v>76.156825005132362</v>
      </c>
      <c r="N61" s="3812">
        <v>0</v>
      </c>
      <c r="O61" s="3808">
        <v>393.59480550647487</v>
      </c>
      <c r="P61" s="3" t="s">
        <v>61</v>
      </c>
      <c r="Q61" s="3" t="s">
        <v>6468</v>
      </c>
    </row>
    <row r="62" spans="1:17">
      <c r="A62" s="3"/>
      <c r="B62" s="3"/>
      <c r="C62" s="3841"/>
      <c r="D62" s="3842" t="s">
        <v>6490</v>
      </c>
      <c r="E62" s="3815">
        <v>195977.81934000005</v>
      </c>
      <c r="F62" s="3815">
        <v>195977.81934000005</v>
      </c>
      <c r="G62" s="3815">
        <v>6625.5459770000007</v>
      </c>
      <c r="H62" s="3816">
        <v>109.68908500000001</v>
      </c>
      <c r="I62" s="3817">
        <v>95.214059000000006</v>
      </c>
      <c r="J62" s="3818">
        <v>204.903144</v>
      </c>
      <c r="K62" s="3819">
        <v>184.33900718141132</v>
      </c>
      <c r="L62" s="3820">
        <v>389.24215118141132</v>
      </c>
      <c r="M62" s="3821">
        <v>123.75707306250001</v>
      </c>
      <c r="N62" s="3822">
        <v>0</v>
      </c>
      <c r="O62" s="3818">
        <v>512.99922424391139</v>
      </c>
      <c r="P62" s="3"/>
      <c r="Q62" s="3"/>
    </row>
    <row r="63" spans="1:17">
      <c r="A63" s="3" t="s">
        <v>61</v>
      </c>
      <c r="B63" s="3013" t="s">
        <v>6497</v>
      </c>
      <c r="C63" s="3783" t="s">
        <v>6498</v>
      </c>
      <c r="D63" s="3784" t="s">
        <v>6499</v>
      </c>
      <c r="E63" s="3785">
        <v>390050.5</v>
      </c>
      <c r="F63" s="3785">
        <v>389679</v>
      </c>
      <c r="G63" s="3785">
        <v>6183.5422180000005</v>
      </c>
      <c r="H63" s="3786">
        <v>1165.6429974999999</v>
      </c>
      <c r="I63" s="3787">
        <v>687.13257399999998</v>
      </c>
      <c r="J63" s="3788">
        <v>1852.7755714999998</v>
      </c>
      <c r="K63" s="3789">
        <v>381.70155468197527</v>
      </c>
      <c r="L63" s="3790">
        <v>2234.4771261819751</v>
      </c>
      <c r="M63" s="3791">
        <v>138.18193801356213</v>
      </c>
      <c r="N63" s="3826">
        <v>12.510874127499996</v>
      </c>
      <c r="O63" s="3788">
        <v>2385.1699383230371</v>
      </c>
      <c r="P63" s="3" t="s">
        <v>61</v>
      </c>
      <c r="Q63" s="3013" t="s">
        <v>6497</v>
      </c>
    </row>
    <row r="64" spans="1:17">
      <c r="A64" s="3"/>
      <c r="B64" s="3"/>
      <c r="C64" s="3793"/>
      <c r="D64" s="3804" t="s">
        <v>6500</v>
      </c>
      <c r="E64" s="3805"/>
      <c r="F64" s="3805">
        <v>0</v>
      </c>
      <c r="G64" s="3805">
        <v>0</v>
      </c>
      <c r="H64" s="3806"/>
      <c r="I64" s="3807"/>
      <c r="J64" s="3808">
        <v>0</v>
      </c>
      <c r="K64" s="3809">
        <v>0</v>
      </c>
      <c r="L64" s="3810">
        <v>0</v>
      </c>
      <c r="M64" s="3811">
        <v>0</v>
      </c>
      <c r="N64" s="3827">
        <v>0</v>
      </c>
      <c r="O64" s="3808">
        <v>0</v>
      </c>
    </row>
    <row r="65" spans="1:17">
      <c r="A65" s="3"/>
      <c r="B65" s="3"/>
      <c r="C65" s="3813"/>
      <c r="D65" s="3814" t="s">
        <v>6490</v>
      </c>
      <c r="E65" s="3815">
        <v>390050.5</v>
      </c>
      <c r="F65" s="3815">
        <v>389679</v>
      </c>
      <c r="G65" s="3815">
        <v>6183.5422180000005</v>
      </c>
      <c r="H65" s="3816">
        <v>1165.6429974999999</v>
      </c>
      <c r="I65" s="3817">
        <v>687.13257399999998</v>
      </c>
      <c r="J65" s="3818">
        <v>1852.7755714999998</v>
      </c>
      <c r="K65" s="3819">
        <v>381.70155468197527</v>
      </c>
      <c r="L65" s="3820">
        <v>2234.4771261819751</v>
      </c>
      <c r="M65" s="3821">
        <v>138.18193801356213</v>
      </c>
      <c r="N65" s="3828">
        <v>12.510874127499996</v>
      </c>
      <c r="O65" s="3818">
        <v>2385.1699383230371</v>
      </c>
    </row>
    <row r="66" spans="1:17" ht="17.25" thickBot="1">
      <c r="A66" s="3"/>
      <c r="B66" s="3"/>
      <c r="C66" s="5380" t="s">
        <v>6501</v>
      </c>
      <c r="D66" s="5381"/>
      <c r="E66" s="3829"/>
      <c r="F66" s="3829"/>
      <c r="G66" s="3829">
        <v>308137.00788500003</v>
      </c>
      <c r="H66" s="3830">
        <v>2049.0713984999998</v>
      </c>
      <c r="I66" s="3831">
        <v>2007.3313989999999</v>
      </c>
      <c r="J66" s="3832">
        <v>4056.4027974999999</v>
      </c>
      <c r="K66" s="3833">
        <v>2928.3327195000006</v>
      </c>
      <c r="L66" s="3834">
        <v>6984.7355170000001</v>
      </c>
      <c r="M66" s="3835">
        <v>3272.5736410000009</v>
      </c>
      <c r="N66" s="3836">
        <v>322.62550699999997</v>
      </c>
      <c r="O66" s="3832">
        <v>10579.934665000001</v>
      </c>
    </row>
    <row r="67" spans="1:17">
      <c r="A67" s="3"/>
      <c r="B67" s="3"/>
      <c r="C67" s="1" t="s">
        <v>6502</v>
      </c>
      <c r="D67" s="3"/>
      <c r="E67" s="3"/>
      <c r="F67" s="3"/>
      <c r="G67" s="3"/>
      <c r="H67" s="3"/>
      <c r="I67" s="3"/>
      <c r="J67" s="3"/>
      <c r="K67" s="3"/>
      <c r="L67" s="3"/>
      <c r="M67" s="3"/>
      <c r="N67" s="3"/>
      <c r="O67" s="3"/>
    </row>
    <row r="68" spans="1:17">
      <c r="A68" s="3"/>
      <c r="B68" s="3"/>
      <c r="C68" s="3"/>
      <c r="D68" s="3"/>
      <c r="E68" s="3"/>
      <c r="F68" s="3"/>
      <c r="G68" s="3"/>
      <c r="H68" s="3"/>
      <c r="I68" s="3"/>
      <c r="J68" s="3"/>
      <c r="K68" s="3"/>
      <c r="L68" s="3"/>
      <c r="M68" s="3"/>
      <c r="N68" s="3"/>
      <c r="O68" s="3"/>
    </row>
    <row r="69" spans="1:17">
      <c r="A69" s="3"/>
      <c r="B69" s="3"/>
      <c r="C69" s="3"/>
      <c r="D69" s="110"/>
      <c r="E69" s="110"/>
      <c r="F69" s="110" t="s">
        <v>3487</v>
      </c>
      <c r="G69" s="2633" t="s">
        <v>6475</v>
      </c>
      <c r="H69" s="3"/>
      <c r="I69" s="3"/>
      <c r="J69" s="3"/>
      <c r="K69" s="3"/>
      <c r="L69" s="3"/>
      <c r="M69" s="3"/>
      <c r="N69" s="3"/>
      <c r="O69" s="2633"/>
    </row>
    <row r="70" spans="1:17" ht="17.25" thickBot="1">
      <c r="A70" s="3"/>
      <c r="B70" s="3"/>
      <c r="C70" s="5365" t="s">
        <v>6476</v>
      </c>
      <c r="D70" s="5365" t="s">
        <v>6477</v>
      </c>
      <c r="E70" s="3775" t="s">
        <v>6478</v>
      </c>
      <c r="F70" s="3776"/>
      <c r="G70" s="3777"/>
      <c r="H70" s="5368" t="s">
        <v>6479</v>
      </c>
      <c r="I70" s="5369"/>
      <c r="J70" s="5369"/>
      <c r="K70" s="5369"/>
      <c r="L70" s="5370"/>
      <c r="M70" s="5369"/>
      <c r="N70" s="5369"/>
      <c r="O70" s="5371"/>
    </row>
    <row r="71" spans="1:17" ht="17.25" thickBot="1">
      <c r="A71" s="3"/>
      <c r="B71" s="3"/>
      <c r="C71" s="5366"/>
      <c r="D71" s="5366"/>
      <c r="E71" s="3778" t="s">
        <v>6480</v>
      </c>
      <c r="F71" s="3778" t="s">
        <v>6481</v>
      </c>
      <c r="G71" s="3778" t="s">
        <v>6482</v>
      </c>
      <c r="H71" s="5368" t="s">
        <v>6483</v>
      </c>
      <c r="I71" s="5369"/>
      <c r="J71" s="5371"/>
      <c r="K71" s="5372" t="s">
        <v>6484</v>
      </c>
      <c r="L71" s="5374" t="s">
        <v>6485</v>
      </c>
      <c r="M71" s="5371" t="s">
        <v>6486</v>
      </c>
      <c r="N71" s="5372" t="s">
        <v>2583</v>
      </c>
      <c r="O71" s="5378" t="s">
        <v>6487</v>
      </c>
    </row>
    <row r="72" spans="1:17">
      <c r="A72" s="3"/>
      <c r="B72" s="3"/>
      <c r="C72" s="5367"/>
      <c r="D72" s="5367"/>
      <c r="E72" s="3779"/>
      <c r="F72" s="3779"/>
      <c r="G72" s="3779"/>
      <c r="H72" s="3780" t="s">
        <v>6488</v>
      </c>
      <c r="I72" s="3781" t="s">
        <v>6489</v>
      </c>
      <c r="J72" s="3782" t="s">
        <v>6490</v>
      </c>
      <c r="K72" s="5373"/>
      <c r="L72" s="5375"/>
      <c r="M72" s="5376"/>
      <c r="N72" s="5377"/>
      <c r="O72" s="5379"/>
    </row>
    <row r="73" spans="1:17">
      <c r="A73" s="3" t="s">
        <v>5103</v>
      </c>
      <c r="B73" s="3013" t="s">
        <v>6469</v>
      </c>
      <c r="C73" s="3783" t="s">
        <v>6491</v>
      </c>
      <c r="D73" s="3784" t="s">
        <v>1308</v>
      </c>
      <c r="E73" s="3785">
        <v>1535.2008800000001</v>
      </c>
      <c r="F73" s="3785">
        <v>1369.0034199999998</v>
      </c>
      <c r="G73" s="3785">
        <v>82626.659792999984</v>
      </c>
      <c r="H73" s="3786">
        <v>334.16469873623709</v>
      </c>
      <c r="I73" s="3787">
        <v>488.94125096206966</v>
      </c>
      <c r="J73" s="3788">
        <v>823.10594969830674</v>
      </c>
      <c r="K73" s="3789">
        <v>1059.8132629245465</v>
      </c>
      <c r="L73" s="3790">
        <v>1882.9192126228531</v>
      </c>
      <c r="M73" s="3791">
        <v>798.23993967781996</v>
      </c>
      <c r="N73" s="3792">
        <v>82.771897311085667</v>
      </c>
      <c r="O73" s="3788">
        <v>2763.9310496117587</v>
      </c>
      <c r="P73" s="3" t="s">
        <v>5103</v>
      </c>
      <c r="Q73" s="3013" t="s">
        <v>6469</v>
      </c>
    </row>
    <row r="74" spans="1:17">
      <c r="A74" s="3" t="s">
        <v>5103</v>
      </c>
      <c r="B74" s="3013" t="s">
        <v>6470</v>
      </c>
      <c r="C74" s="3793"/>
      <c r="D74" s="3794" t="s">
        <v>1309</v>
      </c>
      <c r="E74" s="3795">
        <v>13058.5785</v>
      </c>
      <c r="F74" s="3795">
        <v>6249.5</v>
      </c>
      <c r="G74" s="3795">
        <v>5922.1963649999998</v>
      </c>
      <c r="H74" s="3796">
        <v>27.027899563939144</v>
      </c>
      <c r="I74" s="3797">
        <v>39.546532214943788</v>
      </c>
      <c r="J74" s="3798">
        <v>66.574431778882939</v>
      </c>
      <c r="K74" s="3799">
        <v>85.719785887572073</v>
      </c>
      <c r="L74" s="3800">
        <v>152.29421766645501</v>
      </c>
      <c r="M74" s="3801">
        <v>56.66528065685246</v>
      </c>
      <c r="N74" s="3802">
        <v>5.7338671618578418</v>
      </c>
      <c r="O74" s="3798">
        <v>214.69336548516529</v>
      </c>
      <c r="P74" s="3" t="s">
        <v>5103</v>
      </c>
      <c r="Q74" s="3013" t="s">
        <v>6470</v>
      </c>
    </row>
    <row r="75" spans="1:17">
      <c r="A75" s="3" t="s">
        <v>5103</v>
      </c>
      <c r="B75" s="3013" t="s">
        <v>6471</v>
      </c>
      <c r="C75" s="3793"/>
      <c r="D75" s="3794" t="s">
        <v>1310</v>
      </c>
      <c r="E75" s="3795">
        <v>236.19612999999998</v>
      </c>
      <c r="F75" s="3803">
        <v>214.66064999999998</v>
      </c>
      <c r="G75" s="3795">
        <v>8626.2462909999995</v>
      </c>
      <c r="H75" s="3796">
        <v>32.882450208820011</v>
      </c>
      <c r="I75" s="3797">
        <v>48.112761164185066</v>
      </c>
      <c r="J75" s="3798">
        <v>80.995211373005077</v>
      </c>
      <c r="K75" s="3799">
        <v>104.28766707123273</v>
      </c>
      <c r="L75" s="3800">
        <v>185.28287844423781</v>
      </c>
      <c r="M75" s="3801">
        <v>83.455251129447987</v>
      </c>
      <c r="N75" s="3802">
        <v>8.5318892104171624</v>
      </c>
      <c r="O75" s="3798">
        <v>277.27001878410294</v>
      </c>
      <c r="P75" s="3" t="s">
        <v>5103</v>
      </c>
      <c r="Q75" s="3013" t="s">
        <v>6471</v>
      </c>
    </row>
    <row r="76" spans="1:17">
      <c r="A76" s="3" t="s">
        <v>5103</v>
      </c>
      <c r="B76" s="3013" t="s">
        <v>6472</v>
      </c>
      <c r="C76" s="3793"/>
      <c r="D76" s="3794" t="s">
        <v>1311</v>
      </c>
      <c r="E76" s="3795">
        <v>238.97718999999998</v>
      </c>
      <c r="F76" s="3795">
        <v>231.08619999999999</v>
      </c>
      <c r="G76" s="3795">
        <v>20778.578338000003</v>
      </c>
      <c r="H76" s="3796">
        <v>42.386508571003823</v>
      </c>
      <c r="I76" s="3797">
        <v>62.018856578801504</v>
      </c>
      <c r="J76" s="3798">
        <v>104.40536514980533</v>
      </c>
      <c r="K76" s="3799">
        <v>134.43007032909983</v>
      </c>
      <c r="L76" s="3800">
        <v>238.83543547890517</v>
      </c>
      <c r="M76" s="3801">
        <v>202.36464679084978</v>
      </c>
      <c r="N76" s="3802">
        <v>20.787326252754625</v>
      </c>
      <c r="O76" s="3798">
        <v>461.98740852250955</v>
      </c>
      <c r="P76" s="3" t="s">
        <v>5103</v>
      </c>
      <c r="Q76" s="3013" t="s">
        <v>6472</v>
      </c>
    </row>
    <row r="77" spans="1:17">
      <c r="A77" s="3" t="s">
        <v>5103</v>
      </c>
      <c r="B77" s="3013" t="s">
        <v>6473</v>
      </c>
      <c r="C77" s="3793"/>
      <c r="D77" s="3804" t="s">
        <v>1307</v>
      </c>
      <c r="E77" s="3805">
        <v>32127.67</v>
      </c>
      <c r="F77" s="3805">
        <v>32210.244999999999</v>
      </c>
      <c r="G77" s="3805">
        <v>388.95171699999997</v>
      </c>
      <c r="H77" s="3806">
        <v>0</v>
      </c>
      <c r="I77" s="3807">
        <v>0</v>
      </c>
      <c r="J77" s="3808">
        <v>0</v>
      </c>
      <c r="K77" s="3809">
        <v>0</v>
      </c>
      <c r="L77" s="3810">
        <v>0</v>
      </c>
      <c r="M77" s="3811">
        <v>3.8180739669057759</v>
      </c>
      <c r="N77" s="3812">
        <v>0.39229219077119853</v>
      </c>
      <c r="O77" s="3808">
        <v>4.2103661576769742</v>
      </c>
      <c r="P77" s="3" t="s">
        <v>5103</v>
      </c>
      <c r="Q77" s="3013" t="s">
        <v>6473</v>
      </c>
    </row>
    <row r="78" spans="1:17">
      <c r="A78" s="3"/>
      <c r="B78" s="3"/>
      <c r="C78" s="3813"/>
      <c r="D78" s="3814" t="s">
        <v>6490</v>
      </c>
      <c r="E78" s="3815"/>
      <c r="F78" s="3815"/>
      <c r="G78" s="3815">
        <v>118342.63250399999</v>
      </c>
      <c r="H78" s="3816">
        <v>436.46155708000003</v>
      </c>
      <c r="I78" s="3817">
        <v>638.61940092000009</v>
      </c>
      <c r="J78" s="3818">
        <v>1075.080958</v>
      </c>
      <c r="K78" s="3819">
        <v>1384.2507862124512</v>
      </c>
      <c r="L78" s="3820">
        <v>2459.3317442124512</v>
      </c>
      <c r="M78" s="3821">
        <v>1144.5431922218761</v>
      </c>
      <c r="N78" s="3822">
        <v>118.2172721268865</v>
      </c>
      <c r="O78" s="3818">
        <v>3722.0922085612137</v>
      </c>
      <c r="P78" s="3"/>
      <c r="Q78" s="3"/>
    </row>
    <row r="79" spans="1:17">
      <c r="A79" s="3" t="s">
        <v>5103</v>
      </c>
      <c r="B79" s="3" t="s">
        <v>6474</v>
      </c>
      <c r="C79" s="3783" t="s">
        <v>6492</v>
      </c>
      <c r="D79" s="3784" t="s">
        <v>1308</v>
      </c>
      <c r="E79" s="3785">
        <v>1467.5998699999998</v>
      </c>
      <c r="F79" s="3785">
        <v>1452.6407699999997</v>
      </c>
      <c r="G79" s="3785">
        <v>78463.626060999988</v>
      </c>
      <c r="H79" s="3786">
        <v>65.092468952296684</v>
      </c>
      <c r="I79" s="3787">
        <v>162.23044134892848</v>
      </c>
      <c r="J79" s="3788">
        <v>227.32291030122516</v>
      </c>
      <c r="K79" s="3789">
        <v>281.4179502726966</v>
      </c>
      <c r="L79" s="3790">
        <v>508.74086057392168</v>
      </c>
      <c r="M79" s="3791">
        <v>759.27152927055977</v>
      </c>
      <c r="N79" s="3792">
        <v>77.992601117554557</v>
      </c>
      <c r="O79" s="3788">
        <v>1346.0049909620361</v>
      </c>
      <c r="P79" s="3" t="s">
        <v>5103</v>
      </c>
      <c r="Q79" s="3013" t="s">
        <v>6469</v>
      </c>
    </row>
    <row r="80" spans="1:17">
      <c r="A80" s="3" t="s">
        <v>5103</v>
      </c>
      <c r="B80" s="3" t="s">
        <v>6493</v>
      </c>
      <c r="C80" s="3823" t="s">
        <v>6494</v>
      </c>
      <c r="D80" s="3794" t="s">
        <v>1309</v>
      </c>
      <c r="E80" s="3795">
        <v>7471.40823</v>
      </c>
      <c r="F80" s="3795">
        <v>7561.7543000000005</v>
      </c>
      <c r="G80" s="3795">
        <v>7166.1389890000009</v>
      </c>
      <c r="H80" s="3796">
        <v>28.129619649267632</v>
      </c>
      <c r="I80" s="3797">
        <v>70.107658906325213</v>
      </c>
      <c r="J80" s="3798">
        <v>98.237278555592837</v>
      </c>
      <c r="K80" s="3799">
        <v>121.61437461296597</v>
      </c>
      <c r="L80" s="3800">
        <v>219.85165316855881</v>
      </c>
      <c r="M80" s="3801">
        <v>69.710150358745707</v>
      </c>
      <c r="N80" s="3802">
        <v>7.1691845887823575</v>
      </c>
      <c r="O80" s="3798">
        <v>296.73098811608685</v>
      </c>
      <c r="P80" s="3" t="s">
        <v>5103</v>
      </c>
      <c r="Q80" s="3013" t="s">
        <v>6470</v>
      </c>
    </row>
    <row r="81" spans="1:17">
      <c r="A81" s="3" t="s">
        <v>5103</v>
      </c>
      <c r="B81" s="3" t="s">
        <v>6495</v>
      </c>
      <c r="C81" s="3793"/>
      <c r="D81" s="3794" t="s">
        <v>1310</v>
      </c>
      <c r="E81" s="3795">
        <v>12.840399999999999</v>
      </c>
      <c r="F81" s="3795">
        <v>12.408049999999999</v>
      </c>
      <c r="G81" s="3795">
        <v>271.14152599999994</v>
      </c>
      <c r="H81" s="3796">
        <v>1.1641237984356778</v>
      </c>
      <c r="I81" s="3797">
        <v>2.9013543447463226</v>
      </c>
      <c r="J81" s="3798">
        <v>4.0654781431820002</v>
      </c>
      <c r="K81" s="3799">
        <v>5.0329222180759681</v>
      </c>
      <c r="L81" s="3800">
        <v>9.0984003612579691</v>
      </c>
      <c r="M81" s="3801">
        <v>2.6315098470041902</v>
      </c>
      <c r="N81" s="3802">
        <v>0.26536201046702795</v>
      </c>
      <c r="O81" s="3798">
        <v>11.995272218729188</v>
      </c>
      <c r="P81" s="3" t="s">
        <v>5103</v>
      </c>
      <c r="Q81" s="3013" t="s">
        <v>6471</v>
      </c>
    </row>
    <row r="82" spans="1:17">
      <c r="A82" s="3" t="s">
        <v>5103</v>
      </c>
      <c r="B82" s="3" t="s">
        <v>6496</v>
      </c>
      <c r="C82" s="3793"/>
      <c r="D82" s="3794" t="s">
        <v>1311</v>
      </c>
      <c r="E82" s="3795">
        <v>0.1</v>
      </c>
      <c r="F82" s="3795">
        <v>0.1</v>
      </c>
      <c r="G82" s="3795">
        <v>11.316404</v>
      </c>
      <c r="H82" s="3796">
        <v>0</v>
      </c>
      <c r="I82" s="3797">
        <v>0</v>
      </c>
      <c r="J82" s="3798">
        <v>0</v>
      </c>
      <c r="K82" s="3799">
        <v>0</v>
      </c>
      <c r="L82" s="3800">
        <v>0</v>
      </c>
      <c r="M82" s="3801">
        <v>0.1152550609538255</v>
      </c>
      <c r="N82" s="3825">
        <v>1.2134013809563702E-2</v>
      </c>
      <c r="O82" s="3798">
        <v>0.1273890747633892</v>
      </c>
      <c r="P82" s="3" t="s">
        <v>5103</v>
      </c>
      <c r="Q82" s="3013" t="s">
        <v>6472</v>
      </c>
    </row>
    <row r="83" spans="1:17">
      <c r="A83" s="3"/>
      <c r="B83" s="3"/>
      <c r="C83" s="3813"/>
      <c r="D83" s="3814" t="s">
        <v>6490</v>
      </c>
      <c r="E83" s="3815"/>
      <c r="F83" s="3815"/>
      <c r="G83" s="3815">
        <v>85912.222979999991</v>
      </c>
      <c r="H83" s="3816">
        <v>94.386212399999991</v>
      </c>
      <c r="I83" s="3817">
        <v>235.23945460000002</v>
      </c>
      <c r="J83" s="3818">
        <v>329.62566700000002</v>
      </c>
      <c r="K83" s="3819">
        <v>408.0652471037385</v>
      </c>
      <c r="L83" s="3820">
        <v>737.69091410373846</v>
      </c>
      <c r="M83" s="3821">
        <v>831.7284445372635</v>
      </c>
      <c r="N83" s="3822">
        <v>85.439281730613502</v>
      </c>
      <c r="O83" s="3818">
        <v>1654.8586403716156</v>
      </c>
      <c r="P83" s="3"/>
      <c r="Q83" s="3"/>
    </row>
    <row r="84" spans="1:17">
      <c r="A84" s="3" t="s">
        <v>5103</v>
      </c>
      <c r="B84" s="3" t="s">
        <v>6468</v>
      </c>
      <c r="C84" s="3837" t="s">
        <v>2857</v>
      </c>
      <c r="D84" s="3838" t="s">
        <v>6499</v>
      </c>
      <c r="E84" s="3785">
        <v>54.764489999999995</v>
      </c>
      <c r="F84" s="3785">
        <v>54.764489999999995</v>
      </c>
      <c r="G84" s="3785">
        <v>3766.7793100000004</v>
      </c>
      <c r="H84" s="3786">
        <v>35.648720206821515</v>
      </c>
      <c r="I84" s="3787">
        <v>12.602631966376279</v>
      </c>
      <c r="J84" s="3788">
        <v>48.251352173197795</v>
      </c>
      <c r="K84" s="3789">
        <v>16.317891620789659</v>
      </c>
      <c r="L84" s="3790">
        <v>64.569243793987454</v>
      </c>
      <c r="M84" s="3791">
        <v>22.376303484984771</v>
      </c>
      <c r="N84" s="3826">
        <v>0</v>
      </c>
      <c r="O84" s="3788">
        <v>86.945547278972228</v>
      </c>
      <c r="P84" s="3" t="s">
        <v>5103</v>
      </c>
      <c r="Q84" s="3" t="s">
        <v>6468</v>
      </c>
    </row>
    <row r="85" spans="1:17">
      <c r="A85" s="3" t="s">
        <v>5103</v>
      </c>
      <c r="B85" s="3" t="s">
        <v>6468</v>
      </c>
      <c r="C85" s="3839"/>
      <c r="D85" s="3840" t="s">
        <v>6503</v>
      </c>
      <c r="E85" s="3805">
        <v>143068.85999999999</v>
      </c>
      <c r="F85" s="3805">
        <v>143068.85999999999</v>
      </c>
      <c r="G85" s="3805">
        <v>179.10378200000002</v>
      </c>
      <c r="H85" s="3806">
        <v>80.6429507931785</v>
      </c>
      <c r="I85" s="3807">
        <v>28.509114033623714</v>
      </c>
      <c r="J85" s="3808">
        <v>109.15206482680222</v>
      </c>
      <c r="K85" s="3809">
        <v>36.913609335460876</v>
      </c>
      <c r="L85" s="3810">
        <v>146.06567416226309</v>
      </c>
      <c r="M85" s="3811">
        <v>32.71223035530214</v>
      </c>
      <c r="N85" s="3812">
        <v>0</v>
      </c>
      <c r="O85" s="3808">
        <v>178.77790451756522</v>
      </c>
      <c r="P85" s="3" t="s">
        <v>5103</v>
      </c>
      <c r="Q85" s="3" t="s">
        <v>6468</v>
      </c>
    </row>
    <row r="86" spans="1:17">
      <c r="A86" s="3"/>
      <c r="B86" s="3"/>
      <c r="C86" s="3841"/>
      <c r="D86" s="3842" t="s">
        <v>6490</v>
      </c>
      <c r="E86" s="3815">
        <v>143123.62448999999</v>
      </c>
      <c r="F86" s="3815">
        <v>143123.62448999999</v>
      </c>
      <c r="G86" s="3815">
        <v>3945.8830920000005</v>
      </c>
      <c r="H86" s="3816">
        <v>116.29167100000001</v>
      </c>
      <c r="I86" s="3817">
        <v>41.111745999999997</v>
      </c>
      <c r="J86" s="3818">
        <v>157.40341699999999</v>
      </c>
      <c r="K86" s="3819">
        <v>53.231500956250535</v>
      </c>
      <c r="L86" s="3820">
        <v>210.63491795625055</v>
      </c>
      <c r="M86" s="3821">
        <v>55.088533840286914</v>
      </c>
      <c r="N86" s="3822">
        <v>0</v>
      </c>
      <c r="O86" s="3818">
        <v>265.72345179653746</v>
      </c>
      <c r="P86" s="3"/>
      <c r="Q86" s="3"/>
    </row>
    <row r="87" spans="1:17">
      <c r="A87" s="3" t="s">
        <v>5103</v>
      </c>
      <c r="B87" s="3013" t="s">
        <v>6497</v>
      </c>
      <c r="C87" s="3783" t="s">
        <v>6498</v>
      </c>
      <c r="D87" s="3784" t="s">
        <v>6499</v>
      </c>
      <c r="E87" s="3785">
        <v>296247.39</v>
      </c>
      <c r="F87" s="3785">
        <v>279847.39</v>
      </c>
      <c r="G87" s="3785">
        <v>5396.6740850000006</v>
      </c>
      <c r="H87" s="3786">
        <v>958.93890700000009</v>
      </c>
      <c r="I87" s="3787">
        <v>548.09634599999993</v>
      </c>
      <c r="J87" s="3788">
        <v>1507.035253</v>
      </c>
      <c r="K87" s="3789">
        <v>364.4989127275594</v>
      </c>
      <c r="L87" s="3790">
        <v>1871.5341657275594</v>
      </c>
      <c r="M87" s="3791">
        <v>92.599477400573804</v>
      </c>
      <c r="N87" s="3826">
        <v>10.689018142499998</v>
      </c>
      <c r="O87" s="3788">
        <v>1974.822661270633</v>
      </c>
      <c r="P87" s="3" t="s">
        <v>5103</v>
      </c>
      <c r="Q87" s="3013" t="s">
        <v>6497</v>
      </c>
    </row>
    <row r="88" spans="1:17">
      <c r="A88" s="3"/>
      <c r="B88" s="3"/>
      <c r="C88" s="3793"/>
      <c r="D88" s="3804" t="s">
        <v>6500</v>
      </c>
      <c r="E88" s="3805"/>
      <c r="F88" s="3805">
        <v>0</v>
      </c>
      <c r="G88" s="3805">
        <v>0</v>
      </c>
      <c r="H88" s="3806"/>
      <c r="I88" s="3807"/>
      <c r="J88" s="3808">
        <v>0</v>
      </c>
      <c r="K88" s="3809">
        <v>0</v>
      </c>
      <c r="L88" s="3810">
        <v>0</v>
      </c>
      <c r="M88" s="3811">
        <v>0</v>
      </c>
      <c r="N88" s="3827">
        <v>0</v>
      </c>
      <c r="O88" s="3808">
        <v>0</v>
      </c>
    </row>
    <row r="89" spans="1:17">
      <c r="A89" s="3"/>
      <c r="B89" s="3"/>
      <c r="C89" s="3813"/>
      <c r="D89" s="3814" t="s">
        <v>6490</v>
      </c>
      <c r="E89" s="3815">
        <v>296247.39</v>
      </c>
      <c r="F89" s="3815">
        <v>279847.39</v>
      </c>
      <c r="G89" s="3815">
        <v>5396.6740850000006</v>
      </c>
      <c r="H89" s="3816">
        <v>958.93890700000009</v>
      </c>
      <c r="I89" s="3817">
        <v>548.09634599999993</v>
      </c>
      <c r="J89" s="3818">
        <v>1507.035253</v>
      </c>
      <c r="K89" s="3819">
        <v>364.4989127275594</v>
      </c>
      <c r="L89" s="3820">
        <v>1871.5341657275594</v>
      </c>
      <c r="M89" s="3821">
        <v>92.599477400573804</v>
      </c>
      <c r="N89" s="3828">
        <v>10.689018142499998</v>
      </c>
      <c r="O89" s="3818">
        <v>1974.822661270633</v>
      </c>
    </row>
    <row r="90" spans="1:17" ht="17.25" thickBot="1">
      <c r="A90" s="3"/>
      <c r="B90" s="3"/>
      <c r="C90" s="5380" t="s">
        <v>6501</v>
      </c>
      <c r="D90" s="5381"/>
      <c r="E90" s="3829"/>
      <c r="F90" s="3829"/>
      <c r="G90" s="3829">
        <v>213597.41266100001</v>
      </c>
      <c r="H90" s="3830">
        <v>1606.07834748</v>
      </c>
      <c r="I90" s="3831">
        <v>1463.0669475200002</v>
      </c>
      <c r="J90" s="3832">
        <v>3069.1452950000003</v>
      </c>
      <c r="K90" s="3833">
        <v>2210.0464469999997</v>
      </c>
      <c r="L90" s="3834">
        <v>5279.191742</v>
      </c>
      <c r="M90" s="3835">
        <v>2123.9596480000005</v>
      </c>
      <c r="N90" s="3836">
        <v>214.345572</v>
      </c>
      <c r="O90" s="3832">
        <v>7617.4969619999993</v>
      </c>
    </row>
    <row r="91" spans="1:17">
      <c r="A91" s="3"/>
      <c r="B91" s="3"/>
      <c r="C91" s="1" t="s">
        <v>6502</v>
      </c>
      <c r="D91" s="3"/>
      <c r="E91" s="3"/>
      <c r="F91" s="3"/>
      <c r="G91" s="3"/>
      <c r="H91" s="3"/>
      <c r="I91" s="3"/>
      <c r="J91" s="3"/>
      <c r="K91" s="3"/>
      <c r="L91" s="3"/>
      <c r="M91" s="3"/>
      <c r="N91" s="3"/>
      <c r="O91" s="3"/>
    </row>
  </sheetData>
  <mergeCells count="40">
    <mergeCell ref="C90:D90"/>
    <mergeCell ref="C66:D66"/>
    <mergeCell ref="C70:C72"/>
    <mergeCell ref="D70:D72"/>
    <mergeCell ref="H70:O70"/>
    <mergeCell ref="H71:J71"/>
    <mergeCell ref="K71:K72"/>
    <mergeCell ref="L71:L72"/>
    <mergeCell ref="M71:M72"/>
    <mergeCell ref="N71:N72"/>
    <mergeCell ref="O71:O72"/>
    <mergeCell ref="C43:D43"/>
    <mergeCell ref="C46:C48"/>
    <mergeCell ref="D46:D48"/>
    <mergeCell ref="H46:O46"/>
    <mergeCell ref="H47:J47"/>
    <mergeCell ref="K47:K48"/>
    <mergeCell ref="L47:L48"/>
    <mergeCell ref="M47:M48"/>
    <mergeCell ref="N47:N48"/>
    <mergeCell ref="O47:O48"/>
    <mergeCell ref="C20:D20"/>
    <mergeCell ref="C23:C25"/>
    <mergeCell ref="D23:D25"/>
    <mergeCell ref="H23:O23"/>
    <mergeCell ref="H24:J24"/>
    <mergeCell ref="K24:K25"/>
    <mergeCell ref="L24:L25"/>
    <mergeCell ref="M24:M25"/>
    <mergeCell ref="N24:N25"/>
    <mergeCell ref="O24:O25"/>
    <mergeCell ref="C3:C5"/>
    <mergeCell ref="D3:D5"/>
    <mergeCell ref="H3:O3"/>
    <mergeCell ref="H4:J4"/>
    <mergeCell ref="K4:K5"/>
    <mergeCell ref="L4:L5"/>
    <mergeCell ref="M4:M5"/>
    <mergeCell ref="N4:N5"/>
    <mergeCell ref="O4:O5"/>
  </mergeCells>
  <phoneticPr fontId="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BB2D-FFA7-4B86-AE16-EA3DAEC5550C}">
  <sheetPr codeName="Sheet51"/>
  <dimension ref="B2:U41"/>
  <sheetViews>
    <sheetView workbookViewId="0"/>
  </sheetViews>
  <sheetFormatPr defaultRowHeight="16.5"/>
  <sheetData>
    <row r="2" spans="2:21" ht="22.5">
      <c r="B2" s="5382" t="s">
        <v>6653</v>
      </c>
      <c r="C2" s="5382"/>
      <c r="D2" s="5382"/>
      <c r="E2" s="5382"/>
      <c r="F2" s="5382"/>
      <c r="G2" s="5382"/>
      <c r="H2" s="5382"/>
      <c r="I2" s="5382"/>
      <c r="J2" s="5382"/>
      <c r="K2" s="5382"/>
      <c r="L2" s="5382"/>
      <c r="M2" s="5382"/>
      <c r="N2" s="5382"/>
      <c r="O2" s="5382"/>
      <c r="P2" s="5382"/>
      <c r="Q2" s="5382"/>
      <c r="R2" s="5382"/>
      <c r="S2" s="4284"/>
      <c r="T2" s="4284"/>
      <c r="U2" s="4284"/>
    </row>
    <row r="3" spans="2:21" ht="20.25">
      <c r="B3" s="5383" t="s">
        <v>6665</v>
      </c>
      <c r="C3" s="5383"/>
      <c r="D3" s="5383"/>
      <c r="E3" s="5383"/>
      <c r="F3" s="5383"/>
      <c r="G3" s="5383"/>
      <c r="H3" s="5383"/>
      <c r="I3" s="5383"/>
      <c r="J3" s="5383"/>
      <c r="K3" s="5383"/>
      <c r="L3" s="5383"/>
      <c r="M3" s="5383"/>
      <c r="N3" s="5383"/>
      <c r="O3" s="5383"/>
      <c r="P3" s="5383"/>
      <c r="Q3" s="5383"/>
      <c r="R3" s="5383"/>
      <c r="S3" s="4285"/>
      <c r="T3" s="4285"/>
      <c r="U3" s="4285"/>
    </row>
    <row r="4" spans="2:21">
      <c r="B4" s="4286"/>
      <c r="C4" s="4286"/>
      <c r="D4" s="4286"/>
      <c r="E4" s="4286"/>
      <c r="F4" s="4286"/>
      <c r="G4" s="4286"/>
      <c r="H4" s="4286"/>
      <c r="I4" s="4286"/>
      <c r="J4" s="4286"/>
      <c r="K4" s="4286"/>
      <c r="L4" s="4286"/>
      <c r="M4" s="4286"/>
      <c r="N4" s="4286"/>
      <c r="O4" s="4286"/>
      <c r="P4" s="4286"/>
      <c r="Q4" s="4286"/>
      <c r="R4" s="1133" t="s">
        <v>2649</v>
      </c>
      <c r="S4" s="4286"/>
      <c r="T4" s="4286"/>
      <c r="U4" s="4286"/>
    </row>
    <row r="5" spans="2:21">
      <c r="B5" s="1140" t="s">
        <v>2653</v>
      </c>
      <c r="C5" s="1141" t="s">
        <v>1933</v>
      </c>
      <c r="D5" s="4287" t="s">
        <v>2710</v>
      </c>
      <c r="E5" s="4288" t="s">
        <v>2711</v>
      </c>
      <c r="F5" s="4288" t="s">
        <v>2712</v>
      </c>
      <c r="G5" s="4288" t="s">
        <v>2713</v>
      </c>
      <c r="H5" s="4288" t="s">
        <v>2714</v>
      </c>
      <c r="I5" s="4288" t="s">
        <v>2715</v>
      </c>
      <c r="J5" s="4288" t="s">
        <v>2716</v>
      </c>
      <c r="K5" s="4288" t="s">
        <v>2717</v>
      </c>
      <c r="L5" s="4288" t="s">
        <v>2718</v>
      </c>
      <c r="M5" s="4288" t="s">
        <v>2719</v>
      </c>
      <c r="N5" s="4288" t="s">
        <v>2720</v>
      </c>
      <c r="O5" s="4289" t="s">
        <v>2721</v>
      </c>
      <c r="P5" s="1142" t="s">
        <v>1934</v>
      </c>
      <c r="Q5" s="1143" t="s">
        <v>1935</v>
      </c>
      <c r="R5" s="1141" t="s">
        <v>6509</v>
      </c>
      <c r="S5" s="4285"/>
      <c r="T5" s="1142" t="s">
        <v>6652</v>
      </c>
      <c r="U5" s="4290" t="s">
        <v>6655</v>
      </c>
    </row>
    <row r="6" spans="2:21">
      <c r="B6" s="1146" t="s">
        <v>2658</v>
      </c>
      <c r="C6" s="1147">
        <v>1292550.0200726071</v>
      </c>
      <c r="D6" s="4291">
        <v>110151.49532022954</v>
      </c>
      <c r="E6" s="4292">
        <v>111515.54970088179</v>
      </c>
      <c r="F6" s="4292">
        <v>111939.03661733001</v>
      </c>
      <c r="G6" s="4292">
        <v>112541.42112969961</v>
      </c>
      <c r="H6" s="4292">
        <v>111860.94396918062</v>
      </c>
      <c r="I6" s="4292">
        <v>112128.37601315854</v>
      </c>
      <c r="J6" s="4292">
        <v>112795.21431889328</v>
      </c>
      <c r="K6" s="4292">
        <v>121653.78863306374</v>
      </c>
      <c r="L6" s="4292">
        <v>113373.09965446182</v>
      </c>
      <c r="M6" s="4292">
        <v>113156.37874457146</v>
      </c>
      <c r="N6" s="4292">
        <v>113114.118</v>
      </c>
      <c r="O6" s="4293">
        <v>117787.83789852964</v>
      </c>
      <c r="P6" s="1147">
        <v>1362017.26</v>
      </c>
      <c r="Q6" s="1147">
        <v>1436200.3032</v>
      </c>
      <c r="R6" s="1147">
        <v>1515545.9060480003</v>
      </c>
      <c r="S6" s="4294"/>
      <c r="T6" s="4295">
        <v>69467.239927392919</v>
      </c>
      <c r="U6" s="4296">
        <v>1.0537443339511849</v>
      </c>
    </row>
    <row r="7" spans="2:21">
      <c r="B7" s="1146" t="s">
        <v>2666</v>
      </c>
      <c r="C7" s="1147">
        <v>300411.23308003135</v>
      </c>
      <c r="D7" s="4291">
        <v>23928.153999999999</v>
      </c>
      <c r="E7" s="4292">
        <v>23928.153999999999</v>
      </c>
      <c r="F7" s="4292">
        <v>23928.153999999999</v>
      </c>
      <c r="G7" s="4292">
        <v>23928.153999999999</v>
      </c>
      <c r="H7" s="4292">
        <v>23928.153999999999</v>
      </c>
      <c r="I7" s="4292">
        <v>23928.153999999999</v>
      </c>
      <c r="J7" s="4292">
        <v>23928.153999999999</v>
      </c>
      <c r="K7" s="4292">
        <v>23928.153999999999</v>
      </c>
      <c r="L7" s="4292">
        <v>23928.153999999999</v>
      </c>
      <c r="M7" s="4292">
        <v>23928.153999999999</v>
      </c>
      <c r="N7" s="4292">
        <v>23928.153999999999</v>
      </c>
      <c r="O7" s="4293">
        <v>23928.153999999999</v>
      </c>
      <c r="P7" s="1147">
        <v>287137.848</v>
      </c>
      <c r="Q7" s="1147">
        <v>299394.72191999998</v>
      </c>
      <c r="R7" s="1147">
        <v>311458.1707968</v>
      </c>
      <c r="S7" s="4294"/>
      <c r="T7" s="4295">
        <v>-13273.385080031352</v>
      </c>
      <c r="U7" s="4296">
        <v>0.95581594954375348</v>
      </c>
    </row>
    <row r="8" spans="2:21">
      <c r="B8" s="1146" t="s">
        <v>2672</v>
      </c>
      <c r="C8" s="1147">
        <v>0</v>
      </c>
      <c r="D8" s="4291">
        <v>0</v>
      </c>
      <c r="E8" s="4292">
        <v>0</v>
      </c>
      <c r="F8" s="4292">
        <v>0</v>
      </c>
      <c r="G8" s="4292">
        <v>0</v>
      </c>
      <c r="H8" s="4292">
        <v>0</v>
      </c>
      <c r="I8" s="4292">
        <v>0</v>
      </c>
      <c r="J8" s="4292">
        <v>0</v>
      </c>
      <c r="K8" s="4292">
        <v>0</v>
      </c>
      <c r="L8" s="4292">
        <v>0</v>
      </c>
      <c r="M8" s="4292">
        <v>0</v>
      </c>
      <c r="N8" s="4292">
        <v>0</v>
      </c>
      <c r="O8" s="4293">
        <v>0</v>
      </c>
      <c r="P8" s="1147">
        <v>0</v>
      </c>
      <c r="Q8" s="1147">
        <v>0</v>
      </c>
      <c r="R8" s="1147">
        <v>0</v>
      </c>
      <c r="S8" s="4294"/>
      <c r="T8" s="4295">
        <v>0</v>
      </c>
      <c r="U8" s="4296" t="s">
        <v>3953</v>
      </c>
    </row>
    <row r="9" spans="2:21">
      <c r="B9" s="1146" t="s">
        <v>2677</v>
      </c>
      <c r="C9" s="1147">
        <v>151305.16006329548</v>
      </c>
      <c r="D9" s="4291">
        <v>14232.230597222222</v>
      </c>
      <c r="E9" s="4292">
        <v>14232.230597222222</v>
      </c>
      <c r="F9" s="4292">
        <v>14232.230597222222</v>
      </c>
      <c r="G9" s="4292">
        <v>14232.230597222222</v>
      </c>
      <c r="H9" s="4292">
        <v>14232.230597222222</v>
      </c>
      <c r="I9" s="4292">
        <v>14232.230597222222</v>
      </c>
      <c r="J9" s="4292">
        <v>14232.230597222222</v>
      </c>
      <c r="K9" s="4292">
        <v>14232.230597222222</v>
      </c>
      <c r="L9" s="4292">
        <v>14232.230597222222</v>
      </c>
      <c r="M9" s="4292">
        <v>14232.230597222222</v>
      </c>
      <c r="N9" s="4292">
        <v>14232.230597222222</v>
      </c>
      <c r="O9" s="4293">
        <v>14232.230597222222</v>
      </c>
      <c r="P9" s="1147">
        <v>170786.76716666666</v>
      </c>
      <c r="Q9" s="1147">
        <v>169715.38275999998</v>
      </c>
      <c r="R9" s="1147">
        <v>178546.85813706668</v>
      </c>
      <c r="S9" s="4294"/>
      <c r="T9" s="4295">
        <v>19481.607103371178</v>
      </c>
      <c r="U9" s="4296">
        <v>1.1287570568989282</v>
      </c>
    </row>
    <row r="10" spans="2:21">
      <c r="B10" s="1175" t="s">
        <v>2680</v>
      </c>
      <c r="C10" s="1176">
        <v>1744266.4132159338</v>
      </c>
      <c r="D10" s="4297">
        <v>148311.87991745176</v>
      </c>
      <c r="E10" s="4298">
        <v>149675.93429810402</v>
      </c>
      <c r="F10" s="4298">
        <v>150099.42121455225</v>
      </c>
      <c r="G10" s="4298">
        <v>150701.80572692183</v>
      </c>
      <c r="H10" s="4298">
        <v>150021.32856640284</v>
      </c>
      <c r="I10" s="4298">
        <v>150288.76061038076</v>
      </c>
      <c r="J10" s="4298">
        <v>150955.5989161155</v>
      </c>
      <c r="K10" s="4298">
        <v>159814.17323028596</v>
      </c>
      <c r="L10" s="4298">
        <v>151533.48425168404</v>
      </c>
      <c r="M10" s="4298">
        <v>151316.76334179367</v>
      </c>
      <c r="N10" s="4298">
        <v>151274.50259722222</v>
      </c>
      <c r="O10" s="4299">
        <v>155948.22249575186</v>
      </c>
      <c r="P10" s="1176">
        <v>1819941.8751666667</v>
      </c>
      <c r="Q10" s="1176">
        <v>1905310.4078799998</v>
      </c>
      <c r="R10" s="1176">
        <v>2005550.934981867</v>
      </c>
      <c r="S10" s="4294"/>
      <c r="T10" s="4300">
        <v>75675.461950732861</v>
      </c>
      <c r="U10" s="4301">
        <v>1.0433852657927458</v>
      </c>
    </row>
    <row r="11" spans="2:21">
      <c r="B11" s="4302" t="s">
        <v>1388</v>
      </c>
      <c r="C11" s="4303">
        <v>347533.56282508967</v>
      </c>
      <c r="D11" s="4304">
        <v>24056.961588655711</v>
      </c>
      <c r="E11" s="4305">
        <v>46856.961588655715</v>
      </c>
      <c r="F11" s="4305">
        <v>29133.481588655715</v>
      </c>
      <c r="G11" s="4305">
        <v>27972.977439985545</v>
      </c>
      <c r="H11" s="4305">
        <v>36959.834128604874</v>
      </c>
      <c r="I11" s="4305">
        <v>25609.834128604867</v>
      </c>
      <c r="J11" s="4305">
        <v>24402.024787354865</v>
      </c>
      <c r="K11" s="4305">
        <v>44502.024787354865</v>
      </c>
      <c r="L11" s="4305">
        <v>28452.024787354865</v>
      </c>
      <c r="M11" s="4305">
        <v>24402.024787354865</v>
      </c>
      <c r="N11" s="4305">
        <v>25752.024787354865</v>
      </c>
      <c r="O11" s="4306">
        <v>30752.024787354865</v>
      </c>
      <c r="P11" s="4303">
        <v>368852.19918729161</v>
      </c>
      <c r="Q11" s="4303">
        <v>374024.28538747702</v>
      </c>
      <c r="R11" s="4303">
        <v>375985.92248978035</v>
      </c>
      <c r="S11" s="4294"/>
      <c r="T11" s="4307">
        <v>21318.636362201942</v>
      </c>
      <c r="U11" s="4308">
        <v>1.0613426691479908</v>
      </c>
    </row>
    <row r="12" spans="2:21">
      <c r="B12" s="1179" t="s">
        <v>1389</v>
      </c>
      <c r="C12" s="1147">
        <v>77798.056119205197</v>
      </c>
      <c r="D12" s="4291">
        <v>6815.7379342723016</v>
      </c>
      <c r="E12" s="4292">
        <v>6815.7379342723016</v>
      </c>
      <c r="F12" s="4292">
        <v>6815.7379342723016</v>
      </c>
      <c r="G12" s="4292">
        <v>6815.7379342723016</v>
      </c>
      <c r="H12" s="4292">
        <v>6815.7379342723016</v>
      </c>
      <c r="I12" s="4292">
        <v>6815.7379342723016</v>
      </c>
      <c r="J12" s="4292">
        <v>6815.7379342723016</v>
      </c>
      <c r="K12" s="4292">
        <v>6815.7379342723016</v>
      </c>
      <c r="L12" s="4292">
        <v>6815.7379342723016</v>
      </c>
      <c r="M12" s="4292">
        <v>6815.7379342723016</v>
      </c>
      <c r="N12" s="4292">
        <v>6815.7379342723016</v>
      </c>
      <c r="O12" s="4293">
        <v>6815.7379342723016</v>
      </c>
      <c r="P12" s="1147">
        <v>81788.855211267612</v>
      </c>
      <c r="Q12" s="1147">
        <v>81788.855211267612</v>
      </c>
      <c r="R12" s="1147">
        <v>81788.855211267612</v>
      </c>
      <c r="S12" s="4294"/>
      <c r="T12" s="4307">
        <v>3990.7990920624143</v>
      </c>
      <c r="U12" s="4296">
        <v>1.0512968998344581</v>
      </c>
    </row>
    <row r="13" spans="2:21">
      <c r="B13" s="1179" t="s">
        <v>1392</v>
      </c>
      <c r="C13" s="1147">
        <v>127477.37626110518</v>
      </c>
      <c r="D13" s="4291">
        <v>9300</v>
      </c>
      <c r="E13" s="4292">
        <v>17400</v>
      </c>
      <c r="F13" s="4292">
        <v>9300</v>
      </c>
      <c r="G13" s="4292">
        <v>9300</v>
      </c>
      <c r="H13" s="4292">
        <v>9300</v>
      </c>
      <c r="I13" s="4292">
        <v>9300</v>
      </c>
      <c r="J13" s="4292">
        <v>9300</v>
      </c>
      <c r="K13" s="4292">
        <v>9300</v>
      </c>
      <c r="L13" s="4292">
        <v>17400</v>
      </c>
      <c r="M13" s="4292">
        <v>9300</v>
      </c>
      <c r="N13" s="4292">
        <v>9300</v>
      </c>
      <c r="O13" s="4293">
        <v>9300</v>
      </c>
      <c r="P13" s="1147">
        <v>127800</v>
      </c>
      <c r="Q13" s="1147">
        <v>127800</v>
      </c>
      <c r="R13" s="1147">
        <v>127800</v>
      </c>
      <c r="S13" s="4294"/>
      <c r="T13" s="4295">
        <v>322.62373889482114</v>
      </c>
      <c r="U13" s="4296">
        <v>1.0025308313393115</v>
      </c>
    </row>
    <row r="14" spans="2:21">
      <c r="B14" s="1179" t="s">
        <v>1390</v>
      </c>
      <c r="C14" s="1183">
        <v>16204.680569284088</v>
      </c>
      <c r="D14" s="4291">
        <v>1409</v>
      </c>
      <c r="E14" s="4292">
        <v>1409</v>
      </c>
      <c r="F14" s="4292">
        <v>1409</v>
      </c>
      <c r="G14" s="4292">
        <v>1409</v>
      </c>
      <c r="H14" s="4292">
        <v>1409</v>
      </c>
      <c r="I14" s="4292">
        <v>1409</v>
      </c>
      <c r="J14" s="4292">
        <v>1409</v>
      </c>
      <c r="K14" s="4292">
        <v>1409</v>
      </c>
      <c r="L14" s="4292">
        <v>1409</v>
      </c>
      <c r="M14" s="4292">
        <v>1409</v>
      </c>
      <c r="N14" s="4292">
        <v>1409</v>
      </c>
      <c r="O14" s="4293">
        <v>1409</v>
      </c>
      <c r="P14" s="1147">
        <v>16908</v>
      </c>
      <c r="Q14" s="1147">
        <v>16908</v>
      </c>
      <c r="R14" s="1147">
        <v>16908</v>
      </c>
      <c r="S14" s="4309"/>
      <c r="T14" s="4307">
        <v>703.31943071591195</v>
      </c>
      <c r="U14" s="4310">
        <v>1.0434022397238147</v>
      </c>
    </row>
    <row r="15" spans="2:21">
      <c r="B15" s="1179" t="s">
        <v>1379</v>
      </c>
      <c r="C15" s="1183">
        <v>0</v>
      </c>
      <c r="D15" s="4291">
        <v>0</v>
      </c>
      <c r="E15" s="4292">
        <v>0</v>
      </c>
      <c r="F15" s="4292">
        <v>0</v>
      </c>
      <c r="G15" s="4292">
        <v>0</v>
      </c>
      <c r="H15" s="4292">
        <v>0</v>
      </c>
      <c r="I15" s="4292">
        <v>0</v>
      </c>
      <c r="J15" s="4292">
        <v>0</v>
      </c>
      <c r="K15" s="4292">
        <v>0</v>
      </c>
      <c r="L15" s="4292">
        <v>0</v>
      </c>
      <c r="M15" s="4292">
        <v>0</v>
      </c>
      <c r="N15" s="4292">
        <v>0</v>
      </c>
      <c r="O15" s="4293">
        <v>0</v>
      </c>
      <c r="P15" s="1147">
        <v>0</v>
      </c>
      <c r="Q15" s="1147">
        <v>0</v>
      </c>
      <c r="R15" s="1147">
        <v>0</v>
      </c>
      <c r="S15" s="4309"/>
      <c r="T15" s="4307">
        <v>0</v>
      </c>
      <c r="U15" s="4310" t="s">
        <v>3953</v>
      </c>
    </row>
    <row r="16" spans="2:21">
      <c r="B16" s="1179" t="s">
        <v>2633</v>
      </c>
      <c r="C16" s="1183">
        <v>0</v>
      </c>
      <c r="D16" s="4291">
        <v>0</v>
      </c>
      <c r="E16" s="4292">
        <v>0</v>
      </c>
      <c r="F16" s="4292">
        <v>0</v>
      </c>
      <c r="G16" s="4292">
        <v>0</v>
      </c>
      <c r="H16" s="4292">
        <v>0</v>
      </c>
      <c r="I16" s="4292">
        <v>0</v>
      </c>
      <c r="J16" s="4292">
        <v>0</v>
      </c>
      <c r="K16" s="4292">
        <v>0</v>
      </c>
      <c r="L16" s="4292">
        <v>0</v>
      </c>
      <c r="M16" s="4292">
        <v>0</v>
      </c>
      <c r="N16" s="4292">
        <v>0</v>
      </c>
      <c r="O16" s="4293">
        <v>0</v>
      </c>
      <c r="P16" s="1147">
        <v>0</v>
      </c>
      <c r="Q16" s="1147">
        <v>0</v>
      </c>
      <c r="R16" s="1147">
        <v>0</v>
      </c>
      <c r="S16" s="4309"/>
      <c r="T16" s="4307">
        <v>0</v>
      </c>
      <c r="U16" s="4310" t="s">
        <v>3953</v>
      </c>
    </row>
    <row r="17" spans="2:21">
      <c r="B17" s="1179" t="s">
        <v>2703</v>
      </c>
      <c r="C17" s="1183">
        <v>757.6</v>
      </c>
      <c r="D17" s="4291">
        <v>8.3333333333333339</v>
      </c>
      <c r="E17" s="4292">
        <v>8.3333333333333339</v>
      </c>
      <c r="F17" s="4292">
        <v>8.3333333333333339</v>
      </c>
      <c r="G17" s="4292">
        <v>183.33333333333334</v>
      </c>
      <c r="H17" s="4292">
        <v>183.33333333333334</v>
      </c>
      <c r="I17" s="4292">
        <v>183.33333333333334</v>
      </c>
      <c r="J17" s="4292">
        <v>8.3333333333333339</v>
      </c>
      <c r="K17" s="4292">
        <v>8.3333333333333339</v>
      </c>
      <c r="L17" s="4292">
        <v>8.3333333333333339</v>
      </c>
      <c r="M17" s="4292">
        <v>8.3333333333333339</v>
      </c>
      <c r="N17" s="4292">
        <v>8.3333333333333339</v>
      </c>
      <c r="O17" s="4293">
        <v>8.3333333333333339</v>
      </c>
      <c r="P17" s="1147">
        <v>625.00000000000023</v>
      </c>
      <c r="Q17" s="1147">
        <v>625</v>
      </c>
      <c r="R17" s="1147">
        <v>625</v>
      </c>
      <c r="S17" s="4309"/>
      <c r="T17" s="4307">
        <v>-132.5999999999998</v>
      </c>
      <c r="U17" s="4310">
        <v>0.82497360084477322</v>
      </c>
    </row>
    <row r="18" spans="2:21">
      <c r="B18" s="1179" t="s">
        <v>1381</v>
      </c>
      <c r="C18" s="1183">
        <v>9794.5143042323616</v>
      </c>
      <c r="D18" s="4291">
        <v>659.84733333333338</v>
      </c>
      <c r="E18" s="4292">
        <v>659.84733333333338</v>
      </c>
      <c r="F18" s="4292">
        <v>659.84733333333338</v>
      </c>
      <c r="G18" s="4292">
        <v>659.84733333333338</v>
      </c>
      <c r="H18" s="4292">
        <v>659.84733333333338</v>
      </c>
      <c r="I18" s="4292">
        <v>659.84733333333338</v>
      </c>
      <c r="J18" s="4292">
        <v>659.84733333333338</v>
      </c>
      <c r="K18" s="4292">
        <v>659.84733333333338</v>
      </c>
      <c r="L18" s="4292">
        <v>659.84733333333338</v>
      </c>
      <c r="M18" s="4292">
        <v>659.84733333333338</v>
      </c>
      <c r="N18" s="4292">
        <v>659.84733333333338</v>
      </c>
      <c r="O18" s="4293">
        <v>659.84733333333338</v>
      </c>
      <c r="P18" s="1147">
        <v>7918.1679999999988</v>
      </c>
      <c r="Q18" s="1147">
        <v>3813.6679999999997</v>
      </c>
      <c r="R18" s="1147">
        <v>2357</v>
      </c>
      <c r="S18" s="4309"/>
      <c r="T18" s="4307">
        <v>-1876.3463042323629</v>
      </c>
      <c r="U18" s="4310">
        <v>0.80842885660787034</v>
      </c>
    </row>
    <row r="19" spans="2:21">
      <c r="B19" s="1179" t="s">
        <v>2371</v>
      </c>
      <c r="C19" s="1183">
        <v>4256.2790457890051</v>
      </c>
      <c r="D19" s="4291">
        <v>319.5</v>
      </c>
      <c r="E19" s="4292">
        <v>319.5</v>
      </c>
      <c r="F19" s="4292">
        <v>319.5</v>
      </c>
      <c r="G19" s="4292">
        <v>319.5</v>
      </c>
      <c r="H19" s="4292">
        <v>319.5</v>
      </c>
      <c r="I19" s="4292">
        <v>319.5</v>
      </c>
      <c r="J19" s="4292">
        <v>319.5</v>
      </c>
      <c r="K19" s="4292">
        <v>319.5</v>
      </c>
      <c r="L19" s="4292">
        <v>319.5</v>
      </c>
      <c r="M19" s="4292">
        <v>319.5</v>
      </c>
      <c r="N19" s="4292">
        <v>319.5</v>
      </c>
      <c r="O19" s="4293">
        <v>319.5</v>
      </c>
      <c r="P19" s="1147">
        <v>3834</v>
      </c>
      <c r="Q19" s="1147">
        <v>3834</v>
      </c>
      <c r="R19" s="1147">
        <v>3834</v>
      </c>
      <c r="S19" s="4309"/>
      <c r="T19" s="4307">
        <v>-422.27904578900507</v>
      </c>
      <c r="U19" s="4310">
        <v>0.90078680433164005</v>
      </c>
    </row>
    <row r="20" spans="2:21">
      <c r="B20" s="1179" t="s">
        <v>1383</v>
      </c>
      <c r="C20" s="1183">
        <v>1850.4187594584748</v>
      </c>
      <c r="D20" s="4291">
        <v>250</v>
      </c>
      <c r="E20" s="4292">
        <v>250</v>
      </c>
      <c r="F20" s="4292">
        <v>250</v>
      </c>
      <c r="G20" s="4292">
        <v>250</v>
      </c>
      <c r="H20" s="4292">
        <v>250</v>
      </c>
      <c r="I20" s="4292">
        <v>250</v>
      </c>
      <c r="J20" s="4292">
        <v>250</v>
      </c>
      <c r="K20" s="4292">
        <v>250</v>
      </c>
      <c r="L20" s="4292">
        <v>250</v>
      </c>
      <c r="M20" s="4292">
        <v>250</v>
      </c>
      <c r="N20" s="4292">
        <v>250</v>
      </c>
      <c r="O20" s="4293">
        <v>250</v>
      </c>
      <c r="P20" s="1147">
        <v>3000</v>
      </c>
      <c r="Q20" s="1147">
        <v>3000</v>
      </c>
      <c r="R20" s="1147">
        <v>3000</v>
      </c>
      <c r="S20" s="4309"/>
      <c r="T20" s="4307">
        <v>1149.5812405415252</v>
      </c>
      <c r="U20" s="4310">
        <v>1.6212546401539671</v>
      </c>
    </row>
    <row r="21" spans="2:21">
      <c r="B21" s="1179" t="s">
        <v>1387</v>
      </c>
      <c r="C21" s="1183">
        <v>1524.0050000000003</v>
      </c>
      <c r="D21" s="4291">
        <v>229.89454225352119</v>
      </c>
      <c r="E21" s="4292">
        <v>229.89454225352119</v>
      </c>
      <c r="F21" s="4292">
        <v>229.89454225352119</v>
      </c>
      <c r="G21" s="4292">
        <v>229.89454225352119</v>
      </c>
      <c r="H21" s="4292">
        <v>229.89454225352119</v>
      </c>
      <c r="I21" s="4292">
        <v>229.89454225352119</v>
      </c>
      <c r="J21" s="4292">
        <v>229.89454225352119</v>
      </c>
      <c r="K21" s="4292">
        <v>229.89454225352119</v>
      </c>
      <c r="L21" s="4292">
        <v>229.89454225352119</v>
      </c>
      <c r="M21" s="4292">
        <v>229.89454225352119</v>
      </c>
      <c r="N21" s="4292">
        <v>229.89454225352119</v>
      </c>
      <c r="O21" s="4293">
        <v>229.89454225352119</v>
      </c>
      <c r="P21" s="1147">
        <v>2758.7345070422543</v>
      </c>
      <c r="Q21" s="1147">
        <v>2758.7345070422539</v>
      </c>
      <c r="R21" s="1147">
        <v>2758.7345070422539</v>
      </c>
      <c r="S21" s="4309"/>
      <c r="T21" s="4307">
        <v>1234.729507042254</v>
      </c>
      <c r="U21" s="4310">
        <v>1.8101873071559829</v>
      </c>
    </row>
    <row r="22" spans="2:21">
      <c r="B22" s="1179" t="s">
        <v>1395</v>
      </c>
      <c r="C22" s="1183">
        <v>104073.87416854787</v>
      </c>
      <c r="D22" s="4291">
        <v>8473.8940000000002</v>
      </c>
      <c r="E22" s="4292">
        <v>8980.8940000000002</v>
      </c>
      <c r="F22" s="4292">
        <v>8785.5606666666663</v>
      </c>
      <c r="G22" s="4292">
        <v>8547.8940000000002</v>
      </c>
      <c r="H22" s="4292">
        <v>8493.8940000000002</v>
      </c>
      <c r="I22" s="4292">
        <v>7552.8940000000002</v>
      </c>
      <c r="J22" s="4292">
        <v>18940.560666666664</v>
      </c>
      <c r="K22" s="4292">
        <v>10337.894000000002</v>
      </c>
      <c r="L22" s="4292">
        <v>8418.8940000000002</v>
      </c>
      <c r="M22" s="4292">
        <v>9940.8940000000021</v>
      </c>
      <c r="N22" s="4292">
        <v>12200.56066666667</v>
      </c>
      <c r="O22" s="4293">
        <v>8365.8940000000002</v>
      </c>
      <c r="P22" s="1147">
        <v>119039.728</v>
      </c>
      <c r="Q22" s="1147">
        <v>119039.728</v>
      </c>
      <c r="R22" s="1147">
        <v>119039.728</v>
      </c>
      <c r="S22" s="4309"/>
      <c r="T22" s="4307">
        <v>14965.853831452128</v>
      </c>
      <c r="U22" s="4310">
        <v>1.1438002952327391</v>
      </c>
    </row>
    <row r="23" spans="2:21">
      <c r="B23" s="1179" t="s">
        <v>2732</v>
      </c>
      <c r="C23" s="1183">
        <v>0</v>
      </c>
      <c r="D23" s="4291">
        <v>0</v>
      </c>
      <c r="E23" s="4292">
        <v>0</v>
      </c>
      <c r="F23" s="4292">
        <v>0</v>
      </c>
      <c r="G23" s="4292">
        <v>0</v>
      </c>
      <c r="H23" s="4292">
        <v>0</v>
      </c>
      <c r="I23" s="4292">
        <v>0</v>
      </c>
      <c r="J23" s="4292">
        <v>0</v>
      </c>
      <c r="K23" s="4292">
        <v>0</v>
      </c>
      <c r="L23" s="4292">
        <v>0</v>
      </c>
      <c r="M23" s="4292">
        <v>0</v>
      </c>
      <c r="N23" s="4292">
        <v>0</v>
      </c>
      <c r="O23" s="4293">
        <v>0</v>
      </c>
      <c r="P23" s="1147">
        <v>0</v>
      </c>
      <c r="Q23" s="1147">
        <v>0</v>
      </c>
      <c r="R23" s="1147">
        <v>0</v>
      </c>
      <c r="S23" s="4309"/>
      <c r="T23" s="4307">
        <v>0</v>
      </c>
      <c r="U23" s="4310" t="s">
        <v>3953</v>
      </c>
    </row>
    <row r="24" spans="2:21">
      <c r="B24" s="1179" t="s">
        <v>1380</v>
      </c>
      <c r="C24" s="1183">
        <v>91919.298043981093</v>
      </c>
      <c r="D24" s="4291">
        <v>7503.7380952380954</v>
      </c>
      <c r="E24" s="4292">
        <v>7503.7380952380954</v>
      </c>
      <c r="F24" s="4292">
        <v>7503.7380952380954</v>
      </c>
      <c r="G24" s="4292">
        <v>7503.7380952380954</v>
      </c>
      <c r="H24" s="4292">
        <v>7503.7380952380954</v>
      </c>
      <c r="I24" s="4292">
        <v>7503.7380952380954</v>
      </c>
      <c r="J24" s="4292">
        <v>7503.7380952380954</v>
      </c>
      <c r="K24" s="4292">
        <v>7503.7380952380954</v>
      </c>
      <c r="L24" s="4292">
        <v>7503.7380952380954</v>
      </c>
      <c r="M24" s="4292">
        <v>7503.7380952380954</v>
      </c>
      <c r="N24" s="4292">
        <v>7503.7380952380954</v>
      </c>
      <c r="O24" s="4293">
        <v>7503.7380952380954</v>
      </c>
      <c r="P24" s="1147">
        <v>90044.857142857116</v>
      </c>
      <c r="Q24" s="1147">
        <v>90044.857142857159</v>
      </c>
      <c r="R24" s="1147">
        <v>90044.857142857159</v>
      </c>
      <c r="S24" s="4309"/>
      <c r="T24" s="4307">
        <v>-1874.4409011239768</v>
      </c>
      <c r="U24" s="4310">
        <v>0.97960775439965719</v>
      </c>
    </row>
    <row r="25" spans="2:21">
      <c r="B25" s="1179" t="s">
        <v>1394</v>
      </c>
      <c r="C25" s="1183">
        <v>36286.148555632702</v>
      </c>
      <c r="D25" s="4291">
        <v>617.5</v>
      </c>
      <c r="E25" s="4292">
        <v>617.5</v>
      </c>
      <c r="F25" s="4292">
        <v>887.5</v>
      </c>
      <c r="G25" s="4292">
        <v>5417.5</v>
      </c>
      <c r="H25" s="4292">
        <v>617.5</v>
      </c>
      <c r="I25" s="4292">
        <v>617.5</v>
      </c>
      <c r="J25" s="4292">
        <v>617.5</v>
      </c>
      <c r="K25" s="4292">
        <v>617.5</v>
      </c>
      <c r="L25" s="4292">
        <v>617.5</v>
      </c>
      <c r="M25" s="4292">
        <v>617.5</v>
      </c>
      <c r="N25" s="4292">
        <v>617.5</v>
      </c>
      <c r="O25" s="4293">
        <v>5617.5</v>
      </c>
      <c r="P25" s="1147">
        <v>17480</v>
      </c>
      <c r="Q25" s="1147">
        <v>18680</v>
      </c>
      <c r="R25" s="1147">
        <v>16880</v>
      </c>
      <c r="S25" s="4309"/>
      <c r="T25" s="4307">
        <v>-18806.148555632702</v>
      </c>
      <c r="U25" s="4310">
        <v>0.48172651812854295</v>
      </c>
    </row>
    <row r="26" spans="2:21">
      <c r="B26" s="1179" t="s">
        <v>1393</v>
      </c>
      <c r="C26" s="1183">
        <v>2986.6193171327982</v>
      </c>
      <c r="D26" s="4291">
        <v>351.36150234741785</v>
      </c>
      <c r="E26" s="4292">
        <v>351.36150234741785</v>
      </c>
      <c r="F26" s="4292">
        <v>351.36150234741785</v>
      </c>
      <c r="G26" s="4292">
        <v>351.36150234741785</v>
      </c>
      <c r="H26" s="4292">
        <v>351.36150234741785</v>
      </c>
      <c r="I26" s="4292">
        <v>351.36150234741785</v>
      </c>
      <c r="J26" s="4292">
        <v>351.36150234741785</v>
      </c>
      <c r="K26" s="4292">
        <v>351.36150234741785</v>
      </c>
      <c r="L26" s="4292">
        <v>351.36150234741785</v>
      </c>
      <c r="M26" s="4292">
        <v>351.36150234741785</v>
      </c>
      <c r="N26" s="4292">
        <v>351.36150234741785</v>
      </c>
      <c r="O26" s="4293">
        <v>351.36150234741785</v>
      </c>
      <c r="P26" s="1147">
        <v>4216.3380281690133</v>
      </c>
      <c r="Q26" s="1147">
        <v>4216.3380281690143</v>
      </c>
      <c r="R26" s="1147">
        <v>4216.3380281690143</v>
      </c>
      <c r="S26" s="4309"/>
      <c r="T26" s="4307">
        <v>1229.7187110362152</v>
      </c>
      <c r="U26" s="4310">
        <v>1.4117427031901624</v>
      </c>
    </row>
    <row r="27" spans="2:21">
      <c r="B27" s="1179" t="s">
        <v>1384</v>
      </c>
      <c r="C27" s="1183">
        <v>39088.009583841973</v>
      </c>
      <c r="D27" s="4291">
        <v>989.16666666666674</v>
      </c>
      <c r="E27" s="4292">
        <v>989.16666666666674</v>
      </c>
      <c r="F27" s="4292">
        <v>989.16666666666674</v>
      </c>
      <c r="G27" s="4292">
        <v>989.16666666666674</v>
      </c>
      <c r="H27" s="4292">
        <v>989.16666666666674</v>
      </c>
      <c r="I27" s="4292">
        <v>989.16666666666674</v>
      </c>
      <c r="J27" s="4292">
        <v>989.16666666666674</v>
      </c>
      <c r="K27" s="4292">
        <v>989.16666666666674</v>
      </c>
      <c r="L27" s="4292">
        <v>989.16666666666674</v>
      </c>
      <c r="M27" s="4292">
        <v>989.16666666666674</v>
      </c>
      <c r="N27" s="4292">
        <v>989.16666666666674</v>
      </c>
      <c r="O27" s="4293">
        <v>989.16666666666674</v>
      </c>
      <c r="P27" s="1147">
        <v>11870</v>
      </c>
      <c r="Q27" s="1147">
        <v>12260</v>
      </c>
      <c r="R27" s="1147">
        <v>12670</v>
      </c>
      <c r="S27" s="4309"/>
      <c r="T27" s="4307">
        <v>-27218.009583841973</v>
      </c>
      <c r="U27" s="4310">
        <v>0.30367368731169081</v>
      </c>
    </row>
    <row r="28" spans="2:21">
      <c r="B28" s="1179" t="s">
        <v>1391</v>
      </c>
      <c r="C28" s="1183">
        <v>126531.33359694104</v>
      </c>
      <c r="D28" s="4291">
        <v>19498.999285714286</v>
      </c>
      <c r="E28" s="4292">
        <v>4333.4162857142856</v>
      </c>
      <c r="F28" s="4292">
        <v>24233.416285714287</v>
      </c>
      <c r="G28" s="4292">
        <v>4333.4162857142856</v>
      </c>
      <c r="H28" s="4292">
        <v>15333.416285714287</v>
      </c>
      <c r="I28" s="4292">
        <v>4333.4162857142856</v>
      </c>
      <c r="J28" s="4292">
        <v>4498.9992857142861</v>
      </c>
      <c r="K28" s="4292">
        <v>4333.4162857142856</v>
      </c>
      <c r="L28" s="4292">
        <v>4333.4162857142856</v>
      </c>
      <c r="M28" s="4292">
        <v>5833.4162857142856</v>
      </c>
      <c r="N28" s="4292">
        <v>17333.416285714287</v>
      </c>
      <c r="O28" s="4293">
        <v>4333.4162857142856</v>
      </c>
      <c r="P28" s="1147">
        <v>112732.16142857142</v>
      </c>
      <c r="Q28" s="1147">
        <v>119637.66378571428</v>
      </c>
      <c r="R28" s="1147">
        <v>120588.44126071429</v>
      </c>
      <c r="S28" s="4309"/>
      <c r="T28" s="4307">
        <v>-13799.172168369623</v>
      </c>
      <c r="U28" s="4310">
        <v>0.89094264814811663</v>
      </c>
    </row>
    <row r="29" spans="2:21">
      <c r="B29" s="1179" t="s">
        <v>6595</v>
      </c>
      <c r="C29" s="1183">
        <v>0</v>
      </c>
      <c r="D29" s="4291">
        <v>0</v>
      </c>
      <c r="E29" s="4292">
        <v>0</v>
      </c>
      <c r="F29" s="4292">
        <v>0</v>
      </c>
      <c r="G29" s="4292">
        <v>0</v>
      </c>
      <c r="H29" s="4292">
        <v>0</v>
      </c>
      <c r="I29" s="4292">
        <v>0</v>
      </c>
      <c r="J29" s="4292">
        <v>0</v>
      </c>
      <c r="K29" s="4292">
        <v>0</v>
      </c>
      <c r="L29" s="4292">
        <v>0</v>
      </c>
      <c r="M29" s="4292">
        <v>0</v>
      </c>
      <c r="N29" s="4292">
        <v>0</v>
      </c>
      <c r="O29" s="4293">
        <v>0</v>
      </c>
      <c r="P29" s="1147">
        <v>0</v>
      </c>
      <c r="Q29" s="1147">
        <v>0</v>
      </c>
      <c r="R29" s="1147">
        <v>0</v>
      </c>
      <c r="S29" s="4309"/>
      <c r="T29" s="4307">
        <v>0</v>
      </c>
      <c r="U29" s="4310" t="s">
        <v>3953</v>
      </c>
    </row>
    <row r="30" spans="2:21">
      <c r="B30" s="1179" t="s">
        <v>5871</v>
      </c>
      <c r="C30" s="1183">
        <v>0</v>
      </c>
      <c r="D30" s="4291">
        <v>0</v>
      </c>
      <c r="E30" s="4292">
        <v>0</v>
      </c>
      <c r="F30" s="4292">
        <v>0</v>
      </c>
      <c r="G30" s="4292">
        <v>0</v>
      </c>
      <c r="H30" s="4292">
        <v>0</v>
      </c>
      <c r="I30" s="4292">
        <v>0</v>
      </c>
      <c r="J30" s="4292">
        <v>0</v>
      </c>
      <c r="K30" s="4292">
        <v>0</v>
      </c>
      <c r="L30" s="4292">
        <v>0</v>
      </c>
      <c r="M30" s="4292">
        <v>0</v>
      </c>
      <c r="N30" s="4292">
        <v>0</v>
      </c>
      <c r="O30" s="4293">
        <v>0</v>
      </c>
      <c r="P30" s="1147">
        <v>0</v>
      </c>
      <c r="Q30" s="1147">
        <v>0</v>
      </c>
      <c r="R30" s="1147">
        <v>0</v>
      </c>
      <c r="S30" s="4309"/>
      <c r="T30" s="4307">
        <v>0</v>
      </c>
      <c r="U30" s="4310" t="s">
        <v>3953</v>
      </c>
    </row>
    <row r="31" spans="2:21">
      <c r="B31" s="1179" t="s">
        <v>2748</v>
      </c>
      <c r="C31" s="1183">
        <v>29538.729841220364</v>
      </c>
      <c r="D31" s="4291">
        <v>3911.6668333333332</v>
      </c>
      <c r="E31" s="4292">
        <v>3911.6668333333332</v>
      </c>
      <c r="F31" s="4292">
        <v>3911.6668333333332</v>
      </c>
      <c r="G31" s="4292">
        <v>4028.3334999999997</v>
      </c>
      <c r="H31" s="4292">
        <v>4028.3334999999997</v>
      </c>
      <c r="I31" s="4292">
        <v>3861.6668333333332</v>
      </c>
      <c r="J31" s="4292">
        <v>4028.3334999999997</v>
      </c>
      <c r="K31" s="4292">
        <v>4028.3334999999997</v>
      </c>
      <c r="L31" s="4292">
        <v>4028.3334999999997</v>
      </c>
      <c r="M31" s="4292">
        <v>4111.6668333333328</v>
      </c>
      <c r="N31" s="4292">
        <v>4111.6668333333328</v>
      </c>
      <c r="O31" s="4293">
        <v>5028.3334999999997</v>
      </c>
      <c r="P31" s="1147">
        <v>48990.002</v>
      </c>
      <c r="Q31" s="1147">
        <v>62932.628666666664</v>
      </c>
      <c r="R31" s="1147">
        <v>71688.928666666674</v>
      </c>
      <c r="S31" s="4309"/>
      <c r="T31" s="4307">
        <v>19451.272158779637</v>
      </c>
      <c r="U31" s="4310">
        <v>1.6585006282712942</v>
      </c>
    </row>
    <row r="32" spans="2:21">
      <c r="B32" s="1179" t="s">
        <v>1396</v>
      </c>
      <c r="C32" s="1183">
        <v>12796.558117611457</v>
      </c>
      <c r="D32" s="4291">
        <v>1064</v>
      </c>
      <c r="E32" s="4292">
        <v>1064</v>
      </c>
      <c r="F32" s="4292">
        <v>1064</v>
      </c>
      <c r="G32" s="4292">
        <v>1064</v>
      </c>
      <c r="H32" s="4292">
        <v>1064</v>
      </c>
      <c r="I32" s="4292">
        <v>1064</v>
      </c>
      <c r="J32" s="4292">
        <v>1064</v>
      </c>
      <c r="K32" s="4292">
        <v>1064</v>
      </c>
      <c r="L32" s="4292">
        <v>1064</v>
      </c>
      <c r="M32" s="4292">
        <v>1064</v>
      </c>
      <c r="N32" s="4292">
        <v>1064</v>
      </c>
      <c r="O32" s="4293">
        <v>1064</v>
      </c>
      <c r="P32" s="1147">
        <v>12768</v>
      </c>
      <c r="Q32" s="1147">
        <v>12768</v>
      </c>
      <c r="R32" s="1147">
        <v>12768</v>
      </c>
      <c r="S32" s="4309"/>
      <c r="T32" s="4307">
        <v>-28.558117611457419</v>
      </c>
      <c r="U32" s="4310">
        <v>0.99776829696321589</v>
      </c>
    </row>
    <row r="33" spans="2:21">
      <c r="B33" s="1179" t="s">
        <v>2505</v>
      </c>
      <c r="C33" s="1183">
        <v>0</v>
      </c>
      <c r="D33" s="4291">
        <v>0</v>
      </c>
      <c r="E33" s="4292">
        <v>0</v>
      </c>
      <c r="F33" s="4292">
        <v>0</v>
      </c>
      <c r="G33" s="4292">
        <v>0</v>
      </c>
      <c r="H33" s="4292">
        <v>0</v>
      </c>
      <c r="I33" s="4292">
        <v>0</v>
      </c>
      <c r="J33" s="4292">
        <v>0</v>
      </c>
      <c r="K33" s="4292">
        <v>0</v>
      </c>
      <c r="L33" s="4292">
        <v>0</v>
      </c>
      <c r="M33" s="4292">
        <v>0</v>
      </c>
      <c r="N33" s="4292">
        <v>0</v>
      </c>
      <c r="O33" s="4293">
        <v>0</v>
      </c>
      <c r="P33" s="1147">
        <v>0</v>
      </c>
      <c r="Q33" s="1147">
        <v>0</v>
      </c>
      <c r="R33" s="1147">
        <v>0</v>
      </c>
      <c r="S33" s="4309"/>
      <c r="T33" s="4307">
        <v>0</v>
      </c>
      <c r="U33" s="4310" t="s">
        <v>3953</v>
      </c>
    </row>
    <row r="34" spans="2:21">
      <c r="B34" s="1179" t="s">
        <v>1398</v>
      </c>
      <c r="C34" s="1183">
        <v>9557.044332089301</v>
      </c>
      <c r="D34" s="4291">
        <v>0</v>
      </c>
      <c r="E34" s="4292">
        <v>3000</v>
      </c>
      <c r="F34" s="4292">
        <v>0</v>
      </c>
      <c r="G34" s="4292">
        <v>0</v>
      </c>
      <c r="H34" s="4292">
        <v>0</v>
      </c>
      <c r="I34" s="4292">
        <v>0</v>
      </c>
      <c r="J34" s="4292">
        <v>0</v>
      </c>
      <c r="K34" s="4292">
        <v>3000</v>
      </c>
      <c r="L34" s="4292">
        <v>0</v>
      </c>
      <c r="M34" s="4292">
        <v>0</v>
      </c>
      <c r="N34" s="4292">
        <v>4300</v>
      </c>
      <c r="O34" s="4293">
        <v>0</v>
      </c>
      <c r="P34" s="1147">
        <v>10300</v>
      </c>
      <c r="Q34" s="1147">
        <v>15300</v>
      </c>
      <c r="R34" s="1147">
        <v>10300</v>
      </c>
      <c r="S34" s="4309"/>
      <c r="T34" s="4307">
        <v>742.95566791069905</v>
      </c>
      <c r="U34" s="4310">
        <v>1.0777390626321683</v>
      </c>
    </row>
    <row r="35" spans="2:21">
      <c r="B35" s="1179" t="s">
        <v>2755</v>
      </c>
      <c r="C35" s="1183">
        <v>0</v>
      </c>
      <c r="D35" s="4291">
        <v>0</v>
      </c>
      <c r="E35" s="4292">
        <v>0</v>
      </c>
      <c r="F35" s="4292">
        <v>0</v>
      </c>
      <c r="G35" s="4292">
        <v>0</v>
      </c>
      <c r="H35" s="4292">
        <v>0</v>
      </c>
      <c r="I35" s="4292">
        <v>0</v>
      </c>
      <c r="J35" s="4292">
        <v>0</v>
      </c>
      <c r="K35" s="4292">
        <v>0</v>
      </c>
      <c r="L35" s="4292">
        <v>0</v>
      </c>
      <c r="M35" s="4292">
        <v>0</v>
      </c>
      <c r="N35" s="4292">
        <v>0</v>
      </c>
      <c r="O35" s="4293">
        <v>0</v>
      </c>
      <c r="P35" s="1147">
        <v>0</v>
      </c>
      <c r="Q35" s="1147">
        <v>0</v>
      </c>
      <c r="R35" s="1147">
        <v>0</v>
      </c>
      <c r="S35" s="4309"/>
      <c r="T35" s="4307">
        <v>0</v>
      </c>
      <c r="U35" s="4310" t="s">
        <v>3953</v>
      </c>
    </row>
    <row r="36" spans="2:21">
      <c r="B36" s="1179" t="s">
        <v>2506</v>
      </c>
      <c r="C36" s="1183">
        <v>0</v>
      </c>
      <c r="D36" s="4311">
        <v>0</v>
      </c>
      <c r="E36" s="4292">
        <v>0</v>
      </c>
      <c r="F36" s="4292">
        <v>0</v>
      </c>
      <c r="G36" s="4292">
        <v>0</v>
      </c>
      <c r="H36" s="4292">
        <v>0</v>
      </c>
      <c r="I36" s="4292">
        <v>0</v>
      </c>
      <c r="J36" s="4292">
        <v>0</v>
      </c>
      <c r="K36" s="4292">
        <v>0</v>
      </c>
      <c r="L36" s="4292">
        <v>0</v>
      </c>
      <c r="M36" s="4292">
        <v>0</v>
      </c>
      <c r="N36" s="4292">
        <v>0</v>
      </c>
      <c r="O36" s="4293">
        <v>0</v>
      </c>
      <c r="P36" s="1147">
        <v>0</v>
      </c>
      <c r="Q36" s="1147">
        <v>0</v>
      </c>
      <c r="R36" s="1147">
        <v>0</v>
      </c>
      <c r="S36" s="4309"/>
      <c r="T36" s="4307">
        <v>0</v>
      </c>
      <c r="U36" s="4310" t="s">
        <v>3953</v>
      </c>
    </row>
    <row r="37" spans="2:21">
      <c r="B37" s="1179" t="s">
        <v>1382</v>
      </c>
      <c r="C37" s="1183">
        <v>59690.13272754589</v>
      </c>
      <c r="D37" s="4291">
        <v>5005.4249999999993</v>
      </c>
      <c r="E37" s="4292">
        <v>5005.4249999999993</v>
      </c>
      <c r="F37" s="4292">
        <v>5005.4249999999993</v>
      </c>
      <c r="G37" s="4292">
        <v>5005.4249999999993</v>
      </c>
      <c r="H37" s="4292">
        <v>5005.4249999999993</v>
      </c>
      <c r="I37" s="4292">
        <v>5005.4249999999993</v>
      </c>
      <c r="J37" s="4292">
        <v>5005.4249999999993</v>
      </c>
      <c r="K37" s="4292">
        <v>5005.4249999999993</v>
      </c>
      <c r="L37" s="4292">
        <v>5005.4249999999993</v>
      </c>
      <c r="M37" s="4292">
        <v>5005.4249999999993</v>
      </c>
      <c r="N37" s="4292">
        <v>5005.4249999999993</v>
      </c>
      <c r="O37" s="4293">
        <v>5005.4249999999993</v>
      </c>
      <c r="P37" s="1147">
        <v>60065.100000000006</v>
      </c>
      <c r="Q37" s="1147">
        <v>60065.099999999984</v>
      </c>
      <c r="R37" s="1147">
        <v>60065.099999999984</v>
      </c>
      <c r="S37" s="4309"/>
      <c r="T37" s="4307">
        <v>374.96727245411603</v>
      </c>
      <c r="U37" s="4310">
        <v>1.0062818971129726</v>
      </c>
    </row>
    <row r="38" spans="2:21">
      <c r="B38" s="1179" t="s">
        <v>6597</v>
      </c>
      <c r="C38" s="1183">
        <v>12856.288615357298</v>
      </c>
      <c r="D38" s="4291">
        <v>839.97989999999993</v>
      </c>
      <c r="E38" s="4292">
        <v>839.97989999999993</v>
      </c>
      <c r="F38" s="4292">
        <v>839.97989999999993</v>
      </c>
      <c r="G38" s="4292">
        <v>839.97989999999993</v>
      </c>
      <c r="H38" s="4292">
        <v>839.97989999999993</v>
      </c>
      <c r="I38" s="4292">
        <v>839.97989999999993</v>
      </c>
      <c r="J38" s="4292">
        <v>839.97989999999993</v>
      </c>
      <c r="K38" s="4292">
        <v>839.97989999999993</v>
      </c>
      <c r="L38" s="4292">
        <v>839.97989999999993</v>
      </c>
      <c r="M38" s="4292">
        <v>839.97989999999993</v>
      </c>
      <c r="N38" s="4292">
        <v>839.97989999999993</v>
      </c>
      <c r="O38" s="4293">
        <v>839.97989999999993</v>
      </c>
      <c r="P38" s="1147">
        <v>10079.758800000001</v>
      </c>
      <c r="Q38" s="1147">
        <v>10079.758800000001</v>
      </c>
      <c r="R38" s="1147">
        <v>10079.758800000001</v>
      </c>
      <c r="S38" s="4309"/>
      <c r="T38" s="4307">
        <v>-2776.5298153572967</v>
      </c>
      <c r="U38" s="4310">
        <v>0.7840333319803795</v>
      </c>
    </row>
    <row r="39" spans="2:21">
      <c r="B39" s="1175" t="s">
        <v>2761</v>
      </c>
      <c r="C39" s="1176">
        <v>1112520.5297840657</v>
      </c>
      <c r="D39" s="4297">
        <v>91305.006015148014</v>
      </c>
      <c r="E39" s="4298">
        <v>110546.423015148</v>
      </c>
      <c r="F39" s="4298">
        <v>101697.60968181468</v>
      </c>
      <c r="G39" s="4298">
        <v>85221.105533144495</v>
      </c>
      <c r="H39" s="4298">
        <v>100353.96222176382</v>
      </c>
      <c r="I39" s="4298">
        <v>76896.295555097153</v>
      </c>
      <c r="J39" s="4298">
        <v>87233.402547180478</v>
      </c>
      <c r="K39" s="4298">
        <v>101565.15288051381</v>
      </c>
      <c r="L39" s="4298">
        <v>88696.152880513808</v>
      </c>
      <c r="M39" s="4298">
        <v>79651.486213847151</v>
      </c>
      <c r="N39" s="4298">
        <v>99061.152880513837</v>
      </c>
      <c r="O39" s="4299">
        <v>88843.152880513808</v>
      </c>
      <c r="P39" s="1176">
        <v>1111070.9023051991</v>
      </c>
      <c r="Q39" s="1176">
        <v>1139576.6175291939</v>
      </c>
      <c r="R39" s="1176">
        <v>1143398.6641064973</v>
      </c>
      <c r="S39" s="4294"/>
      <c r="T39" s="4300">
        <v>-1449.6274788666051</v>
      </c>
      <c r="U39" s="4301">
        <v>0.99869698810938079</v>
      </c>
    </row>
    <row r="40" spans="2:21">
      <c r="B40" s="1243" t="s">
        <v>2762</v>
      </c>
      <c r="C40" s="1244">
        <v>2856786.9429999995</v>
      </c>
      <c r="D40" s="4312">
        <v>239616.88593259978</v>
      </c>
      <c r="E40" s="4313">
        <v>260222.35731325203</v>
      </c>
      <c r="F40" s="4313">
        <v>251797.03089636692</v>
      </c>
      <c r="G40" s="4313">
        <v>235922.91126006632</v>
      </c>
      <c r="H40" s="4313">
        <v>250375.29078816666</v>
      </c>
      <c r="I40" s="4313">
        <v>227185.0561654779</v>
      </c>
      <c r="J40" s="4313">
        <v>238189.00146329598</v>
      </c>
      <c r="K40" s="4313">
        <v>261379.32611079977</v>
      </c>
      <c r="L40" s="4313">
        <v>240229.63713219785</v>
      </c>
      <c r="M40" s="4313">
        <v>230968.24955564082</v>
      </c>
      <c r="N40" s="4313">
        <v>250335.65547773606</v>
      </c>
      <c r="O40" s="4314">
        <v>244791.37537626567</v>
      </c>
      <c r="P40" s="1244">
        <v>2931012.7774718655</v>
      </c>
      <c r="Q40" s="1244">
        <v>3044887.0254091937</v>
      </c>
      <c r="R40" s="1244">
        <v>3148949.5990883643</v>
      </c>
      <c r="S40" s="4294"/>
      <c r="T40" s="4315">
        <v>74225.834471866023</v>
      </c>
      <c r="U40" s="4316">
        <v>1.0259822786763086</v>
      </c>
    </row>
    <row r="41" spans="2:21">
      <c r="B41" s="4286"/>
      <c r="C41" s="4317"/>
      <c r="D41" s="4317"/>
      <c r="E41" s="4317"/>
      <c r="F41" s="4317"/>
      <c r="G41" s="4317"/>
      <c r="H41" s="4317"/>
      <c r="I41" s="4317"/>
      <c r="J41" s="4317"/>
      <c r="K41" s="4317"/>
      <c r="L41" s="4317"/>
      <c r="M41" s="4317"/>
      <c r="N41" s="4317"/>
      <c r="O41" s="4317"/>
      <c r="P41" s="4318">
        <v>1.0259822786763086</v>
      </c>
      <c r="Q41" s="4318">
        <v>1.03885150171046</v>
      </c>
      <c r="R41" s="4318">
        <v>1.0341761690370717</v>
      </c>
      <c r="S41" s="4317"/>
      <c r="T41" s="4317"/>
      <c r="U41" s="4318"/>
    </row>
  </sheetData>
  <mergeCells count="2">
    <mergeCell ref="B2:R2"/>
    <mergeCell ref="B3:R3"/>
  </mergeCells>
  <phoneticPr fontId="1"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F4C81-99E7-4E48-9888-46B48989D82A}">
  <sheetPr codeName="Sheet52"/>
  <dimension ref="B2:U41"/>
  <sheetViews>
    <sheetView workbookViewId="0"/>
  </sheetViews>
  <sheetFormatPr defaultRowHeight="16.5"/>
  <cols>
    <col min="2" max="2" width="13.875" bestFit="1" customWidth="1"/>
  </cols>
  <sheetData>
    <row r="2" spans="2:21" ht="22.5">
      <c r="B2" s="5382" t="s">
        <v>6653</v>
      </c>
      <c r="C2" s="5382"/>
      <c r="D2" s="5382"/>
      <c r="E2" s="5382"/>
      <c r="F2" s="5382"/>
      <c r="G2" s="5382"/>
      <c r="H2" s="5382"/>
      <c r="I2" s="5382"/>
      <c r="J2" s="5382"/>
      <c r="K2" s="5382"/>
      <c r="L2" s="5382"/>
      <c r="M2" s="5382"/>
      <c r="N2" s="5382"/>
      <c r="O2" s="5382"/>
      <c r="P2" s="5382"/>
      <c r="Q2" s="5382"/>
      <c r="R2" s="5382"/>
      <c r="S2" s="4284"/>
      <c r="T2" s="4284"/>
      <c r="U2" s="4284"/>
    </row>
    <row r="3" spans="2:21" ht="20.25">
      <c r="B3" s="5383" t="s">
        <v>6654</v>
      </c>
      <c r="C3" s="5383"/>
      <c r="D3" s="5383"/>
      <c r="E3" s="5383"/>
      <c r="F3" s="5383"/>
      <c r="G3" s="5383"/>
      <c r="H3" s="5383"/>
      <c r="I3" s="5383"/>
      <c r="J3" s="5383"/>
      <c r="K3" s="5383"/>
      <c r="L3" s="5383"/>
      <c r="M3" s="5383"/>
      <c r="N3" s="5383"/>
      <c r="O3" s="5383"/>
      <c r="P3" s="5383"/>
      <c r="Q3" s="5383"/>
      <c r="R3" s="5383"/>
      <c r="S3" s="4285"/>
      <c r="T3" s="4285"/>
      <c r="U3" s="4285"/>
    </row>
    <row r="4" spans="2:21">
      <c r="B4" s="4286"/>
      <c r="C4" s="4286"/>
      <c r="D4" s="4286"/>
      <c r="E4" s="4286"/>
      <c r="F4" s="4286"/>
      <c r="G4" s="4286"/>
      <c r="H4" s="4286"/>
      <c r="I4" s="4286"/>
      <c r="J4" s="4286"/>
      <c r="K4" s="4286"/>
      <c r="L4" s="4286"/>
      <c r="M4" s="4286"/>
      <c r="N4" s="4286"/>
      <c r="O4" s="4286"/>
      <c r="P4" s="4286"/>
      <c r="Q4" s="4286"/>
      <c r="R4" s="1133" t="s">
        <v>2649</v>
      </c>
      <c r="S4" s="4286"/>
      <c r="T4" s="4286"/>
      <c r="U4" s="4286"/>
    </row>
    <row r="5" spans="2:21">
      <c r="B5" s="1140" t="s">
        <v>2653</v>
      </c>
      <c r="C5" s="1141" t="s">
        <v>1933</v>
      </c>
      <c r="D5" s="4287" t="s">
        <v>2710</v>
      </c>
      <c r="E5" s="4288" t="s">
        <v>2711</v>
      </c>
      <c r="F5" s="4288" t="s">
        <v>2712</v>
      </c>
      <c r="G5" s="4288" t="s">
        <v>2713</v>
      </c>
      <c r="H5" s="4288" t="s">
        <v>2714</v>
      </c>
      <c r="I5" s="4288" t="s">
        <v>2715</v>
      </c>
      <c r="J5" s="4288" t="s">
        <v>2716</v>
      </c>
      <c r="K5" s="4288" t="s">
        <v>2717</v>
      </c>
      <c r="L5" s="4288" t="s">
        <v>2718</v>
      </c>
      <c r="M5" s="4288" t="s">
        <v>2719</v>
      </c>
      <c r="N5" s="4288" t="s">
        <v>2720</v>
      </c>
      <c r="O5" s="4289" t="s">
        <v>2721</v>
      </c>
      <c r="P5" s="1142" t="s">
        <v>1934</v>
      </c>
      <c r="Q5" s="1143" t="s">
        <v>1935</v>
      </c>
      <c r="R5" s="1141" t="s">
        <v>6509</v>
      </c>
      <c r="S5" s="4285"/>
      <c r="T5" s="1142" t="s">
        <v>6652</v>
      </c>
      <c r="U5" s="4290" t="s">
        <v>6655</v>
      </c>
    </row>
    <row r="6" spans="2:21">
      <c r="B6" s="1146" t="s">
        <v>1410</v>
      </c>
      <c r="C6" s="1147">
        <v>1985930.117651341</v>
      </c>
      <c r="D6" s="4291">
        <v>161957.8018104017</v>
      </c>
      <c r="E6" s="4292">
        <v>164344.89697654312</v>
      </c>
      <c r="F6" s="4292">
        <v>169465.60091366083</v>
      </c>
      <c r="G6" s="4292">
        <v>170519.77381030767</v>
      </c>
      <c r="H6" s="4292">
        <v>169328.93877939941</v>
      </c>
      <c r="I6" s="4292">
        <v>169796.94485636079</v>
      </c>
      <c r="J6" s="4292">
        <v>170963.91189139654</v>
      </c>
      <c r="K6" s="4292">
        <v>187533.47854119487</v>
      </c>
      <c r="L6" s="4292">
        <v>174989.40149530821</v>
      </c>
      <c r="M6" s="4292">
        <v>174610.13990300006</v>
      </c>
      <c r="N6" s="4292">
        <v>174536.18360000002</v>
      </c>
      <c r="O6" s="4293">
        <v>182715.19342242688</v>
      </c>
      <c r="P6" s="1147">
        <v>2070762.2660000003</v>
      </c>
      <c r="Q6" s="1147">
        <v>2382621.7699199999</v>
      </c>
      <c r="R6" s="1147">
        <v>2497919.9942784007</v>
      </c>
      <c r="S6" s="4294"/>
      <c r="T6" s="4295">
        <v>84832.148348659277</v>
      </c>
      <c r="U6" s="4296">
        <v>1.0427165828216483</v>
      </c>
    </row>
    <row r="7" spans="2:21">
      <c r="B7" s="1146" t="s">
        <v>1377</v>
      </c>
      <c r="C7" s="1147">
        <v>129163.10892476482</v>
      </c>
      <c r="D7" s="4291">
        <v>12358.208333333332</v>
      </c>
      <c r="E7" s="4292">
        <v>12358.208333333332</v>
      </c>
      <c r="F7" s="4292">
        <v>12358.208333333332</v>
      </c>
      <c r="G7" s="4292">
        <v>12358.208333333332</v>
      </c>
      <c r="H7" s="4292">
        <v>12358.208333333332</v>
      </c>
      <c r="I7" s="4292">
        <v>12358.208333333332</v>
      </c>
      <c r="J7" s="4292">
        <v>12358.208333333332</v>
      </c>
      <c r="K7" s="4292">
        <v>12358.208333333332</v>
      </c>
      <c r="L7" s="4292">
        <v>12358.208333333332</v>
      </c>
      <c r="M7" s="4292">
        <v>12358.208333333332</v>
      </c>
      <c r="N7" s="4292">
        <v>12358.208333333332</v>
      </c>
      <c r="O7" s="4293">
        <v>12358.208333333332</v>
      </c>
      <c r="P7" s="1147">
        <v>148298.49999999997</v>
      </c>
      <c r="Q7" s="1147">
        <v>187811.8</v>
      </c>
      <c r="R7" s="1147">
        <v>194417.19199999998</v>
      </c>
      <c r="S7" s="4294"/>
      <c r="T7" s="4295">
        <v>19135.391075235151</v>
      </c>
      <c r="U7" s="4296">
        <v>1.1481490437519677</v>
      </c>
    </row>
    <row r="8" spans="2:21">
      <c r="B8" s="1146" t="s">
        <v>2503</v>
      </c>
      <c r="C8" s="1147">
        <v>35076.244331856513</v>
      </c>
      <c r="D8" s="4291">
        <v>3310</v>
      </c>
      <c r="E8" s="4292">
        <v>2220</v>
      </c>
      <c r="F8" s="4292">
        <v>3310</v>
      </c>
      <c r="G8" s="4292">
        <v>2820</v>
      </c>
      <c r="H8" s="4292">
        <v>3910</v>
      </c>
      <c r="I8" s="4292">
        <v>2820</v>
      </c>
      <c r="J8" s="4292">
        <v>3910</v>
      </c>
      <c r="K8" s="4292">
        <v>2820</v>
      </c>
      <c r="L8" s="4292">
        <v>3310</v>
      </c>
      <c r="M8" s="4292">
        <v>2220</v>
      </c>
      <c r="N8" s="4292">
        <v>3310</v>
      </c>
      <c r="O8" s="4293">
        <v>2220</v>
      </c>
      <c r="P8" s="1147">
        <v>36180</v>
      </c>
      <c r="Q8" s="1147">
        <v>36903.599999999999</v>
      </c>
      <c r="R8" s="1147">
        <v>37641.671999999999</v>
      </c>
      <c r="S8" s="4294"/>
      <c r="T8" s="4295">
        <v>1103.7556681434871</v>
      </c>
      <c r="U8" s="4296">
        <v>1.0314673275080664</v>
      </c>
    </row>
    <row r="9" spans="2:21">
      <c r="B9" s="1146" t="s">
        <v>1378</v>
      </c>
      <c r="C9" s="1147">
        <v>188131.21141057811</v>
      </c>
      <c r="D9" s="4291">
        <v>16552.130851388894</v>
      </c>
      <c r="E9" s="4292">
        <v>16552.130851388894</v>
      </c>
      <c r="F9" s="4292">
        <v>16552.130851388894</v>
      </c>
      <c r="G9" s="4292">
        <v>16552.130851388894</v>
      </c>
      <c r="H9" s="4292">
        <v>16552.130851388894</v>
      </c>
      <c r="I9" s="4292">
        <v>16552.130851388894</v>
      </c>
      <c r="J9" s="4292">
        <v>16552.130851388894</v>
      </c>
      <c r="K9" s="4292">
        <v>16552.130851388894</v>
      </c>
      <c r="L9" s="4292">
        <v>16552.130851388894</v>
      </c>
      <c r="M9" s="4292">
        <v>16552.130851388894</v>
      </c>
      <c r="N9" s="4292">
        <v>16552.130851388894</v>
      </c>
      <c r="O9" s="4293">
        <v>16552.130851388894</v>
      </c>
      <c r="P9" s="1147">
        <v>198625.57021666679</v>
      </c>
      <c r="Q9" s="1147">
        <v>209452.79749333335</v>
      </c>
      <c r="R9" s="1147">
        <v>219611.43218986664</v>
      </c>
      <c r="S9" s="4294"/>
      <c r="T9" s="4295">
        <v>10494.358806088683</v>
      </c>
      <c r="U9" s="4296">
        <v>1.0557821252911925</v>
      </c>
    </row>
    <row r="10" spans="2:21">
      <c r="B10" s="1175" t="s">
        <v>3632</v>
      </c>
      <c r="C10" s="1176">
        <v>2338300.6823185403</v>
      </c>
      <c r="D10" s="4297">
        <v>194178.14099512395</v>
      </c>
      <c r="E10" s="4298">
        <v>195475.23616126535</v>
      </c>
      <c r="F10" s="4298">
        <v>201685.94009838306</v>
      </c>
      <c r="G10" s="4298">
        <v>202250.11299502989</v>
      </c>
      <c r="H10" s="4298">
        <v>202149.27796412166</v>
      </c>
      <c r="I10" s="4298">
        <v>201527.28404108301</v>
      </c>
      <c r="J10" s="4298">
        <v>203784.25107611879</v>
      </c>
      <c r="K10" s="4298">
        <v>219263.81772591709</v>
      </c>
      <c r="L10" s="4298">
        <v>207209.74068003043</v>
      </c>
      <c r="M10" s="4298">
        <v>205740.47908772231</v>
      </c>
      <c r="N10" s="4298">
        <v>206756.52278472227</v>
      </c>
      <c r="O10" s="4299">
        <v>213845.5326071491</v>
      </c>
      <c r="P10" s="1176">
        <v>2453866.3362166672</v>
      </c>
      <c r="Q10" s="1176">
        <v>2816789.9674133332</v>
      </c>
      <c r="R10" s="1176">
        <v>2949590.2904682667</v>
      </c>
      <c r="S10" s="4294"/>
      <c r="T10" s="4300">
        <v>115565.65389812691</v>
      </c>
      <c r="U10" s="4301">
        <v>1.0494229227113503</v>
      </c>
    </row>
    <row r="11" spans="2:21">
      <c r="B11" s="4302" t="s">
        <v>1388</v>
      </c>
      <c r="C11" s="4303">
        <v>568519.01883330708</v>
      </c>
      <c r="D11" s="4304">
        <v>45777.317158355523</v>
      </c>
      <c r="E11" s="4305">
        <v>57387.317158355516</v>
      </c>
      <c r="F11" s="4305">
        <v>51984.90715835552</v>
      </c>
      <c r="G11" s="4305">
        <v>54592.492593775249</v>
      </c>
      <c r="H11" s="4305">
        <v>59210.607807586464</v>
      </c>
      <c r="I11" s="4305">
        <v>48925.607807586464</v>
      </c>
      <c r="J11" s="4305">
        <v>44022.573908836464</v>
      </c>
      <c r="K11" s="4305">
        <v>46222.573908836464</v>
      </c>
      <c r="L11" s="4305">
        <v>69557.573908836464</v>
      </c>
      <c r="M11" s="4305">
        <v>148772.57390883646</v>
      </c>
      <c r="N11" s="4305">
        <v>45872.573908836464</v>
      </c>
      <c r="O11" s="4306">
        <v>53197.573908836464</v>
      </c>
      <c r="P11" s="4303">
        <v>725523.69313703349</v>
      </c>
      <c r="Q11" s="4303">
        <v>640686.53562834405</v>
      </c>
      <c r="R11" s="4303">
        <v>664812.66402085277</v>
      </c>
      <c r="S11" s="4294"/>
      <c r="T11" s="4307">
        <v>157004.67430372641</v>
      </c>
      <c r="U11" s="4308">
        <v>1.2761643306602573</v>
      </c>
    </row>
    <row r="12" spans="2:21">
      <c r="B12" s="1179" t="s">
        <v>1389</v>
      </c>
      <c r="C12" s="1147">
        <v>11302.101150648643</v>
      </c>
      <c r="D12" s="4291">
        <v>1287.0986854460093</v>
      </c>
      <c r="E12" s="4292">
        <v>1287.0986854460093</v>
      </c>
      <c r="F12" s="4292">
        <v>1287.0986854460093</v>
      </c>
      <c r="G12" s="4292">
        <v>1287.0986854460093</v>
      </c>
      <c r="H12" s="4292">
        <v>1287.0986854460093</v>
      </c>
      <c r="I12" s="4292">
        <v>1287.0986854460093</v>
      </c>
      <c r="J12" s="4292">
        <v>1287.0986854460093</v>
      </c>
      <c r="K12" s="4292">
        <v>1287.0986854460093</v>
      </c>
      <c r="L12" s="4292">
        <v>1287.0986854460093</v>
      </c>
      <c r="M12" s="4292">
        <v>1287.0986854460093</v>
      </c>
      <c r="N12" s="4292">
        <v>1287.0986854460093</v>
      </c>
      <c r="O12" s="4293">
        <v>1287.0986854460093</v>
      </c>
      <c r="P12" s="1147">
        <v>15445.184225352115</v>
      </c>
      <c r="Q12" s="1147">
        <v>15979.944788732393</v>
      </c>
      <c r="R12" s="1147">
        <v>15979.944788732393</v>
      </c>
      <c r="S12" s="4294"/>
      <c r="T12" s="4307">
        <v>4143.0830747034724</v>
      </c>
      <c r="U12" s="4296">
        <v>1.3665763577479304</v>
      </c>
    </row>
    <row r="13" spans="2:21">
      <c r="B13" s="1179" t="s">
        <v>1392</v>
      </c>
      <c r="C13" s="1147">
        <v>6506.6777119695307</v>
      </c>
      <c r="D13" s="4291">
        <v>350</v>
      </c>
      <c r="E13" s="4292">
        <v>2350</v>
      </c>
      <c r="F13" s="4292">
        <v>350</v>
      </c>
      <c r="G13" s="4292">
        <v>350</v>
      </c>
      <c r="H13" s="4292">
        <v>350</v>
      </c>
      <c r="I13" s="4292">
        <v>350</v>
      </c>
      <c r="J13" s="4292">
        <v>350</v>
      </c>
      <c r="K13" s="4292">
        <v>350</v>
      </c>
      <c r="L13" s="4292">
        <v>2350</v>
      </c>
      <c r="M13" s="4292">
        <v>350</v>
      </c>
      <c r="N13" s="4292">
        <v>350</v>
      </c>
      <c r="O13" s="4293">
        <v>350</v>
      </c>
      <c r="P13" s="1147">
        <v>8200</v>
      </c>
      <c r="Q13" s="1147">
        <v>10600</v>
      </c>
      <c r="R13" s="1147">
        <v>10600</v>
      </c>
      <c r="S13" s="4294"/>
      <c r="T13" s="4295">
        <v>1693.3222880304693</v>
      </c>
      <c r="U13" s="4296">
        <v>1.2602437623298097</v>
      </c>
    </row>
    <row r="14" spans="2:21">
      <c r="B14" s="1179" t="s">
        <v>1390</v>
      </c>
      <c r="C14" s="1183">
        <v>16513.990066064576</v>
      </c>
      <c r="D14" s="4291">
        <v>1515.3333333333333</v>
      </c>
      <c r="E14" s="4292">
        <v>1515.3333333333333</v>
      </c>
      <c r="F14" s="4292">
        <v>1515.3333333333333</v>
      </c>
      <c r="G14" s="4292">
        <v>1515.3333333333333</v>
      </c>
      <c r="H14" s="4292">
        <v>1515.3333333333333</v>
      </c>
      <c r="I14" s="4292">
        <v>1515.3333333333333</v>
      </c>
      <c r="J14" s="4292">
        <v>1515.3333333333333</v>
      </c>
      <c r="K14" s="4292">
        <v>1515.3333333333333</v>
      </c>
      <c r="L14" s="4292">
        <v>1515.3333333333333</v>
      </c>
      <c r="M14" s="4292">
        <v>1515.3333333333333</v>
      </c>
      <c r="N14" s="4292">
        <v>1515.3333333333333</v>
      </c>
      <c r="O14" s="4293">
        <v>1515.3333333333333</v>
      </c>
      <c r="P14" s="1147">
        <v>18184</v>
      </c>
      <c r="Q14" s="1147">
        <v>19384</v>
      </c>
      <c r="R14" s="1147">
        <v>19384</v>
      </c>
      <c r="S14" s="4309"/>
      <c r="T14" s="4307">
        <v>1670.0099339354238</v>
      </c>
      <c r="U14" s="4310">
        <v>1.1011269794431577</v>
      </c>
    </row>
    <row r="15" spans="2:21">
      <c r="B15" s="1179" t="s">
        <v>1379</v>
      </c>
      <c r="C15" s="1183">
        <v>23930.459865840887</v>
      </c>
      <c r="D15" s="4291">
        <v>852.19495719015447</v>
      </c>
      <c r="E15" s="4292">
        <v>847.24805942187493</v>
      </c>
      <c r="F15" s="4292">
        <v>843.57000145000006</v>
      </c>
      <c r="G15" s="4292">
        <v>843.57000145000006</v>
      </c>
      <c r="H15" s="4292">
        <v>846.43299830000001</v>
      </c>
      <c r="I15" s="4292">
        <v>850.46899316666668</v>
      </c>
      <c r="J15" s="4292">
        <v>863.37974617243981</v>
      </c>
      <c r="K15" s="4292">
        <v>863.37974617243981</v>
      </c>
      <c r="L15" s="4292">
        <v>850.46899316666668</v>
      </c>
      <c r="M15" s="4292">
        <v>846.43299830000001</v>
      </c>
      <c r="N15" s="4292">
        <v>847.24805942187493</v>
      </c>
      <c r="O15" s="4293">
        <v>1265.2028744677273</v>
      </c>
      <c r="P15" s="1147">
        <v>10619.597428679845</v>
      </c>
      <c r="Q15" s="1147">
        <v>31145.790926173027</v>
      </c>
      <c r="R15" s="1147">
        <v>34938.493512060333</v>
      </c>
      <c r="S15" s="4309"/>
      <c r="T15" s="4307">
        <v>-13310.862437161042</v>
      </c>
      <c r="U15" s="4310">
        <v>0.44376904949656243</v>
      </c>
    </row>
    <row r="16" spans="2:21">
      <c r="B16" s="1179" t="s">
        <v>2633</v>
      </c>
      <c r="C16" s="1183">
        <v>537042.86029617127</v>
      </c>
      <c r="D16" s="4291">
        <v>20632.736294612987</v>
      </c>
      <c r="E16" s="4292">
        <v>18874.790152919504</v>
      </c>
      <c r="F16" s="4292">
        <v>14887.83247975905</v>
      </c>
      <c r="G16" s="4292">
        <v>13691.402649888591</v>
      </c>
      <c r="H16" s="4292">
        <v>13652.808139247609</v>
      </c>
      <c r="I16" s="4292">
        <v>18711.055015878723</v>
      </c>
      <c r="J16" s="4292">
        <v>20047.558945584344</v>
      </c>
      <c r="K16" s="4292">
        <v>19662.028965861573</v>
      </c>
      <c r="L16" s="4292">
        <v>14627.319532932419</v>
      </c>
      <c r="M16" s="4292">
        <v>14849.237969118069</v>
      </c>
      <c r="N16" s="4292">
        <v>18724.439496064137</v>
      </c>
      <c r="O16" s="4293">
        <v>22458.450681796996</v>
      </c>
      <c r="P16" s="1147">
        <v>210819.66032366402</v>
      </c>
      <c r="Q16" s="1147">
        <v>382827.78975717328</v>
      </c>
      <c r="R16" s="1147">
        <v>411418.38698725152</v>
      </c>
      <c r="S16" s="4309"/>
      <c r="T16" s="4307">
        <v>-326223.19997250725</v>
      </c>
      <c r="U16" s="4310">
        <v>0.39255649019782157</v>
      </c>
    </row>
    <row r="17" spans="2:21">
      <c r="B17" s="1179" t="s">
        <v>2703</v>
      </c>
      <c r="C17" s="1183">
        <v>46060.16818256578</v>
      </c>
      <c r="D17" s="4291">
        <v>2192.8133333333335</v>
      </c>
      <c r="E17" s="4292">
        <v>2192.8133333333335</v>
      </c>
      <c r="F17" s="4292">
        <v>2242.8133333333335</v>
      </c>
      <c r="G17" s="4292">
        <v>2192.8133333333335</v>
      </c>
      <c r="H17" s="4292">
        <v>4692.8133333333335</v>
      </c>
      <c r="I17" s="4292">
        <v>25970.260333333332</v>
      </c>
      <c r="J17" s="4292">
        <v>2192.8133333333335</v>
      </c>
      <c r="K17" s="4292">
        <v>4132.8133333333335</v>
      </c>
      <c r="L17" s="4292">
        <v>2942.8133333333335</v>
      </c>
      <c r="M17" s="4292">
        <v>2192.8133333333335</v>
      </c>
      <c r="N17" s="4292">
        <v>2192.8133333333335</v>
      </c>
      <c r="O17" s="4293">
        <v>2192.8133333333335</v>
      </c>
      <c r="P17" s="1147">
        <v>55331.206999999988</v>
      </c>
      <c r="Q17" s="1147">
        <v>56042.619800000008</v>
      </c>
      <c r="R17" s="1147">
        <v>56713.574984000006</v>
      </c>
      <c r="S17" s="4309"/>
      <c r="T17" s="4307">
        <v>9271.0388174342079</v>
      </c>
      <c r="U17" s="4310">
        <v>1.2012810457114957</v>
      </c>
    </row>
    <row r="18" spans="2:21">
      <c r="B18" s="1179" t="s">
        <v>1381</v>
      </c>
      <c r="C18" s="1183">
        <v>628637.9362610525</v>
      </c>
      <c r="D18" s="4291">
        <v>58621.727833333331</v>
      </c>
      <c r="E18" s="4292">
        <v>59088.393833333328</v>
      </c>
      <c r="F18" s="4292">
        <v>59817.558833333329</v>
      </c>
      <c r="G18" s="4292">
        <v>61042.55783333334</v>
      </c>
      <c r="H18" s="4292">
        <v>62010.889833333342</v>
      </c>
      <c r="I18" s="4292">
        <v>62588.387833333334</v>
      </c>
      <c r="J18" s="4292">
        <v>62961.719833333336</v>
      </c>
      <c r="K18" s="4292">
        <v>63136.719833333336</v>
      </c>
      <c r="L18" s="4292">
        <v>72499.217833333329</v>
      </c>
      <c r="M18" s="4292">
        <v>74715.882833333337</v>
      </c>
      <c r="N18" s="4292">
        <v>79686.715833333321</v>
      </c>
      <c r="O18" s="4293">
        <v>80299.202833333329</v>
      </c>
      <c r="P18" s="1147">
        <v>796468.97499999998</v>
      </c>
      <c r="Q18" s="1147">
        <v>1983168.5520000001</v>
      </c>
      <c r="R18" s="1147">
        <v>2035017.3790000002</v>
      </c>
      <c r="S18" s="4309"/>
      <c r="T18" s="4307">
        <v>167831.03873894748</v>
      </c>
      <c r="U18" s="4310">
        <v>1.2669756771873417</v>
      </c>
    </row>
    <row r="19" spans="2:21">
      <c r="B19" s="1179" t="s">
        <v>2371</v>
      </c>
      <c r="C19" s="1183">
        <v>35439.070492663239</v>
      </c>
      <c r="D19" s="4291">
        <v>1180</v>
      </c>
      <c r="E19" s="4292">
        <v>1180</v>
      </c>
      <c r="F19" s="4292">
        <v>1180</v>
      </c>
      <c r="G19" s="4292">
        <v>1180</v>
      </c>
      <c r="H19" s="4292">
        <v>1180</v>
      </c>
      <c r="I19" s="4292">
        <v>1180</v>
      </c>
      <c r="J19" s="4292">
        <v>1180</v>
      </c>
      <c r="K19" s="4292">
        <v>1180</v>
      </c>
      <c r="L19" s="4292">
        <v>1180</v>
      </c>
      <c r="M19" s="4292">
        <v>1180</v>
      </c>
      <c r="N19" s="4292">
        <v>1180</v>
      </c>
      <c r="O19" s="4293">
        <v>1180</v>
      </c>
      <c r="P19" s="1147">
        <v>14160</v>
      </c>
      <c r="Q19" s="1147">
        <v>14160</v>
      </c>
      <c r="R19" s="1147">
        <v>14160</v>
      </c>
      <c r="S19" s="4309"/>
      <c r="T19" s="4307">
        <v>-21279.070492663239</v>
      </c>
      <c r="U19" s="4310">
        <v>0.39955901221877332</v>
      </c>
    </row>
    <row r="20" spans="2:21">
      <c r="B20" s="1179" t="s">
        <v>1383</v>
      </c>
      <c r="C20" s="1183">
        <v>278191.90007457585</v>
      </c>
      <c r="D20" s="4291">
        <v>15945</v>
      </c>
      <c r="E20" s="4292">
        <v>10945</v>
      </c>
      <c r="F20" s="4292">
        <v>13445</v>
      </c>
      <c r="G20" s="4292">
        <v>11445</v>
      </c>
      <c r="H20" s="4292">
        <v>31945</v>
      </c>
      <c r="I20" s="4292">
        <v>15945</v>
      </c>
      <c r="J20" s="4292">
        <v>51945</v>
      </c>
      <c r="K20" s="4292">
        <v>21945</v>
      </c>
      <c r="L20" s="4292">
        <v>10945</v>
      </c>
      <c r="M20" s="4292">
        <v>13445</v>
      </c>
      <c r="N20" s="4292">
        <v>10945</v>
      </c>
      <c r="O20" s="4293">
        <v>19817.121191383223</v>
      </c>
      <c r="P20" s="1147">
        <v>228712.12119138322</v>
      </c>
      <c r="Q20" s="1147">
        <v>578951.73699513869</v>
      </c>
      <c r="R20" s="1147">
        <v>644980.5462121279</v>
      </c>
      <c r="S20" s="4309"/>
      <c r="T20" s="4307">
        <v>-49479.77888319263</v>
      </c>
      <c r="U20" s="4310">
        <v>0.82213795991210237</v>
      </c>
    </row>
    <row r="21" spans="2:21">
      <c r="B21" s="1179" t="s">
        <v>1387</v>
      </c>
      <c r="C21" s="1183">
        <v>62294.480491116992</v>
      </c>
      <c r="D21" s="4291">
        <v>7072.8450950704228</v>
      </c>
      <c r="E21" s="4292">
        <v>7072.8450950704228</v>
      </c>
      <c r="F21" s="4292">
        <v>7072.8450950704228</v>
      </c>
      <c r="G21" s="4292">
        <v>7072.8450950704228</v>
      </c>
      <c r="H21" s="4292">
        <v>7072.8450950704228</v>
      </c>
      <c r="I21" s="4292">
        <v>5529.3770700704226</v>
      </c>
      <c r="J21" s="4292">
        <v>5529.3770700704226</v>
      </c>
      <c r="K21" s="4292">
        <v>5529.3770700704226</v>
      </c>
      <c r="L21" s="4292">
        <v>5529.3770700704226</v>
      </c>
      <c r="M21" s="4292">
        <v>5529.3770700704226</v>
      </c>
      <c r="N21" s="4292">
        <v>5529.3770700704226</v>
      </c>
      <c r="O21" s="4293">
        <v>5529.3770700704226</v>
      </c>
      <c r="P21" s="1147">
        <v>74069.864965845045</v>
      </c>
      <c r="Q21" s="1147">
        <v>63301.648871007746</v>
      </c>
      <c r="R21" s="1147">
        <v>58636.571274043003</v>
      </c>
      <c r="S21" s="4309"/>
      <c r="T21" s="4307">
        <v>11775.384474728053</v>
      </c>
      <c r="U21" s="4310">
        <v>1.1890277337878625</v>
      </c>
    </row>
    <row r="22" spans="2:21">
      <c r="B22" s="1179" t="s">
        <v>1395</v>
      </c>
      <c r="C22" s="1183">
        <v>7506.3425060372583</v>
      </c>
      <c r="D22" s="4291">
        <v>1317.373</v>
      </c>
      <c r="E22" s="4292">
        <v>1307.373</v>
      </c>
      <c r="F22" s="4292">
        <v>3317.373</v>
      </c>
      <c r="G22" s="4292">
        <v>387.37299999999999</v>
      </c>
      <c r="H22" s="4292">
        <v>397.37299999999999</v>
      </c>
      <c r="I22" s="4292">
        <v>1067.373</v>
      </c>
      <c r="J22" s="4292">
        <v>1057.373</v>
      </c>
      <c r="K22" s="4292">
        <v>1517.373</v>
      </c>
      <c r="L22" s="4292">
        <v>437.37299999999999</v>
      </c>
      <c r="M22" s="4292">
        <v>547.37299999999993</v>
      </c>
      <c r="N22" s="4292">
        <v>717.37300000000005</v>
      </c>
      <c r="O22" s="4293">
        <v>1067.373</v>
      </c>
      <c r="P22" s="1147">
        <v>13138.475999999997</v>
      </c>
      <c r="Q22" s="1147">
        <v>13742.475999999999</v>
      </c>
      <c r="R22" s="1147">
        <v>13742.475999999999</v>
      </c>
      <c r="S22" s="4309"/>
      <c r="T22" s="4307">
        <v>5632.1334939627386</v>
      </c>
      <c r="U22" s="4310">
        <v>1.7503166141743309</v>
      </c>
    </row>
    <row r="23" spans="2:21">
      <c r="B23" s="1179" t="s">
        <v>2732</v>
      </c>
      <c r="C23" s="1183">
        <v>0</v>
      </c>
      <c r="D23" s="4291">
        <v>0</v>
      </c>
      <c r="E23" s="4292">
        <v>0</v>
      </c>
      <c r="F23" s="4292">
        <v>0</v>
      </c>
      <c r="G23" s="4292">
        <v>0</v>
      </c>
      <c r="H23" s="4292">
        <v>0</v>
      </c>
      <c r="I23" s="4292">
        <v>0</v>
      </c>
      <c r="J23" s="4292">
        <v>0</v>
      </c>
      <c r="K23" s="4292">
        <v>0</v>
      </c>
      <c r="L23" s="4292">
        <v>0</v>
      </c>
      <c r="M23" s="4292">
        <v>0</v>
      </c>
      <c r="N23" s="4292">
        <v>0</v>
      </c>
      <c r="O23" s="4293">
        <v>0</v>
      </c>
      <c r="P23" s="1147">
        <v>0</v>
      </c>
      <c r="Q23" s="1147">
        <v>30553.599999999999</v>
      </c>
      <c r="R23" s="1147">
        <v>30553.599999999999</v>
      </c>
      <c r="S23" s="4309"/>
      <c r="T23" s="4307">
        <v>0</v>
      </c>
      <c r="U23" s="4310" t="s">
        <v>3953</v>
      </c>
    </row>
    <row r="24" spans="2:21">
      <c r="B24" s="1179" t="s">
        <v>1380</v>
      </c>
      <c r="C24" s="1183">
        <v>11198.612422084052</v>
      </c>
      <c r="D24" s="4291">
        <v>935.7420952380952</v>
      </c>
      <c r="E24" s="4292">
        <v>935.7420952380952</v>
      </c>
      <c r="F24" s="4292">
        <v>935.7420952380952</v>
      </c>
      <c r="G24" s="4292">
        <v>935.7420952380952</v>
      </c>
      <c r="H24" s="4292">
        <v>935.7420952380952</v>
      </c>
      <c r="I24" s="4292">
        <v>935.7420952380952</v>
      </c>
      <c r="J24" s="4292">
        <v>935.7420952380952</v>
      </c>
      <c r="K24" s="4292">
        <v>935.7420952380952</v>
      </c>
      <c r="L24" s="4292">
        <v>935.7420952380952</v>
      </c>
      <c r="M24" s="4292">
        <v>935.7420952380952</v>
      </c>
      <c r="N24" s="4292">
        <v>935.7420952380952</v>
      </c>
      <c r="O24" s="4293">
        <v>2935.7420952380953</v>
      </c>
      <c r="P24" s="1147">
        <v>13228.90514285714</v>
      </c>
      <c r="Q24" s="1147">
        <v>111848.90514285714</v>
      </c>
      <c r="R24" s="1147">
        <v>128228.90514285714</v>
      </c>
      <c r="S24" s="4309"/>
      <c r="T24" s="4307">
        <v>2030.2927207730881</v>
      </c>
      <c r="U24" s="4310">
        <v>1.1812985970270102</v>
      </c>
    </row>
    <row r="25" spans="2:21">
      <c r="B25" s="1179" t="s">
        <v>1394</v>
      </c>
      <c r="C25" s="1183">
        <v>20715.213042653748</v>
      </c>
      <c r="D25" s="4291">
        <v>1857.5</v>
      </c>
      <c r="E25" s="4292">
        <v>1857.5</v>
      </c>
      <c r="F25" s="4292">
        <v>2815.5</v>
      </c>
      <c r="G25" s="4292">
        <v>10211.5</v>
      </c>
      <c r="H25" s="4292">
        <v>2800.5</v>
      </c>
      <c r="I25" s="4292">
        <v>2683.5</v>
      </c>
      <c r="J25" s="4292">
        <v>3060.5</v>
      </c>
      <c r="K25" s="4292">
        <v>2791.5</v>
      </c>
      <c r="L25" s="4292">
        <v>2456.5</v>
      </c>
      <c r="M25" s="4292">
        <v>2707.5</v>
      </c>
      <c r="N25" s="4292">
        <v>3057.5</v>
      </c>
      <c r="O25" s="4293">
        <v>1857.5</v>
      </c>
      <c r="P25" s="1147">
        <v>38157</v>
      </c>
      <c r="Q25" s="1147">
        <v>36516</v>
      </c>
      <c r="R25" s="1147">
        <v>37716</v>
      </c>
      <c r="S25" s="4309"/>
      <c r="T25" s="4307">
        <v>17441.786957346252</v>
      </c>
      <c r="U25" s="4310">
        <v>1.8419796080027111</v>
      </c>
    </row>
    <row r="26" spans="2:21">
      <c r="B26" s="1179" t="s">
        <v>1393</v>
      </c>
      <c r="C26" s="1183">
        <v>14462.113690956561</v>
      </c>
      <c r="D26" s="4291">
        <v>1442.8967136150236</v>
      </c>
      <c r="E26" s="4292">
        <v>1442.8967136150236</v>
      </c>
      <c r="F26" s="4292">
        <v>1442.8967136150236</v>
      </c>
      <c r="G26" s="4292">
        <v>1442.8967136150236</v>
      </c>
      <c r="H26" s="4292">
        <v>1442.8967136150236</v>
      </c>
      <c r="I26" s="4292">
        <v>1442.8967136150236</v>
      </c>
      <c r="J26" s="4292">
        <v>1442.8967136150236</v>
      </c>
      <c r="K26" s="4292">
        <v>1442.8967136150236</v>
      </c>
      <c r="L26" s="4292">
        <v>1442.8967136150236</v>
      </c>
      <c r="M26" s="4292">
        <v>1442.8967136150236</v>
      </c>
      <c r="N26" s="4292">
        <v>1442.8967136150236</v>
      </c>
      <c r="O26" s="4293">
        <v>1442.8967136150236</v>
      </c>
      <c r="P26" s="1147">
        <v>17314.760563380285</v>
      </c>
      <c r="Q26" s="1147">
        <v>17237.661971830981</v>
      </c>
      <c r="R26" s="1147">
        <v>17237.661971830981</v>
      </c>
      <c r="S26" s="4309"/>
      <c r="T26" s="4307">
        <v>2852.6468724237238</v>
      </c>
      <c r="U26" s="4310">
        <v>1.1972496505962016</v>
      </c>
    </row>
    <row r="27" spans="2:21">
      <c r="B27" s="1179" t="s">
        <v>1384</v>
      </c>
      <c r="C27" s="1183">
        <v>1187162.0808538112</v>
      </c>
      <c r="D27" s="4291">
        <v>38365.896629545699</v>
      </c>
      <c r="E27" s="4292">
        <v>39250.24430338262</v>
      </c>
      <c r="F27" s="4292">
        <v>40900.996629545698</v>
      </c>
      <c r="G27" s="4292">
        <v>47365.896629545692</v>
      </c>
      <c r="H27" s="4292">
        <v>39350.896629545699</v>
      </c>
      <c r="I27" s="4292">
        <v>38400.996629545698</v>
      </c>
      <c r="J27" s="4292">
        <v>39865.879586210111</v>
      </c>
      <c r="K27" s="4292">
        <v>40524.660832479116</v>
      </c>
      <c r="L27" s="4292">
        <v>38830.784928864654</v>
      </c>
      <c r="M27" s="4292">
        <v>38960.170629097731</v>
      </c>
      <c r="N27" s="4292">
        <v>41385.640864215282</v>
      </c>
      <c r="O27" s="4293">
        <v>62962.231491219485</v>
      </c>
      <c r="P27" s="1147">
        <v>506164.29578319745</v>
      </c>
      <c r="Q27" s="1147">
        <v>1710225.7440691309</v>
      </c>
      <c r="R27" s="1147">
        <v>1928753.9301469452</v>
      </c>
      <c r="S27" s="4309"/>
      <c r="T27" s="4307">
        <v>-680997.78507061373</v>
      </c>
      <c r="U27" s="4310">
        <v>0.42636494539916764</v>
      </c>
    </row>
    <row r="28" spans="2:21">
      <c r="B28" s="1179" t="s">
        <v>1391</v>
      </c>
      <c r="C28" s="1183">
        <v>490809.33851022052</v>
      </c>
      <c r="D28" s="4291">
        <v>30099.009761904756</v>
      </c>
      <c r="E28" s="4292">
        <v>26880.92476190476</v>
      </c>
      <c r="F28" s="4292">
        <v>33833.92476190476</v>
      </c>
      <c r="G28" s="4292">
        <v>40618.92476190476</v>
      </c>
      <c r="H28" s="4292">
        <v>31170.92476190476</v>
      </c>
      <c r="I28" s="4292">
        <v>28260.92476190476</v>
      </c>
      <c r="J28" s="4292">
        <v>42699.009761904759</v>
      </c>
      <c r="K28" s="4292">
        <v>27587.92476190476</v>
      </c>
      <c r="L28" s="4292">
        <v>32471.92476190476</v>
      </c>
      <c r="M28" s="4292">
        <v>33857.92476190476</v>
      </c>
      <c r="N28" s="4292">
        <v>37947.92476190476</v>
      </c>
      <c r="O28" s="4293">
        <v>93880.924761904767</v>
      </c>
      <c r="P28" s="1147">
        <v>459310.26714285708</v>
      </c>
      <c r="Q28" s="1147">
        <v>602770.73564285715</v>
      </c>
      <c r="R28" s="1147">
        <v>602045.01456785714</v>
      </c>
      <c r="S28" s="4309"/>
      <c r="T28" s="4307">
        <v>-31499.071367363445</v>
      </c>
      <c r="U28" s="4310">
        <v>0.93582218410315043</v>
      </c>
    </row>
    <row r="29" spans="2:21">
      <c r="B29" s="1179" t="s">
        <v>6595</v>
      </c>
      <c r="C29" s="1183">
        <v>183895.2085657795</v>
      </c>
      <c r="D29" s="4291">
        <v>15700.965137614679</v>
      </c>
      <c r="E29" s="4292">
        <v>18770.965137614679</v>
      </c>
      <c r="F29" s="4292">
        <v>15700.965137614679</v>
      </c>
      <c r="G29" s="4292">
        <v>15770.965137614679</v>
      </c>
      <c r="H29" s="4292">
        <v>15700.965137614679</v>
      </c>
      <c r="I29" s="4292">
        <v>54670.965137614679</v>
      </c>
      <c r="J29" s="4292">
        <v>15050.965137614679</v>
      </c>
      <c r="K29" s="4292">
        <v>15120.965137614679</v>
      </c>
      <c r="L29" s="4292">
        <v>18050.965137614679</v>
      </c>
      <c r="M29" s="4292">
        <v>15120.965137614679</v>
      </c>
      <c r="N29" s="4292">
        <v>15050.965137614679</v>
      </c>
      <c r="O29" s="4293">
        <v>15120.965137614679</v>
      </c>
      <c r="P29" s="1147">
        <v>229831.58165137621</v>
      </c>
      <c r="Q29" s="1147">
        <v>194543.8132844037</v>
      </c>
      <c r="R29" s="1147">
        <v>198228.28955009178</v>
      </c>
      <c r="S29" s="4309"/>
      <c r="T29" s="4307">
        <v>45936.373085596715</v>
      </c>
      <c r="U29" s="4310">
        <v>1.2497964653014069</v>
      </c>
    </row>
    <row r="30" spans="2:21">
      <c r="B30" s="1179" t="s">
        <v>5871</v>
      </c>
      <c r="C30" s="1183">
        <v>183111.61413218797</v>
      </c>
      <c r="D30" s="4291">
        <v>14128.458050614339</v>
      </c>
      <c r="E30" s="4292">
        <v>13547.040023840087</v>
      </c>
      <c r="F30" s="4292">
        <v>11337.651522097927</v>
      </c>
      <c r="G30" s="4292">
        <v>10756.233495323675</v>
      </c>
      <c r="H30" s="4292">
        <v>10174.815468549423</v>
      </c>
      <c r="I30" s="4292">
        <v>10756.233495323675</v>
      </c>
      <c r="J30" s="4292">
        <v>10174.815468549423</v>
      </c>
      <c r="K30" s="4292">
        <v>10756.233495323675</v>
      </c>
      <c r="L30" s="4292">
        <v>10756.233495323675</v>
      </c>
      <c r="M30" s="4292">
        <v>11919.069548872179</v>
      </c>
      <c r="N30" s="4292">
        <v>14128.458050614339</v>
      </c>
      <c r="O30" s="4293">
        <v>19148.546605473395</v>
      </c>
      <c r="P30" s="1147">
        <v>147583.7887199058</v>
      </c>
      <c r="Q30" s="1147">
        <v>408129.10482247174</v>
      </c>
      <c r="R30" s="1147">
        <v>467979.39041394088</v>
      </c>
      <c r="S30" s="4309"/>
      <c r="T30" s="4307">
        <v>-35527.825412282167</v>
      </c>
      <c r="U30" s="4310">
        <v>0.80597721460401361</v>
      </c>
    </row>
    <row r="31" spans="2:21">
      <c r="B31" s="1179" t="s">
        <v>2748</v>
      </c>
      <c r="C31" s="1183">
        <v>0</v>
      </c>
      <c r="D31" s="4291">
        <v>0</v>
      </c>
      <c r="E31" s="4292">
        <v>0</v>
      </c>
      <c r="F31" s="4292">
        <v>0</v>
      </c>
      <c r="G31" s="4292">
        <v>0</v>
      </c>
      <c r="H31" s="4292">
        <v>0</v>
      </c>
      <c r="I31" s="4292">
        <v>0</v>
      </c>
      <c r="J31" s="4292">
        <v>0</v>
      </c>
      <c r="K31" s="4292">
        <v>0</v>
      </c>
      <c r="L31" s="4292">
        <v>0</v>
      </c>
      <c r="M31" s="4292">
        <v>0</v>
      </c>
      <c r="N31" s="4292">
        <v>0</v>
      </c>
      <c r="O31" s="4293">
        <v>0</v>
      </c>
      <c r="P31" s="1147">
        <v>0</v>
      </c>
      <c r="Q31" s="1147">
        <v>0</v>
      </c>
      <c r="R31" s="1147">
        <v>0</v>
      </c>
      <c r="S31" s="4309"/>
      <c r="T31" s="4307">
        <v>0</v>
      </c>
      <c r="U31" s="4310" t="s">
        <v>3953</v>
      </c>
    </row>
    <row r="32" spans="2:21">
      <c r="B32" s="1179" t="s">
        <v>1396</v>
      </c>
      <c r="C32" s="1183">
        <v>6819.6721351360684</v>
      </c>
      <c r="D32" s="4291">
        <v>778</v>
      </c>
      <c r="E32" s="4292">
        <v>778</v>
      </c>
      <c r="F32" s="4292">
        <v>778</v>
      </c>
      <c r="G32" s="4292">
        <v>778</v>
      </c>
      <c r="H32" s="4292">
        <v>778</v>
      </c>
      <c r="I32" s="4292">
        <v>778</v>
      </c>
      <c r="J32" s="4292">
        <v>778</v>
      </c>
      <c r="K32" s="4292">
        <v>778</v>
      </c>
      <c r="L32" s="4292">
        <v>778</v>
      </c>
      <c r="M32" s="4292">
        <v>778</v>
      </c>
      <c r="N32" s="4292">
        <v>778</v>
      </c>
      <c r="O32" s="4293">
        <v>778</v>
      </c>
      <c r="P32" s="1147">
        <v>9336</v>
      </c>
      <c r="Q32" s="1147">
        <v>11136</v>
      </c>
      <c r="R32" s="1147">
        <v>11136</v>
      </c>
      <c r="S32" s="4309"/>
      <c r="T32" s="4307">
        <v>2516.3278648639316</v>
      </c>
      <c r="U32" s="4310">
        <v>1.3689807684301123</v>
      </c>
    </row>
    <row r="33" spans="2:21">
      <c r="B33" s="1179" t="s">
        <v>2505</v>
      </c>
      <c r="C33" s="1183">
        <v>0</v>
      </c>
      <c r="D33" s="4291">
        <v>0</v>
      </c>
      <c r="E33" s="4292">
        <v>0</v>
      </c>
      <c r="F33" s="4292">
        <v>0</v>
      </c>
      <c r="G33" s="4292">
        <v>0</v>
      </c>
      <c r="H33" s="4292">
        <v>0</v>
      </c>
      <c r="I33" s="4292">
        <v>0</v>
      </c>
      <c r="J33" s="4292">
        <v>0</v>
      </c>
      <c r="K33" s="4292">
        <v>0</v>
      </c>
      <c r="L33" s="4292">
        <v>0</v>
      </c>
      <c r="M33" s="4292">
        <v>0</v>
      </c>
      <c r="N33" s="4292">
        <v>0</v>
      </c>
      <c r="O33" s="4293">
        <v>0</v>
      </c>
      <c r="P33" s="1147">
        <v>0</v>
      </c>
      <c r="Q33" s="1147">
        <v>0</v>
      </c>
      <c r="R33" s="1147">
        <v>0</v>
      </c>
      <c r="S33" s="4309"/>
      <c r="T33" s="4307">
        <v>0</v>
      </c>
      <c r="U33" s="4310" t="s">
        <v>3953</v>
      </c>
    </row>
    <row r="34" spans="2:21">
      <c r="B34" s="1179" t="s">
        <v>1398</v>
      </c>
      <c r="C34" s="1183">
        <v>0</v>
      </c>
      <c r="D34" s="4291">
        <v>0</v>
      </c>
      <c r="E34" s="4292">
        <v>0</v>
      </c>
      <c r="F34" s="4292">
        <v>0</v>
      </c>
      <c r="G34" s="4292">
        <v>0</v>
      </c>
      <c r="H34" s="4292">
        <v>0</v>
      </c>
      <c r="I34" s="4292">
        <v>0</v>
      </c>
      <c r="J34" s="4292">
        <v>0</v>
      </c>
      <c r="K34" s="4292">
        <v>0</v>
      </c>
      <c r="L34" s="4292">
        <v>0</v>
      </c>
      <c r="M34" s="4292">
        <v>0</v>
      </c>
      <c r="N34" s="4292">
        <v>0</v>
      </c>
      <c r="O34" s="4293">
        <v>0</v>
      </c>
      <c r="P34" s="1147">
        <v>0</v>
      </c>
      <c r="Q34" s="1147">
        <v>0</v>
      </c>
      <c r="R34" s="1147">
        <v>0</v>
      </c>
      <c r="S34" s="4309"/>
      <c r="T34" s="4307">
        <v>0</v>
      </c>
      <c r="U34" s="4310" t="s">
        <v>3953</v>
      </c>
    </row>
    <row r="35" spans="2:21">
      <c r="B35" s="1179" t="s">
        <v>2755</v>
      </c>
      <c r="C35" s="1183">
        <v>300211.43677646748</v>
      </c>
      <c r="D35" s="4291">
        <v>19060</v>
      </c>
      <c r="E35" s="4292">
        <v>21610</v>
      </c>
      <c r="F35" s="4292">
        <v>17680</v>
      </c>
      <c r="G35" s="4292">
        <v>22066</v>
      </c>
      <c r="H35" s="4292">
        <v>14266</v>
      </c>
      <c r="I35" s="4292">
        <v>14314</v>
      </c>
      <c r="J35" s="4292">
        <v>18244</v>
      </c>
      <c r="K35" s="4292">
        <v>12394</v>
      </c>
      <c r="L35" s="4292">
        <v>13664</v>
      </c>
      <c r="M35" s="4292">
        <v>16634</v>
      </c>
      <c r="N35" s="4292">
        <v>12434</v>
      </c>
      <c r="O35" s="4293">
        <v>20819</v>
      </c>
      <c r="P35" s="1147">
        <v>203185</v>
      </c>
      <c r="Q35" s="1147">
        <v>551045.38461538462</v>
      </c>
      <c r="R35" s="1147">
        <v>561760.53261538467</v>
      </c>
      <c r="S35" s="4309"/>
      <c r="T35" s="4307">
        <v>-97026.436776467483</v>
      </c>
      <c r="U35" s="4310">
        <v>0.6768063275060644</v>
      </c>
    </row>
    <row r="36" spans="2:21">
      <c r="B36" s="1179" t="s">
        <v>2506</v>
      </c>
      <c r="C36" s="1183">
        <v>164898.59930885525</v>
      </c>
      <c r="D36" s="4311">
        <v>14063.714285714284</v>
      </c>
      <c r="E36" s="4292">
        <v>12913.714285714284</v>
      </c>
      <c r="F36" s="4292">
        <v>14588.714285714284</v>
      </c>
      <c r="G36" s="4292">
        <v>15738.714285714284</v>
      </c>
      <c r="H36" s="4292">
        <v>15738.714285714284</v>
      </c>
      <c r="I36" s="4292">
        <v>15738.714285714284</v>
      </c>
      <c r="J36" s="4292">
        <v>8487.7142857142844</v>
      </c>
      <c r="K36" s="4292">
        <v>8487.7142857142844</v>
      </c>
      <c r="L36" s="4292">
        <v>8487.7142857142844</v>
      </c>
      <c r="M36" s="4292">
        <v>8487.7142857142844</v>
      </c>
      <c r="N36" s="4292">
        <v>8487.7142857142844</v>
      </c>
      <c r="O36" s="4293">
        <v>8487.7142857142844</v>
      </c>
      <c r="P36" s="1147">
        <v>139708.57142857145</v>
      </c>
      <c r="Q36" s="1147">
        <v>101852.57142857142</v>
      </c>
      <c r="R36" s="1147">
        <v>101852.57142857142</v>
      </c>
      <c r="S36" s="4309"/>
      <c r="T36" s="4307">
        <v>-25190.0278802838</v>
      </c>
      <c r="U36" s="4310">
        <v>0.84723928531919879</v>
      </c>
    </row>
    <row r="37" spans="2:21">
      <c r="B37" s="1179" t="s">
        <v>1382</v>
      </c>
      <c r="C37" s="1183">
        <v>21475.4873112936</v>
      </c>
      <c r="D37" s="4291">
        <v>1820.6770000000001</v>
      </c>
      <c r="E37" s="4292">
        <v>1820.6770000000001</v>
      </c>
      <c r="F37" s="4292">
        <v>1820.6770000000001</v>
      </c>
      <c r="G37" s="4292">
        <v>1820.6770000000001</v>
      </c>
      <c r="H37" s="4292">
        <v>1820.6770000000001</v>
      </c>
      <c r="I37" s="4292">
        <v>1820.6770000000001</v>
      </c>
      <c r="J37" s="4292">
        <v>1820.6770000000001</v>
      </c>
      <c r="K37" s="4292">
        <v>1820.6770000000001</v>
      </c>
      <c r="L37" s="4292">
        <v>1820.6770000000001</v>
      </c>
      <c r="M37" s="4292">
        <v>1820.6770000000001</v>
      </c>
      <c r="N37" s="4292">
        <v>1820.6770000000001</v>
      </c>
      <c r="O37" s="4293">
        <v>1820.6770000000001</v>
      </c>
      <c r="P37" s="1147">
        <v>21848.124</v>
      </c>
      <c r="Q37" s="1147">
        <v>21848.124</v>
      </c>
      <c r="R37" s="1147">
        <v>21848.124</v>
      </c>
      <c r="S37" s="4309"/>
      <c r="T37" s="4307">
        <v>372.63668870639958</v>
      </c>
      <c r="U37" s="4310">
        <v>1.0173517221427817</v>
      </c>
    </row>
    <row r="38" spans="2:21">
      <c r="B38" s="1179" t="s">
        <v>6597</v>
      </c>
      <c r="C38" s="1183">
        <v>0</v>
      </c>
      <c r="D38" s="4291">
        <v>0</v>
      </c>
      <c r="E38" s="4292">
        <v>0</v>
      </c>
      <c r="F38" s="4292">
        <v>0</v>
      </c>
      <c r="G38" s="4292">
        <v>0</v>
      </c>
      <c r="H38" s="4292">
        <v>0</v>
      </c>
      <c r="I38" s="4292">
        <v>0</v>
      </c>
      <c r="J38" s="4292">
        <v>0</v>
      </c>
      <c r="K38" s="4292">
        <v>0</v>
      </c>
      <c r="L38" s="4292">
        <v>0</v>
      </c>
      <c r="M38" s="4292">
        <v>0</v>
      </c>
      <c r="N38" s="4292">
        <v>0</v>
      </c>
      <c r="O38" s="4293">
        <v>0</v>
      </c>
      <c r="P38" s="1147">
        <v>0</v>
      </c>
      <c r="Q38" s="1147">
        <v>0</v>
      </c>
      <c r="R38" s="1147">
        <v>0</v>
      </c>
      <c r="S38" s="4309"/>
      <c r="T38" s="4307">
        <v>0</v>
      </c>
      <c r="U38" s="4310" t="s">
        <v>3953</v>
      </c>
    </row>
    <row r="39" spans="2:21">
      <c r="B39" s="1175" t="s">
        <v>3632</v>
      </c>
      <c r="C39" s="1176">
        <v>4806704.3826814592</v>
      </c>
      <c r="D39" s="4297">
        <v>294997.29936492193</v>
      </c>
      <c r="E39" s="4298">
        <v>303855.91697252286</v>
      </c>
      <c r="F39" s="4298">
        <v>299779.40006581147</v>
      </c>
      <c r="G39" s="4298">
        <v>323106.03664458648</v>
      </c>
      <c r="H39" s="4298">
        <v>318341.33431783249</v>
      </c>
      <c r="I39" s="4298">
        <v>353722.6121911045</v>
      </c>
      <c r="J39" s="4298">
        <v>335512.4279049561</v>
      </c>
      <c r="K39" s="4298">
        <v>289982.01219827653</v>
      </c>
      <c r="L39" s="4298">
        <v>313417.01410872716</v>
      </c>
      <c r="M39" s="4298">
        <v>397895.78330382786</v>
      </c>
      <c r="N39" s="4298">
        <v>306317.49162875535</v>
      </c>
      <c r="O39" s="4299">
        <v>419413.74500278058</v>
      </c>
      <c r="P39" s="1176">
        <v>3956341.0737041025</v>
      </c>
      <c r="Q39" s="1176">
        <v>7607698.7397440774</v>
      </c>
      <c r="R39" s="1176">
        <v>8087724.0566165475</v>
      </c>
      <c r="S39" s="4294"/>
      <c r="T39" s="4300">
        <v>-850363.30897735665</v>
      </c>
      <c r="U39" s="4301">
        <v>0.82308807838459697</v>
      </c>
    </row>
    <row r="40" spans="2:21">
      <c r="B40" s="1243" t="s">
        <v>1413</v>
      </c>
      <c r="C40" s="1244">
        <v>7145005.0649999995</v>
      </c>
      <c r="D40" s="4312">
        <v>489175.44036004588</v>
      </c>
      <c r="E40" s="4313">
        <v>499331.1531337882</v>
      </c>
      <c r="F40" s="4313">
        <v>501465.34016419452</v>
      </c>
      <c r="G40" s="4313">
        <v>525356.14963961637</v>
      </c>
      <c r="H40" s="4313">
        <v>520490.61228195415</v>
      </c>
      <c r="I40" s="4313">
        <v>555249.89623218752</v>
      </c>
      <c r="J40" s="4313">
        <v>539296.67898107483</v>
      </c>
      <c r="K40" s="4313">
        <v>509245.82992419362</v>
      </c>
      <c r="L40" s="4313">
        <v>520626.75478875759</v>
      </c>
      <c r="M40" s="4313">
        <v>603636.26239155023</v>
      </c>
      <c r="N40" s="4313">
        <v>513074.01441347762</v>
      </c>
      <c r="O40" s="4314">
        <v>633259.27760992968</v>
      </c>
      <c r="P40" s="1244">
        <v>6410207.4099207697</v>
      </c>
      <c r="Q40" s="1244">
        <v>10424488.707157411</v>
      </c>
      <c r="R40" s="1244">
        <v>11037314.347084815</v>
      </c>
      <c r="S40" s="4294"/>
      <c r="T40" s="4315">
        <v>-734797.65507922973</v>
      </c>
      <c r="U40" s="4316">
        <v>0.89715925343725</v>
      </c>
    </row>
    <row r="41" spans="2:21">
      <c r="B41" s="4286"/>
      <c r="C41" s="4317"/>
      <c r="D41" s="4317"/>
      <c r="E41" s="4317"/>
      <c r="F41" s="4317"/>
      <c r="G41" s="4317"/>
      <c r="H41" s="4317"/>
      <c r="I41" s="4317"/>
      <c r="J41" s="4317"/>
      <c r="K41" s="4317"/>
      <c r="L41" s="4317"/>
      <c r="M41" s="4317"/>
      <c r="N41" s="4317"/>
      <c r="O41" s="4317"/>
      <c r="P41" s="4318">
        <v>0.89715925343725</v>
      </c>
      <c r="Q41" s="4318">
        <v>1.6262326693242297</v>
      </c>
      <c r="R41" s="4318">
        <v>1.0587871172527283</v>
      </c>
      <c r="S41" s="4317"/>
      <c r="T41" s="4317"/>
      <c r="U41" s="4318"/>
    </row>
  </sheetData>
  <mergeCells count="2">
    <mergeCell ref="B2:R2"/>
    <mergeCell ref="B3:R3"/>
  </mergeCells>
  <phoneticPr fontId="1"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0AD8F-7B64-4A97-B087-B7C603CEA9C8}">
  <sheetPr codeName="Sheet53"/>
  <dimension ref="A1:R110"/>
  <sheetViews>
    <sheetView workbookViewId="0"/>
  </sheetViews>
  <sheetFormatPr defaultRowHeight="16.5"/>
  <cols>
    <col min="3" max="3" width="16.625" bestFit="1" customWidth="1"/>
    <col min="4" max="4" width="8.875" bestFit="1" customWidth="1"/>
    <col min="5" max="5" width="9.75" bestFit="1" customWidth="1"/>
    <col min="6" max="6" width="12.125" bestFit="1" customWidth="1"/>
    <col min="7" max="7" width="10.625" bestFit="1" customWidth="1"/>
    <col min="8" max="8" width="14" bestFit="1" customWidth="1"/>
    <col min="9" max="9" width="10.625" bestFit="1" customWidth="1"/>
    <col min="10" max="10" width="14" bestFit="1" customWidth="1"/>
    <col min="11" max="11" width="10.375" bestFit="1" customWidth="1"/>
    <col min="12" max="12" width="9.75" bestFit="1" customWidth="1"/>
    <col min="13" max="13" width="10.375" bestFit="1" customWidth="1"/>
    <col min="14" max="14" width="9.75" bestFit="1" customWidth="1"/>
    <col min="15" max="15" width="12.125" bestFit="1" customWidth="1"/>
  </cols>
  <sheetData>
    <row r="1" spans="1:18">
      <c r="A1" s="3"/>
      <c r="B1" s="3"/>
      <c r="C1" s="3"/>
      <c r="D1" s="3"/>
      <c r="E1" s="3"/>
      <c r="F1" s="3"/>
      <c r="G1" s="3"/>
      <c r="H1" s="3"/>
      <c r="I1" s="3"/>
      <c r="J1" s="3"/>
      <c r="K1" s="3"/>
      <c r="L1" s="3"/>
      <c r="M1" s="3"/>
      <c r="N1" s="3"/>
      <c r="O1" s="3"/>
      <c r="P1" s="3"/>
    </row>
    <row r="2" spans="1:18">
      <c r="A2" s="102"/>
      <c r="B2" s="102"/>
      <c r="C2" s="21" t="s">
        <v>134</v>
      </c>
      <c r="D2" s="102"/>
      <c r="E2" s="102"/>
      <c r="F2" s="102"/>
      <c r="G2" s="102"/>
      <c r="H2" s="102"/>
      <c r="I2" s="102"/>
      <c r="J2" s="102"/>
      <c r="K2" s="102"/>
      <c r="L2" s="102"/>
      <c r="M2" s="102"/>
      <c r="N2" s="102"/>
      <c r="O2" s="102"/>
      <c r="P2" s="102"/>
    </row>
    <row r="3" spans="1:18">
      <c r="A3" s="3"/>
      <c r="B3" s="3"/>
      <c r="C3" s="4045" t="s">
        <v>6559</v>
      </c>
      <c r="D3" s="4045"/>
      <c r="E3" s="4045"/>
      <c r="F3" s="4045"/>
      <c r="G3" s="4045"/>
      <c r="H3" s="4045"/>
      <c r="I3" s="4045"/>
      <c r="J3" s="4045"/>
      <c r="K3" s="4045"/>
      <c r="L3" s="4045"/>
      <c r="M3" s="4045"/>
      <c r="N3" s="4045"/>
      <c r="O3" s="4045"/>
      <c r="P3" s="4045"/>
    </row>
    <row r="4" spans="1:18">
      <c r="A4" s="3"/>
      <c r="B4" s="3"/>
      <c r="C4" s="569"/>
      <c r="D4" s="569"/>
      <c r="E4" s="569"/>
      <c r="F4" s="569"/>
      <c r="G4" s="569"/>
      <c r="H4" s="569"/>
      <c r="I4" s="569"/>
      <c r="J4" s="4046"/>
      <c r="K4" s="4046"/>
      <c r="L4" s="4046"/>
      <c r="M4" s="4046"/>
      <c r="N4" s="4046"/>
      <c r="O4" s="4046"/>
      <c r="P4" s="4046" t="s">
        <v>6560</v>
      </c>
    </row>
    <row r="5" spans="1:18">
      <c r="A5" s="3"/>
      <c r="B5" s="3"/>
      <c r="C5" s="5384" t="s">
        <v>2069</v>
      </c>
      <c r="D5" s="5384" t="s">
        <v>6561</v>
      </c>
      <c r="E5" s="5395" t="s">
        <v>6562</v>
      </c>
      <c r="F5" s="5396"/>
      <c r="G5" s="5395" t="s">
        <v>6563</v>
      </c>
      <c r="H5" s="5396"/>
      <c r="I5" s="4047" t="s">
        <v>6564</v>
      </c>
      <c r="J5" s="4048"/>
      <c r="K5" s="5397" t="s">
        <v>6565</v>
      </c>
      <c r="L5" s="5398"/>
      <c r="M5" s="5399"/>
      <c r="N5" s="5395" t="s">
        <v>6566</v>
      </c>
      <c r="O5" s="5396"/>
      <c r="P5" s="5384" t="s">
        <v>6567</v>
      </c>
    </row>
    <row r="6" spans="1:18">
      <c r="A6" s="3"/>
      <c r="B6" s="3"/>
      <c r="C6" s="5385"/>
      <c r="D6" s="5385"/>
      <c r="E6" s="4048" t="s">
        <v>6558</v>
      </c>
      <c r="F6" s="4048" t="s">
        <v>6022</v>
      </c>
      <c r="G6" s="4048" t="s">
        <v>6558</v>
      </c>
      <c r="H6" s="4048" t="s">
        <v>6022</v>
      </c>
      <c r="I6" s="4048" t="s">
        <v>6558</v>
      </c>
      <c r="J6" s="4048" t="s">
        <v>6022</v>
      </c>
      <c r="K6" s="4049" t="s">
        <v>5751</v>
      </c>
      <c r="L6" s="4049" t="s">
        <v>6568</v>
      </c>
      <c r="M6" s="4050" t="s">
        <v>5818</v>
      </c>
      <c r="N6" s="4048" t="s">
        <v>6558</v>
      </c>
      <c r="O6" s="4048" t="s">
        <v>6022</v>
      </c>
      <c r="P6" s="5385"/>
    </row>
    <row r="7" spans="1:18">
      <c r="A7" s="3" t="s">
        <v>69</v>
      </c>
      <c r="B7" s="3" t="s">
        <v>6569</v>
      </c>
      <c r="C7" s="4051" t="s">
        <v>1884</v>
      </c>
      <c r="D7" s="4052" t="s">
        <v>2668</v>
      </c>
      <c r="E7" s="4053">
        <v>4203.6099999999997</v>
      </c>
      <c r="F7" s="4054">
        <v>173385563.49159688</v>
      </c>
      <c r="G7" s="4054">
        <v>1847951.8976719996</v>
      </c>
      <c r="H7" s="4054">
        <v>78756926404</v>
      </c>
      <c r="I7" s="4054">
        <v>1849958.1826720003</v>
      </c>
      <c r="J7" s="4054">
        <v>78845629013.044205</v>
      </c>
      <c r="K7" s="4055">
        <v>0</v>
      </c>
      <c r="L7" s="4055">
        <v>0</v>
      </c>
      <c r="M7" s="4055">
        <v>0</v>
      </c>
      <c r="N7" s="4055">
        <v>2197.3249999994878</v>
      </c>
      <c r="O7" s="4055">
        <v>84682954.447357178</v>
      </c>
      <c r="P7" s="4056">
        <v>38539.112078266495</v>
      </c>
      <c r="Q7" t="s">
        <v>69</v>
      </c>
      <c r="R7" t="s">
        <v>6689</v>
      </c>
    </row>
    <row r="8" spans="1:18">
      <c r="A8" s="3" t="s">
        <v>69</v>
      </c>
      <c r="B8" s="3" t="s">
        <v>6569</v>
      </c>
      <c r="C8" s="4057"/>
      <c r="D8" s="4052" t="s">
        <v>6570</v>
      </c>
      <c r="E8" s="4053">
        <v>88.43</v>
      </c>
      <c r="F8" s="4054">
        <v>0</v>
      </c>
      <c r="G8" s="4054">
        <v>927574.8</v>
      </c>
      <c r="H8" s="4054">
        <v>0</v>
      </c>
      <c r="I8" s="4054">
        <v>927663.2300000001</v>
      </c>
      <c r="J8" s="4054">
        <v>0</v>
      </c>
      <c r="K8" s="4055">
        <v>0</v>
      </c>
      <c r="L8" s="4055"/>
      <c r="M8" s="4055">
        <v>0</v>
      </c>
      <c r="N8" s="4058">
        <v>0</v>
      </c>
      <c r="O8" s="4055">
        <v>0</v>
      </c>
      <c r="P8" s="4056" t="s">
        <v>3953</v>
      </c>
      <c r="Q8" t="s">
        <v>69</v>
      </c>
      <c r="R8" t="s">
        <v>6689</v>
      </c>
    </row>
    <row r="9" spans="1:18">
      <c r="A9" s="3" t="s">
        <v>69</v>
      </c>
      <c r="B9" s="3" t="s">
        <v>6571</v>
      </c>
      <c r="C9" s="4057"/>
      <c r="D9" s="4059" t="s">
        <v>2673</v>
      </c>
      <c r="E9" s="4060">
        <v>1209727.2748060001</v>
      </c>
      <c r="F9" s="4061">
        <v>649845957.07923901</v>
      </c>
      <c r="G9" s="4061">
        <v>29067723.110330004</v>
      </c>
      <c r="H9" s="4061">
        <v>15135101515</v>
      </c>
      <c r="I9" s="4061">
        <v>29903923.891336001</v>
      </c>
      <c r="J9" s="4061">
        <v>15620709786.079239</v>
      </c>
      <c r="K9" s="4062">
        <v>0</v>
      </c>
      <c r="L9" s="4063">
        <v>0</v>
      </c>
      <c r="M9" s="4062">
        <v>0</v>
      </c>
      <c r="N9" s="4062">
        <v>373526.49380000308</v>
      </c>
      <c r="O9" s="4062">
        <v>164237686</v>
      </c>
      <c r="P9" s="4064">
        <v>439.6948776756318</v>
      </c>
      <c r="Q9" t="s">
        <v>69</v>
      </c>
      <c r="R9" t="s">
        <v>6690</v>
      </c>
    </row>
    <row r="10" spans="1:18">
      <c r="A10" s="3" t="s">
        <v>69</v>
      </c>
      <c r="B10" s="3" t="s">
        <v>6571</v>
      </c>
      <c r="C10" s="4057"/>
      <c r="D10" s="4065" t="s">
        <v>6572</v>
      </c>
      <c r="E10" s="4066">
        <v>0</v>
      </c>
      <c r="F10" s="4067">
        <v>0</v>
      </c>
      <c r="G10" s="4067">
        <v>3637.6</v>
      </c>
      <c r="H10" s="4067">
        <v>0</v>
      </c>
      <c r="I10" s="4067">
        <v>3637.6</v>
      </c>
      <c r="J10" s="4067">
        <v>0</v>
      </c>
      <c r="K10" s="4068">
        <v>0</v>
      </c>
      <c r="L10" s="4068"/>
      <c r="M10" s="4068">
        <v>0</v>
      </c>
      <c r="N10" s="4069">
        <v>0</v>
      </c>
      <c r="O10" s="4068">
        <v>0</v>
      </c>
      <c r="P10" s="4070" t="s">
        <v>3953</v>
      </c>
      <c r="Q10" t="s">
        <v>69</v>
      </c>
      <c r="R10" t="s">
        <v>6690</v>
      </c>
    </row>
    <row r="11" spans="1:18">
      <c r="A11" s="3" t="s">
        <v>69</v>
      </c>
      <c r="B11" s="3" t="s">
        <v>6573</v>
      </c>
      <c r="C11" s="4057"/>
      <c r="D11" s="4052" t="s">
        <v>2681</v>
      </c>
      <c r="E11" s="4053">
        <v>30377.399999999998</v>
      </c>
      <c r="F11" s="4054">
        <v>1052999410.3517411</v>
      </c>
      <c r="G11" s="4054">
        <v>408897.09448249999</v>
      </c>
      <c r="H11" s="4054">
        <v>14575114377</v>
      </c>
      <c r="I11" s="4054">
        <v>394663.35448250006</v>
      </c>
      <c r="J11" s="4054">
        <v>13664927027.142746</v>
      </c>
      <c r="K11" s="4055">
        <v>0</v>
      </c>
      <c r="L11" s="4055">
        <v>0</v>
      </c>
      <c r="M11" s="4055">
        <v>0</v>
      </c>
      <c r="N11" s="4055">
        <v>44611.139999999956</v>
      </c>
      <c r="O11" s="4055">
        <v>1963186760.2089958</v>
      </c>
      <c r="P11" s="4056">
        <v>44006.648568249941</v>
      </c>
      <c r="Q11" t="s">
        <v>69</v>
      </c>
      <c r="R11" t="s">
        <v>6692</v>
      </c>
    </row>
    <row r="12" spans="1:18">
      <c r="A12" s="3" t="s">
        <v>69</v>
      </c>
      <c r="B12" s="3" t="s">
        <v>6573</v>
      </c>
      <c r="C12" s="4057"/>
      <c r="D12" s="4052" t="s">
        <v>6574</v>
      </c>
      <c r="E12" s="4053">
        <v>0</v>
      </c>
      <c r="F12" s="4054">
        <v>0</v>
      </c>
      <c r="G12" s="4054">
        <v>0</v>
      </c>
      <c r="H12" s="4054">
        <v>0</v>
      </c>
      <c r="I12" s="4054">
        <v>0</v>
      </c>
      <c r="J12" s="4054">
        <v>0</v>
      </c>
      <c r="K12" s="4055">
        <v>0</v>
      </c>
      <c r="L12" s="4055"/>
      <c r="M12" s="4055">
        <v>0</v>
      </c>
      <c r="N12" s="4058">
        <v>0</v>
      </c>
      <c r="O12" s="4055">
        <v>0</v>
      </c>
      <c r="P12" s="4056" t="s">
        <v>3953</v>
      </c>
      <c r="Q12" t="s">
        <v>69</v>
      </c>
      <c r="R12" t="s">
        <v>6692</v>
      </c>
    </row>
    <row r="13" spans="1:18">
      <c r="A13" s="3" t="s">
        <v>69</v>
      </c>
      <c r="B13" s="3" t="s">
        <v>6575</v>
      </c>
      <c r="C13" s="4057"/>
      <c r="D13" s="4059" t="s">
        <v>2678</v>
      </c>
      <c r="E13" s="4060">
        <v>5987.77</v>
      </c>
      <c r="F13" s="4061">
        <v>183909284</v>
      </c>
      <c r="G13" s="4061">
        <v>53200.241999999998</v>
      </c>
      <c r="H13" s="4061">
        <v>1558821380.6399999</v>
      </c>
      <c r="I13" s="4061">
        <v>57410.712000000007</v>
      </c>
      <c r="J13" s="4061">
        <v>1692293086.2794771</v>
      </c>
      <c r="K13" s="4062">
        <v>-17271869</v>
      </c>
      <c r="L13" s="4062">
        <v>11244476</v>
      </c>
      <c r="M13" s="4062">
        <v>-6027393</v>
      </c>
      <c r="N13" s="4062">
        <v>1777.2999999999956</v>
      </c>
      <c r="O13" s="4062">
        <v>44410185.360522747</v>
      </c>
      <c r="P13" s="4064">
        <v>24987.444641041388</v>
      </c>
      <c r="Q13" t="s">
        <v>69</v>
      </c>
      <c r="R13" t="s">
        <v>6691</v>
      </c>
    </row>
    <row r="14" spans="1:18">
      <c r="A14" s="3" t="s">
        <v>69</v>
      </c>
      <c r="B14" s="3" t="s">
        <v>6575</v>
      </c>
      <c r="C14" s="4057"/>
      <c r="D14" s="4065" t="s">
        <v>6576</v>
      </c>
      <c r="E14" s="4066">
        <v>325.88</v>
      </c>
      <c r="F14" s="4067">
        <v>0</v>
      </c>
      <c r="G14" s="4067">
        <v>13218.160000000002</v>
      </c>
      <c r="H14" s="4067">
        <v>0</v>
      </c>
      <c r="I14" s="4067">
        <v>13544.04</v>
      </c>
      <c r="J14" s="4067">
        <v>0</v>
      </c>
      <c r="K14" s="4068">
        <v>0</v>
      </c>
      <c r="L14" s="4068"/>
      <c r="M14" s="4068">
        <v>0</v>
      </c>
      <c r="N14" s="4069">
        <v>0</v>
      </c>
      <c r="O14" s="4068">
        <v>0</v>
      </c>
      <c r="P14" s="4070" t="s">
        <v>3953</v>
      </c>
      <c r="Q14" t="s">
        <v>69</v>
      </c>
      <c r="R14" t="s">
        <v>6691</v>
      </c>
    </row>
    <row r="15" spans="1:18">
      <c r="A15" s="3" t="s">
        <v>69</v>
      </c>
      <c r="B15" s="3" t="s">
        <v>6577</v>
      </c>
      <c r="C15" s="4057"/>
      <c r="D15" s="4071" t="s">
        <v>2686</v>
      </c>
      <c r="E15" s="4072">
        <v>7079050</v>
      </c>
      <c r="F15" s="4073">
        <v>39671812.263219453</v>
      </c>
      <c r="G15" s="4073">
        <v>252676497.926</v>
      </c>
      <c r="H15" s="4073">
        <v>737079557</v>
      </c>
      <c r="I15" s="4073">
        <v>256541100</v>
      </c>
      <c r="J15" s="4073">
        <v>753999288.58795452</v>
      </c>
      <c r="K15" s="4074">
        <v>0</v>
      </c>
      <c r="L15" s="4074">
        <v>-1314927</v>
      </c>
      <c r="M15" s="4074">
        <v>-1314927</v>
      </c>
      <c r="N15" s="4074">
        <v>3214447.925999999</v>
      </c>
      <c r="O15" s="4074">
        <v>21437153.675264955</v>
      </c>
      <c r="P15" s="4075">
        <v>6.6690001420993497</v>
      </c>
      <c r="Q15" t="s">
        <v>69</v>
      </c>
      <c r="R15" t="s">
        <v>6693</v>
      </c>
    </row>
    <row r="16" spans="1:18">
      <c r="A16" s="3" t="s">
        <v>69</v>
      </c>
      <c r="B16" s="3" t="s">
        <v>6577</v>
      </c>
      <c r="C16" s="4057"/>
      <c r="D16" s="4076" t="s">
        <v>6578</v>
      </c>
      <c r="E16" s="4053">
        <v>0</v>
      </c>
      <c r="F16" s="4054">
        <v>0</v>
      </c>
      <c r="G16" s="4077">
        <v>497668</v>
      </c>
      <c r="H16" s="4077">
        <v>29366532</v>
      </c>
      <c r="I16" s="4054">
        <v>42935</v>
      </c>
      <c r="J16" s="4054">
        <v>10226344</v>
      </c>
      <c r="K16" s="4055">
        <v>0</v>
      </c>
      <c r="L16" s="4055"/>
      <c r="M16" s="4055">
        <v>0</v>
      </c>
      <c r="N16" s="4055">
        <v>454733</v>
      </c>
      <c r="O16" s="4055">
        <v>19140188</v>
      </c>
      <c r="P16" s="4056">
        <v>42.091046834076259</v>
      </c>
      <c r="Q16" t="s">
        <v>69</v>
      </c>
      <c r="R16" t="s">
        <v>6693</v>
      </c>
    </row>
    <row r="17" spans="1:18">
      <c r="A17" s="3"/>
      <c r="B17" s="3"/>
      <c r="C17" s="4078"/>
      <c r="D17" s="4079" t="s">
        <v>6579</v>
      </c>
      <c r="E17" s="4080"/>
      <c r="F17" s="4081">
        <v>2099812027.1857963</v>
      </c>
      <c r="G17" s="4081"/>
      <c r="H17" s="4081">
        <v>110792409765.64</v>
      </c>
      <c r="I17" s="4082"/>
      <c r="J17" s="4081">
        <v>110587784545.13365</v>
      </c>
      <c r="K17" s="4081">
        <v>-17271869</v>
      </c>
      <c r="L17" s="4081">
        <v>9929549</v>
      </c>
      <c r="M17" s="4081">
        <v>-7342320</v>
      </c>
      <c r="N17" s="4082"/>
      <c r="O17" s="4081">
        <v>2297094927.6921406</v>
      </c>
      <c r="P17" s="4083"/>
    </row>
    <row r="18" spans="1:18">
      <c r="A18" s="3" t="s">
        <v>69</v>
      </c>
      <c r="B18" s="3" t="s">
        <v>6580</v>
      </c>
      <c r="C18" s="4084"/>
      <c r="D18" s="4085" t="s">
        <v>1308</v>
      </c>
      <c r="E18" s="4086"/>
      <c r="F18" s="4087"/>
      <c r="G18" s="4088">
        <v>2011890.8599999999</v>
      </c>
      <c r="H18" s="4088">
        <v>90209498520</v>
      </c>
      <c r="I18" s="4088">
        <v>2011890.8599999999</v>
      </c>
      <c r="J18" s="4088">
        <v>90209498520</v>
      </c>
      <c r="K18" s="4087"/>
      <c r="L18" s="4087"/>
      <c r="M18" s="4087"/>
      <c r="N18" s="4089">
        <v>0</v>
      </c>
      <c r="O18" s="4088">
        <v>0</v>
      </c>
      <c r="P18" s="4090"/>
      <c r="Q18" t="s">
        <v>69</v>
      </c>
      <c r="R18" t="s">
        <v>6689</v>
      </c>
    </row>
    <row r="19" spans="1:18">
      <c r="A19" s="3" t="s">
        <v>69</v>
      </c>
      <c r="B19" s="3" t="s">
        <v>6581</v>
      </c>
      <c r="C19" s="4052"/>
      <c r="D19" s="4085" t="s">
        <v>1309</v>
      </c>
      <c r="E19" s="4086"/>
      <c r="F19" s="4087"/>
      <c r="G19" s="4088">
        <v>14250000</v>
      </c>
      <c r="H19" s="4088">
        <v>7905962000</v>
      </c>
      <c r="I19" s="4088">
        <v>13700000</v>
      </c>
      <c r="J19" s="4088">
        <v>7611980400</v>
      </c>
      <c r="K19" s="4087"/>
      <c r="L19" s="4087"/>
      <c r="M19" s="4087"/>
      <c r="N19" s="4089">
        <v>550000</v>
      </c>
      <c r="O19" s="4088">
        <v>293981600</v>
      </c>
      <c r="P19" s="4090"/>
      <c r="Q19" t="s">
        <v>69</v>
      </c>
      <c r="R19" t="s">
        <v>6690</v>
      </c>
    </row>
    <row r="20" spans="1:18">
      <c r="A20" s="3"/>
      <c r="B20" s="3"/>
      <c r="C20" s="4076" t="s">
        <v>1885</v>
      </c>
      <c r="D20" s="4091" t="s">
        <v>2926</v>
      </c>
      <c r="E20" s="4092">
        <v>0</v>
      </c>
      <c r="F20" s="4093">
        <v>0</v>
      </c>
      <c r="G20" s="4093">
        <v>16261890.859999999</v>
      </c>
      <c r="H20" s="4093">
        <v>98115460520</v>
      </c>
      <c r="I20" s="4093">
        <v>15711890.859999999</v>
      </c>
      <c r="J20" s="4093">
        <v>97821478920</v>
      </c>
      <c r="K20" s="4093"/>
      <c r="L20" s="4093">
        <v>0</v>
      </c>
      <c r="M20" s="4093">
        <v>0</v>
      </c>
      <c r="N20" s="4094">
        <v>550000</v>
      </c>
      <c r="O20" s="4093">
        <v>293981600</v>
      </c>
      <c r="P20" s="4095">
        <v>534.51199999999994</v>
      </c>
    </row>
    <row r="21" spans="1:18">
      <c r="A21" s="3"/>
      <c r="B21" s="3"/>
      <c r="C21" s="4096" t="s">
        <v>1886</v>
      </c>
      <c r="D21" s="4097" t="s">
        <v>1942</v>
      </c>
      <c r="E21" s="4098">
        <v>0</v>
      </c>
      <c r="F21" s="4099">
        <v>0</v>
      </c>
      <c r="G21" s="4099">
        <v>0</v>
      </c>
      <c r="H21" s="4099">
        <v>0</v>
      </c>
      <c r="I21" s="4099">
        <v>0</v>
      </c>
      <c r="J21" s="4099">
        <v>0</v>
      </c>
      <c r="K21" s="4088">
        <v>0</v>
      </c>
      <c r="L21" s="4088">
        <v>0</v>
      </c>
      <c r="M21" s="4088">
        <v>0</v>
      </c>
      <c r="N21" s="4089">
        <v>0</v>
      </c>
      <c r="O21" s="4100">
        <v>0</v>
      </c>
      <c r="P21" s="4100" t="s">
        <v>3953</v>
      </c>
    </row>
    <row r="22" spans="1:18">
      <c r="A22" s="3"/>
      <c r="B22" s="3"/>
      <c r="C22" s="4101"/>
      <c r="D22" s="4102" t="s">
        <v>2767</v>
      </c>
      <c r="E22" s="4103">
        <v>0</v>
      </c>
      <c r="F22" s="4104">
        <v>0</v>
      </c>
      <c r="G22" s="4104">
        <v>0</v>
      </c>
      <c r="H22" s="4104">
        <v>0</v>
      </c>
      <c r="I22" s="4104">
        <v>0</v>
      </c>
      <c r="J22" s="4104">
        <v>0</v>
      </c>
      <c r="K22" s="4104">
        <v>0</v>
      </c>
      <c r="L22" s="4104">
        <v>0</v>
      </c>
      <c r="M22" s="4104">
        <v>0</v>
      </c>
      <c r="N22" s="4104">
        <v>0</v>
      </c>
      <c r="O22" s="4103">
        <v>0</v>
      </c>
      <c r="P22" s="4105" t="s">
        <v>3953</v>
      </c>
    </row>
    <row r="23" spans="1:18">
      <c r="A23" s="3"/>
      <c r="B23" s="3"/>
      <c r="C23" s="4106"/>
      <c r="D23" s="4107" t="s">
        <v>6579</v>
      </c>
      <c r="E23" s="4108"/>
      <c r="F23" s="4081">
        <v>0</v>
      </c>
      <c r="G23" s="4081"/>
      <c r="H23" s="4081">
        <v>0</v>
      </c>
      <c r="I23" s="4081"/>
      <c r="J23" s="4081">
        <v>0</v>
      </c>
      <c r="K23" s="4081">
        <v>0</v>
      </c>
      <c r="L23" s="4081">
        <v>0</v>
      </c>
      <c r="M23" s="4081">
        <v>0</v>
      </c>
      <c r="N23" s="4081"/>
      <c r="O23" s="4080">
        <v>0</v>
      </c>
      <c r="P23" s="4083"/>
    </row>
    <row r="24" spans="1:18">
      <c r="A24" s="3" t="s">
        <v>69</v>
      </c>
      <c r="B24" s="3" t="s">
        <v>6582</v>
      </c>
      <c r="C24" s="4109" t="s">
        <v>2820</v>
      </c>
      <c r="D24" s="4102" t="s">
        <v>6583</v>
      </c>
      <c r="E24" s="4108">
        <v>7426298.0000000168</v>
      </c>
      <c r="F24" s="4081">
        <v>62162481.093785048</v>
      </c>
      <c r="G24" s="4110">
        <v>410649779.99999994</v>
      </c>
      <c r="H24" s="4110">
        <v>4322774423</v>
      </c>
      <c r="I24" s="4110">
        <v>412419683</v>
      </c>
      <c r="J24" s="4110">
        <v>4334614226.0241547</v>
      </c>
      <c r="K24" s="4081">
        <v>-19965209</v>
      </c>
      <c r="L24" s="4081">
        <v>-2919026</v>
      </c>
      <c r="M24" s="4081">
        <v>-22884235</v>
      </c>
      <c r="N24" s="4081">
        <v>5656394.9999999404</v>
      </c>
      <c r="O24" s="4080">
        <v>27438443.069630623</v>
      </c>
      <c r="P24" s="4111">
        <v>4.8508711060014216</v>
      </c>
      <c r="Q24" t="s">
        <v>69</v>
      </c>
      <c r="R24" t="s">
        <v>5586</v>
      </c>
    </row>
    <row r="25" spans="1:18">
      <c r="A25" s="3"/>
      <c r="B25" s="3"/>
      <c r="C25" s="4057" t="s">
        <v>2770</v>
      </c>
      <c r="D25" s="4112" t="s">
        <v>2691</v>
      </c>
      <c r="E25" s="4113">
        <v>0</v>
      </c>
      <c r="F25" s="4114">
        <v>0</v>
      </c>
      <c r="G25" s="4114">
        <v>0</v>
      </c>
      <c r="H25" s="4114">
        <v>0</v>
      </c>
      <c r="I25" s="4114">
        <v>0</v>
      </c>
      <c r="J25" s="4114">
        <v>0</v>
      </c>
      <c r="K25" s="4114">
        <v>0</v>
      </c>
      <c r="L25" s="4114">
        <v>0</v>
      </c>
      <c r="M25" s="4114">
        <v>0</v>
      </c>
      <c r="N25" s="4115">
        <v>0</v>
      </c>
      <c r="O25" s="4114">
        <v>0</v>
      </c>
      <c r="P25" s="4116" t="s">
        <v>3953</v>
      </c>
    </row>
    <row r="26" spans="1:18">
      <c r="A26" s="3"/>
      <c r="B26" s="3"/>
      <c r="C26" s="5386" t="s">
        <v>2762</v>
      </c>
      <c r="D26" s="5387"/>
      <c r="E26" s="4117"/>
      <c r="F26" s="4117">
        <v>2161974508.2795811</v>
      </c>
      <c r="G26" s="4117"/>
      <c r="H26" s="4117">
        <v>213230644708.64001</v>
      </c>
      <c r="I26" s="4117"/>
      <c r="J26" s="4118">
        <v>212743877691.15784</v>
      </c>
      <c r="K26" s="4117">
        <v>-37237078</v>
      </c>
      <c r="L26" s="4117">
        <v>7010523</v>
      </c>
      <c r="M26" s="4117">
        <v>-30226555</v>
      </c>
      <c r="N26" s="4117"/>
      <c r="O26" s="4117">
        <v>2618514970.7617712</v>
      </c>
      <c r="P26" s="4119"/>
    </row>
    <row r="27" spans="1:18">
      <c r="A27" s="3"/>
      <c r="B27" s="3"/>
      <c r="C27" s="1" t="s">
        <v>6502</v>
      </c>
      <c r="D27" s="3"/>
      <c r="E27" s="3"/>
      <c r="F27" s="3"/>
      <c r="G27" s="3"/>
      <c r="H27" s="3"/>
      <c r="I27" s="3"/>
      <c r="J27" s="3"/>
      <c r="K27" s="3"/>
      <c r="L27" s="3"/>
      <c r="M27" s="3"/>
      <c r="N27" s="3"/>
      <c r="O27" s="3"/>
      <c r="P27" s="3"/>
    </row>
    <row r="28" spans="1:18">
      <c r="A28" s="3"/>
      <c r="B28" s="3"/>
      <c r="C28" s="1"/>
      <c r="D28" s="3"/>
      <c r="E28" s="3"/>
      <c r="F28" s="3"/>
      <c r="G28" s="3"/>
      <c r="H28" s="3"/>
      <c r="I28" s="3"/>
      <c r="J28" s="3"/>
      <c r="K28" s="3"/>
      <c r="L28" s="3"/>
      <c r="M28" s="3"/>
      <c r="N28" s="3"/>
      <c r="O28" s="3"/>
      <c r="P28" s="3"/>
    </row>
    <row r="29" spans="1:18">
      <c r="A29" s="3"/>
      <c r="B29" s="3"/>
      <c r="C29" s="3"/>
      <c r="D29" s="3"/>
      <c r="E29" s="3"/>
      <c r="F29" s="3"/>
      <c r="G29" s="3"/>
      <c r="H29" s="3"/>
      <c r="I29" s="3"/>
      <c r="J29" s="3"/>
      <c r="K29" s="3"/>
      <c r="L29" s="3"/>
      <c r="M29" s="3"/>
      <c r="N29" s="3"/>
      <c r="O29" s="3"/>
      <c r="P29" s="3"/>
    </row>
    <row r="30" spans="1:18">
      <c r="A30" s="102"/>
      <c r="B30" s="102"/>
      <c r="C30" s="21" t="s">
        <v>129</v>
      </c>
      <c r="D30" s="102"/>
      <c r="E30" s="102"/>
      <c r="F30" s="102"/>
      <c r="G30" s="102"/>
      <c r="H30" s="102"/>
      <c r="I30" s="102"/>
      <c r="J30" s="102"/>
      <c r="K30" s="102"/>
      <c r="L30" s="102"/>
      <c r="M30" s="102"/>
      <c r="N30" s="102"/>
      <c r="O30" s="102"/>
      <c r="P30" s="102"/>
    </row>
    <row r="31" spans="1:18">
      <c r="A31" s="3"/>
      <c r="B31" s="3"/>
      <c r="C31" s="4045" t="s">
        <v>6559</v>
      </c>
      <c r="D31" s="4045"/>
      <c r="E31" s="4045"/>
      <c r="F31" s="4045"/>
      <c r="G31" s="4045"/>
      <c r="H31" s="4045"/>
      <c r="I31" s="4045"/>
      <c r="J31" s="4045"/>
      <c r="K31" s="4045"/>
      <c r="L31" s="4045"/>
      <c r="M31" s="4045"/>
      <c r="N31" s="4045"/>
      <c r="O31" s="4045"/>
      <c r="P31" s="4045"/>
    </row>
    <row r="32" spans="1:18">
      <c r="A32" s="3"/>
      <c r="B32" s="3"/>
      <c r="C32" s="569"/>
      <c r="D32" s="569"/>
      <c r="E32" s="569"/>
      <c r="F32" s="569"/>
      <c r="G32" s="569"/>
      <c r="H32" s="569"/>
      <c r="I32" s="569"/>
      <c r="J32" s="4046"/>
      <c r="K32" s="4046"/>
      <c r="L32" s="4046"/>
      <c r="M32" s="4046"/>
      <c r="N32" s="4046"/>
      <c r="O32" s="4046"/>
      <c r="P32" s="4046" t="s">
        <v>6560</v>
      </c>
    </row>
    <row r="33" spans="1:18">
      <c r="A33" s="3"/>
      <c r="B33" s="3"/>
      <c r="C33" s="5388" t="s">
        <v>2069</v>
      </c>
      <c r="D33" s="5388" t="s">
        <v>6561</v>
      </c>
      <c r="E33" s="5390" t="s">
        <v>6562</v>
      </c>
      <c r="F33" s="5391"/>
      <c r="G33" s="5390" t="s">
        <v>6563</v>
      </c>
      <c r="H33" s="5391"/>
      <c r="I33" s="4120" t="s">
        <v>6564</v>
      </c>
      <c r="J33" s="4121"/>
      <c r="K33" s="5392" t="s">
        <v>6565</v>
      </c>
      <c r="L33" s="5393"/>
      <c r="M33" s="5394"/>
      <c r="N33" s="5390" t="s">
        <v>6566</v>
      </c>
      <c r="O33" s="5391"/>
      <c r="P33" s="5388" t="s">
        <v>6567</v>
      </c>
    </row>
    <row r="34" spans="1:18">
      <c r="A34" s="3"/>
      <c r="B34" s="3"/>
      <c r="C34" s="5389"/>
      <c r="D34" s="5389"/>
      <c r="E34" s="4121" t="s">
        <v>6558</v>
      </c>
      <c r="F34" s="4121" t="s">
        <v>6022</v>
      </c>
      <c r="G34" s="4121" t="s">
        <v>6558</v>
      </c>
      <c r="H34" s="4121" t="s">
        <v>6022</v>
      </c>
      <c r="I34" s="4121" t="s">
        <v>6558</v>
      </c>
      <c r="J34" s="4121" t="s">
        <v>6022</v>
      </c>
      <c r="K34" s="4122" t="s">
        <v>5751</v>
      </c>
      <c r="L34" s="4122" t="s">
        <v>6568</v>
      </c>
      <c r="M34" s="4123" t="s">
        <v>5818</v>
      </c>
      <c r="N34" s="4121" t="s">
        <v>6558</v>
      </c>
      <c r="O34" s="4121" t="s">
        <v>6022</v>
      </c>
      <c r="P34" s="5389"/>
    </row>
    <row r="35" spans="1:18">
      <c r="A35" s="3" t="s">
        <v>27</v>
      </c>
      <c r="B35" s="3" t="s">
        <v>6569</v>
      </c>
      <c r="C35" s="4124" t="s">
        <v>1884</v>
      </c>
      <c r="D35" s="4125" t="s">
        <v>2668</v>
      </c>
      <c r="E35" s="4054">
        <v>2197.3249999999998</v>
      </c>
      <c r="F35" s="4054">
        <v>84682954.447364405</v>
      </c>
      <c r="G35" s="4054">
        <v>1613257.6432920001</v>
      </c>
      <c r="H35" s="4054">
        <v>79408273267</v>
      </c>
      <c r="I35" s="4054">
        <v>1610432.061922</v>
      </c>
      <c r="J35" s="4054">
        <v>79216664682.47049</v>
      </c>
      <c r="K35" s="4055">
        <v>0</v>
      </c>
      <c r="L35" s="4055">
        <v>0</v>
      </c>
      <c r="M35" s="4055">
        <v>0</v>
      </c>
      <c r="N35" s="4055">
        <v>5022.9063699999824</v>
      </c>
      <c r="O35" s="4055">
        <v>276291538.97686768</v>
      </c>
      <c r="P35" s="4055">
        <v>55006.308822927283</v>
      </c>
      <c r="Q35" t="s">
        <v>27</v>
      </c>
      <c r="R35" t="s">
        <v>6689</v>
      </c>
    </row>
    <row r="36" spans="1:18">
      <c r="A36" s="3" t="s">
        <v>27</v>
      </c>
      <c r="B36" s="3" t="s">
        <v>6569</v>
      </c>
      <c r="C36" s="4126"/>
      <c r="D36" s="4125" t="s">
        <v>6570</v>
      </c>
      <c r="E36" s="4054">
        <v>0</v>
      </c>
      <c r="F36" s="4054">
        <v>0</v>
      </c>
      <c r="G36" s="4054">
        <v>433657.89000000007</v>
      </c>
      <c r="H36" s="4054">
        <v>0</v>
      </c>
      <c r="I36" s="4054">
        <v>433657.89000000007</v>
      </c>
      <c r="J36" s="4054">
        <v>0</v>
      </c>
      <c r="K36" s="4055">
        <v>0</v>
      </c>
      <c r="L36" s="4055"/>
      <c r="M36" s="4055">
        <v>0</v>
      </c>
      <c r="N36" s="4058">
        <v>0</v>
      </c>
      <c r="O36" s="4055">
        <v>0</v>
      </c>
      <c r="P36" s="4055" t="s">
        <v>3953</v>
      </c>
      <c r="Q36" t="s">
        <v>27</v>
      </c>
      <c r="R36" t="s">
        <v>6689</v>
      </c>
    </row>
    <row r="37" spans="1:18">
      <c r="A37" s="3" t="s">
        <v>27</v>
      </c>
      <c r="B37" s="3" t="s">
        <v>6571</v>
      </c>
      <c r="C37" s="4126"/>
      <c r="D37" s="4127" t="s">
        <v>2673</v>
      </c>
      <c r="E37" s="4061">
        <v>373526.4938</v>
      </c>
      <c r="F37" s="4061">
        <v>164237686</v>
      </c>
      <c r="G37" s="4061">
        <v>22673201.162418999</v>
      </c>
      <c r="H37" s="4061">
        <v>12910641034</v>
      </c>
      <c r="I37" s="4061">
        <v>22492063.456218995</v>
      </c>
      <c r="J37" s="4061">
        <v>12722472842</v>
      </c>
      <c r="K37" s="4062">
        <v>0</v>
      </c>
      <c r="L37" s="4063">
        <v>0</v>
      </c>
      <c r="M37" s="4062">
        <v>0</v>
      </c>
      <c r="N37" s="4062">
        <v>554664.20000000298</v>
      </c>
      <c r="O37" s="4062">
        <v>352405878</v>
      </c>
      <c r="P37" s="4062">
        <v>635.34996129189176</v>
      </c>
      <c r="Q37" t="s">
        <v>27</v>
      </c>
      <c r="R37" t="s">
        <v>6690</v>
      </c>
    </row>
    <row r="38" spans="1:18">
      <c r="A38" s="3" t="s">
        <v>27</v>
      </c>
      <c r="B38" s="3" t="s">
        <v>6571</v>
      </c>
      <c r="C38" s="4126"/>
      <c r="D38" s="4128" t="s">
        <v>6572</v>
      </c>
      <c r="E38" s="4067">
        <v>0</v>
      </c>
      <c r="F38" s="4067">
        <v>0</v>
      </c>
      <c r="G38" s="4067">
        <v>335432</v>
      </c>
      <c r="H38" s="4067">
        <v>0</v>
      </c>
      <c r="I38" s="4067">
        <v>335432</v>
      </c>
      <c r="J38" s="4067">
        <v>0</v>
      </c>
      <c r="K38" s="4068">
        <v>0</v>
      </c>
      <c r="L38" s="4068"/>
      <c r="M38" s="4068">
        <v>0</v>
      </c>
      <c r="N38" s="4069">
        <v>0</v>
      </c>
      <c r="O38" s="4068">
        <v>0</v>
      </c>
      <c r="P38" s="4068" t="s">
        <v>3953</v>
      </c>
      <c r="Q38" t="s">
        <v>27</v>
      </c>
      <c r="R38" t="s">
        <v>6690</v>
      </c>
    </row>
    <row r="39" spans="1:18">
      <c r="A39" s="3" t="s">
        <v>27</v>
      </c>
      <c r="B39" s="3" t="s">
        <v>6573</v>
      </c>
      <c r="C39" s="4126"/>
      <c r="D39" s="4125" t="s">
        <v>2681</v>
      </c>
      <c r="E39" s="4054">
        <v>44611.14</v>
      </c>
      <c r="F39" s="4054">
        <v>1963186760.2089949</v>
      </c>
      <c r="G39" s="4054">
        <v>413821.48418699991</v>
      </c>
      <c r="H39" s="4054">
        <v>22456739170</v>
      </c>
      <c r="I39" s="4054">
        <v>456473.62418700004</v>
      </c>
      <c r="J39" s="4054">
        <v>24279776876.208996</v>
      </c>
      <c r="K39" s="4055">
        <v>0</v>
      </c>
      <c r="L39" s="4055">
        <v>-1303304</v>
      </c>
      <c r="M39" s="4055">
        <v>-1303304</v>
      </c>
      <c r="N39" s="4055">
        <v>1958.9999999998836</v>
      </c>
      <c r="O39" s="4055">
        <v>138845750</v>
      </c>
      <c r="P39" s="4055">
        <v>70875.829504853624</v>
      </c>
      <c r="Q39" t="s">
        <v>27</v>
      </c>
      <c r="R39" t="s">
        <v>6692</v>
      </c>
    </row>
    <row r="40" spans="1:18">
      <c r="A40" s="3" t="s">
        <v>27</v>
      </c>
      <c r="B40" s="3" t="s">
        <v>6573</v>
      </c>
      <c r="C40" s="4126"/>
      <c r="D40" s="4125" t="s">
        <v>6574</v>
      </c>
      <c r="E40" s="4054">
        <v>0</v>
      </c>
      <c r="F40" s="4054">
        <v>0</v>
      </c>
      <c r="G40" s="4054">
        <v>0</v>
      </c>
      <c r="H40" s="4054">
        <v>0</v>
      </c>
      <c r="I40" s="4054">
        <v>0</v>
      </c>
      <c r="J40" s="4054">
        <v>0</v>
      </c>
      <c r="K40" s="4055">
        <v>0</v>
      </c>
      <c r="L40" s="4055"/>
      <c r="M40" s="4055">
        <v>0</v>
      </c>
      <c r="N40" s="4058">
        <v>0</v>
      </c>
      <c r="O40" s="4055">
        <v>0</v>
      </c>
      <c r="P40" s="4055" t="s">
        <v>3953</v>
      </c>
      <c r="Q40" t="s">
        <v>27</v>
      </c>
      <c r="R40" t="s">
        <v>6692</v>
      </c>
    </row>
    <row r="41" spans="1:18">
      <c r="A41" s="3" t="s">
        <v>27</v>
      </c>
      <c r="B41" s="3" t="s">
        <v>6575</v>
      </c>
      <c r="C41" s="4126"/>
      <c r="D41" s="4127" t="s">
        <v>2678</v>
      </c>
      <c r="E41" s="4061">
        <v>1777.2999999999997</v>
      </c>
      <c r="F41" s="4061">
        <v>50437578.360522896</v>
      </c>
      <c r="G41" s="4061">
        <v>96618.359222000014</v>
      </c>
      <c r="H41" s="4061">
        <v>2850478343</v>
      </c>
      <c r="I41" s="4061">
        <v>98395.659222000002</v>
      </c>
      <c r="J41" s="4061">
        <v>2900915921.3605232</v>
      </c>
      <c r="K41" s="4062">
        <v>-6027393</v>
      </c>
      <c r="L41" s="4062">
        <v>6027393</v>
      </c>
      <c r="M41" s="4062">
        <v>0</v>
      </c>
      <c r="N41" s="4062">
        <v>0</v>
      </c>
      <c r="O41" s="4062">
        <v>-4.76837158203125E-7</v>
      </c>
      <c r="P41" s="4062" t="s">
        <v>3953</v>
      </c>
      <c r="Q41" t="s">
        <v>27</v>
      </c>
      <c r="R41" t="s">
        <v>6691</v>
      </c>
    </row>
    <row r="42" spans="1:18">
      <c r="A42" s="3" t="s">
        <v>27</v>
      </c>
      <c r="B42" s="3" t="s">
        <v>6575</v>
      </c>
      <c r="C42" s="4126"/>
      <c r="D42" s="4128" t="s">
        <v>6576</v>
      </c>
      <c r="E42" s="4067">
        <v>0</v>
      </c>
      <c r="F42" s="4067">
        <v>0</v>
      </c>
      <c r="G42" s="4067">
        <v>9715.7100000000009</v>
      </c>
      <c r="H42" s="4067">
        <v>0</v>
      </c>
      <c r="I42" s="4067">
        <v>9715.7100000000009</v>
      </c>
      <c r="J42" s="4067">
        <v>0</v>
      </c>
      <c r="K42" s="4068">
        <v>0</v>
      </c>
      <c r="L42" s="4068"/>
      <c r="M42" s="4068">
        <v>0</v>
      </c>
      <c r="N42" s="4069">
        <v>0</v>
      </c>
      <c r="O42" s="4068">
        <v>0</v>
      </c>
      <c r="P42" s="4068" t="s">
        <v>3953</v>
      </c>
      <c r="Q42" t="s">
        <v>27</v>
      </c>
      <c r="R42" t="s">
        <v>6691</v>
      </c>
    </row>
    <row r="43" spans="1:18">
      <c r="A43" s="3" t="s">
        <v>27</v>
      </c>
      <c r="B43" s="3" t="s">
        <v>6577</v>
      </c>
      <c r="C43" s="4126"/>
      <c r="D43" s="4129" t="s">
        <v>2686</v>
      </c>
      <c r="E43" s="4073">
        <v>3214447.926</v>
      </c>
      <c r="F43" s="4073">
        <v>22752080.675264932</v>
      </c>
      <c r="G43" s="4073">
        <v>46024421.850000001</v>
      </c>
      <c r="H43" s="4073">
        <v>238731552</v>
      </c>
      <c r="I43" s="4073">
        <v>48433169.776000001</v>
      </c>
      <c r="J43" s="4073">
        <v>257686064.55908459</v>
      </c>
      <c r="K43" s="4074">
        <v>-1314927</v>
      </c>
      <c r="L43" s="4074">
        <v>1314927</v>
      </c>
      <c r="M43" s="4074">
        <v>0</v>
      </c>
      <c r="N43" s="4074">
        <v>805700</v>
      </c>
      <c r="O43" s="4074">
        <v>3797568.1161803305</v>
      </c>
      <c r="P43" s="4074">
        <v>4.7133773317367886</v>
      </c>
      <c r="Q43" t="s">
        <v>27</v>
      </c>
      <c r="R43" t="s">
        <v>6693</v>
      </c>
    </row>
    <row r="44" spans="1:18">
      <c r="A44" s="3" t="s">
        <v>27</v>
      </c>
      <c r="B44" s="3" t="s">
        <v>6577</v>
      </c>
      <c r="C44" s="4126"/>
      <c r="D44" s="4130" t="s">
        <v>6578</v>
      </c>
      <c r="E44" s="4054">
        <v>454733</v>
      </c>
      <c r="F44" s="4054">
        <v>19140188</v>
      </c>
      <c r="G44" s="4077">
        <v>59424156</v>
      </c>
      <c r="H44" s="4077">
        <v>9125769</v>
      </c>
      <c r="I44" s="4054">
        <v>59650489</v>
      </c>
      <c r="J44" s="4054">
        <v>26705740.949159693</v>
      </c>
      <c r="K44" s="4055">
        <v>0</v>
      </c>
      <c r="L44" s="4055"/>
      <c r="M44" s="4055">
        <v>0</v>
      </c>
      <c r="N44" s="4055">
        <v>228400</v>
      </c>
      <c r="O44" s="4055">
        <v>1560216.050840307</v>
      </c>
      <c r="P44" s="4055">
        <v>6.8310685238192077</v>
      </c>
      <c r="Q44" t="s">
        <v>27</v>
      </c>
      <c r="R44" t="s">
        <v>6693</v>
      </c>
    </row>
    <row r="45" spans="1:18">
      <c r="A45" s="3"/>
      <c r="B45" s="3"/>
      <c r="C45" s="4131"/>
      <c r="D45" s="4132" t="s">
        <v>6579</v>
      </c>
      <c r="E45" s="4081"/>
      <c r="F45" s="4081">
        <v>2304437247.6921468</v>
      </c>
      <c r="G45" s="4081"/>
      <c r="H45" s="4081">
        <v>117873989135</v>
      </c>
      <c r="I45" s="4082"/>
      <c r="J45" s="4081">
        <v>119404222127.54825</v>
      </c>
      <c r="K45" s="4081">
        <v>-7342320</v>
      </c>
      <c r="L45" s="4081">
        <v>6039016</v>
      </c>
      <c r="M45" s="4081">
        <v>-1303304</v>
      </c>
      <c r="N45" s="4082"/>
      <c r="O45" s="4081">
        <v>772900951.14388776</v>
      </c>
      <c r="P45" s="4082"/>
    </row>
    <row r="46" spans="1:18">
      <c r="A46" s="3" t="s">
        <v>27</v>
      </c>
      <c r="B46" s="3" t="s">
        <v>6580</v>
      </c>
      <c r="C46" s="4126"/>
      <c r="D46" s="4133" t="s">
        <v>1308</v>
      </c>
      <c r="E46" s="4088">
        <v>0</v>
      </c>
      <c r="F46" s="4088">
        <v>0</v>
      </c>
      <c r="G46" s="4088">
        <v>1688917.98</v>
      </c>
      <c r="H46" s="4088">
        <v>87902204090</v>
      </c>
      <c r="I46" s="4088">
        <v>1688917.98</v>
      </c>
      <c r="J46" s="4088">
        <v>87902204090</v>
      </c>
      <c r="K46" s="4088">
        <v>0</v>
      </c>
      <c r="L46" s="4088">
        <v>0</v>
      </c>
      <c r="M46" s="4088">
        <v>0</v>
      </c>
      <c r="N46" s="4089">
        <v>0</v>
      </c>
      <c r="O46" s="4088">
        <v>0</v>
      </c>
      <c r="P46" s="4089"/>
      <c r="Q46" t="s">
        <v>27</v>
      </c>
      <c r="R46" t="s">
        <v>6689</v>
      </c>
    </row>
    <row r="47" spans="1:18">
      <c r="A47" s="3" t="s">
        <v>27</v>
      </c>
      <c r="B47" s="3" t="s">
        <v>6581</v>
      </c>
      <c r="C47" s="4126"/>
      <c r="D47" s="4133" t="s">
        <v>1309</v>
      </c>
      <c r="E47" s="4088">
        <v>550000</v>
      </c>
      <c r="F47" s="4088">
        <v>293981600</v>
      </c>
      <c r="G47" s="4088">
        <v>7068000</v>
      </c>
      <c r="H47" s="4088">
        <v>4510824000</v>
      </c>
      <c r="I47" s="4088">
        <v>7618000</v>
      </c>
      <c r="J47" s="4088">
        <v>4804805600</v>
      </c>
      <c r="K47" s="4088">
        <v>0</v>
      </c>
      <c r="L47" s="4088">
        <v>0</v>
      </c>
      <c r="M47" s="4088">
        <v>0</v>
      </c>
      <c r="N47" s="4089">
        <v>0</v>
      </c>
      <c r="O47" s="4088">
        <v>0</v>
      </c>
      <c r="P47" s="4089"/>
      <c r="Q47" t="s">
        <v>27</v>
      </c>
      <c r="R47" t="s">
        <v>6690</v>
      </c>
    </row>
    <row r="48" spans="1:18">
      <c r="A48" s="3"/>
      <c r="B48" s="3"/>
      <c r="C48" s="4126" t="s">
        <v>1885</v>
      </c>
      <c r="D48" s="4134"/>
      <c r="E48" s="4093">
        <v>550000</v>
      </c>
      <c r="F48" s="4093">
        <v>293981600</v>
      </c>
      <c r="G48" s="4093">
        <v>8756917.9800000004</v>
      </c>
      <c r="H48" s="4093">
        <v>92413028090</v>
      </c>
      <c r="I48" s="4093">
        <v>9306917.9800000004</v>
      </c>
      <c r="J48" s="4093">
        <v>92707009690</v>
      </c>
      <c r="K48" s="4093"/>
      <c r="L48" s="4093">
        <v>0</v>
      </c>
      <c r="M48" s="4093">
        <v>0</v>
      </c>
      <c r="N48" s="4094">
        <v>0</v>
      </c>
      <c r="O48" s="4093">
        <v>0</v>
      </c>
      <c r="P48" s="4135" t="s">
        <v>3953</v>
      </c>
    </row>
    <row r="49" spans="1:18">
      <c r="A49" s="3" t="s">
        <v>27</v>
      </c>
      <c r="B49" s="3" t="s">
        <v>2684</v>
      </c>
      <c r="C49" s="4136" t="s">
        <v>2684</v>
      </c>
      <c r="D49" s="4137" t="s">
        <v>1942</v>
      </c>
      <c r="E49" s="4099"/>
      <c r="F49" s="4099"/>
      <c r="G49" s="4099">
        <v>120486.13999999998</v>
      </c>
      <c r="H49" s="4099">
        <v>6761156047</v>
      </c>
      <c r="I49" s="4099">
        <v>120486.13999999998</v>
      </c>
      <c r="J49" s="4099">
        <v>6761156047</v>
      </c>
      <c r="K49" s="4088">
        <v>0</v>
      </c>
      <c r="L49" s="4088">
        <v>0</v>
      </c>
      <c r="M49" s="4088">
        <v>0</v>
      </c>
      <c r="N49" s="4089">
        <v>0</v>
      </c>
      <c r="O49" s="4089">
        <v>0</v>
      </c>
      <c r="P49" s="4089" t="s">
        <v>3953</v>
      </c>
      <c r="Q49" t="s">
        <v>27</v>
      </c>
      <c r="R49" t="s">
        <v>1878</v>
      </c>
    </row>
    <row r="50" spans="1:18">
      <c r="A50" s="3" t="s">
        <v>27</v>
      </c>
      <c r="B50" s="3" t="s">
        <v>2684</v>
      </c>
      <c r="C50" s="562"/>
      <c r="D50" s="4138" t="s">
        <v>2767</v>
      </c>
      <c r="E50" s="4104"/>
      <c r="F50" s="4104"/>
      <c r="G50" s="4104">
        <v>189036030</v>
      </c>
      <c r="H50" s="4104">
        <v>0</v>
      </c>
      <c r="I50" s="4104">
        <v>189036030</v>
      </c>
      <c r="J50" s="4104">
        <v>0</v>
      </c>
      <c r="K50" s="4104">
        <v>0</v>
      </c>
      <c r="L50" s="4104">
        <v>0</v>
      </c>
      <c r="M50" s="4104">
        <v>0</v>
      </c>
      <c r="N50" s="4104">
        <v>0</v>
      </c>
      <c r="O50" s="4104">
        <v>0</v>
      </c>
      <c r="P50" s="4139" t="s">
        <v>3953</v>
      </c>
      <c r="Q50" t="s">
        <v>27</v>
      </c>
      <c r="R50" t="s">
        <v>1878</v>
      </c>
    </row>
    <row r="51" spans="1:18">
      <c r="A51" s="3"/>
      <c r="B51" s="3"/>
      <c r="C51" s="4140"/>
      <c r="D51" s="4141" t="s">
        <v>6579</v>
      </c>
      <c r="E51" s="4142"/>
      <c r="F51" s="4081">
        <v>0</v>
      </c>
      <c r="G51" s="4081"/>
      <c r="H51" s="4081">
        <v>6761156047</v>
      </c>
      <c r="I51" s="4081"/>
      <c r="J51" s="4081">
        <v>6761156047</v>
      </c>
      <c r="K51" s="4081">
        <v>0</v>
      </c>
      <c r="L51" s="4081">
        <v>0</v>
      </c>
      <c r="M51" s="4081">
        <v>0</v>
      </c>
      <c r="N51" s="4081"/>
      <c r="O51" s="4081">
        <v>0</v>
      </c>
      <c r="P51" s="4082"/>
    </row>
    <row r="52" spans="1:18">
      <c r="A52" s="3" t="s">
        <v>27</v>
      </c>
      <c r="B52" s="3" t="s">
        <v>6582</v>
      </c>
      <c r="C52" s="4143" t="s">
        <v>2820</v>
      </c>
      <c r="D52" s="4138" t="s">
        <v>6583</v>
      </c>
      <c r="E52" s="4142">
        <v>5656395.0000000037</v>
      </c>
      <c r="F52" s="4081">
        <v>50322678.069630027</v>
      </c>
      <c r="G52" s="4110">
        <v>378995406.99999994</v>
      </c>
      <c r="H52" s="4110">
        <v>4754737513</v>
      </c>
      <c r="I52" s="4110">
        <v>379279687.00000006</v>
      </c>
      <c r="J52" s="4110">
        <v>4733981898.6539249</v>
      </c>
      <c r="K52" s="4081">
        <v>-22884235</v>
      </c>
      <c r="L52" s="4081">
        <v>1794785</v>
      </c>
      <c r="M52" s="4081">
        <v>-21089450</v>
      </c>
      <c r="N52" s="4081">
        <v>5372114.9999998808</v>
      </c>
      <c r="O52" s="4081">
        <v>49988842.415704727</v>
      </c>
      <c r="P52" s="4144">
        <v>9.3052442875303001</v>
      </c>
      <c r="Q52" t="s">
        <v>27</v>
      </c>
      <c r="R52" t="s">
        <v>5586</v>
      </c>
    </row>
    <row r="53" spans="1:18">
      <c r="A53" s="3"/>
      <c r="B53" s="3"/>
      <c r="C53" s="4126"/>
      <c r="D53" s="4145"/>
      <c r="E53" s="4114"/>
      <c r="F53" s="4114"/>
      <c r="G53" s="4114"/>
      <c r="H53" s="4114"/>
      <c r="I53" s="4114"/>
      <c r="J53" s="4114"/>
      <c r="K53" s="4114"/>
      <c r="L53" s="4114"/>
      <c r="M53" s="4114"/>
      <c r="N53" s="4115"/>
      <c r="O53" s="4114"/>
      <c r="P53" s="4146"/>
    </row>
    <row r="54" spans="1:18">
      <c r="A54" s="3"/>
      <c r="B54" s="3"/>
      <c r="C54" s="5390" t="s">
        <v>2762</v>
      </c>
      <c r="D54" s="5391"/>
      <c r="E54" s="4081"/>
      <c r="F54" s="4081">
        <v>2648741525.7617769</v>
      </c>
      <c r="G54" s="4081"/>
      <c r="H54" s="4081">
        <v>221802910785</v>
      </c>
      <c r="I54" s="4081"/>
      <c r="J54" s="4118">
        <v>223606369763.20218</v>
      </c>
      <c r="K54" s="4081">
        <v>-30226555</v>
      </c>
      <c r="L54" s="4081">
        <v>7833801</v>
      </c>
      <c r="M54" s="4081">
        <v>-22392754</v>
      </c>
      <c r="N54" s="4081"/>
      <c r="O54" s="4081">
        <v>822889793.55959249</v>
      </c>
      <c r="P54" s="4082"/>
    </row>
    <row r="55" spans="1:18">
      <c r="A55" s="3"/>
      <c r="B55" s="3"/>
      <c r="C55" s="1" t="s">
        <v>6502</v>
      </c>
      <c r="D55" s="3"/>
      <c r="E55" s="3"/>
      <c r="F55" s="3"/>
      <c r="G55" s="3"/>
      <c r="H55" s="3"/>
      <c r="I55" s="3"/>
      <c r="J55" s="3"/>
      <c r="K55" s="3"/>
      <c r="L55" s="3"/>
      <c r="M55" s="3"/>
      <c r="N55" s="3"/>
      <c r="O55" s="3"/>
      <c r="P55" s="3"/>
    </row>
    <row r="56" spans="1:18">
      <c r="A56" s="3"/>
      <c r="B56" s="3"/>
      <c r="C56" s="3"/>
      <c r="D56" s="3"/>
      <c r="E56" s="3"/>
      <c r="F56" s="3"/>
      <c r="G56" s="3"/>
      <c r="H56" s="3"/>
      <c r="I56" s="3"/>
      <c r="J56" s="3"/>
      <c r="K56" s="3"/>
      <c r="L56" s="3"/>
      <c r="M56" s="3"/>
      <c r="N56" s="3"/>
      <c r="O56" s="3"/>
      <c r="P56" s="3"/>
    </row>
    <row r="57" spans="1:18">
      <c r="A57" s="102"/>
      <c r="B57" s="102"/>
      <c r="C57" s="21" t="s">
        <v>2824</v>
      </c>
      <c r="D57" s="102"/>
      <c r="E57" s="102"/>
      <c r="F57" s="102"/>
      <c r="G57" s="102"/>
      <c r="H57" s="102"/>
      <c r="I57" s="102"/>
      <c r="J57" s="102"/>
      <c r="K57" s="102"/>
      <c r="L57" s="102"/>
      <c r="M57" s="102"/>
      <c r="N57" s="102"/>
      <c r="O57" s="102"/>
      <c r="P57" s="102"/>
    </row>
    <row r="58" spans="1:18">
      <c r="A58" s="3"/>
      <c r="B58" s="3"/>
      <c r="C58" s="4045" t="s">
        <v>6559</v>
      </c>
      <c r="D58" s="4045"/>
      <c r="E58" s="4045"/>
      <c r="F58" s="4045"/>
      <c r="G58" s="4045"/>
      <c r="H58" s="4045"/>
      <c r="I58" s="4045"/>
      <c r="J58" s="4045"/>
      <c r="K58" s="4045"/>
      <c r="L58" s="4045"/>
      <c r="M58" s="4045"/>
      <c r="N58" s="4045"/>
      <c r="O58" s="4045"/>
      <c r="P58" s="4045"/>
    </row>
    <row r="59" spans="1:18">
      <c r="A59" s="3"/>
      <c r="B59" s="3"/>
      <c r="C59" s="569"/>
      <c r="D59" s="569"/>
      <c r="E59" s="569"/>
      <c r="F59" s="569"/>
      <c r="G59" s="569"/>
      <c r="H59" s="569"/>
      <c r="I59" s="569"/>
      <c r="J59" s="4046"/>
      <c r="K59" s="4046"/>
      <c r="L59" s="4046"/>
      <c r="M59" s="4046"/>
      <c r="N59" s="4046"/>
      <c r="O59" s="4046"/>
      <c r="P59" s="4046" t="s">
        <v>6560</v>
      </c>
    </row>
    <row r="60" spans="1:18">
      <c r="A60" s="3"/>
      <c r="B60" s="3"/>
      <c r="C60" s="5384" t="s">
        <v>2069</v>
      </c>
      <c r="D60" s="5384" t="s">
        <v>6561</v>
      </c>
      <c r="E60" s="5395" t="s">
        <v>6562</v>
      </c>
      <c r="F60" s="5396"/>
      <c r="G60" s="5395" t="s">
        <v>6563</v>
      </c>
      <c r="H60" s="5396"/>
      <c r="I60" s="4047" t="s">
        <v>6564</v>
      </c>
      <c r="J60" s="4048"/>
      <c r="K60" s="5397" t="s">
        <v>6565</v>
      </c>
      <c r="L60" s="5398"/>
      <c r="M60" s="5399"/>
      <c r="N60" s="5395" t="s">
        <v>6566</v>
      </c>
      <c r="O60" s="5396"/>
      <c r="P60" s="5384" t="s">
        <v>6567</v>
      </c>
    </row>
    <row r="61" spans="1:18">
      <c r="A61" s="3"/>
      <c r="B61" s="3"/>
      <c r="C61" s="5385"/>
      <c r="D61" s="5385"/>
      <c r="E61" s="4048" t="s">
        <v>6558</v>
      </c>
      <c r="F61" s="4048" t="s">
        <v>6022</v>
      </c>
      <c r="G61" s="4048" t="s">
        <v>6558</v>
      </c>
      <c r="H61" s="4048" t="s">
        <v>6022</v>
      </c>
      <c r="I61" s="4048" t="s">
        <v>6558</v>
      </c>
      <c r="J61" s="4048" t="s">
        <v>6022</v>
      </c>
      <c r="K61" s="4049" t="s">
        <v>5751</v>
      </c>
      <c r="L61" s="4049" t="s">
        <v>6568</v>
      </c>
      <c r="M61" s="4050" t="s">
        <v>5818</v>
      </c>
      <c r="N61" s="4048" t="s">
        <v>6558</v>
      </c>
      <c r="O61" s="4048" t="s">
        <v>6022</v>
      </c>
      <c r="P61" s="5385"/>
    </row>
    <row r="62" spans="1:18">
      <c r="A62" s="3" t="s">
        <v>60</v>
      </c>
      <c r="B62" s="3" t="s">
        <v>6569</v>
      </c>
      <c r="C62" s="4051" t="s">
        <v>1884</v>
      </c>
      <c r="D62" s="4052" t="s">
        <v>2668</v>
      </c>
      <c r="E62" s="4053">
        <v>5022.9063699999997</v>
      </c>
      <c r="F62" s="4054">
        <v>276291538.97687709</v>
      </c>
      <c r="G62" s="4054">
        <v>2264788</v>
      </c>
      <c r="H62" s="4054">
        <v>146388031533</v>
      </c>
      <c r="I62" s="4054">
        <v>2269810.90637</v>
      </c>
      <c r="J62" s="4054">
        <v>146664323071.97687</v>
      </c>
      <c r="K62" s="4055">
        <v>0</v>
      </c>
      <c r="L62" s="4055">
        <v>0</v>
      </c>
      <c r="M62" s="4055">
        <v>0</v>
      </c>
      <c r="N62" s="4055">
        <v>0</v>
      </c>
      <c r="O62" s="4055">
        <v>0</v>
      </c>
      <c r="P62" s="4056" t="s">
        <v>3953</v>
      </c>
      <c r="Q62" t="s">
        <v>60</v>
      </c>
      <c r="R62" t="s">
        <v>6689</v>
      </c>
    </row>
    <row r="63" spans="1:18">
      <c r="A63" s="3" t="s">
        <v>60</v>
      </c>
      <c r="B63" s="3" t="s">
        <v>6569</v>
      </c>
      <c r="C63" s="4057"/>
      <c r="D63" s="4052" t="s">
        <v>6570</v>
      </c>
      <c r="E63" s="4053">
        <v>0</v>
      </c>
      <c r="F63" s="4054">
        <v>0</v>
      </c>
      <c r="G63" s="4054">
        <v>384551.55000000005</v>
      </c>
      <c r="H63" s="4054">
        <v>0</v>
      </c>
      <c r="I63" s="4054">
        <v>384551.55000000005</v>
      </c>
      <c r="J63" s="4054">
        <v>0</v>
      </c>
      <c r="K63" s="4055">
        <v>0</v>
      </c>
      <c r="L63" s="4055"/>
      <c r="M63" s="4055">
        <v>0</v>
      </c>
      <c r="N63" s="4058">
        <v>0</v>
      </c>
      <c r="O63" s="4055">
        <v>0</v>
      </c>
      <c r="P63" s="4056" t="s">
        <v>3953</v>
      </c>
      <c r="Q63" t="s">
        <v>60</v>
      </c>
      <c r="R63" t="s">
        <v>6689</v>
      </c>
    </row>
    <row r="64" spans="1:18">
      <c r="A64" s="3" t="s">
        <v>60</v>
      </c>
      <c r="B64" s="3" t="s">
        <v>6571</v>
      </c>
      <c r="C64" s="4057"/>
      <c r="D64" s="4059" t="s">
        <v>2673</v>
      </c>
      <c r="E64" s="4060">
        <v>554664.19999999995</v>
      </c>
      <c r="F64" s="4061">
        <v>352405878</v>
      </c>
      <c r="G64" s="4061">
        <v>14310712.736</v>
      </c>
      <c r="H64" s="4061">
        <v>10557169089</v>
      </c>
      <c r="I64" s="4061">
        <v>14833646.935999999</v>
      </c>
      <c r="J64" s="4061">
        <v>10883359203.401375</v>
      </c>
      <c r="K64" s="4062">
        <v>0</v>
      </c>
      <c r="L64" s="4063">
        <v>0</v>
      </c>
      <c r="M64" s="4062">
        <v>0</v>
      </c>
      <c r="N64" s="4062">
        <v>31730</v>
      </c>
      <c r="O64" s="4062">
        <v>26215763.598625183</v>
      </c>
      <c r="P64" s="4064">
        <v>826.21379132131051</v>
      </c>
      <c r="Q64" t="s">
        <v>60</v>
      </c>
      <c r="R64" t="s">
        <v>6690</v>
      </c>
    </row>
    <row r="65" spans="1:18">
      <c r="A65" s="3" t="s">
        <v>60</v>
      </c>
      <c r="B65" s="3" t="s">
        <v>6571</v>
      </c>
      <c r="C65" s="4057"/>
      <c r="D65" s="4065" t="s">
        <v>6572</v>
      </c>
      <c r="E65" s="4066">
        <v>0</v>
      </c>
      <c r="F65" s="4067">
        <v>0</v>
      </c>
      <c r="G65" s="4067">
        <v>36250</v>
      </c>
      <c r="H65" s="4067">
        <v>0</v>
      </c>
      <c r="I65" s="4067">
        <v>36250</v>
      </c>
      <c r="J65" s="4067">
        <v>0</v>
      </c>
      <c r="K65" s="4068">
        <v>0</v>
      </c>
      <c r="L65" s="4068"/>
      <c r="M65" s="4068">
        <v>0</v>
      </c>
      <c r="N65" s="4069">
        <v>0</v>
      </c>
      <c r="O65" s="4068">
        <v>0</v>
      </c>
      <c r="P65" s="4070" t="s">
        <v>3953</v>
      </c>
      <c r="Q65" t="s">
        <v>60</v>
      </c>
      <c r="R65" t="s">
        <v>6690</v>
      </c>
    </row>
    <row r="66" spans="1:18">
      <c r="A66" s="3" t="s">
        <v>60</v>
      </c>
      <c r="B66" s="3" t="s">
        <v>6573</v>
      </c>
      <c r="C66" s="4057"/>
      <c r="D66" s="4052" t="s">
        <v>2681</v>
      </c>
      <c r="E66" s="4053">
        <v>1959</v>
      </c>
      <c r="F66" s="4054">
        <v>140149054</v>
      </c>
      <c r="G66" s="4054">
        <v>292135.77</v>
      </c>
      <c r="H66" s="4054">
        <v>22949366420</v>
      </c>
      <c r="I66" s="4054">
        <v>268813.62</v>
      </c>
      <c r="J66" s="4054">
        <v>21031166612.77179</v>
      </c>
      <c r="K66" s="4055">
        <v>-1303304</v>
      </c>
      <c r="L66" s="4055">
        <v>1303304</v>
      </c>
      <c r="M66" s="4055">
        <v>0</v>
      </c>
      <c r="N66" s="4055">
        <v>25281.150000000023</v>
      </c>
      <c r="O66" s="4055">
        <v>2058348861.2282104</v>
      </c>
      <c r="P66" s="4056">
        <v>81418.323977675405</v>
      </c>
      <c r="Q66" t="s">
        <v>60</v>
      </c>
      <c r="R66" t="s">
        <v>6692</v>
      </c>
    </row>
    <row r="67" spans="1:18">
      <c r="A67" s="3" t="s">
        <v>60</v>
      </c>
      <c r="B67" s="3" t="s">
        <v>6573</v>
      </c>
      <c r="C67" s="4057"/>
      <c r="D67" s="4052" t="s">
        <v>6574</v>
      </c>
      <c r="E67" s="4053">
        <v>0</v>
      </c>
      <c r="F67" s="4054">
        <v>0</v>
      </c>
      <c r="G67" s="4054">
        <v>4999.8</v>
      </c>
      <c r="H67" s="4054">
        <v>0</v>
      </c>
      <c r="I67" s="4054">
        <v>4999.8</v>
      </c>
      <c r="J67" s="4054">
        <v>0</v>
      </c>
      <c r="K67" s="4055">
        <v>0</v>
      </c>
      <c r="L67" s="4055"/>
      <c r="M67" s="4055">
        <v>0</v>
      </c>
      <c r="N67" s="4058">
        <v>0</v>
      </c>
      <c r="O67" s="4055">
        <v>0</v>
      </c>
      <c r="P67" s="4056" t="s">
        <v>3953</v>
      </c>
      <c r="Q67" t="s">
        <v>60</v>
      </c>
      <c r="R67" t="s">
        <v>6692</v>
      </c>
    </row>
    <row r="68" spans="1:18">
      <c r="A68" s="3" t="s">
        <v>60</v>
      </c>
      <c r="B68" s="3" t="s">
        <v>6575</v>
      </c>
      <c r="C68" s="4057"/>
      <c r="D68" s="4059" t="s">
        <v>2678</v>
      </c>
      <c r="E68" s="4060">
        <v>0</v>
      </c>
      <c r="F68" s="4061">
        <v>0</v>
      </c>
      <c r="G68" s="4061">
        <v>207222.25</v>
      </c>
      <c r="H68" s="4061">
        <v>6515306098</v>
      </c>
      <c r="I68" s="4061">
        <v>206338.56</v>
      </c>
      <c r="J68" s="4061">
        <v>6493262301</v>
      </c>
      <c r="K68" s="4062">
        <v>0</v>
      </c>
      <c r="L68" s="4062">
        <v>0</v>
      </c>
      <c r="M68" s="4062">
        <v>0</v>
      </c>
      <c r="N68" s="4062">
        <v>883.69000000000233</v>
      </c>
      <c r="O68" s="4062">
        <v>22043797</v>
      </c>
      <c r="P68" s="4064">
        <v>24945.169686202109</v>
      </c>
      <c r="Q68" t="s">
        <v>60</v>
      </c>
      <c r="R68" t="s">
        <v>6691</v>
      </c>
    </row>
    <row r="69" spans="1:18">
      <c r="A69" s="3" t="s">
        <v>60</v>
      </c>
      <c r="B69" s="3" t="s">
        <v>6575</v>
      </c>
      <c r="C69" s="4057"/>
      <c r="D69" s="4065" t="s">
        <v>6576</v>
      </c>
      <c r="E69" s="4066">
        <v>0</v>
      </c>
      <c r="F69" s="4067">
        <v>0</v>
      </c>
      <c r="G69" s="4067">
        <v>11483.7</v>
      </c>
      <c r="H69" s="4067">
        <v>0</v>
      </c>
      <c r="I69" s="4067">
        <v>11483.7</v>
      </c>
      <c r="J69" s="4067">
        <v>0</v>
      </c>
      <c r="K69" s="4068">
        <v>0</v>
      </c>
      <c r="L69" s="4068"/>
      <c r="M69" s="4068">
        <v>0</v>
      </c>
      <c r="N69" s="4069">
        <v>0</v>
      </c>
      <c r="O69" s="4068">
        <v>0</v>
      </c>
      <c r="P69" s="4070" t="s">
        <v>3953</v>
      </c>
      <c r="Q69" t="s">
        <v>60</v>
      </c>
      <c r="R69" t="s">
        <v>6691</v>
      </c>
    </row>
    <row r="70" spans="1:18">
      <c r="A70" s="3" t="s">
        <v>60</v>
      </c>
      <c r="B70" s="3" t="s">
        <v>6577</v>
      </c>
      <c r="C70" s="4057"/>
      <c r="D70" s="4071" t="s">
        <v>2686</v>
      </c>
      <c r="E70" s="4072">
        <v>805700</v>
      </c>
      <c r="F70" s="4073">
        <v>3797568.1161803296</v>
      </c>
      <c r="G70" s="4073">
        <v>28908380</v>
      </c>
      <c r="H70" s="4073">
        <v>148392351</v>
      </c>
      <c r="I70" s="4073">
        <v>28855450</v>
      </c>
      <c r="J70" s="4073">
        <v>147502087.66259506</v>
      </c>
      <c r="K70" s="4074">
        <v>0</v>
      </c>
      <c r="L70" s="4074">
        <v>0</v>
      </c>
      <c r="M70" s="4074">
        <v>0</v>
      </c>
      <c r="N70" s="4074">
        <v>858630</v>
      </c>
      <c r="O70" s="4074">
        <v>4687831.4535852671</v>
      </c>
      <c r="P70" s="4075">
        <v>5.4596641784997813</v>
      </c>
      <c r="Q70" t="s">
        <v>60</v>
      </c>
      <c r="R70" t="s">
        <v>6693</v>
      </c>
    </row>
    <row r="71" spans="1:18">
      <c r="A71" s="3" t="s">
        <v>60</v>
      </c>
      <c r="B71" s="3" t="s">
        <v>6577</v>
      </c>
      <c r="C71" s="4057"/>
      <c r="D71" s="4076" t="s">
        <v>6578</v>
      </c>
      <c r="E71" s="4053">
        <v>228400</v>
      </c>
      <c r="F71" s="4054">
        <v>1560216.0508403073</v>
      </c>
      <c r="G71" s="4077">
        <v>149300</v>
      </c>
      <c r="H71" s="4077">
        <v>6574780</v>
      </c>
      <c r="I71" s="4054">
        <v>360400</v>
      </c>
      <c r="J71" s="4054">
        <v>2895544.7857768107</v>
      </c>
      <c r="K71" s="4055">
        <v>0</v>
      </c>
      <c r="L71" s="4055"/>
      <c r="M71" s="4055">
        <v>0</v>
      </c>
      <c r="N71" s="4055">
        <v>17300</v>
      </c>
      <c r="O71" s="4055">
        <v>5239451.2650634963</v>
      </c>
      <c r="P71" s="4056">
        <v>302.85845462794776</v>
      </c>
      <c r="Q71" t="s">
        <v>60</v>
      </c>
      <c r="R71" t="s">
        <v>6693</v>
      </c>
    </row>
    <row r="72" spans="1:18">
      <c r="A72" s="3"/>
      <c r="B72" s="3"/>
      <c r="C72" s="4078"/>
      <c r="D72" s="4079" t="s">
        <v>6579</v>
      </c>
      <c r="E72" s="4080"/>
      <c r="F72" s="4081">
        <v>774204255.14389765</v>
      </c>
      <c r="G72" s="4081"/>
      <c r="H72" s="4081">
        <v>186564840271</v>
      </c>
      <c r="I72" s="4082"/>
      <c r="J72" s="4081">
        <v>185222508821.59839</v>
      </c>
      <c r="K72" s="4081">
        <v>-1303304</v>
      </c>
      <c r="L72" s="4081">
        <v>1303304</v>
      </c>
      <c r="M72" s="4081">
        <v>0</v>
      </c>
      <c r="N72" s="4082"/>
      <c r="O72" s="4081">
        <v>2116535704.5454843</v>
      </c>
      <c r="P72" s="4083"/>
    </row>
    <row r="73" spans="1:18">
      <c r="A73" s="3" t="s">
        <v>60</v>
      </c>
      <c r="B73" s="3" t="s">
        <v>6580</v>
      </c>
      <c r="C73" s="4057"/>
      <c r="D73" s="4085" t="s">
        <v>1308</v>
      </c>
      <c r="E73" s="4147">
        <v>0</v>
      </c>
      <c r="F73" s="4088">
        <v>0</v>
      </c>
      <c r="G73" s="4088">
        <v>1301348</v>
      </c>
      <c r="H73" s="4088">
        <v>87531994910</v>
      </c>
      <c r="I73" s="4088">
        <v>1301348</v>
      </c>
      <c r="J73" s="4088">
        <v>87531994910</v>
      </c>
      <c r="K73" s="4088">
        <v>0</v>
      </c>
      <c r="L73" s="4088">
        <v>0</v>
      </c>
      <c r="M73" s="4088">
        <v>0</v>
      </c>
      <c r="N73" s="4089">
        <v>0</v>
      </c>
      <c r="O73" s="4088">
        <v>0</v>
      </c>
      <c r="P73" s="4100"/>
      <c r="Q73" t="s">
        <v>60</v>
      </c>
      <c r="R73" t="s">
        <v>6689</v>
      </c>
    </row>
    <row r="74" spans="1:18">
      <c r="A74" s="3" t="s">
        <v>60</v>
      </c>
      <c r="B74" s="3" t="s">
        <v>6581</v>
      </c>
      <c r="C74" s="4057"/>
      <c r="D74" s="4085" t="s">
        <v>1309</v>
      </c>
      <c r="E74" s="4147">
        <v>0</v>
      </c>
      <c r="F74" s="4088">
        <v>0</v>
      </c>
      <c r="G74" s="4088">
        <v>10036100</v>
      </c>
      <c r="H74" s="4088">
        <v>7690409520</v>
      </c>
      <c r="I74" s="4088">
        <v>10036100</v>
      </c>
      <c r="J74" s="4088">
        <v>7690409520</v>
      </c>
      <c r="K74" s="4088">
        <v>0</v>
      </c>
      <c r="L74" s="4088">
        <v>0</v>
      </c>
      <c r="M74" s="4088">
        <v>0</v>
      </c>
      <c r="N74" s="4089">
        <v>0</v>
      </c>
      <c r="O74" s="4088">
        <v>0</v>
      </c>
      <c r="P74" s="4100"/>
      <c r="Q74" t="s">
        <v>60</v>
      </c>
      <c r="R74" t="s">
        <v>6690</v>
      </c>
    </row>
    <row r="75" spans="1:18">
      <c r="A75" s="3"/>
      <c r="B75" s="3"/>
      <c r="C75" s="4057" t="s">
        <v>1885</v>
      </c>
      <c r="D75" s="4148"/>
      <c r="E75" s="4092">
        <v>0</v>
      </c>
      <c r="F75" s="4093">
        <v>0</v>
      </c>
      <c r="G75" s="4093">
        <v>11337448</v>
      </c>
      <c r="H75" s="4093">
        <v>95222404430</v>
      </c>
      <c r="I75" s="4093">
        <v>11337448</v>
      </c>
      <c r="J75" s="4093">
        <v>95222404430</v>
      </c>
      <c r="K75" s="4093"/>
      <c r="L75" s="4093">
        <v>0</v>
      </c>
      <c r="M75" s="4093">
        <v>0</v>
      </c>
      <c r="N75" s="4094">
        <v>0</v>
      </c>
      <c r="O75" s="4093">
        <v>0</v>
      </c>
      <c r="P75" s="4095" t="s">
        <v>3953</v>
      </c>
    </row>
    <row r="76" spans="1:18">
      <c r="A76" s="3" t="s">
        <v>60</v>
      </c>
      <c r="B76" s="3" t="s">
        <v>2684</v>
      </c>
      <c r="C76" s="4096" t="s">
        <v>2684</v>
      </c>
      <c r="D76" s="4097" t="s">
        <v>1942</v>
      </c>
      <c r="E76" s="4098"/>
      <c r="F76" s="4099"/>
      <c r="G76" s="4099">
        <v>70974.5</v>
      </c>
      <c r="H76" s="4099">
        <v>4926644522</v>
      </c>
      <c r="I76" s="4099">
        <v>70974.5</v>
      </c>
      <c r="J76" s="4099">
        <v>4926644522</v>
      </c>
      <c r="K76" s="4088">
        <v>0</v>
      </c>
      <c r="L76" s="4088">
        <v>0</v>
      </c>
      <c r="M76" s="4088">
        <v>0</v>
      </c>
      <c r="N76" s="4089">
        <v>0</v>
      </c>
      <c r="O76" s="4100">
        <v>0</v>
      </c>
      <c r="P76" s="4100" t="s">
        <v>3953</v>
      </c>
      <c r="Q76" t="s">
        <v>60</v>
      </c>
      <c r="R76" t="s">
        <v>1878</v>
      </c>
    </row>
    <row r="77" spans="1:18">
      <c r="A77" s="3" t="s">
        <v>60</v>
      </c>
      <c r="B77" s="3" t="s">
        <v>2684</v>
      </c>
      <c r="C77" s="4101"/>
      <c r="D77" s="4102" t="s">
        <v>2767</v>
      </c>
      <c r="E77" s="4103"/>
      <c r="F77" s="4104"/>
      <c r="G77" s="4104">
        <v>177585290</v>
      </c>
      <c r="H77" s="4104">
        <v>0</v>
      </c>
      <c r="I77" s="4104">
        <v>177585290</v>
      </c>
      <c r="J77" s="4104">
        <v>0</v>
      </c>
      <c r="K77" s="4104">
        <v>0</v>
      </c>
      <c r="L77" s="4104">
        <v>0</v>
      </c>
      <c r="M77" s="4104">
        <v>0</v>
      </c>
      <c r="N77" s="4104">
        <v>0</v>
      </c>
      <c r="O77" s="4103">
        <v>0</v>
      </c>
      <c r="P77" s="4105" t="s">
        <v>3953</v>
      </c>
      <c r="Q77" t="s">
        <v>60</v>
      </c>
      <c r="R77" t="s">
        <v>1878</v>
      </c>
    </row>
    <row r="78" spans="1:18">
      <c r="A78" s="3"/>
      <c r="B78" s="3"/>
      <c r="C78" s="4106"/>
      <c r="D78" s="4107" t="s">
        <v>6579</v>
      </c>
      <c r="E78" s="4108"/>
      <c r="F78" s="4081">
        <v>0</v>
      </c>
      <c r="G78" s="4081"/>
      <c r="H78" s="4081">
        <v>4926644522</v>
      </c>
      <c r="I78" s="4081"/>
      <c r="J78" s="4081">
        <v>4926644522</v>
      </c>
      <c r="K78" s="4081">
        <v>0</v>
      </c>
      <c r="L78" s="4081">
        <v>0</v>
      </c>
      <c r="M78" s="4081">
        <v>0</v>
      </c>
      <c r="N78" s="4081"/>
      <c r="O78" s="4080">
        <v>0</v>
      </c>
      <c r="P78" s="4083"/>
    </row>
    <row r="79" spans="1:18">
      <c r="A79" s="3" t="s">
        <v>60</v>
      </c>
      <c r="B79" s="3" t="s">
        <v>6582</v>
      </c>
      <c r="C79" s="4109" t="s">
        <v>2820</v>
      </c>
      <c r="D79" s="4102" t="s">
        <v>6583</v>
      </c>
      <c r="E79" s="4108">
        <v>5372114.9999999832</v>
      </c>
      <c r="F79" s="4081">
        <v>71078292.415704221</v>
      </c>
      <c r="G79" s="4110">
        <v>415358664</v>
      </c>
      <c r="H79" s="4110">
        <v>5004349651</v>
      </c>
      <c r="I79" s="4110">
        <v>406579784.00000006</v>
      </c>
      <c r="J79" s="4110">
        <v>4881205519.2837105</v>
      </c>
      <c r="K79" s="4081">
        <v>-21089450</v>
      </c>
      <c r="L79" s="4081">
        <v>21089450</v>
      </c>
      <c r="M79" s="4081">
        <v>0</v>
      </c>
      <c r="N79" s="4081">
        <v>14150994.99999994</v>
      </c>
      <c r="O79" s="4080">
        <v>194222424.13199329</v>
      </c>
      <c r="P79" s="4111">
        <v>13.725001254823008</v>
      </c>
      <c r="Q79" t="s">
        <v>60</v>
      </c>
      <c r="R79" t="s">
        <v>5586</v>
      </c>
    </row>
    <row r="80" spans="1:18">
      <c r="A80" s="3"/>
      <c r="B80" s="3"/>
      <c r="C80" s="4057"/>
      <c r="D80" s="4112"/>
      <c r="E80" s="4113"/>
      <c r="F80" s="4114"/>
      <c r="G80" s="4114"/>
      <c r="H80" s="4114"/>
      <c r="I80" s="4114"/>
      <c r="J80" s="4114"/>
      <c r="K80" s="4114"/>
      <c r="L80" s="4114"/>
      <c r="M80" s="4114"/>
      <c r="N80" s="4115"/>
      <c r="O80" s="4114"/>
      <c r="P80" s="4116"/>
    </row>
    <row r="81" spans="1:18">
      <c r="A81" s="3"/>
      <c r="B81" s="3"/>
      <c r="C81" s="5386" t="s">
        <v>2762</v>
      </c>
      <c r="D81" s="5387"/>
      <c r="E81" s="4117"/>
      <c r="F81" s="4117">
        <v>845282547.5596019</v>
      </c>
      <c r="G81" s="4117"/>
      <c r="H81" s="4117">
        <v>291718238874</v>
      </c>
      <c r="I81" s="4117"/>
      <c r="J81" s="4118">
        <v>290252763292.88208</v>
      </c>
      <c r="K81" s="4117">
        <v>-22392754</v>
      </c>
      <c r="L81" s="4117">
        <v>22392754</v>
      </c>
      <c r="M81" s="4117">
        <v>0</v>
      </c>
      <c r="N81" s="4117"/>
      <c r="O81" s="4117">
        <v>2310758128.6774778</v>
      </c>
      <c r="P81" s="4119"/>
    </row>
    <row r="82" spans="1:18">
      <c r="A82" s="3"/>
      <c r="B82" s="3"/>
      <c r="C82" s="1" t="s">
        <v>6502</v>
      </c>
      <c r="D82" s="3"/>
      <c r="E82" s="3"/>
      <c r="F82" s="3"/>
      <c r="G82" s="3"/>
      <c r="H82" s="3"/>
      <c r="I82" s="3"/>
      <c r="J82" s="3"/>
      <c r="K82" s="3"/>
      <c r="L82" s="3"/>
      <c r="M82" s="3"/>
      <c r="N82" s="3"/>
      <c r="O82" s="3"/>
      <c r="P82" s="3"/>
    </row>
    <row r="83" spans="1:18">
      <c r="A83" s="3"/>
      <c r="B83" s="3"/>
      <c r="C83" s="3"/>
      <c r="D83" s="3"/>
      <c r="E83" s="3"/>
      <c r="F83" s="3"/>
      <c r="G83" s="3"/>
      <c r="H83" s="3"/>
      <c r="I83" s="3"/>
      <c r="J83" s="3"/>
      <c r="K83" s="3"/>
      <c r="L83" s="3"/>
      <c r="M83" s="3"/>
      <c r="N83" s="3"/>
      <c r="O83" s="3"/>
      <c r="P83" s="3"/>
    </row>
    <row r="84" spans="1:18">
      <c r="A84" s="102"/>
      <c r="B84" s="102"/>
      <c r="C84" s="21" t="s">
        <v>2722</v>
      </c>
      <c r="D84" s="102"/>
      <c r="E84" s="102"/>
      <c r="F84" s="102"/>
      <c r="G84" s="102"/>
      <c r="H84" s="102"/>
      <c r="I84" s="102"/>
      <c r="J84" s="102"/>
      <c r="K84" s="102"/>
      <c r="L84" s="102"/>
      <c r="M84" s="102"/>
      <c r="N84" s="102"/>
      <c r="O84" s="102"/>
      <c r="P84" s="102"/>
    </row>
    <row r="85" spans="1:18">
      <c r="A85" s="3"/>
      <c r="B85" s="3"/>
      <c r="C85" s="4045" t="s">
        <v>6559</v>
      </c>
      <c r="D85" s="4045"/>
      <c r="E85" s="4045"/>
      <c r="F85" s="4045"/>
      <c r="G85" s="4045"/>
      <c r="H85" s="4045"/>
      <c r="I85" s="4045"/>
      <c r="J85" s="4045"/>
      <c r="K85" s="4045"/>
      <c r="L85" s="4045"/>
      <c r="M85" s="4045"/>
      <c r="N85" s="4045"/>
      <c r="O85" s="4045"/>
      <c r="P85" s="4045"/>
    </row>
    <row r="86" spans="1:18">
      <c r="A86" s="3"/>
      <c r="B86" s="3"/>
      <c r="C86" s="569"/>
      <c r="D86" s="569"/>
      <c r="E86" s="569"/>
      <c r="F86" s="569"/>
      <c r="G86" s="569"/>
      <c r="H86" s="569"/>
      <c r="I86" s="569"/>
      <c r="J86" s="4046"/>
      <c r="K86" s="4046"/>
      <c r="L86" s="4046"/>
      <c r="M86" s="4046"/>
      <c r="N86" s="4046"/>
      <c r="O86" s="4046"/>
      <c r="P86" s="4046" t="s">
        <v>6560</v>
      </c>
    </row>
    <row r="87" spans="1:18">
      <c r="A87" s="3"/>
      <c r="B87" s="3"/>
      <c r="C87" s="5384" t="s">
        <v>2069</v>
      </c>
      <c r="D87" s="5384" t="s">
        <v>6561</v>
      </c>
      <c r="E87" s="5395" t="s">
        <v>6562</v>
      </c>
      <c r="F87" s="5396"/>
      <c r="G87" s="5395" t="s">
        <v>6563</v>
      </c>
      <c r="H87" s="5396"/>
      <c r="I87" s="4047" t="s">
        <v>6564</v>
      </c>
      <c r="J87" s="4048"/>
      <c r="K87" s="5397" t="s">
        <v>6565</v>
      </c>
      <c r="L87" s="5398"/>
      <c r="M87" s="5399"/>
      <c r="N87" s="5395" t="s">
        <v>6566</v>
      </c>
      <c r="O87" s="5396"/>
      <c r="P87" s="5384" t="s">
        <v>6567</v>
      </c>
    </row>
    <row r="88" spans="1:18">
      <c r="A88" s="3"/>
      <c r="B88" s="3"/>
      <c r="C88" s="5385"/>
      <c r="D88" s="5385"/>
      <c r="E88" s="4048" t="s">
        <v>6558</v>
      </c>
      <c r="F88" s="4048" t="s">
        <v>6022</v>
      </c>
      <c r="G88" s="4048" t="s">
        <v>6558</v>
      </c>
      <c r="H88" s="4048" t="s">
        <v>6022</v>
      </c>
      <c r="I88" s="4048" t="s">
        <v>6558</v>
      </c>
      <c r="J88" s="4048" t="s">
        <v>6022</v>
      </c>
      <c r="K88" s="4049" t="s">
        <v>5751</v>
      </c>
      <c r="L88" s="4049" t="s">
        <v>6568</v>
      </c>
      <c r="M88" s="4050" t="s">
        <v>5818</v>
      </c>
      <c r="N88" s="4048" t="s">
        <v>6558</v>
      </c>
      <c r="O88" s="4048" t="s">
        <v>6022</v>
      </c>
      <c r="P88" s="5385"/>
    </row>
    <row r="89" spans="1:18">
      <c r="A89" s="3" t="s">
        <v>5103</v>
      </c>
      <c r="B89" s="3" t="s">
        <v>6569</v>
      </c>
      <c r="C89" s="4051" t="s">
        <v>1884</v>
      </c>
      <c r="D89" s="4052" t="s">
        <v>2668</v>
      </c>
      <c r="E89" s="4053">
        <v>0</v>
      </c>
      <c r="F89" s="4054">
        <v>0</v>
      </c>
      <c r="G89" s="4054">
        <v>1119628.102</v>
      </c>
      <c r="H89" s="4054">
        <v>70722192484</v>
      </c>
      <c r="I89" s="4054">
        <v>1113060.8019999999</v>
      </c>
      <c r="J89" s="4054">
        <v>70209930833.41748</v>
      </c>
      <c r="K89" s="4055">
        <v>0</v>
      </c>
      <c r="L89" s="4055">
        <v>0</v>
      </c>
      <c r="M89" s="4055">
        <v>0</v>
      </c>
      <c r="N89" s="4055">
        <v>6567.3000000000466</v>
      </c>
      <c r="O89" s="4055">
        <v>512261650.58251953</v>
      </c>
      <c r="P89" s="4056">
        <v>78001.865391030704</v>
      </c>
      <c r="Q89" t="s">
        <v>5103</v>
      </c>
      <c r="R89" t="s">
        <v>6689</v>
      </c>
    </row>
    <row r="90" spans="1:18">
      <c r="A90" s="3" t="s">
        <v>5103</v>
      </c>
      <c r="B90" s="3" t="s">
        <v>6569</v>
      </c>
      <c r="C90" s="4057"/>
      <c r="D90" s="4052" t="s">
        <v>6570</v>
      </c>
      <c r="E90" s="4053">
        <v>0</v>
      </c>
      <c r="F90" s="4054">
        <v>0</v>
      </c>
      <c r="G90" s="4054">
        <v>419559.07</v>
      </c>
      <c r="H90" s="4054">
        <v>0</v>
      </c>
      <c r="I90" s="4054">
        <v>419559.07</v>
      </c>
      <c r="J90" s="4054">
        <v>0</v>
      </c>
      <c r="K90" s="4055">
        <v>0</v>
      </c>
      <c r="L90" s="4055"/>
      <c r="M90" s="4055">
        <v>0</v>
      </c>
      <c r="N90" s="4058">
        <v>0</v>
      </c>
      <c r="O90" s="4055">
        <v>0</v>
      </c>
      <c r="P90" s="4056" t="s">
        <v>3953</v>
      </c>
      <c r="Q90" t="s">
        <v>5103</v>
      </c>
      <c r="R90" t="s">
        <v>6689</v>
      </c>
    </row>
    <row r="91" spans="1:18">
      <c r="A91" s="3" t="s">
        <v>5103</v>
      </c>
      <c r="B91" s="3" t="s">
        <v>6571</v>
      </c>
      <c r="C91" s="4057"/>
      <c r="D91" s="4059" t="s">
        <v>2673</v>
      </c>
      <c r="E91" s="4060">
        <v>31730</v>
      </c>
      <c r="F91" s="4061">
        <v>26215763.598625973</v>
      </c>
      <c r="G91" s="4061">
        <v>13255824.094999999</v>
      </c>
      <c r="H91" s="4061">
        <v>12173759794</v>
      </c>
      <c r="I91" s="4061">
        <v>12729757.225000001</v>
      </c>
      <c r="J91" s="4061">
        <v>11684381883.598627</v>
      </c>
      <c r="K91" s="4062">
        <v>0</v>
      </c>
      <c r="L91" s="4063">
        <v>0</v>
      </c>
      <c r="M91" s="4062">
        <v>0</v>
      </c>
      <c r="N91" s="4062">
        <v>557796.86999999732</v>
      </c>
      <c r="O91" s="4062">
        <v>515593673.99999809</v>
      </c>
      <c r="P91" s="4064">
        <v>924.33948939154243</v>
      </c>
      <c r="Q91" t="s">
        <v>5103</v>
      </c>
      <c r="R91" t="s">
        <v>6690</v>
      </c>
    </row>
    <row r="92" spans="1:18">
      <c r="A92" s="3" t="s">
        <v>5103</v>
      </c>
      <c r="B92" s="3" t="s">
        <v>6571</v>
      </c>
      <c r="C92" s="4057"/>
      <c r="D92" s="4065" t="s">
        <v>6572</v>
      </c>
      <c r="E92" s="4066">
        <v>0</v>
      </c>
      <c r="F92" s="4067">
        <v>0</v>
      </c>
      <c r="G92" s="4067">
        <v>129998.83</v>
      </c>
      <c r="H92" s="4067">
        <v>0</v>
      </c>
      <c r="I92" s="4067">
        <v>129998.83</v>
      </c>
      <c r="J92" s="4067">
        <v>0</v>
      </c>
      <c r="K92" s="4068">
        <v>0</v>
      </c>
      <c r="L92" s="4068"/>
      <c r="M92" s="4068">
        <v>0</v>
      </c>
      <c r="N92" s="4069">
        <v>0</v>
      </c>
      <c r="O92" s="4068">
        <v>0</v>
      </c>
      <c r="P92" s="4070" t="s">
        <v>3953</v>
      </c>
      <c r="Q92" t="s">
        <v>5103</v>
      </c>
      <c r="R92" t="s">
        <v>6690</v>
      </c>
    </row>
    <row r="93" spans="1:18">
      <c r="A93" s="3" t="s">
        <v>5103</v>
      </c>
      <c r="B93" s="3" t="s">
        <v>6573</v>
      </c>
      <c r="C93" s="4057"/>
      <c r="D93" s="4052" t="s">
        <v>2681</v>
      </c>
      <c r="E93" s="4053">
        <v>25281.15</v>
      </c>
      <c r="F93" s="4054">
        <v>2058348861.2282093</v>
      </c>
      <c r="G93" s="4054">
        <v>223425.96500000003</v>
      </c>
      <c r="H93" s="4054">
        <v>19299959363</v>
      </c>
      <c r="I93" s="4054">
        <v>244403.41999999998</v>
      </c>
      <c r="J93" s="4054">
        <v>21030037600.220779</v>
      </c>
      <c r="K93" s="4055">
        <v>0</v>
      </c>
      <c r="L93" s="4055">
        <v>0</v>
      </c>
      <c r="M93" s="4055">
        <v>0</v>
      </c>
      <c r="N93" s="4055">
        <v>4303.6950000000361</v>
      </c>
      <c r="O93" s="4055">
        <v>328270624.00743103</v>
      </c>
      <c r="P93" s="4056">
        <v>76276.461042761686</v>
      </c>
      <c r="Q93" t="s">
        <v>5103</v>
      </c>
      <c r="R93" t="s">
        <v>6692</v>
      </c>
    </row>
    <row r="94" spans="1:18">
      <c r="A94" s="3" t="s">
        <v>5103</v>
      </c>
      <c r="B94" s="3" t="s">
        <v>6573</v>
      </c>
      <c r="C94" s="4057"/>
      <c r="D94" s="4052" t="s">
        <v>6574</v>
      </c>
      <c r="E94" s="4053">
        <v>0</v>
      </c>
      <c r="F94" s="4054">
        <v>0</v>
      </c>
      <c r="G94" s="4054">
        <v>0</v>
      </c>
      <c r="H94" s="4054">
        <v>0</v>
      </c>
      <c r="I94" s="4054">
        <v>0</v>
      </c>
      <c r="J94" s="4054">
        <v>0</v>
      </c>
      <c r="K94" s="4055">
        <v>0</v>
      </c>
      <c r="L94" s="4055">
        <v>0</v>
      </c>
      <c r="M94" s="4055">
        <v>0</v>
      </c>
      <c r="N94" s="4058">
        <v>0</v>
      </c>
      <c r="O94" s="4055">
        <v>0</v>
      </c>
      <c r="P94" s="4056" t="s">
        <v>3953</v>
      </c>
      <c r="Q94" t="s">
        <v>5103</v>
      </c>
      <c r="R94" t="s">
        <v>6692</v>
      </c>
    </row>
    <row r="95" spans="1:18">
      <c r="A95" s="3" t="s">
        <v>5103</v>
      </c>
      <c r="B95" s="3" t="s">
        <v>6575</v>
      </c>
      <c r="C95" s="4057"/>
      <c r="D95" s="4059" t="s">
        <v>2678</v>
      </c>
      <c r="E95" s="4060">
        <v>883.69</v>
      </c>
      <c r="F95" s="4061">
        <v>22043797</v>
      </c>
      <c r="G95" s="4061">
        <v>254866.93</v>
      </c>
      <c r="H95" s="4061">
        <v>9529314866</v>
      </c>
      <c r="I95" s="4061">
        <v>229276.32</v>
      </c>
      <c r="J95" s="4061">
        <v>8571520219.136508</v>
      </c>
      <c r="K95" s="4062">
        <v>0</v>
      </c>
      <c r="L95" s="4062">
        <v>0</v>
      </c>
      <c r="M95" s="4062">
        <v>0</v>
      </c>
      <c r="N95" s="4062">
        <v>26474.299999999988</v>
      </c>
      <c r="O95" s="4062">
        <v>979838443.86349201</v>
      </c>
      <c r="P95" s="4064">
        <v>37010.929235654672</v>
      </c>
      <c r="Q95" t="s">
        <v>5103</v>
      </c>
      <c r="R95" t="s">
        <v>6691</v>
      </c>
    </row>
    <row r="96" spans="1:18">
      <c r="A96" s="3" t="s">
        <v>5103</v>
      </c>
      <c r="B96" s="3" t="s">
        <v>6575</v>
      </c>
      <c r="C96" s="4057"/>
      <c r="D96" s="4065" t="s">
        <v>6576</v>
      </c>
      <c r="E96" s="4066">
        <v>0</v>
      </c>
      <c r="F96" s="4067">
        <v>0</v>
      </c>
      <c r="G96" s="4067">
        <v>8418.369999999999</v>
      </c>
      <c r="H96" s="4067">
        <v>0</v>
      </c>
      <c r="I96" s="4067">
        <v>8418.369999999999</v>
      </c>
      <c r="J96" s="4067">
        <v>0</v>
      </c>
      <c r="K96" s="4068">
        <v>0</v>
      </c>
      <c r="L96" s="4068">
        <v>0</v>
      </c>
      <c r="M96" s="4068">
        <v>0</v>
      </c>
      <c r="N96" s="4069">
        <v>0</v>
      </c>
      <c r="O96" s="4068">
        <v>0</v>
      </c>
      <c r="P96" s="4070" t="s">
        <v>3953</v>
      </c>
      <c r="Q96" t="s">
        <v>5103</v>
      </c>
      <c r="R96" t="s">
        <v>6691</v>
      </c>
    </row>
    <row r="97" spans="1:18">
      <c r="A97" s="3" t="s">
        <v>5103</v>
      </c>
      <c r="B97" s="3" t="s">
        <v>6577</v>
      </c>
      <c r="C97" s="4057"/>
      <c r="D97" s="4071" t="s">
        <v>2686</v>
      </c>
      <c r="E97" s="4072">
        <v>858630</v>
      </c>
      <c r="F97" s="4073">
        <v>4687831.4535852596</v>
      </c>
      <c r="G97" s="4073">
        <v>36828411.600000001</v>
      </c>
      <c r="H97" s="4073">
        <v>323400950</v>
      </c>
      <c r="I97" s="4073">
        <v>32127670</v>
      </c>
      <c r="J97" s="4073">
        <v>276110864.58457386</v>
      </c>
      <c r="K97" s="4074">
        <v>0</v>
      </c>
      <c r="L97" s="4074">
        <v>0</v>
      </c>
      <c r="M97" s="4074">
        <v>0</v>
      </c>
      <c r="N97" s="4074">
        <v>5559371.6000000015</v>
      </c>
      <c r="O97" s="4074">
        <v>51977916.869011402</v>
      </c>
      <c r="P97" s="4075">
        <v>9.3496029063808912</v>
      </c>
      <c r="Q97" t="s">
        <v>5103</v>
      </c>
      <c r="R97" t="s">
        <v>6693</v>
      </c>
    </row>
    <row r="98" spans="1:18">
      <c r="A98" s="3" t="s">
        <v>5103</v>
      </c>
      <c r="B98" s="3" t="s">
        <v>6577</v>
      </c>
      <c r="C98" s="4057"/>
      <c r="D98" s="4076" t="s">
        <v>6578</v>
      </c>
      <c r="E98" s="4053">
        <v>17300</v>
      </c>
      <c r="F98" s="4054">
        <v>5239451.2650634963</v>
      </c>
      <c r="G98" s="4077">
        <v>84231</v>
      </c>
      <c r="H98" s="4077">
        <v>4464940</v>
      </c>
      <c r="I98" s="4054">
        <v>100432</v>
      </c>
      <c r="J98" s="4054">
        <v>7519948.5587928696</v>
      </c>
      <c r="K98" s="4055">
        <v>0</v>
      </c>
      <c r="L98" s="4055">
        <v>0</v>
      </c>
      <c r="M98" s="4055">
        <v>0</v>
      </c>
      <c r="N98" s="4055">
        <v>1099</v>
      </c>
      <c r="O98" s="4055">
        <v>2184442.7062706267</v>
      </c>
      <c r="P98" s="4056">
        <v>1987.6639729487049</v>
      </c>
      <c r="Q98" t="s">
        <v>5103</v>
      </c>
      <c r="R98" t="s">
        <v>6693</v>
      </c>
    </row>
    <row r="99" spans="1:18">
      <c r="A99" s="3"/>
      <c r="B99" s="3"/>
      <c r="C99" s="4078"/>
      <c r="D99" s="4079" t="s">
        <v>6579</v>
      </c>
      <c r="E99" s="4080"/>
      <c r="F99" s="4081">
        <v>2116535704.5454838</v>
      </c>
      <c r="G99" s="4081"/>
      <c r="H99" s="4081">
        <v>112053092397</v>
      </c>
      <c r="I99" s="4082"/>
      <c r="J99" s="4081">
        <v>111779501349.51677</v>
      </c>
      <c r="K99" s="4081">
        <v>0</v>
      </c>
      <c r="L99" s="4081">
        <v>0</v>
      </c>
      <c r="M99" s="4081">
        <v>0</v>
      </c>
      <c r="N99" s="4082"/>
      <c r="O99" s="4081">
        <v>2390126752.0287228</v>
      </c>
      <c r="P99" s="4083"/>
    </row>
    <row r="100" spans="1:18">
      <c r="A100" s="3" t="s">
        <v>5103</v>
      </c>
      <c r="B100" s="3" t="s">
        <v>6580</v>
      </c>
      <c r="C100" s="4057"/>
      <c r="D100" s="4085" t="s">
        <v>1308</v>
      </c>
      <c r="E100" s="4147">
        <v>0</v>
      </c>
      <c r="F100" s="4088">
        <v>0</v>
      </c>
      <c r="G100" s="4088">
        <v>1306580</v>
      </c>
      <c r="H100" s="4088">
        <v>85689995800</v>
      </c>
      <c r="I100" s="4088">
        <v>1306580</v>
      </c>
      <c r="J100" s="4088">
        <v>85689995800</v>
      </c>
      <c r="K100" s="4088">
        <v>0</v>
      </c>
      <c r="L100" s="4088">
        <v>0</v>
      </c>
      <c r="M100" s="4088">
        <v>0</v>
      </c>
      <c r="N100" s="4089">
        <v>0</v>
      </c>
      <c r="O100" s="4088">
        <v>0</v>
      </c>
      <c r="P100" s="4100"/>
      <c r="Q100" t="s">
        <v>5103</v>
      </c>
      <c r="R100" t="s">
        <v>6689</v>
      </c>
    </row>
    <row r="101" spans="1:18">
      <c r="A101" s="3" t="s">
        <v>5103</v>
      </c>
      <c r="B101" s="3" t="s">
        <v>6581</v>
      </c>
      <c r="C101" s="4057"/>
      <c r="D101" s="4085" t="s">
        <v>1309</v>
      </c>
      <c r="E101" s="4147">
        <v>0</v>
      </c>
      <c r="F101" s="4088">
        <v>0</v>
      </c>
      <c r="G101" s="4088">
        <v>296000</v>
      </c>
      <c r="H101" s="4088">
        <v>283175000</v>
      </c>
      <c r="I101" s="4088">
        <v>296000</v>
      </c>
      <c r="J101" s="4088">
        <v>283175000</v>
      </c>
      <c r="K101" s="4088">
        <v>0</v>
      </c>
      <c r="L101" s="4088">
        <v>0</v>
      </c>
      <c r="M101" s="4088">
        <v>0</v>
      </c>
      <c r="N101" s="4089">
        <v>0</v>
      </c>
      <c r="O101" s="4088">
        <v>0</v>
      </c>
      <c r="P101" s="4100"/>
      <c r="Q101" t="s">
        <v>5103</v>
      </c>
      <c r="R101" t="s">
        <v>6690</v>
      </c>
    </row>
    <row r="102" spans="1:18">
      <c r="A102" s="3" t="s">
        <v>5103</v>
      </c>
      <c r="B102" s="3" t="s">
        <v>6584</v>
      </c>
      <c r="C102" s="4057"/>
      <c r="D102" s="4085" t="s">
        <v>1310</v>
      </c>
      <c r="E102" s="4147">
        <v>0</v>
      </c>
      <c r="F102" s="4088">
        <v>0</v>
      </c>
      <c r="G102" s="4088">
        <v>1000</v>
      </c>
      <c r="H102" s="4088">
        <v>38182000</v>
      </c>
      <c r="I102" s="4088">
        <v>1000</v>
      </c>
      <c r="J102" s="4088">
        <v>38182000</v>
      </c>
      <c r="K102" s="4088">
        <v>0</v>
      </c>
      <c r="L102" s="4088">
        <v>0</v>
      </c>
      <c r="M102" s="4088">
        <v>0</v>
      </c>
      <c r="N102" s="4089">
        <v>0</v>
      </c>
      <c r="O102" s="4088">
        <v>0</v>
      </c>
      <c r="P102" s="4100"/>
      <c r="Q102" t="s">
        <v>5103</v>
      </c>
      <c r="R102" t="s">
        <v>6691</v>
      </c>
    </row>
    <row r="103" spans="1:18">
      <c r="A103" s="3"/>
      <c r="B103" s="3"/>
      <c r="C103" s="4057" t="s">
        <v>1885</v>
      </c>
      <c r="D103" s="4148"/>
      <c r="E103" s="4092">
        <v>0</v>
      </c>
      <c r="F103" s="4093">
        <v>0</v>
      </c>
      <c r="G103" s="4093">
        <v>1603580</v>
      </c>
      <c r="H103" s="4093">
        <v>86011352800</v>
      </c>
      <c r="I103" s="4093">
        <v>1603580</v>
      </c>
      <c r="J103" s="4093">
        <v>86011352800</v>
      </c>
      <c r="K103" s="4093"/>
      <c r="L103" s="4093">
        <v>0</v>
      </c>
      <c r="M103" s="4093">
        <v>0</v>
      </c>
      <c r="N103" s="4094">
        <v>0</v>
      </c>
      <c r="O103" s="4093">
        <v>0</v>
      </c>
      <c r="P103" s="4095" t="s">
        <v>3953</v>
      </c>
    </row>
    <row r="104" spans="1:18">
      <c r="A104" s="3" t="s">
        <v>5103</v>
      </c>
      <c r="B104" s="3" t="s">
        <v>2684</v>
      </c>
      <c r="C104" s="4096" t="s">
        <v>2684</v>
      </c>
      <c r="D104" s="4097" t="s">
        <v>1942</v>
      </c>
      <c r="E104" s="4098">
        <v>0</v>
      </c>
      <c r="F104" s="4099">
        <v>0</v>
      </c>
      <c r="G104" s="4099">
        <v>51411.829999999994</v>
      </c>
      <c r="H104" s="4099">
        <v>3496393666</v>
      </c>
      <c r="I104" s="4099">
        <v>51411.829999999994</v>
      </c>
      <c r="J104" s="4099">
        <v>3496393666</v>
      </c>
      <c r="K104" s="4088">
        <v>0</v>
      </c>
      <c r="L104" s="4088">
        <v>0</v>
      </c>
      <c r="M104" s="4088">
        <v>0</v>
      </c>
      <c r="N104" s="4089">
        <v>0</v>
      </c>
      <c r="O104" s="4100">
        <v>0</v>
      </c>
      <c r="P104" s="4100" t="s">
        <v>3953</v>
      </c>
      <c r="Q104" t="s">
        <v>5103</v>
      </c>
      <c r="R104" t="s">
        <v>1878</v>
      </c>
    </row>
    <row r="105" spans="1:18">
      <c r="A105" s="3" t="s">
        <v>5103</v>
      </c>
      <c r="B105" s="3" t="s">
        <v>2684</v>
      </c>
      <c r="C105" s="4101"/>
      <c r="D105" s="4102" t="s">
        <v>2767</v>
      </c>
      <c r="E105" s="4103">
        <v>0</v>
      </c>
      <c r="F105" s="4104">
        <v>0</v>
      </c>
      <c r="G105" s="4104">
        <v>143068860</v>
      </c>
      <c r="H105" s="4104">
        <v>0</v>
      </c>
      <c r="I105" s="4104">
        <v>143068860</v>
      </c>
      <c r="J105" s="4104">
        <v>0</v>
      </c>
      <c r="K105" s="4104">
        <v>0</v>
      </c>
      <c r="L105" s="4104">
        <v>0</v>
      </c>
      <c r="M105" s="4104">
        <v>0</v>
      </c>
      <c r="N105" s="4104">
        <v>0</v>
      </c>
      <c r="O105" s="4103">
        <v>0</v>
      </c>
      <c r="P105" s="4105" t="s">
        <v>3953</v>
      </c>
      <c r="Q105" t="s">
        <v>5103</v>
      </c>
      <c r="R105" t="s">
        <v>1878</v>
      </c>
    </row>
    <row r="106" spans="1:18">
      <c r="A106" s="3"/>
      <c r="B106" s="3"/>
      <c r="C106" s="4106"/>
      <c r="D106" s="4107" t="s">
        <v>6579</v>
      </c>
      <c r="E106" s="4108"/>
      <c r="F106" s="4081">
        <v>0</v>
      </c>
      <c r="G106" s="4081"/>
      <c r="H106" s="4081">
        <v>3496393666</v>
      </c>
      <c r="I106" s="4081"/>
      <c r="J106" s="4081">
        <v>3496393666</v>
      </c>
      <c r="K106" s="4081">
        <v>0</v>
      </c>
      <c r="L106" s="4081">
        <v>0</v>
      </c>
      <c r="M106" s="4081">
        <v>0</v>
      </c>
      <c r="N106" s="4081"/>
      <c r="O106" s="4080">
        <v>0</v>
      </c>
      <c r="P106" s="4083"/>
    </row>
    <row r="107" spans="1:18">
      <c r="A107" s="3" t="s">
        <v>5103</v>
      </c>
      <c r="B107" s="3" t="s">
        <v>6582</v>
      </c>
      <c r="C107" s="4109" t="s">
        <v>2820</v>
      </c>
      <c r="D107" s="4102" t="s">
        <v>6583</v>
      </c>
      <c r="E107" s="4108">
        <v>14150994.99999997</v>
      </c>
      <c r="F107" s="4081">
        <v>194222424.13199425</v>
      </c>
      <c r="G107" s="4110">
        <v>290539451</v>
      </c>
      <c r="H107" s="4110">
        <v>4275607257</v>
      </c>
      <c r="I107" s="4110">
        <v>299476468</v>
      </c>
      <c r="J107" s="4110">
        <v>4394512331.0885334</v>
      </c>
      <c r="K107" s="4081">
        <v>0</v>
      </c>
      <c r="L107" s="4081">
        <v>0</v>
      </c>
      <c r="M107" s="4081">
        <v>0</v>
      </c>
      <c r="N107" s="4081">
        <v>5213978</v>
      </c>
      <c r="O107" s="4080">
        <v>75317350.043460846</v>
      </c>
      <c r="P107" s="4111">
        <v>14.445275765156824</v>
      </c>
      <c r="Q107" t="s">
        <v>5103</v>
      </c>
      <c r="R107" t="s">
        <v>5586</v>
      </c>
    </row>
    <row r="108" spans="1:18">
      <c r="A108" s="3"/>
      <c r="B108" s="3"/>
      <c r="C108" s="4057"/>
      <c r="D108" s="4112"/>
      <c r="E108" s="4113"/>
      <c r="F108" s="4114"/>
      <c r="G108" s="4114"/>
      <c r="H108" s="4114"/>
      <c r="I108" s="4114"/>
      <c r="J108" s="4114"/>
      <c r="K108" s="4114"/>
      <c r="L108" s="4114"/>
      <c r="M108" s="4114"/>
      <c r="N108" s="4115"/>
      <c r="O108" s="4114"/>
      <c r="P108" s="4116"/>
    </row>
    <row r="109" spans="1:18">
      <c r="A109" s="3"/>
      <c r="B109" s="3"/>
      <c r="C109" s="5386" t="s">
        <v>2762</v>
      </c>
      <c r="D109" s="5387"/>
      <c r="E109" s="4117"/>
      <c r="F109" s="4117">
        <v>2310758128.6774778</v>
      </c>
      <c r="G109" s="4117"/>
      <c r="H109" s="4117">
        <v>205836446120</v>
      </c>
      <c r="I109" s="4117"/>
      <c r="J109" s="4118">
        <v>205681760146.60532</v>
      </c>
      <c r="K109" s="4117">
        <v>0</v>
      </c>
      <c r="L109" s="4117">
        <v>0</v>
      </c>
      <c r="M109" s="4117">
        <v>0</v>
      </c>
      <c r="N109" s="4117"/>
      <c r="O109" s="4117">
        <v>2465444102.0721836</v>
      </c>
      <c r="P109" s="4119"/>
    </row>
    <row r="110" spans="1:18">
      <c r="A110" s="3"/>
      <c r="B110" s="3"/>
      <c r="C110" s="1" t="s">
        <v>6502</v>
      </c>
      <c r="D110" s="3"/>
      <c r="E110" s="3"/>
      <c r="F110" s="3"/>
      <c r="G110" s="3"/>
      <c r="H110" s="3"/>
      <c r="I110" s="3"/>
      <c r="J110" s="3"/>
      <c r="K110" s="3"/>
      <c r="L110" s="3"/>
      <c r="M110" s="3"/>
      <c r="N110" s="3"/>
      <c r="O110" s="3"/>
      <c r="P110" s="3"/>
    </row>
  </sheetData>
  <mergeCells count="32">
    <mergeCell ref="C109:D109"/>
    <mergeCell ref="N60:O60"/>
    <mergeCell ref="P60:P61"/>
    <mergeCell ref="C81:D81"/>
    <mergeCell ref="C87:C88"/>
    <mergeCell ref="D87:D88"/>
    <mergeCell ref="E87:F87"/>
    <mergeCell ref="G87:H87"/>
    <mergeCell ref="K87:M87"/>
    <mergeCell ref="N87:O87"/>
    <mergeCell ref="P87:P88"/>
    <mergeCell ref="K60:M60"/>
    <mergeCell ref="C54:D54"/>
    <mergeCell ref="C60:C61"/>
    <mergeCell ref="D60:D61"/>
    <mergeCell ref="E60:F60"/>
    <mergeCell ref="G60:H60"/>
    <mergeCell ref="P5:P6"/>
    <mergeCell ref="C26:D26"/>
    <mergeCell ref="C33:C34"/>
    <mergeCell ref="D33:D34"/>
    <mergeCell ref="E33:F33"/>
    <mergeCell ref="G33:H33"/>
    <mergeCell ref="K33:M33"/>
    <mergeCell ref="N33:O33"/>
    <mergeCell ref="P33:P34"/>
    <mergeCell ref="C5:C6"/>
    <mergeCell ref="D5:D6"/>
    <mergeCell ref="E5:F5"/>
    <mergeCell ref="G5:H5"/>
    <mergeCell ref="K5:M5"/>
    <mergeCell ref="N5:O5"/>
  </mergeCells>
  <phoneticPr fontId="1"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013E6-ADE3-4BFA-BE35-1C69BD192091}">
  <sheetPr codeName="Sheet54"/>
  <dimension ref="E1:AF860"/>
  <sheetViews>
    <sheetView workbookViewId="0"/>
  </sheetViews>
  <sheetFormatPr defaultColWidth="9" defaultRowHeight="12"/>
  <cols>
    <col min="1" max="4" width="1.625" style="3" customWidth="1"/>
    <col min="5" max="5" width="9" style="3"/>
    <col min="6" max="6" width="9.125" style="3" bestFit="1" customWidth="1"/>
    <col min="7" max="7" width="9" style="3"/>
    <col min="8" max="8" width="14.125" style="3" bestFit="1" customWidth="1"/>
    <col min="9" max="13" width="9" style="3"/>
    <col min="14" max="14" width="9.125" style="3" bestFit="1" customWidth="1"/>
    <col min="15" max="15" width="9" style="3"/>
    <col min="16" max="16" width="14.125" style="3" bestFit="1" customWidth="1"/>
    <col min="17" max="21" width="9" style="3"/>
    <col min="22" max="22" width="9.125" style="3" bestFit="1" customWidth="1"/>
    <col min="23" max="23" width="9" style="3"/>
    <col min="24" max="24" width="14.125" style="3" bestFit="1" customWidth="1"/>
    <col min="25" max="29" width="9" style="3"/>
    <col min="30" max="30" width="9.125" style="3" bestFit="1" customWidth="1"/>
    <col min="31" max="31" width="9" style="3"/>
    <col min="32" max="32" width="14.875" style="3" bestFit="1" customWidth="1"/>
    <col min="33" max="16384" width="9" style="3"/>
  </cols>
  <sheetData>
    <row r="1" spans="5:32">
      <c r="J1" s="3939"/>
      <c r="R1" s="3939"/>
      <c r="Z1" s="3939"/>
    </row>
    <row r="2" spans="5:32">
      <c r="E2" s="32" t="s">
        <v>6551</v>
      </c>
      <c r="J2" s="3939"/>
      <c r="M2" s="3940" t="s">
        <v>6552</v>
      </c>
      <c r="R2" s="3939"/>
      <c r="U2" s="3940" t="s">
        <v>6553</v>
      </c>
      <c r="Z2" s="3939"/>
      <c r="AC2" s="3940" t="s">
        <v>6554</v>
      </c>
    </row>
    <row r="3" spans="5:32">
      <c r="J3" s="3939"/>
      <c r="R3" s="3939"/>
      <c r="Z3" s="3939"/>
    </row>
    <row r="4" spans="5:32">
      <c r="E4" s="3941" t="s">
        <v>2452</v>
      </c>
      <c r="G4" s="1983"/>
      <c r="J4" s="3939"/>
      <c r="M4" s="3941" t="s">
        <v>2452</v>
      </c>
      <c r="R4" s="3939"/>
      <c r="U4" s="3941" t="s">
        <v>2452</v>
      </c>
      <c r="Z4" s="3939"/>
      <c r="AC4" s="3941" t="s">
        <v>2452</v>
      </c>
    </row>
    <row r="5" spans="5:32">
      <c r="F5" s="5400" t="s">
        <v>2454</v>
      </c>
      <c r="G5" s="5400" t="s">
        <v>2455</v>
      </c>
      <c r="H5" s="3942" t="s">
        <v>2457</v>
      </c>
      <c r="J5" s="3939"/>
      <c r="N5" s="5402" t="s">
        <v>2454</v>
      </c>
      <c r="O5" s="5402" t="s">
        <v>2455</v>
      </c>
      <c r="P5" s="3943" t="s">
        <v>2457</v>
      </c>
      <c r="R5" s="3939"/>
      <c r="V5" s="5402" t="s">
        <v>2454</v>
      </c>
      <c r="W5" s="5402" t="s">
        <v>2455</v>
      </c>
      <c r="X5" s="3943" t="s">
        <v>2457</v>
      </c>
      <c r="Z5" s="3939"/>
      <c r="AD5" s="5402" t="s">
        <v>2454</v>
      </c>
      <c r="AE5" s="5402" t="s">
        <v>2455</v>
      </c>
      <c r="AF5" s="3943" t="s">
        <v>2457</v>
      </c>
    </row>
    <row r="6" spans="5:32">
      <c r="F6" s="5401"/>
      <c r="G6" s="5401"/>
      <c r="H6" s="3942" t="s">
        <v>2468</v>
      </c>
      <c r="J6" s="3939"/>
      <c r="N6" s="5403"/>
      <c r="O6" s="5403"/>
      <c r="P6" s="3943" t="s">
        <v>2468</v>
      </c>
      <c r="R6" s="3939"/>
      <c r="V6" s="5403"/>
      <c r="W6" s="5403"/>
      <c r="X6" s="3943" t="s">
        <v>2468</v>
      </c>
      <c r="Z6" s="3939"/>
      <c r="AD6" s="5403"/>
      <c r="AE6" s="5403"/>
      <c r="AF6" s="3943" t="s">
        <v>2468</v>
      </c>
    </row>
    <row r="7" spans="5:32">
      <c r="F7" s="3944">
        <v>41000000</v>
      </c>
      <c r="G7" s="3945" t="s">
        <v>140</v>
      </c>
      <c r="H7" s="3946">
        <v>213598362661</v>
      </c>
      <c r="J7" s="3939"/>
      <c r="N7" s="3947">
        <v>41000000</v>
      </c>
      <c r="O7" s="3948" t="s">
        <v>140</v>
      </c>
      <c r="P7" s="3949">
        <v>308139407885</v>
      </c>
      <c r="R7" s="3939"/>
      <c r="V7" s="3947">
        <v>41000000</v>
      </c>
      <c r="W7" s="3948" t="s">
        <v>140</v>
      </c>
      <c r="X7" s="3949">
        <v>231687932258</v>
      </c>
      <c r="Z7" s="3939"/>
      <c r="AD7" s="3947">
        <v>41000000</v>
      </c>
      <c r="AE7" s="3948" t="s">
        <v>140</v>
      </c>
      <c r="AF7" s="3949">
        <v>224839088866</v>
      </c>
    </row>
    <row r="8" spans="5:32">
      <c r="F8" s="3950">
        <v>41010000</v>
      </c>
      <c r="G8" s="3951" t="s">
        <v>2476</v>
      </c>
      <c r="H8" s="3952">
        <v>213065511886</v>
      </c>
      <c r="J8" s="3939"/>
      <c r="N8" s="3953">
        <v>41010000</v>
      </c>
      <c r="O8" s="3954" t="s">
        <v>2476</v>
      </c>
      <c r="P8" s="3955">
        <v>307185490076</v>
      </c>
      <c r="R8" s="3939"/>
      <c r="V8" s="3953">
        <v>41010000</v>
      </c>
      <c r="W8" s="3954" t="s">
        <v>2476</v>
      </c>
      <c r="X8" s="3955">
        <v>230788409035</v>
      </c>
      <c r="Z8" s="3939"/>
      <c r="AD8" s="3953">
        <v>41010000</v>
      </c>
      <c r="AE8" s="3954" t="s">
        <v>2476</v>
      </c>
      <c r="AF8" s="3955">
        <v>224350389540</v>
      </c>
    </row>
    <row r="9" spans="5:32">
      <c r="F9" s="3956">
        <v>41010010</v>
      </c>
      <c r="G9" s="3957" t="s">
        <v>2477</v>
      </c>
      <c r="H9" s="3958">
        <v>213065511886</v>
      </c>
      <c r="J9" s="3939"/>
      <c r="N9" s="3959">
        <v>41010010</v>
      </c>
      <c r="O9" s="3960" t="s">
        <v>3851</v>
      </c>
      <c r="P9" s="3961">
        <v>307185490076</v>
      </c>
      <c r="R9" s="3939"/>
      <c r="V9" s="3959">
        <v>41010010</v>
      </c>
      <c r="W9" s="3960" t="s">
        <v>3851</v>
      </c>
      <c r="X9" s="3961">
        <v>230788409035</v>
      </c>
      <c r="Z9" s="3939"/>
      <c r="AD9" s="3959">
        <v>41010010</v>
      </c>
      <c r="AE9" s="3960" t="s">
        <v>3851</v>
      </c>
      <c r="AF9" s="3961">
        <v>224350389540</v>
      </c>
    </row>
    <row r="10" spans="5:32">
      <c r="F10" s="3956">
        <v>41010020</v>
      </c>
      <c r="G10" s="3957" t="s">
        <v>2478</v>
      </c>
      <c r="H10" s="3958">
        <v>0</v>
      </c>
      <c r="J10" s="3939"/>
      <c r="N10" s="3959">
        <v>41010020</v>
      </c>
      <c r="O10" s="3960" t="s">
        <v>2478</v>
      </c>
      <c r="P10" s="3961">
        <v>0</v>
      </c>
      <c r="R10" s="3939"/>
      <c r="V10" s="3959">
        <v>41010020</v>
      </c>
      <c r="W10" s="3960" t="s">
        <v>2478</v>
      </c>
      <c r="X10" s="3961">
        <v>0</v>
      </c>
      <c r="Z10" s="3939"/>
      <c r="AD10" s="3959">
        <v>41010020</v>
      </c>
      <c r="AE10" s="3960" t="s">
        <v>2478</v>
      </c>
      <c r="AF10" s="3961">
        <v>0</v>
      </c>
    </row>
    <row r="11" spans="5:32">
      <c r="F11" s="3956">
        <v>41010030</v>
      </c>
      <c r="G11" s="3957" t="s">
        <v>2478</v>
      </c>
      <c r="H11" s="3958">
        <v>0</v>
      </c>
      <c r="J11" s="3939"/>
      <c r="N11" s="3959">
        <v>41010030</v>
      </c>
      <c r="O11" s="3960" t="s">
        <v>2478</v>
      </c>
      <c r="P11" s="3961">
        <v>0</v>
      </c>
      <c r="R11" s="3939"/>
      <c r="V11" s="3959">
        <v>41010030</v>
      </c>
      <c r="W11" s="3960" t="s">
        <v>2478</v>
      </c>
      <c r="X11" s="3961">
        <v>0</v>
      </c>
      <c r="Z11" s="3939"/>
      <c r="AD11" s="3959">
        <v>41010030</v>
      </c>
      <c r="AE11" s="3960" t="s">
        <v>2478</v>
      </c>
      <c r="AF11" s="3961">
        <v>0</v>
      </c>
    </row>
    <row r="12" spans="5:32">
      <c r="F12" s="3950">
        <v>41011000</v>
      </c>
      <c r="G12" s="3951" t="s">
        <v>2479</v>
      </c>
      <c r="H12" s="3952">
        <v>950000</v>
      </c>
      <c r="J12" s="3939"/>
      <c r="N12" s="3953">
        <v>41011000</v>
      </c>
      <c r="O12" s="3954" t="s">
        <v>2479</v>
      </c>
      <c r="P12" s="3955">
        <v>2400000</v>
      </c>
      <c r="R12" s="3939"/>
      <c r="V12" s="3953">
        <v>41011000</v>
      </c>
      <c r="W12" s="3954" t="s">
        <v>2479</v>
      </c>
      <c r="X12" s="3955">
        <v>48662000</v>
      </c>
      <c r="Z12" s="3939"/>
      <c r="AD12" s="3953">
        <v>41011000</v>
      </c>
      <c r="AE12" s="3954" t="s">
        <v>2479</v>
      </c>
      <c r="AF12" s="3955">
        <v>50745774</v>
      </c>
    </row>
    <row r="13" spans="5:32">
      <c r="F13" s="3956">
        <v>41011010</v>
      </c>
      <c r="G13" s="3957" t="s">
        <v>2480</v>
      </c>
      <c r="H13" s="3958">
        <v>950000</v>
      </c>
      <c r="J13" s="3939"/>
      <c r="N13" s="3959">
        <v>41011010</v>
      </c>
      <c r="O13" s="3960" t="s">
        <v>2480</v>
      </c>
      <c r="P13" s="3961">
        <v>2400000</v>
      </c>
      <c r="R13" s="3939"/>
      <c r="V13" s="3959">
        <v>41011010</v>
      </c>
      <c r="W13" s="3960" t="s">
        <v>2480</v>
      </c>
      <c r="X13" s="3961">
        <v>48662000</v>
      </c>
      <c r="Z13" s="3939"/>
      <c r="AD13" s="3959">
        <v>41011010</v>
      </c>
      <c r="AE13" s="3960" t="s">
        <v>2480</v>
      </c>
      <c r="AF13" s="3961">
        <v>50745774</v>
      </c>
    </row>
    <row r="14" spans="5:32">
      <c r="F14" s="3956">
        <v>41011020</v>
      </c>
      <c r="G14" s="3957" t="s">
        <v>2481</v>
      </c>
      <c r="H14" s="3958">
        <v>0</v>
      </c>
      <c r="J14" s="3939"/>
      <c r="N14" s="3959">
        <v>41011020</v>
      </c>
      <c r="O14" s="3960" t="s">
        <v>2481</v>
      </c>
      <c r="P14" s="3961">
        <v>0</v>
      </c>
      <c r="R14" s="3939"/>
      <c r="V14" s="3959">
        <v>41011020</v>
      </c>
      <c r="W14" s="3960" t="s">
        <v>2481</v>
      </c>
      <c r="X14" s="3961">
        <v>0</v>
      </c>
      <c r="Z14" s="3939"/>
      <c r="AD14" s="3959">
        <v>41011020</v>
      </c>
      <c r="AE14" s="3960" t="s">
        <v>2481</v>
      </c>
      <c r="AF14" s="3961">
        <v>0</v>
      </c>
    </row>
    <row r="15" spans="5:32">
      <c r="F15" s="3950">
        <v>41012000</v>
      </c>
      <c r="G15" s="3951" t="s">
        <v>2482</v>
      </c>
      <c r="H15" s="3952">
        <v>0</v>
      </c>
      <c r="J15" s="3939"/>
      <c r="N15" s="3953">
        <v>41012000</v>
      </c>
      <c r="O15" s="3954" t="s">
        <v>2482</v>
      </c>
      <c r="P15" s="3955">
        <v>0</v>
      </c>
      <c r="R15" s="3939"/>
      <c r="V15" s="3953">
        <v>41012000</v>
      </c>
      <c r="W15" s="3954" t="s">
        <v>2482</v>
      </c>
      <c r="X15" s="3955">
        <v>0</v>
      </c>
      <c r="Z15" s="3939"/>
      <c r="AD15" s="3953">
        <v>41012000</v>
      </c>
      <c r="AE15" s="3954" t="s">
        <v>2482</v>
      </c>
      <c r="AF15" s="3955">
        <v>0</v>
      </c>
    </row>
    <row r="16" spans="5:32">
      <c r="F16" s="3956">
        <v>41012010</v>
      </c>
      <c r="G16" s="3957" t="s">
        <v>2181</v>
      </c>
      <c r="H16" s="3958">
        <v>0</v>
      </c>
      <c r="J16" s="3939"/>
      <c r="N16" s="3959">
        <v>41012010</v>
      </c>
      <c r="O16" s="3960" t="s">
        <v>2181</v>
      </c>
      <c r="P16" s="3961">
        <v>0</v>
      </c>
      <c r="R16" s="3939"/>
      <c r="V16" s="3959">
        <v>41012010</v>
      </c>
      <c r="W16" s="3960" t="s">
        <v>2181</v>
      </c>
      <c r="X16" s="3961">
        <v>0</v>
      </c>
      <c r="Z16" s="3939"/>
      <c r="AD16" s="3959">
        <v>41012010</v>
      </c>
      <c r="AE16" s="3960" t="s">
        <v>2181</v>
      </c>
      <c r="AF16" s="3961">
        <v>0</v>
      </c>
    </row>
    <row r="17" spans="6:32">
      <c r="F17" s="3956">
        <v>41012020</v>
      </c>
      <c r="G17" s="3957" t="s">
        <v>2483</v>
      </c>
      <c r="H17" s="3958">
        <v>0</v>
      </c>
      <c r="J17" s="3939"/>
      <c r="N17" s="3959">
        <v>41012020</v>
      </c>
      <c r="O17" s="3960" t="s">
        <v>2483</v>
      </c>
      <c r="P17" s="3961">
        <v>0</v>
      </c>
      <c r="R17" s="3939"/>
      <c r="V17" s="3959">
        <v>41012020</v>
      </c>
      <c r="W17" s="3960" t="s">
        <v>2483</v>
      </c>
      <c r="X17" s="3961">
        <v>0</v>
      </c>
      <c r="Z17" s="3939"/>
      <c r="AD17" s="3959">
        <v>41012020</v>
      </c>
      <c r="AE17" s="3960" t="s">
        <v>2483</v>
      </c>
      <c r="AF17" s="3961">
        <v>0</v>
      </c>
    </row>
    <row r="18" spans="6:32">
      <c r="F18" s="3956">
        <v>41012030</v>
      </c>
      <c r="G18" s="3957" t="s">
        <v>2484</v>
      </c>
      <c r="H18" s="3958">
        <v>0</v>
      </c>
      <c r="J18" s="3939"/>
      <c r="N18" s="3959">
        <v>41012030</v>
      </c>
      <c r="O18" s="3960" t="s">
        <v>2484</v>
      </c>
      <c r="P18" s="3961">
        <v>0</v>
      </c>
      <c r="R18" s="3939"/>
      <c r="V18" s="3959">
        <v>41012030</v>
      </c>
      <c r="W18" s="3960" t="s">
        <v>2484</v>
      </c>
      <c r="X18" s="3961">
        <v>0</v>
      </c>
      <c r="Z18" s="3939"/>
      <c r="AD18" s="3959">
        <v>41012030</v>
      </c>
      <c r="AE18" s="3960" t="s">
        <v>2484</v>
      </c>
      <c r="AF18" s="3961">
        <v>0</v>
      </c>
    </row>
    <row r="19" spans="6:32">
      <c r="F19" s="3950">
        <v>41013000</v>
      </c>
      <c r="G19" s="3951" t="s">
        <v>2485</v>
      </c>
      <c r="H19" s="3952">
        <v>0</v>
      </c>
      <c r="J19" s="3939"/>
      <c r="N19" s="3953">
        <v>41013000</v>
      </c>
      <c r="O19" s="3954" t="s">
        <v>2485</v>
      </c>
      <c r="P19" s="3955">
        <v>0</v>
      </c>
      <c r="R19" s="3939"/>
      <c r="V19" s="3953">
        <v>41013000</v>
      </c>
      <c r="W19" s="3954" t="s">
        <v>2485</v>
      </c>
      <c r="X19" s="3955">
        <v>0</v>
      </c>
      <c r="Z19" s="3939"/>
      <c r="AD19" s="3953">
        <v>41013000</v>
      </c>
      <c r="AE19" s="3954" t="s">
        <v>2485</v>
      </c>
      <c r="AF19" s="3955">
        <v>0</v>
      </c>
    </row>
    <row r="20" spans="6:32">
      <c r="F20" s="3956">
        <v>41013010</v>
      </c>
      <c r="G20" s="3957" t="s">
        <v>2486</v>
      </c>
      <c r="H20" s="3958">
        <v>0</v>
      </c>
      <c r="J20" s="3939"/>
      <c r="N20" s="3959">
        <v>41013010</v>
      </c>
      <c r="O20" s="3960" t="s">
        <v>2485</v>
      </c>
      <c r="P20" s="3961">
        <v>0</v>
      </c>
      <c r="R20" s="3939"/>
      <c r="V20" s="3959">
        <v>41013010</v>
      </c>
      <c r="W20" s="3960" t="s">
        <v>2485</v>
      </c>
      <c r="X20" s="3961">
        <v>0</v>
      </c>
      <c r="Z20" s="3939"/>
      <c r="AD20" s="3959">
        <v>41013010</v>
      </c>
      <c r="AE20" s="3960" t="s">
        <v>2485</v>
      </c>
      <c r="AF20" s="3961">
        <v>0</v>
      </c>
    </row>
    <row r="21" spans="6:32">
      <c r="F21" s="3950">
        <v>41089000</v>
      </c>
      <c r="G21" s="3951" t="s">
        <v>2189</v>
      </c>
      <c r="H21" s="3952">
        <v>531900775</v>
      </c>
      <c r="J21" s="3939"/>
      <c r="N21" s="3953">
        <v>41089000</v>
      </c>
      <c r="O21" s="3954" t="s">
        <v>2189</v>
      </c>
      <c r="P21" s="3955">
        <v>951517809</v>
      </c>
      <c r="R21" s="3939"/>
      <c r="V21" s="3953">
        <v>41089000</v>
      </c>
      <c r="W21" s="3954" t="s">
        <v>2189</v>
      </c>
      <c r="X21" s="3955">
        <v>850861223</v>
      </c>
      <c r="Z21" s="3939"/>
      <c r="AD21" s="3953">
        <v>41089000</v>
      </c>
      <c r="AE21" s="3954" t="s">
        <v>2189</v>
      </c>
      <c r="AF21" s="3955">
        <v>437953552</v>
      </c>
    </row>
    <row r="22" spans="6:32">
      <c r="F22" s="3956">
        <v>41089010</v>
      </c>
      <c r="G22" s="3957" t="s">
        <v>2487</v>
      </c>
      <c r="H22" s="3958">
        <v>0</v>
      </c>
      <c r="J22" s="3939"/>
      <c r="N22" s="3959">
        <v>41089010</v>
      </c>
      <c r="O22" s="3960" t="s">
        <v>2487</v>
      </c>
      <c r="P22" s="3961">
        <v>0</v>
      </c>
      <c r="R22" s="3939"/>
      <c r="V22" s="3959">
        <v>41089010</v>
      </c>
      <c r="W22" s="3960" t="s">
        <v>2487</v>
      </c>
      <c r="X22" s="3961">
        <v>0</v>
      </c>
      <c r="Z22" s="3939"/>
      <c r="AD22" s="3959">
        <v>41089010</v>
      </c>
      <c r="AE22" s="3960" t="s">
        <v>2487</v>
      </c>
      <c r="AF22" s="3961">
        <v>0</v>
      </c>
    </row>
    <row r="23" spans="6:32">
      <c r="F23" s="3956">
        <v>41089020</v>
      </c>
      <c r="G23" s="3957" t="s">
        <v>2488</v>
      </c>
      <c r="H23" s="3958">
        <v>0</v>
      </c>
      <c r="J23" s="3939"/>
      <c r="N23" s="3959">
        <v>41089020</v>
      </c>
      <c r="O23" s="3960" t="s">
        <v>2488</v>
      </c>
      <c r="P23" s="3961">
        <v>0</v>
      </c>
      <c r="R23" s="3939"/>
      <c r="V23" s="3959">
        <v>41089020</v>
      </c>
      <c r="W23" s="3960" t="s">
        <v>2488</v>
      </c>
      <c r="X23" s="3961">
        <v>0</v>
      </c>
      <c r="Z23" s="3939"/>
      <c r="AD23" s="3959">
        <v>41089020</v>
      </c>
      <c r="AE23" s="3960" t="s">
        <v>2488</v>
      </c>
      <c r="AF23" s="3961">
        <v>0</v>
      </c>
    </row>
    <row r="24" spans="6:32">
      <c r="F24" s="3956">
        <v>41089030</v>
      </c>
      <c r="G24" s="3957" t="s">
        <v>2489</v>
      </c>
      <c r="H24" s="3958">
        <v>0</v>
      </c>
      <c r="J24" s="3939"/>
      <c r="N24" s="3959">
        <v>41089030</v>
      </c>
      <c r="O24" s="3960" t="s">
        <v>3852</v>
      </c>
      <c r="P24" s="3961">
        <v>0</v>
      </c>
      <c r="R24" s="3939"/>
      <c r="V24" s="3959">
        <v>41089030</v>
      </c>
      <c r="W24" s="3960" t="s">
        <v>3852</v>
      </c>
      <c r="X24" s="3961">
        <v>0</v>
      </c>
      <c r="Z24" s="3939"/>
      <c r="AD24" s="3959">
        <v>41089030</v>
      </c>
      <c r="AE24" s="3960" t="s">
        <v>3852</v>
      </c>
      <c r="AF24" s="3961">
        <v>0</v>
      </c>
    </row>
    <row r="25" spans="6:32">
      <c r="F25" s="3956">
        <v>41089040</v>
      </c>
      <c r="G25" s="3957" t="s">
        <v>2490</v>
      </c>
      <c r="H25" s="3958">
        <v>0</v>
      </c>
      <c r="J25" s="3939"/>
      <c r="N25" s="3959">
        <v>41089040</v>
      </c>
      <c r="O25" s="3960" t="s">
        <v>3853</v>
      </c>
      <c r="P25" s="3961">
        <v>0</v>
      </c>
      <c r="R25" s="3939"/>
      <c r="V25" s="3959">
        <v>41089040</v>
      </c>
      <c r="W25" s="3960" t="s">
        <v>3853</v>
      </c>
      <c r="X25" s="3961">
        <v>0</v>
      </c>
      <c r="Z25" s="3939"/>
      <c r="AD25" s="3959">
        <v>41089040</v>
      </c>
      <c r="AE25" s="3960" t="s">
        <v>3853</v>
      </c>
      <c r="AF25" s="3961">
        <v>0</v>
      </c>
    </row>
    <row r="26" spans="6:32">
      <c r="F26" s="3956">
        <v>41089990</v>
      </c>
      <c r="G26" s="3957" t="s">
        <v>2491</v>
      </c>
      <c r="H26" s="3958">
        <v>531900775</v>
      </c>
      <c r="J26" s="3939"/>
      <c r="N26" s="3959">
        <v>41089990</v>
      </c>
      <c r="O26" s="3960" t="s">
        <v>2189</v>
      </c>
      <c r="P26" s="3961">
        <v>951517809</v>
      </c>
      <c r="R26" s="3939"/>
      <c r="V26" s="3959">
        <v>41089990</v>
      </c>
      <c r="W26" s="3960" t="s">
        <v>2189</v>
      </c>
      <c r="X26" s="3961">
        <v>850861223</v>
      </c>
      <c r="Z26" s="3939"/>
      <c r="AD26" s="3959">
        <v>41089990</v>
      </c>
      <c r="AE26" s="3960" t="s">
        <v>2189</v>
      </c>
      <c r="AF26" s="3961">
        <v>437953552</v>
      </c>
    </row>
    <row r="27" spans="6:32">
      <c r="F27" s="3950">
        <v>41099000</v>
      </c>
      <c r="G27" s="3951" t="s">
        <v>2492</v>
      </c>
      <c r="H27" s="3952">
        <v>0</v>
      </c>
      <c r="J27" s="3939"/>
      <c r="N27" s="3953">
        <v>41099000</v>
      </c>
      <c r="O27" s="3954" t="s">
        <v>2492</v>
      </c>
      <c r="P27" s="3955">
        <v>0</v>
      </c>
      <c r="R27" s="3939"/>
      <c r="V27" s="3953">
        <v>41099000</v>
      </c>
      <c r="W27" s="3954" t="s">
        <v>2492</v>
      </c>
      <c r="X27" s="3955">
        <v>0</v>
      </c>
      <c r="Z27" s="3939"/>
      <c r="AD27" s="3953">
        <v>41099000</v>
      </c>
      <c r="AE27" s="3954" t="s">
        <v>2492</v>
      </c>
      <c r="AF27" s="3955">
        <v>0</v>
      </c>
    </row>
    <row r="28" spans="6:32">
      <c r="F28" s="3956">
        <v>41099010</v>
      </c>
      <c r="G28" s="3957" t="s">
        <v>2493</v>
      </c>
      <c r="H28" s="3958">
        <v>0</v>
      </c>
      <c r="J28" s="3939"/>
      <c r="N28" s="3959">
        <v>41099010</v>
      </c>
      <c r="O28" s="3960" t="s">
        <v>2492</v>
      </c>
      <c r="P28" s="3961">
        <v>0</v>
      </c>
      <c r="R28" s="3939"/>
      <c r="V28" s="3959">
        <v>41099010</v>
      </c>
      <c r="W28" s="3960" t="s">
        <v>2492</v>
      </c>
      <c r="X28" s="3961">
        <v>0</v>
      </c>
      <c r="Z28" s="3939"/>
      <c r="AD28" s="3959">
        <v>41099010</v>
      </c>
      <c r="AE28" s="3960" t="s">
        <v>2492</v>
      </c>
      <c r="AF28" s="3961">
        <v>0</v>
      </c>
    </row>
    <row r="29" spans="6:32">
      <c r="F29" s="3944">
        <v>42100000</v>
      </c>
      <c r="G29" s="3945" t="s">
        <v>141</v>
      </c>
      <c r="H29" s="3946">
        <v>208094931265</v>
      </c>
      <c r="J29" s="3939"/>
      <c r="N29" s="3947">
        <v>42100000</v>
      </c>
      <c r="O29" s="3948" t="s">
        <v>141</v>
      </c>
      <c r="P29" s="3949">
        <v>298381611076</v>
      </c>
      <c r="R29" s="3939"/>
      <c r="V29" s="3947">
        <v>42100000</v>
      </c>
      <c r="W29" s="3948" t="s">
        <v>141</v>
      </c>
      <c r="X29" s="3949">
        <v>221412739752</v>
      </c>
      <c r="Z29" s="3939"/>
      <c r="AD29" s="3947">
        <v>42100000</v>
      </c>
      <c r="AE29" s="3948" t="s">
        <v>141</v>
      </c>
      <c r="AF29" s="3962">
        <v>218323519928</v>
      </c>
    </row>
    <row r="30" spans="6:32">
      <c r="F30" s="3950">
        <v>42010000</v>
      </c>
      <c r="G30" s="3951" t="s">
        <v>2165</v>
      </c>
      <c r="H30" s="3952">
        <v>208094091265</v>
      </c>
      <c r="J30" s="3939"/>
      <c r="N30" s="3953">
        <v>42010000</v>
      </c>
      <c r="O30" s="3954" t="s">
        <v>2165</v>
      </c>
      <c r="P30" s="3955">
        <v>298379931076</v>
      </c>
      <c r="R30" s="3939"/>
      <c r="V30" s="3953">
        <v>42010000</v>
      </c>
      <c r="W30" s="3954" t="s">
        <v>2165</v>
      </c>
      <c r="X30" s="3955">
        <v>221373440252</v>
      </c>
      <c r="Z30" s="3939"/>
      <c r="AD30" s="3953">
        <v>42010000</v>
      </c>
      <c r="AE30" s="3954" t="s">
        <v>2165</v>
      </c>
      <c r="AF30" s="3955">
        <v>218284090928</v>
      </c>
    </row>
    <row r="31" spans="6:32">
      <c r="F31" s="3956">
        <v>42010010</v>
      </c>
      <c r="G31" s="3957" t="s">
        <v>2165</v>
      </c>
      <c r="H31" s="3958">
        <v>208094091265</v>
      </c>
      <c r="J31" s="3939"/>
      <c r="N31" s="3959">
        <v>42010010</v>
      </c>
      <c r="O31" s="3960" t="s">
        <v>2165</v>
      </c>
      <c r="P31" s="3961">
        <v>298664027517</v>
      </c>
      <c r="R31" s="3939"/>
      <c r="V31" s="3959">
        <v>42010010</v>
      </c>
      <c r="W31" s="3960" t="s">
        <v>2165</v>
      </c>
      <c r="X31" s="3961">
        <v>221383718690</v>
      </c>
      <c r="Z31" s="3939"/>
      <c r="AD31" s="3959">
        <v>42010010</v>
      </c>
      <c r="AE31" s="3960" t="s">
        <v>2165</v>
      </c>
      <c r="AF31" s="3961">
        <v>218406076750</v>
      </c>
    </row>
    <row r="32" spans="6:32">
      <c r="F32" s="3956">
        <v>42010020</v>
      </c>
      <c r="G32" s="3957" t="s">
        <v>2494</v>
      </c>
      <c r="H32" s="3958">
        <v>0</v>
      </c>
      <c r="J32" s="3939"/>
      <c r="N32" s="3959">
        <v>42010020</v>
      </c>
      <c r="O32" s="3960" t="s">
        <v>2494</v>
      </c>
      <c r="P32" s="3961">
        <v>0</v>
      </c>
      <c r="R32" s="3939"/>
      <c r="V32" s="3959">
        <v>42010020</v>
      </c>
      <c r="W32" s="3960" t="s">
        <v>2494</v>
      </c>
      <c r="X32" s="3961">
        <v>0</v>
      </c>
      <c r="Z32" s="3939"/>
      <c r="AD32" s="3959">
        <v>42010020</v>
      </c>
      <c r="AE32" s="3960" t="s">
        <v>2494</v>
      </c>
      <c r="AF32" s="3961">
        <v>0</v>
      </c>
    </row>
    <row r="33" spans="6:32">
      <c r="F33" s="3956">
        <v>42010030</v>
      </c>
      <c r="G33" s="3957" t="s">
        <v>2495</v>
      </c>
      <c r="H33" s="3958">
        <v>0</v>
      </c>
      <c r="J33" s="3939"/>
      <c r="N33" s="3959">
        <v>42010030</v>
      </c>
      <c r="O33" s="3960" t="s">
        <v>2495</v>
      </c>
      <c r="P33" s="3961">
        <v>-284096441</v>
      </c>
      <c r="R33" s="3939"/>
      <c r="V33" s="3959">
        <v>42010030</v>
      </c>
      <c r="W33" s="3960" t="s">
        <v>2495</v>
      </c>
      <c r="X33" s="3961">
        <v>-10278438</v>
      </c>
      <c r="Z33" s="3939"/>
      <c r="AD33" s="3959">
        <v>42010030</v>
      </c>
      <c r="AE33" s="3960" t="s">
        <v>2495</v>
      </c>
      <c r="AF33" s="3961">
        <v>-121985822</v>
      </c>
    </row>
    <row r="34" spans="6:32">
      <c r="F34" s="3950">
        <v>42011000</v>
      </c>
      <c r="G34" s="3951" t="s">
        <v>2496</v>
      </c>
      <c r="H34" s="3952">
        <v>840000</v>
      </c>
      <c r="J34" s="3939"/>
      <c r="N34" s="3953">
        <v>42011000</v>
      </c>
      <c r="O34" s="3954" t="s">
        <v>2496</v>
      </c>
      <c r="P34" s="3955">
        <v>1680000</v>
      </c>
      <c r="R34" s="3939"/>
      <c r="V34" s="3953">
        <v>42011000</v>
      </c>
      <c r="W34" s="3954" t="s">
        <v>2496</v>
      </c>
      <c r="X34" s="3955">
        <v>39299500</v>
      </c>
      <c r="Z34" s="3939"/>
      <c r="AD34" s="3953">
        <v>42011000</v>
      </c>
      <c r="AE34" s="3954" t="s">
        <v>2496</v>
      </c>
      <c r="AF34" s="3955">
        <v>39429000</v>
      </c>
    </row>
    <row r="35" spans="6:32">
      <c r="F35" s="3956">
        <v>42011010</v>
      </c>
      <c r="G35" s="3957" t="s">
        <v>2496</v>
      </c>
      <c r="H35" s="3958">
        <v>840000</v>
      </c>
      <c r="J35" s="3939"/>
      <c r="N35" s="3959">
        <v>42011010</v>
      </c>
      <c r="O35" s="3960" t="s">
        <v>2496</v>
      </c>
      <c r="P35" s="3961">
        <v>1680000</v>
      </c>
      <c r="R35" s="3939"/>
      <c r="V35" s="3959">
        <v>42011010</v>
      </c>
      <c r="W35" s="3960" t="s">
        <v>2496</v>
      </c>
      <c r="X35" s="3961">
        <v>39299500</v>
      </c>
      <c r="Z35" s="3939"/>
      <c r="AD35" s="3959">
        <v>42011010</v>
      </c>
      <c r="AE35" s="3960" t="s">
        <v>2496</v>
      </c>
      <c r="AF35" s="3961">
        <v>39429000</v>
      </c>
    </row>
    <row r="36" spans="6:32">
      <c r="F36" s="3950">
        <v>42012000</v>
      </c>
      <c r="G36" s="3951" t="s">
        <v>2497</v>
      </c>
      <c r="H36" s="3952">
        <v>0</v>
      </c>
      <c r="J36" s="3939"/>
      <c r="N36" s="3953">
        <v>42012000</v>
      </c>
      <c r="O36" s="3954" t="s">
        <v>2497</v>
      </c>
      <c r="P36" s="3955">
        <v>0</v>
      </c>
      <c r="R36" s="3939"/>
      <c r="V36" s="3953">
        <v>42012000</v>
      </c>
      <c r="W36" s="3954" t="s">
        <v>2497</v>
      </c>
      <c r="X36" s="3955">
        <v>0</v>
      </c>
      <c r="Z36" s="3939"/>
      <c r="AD36" s="3953">
        <v>42012000</v>
      </c>
      <c r="AE36" s="3954" t="s">
        <v>2497</v>
      </c>
      <c r="AF36" s="3955">
        <v>0</v>
      </c>
    </row>
    <row r="37" spans="6:32">
      <c r="F37" s="3956">
        <v>42012010</v>
      </c>
      <c r="G37" s="3957" t="s">
        <v>2497</v>
      </c>
      <c r="H37" s="3958">
        <v>0</v>
      </c>
      <c r="J37" s="3939"/>
      <c r="N37" s="3959">
        <v>42012010</v>
      </c>
      <c r="O37" s="3960" t="s">
        <v>2497</v>
      </c>
      <c r="P37" s="3961">
        <v>0</v>
      </c>
      <c r="R37" s="3939"/>
      <c r="V37" s="3959">
        <v>42012010</v>
      </c>
      <c r="W37" s="3960" t="s">
        <v>2497</v>
      </c>
      <c r="X37" s="3961">
        <v>0</v>
      </c>
      <c r="Z37" s="3939"/>
      <c r="AD37" s="3959">
        <v>42012010</v>
      </c>
      <c r="AE37" s="3960" t="s">
        <v>2497</v>
      </c>
      <c r="AF37" s="3961">
        <v>0</v>
      </c>
    </row>
    <row r="38" spans="6:32">
      <c r="F38" s="3950">
        <v>42013000</v>
      </c>
      <c r="G38" s="3951" t="s">
        <v>2498</v>
      </c>
      <c r="H38" s="3952">
        <v>0</v>
      </c>
      <c r="J38" s="3939"/>
      <c r="N38" s="3953">
        <v>42013000</v>
      </c>
      <c r="O38" s="3954" t="s">
        <v>2498</v>
      </c>
      <c r="P38" s="3955">
        <v>0</v>
      </c>
      <c r="R38" s="3939"/>
      <c r="V38" s="3953">
        <v>42013000</v>
      </c>
      <c r="W38" s="3954" t="s">
        <v>2498</v>
      </c>
      <c r="X38" s="3955">
        <v>0</v>
      </c>
      <c r="Z38" s="3939"/>
      <c r="AD38" s="3953">
        <v>42013000</v>
      </c>
      <c r="AE38" s="3954" t="s">
        <v>2498</v>
      </c>
      <c r="AF38" s="3955">
        <v>0</v>
      </c>
    </row>
    <row r="39" spans="6:32">
      <c r="F39" s="3956">
        <v>42013010</v>
      </c>
      <c r="G39" s="3957" t="s">
        <v>2499</v>
      </c>
      <c r="H39" s="3958">
        <v>0</v>
      </c>
      <c r="J39" s="3939"/>
      <c r="N39" s="3959">
        <v>42013010</v>
      </c>
      <c r="O39" s="3960" t="s">
        <v>2498</v>
      </c>
      <c r="P39" s="3961">
        <v>0</v>
      </c>
      <c r="R39" s="3939"/>
      <c r="V39" s="3959">
        <v>42013010</v>
      </c>
      <c r="W39" s="3960" t="s">
        <v>2498</v>
      </c>
      <c r="X39" s="3961">
        <v>0</v>
      </c>
      <c r="Z39" s="3939"/>
      <c r="AD39" s="3959">
        <v>42013010</v>
      </c>
      <c r="AE39" s="3960" t="s">
        <v>2498</v>
      </c>
      <c r="AF39" s="3961">
        <v>0</v>
      </c>
    </row>
    <row r="40" spans="6:32">
      <c r="F40" s="3950">
        <v>42089000</v>
      </c>
      <c r="G40" s="3951" t="s">
        <v>2185</v>
      </c>
      <c r="H40" s="3952">
        <v>0</v>
      </c>
      <c r="J40" s="3939"/>
      <c r="N40" s="3953">
        <v>42089000</v>
      </c>
      <c r="O40" s="3954" t="s">
        <v>2185</v>
      </c>
      <c r="P40" s="3955">
        <v>0</v>
      </c>
      <c r="R40" s="3939"/>
      <c r="V40" s="3953">
        <v>42089000</v>
      </c>
      <c r="W40" s="3954" t="s">
        <v>2185</v>
      </c>
      <c r="X40" s="3955">
        <v>0</v>
      </c>
      <c r="Z40" s="3939"/>
      <c r="AD40" s="3953">
        <v>42089000</v>
      </c>
      <c r="AE40" s="3954" t="s">
        <v>2185</v>
      </c>
      <c r="AF40" s="3955">
        <v>0</v>
      </c>
    </row>
    <row r="41" spans="6:32">
      <c r="F41" s="3956">
        <v>42089990</v>
      </c>
      <c r="G41" s="3957" t="s">
        <v>2185</v>
      </c>
      <c r="H41" s="3958">
        <v>0</v>
      </c>
      <c r="J41" s="3939"/>
      <c r="N41" s="3959">
        <v>42089990</v>
      </c>
      <c r="O41" s="3960" t="s">
        <v>2185</v>
      </c>
      <c r="P41" s="3961">
        <v>0</v>
      </c>
      <c r="R41" s="3939"/>
      <c r="V41" s="3959">
        <v>42089990</v>
      </c>
      <c r="W41" s="3960" t="s">
        <v>2185</v>
      </c>
      <c r="X41" s="3961">
        <v>0</v>
      </c>
      <c r="Z41" s="3939"/>
      <c r="AD41" s="3959">
        <v>42089990</v>
      </c>
      <c r="AE41" s="3960" t="s">
        <v>2185</v>
      </c>
      <c r="AF41" s="3961">
        <v>0</v>
      </c>
    </row>
    <row r="42" spans="6:32">
      <c r="F42" s="3950">
        <v>42099000</v>
      </c>
      <c r="G42" s="3951" t="s">
        <v>2500</v>
      </c>
      <c r="H42" s="3952">
        <v>0</v>
      </c>
      <c r="J42" s="3939"/>
      <c r="N42" s="3953">
        <v>42099000</v>
      </c>
      <c r="O42" s="3954" t="s">
        <v>2500</v>
      </c>
      <c r="P42" s="3955">
        <v>0</v>
      </c>
      <c r="R42" s="3939"/>
      <c r="V42" s="3953">
        <v>42099000</v>
      </c>
      <c r="W42" s="3954" t="s">
        <v>2500</v>
      </c>
      <c r="X42" s="3955">
        <v>0</v>
      </c>
      <c r="Z42" s="3939"/>
      <c r="AD42" s="3953">
        <v>42099000</v>
      </c>
      <c r="AE42" s="3954" t="s">
        <v>2500</v>
      </c>
      <c r="AF42" s="3955">
        <v>0</v>
      </c>
    </row>
    <row r="43" spans="6:32">
      <c r="F43" s="3956">
        <v>42099010</v>
      </c>
      <c r="G43" s="3957" t="s">
        <v>2501</v>
      </c>
      <c r="H43" s="3958">
        <v>0</v>
      </c>
      <c r="J43" s="3939"/>
      <c r="N43" s="3959">
        <v>42099010</v>
      </c>
      <c r="O43" s="3960" t="s">
        <v>2500</v>
      </c>
      <c r="P43" s="3961">
        <v>0</v>
      </c>
      <c r="R43" s="3939"/>
      <c r="V43" s="3959">
        <v>42099010</v>
      </c>
      <c r="W43" s="3960" t="s">
        <v>2500</v>
      </c>
      <c r="X43" s="3961">
        <v>0</v>
      </c>
      <c r="Z43" s="3939"/>
      <c r="AD43" s="3959">
        <v>42099010</v>
      </c>
      <c r="AE43" s="3960" t="s">
        <v>2500</v>
      </c>
      <c r="AF43" s="3961">
        <v>0</v>
      </c>
    </row>
    <row r="44" spans="6:32">
      <c r="F44" s="3944">
        <v>49000000</v>
      </c>
      <c r="G44" s="3945" t="s">
        <v>142</v>
      </c>
      <c r="H44" s="3946">
        <v>5503431396</v>
      </c>
      <c r="J44" s="3939"/>
      <c r="N44" s="3947">
        <v>49000000</v>
      </c>
      <c r="O44" s="3948" t="s">
        <v>142</v>
      </c>
      <c r="P44" s="3949">
        <v>9757796809</v>
      </c>
      <c r="R44" s="3939"/>
      <c r="V44" s="3947">
        <v>49000000</v>
      </c>
      <c r="W44" s="3948" t="s">
        <v>142</v>
      </c>
      <c r="X44" s="3949">
        <v>10275192506</v>
      </c>
      <c r="Z44" s="3939"/>
      <c r="AD44" s="3947">
        <v>49000000</v>
      </c>
      <c r="AE44" s="3948" t="s">
        <v>142</v>
      </c>
      <c r="AF44" s="3949">
        <v>6515568938</v>
      </c>
    </row>
    <row r="45" spans="6:32">
      <c r="F45" s="3944">
        <v>60000000</v>
      </c>
      <c r="G45" s="3945" t="s">
        <v>143</v>
      </c>
      <c r="H45" s="3946">
        <v>2123959648</v>
      </c>
      <c r="J45" s="3939"/>
      <c r="N45" s="3947">
        <v>60000000</v>
      </c>
      <c r="O45" s="3948" t="s">
        <v>143</v>
      </c>
      <c r="P45" s="3949">
        <v>3272573641</v>
      </c>
      <c r="R45" s="3939"/>
      <c r="V45" s="3947">
        <v>60000000</v>
      </c>
      <c r="W45" s="3948" t="s">
        <v>143</v>
      </c>
      <c r="X45" s="3949">
        <v>2400191734</v>
      </c>
      <c r="Z45" s="3939"/>
      <c r="AD45" s="3947">
        <v>60000000</v>
      </c>
      <c r="AE45" s="3948" t="s">
        <v>143</v>
      </c>
      <c r="AF45" s="3949">
        <v>2424553445</v>
      </c>
    </row>
    <row r="46" spans="6:32">
      <c r="F46" s="3950">
        <v>61000000</v>
      </c>
      <c r="G46" s="3951" t="s">
        <v>143</v>
      </c>
      <c r="H46" s="3952">
        <v>2123959648</v>
      </c>
      <c r="J46" s="3939"/>
      <c r="N46" s="3953">
        <v>61000000</v>
      </c>
      <c r="O46" s="3954" t="s">
        <v>143</v>
      </c>
      <c r="P46" s="3955">
        <v>3272573641</v>
      </c>
      <c r="R46" s="3939"/>
      <c r="V46" s="3953">
        <v>61000000</v>
      </c>
      <c r="W46" s="3954" t="s">
        <v>143</v>
      </c>
      <c r="X46" s="3955">
        <v>2400191734</v>
      </c>
      <c r="Z46" s="3939"/>
      <c r="AD46" s="3953">
        <v>61000000</v>
      </c>
      <c r="AE46" s="3954" t="s">
        <v>143</v>
      </c>
      <c r="AF46" s="3955">
        <v>2424553445</v>
      </c>
    </row>
    <row r="47" spans="6:32">
      <c r="F47" s="3956">
        <v>61000100</v>
      </c>
      <c r="G47" s="3957" t="s">
        <v>2502</v>
      </c>
      <c r="H47" s="3958">
        <v>947696447</v>
      </c>
      <c r="J47" s="3939"/>
      <c r="N47" s="3959">
        <v>61000100</v>
      </c>
      <c r="O47" s="3960" t="s">
        <v>1376</v>
      </c>
      <c r="P47" s="3961">
        <v>1377889803</v>
      </c>
      <c r="R47" s="3939"/>
      <c r="V47" s="3959">
        <v>61000100</v>
      </c>
      <c r="W47" s="3960" t="s">
        <v>1376</v>
      </c>
      <c r="X47" s="3961">
        <v>1097278123</v>
      </c>
      <c r="Z47" s="3939"/>
      <c r="AD47" s="3959">
        <v>61000100</v>
      </c>
      <c r="AE47" s="3960" t="s">
        <v>1376</v>
      </c>
      <c r="AF47" s="3961">
        <v>1078055237</v>
      </c>
    </row>
    <row r="48" spans="6:32">
      <c r="F48" s="3956">
        <v>61000200</v>
      </c>
      <c r="G48" s="3957" t="s">
        <v>1377</v>
      </c>
      <c r="H48" s="3958">
        <v>232557143</v>
      </c>
      <c r="J48" s="3939"/>
      <c r="N48" s="3959">
        <v>61000200</v>
      </c>
      <c r="O48" s="3960" t="s">
        <v>1377</v>
      </c>
      <c r="P48" s="3961">
        <v>351410292</v>
      </c>
      <c r="R48" s="3939"/>
      <c r="V48" s="3959">
        <v>61000200</v>
      </c>
      <c r="W48" s="3960" t="s">
        <v>1377</v>
      </c>
      <c r="X48" s="3961">
        <v>328071838</v>
      </c>
      <c r="Z48" s="3939"/>
      <c r="AD48" s="3959">
        <v>61000200</v>
      </c>
      <c r="AE48" s="3960" t="s">
        <v>1377</v>
      </c>
      <c r="AF48" s="3961">
        <v>236102903</v>
      </c>
    </row>
    <row r="49" spans="6:32">
      <c r="F49" s="3956">
        <v>61000300</v>
      </c>
      <c r="G49" s="3957" t="s">
        <v>1378</v>
      </c>
      <c r="H49" s="3958">
        <v>109047483</v>
      </c>
      <c r="J49" s="3939"/>
      <c r="N49" s="3959">
        <v>61000300</v>
      </c>
      <c r="O49" s="3960" t="s">
        <v>1378</v>
      </c>
      <c r="P49" s="3961">
        <v>137393219</v>
      </c>
      <c r="R49" s="3939"/>
      <c r="V49" s="3959">
        <v>61000300</v>
      </c>
      <c r="W49" s="3960" t="s">
        <v>1378</v>
      </c>
      <c r="X49" s="3961">
        <v>145583247</v>
      </c>
      <c r="Z49" s="3939"/>
      <c r="AD49" s="3959">
        <v>61000300</v>
      </c>
      <c r="AE49" s="3960" t="s">
        <v>1378</v>
      </c>
      <c r="AF49" s="3961">
        <v>131052959</v>
      </c>
    </row>
    <row r="50" spans="6:32">
      <c r="F50" s="3956">
        <v>61000400</v>
      </c>
      <c r="G50" s="3957" t="s">
        <v>2503</v>
      </c>
      <c r="H50" s="3958">
        <v>0</v>
      </c>
      <c r="J50" s="3939"/>
      <c r="N50" s="3959">
        <v>61000400</v>
      </c>
      <c r="O50" s="3960" t="s">
        <v>2503</v>
      </c>
      <c r="P50" s="3961">
        <v>0</v>
      </c>
      <c r="R50" s="3939"/>
      <c r="V50" s="3959">
        <v>61000400</v>
      </c>
      <c r="W50" s="3960" t="s">
        <v>2503</v>
      </c>
      <c r="X50" s="3961">
        <v>0</v>
      </c>
      <c r="Z50" s="3939"/>
      <c r="AD50" s="3959">
        <v>61000400</v>
      </c>
      <c r="AE50" s="3960" t="s">
        <v>2503</v>
      </c>
      <c r="AF50" s="3961">
        <v>0</v>
      </c>
    </row>
    <row r="51" spans="6:32">
      <c r="F51" s="3956">
        <v>61000500</v>
      </c>
      <c r="G51" s="3957" t="s">
        <v>1379</v>
      </c>
      <c r="H51" s="3958">
        <v>0</v>
      </c>
      <c r="J51" s="3939"/>
      <c r="N51" s="3959">
        <v>61000500</v>
      </c>
      <c r="O51" s="3960" t="s">
        <v>1379</v>
      </c>
      <c r="P51" s="3961">
        <v>0</v>
      </c>
      <c r="R51" s="3939"/>
      <c r="V51" s="3959">
        <v>61000500</v>
      </c>
      <c r="W51" s="3960" t="s">
        <v>1379</v>
      </c>
      <c r="X51" s="3961">
        <v>0</v>
      </c>
      <c r="Z51" s="3939"/>
      <c r="AD51" s="3959">
        <v>61000500</v>
      </c>
      <c r="AE51" s="3960" t="s">
        <v>1379</v>
      </c>
      <c r="AF51" s="3961">
        <v>0</v>
      </c>
    </row>
    <row r="52" spans="6:32">
      <c r="F52" s="3956">
        <v>61000600</v>
      </c>
      <c r="G52" s="3957" t="s">
        <v>1380</v>
      </c>
      <c r="H52" s="3958">
        <v>70606584</v>
      </c>
      <c r="J52" s="3939"/>
      <c r="N52" s="3959">
        <v>61000600</v>
      </c>
      <c r="O52" s="3960" t="s">
        <v>1380</v>
      </c>
      <c r="P52" s="3961">
        <v>79462380</v>
      </c>
      <c r="R52" s="3939"/>
      <c r="V52" s="3959">
        <v>61000600</v>
      </c>
      <c r="W52" s="3960" t="s">
        <v>1380</v>
      </c>
      <c r="X52" s="3961">
        <v>52939173</v>
      </c>
      <c r="Z52" s="3939"/>
      <c r="AD52" s="3959">
        <v>61000600</v>
      </c>
      <c r="AE52" s="3960" t="s">
        <v>1380</v>
      </c>
      <c r="AF52" s="3961">
        <v>64913595</v>
      </c>
    </row>
    <row r="53" spans="6:32">
      <c r="F53" s="3956">
        <v>61000700</v>
      </c>
      <c r="G53" s="3957" t="s">
        <v>1381</v>
      </c>
      <c r="H53" s="3958">
        <v>7424830</v>
      </c>
      <c r="J53" s="3939"/>
      <c r="N53" s="3959">
        <v>61000700</v>
      </c>
      <c r="O53" s="3960" t="s">
        <v>1381</v>
      </c>
      <c r="P53" s="3961">
        <v>11957691</v>
      </c>
      <c r="R53" s="3939"/>
      <c r="V53" s="3959">
        <v>61000700</v>
      </c>
      <c r="W53" s="3960" t="s">
        <v>1381</v>
      </c>
      <c r="X53" s="3961">
        <v>11000248</v>
      </c>
      <c r="Z53" s="3939"/>
      <c r="AD53" s="3959">
        <v>61000700</v>
      </c>
      <c r="AE53" s="3960" t="s">
        <v>1381</v>
      </c>
      <c r="AF53" s="3961">
        <v>10904400</v>
      </c>
    </row>
    <row r="54" spans="6:32">
      <c r="F54" s="3956">
        <v>61000750</v>
      </c>
      <c r="G54" s="3957" t="s">
        <v>1382</v>
      </c>
      <c r="H54" s="3958">
        <v>44487085</v>
      </c>
      <c r="J54" s="3939"/>
      <c r="N54" s="3959">
        <v>61000750</v>
      </c>
      <c r="O54" s="3960" t="s">
        <v>1382</v>
      </c>
      <c r="P54" s="3961">
        <v>55395095</v>
      </c>
      <c r="R54" s="3939"/>
      <c r="V54" s="3959">
        <v>61000750</v>
      </c>
      <c r="W54" s="3960" t="s">
        <v>1382</v>
      </c>
      <c r="X54" s="3961">
        <v>39508559</v>
      </c>
      <c r="Z54" s="3939"/>
      <c r="AD54" s="3959">
        <v>61000800</v>
      </c>
      <c r="AE54" s="3960" t="s">
        <v>1383</v>
      </c>
      <c r="AF54" s="3961">
        <v>2979259</v>
      </c>
    </row>
    <row r="55" spans="6:32">
      <c r="F55" s="3956">
        <v>61000800</v>
      </c>
      <c r="G55" s="3957" t="s">
        <v>1383</v>
      </c>
      <c r="H55" s="3958">
        <v>1036364</v>
      </c>
      <c r="J55" s="3939"/>
      <c r="N55" s="3959">
        <v>61000800</v>
      </c>
      <c r="O55" s="3960" t="s">
        <v>1383</v>
      </c>
      <c r="P55" s="3961">
        <v>1337590</v>
      </c>
      <c r="R55" s="3939"/>
      <c r="V55" s="3959">
        <v>61000800</v>
      </c>
      <c r="W55" s="3960" t="s">
        <v>1383</v>
      </c>
      <c r="X55" s="3961">
        <v>0</v>
      </c>
      <c r="Z55" s="3939"/>
      <c r="AD55" s="3959">
        <v>61000900</v>
      </c>
      <c r="AE55" s="3960" t="s">
        <v>1384</v>
      </c>
      <c r="AF55" s="3961">
        <v>45491964</v>
      </c>
    </row>
    <row r="56" spans="6:32">
      <c r="F56" s="3956">
        <v>61000900</v>
      </c>
      <c r="G56" s="3957" t="s">
        <v>1384</v>
      </c>
      <c r="H56" s="3958">
        <v>31716218</v>
      </c>
      <c r="J56" s="3939"/>
      <c r="N56" s="3959">
        <v>61000900</v>
      </c>
      <c r="O56" s="3960" t="s">
        <v>1384</v>
      </c>
      <c r="P56" s="3961">
        <v>48075118</v>
      </c>
      <c r="R56" s="3939"/>
      <c r="V56" s="3959">
        <v>61000900</v>
      </c>
      <c r="W56" s="3960" t="s">
        <v>1384</v>
      </c>
      <c r="X56" s="3961">
        <v>12293013</v>
      </c>
      <c r="Z56" s="3939"/>
      <c r="AD56" s="3959">
        <v>61001000</v>
      </c>
      <c r="AE56" s="3960" t="s">
        <v>1385</v>
      </c>
      <c r="AF56" s="3961">
        <v>525000</v>
      </c>
    </row>
    <row r="57" spans="6:32">
      <c r="F57" s="3956">
        <v>61001000</v>
      </c>
      <c r="G57" s="3957" t="s">
        <v>1385</v>
      </c>
      <c r="H57" s="3958">
        <v>757600</v>
      </c>
      <c r="J57" s="3939"/>
      <c r="N57" s="3959">
        <v>61001000</v>
      </c>
      <c r="O57" s="3960" t="s">
        <v>1385</v>
      </c>
      <c r="P57" s="3961">
        <v>350000</v>
      </c>
      <c r="R57" s="3939"/>
      <c r="V57" s="3959">
        <v>61001000</v>
      </c>
      <c r="W57" s="3960" t="s">
        <v>1385</v>
      </c>
      <c r="X57" s="3961">
        <v>350000</v>
      </c>
      <c r="Z57" s="3939"/>
      <c r="AD57" s="3959">
        <v>61001100</v>
      </c>
      <c r="AE57" s="3960" t="s">
        <v>2504</v>
      </c>
      <c r="AF57" s="3961">
        <v>0</v>
      </c>
    </row>
    <row r="58" spans="6:32">
      <c r="F58" s="3956">
        <v>61001100</v>
      </c>
      <c r="G58" s="3957" t="s">
        <v>2504</v>
      </c>
      <c r="H58" s="3958">
        <v>0</v>
      </c>
      <c r="J58" s="3939"/>
      <c r="N58" s="3959">
        <v>61001100</v>
      </c>
      <c r="O58" s="3960" t="s">
        <v>2504</v>
      </c>
      <c r="P58" s="3961">
        <v>0</v>
      </c>
      <c r="R58" s="3939"/>
      <c r="V58" s="3959">
        <v>61001100</v>
      </c>
      <c r="W58" s="3960" t="s">
        <v>2504</v>
      </c>
      <c r="X58" s="3961">
        <v>0</v>
      </c>
      <c r="Z58" s="3939"/>
      <c r="AD58" s="3959">
        <v>61001200</v>
      </c>
      <c r="AE58" s="3960" t="s">
        <v>1386</v>
      </c>
      <c r="AF58" s="3961">
        <v>97186539</v>
      </c>
    </row>
    <row r="59" spans="6:32">
      <c r="F59" s="3956">
        <v>61001200</v>
      </c>
      <c r="G59" s="3957" t="s">
        <v>1386</v>
      </c>
      <c r="H59" s="3958">
        <v>3306487</v>
      </c>
      <c r="J59" s="3939"/>
      <c r="N59" s="3959">
        <v>61001200</v>
      </c>
      <c r="O59" s="3960" t="s">
        <v>1386</v>
      </c>
      <c r="P59" s="3961">
        <v>4180200</v>
      </c>
      <c r="R59" s="3939"/>
      <c r="V59" s="3959">
        <v>61001200</v>
      </c>
      <c r="W59" s="3960" t="s">
        <v>1386</v>
      </c>
      <c r="X59" s="3961">
        <v>18801963</v>
      </c>
      <c r="Z59" s="3939"/>
      <c r="AD59" s="3959">
        <v>61001300</v>
      </c>
      <c r="AE59" s="3960" t="s">
        <v>1387</v>
      </c>
      <c r="AF59" s="3961">
        <v>0</v>
      </c>
    </row>
    <row r="60" spans="6:32">
      <c r="F60" s="3956">
        <v>61001300</v>
      </c>
      <c r="G60" s="3957" t="s">
        <v>1387</v>
      </c>
      <c r="H60" s="3958">
        <v>1732771</v>
      </c>
      <c r="J60" s="3939"/>
      <c r="N60" s="3959">
        <v>61001300</v>
      </c>
      <c r="O60" s="3960" t="s">
        <v>1387</v>
      </c>
      <c r="P60" s="3961">
        <v>0</v>
      </c>
      <c r="R60" s="3939"/>
      <c r="V60" s="3959">
        <v>61001300</v>
      </c>
      <c r="W60" s="3960" t="s">
        <v>1387</v>
      </c>
      <c r="X60" s="3961">
        <v>0</v>
      </c>
      <c r="Z60" s="3939"/>
      <c r="AD60" s="3959">
        <v>61001400</v>
      </c>
      <c r="AE60" s="3960" t="s">
        <v>1388</v>
      </c>
      <c r="AF60" s="3961">
        <v>259413359</v>
      </c>
    </row>
    <row r="61" spans="6:32">
      <c r="F61" s="3956">
        <v>61001400</v>
      </c>
      <c r="G61" s="3957" t="s">
        <v>1388</v>
      </c>
      <c r="H61" s="3958">
        <v>250444703</v>
      </c>
      <c r="J61" s="3939"/>
      <c r="N61" s="3959">
        <v>61001400</v>
      </c>
      <c r="O61" s="3960" t="s">
        <v>1388</v>
      </c>
      <c r="P61" s="3961">
        <v>348837997</v>
      </c>
      <c r="R61" s="3939"/>
      <c r="V61" s="3959">
        <v>61001400</v>
      </c>
      <c r="W61" s="3960" t="s">
        <v>1388</v>
      </c>
      <c r="X61" s="3961">
        <v>260651051</v>
      </c>
      <c r="Z61" s="3939"/>
      <c r="AD61" s="3959">
        <v>61001500</v>
      </c>
      <c r="AE61" s="3960" t="s">
        <v>1389</v>
      </c>
      <c r="AF61" s="3961">
        <v>99632442</v>
      </c>
    </row>
    <row r="62" spans="6:32">
      <c r="F62" s="3956">
        <v>61001500</v>
      </c>
      <c r="G62" s="3957" t="s">
        <v>1389</v>
      </c>
      <c r="H62" s="3958">
        <v>59298567</v>
      </c>
      <c r="J62" s="3939"/>
      <c r="N62" s="3959">
        <v>61001500</v>
      </c>
      <c r="O62" s="3960" t="s">
        <v>1389</v>
      </c>
      <c r="P62" s="3961">
        <v>75820110</v>
      </c>
      <c r="R62" s="3939"/>
      <c r="V62" s="3959">
        <v>61001500</v>
      </c>
      <c r="W62" s="3960" t="s">
        <v>1389</v>
      </c>
      <c r="X62" s="3961">
        <v>78146945</v>
      </c>
      <c r="Z62" s="3939"/>
      <c r="AD62" s="3959">
        <v>61001600</v>
      </c>
      <c r="AE62" s="3960" t="s">
        <v>1390</v>
      </c>
      <c r="AF62" s="3961">
        <v>14548943</v>
      </c>
    </row>
    <row r="63" spans="6:32">
      <c r="F63" s="3956">
        <v>61001600</v>
      </c>
      <c r="G63" s="3957" t="s">
        <v>1390</v>
      </c>
      <c r="H63" s="3958">
        <v>12204630</v>
      </c>
      <c r="J63" s="3939"/>
      <c r="N63" s="3959">
        <v>61001600</v>
      </c>
      <c r="O63" s="3960" t="s">
        <v>1390</v>
      </c>
      <c r="P63" s="3961">
        <v>15673330</v>
      </c>
      <c r="R63" s="3939"/>
      <c r="V63" s="3959">
        <v>61001600</v>
      </c>
      <c r="W63" s="3960" t="s">
        <v>1390</v>
      </c>
      <c r="X63" s="3961">
        <v>15242491</v>
      </c>
      <c r="Z63" s="3939"/>
      <c r="AD63" s="3959">
        <v>61001700</v>
      </c>
      <c r="AE63" s="3960" t="s">
        <v>2505</v>
      </c>
      <c r="AF63" s="3961">
        <v>0</v>
      </c>
    </row>
    <row r="64" spans="6:32">
      <c r="F64" s="3956">
        <v>61001700</v>
      </c>
      <c r="G64" s="3957" t="s">
        <v>2505</v>
      </c>
      <c r="H64" s="3958">
        <v>0</v>
      </c>
      <c r="J64" s="3939"/>
      <c r="N64" s="3959">
        <v>61001700</v>
      </c>
      <c r="O64" s="3960" t="s">
        <v>2505</v>
      </c>
      <c r="P64" s="3961">
        <v>0</v>
      </c>
      <c r="R64" s="3939"/>
      <c r="V64" s="3959">
        <v>61001700</v>
      </c>
      <c r="W64" s="3960" t="s">
        <v>2505</v>
      </c>
      <c r="X64" s="3961">
        <v>0</v>
      </c>
      <c r="Z64" s="3939"/>
      <c r="AD64" s="3959">
        <v>61001800</v>
      </c>
      <c r="AE64" s="3960" t="s">
        <v>2506</v>
      </c>
      <c r="AF64" s="3961">
        <v>0</v>
      </c>
    </row>
    <row r="65" spans="6:32">
      <c r="F65" s="3956">
        <v>61001800</v>
      </c>
      <c r="G65" s="3957" t="s">
        <v>2506</v>
      </c>
      <c r="H65" s="3958">
        <v>0</v>
      </c>
      <c r="J65" s="3939"/>
      <c r="N65" s="3959">
        <v>61001800</v>
      </c>
      <c r="O65" s="3960" t="s">
        <v>2506</v>
      </c>
      <c r="P65" s="3961">
        <v>0</v>
      </c>
      <c r="R65" s="3939"/>
      <c r="V65" s="3959">
        <v>61001800</v>
      </c>
      <c r="W65" s="3960" t="s">
        <v>2506</v>
      </c>
      <c r="X65" s="3961">
        <v>0</v>
      </c>
      <c r="Z65" s="3939"/>
      <c r="AD65" s="3959">
        <v>61001900</v>
      </c>
      <c r="AE65" s="3960" t="s">
        <v>1391</v>
      </c>
      <c r="AF65" s="3961">
        <v>106781068</v>
      </c>
    </row>
    <row r="66" spans="6:32">
      <c r="F66" s="3956">
        <v>61001900</v>
      </c>
      <c r="G66" s="3957" t="s">
        <v>1391</v>
      </c>
      <c r="H66" s="3958">
        <v>101091444</v>
      </c>
      <c r="J66" s="3939"/>
      <c r="N66" s="3959">
        <v>61001900</v>
      </c>
      <c r="O66" s="3960" t="s">
        <v>1391</v>
      </c>
      <c r="P66" s="3961">
        <v>460546731</v>
      </c>
      <c r="R66" s="3939"/>
      <c r="V66" s="3959">
        <v>61001900</v>
      </c>
      <c r="W66" s="3960" t="s">
        <v>1391</v>
      </c>
      <c r="X66" s="3961">
        <v>86657998</v>
      </c>
      <c r="Z66" s="3939"/>
      <c r="AD66" s="3959">
        <v>61002000</v>
      </c>
      <c r="AE66" s="3960" t="s">
        <v>1392</v>
      </c>
      <c r="AF66" s="3961">
        <v>118602102</v>
      </c>
    </row>
    <row r="67" spans="6:32">
      <c r="F67" s="3956">
        <v>61002000</v>
      </c>
      <c r="G67" s="3957" t="s">
        <v>1392</v>
      </c>
      <c r="H67" s="3958">
        <v>116678090</v>
      </c>
      <c r="J67" s="3939"/>
      <c r="N67" s="3959">
        <v>61002000</v>
      </c>
      <c r="O67" s="3960" t="s">
        <v>1392</v>
      </c>
      <c r="P67" s="3961">
        <v>154585327</v>
      </c>
      <c r="R67" s="3939"/>
      <c r="V67" s="3959">
        <v>61002000</v>
      </c>
      <c r="W67" s="3960" t="s">
        <v>1392</v>
      </c>
      <c r="X67" s="3961">
        <v>103611582</v>
      </c>
      <c r="Z67" s="3939"/>
      <c r="AD67" s="3959">
        <v>61002100</v>
      </c>
      <c r="AE67" s="3960" t="s">
        <v>1393</v>
      </c>
      <c r="AF67" s="3961">
        <v>3613439</v>
      </c>
    </row>
    <row r="68" spans="6:32">
      <c r="F68" s="3956">
        <v>61002100</v>
      </c>
      <c r="G68" s="3957" t="s">
        <v>2507</v>
      </c>
      <c r="H68" s="3958">
        <v>1901964</v>
      </c>
      <c r="J68" s="3939"/>
      <c r="N68" s="3959">
        <v>61002100</v>
      </c>
      <c r="O68" s="3960" t="s">
        <v>1393</v>
      </c>
      <c r="P68" s="3961">
        <v>2439440</v>
      </c>
      <c r="R68" s="3939"/>
      <c r="V68" s="3959">
        <v>61002100</v>
      </c>
      <c r="W68" s="3960" t="s">
        <v>1393</v>
      </c>
      <c r="X68" s="3961">
        <v>3384520</v>
      </c>
      <c r="Z68" s="3939"/>
      <c r="AD68" s="3959">
        <v>61002200</v>
      </c>
      <c r="AE68" s="3960" t="s">
        <v>1394</v>
      </c>
      <c r="AF68" s="3961">
        <v>8329670</v>
      </c>
    </row>
    <row r="69" spans="6:32">
      <c r="F69" s="3956">
        <v>61002200</v>
      </c>
      <c r="G69" s="3957" t="s">
        <v>1394</v>
      </c>
      <c r="H69" s="3958">
        <v>23106602</v>
      </c>
      <c r="J69" s="3939"/>
      <c r="N69" s="3959">
        <v>61002200</v>
      </c>
      <c r="O69" s="3960" t="s">
        <v>1394</v>
      </c>
      <c r="P69" s="3961">
        <v>2978917</v>
      </c>
      <c r="R69" s="3939"/>
      <c r="V69" s="3959">
        <v>61002200</v>
      </c>
      <c r="W69" s="3960" t="s">
        <v>1394</v>
      </c>
      <c r="X69" s="3961">
        <v>4020797</v>
      </c>
      <c r="Z69" s="3939"/>
      <c r="AD69" s="3959">
        <v>61002300</v>
      </c>
      <c r="AE69" s="3960" t="s">
        <v>1395</v>
      </c>
      <c r="AF69" s="3961">
        <v>107967525</v>
      </c>
    </row>
    <row r="70" spans="6:32">
      <c r="F70" s="3956">
        <v>61002300</v>
      </c>
      <c r="G70" s="3957" t="s">
        <v>1395</v>
      </c>
      <c r="H70" s="3958">
        <v>70958058</v>
      </c>
      <c r="J70" s="3939"/>
      <c r="N70" s="3959">
        <v>61002300</v>
      </c>
      <c r="O70" s="3960" t="s">
        <v>1395</v>
      </c>
      <c r="P70" s="3961">
        <v>95077626</v>
      </c>
      <c r="R70" s="3939"/>
      <c r="V70" s="3959">
        <v>61002300</v>
      </c>
      <c r="W70" s="3960" t="s">
        <v>1395</v>
      </c>
      <c r="X70" s="3961">
        <v>111499300</v>
      </c>
      <c r="Z70" s="3939"/>
      <c r="AD70" s="3959">
        <v>61002400</v>
      </c>
      <c r="AE70" s="3960" t="s">
        <v>1396</v>
      </c>
      <c r="AF70" s="3961">
        <v>6547241</v>
      </c>
    </row>
    <row r="71" spans="6:32">
      <c r="F71" s="3956">
        <v>61002400</v>
      </c>
      <c r="G71" s="3957" t="s">
        <v>1396</v>
      </c>
      <c r="H71" s="3958">
        <v>4837013</v>
      </c>
      <c r="J71" s="3939"/>
      <c r="N71" s="3959">
        <v>61002400</v>
      </c>
      <c r="O71" s="3960" t="s">
        <v>1396</v>
      </c>
      <c r="P71" s="3961">
        <v>8758070</v>
      </c>
      <c r="R71" s="3939"/>
      <c r="V71" s="3959">
        <v>61002400</v>
      </c>
      <c r="W71" s="3960" t="s">
        <v>1396</v>
      </c>
      <c r="X71" s="3961">
        <v>8963140</v>
      </c>
      <c r="Z71" s="3939"/>
      <c r="AD71" s="3959">
        <v>61002500</v>
      </c>
      <c r="AE71" s="3960" t="s">
        <v>1397</v>
      </c>
      <c r="AF71" s="3961">
        <v>0</v>
      </c>
    </row>
    <row r="72" spans="6:32">
      <c r="F72" s="3956">
        <v>61002500</v>
      </c>
      <c r="G72" s="3957" t="s">
        <v>1397</v>
      </c>
      <c r="H72" s="3958">
        <v>0</v>
      </c>
      <c r="J72" s="3939"/>
      <c r="N72" s="3959">
        <v>61002500</v>
      </c>
      <c r="O72" s="3960" t="s">
        <v>1397</v>
      </c>
      <c r="P72" s="3961">
        <v>0</v>
      </c>
      <c r="R72" s="3939"/>
      <c r="V72" s="3959">
        <v>61002500</v>
      </c>
      <c r="W72" s="3960" t="s">
        <v>1397</v>
      </c>
      <c r="X72" s="3961">
        <v>0</v>
      </c>
      <c r="Z72" s="3939"/>
      <c r="AD72" s="3959">
        <v>61002600</v>
      </c>
      <c r="AE72" s="3960" t="s">
        <v>2508</v>
      </c>
      <c r="AF72" s="3961">
        <v>0</v>
      </c>
    </row>
    <row r="73" spans="6:32">
      <c r="F73" s="3956">
        <v>61002600</v>
      </c>
      <c r="G73" s="3957" t="s">
        <v>2508</v>
      </c>
      <c r="H73" s="3958">
        <v>0</v>
      </c>
      <c r="J73" s="3939"/>
      <c r="N73" s="3959">
        <v>61002600</v>
      </c>
      <c r="O73" s="3960" t="s">
        <v>2508</v>
      </c>
      <c r="P73" s="3961">
        <v>0</v>
      </c>
      <c r="R73" s="3939"/>
      <c r="V73" s="3959">
        <v>61002600</v>
      </c>
      <c r="W73" s="3960" t="s">
        <v>2508</v>
      </c>
      <c r="X73" s="3961">
        <v>0</v>
      </c>
      <c r="Z73" s="3939"/>
      <c r="AD73" s="3959">
        <v>61002700</v>
      </c>
      <c r="AE73" s="3960" t="s">
        <v>1398</v>
      </c>
      <c r="AF73" s="3961">
        <v>9577155</v>
      </c>
    </row>
    <row r="74" spans="6:32">
      <c r="F74" s="3956">
        <v>61002700</v>
      </c>
      <c r="G74" s="3957" t="s">
        <v>1398</v>
      </c>
      <c r="H74" s="3958">
        <v>5181500</v>
      </c>
      <c r="J74" s="3939"/>
      <c r="N74" s="3959">
        <v>61002700</v>
      </c>
      <c r="O74" s="3960" t="s">
        <v>1398</v>
      </c>
      <c r="P74" s="3961">
        <v>9187032</v>
      </c>
      <c r="R74" s="3939"/>
      <c r="V74" s="3959">
        <v>61002700</v>
      </c>
      <c r="W74" s="3960" t="s">
        <v>1398</v>
      </c>
      <c r="X74" s="3961">
        <v>3231545</v>
      </c>
      <c r="Z74" s="3939"/>
      <c r="AD74" s="3959">
        <v>61002800</v>
      </c>
      <c r="AE74" s="3960" t="s">
        <v>1399</v>
      </c>
      <c r="AF74" s="3961">
        <v>9539604</v>
      </c>
    </row>
    <row r="75" spans="6:32">
      <c r="F75" s="3956">
        <v>61002800</v>
      </c>
      <c r="G75" s="3957" t="s">
        <v>1399</v>
      </c>
      <c r="H75" s="3958">
        <v>9013905</v>
      </c>
      <c r="J75" s="3939"/>
      <c r="N75" s="3959">
        <v>61002800</v>
      </c>
      <c r="O75" s="3960" t="s">
        <v>1399</v>
      </c>
      <c r="P75" s="3961">
        <v>12074572</v>
      </c>
      <c r="R75" s="3939"/>
      <c r="V75" s="3959">
        <v>61002800</v>
      </c>
      <c r="W75" s="3960" t="s">
        <v>1399</v>
      </c>
      <c r="X75" s="3961">
        <v>5508461</v>
      </c>
      <c r="Z75" s="3939"/>
      <c r="AD75" s="3959">
        <v>61002900</v>
      </c>
      <c r="AE75" s="3960" t="s">
        <v>1400</v>
      </c>
      <c r="AF75" s="3961">
        <v>0</v>
      </c>
    </row>
    <row r="76" spans="6:32">
      <c r="F76" s="3956">
        <v>61002900</v>
      </c>
      <c r="G76" s="3957" t="s">
        <v>1400</v>
      </c>
      <c r="H76" s="3958">
        <v>0</v>
      </c>
      <c r="J76" s="3939"/>
      <c r="N76" s="3959">
        <v>61002900</v>
      </c>
      <c r="O76" s="3960" t="s">
        <v>1400</v>
      </c>
      <c r="P76" s="3961">
        <v>0</v>
      </c>
      <c r="R76" s="3939"/>
      <c r="V76" s="3959">
        <v>61002900</v>
      </c>
      <c r="W76" s="3960" t="s">
        <v>1400</v>
      </c>
      <c r="X76" s="3961">
        <v>0</v>
      </c>
      <c r="Z76" s="3939"/>
      <c r="AD76" s="3959">
        <v>61003000</v>
      </c>
      <c r="AE76" s="3960" t="s">
        <v>1401</v>
      </c>
      <c r="AF76" s="3961">
        <v>12789041</v>
      </c>
    </row>
    <row r="77" spans="6:32">
      <c r="F77" s="3956">
        <v>61003000</v>
      </c>
      <c r="G77" s="3957" t="s">
        <v>1401</v>
      </c>
      <c r="H77" s="3958">
        <v>18874160</v>
      </c>
      <c r="J77" s="3939"/>
      <c r="N77" s="3959">
        <v>61003000</v>
      </c>
      <c r="O77" s="3960" t="s">
        <v>1401</v>
      </c>
      <c r="P77" s="3961">
        <v>19143101</v>
      </c>
      <c r="R77" s="3939"/>
      <c r="V77" s="3959">
        <v>61003000</v>
      </c>
      <c r="W77" s="3960" t="s">
        <v>1401</v>
      </c>
      <c r="X77" s="3961">
        <v>13447740</v>
      </c>
      <c r="Z77" s="3939"/>
      <c r="AD77" s="3959">
        <v>61003100</v>
      </c>
      <c r="AE77" s="3960" t="s">
        <v>2509</v>
      </c>
      <c r="AF77" s="3961">
        <v>0</v>
      </c>
    </row>
    <row r="78" spans="6:32">
      <c r="F78" s="3956">
        <v>61003100</v>
      </c>
      <c r="G78" s="3957" t="s">
        <v>2509</v>
      </c>
      <c r="H78" s="3958">
        <v>0</v>
      </c>
      <c r="J78" s="3939"/>
      <c r="N78" s="3959">
        <v>61003100</v>
      </c>
      <c r="O78" s="3960" t="s">
        <v>2509</v>
      </c>
      <c r="P78" s="3961">
        <v>0</v>
      </c>
      <c r="R78" s="3939"/>
      <c r="V78" s="3959">
        <v>61003100</v>
      </c>
      <c r="W78" s="3960" t="s">
        <v>2509</v>
      </c>
      <c r="X78" s="3961">
        <v>0</v>
      </c>
      <c r="Z78" s="3939"/>
      <c r="AD78" s="3959">
        <v>61003200</v>
      </c>
      <c r="AE78" s="3960" t="s">
        <v>1402</v>
      </c>
      <c r="AF78" s="3961">
        <v>0</v>
      </c>
    </row>
    <row r="79" spans="6:32">
      <c r="F79" s="3956">
        <v>61003200</v>
      </c>
      <c r="G79" s="3957" t="s">
        <v>1402</v>
      </c>
      <c r="H79" s="3958">
        <v>0</v>
      </c>
      <c r="J79" s="3939"/>
      <c r="N79" s="3959">
        <v>61003200</v>
      </c>
      <c r="O79" s="3960" t="s">
        <v>1402</v>
      </c>
      <c r="P79" s="3961">
        <v>0</v>
      </c>
      <c r="R79" s="3939"/>
      <c r="V79" s="3959">
        <v>61003200</v>
      </c>
      <c r="W79" s="3960" t="s">
        <v>1402</v>
      </c>
      <c r="X79" s="3961">
        <v>0</v>
      </c>
      <c r="Z79" s="3939"/>
      <c r="AD79" s="3959">
        <v>61003300</v>
      </c>
      <c r="AE79" s="3960" t="s">
        <v>1403</v>
      </c>
      <c r="AF79" s="3961">
        <v>0</v>
      </c>
    </row>
    <row r="80" spans="6:32">
      <c r="F80" s="3956">
        <v>61003300</v>
      </c>
      <c r="G80" s="3957" t="s">
        <v>1403</v>
      </c>
      <c r="H80" s="3958">
        <v>0</v>
      </c>
      <c r="J80" s="3939"/>
      <c r="N80" s="3959">
        <v>61003300</v>
      </c>
      <c r="O80" s="3960" t="s">
        <v>1403</v>
      </c>
      <c r="P80" s="3961">
        <v>0</v>
      </c>
      <c r="R80" s="3939"/>
      <c r="V80" s="3959">
        <v>61003300</v>
      </c>
      <c r="W80" s="3960" t="s">
        <v>1403</v>
      </c>
      <c r="X80" s="3961">
        <v>0</v>
      </c>
      <c r="Z80" s="3939"/>
      <c r="AD80" s="3959">
        <v>61003400</v>
      </c>
      <c r="AE80" s="3960" t="s">
        <v>2510</v>
      </c>
      <c r="AF80" s="3961">
        <v>0</v>
      </c>
    </row>
    <row r="81" spans="6:32">
      <c r="F81" s="3956">
        <v>61003400</v>
      </c>
      <c r="G81" s="3957" t="s">
        <v>2510</v>
      </c>
      <c r="H81" s="3958">
        <v>0</v>
      </c>
      <c r="J81" s="3939"/>
      <c r="N81" s="3959">
        <v>61003400</v>
      </c>
      <c r="O81" s="3960" t="s">
        <v>2510</v>
      </c>
      <c r="P81" s="3961">
        <v>0</v>
      </c>
      <c r="R81" s="3939"/>
      <c r="V81" s="3959">
        <v>61003400</v>
      </c>
      <c r="W81" s="3960" t="s">
        <v>2510</v>
      </c>
      <c r="X81" s="3961">
        <v>0</v>
      </c>
      <c r="Z81" s="3939"/>
      <c r="AD81" s="3959">
        <v>71101800</v>
      </c>
      <c r="AE81" s="3960" t="s">
        <v>1404</v>
      </c>
      <c r="AF81" s="3961">
        <v>0</v>
      </c>
    </row>
    <row r="82" spans="6:32">
      <c r="F82" s="3956">
        <v>71101800</v>
      </c>
      <c r="G82" s="3957" t="s">
        <v>1404</v>
      </c>
      <c r="H82" s="3958">
        <v>0</v>
      </c>
      <c r="J82" s="3939"/>
      <c r="N82" s="3959">
        <v>71101800</v>
      </c>
      <c r="O82" s="3960" t="s">
        <v>1404</v>
      </c>
      <c r="P82" s="3961">
        <v>0</v>
      </c>
      <c r="R82" s="3939"/>
      <c r="V82" s="3959">
        <v>71101800</v>
      </c>
      <c r="W82" s="3960" t="s">
        <v>1404</v>
      </c>
      <c r="X82" s="3961">
        <v>0</v>
      </c>
      <c r="Z82" s="3939"/>
      <c r="AD82" s="3959">
        <v>61003500</v>
      </c>
      <c r="AE82" s="3960" t="s">
        <v>2511</v>
      </c>
      <c r="AF82" s="3961">
        <v>0</v>
      </c>
    </row>
    <row r="83" spans="6:32">
      <c r="F83" s="3956">
        <v>61003500</v>
      </c>
      <c r="G83" s="3957" t="s">
        <v>2511</v>
      </c>
      <c r="H83" s="3958">
        <v>0</v>
      </c>
      <c r="J83" s="3939"/>
      <c r="N83" s="3959">
        <v>61003500</v>
      </c>
      <c r="O83" s="3960" t="s">
        <v>2511</v>
      </c>
      <c r="P83" s="3961">
        <v>0</v>
      </c>
      <c r="R83" s="3939"/>
      <c r="V83" s="3959">
        <v>61003500</v>
      </c>
      <c r="W83" s="3960" t="s">
        <v>2511</v>
      </c>
      <c r="X83" s="3961">
        <v>0</v>
      </c>
      <c r="Z83" s="3939"/>
      <c r="AD83" s="3959">
        <v>61003600</v>
      </c>
      <c r="AE83" s="3960" t="s">
        <v>2512</v>
      </c>
      <c r="AF83" s="3961">
        <v>0</v>
      </c>
    </row>
    <row r="84" spans="6:32">
      <c r="F84" s="3956">
        <v>61003600</v>
      </c>
      <c r="G84" s="3957" t="s">
        <v>2512</v>
      </c>
      <c r="H84" s="3958">
        <v>0</v>
      </c>
      <c r="J84" s="3939"/>
      <c r="N84" s="3959">
        <v>61003600</v>
      </c>
      <c r="O84" s="3960" t="s">
        <v>2512</v>
      </c>
      <c r="P84" s="3961">
        <v>0</v>
      </c>
      <c r="R84" s="3939"/>
      <c r="V84" s="3959">
        <v>61003600</v>
      </c>
      <c r="W84" s="3960" t="s">
        <v>2512</v>
      </c>
      <c r="X84" s="3961">
        <v>0</v>
      </c>
      <c r="Z84" s="3939"/>
      <c r="AD84" s="3959">
        <v>61003700</v>
      </c>
      <c r="AE84" s="3960" t="s">
        <v>2513</v>
      </c>
      <c r="AF84" s="3961">
        <v>0</v>
      </c>
    </row>
    <row r="85" spans="6:32">
      <c r="F85" s="3956">
        <v>61003700</v>
      </c>
      <c r="G85" s="3957" t="s">
        <v>2513</v>
      </c>
      <c r="H85" s="3958">
        <v>0</v>
      </c>
      <c r="J85" s="3939"/>
      <c r="N85" s="3959">
        <v>61003700</v>
      </c>
      <c r="O85" s="3960" t="s">
        <v>2513</v>
      </c>
      <c r="P85" s="3961">
        <v>0</v>
      </c>
      <c r="R85" s="3939"/>
      <c r="V85" s="3959">
        <v>61003700</v>
      </c>
      <c r="W85" s="3960" t="s">
        <v>2513</v>
      </c>
      <c r="X85" s="3961">
        <v>0</v>
      </c>
      <c r="Z85" s="3939"/>
      <c r="AD85" s="3959">
        <v>61003800</v>
      </c>
      <c r="AE85" s="3960" t="s">
        <v>2514</v>
      </c>
      <c r="AF85" s="3961">
        <v>0</v>
      </c>
    </row>
    <row r="86" spans="6:32">
      <c r="F86" s="3956">
        <v>61003800</v>
      </c>
      <c r="G86" s="3957" t="s">
        <v>2514</v>
      </c>
      <c r="H86" s="3958">
        <v>0</v>
      </c>
      <c r="J86" s="3939"/>
      <c r="N86" s="3959">
        <v>61003800</v>
      </c>
      <c r="O86" s="3960" t="s">
        <v>2514</v>
      </c>
      <c r="P86" s="3961">
        <v>0</v>
      </c>
      <c r="R86" s="3939"/>
      <c r="V86" s="3959">
        <v>61003800</v>
      </c>
      <c r="W86" s="3960" t="s">
        <v>2514</v>
      </c>
      <c r="X86" s="3961">
        <v>0</v>
      </c>
      <c r="Z86" s="3939"/>
      <c r="AD86" s="3959">
        <v>61004100</v>
      </c>
      <c r="AE86" s="3960" t="s">
        <v>1412</v>
      </c>
      <c r="AF86" s="3961">
        <v>0</v>
      </c>
    </row>
    <row r="87" spans="6:32">
      <c r="F87" s="3956">
        <v>61004100</v>
      </c>
      <c r="G87" s="3957" t="s">
        <v>2515</v>
      </c>
      <c r="H87" s="3958">
        <v>0</v>
      </c>
      <c r="J87" s="3939"/>
      <c r="N87" s="3959">
        <v>61004100</v>
      </c>
      <c r="O87" s="3960" t="s">
        <v>1412</v>
      </c>
      <c r="P87" s="3961">
        <v>0</v>
      </c>
      <c r="R87" s="3939"/>
      <c r="V87" s="3959">
        <v>61004100</v>
      </c>
      <c r="W87" s="3960" t="s">
        <v>1412</v>
      </c>
      <c r="X87" s="3961">
        <v>0</v>
      </c>
      <c r="Z87" s="3939"/>
      <c r="AD87" s="3947">
        <v>70000000</v>
      </c>
      <c r="AE87" s="3948" t="s">
        <v>144</v>
      </c>
      <c r="AF87" s="3949">
        <v>4091015493</v>
      </c>
    </row>
    <row r="88" spans="6:32">
      <c r="F88" s="3944">
        <v>70000000</v>
      </c>
      <c r="G88" s="3945" t="s">
        <v>2516</v>
      </c>
      <c r="H88" s="3946">
        <v>3379471748</v>
      </c>
      <c r="J88" s="3939"/>
      <c r="N88" s="3947">
        <v>70000000</v>
      </c>
      <c r="O88" s="3948" t="s">
        <v>144</v>
      </c>
      <c r="P88" s="3949">
        <v>6485223168</v>
      </c>
      <c r="R88" s="3939"/>
      <c r="V88" s="3947">
        <v>70000000</v>
      </c>
      <c r="W88" s="3948" t="s">
        <v>144</v>
      </c>
      <c r="X88" s="3949">
        <v>7875000772</v>
      </c>
      <c r="Z88" s="3939"/>
      <c r="AD88" s="3947">
        <v>71000000</v>
      </c>
      <c r="AE88" s="3948" t="s">
        <v>223</v>
      </c>
      <c r="AF88" s="3949">
        <v>3127405576</v>
      </c>
    </row>
    <row r="89" spans="6:32">
      <c r="F89" s="3944">
        <v>71000000</v>
      </c>
      <c r="G89" s="3945" t="s">
        <v>223</v>
      </c>
      <c r="H89" s="3946">
        <v>602261958</v>
      </c>
      <c r="J89" s="3939"/>
      <c r="N89" s="3947">
        <v>71000000</v>
      </c>
      <c r="O89" s="3948" t="s">
        <v>223</v>
      </c>
      <c r="P89" s="3949">
        <v>2230585375</v>
      </c>
      <c r="R89" s="3939"/>
      <c r="V89" s="3947">
        <v>71000000</v>
      </c>
      <c r="W89" s="3948" t="s">
        <v>223</v>
      </c>
      <c r="X89" s="3949">
        <v>3609095325</v>
      </c>
      <c r="Z89" s="3939"/>
      <c r="AD89" s="3953">
        <v>71100000</v>
      </c>
      <c r="AE89" s="3954" t="s">
        <v>223</v>
      </c>
      <c r="AF89" s="3955">
        <v>3127405576</v>
      </c>
    </row>
    <row r="90" spans="6:32">
      <c r="F90" s="3950">
        <v>71100000</v>
      </c>
      <c r="G90" s="3951" t="s">
        <v>223</v>
      </c>
      <c r="H90" s="3952">
        <v>602261958</v>
      </c>
      <c r="J90" s="3939"/>
      <c r="N90" s="3953">
        <v>71100000</v>
      </c>
      <c r="O90" s="3954" t="s">
        <v>223</v>
      </c>
      <c r="P90" s="3955">
        <v>2230585375</v>
      </c>
      <c r="R90" s="3939"/>
      <c r="V90" s="3953">
        <v>71100000</v>
      </c>
      <c r="W90" s="3954" t="s">
        <v>223</v>
      </c>
      <c r="X90" s="3955">
        <v>3609095325</v>
      </c>
      <c r="Z90" s="3939"/>
      <c r="AD90" s="3959">
        <v>71100100</v>
      </c>
      <c r="AE90" s="3960" t="s">
        <v>3854</v>
      </c>
      <c r="AF90" s="3961">
        <v>13810000</v>
      </c>
    </row>
    <row r="91" spans="6:32">
      <c r="F91" s="3956">
        <v>71100100</v>
      </c>
      <c r="G91" s="3957" t="s">
        <v>2517</v>
      </c>
      <c r="H91" s="3958">
        <v>4550000</v>
      </c>
      <c r="J91" s="3939"/>
      <c r="N91" s="3959">
        <v>71100100</v>
      </c>
      <c r="O91" s="3960" t="s">
        <v>3854</v>
      </c>
      <c r="P91" s="3961">
        <v>8960000</v>
      </c>
      <c r="R91" s="3939"/>
      <c r="V91" s="3959">
        <v>71100100</v>
      </c>
      <c r="W91" s="3960" t="s">
        <v>3854</v>
      </c>
      <c r="X91" s="3961">
        <v>5080000</v>
      </c>
      <c r="Z91" s="3939"/>
      <c r="AD91" s="3959">
        <v>71100200</v>
      </c>
      <c r="AE91" s="3960" t="s">
        <v>2518</v>
      </c>
      <c r="AF91" s="3961">
        <v>0</v>
      </c>
    </row>
    <row r="92" spans="6:32">
      <c r="F92" s="3956">
        <v>71100200</v>
      </c>
      <c r="G92" s="3957" t="s">
        <v>2518</v>
      </c>
      <c r="H92" s="3958">
        <v>0</v>
      </c>
      <c r="J92" s="3939"/>
      <c r="N92" s="3959">
        <v>71100200</v>
      </c>
      <c r="O92" s="3960" t="s">
        <v>2518</v>
      </c>
      <c r="P92" s="3961">
        <v>0</v>
      </c>
      <c r="R92" s="3939"/>
      <c r="V92" s="3959">
        <v>71100200</v>
      </c>
      <c r="W92" s="3960" t="s">
        <v>2518</v>
      </c>
      <c r="X92" s="3961">
        <v>0</v>
      </c>
      <c r="Z92" s="3939"/>
      <c r="AD92" s="3959">
        <v>71100300</v>
      </c>
      <c r="AE92" s="3960" t="s">
        <v>3855</v>
      </c>
      <c r="AF92" s="3961">
        <v>428851261</v>
      </c>
    </row>
    <row r="93" spans="6:32">
      <c r="F93" s="3956">
        <v>71100300</v>
      </c>
      <c r="G93" s="3957" t="s">
        <v>2519</v>
      </c>
      <c r="H93" s="3958">
        <v>491662350</v>
      </c>
      <c r="J93" s="3939"/>
      <c r="N93" s="3959">
        <v>71100300</v>
      </c>
      <c r="O93" s="3960" t="s">
        <v>3855</v>
      </c>
      <c r="P93" s="3961">
        <v>526728709</v>
      </c>
      <c r="R93" s="3939"/>
      <c r="V93" s="3959">
        <v>71100300</v>
      </c>
      <c r="W93" s="3960" t="s">
        <v>3855</v>
      </c>
      <c r="X93" s="3961">
        <v>572776820</v>
      </c>
      <c r="Z93" s="3939"/>
      <c r="AD93" s="3959">
        <v>71100400</v>
      </c>
      <c r="AE93" s="3960" t="s">
        <v>3856</v>
      </c>
      <c r="AF93" s="3961">
        <v>1534673</v>
      </c>
    </row>
    <row r="94" spans="6:32">
      <c r="F94" s="3956">
        <v>71100400</v>
      </c>
      <c r="G94" s="3957" t="s">
        <v>2520</v>
      </c>
      <c r="H94" s="3958">
        <v>103599547</v>
      </c>
      <c r="J94" s="3939"/>
      <c r="N94" s="3959">
        <v>71100400</v>
      </c>
      <c r="O94" s="3960" t="s">
        <v>3856</v>
      </c>
      <c r="P94" s="3961">
        <v>2924844</v>
      </c>
      <c r="R94" s="3939"/>
      <c r="V94" s="3959">
        <v>71100400</v>
      </c>
      <c r="W94" s="3960" t="s">
        <v>3856</v>
      </c>
      <c r="X94" s="3961">
        <v>1460656</v>
      </c>
      <c r="Z94" s="3939"/>
      <c r="AD94" s="3959">
        <v>71100500</v>
      </c>
      <c r="AE94" s="3960" t="s">
        <v>2521</v>
      </c>
      <c r="AF94" s="3961">
        <v>0</v>
      </c>
    </row>
    <row r="95" spans="6:32">
      <c r="F95" s="3956">
        <v>71100450</v>
      </c>
      <c r="G95" s="3957" t="s">
        <v>3892</v>
      </c>
      <c r="H95" s="3958">
        <v>0</v>
      </c>
      <c r="J95" s="3939"/>
      <c r="N95" s="3959">
        <v>71100500</v>
      </c>
      <c r="O95" s="3960" t="s">
        <v>2521</v>
      </c>
      <c r="P95" s="3961">
        <v>21753609</v>
      </c>
      <c r="R95" s="3939"/>
      <c r="V95" s="3959">
        <v>71100500</v>
      </c>
      <c r="W95" s="3960" t="s">
        <v>2521</v>
      </c>
      <c r="X95" s="3961">
        <v>3493205</v>
      </c>
      <c r="Z95" s="3939"/>
      <c r="AD95" s="3959">
        <v>71100600</v>
      </c>
      <c r="AE95" s="3960" t="s">
        <v>2522</v>
      </c>
      <c r="AF95" s="3961">
        <v>0</v>
      </c>
    </row>
    <row r="96" spans="6:32">
      <c r="F96" s="3956">
        <v>71100500</v>
      </c>
      <c r="G96" s="3957" t="s">
        <v>2521</v>
      </c>
      <c r="H96" s="3958">
        <v>0</v>
      </c>
      <c r="J96" s="3939"/>
      <c r="N96" s="3959">
        <v>71100600</v>
      </c>
      <c r="O96" s="3960" t="s">
        <v>2522</v>
      </c>
      <c r="P96" s="3961">
        <v>0</v>
      </c>
      <c r="R96" s="3939"/>
      <c r="V96" s="3959">
        <v>71100600</v>
      </c>
      <c r="W96" s="3960" t="s">
        <v>2522</v>
      </c>
      <c r="X96" s="3961">
        <v>0</v>
      </c>
      <c r="Z96" s="3939"/>
      <c r="AD96" s="3959">
        <v>71100700</v>
      </c>
      <c r="AE96" s="3960" t="s">
        <v>2523</v>
      </c>
      <c r="AF96" s="3961">
        <v>0</v>
      </c>
    </row>
    <row r="97" spans="6:32">
      <c r="F97" s="3956">
        <v>71100600</v>
      </c>
      <c r="G97" s="3957" t="s">
        <v>2522</v>
      </c>
      <c r="H97" s="3958">
        <v>0</v>
      </c>
      <c r="J97" s="3939"/>
      <c r="N97" s="3959">
        <v>71100700</v>
      </c>
      <c r="O97" s="3960" t="s">
        <v>2523</v>
      </c>
      <c r="P97" s="3961">
        <v>0</v>
      </c>
      <c r="R97" s="3939"/>
      <c r="V97" s="3959">
        <v>71100700</v>
      </c>
      <c r="W97" s="3960" t="s">
        <v>2523</v>
      </c>
      <c r="X97" s="3961">
        <v>0</v>
      </c>
      <c r="Z97" s="3939"/>
      <c r="AD97" s="3959">
        <v>71100800</v>
      </c>
      <c r="AE97" s="3960" t="s">
        <v>2524</v>
      </c>
      <c r="AF97" s="3961">
        <v>0</v>
      </c>
    </row>
    <row r="98" spans="6:32">
      <c r="F98" s="3956">
        <v>71100700</v>
      </c>
      <c r="G98" s="3957" t="s">
        <v>2523</v>
      </c>
      <c r="H98" s="3958">
        <v>0</v>
      </c>
      <c r="J98" s="3939"/>
      <c r="N98" s="3959">
        <v>71100800</v>
      </c>
      <c r="O98" s="3960" t="s">
        <v>2524</v>
      </c>
      <c r="P98" s="3961">
        <v>0</v>
      </c>
      <c r="R98" s="3939"/>
      <c r="V98" s="3959">
        <v>71100800</v>
      </c>
      <c r="W98" s="3960" t="s">
        <v>2524</v>
      </c>
      <c r="X98" s="3961">
        <v>0</v>
      </c>
      <c r="Z98" s="3939"/>
      <c r="AD98" s="3959">
        <v>71100900</v>
      </c>
      <c r="AE98" s="3960" t="s">
        <v>2525</v>
      </c>
      <c r="AF98" s="3961">
        <v>0</v>
      </c>
    </row>
    <row r="99" spans="6:32">
      <c r="F99" s="3956">
        <v>71100800</v>
      </c>
      <c r="G99" s="3957" t="s">
        <v>2524</v>
      </c>
      <c r="H99" s="3958">
        <v>0</v>
      </c>
      <c r="J99" s="3939"/>
      <c r="N99" s="3959">
        <v>71100900</v>
      </c>
      <c r="O99" s="3960" t="s">
        <v>2525</v>
      </c>
      <c r="P99" s="3961">
        <v>0</v>
      </c>
      <c r="R99" s="3939"/>
      <c r="V99" s="3959">
        <v>71100900</v>
      </c>
      <c r="W99" s="3960" t="s">
        <v>2525</v>
      </c>
      <c r="X99" s="3961">
        <v>0</v>
      </c>
      <c r="Z99" s="3939"/>
      <c r="AD99" s="3959">
        <v>71101000</v>
      </c>
      <c r="AE99" s="3960" t="s">
        <v>2526</v>
      </c>
      <c r="AF99" s="3961">
        <v>0</v>
      </c>
    </row>
    <row r="100" spans="6:32">
      <c r="F100" s="3956">
        <v>71100900</v>
      </c>
      <c r="G100" s="3957" t="s">
        <v>2525</v>
      </c>
      <c r="H100" s="3958">
        <v>0</v>
      </c>
      <c r="J100" s="3939"/>
      <c r="N100" s="3959">
        <v>71101000</v>
      </c>
      <c r="O100" s="3960" t="s">
        <v>2526</v>
      </c>
      <c r="P100" s="3961">
        <v>0</v>
      </c>
      <c r="R100" s="3939"/>
      <c r="V100" s="3959">
        <v>71101000</v>
      </c>
      <c r="W100" s="3960" t="s">
        <v>2526</v>
      </c>
      <c r="X100" s="3961">
        <v>0</v>
      </c>
      <c r="Z100" s="3939"/>
      <c r="AD100" s="3959">
        <v>71101400</v>
      </c>
      <c r="AE100" s="3960" t="s">
        <v>3857</v>
      </c>
      <c r="AF100" s="3961">
        <v>136421539</v>
      </c>
    </row>
    <row r="101" spans="6:32">
      <c r="F101" s="3956">
        <v>71101000</v>
      </c>
      <c r="G101" s="3957" t="s">
        <v>2526</v>
      </c>
      <c r="H101" s="3958">
        <v>0</v>
      </c>
      <c r="J101" s="3939"/>
      <c r="N101" s="3959">
        <v>71101400</v>
      </c>
      <c r="O101" s="3960" t="s">
        <v>3857</v>
      </c>
      <c r="P101" s="3961">
        <v>0</v>
      </c>
      <c r="R101" s="3939"/>
      <c r="V101" s="3959">
        <v>71101400</v>
      </c>
      <c r="W101" s="3960" t="s">
        <v>3857</v>
      </c>
      <c r="X101" s="3961">
        <v>227003380</v>
      </c>
      <c r="Z101" s="3939"/>
      <c r="AD101" s="3959">
        <v>71101500</v>
      </c>
      <c r="AE101" s="3960" t="s">
        <v>3858</v>
      </c>
      <c r="AF101" s="3961">
        <v>2505764840</v>
      </c>
    </row>
    <row r="102" spans="6:32">
      <c r="F102" s="3956">
        <v>71101400</v>
      </c>
      <c r="G102" s="3957" t="s">
        <v>2527</v>
      </c>
      <c r="H102" s="3958">
        <v>0</v>
      </c>
      <c r="J102" s="3939"/>
      <c r="N102" s="3959">
        <v>71101500</v>
      </c>
      <c r="O102" s="3960" t="s">
        <v>3858</v>
      </c>
      <c r="P102" s="3961">
        <v>1659931855</v>
      </c>
      <c r="R102" s="3939"/>
      <c r="V102" s="3959">
        <v>71101500</v>
      </c>
      <c r="W102" s="3960" t="s">
        <v>3858</v>
      </c>
      <c r="X102" s="3961">
        <v>2792149992</v>
      </c>
      <c r="Z102" s="3939"/>
      <c r="AD102" s="3959">
        <v>71101600</v>
      </c>
      <c r="AE102" s="3960" t="s">
        <v>3859</v>
      </c>
      <c r="AF102" s="3961">
        <v>0</v>
      </c>
    </row>
    <row r="103" spans="6:32">
      <c r="F103" s="3956">
        <v>71101500</v>
      </c>
      <c r="G103" s="3957" t="s">
        <v>2528</v>
      </c>
      <c r="H103" s="3958">
        <v>0</v>
      </c>
      <c r="J103" s="3939"/>
      <c r="N103" s="3959">
        <v>71101600</v>
      </c>
      <c r="O103" s="3960" t="s">
        <v>3859</v>
      </c>
      <c r="P103" s="3961">
        <v>0</v>
      </c>
      <c r="R103" s="3939"/>
      <c r="V103" s="3959">
        <v>71101600</v>
      </c>
      <c r="W103" s="3960" t="s">
        <v>3859</v>
      </c>
      <c r="X103" s="3961">
        <v>0</v>
      </c>
      <c r="Z103" s="3939"/>
      <c r="AD103" s="3959">
        <v>71101700</v>
      </c>
      <c r="AE103" s="3960" t="s">
        <v>2530</v>
      </c>
      <c r="AF103" s="3961">
        <v>0</v>
      </c>
    </row>
    <row r="104" spans="6:32">
      <c r="F104" s="3956">
        <v>71101600</v>
      </c>
      <c r="G104" s="3957" t="s">
        <v>2529</v>
      </c>
      <c r="H104" s="3958">
        <v>0</v>
      </c>
      <c r="J104" s="3939"/>
      <c r="N104" s="3959">
        <v>71101700</v>
      </c>
      <c r="O104" s="3960" t="s">
        <v>2530</v>
      </c>
      <c r="P104" s="3961">
        <v>0</v>
      </c>
      <c r="R104" s="3939"/>
      <c r="V104" s="3959">
        <v>71101700</v>
      </c>
      <c r="W104" s="3960" t="s">
        <v>2530</v>
      </c>
      <c r="X104" s="3961">
        <v>0</v>
      </c>
      <c r="Z104" s="3939"/>
      <c r="AD104" s="3959">
        <v>71101900</v>
      </c>
      <c r="AE104" s="3960" t="s">
        <v>3860</v>
      </c>
      <c r="AF104" s="3961">
        <v>0</v>
      </c>
    </row>
    <row r="105" spans="6:32">
      <c r="F105" s="3956">
        <v>71101700</v>
      </c>
      <c r="G105" s="3957" t="s">
        <v>2530</v>
      </c>
      <c r="H105" s="3958">
        <v>0</v>
      </c>
      <c r="J105" s="3939"/>
      <c r="N105" s="3959">
        <v>71101900</v>
      </c>
      <c r="O105" s="3960" t="s">
        <v>3860</v>
      </c>
      <c r="P105" s="3961">
        <v>0</v>
      </c>
      <c r="R105" s="3939"/>
      <c r="V105" s="3959">
        <v>71101900</v>
      </c>
      <c r="W105" s="3960" t="s">
        <v>3860</v>
      </c>
      <c r="X105" s="3961">
        <v>0</v>
      </c>
      <c r="Z105" s="3939"/>
      <c r="AD105" s="3959">
        <v>71102200</v>
      </c>
      <c r="AE105" s="3960" t="s">
        <v>223</v>
      </c>
      <c r="AF105" s="3961">
        <v>41023263</v>
      </c>
    </row>
    <row r="106" spans="6:32">
      <c r="F106" s="3956">
        <v>71101900</v>
      </c>
      <c r="G106" s="3957" t="s">
        <v>2531</v>
      </c>
      <c r="H106" s="3958">
        <v>0</v>
      </c>
      <c r="J106" s="3939"/>
      <c r="N106" s="3959">
        <v>71102200</v>
      </c>
      <c r="O106" s="3960" t="s">
        <v>223</v>
      </c>
      <c r="P106" s="3961">
        <v>10286358</v>
      </c>
      <c r="R106" s="3939"/>
      <c r="V106" s="3959">
        <v>71102200</v>
      </c>
      <c r="W106" s="3960" t="s">
        <v>223</v>
      </c>
      <c r="X106" s="3961">
        <v>7131272</v>
      </c>
      <c r="Z106" s="3939"/>
      <c r="AD106" s="3947">
        <v>72000000</v>
      </c>
      <c r="AE106" s="3948" t="s">
        <v>231</v>
      </c>
      <c r="AF106" s="3949">
        <v>4472058471</v>
      </c>
    </row>
    <row r="107" spans="6:32">
      <c r="F107" s="3956">
        <v>71102200</v>
      </c>
      <c r="G107" s="3957" t="s">
        <v>223</v>
      </c>
      <c r="H107" s="3958">
        <v>2450061</v>
      </c>
      <c r="J107" s="3939"/>
      <c r="N107" s="3947">
        <v>72000000</v>
      </c>
      <c r="O107" s="3948" t="s">
        <v>231</v>
      </c>
      <c r="P107" s="3949">
        <v>3201291104</v>
      </c>
      <c r="R107" s="3939"/>
      <c r="V107" s="3947">
        <v>72000000</v>
      </c>
      <c r="W107" s="3948" t="s">
        <v>231</v>
      </c>
      <c r="X107" s="3949">
        <v>9681361675</v>
      </c>
      <c r="Z107" s="3939"/>
      <c r="AD107" s="3953">
        <v>72100000</v>
      </c>
      <c r="AE107" s="3954" t="s">
        <v>231</v>
      </c>
      <c r="AF107" s="3955">
        <v>4472058471</v>
      </c>
    </row>
    <row r="108" spans="6:32">
      <c r="F108" s="3944">
        <v>72000000</v>
      </c>
      <c r="G108" s="3945" t="s">
        <v>231</v>
      </c>
      <c r="H108" s="3946">
        <v>360810459</v>
      </c>
      <c r="J108" s="3939"/>
      <c r="N108" s="3953">
        <v>72100000</v>
      </c>
      <c r="O108" s="3954" t="s">
        <v>231</v>
      </c>
      <c r="P108" s="3955">
        <v>3201291104</v>
      </c>
      <c r="R108" s="3939"/>
      <c r="V108" s="3953">
        <v>72100000</v>
      </c>
      <c r="W108" s="3954" t="s">
        <v>231</v>
      </c>
      <c r="X108" s="3955">
        <v>9681361675</v>
      </c>
      <c r="Z108" s="3939"/>
      <c r="AD108" s="3959">
        <v>72100100</v>
      </c>
      <c r="AE108" s="3960" t="s">
        <v>3861</v>
      </c>
      <c r="AF108" s="3961">
        <v>324777402</v>
      </c>
    </row>
    <row r="109" spans="6:32">
      <c r="F109" s="3950">
        <v>72100000</v>
      </c>
      <c r="G109" s="3951" t="s">
        <v>231</v>
      </c>
      <c r="H109" s="3952">
        <v>360810459</v>
      </c>
      <c r="J109" s="3939"/>
      <c r="N109" s="3959">
        <v>72100100</v>
      </c>
      <c r="O109" s="3960" t="s">
        <v>3861</v>
      </c>
      <c r="P109" s="3961">
        <v>1210895703</v>
      </c>
      <c r="R109" s="3939"/>
      <c r="V109" s="3959">
        <v>72100100</v>
      </c>
      <c r="W109" s="3960" t="s">
        <v>3861</v>
      </c>
      <c r="X109" s="3961">
        <v>287116361</v>
      </c>
      <c r="Z109" s="3939"/>
      <c r="AD109" s="3959">
        <v>72100200</v>
      </c>
      <c r="AE109" s="3960" t="s">
        <v>3862</v>
      </c>
      <c r="AF109" s="3961">
        <v>22891603</v>
      </c>
    </row>
    <row r="110" spans="6:32">
      <c r="F110" s="3956">
        <v>72100100</v>
      </c>
      <c r="G110" s="3957" t="s">
        <v>2532</v>
      </c>
      <c r="H110" s="3958">
        <v>221754379</v>
      </c>
      <c r="J110" s="3939"/>
      <c r="N110" s="3959">
        <v>72100200</v>
      </c>
      <c r="O110" s="3960" t="s">
        <v>3862</v>
      </c>
      <c r="P110" s="3961">
        <v>72446948</v>
      </c>
      <c r="R110" s="3939"/>
      <c r="V110" s="3959">
        <v>72100200</v>
      </c>
      <c r="W110" s="3960" t="s">
        <v>3862</v>
      </c>
      <c r="X110" s="3961">
        <v>20255638</v>
      </c>
      <c r="Z110" s="3939"/>
      <c r="AD110" s="3959">
        <v>72100300</v>
      </c>
      <c r="AE110" s="3960" t="s">
        <v>2534</v>
      </c>
      <c r="AF110" s="3961">
        <v>18819357</v>
      </c>
    </row>
    <row r="111" spans="6:32">
      <c r="F111" s="3956">
        <v>72100200</v>
      </c>
      <c r="G111" s="3957" t="s">
        <v>2533</v>
      </c>
      <c r="H111" s="3958">
        <v>1556894</v>
      </c>
      <c r="J111" s="3939"/>
      <c r="N111" s="3959">
        <v>72100300</v>
      </c>
      <c r="O111" s="3960" t="s">
        <v>2534</v>
      </c>
      <c r="P111" s="3961">
        <v>1151786</v>
      </c>
      <c r="R111" s="3939"/>
      <c r="V111" s="3959">
        <v>72100300</v>
      </c>
      <c r="W111" s="3960" t="s">
        <v>2534</v>
      </c>
      <c r="X111" s="3961">
        <v>32724383</v>
      </c>
      <c r="Z111" s="3939"/>
      <c r="AD111" s="3959">
        <v>72100400</v>
      </c>
      <c r="AE111" s="3960" t="s">
        <v>2535</v>
      </c>
      <c r="AF111" s="3961">
        <v>0</v>
      </c>
    </row>
    <row r="112" spans="6:32">
      <c r="F112" s="3956">
        <v>72100300</v>
      </c>
      <c r="G112" s="3957" t="s">
        <v>2534</v>
      </c>
      <c r="H112" s="3958">
        <v>132247380</v>
      </c>
      <c r="J112" s="3939"/>
      <c r="N112" s="3959">
        <v>72100400</v>
      </c>
      <c r="O112" s="3960" t="s">
        <v>2535</v>
      </c>
      <c r="P112" s="3961">
        <v>0</v>
      </c>
      <c r="R112" s="3939"/>
      <c r="V112" s="3959">
        <v>72100400</v>
      </c>
      <c r="W112" s="3960" t="s">
        <v>2535</v>
      </c>
      <c r="X112" s="3961">
        <v>0</v>
      </c>
      <c r="Z112" s="3939"/>
      <c r="AD112" s="3959">
        <v>72100500</v>
      </c>
      <c r="AE112" s="3960" t="s">
        <v>2536</v>
      </c>
      <c r="AF112" s="3961">
        <v>0</v>
      </c>
    </row>
    <row r="113" spans="6:32">
      <c r="F113" s="3956">
        <v>72100400</v>
      </c>
      <c r="G113" s="3957" t="s">
        <v>2535</v>
      </c>
      <c r="H113" s="3958">
        <v>0</v>
      </c>
      <c r="J113" s="3939"/>
      <c r="N113" s="3959">
        <v>72100500</v>
      </c>
      <c r="O113" s="3960" t="s">
        <v>2536</v>
      </c>
      <c r="P113" s="3961">
        <v>12876849</v>
      </c>
      <c r="R113" s="3939"/>
      <c r="V113" s="3959">
        <v>72100500</v>
      </c>
      <c r="W113" s="3960" t="s">
        <v>2536</v>
      </c>
      <c r="X113" s="3961">
        <v>2371652179</v>
      </c>
      <c r="Z113" s="3939"/>
      <c r="AD113" s="3959">
        <v>72100600</v>
      </c>
      <c r="AE113" s="3960" t="s">
        <v>2537</v>
      </c>
      <c r="AF113" s="3961">
        <v>0</v>
      </c>
    </row>
    <row r="114" spans="6:32">
      <c r="F114" s="3956">
        <v>72100500</v>
      </c>
      <c r="G114" s="3957" t="s">
        <v>2536</v>
      </c>
      <c r="H114" s="3958">
        <v>0</v>
      </c>
      <c r="J114" s="3939"/>
      <c r="N114" s="3959">
        <v>72100600</v>
      </c>
      <c r="O114" s="3960" t="s">
        <v>2537</v>
      </c>
      <c r="P114" s="3961">
        <v>0</v>
      </c>
      <c r="R114" s="3939"/>
      <c r="V114" s="3959">
        <v>72100600</v>
      </c>
      <c r="W114" s="3960" t="s">
        <v>2537</v>
      </c>
      <c r="X114" s="3961">
        <v>0</v>
      </c>
      <c r="Z114" s="3939"/>
      <c r="AD114" s="3959">
        <v>72100700</v>
      </c>
      <c r="AE114" s="3960" t="s">
        <v>2538</v>
      </c>
      <c r="AF114" s="3961">
        <v>0</v>
      </c>
    </row>
    <row r="115" spans="6:32">
      <c r="F115" s="3956">
        <v>72100600</v>
      </c>
      <c r="G115" s="3957" t="s">
        <v>2537</v>
      </c>
      <c r="H115" s="3958">
        <v>0</v>
      </c>
      <c r="J115" s="3939"/>
      <c r="N115" s="3959">
        <v>72100700</v>
      </c>
      <c r="O115" s="3960" t="s">
        <v>2538</v>
      </c>
      <c r="P115" s="3961">
        <v>0</v>
      </c>
      <c r="R115" s="3939"/>
      <c r="V115" s="3959">
        <v>72100700</v>
      </c>
      <c r="W115" s="3960" t="s">
        <v>2538</v>
      </c>
      <c r="X115" s="3961">
        <v>0</v>
      </c>
      <c r="Z115" s="3939"/>
      <c r="AD115" s="3959">
        <v>72100800</v>
      </c>
      <c r="AE115" s="3960" t="s">
        <v>2539</v>
      </c>
      <c r="AF115" s="3961">
        <v>0</v>
      </c>
    </row>
    <row r="116" spans="6:32">
      <c r="F116" s="3956">
        <v>72100700</v>
      </c>
      <c r="G116" s="3957" t="s">
        <v>2538</v>
      </c>
      <c r="H116" s="3958">
        <v>0</v>
      </c>
      <c r="J116" s="3939"/>
      <c r="N116" s="3959">
        <v>72100800</v>
      </c>
      <c r="O116" s="3960" t="s">
        <v>2539</v>
      </c>
      <c r="P116" s="3961">
        <v>0</v>
      </c>
      <c r="R116" s="3939"/>
      <c r="V116" s="3959">
        <v>72100800</v>
      </c>
      <c r="W116" s="3960" t="s">
        <v>2539</v>
      </c>
      <c r="X116" s="3961">
        <v>0</v>
      </c>
      <c r="Z116" s="3939"/>
      <c r="AD116" s="3959">
        <v>72100900</v>
      </c>
      <c r="AE116" s="3960" t="s">
        <v>3863</v>
      </c>
      <c r="AF116" s="3961">
        <v>0</v>
      </c>
    </row>
    <row r="117" spans="6:32">
      <c r="F117" s="3956">
        <v>72100800</v>
      </c>
      <c r="G117" s="3957" t="s">
        <v>2539</v>
      </c>
      <c r="H117" s="3958">
        <v>0</v>
      </c>
      <c r="J117" s="3939"/>
      <c r="N117" s="3959">
        <v>72100900</v>
      </c>
      <c r="O117" s="3960" t="s">
        <v>3863</v>
      </c>
      <c r="P117" s="3961">
        <v>0</v>
      </c>
      <c r="R117" s="3939"/>
      <c r="V117" s="3959">
        <v>72100900</v>
      </c>
      <c r="W117" s="3960" t="s">
        <v>3863</v>
      </c>
      <c r="X117" s="3961">
        <v>0</v>
      </c>
      <c r="Z117" s="3939"/>
      <c r="AD117" s="3959">
        <v>72101000</v>
      </c>
      <c r="AE117" s="3960" t="s">
        <v>2495</v>
      </c>
      <c r="AF117" s="3961">
        <v>0</v>
      </c>
    </row>
    <row r="118" spans="6:32">
      <c r="F118" s="3956">
        <v>72100900</v>
      </c>
      <c r="G118" s="3957" t="s">
        <v>2540</v>
      </c>
      <c r="H118" s="3958">
        <v>0</v>
      </c>
      <c r="J118" s="3939"/>
      <c r="N118" s="3959">
        <v>72101000</v>
      </c>
      <c r="O118" s="3960" t="s">
        <v>2495</v>
      </c>
      <c r="P118" s="3961">
        <v>0</v>
      </c>
      <c r="R118" s="3939"/>
      <c r="V118" s="3959">
        <v>72101000</v>
      </c>
      <c r="W118" s="3960" t="s">
        <v>2495</v>
      </c>
      <c r="X118" s="3961">
        <v>0</v>
      </c>
      <c r="Z118" s="3939"/>
      <c r="AD118" s="3959">
        <v>72101100</v>
      </c>
      <c r="AE118" s="3960" t="s">
        <v>3864</v>
      </c>
      <c r="AF118" s="3961">
        <v>0</v>
      </c>
    </row>
    <row r="119" spans="6:32">
      <c r="F119" s="3956">
        <v>72101000</v>
      </c>
      <c r="G119" s="3957" t="s">
        <v>2541</v>
      </c>
      <c r="H119" s="3958">
        <v>0</v>
      </c>
      <c r="J119" s="3939"/>
      <c r="N119" s="3959">
        <v>72101100</v>
      </c>
      <c r="O119" s="3960" t="s">
        <v>3864</v>
      </c>
      <c r="P119" s="3961">
        <v>0</v>
      </c>
      <c r="R119" s="3939"/>
      <c r="V119" s="3959">
        <v>72101100</v>
      </c>
      <c r="W119" s="3960" t="s">
        <v>3864</v>
      </c>
      <c r="X119" s="3961">
        <v>0</v>
      </c>
      <c r="Z119" s="3939"/>
      <c r="AD119" s="3959">
        <v>72101200</v>
      </c>
      <c r="AE119" s="3960" t="s">
        <v>3865</v>
      </c>
      <c r="AF119" s="3961">
        <v>0</v>
      </c>
    </row>
    <row r="120" spans="6:32">
      <c r="F120" s="3956">
        <v>72101100</v>
      </c>
      <c r="G120" s="3957" t="s">
        <v>2542</v>
      </c>
      <c r="H120" s="3958">
        <v>0</v>
      </c>
      <c r="J120" s="3939"/>
      <c r="N120" s="3959">
        <v>72101200</v>
      </c>
      <c r="O120" s="3960" t="s">
        <v>3865</v>
      </c>
      <c r="P120" s="3961">
        <v>0</v>
      </c>
      <c r="R120" s="3939"/>
      <c r="V120" s="3959">
        <v>72101200</v>
      </c>
      <c r="W120" s="3960" t="s">
        <v>3865</v>
      </c>
      <c r="X120" s="3961">
        <v>0</v>
      </c>
      <c r="Z120" s="3939"/>
      <c r="AD120" s="3959">
        <v>72101300</v>
      </c>
      <c r="AE120" s="3960" t="s">
        <v>2544</v>
      </c>
      <c r="AF120" s="3961">
        <v>0</v>
      </c>
    </row>
    <row r="121" spans="6:32">
      <c r="F121" s="3956">
        <v>72101200</v>
      </c>
      <c r="G121" s="3957" t="s">
        <v>2543</v>
      </c>
      <c r="H121" s="3958">
        <v>0</v>
      </c>
      <c r="J121" s="3939"/>
      <c r="N121" s="3959">
        <v>72101300</v>
      </c>
      <c r="O121" s="3960" t="s">
        <v>2544</v>
      </c>
      <c r="P121" s="3961">
        <v>0</v>
      </c>
      <c r="R121" s="3939"/>
      <c r="V121" s="3959">
        <v>72101300</v>
      </c>
      <c r="W121" s="3960" t="s">
        <v>2544</v>
      </c>
      <c r="X121" s="3961">
        <v>0</v>
      </c>
      <c r="Z121" s="3939"/>
      <c r="AD121" s="3959">
        <v>72101400</v>
      </c>
      <c r="AE121" s="3960" t="s">
        <v>2545</v>
      </c>
      <c r="AF121" s="3961">
        <v>0</v>
      </c>
    </row>
    <row r="122" spans="6:32">
      <c r="F122" s="3956">
        <v>72101300</v>
      </c>
      <c r="G122" s="3957" t="s">
        <v>2544</v>
      </c>
      <c r="H122" s="3958">
        <v>0</v>
      </c>
      <c r="J122" s="3939"/>
      <c r="N122" s="3959">
        <v>72101400</v>
      </c>
      <c r="O122" s="3960" t="s">
        <v>2545</v>
      </c>
      <c r="P122" s="3961">
        <v>0</v>
      </c>
      <c r="R122" s="3939"/>
      <c r="V122" s="3959">
        <v>72101400</v>
      </c>
      <c r="W122" s="3960" t="s">
        <v>2545</v>
      </c>
      <c r="X122" s="3961">
        <v>0</v>
      </c>
      <c r="Z122" s="3939"/>
      <c r="AD122" s="3959">
        <v>72101800</v>
      </c>
      <c r="AE122" s="3960" t="s">
        <v>3866</v>
      </c>
      <c r="AF122" s="3961">
        <v>668472455</v>
      </c>
    </row>
    <row r="123" spans="6:32">
      <c r="F123" s="3956">
        <v>72101400</v>
      </c>
      <c r="G123" s="3957" t="s">
        <v>2545</v>
      </c>
      <c r="H123" s="3958">
        <v>0</v>
      </c>
      <c r="J123" s="3939"/>
      <c r="N123" s="3959">
        <v>72101800</v>
      </c>
      <c r="O123" s="3960" t="s">
        <v>3866</v>
      </c>
      <c r="P123" s="3961">
        <v>0</v>
      </c>
      <c r="R123" s="3939"/>
      <c r="V123" s="3959">
        <v>72101800</v>
      </c>
      <c r="W123" s="3960" t="s">
        <v>3866</v>
      </c>
      <c r="X123" s="3961">
        <v>699313268</v>
      </c>
      <c r="Z123" s="3939"/>
      <c r="AD123" s="3959">
        <v>72101900</v>
      </c>
      <c r="AE123" s="3960" t="s">
        <v>3867</v>
      </c>
      <c r="AF123" s="3961">
        <v>3399779804</v>
      </c>
    </row>
    <row r="124" spans="6:32">
      <c r="F124" s="3956">
        <v>72101800</v>
      </c>
      <c r="G124" s="3957" t="s">
        <v>2546</v>
      </c>
      <c r="H124" s="3958">
        <v>0</v>
      </c>
      <c r="J124" s="3939"/>
      <c r="N124" s="3959">
        <v>72101900</v>
      </c>
      <c r="O124" s="3960" t="s">
        <v>3867</v>
      </c>
      <c r="P124" s="3961">
        <v>1881430109</v>
      </c>
      <c r="R124" s="3939"/>
      <c r="V124" s="3959">
        <v>72101900</v>
      </c>
      <c r="W124" s="3960" t="s">
        <v>3867</v>
      </c>
      <c r="X124" s="3961">
        <v>6258564658</v>
      </c>
      <c r="Z124" s="3939"/>
      <c r="AD124" s="3959">
        <v>72102000</v>
      </c>
      <c r="AE124" s="3960" t="s">
        <v>2548</v>
      </c>
      <c r="AF124" s="3961">
        <v>30000000</v>
      </c>
    </row>
    <row r="125" spans="6:32">
      <c r="F125" s="3956">
        <v>72101900</v>
      </c>
      <c r="G125" s="3957" t="s">
        <v>2547</v>
      </c>
      <c r="H125" s="3958">
        <v>0</v>
      </c>
      <c r="J125" s="3939"/>
      <c r="N125" s="3959">
        <v>72102000</v>
      </c>
      <c r="O125" s="3960" t="s">
        <v>2548</v>
      </c>
      <c r="P125" s="3961">
        <v>0</v>
      </c>
      <c r="R125" s="3939"/>
      <c r="V125" s="3959">
        <v>72102000</v>
      </c>
      <c r="W125" s="3960" t="s">
        <v>2548</v>
      </c>
      <c r="X125" s="3961">
        <v>-14000000</v>
      </c>
      <c r="Z125" s="3939"/>
      <c r="AD125" s="3959">
        <v>72102100</v>
      </c>
      <c r="AE125" s="3960" t="s">
        <v>2549</v>
      </c>
      <c r="AF125" s="3961">
        <v>0</v>
      </c>
    </row>
    <row r="126" spans="6:32">
      <c r="F126" s="3956">
        <v>72102000</v>
      </c>
      <c r="G126" s="3957" t="s">
        <v>2548</v>
      </c>
      <c r="H126" s="3958">
        <v>0</v>
      </c>
      <c r="J126" s="3939"/>
      <c r="N126" s="3959">
        <v>72102100</v>
      </c>
      <c r="O126" s="3960" t="s">
        <v>2549</v>
      </c>
      <c r="P126" s="3961">
        <v>0</v>
      </c>
      <c r="R126" s="3939"/>
      <c r="V126" s="3959">
        <v>72102100</v>
      </c>
      <c r="W126" s="3960" t="s">
        <v>2549</v>
      </c>
      <c r="X126" s="3961">
        <v>0</v>
      </c>
      <c r="Z126" s="3939"/>
      <c r="AD126" s="3959">
        <v>72102200</v>
      </c>
      <c r="AE126" s="3960" t="s">
        <v>2550</v>
      </c>
      <c r="AF126" s="3961">
        <v>0</v>
      </c>
    </row>
    <row r="127" spans="6:32">
      <c r="F127" s="3956">
        <v>72102100</v>
      </c>
      <c r="G127" s="3957" t="s">
        <v>2549</v>
      </c>
      <c r="H127" s="3958">
        <v>0</v>
      </c>
      <c r="J127" s="3939"/>
      <c r="N127" s="3959">
        <v>72102200</v>
      </c>
      <c r="O127" s="3960" t="s">
        <v>2550</v>
      </c>
      <c r="P127" s="3961">
        <v>0</v>
      </c>
      <c r="R127" s="3939"/>
      <c r="V127" s="3959">
        <v>72102200</v>
      </c>
      <c r="W127" s="3960" t="s">
        <v>2550</v>
      </c>
      <c r="X127" s="3961">
        <v>0</v>
      </c>
      <c r="Z127" s="3939"/>
      <c r="AD127" s="3959">
        <v>72102300</v>
      </c>
      <c r="AE127" s="3960" t="s">
        <v>2551</v>
      </c>
      <c r="AF127" s="3961">
        <v>0</v>
      </c>
    </row>
    <row r="128" spans="6:32">
      <c r="F128" s="3956">
        <v>72102200</v>
      </c>
      <c r="G128" s="3957" t="s">
        <v>2550</v>
      </c>
      <c r="H128" s="3958">
        <v>0</v>
      </c>
      <c r="J128" s="3939"/>
      <c r="N128" s="3959">
        <v>72102300</v>
      </c>
      <c r="O128" s="3960" t="s">
        <v>2551</v>
      </c>
      <c r="P128" s="3961">
        <v>0</v>
      </c>
      <c r="R128" s="3939"/>
      <c r="V128" s="3959">
        <v>72102300</v>
      </c>
      <c r="W128" s="3960" t="s">
        <v>2551</v>
      </c>
      <c r="X128" s="3961">
        <v>0</v>
      </c>
      <c r="Z128" s="3939"/>
      <c r="AD128" s="3959">
        <v>72102600</v>
      </c>
      <c r="AE128" s="3960" t="s">
        <v>231</v>
      </c>
      <c r="AF128" s="3961">
        <v>7317850</v>
      </c>
    </row>
    <row r="129" spans="6:32">
      <c r="F129" s="3956">
        <v>72102300</v>
      </c>
      <c r="G129" s="3957" t="s">
        <v>2551</v>
      </c>
      <c r="H129" s="3958">
        <v>0</v>
      </c>
      <c r="J129" s="3939"/>
      <c r="N129" s="3959">
        <v>72102600</v>
      </c>
      <c r="O129" s="3960" t="s">
        <v>231</v>
      </c>
      <c r="P129" s="3961">
        <v>22489709</v>
      </c>
      <c r="R129" s="3939"/>
      <c r="V129" s="3959">
        <v>72102600</v>
      </c>
      <c r="W129" s="3960" t="s">
        <v>231</v>
      </c>
      <c r="X129" s="3961">
        <v>25735188</v>
      </c>
      <c r="Z129" s="3939"/>
      <c r="AD129" s="3947">
        <v>72900000</v>
      </c>
      <c r="AE129" s="3948" t="s">
        <v>3868</v>
      </c>
      <c r="AF129" s="3949">
        <v>2746362598</v>
      </c>
    </row>
    <row r="130" spans="6:32">
      <c r="F130" s="3956">
        <v>72102600</v>
      </c>
      <c r="G130" s="3957" t="s">
        <v>231</v>
      </c>
      <c r="H130" s="3958">
        <v>5251806</v>
      </c>
      <c r="J130" s="3939"/>
      <c r="N130" s="3947">
        <v>72900000</v>
      </c>
      <c r="O130" s="3948" t="s">
        <v>3868</v>
      </c>
      <c r="P130" s="3949">
        <v>5514517439</v>
      </c>
      <c r="R130" s="3939"/>
      <c r="V130" s="3947">
        <v>72900000</v>
      </c>
      <c r="W130" s="3948" t="s">
        <v>3868</v>
      </c>
      <c r="X130" s="3949">
        <v>1802734422</v>
      </c>
      <c r="Z130" s="3939"/>
      <c r="AD130" s="3947">
        <v>73000000</v>
      </c>
      <c r="AE130" s="3948" t="s">
        <v>2553</v>
      </c>
      <c r="AF130" s="3949">
        <v>28643462</v>
      </c>
    </row>
    <row r="131" spans="6:32">
      <c r="F131" s="3944">
        <v>72900000</v>
      </c>
      <c r="G131" s="3945" t="s">
        <v>2552</v>
      </c>
      <c r="H131" s="3946">
        <v>3620923247</v>
      </c>
      <c r="J131" s="3939"/>
      <c r="N131" s="3947">
        <v>73000000</v>
      </c>
      <c r="O131" s="3948" t="s">
        <v>2553</v>
      </c>
      <c r="P131" s="3949">
        <v>62126748</v>
      </c>
      <c r="R131" s="3939"/>
      <c r="V131" s="3947">
        <v>73000000</v>
      </c>
      <c r="W131" s="3948" t="s">
        <v>2553</v>
      </c>
      <c r="X131" s="3949">
        <v>1403370</v>
      </c>
      <c r="Z131" s="3939"/>
      <c r="AD131" s="3953">
        <v>73100000</v>
      </c>
      <c r="AE131" s="3954" t="s">
        <v>147</v>
      </c>
      <c r="AF131" s="3955">
        <v>28643462</v>
      </c>
    </row>
    <row r="132" spans="6:32">
      <c r="F132" s="3944">
        <v>73000000</v>
      </c>
      <c r="G132" s="3945" t="s">
        <v>2553</v>
      </c>
      <c r="H132" s="3946">
        <v>55006167</v>
      </c>
      <c r="J132" s="3939"/>
      <c r="N132" s="3953">
        <v>73100000</v>
      </c>
      <c r="O132" s="3954" t="s">
        <v>147</v>
      </c>
      <c r="P132" s="3955">
        <v>62126748</v>
      </c>
      <c r="R132" s="3939"/>
      <c r="V132" s="3953">
        <v>73100000</v>
      </c>
      <c r="W132" s="3954" t="s">
        <v>147</v>
      </c>
      <c r="X132" s="3955">
        <v>1403370</v>
      </c>
      <c r="Z132" s="3939"/>
      <c r="AD132" s="3959">
        <v>73100100</v>
      </c>
      <c r="AE132" s="3960" t="s">
        <v>2224</v>
      </c>
      <c r="AF132" s="3961">
        <v>28643462</v>
      </c>
    </row>
    <row r="133" spans="6:32">
      <c r="F133" s="3950">
        <v>73100000</v>
      </c>
      <c r="G133" s="3951" t="s">
        <v>147</v>
      </c>
      <c r="H133" s="3952">
        <v>55006167</v>
      </c>
      <c r="J133" s="3939"/>
      <c r="N133" s="3959">
        <v>73100100</v>
      </c>
      <c r="O133" s="3960" t="s">
        <v>2224</v>
      </c>
      <c r="P133" s="3961">
        <v>664762</v>
      </c>
      <c r="R133" s="3939"/>
      <c r="V133" s="3959">
        <v>73100100</v>
      </c>
      <c r="W133" s="3960" t="s">
        <v>2224</v>
      </c>
      <c r="X133" s="3961">
        <v>1403370</v>
      </c>
      <c r="Z133" s="3939"/>
      <c r="AD133" s="3959">
        <v>73100200</v>
      </c>
      <c r="AE133" s="3960" t="s">
        <v>3869</v>
      </c>
      <c r="AF133" s="3961">
        <v>0</v>
      </c>
    </row>
    <row r="134" spans="6:32">
      <c r="F134" s="3956">
        <v>73100100</v>
      </c>
      <c r="G134" s="3957" t="s">
        <v>2224</v>
      </c>
      <c r="H134" s="3958">
        <v>107890</v>
      </c>
      <c r="J134" s="3939"/>
      <c r="N134" s="3959">
        <v>73100200</v>
      </c>
      <c r="O134" s="3960" t="s">
        <v>3869</v>
      </c>
      <c r="P134" s="3961">
        <v>0</v>
      </c>
      <c r="R134" s="3939"/>
      <c r="V134" s="3959">
        <v>73100200</v>
      </c>
      <c r="W134" s="3960" t="s">
        <v>3869</v>
      </c>
      <c r="X134" s="3961">
        <v>0</v>
      </c>
      <c r="Z134" s="3939"/>
      <c r="AD134" s="3959">
        <v>73100300</v>
      </c>
      <c r="AE134" s="3960" t="s">
        <v>2555</v>
      </c>
      <c r="AF134" s="3961">
        <v>0</v>
      </c>
    </row>
    <row r="135" spans="6:32">
      <c r="F135" s="3956">
        <v>73100200</v>
      </c>
      <c r="G135" s="3957" t="s">
        <v>2554</v>
      </c>
      <c r="H135" s="3958">
        <v>0</v>
      </c>
      <c r="J135" s="3939"/>
      <c r="N135" s="3959">
        <v>73100300</v>
      </c>
      <c r="O135" s="3960" t="s">
        <v>2555</v>
      </c>
      <c r="P135" s="3961">
        <v>0</v>
      </c>
      <c r="R135" s="3939"/>
      <c r="V135" s="3959">
        <v>73100300</v>
      </c>
      <c r="W135" s="3960" t="s">
        <v>2555</v>
      </c>
      <c r="X135" s="3961">
        <v>0</v>
      </c>
      <c r="Z135" s="3939"/>
      <c r="AD135" s="3959">
        <v>73100400</v>
      </c>
      <c r="AE135" s="3960" t="s">
        <v>2556</v>
      </c>
      <c r="AF135" s="3961">
        <v>0</v>
      </c>
    </row>
    <row r="136" spans="6:32">
      <c r="F136" s="3956">
        <v>73100300</v>
      </c>
      <c r="G136" s="3957" t="s">
        <v>2555</v>
      </c>
      <c r="H136" s="3958">
        <v>0</v>
      </c>
      <c r="J136" s="3939"/>
      <c r="N136" s="3959">
        <v>73100400</v>
      </c>
      <c r="O136" s="3960" t="s">
        <v>2556</v>
      </c>
      <c r="P136" s="3961">
        <v>0</v>
      </c>
      <c r="R136" s="3939"/>
      <c r="V136" s="3959">
        <v>73100400</v>
      </c>
      <c r="W136" s="3960" t="s">
        <v>2556</v>
      </c>
      <c r="X136" s="3961">
        <v>0</v>
      </c>
      <c r="Z136" s="3939"/>
      <c r="AD136" s="3959">
        <v>73100800</v>
      </c>
      <c r="AE136" s="3960" t="s">
        <v>3870</v>
      </c>
      <c r="AF136" s="3961">
        <v>0</v>
      </c>
    </row>
    <row r="137" spans="6:32">
      <c r="F137" s="3956">
        <v>73100400</v>
      </c>
      <c r="G137" s="3957" t="s">
        <v>2556</v>
      </c>
      <c r="H137" s="3958">
        <v>0</v>
      </c>
      <c r="J137" s="3939"/>
      <c r="N137" s="3959">
        <v>73100800</v>
      </c>
      <c r="O137" s="3960" t="s">
        <v>3870</v>
      </c>
      <c r="P137" s="3961">
        <v>0</v>
      </c>
      <c r="R137" s="3939"/>
      <c r="V137" s="3959">
        <v>73100800</v>
      </c>
      <c r="W137" s="3960" t="s">
        <v>3870</v>
      </c>
      <c r="X137" s="3961">
        <v>0</v>
      </c>
      <c r="Z137" s="3939"/>
      <c r="AD137" s="3959">
        <v>73100900</v>
      </c>
      <c r="AE137" s="3960" t="s">
        <v>3871</v>
      </c>
      <c r="AF137" s="3961">
        <v>0</v>
      </c>
    </row>
    <row r="138" spans="6:32">
      <c r="F138" s="3956">
        <v>73100800</v>
      </c>
      <c r="G138" s="3957" t="s">
        <v>2557</v>
      </c>
      <c r="H138" s="3958">
        <v>0</v>
      </c>
      <c r="J138" s="3939"/>
      <c r="N138" s="3959">
        <v>73100900</v>
      </c>
      <c r="O138" s="3960" t="s">
        <v>3871</v>
      </c>
      <c r="P138" s="3961">
        <v>0</v>
      </c>
      <c r="R138" s="3939"/>
      <c r="V138" s="3959">
        <v>73100900</v>
      </c>
      <c r="W138" s="3960" t="s">
        <v>3871</v>
      </c>
      <c r="X138" s="3961">
        <v>0</v>
      </c>
      <c r="Z138" s="3939"/>
      <c r="AD138" s="3959">
        <v>73100310</v>
      </c>
      <c r="AE138" s="3960" t="s">
        <v>2559</v>
      </c>
      <c r="AF138" s="3961">
        <v>0</v>
      </c>
    </row>
    <row r="139" spans="6:32">
      <c r="F139" s="3956">
        <v>73100900</v>
      </c>
      <c r="G139" s="3957" t="s">
        <v>2558</v>
      </c>
      <c r="H139" s="3958">
        <v>0</v>
      </c>
      <c r="J139" s="3939"/>
      <c r="N139" s="3959">
        <v>73100310</v>
      </c>
      <c r="O139" s="3960" t="s">
        <v>2559</v>
      </c>
      <c r="P139" s="3961">
        <v>0</v>
      </c>
      <c r="R139" s="3939"/>
      <c r="V139" s="3959">
        <v>73100310</v>
      </c>
      <c r="W139" s="3960" t="s">
        <v>2559</v>
      </c>
      <c r="X139" s="3961">
        <v>0</v>
      </c>
      <c r="Z139" s="3939"/>
      <c r="AD139" s="3959">
        <v>73101100</v>
      </c>
      <c r="AE139" s="3960" t="s">
        <v>2561</v>
      </c>
      <c r="AF139" s="3961">
        <v>0</v>
      </c>
    </row>
    <row r="140" spans="6:32">
      <c r="F140" s="3956">
        <v>73100310</v>
      </c>
      <c r="G140" s="3957" t="s">
        <v>2559</v>
      </c>
      <c r="H140" s="3958">
        <v>0</v>
      </c>
      <c r="J140" s="3939"/>
      <c r="N140" s="3959">
        <v>73101100</v>
      </c>
      <c r="O140" s="3960" t="s">
        <v>2561</v>
      </c>
      <c r="P140" s="3961">
        <v>0</v>
      </c>
      <c r="R140" s="3939"/>
      <c r="V140" s="3959">
        <v>73101100</v>
      </c>
      <c r="W140" s="3960" t="s">
        <v>2561</v>
      </c>
      <c r="X140" s="3961">
        <v>0</v>
      </c>
      <c r="Z140" s="3939"/>
      <c r="AD140" s="3959">
        <v>73101200</v>
      </c>
      <c r="AE140" s="3960" t="s">
        <v>2562</v>
      </c>
      <c r="AF140" s="3961">
        <v>0</v>
      </c>
    </row>
    <row r="141" spans="6:32">
      <c r="F141" s="3956">
        <v>73101100</v>
      </c>
      <c r="G141" s="3957" t="s">
        <v>2561</v>
      </c>
      <c r="H141" s="3958">
        <v>0</v>
      </c>
      <c r="J141" s="3939"/>
      <c r="N141" s="3959">
        <v>73101200</v>
      </c>
      <c r="O141" s="3960" t="s">
        <v>2562</v>
      </c>
      <c r="P141" s="3961">
        <v>0</v>
      </c>
      <c r="R141" s="3939"/>
      <c r="V141" s="3959">
        <v>73101200</v>
      </c>
      <c r="W141" s="3960" t="s">
        <v>2562</v>
      </c>
      <c r="X141" s="3961">
        <v>0</v>
      </c>
      <c r="Z141" s="3939"/>
      <c r="AD141" s="3959">
        <v>73101300</v>
      </c>
      <c r="AE141" s="3960" t="s">
        <v>3872</v>
      </c>
      <c r="AF141" s="3961">
        <v>0</v>
      </c>
    </row>
    <row r="142" spans="6:32">
      <c r="F142" s="3956">
        <v>73101200</v>
      </c>
      <c r="G142" s="3957" t="s">
        <v>2562</v>
      </c>
      <c r="H142" s="3958">
        <v>0</v>
      </c>
      <c r="J142" s="3939"/>
      <c r="N142" s="3959">
        <v>73101300</v>
      </c>
      <c r="O142" s="3960" t="s">
        <v>3872</v>
      </c>
      <c r="P142" s="3961">
        <v>0</v>
      </c>
      <c r="R142" s="3939"/>
      <c r="V142" s="3959">
        <v>73101300</v>
      </c>
      <c r="W142" s="3960" t="s">
        <v>3872</v>
      </c>
      <c r="X142" s="3961">
        <v>0</v>
      </c>
      <c r="Z142" s="3939"/>
      <c r="AD142" s="3959">
        <v>73101400</v>
      </c>
      <c r="AE142" s="3960" t="s">
        <v>3873</v>
      </c>
      <c r="AF142" s="3961">
        <v>0</v>
      </c>
    </row>
    <row r="143" spans="6:32">
      <c r="F143" s="3956">
        <v>73101300</v>
      </c>
      <c r="G143" s="3957" t="s">
        <v>2563</v>
      </c>
      <c r="H143" s="3958">
        <v>0</v>
      </c>
      <c r="J143" s="3939"/>
      <c r="N143" s="3959">
        <v>73101400</v>
      </c>
      <c r="O143" s="3960" t="s">
        <v>3873</v>
      </c>
      <c r="P143" s="3961">
        <v>0</v>
      </c>
      <c r="R143" s="3939"/>
      <c r="V143" s="3959">
        <v>73101400</v>
      </c>
      <c r="W143" s="3960" t="s">
        <v>3873</v>
      </c>
      <c r="X143" s="3961">
        <v>0</v>
      </c>
      <c r="Z143" s="3939"/>
      <c r="AD143" s="3959">
        <v>73101500</v>
      </c>
      <c r="AE143" s="3960" t="s">
        <v>3874</v>
      </c>
      <c r="AF143" s="3961">
        <v>0</v>
      </c>
    </row>
    <row r="144" spans="6:32">
      <c r="F144" s="3956">
        <v>73101400</v>
      </c>
      <c r="G144" s="3957" t="s">
        <v>2564</v>
      </c>
      <c r="H144" s="3958">
        <v>0</v>
      </c>
      <c r="J144" s="3939"/>
      <c r="N144" s="3959">
        <v>73101500</v>
      </c>
      <c r="O144" s="3960" t="s">
        <v>3874</v>
      </c>
      <c r="P144" s="3961">
        <v>0</v>
      </c>
      <c r="R144" s="3939"/>
      <c r="V144" s="3959">
        <v>73101500</v>
      </c>
      <c r="W144" s="3960" t="s">
        <v>3874</v>
      </c>
      <c r="X144" s="3961">
        <v>0</v>
      </c>
      <c r="Z144" s="3939"/>
      <c r="AD144" s="3959">
        <v>73101600</v>
      </c>
      <c r="AE144" s="3960" t="s">
        <v>2566</v>
      </c>
      <c r="AF144" s="3961">
        <v>0</v>
      </c>
    </row>
    <row r="145" spans="6:32">
      <c r="F145" s="3956">
        <v>73101500</v>
      </c>
      <c r="G145" s="3957" t="s">
        <v>2565</v>
      </c>
      <c r="H145" s="3958">
        <v>0</v>
      </c>
      <c r="J145" s="3939"/>
      <c r="N145" s="3959">
        <v>73101600</v>
      </c>
      <c r="O145" s="3960" t="s">
        <v>2566</v>
      </c>
      <c r="P145" s="3961">
        <v>0</v>
      </c>
      <c r="R145" s="3939"/>
      <c r="V145" s="3959">
        <v>73101600</v>
      </c>
      <c r="W145" s="3960" t="s">
        <v>2566</v>
      </c>
      <c r="X145" s="3961">
        <v>0</v>
      </c>
      <c r="Z145" s="3939"/>
      <c r="AD145" s="3959">
        <v>73101700</v>
      </c>
      <c r="AE145" s="3960" t="s">
        <v>2567</v>
      </c>
      <c r="AF145" s="3961">
        <v>0</v>
      </c>
    </row>
    <row r="146" spans="6:32">
      <c r="F146" s="3956">
        <v>73101600</v>
      </c>
      <c r="G146" s="3957" t="s">
        <v>2566</v>
      </c>
      <c r="H146" s="3958">
        <v>0</v>
      </c>
      <c r="J146" s="3939"/>
      <c r="N146" s="3959">
        <v>73101700</v>
      </c>
      <c r="O146" s="3960" t="s">
        <v>2567</v>
      </c>
      <c r="P146" s="3961">
        <v>0</v>
      </c>
      <c r="R146" s="3939"/>
      <c r="V146" s="3959">
        <v>73101700</v>
      </c>
      <c r="W146" s="3960" t="s">
        <v>2567</v>
      </c>
      <c r="X146" s="3961">
        <v>0</v>
      </c>
      <c r="Z146" s="3939"/>
      <c r="AD146" s="3959">
        <v>73101800</v>
      </c>
      <c r="AE146" s="3960" t="s">
        <v>2568</v>
      </c>
      <c r="AF146" s="3961">
        <v>0</v>
      </c>
    </row>
    <row r="147" spans="6:32">
      <c r="F147" s="3956">
        <v>73101700</v>
      </c>
      <c r="G147" s="3957" t="s">
        <v>2567</v>
      </c>
      <c r="H147" s="3958">
        <v>0</v>
      </c>
      <c r="J147" s="3939"/>
      <c r="N147" s="3959">
        <v>73101800</v>
      </c>
      <c r="O147" s="3960" t="s">
        <v>2568</v>
      </c>
      <c r="P147" s="3961">
        <v>61461986</v>
      </c>
      <c r="R147" s="3939"/>
      <c r="V147" s="3959">
        <v>73101800</v>
      </c>
      <c r="W147" s="3960" t="s">
        <v>2568</v>
      </c>
      <c r="X147" s="3961">
        <v>0</v>
      </c>
      <c r="Z147" s="3939"/>
      <c r="AD147" s="3959">
        <v>73101900</v>
      </c>
      <c r="AE147" s="3963" t="s">
        <v>2569</v>
      </c>
      <c r="AF147" s="3961">
        <v>0</v>
      </c>
    </row>
    <row r="148" spans="6:32">
      <c r="F148" s="3956">
        <v>73101800</v>
      </c>
      <c r="G148" s="3957" t="s">
        <v>2568</v>
      </c>
      <c r="H148" s="3958">
        <v>54898277</v>
      </c>
      <c r="J148" s="3939"/>
      <c r="N148" s="3959">
        <v>73101900</v>
      </c>
      <c r="O148" s="3963" t="s">
        <v>2569</v>
      </c>
      <c r="P148" s="3961">
        <v>0</v>
      </c>
      <c r="R148" s="3939"/>
      <c r="V148" s="3959">
        <v>73101900</v>
      </c>
      <c r="W148" s="3963" t="s">
        <v>2569</v>
      </c>
      <c r="X148" s="3961">
        <v>0</v>
      </c>
      <c r="Z148" s="3939"/>
      <c r="AD148" s="3953">
        <v>73110000</v>
      </c>
      <c r="AE148" s="3954" t="s">
        <v>2570</v>
      </c>
      <c r="AF148" s="3955">
        <v>0</v>
      </c>
    </row>
    <row r="149" spans="6:32">
      <c r="F149" s="3956">
        <v>73101900</v>
      </c>
      <c r="G149" s="3964" t="s">
        <v>2569</v>
      </c>
      <c r="H149" s="3958">
        <v>0</v>
      </c>
      <c r="J149" s="3939"/>
      <c r="N149" s="3953">
        <v>73110000</v>
      </c>
      <c r="O149" s="3954" t="s">
        <v>2570</v>
      </c>
      <c r="P149" s="3955">
        <v>0</v>
      </c>
      <c r="R149" s="3939"/>
      <c r="V149" s="3953">
        <v>73110000</v>
      </c>
      <c r="W149" s="3954" t="s">
        <v>2570</v>
      </c>
      <c r="X149" s="3955">
        <v>0</v>
      </c>
      <c r="Z149" s="3939"/>
      <c r="AD149" s="3959">
        <v>73110100</v>
      </c>
      <c r="AE149" s="3960" t="s">
        <v>2571</v>
      </c>
      <c r="AF149" s="3961">
        <v>0</v>
      </c>
    </row>
    <row r="150" spans="6:32">
      <c r="F150" s="3950">
        <v>73110000</v>
      </c>
      <c r="G150" s="3951" t="s">
        <v>2570</v>
      </c>
      <c r="H150" s="3952">
        <v>0</v>
      </c>
      <c r="J150" s="3939"/>
      <c r="N150" s="3959">
        <v>73110100</v>
      </c>
      <c r="O150" s="3960" t="s">
        <v>2571</v>
      </c>
      <c r="P150" s="3961">
        <v>0</v>
      </c>
      <c r="R150" s="3939"/>
      <c r="V150" s="3959">
        <v>73110100</v>
      </c>
      <c r="W150" s="3960" t="s">
        <v>2571</v>
      </c>
      <c r="X150" s="3961">
        <v>0</v>
      </c>
      <c r="Z150" s="3939"/>
      <c r="AD150" s="3959">
        <v>73110200</v>
      </c>
      <c r="AE150" s="3960" t="s">
        <v>3875</v>
      </c>
      <c r="AF150" s="3961">
        <v>0</v>
      </c>
    </row>
    <row r="151" spans="6:32">
      <c r="F151" s="3956">
        <v>73110100</v>
      </c>
      <c r="G151" s="3957" t="s">
        <v>2571</v>
      </c>
      <c r="H151" s="3958">
        <v>0</v>
      </c>
      <c r="J151" s="3939"/>
      <c r="N151" s="3959">
        <v>73110200</v>
      </c>
      <c r="O151" s="3960" t="s">
        <v>3875</v>
      </c>
      <c r="P151" s="3961">
        <v>0</v>
      </c>
      <c r="R151" s="3939"/>
      <c r="V151" s="3959">
        <v>73110200</v>
      </c>
      <c r="W151" s="3960" t="s">
        <v>3875</v>
      </c>
      <c r="X151" s="3961">
        <v>0</v>
      </c>
      <c r="Z151" s="3939"/>
      <c r="AD151" s="3959">
        <v>73110300</v>
      </c>
      <c r="AE151" s="3960" t="s">
        <v>3876</v>
      </c>
      <c r="AF151" s="3961">
        <v>0</v>
      </c>
    </row>
    <row r="152" spans="6:32">
      <c r="F152" s="3956">
        <v>73110200</v>
      </c>
      <c r="G152" s="3957" t="s">
        <v>2572</v>
      </c>
      <c r="H152" s="3958">
        <v>0</v>
      </c>
      <c r="J152" s="3939"/>
      <c r="N152" s="3959">
        <v>73110300</v>
      </c>
      <c r="O152" s="3960" t="s">
        <v>3876</v>
      </c>
      <c r="P152" s="3961">
        <v>0</v>
      </c>
      <c r="R152" s="3939"/>
      <c r="V152" s="3959">
        <v>73110300</v>
      </c>
      <c r="W152" s="3960" t="s">
        <v>3876</v>
      </c>
      <c r="X152" s="3961">
        <v>0</v>
      </c>
      <c r="Z152" s="3939"/>
      <c r="AD152" s="3959">
        <v>73110400</v>
      </c>
      <c r="AE152" s="3960" t="s">
        <v>3877</v>
      </c>
      <c r="AF152" s="3961">
        <v>0</v>
      </c>
    </row>
    <row r="153" spans="6:32">
      <c r="F153" s="3956">
        <v>73110300</v>
      </c>
      <c r="G153" s="3957" t="s">
        <v>2573</v>
      </c>
      <c r="H153" s="3958">
        <v>0</v>
      </c>
      <c r="J153" s="3939"/>
      <c r="N153" s="3959">
        <v>73110400</v>
      </c>
      <c r="O153" s="3960" t="s">
        <v>3877</v>
      </c>
      <c r="P153" s="3961">
        <v>0</v>
      </c>
      <c r="R153" s="3939"/>
      <c r="V153" s="3959">
        <v>73110400</v>
      </c>
      <c r="W153" s="3960" t="s">
        <v>3877</v>
      </c>
      <c r="X153" s="3961">
        <v>0</v>
      </c>
      <c r="Z153" s="3939"/>
      <c r="AD153" s="3959">
        <v>73110800</v>
      </c>
      <c r="AE153" s="3960" t="s">
        <v>3878</v>
      </c>
      <c r="AF153" s="3961">
        <v>0</v>
      </c>
    </row>
    <row r="154" spans="6:32">
      <c r="F154" s="3956">
        <v>73110400</v>
      </c>
      <c r="G154" s="3957" t="s">
        <v>2574</v>
      </c>
      <c r="H154" s="3958">
        <v>0</v>
      </c>
      <c r="J154" s="3939"/>
      <c r="N154" s="3959">
        <v>73110800</v>
      </c>
      <c r="O154" s="3960" t="s">
        <v>3878</v>
      </c>
      <c r="P154" s="3961">
        <v>0</v>
      </c>
      <c r="R154" s="3939"/>
      <c r="V154" s="3959">
        <v>73110800</v>
      </c>
      <c r="W154" s="3960" t="s">
        <v>3878</v>
      </c>
      <c r="X154" s="3961">
        <v>0</v>
      </c>
      <c r="Z154" s="3939"/>
      <c r="AD154" s="3959">
        <v>73110900</v>
      </c>
      <c r="AE154" s="3960" t="s">
        <v>3879</v>
      </c>
      <c r="AF154" s="3961">
        <v>0</v>
      </c>
    </row>
    <row r="155" spans="6:32">
      <c r="F155" s="3956">
        <v>73110800</v>
      </c>
      <c r="G155" s="3957" t="s">
        <v>2575</v>
      </c>
      <c r="H155" s="3958">
        <v>0</v>
      </c>
      <c r="J155" s="3939"/>
      <c r="N155" s="3959">
        <v>73110900</v>
      </c>
      <c r="O155" s="3960" t="s">
        <v>3879</v>
      </c>
      <c r="P155" s="3961">
        <v>0</v>
      </c>
      <c r="R155" s="3939"/>
      <c r="V155" s="3959">
        <v>73110900</v>
      </c>
      <c r="W155" s="3960" t="s">
        <v>3879</v>
      </c>
      <c r="X155" s="3961">
        <v>0</v>
      </c>
      <c r="Z155" s="3939"/>
      <c r="AD155" s="3959">
        <v>73111000</v>
      </c>
      <c r="AE155" s="3960" t="s">
        <v>2577</v>
      </c>
      <c r="AF155" s="3961">
        <v>0</v>
      </c>
    </row>
    <row r="156" spans="6:32">
      <c r="F156" s="3956">
        <v>73110900</v>
      </c>
      <c r="G156" s="3957" t="s">
        <v>2576</v>
      </c>
      <c r="H156" s="3958">
        <v>0</v>
      </c>
      <c r="J156" s="3939"/>
      <c r="N156" s="3959">
        <v>73111000</v>
      </c>
      <c r="O156" s="3960" t="s">
        <v>2577</v>
      </c>
      <c r="P156" s="3961">
        <v>0</v>
      </c>
      <c r="R156" s="3939"/>
      <c r="V156" s="3959">
        <v>73111000</v>
      </c>
      <c r="W156" s="3960" t="s">
        <v>2577</v>
      </c>
      <c r="X156" s="3961">
        <v>0</v>
      </c>
      <c r="Z156" s="3939"/>
      <c r="AD156" s="3959">
        <v>73111100</v>
      </c>
      <c r="AE156" s="3960" t="s">
        <v>3880</v>
      </c>
      <c r="AF156" s="3961">
        <v>0</v>
      </c>
    </row>
    <row r="157" spans="6:32">
      <c r="F157" s="3956">
        <v>73111000</v>
      </c>
      <c r="G157" s="3957" t="s">
        <v>2577</v>
      </c>
      <c r="H157" s="3958">
        <v>0</v>
      </c>
      <c r="J157" s="3939"/>
      <c r="N157" s="3959">
        <v>73111100</v>
      </c>
      <c r="O157" s="3960" t="s">
        <v>3880</v>
      </c>
      <c r="P157" s="3961">
        <v>0</v>
      </c>
      <c r="R157" s="3939"/>
      <c r="V157" s="3959">
        <v>73111100</v>
      </c>
      <c r="W157" s="3960" t="s">
        <v>3880</v>
      </c>
      <c r="X157" s="3961">
        <v>0</v>
      </c>
      <c r="Z157" s="3939"/>
      <c r="AD157" s="3959">
        <v>73111200</v>
      </c>
      <c r="AE157" s="3960" t="s">
        <v>2579</v>
      </c>
      <c r="AF157" s="3961">
        <v>0</v>
      </c>
    </row>
    <row r="158" spans="6:32">
      <c r="F158" s="3956">
        <v>73111100</v>
      </c>
      <c r="G158" s="3957" t="s">
        <v>2578</v>
      </c>
      <c r="H158" s="3958">
        <v>0</v>
      </c>
      <c r="J158" s="3939"/>
      <c r="N158" s="3959">
        <v>73111200</v>
      </c>
      <c r="O158" s="3960" t="s">
        <v>2579</v>
      </c>
      <c r="P158" s="3961">
        <v>0</v>
      </c>
      <c r="R158" s="3939"/>
      <c r="V158" s="3959">
        <v>73111200</v>
      </c>
      <c r="W158" s="3960" t="s">
        <v>2579</v>
      </c>
      <c r="X158" s="3961">
        <v>0</v>
      </c>
      <c r="Z158" s="3939"/>
      <c r="AD158" s="3959">
        <v>73111300</v>
      </c>
      <c r="AE158" s="3960" t="s">
        <v>2580</v>
      </c>
      <c r="AF158" s="3961">
        <v>0</v>
      </c>
    </row>
    <row r="159" spans="6:32">
      <c r="F159" s="3956">
        <v>73111200</v>
      </c>
      <c r="G159" s="3957" t="s">
        <v>2579</v>
      </c>
      <c r="H159" s="3958">
        <v>0</v>
      </c>
      <c r="J159" s="3939"/>
      <c r="N159" s="3959">
        <v>73111300</v>
      </c>
      <c r="O159" s="3960" t="s">
        <v>2580</v>
      </c>
      <c r="P159" s="3961">
        <v>0</v>
      </c>
      <c r="R159" s="3939"/>
      <c r="V159" s="3959">
        <v>73111300</v>
      </c>
      <c r="W159" s="3960" t="s">
        <v>2580</v>
      </c>
      <c r="X159" s="3961">
        <v>0</v>
      </c>
      <c r="Z159" s="3939"/>
      <c r="AD159" s="3959">
        <v>73119900</v>
      </c>
      <c r="AE159" s="3960" t="s">
        <v>2581</v>
      </c>
      <c r="AF159" s="3961">
        <v>0</v>
      </c>
    </row>
    <row r="160" spans="6:32">
      <c r="F160" s="3956">
        <v>73111300</v>
      </c>
      <c r="G160" s="3957" t="s">
        <v>2580</v>
      </c>
      <c r="H160" s="3958">
        <v>0</v>
      </c>
      <c r="J160" s="3939"/>
      <c r="N160" s="3959">
        <v>73119900</v>
      </c>
      <c r="O160" s="3960" t="s">
        <v>2581</v>
      </c>
      <c r="P160" s="3961">
        <v>0</v>
      </c>
      <c r="R160" s="3939"/>
      <c r="V160" s="3959">
        <v>73119900</v>
      </c>
      <c r="W160" s="3960" t="s">
        <v>2581</v>
      </c>
      <c r="X160" s="3961">
        <v>0</v>
      </c>
      <c r="Z160" s="3939"/>
      <c r="AD160" s="3953">
        <v>73990000</v>
      </c>
      <c r="AE160" s="3954" t="s">
        <v>2582</v>
      </c>
      <c r="AF160" s="3955">
        <v>0</v>
      </c>
    </row>
    <row r="161" spans="6:32">
      <c r="F161" s="3956">
        <v>73119900</v>
      </c>
      <c r="G161" s="3957" t="s">
        <v>2581</v>
      </c>
      <c r="H161" s="3958">
        <v>0</v>
      </c>
      <c r="J161" s="3939"/>
      <c r="N161" s="3953">
        <v>73990000</v>
      </c>
      <c r="O161" s="3954" t="s">
        <v>2582</v>
      </c>
      <c r="P161" s="3955">
        <v>0</v>
      </c>
      <c r="R161" s="3939"/>
      <c r="V161" s="3953">
        <v>73990000</v>
      </c>
      <c r="W161" s="3954" t="s">
        <v>2582</v>
      </c>
      <c r="X161" s="3955">
        <v>0</v>
      </c>
      <c r="Z161" s="3939"/>
      <c r="AD161" s="3959">
        <v>73990100</v>
      </c>
      <c r="AE161" s="3960" t="s">
        <v>2582</v>
      </c>
      <c r="AF161" s="3961">
        <v>0</v>
      </c>
    </row>
    <row r="162" spans="6:32">
      <c r="F162" s="3950">
        <v>73990000</v>
      </c>
      <c r="G162" s="3951" t="s">
        <v>2582</v>
      </c>
      <c r="H162" s="3952">
        <v>0</v>
      </c>
      <c r="J162" s="3939"/>
      <c r="N162" s="3959">
        <v>73990100</v>
      </c>
      <c r="O162" s="3960" t="s">
        <v>2582</v>
      </c>
      <c r="P162" s="3961">
        <v>0</v>
      </c>
      <c r="R162" s="3939"/>
      <c r="V162" s="3959">
        <v>73990100</v>
      </c>
      <c r="W162" s="3960" t="s">
        <v>2582</v>
      </c>
      <c r="X162" s="3961">
        <v>0</v>
      </c>
      <c r="Z162" s="3939"/>
      <c r="AD162" s="3947">
        <v>74000000</v>
      </c>
      <c r="AE162" s="3948" t="s">
        <v>2583</v>
      </c>
      <c r="AF162" s="3949">
        <v>502253691</v>
      </c>
    </row>
    <row r="163" spans="6:32">
      <c r="F163" s="3956">
        <v>73990100</v>
      </c>
      <c r="G163" s="3957" t="s">
        <v>2582</v>
      </c>
      <c r="H163" s="3958">
        <v>0</v>
      </c>
      <c r="J163" s="3939"/>
      <c r="N163" s="3947">
        <v>74000000</v>
      </c>
      <c r="O163" s="3948" t="s">
        <v>2583</v>
      </c>
      <c r="P163" s="3949">
        <v>308844297</v>
      </c>
      <c r="R163" s="3939"/>
      <c r="V163" s="3947">
        <v>74000000</v>
      </c>
      <c r="W163" s="3948" t="s">
        <v>2583</v>
      </c>
      <c r="X163" s="3949">
        <v>363393602</v>
      </c>
      <c r="Z163" s="3939"/>
      <c r="AD163" s="3953">
        <v>74100000</v>
      </c>
      <c r="AE163" s="3954" t="s">
        <v>148</v>
      </c>
      <c r="AF163" s="3955">
        <v>502253691</v>
      </c>
    </row>
    <row r="164" spans="6:32">
      <c r="F164" s="3944">
        <v>74000000</v>
      </c>
      <c r="G164" s="3945" t="s">
        <v>2583</v>
      </c>
      <c r="H164" s="3946">
        <v>210624063</v>
      </c>
      <c r="J164" s="3939"/>
      <c r="N164" s="3953">
        <v>74100000</v>
      </c>
      <c r="O164" s="3954" t="s">
        <v>148</v>
      </c>
      <c r="P164" s="3955">
        <v>308844297</v>
      </c>
      <c r="R164" s="3939"/>
      <c r="V164" s="3953">
        <v>74100000</v>
      </c>
      <c r="W164" s="3954" t="s">
        <v>148</v>
      </c>
      <c r="X164" s="3955">
        <v>363393602</v>
      </c>
      <c r="Z164" s="3939"/>
      <c r="AD164" s="3959">
        <v>74100100</v>
      </c>
      <c r="AE164" s="3960" t="s">
        <v>2584</v>
      </c>
      <c r="AF164" s="3961">
        <v>502253691</v>
      </c>
    </row>
    <row r="165" spans="6:32">
      <c r="F165" s="3950">
        <v>74100000</v>
      </c>
      <c r="G165" s="3951" t="s">
        <v>148</v>
      </c>
      <c r="H165" s="3952">
        <v>210624063</v>
      </c>
      <c r="J165" s="3939"/>
      <c r="N165" s="3959">
        <v>74100100</v>
      </c>
      <c r="O165" s="3960" t="s">
        <v>2584</v>
      </c>
      <c r="P165" s="3961">
        <v>305166565</v>
      </c>
      <c r="R165" s="3939"/>
      <c r="V165" s="3959">
        <v>74100100</v>
      </c>
      <c r="W165" s="3960" t="s">
        <v>2584</v>
      </c>
      <c r="X165" s="3961">
        <v>359977255</v>
      </c>
      <c r="Z165" s="3939"/>
      <c r="AD165" s="3959">
        <v>74100200</v>
      </c>
      <c r="AE165" s="3960" t="s">
        <v>2585</v>
      </c>
      <c r="AF165" s="3961">
        <v>0</v>
      </c>
    </row>
    <row r="166" spans="6:32">
      <c r="F166" s="3956">
        <v>74100100</v>
      </c>
      <c r="G166" s="3957" t="s">
        <v>2584</v>
      </c>
      <c r="H166" s="3958">
        <v>205856291</v>
      </c>
      <c r="J166" s="3939"/>
      <c r="N166" s="3959">
        <v>74100150</v>
      </c>
      <c r="O166" s="3960" t="s">
        <v>2587</v>
      </c>
      <c r="P166" s="3961">
        <v>3677732</v>
      </c>
      <c r="R166" s="3939"/>
      <c r="V166" s="3959">
        <v>74100150</v>
      </c>
      <c r="W166" s="3960" t="s">
        <v>2587</v>
      </c>
      <c r="X166" s="3961">
        <v>3416347</v>
      </c>
      <c r="Z166" s="3939"/>
      <c r="AD166" s="3959">
        <v>74100300</v>
      </c>
      <c r="AE166" s="3960" t="s">
        <v>2586</v>
      </c>
      <c r="AF166" s="3961">
        <v>0</v>
      </c>
    </row>
    <row r="167" spans="6:32">
      <c r="F167" s="3956">
        <v>74100150</v>
      </c>
      <c r="G167" s="3957" t="s">
        <v>2587</v>
      </c>
      <c r="H167" s="3958">
        <v>4767772</v>
      </c>
      <c r="J167" s="3939"/>
      <c r="N167" s="3959">
        <v>74100200</v>
      </c>
      <c r="O167" s="3960" t="s">
        <v>2585</v>
      </c>
      <c r="P167" s="3961">
        <v>0</v>
      </c>
      <c r="R167" s="3939"/>
      <c r="V167" s="3959">
        <v>74100200</v>
      </c>
      <c r="W167" s="3960" t="s">
        <v>2585</v>
      </c>
      <c r="X167" s="3961">
        <v>0</v>
      </c>
      <c r="Z167" s="3939"/>
      <c r="AD167" s="3959">
        <v>74100400</v>
      </c>
      <c r="AE167" s="3960" t="s">
        <v>2588</v>
      </c>
      <c r="AF167" s="3961">
        <v>0</v>
      </c>
    </row>
    <row r="168" spans="6:32">
      <c r="F168" s="3956">
        <v>74100200</v>
      </c>
      <c r="G168" s="3957" t="s">
        <v>2585</v>
      </c>
      <c r="H168" s="3958">
        <v>0</v>
      </c>
      <c r="J168" s="3939"/>
      <c r="N168" s="3959">
        <v>74100300</v>
      </c>
      <c r="O168" s="3960" t="s">
        <v>2586</v>
      </c>
      <c r="P168" s="3961">
        <v>0</v>
      </c>
      <c r="R168" s="3939"/>
      <c r="V168" s="3959">
        <v>74100300</v>
      </c>
      <c r="W168" s="3960" t="s">
        <v>2586</v>
      </c>
      <c r="X168" s="3961">
        <v>0</v>
      </c>
      <c r="Z168" s="3939"/>
      <c r="AD168" s="3959">
        <v>74100800</v>
      </c>
      <c r="AE168" s="3960" t="s">
        <v>3881</v>
      </c>
      <c r="AF168" s="3961">
        <v>0</v>
      </c>
    </row>
    <row r="169" spans="6:32">
      <c r="F169" s="3956">
        <v>74100300</v>
      </c>
      <c r="G169" s="3957" t="s">
        <v>2586</v>
      </c>
      <c r="H169" s="3958">
        <v>0</v>
      </c>
      <c r="J169" s="3939"/>
      <c r="N169" s="3959">
        <v>74100400</v>
      </c>
      <c r="O169" s="3960" t="s">
        <v>2588</v>
      </c>
      <c r="P169" s="3961">
        <v>0</v>
      </c>
      <c r="R169" s="3939"/>
      <c r="V169" s="3959">
        <v>74100400</v>
      </c>
      <c r="W169" s="3960" t="s">
        <v>2588</v>
      </c>
      <c r="X169" s="3961">
        <v>0</v>
      </c>
      <c r="Z169" s="3939"/>
      <c r="AD169" s="3959">
        <v>74100900</v>
      </c>
      <c r="AE169" s="3960" t="s">
        <v>2590</v>
      </c>
      <c r="AF169" s="3961">
        <v>0</v>
      </c>
    </row>
    <row r="170" spans="6:32">
      <c r="F170" s="3956">
        <v>74100400</v>
      </c>
      <c r="G170" s="3957" t="s">
        <v>2588</v>
      </c>
      <c r="H170" s="3958">
        <v>0</v>
      </c>
      <c r="J170" s="3939"/>
      <c r="N170" s="3959">
        <v>74100800</v>
      </c>
      <c r="O170" s="3960" t="s">
        <v>3881</v>
      </c>
      <c r="P170" s="3961">
        <v>0</v>
      </c>
      <c r="R170" s="3939"/>
      <c r="V170" s="3959">
        <v>74100800</v>
      </c>
      <c r="W170" s="3960" t="s">
        <v>3881</v>
      </c>
      <c r="X170" s="3961">
        <v>0</v>
      </c>
      <c r="Z170" s="3939"/>
      <c r="AD170" s="3959">
        <v>74101000</v>
      </c>
      <c r="AE170" s="3960" t="s">
        <v>2591</v>
      </c>
      <c r="AF170" s="3961">
        <v>0</v>
      </c>
    </row>
    <row r="171" spans="6:32">
      <c r="F171" s="3956">
        <v>74100800</v>
      </c>
      <c r="G171" s="3957" t="s">
        <v>2589</v>
      </c>
      <c r="H171" s="3958">
        <v>0</v>
      </c>
      <c r="J171" s="3939"/>
      <c r="N171" s="3959">
        <v>74100900</v>
      </c>
      <c r="O171" s="3960" t="s">
        <v>2590</v>
      </c>
      <c r="P171" s="3961">
        <v>0</v>
      </c>
      <c r="R171" s="3939"/>
      <c r="V171" s="3959">
        <v>74100900</v>
      </c>
      <c r="W171" s="3960" t="s">
        <v>2590</v>
      </c>
      <c r="X171" s="3961">
        <v>0</v>
      </c>
      <c r="Z171" s="3939"/>
      <c r="AD171" s="3959">
        <v>74100500</v>
      </c>
      <c r="AE171" s="3960" t="s">
        <v>2593</v>
      </c>
      <c r="AF171" s="3961">
        <v>0</v>
      </c>
    </row>
    <row r="172" spans="6:32">
      <c r="F172" s="3956">
        <v>74100900</v>
      </c>
      <c r="G172" s="3957" t="s">
        <v>2590</v>
      </c>
      <c r="H172" s="3958">
        <v>0</v>
      </c>
      <c r="J172" s="3939"/>
      <c r="N172" s="3959">
        <v>74101000</v>
      </c>
      <c r="O172" s="3960" t="s">
        <v>2591</v>
      </c>
      <c r="P172" s="3961">
        <v>0</v>
      </c>
      <c r="R172" s="3939"/>
      <c r="V172" s="3959">
        <v>74101000</v>
      </c>
      <c r="W172" s="3960" t="s">
        <v>2591</v>
      </c>
      <c r="X172" s="3961">
        <v>0</v>
      </c>
      <c r="Z172" s="3939"/>
      <c r="AD172" s="3959">
        <v>74101200</v>
      </c>
      <c r="AE172" s="3960" t="s">
        <v>2594</v>
      </c>
      <c r="AF172" s="3961">
        <v>0</v>
      </c>
    </row>
    <row r="173" spans="6:32">
      <c r="F173" s="3956">
        <v>74101000</v>
      </c>
      <c r="G173" s="3957" t="s">
        <v>2591</v>
      </c>
      <c r="H173" s="3958">
        <v>0</v>
      </c>
      <c r="J173" s="3939"/>
      <c r="N173" s="3959">
        <v>74100500</v>
      </c>
      <c r="O173" s="3960" t="s">
        <v>2593</v>
      </c>
      <c r="P173" s="3961">
        <v>0</v>
      </c>
      <c r="R173" s="3939"/>
      <c r="V173" s="3959">
        <v>74100500</v>
      </c>
      <c r="W173" s="3960" t="s">
        <v>2593</v>
      </c>
      <c r="X173" s="3961">
        <v>0</v>
      </c>
      <c r="Z173" s="3939"/>
      <c r="AD173" s="3959">
        <v>74101300</v>
      </c>
      <c r="AE173" s="3960" t="s">
        <v>2595</v>
      </c>
      <c r="AF173" s="3961">
        <v>0</v>
      </c>
    </row>
    <row r="174" spans="6:32">
      <c r="F174" s="3956">
        <v>74100500</v>
      </c>
      <c r="G174" s="3957" t="s">
        <v>2593</v>
      </c>
      <c r="H174" s="3958">
        <v>0</v>
      </c>
      <c r="J174" s="3939"/>
      <c r="N174" s="3959">
        <v>74101200</v>
      </c>
      <c r="O174" s="3960" t="s">
        <v>2594</v>
      </c>
      <c r="P174" s="3961">
        <v>0</v>
      </c>
      <c r="R174" s="3939"/>
      <c r="V174" s="3959">
        <v>74101200</v>
      </c>
      <c r="W174" s="3960" t="s">
        <v>2594</v>
      </c>
      <c r="X174" s="3961">
        <v>0</v>
      </c>
      <c r="Z174" s="3939"/>
      <c r="AD174" s="3959">
        <v>74101400</v>
      </c>
      <c r="AE174" s="3960" t="s">
        <v>2596</v>
      </c>
      <c r="AF174" s="3961">
        <v>0</v>
      </c>
    </row>
    <row r="175" spans="6:32">
      <c r="F175" s="3956">
        <v>74101200</v>
      </c>
      <c r="G175" s="3957" t="s">
        <v>2594</v>
      </c>
      <c r="H175" s="3958">
        <v>0</v>
      </c>
      <c r="J175" s="3939"/>
      <c r="N175" s="3959">
        <v>74101300</v>
      </c>
      <c r="O175" s="3960" t="s">
        <v>2595</v>
      </c>
      <c r="P175" s="3961">
        <v>0</v>
      </c>
      <c r="R175" s="3939"/>
      <c r="V175" s="3959">
        <v>74101300</v>
      </c>
      <c r="W175" s="3960" t="s">
        <v>2595</v>
      </c>
      <c r="X175" s="3961">
        <v>0</v>
      </c>
      <c r="Z175" s="3939"/>
      <c r="AD175" s="3959">
        <v>74101500</v>
      </c>
      <c r="AE175" s="3960" t="s">
        <v>2597</v>
      </c>
      <c r="AF175" s="3961">
        <v>0</v>
      </c>
    </row>
    <row r="176" spans="6:32">
      <c r="F176" s="3956">
        <v>74101300</v>
      </c>
      <c r="G176" s="3957" t="s">
        <v>2595</v>
      </c>
      <c r="H176" s="3958">
        <v>0</v>
      </c>
      <c r="J176" s="3939"/>
      <c r="N176" s="3959">
        <v>74101400</v>
      </c>
      <c r="O176" s="3960" t="s">
        <v>2596</v>
      </c>
      <c r="P176" s="3961">
        <v>0</v>
      </c>
      <c r="R176" s="3939"/>
      <c r="V176" s="3959">
        <v>74101400</v>
      </c>
      <c r="W176" s="3960" t="s">
        <v>2596</v>
      </c>
      <c r="X176" s="3961">
        <v>0</v>
      </c>
      <c r="Z176" s="3939"/>
      <c r="AD176" s="3959">
        <v>74101600</v>
      </c>
      <c r="AE176" s="3960" t="s">
        <v>3882</v>
      </c>
      <c r="AF176" s="3961">
        <v>0</v>
      </c>
    </row>
    <row r="177" spans="6:32">
      <c r="F177" s="3956">
        <v>74101400</v>
      </c>
      <c r="G177" s="3957" t="s">
        <v>2596</v>
      </c>
      <c r="H177" s="3958">
        <v>0</v>
      </c>
      <c r="J177" s="3939"/>
      <c r="N177" s="3959">
        <v>74101500</v>
      </c>
      <c r="O177" s="3960" t="s">
        <v>2597</v>
      </c>
      <c r="P177" s="3961">
        <v>0</v>
      </c>
      <c r="R177" s="3939"/>
      <c r="V177" s="3959">
        <v>74101500</v>
      </c>
      <c r="W177" s="3960" t="s">
        <v>2597</v>
      </c>
      <c r="X177" s="3961">
        <v>0</v>
      </c>
      <c r="Z177" s="3939"/>
      <c r="AD177" s="3959">
        <v>74101700</v>
      </c>
      <c r="AE177" s="3960" t="s">
        <v>3883</v>
      </c>
      <c r="AF177" s="3961">
        <v>0</v>
      </c>
    </row>
    <row r="178" spans="6:32">
      <c r="F178" s="3956">
        <v>74101500</v>
      </c>
      <c r="G178" s="3957" t="s">
        <v>2597</v>
      </c>
      <c r="H178" s="3958">
        <v>0</v>
      </c>
      <c r="J178" s="3939"/>
      <c r="N178" s="3959">
        <v>74101600</v>
      </c>
      <c r="O178" s="3960" t="s">
        <v>3882</v>
      </c>
      <c r="P178" s="3961">
        <v>0</v>
      </c>
      <c r="R178" s="3939"/>
      <c r="V178" s="3959">
        <v>74101600</v>
      </c>
      <c r="W178" s="3960" t="s">
        <v>3882</v>
      </c>
      <c r="X178" s="3961">
        <v>0</v>
      </c>
      <c r="Z178" s="3939"/>
      <c r="AD178" s="3953">
        <v>74110000</v>
      </c>
      <c r="AE178" s="3954" t="s">
        <v>2600</v>
      </c>
      <c r="AF178" s="3955">
        <v>0</v>
      </c>
    </row>
    <row r="179" spans="6:32">
      <c r="F179" s="3956">
        <v>74101600</v>
      </c>
      <c r="G179" s="3957" t="s">
        <v>2598</v>
      </c>
      <c r="H179" s="3958">
        <v>0</v>
      </c>
      <c r="J179" s="3939"/>
      <c r="N179" s="3959">
        <v>74101700</v>
      </c>
      <c r="O179" s="3960" t="s">
        <v>3883</v>
      </c>
      <c r="P179" s="3961">
        <v>0</v>
      </c>
      <c r="R179" s="3939"/>
      <c r="V179" s="3959">
        <v>74101700</v>
      </c>
      <c r="W179" s="3960" t="s">
        <v>3883</v>
      </c>
      <c r="X179" s="3961">
        <v>0</v>
      </c>
      <c r="Z179" s="3939"/>
      <c r="AD179" s="3959">
        <v>74110100</v>
      </c>
      <c r="AE179" s="3960" t="s">
        <v>2601</v>
      </c>
      <c r="AF179" s="3961">
        <v>0</v>
      </c>
    </row>
    <row r="180" spans="6:32">
      <c r="F180" s="3956">
        <v>74101700</v>
      </c>
      <c r="G180" s="3957" t="s">
        <v>2599</v>
      </c>
      <c r="H180" s="3958">
        <v>0</v>
      </c>
      <c r="J180" s="3939"/>
      <c r="N180" s="3953">
        <v>74110000</v>
      </c>
      <c r="O180" s="3954" t="s">
        <v>2600</v>
      </c>
      <c r="P180" s="3955">
        <v>0</v>
      </c>
      <c r="R180" s="3939"/>
      <c r="V180" s="3953">
        <v>74110000</v>
      </c>
      <c r="W180" s="3954" t="s">
        <v>2600</v>
      </c>
      <c r="X180" s="3955">
        <v>0</v>
      </c>
      <c r="Z180" s="3939"/>
      <c r="AD180" s="3959">
        <v>74110200</v>
      </c>
      <c r="AE180" s="3960" t="s">
        <v>3884</v>
      </c>
      <c r="AF180" s="3961">
        <v>0</v>
      </c>
    </row>
    <row r="181" spans="6:32">
      <c r="F181" s="3950">
        <v>74110000</v>
      </c>
      <c r="G181" s="3951" t="s">
        <v>2600</v>
      </c>
      <c r="H181" s="3952">
        <v>0</v>
      </c>
      <c r="J181" s="3939"/>
      <c r="N181" s="3959">
        <v>74110100</v>
      </c>
      <c r="O181" s="3960" t="s">
        <v>2601</v>
      </c>
      <c r="P181" s="3961">
        <v>0</v>
      </c>
      <c r="R181" s="3939"/>
      <c r="V181" s="3959">
        <v>74110100</v>
      </c>
      <c r="W181" s="3960" t="s">
        <v>2601</v>
      </c>
      <c r="X181" s="3961">
        <v>0</v>
      </c>
      <c r="Z181" s="3939"/>
      <c r="AD181" s="3959">
        <v>74110300</v>
      </c>
      <c r="AE181" s="3960" t="s">
        <v>3885</v>
      </c>
      <c r="AF181" s="3961">
        <v>0</v>
      </c>
    </row>
    <row r="182" spans="6:32">
      <c r="F182" s="3956">
        <v>74110100</v>
      </c>
      <c r="G182" s="3957" t="s">
        <v>2601</v>
      </c>
      <c r="H182" s="3958">
        <v>0</v>
      </c>
      <c r="J182" s="3939"/>
      <c r="N182" s="3959">
        <v>74110200</v>
      </c>
      <c r="O182" s="3960" t="s">
        <v>3884</v>
      </c>
      <c r="P182" s="3961">
        <v>0</v>
      </c>
      <c r="R182" s="3939"/>
      <c r="V182" s="3959">
        <v>74110200</v>
      </c>
      <c r="W182" s="3960" t="s">
        <v>3884</v>
      </c>
      <c r="X182" s="3961">
        <v>0</v>
      </c>
      <c r="Z182" s="3939"/>
      <c r="AD182" s="3959">
        <v>74110400</v>
      </c>
      <c r="AE182" s="3960" t="s">
        <v>3886</v>
      </c>
      <c r="AF182" s="3961">
        <v>0</v>
      </c>
    </row>
    <row r="183" spans="6:32">
      <c r="F183" s="3956">
        <v>74110200</v>
      </c>
      <c r="G183" s="3957" t="s">
        <v>2602</v>
      </c>
      <c r="H183" s="3958">
        <v>0</v>
      </c>
      <c r="J183" s="3939"/>
      <c r="N183" s="3959">
        <v>74110300</v>
      </c>
      <c r="O183" s="3960" t="s">
        <v>3885</v>
      </c>
      <c r="P183" s="3961">
        <v>0</v>
      </c>
      <c r="R183" s="3939"/>
      <c r="V183" s="3959">
        <v>74110300</v>
      </c>
      <c r="W183" s="3960" t="s">
        <v>3885</v>
      </c>
      <c r="X183" s="3961">
        <v>0</v>
      </c>
      <c r="Z183" s="3939"/>
      <c r="AD183" s="3959">
        <v>74110800</v>
      </c>
      <c r="AE183" s="3960" t="s">
        <v>3887</v>
      </c>
      <c r="AF183" s="3961">
        <v>0</v>
      </c>
    </row>
    <row r="184" spans="6:32">
      <c r="F184" s="3956">
        <v>74110300</v>
      </c>
      <c r="G184" s="3957" t="s">
        <v>2603</v>
      </c>
      <c r="H184" s="3958">
        <v>0</v>
      </c>
      <c r="J184" s="3939"/>
      <c r="N184" s="3959">
        <v>74110400</v>
      </c>
      <c r="O184" s="3960" t="s">
        <v>3886</v>
      </c>
      <c r="P184" s="3961">
        <v>0</v>
      </c>
      <c r="R184" s="3939"/>
      <c r="V184" s="3959">
        <v>74110400</v>
      </c>
      <c r="W184" s="3960" t="s">
        <v>3886</v>
      </c>
      <c r="X184" s="3961">
        <v>0</v>
      </c>
      <c r="Z184" s="3939"/>
      <c r="AD184" s="3959">
        <v>74110900</v>
      </c>
      <c r="AE184" s="3960" t="s">
        <v>3888</v>
      </c>
      <c r="AF184" s="3961">
        <v>0</v>
      </c>
    </row>
    <row r="185" spans="6:32">
      <c r="F185" s="3956">
        <v>74110400</v>
      </c>
      <c r="G185" s="3957" t="s">
        <v>2604</v>
      </c>
      <c r="H185" s="3958">
        <v>0</v>
      </c>
      <c r="J185" s="3939"/>
      <c r="N185" s="3959">
        <v>74110800</v>
      </c>
      <c r="O185" s="3960" t="s">
        <v>3887</v>
      </c>
      <c r="P185" s="3961">
        <v>0</v>
      </c>
      <c r="R185" s="3939"/>
      <c r="V185" s="3959">
        <v>74110800</v>
      </c>
      <c r="W185" s="3960" t="s">
        <v>3887</v>
      </c>
      <c r="X185" s="3961">
        <v>0</v>
      </c>
      <c r="Z185" s="3939"/>
      <c r="AD185" s="3959">
        <v>74111000</v>
      </c>
      <c r="AE185" s="3960" t="s">
        <v>2607</v>
      </c>
      <c r="AF185" s="3961">
        <v>0</v>
      </c>
    </row>
    <row r="186" spans="6:32">
      <c r="F186" s="3956">
        <v>74110800</v>
      </c>
      <c r="G186" s="3957" t="s">
        <v>2605</v>
      </c>
      <c r="H186" s="3958">
        <v>0</v>
      </c>
      <c r="J186" s="3939"/>
      <c r="N186" s="3959">
        <v>74110900</v>
      </c>
      <c r="O186" s="3960" t="s">
        <v>3888</v>
      </c>
      <c r="P186" s="3961">
        <v>0</v>
      </c>
      <c r="R186" s="3939"/>
      <c r="V186" s="3959">
        <v>74110900</v>
      </c>
      <c r="W186" s="3960" t="s">
        <v>3888</v>
      </c>
      <c r="X186" s="3961">
        <v>0</v>
      </c>
      <c r="Z186" s="3939"/>
      <c r="AD186" s="3959">
        <v>74111100</v>
      </c>
      <c r="AE186" s="3960" t="s">
        <v>2608</v>
      </c>
      <c r="AF186" s="3961">
        <v>0</v>
      </c>
    </row>
    <row r="187" spans="6:32">
      <c r="F187" s="3956">
        <v>74110900</v>
      </c>
      <c r="G187" s="3957" t="s">
        <v>2606</v>
      </c>
      <c r="H187" s="3958">
        <v>0</v>
      </c>
      <c r="J187" s="3939"/>
      <c r="N187" s="3959">
        <v>74111000</v>
      </c>
      <c r="O187" s="3960" t="s">
        <v>2607</v>
      </c>
      <c r="P187" s="3961">
        <v>0</v>
      </c>
      <c r="R187" s="3939"/>
      <c r="V187" s="3959">
        <v>74111000</v>
      </c>
      <c r="W187" s="3960" t="s">
        <v>2607</v>
      </c>
      <c r="X187" s="3961">
        <v>0</v>
      </c>
      <c r="Z187" s="3939"/>
      <c r="AD187" s="3959">
        <v>74111300</v>
      </c>
      <c r="AE187" s="3960" t="s">
        <v>2609</v>
      </c>
      <c r="AF187" s="3961">
        <v>0</v>
      </c>
    </row>
    <row r="188" spans="6:32">
      <c r="F188" s="3956">
        <v>74111000</v>
      </c>
      <c r="G188" s="3957" t="s">
        <v>2607</v>
      </c>
      <c r="H188" s="3958">
        <v>0</v>
      </c>
      <c r="J188" s="3939"/>
      <c r="N188" s="3959">
        <v>74111100</v>
      </c>
      <c r="O188" s="3960" t="s">
        <v>2608</v>
      </c>
      <c r="P188" s="3961">
        <v>0</v>
      </c>
      <c r="R188" s="3939"/>
      <c r="V188" s="3959">
        <v>74111100</v>
      </c>
      <c r="W188" s="3960" t="s">
        <v>2608</v>
      </c>
      <c r="X188" s="3961">
        <v>0</v>
      </c>
      <c r="Z188" s="3939"/>
      <c r="AD188" s="3959">
        <v>74119900</v>
      </c>
      <c r="AE188" s="3960" t="s">
        <v>2610</v>
      </c>
      <c r="AF188" s="3961">
        <v>0</v>
      </c>
    </row>
    <row r="189" spans="6:32">
      <c r="F189" s="3956">
        <v>74111100</v>
      </c>
      <c r="G189" s="3957" t="s">
        <v>2608</v>
      </c>
      <c r="H189" s="3958">
        <v>0</v>
      </c>
      <c r="J189" s="3939"/>
      <c r="N189" s="3959">
        <v>74111300</v>
      </c>
      <c r="O189" s="3960" t="s">
        <v>2609</v>
      </c>
      <c r="P189" s="3961">
        <v>0</v>
      </c>
      <c r="R189" s="3939"/>
      <c r="V189" s="3959">
        <v>74111300</v>
      </c>
      <c r="W189" s="3960" t="s">
        <v>2609</v>
      </c>
      <c r="X189" s="3961">
        <v>0</v>
      </c>
      <c r="Z189" s="3939"/>
      <c r="AD189" s="3953">
        <v>74990000</v>
      </c>
      <c r="AE189" s="3954" t="s">
        <v>2611</v>
      </c>
      <c r="AF189" s="3955">
        <v>0</v>
      </c>
    </row>
    <row r="190" spans="6:32">
      <c r="F190" s="3956">
        <v>74111300</v>
      </c>
      <c r="G190" s="3957" t="s">
        <v>2609</v>
      </c>
      <c r="H190" s="3958">
        <v>0</v>
      </c>
      <c r="J190" s="3939"/>
      <c r="N190" s="3959">
        <v>74119900</v>
      </c>
      <c r="O190" s="3960" t="s">
        <v>2610</v>
      </c>
      <c r="P190" s="3961">
        <v>0</v>
      </c>
      <c r="R190" s="3939"/>
      <c r="V190" s="3959">
        <v>74119900</v>
      </c>
      <c r="W190" s="3960" t="s">
        <v>2610</v>
      </c>
      <c r="X190" s="3961">
        <v>0</v>
      </c>
      <c r="Z190" s="3939"/>
      <c r="AD190" s="3959">
        <v>74990100</v>
      </c>
      <c r="AE190" s="3960" t="s">
        <v>2611</v>
      </c>
      <c r="AF190" s="3961">
        <v>0</v>
      </c>
    </row>
    <row r="191" spans="6:32">
      <c r="F191" s="3956">
        <v>74119900</v>
      </c>
      <c r="G191" s="3957" t="s">
        <v>2610</v>
      </c>
      <c r="H191" s="3958">
        <v>0</v>
      </c>
      <c r="J191" s="3939"/>
      <c r="N191" s="3953">
        <v>74990000</v>
      </c>
      <c r="O191" s="3954" t="s">
        <v>2611</v>
      </c>
      <c r="P191" s="3955">
        <v>0</v>
      </c>
      <c r="R191" s="3939"/>
      <c r="V191" s="3953">
        <v>74990000</v>
      </c>
      <c r="W191" s="3954" t="s">
        <v>2611</v>
      </c>
      <c r="X191" s="3955">
        <v>0</v>
      </c>
      <c r="Z191" s="3939"/>
      <c r="AD191" s="3947">
        <v>75000000</v>
      </c>
      <c r="AE191" s="3948" t="s">
        <v>2613</v>
      </c>
      <c r="AF191" s="3949">
        <v>2272752369</v>
      </c>
    </row>
    <row r="192" spans="6:32">
      <c r="F192" s="3950">
        <v>74990000</v>
      </c>
      <c r="G192" s="3951" t="s">
        <v>2611</v>
      </c>
      <c r="H192" s="3952">
        <v>0</v>
      </c>
      <c r="J192" s="3939"/>
      <c r="N192" s="3959">
        <v>74990100</v>
      </c>
      <c r="O192" s="3960" t="s">
        <v>2611</v>
      </c>
      <c r="P192" s="3961">
        <v>0</v>
      </c>
      <c r="R192" s="3939"/>
      <c r="V192" s="3959">
        <v>74990100</v>
      </c>
      <c r="W192" s="3960" t="s">
        <v>2611</v>
      </c>
      <c r="X192" s="3961">
        <v>0</v>
      </c>
      <c r="Z192" s="3939"/>
      <c r="AD192" s="3947">
        <v>76000000</v>
      </c>
      <c r="AE192" s="3948" t="s">
        <v>2614</v>
      </c>
      <c r="AF192" s="3949">
        <v>-343066391</v>
      </c>
    </row>
    <row r="193" spans="6:32">
      <c r="F193" s="3956">
        <v>74990100</v>
      </c>
      <c r="G193" s="3957" t="s">
        <v>2612</v>
      </c>
      <c r="H193" s="3958">
        <v>0</v>
      </c>
      <c r="J193" s="3939"/>
      <c r="N193" s="3947">
        <v>75000000</v>
      </c>
      <c r="O193" s="3948" t="s">
        <v>2613</v>
      </c>
      <c r="P193" s="3949">
        <v>5267799890</v>
      </c>
      <c r="R193" s="3939"/>
      <c r="V193" s="3947">
        <v>75000000</v>
      </c>
      <c r="W193" s="3948" t="s">
        <v>2613</v>
      </c>
      <c r="X193" s="3949">
        <v>1440744190</v>
      </c>
      <c r="Z193" s="3939"/>
      <c r="AD193" s="3959">
        <v>76100000</v>
      </c>
      <c r="AE193" s="3960" t="s">
        <v>152</v>
      </c>
      <c r="AF193" s="3961">
        <v>-343066391</v>
      </c>
    </row>
    <row r="194" spans="6:32">
      <c r="F194" s="3944">
        <v>75000000</v>
      </c>
      <c r="G194" s="3945" t="s">
        <v>2613</v>
      </c>
      <c r="H194" s="3946">
        <v>3465305351</v>
      </c>
      <c r="J194" s="3939"/>
      <c r="N194" s="3947">
        <v>76000000</v>
      </c>
      <c r="O194" s="3948" t="s">
        <v>2614</v>
      </c>
      <c r="P194" s="3949">
        <v>1170415969</v>
      </c>
      <c r="R194" s="3939"/>
      <c r="V194" s="3947">
        <v>76000000</v>
      </c>
      <c r="W194" s="3948" t="s">
        <v>2614</v>
      </c>
      <c r="X194" s="3949">
        <v>258380802</v>
      </c>
      <c r="Z194" s="3939"/>
      <c r="AD194" s="3959">
        <v>76200000</v>
      </c>
      <c r="AE194" s="3960" t="s">
        <v>2615</v>
      </c>
      <c r="AF194" s="3961">
        <v>0</v>
      </c>
    </row>
    <row r="195" spans="6:32">
      <c r="F195" s="3944">
        <v>76000000</v>
      </c>
      <c r="G195" s="3945" t="s">
        <v>2614</v>
      </c>
      <c r="H195" s="3946">
        <v>638254721</v>
      </c>
      <c r="J195" s="3939"/>
      <c r="N195" s="3959">
        <v>76100000</v>
      </c>
      <c r="O195" s="3960" t="s">
        <v>152</v>
      </c>
      <c r="P195" s="3961">
        <v>1170415969</v>
      </c>
      <c r="R195" s="3939"/>
      <c r="V195" s="3959">
        <v>76100000</v>
      </c>
      <c r="W195" s="3960" t="s">
        <v>152</v>
      </c>
      <c r="X195" s="3961">
        <v>258380802</v>
      </c>
      <c r="Z195" s="3939"/>
      <c r="AD195" s="3959">
        <v>76300000</v>
      </c>
      <c r="AE195" s="3960" t="s">
        <v>2616</v>
      </c>
      <c r="AF195" s="3961">
        <v>0</v>
      </c>
    </row>
    <row r="196" spans="6:32">
      <c r="F196" s="3956">
        <v>76100000</v>
      </c>
      <c r="G196" s="3957" t="s">
        <v>1786</v>
      </c>
      <c r="H196" s="3958">
        <v>638254721</v>
      </c>
      <c r="J196" s="3939"/>
      <c r="N196" s="3959">
        <v>76200000</v>
      </c>
      <c r="O196" s="3960" t="s">
        <v>2615</v>
      </c>
      <c r="P196" s="3961">
        <v>0</v>
      </c>
      <c r="R196" s="3939"/>
      <c r="V196" s="3959">
        <v>76200000</v>
      </c>
      <c r="W196" s="3960" t="s">
        <v>2615</v>
      </c>
      <c r="X196" s="3961">
        <v>0</v>
      </c>
      <c r="Z196" s="3939"/>
      <c r="AD196" s="3947">
        <v>81000000</v>
      </c>
      <c r="AE196" s="3948" t="s">
        <v>2617</v>
      </c>
      <c r="AF196" s="3949">
        <v>0</v>
      </c>
    </row>
    <row r="197" spans="6:32">
      <c r="F197" s="3956">
        <v>76200000</v>
      </c>
      <c r="G197" s="3957" t="s">
        <v>2615</v>
      </c>
      <c r="H197" s="3958">
        <v>0</v>
      </c>
      <c r="J197" s="3939"/>
      <c r="N197" s="3959">
        <v>76300000</v>
      </c>
      <c r="O197" s="3960" t="s">
        <v>2616</v>
      </c>
      <c r="P197" s="3961">
        <v>0</v>
      </c>
      <c r="R197" s="3939"/>
      <c r="V197" s="3959">
        <v>76300000</v>
      </c>
      <c r="W197" s="3960" t="s">
        <v>2616</v>
      </c>
      <c r="X197" s="3961">
        <v>0</v>
      </c>
      <c r="Z197" s="3939"/>
      <c r="AD197" s="3959">
        <v>81100000</v>
      </c>
      <c r="AE197" s="3960" t="s">
        <v>2618</v>
      </c>
      <c r="AF197" s="3961">
        <v>0</v>
      </c>
    </row>
    <row r="198" spans="6:32">
      <c r="F198" s="3956">
        <v>76300000</v>
      </c>
      <c r="G198" s="3957" t="s">
        <v>2616</v>
      </c>
      <c r="H198" s="3958">
        <v>0</v>
      </c>
      <c r="J198" s="3939"/>
      <c r="N198" s="3947">
        <v>81000000</v>
      </c>
      <c r="O198" s="3948" t="s">
        <v>2617</v>
      </c>
      <c r="P198" s="3949">
        <v>0</v>
      </c>
      <c r="R198" s="3939"/>
      <c r="V198" s="3947">
        <v>81000000</v>
      </c>
      <c r="W198" s="3948" t="s">
        <v>2617</v>
      </c>
      <c r="X198" s="3949">
        <v>0</v>
      </c>
      <c r="Z198" s="3939"/>
      <c r="AD198" s="3959">
        <v>81200000</v>
      </c>
      <c r="AE198" s="3960" t="s">
        <v>2619</v>
      </c>
      <c r="AF198" s="3961">
        <v>0</v>
      </c>
    </row>
    <row r="199" spans="6:32">
      <c r="F199" s="3944">
        <v>81000000</v>
      </c>
      <c r="G199" s="3945" t="s">
        <v>2617</v>
      </c>
      <c r="H199" s="3946">
        <v>0</v>
      </c>
      <c r="J199" s="3939"/>
      <c r="N199" s="3959">
        <v>81100000</v>
      </c>
      <c r="O199" s="3960" t="s">
        <v>2618</v>
      </c>
      <c r="P199" s="3961">
        <v>0</v>
      </c>
      <c r="R199" s="3939"/>
      <c r="V199" s="3959">
        <v>81100000</v>
      </c>
      <c r="W199" s="3960" t="s">
        <v>2618</v>
      </c>
      <c r="X199" s="3961">
        <v>0</v>
      </c>
      <c r="Z199" s="3939"/>
      <c r="AD199" s="3959">
        <v>81300000</v>
      </c>
      <c r="AE199" s="3960" t="s">
        <v>2620</v>
      </c>
      <c r="AF199" s="3961">
        <v>0</v>
      </c>
    </row>
    <row r="200" spans="6:32">
      <c r="F200" s="3956">
        <v>81100000</v>
      </c>
      <c r="G200" s="3957" t="s">
        <v>2618</v>
      </c>
      <c r="H200" s="3958">
        <v>0</v>
      </c>
      <c r="J200" s="3939"/>
      <c r="N200" s="3959">
        <v>81200000</v>
      </c>
      <c r="O200" s="3960" t="s">
        <v>2619</v>
      </c>
      <c r="P200" s="3961">
        <v>0</v>
      </c>
      <c r="R200" s="3939"/>
      <c r="V200" s="3959">
        <v>81200000</v>
      </c>
      <c r="W200" s="3960" t="s">
        <v>2619</v>
      </c>
      <c r="X200" s="3961">
        <v>0</v>
      </c>
      <c r="Z200" s="3939"/>
      <c r="AD200" s="3947">
        <v>82000000</v>
      </c>
      <c r="AE200" s="3948" t="s">
        <v>2621</v>
      </c>
      <c r="AF200" s="3949">
        <v>0</v>
      </c>
    </row>
    <row r="201" spans="6:32">
      <c r="F201" s="3956">
        <v>81200000</v>
      </c>
      <c r="G201" s="3957" t="s">
        <v>2619</v>
      </c>
      <c r="H201" s="3958">
        <v>0</v>
      </c>
      <c r="J201" s="3939"/>
      <c r="N201" s="3959">
        <v>81300000</v>
      </c>
      <c r="O201" s="3960" t="s">
        <v>2620</v>
      </c>
      <c r="P201" s="3961">
        <v>0</v>
      </c>
      <c r="R201" s="3939"/>
      <c r="V201" s="3959">
        <v>81300000</v>
      </c>
      <c r="W201" s="3960" t="s">
        <v>2620</v>
      </c>
      <c r="X201" s="3961">
        <v>0</v>
      </c>
      <c r="Z201" s="3939"/>
      <c r="AD201" s="3959">
        <v>82100000</v>
      </c>
      <c r="AE201" s="3960" t="s">
        <v>2621</v>
      </c>
      <c r="AF201" s="3961">
        <v>0</v>
      </c>
    </row>
    <row r="202" spans="6:32">
      <c r="F202" s="3956">
        <v>81300000</v>
      </c>
      <c r="G202" s="3957" t="s">
        <v>2620</v>
      </c>
      <c r="H202" s="3958">
        <v>0</v>
      </c>
      <c r="J202" s="3939"/>
      <c r="N202" s="3947">
        <v>82000000</v>
      </c>
      <c r="O202" s="3948" t="s">
        <v>2621</v>
      </c>
      <c r="P202" s="3949">
        <v>0</v>
      </c>
      <c r="R202" s="3939"/>
      <c r="V202" s="3947">
        <v>82000000</v>
      </c>
      <c r="W202" s="3948" t="s">
        <v>2621</v>
      </c>
      <c r="X202" s="3949">
        <v>0</v>
      </c>
      <c r="Z202" s="3939"/>
      <c r="AD202" s="3947">
        <v>88000000</v>
      </c>
      <c r="AE202" s="3948" t="s">
        <v>2622</v>
      </c>
      <c r="AF202" s="3949">
        <v>2615818760</v>
      </c>
    </row>
    <row r="203" spans="6:32">
      <c r="F203" s="3944">
        <v>82000000</v>
      </c>
      <c r="G203" s="3945" t="s">
        <v>2621</v>
      </c>
      <c r="H203" s="3946">
        <v>0</v>
      </c>
      <c r="J203" s="3939"/>
      <c r="N203" s="3959">
        <v>82100000</v>
      </c>
      <c r="O203" s="3960" t="s">
        <v>2621</v>
      </c>
      <c r="P203" s="3961">
        <v>0</v>
      </c>
      <c r="R203" s="3939"/>
      <c r="V203" s="3959">
        <v>82100000</v>
      </c>
      <c r="W203" s="3960" t="s">
        <v>2621</v>
      </c>
      <c r="X203" s="3961">
        <v>0</v>
      </c>
      <c r="Z203" s="3939"/>
      <c r="AD203" s="3959">
        <v>88100000</v>
      </c>
      <c r="AE203" s="3960" t="s">
        <v>3889</v>
      </c>
      <c r="AF203" s="3961">
        <v>0</v>
      </c>
    </row>
    <row r="204" spans="6:32">
      <c r="F204" s="3956">
        <v>82100000</v>
      </c>
      <c r="G204" s="3957" t="s">
        <v>2621</v>
      </c>
      <c r="H204" s="3958">
        <v>0</v>
      </c>
      <c r="J204" s="3939"/>
      <c r="N204" s="3947">
        <v>88000000</v>
      </c>
      <c r="O204" s="3948" t="s">
        <v>2622</v>
      </c>
      <c r="P204" s="3949">
        <v>4097383921</v>
      </c>
      <c r="R204" s="3939"/>
      <c r="V204" s="3947">
        <v>88000000</v>
      </c>
      <c r="W204" s="3948" t="s">
        <v>2622</v>
      </c>
      <c r="X204" s="3949">
        <v>1182363388</v>
      </c>
      <c r="Z204" s="3939"/>
      <c r="AD204" s="3965">
        <v>88900000</v>
      </c>
      <c r="AE204" s="3966" t="s">
        <v>3890</v>
      </c>
      <c r="AF204" s="3967">
        <v>-2615818760</v>
      </c>
    </row>
    <row r="205" spans="6:32">
      <c r="F205" s="3944">
        <v>88000000</v>
      </c>
      <c r="G205" s="3945" t="s">
        <v>2622</v>
      </c>
      <c r="H205" s="3946">
        <v>2827050630</v>
      </c>
      <c r="J205" s="3939"/>
      <c r="N205" s="3959">
        <v>88100000</v>
      </c>
      <c r="O205" s="3960" t="s">
        <v>3889</v>
      </c>
      <c r="P205" s="3961">
        <v>0</v>
      </c>
      <c r="R205" s="3939"/>
      <c r="V205" s="3959">
        <v>88100000</v>
      </c>
      <c r="W205" s="3960" t="s">
        <v>3889</v>
      </c>
      <c r="X205" s="3961">
        <v>0</v>
      </c>
      <c r="Z205" s="3939"/>
    </row>
    <row r="206" spans="6:32">
      <c r="F206" s="3956">
        <v>88100000</v>
      </c>
      <c r="G206" s="3957" t="s">
        <v>2623</v>
      </c>
      <c r="H206" s="3958">
        <v>0</v>
      </c>
      <c r="J206" s="3939"/>
      <c r="N206" s="3965">
        <v>88900000</v>
      </c>
      <c r="O206" s="3966" t="s">
        <v>3890</v>
      </c>
      <c r="P206" s="3967">
        <v>-4097383921</v>
      </c>
      <c r="R206" s="3939"/>
      <c r="V206" s="3965">
        <v>88900000</v>
      </c>
      <c r="W206" s="3966" t="s">
        <v>3890</v>
      </c>
      <c r="X206" s="3967">
        <v>-1182363388</v>
      </c>
      <c r="Z206" s="3939"/>
    </row>
    <row r="207" spans="6:32">
      <c r="F207" s="3968">
        <v>88900000</v>
      </c>
      <c r="G207" s="3969" t="s">
        <v>2624</v>
      </c>
      <c r="H207" s="3970">
        <v>-2827050630</v>
      </c>
      <c r="J207" s="3939"/>
      <c r="R207" s="3939"/>
      <c r="Z207" s="3939"/>
    </row>
    <row r="208" spans="6:32">
      <c r="J208" s="3939"/>
      <c r="R208" s="3939"/>
      <c r="Z208" s="3939"/>
    </row>
    <row r="209" spans="5:32">
      <c r="J209" s="3939"/>
      <c r="R209" s="3939"/>
      <c r="Z209" s="3939"/>
    </row>
    <row r="210" spans="5:32">
      <c r="J210" s="3939"/>
      <c r="R210" s="3939"/>
      <c r="Z210" s="3939"/>
    </row>
    <row r="211" spans="5:32">
      <c r="E211" s="2769" t="s">
        <v>6555</v>
      </c>
      <c r="G211" s="3217"/>
      <c r="J211" s="3939"/>
      <c r="M211" s="2769" t="s">
        <v>6555</v>
      </c>
      <c r="R211" s="3939"/>
      <c r="U211" s="2769" t="s">
        <v>6555</v>
      </c>
      <c r="Z211" s="3939"/>
      <c r="AC211" s="2769" t="s">
        <v>6555</v>
      </c>
    </row>
    <row r="212" spans="5:32">
      <c r="F212" s="3971" t="s">
        <v>2454</v>
      </c>
      <c r="G212" s="5404" t="s">
        <v>2455</v>
      </c>
      <c r="H212" s="3972" t="s">
        <v>2457</v>
      </c>
      <c r="J212" s="3939"/>
      <c r="N212" s="3973" t="s">
        <v>2454</v>
      </c>
      <c r="O212" s="5406" t="s">
        <v>2455</v>
      </c>
      <c r="P212" s="3974" t="s">
        <v>2457</v>
      </c>
      <c r="R212" s="3939"/>
      <c r="V212" s="3973" t="s">
        <v>2454</v>
      </c>
      <c r="W212" s="5406" t="s">
        <v>2455</v>
      </c>
      <c r="X212" s="3974" t="s">
        <v>2457</v>
      </c>
      <c r="Z212" s="3939"/>
      <c r="AD212" s="3973" t="s">
        <v>2454</v>
      </c>
      <c r="AE212" s="5406" t="s">
        <v>2455</v>
      </c>
      <c r="AF212" s="3974" t="s">
        <v>2457</v>
      </c>
    </row>
    <row r="213" spans="5:32">
      <c r="F213" s="3975"/>
      <c r="G213" s="5405"/>
      <c r="H213" s="3972" t="s">
        <v>4976</v>
      </c>
      <c r="J213" s="3939"/>
      <c r="N213" s="3976"/>
      <c r="O213" s="5407"/>
      <c r="P213" s="3974" t="s">
        <v>2468</v>
      </c>
      <c r="R213" s="3939"/>
      <c r="V213" s="3976"/>
      <c r="W213" s="5407"/>
      <c r="X213" s="3974" t="s">
        <v>2468</v>
      </c>
      <c r="Z213" s="3939"/>
      <c r="AD213" s="3976"/>
      <c r="AE213" s="5407"/>
      <c r="AF213" s="3974" t="s">
        <v>2468</v>
      </c>
    </row>
    <row r="214" spans="5:32">
      <c r="F214" s="3977">
        <v>10000000</v>
      </c>
      <c r="G214" s="3978" t="s">
        <v>4978</v>
      </c>
      <c r="H214" s="3979">
        <v>52360399992</v>
      </c>
      <c r="J214" s="3939"/>
      <c r="N214" s="3980">
        <v>10000000</v>
      </c>
      <c r="O214" s="3981" t="s">
        <v>82</v>
      </c>
      <c r="P214" s="3982">
        <v>44469271805</v>
      </c>
      <c r="R214" s="3939"/>
      <c r="V214" s="3980">
        <v>10000000</v>
      </c>
      <c r="W214" s="3981" t="s">
        <v>82</v>
      </c>
      <c r="X214" s="3982">
        <v>45271837758</v>
      </c>
      <c r="Z214" s="3939"/>
      <c r="AD214" s="3980">
        <v>10000000</v>
      </c>
      <c r="AE214" s="3981" t="s">
        <v>82</v>
      </c>
      <c r="AF214" s="3982">
        <v>40871531121</v>
      </c>
    </row>
    <row r="215" spans="5:32">
      <c r="F215" s="3983">
        <v>11000000</v>
      </c>
      <c r="G215" s="3984" t="s">
        <v>4979</v>
      </c>
      <c r="H215" s="3985">
        <v>35107677383</v>
      </c>
      <c r="J215" s="3939"/>
      <c r="N215" s="3986">
        <v>11000000</v>
      </c>
      <c r="O215" s="3987" t="s">
        <v>3988</v>
      </c>
      <c r="P215" s="3988">
        <v>29247109151</v>
      </c>
      <c r="R215" s="3939"/>
      <c r="V215" s="3986">
        <v>11000000</v>
      </c>
      <c r="W215" s="3987" t="s">
        <v>3988</v>
      </c>
      <c r="X215" s="3988">
        <v>30134352185</v>
      </c>
      <c r="Z215" s="3939"/>
      <c r="AD215" s="3986">
        <v>11000000</v>
      </c>
      <c r="AE215" s="3987" t="s">
        <v>3988</v>
      </c>
      <c r="AF215" s="3988">
        <v>23176034554</v>
      </c>
    </row>
    <row r="216" spans="5:32">
      <c r="F216" s="3989">
        <v>11100000</v>
      </c>
      <c r="G216" s="3990" t="s">
        <v>4980</v>
      </c>
      <c r="H216" s="3991">
        <v>1634262682</v>
      </c>
      <c r="J216" s="3939"/>
      <c r="N216" s="3992">
        <v>11100000</v>
      </c>
      <c r="O216" s="3993" t="s">
        <v>3989</v>
      </c>
      <c r="P216" s="3994">
        <v>417447</v>
      </c>
      <c r="R216" s="3939"/>
      <c r="V216" s="3992">
        <v>11100000</v>
      </c>
      <c r="W216" s="3993" t="s">
        <v>3989</v>
      </c>
      <c r="X216" s="3994">
        <v>315398</v>
      </c>
      <c r="Z216" s="3939"/>
      <c r="AD216" s="3992">
        <v>11100000</v>
      </c>
      <c r="AE216" s="3993" t="s">
        <v>3989</v>
      </c>
      <c r="AF216" s="3994">
        <v>1313570874</v>
      </c>
    </row>
    <row r="217" spans="5:32">
      <c r="F217" s="3995">
        <v>11101000</v>
      </c>
      <c r="G217" s="3996" t="s">
        <v>4980</v>
      </c>
      <c r="H217" s="3997">
        <v>1634262682</v>
      </c>
      <c r="J217" s="3939"/>
      <c r="N217" s="3998">
        <v>11101000</v>
      </c>
      <c r="O217" s="3999" t="s">
        <v>3989</v>
      </c>
      <c r="P217" s="4000">
        <v>417447</v>
      </c>
      <c r="R217" s="3939"/>
      <c r="V217" s="3998">
        <v>11101000</v>
      </c>
      <c r="W217" s="3999" t="s">
        <v>3989</v>
      </c>
      <c r="X217" s="4000">
        <v>315398</v>
      </c>
      <c r="Z217" s="3939"/>
      <c r="AD217" s="3998">
        <v>11101000</v>
      </c>
      <c r="AE217" s="3999" t="s">
        <v>3989</v>
      </c>
      <c r="AF217" s="4000">
        <v>1313570874</v>
      </c>
    </row>
    <row r="218" spans="5:32">
      <c r="F218" s="4001">
        <v>11101001</v>
      </c>
      <c r="G218" s="4002" t="s">
        <v>3990</v>
      </c>
      <c r="H218" s="3958">
        <v>0</v>
      </c>
      <c r="J218" s="3939"/>
      <c r="N218" s="4003">
        <v>11101001</v>
      </c>
      <c r="O218" s="4004" t="s">
        <v>3990</v>
      </c>
      <c r="P218" s="3961">
        <v>0</v>
      </c>
      <c r="R218" s="3939"/>
      <c r="V218" s="4003">
        <v>11101001</v>
      </c>
      <c r="W218" s="4004" t="s">
        <v>3990</v>
      </c>
      <c r="X218" s="3961">
        <v>0</v>
      </c>
      <c r="Z218" s="3939"/>
      <c r="AD218" s="4003">
        <v>11101001</v>
      </c>
      <c r="AE218" s="4004" t="s">
        <v>3990</v>
      </c>
      <c r="AF218" s="3961">
        <v>0</v>
      </c>
    </row>
    <row r="219" spans="5:32">
      <c r="F219" s="4001">
        <v>11101002</v>
      </c>
      <c r="G219" s="4002" t="s">
        <v>3991</v>
      </c>
      <c r="H219" s="3958">
        <v>0</v>
      </c>
      <c r="J219" s="3939"/>
      <c r="N219" s="4003">
        <v>11101002</v>
      </c>
      <c r="O219" s="4004" t="s">
        <v>3991</v>
      </c>
      <c r="P219" s="3961">
        <v>0</v>
      </c>
      <c r="R219" s="3939"/>
      <c r="V219" s="4003">
        <v>11101002</v>
      </c>
      <c r="W219" s="4004" t="s">
        <v>3991</v>
      </c>
      <c r="X219" s="3961">
        <v>0</v>
      </c>
      <c r="Z219" s="3939"/>
      <c r="AD219" s="4003">
        <v>11101002</v>
      </c>
      <c r="AE219" s="4004" t="s">
        <v>3991</v>
      </c>
      <c r="AF219" s="3961">
        <v>0</v>
      </c>
    </row>
    <row r="220" spans="5:32">
      <c r="F220" s="4001">
        <v>11101003</v>
      </c>
      <c r="G220" s="4002" t="s">
        <v>3992</v>
      </c>
      <c r="H220" s="3958">
        <v>557292854</v>
      </c>
      <c r="J220" s="3939"/>
      <c r="N220" s="4003">
        <v>11101003</v>
      </c>
      <c r="O220" s="4004" t="s">
        <v>3992</v>
      </c>
      <c r="P220" s="3961">
        <v>417447</v>
      </c>
      <c r="R220" s="3939"/>
      <c r="V220" s="4003">
        <v>11101003</v>
      </c>
      <c r="W220" s="4004" t="s">
        <v>3992</v>
      </c>
      <c r="X220" s="3961">
        <v>315398</v>
      </c>
      <c r="Z220" s="3939"/>
      <c r="AD220" s="4003">
        <v>11101003</v>
      </c>
      <c r="AE220" s="4004" t="s">
        <v>3992</v>
      </c>
      <c r="AF220" s="3961">
        <v>632915</v>
      </c>
    </row>
    <row r="221" spans="5:32">
      <c r="F221" s="4001">
        <v>11101004</v>
      </c>
      <c r="G221" s="4002" t="s">
        <v>3993</v>
      </c>
      <c r="H221" s="3958">
        <v>0</v>
      </c>
      <c r="J221" s="3939"/>
      <c r="N221" s="4003">
        <v>11101004</v>
      </c>
      <c r="O221" s="4004" t="s">
        <v>3993</v>
      </c>
      <c r="P221" s="3961">
        <v>0</v>
      </c>
      <c r="R221" s="3939"/>
      <c r="V221" s="4003">
        <v>11101004</v>
      </c>
      <c r="W221" s="4004" t="s">
        <v>3993</v>
      </c>
      <c r="X221" s="3961">
        <v>0</v>
      </c>
      <c r="Z221" s="3939"/>
      <c r="AD221" s="4003">
        <v>11101004</v>
      </c>
      <c r="AE221" s="4004" t="s">
        <v>3993</v>
      </c>
      <c r="AF221" s="3961">
        <v>0</v>
      </c>
    </row>
    <row r="222" spans="5:32">
      <c r="F222" s="4001">
        <v>11101005</v>
      </c>
      <c r="G222" s="4002" t="s">
        <v>3994</v>
      </c>
      <c r="H222" s="3958">
        <v>0</v>
      </c>
      <c r="J222" s="3939"/>
      <c r="N222" s="4003">
        <v>11101005</v>
      </c>
      <c r="O222" s="4004" t="s">
        <v>3994</v>
      </c>
      <c r="P222" s="3961">
        <v>0</v>
      </c>
      <c r="R222" s="3939"/>
      <c r="V222" s="4003">
        <v>11101005</v>
      </c>
      <c r="W222" s="4004" t="s">
        <v>3994</v>
      </c>
      <c r="X222" s="3961">
        <v>0</v>
      </c>
      <c r="Z222" s="3939"/>
      <c r="AD222" s="4003">
        <v>11101005</v>
      </c>
      <c r="AE222" s="4004" t="s">
        <v>3994</v>
      </c>
      <c r="AF222" s="3961">
        <v>0</v>
      </c>
    </row>
    <row r="223" spans="5:32">
      <c r="F223" s="4001">
        <v>11101006</v>
      </c>
      <c r="G223" s="4002" t="s">
        <v>3995</v>
      </c>
      <c r="H223" s="3958">
        <v>1076969828</v>
      </c>
      <c r="J223" s="3939"/>
      <c r="N223" s="4003">
        <v>11101006</v>
      </c>
      <c r="O223" s="4004" t="s">
        <v>3995</v>
      </c>
      <c r="P223" s="3961">
        <v>0</v>
      </c>
      <c r="R223" s="3939"/>
      <c r="V223" s="4003">
        <v>11101006</v>
      </c>
      <c r="W223" s="4004" t="s">
        <v>3995</v>
      </c>
      <c r="X223" s="3961">
        <v>0</v>
      </c>
      <c r="Z223" s="3939"/>
      <c r="AD223" s="4003">
        <v>11101006</v>
      </c>
      <c r="AE223" s="4004" t="s">
        <v>3995</v>
      </c>
      <c r="AF223" s="3961">
        <v>1312937959</v>
      </c>
    </row>
    <row r="224" spans="5:32">
      <c r="F224" s="4001">
        <v>11101007</v>
      </c>
      <c r="G224" s="4002" t="s">
        <v>3996</v>
      </c>
      <c r="H224" s="3958">
        <v>0</v>
      </c>
      <c r="J224" s="3939"/>
      <c r="N224" s="4003">
        <v>11101007</v>
      </c>
      <c r="O224" s="4004" t="s">
        <v>3996</v>
      </c>
      <c r="P224" s="3961">
        <v>0</v>
      </c>
      <c r="R224" s="3939"/>
      <c r="V224" s="4003">
        <v>11101007</v>
      </c>
      <c r="W224" s="4004" t="s">
        <v>3996</v>
      </c>
      <c r="X224" s="3961">
        <v>0</v>
      </c>
      <c r="Z224" s="3939"/>
      <c r="AD224" s="4003">
        <v>11101007</v>
      </c>
      <c r="AE224" s="4004" t="s">
        <v>3996</v>
      </c>
      <c r="AF224" s="3961">
        <v>0</v>
      </c>
    </row>
    <row r="225" spans="6:32">
      <c r="F225" s="4001">
        <v>11101008</v>
      </c>
      <c r="G225" s="4002" t="s">
        <v>3997</v>
      </c>
      <c r="H225" s="3958">
        <v>0</v>
      </c>
      <c r="J225" s="3939"/>
      <c r="N225" s="4003">
        <v>11101008</v>
      </c>
      <c r="O225" s="4004" t="s">
        <v>3997</v>
      </c>
      <c r="P225" s="3961">
        <v>0</v>
      </c>
      <c r="R225" s="3939"/>
      <c r="V225" s="4003">
        <v>11101008</v>
      </c>
      <c r="W225" s="4004" t="s">
        <v>3997</v>
      </c>
      <c r="X225" s="3961">
        <v>0</v>
      </c>
      <c r="Z225" s="3939"/>
      <c r="AD225" s="4003">
        <v>11101008</v>
      </c>
      <c r="AE225" s="4004" t="s">
        <v>3997</v>
      </c>
      <c r="AF225" s="3961">
        <v>0</v>
      </c>
    </row>
    <row r="226" spans="6:32">
      <c r="F226" s="3989">
        <v>11110000</v>
      </c>
      <c r="G226" s="4005" t="s">
        <v>4981</v>
      </c>
      <c r="H226" s="3991">
        <v>8104966188</v>
      </c>
      <c r="J226" s="3939"/>
      <c r="N226" s="3992">
        <v>11110000</v>
      </c>
      <c r="O226" s="4006" t="s">
        <v>3998</v>
      </c>
      <c r="P226" s="3994">
        <v>6998555532</v>
      </c>
      <c r="R226" s="3939"/>
      <c r="V226" s="3992">
        <v>11110000</v>
      </c>
      <c r="W226" s="4006" t="s">
        <v>3998</v>
      </c>
      <c r="X226" s="3994">
        <v>6141580311</v>
      </c>
      <c r="Z226" s="3939"/>
      <c r="AD226" s="3992">
        <v>11110000</v>
      </c>
      <c r="AE226" s="4006" t="s">
        <v>3998</v>
      </c>
      <c r="AF226" s="3994">
        <v>5262585941</v>
      </c>
    </row>
    <row r="227" spans="6:32">
      <c r="F227" s="3995">
        <v>11111000</v>
      </c>
      <c r="G227" s="4007" t="s">
        <v>4982</v>
      </c>
      <c r="H227" s="3997">
        <v>7185173835</v>
      </c>
      <c r="J227" s="3939"/>
      <c r="N227" s="3998">
        <v>11111000</v>
      </c>
      <c r="O227" s="4008" t="s">
        <v>1582</v>
      </c>
      <c r="P227" s="4000">
        <v>6493270211</v>
      </c>
      <c r="R227" s="3939"/>
      <c r="V227" s="3998">
        <v>11111000</v>
      </c>
      <c r="W227" s="4008" t="s">
        <v>1582</v>
      </c>
      <c r="X227" s="4000">
        <v>5700097454</v>
      </c>
      <c r="Z227" s="3939"/>
      <c r="AD227" s="3998">
        <v>11111000</v>
      </c>
      <c r="AE227" s="4008" t="s">
        <v>1582</v>
      </c>
      <c r="AF227" s="4000">
        <v>5097098096</v>
      </c>
    </row>
    <row r="228" spans="6:32">
      <c r="F228" s="4001">
        <v>11111001</v>
      </c>
      <c r="G228" s="4002" t="s">
        <v>2190</v>
      </c>
      <c r="H228" s="3958">
        <v>2681984480</v>
      </c>
      <c r="J228" s="3939"/>
      <c r="N228" s="4003">
        <v>11111001</v>
      </c>
      <c r="O228" s="4004" t="s">
        <v>2190</v>
      </c>
      <c r="P228" s="3961">
        <v>2559360683</v>
      </c>
      <c r="R228" s="3939"/>
      <c r="V228" s="4003">
        <v>11111001</v>
      </c>
      <c r="W228" s="4004" t="s">
        <v>2190</v>
      </c>
      <c r="X228" s="3961">
        <v>4165890180</v>
      </c>
      <c r="Z228" s="3939"/>
      <c r="AD228" s="4003">
        <v>11111001</v>
      </c>
      <c r="AE228" s="4004" t="s">
        <v>2190</v>
      </c>
      <c r="AF228" s="3961">
        <v>3004219901</v>
      </c>
    </row>
    <row r="229" spans="6:32">
      <c r="F229" s="4001">
        <v>11111002</v>
      </c>
      <c r="G229" s="4002" t="s">
        <v>2194</v>
      </c>
      <c r="H229" s="3958">
        <v>4503189355</v>
      </c>
      <c r="J229" s="3939"/>
      <c r="N229" s="4003">
        <v>11111002</v>
      </c>
      <c r="O229" s="4004" t="s">
        <v>2194</v>
      </c>
      <c r="P229" s="3961">
        <v>3933909528</v>
      </c>
      <c r="R229" s="3939"/>
      <c r="V229" s="4003">
        <v>11111002</v>
      </c>
      <c r="W229" s="4004" t="s">
        <v>2194</v>
      </c>
      <c r="X229" s="3961">
        <v>1534207274</v>
      </c>
      <c r="Z229" s="3939"/>
      <c r="AD229" s="4003">
        <v>11111002</v>
      </c>
      <c r="AE229" s="4004" t="s">
        <v>2194</v>
      </c>
      <c r="AF229" s="3961">
        <v>2092878195</v>
      </c>
    </row>
    <row r="230" spans="6:32">
      <c r="F230" s="4001">
        <v>11111003</v>
      </c>
      <c r="G230" s="4002" t="s">
        <v>2186</v>
      </c>
      <c r="H230" s="3958">
        <v>0</v>
      </c>
      <c r="J230" s="3939"/>
      <c r="N230" s="4003">
        <v>11111003</v>
      </c>
      <c r="O230" s="4004" t="s">
        <v>2186</v>
      </c>
      <c r="P230" s="3961">
        <v>0</v>
      </c>
      <c r="R230" s="3939"/>
      <c r="V230" s="4003">
        <v>11111003</v>
      </c>
      <c r="W230" s="4004" t="s">
        <v>2186</v>
      </c>
      <c r="X230" s="3961">
        <v>0</v>
      </c>
      <c r="Z230" s="3939"/>
      <c r="AD230" s="4003">
        <v>11111003</v>
      </c>
      <c r="AE230" s="4004" t="s">
        <v>2186</v>
      </c>
      <c r="AF230" s="3961">
        <v>0</v>
      </c>
    </row>
    <row r="231" spans="6:32">
      <c r="F231" s="4001">
        <v>11111004</v>
      </c>
      <c r="G231" s="4002" t="s">
        <v>3999</v>
      </c>
      <c r="H231" s="3958">
        <v>0</v>
      </c>
      <c r="J231" s="3939"/>
      <c r="N231" s="4003">
        <v>11111004</v>
      </c>
      <c r="O231" s="4004" t="s">
        <v>3999</v>
      </c>
      <c r="P231" s="3961">
        <v>0</v>
      </c>
      <c r="R231" s="3939"/>
      <c r="V231" s="4003">
        <v>11111004</v>
      </c>
      <c r="W231" s="4004" t="s">
        <v>3999</v>
      </c>
      <c r="X231" s="3961">
        <v>0</v>
      </c>
      <c r="Z231" s="3939"/>
      <c r="AD231" s="4003">
        <v>11111004</v>
      </c>
      <c r="AE231" s="4004" t="s">
        <v>3999</v>
      </c>
      <c r="AF231" s="3961">
        <v>0</v>
      </c>
    </row>
    <row r="232" spans="6:32">
      <c r="F232" s="4001">
        <v>11111005</v>
      </c>
      <c r="G232" s="4002" t="s">
        <v>4000</v>
      </c>
      <c r="H232" s="3958">
        <v>0</v>
      </c>
      <c r="J232" s="3939"/>
      <c r="N232" s="4003">
        <v>11111005</v>
      </c>
      <c r="O232" s="4004" t="s">
        <v>4000</v>
      </c>
      <c r="P232" s="3961">
        <v>0</v>
      </c>
      <c r="R232" s="3939"/>
      <c r="V232" s="4003">
        <v>11111005</v>
      </c>
      <c r="W232" s="4004" t="s">
        <v>4000</v>
      </c>
      <c r="X232" s="3961">
        <v>0</v>
      </c>
      <c r="Z232" s="3939"/>
      <c r="AD232" s="4003">
        <v>11111005</v>
      </c>
      <c r="AE232" s="4004" t="s">
        <v>4000</v>
      </c>
      <c r="AF232" s="3961">
        <v>0</v>
      </c>
    </row>
    <row r="233" spans="6:32">
      <c r="F233" s="4001">
        <v>11111006</v>
      </c>
      <c r="G233" s="4002" t="s">
        <v>4001</v>
      </c>
      <c r="H233" s="3958">
        <v>0</v>
      </c>
      <c r="J233" s="3939"/>
      <c r="N233" s="4003">
        <v>11111006</v>
      </c>
      <c r="O233" s="4004" t="s">
        <v>4001</v>
      </c>
      <c r="P233" s="3961">
        <v>0</v>
      </c>
      <c r="R233" s="3939"/>
      <c r="V233" s="4003">
        <v>11111006</v>
      </c>
      <c r="W233" s="4004" t="s">
        <v>4001</v>
      </c>
      <c r="X233" s="3961">
        <v>0</v>
      </c>
      <c r="Z233" s="3939"/>
      <c r="AD233" s="4003">
        <v>11111006</v>
      </c>
      <c r="AE233" s="4004" t="s">
        <v>4001</v>
      </c>
      <c r="AF233" s="3961">
        <v>0</v>
      </c>
    </row>
    <row r="234" spans="6:32">
      <c r="F234" s="3995">
        <v>11111100</v>
      </c>
      <c r="G234" s="4007" t="s">
        <v>4002</v>
      </c>
      <c r="H234" s="3997">
        <v>0</v>
      </c>
      <c r="J234" s="3939"/>
      <c r="N234" s="3998">
        <v>11111100</v>
      </c>
      <c r="O234" s="4008" t="s">
        <v>4002</v>
      </c>
      <c r="P234" s="4000">
        <v>0</v>
      </c>
      <c r="R234" s="3939"/>
      <c r="V234" s="3998">
        <v>11111100</v>
      </c>
      <c r="W234" s="4008" t="s">
        <v>4002</v>
      </c>
      <c r="X234" s="4000">
        <v>0</v>
      </c>
      <c r="Z234" s="3939"/>
      <c r="AD234" s="3998">
        <v>11111100</v>
      </c>
      <c r="AE234" s="4008" t="s">
        <v>4002</v>
      </c>
      <c r="AF234" s="4000">
        <v>0</v>
      </c>
    </row>
    <row r="235" spans="6:32">
      <c r="F235" s="4001">
        <v>11111101</v>
      </c>
      <c r="G235" s="4002" t="s">
        <v>4003</v>
      </c>
      <c r="H235" s="3958">
        <v>0</v>
      </c>
      <c r="J235" s="3939"/>
      <c r="N235" s="4003">
        <v>11111101</v>
      </c>
      <c r="O235" s="4004" t="s">
        <v>4003</v>
      </c>
      <c r="P235" s="3961">
        <v>0</v>
      </c>
      <c r="R235" s="3939"/>
      <c r="V235" s="4003">
        <v>11111101</v>
      </c>
      <c r="W235" s="4004" t="s">
        <v>4003</v>
      </c>
      <c r="X235" s="3961">
        <v>0</v>
      </c>
      <c r="Z235" s="3939"/>
      <c r="AD235" s="4003">
        <v>11111101</v>
      </c>
      <c r="AE235" s="4004" t="s">
        <v>4003</v>
      </c>
      <c r="AF235" s="3961">
        <v>0</v>
      </c>
    </row>
    <row r="236" spans="6:32">
      <c r="F236" s="4001">
        <v>11111102</v>
      </c>
      <c r="G236" s="4002" t="s">
        <v>4004</v>
      </c>
      <c r="H236" s="3958">
        <v>0</v>
      </c>
      <c r="J236" s="3939"/>
      <c r="N236" s="4003">
        <v>11111102</v>
      </c>
      <c r="O236" s="4004" t="s">
        <v>4004</v>
      </c>
      <c r="P236" s="3961">
        <v>0</v>
      </c>
      <c r="R236" s="3939"/>
      <c r="V236" s="4003">
        <v>11111102</v>
      </c>
      <c r="W236" s="4004" t="s">
        <v>4004</v>
      </c>
      <c r="X236" s="3961">
        <v>0</v>
      </c>
      <c r="Z236" s="3939"/>
      <c r="AD236" s="4003">
        <v>11111102</v>
      </c>
      <c r="AE236" s="4004" t="s">
        <v>4004</v>
      </c>
      <c r="AF236" s="3961">
        <v>0</v>
      </c>
    </row>
    <row r="237" spans="6:32">
      <c r="F237" s="4001">
        <v>11111103</v>
      </c>
      <c r="G237" s="4002" t="s">
        <v>4004</v>
      </c>
      <c r="H237" s="3958">
        <v>0</v>
      </c>
      <c r="J237" s="3939"/>
      <c r="N237" s="4003">
        <v>11111103</v>
      </c>
      <c r="O237" s="4004" t="s">
        <v>4004</v>
      </c>
      <c r="P237" s="3961">
        <v>0</v>
      </c>
      <c r="R237" s="3939"/>
      <c r="V237" s="4003">
        <v>11111103</v>
      </c>
      <c r="W237" s="4004" t="s">
        <v>4004</v>
      </c>
      <c r="X237" s="3961">
        <v>0</v>
      </c>
      <c r="Z237" s="3939"/>
      <c r="AD237" s="4003">
        <v>11111103</v>
      </c>
      <c r="AE237" s="4004" t="s">
        <v>4004</v>
      </c>
      <c r="AF237" s="3961">
        <v>0</v>
      </c>
    </row>
    <row r="238" spans="6:32">
      <c r="F238" s="4001">
        <v>11111104</v>
      </c>
      <c r="G238" s="4002" t="s">
        <v>4983</v>
      </c>
      <c r="H238" s="3958">
        <v>0</v>
      </c>
      <c r="J238" s="3939"/>
      <c r="N238" s="4003">
        <v>11111104</v>
      </c>
      <c r="O238" s="4004" t="s">
        <v>4005</v>
      </c>
      <c r="P238" s="3961">
        <v>0</v>
      </c>
      <c r="R238" s="3939"/>
      <c r="V238" s="4003">
        <v>11111104</v>
      </c>
      <c r="W238" s="4004" t="s">
        <v>4005</v>
      </c>
      <c r="X238" s="3961">
        <v>0</v>
      </c>
      <c r="Z238" s="3939"/>
      <c r="AD238" s="4003">
        <v>11111104</v>
      </c>
      <c r="AE238" s="4004" t="s">
        <v>4005</v>
      </c>
      <c r="AF238" s="3961">
        <v>0</v>
      </c>
    </row>
    <row r="239" spans="6:32">
      <c r="F239" s="4001">
        <v>11111105</v>
      </c>
      <c r="G239" s="4002" t="s">
        <v>4006</v>
      </c>
      <c r="H239" s="3958">
        <v>0</v>
      </c>
      <c r="J239" s="3939"/>
      <c r="N239" s="4003">
        <v>11111105</v>
      </c>
      <c r="O239" s="4004" t="s">
        <v>4006</v>
      </c>
      <c r="P239" s="3961">
        <v>0</v>
      </c>
      <c r="R239" s="3939"/>
      <c r="V239" s="4003">
        <v>11111105</v>
      </c>
      <c r="W239" s="4004" t="s">
        <v>4006</v>
      </c>
      <c r="X239" s="3961">
        <v>0</v>
      </c>
      <c r="Z239" s="3939"/>
      <c r="AD239" s="4003">
        <v>11111105</v>
      </c>
      <c r="AE239" s="4004" t="s">
        <v>4006</v>
      </c>
      <c r="AF239" s="3961">
        <v>0</v>
      </c>
    </row>
    <row r="240" spans="6:32">
      <c r="F240" s="4001">
        <v>11111106</v>
      </c>
      <c r="G240" s="4002" t="s">
        <v>4007</v>
      </c>
      <c r="H240" s="3958">
        <v>0</v>
      </c>
      <c r="J240" s="3939"/>
      <c r="N240" s="4003">
        <v>11111106</v>
      </c>
      <c r="O240" s="4004" t="s">
        <v>4007</v>
      </c>
      <c r="P240" s="3961">
        <v>0</v>
      </c>
      <c r="R240" s="3939"/>
      <c r="V240" s="4003">
        <v>11111106</v>
      </c>
      <c r="W240" s="4004" t="s">
        <v>4007</v>
      </c>
      <c r="X240" s="3961">
        <v>0</v>
      </c>
      <c r="Z240" s="3939"/>
      <c r="AD240" s="4003">
        <v>11111106</v>
      </c>
      <c r="AE240" s="4004" t="s">
        <v>4007</v>
      </c>
      <c r="AF240" s="3961">
        <v>0</v>
      </c>
    </row>
    <row r="241" spans="6:32">
      <c r="F241" s="3995">
        <v>11111200</v>
      </c>
      <c r="G241" s="4007" t="s">
        <v>4984</v>
      </c>
      <c r="H241" s="3997">
        <v>0</v>
      </c>
      <c r="J241" s="3939"/>
      <c r="N241" s="3998">
        <v>11111200</v>
      </c>
      <c r="O241" s="4008" t="s">
        <v>4008</v>
      </c>
      <c r="P241" s="4000">
        <v>0</v>
      </c>
      <c r="R241" s="3939"/>
      <c r="V241" s="3998">
        <v>11111200</v>
      </c>
      <c r="W241" s="4008" t="s">
        <v>4008</v>
      </c>
      <c r="X241" s="4000">
        <v>0</v>
      </c>
      <c r="Z241" s="3939"/>
      <c r="AD241" s="3998">
        <v>11111200</v>
      </c>
      <c r="AE241" s="4008" t="s">
        <v>4008</v>
      </c>
      <c r="AF241" s="4000">
        <v>0</v>
      </c>
    </row>
    <row r="242" spans="6:32">
      <c r="F242" s="4001">
        <v>11111201</v>
      </c>
      <c r="G242" s="4002" t="s">
        <v>4009</v>
      </c>
      <c r="H242" s="3958">
        <v>0</v>
      </c>
      <c r="J242" s="3939"/>
      <c r="N242" s="4003">
        <v>11111201</v>
      </c>
      <c r="O242" s="4004" t="s">
        <v>4009</v>
      </c>
      <c r="P242" s="3961">
        <v>0</v>
      </c>
      <c r="R242" s="3939"/>
      <c r="V242" s="4003">
        <v>11111201</v>
      </c>
      <c r="W242" s="4004" t="s">
        <v>4009</v>
      </c>
      <c r="X242" s="3961">
        <v>0</v>
      </c>
      <c r="Z242" s="3939"/>
      <c r="AD242" s="4003">
        <v>11111201</v>
      </c>
      <c r="AE242" s="4004" t="s">
        <v>4009</v>
      </c>
      <c r="AF242" s="3961">
        <v>0</v>
      </c>
    </row>
    <row r="243" spans="6:32">
      <c r="F243" s="4001">
        <v>11111202</v>
      </c>
      <c r="G243" s="4002" t="s">
        <v>4010</v>
      </c>
      <c r="H243" s="3958">
        <v>0</v>
      </c>
      <c r="J243" s="3939"/>
      <c r="N243" s="4003">
        <v>11111202</v>
      </c>
      <c r="O243" s="4004" t="s">
        <v>4010</v>
      </c>
      <c r="P243" s="3961">
        <v>0</v>
      </c>
      <c r="R243" s="3939"/>
      <c r="V243" s="4003">
        <v>11111202</v>
      </c>
      <c r="W243" s="4004" t="s">
        <v>4010</v>
      </c>
      <c r="X243" s="3961">
        <v>0</v>
      </c>
      <c r="Z243" s="3939"/>
      <c r="AD243" s="4003">
        <v>11111202</v>
      </c>
      <c r="AE243" s="4004" t="s">
        <v>4010</v>
      </c>
      <c r="AF243" s="3961">
        <v>0</v>
      </c>
    </row>
    <row r="244" spans="6:32">
      <c r="F244" s="4001">
        <v>11111203</v>
      </c>
      <c r="G244" s="4002" t="s">
        <v>4011</v>
      </c>
      <c r="H244" s="3958">
        <v>0</v>
      </c>
      <c r="J244" s="3939"/>
      <c r="N244" s="4003">
        <v>11111203</v>
      </c>
      <c r="O244" s="4004" t="s">
        <v>4011</v>
      </c>
      <c r="P244" s="3961">
        <v>0</v>
      </c>
      <c r="R244" s="3939"/>
      <c r="V244" s="4003">
        <v>11111203</v>
      </c>
      <c r="W244" s="4004" t="s">
        <v>4011</v>
      </c>
      <c r="X244" s="3961">
        <v>0</v>
      </c>
      <c r="Z244" s="3939"/>
      <c r="AD244" s="4003">
        <v>11111203</v>
      </c>
      <c r="AE244" s="4004" t="s">
        <v>4011</v>
      </c>
      <c r="AF244" s="3961">
        <v>0</v>
      </c>
    </row>
    <row r="245" spans="6:32">
      <c r="F245" s="3995">
        <v>11111300</v>
      </c>
      <c r="G245" s="4007" t="s">
        <v>4012</v>
      </c>
      <c r="H245" s="3997">
        <v>0</v>
      </c>
      <c r="J245" s="3939"/>
      <c r="N245" s="3998">
        <v>11111300</v>
      </c>
      <c r="O245" s="4008" t="s">
        <v>4012</v>
      </c>
      <c r="P245" s="4000">
        <v>0</v>
      </c>
      <c r="R245" s="3939"/>
      <c r="V245" s="3998">
        <v>11111300</v>
      </c>
      <c r="W245" s="4008" t="s">
        <v>4012</v>
      </c>
      <c r="X245" s="4000">
        <v>0</v>
      </c>
      <c r="Z245" s="3939"/>
      <c r="AD245" s="3998">
        <v>11111300</v>
      </c>
      <c r="AE245" s="4008" t="s">
        <v>4012</v>
      </c>
      <c r="AF245" s="4000">
        <v>0</v>
      </c>
    </row>
    <row r="246" spans="6:32">
      <c r="F246" s="4001">
        <v>11111301</v>
      </c>
      <c r="G246" s="4002" t="s">
        <v>4012</v>
      </c>
      <c r="H246" s="3958">
        <v>0</v>
      </c>
      <c r="J246" s="3939"/>
      <c r="N246" s="4003">
        <v>11111301</v>
      </c>
      <c r="O246" s="4004" t="s">
        <v>4012</v>
      </c>
      <c r="P246" s="3961">
        <v>0</v>
      </c>
      <c r="R246" s="3939"/>
      <c r="V246" s="4003">
        <v>11111301</v>
      </c>
      <c r="W246" s="4004" t="s">
        <v>4012</v>
      </c>
      <c r="X246" s="3961">
        <v>0</v>
      </c>
      <c r="Z246" s="3939"/>
      <c r="AD246" s="4003">
        <v>11111301</v>
      </c>
      <c r="AE246" s="4004" t="s">
        <v>4012</v>
      </c>
      <c r="AF246" s="3961">
        <v>0</v>
      </c>
    </row>
    <row r="247" spans="6:32">
      <c r="F247" s="3995">
        <v>11111400</v>
      </c>
      <c r="G247" s="4007" t="s">
        <v>4013</v>
      </c>
      <c r="H247" s="3997">
        <v>0</v>
      </c>
      <c r="J247" s="3939"/>
      <c r="N247" s="3998">
        <v>11111400</v>
      </c>
      <c r="O247" s="4008" t="s">
        <v>4013</v>
      </c>
      <c r="P247" s="4000">
        <v>0</v>
      </c>
      <c r="R247" s="3939"/>
      <c r="V247" s="3998">
        <v>11111400</v>
      </c>
      <c r="W247" s="4008" t="s">
        <v>4013</v>
      </c>
      <c r="X247" s="4000">
        <v>0</v>
      </c>
      <c r="Z247" s="3939"/>
      <c r="AD247" s="3998">
        <v>11111400</v>
      </c>
      <c r="AE247" s="4008" t="s">
        <v>4013</v>
      </c>
      <c r="AF247" s="4000">
        <v>0</v>
      </c>
    </row>
    <row r="248" spans="6:32">
      <c r="F248" s="4001">
        <v>11111401</v>
      </c>
      <c r="G248" s="4002" t="s">
        <v>4013</v>
      </c>
      <c r="H248" s="3958">
        <v>0</v>
      </c>
      <c r="J248" s="3939"/>
      <c r="N248" s="4003">
        <v>11111401</v>
      </c>
      <c r="O248" s="4004" t="s">
        <v>4013</v>
      </c>
      <c r="P248" s="3961">
        <v>0</v>
      </c>
      <c r="R248" s="3939"/>
      <c r="V248" s="4003">
        <v>11111401</v>
      </c>
      <c r="W248" s="4004" t="s">
        <v>4013</v>
      </c>
      <c r="X248" s="3961">
        <v>0</v>
      </c>
      <c r="Z248" s="3939"/>
      <c r="AD248" s="4003">
        <v>11111401</v>
      </c>
      <c r="AE248" s="4004" t="s">
        <v>4013</v>
      </c>
      <c r="AF248" s="3961">
        <v>0</v>
      </c>
    </row>
    <row r="249" spans="6:32">
      <c r="F249" s="3995">
        <v>11111500</v>
      </c>
      <c r="G249" s="4007" t="s">
        <v>4014</v>
      </c>
      <c r="H249" s="3997">
        <v>0</v>
      </c>
      <c r="J249" s="3939"/>
      <c r="N249" s="3998">
        <v>11111500</v>
      </c>
      <c r="O249" s="4008" t="s">
        <v>4014</v>
      </c>
      <c r="P249" s="4000">
        <v>0</v>
      </c>
      <c r="R249" s="3939"/>
      <c r="V249" s="3998">
        <v>11111500</v>
      </c>
      <c r="W249" s="4008" t="s">
        <v>4014</v>
      </c>
      <c r="X249" s="4000">
        <v>10000000</v>
      </c>
      <c r="Z249" s="3939"/>
      <c r="AD249" s="3998">
        <v>11111500</v>
      </c>
      <c r="AE249" s="4008" t="s">
        <v>4014</v>
      </c>
      <c r="AF249" s="4000">
        <v>0</v>
      </c>
    </row>
    <row r="250" spans="6:32">
      <c r="F250" s="4001">
        <v>11111501</v>
      </c>
      <c r="G250" s="4002" t="s">
        <v>4014</v>
      </c>
      <c r="H250" s="3958">
        <v>0</v>
      </c>
      <c r="J250" s="3939"/>
      <c r="N250" s="4003">
        <v>11111501</v>
      </c>
      <c r="O250" s="4004" t="s">
        <v>4014</v>
      </c>
      <c r="P250" s="3961">
        <v>0</v>
      </c>
      <c r="R250" s="3939"/>
      <c r="V250" s="4003">
        <v>11111501</v>
      </c>
      <c r="W250" s="4004" t="s">
        <v>4014</v>
      </c>
      <c r="X250" s="3961">
        <v>10000000</v>
      </c>
      <c r="Z250" s="3939"/>
      <c r="AD250" s="4003">
        <v>11111501</v>
      </c>
      <c r="AE250" s="4004" t="s">
        <v>4014</v>
      </c>
      <c r="AF250" s="3961">
        <v>0</v>
      </c>
    </row>
    <row r="251" spans="6:32">
      <c r="F251" s="3995">
        <v>11111600</v>
      </c>
      <c r="G251" s="4007" t="s">
        <v>4015</v>
      </c>
      <c r="H251" s="3997">
        <v>0</v>
      </c>
      <c r="J251" s="3939"/>
      <c r="N251" s="3998">
        <v>11111600</v>
      </c>
      <c r="O251" s="4008" t="s">
        <v>4015</v>
      </c>
      <c r="P251" s="4000">
        <v>0</v>
      </c>
      <c r="R251" s="3939"/>
      <c r="V251" s="3998">
        <v>11111600</v>
      </c>
      <c r="W251" s="4008" t="s">
        <v>4015</v>
      </c>
      <c r="X251" s="4000">
        <v>0</v>
      </c>
      <c r="Z251" s="3939"/>
      <c r="AD251" s="3998">
        <v>11111600</v>
      </c>
      <c r="AE251" s="4008" t="s">
        <v>4015</v>
      </c>
      <c r="AF251" s="4000">
        <v>0</v>
      </c>
    </row>
    <row r="252" spans="6:32">
      <c r="F252" s="4001">
        <v>11111601</v>
      </c>
      <c r="G252" s="4002" t="s">
        <v>4015</v>
      </c>
      <c r="H252" s="3958">
        <v>0</v>
      </c>
      <c r="J252" s="3939"/>
      <c r="N252" s="4003">
        <v>11111601</v>
      </c>
      <c r="O252" s="4004" t="s">
        <v>4015</v>
      </c>
      <c r="P252" s="3961">
        <v>0</v>
      </c>
      <c r="R252" s="3939"/>
      <c r="V252" s="4003">
        <v>11111601</v>
      </c>
      <c r="W252" s="4004" t="s">
        <v>4015</v>
      </c>
      <c r="X252" s="3961">
        <v>0</v>
      </c>
      <c r="Z252" s="3939"/>
      <c r="AD252" s="4003">
        <v>11111601</v>
      </c>
      <c r="AE252" s="4004" t="s">
        <v>4015</v>
      </c>
      <c r="AF252" s="3961">
        <v>0</v>
      </c>
    </row>
    <row r="253" spans="6:32">
      <c r="F253" s="3995">
        <v>11111700</v>
      </c>
      <c r="G253" s="4007" t="s">
        <v>2178</v>
      </c>
      <c r="H253" s="3997">
        <v>919792353</v>
      </c>
      <c r="J253" s="3939"/>
      <c r="N253" s="3998">
        <v>11111700</v>
      </c>
      <c r="O253" s="4008" t="s">
        <v>2178</v>
      </c>
      <c r="P253" s="4000">
        <v>505285321</v>
      </c>
      <c r="R253" s="3939"/>
      <c r="V253" s="3998">
        <v>11111700</v>
      </c>
      <c r="W253" s="4008" t="s">
        <v>2178</v>
      </c>
      <c r="X253" s="4000">
        <v>431482857</v>
      </c>
      <c r="Z253" s="3939"/>
      <c r="AD253" s="3998">
        <v>11111700</v>
      </c>
      <c r="AE253" s="4008" t="s">
        <v>2178</v>
      </c>
      <c r="AF253" s="4000">
        <v>165487845</v>
      </c>
    </row>
    <row r="254" spans="6:32">
      <c r="F254" s="4001">
        <v>11111701</v>
      </c>
      <c r="G254" s="4002" t="s">
        <v>2178</v>
      </c>
      <c r="H254" s="3958">
        <v>919792353</v>
      </c>
      <c r="J254" s="3939"/>
      <c r="N254" s="4003">
        <v>11111701</v>
      </c>
      <c r="O254" s="4004" t="s">
        <v>2178</v>
      </c>
      <c r="P254" s="3961">
        <v>505285321</v>
      </c>
      <c r="R254" s="3939"/>
      <c r="V254" s="4003">
        <v>11111701</v>
      </c>
      <c r="W254" s="4004" t="s">
        <v>2178</v>
      </c>
      <c r="X254" s="3961">
        <v>431482857</v>
      </c>
      <c r="Z254" s="3939"/>
      <c r="AD254" s="4003">
        <v>11111701</v>
      </c>
      <c r="AE254" s="4004" t="s">
        <v>2178</v>
      </c>
      <c r="AF254" s="3961">
        <v>165487845</v>
      </c>
    </row>
    <row r="255" spans="6:32">
      <c r="F255" s="3995">
        <v>11111800</v>
      </c>
      <c r="G255" s="4007" t="s">
        <v>4016</v>
      </c>
      <c r="H255" s="3997">
        <v>0</v>
      </c>
      <c r="J255" s="3939"/>
      <c r="N255" s="3998">
        <v>11111800</v>
      </c>
      <c r="O255" s="4008" t="s">
        <v>4016</v>
      </c>
      <c r="P255" s="4000">
        <v>0</v>
      </c>
      <c r="R255" s="3939"/>
      <c r="V255" s="3998">
        <v>11111800</v>
      </c>
      <c r="W255" s="4008" t="s">
        <v>4016</v>
      </c>
      <c r="X255" s="4000">
        <v>0</v>
      </c>
      <c r="Z255" s="3939"/>
      <c r="AD255" s="3998">
        <v>11111800</v>
      </c>
      <c r="AE255" s="4008" t="s">
        <v>4016</v>
      </c>
      <c r="AF255" s="4000">
        <v>0</v>
      </c>
    </row>
    <row r="256" spans="6:32">
      <c r="F256" s="4001">
        <v>11111801</v>
      </c>
      <c r="G256" s="4002" t="s">
        <v>4016</v>
      </c>
      <c r="H256" s="3958">
        <v>0</v>
      </c>
      <c r="J256" s="3939"/>
      <c r="N256" s="4003">
        <v>11111801</v>
      </c>
      <c r="O256" s="4004" t="s">
        <v>4016</v>
      </c>
      <c r="P256" s="3961">
        <v>0</v>
      </c>
      <c r="R256" s="3939"/>
      <c r="V256" s="4003">
        <v>11111801</v>
      </c>
      <c r="W256" s="4004" t="s">
        <v>4016</v>
      </c>
      <c r="X256" s="3961">
        <v>0</v>
      </c>
      <c r="Z256" s="3939"/>
      <c r="AD256" s="4003">
        <v>11111801</v>
      </c>
      <c r="AE256" s="4004" t="s">
        <v>4016</v>
      </c>
      <c r="AF256" s="3961">
        <v>0</v>
      </c>
    </row>
    <row r="257" spans="6:32">
      <c r="F257" s="3995">
        <v>11111900</v>
      </c>
      <c r="G257" s="4007" t="s">
        <v>4017</v>
      </c>
      <c r="H257" s="3997">
        <v>0</v>
      </c>
      <c r="J257" s="3939"/>
      <c r="N257" s="3998">
        <v>11111900</v>
      </c>
      <c r="O257" s="4008" t="s">
        <v>4017</v>
      </c>
      <c r="P257" s="4000">
        <v>0</v>
      </c>
      <c r="R257" s="3939"/>
      <c r="V257" s="3998">
        <v>11111900</v>
      </c>
      <c r="W257" s="4008" t="s">
        <v>4017</v>
      </c>
      <c r="X257" s="4000">
        <v>0</v>
      </c>
      <c r="Z257" s="3939"/>
      <c r="AD257" s="3998">
        <v>11111900</v>
      </c>
      <c r="AE257" s="4008" t="s">
        <v>4017</v>
      </c>
      <c r="AF257" s="4000">
        <v>0</v>
      </c>
    </row>
    <row r="258" spans="6:32">
      <c r="F258" s="4001">
        <v>11111901</v>
      </c>
      <c r="G258" s="4002" t="s">
        <v>4017</v>
      </c>
      <c r="H258" s="3958">
        <v>0</v>
      </c>
      <c r="J258" s="3939"/>
      <c r="N258" s="4003">
        <v>11111901</v>
      </c>
      <c r="O258" s="4004" t="s">
        <v>4017</v>
      </c>
      <c r="P258" s="3961">
        <v>0</v>
      </c>
      <c r="R258" s="3939"/>
      <c r="V258" s="4003">
        <v>11111901</v>
      </c>
      <c r="W258" s="4004" t="s">
        <v>4017</v>
      </c>
      <c r="X258" s="3961">
        <v>0</v>
      </c>
      <c r="Z258" s="3939"/>
      <c r="AD258" s="4003">
        <v>11111901</v>
      </c>
      <c r="AE258" s="4004" t="s">
        <v>4017</v>
      </c>
      <c r="AF258" s="3961">
        <v>0</v>
      </c>
    </row>
    <row r="259" spans="6:32">
      <c r="F259" s="4001">
        <v>11111902</v>
      </c>
      <c r="G259" s="4002" t="s">
        <v>4985</v>
      </c>
      <c r="H259" s="3958">
        <v>0</v>
      </c>
      <c r="J259" s="3939"/>
      <c r="N259" s="4003">
        <v>11111902</v>
      </c>
      <c r="O259" s="4004" t="s">
        <v>4018</v>
      </c>
      <c r="P259" s="3961">
        <v>0</v>
      </c>
      <c r="R259" s="3939"/>
      <c r="V259" s="4003">
        <v>11111902</v>
      </c>
      <c r="W259" s="4004" t="s">
        <v>4018</v>
      </c>
      <c r="X259" s="3961">
        <v>0</v>
      </c>
      <c r="Z259" s="3939"/>
      <c r="AD259" s="4003">
        <v>11111902</v>
      </c>
      <c r="AE259" s="4004" t="s">
        <v>4018</v>
      </c>
      <c r="AF259" s="3961">
        <v>0</v>
      </c>
    </row>
    <row r="260" spans="6:32">
      <c r="F260" s="3989">
        <v>11120000</v>
      </c>
      <c r="G260" s="4005" t="s">
        <v>4019</v>
      </c>
      <c r="H260" s="3991">
        <v>0</v>
      </c>
      <c r="J260" s="3939"/>
      <c r="N260" s="3992">
        <v>11120000</v>
      </c>
      <c r="O260" s="4006" t="s">
        <v>4019</v>
      </c>
      <c r="P260" s="3994">
        <v>0</v>
      </c>
      <c r="R260" s="3939"/>
      <c r="V260" s="3992">
        <v>11120000</v>
      </c>
      <c r="W260" s="4006" t="s">
        <v>4019</v>
      </c>
      <c r="X260" s="3994">
        <v>227003380</v>
      </c>
      <c r="Z260" s="3939"/>
      <c r="AD260" s="3992">
        <v>11120000</v>
      </c>
      <c r="AE260" s="4006" t="s">
        <v>4019</v>
      </c>
      <c r="AF260" s="3994">
        <v>136421539</v>
      </c>
    </row>
    <row r="261" spans="6:32">
      <c r="F261" s="3995">
        <v>11121000</v>
      </c>
      <c r="G261" s="4007" t="s">
        <v>4020</v>
      </c>
      <c r="H261" s="3997">
        <v>0</v>
      </c>
      <c r="J261" s="3939"/>
      <c r="N261" s="3998">
        <v>11121000</v>
      </c>
      <c r="O261" s="4008" t="s">
        <v>4020</v>
      </c>
      <c r="P261" s="4000">
        <v>0</v>
      </c>
      <c r="R261" s="3939"/>
      <c r="V261" s="3998">
        <v>11121000</v>
      </c>
      <c r="W261" s="4008" t="s">
        <v>4020</v>
      </c>
      <c r="X261" s="4000">
        <v>0</v>
      </c>
      <c r="Z261" s="3939"/>
      <c r="AD261" s="3998">
        <v>11121000</v>
      </c>
      <c r="AE261" s="4008" t="s">
        <v>4020</v>
      </c>
      <c r="AF261" s="4000">
        <v>0</v>
      </c>
    </row>
    <row r="262" spans="6:32">
      <c r="F262" s="4001">
        <v>11121001</v>
      </c>
      <c r="G262" s="4002" t="s">
        <v>4021</v>
      </c>
      <c r="H262" s="3958">
        <v>0</v>
      </c>
      <c r="J262" s="3939"/>
      <c r="N262" s="4003">
        <v>11121001</v>
      </c>
      <c r="O262" s="4004" t="s">
        <v>4021</v>
      </c>
      <c r="P262" s="3961">
        <v>0</v>
      </c>
      <c r="R262" s="3939"/>
      <c r="V262" s="4003">
        <v>11121001</v>
      </c>
      <c r="W262" s="4004" t="s">
        <v>4021</v>
      </c>
      <c r="X262" s="3961">
        <v>0</v>
      </c>
      <c r="Z262" s="3939"/>
      <c r="AD262" s="4003">
        <v>11121001</v>
      </c>
      <c r="AE262" s="4004" t="s">
        <v>4021</v>
      </c>
      <c r="AF262" s="3961">
        <v>0</v>
      </c>
    </row>
    <row r="263" spans="6:32">
      <c r="F263" s="4001">
        <v>11121002</v>
      </c>
      <c r="G263" s="4002" t="s">
        <v>4022</v>
      </c>
      <c r="H263" s="3958">
        <v>0</v>
      </c>
      <c r="J263" s="3939"/>
      <c r="N263" s="4003">
        <v>11121002</v>
      </c>
      <c r="O263" s="4004" t="s">
        <v>4022</v>
      </c>
      <c r="P263" s="3961">
        <v>0</v>
      </c>
      <c r="R263" s="3939"/>
      <c r="V263" s="4003">
        <v>11121002</v>
      </c>
      <c r="W263" s="4004" t="s">
        <v>4022</v>
      </c>
      <c r="X263" s="3961">
        <v>0</v>
      </c>
      <c r="Z263" s="3939"/>
      <c r="AD263" s="4003">
        <v>11121002</v>
      </c>
      <c r="AE263" s="4004" t="s">
        <v>4022</v>
      </c>
      <c r="AF263" s="3961">
        <v>0</v>
      </c>
    </row>
    <row r="264" spans="6:32">
      <c r="F264" s="4001">
        <v>11121003</v>
      </c>
      <c r="G264" s="4002" t="s">
        <v>4023</v>
      </c>
      <c r="H264" s="3958">
        <v>0</v>
      </c>
      <c r="J264" s="3939"/>
      <c r="N264" s="4003">
        <v>11121003</v>
      </c>
      <c r="O264" s="4004" t="s">
        <v>4023</v>
      </c>
      <c r="P264" s="3961">
        <v>0</v>
      </c>
      <c r="R264" s="3939"/>
      <c r="V264" s="4003">
        <v>11121003</v>
      </c>
      <c r="W264" s="4004" t="s">
        <v>4023</v>
      </c>
      <c r="X264" s="3961">
        <v>0</v>
      </c>
      <c r="Z264" s="3939"/>
      <c r="AD264" s="4003">
        <v>11121003</v>
      </c>
      <c r="AE264" s="4004" t="s">
        <v>4023</v>
      </c>
      <c r="AF264" s="3961">
        <v>0</v>
      </c>
    </row>
    <row r="265" spans="6:32">
      <c r="F265" s="4001">
        <v>11121004</v>
      </c>
      <c r="G265" s="4002" t="s">
        <v>4024</v>
      </c>
      <c r="H265" s="3958">
        <v>0</v>
      </c>
      <c r="J265" s="3939"/>
      <c r="N265" s="4003">
        <v>11121004</v>
      </c>
      <c r="O265" s="4004" t="s">
        <v>4024</v>
      </c>
      <c r="P265" s="3961">
        <v>0</v>
      </c>
      <c r="R265" s="3939"/>
      <c r="V265" s="4003">
        <v>11121004</v>
      </c>
      <c r="W265" s="4004" t="s">
        <v>4024</v>
      </c>
      <c r="X265" s="3961">
        <v>0</v>
      </c>
      <c r="Z265" s="3939"/>
      <c r="AD265" s="4003">
        <v>11121004</v>
      </c>
      <c r="AE265" s="4004" t="s">
        <v>4024</v>
      </c>
      <c r="AF265" s="3961">
        <v>0</v>
      </c>
    </row>
    <row r="266" spans="6:32">
      <c r="F266" s="3995">
        <v>11121100</v>
      </c>
      <c r="G266" s="4007" t="s">
        <v>4025</v>
      </c>
      <c r="H266" s="3997">
        <v>0</v>
      </c>
      <c r="J266" s="3939"/>
      <c r="N266" s="3998">
        <v>11121100</v>
      </c>
      <c r="O266" s="4008" t="s">
        <v>4025</v>
      </c>
      <c r="P266" s="4000">
        <v>0</v>
      </c>
      <c r="R266" s="3939"/>
      <c r="V266" s="3998">
        <v>11121100</v>
      </c>
      <c r="W266" s="4008" t="s">
        <v>4025</v>
      </c>
      <c r="X266" s="4000">
        <v>0</v>
      </c>
      <c r="Z266" s="3939"/>
      <c r="AD266" s="3998">
        <v>11121100</v>
      </c>
      <c r="AE266" s="4008" t="s">
        <v>4025</v>
      </c>
      <c r="AF266" s="4000">
        <v>0</v>
      </c>
    </row>
    <row r="267" spans="6:32">
      <c r="F267" s="4001">
        <v>11121101</v>
      </c>
      <c r="G267" s="4002" t="s">
        <v>4025</v>
      </c>
      <c r="H267" s="3958">
        <v>0</v>
      </c>
      <c r="J267" s="3939"/>
      <c r="N267" s="4003">
        <v>11121101</v>
      </c>
      <c r="O267" s="4004" t="s">
        <v>4025</v>
      </c>
      <c r="P267" s="3961">
        <v>0</v>
      </c>
      <c r="R267" s="3939"/>
      <c r="V267" s="4003">
        <v>11121101</v>
      </c>
      <c r="W267" s="4004" t="s">
        <v>4025</v>
      </c>
      <c r="X267" s="3961">
        <v>0</v>
      </c>
      <c r="Z267" s="3939"/>
      <c r="AD267" s="4003">
        <v>11121101</v>
      </c>
      <c r="AE267" s="4004" t="s">
        <v>4025</v>
      </c>
      <c r="AF267" s="3961">
        <v>0</v>
      </c>
    </row>
    <row r="268" spans="6:32">
      <c r="F268" s="3995">
        <v>11121200</v>
      </c>
      <c r="G268" s="4007" t="s">
        <v>4026</v>
      </c>
      <c r="H268" s="3997">
        <v>0</v>
      </c>
      <c r="J268" s="3939"/>
      <c r="N268" s="3998">
        <v>11121200</v>
      </c>
      <c r="O268" s="4008" t="s">
        <v>4026</v>
      </c>
      <c r="P268" s="4000">
        <v>0</v>
      </c>
      <c r="R268" s="3939"/>
      <c r="V268" s="3998">
        <v>11121200</v>
      </c>
      <c r="W268" s="4008" t="s">
        <v>4026</v>
      </c>
      <c r="X268" s="4000">
        <v>227003380</v>
      </c>
      <c r="Z268" s="3939"/>
      <c r="AD268" s="3998">
        <v>11121200</v>
      </c>
      <c r="AE268" s="4008" t="s">
        <v>4026</v>
      </c>
      <c r="AF268" s="4000">
        <v>136421539</v>
      </c>
    </row>
    <row r="269" spans="6:32">
      <c r="F269" s="4001">
        <v>11121201</v>
      </c>
      <c r="G269" s="4002" t="s">
        <v>4986</v>
      </c>
      <c r="H269" s="3958">
        <v>0</v>
      </c>
      <c r="J269" s="3939"/>
      <c r="N269" s="4003">
        <v>11121201</v>
      </c>
      <c r="O269" s="4004" t="s">
        <v>4027</v>
      </c>
      <c r="P269" s="3961">
        <v>0</v>
      </c>
      <c r="R269" s="3939"/>
      <c r="V269" s="4003">
        <v>11121201</v>
      </c>
      <c r="W269" s="4004" t="s">
        <v>4027</v>
      </c>
      <c r="X269" s="3961">
        <v>227003380</v>
      </c>
      <c r="Z269" s="3939"/>
      <c r="AD269" s="4003">
        <v>11121201</v>
      </c>
      <c r="AE269" s="4004" t="s">
        <v>4027</v>
      </c>
      <c r="AF269" s="3961">
        <v>136421539</v>
      </c>
    </row>
    <row r="270" spans="6:32">
      <c r="F270" s="4001">
        <v>11121202</v>
      </c>
      <c r="G270" s="4002" t="s">
        <v>4987</v>
      </c>
      <c r="H270" s="3958">
        <v>0</v>
      </c>
      <c r="J270" s="3939"/>
      <c r="N270" s="4003">
        <v>11121202</v>
      </c>
      <c r="O270" s="4004" t="s">
        <v>4028</v>
      </c>
      <c r="P270" s="3961">
        <v>0</v>
      </c>
      <c r="R270" s="3939"/>
      <c r="V270" s="4003">
        <v>11121202</v>
      </c>
      <c r="W270" s="4004" t="s">
        <v>4028</v>
      </c>
      <c r="X270" s="3961">
        <v>0</v>
      </c>
      <c r="Z270" s="3939"/>
      <c r="AD270" s="4003">
        <v>11121202</v>
      </c>
      <c r="AE270" s="4004" t="s">
        <v>4028</v>
      </c>
      <c r="AF270" s="3961">
        <v>0</v>
      </c>
    </row>
    <row r="271" spans="6:32">
      <c r="F271" s="3989">
        <v>11130000</v>
      </c>
      <c r="G271" s="4005" t="s">
        <v>4029</v>
      </c>
      <c r="H271" s="3991">
        <v>0</v>
      </c>
      <c r="J271" s="3939"/>
      <c r="N271" s="3992">
        <v>11130000</v>
      </c>
      <c r="O271" s="4006" t="s">
        <v>4029</v>
      </c>
      <c r="P271" s="3994">
        <v>0</v>
      </c>
      <c r="R271" s="3939"/>
      <c r="V271" s="3992">
        <v>11130000</v>
      </c>
      <c r="W271" s="4006" t="s">
        <v>4029</v>
      </c>
      <c r="X271" s="3994">
        <v>0</v>
      </c>
      <c r="Z271" s="3939"/>
      <c r="AD271" s="3992">
        <v>11130000</v>
      </c>
      <c r="AE271" s="4006" t="s">
        <v>4029</v>
      </c>
      <c r="AF271" s="3994">
        <v>0</v>
      </c>
    </row>
    <row r="272" spans="6:32">
      <c r="F272" s="3995">
        <v>11131000</v>
      </c>
      <c r="G272" s="4007" t="s">
        <v>4029</v>
      </c>
      <c r="H272" s="3997">
        <v>0</v>
      </c>
      <c r="J272" s="3939"/>
      <c r="N272" s="3998">
        <v>11131000</v>
      </c>
      <c r="O272" s="4008" t="s">
        <v>4029</v>
      </c>
      <c r="P272" s="4000">
        <v>0</v>
      </c>
      <c r="R272" s="3939"/>
      <c r="V272" s="3998">
        <v>11131000</v>
      </c>
      <c r="W272" s="4008" t="s">
        <v>4029</v>
      </c>
      <c r="X272" s="4000">
        <v>0</v>
      </c>
      <c r="Z272" s="3939"/>
      <c r="AD272" s="3998">
        <v>11131000</v>
      </c>
      <c r="AE272" s="4008" t="s">
        <v>4029</v>
      </c>
      <c r="AF272" s="4000">
        <v>0</v>
      </c>
    </row>
    <row r="273" spans="6:32">
      <c r="F273" s="4001">
        <v>11131001</v>
      </c>
      <c r="G273" s="4002" t="s">
        <v>4030</v>
      </c>
      <c r="H273" s="3958">
        <v>0</v>
      </c>
      <c r="J273" s="3939"/>
      <c r="N273" s="4003">
        <v>11131001</v>
      </c>
      <c r="O273" s="4004" t="s">
        <v>4030</v>
      </c>
      <c r="P273" s="3961">
        <v>0</v>
      </c>
      <c r="R273" s="3939"/>
      <c r="V273" s="4003">
        <v>11131001</v>
      </c>
      <c r="W273" s="4004" t="s">
        <v>4030</v>
      </c>
      <c r="X273" s="3961">
        <v>0</v>
      </c>
      <c r="Z273" s="3939"/>
      <c r="AD273" s="4003">
        <v>11131001</v>
      </c>
      <c r="AE273" s="4004" t="s">
        <v>4030</v>
      </c>
      <c r="AF273" s="3961">
        <v>0</v>
      </c>
    </row>
    <row r="274" spans="6:32">
      <c r="F274" s="4001">
        <v>11131002</v>
      </c>
      <c r="G274" s="4002" t="s">
        <v>4031</v>
      </c>
      <c r="H274" s="3958">
        <v>0</v>
      </c>
      <c r="J274" s="3939"/>
      <c r="N274" s="4003">
        <v>11131002</v>
      </c>
      <c r="O274" s="4004" t="s">
        <v>4031</v>
      </c>
      <c r="P274" s="3961">
        <v>0</v>
      </c>
      <c r="R274" s="3939"/>
      <c r="V274" s="4003">
        <v>11131002</v>
      </c>
      <c r="W274" s="4004" t="s">
        <v>4031</v>
      </c>
      <c r="X274" s="3961">
        <v>0</v>
      </c>
      <c r="Z274" s="3939"/>
      <c r="AD274" s="4003">
        <v>11131002</v>
      </c>
      <c r="AE274" s="4004" t="s">
        <v>4031</v>
      </c>
      <c r="AF274" s="3961">
        <v>0</v>
      </c>
    </row>
    <row r="275" spans="6:32">
      <c r="F275" s="4001">
        <v>11131003</v>
      </c>
      <c r="G275" s="4002" t="s">
        <v>4032</v>
      </c>
      <c r="H275" s="3958">
        <v>0</v>
      </c>
      <c r="J275" s="3939"/>
      <c r="N275" s="4003">
        <v>11131003</v>
      </c>
      <c r="O275" s="4004" t="s">
        <v>4032</v>
      </c>
      <c r="P275" s="3961">
        <v>0</v>
      </c>
      <c r="R275" s="3939"/>
      <c r="V275" s="4003">
        <v>11131003</v>
      </c>
      <c r="W275" s="4004" t="s">
        <v>4032</v>
      </c>
      <c r="X275" s="3961">
        <v>0</v>
      </c>
      <c r="Z275" s="3939"/>
      <c r="AD275" s="4003">
        <v>11131003</v>
      </c>
      <c r="AE275" s="4004" t="s">
        <v>4032</v>
      </c>
      <c r="AF275" s="3961">
        <v>0</v>
      </c>
    </row>
    <row r="276" spans="6:32">
      <c r="F276" s="4001">
        <v>11131004</v>
      </c>
      <c r="G276" s="4002" t="s">
        <v>4033</v>
      </c>
      <c r="H276" s="3958">
        <v>0</v>
      </c>
      <c r="J276" s="3939"/>
      <c r="N276" s="4003">
        <v>11131004</v>
      </c>
      <c r="O276" s="4004" t="s">
        <v>4033</v>
      </c>
      <c r="P276" s="3961">
        <v>0</v>
      </c>
      <c r="R276" s="3939"/>
      <c r="V276" s="4003">
        <v>11131004</v>
      </c>
      <c r="W276" s="4004" t="s">
        <v>4033</v>
      </c>
      <c r="X276" s="3961">
        <v>0</v>
      </c>
      <c r="Z276" s="3939"/>
      <c r="AD276" s="4003">
        <v>11131004</v>
      </c>
      <c r="AE276" s="4004" t="s">
        <v>4033</v>
      </c>
      <c r="AF276" s="3961">
        <v>0</v>
      </c>
    </row>
    <row r="277" spans="6:32">
      <c r="F277" s="4001">
        <v>11131005</v>
      </c>
      <c r="G277" s="4002" t="s">
        <v>4988</v>
      </c>
      <c r="H277" s="3958">
        <v>0</v>
      </c>
      <c r="J277" s="3939"/>
      <c r="N277" s="4003">
        <v>11131005</v>
      </c>
      <c r="O277" s="4004" t="s">
        <v>4034</v>
      </c>
      <c r="P277" s="3961">
        <v>0</v>
      </c>
      <c r="R277" s="3939"/>
      <c r="V277" s="4003">
        <v>11131005</v>
      </c>
      <c r="W277" s="4004" t="s">
        <v>4034</v>
      </c>
      <c r="X277" s="3961">
        <v>0</v>
      </c>
      <c r="Z277" s="3939"/>
      <c r="AD277" s="4003">
        <v>11131005</v>
      </c>
      <c r="AE277" s="4004" t="s">
        <v>4034</v>
      </c>
      <c r="AF277" s="3961">
        <v>0</v>
      </c>
    </row>
    <row r="278" spans="6:32">
      <c r="F278" s="3989">
        <v>11140000</v>
      </c>
      <c r="G278" s="4005" t="s">
        <v>4035</v>
      </c>
      <c r="H278" s="3991">
        <v>0</v>
      </c>
      <c r="J278" s="3939"/>
      <c r="N278" s="3992">
        <v>11140000</v>
      </c>
      <c r="O278" s="4006" t="s">
        <v>4035</v>
      </c>
      <c r="P278" s="3994">
        <v>0</v>
      </c>
      <c r="R278" s="3939"/>
      <c r="V278" s="3992">
        <v>11140000</v>
      </c>
      <c r="W278" s="4006" t="s">
        <v>4035</v>
      </c>
      <c r="X278" s="3994">
        <v>0</v>
      </c>
      <c r="Z278" s="3939"/>
      <c r="AD278" s="3992">
        <v>11140000</v>
      </c>
      <c r="AE278" s="4006" t="s">
        <v>4035</v>
      </c>
      <c r="AF278" s="3994">
        <v>0</v>
      </c>
    </row>
    <row r="279" spans="6:32">
      <c r="F279" s="3995">
        <v>11141000</v>
      </c>
      <c r="G279" s="4007" t="s">
        <v>4035</v>
      </c>
      <c r="H279" s="3997">
        <v>0</v>
      </c>
      <c r="J279" s="3939"/>
      <c r="N279" s="3998">
        <v>11141000</v>
      </c>
      <c r="O279" s="4008" t="s">
        <v>4035</v>
      </c>
      <c r="P279" s="4000">
        <v>0</v>
      </c>
      <c r="R279" s="3939"/>
      <c r="V279" s="3998">
        <v>11141000</v>
      </c>
      <c r="W279" s="4008" t="s">
        <v>4035</v>
      </c>
      <c r="X279" s="4000">
        <v>0</v>
      </c>
      <c r="Z279" s="3939"/>
      <c r="AD279" s="3998">
        <v>11141000</v>
      </c>
      <c r="AE279" s="4008" t="s">
        <v>4035</v>
      </c>
      <c r="AF279" s="4000">
        <v>0</v>
      </c>
    </row>
    <row r="280" spans="6:32">
      <c r="F280" s="4001">
        <v>11141001</v>
      </c>
      <c r="G280" s="4002" t="s">
        <v>4036</v>
      </c>
      <c r="H280" s="3958">
        <v>0</v>
      </c>
      <c r="J280" s="3939"/>
      <c r="N280" s="4003">
        <v>11141001</v>
      </c>
      <c r="O280" s="4004" t="s">
        <v>4036</v>
      </c>
      <c r="P280" s="3961">
        <v>0</v>
      </c>
      <c r="R280" s="3939"/>
      <c r="V280" s="4003">
        <v>11141001</v>
      </c>
      <c r="W280" s="4004" t="s">
        <v>4036</v>
      </c>
      <c r="X280" s="3961">
        <v>0</v>
      </c>
      <c r="Z280" s="3939"/>
      <c r="AD280" s="4003">
        <v>11141001</v>
      </c>
      <c r="AE280" s="4004" t="s">
        <v>4036</v>
      </c>
      <c r="AF280" s="3961">
        <v>0</v>
      </c>
    </row>
    <row r="281" spans="6:32">
      <c r="F281" s="4001">
        <v>11141002</v>
      </c>
      <c r="G281" s="4002" t="s">
        <v>4037</v>
      </c>
      <c r="H281" s="3958">
        <v>0</v>
      </c>
      <c r="J281" s="3939"/>
      <c r="N281" s="4003">
        <v>11141002</v>
      </c>
      <c r="O281" s="4004" t="s">
        <v>4037</v>
      </c>
      <c r="P281" s="3961">
        <v>0</v>
      </c>
      <c r="R281" s="3939"/>
      <c r="V281" s="4003">
        <v>11141002</v>
      </c>
      <c r="W281" s="4004" t="s">
        <v>4037</v>
      </c>
      <c r="X281" s="3961">
        <v>0</v>
      </c>
      <c r="Z281" s="3939"/>
      <c r="AD281" s="4003">
        <v>11141002</v>
      </c>
      <c r="AE281" s="4004" t="s">
        <v>4037</v>
      </c>
      <c r="AF281" s="3961">
        <v>0</v>
      </c>
    </row>
    <row r="282" spans="6:32">
      <c r="F282" s="4001">
        <v>11141003</v>
      </c>
      <c r="G282" s="4002" t="s">
        <v>4038</v>
      </c>
      <c r="H282" s="3958">
        <v>0</v>
      </c>
      <c r="J282" s="3939"/>
      <c r="N282" s="4003">
        <v>11141003</v>
      </c>
      <c r="O282" s="4004" t="s">
        <v>4038</v>
      </c>
      <c r="P282" s="3961">
        <v>0</v>
      </c>
      <c r="R282" s="3939"/>
      <c r="V282" s="4003">
        <v>11141003</v>
      </c>
      <c r="W282" s="4004" t="s">
        <v>4038</v>
      </c>
      <c r="X282" s="3961">
        <v>0</v>
      </c>
      <c r="Z282" s="3939"/>
      <c r="AD282" s="4003">
        <v>11141003</v>
      </c>
      <c r="AE282" s="4004" t="s">
        <v>4038</v>
      </c>
      <c r="AF282" s="3961">
        <v>0</v>
      </c>
    </row>
    <row r="283" spans="6:32">
      <c r="F283" s="4001">
        <v>11141004</v>
      </c>
      <c r="G283" s="4002" t="s">
        <v>4989</v>
      </c>
      <c r="H283" s="3958">
        <v>0</v>
      </c>
      <c r="J283" s="3939"/>
      <c r="N283" s="4003">
        <v>11141004</v>
      </c>
      <c r="O283" s="4004" t="s">
        <v>4039</v>
      </c>
      <c r="P283" s="3961">
        <v>0</v>
      </c>
      <c r="R283" s="3939"/>
      <c r="V283" s="4003">
        <v>11141004</v>
      </c>
      <c r="W283" s="4004" t="s">
        <v>4039</v>
      </c>
      <c r="X283" s="3961">
        <v>0</v>
      </c>
      <c r="Z283" s="3939"/>
      <c r="AD283" s="4003">
        <v>11141004</v>
      </c>
      <c r="AE283" s="4004" t="s">
        <v>4039</v>
      </c>
      <c r="AF283" s="3961">
        <v>0</v>
      </c>
    </row>
    <row r="284" spans="6:32">
      <c r="F284" s="3989">
        <v>11150000</v>
      </c>
      <c r="G284" s="4005" t="s">
        <v>4040</v>
      </c>
      <c r="H284" s="3991">
        <v>1183258994</v>
      </c>
      <c r="J284" s="3939"/>
      <c r="N284" s="3992">
        <v>11150000</v>
      </c>
      <c r="O284" s="4006" t="s">
        <v>4040</v>
      </c>
      <c r="P284" s="3994">
        <v>260048870</v>
      </c>
      <c r="R284" s="3939"/>
      <c r="V284" s="3992">
        <v>11150000</v>
      </c>
      <c r="W284" s="4006" t="s">
        <v>4040</v>
      </c>
      <c r="X284" s="3994">
        <v>0</v>
      </c>
      <c r="Z284" s="3939"/>
      <c r="AD284" s="3992">
        <v>11150000</v>
      </c>
      <c r="AE284" s="4006" t="s">
        <v>4040</v>
      </c>
      <c r="AF284" s="3994">
        <v>0</v>
      </c>
    </row>
    <row r="285" spans="6:32">
      <c r="F285" s="3995">
        <v>11151000</v>
      </c>
      <c r="G285" s="4007" t="s">
        <v>4041</v>
      </c>
      <c r="H285" s="3997">
        <v>0</v>
      </c>
      <c r="J285" s="3939"/>
      <c r="N285" s="3998">
        <v>11151000</v>
      </c>
      <c r="O285" s="4008" t="s">
        <v>4041</v>
      </c>
      <c r="P285" s="4000">
        <v>0</v>
      </c>
      <c r="R285" s="3939"/>
      <c r="V285" s="3998">
        <v>11151000</v>
      </c>
      <c r="W285" s="4008" t="s">
        <v>4041</v>
      </c>
      <c r="X285" s="4000">
        <v>0</v>
      </c>
      <c r="Z285" s="3939"/>
      <c r="AD285" s="3998">
        <v>11151000</v>
      </c>
      <c r="AE285" s="4008" t="s">
        <v>4041</v>
      </c>
      <c r="AF285" s="4000">
        <v>0</v>
      </c>
    </row>
    <row r="286" spans="6:32">
      <c r="F286" s="4001">
        <v>11151001</v>
      </c>
      <c r="G286" s="4002" t="s">
        <v>4990</v>
      </c>
      <c r="H286" s="3958">
        <v>0</v>
      </c>
      <c r="J286" s="3939"/>
      <c r="N286" s="4003">
        <v>11151001</v>
      </c>
      <c r="O286" s="4004" t="s">
        <v>4042</v>
      </c>
      <c r="P286" s="3961">
        <v>0</v>
      </c>
      <c r="R286" s="3939"/>
      <c r="V286" s="4003">
        <v>11151001</v>
      </c>
      <c r="W286" s="4004" t="s">
        <v>4042</v>
      </c>
      <c r="X286" s="3961">
        <v>0</v>
      </c>
      <c r="Z286" s="3939"/>
      <c r="AD286" s="4003">
        <v>11151001</v>
      </c>
      <c r="AE286" s="4004" t="s">
        <v>4042</v>
      </c>
      <c r="AF286" s="3961">
        <v>0</v>
      </c>
    </row>
    <row r="287" spans="6:32">
      <c r="F287" s="4001">
        <v>11151002</v>
      </c>
      <c r="G287" s="4002" t="s">
        <v>4991</v>
      </c>
      <c r="H287" s="3958">
        <v>0</v>
      </c>
      <c r="J287" s="3939"/>
      <c r="N287" s="4003">
        <v>11151002</v>
      </c>
      <c r="O287" s="4004" t="s">
        <v>4043</v>
      </c>
      <c r="P287" s="3961">
        <v>0</v>
      </c>
      <c r="R287" s="3939"/>
      <c r="V287" s="4003">
        <v>11151002</v>
      </c>
      <c r="W287" s="4004" t="s">
        <v>4043</v>
      </c>
      <c r="X287" s="3961">
        <v>0</v>
      </c>
      <c r="Z287" s="3939"/>
      <c r="AD287" s="4003">
        <v>11151002</v>
      </c>
      <c r="AE287" s="4004" t="s">
        <v>4043</v>
      </c>
      <c r="AF287" s="3961">
        <v>0</v>
      </c>
    </row>
    <row r="288" spans="6:32">
      <c r="F288" s="4001">
        <v>11151003</v>
      </c>
      <c r="G288" s="4002" t="s">
        <v>4992</v>
      </c>
      <c r="H288" s="3958">
        <v>0</v>
      </c>
      <c r="J288" s="3939"/>
      <c r="N288" s="4003">
        <v>11151003</v>
      </c>
      <c r="O288" s="4004" t="s">
        <v>4044</v>
      </c>
      <c r="P288" s="3961">
        <v>0</v>
      </c>
      <c r="R288" s="3939"/>
      <c r="V288" s="4003">
        <v>11151003</v>
      </c>
      <c r="W288" s="4004" t="s">
        <v>4044</v>
      </c>
      <c r="X288" s="3961">
        <v>0</v>
      </c>
      <c r="Z288" s="3939"/>
      <c r="AD288" s="4003">
        <v>11151003</v>
      </c>
      <c r="AE288" s="4004" t="s">
        <v>4044</v>
      </c>
      <c r="AF288" s="3961">
        <v>0</v>
      </c>
    </row>
    <row r="289" spans="6:32">
      <c r="F289" s="3995">
        <v>11151100</v>
      </c>
      <c r="G289" s="4007" t="s">
        <v>4045</v>
      </c>
      <c r="H289" s="3997">
        <v>1183258994</v>
      </c>
      <c r="J289" s="3939"/>
      <c r="N289" s="3998">
        <v>11151100</v>
      </c>
      <c r="O289" s="4008" t="s">
        <v>4045</v>
      </c>
      <c r="P289" s="4000">
        <v>260048870</v>
      </c>
      <c r="R289" s="3939"/>
      <c r="V289" s="3998">
        <v>11151100</v>
      </c>
      <c r="W289" s="4008" t="s">
        <v>4045</v>
      </c>
      <c r="X289" s="4000">
        <v>0</v>
      </c>
      <c r="Z289" s="3939"/>
      <c r="AD289" s="3998">
        <v>11151100</v>
      </c>
      <c r="AE289" s="4008" t="s">
        <v>4045</v>
      </c>
      <c r="AF289" s="4000">
        <v>0</v>
      </c>
    </row>
    <row r="290" spans="6:32">
      <c r="F290" s="4001">
        <v>11151101</v>
      </c>
      <c r="G290" s="4002" t="s">
        <v>4993</v>
      </c>
      <c r="H290" s="3958">
        <v>0</v>
      </c>
      <c r="J290" s="3939"/>
      <c r="N290" s="4003">
        <v>11151101</v>
      </c>
      <c r="O290" s="4004" t="s">
        <v>4046</v>
      </c>
      <c r="P290" s="3961">
        <v>0</v>
      </c>
      <c r="R290" s="3939"/>
      <c r="V290" s="4003">
        <v>11151101</v>
      </c>
      <c r="W290" s="4004" t="s">
        <v>4046</v>
      </c>
      <c r="X290" s="3961">
        <v>0</v>
      </c>
      <c r="Z290" s="3939"/>
      <c r="AD290" s="4003">
        <v>11151101</v>
      </c>
      <c r="AE290" s="4004" t="s">
        <v>4046</v>
      </c>
      <c r="AF290" s="3961">
        <v>0</v>
      </c>
    </row>
    <row r="291" spans="6:32">
      <c r="F291" s="4001">
        <v>11151102</v>
      </c>
      <c r="G291" s="4002" t="s">
        <v>4994</v>
      </c>
      <c r="H291" s="3958">
        <v>1183258994</v>
      </c>
      <c r="J291" s="3939"/>
      <c r="N291" s="4003">
        <v>11151102</v>
      </c>
      <c r="O291" s="4004" t="s">
        <v>4047</v>
      </c>
      <c r="P291" s="3961">
        <v>260048870</v>
      </c>
      <c r="R291" s="3939"/>
      <c r="V291" s="4003">
        <v>11151102</v>
      </c>
      <c r="W291" s="4004" t="s">
        <v>4047</v>
      </c>
      <c r="X291" s="3961">
        <v>0</v>
      </c>
      <c r="Z291" s="3939"/>
      <c r="AD291" s="4003">
        <v>11151102</v>
      </c>
      <c r="AE291" s="4004" t="s">
        <v>4047</v>
      </c>
      <c r="AF291" s="3961">
        <v>0</v>
      </c>
    </row>
    <row r="292" spans="6:32">
      <c r="F292" s="3989">
        <v>11160000</v>
      </c>
      <c r="G292" s="4005" t="s">
        <v>1588</v>
      </c>
      <c r="H292" s="3991">
        <v>22926556381</v>
      </c>
      <c r="J292" s="3939"/>
      <c r="N292" s="3992">
        <v>11160000</v>
      </c>
      <c r="O292" s="4006" t="s">
        <v>1588</v>
      </c>
      <c r="P292" s="3994">
        <v>20889301677</v>
      </c>
      <c r="R292" s="3939"/>
      <c r="V292" s="3992">
        <v>11160000</v>
      </c>
      <c r="W292" s="4006" t="s">
        <v>1588</v>
      </c>
      <c r="X292" s="3994">
        <v>22293832365</v>
      </c>
      <c r="Z292" s="3939"/>
      <c r="AD292" s="3992">
        <v>11160000</v>
      </c>
      <c r="AE292" s="4006" t="s">
        <v>1588</v>
      </c>
      <c r="AF292" s="3994">
        <v>15756279102</v>
      </c>
    </row>
    <row r="293" spans="6:32">
      <c r="F293" s="3995">
        <v>11161000</v>
      </c>
      <c r="G293" s="4007" t="s">
        <v>4048</v>
      </c>
      <c r="H293" s="3997">
        <v>0</v>
      </c>
      <c r="J293" s="3939"/>
      <c r="N293" s="3998">
        <v>11161000</v>
      </c>
      <c r="O293" s="4008" t="s">
        <v>4048</v>
      </c>
      <c r="P293" s="4000">
        <v>0</v>
      </c>
      <c r="R293" s="3939"/>
      <c r="V293" s="3998">
        <v>11161000</v>
      </c>
      <c r="W293" s="4008" t="s">
        <v>4048</v>
      </c>
      <c r="X293" s="4000">
        <v>0</v>
      </c>
      <c r="Z293" s="3939"/>
      <c r="AD293" s="3998">
        <v>11161000</v>
      </c>
      <c r="AE293" s="4008" t="s">
        <v>4048</v>
      </c>
      <c r="AF293" s="4000">
        <v>0</v>
      </c>
    </row>
    <row r="294" spans="6:32">
      <c r="F294" s="4001">
        <v>11161001</v>
      </c>
      <c r="G294" s="4002" t="s">
        <v>4048</v>
      </c>
      <c r="H294" s="3958">
        <v>0</v>
      </c>
      <c r="J294" s="3939"/>
      <c r="N294" s="4003">
        <v>11161001</v>
      </c>
      <c r="O294" s="4004" t="s">
        <v>4048</v>
      </c>
      <c r="P294" s="3961">
        <v>0</v>
      </c>
      <c r="R294" s="3939"/>
      <c r="V294" s="4003">
        <v>11161001</v>
      </c>
      <c r="W294" s="4004" t="s">
        <v>4048</v>
      </c>
      <c r="X294" s="3961">
        <v>0</v>
      </c>
      <c r="Z294" s="3939"/>
      <c r="AD294" s="4003">
        <v>11161001</v>
      </c>
      <c r="AE294" s="4004" t="s">
        <v>4048</v>
      </c>
      <c r="AF294" s="3961">
        <v>0</v>
      </c>
    </row>
    <row r="295" spans="6:32">
      <c r="F295" s="3995">
        <v>11161100</v>
      </c>
      <c r="G295" s="4007" t="s">
        <v>4049</v>
      </c>
      <c r="H295" s="3997">
        <v>0</v>
      </c>
      <c r="J295" s="3939"/>
      <c r="N295" s="3998">
        <v>11161100</v>
      </c>
      <c r="O295" s="4008" t="s">
        <v>4049</v>
      </c>
      <c r="P295" s="4000">
        <v>0</v>
      </c>
      <c r="R295" s="3939"/>
      <c r="V295" s="3998">
        <v>11161100</v>
      </c>
      <c r="W295" s="4008" t="s">
        <v>4049</v>
      </c>
      <c r="X295" s="4000">
        <v>0</v>
      </c>
      <c r="Z295" s="3939"/>
      <c r="AD295" s="3998">
        <v>11161100</v>
      </c>
      <c r="AE295" s="4008" t="s">
        <v>4049</v>
      </c>
      <c r="AF295" s="4000">
        <v>0</v>
      </c>
    </row>
    <row r="296" spans="6:32">
      <c r="F296" s="4001">
        <v>11161101</v>
      </c>
      <c r="G296" s="4002" t="s">
        <v>4049</v>
      </c>
      <c r="H296" s="3958">
        <v>0</v>
      </c>
      <c r="J296" s="3939"/>
      <c r="N296" s="4003">
        <v>11161101</v>
      </c>
      <c r="O296" s="4004" t="s">
        <v>4049</v>
      </c>
      <c r="P296" s="3961">
        <v>0</v>
      </c>
      <c r="R296" s="3939"/>
      <c r="V296" s="4003">
        <v>11161101</v>
      </c>
      <c r="W296" s="4004" t="s">
        <v>4049</v>
      </c>
      <c r="X296" s="3961">
        <v>0</v>
      </c>
      <c r="Z296" s="3939"/>
      <c r="AD296" s="4003">
        <v>11161101</v>
      </c>
      <c r="AE296" s="4004" t="s">
        <v>4049</v>
      </c>
      <c r="AF296" s="3961">
        <v>0</v>
      </c>
    </row>
    <row r="297" spans="6:32">
      <c r="F297" s="3995">
        <v>11161200</v>
      </c>
      <c r="G297" s="4007" t="s">
        <v>4050</v>
      </c>
      <c r="H297" s="3997">
        <v>10618832822</v>
      </c>
      <c r="J297" s="3939"/>
      <c r="N297" s="3998">
        <v>11161200</v>
      </c>
      <c r="O297" s="4008" t="s">
        <v>4050</v>
      </c>
      <c r="P297" s="4000">
        <v>9820284440</v>
      </c>
      <c r="R297" s="3939"/>
      <c r="V297" s="3998">
        <v>11161200</v>
      </c>
      <c r="W297" s="4008" t="s">
        <v>4050</v>
      </c>
      <c r="X297" s="4000">
        <v>11080998624</v>
      </c>
      <c r="Z297" s="3939"/>
      <c r="AD297" s="3998">
        <v>11161200</v>
      </c>
      <c r="AE297" s="4008" t="s">
        <v>4050</v>
      </c>
      <c r="AF297" s="4000">
        <v>8060435208</v>
      </c>
    </row>
    <row r="298" spans="6:32">
      <c r="F298" s="4001">
        <v>11161201</v>
      </c>
      <c r="G298" s="4002" t="s">
        <v>4050</v>
      </c>
      <c r="H298" s="3958">
        <v>10618832822</v>
      </c>
      <c r="J298" s="3939"/>
      <c r="N298" s="4003">
        <v>11161201</v>
      </c>
      <c r="O298" s="4004" t="s">
        <v>4050</v>
      </c>
      <c r="P298" s="3961">
        <v>9820284440</v>
      </c>
      <c r="R298" s="3939"/>
      <c r="V298" s="4003">
        <v>11161201</v>
      </c>
      <c r="W298" s="4004" t="s">
        <v>4050</v>
      </c>
      <c r="X298" s="3961">
        <v>11080998624</v>
      </c>
      <c r="Z298" s="3939"/>
      <c r="AD298" s="4003">
        <v>11161201</v>
      </c>
      <c r="AE298" s="4004" t="s">
        <v>4050</v>
      </c>
      <c r="AF298" s="3961">
        <v>8060435208</v>
      </c>
    </row>
    <row r="299" spans="6:32">
      <c r="F299" s="3995">
        <v>11161300</v>
      </c>
      <c r="G299" s="4007" t="s">
        <v>4051</v>
      </c>
      <c r="H299" s="3997">
        <v>0</v>
      </c>
      <c r="J299" s="3939"/>
      <c r="N299" s="3998">
        <v>11161300</v>
      </c>
      <c r="O299" s="4008" t="s">
        <v>4051</v>
      </c>
      <c r="P299" s="4000">
        <v>0</v>
      </c>
      <c r="R299" s="3939"/>
      <c r="V299" s="3998">
        <v>11161300</v>
      </c>
      <c r="W299" s="4008" t="s">
        <v>4051</v>
      </c>
      <c r="X299" s="4000">
        <v>-188438944</v>
      </c>
      <c r="Z299" s="3939"/>
      <c r="AD299" s="3998">
        <v>11161300</v>
      </c>
      <c r="AE299" s="4008" t="s">
        <v>4051</v>
      </c>
      <c r="AF299" s="4000">
        <v>-183475126</v>
      </c>
    </row>
    <row r="300" spans="6:32">
      <c r="F300" s="4001">
        <v>11161301</v>
      </c>
      <c r="G300" s="4002" t="s">
        <v>4051</v>
      </c>
      <c r="H300" s="3958">
        <v>0</v>
      </c>
      <c r="J300" s="3939"/>
      <c r="N300" s="4003">
        <v>11161301</v>
      </c>
      <c r="O300" s="4004" t="s">
        <v>4051</v>
      </c>
      <c r="P300" s="3961">
        <v>0</v>
      </c>
      <c r="R300" s="3939"/>
      <c r="V300" s="4003">
        <v>11161301</v>
      </c>
      <c r="W300" s="4004" t="s">
        <v>4051</v>
      </c>
      <c r="X300" s="3961">
        <v>-188438944</v>
      </c>
      <c r="Z300" s="3939"/>
      <c r="AD300" s="4003">
        <v>11161301</v>
      </c>
      <c r="AE300" s="4004" t="s">
        <v>4051</v>
      </c>
      <c r="AF300" s="3961">
        <v>-183475126</v>
      </c>
    </row>
    <row r="301" spans="6:32">
      <c r="F301" s="3995">
        <v>11161400</v>
      </c>
      <c r="G301" s="4007" t="s">
        <v>4052</v>
      </c>
      <c r="H301" s="3997">
        <v>0</v>
      </c>
      <c r="J301" s="3939"/>
      <c r="N301" s="3998">
        <v>11161400</v>
      </c>
      <c r="O301" s="4008" t="s">
        <v>4052</v>
      </c>
      <c r="P301" s="4000">
        <v>0</v>
      </c>
      <c r="R301" s="3939"/>
      <c r="V301" s="3998">
        <v>11161400</v>
      </c>
      <c r="W301" s="4008" t="s">
        <v>4052</v>
      </c>
      <c r="X301" s="4000">
        <v>0</v>
      </c>
      <c r="Z301" s="3939"/>
      <c r="AD301" s="3998">
        <v>11161400</v>
      </c>
      <c r="AE301" s="4008" t="s">
        <v>4052</v>
      </c>
      <c r="AF301" s="4000">
        <v>0</v>
      </c>
    </row>
    <row r="302" spans="6:32">
      <c r="F302" s="4001">
        <v>11161401</v>
      </c>
      <c r="G302" s="4002" t="s">
        <v>4052</v>
      </c>
      <c r="H302" s="3958">
        <v>0</v>
      </c>
      <c r="J302" s="3939"/>
      <c r="N302" s="4003">
        <v>11161401</v>
      </c>
      <c r="O302" s="4004" t="s">
        <v>4052</v>
      </c>
      <c r="P302" s="3961">
        <v>0</v>
      </c>
      <c r="R302" s="3939"/>
      <c r="V302" s="4003">
        <v>11161401</v>
      </c>
      <c r="W302" s="4004" t="s">
        <v>4052</v>
      </c>
      <c r="X302" s="3961">
        <v>0</v>
      </c>
      <c r="Z302" s="3939"/>
      <c r="AD302" s="4003">
        <v>11161401</v>
      </c>
      <c r="AE302" s="4004" t="s">
        <v>4052</v>
      </c>
      <c r="AF302" s="3961">
        <v>0</v>
      </c>
    </row>
    <row r="303" spans="6:32">
      <c r="F303" s="3995">
        <v>11161500</v>
      </c>
      <c r="G303" s="4007" t="s">
        <v>4053</v>
      </c>
      <c r="H303" s="3997">
        <v>0</v>
      </c>
      <c r="J303" s="3939"/>
      <c r="N303" s="3998">
        <v>11161500</v>
      </c>
      <c r="O303" s="4008" t="s">
        <v>4053</v>
      </c>
      <c r="P303" s="4000">
        <v>0</v>
      </c>
      <c r="R303" s="3939"/>
      <c r="V303" s="3998">
        <v>11161500</v>
      </c>
      <c r="W303" s="4008" t="s">
        <v>4053</v>
      </c>
      <c r="X303" s="4000">
        <v>0</v>
      </c>
      <c r="Z303" s="3939"/>
      <c r="AD303" s="3998">
        <v>11161500</v>
      </c>
      <c r="AE303" s="4008" t="s">
        <v>4053</v>
      </c>
      <c r="AF303" s="4000">
        <v>0</v>
      </c>
    </row>
    <row r="304" spans="6:32">
      <c r="F304" s="4001">
        <v>11161501</v>
      </c>
      <c r="G304" s="4002" t="s">
        <v>4053</v>
      </c>
      <c r="H304" s="3958">
        <v>0</v>
      </c>
      <c r="J304" s="3939"/>
      <c r="N304" s="4003">
        <v>11161501</v>
      </c>
      <c r="O304" s="4004" t="s">
        <v>4053</v>
      </c>
      <c r="P304" s="3961">
        <v>0</v>
      </c>
      <c r="R304" s="3939"/>
      <c r="V304" s="4003">
        <v>11161501</v>
      </c>
      <c r="W304" s="4004" t="s">
        <v>4053</v>
      </c>
      <c r="X304" s="3961">
        <v>0</v>
      </c>
      <c r="Z304" s="3939"/>
      <c r="AD304" s="4003">
        <v>11161501</v>
      </c>
      <c r="AE304" s="4004" t="s">
        <v>4053</v>
      </c>
      <c r="AF304" s="3961">
        <v>0</v>
      </c>
    </row>
    <row r="305" spans="6:32">
      <c r="F305" s="3995">
        <v>11161600</v>
      </c>
      <c r="G305" s="4007" t="s">
        <v>4054</v>
      </c>
      <c r="H305" s="3997">
        <v>9828589024</v>
      </c>
      <c r="J305" s="3939"/>
      <c r="N305" s="3998">
        <v>11161600</v>
      </c>
      <c r="O305" s="4008" t="s">
        <v>4054</v>
      </c>
      <c r="P305" s="4000">
        <v>8725584387</v>
      </c>
      <c r="R305" s="3939"/>
      <c r="V305" s="3998">
        <v>11161600</v>
      </c>
      <c r="W305" s="4008" t="s">
        <v>4054</v>
      </c>
      <c r="X305" s="4000">
        <v>10625181834</v>
      </c>
      <c r="Z305" s="3939"/>
      <c r="AD305" s="3998">
        <v>11161600</v>
      </c>
      <c r="AE305" s="4008" t="s">
        <v>4054</v>
      </c>
      <c r="AF305" s="4000">
        <v>5293982538</v>
      </c>
    </row>
    <row r="306" spans="6:32">
      <c r="F306" s="4001">
        <v>11161601</v>
      </c>
      <c r="G306" s="4002" t="s">
        <v>4054</v>
      </c>
      <c r="H306" s="3958">
        <v>9828589024</v>
      </c>
      <c r="J306" s="3939"/>
      <c r="N306" s="4003">
        <v>11161601</v>
      </c>
      <c r="O306" s="4004" t="s">
        <v>4054</v>
      </c>
      <c r="P306" s="3961">
        <v>8725584387</v>
      </c>
      <c r="R306" s="3939"/>
      <c r="V306" s="4003">
        <v>11161601</v>
      </c>
      <c r="W306" s="4004" t="s">
        <v>4054</v>
      </c>
      <c r="X306" s="3961">
        <v>10625181834</v>
      </c>
      <c r="Z306" s="3939"/>
      <c r="AD306" s="4003">
        <v>11161601</v>
      </c>
      <c r="AE306" s="4004" t="s">
        <v>4054</v>
      </c>
      <c r="AF306" s="3961">
        <v>5293982538</v>
      </c>
    </row>
    <row r="307" spans="6:32">
      <c r="F307" s="3995">
        <v>11161700</v>
      </c>
      <c r="G307" s="4007" t="s">
        <v>4055</v>
      </c>
      <c r="H307" s="3997">
        <v>0</v>
      </c>
      <c r="J307" s="3939"/>
      <c r="N307" s="3998">
        <v>11161700</v>
      </c>
      <c r="O307" s="4008" t="s">
        <v>4055</v>
      </c>
      <c r="P307" s="4000">
        <v>0</v>
      </c>
      <c r="R307" s="3939"/>
      <c r="V307" s="3998">
        <v>11161700</v>
      </c>
      <c r="W307" s="4008" t="s">
        <v>4055</v>
      </c>
      <c r="X307" s="4000">
        <v>-73264743</v>
      </c>
      <c r="Z307" s="3939"/>
      <c r="AD307" s="3998">
        <v>11161700</v>
      </c>
      <c r="AE307" s="4008" t="s">
        <v>4055</v>
      </c>
      <c r="AF307" s="4000">
        <v>-80673198</v>
      </c>
    </row>
    <row r="308" spans="6:32">
      <c r="F308" s="4001">
        <v>11161701</v>
      </c>
      <c r="G308" s="4002" t="s">
        <v>4055</v>
      </c>
      <c r="H308" s="3958">
        <v>0</v>
      </c>
      <c r="J308" s="3939"/>
      <c r="N308" s="4003">
        <v>11161701</v>
      </c>
      <c r="O308" s="4004" t="s">
        <v>4055</v>
      </c>
      <c r="P308" s="3961">
        <v>0</v>
      </c>
      <c r="R308" s="3939"/>
      <c r="V308" s="4003">
        <v>11161701</v>
      </c>
      <c r="W308" s="4004" t="s">
        <v>4055</v>
      </c>
      <c r="X308" s="3961">
        <v>-73264743</v>
      </c>
      <c r="Z308" s="3939"/>
      <c r="AD308" s="4003">
        <v>11161701</v>
      </c>
      <c r="AE308" s="4004" t="s">
        <v>4055</v>
      </c>
      <c r="AF308" s="3961">
        <v>-80673198</v>
      </c>
    </row>
    <row r="309" spans="6:32">
      <c r="F309" s="3995">
        <v>11161800</v>
      </c>
      <c r="G309" s="4007" t="s">
        <v>3920</v>
      </c>
      <c r="H309" s="3997">
        <v>2465444102</v>
      </c>
      <c r="J309" s="3939"/>
      <c r="N309" s="3998">
        <v>11161800</v>
      </c>
      <c r="O309" s="4008" t="s">
        <v>3920</v>
      </c>
      <c r="P309" s="4000">
        <v>2310758129</v>
      </c>
      <c r="R309" s="3939"/>
      <c r="V309" s="3998">
        <v>11161800</v>
      </c>
      <c r="W309" s="4008" t="s">
        <v>3920</v>
      </c>
      <c r="X309" s="4000">
        <v>845282548</v>
      </c>
      <c r="Z309" s="3939"/>
      <c r="AD309" s="3998">
        <v>11161800</v>
      </c>
      <c r="AE309" s="4008" t="s">
        <v>3920</v>
      </c>
      <c r="AF309" s="4000">
        <v>2648741526</v>
      </c>
    </row>
    <row r="310" spans="6:32">
      <c r="F310" s="4001">
        <v>11161801</v>
      </c>
      <c r="G310" s="4002" t="s">
        <v>4056</v>
      </c>
      <c r="H310" s="3958">
        <v>0</v>
      </c>
      <c r="J310" s="3939"/>
      <c r="N310" s="4003">
        <v>11161801</v>
      </c>
      <c r="O310" s="4004" t="s">
        <v>4056</v>
      </c>
      <c r="P310" s="3961">
        <v>0</v>
      </c>
      <c r="R310" s="3939"/>
      <c r="V310" s="4003">
        <v>11161801</v>
      </c>
      <c r="W310" s="4004" t="s">
        <v>4056</v>
      </c>
      <c r="X310" s="3961">
        <v>0</v>
      </c>
      <c r="Z310" s="3939"/>
      <c r="AD310" s="4003">
        <v>11161801</v>
      </c>
      <c r="AE310" s="4004" t="s">
        <v>4056</v>
      </c>
      <c r="AF310" s="3961">
        <v>0</v>
      </c>
    </row>
    <row r="311" spans="6:32">
      <c r="F311" s="4001">
        <v>11161802</v>
      </c>
      <c r="G311" s="4002" t="s">
        <v>3920</v>
      </c>
      <c r="H311" s="3958">
        <v>2465444102</v>
      </c>
      <c r="J311" s="3939"/>
      <c r="N311" s="4003">
        <v>11161802</v>
      </c>
      <c r="O311" s="4004" t="s">
        <v>3920</v>
      </c>
      <c r="P311" s="3961">
        <v>2310758129</v>
      </c>
      <c r="R311" s="3939"/>
      <c r="V311" s="4003">
        <v>11161802</v>
      </c>
      <c r="W311" s="4004" t="s">
        <v>3920</v>
      </c>
      <c r="X311" s="3961">
        <v>845282548</v>
      </c>
      <c r="Z311" s="3939"/>
      <c r="AD311" s="4003">
        <v>11161802</v>
      </c>
      <c r="AE311" s="4004" t="s">
        <v>3920</v>
      </c>
      <c r="AF311" s="3961">
        <v>2648741526</v>
      </c>
    </row>
    <row r="312" spans="6:32">
      <c r="F312" s="3995">
        <v>11161900</v>
      </c>
      <c r="G312" s="4007" t="s">
        <v>4057</v>
      </c>
      <c r="H312" s="3997">
        <v>0</v>
      </c>
      <c r="J312" s="3939"/>
      <c r="N312" s="3998">
        <v>11161900</v>
      </c>
      <c r="O312" s="4008" t="s">
        <v>4057</v>
      </c>
      <c r="P312" s="4000">
        <v>0</v>
      </c>
      <c r="R312" s="3939"/>
      <c r="V312" s="3998">
        <v>11161900</v>
      </c>
      <c r="W312" s="4008" t="s">
        <v>4057</v>
      </c>
      <c r="X312" s="4000">
        <v>-22392754</v>
      </c>
      <c r="Z312" s="3939"/>
      <c r="AD312" s="3998">
        <v>11161900</v>
      </c>
      <c r="AE312" s="4008" t="s">
        <v>4057</v>
      </c>
      <c r="AF312" s="4000">
        <v>-30226555</v>
      </c>
    </row>
    <row r="313" spans="6:32">
      <c r="F313" s="4001">
        <v>11161901</v>
      </c>
      <c r="G313" s="4002" t="s">
        <v>4057</v>
      </c>
      <c r="H313" s="3958">
        <v>0</v>
      </c>
      <c r="J313" s="3939"/>
      <c r="N313" s="4003">
        <v>11161901</v>
      </c>
      <c r="O313" s="4004" t="s">
        <v>4057</v>
      </c>
      <c r="P313" s="3961">
        <v>0</v>
      </c>
      <c r="R313" s="3939"/>
      <c r="V313" s="4003">
        <v>11161901</v>
      </c>
      <c r="W313" s="4004" t="s">
        <v>4057</v>
      </c>
      <c r="X313" s="3961">
        <v>-22392754</v>
      </c>
      <c r="Z313" s="3939"/>
      <c r="AD313" s="4003">
        <v>11161901</v>
      </c>
      <c r="AE313" s="4004" t="s">
        <v>4057</v>
      </c>
      <c r="AF313" s="3961">
        <v>-30226555</v>
      </c>
    </row>
    <row r="314" spans="6:32">
      <c r="F314" s="3995">
        <v>11162000</v>
      </c>
      <c r="G314" s="4007" t="s">
        <v>4058</v>
      </c>
      <c r="H314" s="3997">
        <v>13690433</v>
      </c>
      <c r="J314" s="3939"/>
      <c r="N314" s="3998">
        <v>11162000</v>
      </c>
      <c r="O314" s="4008" t="s">
        <v>4058</v>
      </c>
      <c r="P314" s="4000">
        <v>32674721</v>
      </c>
      <c r="R314" s="3939"/>
      <c r="V314" s="3998">
        <v>11162000</v>
      </c>
      <c r="W314" s="4008" t="s">
        <v>4058</v>
      </c>
      <c r="X314" s="4000">
        <v>26465800</v>
      </c>
      <c r="Z314" s="3939"/>
      <c r="AD314" s="3998">
        <v>11162000</v>
      </c>
      <c r="AE314" s="4008" t="s">
        <v>4058</v>
      </c>
      <c r="AF314" s="4000">
        <v>47494709</v>
      </c>
    </row>
    <row r="315" spans="6:32">
      <c r="F315" s="4001">
        <v>11162001</v>
      </c>
      <c r="G315" s="4002" t="s">
        <v>4058</v>
      </c>
      <c r="H315" s="3958">
        <v>13690433</v>
      </c>
      <c r="J315" s="3939"/>
      <c r="N315" s="4003">
        <v>11162001</v>
      </c>
      <c r="O315" s="4004" t="s">
        <v>4058</v>
      </c>
      <c r="P315" s="3961">
        <v>32674721</v>
      </c>
      <c r="R315" s="3939"/>
      <c r="V315" s="4003">
        <v>11162001</v>
      </c>
      <c r="W315" s="4004" t="s">
        <v>4058</v>
      </c>
      <c r="X315" s="3961">
        <v>26465800</v>
      </c>
      <c r="Z315" s="3939"/>
      <c r="AD315" s="4003">
        <v>11162001</v>
      </c>
      <c r="AE315" s="4004" t="s">
        <v>4058</v>
      </c>
      <c r="AF315" s="3961">
        <v>47494709</v>
      </c>
    </row>
    <row r="316" spans="6:32">
      <c r="F316" s="3995">
        <v>11162100</v>
      </c>
      <c r="G316" s="4007" t="s">
        <v>4059</v>
      </c>
      <c r="H316" s="3997">
        <v>0</v>
      </c>
      <c r="J316" s="3939"/>
      <c r="N316" s="3998">
        <v>11162100</v>
      </c>
      <c r="O316" s="4008" t="s">
        <v>4059</v>
      </c>
      <c r="P316" s="4000">
        <v>0</v>
      </c>
      <c r="R316" s="3939"/>
      <c r="V316" s="3998">
        <v>11162100</v>
      </c>
      <c r="W316" s="4008" t="s">
        <v>4059</v>
      </c>
      <c r="X316" s="4000">
        <v>0</v>
      </c>
      <c r="Z316" s="3939"/>
      <c r="AD316" s="3998">
        <v>11162100</v>
      </c>
      <c r="AE316" s="4008" t="s">
        <v>4059</v>
      </c>
      <c r="AF316" s="4000">
        <v>0</v>
      </c>
    </row>
    <row r="317" spans="6:32">
      <c r="F317" s="4001">
        <v>11162101</v>
      </c>
      <c r="G317" s="4002" t="s">
        <v>4059</v>
      </c>
      <c r="H317" s="3958">
        <v>0</v>
      </c>
      <c r="J317" s="3939"/>
      <c r="N317" s="4003">
        <v>11162101</v>
      </c>
      <c r="O317" s="4004" t="s">
        <v>4059</v>
      </c>
      <c r="P317" s="3961">
        <v>0</v>
      </c>
      <c r="R317" s="3939"/>
      <c r="V317" s="4003">
        <v>11162101</v>
      </c>
      <c r="W317" s="4004" t="s">
        <v>4059</v>
      </c>
      <c r="X317" s="3961">
        <v>0</v>
      </c>
      <c r="Z317" s="3939"/>
      <c r="AD317" s="4003">
        <v>11162101</v>
      </c>
      <c r="AE317" s="4004" t="s">
        <v>4059</v>
      </c>
      <c r="AF317" s="3961">
        <v>0</v>
      </c>
    </row>
    <row r="318" spans="6:32">
      <c r="F318" s="3995">
        <v>11162200</v>
      </c>
      <c r="G318" s="4007" t="s">
        <v>4060</v>
      </c>
      <c r="H318" s="3997">
        <v>0</v>
      </c>
      <c r="J318" s="3939"/>
      <c r="N318" s="3998">
        <v>11162200</v>
      </c>
      <c r="O318" s="4008" t="s">
        <v>4060</v>
      </c>
      <c r="P318" s="4000">
        <v>0</v>
      </c>
      <c r="R318" s="3939"/>
      <c r="V318" s="3998">
        <v>11162200</v>
      </c>
      <c r="W318" s="4008" t="s">
        <v>4060</v>
      </c>
      <c r="X318" s="4000">
        <v>0</v>
      </c>
      <c r="Z318" s="3939"/>
      <c r="AD318" s="3998">
        <v>11162200</v>
      </c>
      <c r="AE318" s="4008" t="s">
        <v>4060</v>
      </c>
      <c r="AF318" s="4000">
        <v>0</v>
      </c>
    </row>
    <row r="319" spans="6:32">
      <c r="F319" s="4001">
        <v>11162201</v>
      </c>
      <c r="G319" s="4002" t="s">
        <v>4061</v>
      </c>
      <c r="H319" s="3958">
        <v>0</v>
      </c>
      <c r="J319" s="3939"/>
      <c r="N319" s="4003">
        <v>11162201</v>
      </c>
      <c r="O319" s="4004" t="s">
        <v>4061</v>
      </c>
      <c r="P319" s="3961">
        <v>0</v>
      </c>
      <c r="R319" s="3939"/>
      <c r="V319" s="4003">
        <v>11162201</v>
      </c>
      <c r="W319" s="4004" t="s">
        <v>4061</v>
      </c>
      <c r="X319" s="3961">
        <v>0</v>
      </c>
      <c r="Z319" s="3939"/>
      <c r="AD319" s="4003">
        <v>11162201</v>
      </c>
      <c r="AE319" s="4004" t="s">
        <v>4061</v>
      </c>
      <c r="AF319" s="3961">
        <v>0</v>
      </c>
    </row>
    <row r="320" spans="6:32">
      <c r="F320" s="4001">
        <v>11162202</v>
      </c>
      <c r="G320" s="4002" t="s">
        <v>4062</v>
      </c>
      <c r="H320" s="3958">
        <v>0</v>
      </c>
      <c r="J320" s="3939"/>
      <c r="N320" s="4003">
        <v>11162202</v>
      </c>
      <c r="O320" s="4004" t="s">
        <v>4062</v>
      </c>
      <c r="P320" s="3961">
        <v>0</v>
      </c>
      <c r="R320" s="3939"/>
      <c r="V320" s="4003">
        <v>11162202</v>
      </c>
      <c r="W320" s="4004" t="s">
        <v>4062</v>
      </c>
      <c r="X320" s="3961">
        <v>0</v>
      </c>
      <c r="Z320" s="3939"/>
      <c r="AD320" s="4003">
        <v>11162202</v>
      </c>
      <c r="AE320" s="4004" t="s">
        <v>4062</v>
      </c>
      <c r="AF320" s="3961">
        <v>0</v>
      </c>
    </row>
    <row r="321" spans="6:32">
      <c r="F321" s="4001">
        <v>11162203</v>
      </c>
      <c r="G321" s="4002" t="s">
        <v>4063</v>
      </c>
      <c r="H321" s="3958">
        <v>0</v>
      </c>
      <c r="J321" s="3939"/>
      <c r="N321" s="4003">
        <v>11162203</v>
      </c>
      <c r="O321" s="4004" t="s">
        <v>4063</v>
      </c>
      <c r="P321" s="3961">
        <v>0</v>
      </c>
      <c r="R321" s="3939"/>
      <c r="V321" s="4003">
        <v>11162203</v>
      </c>
      <c r="W321" s="4004" t="s">
        <v>4063</v>
      </c>
      <c r="X321" s="3961">
        <v>0</v>
      </c>
      <c r="Z321" s="3939"/>
      <c r="AD321" s="4003">
        <v>11162203</v>
      </c>
      <c r="AE321" s="4004" t="s">
        <v>4063</v>
      </c>
      <c r="AF321" s="3961">
        <v>0</v>
      </c>
    </row>
    <row r="322" spans="6:32">
      <c r="F322" s="4001">
        <v>11162204</v>
      </c>
      <c r="G322" s="4002" t="s">
        <v>4064</v>
      </c>
      <c r="H322" s="3958">
        <v>0</v>
      </c>
      <c r="J322" s="3939"/>
      <c r="N322" s="4003">
        <v>11162204</v>
      </c>
      <c r="O322" s="4004" t="s">
        <v>4064</v>
      </c>
      <c r="P322" s="3961">
        <v>0</v>
      </c>
      <c r="R322" s="3939"/>
      <c r="V322" s="4003">
        <v>11162204</v>
      </c>
      <c r="W322" s="4004" t="s">
        <v>4064</v>
      </c>
      <c r="X322" s="3961">
        <v>0</v>
      </c>
      <c r="Z322" s="3939"/>
      <c r="AD322" s="4003">
        <v>11162204</v>
      </c>
      <c r="AE322" s="4004" t="s">
        <v>4064</v>
      </c>
      <c r="AF322" s="3961">
        <v>0</v>
      </c>
    </row>
    <row r="323" spans="6:32">
      <c r="F323" s="3995">
        <v>11162300</v>
      </c>
      <c r="G323" s="4007" t="s">
        <v>4065</v>
      </c>
      <c r="H323" s="3997">
        <v>0</v>
      </c>
      <c r="J323" s="3939"/>
      <c r="N323" s="3998">
        <v>11162300</v>
      </c>
      <c r="O323" s="4008" t="s">
        <v>4065</v>
      </c>
      <c r="P323" s="4000">
        <v>0</v>
      </c>
      <c r="R323" s="3939"/>
      <c r="V323" s="3998">
        <v>11162300</v>
      </c>
      <c r="W323" s="4008" t="s">
        <v>4065</v>
      </c>
      <c r="X323" s="4000">
        <v>0</v>
      </c>
      <c r="Z323" s="3939"/>
      <c r="AD323" s="3998">
        <v>11162300</v>
      </c>
      <c r="AE323" s="4008" t="s">
        <v>4065</v>
      </c>
      <c r="AF323" s="4000">
        <v>0</v>
      </c>
    </row>
    <row r="324" spans="6:32">
      <c r="F324" s="4001">
        <v>11162301</v>
      </c>
      <c r="G324" s="4002" t="s">
        <v>4065</v>
      </c>
      <c r="H324" s="3958">
        <v>0</v>
      </c>
      <c r="J324" s="3939"/>
      <c r="N324" s="4003">
        <v>11162301</v>
      </c>
      <c r="O324" s="4004" t="s">
        <v>4065</v>
      </c>
      <c r="P324" s="3961">
        <v>0</v>
      </c>
      <c r="R324" s="3939"/>
      <c r="V324" s="4003">
        <v>11162301</v>
      </c>
      <c r="W324" s="4004" t="s">
        <v>4065</v>
      </c>
      <c r="X324" s="3961">
        <v>0</v>
      </c>
      <c r="Z324" s="3939"/>
      <c r="AD324" s="4003">
        <v>11162301</v>
      </c>
      <c r="AE324" s="4004" t="s">
        <v>4065</v>
      </c>
      <c r="AF324" s="3961">
        <v>0</v>
      </c>
    </row>
    <row r="325" spans="6:32">
      <c r="F325" s="3995">
        <v>11162400</v>
      </c>
      <c r="G325" s="4007" t="s">
        <v>4066</v>
      </c>
      <c r="H325" s="3997">
        <v>0</v>
      </c>
      <c r="J325" s="3939"/>
      <c r="N325" s="3998">
        <v>11162400</v>
      </c>
      <c r="O325" s="4008" t="s">
        <v>4066</v>
      </c>
      <c r="P325" s="4000">
        <v>0</v>
      </c>
      <c r="R325" s="3939"/>
      <c r="V325" s="3998">
        <v>11162400</v>
      </c>
      <c r="W325" s="4008" t="s">
        <v>4066</v>
      </c>
      <c r="X325" s="4000">
        <v>0</v>
      </c>
      <c r="Z325" s="3939"/>
      <c r="AD325" s="3998">
        <v>11162400</v>
      </c>
      <c r="AE325" s="4008" t="s">
        <v>4066</v>
      </c>
      <c r="AF325" s="4000">
        <v>0</v>
      </c>
    </row>
    <row r="326" spans="6:32">
      <c r="F326" s="4001">
        <v>11162401</v>
      </c>
      <c r="G326" s="4002" t="s">
        <v>4995</v>
      </c>
      <c r="H326" s="3958">
        <v>0</v>
      </c>
      <c r="J326" s="3939"/>
      <c r="N326" s="4003">
        <v>11162401</v>
      </c>
      <c r="O326" s="4004" t="s">
        <v>4067</v>
      </c>
      <c r="P326" s="3961">
        <v>0</v>
      </c>
      <c r="R326" s="3939"/>
      <c r="V326" s="4003">
        <v>11162401</v>
      </c>
      <c r="W326" s="4004" t="s">
        <v>4067</v>
      </c>
      <c r="X326" s="3961">
        <v>0</v>
      </c>
      <c r="Z326" s="3939"/>
      <c r="AD326" s="4003">
        <v>11162401</v>
      </c>
      <c r="AE326" s="4004" t="s">
        <v>4067</v>
      </c>
      <c r="AF326" s="3961">
        <v>0</v>
      </c>
    </row>
    <row r="327" spans="6:32">
      <c r="F327" s="3995">
        <v>11162500</v>
      </c>
      <c r="G327" s="4007" t="s">
        <v>4068</v>
      </c>
      <c r="H327" s="3997">
        <v>0</v>
      </c>
      <c r="J327" s="3939"/>
      <c r="N327" s="3998">
        <v>11162500</v>
      </c>
      <c r="O327" s="4008" t="s">
        <v>4068</v>
      </c>
      <c r="P327" s="4000">
        <v>0</v>
      </c>
      <c r="R327" s="3939"/>
      <c r="V327" s="3998">
        <v>11162500</v>
      </c>
      <c r="W327" s="4008" t="s">
        <v>4068</v>
      </c>
      <c r="X327" s="4000">
        <v>0</v>
      </c>
      <c r="Z327" s="3939"/>
      <c r="AD327" s="3998">
        <v>11162500</v>
      </c>
      <c r="AE327" s="4008" t="s">
        <v>4068</v>
      </c>
      <c r="AF327" s="4000">
        <v>0</v>
      </c>
    </row>
    <row r="328" spans="6:32">
      <c r="F328" s="4001">
        <v>11162501</v>
      </c>
      <c r="G328" s="4002" t="s">
        <v>4068</v>
      </c>
      <c r="H328" s="3958">
        <v>0</v>
      </c>
      <c r="J328" s="3939"/>
      <c r="N328" s="4003">
        <v>11162501</v>
      </c>
      <c r="O328" s="4004" t="s">
        <v>4068</v>
      </c>
      <c r="P328" s="3961">
        <v>0</v>
      </c>
      <c r="R328" s="3939"/>
      <c r="V328" s="4003">
        <v>11162501</v>
      </c>
      <c r="W328" s="4004" t="s">
        <v>4068</v>
      </c>
      <c r="X328" s="3961">
        <v>0</v>
      </c>
      <c r="Z328" s="3939"/>
      <c r="AD328" s="4003">
        <v>11162501</v>
      </c>
      <c r="AE328" s="4004" t="s">
        <v>4068</v>
      </c>
      <c r="AF328" s="3961">
        <v>0</v>
      </c>
    </row>
    <row r="329" spans="6:32">
      <c r="F329" s="3989">
        <v>11170000</v>
      </c>
      <c r="G329" s="4005" t="s">
        <v>4069</v>
      </c>
      <c r="H329" s="3991">
        <v>0</v>
      </c>
      <c r="J329" s="3939"/>
      <c r="N329" s="3992">
        <v>11170000</v>
      </c>
      <c r="O329" s="4006" t="s">
        <v>4069</v>
      </c>
      <c r="P329" s="3994">
        <v>0</v>
      </c>
      <c r="R329" s="3939"/>
      <c r="V329" s="3992">
        <v>11170000</v>
      </c>
      <c r="W329" s="4006" t="s">
        <v>4069</v>
      </c>
      <c r="X329" s="3994">
        <v>0</v>
      </c>
      <c r="Z329" s="3939"/>
      <c r="AD329" s="3992">
        <v>11170000</v>
      </c>
      <c r="AE329" s="4006" t="s">
        <v>4069</v>
      </c>
      <c r="AF329" s="3994">
        <v>0</v>
      </c>
    </row>
    <row r="330" spans="6:32">
      <c r="F330" s="3995">
        <v>11171000</v>
      </c>
      <c r="G330" s="4007" t="s">
        <v>4069</v>
      </c>
      <c r="H330" s="3997">
        <v>0</v>
      </c>
      <c r="J330" s="3939"/>
      <c r="N330" s="3998">
        <v>11171000</v>
      </c>
      <c r="O330" s="4008" t="s">
        <v>4069</v>
      </c>
      <c r="P330" s="4000">
        <v>0</v>
      </c>
      <c r="R330" s="3939"/>
      <c r="V330" s="3998">
        <v>11171000</v>
      </c>
      <c r="W330" s="4008" t="s">
        <v>4069</v>
      </c>
      <c r="X330" s="4000">
        <v>0</v>
      </c>
      <c r="Z330" s="3939"/>
      <c r="AD330" s="3998">
        <v>11171000</v>
      </c>
      <c r="AE330" s="4008" t="s">
        <v>4069</v>
      </c>
      <c r="AF330" s="4000">
        <v>0</v>
      </c>
    </row>
    <row r="331" spans="6:32">
      <c r="F331" s="4001">
        <v>11171001</v>
      </c>
      <c r="G331" s="4002" t="s">
        <v>4996</v>
      </c>
      <c r="H331" s="3958">
        <v>0</v>
      </c>
      <c r="J331" s="3939"/>
      <c r="N331" s="4003">
        <v>11171001</v>
      </c>
      <c r="O331" s="4004" t="s">
        <v>4069</v>
      </c>
      <c r="P331" s="3961">
        <v>0</v>
      </c>
      <c r="R331" s="3939"/>
      <c r="V331" s="4003">
        <v>11171001</v>
      </c>
      <c r="W331" s="4004" t="s">
        <v>4069</v>
      </c>
      <c r="X331" s="3961">
        <v>0</v>
      </c>
      <c r="Z331" s="3939"/>
      <c r="AD331" s="4003">
        <v>11171001</v>
      </c>
      <c r="AE331" s="4004" t="s">
        <v>4069</v>
      </c>
      <c r="AF331" s="3961">
        <v>0</v>
      </c>
    </row>
    <row r="332" spans="6:32">
      <c r="F332" s="4001">
        <v>11171002</v>
      </c>
      <c r="G332" s="4002" t="s">
        <v>4997</v>
      </c>
      <c r="H332" s="3958">
        <v>0</v>
      </c>
      <c r="J332" s="3939"/>
      <c r="N332" s="4003">
        <v>11171002</v>
      </c>
      <c r="O332" s="4004" t="s">
        <v>4070</v>
      </c>
      <c r="P332" s="3961">
        <v>0</v>
      </c>
      <c r="R332" s="3939"/>
      <c r="V332" s="4003">
        <v>11171002</v>
      </c>
      <c r="W332" s="4004" t="s">
        <v>4070</v>
      </c>
      <c r="X332" s="3961">
        <v>0</v>
      </c>
      <c r="Z332" s="3939"/>
      <c r="AD332" s="4003">
        <v>11171002</v>
      </c>
      <c r="AE332" s="4004" t="s">
        <v>4070</v>
      </c>
      <c r="AF332" s="3961">
        <v>0</v>
      </c>
    </row>
    <row r="333" spans="6:32">
      <c r="F333" s="4001">
        <v>11171003</v>
      </c>
      <c r="G333" s="4002" t="s">
        <v>4998</v>
      </c>
      <c r="H333" s="3958">
        <v>0</v>
      </c>
      <c r="J333" s="3939"/>
      <c r="N333" s="4003">
        <v>11171003</v>
      </c>
      <c r="O333" s="4004" t="s">
        <v>4071</v>
      </c>
      <c r="P333" s="3961">
        <v>0</v>
      </c>
      <c r="R333" s="3939"/>
      <c r="V333" s="4003">
        <v>11171003</v>
      </c>
      <c r="W333" s="4004" t="s">
        <v>4071</v>
      </c>
      <c r="X333" s="3961">
        <v>0</v>
      </c>
      <c r="Z333" s="3939"/>
      <c r="AD333" s="4003">
        <v>11171003</v>
      </c>
      <c r="AE333" s="4004" t="s">
        <v>4071</v>
      </c>
      <c r="AF333" s="3961">
        <v>0</v>
      </c>
    </row>
    <row r="334" spans="6:32">
      <c r="F334" s="3989">
        <v>11180000</v>
      </c>
      <c r="G334" s="4005" t="s">
        <v>4072</v>
      </c>
      <c r="H334" s="3991">
        <v>0</v>
      </c>
      <c r="J334" s="3939"/>
      <c r="N334" s="3992">
        <v>11180000</v>
      </c>
      <c r="O334" s="4006" t="s">
        <v>4072</v>
      </c>
      <c r="P334" s="3994">
        <v>0</v>
      </c>
      <c r="R334" s="3939"/>
      <c r="V334" s="3992">
        <v>11180000</v>
      </c>
      <c r="W334" s="4006" t="s">
        <v>4072</v>
      </c>
      <c r="X334" s="3994">
        <v>0</v>
      </c>
      <c r="Z334" s="3939"/>
      <c r="AD334" s="3992">
        <v>11180000</v>
      </c>
      <c r="AE334" s="4006" t="s">
        <v>4072</v>
      </c>
      <c r="AF334" s="3994">
        <v>0</v>
      </c>
    </row>
    <row r="335" spans="6:32">
      <c r="F335" s="3995">
        <v>11181000</v>
      </c>
      <c r="G335" s="4007" t="s">
        <v>4072</v>
      </c>
      <c r="H335" s="3997">
        <v>0</v>
      </c>
      <c r="J335" s="3939"/>
      <c r="N335" s="3998">
        <v>11181000</v>
      </c>
      <c r="O335" s="4008" t="s">
        <v>4072</v>
      </c>
      <c r="P335" s="4000">
        <v>0</v>
      </c>
      <c r="R335" s="3939"/>
      <c r="V335" s="3998">
        <v>11181000</v>
      </c>
      <c r="W335" s="4008" t="s">
        <v>4072</v>
      </c>
      <c r="X335" s="4000">
        <v>0</v>
      </c>
      <c r="Z335" s="3939"/>
      <c r="AD335" s="3998">
        <v>11181000</v>
      </c>
      <c r="AE335" s="4008" t="s">
        <v>4072</v>
      </c>
      <c r="AF335" s="4000">
        <v>0</v>
      </c>
    </row>
    <row r="336" spans="6:32">
      <c r="F336" s="4001">
        <v>11181001</v>
      </c>
      <c r="G336" s="4002" t="s">
        <v>4072</v>
      </c>
      <c r="H336" s="3958">
        <v>0</v>
      </c>
      <c r="J336" s="3939"/>
      <c r="N336" s="4003">
        <v>11181001</v>
      </c>
      <c r="O336" s="4004" t="s">
        <v>4072</v>
      </c>
      <c r="P336" s="3961">
        <v>0</v>
      </c>
      <c r="R336" s="3939"/>
      <c r="V336" s="4003">
        <v>11181001</v>
      </c>
      <c r="W336" s="4004" t="s">
        <v>4072</v>
      </c>
      <c r="X336" s="3961">
        <v>0</v>
      </c>
      <c r="Z336" s="3939"/>
      <c r="AD336" s="4003">
        <v>11181001</v>
      </c>
      <c r="AE336" s="4004" t="s">
        <v>4072</v>
      </c>
      <c r="AF336" s="3961">
        <v>0</v>
      </c>
    </row>
    <row r="337" spans="6:32">
      <c r="F337" s="3989">
        <v>11190000</v>
      </c>
      <c r="G337" s="4005" t="s">
        <v>4073</v>
      </c>
      <c r="H337" s="3991">
        <v>1258633138</v>
      </c>
      <c r="J337" s="3939"/>
      <c r="N337" s="3992">
        <v>11190000</v>
      </c>
      <c r="O337" s="4006" t="s">
        <v>4073</v>
      </c>
      <c r="P337" s="3994">
        <v>1098785625</v>
      </c>
      <c r="R337" s="3939"/>
      <c r="V337" s="3992">
        <v>11190000</v>
      </c>
      <c r="W337" s="4006" t="s">
        <v>4073</v>
      </c>
      <c r="X337" s="3994">
        <v>1471620731</v>
      </c>
      <c r="Z337" s="3939"/>
      <c r="AD337" s="3992">
        <v>11190000</v>
      </c>
      <c r="AE337" s="4006" t="s">
        <v>4073</v>
      </c>
      <c r="AF337" s="3994">
        <v>707177098</v>
      </c>
    </row>
    <row r="338" spans="6:32">
      <c r="F338" s="3995">
        <v>11191000</v>
      </c>
      <c r="G338" s="4007" t="s">
        <v>4074</v>
      </c>
      <c r="H338" s="3997">
        <v>0</v>
      </c>
      <c r="J338" s="3939"/>
      <c r="N338" s="3998">
        <v>11191000</v>
      </c>
      <c r="O338" s="4008" t="s">
        <v>4074</v>
      </c>
      <c r="P338" s="4000">
        <v>0</v>
      </c>
      <c r="R338" s="3939"/>
      <c r="V338" s="3998">
        <v>11191000</v>
      </c>
      <c r="W338" s="4008" t="s">
        <v>4074</v>
      </c>
      <c r="X338" s="4000">
        <v>0</v>
      </c>
      <c r="Z338" s="3939"/>
      <c r="AD338" s="3998">
        <v>11191000</v>
      </c>
      <c r="AE338" s="4008" t="s">
        <v>4074</v>
      </c>
      <c r="AF338" s="4000">
        <v>0</v>
      </c>
    </row>
    <row r="339" spans="6:32">
      <c r="F339" s="4001">
        <v>11191001</v>
      </c>
      <c r="G339" s="4002" t="s">
        <v>4074</v>
      </c>
      <c r="H339" s="3958">
        <v>0</v>
      </c>
      <c r="J339" s="3939"/>
      <c r="N339" s="4003">
        <v>11191001</v>
      </c>
      <c r="O339" s="4004" t="s">
        <v>4074</v>
      </c>
      <c r="P339" s="3961">
        <v>0</v>
      </c>
      <c r="R339" s="3939"/>
      <c r="V339" s="4003">
        <v>11191001</v>
      </c>
      <c r="W339" s="4004" t="s">
        <v>4074</v>
      </c>
      <c r="X339" s="3961">
        <v>0</v>
      </c>
      <c r="Z339" s="3939"/>
      <c r="AD339" s="4003">
        <v>11191001</v>
      </c>
      <c r="AE339" s="4004" t="s">
        <v>4074</v>
      </c>
      <c r="AF339" s="3961">
        <v>0</v>
      </c>
    </row>
    <row r="340" spans="6:32">
      <c r="F340" s="4001">
        <v>11191002</v>
      </c>
      <c r="G340" s="4002" t="s">
        <v>4999</v>
      </c>
      <c r="H340" s="3958">
        <v>0</v>
      </c>
      <c r="J340" s="3939"/>
      <c r="N340" s="4003">
        <v>11191002</v>
      </c>
      <c r="O340" s="4004" t="s">
        <v>4075</v>
      </c>
      <c r="P340" s="3961">
        <v>0</v>
      </c>
      <c r="R340" s="3939"/>
      <c r="V340" s="4003">
        <v>11191002</v>
      </c>
      <c r="W340" s="4004" t="s">
        <v>4075</v>
      </c>
      <c r="X340" s="3961">
        <v>0</v>
      </c>
      <c r="Z340" s="3939"/>
      <c r="AD340" s="4003">
        <v>11191002</v>
      </c>
      <c r="AE340" s="4004" t="s">
        <v>4075</v>
      </c>
      <c r="AF340" s="3961">
        <v>0</v>
      </c>
    </row>
    <row r="341" spans="6:32">
      <c r="F341" s="4001">
        <v>11191003</v>
      </c>
      <c r="G341" s="4002" t="s">
        <v>5000</v>
      </c>
      <c r="H341" s="3958">
        <v>0</v>
      </c>
      <c r="J341" s="3939"/>
      <c r="N341" s="4003">
        <v>11191003</v>
      </c>
      <c r="O341" s="4004" t="s">
        <v>4076</v>
      </c>
      <c r="P341" s="3961">
        <v>0</v>
      </c>
      <c r="R341" s="3939"/>
      <c r="V341" s="4003">
        <v>11191003</v>
      </c>
      <c r="W341" s="4004" t="s">
        <v>4076</v>
      </c>
      <c r="X341" s="3961">
        <v>0</v>
      </c>
      <c r="Z341" s="3939"/>
      <c r="AD341" s="4003">
        <v>11191003</v>
      </c>
      <c r="AE341" s="4004" t="s">
        <v>4076</v>
      </c>
      <c r="AF341" s="3961">
        <v>0</v>
      </c>
    </row>
    <row r="342" spans="6:32">
      <c r="F342" s="3995">
        <v>11191100</v>
      </c>
      <c r="G342" s="4007" t="s">
        <v>4077</v>
      </c>
      <c r="H342" s="3997">
        <v>927210668</v>
      </c>
      <c r="J342" s="3939"/>
      <c r="N342" s="3998">
        <v>11191100</v>
      </c>
      <c r="O342" s="4008" t="s">
        <v>4077</v>
      </c>
      <c r="P342" s="4000">
        <v>1063274375</v>
      </c>
      <c r="R342" s="3939"/>
      <c r="V342" s="3998">
        <v>11191100</v>
      </c>
      <c r="W342" s="4008" t="s">
        <v>4077</v>
      </c>
      <c r="X342" s="4000">
        <v>1425198725</v>
      </c>
      <c r="Z342" s="3939"/>
      <c r="AD342" s="3998">
        <v>11191100</v>
      </c>
      <c r="AE342" s="4008" t="s">
        <v>4077</v>
      </c>
      <c r="AF342" s="4000">
        <v>661812052</v>
      </c>
    </row>
    <row r="343" spans="6:32">
      <c r="F343" s="4001">
        <v>11191101</v>
      </c>
      <c r="G343" s="4002" t="s">
        <v>4078</v>
      </c>
      <c r="H343" s="3958">
        <v>927210668</v>
      </c>
      <c r="J343" s="3939"/>
      <c r="N343" s="4003">
        <v>11191101</v>
      </c>
      <c r="O343" s="4004" t="s">
        <v>4078</v>
      </c>
      <c r="P343" s="3961">
        <v>1063274375</v>
      </c>
      <c r="R343" s="3939"/>
      <c r="V343" s="4003">
        <v>11191101</v>
      </c>
      <c r="W343" s="4004" t="s">
        <v>4078</v>
      </c>
      <c r="X343" s="3961">
        <v>1425198725</v>
      </c>
      <c r="Z343" s="3939"/>
      <c r="AD343" s="4003">
        <v>11191101</v>
      </c>
      <c r="AE343" s="4004" t="s">
        <v>4078</v>
      </c>
      <c r="AF343" s="3961">
        <v>661812052</v>
      </c>
    </row>
    <row r="344" spans="6:32">
      <c r="F344" s="3995">
        <v>11191200</v>
      </c>
      <c r="G344" s="4007" t="s">
        <v>4079</v>
      </c>
      <c r="H344" s="3997">
        <v>60091</v>
      </c>
      <c r="J344" s="3939"/>
      <c r="N344" s="3998">
        <v>11191200</v>
      </c>
      <c r="O344" s="4008" t="s">
        <v>4079</v>
      </c>
      <c r="P344" s="4000">
        <v>385000</v>
      </c>
      <c r="R344" s="3939"/>
      <c r="V344" s="3998">
        <v>11191200</v>
      </c>
      <c r="W344" s="4008" t="s">
        <v>4079</v>
      </c>
      <c r="X344" s="4000">
        <v>0</v>
      </c>
      <c r="Z344" s="3939"/>
      <c r="AD344" s="3998">
        <v>11191200</v>
      </c>
      <c r="AE344" s="4008" t="s">
        <v>4079</v>
      </c>
      <c r="AF344" s="4000">
        <v>0</v>
      </c>
    </row>
    <row r="345" spans="6:32">
      <c r="F345" s="4001">
        <v>11191201</v>
      </c>
      <c r="G345" s="4002" t="s">
        <v>4079</v>
      </c>
      <c r="H345" s="3958">
        <v>60091</v>
      </c>
      <c r="J345" s="3939"/>
      <c r="N345" s="4003">
        <v>11191201</v>
      </c>
      <c r="O345" s="4004" t="s">
        <v>4079</v>
      </c>
      <c r="P345" s="3961">
        <v>385000</v>
      </c>
      <c r="R345" s="3939"/>
      <c r="V345" s="4003">
        <v>11191201</v>
      </c>
      <c r="W345" s="4004" t="s">
        <v>4079</v>
      </c>
      <c r="X345" s="3961">
        <v>0</v>
      </c>
      <c r="Z345" s="3939"/>
      <c r="AD345" s="4003">
        <v>11191201</v>
      </c>
      <c r="AE345" s="4004" t="s">
        <v>4079</v>
      </c>
      <c r="AF345" s="3961">
        <v>0</v>
      </c>
    </row>
    <row r="346" spans="6:32">
      <c r="F346" s="3995">
        <v>11191300</v>
      </c>
      <c r="G346" s="4007" t="s">
        <v>4080</v>
      </c>
      <c r="H346" s="3997">
        <v>0</v>
      </c>
      <c r="J346" s="3939"/>
      <c r="N346" s="3998">
        <v>11191300</v>
      </c>
      <c r="O346" s="4008" t="s">
        <v>4080</v>
      </c>
      <c r="P346" s="4000">
        <v>0</v>
      </c>
      <c r="R346" s="3939"/>
      <c r="V346" s="3998">
        <v>11191300</v>
      </c>
      <c r="W346" s="4008" t="s">
        <v>4080</v>
      </c>
      <c r="X346" s="4000">
        <v>0</v>
      </c>
      <c r="Z346" s="3939"/>
      <c r="AD346" s="3998">
        <v>11191300</v>
      </c>
      <c r="AE346" s="4008" t="s">
        <v>4080</v>
      </c>
      <c r="AF346" s="4000">
        <v>0</v>
      </c>
    </row>
    <row r="347" spans="6:32">
      <c r="F347" s="4001">
        <v>11191301</v>
      </c>
      <c r="G347" s="4002" t="s">
        <v>4080</v>
      </c>
      <c r="H347" s="3958">
        <v>0</v>
      </c>
      <c r="J347" s="3939"/>
      <c r="N347" s="4003">
        <v>11191301</v>
      </c>
      <c r="O347" s="4004" t="s">
        <v>4080</v>
      </c>
      <c r="P347" s="3961">
        <v>0</v>
      </c>
      <c r="R347" s="3939"/>
      <c r="V347" s="4003">
        <v>11191301</v>
      </c>
      <c r="W347" s="4004" t="s">
        <v>4080</v>
      </c>
      <c r="X347" s="3961">
        <v>0</v>
      </c>
      <c r="Z347" s="3939"/>
      <c r="AD347" s="4003">
        <v>11191301</v>
      </c>
      <c r="AE347" s="4004" t="s">
        <v>4080</v>
      </c>
      <c r="AF347" s="3961">
        <v>0</v>
      </c>
    </row>
    <row r="348" spans="6:32">
      <c r="F348" s="3995">
        <v>11191400</v>
      </c>
      <c r="G348" s="4007" t="s">
        <v>4081</v>
      </c>
      <c r="H348" s="3997">
        <v>0</v>
      </c>
      <c r="J348" s="3939"/>
      <c r="N348" s="3998">
        <v>11191400</v>
      </c>
      <c r="O348" s="4008" t="s">
        <v>4081</v>
      </c>
      <c r="P348" s="4000">
        <v>0</v>
      </c>
      <c r="R348" s="3939"/>
      <c r="V348" s="3998">
        <v>11191400</v>
      </c>
      <c r="W348" s="4008" t="s">
        <v>4081</v>
      </c>
      <c r="X348" s="4000">
        <v>0</v>
      </c>
      <c r="Z348" s="3939"/>
      <c r="AD348" s="3998">
        <v>11191400</v>
      </c>
      <c r="AE348" s="4008" t="s">
        <v>4081</v>
      </c>
      <c r="AF348" s="4000">
        <v>0</v>
      </c>
    </row>
    <row r="349" spans="6:32">
      <c r="F349" s="4001">
        <v>11191401</v>
      </c>
      <c r="G349" s="4002" t="s">
        <v>5001</v>
      </c>
      <c r="H349" s="3958">
        <v>0</v>
      </c>
      <c r="J349" s="3939"/>
      <c r="N349" s="4003">
        <v>11191401</v>
      </c>
      <c r="O349" s="4004" t="s">
        <v>4081</v>
      </c>
      <c r="P349" s="3961">
        <v>0</v>
      </c>
      <c r="R349" s="3939"/>
      <c r="V349" s="4003">
        <v>11191401</v>
      </c>
      <c r="W349" s="4004" t="s">
        <v>4081</v>
      </c>
      <c r="X349" s="3961">
        <v>0</v>
      </c>
      <c r="Z349" s="3939"/>
      <c r="AD349" s="4003">
        <v>11191401</v>
      </c>
      <c r="AE349" s="4004" t="s">
        <v>4081</v>
      </c>
      <c r="AF349" s="3961">
        <v>0</v>
      </c>
    </row>
    <row r="350" spans="6:32">
      <c r="F350" s="3995">
        <v>11191500</v>
      </c>
      <c r="G350" s="4009" t="s">
        <v>4082</v>
      </c>
      <c r="H350" s="3997">
        <v>60502298</v>
      </c>
      <c r="J350" s="3939"/>
      <c r="N350" s="3998">
        <v>11191500</v>
      </c>
      <c r="O350" s="4010" t="s">
        <v>4082</v>
      </c>
      <c r="P350" s="4000">
        <v>35126250</v>
      </c>
      <c r="R350" s="3939"/>
      <c r="V350" s="3998">
        <v>11191500</v>
      </c>
      <c r="W350" s="4010" t="s">
        <v>4082</v>
      </c>
      <c r="X350" s="4000">
        <v>46422006</v>
      </c>
      <c r="Z350" s="3939"/>
      <c r="AD350" s="3998">
        <v>11191500</v>
      </c>
      <c r="AE350" s="4010" t="s">
        <v>4082</v>
      </c>
      <c r="AF350" s="4000">
        <v>45365046</v>
      </c>
    </row>
    <row r="351" spans="6:32">
      <c r="F351" s="4001">
        <v>11191501</v>
      </c>
      <c r="G351" s="4011" t="s">
        <v>5002</v>
      </c>
      <c r="H351" s="3958">
        <v>60502298</v>
      </c>
      <c r="J351" s="3939"/>
      <c r="N351" s="4003">
        <v>11191501</v>
      </c>
      <c r="O351" s="4012" t="s">
        <v>3954</v>
      </c>
      <c r="P351" s="3961">
        <v>35126250</v>
      </c>
      <c r="R351" s="3939"/>
      <c r="V351" s="4003">
        <v>11191501</v>
      </c>
      <c r="W351" s="4012" t="s">
        <v>3954</v>
      </c>
      <c r="X351" s="3961">
        <v>46422006</v>
      </c>
      <c r="Z351" s="3939"/>
      <c r="AD351" s="4003">
        <v>11191501</v>
      </c>
      <c r="AE351" s="4012" t="s">
        <v>3954</v>
      </c>
      <c r="AF351" s="3961">
        <v>45365046</v>
      </c>
    </row>
    <row r="352" spans="6:32">
      <c r="F352" s="4001">
        <v>11191502</v>
      </c>
      <c r="G352" s="4011" t="s">
        <v>5003</v>
      </c>
      <c r="H352" s="3958">
        <v>0</v>
      </c>
      <c r="J352" s="3939"/>
      <c r="N352" s="4003">
        <v>11191502</v>
      </c>
      <c r="O352" s="4012" t="s">
        <v>4083</v>
      </c>
      <c r="P352" s="3961">
        <v>0</v>
      </c>
      <c r="R352" s="3939"/>
      <c r="V352" s="4003">
        <v>11191502</v>
      </c>
      <c r="W352" s="4012" t="s">
        <v>4083</v>
      </c>
      <c r="X352" s="3961">
        <v>0</v>
      </c>
      <c r="Z352" s="3939"/>
      <c r="AD352" s="4003">
        <v>11191502</v>
      </c>
      <c r="AE352" s="4012" t="s">
        <v>4083</v>
      </c>
      <c r="AF352" s="3961">
        <v>0</v>
      </c>
    </row>
    <row r="353" spans="6:32">
      <c r="F353" s="3995">
        <v>11191600</v>
      </c>
      <c r="G353" s="4007" t="s">
        <v>4084</v>
      </c>
      <c r="H353" s="3997">
        <v>0</v>
      </c>
      <c r="J353" s="3939"/>
      <c r="N353" s="3998">
        <v>11191600</v>
      </c>
      <c r="O353" s="4008" t="s">
        <v>4084</v>
      </c>
      <c r="P353" s="4000">
        <v>0</v>
      </c>
      <c r="R353" s="3939"/>
      <c r="V353" s="3998">
        <v>11191600</v>
      </c>
      <c r="W353" s="4008" t="s">
        <v>4084</v>
      </c>
      <c r="X353" s="4000">
        <v>0</v>
      </c>
      <c r="Z353" s="3939"/>
      <c r="AD353" s="3998">
        <v>11191600</v>
      </c>
      <c r="AE353" s="4008" t="s">
        <v>4084</v>
      </c>
      <c r="AF353" s="4000">
        <v>0</v>
      </c>
    </row>
    <row r="354" spans="6:32">
      <c r="F354" s="4001">
        <v>11191601</v>
      </c>
      <c r="G354" s="4002" t="s">
        <v>5004</v>
      </c>
      <c r="H354" s="3958">
        <v>0</v>
      </c>
      <c r="J354" s="3939"/>
      <c r="N354" s="4003">
        <v>11191601</v>
      </c>
      <c r="O354" s="4004" t="s">
        <v>4085</v>
      </c>
      <c r="P354" s="3961">
        <v>0</v>
      </c>
      <c r="R354" s="3939"/>
      <c r="V354" s="4003">
        <v>11191601</v>
      </c>
      <c r="W354" s="4004" t="s">
        <v>4085</v>
      </c>
      <c r="X354" s="3961">
        <v>0</v>
      </c>
      <c r="Z354" s="3939"/>
      <c r="AD354" s="4003">
        <v>11191601</v>
      </c>
      <c r="AE354" s="4004" t="s">
        <v>4085</v>
      </c>
      <c r="AF354" s="3961">
        <v>0</v>
      </c>
    </row>
    <row r="355" spans="6:32">
      <c r="F355" s="3995">
        <v>11191700</v>
      </c>
      <c r="G355" s="4007" t="s">
        <v>4086</v>
      </c>
      <c r="H355" s="3997">
        <v>270860081</v>
      </c>
      <c r="J355" s="3939"/>
      <c r="N355" s="3998">
        <v>11191700</v>
      </c>
      <c r="O355" s="4008" t="s">
        <v>4086</v>
      </c>
      <c r="P355" s="4000">
        <v>0</v>
      </c>
      <c r="R355" s="3939"/>
      <c r="V355" s="3998">
        <v>11191700</v>
      </c>
      <c r="W355" s="4008" t="s">
        <v>4086</v>
      </c>
      <c r="X355" s="4000">
        <v>0</v>
      </c>
      <c r="Z355" s="3939"/>
      <c r="AD355" s="3998">
        <v>11191700</v>
      </c>
      <c r="AE355" s="4008" t="s">
        <v>4086</v>
      </c>
      <c r="AF355" s="4000">
        <v>0</v>
      </c>
    </row>
    <row r="356" spans="6:32">
      <c r="F356" s="4001">
        <v>11191701</v>
      </c>
      <c r="G356" s="4002" t="s">
        <v>4087</v>
      </c>
      <c r="H356" s="3958">
        <v>270860081</v>
      </c>
      <c r="J356" s="3939"/>
      <c r="N356" s="4003">
        <v>11191701</v>
      </c>
      <c r="O356" s="4004" t="s">
        <v>4087</v>
      </c>
      <c r="P356" s="3961">
        <v>0</v>
      </c>
      <c r="R356" s="3939"/>
      <c r="V356" s="4003">
        <v>11191701</v>
      </c>
      <c r="W356" s="4004" t="s">
        <v>4087</v>
      </c>
      <c r="X356" s="3961">
        <v>0</v>
      </c>
      <c r="Z356" s="3939"/>
      <c r="AD356" s="4003">
        <v>11191701</v>
      </c>
      <c r="AE356" s="4004" t="s">
        <v>4087</v>
      </c>
      <c r="AF356" s="3961">
        <v>0</v>
      </c>
    </row>
    <row r="357" spans="6:32">
      <c r="F357" s="4001">
        <v>11191702</v>
      </c>
      <c r="G357" s="4002" t="s">
        <v>4086</v>
      </c>
      <c r="H357" s="3958">
        <v>0</v>
      </c>
      <c r="J357" s="3939"/>
      <c r="N357" s="4003">
        <v>11191702</v>
      </c>
      <c r="O357" s="4004" t="s">
        <v>4086</v>
      </c>
      <c r="P357" s="3961">
        <v>0</v>
      </c>
      <c r="R357" s="3939"/>
      <c r="V357" s="4003">
        <v>11191702</v>
      </c>
      <c r="W357" s="4004" t="s">
        <v>4086</v>
      </c>
      <c r="X357" s="3961">
        <v>0</v>
      </c>
      <c r="Z357" s="3939"/>
      <c r="AD357" s="4003">
        <v>11191702</v>
      </c>
      <c r="AE357" s="4004" t="s">
        <v>4086</v>
      </c>
      <c r="AF357" s="3961">
        <v>0</v>
      </c>
    </row>
    <row r="358" spans="6:32">
      <c r="F358" s="4001">
        <v>11191703</v>
      </c>
      <c r="G358" s="4002" t="s">
        <v>4088</v>
      </c>
      <c r="H358" s="3958">
        <v>0</v>
      </c>
      <c r="J358" s="3939"/>
      <c r="N358" s="4003">
        <v>11191703</v>
      </c>
      <c r="O358" s="4004" t="s">
        <v>4088</v>
      </c>
      <c r="P358" s="3961">
        <v>0</v>
      </c>
      <c r="R358" s="3939"/>
      <c r="V358" s="4003">
        <v>11191703</v>
      </c>
      <c r="W358" s="4004" t="s">
        <v>4088</v>
      </c>
      <c r="X358" s="3961">
        <v>0</v>
      </c>
      <c r="Z358" s="3939"/>
      <c r="AD358" s="4003">
        <v>11191703</v>
      </c>
      <c r="AE358" s="4004" t="s">
        <v>4088</v>
      </c>
      <c r="AF358" s="3961">
        <v>0</v>
      </c>
    </row>
    <row r="359" spans="6:32">
      <c r="F359" s="3989">
        <v>11200000</v>
      </c>
      <c r="G359" s="4005" t="s">
        <v>3826</v>
      </c>
      <c r="H359" s="3991">
        <v>0</v>
      </c>
      <c r="J359" s="3939"/>
      <c r="N359" s="3992">
        <v>11200000</v>
      </c>
      <c r="O359" s="4006" t="s">
        <v>4089</v>
      </c>
      <c r="P359" s="3994">
        <v>0</v>
      </c>
      <c r="R359" s="3939"/>
      <c r="V359" s="3992">
        <v>11200000</v>
      </c>
      <c r="W359" s="4006" t="s">
        <v>4089</v>
      </c>
      <c r="X359" s="3994">
        <v>0</v>
      </c>
      <c r="Z359" s="3939"/>
      <c r="AD359" s="3992">
        <v>11200000</v>
      </c>
      <c r="AE359" s="4006" t="s">
        <v>4089</v>
      </c>
      <c r="AF359" s="3994">
        <v>0</v>
      </c>
    </row>
    <row r="360" spans="6:32">
      <c r="F360" s="3995">
        <v>11201000</v>
      </c>
      <c r="G360" s="4007" t="s">
        <v>3826</v>
      </c>
      <c r="H360" s="3997">
        <v>0</v>
      </c>
      <c r="J360" s="3939"/>
      <c r="N360" s="3998">
        <v>11201000</v>
      </c>
      <c r="O360" s="4008" t="s">
        <v>4089</v>
      </c>
      <c r="P360" s="4000">
        <v>0</v>
      </c>
      <c r="R360" s="3939"/>
      <c r="V360" s="3998">
        <v>11201000</v>
      </c>
      <c r="W360" s="4008" t="s">
        <v>4089</v>
      </c>
      <c r="X360" s="4000">
        <v>0</v>
      </c>
      <c r="Z360" s="3939"/>
      <c r="AD360" s="3998">
        <v>11201000</v>
      </c>
      <c r="AE360" s="4008" t="s">
        <v>4089</v>
      </c>
      <c r="AF360" s="4000">
        <v>0</v>
      </c>
    </row>
    <row r="361" spans="6:32">
      <c r="F361" s="4001">
        <v>11201001</v>
      </c>
      <c r="G361" s="4002" t="s">
        <v>3826</v>
      </c>
      <c r="H361" s="3958">
        <v>0</v>
      </c>
      <c r="J361" s="3939"/>
      <c r="N361" s="4003">
        <v>11201001</v>
      </c>
      <c r="O361" s="4004" t="s">
        <v>4089</v>
      </c>
      <c r="P361" s="3961">
        <v>0</v>
      </c>
      <c r="R361" s="3939"/>
      <c r="V361" s="4003">
        <v>11201001</v>
      </c>
      <c r="W361" s="4004" t="s">
        <v>4089</v>
      </c>
      <c r="X361" s="3961">
        <v>0</v>
      </c>
      <c r="Z361" s="3939"/>
      <c r="AD361" s="4003">
        <v>11201001</v>
      </c>
      <c r="AE361" s="4004" t="s">
        <v>4089</v>
      </c>
      <c r="AF361" s="3961">
        <v>0</v>
      </c>
    </row>
    <row r="362" spans="6:32">
      <c r="F362" s="3983">
        <v>12000000</v>
      </c>
      <c r="G362" s="3984" t="s">
        <v>5005</v>
      </c>
      <c r="H362" s="3985">
        <v>17252722609</v>
      </c>
      <c r="J362" s="3939"/>
      <c r="N362" s="3986">
        <v>12000000</v>
      </c>
      <c r="O362" s="3987" t="s">
        <v>4090</v>
      </c>
      <c r="P362" s="3988">
        <v>15222162654</v>
      </c>
      <c r="R362" s="3939"/>
      <c r="V362" s="3986">
        <v>12000000</v>
      </c>
      <c r="W362" s="3987" t="s">
        <v>4090</v>
      </c>
      <c r="X362" s="3988">
        <v>15137485573</v>
      </c>
      <c r="Z362" s="3939"/>
      <c r="AD362" s="3986">
        <v>12000000</v>
      </c>
      <c r="AE362" s="3987" t="s">
        <v>4090</v>
      </c>
      <c r="AF362" s="3988">
        <v>17695496567</v>
      </c>
    </row>
    <row r="363" spans="6:32">
      <c r="F363" s="3989">
        <v>12100000</v>
      </c>
      <c r="G363" s="4005" t="s">
        <v>4091</v>
      </c>
      <c r="H363" s="3991">
        <v>1086900809</v>
      </c>
      <c r="J363" s="3939"/>
      <c r="N363" s="3992">
        <v>12100000</v>
      </c>
      <c r="O363" s="4006" t="s">
        <v>4091</v>
      </c>
      <c r="P363" s="3994">
        <v>842639159</v>
      </c>
      <c r="R363" s="3939"/>
      <c r="V363" s="3992">
        <v>12100000</v>
      </c>
      <c r="W363" s="4006" t="s">
        <v>4091</v>
      </c>
      <c r="X363" s="3994">
        <v>707079484</v>
      </c>
      <c r="Z363" s="3939"/>
      <c r="AD363" s="3992">
        <v>12100000</v>
      </c>
      <c r="AE363" s="4006" t="s">
        <v>4091</v>
      </c>
      <c r="AF363" s="3994">
        <v>673057484</v>
      </c>
    </row>
    <row r="364" spans="6:32">
      <c r="F364" s="3995">
        <v>12101000</v>
      </c>
      <c r="G364" s="4007" t="s">
        <v>4092</v>
      </c>
      <c r="H364" s="3997">
        <v>0</v>
      </c>
      <c r="J364" s="3939"/>
      <c r="N364" s="3998">
        <v>12101000</v>
      </c>
      <c r="O364" s="4008" t="s">
        <v>4092</v>
      </c>
      <c r="P364" s="4000">
        <v>0</v>
      </c>
      <c r="R364" s="3939"/>
      <c r="V364" s="3998">
        <v>12101000</v>
      </c>
      <c r="W364" s="4008" t="s">
        <v>4092</v>
      </c>
      <c r="X364" s="4000">
        <v>0</v>
      </c>
      <c r="Z364" s="3939"/>
      <c r="AD364" s="3998">
        <v>12101000</v>
      </c>
      <c r="AE364" s="4008" t="s">
        <v>4092</v>
      </c>
      <c r="AF364" s="4000">
        <v>0</v>
      </c>
    </row>
    <row r="365" spans="6:32">
      <c r="F365" s="4001">
        <v>12101001</v>
      </c>
      <c r="G365" s="4002" t="s">
        <v>4093</v>
      </c>
      <c r="H365" s="3958">
        <v>0</v>
      </c>
      <c r="J365" s="3939"/>
      <c r="N365" s="4003">
        <v>12101001</v>
      </c>
      <c r="O365" s="4004" t="s">
        <v>4093</v>
      </c>
      <c r="P365" s="3961">
        <v>0</v>
      </c>
      <c r="R365" s="3939"/>
      <c r="V365" s="4003">
        <v>12101001</v>
      </c>
      <c r="W365" s="4004" t="s">
        <v>4093</v>
      </c>
      <c r="X365" s="3961">
        <v>0</v>
      </c>
      <c r="Z365" s="3939"/>
      <c r="AD365" s="4003">
        <v>12101001</v>
      </c>
      <c r="AE365" s="4004" t="s">
        <v>4093</v>
      </c>
      <c r="AF365" s="3961">
        <v>0</v>
      </c>
    </row>
    <row r="366" spans="6:32">
      <c r="F366" s="4001">
        <v>12101002</v>
      </c>
      <c r="G366" s="4002" t="s">
        <v>4094</v>
      </c>
      <c r="H366" s="3958">
        <v>0</v>
      </c>
      <c r="J366" s="3939"/>
      <c r="N366" s="4003">
        <v>12101002</v>
      </c>
      <c r="O366" s="4004" t="s">
        <v>4094</v>
      </c>
      <c r="P366" s="3961">
        <v>0</v>
      </c>
      <c r="R366" s="3939"/>
      <c r="V366" s="4003">
        <v>12101002</v>
      </c>
      <c r="W366" s="4004" t="s">
        <v>4094</v>
      </c>
      <c r="X366" s="3961">
        <v>0</v>
      </c>
      <c r="Z366" s="3939"/>
      <c r="AD366" s="4003">
        <v>12101002</v>
      </c>
      <c r="AE366" s="4004" t="s">
        <v>4094</v>
      </c>
      <c r="AF366" s="3961">
        <v>0</v>
      </c>
    </row>
    <row r="367" spans="6:32">
      <c r="F367" s="4001">
        <v>12101003</v>
      </c>
      <c r="G367" s="4002" t="s">
        <v>3999</v>
      </c>
      <c r="H367" s="3958">
        <v>0</v>
      </c>
      <c r="J367" s="3939"/>
      <c r="N367" s="4003">
        <v>12101003</v>
      </c>
      <c r="O367" s="4004" t="s">
        <v>3999</v>
      </c>
      <c r="P367" s="3961">
        <v>0</v>
      </c>
      <c r="R367" s="3939"/>
      <c r="V367" s="4003">
        <v>12101003</v>
      </c>
      <c r="W367" s="4004" t="s">
        <v>3999</v>
      </c>
      <c r="X367" s="3961">
        <v>0</v>
      </c>
      <c r="Z367" s="3939"/>
      <c r="AD367" s="4003">
        <v>12101003</v>
      </c>
      <c r="AE367" s="4004" t="s">
        <v>3999</v>
      </c>
      <c r="AF367" s="3961">
        <v>0</v>
      </c>
    </row>
    <row r="368" spans="6:32">
      <c r="F368" s="4001">
        <v>12101004</v>
      </c>
      <c r="G368" s="4002" t="s">
        <v>5006</v>
      </c>
      <c r="H368" s="3958">
        <v>0</v>
      </c>
      <c r="J368" s="3939"/>
      <c r="N368" s="4003">
        <v>12101004</v>
      </c>
      <c r="O368" s="4004" t="s">
        <v>4000</v>
      </c>
      <c r="P368" s="3961">
        <v>0</v>
      </c>
      <c r="R368" s="3939"/>
      <c r="V368" s="4003">
        <v>12101004</v>
      </c>
      <c r="W368" s="4004" t="s">
        <v>4000</v>
      </c>
      <c r="X368" s="3961">
        <v>0</v>
      </c>
      <c r="Z368" s="3939"/>
      <c r="AD368" s="4003">
        <v>12101004</v>
      </c>
      <c r="AE368" s="4004" t="s">
        <v>4000</v>
      </c>
      <c r="AF368" s="3961">
        <v>0</v>
      </c>
    </row>
    <row r="369" spans="6:32">
      <c r="F369" s="3995">
        <v>12101100</v>
      </c>
      <c r="G369" s="4007" t="s">
        <v>4095</v>
      </c>
      <c r="H369" s="3997">
        <v>0</v>
      </c>
      <c r="J369" s="3939"/>
      <c r="N369" s="3998">
        <v>12101100</v>
      </c>
      <c r="O369" s="4008" t="s">
        <v>4095</v>
      </c>
      <c r="P369" s="4000">
        <v>0</v>
      </c>
      <c r="R369" s="3939"/>
      <c r="V369" s="3998">
        <v>12101100</v>
      </c>
      <c r="W369" s="4008" t="s">
        <v>4095</v>
      </c>
      <c r="X369" s="4000">
        <v>0</v>
      </c>
      <c r="Z369" s="3939"/>
      <c r="AD369" s="3998">
        <v>12101100</v>
      </c>
      <c r="AE369" s="4008" t="s">
        <v>4095</v>
      </c>
      <c r="AF369" s="4000">
        <v>0</v>
      </c>
    </row>
    <row r="370" spans="6:32">
      <c r="F370" s="4001">
        <v>12101101</v>
      </c>
      <c r="G370" s="4002" t="s">
        <v>4096</v>
      </c>
      <c r="H370" s="3958">
        <v>0</v>
      </c>
      <c r="J370" s="3939"/>
      <c r="N370" s="4003">
        <v>12101101</v>
      </c>
      <c r="O370" s="4004" t="s">
        <v>4096</v>
      </c>
      <c r="P370" s="3961">
        <v>0</v>
      </c>
      <c r="R370" s="3939"/>
      <c r="V370" s="4003">
        <v>12101101</v>
      </c>
      <c r="W370" s="4004" t="s">
        <v>4096</v>
      </c>
      <c r="X370" s="3961">
        <v>0</v>
      </c>
      <c r="Z370" s="3939"/>
      <c r="AD370" s="4003">
        <v>12101101</v>
      </c>
      <c r="AE370" s="4004" t="s">
        <v>4096</v>
      </c>
      <c r="AF370" s="3961">
        <v>0</v>
      </c>
    </row>
    <row r="371" spans="6:32">
      <c r="F371" s="4001">
        <v>12101102</v>
      </c>
      <c r="G371" s="4002" t="s">
        <v>4097</v>
      </c>
      <c r="H371" s="3958">
        <v>0</v>
      </c>
      <c r="J371" s="3939"/>
      <c r="N371" s="4003">
        <v>12101102</v>
      </c>
      <c r="O371" s="4004" t="s">
        <v>4097</v>
      </c>
      <c r="P371" s="3961">
        <v>0</v>
      </c>
      <c r="R371" s="3939"/>
      <c r="V371" s="4003">
        <v>12101102</v>
      </c>
      <c r="W371" s="4004" t="s">
        <v>4097</v>
      </c>
      <c r="X371" s="3961">
        <v>0</v>
      </c>
      <c r="Z371" s="3939"/>
      <c r="AD371" s="4003">
        <v>12101102</v>
      </c>
      <c r="AE371" s="4004" t="s">
        <v>4097</v>
      </c>
      <c r="AF371" s="3961">
        <v>0</v>
      </c>
    </row>
    <row r="372" spans="6:32">
      <c r="F372" s="4001">
        <v>12101103</v>
      </c>
      <c r="G372" s="4002" t="s">
        <v>4098</v>
      </c>
      <c r="H372" s="3958">
        <v>0</v>
      </c>
      <c r="J372" s="3939"/>
      <c r="N372" s="4003">
        <v>12101103</v>
      </c>
      <c r="O372" s="4004" t="s">
        <v>4098</v>
      </c>
      <c r="P372" s="3961">
        <v>0</v>
      </c>
      <c r="R372" s="3939"/>
      <c r="V372" s="4003">
        <v>12101103</v>
      </c>
      <c r="W372" s="4004" t="s">
        <v>4098</v>
      </c>
      <c r="X372" s="3961">
        <v>0</v>
      </c>
      <c r="Z372" s="3939"/>
      <c r="AD372" s="4003">
        <v>12101103</v>
      </c>
      <c r="AE372" s="4004" t="s">
        <v>4098</v>
      </c>
      <c r="AF372" s="3961">
        <v>0</v>
      </c>
    </row>
    <row r="373" spans="6:32">
      <c r="F373" s="4001">
        <v>12101104</v>
      </c>
      <c r="G373" s="4002" t="s">
        <v>5007</v>
      </c>
      <c r="H373" s="3958">
        <v>0</v>
      </c>
      <c r="J373" s="3939"/>
      <c r="N373" s="4003">
        <v>12101104</v>
      </c>
      <c r="O373" s="4004" t="s">
        <v>4099</v>
      </c>
      <c r="P373" s="3961">
        <v>0</v>
      </c>
      <c r="R373" s="3939"/>
      <c r="V373" s="4003">
        <v>12101104</v>
      </c>
      <c r="W373" s="4004" t="s">
        <v>4099</v>
      </c>
      <c r="X373" s="3961">
        <v>0</v>
      </c>
      <c r="Z373" s="3939"/>
      <c r="AD373" s="4003">
        <v>12101104</v>
      </c>
      <c r="AE373" s="4004" t="s">
        <v>4099</v>
      </c>
      <c r="AF373" s="3961">
        <v>0</v>
      </c>
    </row>
    <row r="374" spans="6:32">
      <c r="F374" s="3995">
        <v>12101200</v>
      </c>
      <c r="G374" s="4007" t="s">
        <v>4100</v>
      </c>
      <c r="H374" s="3997">
        <v>0</v>
      </c>
      <c r="J374" s="3939"/>
      <c r="N374" s="3998">
        <v>12101200</v>
      </c>
      <c r="O374" s="4008" t="s">
        <v>4100</v>
      </c>
      <c r="P374" s="4000">
        <v>0</v>
      </c>
      <c r="R374" s="3939"/>
      <c r="V374" s="3998">
        <v>12101200</v>
      </c>
      <c r="W374" s="4008" t="s">
        <v>4100</v>
      </c>
      <c r="X374" s="4000">
        <v>0</v>
      </c>
      <c r="Z374" s="3939"/>
      <c r="AD374" s="3998">
        <v>12101200</v>
      </c>
      <c r="AE374" s="4008" t="s">
        <v>4100</v>
      </c>
      <c r="AF374" s="4000">
        <v>0</v>
      </c>
    </row>
    <row r="375" spans="6:32">
      <c r="F375" s="4001">
        <v>12101201</v>
      </c>
      <c r="G375" s="4002" t="s">
        <v>4100</v>
      </c>
      <c r="H375" s="3958">
        <v>0</v>
      </c>
      <c r="J375" s="3939"/>
      <c r="N375" s="4003">
        <v>12101201</v>
      </c>
      <c r="O375" s="4004" t="s">
        <v>4100</v>
      </c>
      <c r="P375" s="3961">
        <v>0</v>
      </c>
      <c r="R375" s="3939"/>
      <c r="V375" s="4003">
        <v>12101201</v>
      </c>
      <c r="W375" s="4004" t="s">
        <v>4100</v>
      </c>
      <c r="X375" s="3961">
        <v>0</v>
      </c>
      <c r="Z375" s="3939"/>
      <c r="AD375" s="4003">
        <v>12101201</v>
      </c>
      <c r="AE375" s="4004" t="s">
        <v>4100</v>
      </c>
      <c r="AF375" s="3961">
        <v>0</v>
      </c>
    </row>
    <row r="376" spans="6:32">
      <c r="F376" s="3995">
        <v>12101300</v>
      </c>
      <c r="G376" s="4007" t="s">
        <v>4101</v>
      </c>
      <c r="H376" s="3997">
        <v>0</v>
      </c>
      <c r="J376" s="3939"/>
      <c r="N376" s="3998">
        <v>12101300</v>
      </c>
      <c r="O376" s="4008" t="s">
        <v>4101</v>
      </c>
      <c r="P376" s="4000">
        <v>0</v>
      </c>
      <c r="R376" s="3939"/>
      <c r="V376" s="3998">
        <v>12101300</v>
      </c>
      <c r="W376" s="4008" t="s">
        <v>4101</v>
      </c>
      <c r="X376" s="4000">
        <v>0</v>
      </c>
      <c r="Z376" s="3939"/>
      <c r="AD376" s="3998">
        <v>12101300</v>
      </c>
      <c r="AE376" s="4008" t="s">
        <v>4101</v>
      </c>
      <c r="AF376" s="4000">
        <v>0</v>
      </c>
    </row>
    <row r="377" spans="6:32">
      <c r="F377" s="4001">
        <v>12101301</v>
      </c>
      <c r="G377" s="4002" t="s">
        <v>4101</v>
      </c>
      <c r="H377" s="3958">
        <v>0</v>
      </c>
      <c r="J377" s="3939"/>
      <c r="N377" s="4003">
        <v>12101301</v>
      </c>
      <c r="O377" s="4004" t="s">
        <v>4101</v>
      </c>
      <c r="P377" s="3961">
        <v>0</v>
      </c>
      <c r="R377" s="3939"/>
      <c r="V377" s="4003">
        <v>12101301</v>
      </c>
      <c r="W377" s="4004" t="s">
        <v>4101</v>
      </c>
      <c r="X377" s="3961">
        <v>0</v>
      </c>
      <c r="Z377" s="3939"/>
      <c r="AD377" s="4003">
        <v>12101301</v>
      </c>
      <c r="AE377" s="4004" t="s">
        <v>4101</v>
      </c>
      <c r="AF377" s="3961">
        <v>0</v>
      </c>
    </row>
    <row r="378" spans="6:32">
      <c r="F378" s="3995">
        <v>12101400</v>
      </c>
      <c r="G378" s="4007" t="s">
        <v>4102</v>
      </c>
      <c r="H378" s="3997">
        <v>0</v>
      </c>
      <c r="J378" s="3939"/>
      <c r="N378" s="3998">
        <v>12101400</v>
      </c>
      <c r="O378" s="4008" t="s">
        <v>4102</v>
      </c>
      <c r="P378" s="4000">
        <v>0</v>
      </c>
      <c r="R378" s="3939"/>
      <c r="V378" s="3998">
        <v>12101400</v>
      </c>
      <c r="W378" s="4008" t="s">
        <v>4102</v>
      </c>
      <c r="X378" s="4000">
        <v>0</v>
      </c>
      <c r="Z378" s="3939"/>
      <c r="AD378" s="3998">
        <v>12101400</v>
      </c>
      <c r="AE378" s="4008" t="s">
        <v>4102</v>
      </c>
      <c r="AF378" s="4000">
        <v>0</v>
      </c>
    </row>
    <row r="379" spans="6:32">
      <c r="F379" s="4001">
        <v>12101401</v>
      </c>
      <c r="G379" s="4002" t="s">
        <v>4102</v>
      </c>
      <c r="H379" s="3958">
        <v>0</v>
      </c>
      <c r="J379" s="3939"/>
      <c r="N379" s="4003">
        <v>12101401</v>
      </c>
      <c r="O379" s="4004" t="s">
        <v>4102</v>
      </c>
      <c r="P379" s="3961">
        <v>0</v>
      </c>
      <c r="R379" s="3939"/>
      <c r="V379" s="4003">
        <v>12101401</v>
      </c>
      <c r="W379" s="4004" t="s">
        <v>4102</v>
      </c>
      <c r="X379" s="3961">
        <v>0</v>
      </c>
      <c r="Z379" s="3939"/>
      <c r="AD379" s="4003">
        <v>12101401</v>
      </c>
      <c r="AE379" s="4004" t="s">
        <v>4102</v>
      </c>
      <c r="AF379" s="3961">
        <v>0</v>
      </c>
    </row>
    <row r="380" spans="6:32">
      <c r="F380" s="3995">
        <v>12101500</v>
      </c>
      <c r="G380" s="4007" t="s">
        <v>4103</v>
      </c>
      <c r="H380" s="3997">
        <v>0</v>
      </c>
      <c r="J380" s="3939"/>
      <c r="N380" s="3998">
        <v>12101500</v>
      </c>
      <c r="O380" s="4008" t="s">
        <v>4103</v>
      </c>
      <c r="P380" s="4000">
        <v>0</v>
      </c>
      <c r="R380" s="3939"/>
      <c r="V380" s="3998">
        <v>12101500</v>
      </c>
      <c r="W380" s="4008" t="s">
        <v>4103</v>
      </c>
      <c r="X380" s="4000">
        <v>0</v>
      </c>
      <c r="Z380" s="3939"/>
      <c r="AD380" s="3998">
        <v>12101500</v>
      </c>
      <c r="AE380" s="4008" t="s">
        <v>4103</v>
      </c>
      <c r="AF380" s="4000">
        <v>0</v>
      </c>
    </row>
    <row r="381" spans="6:32">
      <c r="F381" s="4001">
        <v>12101501</v>
      </c>
      <c r="G381" s="4002" t="s">
        <v>4103</v>
      </c>
      <c r="H381" s="3958">
        <v>0</v>
      </c>
      <c r="J381" s="3939"/>
      <c r="N381" s="4003">
        <v>12101501</v>
      </c>
      <c r="O381" s="4004" t="s">
        <v>4103</v>
      </c>
      <c r="P381" s="3961">
        <v>0</v>
      </c>
      <c r="R381" s="3939"/>
      <c r="V381" s="4003">
        <v>12101501</v>
      </c>
      <c r="W381" s="4004" t="s">
        <v>4103</v>
      </c>
      <c r="X381" s="3961">
        <v>0</v>
      </c>
      <c r="Z381" s="3939"/>
      <c r="AD381" s="4003">
        <v>12101501</v>
      </c>
      <c r="AE381" s="4004" t="s">
        <v>4103</v>
      </c>
      <c r="AF381" s="3961">
        <v>0</v>
      </c>
    </row>
    <row r="382" spans="6:32">
      <c r="F382" s="3995">
        <v>12101600</v>
      </c>
      <c r="G382" s="4007" t="s">
        <v>4104</v>
      </c>
      <c r="H382" s="3997">
        <v>0</v>
      </c>
      <c r="J382" s="3939"/>
      <c r="N382" s="3998">
        <v>12101600</v>
      </c>
      <c r="O382" s="4008" t="s">
        <v>4104</v>
      </c>
      <c r="P382" s="4000">
        <v>0</v>
      </c>
      <c r="R382" s="3939"/>
      <c r="V382" s="3998">
        <v>12101600</v>
      </c>
      <c r="W382" s="4008" t="s">
        <v>4104</v>
      </c>
      <c r="X382" s="4000">
        <v>0</v>
      </c>
      <c r="Z382" s="3939"/>
      <c r="AD382" s="3998">
        <v>12101600</v>
      </c>
      <c r="AE382" s="4008" t="s">
        <v>4104</v>
      </c>
      <c r="AF382" s="4000">
        <v>0</v>
      </c>
    </row>
    <row r="383" spans="6:32">
      <c r="F383" s="4001">
        <v>12101601</v>
      </c>
      <c r="G383" s="4002" t="s">
        <v>4104</v>
      </c>
      <c r="H383" s="3958">
        <v>0</v>
      </c>
      <c r="J383" s="3939"/>
      <c r="N383" s="4003">
        <v>12101601</v>
      </c>
      <c r="O383" s="4004" t="s">
        <v>4104</v>
      </c>
      <c r="P383" s="3961">
        <v>0</v>
      </c>
      <c r="R383" s="3939"/>
      <c r="V383" s="4003">
        <v>12101601</v>
      </c>
      <c r="W383" s="4004" t="s">
        <v>4104</v>
      </c>
      <c r="X383" s="3961">
        <v>0</v>
      </c>
      <c r="Z383" s="3939"/>
      <c r="AD383" s="4003">
        <v>12101601</v>
      </c>
      <c r="AE383" s="4004" t="s">
        <v>4104</v>
      </c>
      <c r="AF383" s="3961">
        <v>0</v>
      </c>
    </row>
    <row r="384" spans="6:32">
      <c r="F384" s="3995">
        <v>12101700</v>
      </c>
      <c r="G384" s="4007" t="s">
        <v>4105</v>
      </c>
      <c r="H384" s="3997">
        <v>0</v>
      </c>
      <c r="J384" s="3939"/>
      <c r="N384" s="3998">
        <v>12101700</v>
      </c>
      <c r="O384" s="4008" t="s">
        <v>4105</v>
      </c>
      <c r="P384" s="4000">
        <v>0</v>
      </c>
      <c r="R384" s="3939"/>
      <c r="V384" s="3998">
        <v>12101700</v>
      </c>
      <c r="W384" s="4008" t="s">
        <v>4105</v>
      </c>
      <c r="X384" s="4000">
        <v>0</v>
      </c>
      <c r="Z384" s="3939"/>
      <c r="AD384" s="3998">
        <v>12101700</v>
      </c>
      <c r="AE384" s="4008" t="s">
        <v>4105</v>
      </c>
      <c r="AF384" s="4000">
        <v>0</v>
      </c>
    </row>
    <row r="385" spans="6:32">
      <c r="F385" s="4001">
        <v>12101701</v>
      </c>
      <c r="G385" s="4002" t="s">
        <v>4105</v>
      </c>
      <c r="H385" s="3958">
        <v>0</v>
      </c>
      <c r="J385" s="3939"/>
      <c r="N385" s="4003">
        <v>12101701</v>
      </c>
      <c r="O385" s="4004" t="s">
        <v>4105</v>
      </c>
      <c r="P385" s="3961">
        <v>0</v>
      </c>
      <c r="R385" s="3939"/>
      <c r="V385" s="4003">
        <v>12101701</v>
      </c>
      <c r="W385" s="4004" t="s">
        <v>4105</v>
      </c>
      <c r="X385" s="3961">
        <v>0</v>
      </c>
      <c r="Z385" s="3939"/>
      <c r="AD385" s="4003">
        <v>12101701</v>
      </c>
      <c r="AE385" s="4004" t="s">
        <v>4105</v>
      </c>
      <c r="AF385" s="3961">
        <v>0</v>
      </c>
    </row>
    <row r="386" spans="6:32">
      <c r="F386" s="3995">
        <v>12101800</v>
      </c>
      <c r="G386" s="4007" t="s">
        <v>4106</v>
      </c>
      <c r="H386" s="3997">
        <v>0</v>
      </c>
      <c r="J386" s="3939"/>
      <c r="N386" s="3998">
        <v>12101800</v>
      </c>
      <c r="O386" s="4008" t="s">
        <v>4106</v>
      </c>
      <c r="P386" s="4000">
        <v>0</v>
      </c>
      <c r="R386" s="3939"/>
      <c r="V386" s="3998">
        <v>12101800</v>
      </c>
      <c r="W386" s="4008" t="s">
        <v>4106</v>
      </c>
      <c r="X386" s="4000">
        <v>0</v>
      </c>
      <c r="Z386" s="3939"/>
      <c r="AD386" s="3998">
        <v>12101800</v>
      </c>
      <c r="AE386" s="4008" t="s">
        <v>4106</v>
      </c>
      <c r="AF386" s="4000">
        <v>0</v>
      </c>
    </row>
    <row r="387" spans="6:32">
      <c r="F387" s="4001">
        <v>12101801</v>
      </c>
      <c r="G387" s="4002" t="s">
        <v>5008</v>
      </c>
      <c r="H387" s="3958">
        <v>0</v>
      </c>
      <c r="J387" s="3939"/>
      <c r="N387" s="4003">
        <v>12101801</v>
      </c>
      <c r="O387" s="4004" t="s">
        <v>4106</v>
      </c>
      <c r="P387" s="3961">
        <v>0</v>
      </c>
      <c r="R387" s="3939"/>
      <c r="V387" s="4003">
        <v>12101801</v>
      </c>
      <c r="W387" s="4004" t="s">
        <v>4106</v>
      </c>
      <c r="X387" s="3961">
        <v>0</v>
      </c>
      <c r="Z387" s="3939"/>
      <c r="AD387" s="4003">
        <v>12101801</v>
      </c>
      <c r="AE387" s="4004" t="s">
        <v>4106</v>
      </c>
      <c r="AF387" s="3961">
        <v>0</v>
      </c>
    </row>
    <row r="388" spans="6:32">
      <c r="F388" s="3995">
        <v>12102100</v>
      </c>
      <c r="G388" s="4007" t="s">
        <v>4985</v>
      </c>
      <c r="H388" s="3997">
        <v>0</v>
      </c>
      <c r="J388" s="3939"/>
      <c r="N388" s="3998">
        <v>12102100</v>
      </c>
      <c r="O388" s="4008" t="s">
        <v>4018</v>
      </c>
      <c r="P388" s="4000">
        <v>0</v>
      </c>
      <c r="R388" s="3939"/>
      <c r="V388" s="3998">
        <v>12102100</v>
      </c>
      <c r="W388" s="4008" t="s">
        <v>4018</v>
      </c>
      <c r="X388" s="4000">
        <v>0</v>
      </c>
      <c r="Z388" s="3939"/>
      <c r="AD388" s="3998">
        <v>12102100</v>
      </c>
      <c r="AE388" s="4008" t="s">
        <v>4018</v>
      </c>
      <c r="AF388" s="4000">
        <v>0</v>
      </c>
    </row>
    <row r="389" spans="6:32">
      <c r="F389" s="4001">
        <v>12102101</v>
      </c>
      <c r="G389" s="4002" t="s">
        <v>4985</v>
      </c>
      <c r="H389" s="3958">
        <v>0</v>
      </c>
      <c r="J389" s="3939"/>
      <c r="N389" s="4003">
        <v>12102101</v>
      </c>
      <c r="O389" s="4004" t="s">
        <v>4018</v>
      </c>
      <c r="P389" s="3961">
        <v>0</v>
      </c>
      <c r="R389" s="3939"/>
      <c r="V389" s="4003">
        <v>12102101</v>
      </c>
      <c r="W389" s="4004" t="s">
        <v>4018</v>
      </c>
      <c r="X389" s="3961">
        <v>0</v>
      </c>
      <c r="Z389" s="3939"/>
      <c r="AD389" s="4003">
        <v>12102101</v>
      </c>
      <c r="AE389" s="4004" t="s">
        <v>4018</v>
      </c>
      <c r="AF389" s="3961">
        <v>0</v>
      </c>
    </row>
    <row r="390" spans="6:32">
      <c r="F390" s="3995">
        <v>12101900</v>
      </c>
      <c r="G390" s="4007" t="s">
        <v>4107</v>
      </c>
      <c r="H390" s="3997">
        <v>2000000</v>
      </c>
      <c r="J390" s="3939"/>
      <c r="N390" s="3998">
        <v>12101900</v>
      </c>
      <c r="O390" s="4008" t="s">
        <v>4107</v>
      </c>
      <c r="P390" s="4000">
        <v>2000000</v>
      </c>
      <c r="R390" s="3939"/>
      <c r="V390" s="3998">
        <v>12101900</v>
      </c>
      <c r="W390" s="4008" t="s">
        <v>4107</v>
      </c>
      <c r="X390" s="4000">
        <v>2000000</v>
      </c>
      <c r="Z390" s="3939"/>
      <c r="AD390" s="3998">
        <v>12101900</v>
      </c>
      <c r="AE390" s="4008" t="s">
        <v>4107</v>
      </c>
      <c r="AF390" s="4000">
        <v>2000000</v>
      </c>
    </row>
    <row r="391" spans="6:32">
      <c r="F391" s="4001">
        <v>12101901</v>
      </c>
      <c r="G391" s="4002" t="s">
        <v>4108</v>
      </c>
      <c r="H391" s="3958">
        <v>0</v>
      </c>
      <c r="J391" s="3939"/>
      <c r="N391" s="4003">
        <v>12101901</v>
      </c>
      <c r="O391" s="4004" t="s">
        <v>4108</v>
      </c>
      <c r="P391" s="3961">
        <v>0</v>
      </c>
      <c r="R391" s="3939"/>
      <c r="V391" s="4003">
        <v>12101901</v>
      </c>
      <c r="W391" s="4004" t="s">
        <v>4108</v>
      </c>
      <c r="X391" s="3961">
        <v>0</v>
      </c>
      <c r="Z391" s="3939"/>
      <c r="AD391" s="4003">
        <v>12101901</v>
      </c>
      <c r="AE391" s="4004" t="s">
        <v>4108</v>
      </c>
      <c r="AF391" s="3961">
        <v>0</v>
      </c>
    </row>
    <row r="392" spans="6:32">
      <c r="F392" s="4001">
        <v>12101902</v>
      </c>
      <c r="G392" s="4002" t="s">
        <v>4109</v>
      </c>
      <c r="H392" s="3958">
        <v>0</v>
      </c>
      <c r="J392" s="3939"/>
      <c r="N392" s="4003">
        <v>12101902</v>
      </c>
      <c r="O392" s="4004" t="s">
        <v>4109</v>
      </c>
      <c r="P392" s="3961">
        <v>0</v>
      </c>
      <c r="R392" s="3939"/>
      <c r="V392" s="4003">
        <v>12101902</v>
      </c>
      <c r="W392" s="4004" t="s">
        <v>4109</v>
      </c>
      <c r="X392" s="3961">
        <v>0</v>
      </c>
      <c r="Z392" s="3939"/>
      <c r="AD392" s="4003">
        <v>12101902</v>
      </c>
      <c r="AE392" s="4004" t="s">
        <v>4109</v>
      </c>
      <c r="AF392" s="3961">
        <v>0</v>
      </c>
    </row>
    <row r="393" spans="6:32">
      <c r="F393" s="4001">
        <v>12101903</v>
      </c>
      <c r="G393" s="4002" t="s">
        <v>4110</v>
      </c>
      <c r="H393" s="3958">
        <v>2000000</v>
      </c>
      <c r="J393" s="3939"/>
      <c r="N393" s="4003">
        <v>12101903</v>
      </c>
      <c r="O393" s="4004" t="s">
        <v>4110</v>
      </c>
      <c r="P393" s="3961">
        <v>2000000</v>
      </c>
      <c r="R393" s="3939"/>
      <c r="V393" s="4003">
        <v>12101903</v>
      </c>
      <c r="W393" s="4004" t="s">
        <v>4110</v>
      </c>
      <c r="X393" s="3961">
        <v>2000000</v>
      </c>
      <c r="Z393" s="3939"/>
      <c r="AD393" s="4003">
        <v>12101903</v>
      </c>
      <c r="AE393" s="4004" t="s">
        <v>4110</v>
      </c>
      <c r="AF393" s="3961">
        <v>2000000</v>
      </c>
    </row>
    <row r="394" spans="6:32">
      <c r="F394" s="3995">
        <v>12102000</v>
      </c>
      <c r="G394" s="4007" t="s">
        <v>4111</v>
      </c>
      <c r="H394" s="3997">
        <v>1084900809</v>
      </c>
      <c r="J394" s="3939"/>
      <c r="N394" s="3998">
        <v>12102000</v>
      </c>
      <c r="O394" s="4008" t="s">
        <v>4111</v>
      </c>
      <c r="P394" s="4000">
        <v>840639159</v>
      </c>
      <c r="R394" s="3939"/>
      <c r="V394" s="3998">
        <v>12102000</v>
      </c>
      <c r="W394" s="4008" t="s">
        <v>4111</v>
      </c>
      <c r="X394" s="4000">
        <v>705079484</v>
      </c>
      <c r="Z394" s="3939"/>
      <c r="AD394" s="3998">
        <v>12102000</v>
      </c>
      <c r="AE394" s="4008" t="s">
        <v>4111</v>
      </c>
      <c r="AF394" s="4000">
        <v>671057484</v>
      </c>
    </row>
    <row r="395" spans="6:32">
      <c r="F395" s="4001">
        <v>12102001</v>
      </c>
      <c r="G395" s="4002" t="s">
        <v>4112</v>
      </c>
      <c r="H395" s="3958">
        <v>202000</v>
      </c>
      <c r="J395" s="3939"/>
      <c r="N395" s="4003">
        <v>12102001</v>
      </c>
      <c r="O395" s="4004" t="s">
        <v>4112</v>
      </c>
      <c r="P395" s="3961">
        <v>202000</v>
      </c>
      <c r="R395" s="3939"/>
      <c r="V395" s="4003">
        <v>12102001</v>
      </c>
      <c r="W395" s="4004" t="s">
        <v>4112</v>
      </c>
      <c r="X395" s="3961">
        <v>202000</v>
      </c>
      <c r="Z395" s="3939"/>
      <c r="AD395" s="4003">
        <v>12102001</v>
      </c>
      <c r="AE395" s="4004" t="s">
        <v>4112</v>
      </c>
      <c r="AF395" s="3961">
        <v>1260000</v>
      </c>
    </row>
    <row r="396" spans="6:32">
      <c r="F396" s="4001">
        <v>12102002</v>
      </c>
      <c r="G396" s="4002" t="s">
        <v>5009</v>
      </c>
      <c r="H396" s="3958">
        <v>1072000000</v>
      </c>
      <c r="J396" s="3939"/>
      <c r="N396" s="4003">
        <v>12102002</v>
      </c>
      <c r="O396" s="4004" t="s">
        <v>4113</v>
      </c>
      <c r="P396" s="3961">
        <v>832000000</v>
      </c>
      <c r="R396" s="3939"/>
      <c r="V396" s="4003">
        <v>12102002</v>
      </c>
      <c r="W396" s="4004" t="s">
        <v>4113</v>
      </c>
      <c r="X396" s="3961">
        <v>695000000</v>
      </c>
      <c r="Z396" s="3939"/>
      <c r="AD396" s="4003">
        <v>12102002</v>
      </c>
      <c r="AE396" s="4004" t="s">
        <v>4113</v>
      </c>
      <c r="AF396" s="3961">
        <v>690000000</v>
      </c>
    </row>
    <row r="397" spans="6:32">
      <c r="F397" s="4001">
        <v>12102003</v>
      </c>
      <c r="G397" s="4002" t="s">
        <v>5010</v>
      </c>
      <c r="H397" s="3958">
        <v>0</v>
      </c>
      <c r="J397" s="3939"/>
      <c r="N397" s="4003">
        <v>12102003</v>
      </c>
      <c r="O397" s="4004" t="s">
        <v>4114</v>
      </c>
      <c r="P397" s="3961">
        <v>0</v>
      </c>
      <c r="R397" s="3939"/>
      <c r="V397" s="4003">
        <v>12102003</v>
      </c>
      <c r="W397" s="4004" t="s">
        <v>4114</v>
      </c>
      <c r="X397" s="3961">
        <v>0</v>
      </c>
      <c r="Z397" s="3939"/>
      <c r="AD397" s="4003">
        <v>12102003</v>
      </c>
      <c r="AE397" s="4004" t="s">
        <v>4114</v>
      </c>
      <c r="AF397" s="3961">
        <v>-30000000</v>
      </c>
    </row>
    <row r="398" spans="6:32">
      <c r="F398" s="4001">
        <v>12102004</v>
      </c>
      <c r="G398" s="4002" t="s">
        <v>5011</v>
      </c>
      <c r="H398" s="3958">
        <v>0</v>
      </c>
      <c r="J398" s="3939"/>
      <c r="N398" s="4003">
        <v>12102004</v>
      </c>
      <c r="O398" s="4004" t="s">
        <v>4115</v>
      </c>
      <c r="P398" s="3961">
        <v>0</v>
      </c>
      <c r="R398" s="3939"/>
      <c r="V398" s="4003">
        <v>12102004</v>
      </c>
      <c r="W398" s="4004" t="s">
        <v>4115</v>
      </c>
      <c r="X398" s="3961">
        <v>0</v>
      </c>
      <c r="Z398" s="3939"/>
      <c r="AD398" s="4003">
        <v>12102004</v>
      </c>
      <c r="AE398" s="4004" t="s">
        <v>4115</v>
      </c>
      <c r="AF398" s="3961">
        <v>0</v>
      </c>
    </row>
    <row r="399" spans="6:32">
      <c r="F399" s="4001">
        <v>12102005</v>
      </c>
      <c r="G399" s="4002" t="s">
        <v>246</v>
      </c>
      <c r="H399" s="3958">
        <v>12698809</v>
      </c>
      <c r="J399" s="3939"/>
      <c r="N399" s="4003">
        <v>12102005</v>
      </c>
      <c r="O399" s="4004" t="s">
        <v>246</v>
      </c>
      <c r="P399" s="3961">
        <v>8437159</v>
      </c>
      <c r="R399" s="3939"/>
      <c r="V399" s="4003">
        <v>12102005</v>
      </c>
      <c r="W399" s="4004" t="s">
        <v>246</v>
      </c>
      <c r="X399" s="3961">
        <v>9877484</v>
      </c>
      <c r="Z399" s="3939"/>
      <c r="AD399" s="4003">
        <v>12102005</v>
      </c>
      <c r="AE399" s="4004" t="s">
        <v>246</v>
      </c>
      <c r="AF399" s="3961">
        <v>9797484</v>
      </c>
    </row>
    <row r="400" spans="6:32">
      <c r="F400" s="3989">
        <v>12110000</v>
      </c>
      <c r="G400" s="4005" t="s">
        <v>4116</v>
      </c>
      <c r="H400" s="3991">
        <v>0</v>
      </c>
      <c r="J400" s="3939"/>
      <c r="N400" s="3992">
        <v>12110000</v>
      </c>
      <c r="O400" s="4006" t="s">
        <v>4116</v>
      </c>
      <c r="P400" s="3994">
        <v>0</v>
      </c>
      <c r="R400" s="3939"/>
      <c r="V400" s="3992">
        <v>12110000</v>
      </c>
      <c r="W400" s="4006" t="s">
        <v>4116</v>
      </c>
      <c r="X400" s="3994">
        <v>0</v>
      </c>
      <c r="Z400" s="3939"/>
      <c r="AD400" s="3992">
        <v>12110000</v>
      </c>
      <c r="AE400" s="4006" t="s">
        <v>4116</v>
      </c>
      <c r="AF400" s="3994">
        <v>0</v>
      </c>
    </row>
    <row r="401" spans="6:32">
      <c r="F401" s="3995">
        <v>12111000</v>
      </c>
      <c r="G401" s="4007" t="s">
        <v>4117</v>
      </c>
      <c r="H401" s="3997">
        <v>0</v>
      </c>
      <c r="J401" s="3939"/>
      <c r="N401" s="3998">
        <v>12111000</v>
      </c>
      <c r="O401" s="4008" t="s">
        <v>4117</v>
      </c>
      <c r="P401" s="4000">
        <v>0</v>
      </c>
      <c r="R401" s="3939"/>
      <c r="V401" s="3998">
        <v>12111000</v>
      </c>
      <c r="W401" s="4008" t="s">
        <v>4117</v>
      </c>
      <c r="X401" s="4000">
        <v>0</v>
      </c>
      <c r="Z401" s="3939"/>
      <c r="AD401" s="3998">
        <v>12111000</v>
      </c>
      <c r="AE401" s="4008" t="s">
        <v>4117</v>
      </c>
      <c r="AF401" s="4000">
        <v>0</v>
      </c>
    </row>
    <row r="402" spans="6:32">
      <c r="F402" s="4001">
        <v>12111001</v>
      </c>
      <c r="G402" s="4002" t="s">
        <v>4117</v>
      </c>
      <c r="H402" s="3958">
        <v>0</v>
      </c>
      <c r="J402" s="3939"/>
      <c r="N402" s="4003">
        <v>12111001</v>
      </c>
      <c r="O402" s="4004" t="s">
        <v>4117</v>
      </c>
      <c r="P402" s="3961">
        <v>0</v>
      </c>
      <c r="R402" s="3939"/>
      <c r="V402" s="4003">
        <v>12111001</v>
      </c>
      <c r="W402" s="4004" t="s">
        <v>4117</v>
      </c>
      <c r="X402" s="3961">
        <v>0</v>
      </c>
      <c r="Z402" s="3939"/>
      <c r="AD402" s="4003">
        <v>12111001</v>
      </c>
      <c r="AE402" s="4004" t="s">
        <v>4117</v>
      </c>
      <c r="AF402" s="3961">
        <v>0</v>
      </c>
    </row>
    <row r="403" spans="6:32">
      <c r="F403" s="3995">
        <v>12111100</v>
      </c>
      <c r="G403" s="4013" t="s">
        <v>5012</v>
      </c>
      <c r="H403" s="3997">
        <v>0</v>
      </c>
      <c r="J403" s="3939"/>
      <c r="N403" s="3998">
        <v>12111100</v>
      </c>
      <c r="O403" s="4014" t="s">
        <v>4118</v>
      </c>
      <c r="P403" s="4000">
        <v>0</v>
      </c>
      <c r="R403" s="3939"/>
      <c r="V403" s="3998">
        <v>12111100</v>
      </c>
      <c r="W403" s="4014" t="s">
        <v>4118</v>
      </c>
      <c r="X403" s="4000">
        <v>0</v>
      </c>
      <c r="Z403" s="3939"/>
      <c r="AD403" s="3998">
        <v>12111100</v>
      </c>
      <c r="AE403" s="4014" t="s">
        <v>4118</v>
      </c>
      <c r="AF403" s="4000">
        <v>0</v>
      </c>
    </row>
    <row r="404" spans="6:32">
      <c r="F404" s="4001">
        <v>12111101</v>
      </c>
      <c r="G404" s="4002" t="s">
        <v>5013</v>
      </c>
      <c r="H404" s="3958">
        <v>0</v>
      </c>
      <c r="J404" s="3939"/>
      <c r="N404" s="4003">
        <v>12111101</v>
      </c>
      <c r="O404" s="4004" t="s">
        <v>4119</v>
      </c>
      <c r="P404" s="3961">
        <v>0</v>
      </c>
      <c r="R404" s="3939"/>
      <c r="V404" s="4003">
        <v>12111101</v>
      </c>
      <c r="W404" s="4004" t="s">
        <v>4119</v>
      </c>
      <c r="X404" s="3961">
        <v>0</v>
      </c>
      <c r="Z404" s="3939"/>
      <c r="AD404" s="4003">
        <v>12111101</v>
      </c>
      <c r="AE404" s="4004" t="s">
        <v>4119</v>
      </c>
      <c r="AF404" s="3961">
        <v>0</v>
      </c>
    </row>
    <row r="405" spans="6:32">
      <c r="F405" s="4001">
        <v>12111102</v>
      </c>
      <c r="G405" s="4002" t="s">
        <v>5014</v>
      </c>
      <c r="H405" s="3958">
        <v>0</v>
      </c>
      <c r="J405" s="3939"/>
      <c r="N405" s="4003">
        <v>12111102</v>
      </c>
      <c r="O405" s="4004" t="s">
        <v>4120</v>
      </c>
      <c r="P405" s="3961">
        <v>0</v>
      </c>
      <c r="R405" s="3939"/>
      <c r="V405" s="4003">
        <v>12111102</v>
      </c>
      <c r="W405" s="4004" t="s">
        <v>4120</v>
      </c>
      <c r="X405" s="3961">
        <v>0</v>
      </c>
      <c r="Z405" s="3939"/>
      <c r="AD405" s="4003">
        <v>12111102</v>
      </c>
      <c r="AE405" s="4004" t="s">
        <v>4120</v>
      </c>
      <c r="AF405" s="3961">
        <v>0</v>
      </c>
    </row>
    <row r="406" spans="6:32">
      <c r="F406" s="3989">
        <v>12120000</v>
      </c>
      <c r="G406" s="4005" t="s">
        <v>4121</v>
      </c>
      <c r="H406" s="3991">
        <v>0</v>
      </c>
      <c r="J406" s="3939"/>
      <c r="N406" s="3992">
        <v>12120000</v>
      </c>
      <c r="O406" s="4006" t="s">
        <v>4121</v>
      </c>
      <c r="P406" s="3994">
        <v>0</v>
      </c>
      <c r="R406" s="3939"/>
      <c r="V406" s="3992">
        <v>12120000</v>
      </c>
      <c r="W406" s="4006" t="s">
        <v>4121</v>
      </c>
      <c r="X406" s="3994">
        <v>0</v>
      </c>
      <c r="Z406" s="3939"/>
      <c r="AD406" s="3992">
        <v>12120000</v>
      </c>
      <c r="AE406" s="4006" t="s">
        <v>4121</v>
      </c>
      <c r="AF406" s="3994">
        <v>0</v>
      </c>
    </row>
    <row r="407" spans="6:32">
      <c r="F407" s="3995">
        <v>12121000</v>
      </c>
      <c r="G407" s="4007" t="s">
        <v>5015</v>
      </c>
      <c r="H407" s="3997">
        <v>0</v>
      </c>
      <c r="J407" s="3939"/>
      <c r="N407" s="3998">
        <v>12121000</v>
      </c>
      <c r="O407" s="4008" t="s">
        <v>4122</v>
      </c>
      <c r="P407" s="4000">
        <v>0</v>
      </c>
      <c r="R407" s="3939"/>
      <c r="V407" s="3998">
        <v>12121000</v>
      </c>
      <c r="W407" s="4008" t="s">
        <v>4122</v>
      </c>
      <c r="X407" s="4000">
        <v>0</v>
      </c>
      <c r="Z407" s="3939"/>
      <c r="AD407" s="3998">
        <v>12121000</v>
      </c>
      <c r="AE407" s="4008" t="s">
        <v>4121</v>
      </c>
      <c r="AF407" s="4000">
        <v>0</v>
      </c>
    </row>
    <row r="408" spans="6:32">
      <c r="F408" s="4001">
        <v>12121001</v>
      </c>
      <c r="G408" s="4002" t="s">
        <v>4123</v>
      </c>
      <c r="H408" s="3958">
        <v>0</v>
      </c>
      <c r="J408" s="3939"/>
      <c r="N408" s="4003">
        <v>12121001</v>
      </c>
      <c r="O408" s="4004" t="s">
        <v>4123</v>
      </c>
      <c r="P408" s="3961">
        <v>0</v>
      </c>
      <c r="R408" s="3939"/>
      <c r="V408" s="4003">
        <v>12121001</v>
      </c>
      <c r="W408" s="4004" t="s">
        <v>4123</v>
      </c>
      <c r="X408" s="3961">
        <v>0</v>
      </c>
      <c r="Z408" s="3939"/>
      <c r="AD408" s="4003">
        <v>12121001</v>
      </c>
      <c r="AE408" s="4004" t="s">
        <v>4123</v>
      </c>
      <c r="AF408" s="3961">
        <v>0</v>
      </c>
    </row>
    <row r="409" spans="6:32">
      <c r="F409" s="4001">
        <v>12121002</v>
      </c>
      <c r="G409" s="4002" t="s">
        <v>4124</v>
      </c>
      <c r="H409" s="3958">
        <v>0</v>
      </c>
      <c r="J409" s="3939"/>
      <c r="N409" s="4003">
        <v>12121002</v>
      </c>
      <c r="O409" s="4004" t="s">
        <v>4124</v>
      </c>
      <c r="P409" s="3961">
        <v>0</v>
      </c>
      <c r="R409" s="3939"/>
      <c r="V409" s="4003">
        <v>12121002</v>
      </c>
      <c r="W409" s="4004" t="s">
        <v>4124</v>
      </c>
      <c r="X409" s="3961">
        <v>0</v>
      </c>
      <c r="Z409" s="3939"/>
      <c r="AD409" s="4003">
        <v>12121002</v>
      </c>
      <c r="AE409" s="4004" t="s">
        <v>4124</v>
      </c>
      <c r="AF409" s="3961">
        <v>0</v>
      </c>
    </row>
    <row r="410" spans="6:32">
      <c r="F410" s="4001">
        <v>12121003</v>
      </c>
      <c r="G410" s="4002" t="s">
        <v>4125</v>
      </c>
      <c r="H410" s="3958">
        <v>0</v>
      </c>
      <c r="J410" s="3939"/>
      <c r="N410" s="4003">
        <v>12121003</v>
      </c>
      <c r="O410" s="4004" t="s">
        <v>4125</v>
      </c>
      <c r="P410" s="3961">
        <v>0</v>
      </c>
      <c r="R410" s="3939"/>
      <c r="V410" s="4003">
        <v>12121003</v>
      </c>
      <c r="W410" s="4004" t="s">
        <v>4125</v>
      </c>
      <c r="X410" s="3961">
        <v>0</v>
      </c>
      <c r="Z410" s="3939"/>
      <c r="AD410" s="4003">
        <v>12121003</v>
      </c>
      <c r="AE410" s="4004" t="s">
        <v>4125</v>
      </c>
      <c r="AF410" s="3961">
        <v>0</v>
      </c>
    </row>
    <row r="411" spans="6:32">
      <c r="F411" s="4001">
        <v>12121004</v>
      </c>
      <c r="G411" s="4002" t="s">
        <v>4126</v>
      </c>
      <c r="H411" s="3958">
        <v>0</v>
      </c>
      <c r="J411" s="3939"/>
      <c r="N411" s="4003">
        <v>12121004</v>
      </c>
      <c r="O411" s="4004" t="s">
        <v>4126</v>
      </c>
      <c r="P411" s="3961">
        <v>0</v>
      </c>
      <c r="R411" s="3939"/>
      <c r="V411" s="4003">
        <v>12121004</v>
      </c>
      <c r="W411" s="4004" t="s">
        <v>4126</v>
      </c>
      <c r="X411" s="3961">
        <v>0</v>
      </c>
      <c r="Z411" s="3939"/>
      <c r="AD411" s="4003">
        <v>12121004</v>
      </c>
      <c r="AE411" s="4004" t="s">
        <v>4126</v>
      </c>
      <c r="AF411" s="3961">
        <v>0</v>
      </c>
    </row>
    <row r="412" spans="6:32">
      <c r="F412" s="4001">
        <v>12121005</v>
      </c>
      <c r="G412" s="4002" t="s">
        <v>5016</v>
      </c>
      <c r="H412" s="3958">
        <v>0</v>
      </c>
      <c r="J412" s="3939"/>
      <c r="N412" s="4003">
        <v>12121005</v>
      </c>
      <c r="O412" s="4004" t="s">
        <v>4127</v>
      </c>
      <c r="P412" s="3961">
        <v>0</v>
      </c>
      <c r="R412" s="3939"/>
      <c r="V412" s="4003">
        <v>12121005</v>
      </c>
      <c r="W412" s="4004" t="s">
        <v>4127</v>
      </c>
      <c r="X412" s="3961">
        <v>0</v>
      </c>
      <c r="Z412" s="3939"/>
      <c r="AD412" s="4003">
        <v>12121005</v>
      </c>
      <c r="AE412" s="4004" t="s">
        <v>4127</v>
      </c>
      <c r="AF412" s="3961">
        <v>0</v>
      </c>
    </row>
    <row r="413" spans="6:32">
      <c r="F413" s="3995">
        <v>12122000</v>
      </c>
      <c r="G413" s="4007" t="s">
        <v>5017</v>
      </c>
      <c r="H413" s="3997">
        <v>0</v>
      </c>
      <c r="J413" s="3939"/>
      <c r="N413" s="3998">
        <v>12122000</v>
      </c>
      <c r="O413" s="4008" t="s">
        <v>4128</v>
      </c>
      <c r="P413" s="4000">
        <v>0</v>
      </c>
      <c r="R413" s="3939"/>
      <c r="V413" s="3998">
        <v>12122000</v>
      </c>
      <c r="W413" s="4008" t="s">
        <v>4128</v>
      </c>
      <c r="X413" s="4000">
        <v>0</v>
      </c>
      <c r="Z413" s="3939"/>
      <c r="AD413" s="3992">
        <v>12130000</v>
      </c>
      <c r="AE413" s="4006" t="s">
        <v>4134</v>
      </c>
      <c r="AF413" s="3994">
        <v>0</v>
      </c>
    </row>
    <row r="414" spans="6:32">
      <c r="F414" s="4001">
        <v>12122001</v>
      </c>
      <c r="G414" s="4002" t="s">
        <v>4129</v>
      </c>
      <c r="H414" s="3958">
        <v>0</v>
      </c>
      <c r="J414" s="3939"/>
      <c r="N414" s="4003">
        <v>12122001</v>
      </c>
      <c r="O414" s="4004" t="s">
        <v>4129</v>
      </c>
      <c r="P414" s="3961">
        <v>0</v>
      </c>
      <c r="R414" s="3939"/>
      <c r="V414" s="4003">
        <v>12122001</v>
      </c>
      <c r="W414" s="4004" t="s">
        <v>4129</v>
      </c>
      <c r="X414" s="3961">
        <v>0</v>
      </c>
      <c r="Z414" s="3939"/>
      <c r="AD414" s="3998">
        <v>12131000</v>
      </c>
      <c r="AE414" s="4008" t="s">
        <v>4134</v>
      </c>
      <c r="AF414" s="4000">
        <v>0</v>
      </c>
    </row>
    <row r="415" spans="6:32">
      <c r="F415" s="4001">
        <v>12122002</v>
      </c>
      <c r="G415" s="4002" t="s">
        <v>4130</v>
      </c>
      <c r="H415" s="3958">
        <v>0</v>
      </c>
      <c r="J415" s="3939"/>
      <c r="N415" s="4003">
        <v>12122002</v>
      </c>
      <c r="O415" s="4004" t="s">
        <v>4130</v>
      </c>
      <c r="P415" s="3961">
        <v>0</v>
      </c>
      <c r="R415" s="3939"/>
      <c r="V415" s="4003">
        <v>12122002</v>
      </c>
      <c r="W415" s="4004" t="s">
        <v>4130</v>
      </c>
      <c r="X415" s="3961">
        <v>0</v>
      </c>
      <c r="Z415" s="3939"/>
      <c r="AD415" s="4003">
        <v>12131001</v>
      </c>
      <c r="AE415" s="4004" t="s">
        <v>4135</v>
      </c>
      <c r="AF415" s="3961">
        <v>0</v>
      </c>
    </row>
    <row r="416" spans="6:32">
      <c r="F416" s="4001">
        <v>12122003</v>
      </c>
      <c r="G416" s="4002" t="s">
        <v>4131</v>
      </c>
      <c r="H416" s="3958">
        <v>0</v>
      </c>
      <c r="J416" s="3939"/>
      <c r="N416" s="4003">
        <v>12122003</v>
      </c>
      <c r="O416" s="4004" t="s">
        <v>4131</v>
      </c>
      <c r="P416" s="3961">
        <v>0</v>
      </c>
      <c r="R416" s="3939"/>
      <c r="V416" s="4003">
        <v>12122003</v>
      </c>
      <c r="W416" s="4004" t="s">
        <v>4131</v>
      </c>
      <c r="X416" s="3961">
        <v>0</v>
      </c>
      <c r="Z416" s="3939"/>
      <c r="AD416" s="4003">
        <v>12131002</v>
      </c>
      <c r="AE416" s="4004" t="s">
        <v>4136</v>
      </c>
      <c r="AF416" s="3961">
        <v>0</v>
      </c>
    </row>
    <row r="417" spans="6:32">
      <c r="F417" s="4001">
        <v>12122004</v>
      </c>
      <c r="G417" s="4002" t="s">
        <v>4132</v>
      </c>
      <c r="H417" s="3958">
        <v>0</v>
      </c>
      <c r="J417" s="3939"/>
      <c r="N417" s="4003">
        <v>12122004</v>
      </c>
      <c r="O417" s="4004" t="s">
        <v>4132</v>
      </c>
      <c r="P417" s="3961">
        <v>0</v>
      </c>
      <c r="R417" s="3939"/>
      <c r="V417" s="4003">
        <v>12122004</v>
      </c>
      <c r="W417" s="4004" t="s">
        <v>4132</v>
      </c>
      <c r="X417" s="3961">
        <v>0</v>
      </c>
      <c r="Z417" s="3939"/>
      <c r="AD417" s="4003">
        <v>12131003</v>
      </c>
      <c r="AE417" s="4004" t="s">
        <v>4137</v>
      </c>
      <c r="AF417" s="3961">
        <v>0</v>
      </c>
    </row>
    <row r="418" spans="6:32">
      <c r="F418" s="4001">
        <v>12122005</v>
      </c>
      <c r="G418" s="4002" t="s">
        <v>4133</v>
      </c>
      <c r="H418" s="3958">
        <v>0</v>
      </c>
      <c r="J418" s="3939"/>
      <c r="N418" s="4003">
        <v>12122005</v>
      </c>
      <c r="O418" s="4004" t="s">
        <v>4133</v>
      </c>
      <c r="P418" s="3961">
        <v>0</v>
      </c>
      <c r="R418" s="3939"/>
      <c r="V418" s="4003">
        <v>12122005</v>
      </c>
      <c r="W418" s="4004" t="s">
        <v>4133</v>
      </c>
      <c r="X418" s="3961">
        <v>0</v>
      </c>
      <c r="Z418" s="3939"/>
      <c r="AD418" s="4003">
        <v>12131004</v>
      </c>
      <c r="AE418" s="4004" t="s">
        <v>4138</v>
      </c>
      <c r="AF418" s="3961">
        <v>0</v>
      </c>
    </row>
    <row r="419" spans="6:32">
      <c r="F419" s="3989">
        <v>12130000</v>
      </c>
      <c r="G419" s="4005" t="s">
        <v>4134</v>
      </c>
      <c r="H419" s="3991">
        <v>0</v>
      </c>
      <c r="J419" s="3939"/>
      <c r="N419" s="3992">
        <v>12130000</v>
      </c>
      <c r="O419" s="4006" t="s">
        <v>4134</v>
      </c>
      <c r="P419" s="3994">
        <v>0</v>
      </c>
      <c r="R419" s="3939"/>
      <c r="V419" s="3992">
        <v>12130000</v>
      </c>
      <c r="W419" s="4006" t="s">
        <v>4134</v>
      </c>
      <c r="X419" s="3994">
        <v>0</v>
      </c>
      <c r="Z419" s="3939"/>
      <c r="AD419" s="3992">
        <v>12140000</v>
      </c>
      <c r="AE419" s="4006" t="s">
        <v>4139</v>
      </c>
      <c r="AF419" s="3994">
        <v>0</v>
      </c>
    </row>
    <row r="420" spans="6:32">
      <c r="F420" s="3995">
        <v>12131000</v>
      </c>
      <c r="G420" s="4007" t="s">
        <v>4134</v>
      </c>
      <c r="H420" s="3997">
        <v>0</v>
      </c>
      <c r="J420" s="3939"/>
      <c r="N420" s="3998">
        <v>12131000</v>
      </c>
      <c r="O420" s="4008" t="s">
        <v>4134</v>
      </c>
      <c r="P420" s="4000">
        <v>0</v>
      </c>
      <c r="R420" s="3939"/>
      <c r="V420" s="3998">
        <v>12131000</v>
      </c>
      <c r="W420" s="4008" t="s">
        <v>4134</v>
      </c>
      <c r="X420" s="4000">
        <v>0</v>
      </c>
      <c r="Z420" s="3939"/>
      <c r="AD420" s="3998">
        <v>12141000</v>
      </c>
      <c r="AE420" s="4008" t="s">
        <v>4140</v>
      </c>
      <c r="AF420" s="4000">
        <v>0</v>
      </c>
    </row>
    <row r="421" spans="6:32">
      <c r="F421" s="4001">
        <v>12131001</v>
      </c>
      <c r="G421" s="4002" t="s">
        <v>4135</v>
      </c>
      <c r="H421" s="3958">
        <v>0</v>
      </c>
      <c r="J421" s="3939"/>
      <c r="N421" s="4003">
        <v>12131001</v>
      </c>
      <c r="O421" s="4004" t="s">
        <v>4135</v>
      </c>
      <c r="P421" s="3961">
        <v>0</v>
      </c>
      <c r="R421" s="3939"/>
      <c r="V421" s="4003">
        <v>12131001</v>
      </c>
      <c r="W421" s="4004" t="s">
        <v>4135</v>
      </c>
      <c r="X421" s="3961">
        <v>0</v>
      </c>
      <c r="Z421" s="3939"/>
      <c r="AD421" s="4003">
        <v>12141001</v>
      </c>
      <c r="AE421" s="4004" t="s">
        <v>4141</v>
      </c>
      <c r="AF421" s="3961">
        <v>0</v>
      </c>
    </row>
    <row r="422" spans="6:32">
      <c r="F422" s="4001">
        <v>12131002</v>
      </c>
      <c r="G422" s="4002" t="s">
        <v>4136</v>
      </c>
      <c r="H422" s="3958">
        <v>0</v>
      </c>
      <c r="J422" s="3939"/>
      <c r="N422" s="4003">
        <v>12131002</v>
      </c>
      <c r="O422" s="4004" t="s">
        <v>4136</v>
      </c>
      <c r="P422" s="3961">
        <v>0</v>
      </c>
      <c r="R422" s="3939"/>
      <c r="V422" s="4003">
        <v>12131002</v>
      </c>
      <c r="W422" s="4004" t="s">
        <v>4136</v>
      </c>
      <c r="X422" s="3961">
        <v>0</v>
      </c>
      <c r="Z422" s="3939"/>
      <c r="AD422" s="4003">
        <v>12141002</v>
      </c>
      <c r="AE422" s="4004" t="s">
        <v>4142</v>
      </c>
      <c r="AF422" s="3961">
        <v>0</v>
      </c>
    </row>
    <row r="423" spans="6:32">
      <c r="F423" s="4001">
        <v>12131003</v>
      </c>
      <c r="G423" s="4002" t="s">
        <v>4137</v>
      </c>
      <c r="H423" s="3958">
        <v>0</v>
      </c>
      <c r="J423" s="3939"/>
      <c r="N423" s="4003">
        <v>12131003</v>
      </c>
      <c r="O423" s="4004" t="s">
        <v>4137</v>
      </c>
      <c r="P423" s="3961">
        <v>0</v>
      </c>
      <c r="R423" s="3939"/>
      <c r="V423" s="4003">
        <v>12131003</v>
      </c>
      <c r="W423" s="4004" t="s">
        <v>4137</v>
      </c>
      <c r="X423" s="3961">
        <v>0</v>
      </c>
      <c r="Z423" s="3939"/>
      <c r="AD423" s="4003">
        <v>12141003</v>
      </c>
      <c r="AE423" s="4004" t="s">
        <v>4143</v>
      </c>
      <c r="AF423" s="3961">
        <v>0</v>
      </c>
    </row>
    <row r="424" spans="6:32">
      <c r="F424" s="4001">
        <v>12131004</v>
      </c>
      <c r="G424" s="4002" t="s">
        <v>5018</v>
      </c>
      <c r="H424" s="3958">
        <v>0</v>
      </c>
      <c r="J424" s="3939"/>
      <c r="N424" s="4003">
        <v>12131004</v>
      </c>
      <c r="O424" s="4004" t="s">
        <v>4138</v>
      </c>
      <c r="P424" s="3961">
        <v>0</v>
      </c>
      <c r="R424" s="3939"/>
      <c r="V424" s="4003">
        <v>12131004</v>
      </c>
      <c r="W424" s="4004" t="s">
        <v>4138</v>
      </c>
      <c r="X424" s="3961">
        <v>0</v>
      </c>
      <c r="Z424" s="3939"/>
      <c r="AD424" s="3998">
        <v>12141100</v>
      </c>
      <c r="AE424" s="4008" t="s">
        <v>4144</v>
      </c>
      <c r="AF424" s="4000">
        <v>0</v>
      </c>
    </row>
    <row r="425" spans="6:32">
      <c r="F425" s="3989">
        <v>12140000</v>
      </c>
      <c r="G425" s="4005" t="s">
        <v>4139</v>
      </c>
      <c r="H425" s="3991">
        <v>0</v>
      </c>
      <c r="J425" s="3939"/>
      <c r="N425" s="3992">
        <v>12140000</v>
      </c>
      <c r="O425" s="4006" t="s">
        <v>4139</v>
      </c>
      <c r="P425" s="3994">
        <v>0</v>
      </c>
      <c r="R425" s="3939"/>
      <c r="V425" s="3992">
        <v>12140000</v>
      </c>
      <c r="W425" s="4006" t="s">
        <v>4139</v>
      </c>
      <c r="X425" s="3994">
        <v>0</v>
      </c>
      <c r="Z425" s="3939"/>
      <c r="AD425" s="4003">
        <v>12141101</v>
      </c>
      <c r="AE425" s="4004" t="s">
        <v>4145</v>
      </c>
      <c r="AF425" s="3961">
        <v>0</v>
      </c>
    </row>
    <row r="426" spans="6:32">
      <c r="F426" s="3995">
        <v>12141000</v>
      </c>
      <c r="G426" s="4007" t="s">
        <v>4140</v>
      </c>
      <c r="H426" s="3997">
        <v>0</v>
      </c>
      <c r="J426" s="3939"/>
      <c r="N426" s="3998">
        <v>12141000</v>
      </c>
      <c r="O426" s="4008" t="s">
        <v>4140</v>
      </c>
      <c r="P426" s="4000">
        <v>0</v>
      </c>
      <c r="R426" s="3939"/>
      <c r="V426" s="3998">
        <v>12141000</v>
      </c>
      <c r="W426" s="4008" t="s">
        <v>4140</v>
      </c>
      <c r="X426" s="4000">
        <v>0</v>
      </c>
      <c r="Z426" s="3939"/>
      <c r="AD426" s="4003">
        <v>12141102</v>
      </c>
      <c r="AE426" s="4004" t="s">
        <v>4146</v>
      </c>
      <c r="AF426" s="3961">
        <v>0</v>
      </c>
    </row>
    <row r="427" spans="6:32">
      <c r="F427" s="4001">
        <v>12141001</v>
      </c>
      <c r="G427" s="4002" t="s">
        <v>5019</v>
      </c>
      <c r="H427" s="3958">
        <v>0</v>
      </c>
      <c r="J427" s="3939"/>
      <c r="N427" s="4003">
        <v>12141001</v>
      </c>
      <c r="O427" s="4004" t="s">
        <v>4141</v>
      </c>
      <c r="P427" s="3961">
        <v>0</v>
      </c>
      <c r="R427" s="3939"/>
      <c r="V427" s="4003">
        <v>12141001</v>
      </c>
      <c r="W427" s="4004" t="s">
        <v>4141</v>
      </c>
      <c r="X427" s="3961">
        <v>0</v>
      </c>
      <c r="Z427" s="3939"/>
      <c r="AD427" s="3992">
        <v>12150000</v>
      </c>
      <c r="AE427" s="4006" t="s">
        <v>4147</v>
      </c>
      <c r="AF427" s="3994">
        <v>0</v>
      </c>
    </row>
    <row r="428" spans="6:32">
      <c r="F428" s="4001">
        <v>12141002</v>
      </c>
      <c r="G428" s="4002" t="s">
        <v>5020</v>
      </c>
      <c r="H428" s="3958">
        <v>0</v>
      </c>
      <c r="J428" s="3939"/>
      <c r="N428" s="4003">
        <v>12141002</v>
      </c>
      <c r="O428" s="4004" t="s">
        <v>4142</v>
      </c>
      <c r="P428" s="3961">
        <v>0</v>
      </c>
      <c r="R428" s="3939"/>
      <c r="V428" s="4003">
        <v>12141002</v>
      </c>
      <c r="W428" s="4004" t="s">
        <v>4142</v>
      </c>
      <c r="X428" s="3961">
        <v>0</v>
      </c>
      <c r="Z428" s="3939"/>
      <c r="AD428" s="3998">
        <v>12151000</v>
      </c>
      <c r="AE428" s="4008" t="s">
        <v>4148</v>
      </c>
      <c r="AF428" s="4000">
        <v>0</v>
      </c>
    </row>
    <row r="429" spans="6:32">
      <c r="F429" s="4001">
        <v>12141003</v>
      </c>
      <c r="G429" s="4002" t="s">
        <v>5021</v>
      </c>
      <c r="H429" s="3958">
        <v>0</v>
      </c>
      <c r="J429" s="3939"/>
      <c r="N429" s="4003">
        <v>12141003</v>
      </c>
      <c r="O429" s="4004" t="s">
        <v>4143</v>
      </c>
      <c r="P429" s="3961">
        <v>0</v>
      </c>
      <c r="R429" s="3939"/>
      <c r="V429" s="4003">
        <v>12141003</v>
      </c>
      <c r="W429" s="4004" t="s">
        <v>4143</v>
      </c>
      <c r="X429" s="3961">
        <v>0</v>
      </c>
      <c r="Z429" s="3939"/>
      <c r="AD429" s="4003">
        <v>12151001</v>
      </c>
      <c r="AE429" s="4004" t="s">
        <v>4149</v>
      </c>
      <c r="AF429" s="3961">
        <v>0</v>
      </c>
    </row>
    <row r="430" spans="6:32">
      <c r="F430" s="3995">
        <v>12141100</v>
      </c>
      <c r="G430" s="4007" t="s">
        <v>4144</v>
      </c>
      <c r="H430" s="3997">
        <v>0</v>
      </c>
      <c r="J430" s="3939"/>
      <c r="N430" s="3998">
        <v>12141100</v>
      </c>
      <c r="O430" s="4008" t="s">
        <v>4144</v>
      </c>
      <c r="P430" s="4000">
        <v>0</v>
      </c>
      <c r="R430" s="3939"/>
      <c r="V430" s="3998">
        <v>12141100</v>
      </c>
      <c r="W430" s="4008" t="s">
        <v>4144</v>
      </c>
      <c r="X430" s="4000">
        <v>0</v>
      </c>
      <c r="Z430" s="3939"/>
      <c r="AD430" s="4003">
        <v>12151002</v>
      </c>
      <c r="AE430" s="4004" t="s">
        <v>4150</v>
      </c>
      <c r="AF430" s="3961">
        <v>0</v>
      </c>
    </row>
    <row r="431" spans="6:32">
      <c r="F431" s="4001">
        <v>12141101</v>
      </c>
      <c r="G431" s="4002" t="s">
        <v>5022</v>
      </c>
      <c r="H431" s="3958">
        <v>0</v>
      </c>
      <c r="J431" s="3939"/>
      <c r="N431" s="4003">
        <v>12141101</v>
      </c>
      <c r="O431" s="4004" t="s">
        <v>4145</v>
      </c>
      <c r="P431" s="3961">
        <v>0</v>
      </c>
      <c r="R431" s="3939"/>
      <c r="V431" s="4003">
        <v>12141101</v>
      </c>
      <c r="W431" s="4004" t="s">
        <v>4145</v>
      </c>
      <c r="X431" s="3961">
        <v>0</v>
      </c>
      <c r="Z431" s="3939"/>
      <c r="AD431" s="4003">
        <v>12151003</v>
      </c>
      <c r="AE431" s="4004" t="s">
        <v>4151</v>
      </c>
      <c r="AF431" s="3961">
        <v>0</v>
      </c>
    </row>
    <row r="432" spans="6:32">
      <c r="F432" s="4001">
        <v>12141102</v>
      </c>
      <c r="G432" s="4002" t="s">
        <v>5023</v>
      </c>
      <c r="H432" s="3958">
        <v>0</v>
      </c>
      <c r="J432" s="3939"/>
      <c r="N432" s="4003">
        <v>12141102</v>
      </c>
      <c r="O432" s="4004" t="s">
        <v>4146</v>
      </c>
      <c r="P432" s="3961">
        <v>0</v>
      </c>
      <c r="R432" s="3939"/>
      <c r="V432" s="4003">
        <v>12141102</v>
      </c>
      <c r="W432" s="4004" t="s">
        <v>4146</v>
      </c>
      <c r="X432" s="3961">
        <v>0</v>
      </c>
      <c r="Z432" s="3939"/>
      <c r="AD432" s="3992">
        <v>12160000</v>
      </c>
      <c r="AE432" s="4006" t="s">
        <v>6547</v>
      </c>
      <c r="AF432" s="3994">
        <v>0</v>
      </c>
    </row>
    <row r="433" spans="6:32">
      <c r="F433" s="3989">
        <v>12150000</v>
      </c>
      <c r="G433" s="4005" t="s">
        <v>4147</v>
      </c>
      <c r="H433" s="3991">
        <v>0</v>
      </c>
      <c r="J433" s="3939"/>
      <c r="N433" s="3992">
        <v>12150000</v>
      </c>
      <c r="O433" s="4006" t="s">
        <v>4147</v>
      </c>
      <c r="P433" s="3994">
        <v>0</v>
      </c>
      <c r="R433" s="3939"/>
      <c r="V433" s="3992">
        <v>12150000</v>
      </c>
      <c r="W433" s="4006" t="s">
        <v>4147</v>
      </c>
      <c r="X433" s="3994">
        <v>0</v>
      </c>
      <c r="Z433" s="3939"/>
      <c r="AD433" s="3998">
        <v>12161000</v>
      </c>
      <c r="AE433" s="4008" t="s">
        <v>6547</v>
      </c>
      <c r="AF433" s="4000">
        <v>0</v>
      </c>
    </row>
    <row r="434" spans="6:32">
      <c r="F434" s="3995">
        <v>12151000</v>
      </c>
      <c r="G434" s="4007" t="s">
        <v>4148</v>
      </c>
      <c r="H434" s="3997">
        <v>0</v>
      </c>
      <c r="J434" s="3939"/>
      <c r="N434" s="3998">
        <v>12151000</v>
      </c>
      <c r="O434" s="4008" t="s">
        <v>4148</v>
      </c>
      <c r="P434" s="4000">
        <v>0</v>
      </c>
      <c r="R434" s="3939"/>
      <c r="V434" s="3998">
        <v>12151000</v>
      </c>
      <c r="W434" s="4008" t="s">
        <v>4148</v>
      </c>
      <c r="X434" s="4000">
        <v>0</v>
      </c>
      <c r="Z434" s="3939"/>
      <c r="AD434" s="4003">
        <v>12161001</v>
      </c>
      <c r="AE434" s="4004" t="s">
        <v>6547</v>
      </c>
      <c r="AF434" s="3961">
        <v>0</v>
      </c>
    </row>
    <row r="435" spans="6:32">
      <c r="F435" s="4001">
        <v>12151001</v>
      </c>
      <c r="G435" s="4002" t="s">
        <v>4149</v>
      </c>
      <c r="H435" s="3958">
        <v>0</v>
      </c>
      <c r="J435" s="3939"/>
      <c r="N435" s="4003">
        <v>12151001</v>
      </c>
      <c r="O435" s="4004" t="s">
        <v>4149</v>
      </c>
      <c r="P435" s="3961">
        <v>0</v>
      </c>
      <c r="R435" s="3939"/>
      <c r="V435" s="4003">
        <v>12151001</v>
      </c>
      <c r="W435" s="4004" t="s">
        <v>4149</v>
      </c>
      <c r="X435" s="3961">
        <v>0</v>
      </c>
      <c r="Z435" s="3939"/>
      <c r="AD435" s="4003">
        <v>12161002</v>
      </c>
      <c r="AE435" s="4004" t="s">
        <v>6548</v>
      </c>
      <c r="AF435" s="3961">
        <v>0</v>
      </c>
    </row>
    <row r="436" spans="6:32">
      <c r="F436" s="4001">
        <v>12151002</v>
      </c>
      <c r="G436" s="4002" t="s">
        <v>4150</v>
      </c>
      <c r="H436" s="3958">
        <v>0</v>
      </c>
      <c r="J436" s="3939"/>
      <c r="N436" s="4003">
        <v>12151002</v>
      </c>
      <c r="O436" s="4004" t="s">
        <v>4150</v>
      </c>
      <c r="P436" s="3961">
        <v>0</v>
      </c>
      <c r="R436" s="3939"/>
      <c r="V436" s="4003">
        <v>12151002</v>
      </c>
      <c r="W436" s="4004" t="s">
        <v>4150</v>
      </c>
      <c r="X436" s="3961">
        <v>0</v>
      </c>
      <c r="Z436" s="3939"/>
      <c r="AD436" s="4003">
        <v>12161003</v>
      </c>
      <c r="AE436" s="4004" t="s">
        <v>6549</v>
      </c>
      <c r="AF436" s="3961">
        <v>0</v>
      </c>
    </row>
    <row r="437" spans="6:32">
      <c r="F437" s="4001">
        <v>12151003</v>
      </c>
      <c r="G437" s="4002" t="s">
        <v>4151</v>
      </c>
      <c r="H437" s="3958">
        <v>0</v>
      </c>
      <c r="J437" s="3939"/>
      <c r="N437" s="4003">
        <v>12151003</v>
      </c>
      <c r="O437" s="4004" t="s">
        <v>4151</v>
      </c>
      <c r="P437" s="3961">
        <v>0</v>
      </c>
      <c r="R437" s="3939"/>
      <c r="V437" s="4003">
        <v>12151003</v>
      </c>
      <c r="W437" s="4004" t="s">
        <v>4151</v>
      </c>
      <c r="X437" s="3961">
        <v>0</v>
      </c>
      <c r="Z437" s="3939"/>
      <c r="AD437" s="3992">
        <v>12170000</v>
      </c>
      <c r="AE437" s="4006" t="s">
        <v>1455</v>
      </c>
      <c r="AF437" s="3994">
        <v>16913078623</v>
      </c>
    </row>
    <row r="438" spans="6:32">
      <c r="F438" s="3989"/>
      <c r="G438" s="4005"/>
      <c r="H438" s="3991">
        <v>0</v>
      </c>
      <c r="J438" s="3939"/>
      <c r="N438" s="3992"/>
      <c r="O438" s="4006"/>
      <c r="P438" s="3994">
        <v>0</v>
      </c>
      <c r="R438" s="3939"/>
      <c r="V438" s="3992"/>
      <c r="W438" s="4006"/>
      <c r="X438" s="3994">
        <v>0</v>
      </c>
      <c r="Z438" s="3939"/>
      <c r="AD438" s="3998">
        <v>12171000</v>
      </c>
      <c r="AE438" s="4008" t="s">
        <v>4152</v>
      </c>
      <c r="AF438" s="4000">
        <v>7669920000</v>
      </c>
    </row>
    <row r="439" spans="6:32">
      <c r="F439" s="3995"/>
      <c r="G439" s="4007"/>
      <c r="H439" s="3997">
        <v>0</v>
      </c>
      <c r="J439" s="3939"/>
      <c r="N439" s="3998"/>
      <c r="O439" s="4008"/>
      <c r="P439" s="4000">
        <v>0</v>
      </c>
      <c r="R439" s="3939"/>
      <c r="V439" s="3998"/>
      <c r="W439" s="4008"/>
      <c r="X439" s="4000">
        <v>0</v>
      </c>
      <c r="Z439" s="3939"/>
      <c r="AD439" s="4003">
        <v>12171001</v>
      </c>
      <c r="AE439" s="4004" t="s">
        <v>4152</v>
      </c>
      <c r="AF439" s="3961">
        <v>7669920000</v>
      </c>
    </row>
    <row r="440" spans="6:32">
      <c r="F440" s="4001"/>
      <c r="G440" s="4002"/>
      <c r="H440" s="3958">
        <v>0</v>
      </c>
      <c r="J440" s="3939"/>
      <c r="N440" s="4003"/>
      <c r="O440" s="4004"/>
      <c r="P440" s="3961">
        <v>0</v>
      </c>
      <c r="R440" s="3939"/>
      <c r="V440" s="4003"/>
      <c r="W440" s="4004"/>
      <c r="X440" s="3961">
        <v>0</v>
      </c>
      <c r="Z440" s="3939"/>
      <c r="AD440" s="4003">
        <v>12171002</v>
      </c>
      <c r="AE440" s="4004" t="s">
        <v>4153</v>
      </c>
      <c r="AF440" s="3961">
        <v>0</v>
      </c>
    </row>
    <row r="441" spans="6:32">
      <c r="F441" s="4001"/>
      <c r="G441" s="4002"/>
      <c r="H441" s="3958">
        <v>0</v>
      </c>
      <c r="J441" s="3939"/>
      <c r="N441" s="4003"/>
      <c r="O441" s="4004"/>
      <c r="P441" s="3961">
        <v>0</v>
      </c>
      <c r="R441" s="3939"/>
      <c r="V441" s="4003"/>
      <c r="W441" s="4004"/>
      <c r="X441" s="3961">
        <v>0</v>
      </c>
      <c r="Z441" s="3939"/>
      <c r="AD441" s="3998">
        <v>12171100</v>
      </c>
      <c r="AE441" s="4008" t="s">
        <v>4154</v>
      </c>
      <c r="AF441" s="4000">
        <v>2968153616</v>
      </c>
    </row>
    <row r="442" spans="6:32">
      <c r="F442" s="4001"/>
      <c r="G442" s="4002"/>
      <c r="H442" s="3958">
        <v>0</v>
      </c>
      <c r="J442" s="3939"/>
      <c r="N442" s="4003"/>
      <c r="O442" s="4004"/>
      <c r="P442" s="3961">
        <v>0</v>
      </c>
      <c r="R442" s="3939"/>
      <c r="V442" s="4003"/>
      <c r="W442" s="4004"/>
      <c r="X442" s="3961">
        <v>0</v>
      </c>
      <c r="Z442" s="3939"/>
      <c r="AD442" s="4003">
        <v>12171101</v>
      </c>
      <c r="AE442" s="4004" t="s">
        <v>4154</v>
      </c>
      <c r="AF442" s="3961">
        <v>4891037247</v>
      </c>
    </row>
    <row r="443" spans="6:32">
      <c r="F443" s="3989">
        <v>12170000</v>
      </c>
      <c r="G443" s="4005" t="s">
        <v>1455</v>
      </c>
      <c r="H443" s="3991">
        <v>15802204521</v>
      </c>
      <c r="J443" s="3939"/>
      <c r="N443" s="3992">
        <v>12170000</v>
      </c>
      <c r="O443" s="4006" t="s">
        <v>1455</v>
      </c>
      <c r="P443" s="3994">
        <v>14146900982</v>
      </c>
      <c r="R443" s="3939"/>
      <c r="V443" s="3992">
        <v>12170000</v>
      </c>
      <c r="W443" s="4006" t="s">
        <v>1455</v>
      </c>
      <c r="X443" s="3994">
        <v>14243497600</v>
      </c>
      <c r="Z443" s="3939"/>
      <c r="AD443" s="4003">
        <v>12171102</v>
      </c>
      <c r="AE443" s="4004" t="s">
        <v>4155</v>
      </c>
      <c r="AF443" s="3961">
        <v>-1922883631</v>
      </c>
    </row>
    <row r="444" spans="6:32">
      <c r="F444" s="3995">
        <v>12171000</v>
      </c>
      <c r="G444" s="4007" t="s">
        <v>4152</v>
      </c>
      <c r="H444" s="3997">
        <v>7669920000</v>
      </c>
      <c r="J444" s="3939"/>
      <c r="N444" s="3998">
        <v>12171000</v>
      </c>
      <c r="O444" s="4008" t="s">
        <v>4152</v>
      </c>
      <c r="P444" s="4000">
        <v>7669920000</v>
      </c>
      <c r="R444" s="3939"/>
      <c r="V444" s="3998">
        <v>12171000</v>
      </c>
      <c r="W444" s="4008" t="s">
        <v>4152</v>
      </c>
      <c r="X444" s="4000">
        <v>7669920000</v>
      </c>
      <c r="Z444" s="3939"/>
      <c r="AD444" s="4003">
        <v>12171103</v>
      </c>
      <c r="AE444" s="4004" t="s">
        <v>4156</v>
      </c>
      <c r="AF444" s="3961">
        <v>0</v>
      </c>
    </row>
    <row r="445" spans="6:32">
      <c r="F445" s="4001">
        <v>12171001</v>
      </c>
      <c r="G445" s="4002" t="s">
        <v>4152</v>
      </c>
      <c r="H445" s="3958">
        <v>7669920000</v>
      </c>
      <c r="J445" s="3939"/>
      <c r="N445" s="4003">
        <v>12171001</v>
      </c>
      <c r="O445" s="4004" t="s">
        <v>4152</v>
      </c>
      <c r="P445" s="3961">
        <v>7669920000</v>
      </c>
      <c r="R445" s="3939"/>
      <c r="V445" s="4003">
        <v>12171001</v>
      </c>
      <c r="W445" s="4004" t="s">
        <v>4152</v>
      </c>
      <c r="X445" s="3961">
        <v>7669920000</v>
      </c>
      <c r="Z445" s="3939"/>
      <c r="AD445" s="4003">
        <v>12171104</v>
      </c>
      <c r="AE445" s="4004" t="s">
        <v>4157</v>
      </c>
      <c r="AF445" s="3961">
        <v>0</v>
      </c>
    </row>
    <row r="446" spans="6:32">
      <c r="F446" s="4001">
        <v>12171002</v>
      </c>
      <c r="G446" s="4002" t="s">
        <v>4153</v>
      </c>
      <c r="H446" s="3958">
        <v>0</v>
      </c>
      <c r="J446" s="3939"/>
      <c r="N446" s="4003">
        <v>12171002</v>
      </c>
      <c r="O446" s="4004" t="s">
        <v>4153</v>
      </c>
      <c r="P446" s="3961">
        <v>0</v>
      </c>
      <c r="R446" s="3939"/>
      <c r="V446" s="4003">
        <v>12171002</v>
      </c>
      <c r="W446" s="4004" t="s">
        <v>4153</v>
      </c>
      <c r="X446" s="3961">
        <v>0</v>
      </c>
      <c r="Z446" s="3939"/>
      <c r="AD446" s="3998">
        <v>12171200</v>
      </c>
      <c r="AE446" s="4008" t="s">
        <v>4158</v>
      </c>
      <c r="AF446" s="4000">
        <v>1032303832</v>
      </c>
    </row>
    <row r="447" spans="6:32">
      <c r="F447" s="3995">
        <v>12171100</v>
      </c>
      <c r="G447" s="4007" t="s">
        <v>4154</v>
      </c>
      <c r="H447" s="3997">
        <v>3514212126</v>
      </c>
      <c r="J447" s="3939"/>
      <c r="N447" s="3998">
        <v>12171100</v>
      </c>
      <c r="O447" s="4008" t="s">
        <v>4154</v>
      </c>
      <c r="P447" s="4000">
        <v>3771994732</v>
      </c>
      <c r="R447" s="3939"/>
      <c r="V447" s="3998">
        <v>12171100</v>
      </c>
      <c r="W447" s="4008" t="s">
        <v>4154</v>
      </c>
      <c r="X447" s="4000">
        <v>3919357650</v>
      </c>
      <c r="Z447" s="3939"/>
      <c r="AD447" s="4003">
        <v>12171201</v>
      </c>
      <c r="AE447" s="4004" t="s">
        <v>4158</v>
      </c>
      <c r="AF447" s="3961">
        <v>1208520612</v>
      </c>
    </row>
    <row r="448" spans="6:32">
      <c r="F448" s="4001">
        <v>12171101</v>
      </c>
      <c r="G448" s="4002" t="s">
        <v>4154</v>
      </c>
      <c r="H448" s="3958">
        <v>5896368247</v>
      </c>
      <c r="J448" s="3939"/>
      <c r="N448" s="4003">
        <v>12171101</v>
      </c>
      <c r="O448" s="4004" t="s">
        <v>4154</v>
      </c>
      <c r="P448" s="3961">
        <v>6072682117</v>
      </c>
      <c r="R448" s="3939"/>
      <c r="V448" s="4003">
        <v>12171101</v>
      </c>
      <c r="W448" s="4004" t="s">
        <v>4154</v>
      </c>
      <c r="X448" s="3961">
        <v>6021682117</v>
      </c>
      <c r="Z448" s="3939"/>
      <c r="AD448" s="4003">
        <v>12171202</v>
      </c>
      <c r="AE448" s="4004" t="s">
        <v>4159</v>
      </c>
      <c r="AF448" s="3961">
        <v>-176216780</v>
      </c>
    </row>
    <row r="449" spans="6:32">
      <c r="F449" s="4001">
        <v>12171102</v>
      </c>
      <c r="G449" s="4002" t="s">
        <v>4155</v>
      </c>
      <c r="H449" s="3958">
        <v>-2370220776</v>
      </c>
      <c r="J449" s="3939"/>
      <c r="N449" s="4003">
        <v>12171102</v>
      </c>
      <c r="O449" s="4004" t="s">
        <v>4155</v>
      </c>
      <c r="P449" s="3961">
        <v>-2288752040</v>
      </c>
      <c r="R449" s="3939"/>
      <c r="V449" s="4003">
        <v>12171102</v>
      </c>
      <c r="W449" s="4004" t="s">
        <v>4155</v>
      </c>
      <c r="X449" s="3961">
        <v>-2102324467</v>
      </c>
      <c r="Z449" s="3939"/>
      <c r="AD449" s="4003">
        <v>12171203</v>
      </c>
      <c r="AE449" s="4004" t="s">
        <v>4160</v>
      </c>
      <c r="AF449" s="3961">
        <v>0</v>
      </c>
    </row>
    <row r="450" spans="6:32">
      <c r="F450" s="4001">
        <v>12171103</v>
      </c>
      <c r="G450" s="4002" t="s">
        <v>4156</v>
      </c>
      <c r="H450" s="3958">
        <v>-11935345</v>
      </c>
      <c r="J450" s="3939"/>
      <c r="N450" s="4003">
        <v>12171103</v>
      </c>
      <c r="O450" s="4004" t="s">
        <v>4156</v>
      </c>
      <c r="P450" s="3961">
        <v>-11935345</v>
      </c>
      <c r="R450" s="3939"/>
      <c r="V450" s="4003">
        <v>12171103</v>
      </c>
      <c r="W450" s="4004" t="s">
        <v>4156</v>
      </c>
      <c r="X450" s="3961">
        <v>0</v>
      </c>
      <c r="Z450" s="3939"/>
      <c r="AD450" s="4003">
        <v>12171204</v>
      </c>
      <c r="AE450" s="4004" t="s">
        <v>4161</v>
      </c>
      <c r="AF450" s="3961">
        <v>0</v>
      </c>
    </row>
    <row r="451" spans="6:32">
      <c r="F451" s="4001">
        <v>12171104</v>
      </c>
      <c r="G451" s="4002" t="s">
        <v>4157</v>
      </c>
      <c r="H451" s="3958">
        <v>0</v>
      </c>
      <c r="J451" s="3939"/>
      <c r="N451" s="4003">
        <v>12171104</v>
      </c>
      <c r="O451" s="4004" t="s">
        <v>4157</v>
      </c>
      <c r="P451" s="3961">
        <v>0</v>
      </c>
      <c r="R451" s="3939"/>
      <c r="V451" s="4003">
        <v>12171104</v>
      </c>
      <c r="W451" s="4004" t="s">
        <v>4157</v>
      </c>
      <c r="X451" s="3961">
        <v>0</v>
      </c>
      <c r="Z451" s="3939"/>
      <c r="AD451" s="3998">
        <v>12171300</v>
      </c>
      <c r="AE451" s="4008" t="s">
        <v>3944</v>
      </c>
      <c r="AF451" s="4000">
        <v>3692165258</v>
      </c>
    </row>
    <row r="452" spans="6:32">
      <c r="F452" s="3995">
        <v>12171200</v>
      </c>
      <c r="G452" s="4007" t="s">
        <v>4158</v>
      </c>
      <c r="H452" s="3997">
        <v>975577643</v>
      </c>
      <c r="J452" s="3939"/>
      <c r="N452" s="3998">
        <v>12171200</v>
      </c>
      <c r="O452" s="4008" t="s">
        <v>4158</v>
      </c>
      <c r="P452" s="4000">
        <v>999110609</v>
      </c>
      <c r="R452" s="3939"/>
      <c r="V452" s="3998">
        <v>12171200</v>
      </c>
      <c r="W452" s="4008" t="s">
        <v>4158</v>
      </c>
      <c r="X452" s="4000">
        <v>1030487950</v>
      </c>
      <c r="Z452" s="3939"/>
      <c r="AD452" s="4003">
        <v>12171301</v>
      </c>
      <c r="AE452" s="4004" t="s">
        <v>3944</v>
      </c>
      <c r="AF452" s="3961">
        <v>13378558006</v>
      </c>
    </row>
    <row r="453" spans="6:32">
      <c r="F453" s="4001">
        <v>12171201</v>
      </c>
      <c r="G453" s="4002" t="s">
        <v>4158</v>
      </c>
      <c r="H453" s="3958">
        <v>1238020612</v>
      </c>
      <c r="J453" s="3939"/>
      <c r="N453" s="4003">
        <v>12171201</v>
      </c>
      <c r="O453" s="4004" t="s">
        <v>4158</v>
      </c>
      <c r="P453" s="3961">
        <v>1238020612</v>
      </c>
      <c r="R453" s="3939"/>
      <c r="V453" s="4003">
        <v>12171201</v>
      </c>
      <c r="W453" s="4004" t="s">
        <v>4158</v>
      </c>
      <c r="X453" s="3961">
        <v>1238020612</v>
      </c>
      <c r="Z453" s="3939"/>
      <c r="AD453" s="4003">
        <v>12171302</v>
      </c>
      <c r="AE453" s="4004" t="s">
        <v>3947</v>
      </c>
      <c r="AF453" s="3961">
        <v>-9276140264</v>
      </c>
    </row>
    <row r="454" spans="6:32">
      <c r="F454" s="4001">
        <v>12171202</v>
      </c>
      <c r="G454" s="4002" t="s">
        <v>4159</v>
      </c>
      <c r="H454" s="3958">
        <v>-262442969</v>
      </c>
      <c r="J454" s="3939"/>
      <c r="N454" s="4003">
        <v>12171202</v>
      </c>
      <c r="O454" s="4004" t="s">
        <v>4159</v>
      </c>
      <c r="P454" s="3961">
        <v>-238910003</v>
      </c>
      <c r="R454" s="3939"/>
      <c r="V454" s="4003">
        <v>12171202</v>
      </c>
      <c r="W454" s="4004" t="s">
        <v>4159</v>
      </c>
      <c r="X454" s="3961">
        <v>-207532662</v>
      </c>
      <c r="Z454" s="3939"/>
      <c r="AD454" s="4003">
        <v>12171303</v>
      </c>
      <c r="AE454" s="4004" t="s">
        <v>4162</v>
      </c>
      <c r="AF454" s="3961">
        <v>-319063911</v>
      </c>
    </row>
    <row r="455" spans="6:32">
      <c r="F455" s="4001">
        <v>12171203</v>
      </c>
      <c r="G455" s="4002" t="s">
        <v>4160</v>
      </c>
      <c r="H455" s="3958">
        <v>0</v>
      </c>
      <c r="J455" s="3939"/>
      <c r="N455" s="4003">
        <v>12171203</v>
      </c>
      <c r="O455" s="4004" t="s">
        <v>4160</v>
      </c>
      <c r="P455" s="3961">
        <v>0</v>
      </c>
      <c r="R455" s="3939"/>
      <c r="V455" s="4003">
        <v>12171203</v>
      </c>
      <c r="W455" s="4004" t="s">
        <v>4160</v>
      </c>
      <c r="X455" s="3961">
        <v>0</v>
      </c>
      <c r="Z455" s="3939"/>
      <c r="AD455" s="4003">
        <v>12171304</v>
      </c>
      <c r="AE455" s="4004" t="s">
        <v>4163</v>
      </c>
      <c r="AF455" s="3961">
        <v>-91188573</v>
      </c>
    </row>
    <row r="456" spans="6:32">
      <c r="F456" s="4001">
        <v>12171204</v>
      </c>
      <c r="G456" s="4002" t="s">
        <v>4161</v>
      </c>
      <c r="H456" s="3958">
        <v>0</v>
      </c>
      <c r="J456" s="3939"/>
      <c r="N456" s="4003">
        <v>12171204</v>
      </c>
      <c r="O456" s="4004" t="s">
        <v>4161</v>
      </c>
      <c r="P456" s="3961">
        <v>0</v>
      </c>
      <c r="R456" s="3939"/>
      <c r="V456" s="4003">
        <v>12171204</v>
      </c>
      <c r="W456" s="4004" t="s">
        <v>4161</v>
      </c>
      <c r="X456" s="3961">
        <v>0</v>
      </c>
      <c r="Z456" s="3939"/>
      <c r="AD456" s="3998">
        <v>12171400</v>
      </c>
      <c r="AE456" s="4008" t="s">
        <v>1502</v>
      </c>
      <c r="AF456" s="4000">
        <v>98677822</v>
      </c>
    </row>
    <row r="457" spans="6:32">
      <c r="F457" s="3995">
        <v>12171300</v>
      </c>
      <c r="G457" s="4007" t="s">
        <v>3944</v>
      </c>
      <c r="H457" s="3997">
        <v>1090028974</v>
      </c>
      <c r="J457" s="3939"/>
      <c r="N457" s="3998">
        <v>12171300</v>
      </c>
      <c r="O457" s="4008" t="s">
        <v>3944</v>
      </c>
      <c r="P457" s="4000">
        <v>1078149197</v>
      </c>
      <c r="R457" s="3939"/>
      <c r="V457" s="3998">
        <v>12171300</v>
      </c>
      <c r="W457" s="4008" t="s">
        <v>3944</v>
      </c>
      <c r="X457" s="4000">
        <v>1131976599</v>
      </c>
      <c r="Z457" s="3939"/>
      <c r="AD457" s="4003">
        <v>12171401</v>
      </c>
      <c r="AE457" s="4004" t="s">
        <v>1502</v>
      </c>
      <c r="AF457" s="3961">
        <v>412222951</v>
      </c>
    </row>
    <row r="458" spans="6:32">
      <c r="F458" s="4001">
        <v>12171301</v>
      </c>
      <c r="G458" s="4002" t="s">
        <v>3944</v>
      </c>
      <c r="H458" s="3958">
        <v>12691026495</v>
      </c>
      <c r="J458" s="3939"/>
      <c r="N458" s="4003">
        <v>12171301</v>
      </c>
      <c r="O458" s="4004" t="s">
        <v>3944</v>
      </c>
      <c r="P458" s="3961">
        <v>12539026495</v>
      </c>
      <c r="R458" s="3939"/>
      <c r="V458" s="4003">
        <v>12171301</v>
      </c>
      <c r="W458" s="4004" t="s">
        <v>3944</v>
      </c>
      <c r="X458" s="3961">
        <v>12811005716</v>
      </c>
      <c r="Z458" s="3939"/>
      <c r="AD458" s="4003">
        <v>12171402</v>
      </c>
      <c r="AE458" s="4004" t="s">
        <v>4164</v>
      </c>
      <c r="AF458" s="3961">
        <v>-313545129</v>
      </c>
    </row>
    <row r="459" spans="6:32">
      <c r="F459" s="4001">
        <v>12171302</v>
      </c>
      <c r="G459" s="4002" t="s">
        <v>3947</v>
      </c>
      <c r="H459" s="3958">
        <v>-9026246833</v>
      </c>
      <c r="J459" s="3939"/>
      <c r="N459" s="4003">
        <v>12171302</v>
      </c>
      <c r="O459" s="4004" t="s">
        <v>3947</v>
      </c>
      <c r="P459" s="3961">
        <v>-8872066360</v>
      </c>
      <c r="R459" s="3939"/>
      <c r="V459" s="4003">
        <v>12171302</v>
      </c>
      <c r="W459" s="4004" t="s">
        <v>3947</v>
      </c>
      <c r="X459" s="3961">
        <v>-9043558729</v>
      </c>
      <c r="Z459" s="3939"/>
      <c r="AD459" s="4003">
        <v>12171403</v>
      </c>
      <c r="AE459" s="4004" t="s">
        <v>4165</v>
      </c>
      <c r="AF459" s="3961">
        <v>0</v>
      </c>
    </row>
    <row r="460" spans="6:32">
      <c r="F460" s="4001">
        <v>12171303</v>
      </c>
      <c r="G460" s="4002" t="s">
        <v>4162</v>
      </c>
      <c r="H460" s="3958">
        <v>-2543540105</v>
      </c>
      <c r="J460" s="3939"/>
      <c r="N460" s="4003">
        <v>12171303</v>
      </c>
      <c r="O460" s="4004" t="s">
        <v>4162</v>
      </c>
      <c r="P460" s="3961">
        <v>-2543540105</v>
      </c>
      <c r="R460" s="3939"/>
      <c r="V460" s="4003">
        <v>12171303</v>
      </c>
      <c r="W460" s="4004" t="s">
        <v>4162</v>
      </c>
      <c r="X460" s="3961">
        <v>-2571452555</v>
      </c>
      <c r="Z460" s="3939"/>
      <c r="AD460" s="4003">
        <v>12171404</v>
      </c>
      <c r="AE460" s="4004" t="s">
        <v>4166</v>
      </c>
      <c r="AF460" s="3961">
        <v>0</v>
      </c>
    </row>
    <row r="461" spans="6:32">
      <c r="F461" s="4001">
        <v>12171304</v>
      </c>
      <c r="G461" s="4002" t="s">
        <v>4163</v>
      </c>
      <c r="H461" s="3958">
        <v>-31210583</v>
      </c>
      <c r="J461" s="3939"/>
      <c r="N461" s="4003">
        <v>12171304</v>
      </c>
      <c r="O461" s="4004" t="s">
        <v>4163</v>
      </c>
      <c r="P461" s="3961">
        <v>-45270833</v>
      </c>
      <c r="R461" s="3939"/>
      <c r="V461" s="4003">
        <v>12171304</v>
      </c>
      <c r="W461" s="4004" t="s">
        <v>4163</v>
      </c>
      <c r="X461" s="3961">
        <v>-64017833</v>
      </c>
      <c r="Z461" s="3939"/>
      <c r="AD461" s="3998">
        <v>12171500</v>
      </c>
      <c r="AE461" s="4008" t="s">
        <v>4167</v>
      </c>
      <c r="AF461" s="4000">
        <v>65717717</v>
      </c>
    </row>
    <row r="462" spans="6:32">
      <c r="F462" s="3995">
        <v>12171400</v>
      </c>
      <c r="G462" s="4007" t="s">
        <v>1502</v>
      </c>
      <c r="H462" s="3997">
        <v>125652076</v>
      </c>
      <c r="J462" s="3939"/>
      <c r="N462" s="3998">
        <v>12171400</v>
      </c>
      <c r="O462" s="4008" t="s">
        <v>1502</v>
      </c>
      <c r="P462" s="4000">
        <v>125493592</v>
      </c>
      <c r="R462" s="3939"/>
      <c r="V462" s="3998">
        <v>12171400</v>
      </c>
      <c r="W462" s="4008" t="s">
        <v>1502</v>
      </c>
      <c r="X462" s="4000">
        <v>53560861</v>
      </c>
      <c r="Z462" s="3939"/>
      <c r="AD462" s="4003">
        <v>12171501</v>
      </c>
      <c r="AE462" s="4004" t="s">
        <v>4167</v>
      </c>
      <c r="AF462" s="3961">
        <v>276071251</v>
      </c>
    </row>
    <row r="463" spans="6:32">
      <c r="F463" s="4001">
        <v>12171401</v>
      </c>
      <c r="G463" s="4002" t="s">
        <v>1502</v>
      </c>
      <c r="H463" s="3958">
        <v>504418870</v>
      </c>
      <c r="J463" s="3939"/>
      <c r="N463" s="4003">
        <v>12171401</v>
      </c>
      <c r="O463" s="4004" t="s">
        <v>1502</v>
      </c>
      <c r="P463" s="3961">
        <v>472324672</v>
      </c>
      <c r="R463" s="3939"/>
      <c r="V463" s="4003">
        <v>12171401</v>
      </c>
      <c r="W463" s="4004" t="s">
        <v>1502</v>
      </c>
      <c r="X463" s="3961">
        <v>412222951</v>
      </c>
      <c r="Z463" s="3939"/>
      <c r="AD463" s="4003">
        <v>12171502</v>
      </c>
      <c r="AE463" s="4004" t="s">
        <v>4168</v>
      </c>
      <c r="AF463" s="3961">
        <v>-204958869</v>
      </c>
    </row>
    <row r="464" spans="6:32">
      <c r="F464" s="4001">
        <v>12171402</v>
      </c>
      <c r="G464" s="4002" t="s">
        <v>4164</v>
      </c>
      <c r="H464" s="3958">
        <v>-378766794</v>
      </c>
      <c r="J464" s="3939"/>
      <c r="N464" s="4003">
        <v>12171402</v>
      </c>
      <c r="O464" s="4004" t="s">
        <v>4164</v>
      </c>
      <c r="P464" s="3961">
        <v>-346831080</v>
      </c>
      <c r="R464" s="3939"/>
      <c r="V464" s="4003">
        <v>12171402</v>
      </c>
      <c r="W464" s="4004" t="s">
        <v>4164</v>
      </c>
      <c r="X464" s="3961">
        <v>-358662090</v>
      </c>
      <c r="Z464" s="3939"/>
      <c r="AD464" s="4003">
        <v>12171503</v>
      </c>
      <c r="AE464" s="4004" t="s">
        <v>4169</v>
      </c>
      <c r="AF464" s="3961">
        <v>-5394665</v>
      </c>
    </row>
    <row r="465" spans="6:32">
      <c r="F465" s="4001">
        <v>12171403</v>
      </c>
      <c r="G465" s="4002" t="s">
        <v>4165</v>
      </c>
      <c r="H465" s="3958">
        <v>0</v>
      </c>
      <c r="J465" s="3939"/>
      <c r="N465" s="4003">
        <v>12171403</v>
      </c>
      <c r="O465" s="4004" t="s">
        <v>4165</v>
      </c>
      <c r="P465" s="3961">
        <v>0</v>
      </c>
      <c r="R465" s="3939"/>
      <c r="V465" s="4003">
        <v>12171403</v>
      </c>
      <c r="W465" s="4004" t="s">
        <v>4165</v>
      </c>
      <c r="X465" s="3961">
        <v>0</v>
      </c>
      <c r="Z465" s="3939"/>
      <c r="AD465" s="4003">
        <v>12171504</v>
      </c>
      <c r="AE465" s="4004" t="s">
        <v>4170</v>
      </c>
      <c r="AF465" s="3961">
        <v>0</v>
      </c>
    </row>
    <row r="466" spans="6:32">
      <c r="F466" s="4001">
        <v>12171404</v>
      </c>
      <c r="G466" s="4002" t="s">
        <v>4166</v>
      </c>
      <c r="H466" s="3958">
        <v>0</v>
      </c>
      <c r="J466" s="3939"/>
      <c r="N466" s="4003">
        <v>12171404</v>
      </c>
      <c r="O466" s="4004" t="s">
        <v>4166</v>
      </c>
      <c r="P466" s="3961">
        <v>0</v>
      </c>
      <c r="R466" s="3939"/>
      <c r="V466" s="4003">
        <v>12171404</v>
      </c>
      <c r="W466" s="4004" t="s">
        <v>4166</v>
      </c>
      <c r="X466" s="3961">
        <v>0</v>
      </c>
      <c r="Z466" s="3939"/>
      <c r="AD466" s="3998">
        <v>12171600</v>
      </c>
      <c r="AE466" s="4008" t="s">
        <v>4171</v>
      </c>
      <c r="AF466" s="4000">
        <v>83002368</v>
      </c>
    </row>
    <row r="467" spans="6:32">
      <c r="F467" s="3995">
        <v>12171500</v>
      </c>
      <c r="G467" s="4007" t="s">
        <v>4167</v>
      </c>
      <c r="H467" s="3997">
        <v>60686662</v>
      </c>
      <c r="J467" s="3939"/>
      <c r="N467" s="3998">
        <v>12171500</v>
      </c>
      <c r="O467" s="4008" t="s">
        <v>4167</v>
      </c>
      <c r="P467" s="4000">
        <v>56038502</v>
      </c>
      <c r="R467" s="3939"/>
      <c r="V467" s="3998">
        <v>12171500</v>
      </c>
      <c r="W467" s="4008" t="s">
        <v>4167</v>
      </c>
      <c r="X467" s="4000">
        <v>56711336</v>
      </c>
      <c r="Z467" s="3939"/>
      <c r="AD467" s="4003">
        <v>12171601</v>
      </c>
      <c r="AE467" s="4004" t="s">
        <v>4171</v>
      </c>
      <c r="AF467" s="3961">
        <v>571200181</v>
      </c>
    </row>
    <row r="468" spans="6:32">
      <c r="F468" s="4001">
        <v>12171501</v>
      </c>
      <c r="G468" s="4002" t="s">
        <v>4167</v>
      </c>
      <c r="H468" s="3958">
        <v>243469830</v>
      </c>
      <c r="J468" s="3939"/>
      <c r="N468" s="4003">
        <v>12171501</v>
      </c>
      <c r="O468" s="4004" t="s">
        <v>4167</v>
      </c>
      <c r="P468" s="3961">
        <v>223369830</v>
      </c>
      <c r="R468" s="3939"/>
      <c r="V468" s="4003">
        <v>12171501</v>
      </c>
      <c r="W468" s="4004" t="s">
        <v>4167</v>
      </c>
      <c r="X468" s="3961">
        <v>229980921</v>
      </c>
      <c r="Z468" s="3939"/>
      <c r="AD468" s="4003">
        <v>12171602</v>
      </c>
      <c r="AE468" s="4004" t="s">
        <v>4172</v>
      </c>
      <c r="AF468" s="3961">
        <v>-487150146</v>
      </c>
    </row>
    <row r="469" spans="6:32">
      <c r="F469" s="4001">
        <v>12171502</v>
      </c>
      <c r="G469" s="4002" t="s">
        <v>5024</v>
      </c>
      <c r="H469" s="3958">
        <v>-180073669</v>
      </c>
      <c r="J469" s="3939"/>
      <c r="N469" s="4003">
        <v>12171502</v>
      </c>
      <c r="O469" s="4004" t="s">
        <v>4168</v>
      </c>
      <c r="P469" s="3961">
        <v>-164621829</v>
      </c>
      <c r="R469" s="3939"/>
      <c r="V469" s="4003">
        <v>12171502</v>
      </c>
      <c r="W469" s="4004" t="s">
        <v>4168</v>
      </c>
      <c r="X469" s="3961">
        <v>-167790086</v>
      </c>
      <c r="Z469" s="3939"/>
      <c r="AD469" s="4003">
        <v>12171603</v>
      </c>
      <c r="AE469" s="4004" t="s">
        <v>4173</v>
      </c>
      <c r="AF469" s="3961">
        <v>-1047667</v>
      </c>
    </row>
    <row r="470" spans="6:32">
      <c r="F470" s="4001">
        <v>12171503</v>
      </c>
      <c r="G470" s="4002" t="s">
        <v>4169</v>
      </c>
      <c r="H470" s="3958">
        <v>-2709499</v>
      </c>
      <c r="J470" s="3939"/>
      <c r="N470" s="4003">
        <v>12171503</v>
      </c>
      <c r="O470" s="4004" t="s">
        <v>4169</v>
      </c>
      <c r="P470" s="3961">
        <v>-2709499</v>
      </c>
      <c r="R470" s="3939"/>
      <c r="V470" s="4003">
        <v>12171503</v>
      </c>
      <c r="W470" s="4004" t="s">
        <v>4169</v>
      </c>
      <c r="X470" s="3961">
        <v>-5479499</v>
      </c>
      <c r="Z470" s="3939"/>
      <c r="AD470" s="4003">
        <v>12171604</v>
      </c>
      <c r="AE470" s="4004" t="s">
        <v>4174</v>
      </c>
      <c r="AF470" s="3961">
        <v>0</v>
      </c>
    </row>
    <row r="471" spans="6:32">
      <c r="F471" s="4001">
        <v>12171504</v>
      </c>
      <c r="G471" s="4002" t="s">
        <v>5025</v>
      </c>
      <c r="H471" s="3958">
        <v>0</v>
      </c>
      <c r="J471" s="3939"/>
      <c r="N471" s="4003">
        <v>12171504</v>
      </c>
      <c r="O471" s="4004" t="s">
        <v>4170</v>
      </c>
      <c r="P471" s="3961">
        <v>0</v>
      </c>
      <c r="R471" s="3939"/>
      <c r="V471" s="4003">
        <v>12171504</v>
      </c>
      <c r="W471" s="4004" t="s">
        <v>4170</v>
      </c>
      <c r="X471" s="3961">
        <v>0</v>
      </c>
      <c r="Z471" s="3939"/>
      <c r="AD471" s="3998">
        <v>12171700</v>
      </c>
      <c r="AE471" s="4008" t="s">
        <v>4175</v>
      </c>
      <c r="AF471" s="4000">
        <v>0</v>
      </c>
    </row>
    <row r="472" spans="6:32">
      <c r="F472" s="3995">
        <v>12171600</v>
      </c>
      <c r="G472" s="4007" t="s">
        <v>4171</v>
      </c>
      <c r="H472" s="3997">
        <v>109456701</v>
      </c>
      <c r="J472" s="3939"/>
      <c r="N472" s="3998">
        <v>12171600</v>
      </c>
      <c r="O472" s="4008" t="s">
        <v>4171</v>
      </c>
      <c r="P472" s="4000">
        <v>103607670</v>
      </c>
      <c r="R472" s="3939"/>
      <c r="V472" s="3998">
        <v>12171600</v>
      </c>
      <c r="W472" s="4008" t="s">
        <v>4171</v>
      </c>
      <c r="X472" s="4000">
        <v>99094261</v>
      </c>
      <c r="Z472" s="3939"/>
      <c r="AD472" s="4003">
        <v>12171701</v>
      </c>
      <c r="AE472" s="4004" t="s">
        <v>4175</v>
      </c>
      <c r="AF472" s="3961">
        <v>0</v>
      </c>
    </row>
    <row r="473" spans="6:32">
      <c r="F473" s="4001">
        <v>12171601</v>
      </c>
      <c r="G473" s="4002" t="s">
        <v>4171</v>
      </c>
      <c r="H473" s="3958">
        <v>514306694</v>
      </c>
      <c r="J473" s="3939"/>
      <c r="N473" s="4003">
        <v>12171601</v>
      </c>
      <c r="O473" s="4004" t="s">
        <v>4171</v>
      </c>
      <c r="P473" s="3961">
        <v>477359422</v>
      </c>
      <c r="R473" s="3939"/>
      <c r="V473" s="4003">
        <v>12171601</v>
      </c>
      <c r="W473" s="4004" t="s">
        <v>4171</v>
      </c>
      <c r="X473" s="3961">
        <v>436604422</v>
      </c>
      <c r="Z473" s="3939"/>
      <c r="AD473" s="4003">
        <v>12171702</v>
      </c>
      <c r="AE473" s="4004" t="s">
        <v>4176</v>
      </c>
      <c r="AF473" s="3961">
        <v>0</v>
      </c>
    </row>
    <row r="474" spans="6:32">
      <c r="F474" s="4001">
        <v>12171602</v>
      </c>
      <c r="G474" s="4002" t="s">
        <v>4172</v>
      </c>
      <c r="H474" s="3958">
        <v>-403802326</v>
      </c>
      <c r="J474" s="3939"/>
      <c r="N474" s="4003">
        <v>12171602</v>
      </c>
      <c r="O474" s="4004" t="s">
        <v>4172</v>
      </c>
      <c r="P474" s="3961">
        <v>-372704085</v>
      </c>
      <c r="R474" s="3939"/>
      <c r="V474" s="4003">
        <v>12171602</v>
      </c>
      <c r="W474" s="4004" t="s">
        <v>4172</v>
      </c>
      <c r="X474" s="3961">
        <v>-336462494</v>
      </c>
      <c r="Z474" s="3939"/>
      <c r="AD474" s="4003">
        <v>12171703</v>
      </c>
      <c r="AE474" s="4004" t="s">
        <v>4177</v>
      </c>
      <c r="AF474" s="3961">
        <v>0</v>
      </c>
    </row>
    <row r="475" spans="6:32">
      <c r="F475" s="4001">
        <v>12171603</v>
      </c>
      <c r="G475" s="4002" t="s">
        <v>4173</v>
      </c>
      <c r="H475" s="3958">
        <v>-1047667</v>
      </c>
      <c r="J475" s="3939"/>
      <c r="N475" s="4003">
        <v>12171603</v>
      </c>
      <c r="O475" s="4004" t="s">
        <v>4173</v>
      </c>
      <c r="P475" s="3961">
        <v>-1047667</v>
      </c>
      <c r="R475" s="3939"/>
      <c r="V475" s="4003">
        <v>12171603</v>
      </c>
      <c r="W475" s="4004" t="s">
        <v>4173</v>
      </c>
      <c r="X475" s="3961">
        <v>-1047667</v>
      </c>
      <c r="Z475" s="3939"/>
      <c r="AD475" s="4003">
        <v>12171704</v>
      </c>
      <c r="AE475" s="4004" t="s">
        <v>4178</v>
      </c>
      <c r="AF475" s="3961">
        <v>0</v>
      </c>
    </row>
    <row r="476" spans="6:32">
      <c r="F476" s="4001">
        <v>12171604</v>
      </c>
      <c r="G476" s="4002" t="s">
        <v>4174</v>
      </c>
      <c r="H476" s="3958">
        <v>0</v>
      </c>
      <c r="J476" s="3939"/>
      <c r="N476" s="4003">
        <v>12171604</v>
      </c>
      <c r="O476" s="4004" t="s">
        <v>4174</v>
      </c>
      <c r="P476" s="3961">
        <v>0</v>
      </c>
      <c r="R476" s="3939"/>
      <c r="V476" s="4003">
        <v>12171604</v>
      </c>
      <c r="W476" s="4004" t="s">
        <v>4174</v>
      </c>
      <c r="X476" s="3961">
        <v>0</v>
      </c>
      <c r="Z476" s="3939"/>
      <c r="AD476" s="3998">
        <v>12171800</v>
      </c>
      <c r="AE476" s="4008" t="s">
        <v>3956</v>
      </c>
      <c r="AF476" s="4000">
        <v>1087350000</v>
      </c>
    </row>
    <row r="477" spans="6:32">
      <c r="F477" s="3995">
        <v>12171700</v>
      </c>
      <c r="G477" s="4007" t="s">
        <v>4175</v>
      </c>
      <c r="H477" s="3997">
        <v>0</v>
      </c>
      <c r="J477" s="3939"/>
      <c r="N477" s="3998">
        <v>12171700</v>
      </c>
      <c r="O477" s="4008" t="s">
        <v>4175</v>
      </c>
      <c r="P477" s="4000">
        <v>0</v>
      </c>
      <c r="R477" s="3939"/>
      <c r="V477" s="3998">
        <v>12171700</v>
      </c>
      <c r="W477" s="4008" t="s">
        <v>4175</v>
      </c>
      <c r="X477" s="4000">
        <v>0</v>
      </c>
      <c r="Z477" s="3939"/>
      <c r="AD477" s="4003">
        <v>12171801</v>
      </c>
      <c r="AE477" s="4004" t="s">
        <v>3956</v>
      </c>
      <c r="AF477" s="3961">
        <v>1087350000</v>
      </c>
    </row>
    <row r="478" spans="6:32">
      <c r="F478" s="4001">
        <v>12171701</v>
      </c>
      <c r="G478" s="4002" t="s">
        <v>4175</v>
      </c>
      <c r="H478" s="3958">
        <v>0</v>
      </c>
      <c r="J478" s="3939"/>
      <c r="N478" s="4003">
        <v>12171701</v>
      </c>
      <c r="O478" s="4004" t="s">
        <v>4175</v>
      </c>
      <c r="P478" s="3961">
        <v>0</v>
      </c>
      <c r="R478" s="3939"/>
      <c r="V478" s="4003">
        <v>12171701</v>
      </c>
      <c r="W478" s="4004" t="s">
        <v>4175</v>
      </c>
      <c r="X478" s="3961">
        <v>0</v>
      </c>
      <c r="Z478" s="3939"/>
      <c r="AD478" s="4003">
        <v>12171802</v>
      </c>
      <c r="AE478" s="4004" t="s">
        <v>4179</v>
      </c>
      <c r="AF478" s="3961">
        <v>0</v>
      </c>
    </row>
    <row r="479" spans="6:32">
      <c r="F479" s="4001">
        <v>12171702</v>
      </c>
      <c r="G479" s="4002" t="s">
        <v>5026</v>
      </c>
      <c r="H479" s="3958">
        <v>0</v>
      </c>
      <c r="J479" s="3939"/>
      <c r="N479" s="4003">
        <v>12171702</v>
      </c>
      <c r="O479" s="4004" t="s">
        <v>4176</v>
      </c>
      <c r="P479" s="3961">
        <v>0</v>
      </c>
      <c r="R479" s="3939"/>
      <c r="V479" s="4003">
        <v>12171702</v>
      </c>
      <c r="W479" s="4004" t="s">
        <v>4176</v>
      </c>
      <c r="X479" s="3961">
        <v>0</v>
      </c>
      <c r="Z479" s="3939"/>
      <c r="AD479" s="4003">
        <v>12171803</v>
      </c>
      <c r="AE479" s="4004" t="s">
        <v>4180</v>
      </c>
      <c r="AF479" s="3961">
        <v>0</v>
      </c>
    </row>
    <row r="480" spans="6:32">
      <c r="F480" s="4001">
        <v>12171703</v>
      </c>
      <c r="G480" s="4002" t="s">
        <v>4177</v>
      </c>
      <c r="H480" s="3958">
        <v>0</v>
      </c>
      <c r="J480" s="3939"/>
      <c r="N480" s="4003">
        <v>12171703</v>
      </c>
      <c r="O480" s="4004" t="s">
        <v>4177</v>
      </c>
      <c r="P480" s="3961">
        <v>0</v>
      </c>
      <c r="R480" s="3939"/>
      <c r="V480" s="4003">
        <v>12171703</v>
      </c>
      <c r="W480" s="4004" t="s">
        <v>4177</v>
      </c>
      <c r="X480" s="3961">
        <v>0</v>
      </c>
      <c r="Z480" s="3939"/>
      <c r="AD480" s="3998">
        <v>12171900</v>
      </c>
      <c r="AE480" s="4008" t="s">
        <v>4181</v>
      </c>
      <c r="AF480" s="4000">
        <v>215788010</v>
      </c>
    </row>
    <row r="481" spans="6:32">
      <c r="F481" s="4001">
        <v>12171704</v>
      </c>
      <c r="G481" s="4002" t="s">
        <v>5027</v>
      </c>
      <c r="H481" s="3958">
        <v>0</v>
      </c>
      <c r="J481" s="3939"/>
      <c r="N481" s="4003">
        <v>12171704</v>
      </c>
      <c r="O481" s="4004" t="s">
        <v>4178</v>
      </c>
      <c r="P481" s="3961">
        <v>0</v>
      </c>
      <c r="R481" s="3939"/>
      <c r="V481" s="4003">
        <v>12171704</v>
      </c>
      <c r="W481" s="4004" t="s">
        <v>4178</v>
      </c>
      <c r="X481" s="3961">
        <v>0</v>
      </c>
      <c r="Z481" s="3939"/>
      <c r="AD481" s="4003">
        <v>12171901</v>
      </c>
      <c r="AE481" s="4004" t="s">
        <v>4181</v>
      </c>
      <c r="AF481" s="3961">
        <v>2131042660</v>
      </c>
    </row>
    <row r="482" spans="6:32">
      <c r="F482" s="3995">
        <v>12171800</v>
      </c>
      <c r="G482" s="4007" t="s">
        <v>3956</v>
      </c>
      <c r="H482" s="3997">
        <v>1893194816</v>
      </c>
      <c r="J482" s="3939"/>
      <c r="N482" s="3998">
        <v>12171800</v>
      </c>
      <c r="O482" s="4008" t="s">
        <v>3956</v>
      </c>
      <c r="P482" s="4000">
        <v>47680000</v>
      </c>
      <c r="R482" s="3939"/>
      <c r="V482" s="3998">
        <v>12171800</v>
      </c>
      <c r="W482" s="4008" t="s">
        <v>3956</v>
      </c>
      <c r="X482" s="4000">
        <v>59000000</v>
      </c>
      <c r="Z482" s="3939"/>
      <c r="AD482" s="4003">
        <v>12171902</v>
      </c>
      <c r="AE482" s="4004" t="s">
        <v>4182</v>
      </c>
      <c r="AF482" s="3961">
        <v>-1761178317</v>
      </c>
    </row>
    <row r="483" spans="6:32">
      <c r="F483" s="4001">
        <v>12171801</v>
      </c>
      <c r="G483" s="4002" t="s">
        <v>5028</v>
      </c>
      <c r="H483" s="3958">
        <v>1893194816</v>
      </c>
      <c r="J483" s="3939"/>
      <c r="N483" s="4003">
        <v>12171801</v>
      </c>
      <c r="O483" s="4004" t="s">
        <v>3956</v>
      </c>
      <c r="P483" s="3961">
        <v>47680000</v>
      </c>
      <c r="R483" s="3939"/>
      <c r="V483" s="4003">
        <v>12171801</v>
      </c>
      <c r="W483" s="4004" t="s">
        <v>3956</v>
      </c>
      <c r="X483" s="3961">
        <v>59000000</v>
      </c>
      <c r="Z483" s="3939"/>
      <c r="AD483" s="4003">
        <v>12171903</v>
      </c>
      <c r="AE483" s="4004" t="s">
        <v>4183</v>
      </c>
      <c r="AF483" s="3961">
        <v>-153718000</v>
      </c>
    </row>
    <row r="484" spans="6:32">
      <c r="F484" s="4001">
        <v>12171802</v>
      </c>
      <c r="G484" s="4002" t="s">
        <v>5029</v>
      </c>
      <c r="H484" s="3958">
        <v>0</v>
      </c>
      <c r="J484" s="3939"/>
      <c r="N484" s="4003">
        <v>12171802</v>
      </c>
      <c r="O484" s="4004" t="s">
        <v>4179</v>
      </c>
      <c r="P484" s="3961">
        <v>0</v>
      </c>
      <c r="R484" s="3939"/>
      <c r="V484" s="4003">
        <v>12171802</v>
      </c>
      <c r="W484" s="4004" t="s">
        <v>4179</v>
      </c>
      <c r="X484" s="3961">
        <v>0</v>
      </c>
      <c r="Z484" s="3939"/>
      <c r="AD484" s="4003">
        <v>12171904</v>
      </c>
      <c r="AE484" s="4004" t="s">
        <v>4184</v>
      </c>
      <c r="AF484" s="3961">
        <v>-358333</v>
      </c>
    </row>
    <row r="485" spans="6:32">
      <c r="F485" s="4001">
        <v>12171803</v>
      </c>
      <c r="G485" s="4002" t="s">
        <v>5030</v>
      </c>
      <c r="H485" s="3958">
        <v>0</v>
      </c>
      <c r="J485" s="3939"/>
      <c r="N485" s="4003">
        <v>12171803</v>
      </c>
      <c r="O485" s="4004" t="s">
        <v>4180</v>
      </c>
      <c r="P485" s="3961">
        <v>0</v>
      </c>
      <c r="R485" s="3939"/>
      <c r="V485" s="4003">
        <v>12171803</v>
      </c>
      <c r="W485" s="4004" t="s">
        <v>4180</v>
      </c>
      <c r="X485" s="3961">
        <v>0</v>
      </c>
      <c r="Z485" s="3939"/>
      <c r="AD485" s="3998">
        <v>12172000</v>
      </c>
      <c r="AE485" s="4008" t="s">
        <v>4185</v>
      </c>
      <c r="AF485" s="4000">
        <v>0</v>
      </c>
    </row>
    <row r="486" spans="6:32">
      <c r="F486" s="3995">
        <v>12171900</v>
      </c>
      <c r="G486" s="4007" t="s">
        <v>4181</v>
      </c>
      <c r="H486" s="3997">
        <v>363475523</v>
      </c>
      <c r="J486" s="3939"/>
      <c r="N486" s="3998">
        <v>12171900</v>
      </c>
      <c r="O486" s="4008" t="s">
        <v>4181</v>
      </c>
      <c r="P486" s="4000">
        <v>294906680</v>
      </c>
      <c r="R486" s="3939"/>
      <c r="V486" s="3998">
        <v>12171900</v>
      </c>
      <c r="W486" s="4008" t="s">
        <v>4181</v>
      </c>
      <c r="X486" s="4000">
        <v>223388943</v>
      </c>
      <c r="Z486" s="3939"/>
      <c r="AD486" s="4003">
        <v>12172001</v>
      </c>
      <c r="AE486" s="4004" t="s">
        <v>4185</v>
      </c>
      <c r="AF486" s="3961">
        <v>0</v>
      </c>
    </row>
    <row r="487" spans="6:32">
      <c r="F487" s="4001">
        <v>12171901</v>
      </c>
      <c r="G487" s="4002" t="s">
        <v>4181</v>
      </c>
      <c r="H487" s="3958">
        <v>2308114930</v>
      </c>
      <c r="J487" s="3939"/>
      <c r="N487" s="4003">
        <v>12171901</v>
      </c>
      <c r="O487" s="4004" t="s">
        <v>4181</v>
      </c>
      <c r="P487" s="3961">
        <v>2149034930</v>
      </c>
      <c r="R487" s="3939"/>
      <c r="V487" s="4003">
        <v>12171901</v>
      </c>
      <c r="W487" s="4004" t="s">
        <v>4181</v>
      </c>
      <c r="X487" s="3961">
        <v>2010204930</v>
      </c>
      <c r="Z487" s="3939"/>
      <c r="AD487" s="3992">
        <v>12180000</v>
      </c>
      <c r="AE487" s="4006" t="s">
        <v>4186</v>
      </c>
      <c r="AF487" s="3994">
        <v>0</v>
      </c>
    </row>
    <row r="488" spans="6:32">
      <c r="F488" s="4001">
        <v>12171902</v>
      </c>
      <c r="G488" s="4002" t="s">
        <v>4182</v>
      </c>
      <c r="H488" s="3958">
        <v>-1672741706</v>
      </c>
      <c r="J488" s="3939"/>
      <c r="N488" s="4003">
        <v>12171902</v>
      </c>
      <c r="O488" s="4004" t="s">
        <v>4182</v>
      </c>
      <c r="P488" s="3961">
        <v>-1582230549</v>
      </c>
      <c r="R488" s="3939"/>
      <c r="V488" s="4003">
        <v>12171902</v>
      </c>
      <c r="W488" s="4004" t="s">
        <v>4182</v>
      </c>
      <c r="X488" s="3961">
        <v>-1514918286</v>
      </c>
      <c r="Z488" s="3939"/>
      <c r="AD488" s="3998">
        <v>12181000</v>
      </c>
      <c r="AE488" s="4008" t="s">
        <v>4152</v>
      </c>
      <c r="AF488" s="4000">
        <v>0</v>
      </c>
    </row>
    <row r="489" spans="6:32">
      <c r="F489" s="4001">
        <v>12171903</v>
      </c>
      <c r="G489" s="4002" t="s">
        <v>4183</v>
      </c>
      <c r="H489" s="3958">
        <v>-271897701</v>
      </c>
      <c r="J489" s="3939"/>
      <c r="N489" s="4003">
        <v>12171903</v>
      </c>
      <c r="O489" s="4004" t="s">
        <v>4183</v>
      </c>
      <c r="P489" s="3961">
        <v>-271897701</v>
      </c>
      <c r="R489" s="3939"/>
      <c r="V489" s="4003">
        <v>12171903</v>
      </c>
      <c r="W489" s="4004" t="s">
        <v>4183</v>
      </c>
      <c r="X489" s="3961">
        <v>-271897701</v>
      </c>
      <c r="Z489" s="3939"/>
      <c r="AD489" s="4003">
        <v>12181001</v>
      </c>
      <c r="AE489" s="4004" t="s">
        <v>4187</v>
      </c>
      <c r="AF489" s="3961">
        <v>0</v>
      </c>
    </row>
    <row r="490" spans="6:32">
      <c r="F490" s="4001">
        <v>12171904</v>
      </c>
      <c r="G490" s="4002" t="s">
        <v>5031</v>
      </c>
      <c r="H490" s="3958">
        <v>0</v>
      </c>
      <c r="J490" s="3939"/>
      <c r="N490" s="4003">
        <v>12171904</v>
      </c>
      <c r="O490" s="4004" t="s">
        <v>4184</v>
      </c>
      <c r="P490" s="3961">
        <v>0</v>
      </c>
      <c r="R490" s="3939"/>
      <c r="V490" s="4003">
        <v>12171904</v>
      </c>
      <c r="W490" s="4004" t="s">
        <v>4184</v>
      </c>
      <c r="X490" s="3961">
        <v>0</v>
      </c>
      <c r="Z490" s="3939"/>
      <c r="AD490" s="3998">
        <v>12181100</v>
      </c>
      <c r="AE490" s="4008" t="s">
        <v>4154</v>
      </c>
      <c r="AF490" s="4000">
        <v>0</v>
      </c>
    </row>
    <row r="491" spans="6:32">
      <c r="F491" s="3995">
        <v>12172000</v>
      </c>
      <c r="G491" s="4007" t="s">
        <v>4185</v>
      </c>
      <c r="H491" s="3997">
        <v>0</v>
      </c>
      <c r="J491" s="3939"/>
      <c r="N491" s="3998">
        <v>12172000</v>
      </c>
      <c r="O491" s="4008" t="s">
        <v>4185</v>
      </c>
      <c r="P491" s="4000">
        <v>0</v>
      </c>
      <c r="R491" s="3939"/>
      <c r="V491" s="3998">
        <v>12172000</v>
      </c>
      <c r="W491" s="4008" t="s">
        <v>4185</v>
      </c>
      <c r="X491" s="4000">
        <v>0</v>
      </c>
      <c r="Z491" s="3939"/>
      <c r="AD491" s="4003">
        <v>12181101</v>
      </c>
      <c r="AE491" s="4004" t="s">
        <v>4188</v>
      </c>
      <c r="AF491" s="3961">
        <v>0</v>
      </c>
    </row>
    <row r="492" spans="6:32">
      <c r="F492" s="4001">
        <v>12172001</v>
      </c>
      <c r="G492" s="4002" t="s">
        <v>4185</v>
      </c>
      <c r="H492" s="3958">
        <v>0</v>
      </c>
      <c r="J492" s="3939"/>
      <c r="N492" s="4003">
        <v>12172001</v>
      </c>
      <c r="O492" s="4004" t="s">
        <v>4185</v>
      </c>
      <c r="P492" s="3961">
        <v>0</v>
      </c>
      <c r="R492" s="3939"/>
      <c r="V492" s="4003">
        <v>12172001</v>
      </c>
      <c r="W492" s="4004" t="s">
        <v>4185</v>
      </c>
      <c r="X492" s="3961">
        <v>0</v>
      </c>
      <c r="Z492" s="3939"/>
      <c r="AD492" s="4003">
        <v>12181102</v>
      </c>
      <c r="AE492" s="4004" t="s">
        <v>4189</v>
      </c>
      <c r="AF492" s="3961">
        <v>0</v>
      </c>
    </row>
    <row r="493" spans="6:32">
      <c r="F493" s="3989">
        <v>12180000</v>
      </c>
      <c r="G493" s="4005" t="s">
        <v>4186</v>
      </c>
      <c r="H493" s="3991">
        <v>0</v>
      </c>
      <c r="J493" s="3939"/>
      <c r="N493" s="3992">
        <v>12180000</v>
      </c>
      <c r="O493" s="4006" t="s">
        <v>4186</v>
      </c>
      <c r="P493" s="3994">
        <v>0</v>
      </c>
      <c r="R493" s="3939"/>
      <c r="V493" s="3992">
        <v>12180000</v>
      </c>
      <c r="W493" s="4006" t="s">
        <v>4186</v>
      </c>
      <c r="X493" s="3994">
        <v>0</v>
      </c>
      <c r="Z493" s="3939"/>
      <c r="AD493" s="4003">
        <v>12181103</v>
      </c>
      <c r="AE493" s="4004" t="s">
        <v>4190</v>
      </c>
      <c r="AF493" s="3961">
        <v>0</v>
      </c>
    </row>
    <row r="494" spans="6:32">
      <c r="F494" s="3995">
        <v>12181000</v>
      </c>
      <c r="G494" s="4007" t="s">
        <v>4152</v>
      </c>
      <c r="H494" s="3997">
        <v>0</v>
      </c>
      <c r="J494" s="3939"/>
      <c r="N494" s="3998">
        <v>12181000</v>
      </c>
      <c r="O494" s="4008" t="s">
        <v>4152</v>
      </c>
      <c r="P494" s="4000">
        <v>0</v>
      </c>
      <c r="R494" s="3939"/>
      <c r="V494" s="3998">
        <v>12181000</v>
      </c>
      <c r="W494" s="4008" t="s">
        <v>4152</v>
      </c>
      <c r="X494" s="4000">
        <v>0</v>
      </c>
      <c r="Z494" s="3939"/>
      <c r="AD494" s="4003">
        <v>12181104</v>
      </c>
      <c r="AE494" s="4004" t="s">
        <v>4191</v>
      </c>
      <c r="AF494" s="3961">
        <v>0</v>
      </c>
    </row>
    <row r="495" spans="6:32">
      <c r="F495" s="4001">
        <v>12181001</v>
      </c>
      <c r="G495" s="4002" t="s">
        <v>4187</v>
      </c>
      <c r="H495" s="3958">
        <v>0</v>
      </c>
      <c r="J495" s="3939"/>
      <c r="N495" s="4003">
        <v>12181001</v>
      </c>
      <c r="O495" s="4004" t="s">
        <v>4187</v>
      </c>
      <c r="P495" s="3961">
        <v>0</v>
      </c>
      <c r="R495" s="3939"/>
      <c r="V495" s="4003">
        <v>12181001</v>
      </c>
      <c r="W495" s="4004" t="s">
        <v>4187</v>
      </c>
      <c r="X495" s="3961">
        <v>0</v>
      </c>
      <c r="Z495" s="3939"/>
      <c r="AD495" s="3998">
        <v>12181200</v>
      </c>
      <c r="AE495" s="4008" t="s">
        <v>4158</v>
      </c>
      <c r="AF495" s="4000">
        <v>0</v>
      </c>
    </row>
    <row r="496" spans="6:32">
      <c r="F496" s="3995">
        <v>12181100</v>
      </c>
      <c r="G496" s="4007" t="s">
        <v>4154</v>
      </c>
      <c r="H496" s="3997">
        <v>0</v>
      </c>
      <c r="J496" s="3939"/>
      <c r="N496" s="3998">
        <v>12181100</v>
      </c>
      <c r="O496" s="4008" t="s">
        <v>4154</v>
      </c>
      <c r="P496" s="4000">
        <v>0</v>
      </c>
      <c r="R496" s="3939"/>
      <c r="V496" s="3998">
        <v>12181100</v>
      </c>
      <c r="W496" s="4008" t="s">
        <v>4154</v>
      </c>
      <c r="X496" s="4000">
        <v>0</v>
      </c>
      <c r="Z496" s="3939"/>
      <c r="AD496" s="4003">
        <v>12181201</v>
      </c>
      <c r="AE496" s="4004" t="s">
        <v>4192</v>
      </c>
      <c r="AF496" s="3961">
        <v>0</v>
      </c>
    </row>
    <row r="497" spans="6:32">
      <c r="F497" s="4001">
        <v>12181101</v>
      </c>
      <c r="G497" s="4002" t="s">
        <v>4188</v>
      </c>
      <c r="H497" s="3958">
        <v>0</v>
      </c>
      <c r="J497" s="3939"/>
      <c r="N497" s="4003">
        <v>12181101</v>
      </c>
      <c r="O497" s="4004" t="s">
        <v>4188</v>
      </c>
      <c r="P497" s="3961">
        <v>0</v>
      </c>
      <c r="R497" s="3939"/>
      <c r="V497" s="4003">
        <v>12181101</v>
      </c>
      <c r="W497" s="4004" t="s">
        <v>4188</v>
      </c>
      <c r="X497" s="3961">
        <v>0</v>
      </c>
      <c r="Z497" s="3939"/>
      <c r="AD497" s="4003">
        <v>12181202</v>
      </c>
      <c r="AE497" s="4004" t="s">
        <v>4193</v>
      </c>
      <c r="AF497" s="3961">
        <v>0</v>
      </c>
    </row>
    <row r="498" spans="6:32">
      <c r="F498" s="4001">
        <v>12181102</v>
      </c>
      <c r="G498" s="4002" t="s">
        <v>5032</v>
      </c>
      <c r="H498" s="3958">
        <v>0</v>
      </c>
      <c r="J498" s="3939"/>
      <c r="N498" s="4003">
        <v>12181102</v>
      </c>
      <c r="O498" s="4004" t="s">
        <v>4189</v>
      </c>
      <c r="P498" s="3961">
        <v>0</v>
      </c>
      <c r="R498" s="3939"/>
      <c r="V498" s="4003">
        <v>12181102</v>
      </c>
      <c r="W498" s="4004" t="s">
        <v>4189</v>
      </c>
      <c r="X498" s="3961">
        <v>0</v>
      </c>
      <c r="Z498" s="3939"/>
      <c r="AD498" s="4003">
        <v>12181203</v>
      </c>
      <c r="AE498" s="4004" t="s">
        <v>4194</v>
      </c>
      <c r="AF498" s="3961">
        <v>0</v>
      </c>
    </row>
    <row r="499" spans="6:32">
      <c r="F499" s="4001">
        <v>12181103</v>
      </c>
      <c r="G499" s="4002" t="s">
        <v>5033</v>
      </c>
      <c r="H499" s="3958">
        <v>0</v>
      </c>
      <c r="J499" s="3939"/>
      <c r="N499" s="4003">
        <v>12181103</v>
      </c>
      <c r="O499" s="4004" t="s">
        <v>4190</v>
      </c>
      <c r="P499" s="3961">
        <v>0</v>
      </c>
      <c r="R499" s="3939"/>
      <c r="V499" s="4003">
        <v>12181103</v>
      </c>
      <c r="W499" s="4004" t="s">
        <v>4190</v>
      </c>
      <c r="X499" s="3961">
        <v>0</v>
      </c>
      <c r="Z499" s="3939"/>
      <c r="AD499" s="4003">
        <v>12181204</v>
      </c>
      <c r="AE499" s="4004" t="s">
        <v>4195</v>
      </c>
      <c r="AF499" s="3961">
        <v>0</v>
      </c>
    </row>
    <row r="500" spans="6:32">
      <c r="F500" s="4001">
        <v>12181104</v>
      </c>
      <c r="G500" s="4002" t="s">
        <v>5034</v>
      </c>
      <c r="H500" s="3958">
        <v>0</v>
      </c>
      <c r="J500" s="3939"/>
      <c r="N500" s="4003">
        <v>12181104</v>
      </c>
      <c r="O500" s="4004" t="s">
        <v>4191</v>
      </c>
      <c r="P500" s="3961">
        <v>0</v>
      </c>
      <c r="R500" s="3939"/>
      <c r="V500" s="4003">
        <v>12181104</v>
      </c>
      <c r="W500" s="4004" t="s">
        <v>4191</v>
      </c>
      <c r="X500" s="3961">
        <v>0</v>
      </c>
      <c r="Z500" s="3939"/>
      <c r="AD500" s="3998">
        <v>12181300</v>
      </c>
      <c r="AE500" s="4008" t="s">
        <v>4196</v>
      </c>
      <c r="AF500" s="4000">
        <v>0</v>
      </c>
    </row>
    <row r="501" spans="6:32">
      <c r="F501" s="3995">
        <v>12181200</v>
      </c>
      <c r="G501" s="4007" t="s">
        <v>4158</v>
      </c>
      <c r="H501" s="3997">
        <v>0</v>
      </c>
      <c r="J501" s="3939"/>
      <c r="N501" s="3998">
        <v>12181200</v>
      </c>
      <c r="O501" s="4008" t="s">
        <v>4158</v>
      </c>
      <c r="P501" s="4000">
        <v>0</v>
      </c>
      <c r="R501" s="3939"/>
      <c r="V501" s="3998">
        <v>12181200</v>
      </c>
      <c r="W501" s="4008" t="s">
        <v>4158</v>
      </c>
      <c r="X501" s="4000">
        <v>0</v>
      </c>
      <c r="Z501" s="3939"/>
      <c r="AD501" s="4003">
        <v>12181301</v>
      </c>
      <c r="AE501" s="4004" t="s">
        <v>4197</v>
      </c>
      <c r="AF501" s="3961">
        <v>0</v>
      </c>
    </row>
    <row r="502" spans="6:32">
      <c r="F502" s="4001">
        <v>12181201</v>
      </c>
      <c r="G502" s="4002" t="s">
        <v>4192</v>
      </c>
      <c r="H502" s="3958">
        <v>0</v>
      </c>
      <c r="J502" s="3939"/>
      <c r="N502" s="4003">
        <v>12181201</v>
      </c>
      <c r="O502" s="4004" t="s">
        <v>4192</v>
      </c>
      <c r="P502" s="3961">
        <v>0</v>
      </c>
      <c r="R502" s="3939"/>
      <c r="V502" s="4003">
        <v>12181201</v>
      </c>
      <c r="W502" s="4004" t="s">
        <v>4192</v>
      </c>
      <c r="X502" s="3961">
        <v>0</v>
      </c>
      <c r="Z502" s="3939"/>
      <c r="AD502" s="4003">
        <v>12181302</v>
      </c>
      <c r="AE502" s="4004" t="s">
        <v>4198</v>
      </c>
      <c r="AF502" s="3961">
        <v>0</v>
      </c>
    </row>
    <row r="503" spans="6:32">
      <c r="F503" s="4001">
        <v>12181202</v>
      </c>
      <c r="G503" s="4002" t="s">
        <v>4193</v>
      </c>
      <c r="H503" s="3958">
        <v>0</v>
      </c>
      <c r="J503" s="3939"/>
      <c r="N503" s="4003">
        <v>12181202</v>
      </c>
      <c r="O503" s="4004" t="s">
        <v>4193</v>
      </c>
      <c r="P503" s="3961">
        <v>0</v>
      </c>
      <c r="R503" s="3939"/>
      <c r="V503" s="4003">
        <v>12181202</v>
      </c>
      <c r="W503" s="4004" t="s">
        <v>4193</v>
      </c>
      <c r="X503" s="3961">
        <v>0</v>
      </c>
      <c r="Z503" s="3939"/>
      <c r="AD503" s="4003">
        <v>12181303</v>
      </c>
      <c r="AE503" s="4004" t="s">
        <v>4199</v>
      </c>
      <c r="AF503" s="3961">
        <v>0</v>
      </c>
    </row>
    <row r="504" spans="6:32">
      <c r="F504" s="4001">
        <v>12181203</v>
      </c>
      <c r="G504" s="4002" t="s">
        <v>4194</v>
      </c>
      <c r="H504" s="3958">
        <v>0</v>
      </c>
      <c r="J504" s="3939"/>
      <c r="N504" s="4003">
        <v>12181203</v>
      </c>
      <c r="O504" s="4004" t="s">
        <v>4194</v>
      </c>
      <c r="P504" s="3961">
        <v>0</v>
      </c>
      <c r="R504" s="3939"/>
      <c r="V504" s="4003">
        <v>12181203</v>
      </c>
      <c r="W504" s="4004" t="s">
        <v>4194</v>
      </c>
      <c r="X504" s="3961">
        <v>0</v>
      </c>
      <c r="Z504" s="3939"/>
      <c r="AD504" s="3992">
        <v>12190000</v>
      </c>
      <c r="AE504" s="4006" t="s">
        <v>1457</v>
      </c>
      <c r="AF504" s="3994">
        <v>109360460</v>
      </c>
    </row>
    <row r="505" spans="6:32">
      <c r="F505" s="4001">
        <v>12181204</v>
      </c>
      <c r="G505" s="4002" t="s">
        <v>4195</v>
      </c>
      <c r="H505" s="3958">
        <v>0</v>
      </c>
      <c r="J505" s="3939"/>
      <c r="N505" s="4003">
        <v>12181204</v>
      </c>
      <c r="O505" s="4004" t="s">
        <v>4195</v>
      </c>
      <c r="P505" s="3961">
        <v>0</v>
      </c>
      <c r="R505" s="3939"/>
      <c r="V505" s="4003">
        <v>12181204</v>
      </c>
      <c r="W505" s="4004" t="s">
        <v>4195</v>
      </c>
      <c r="X505" s="3961">
        <v>0</v>
      </c>
      <c r="Z505" s="3939"/>
      <c r="AD505" s="3998">
        <v>12191000</v>
      </c>
      <c r="AE505" s="4008" t="s">
        <v>3586</v>
      </c>
      <c r="AF505" s="4000">
        <v>0</v>
      </c>
    </row>
    <row r="506" spans="6:32">
      <c r="F506" s="3995">
        <v>12181300</v>
      </c>
      <c r="G506" s="4007" t="s">
        <v>4196</v>
      </c>
      <c r="H506" s="3997">
        <v>0</v>
      </c>
      <c r="J506" s="3939"/>
      <c r="N506" s="3998">
        <v>12181300</v>
      </c>
      <c r="O506" s="4008" t="s">
        <v>4196</v>
      </c>
      <c r="P506" s="4000">
        <v>0</v>
      </c>
      <c r="R506" s="3939"/>
      <c r="V506" s="3998">
        <v>12181300</v>
      </c>
      <c r="W506" s="4008" t="s">
        <v>4196</v>
      </c>
      <c r="X506" s="4000">
        <v>0</v>
      </c>
      <c r="Z506" s="3939"/>
      <c r="AD506" s="4003">
        <v>12191001</v>
      </c>
      <c r="AE506" s="4004" t="s">
        <v>4200</v>
      </c>
      <c r="AF506" s="3961">
        <v>0</v>
      </c>
    </row>
    <row r="507" spans="6:32">
      <c r="F507" s="4001">
        <v>12181301</v>
      </c>
      <c r="G507" s="4002" t="s">
        <v>4197</v>
      </c>
      <c r="H507" s="3958">
        <v>0</v>
      </c>
      <c r="J507" s="3939"/>
      <c r="N507" s="4003">
        <v>12181301</v>
      </c>
      <c r="O507" s="4004" t="s">
        <v>4197</v>
      </c>
      <c r="P507" s="3961">
        <v>0</v>
      </c>
      <c r="R507" s="3939"/>
      <c r="V507" s="4003">
        <v>12181301</v>
      </c>
      <c r="W507" s="4004" t="s">
        <v>4197</v>
      </c>
      <c r="X507" s="3961">
        <v>0</v>
      </c>
      <c r="Z507" s="3939"/>
      <c r="AD507" s="4003">
        <v>12191002</v>
      </c>
      <c r="AE507" s="4004" t="s">
        <v>4201</v>
      </c>
      <c r="AF507" s="3961">
        <v>0</v>
      </c>
    </row>
    <row r="508" spans="6:32">
      <c r="F508" s="4001">
        <v>12181302</v>
      </c>
      <c r="G508" s="4002" t="s">
        <v>4198</v>
      </c>
      <c r="H508" s="3958">
        <v>0</v>
      </c>
      <c r="J508" s="3939"/>
      <c r="N508" s="4003">
        <v>12181302</v>
      </c>
      <c r="O508" s="4004" t="s">
        <v>4198</v>
      </c>
      <c r="P508" s="3961">
        <v>0</v>
      </c>
      <c r="R508" s="3939"/>
      <c r="V508" s="4003">
        <v>12181302</v>
      </c>
      <c r="W508" s="4004" t="s">
        <v>4198</v>
      </c>
      <c r="X508" s="3961">
        <v>0</v>
      </c>
      <c r="Z508" s="3939"/>
      <c r="AD508" s="4003">
        <v>12191003</v>
      </c>
      <c r="AE508" s="4004" t="s">
        <v>4202</v>
      </c>
      <c r="AF508" s="3961">
        <v>0</v>
      </c>
    </row>
    <row r="509" spans="6:32">
      <c r="F509" s="4001">
        <v>12181303</v>
      </c>
      <c r="G509" s="4002" t="s">
        <v>4199</v>
      </c>
      <c r="H509" s="3958">
        <v>0</v>
      </c>
      <c r="J509" s="3939"/>
      <c r="N509" s="4003">
        <v>12181303</v>
      </c>
      <c r="O509" s="4004" t="s">
        <v>4199</v>
      </c>
      <c r="P509" s="3961">
        <v>0</v>
      </c>
      <c r="R509" s="3939"/>
      <c r="V509" s="4003">
        <v>12181303</v>
      </c>
      <c r="W509" s="4004" t="s">
        <v>4199</v>
      </c>
      <c r="X509" s="3961">
        <v>0</v>
      </c>
      <c r="Z509" s="3939"/>
      <c r="AD509" s="4003">
        <v>12191004</v>
      </c>
      <c r="AE509" s="4004" t="s">
        <v>4203</v>
      </c>
      <c r="AF509" s="3961">
        <v>0</v>
      </c>
    </row>
    <row r="510" spans="6:32">
      <c r="F510" s="3989">
        <v>12190000</v>
      </c>
      <c r="G510" s="4005" t="s">
        <v>1457</v>
      </c>
      <c r="H510" s="3991">
        <v>181874269</v>
      </c>
      <c r="J510" s="3939"/>
      <c r="N510" s="3992">
        <v>12190000</v>
      </c>
      <c r="O510" s="4006" t="s">
        <v>1457</v>
      </c>
      <c r="P510" s="3994">
        <v>127988429</v>
      </c>
      <c r="R510" s="3939"/>
      <c r="V510" s="3992">
        <v>12190000</v>
      </c>
      <c r="W510" s="4006" t="s">
        <v>1457</v>
      </c>
      <c r="X510" s="3994">
        <v>96402720</v>
      </c>
      <c r="Z510" s="3939"/>
      <c r="AD510" s="4003">
        <v>12191005</v>
      </c>
      <c r="AE510" s="4004" t="s">
        <v>4204</v>
      </c>
      <c r="AF510" s="3961">
        <v>0</v>
      </c>
    </row>
    <row r="511" spans="6:32">
      <c r="F511" s="3995">
        <v>12191000</v>
      </c>
      <c r="G511" s="4007" t="s">
        <v>3586</v>
      </c>
      <c r="H511" s="3997">
        <v>0</v>
      </c>
      <c r="J511" s="3939"/>
      <c r="N511" s="3998">
        <v>12191000</v>
      </c>
      <c r="O511" s="4008" t="s">
        <v>3586</v>
      </c>
      <c r="P511" s="4000">
        <v>0</v>
      </c>
      <c r="R511" s="3939"/>
      <c r="V511" s="3998">
        <v>12191000</v>
      </c>
      <c r="W511" s="4008" t="s">
        <v>3586</v>
      </c>
      <c r="X511" s="4000">
        <v>0</v>
      </c>
      <c r="Z511" s="3939"/>
      <c r="AD511" s="4003">
        <v>12191006</v>
      </c>
      <c r="AE511" s="4004" t="s">
        <v>4205</v>
      </c>
      <c r="AF511" s="3961">
        <v>0</v>
      </c>
    </row>
    <row r="512" spans="6:32">
      <c r="F512" s="4001">
        <v>12191001</v>
      </c>
      <c r="G512" s="4002" t="s">
        <v>4200</v>
      </c>
      <c r="H512" s="3958">
        <v>0</v>
      </c>
      <c r="J512" s="3939"/>
      <c r="N512" s="4003">
        <v>12191001</v>
      </c>
      <c r="O512" s="4004" t="s">
        <v>4200</v>
      </c>
      <c r="P512" s="3961">
        <v>0</v>
      </c>
      <c r="R512" s="3939"/>
      <c r="V512" s="4003">
        <v>12191001</v>
      </c>
      <c r="W512" s="4004" t="s">
        <v>4200</v>
      </c>
      <c r="X512" s="3961">
        <v>0</v>
      </c>
      <c r="Z512" s="3939"/>
      <c r="AD512" s="4003">
        <v>12191007</v>
      </c>
      <c r="AE512" s="4004" t="s">
        <v>4206</v>
      </c>
      <c r="AF512" s="3961">
        <v>0</v>
      </c>
    </row>
    <row r="513" spans="6:32">
      <c r="F513" s="4001">
        <v>12191002</v>
      </c>
      <c r="G513" s="4002" t="s">
        <v>5035</v>
      </c>
      <c r="H513" s="3958">
        <v>0</v>
      </c>
      <c r="J513" s="3939"/>
      <c r="N513" s="4003">
        <v>12191002</v>
      </c>
      <c r="O513" s="4004" t="s">
        <v>4201</v>
      </c>
      <c r="P513" s="3961">
        <v>0</v>
      </c>
      <c r="R513" s="3939"/>
      <c r="V513" s="4003">
        <v>12191002</v>
      </c>
      <c r="W513" s="4004" t="s">
        <v>4201</v>
      </c>
      <c r="X513" s="3961">
        <v>0</v>
      </c>
      <c r="Z513" s="3939"/>
      <c r="AD513" s="4003">
        <v>12191008</v>
      </c>
      <c r="AE513" s="4004" t="s">
        <v>4207</v>
      </c>
      <c r="AF513" s="3961">
        <v>0</v>
      </c>
    </row>
    <row r="514" spans="6:32">
      <c r="F514" s="4001">
        <v>12191003</v>
      </c>
      <c r="G514" s="4002" t="s">
        <v>5036</v>
      </c>
      <c r="H514" s="3958">
        <v>0</v>
      </c>
      <c r="J514" s="3939"/>
      <c r="N514" s="4003">
        <v>12191003</v>
      </c>
      <c r="O514" s="4004" t="s">
        <v>4202</v>
      </c>
      <c r="P514" s="3961">
        <v>0</v>
      </c>
      <c r="R514" s="3939"/>
      <c r="V514" s="4003">
        <v>12191003</v>
      </c>
      <c r="W514" s="4004" t="s">
        <v>4202</v>
      </c>
      <c r="X514" s="3961">
        <v>0</v>
      </c>
      <c r="Z514" s="3939"/>
      <c r="AD514" s="4003">
        <v>12191009</v>
      </c>
      <c r="AE514" s="4004" t="s">
        <v>4208</v>
      </c>
      <c r="AF514" s="3961">
        <v>0</v>
      </c>
    </row>
    <row r="515" spans="6:32">
      <c r="F515" s="4001">
        <v>12191004</v>
      </c>
      <c r="G515" s="4002" t="s">
        <v>4203</v>
      </c>
      <c r="H515" s="3958">
        <v>0</v>
      </c>
      <c r="J515" s="3939"/>
      <c r="N515" s="4003">
        <v>12191004</v>
      </c>
      <c r="O515" s="4004" t="s">
        <v>4203</v>
      </c>
      <c r="P515" s="3961">
        <v>0</v>
      </c>
      <c r="R515" s="3939"/>
      <c r="V515" s="4003">
        <v>12191004</v>
      </c>
      <c r="W515" s="4004" t="s">
        <v>4203</v>
      </c>
      <c r="X515" s="3961">
        <v>0</v>
      </c>
      <c r="Z515" s="3939"/>
      <c r="AD515" s="4003">
        <v>12191010</v>
      </c>
      <c r="AE515" s="4004" t="s">
        <v>4209</v>
      </c>
      <c r="AF515" s="3961">
        <v>0</v>
      </c>
    </row>
    <row r="516" spans="6:32">
      <c r="F516" s="4001">
        <v>12191005</v>
      </c>
      <c r="G516" s="4002" t="s">
        <v>5037</v>
      </c>
      <c r="H516" s="3958">
        <v>0</v>
      </c>
      <c r="J516" s="3939"/>
      <c r="N516" s="4003">
        <v>12191005</v>
      </c>
      <c r="O516" s="4004" t="s">
        <v>4204</v>
      </c>
      <c r="P516" s="3961">
        <v>0</v>
      </c>
      <c r="R516" s="3939"/>
      <c r="V516" s="4003">
        <v>12191005</v>
      </c>
      <c r="W516" s="4004" t="s">
        <v>4204</v>
      </c>
      <c r="X516" s="3961">
        <v>0</v>
      </c>
      <c r="Z516" s="3939"/>
      <c r="AD516" s="4003">
        <v>12191011</v>
      </c>
      <c r="AE516" s="4004" t="s">
        <v>4210</v>
      </c>
      <c r="AF516" s="3961">
        <v>0</v>
      </c>
    </row>
    <row r="517" spans="6:32">
      <c r="F517" s="4001">
        <v>12191006</v>
      </c>
      <c r="G517" s="4002" t="s">
        <v>5038</v>
      </c>
      <c r="H517" s="3958">
        <v>0</v>
      </c>
      <c r="J517" s="3939"/>
      <c r="N517" s="4003">
        <v>12191006</v>
      </c>
      <c r="O517" s="4004" t="s">
        <v>4205</v>
      </c>
      <c r="P517" s="3961">
        <v>0</v>
      </c>
      <c r="R517" s="3939"/>
      <c r="V517" s="4003">
        <v>12191006</v>
      </c>
      <c r="W517" s="4004" t="s">
        <v>4205</v>
      </c>
      <c r="X517" s="3961">
        <v>0</v>
      </c>
      <c r="Z517" s="3939"/>
      <c r="AD517" s="4003">
        <v>12191012</v>
      </c>
      <c r="AE517" s="4004" t="s">
        <v>4211</v>
      </c>
      <c r="AF517" s="3961">
        <v>0</v>
      </c>
    </row>
    <row r="518" spans="6:32">
      <c r="F518" s="4001">
        <v>12191007</v>
      </c>
      <c r="G518" s="4002" t="s">
        <v>4206</v>
      </c>
      <c r="H518" s="3958">
        <v>0</v>
      </c>
      <c r="J518" s="3939"/>
      <c r="N518" s="4003">
        <v>12191007</v>
      </c>
      <c r="O518" s="4004" t="s">
        <v>4206</v>
      </c>
      <c r="P518" s="3961">
        <v>0</v>
      </c>
      <c r="R518" s="3939"/>
      <c r="V518" s="4003">
        <v>12191007</v>
      </c>
      <c r="W518" s="4004" t="s">
        <v>4206</v>
      </c>
      <c r="X518" s="3961">
        <v>0</v>
      </c>
      <c r="Z518" s="3939"/>
      <c r="AD518" s="3998">
        <v>12191100</v>
      </c>
      <c r="AE518" s="4008" t="s">
        <v>3589</v>
      </c>
      <c r="AF518" s="4000">
        <v>45859660</v>
      </c>
    </row>
    <row r="519" spans="6:32">
      <c r="F519" s="4001">
        <v>12191008</v>
      </c>
      <c r="G519" s="4002" t="s">
        <v>5039</v>
      </c>
      <c r="H519" s="3958">
        <v>0</v>
      </c>
      <c r="J519" s="3939"/>
      <c r="N519" s="4003">
        <v>12191008</v>
      </c>
      <c r="O519" s="4004" t="s">
        <v>4207</v>
      </c>
      <c r="P519" s="3961">
        <v>0</v>
      </c>
      <c r="R519" s="3939"/>
      <c r="V519" s="4003">
        <v>12191008</v>
      </c>
      <c r="W519" s="4004" t="s">
        <v>4207</v>
      </c>
      <c r="X519" s="3961">
        <v>0</v>
      </c>
      <c r="Z519" s="3939"/>
      <c r="AD519" s="4003">
        <v>12191101</v>
      </c>
      <c r="AE519" s="4004" t="s">
        <v>3589</v>
      </c>
      <c r="AF519" s="3961">
        <v>45859660</v>
      </c>
    </row>
    <row r="520" spans="6:32">
      <c r="F520" s="4001">
        <v>12191009</v>
      </c>
      <c r="G520" s="4002" t="s">
        <v>5040</v>
      </c>
      <c r="H520" s="3958">
        <v>0</v>
      </c>
      <c r="J520" s="3939"/>
      <c r="N520" s="4003">
        <v>12191009</v>
      </c>
      <c r="O520" s="4004" t="s">
        <v>4208</v>
      </c>
      <c r="P520" s="3961">
        <v>0</v>
      </c>
      <c r="R520" s="3939"/>
      <c r="V520" s="4003">
        <v>12191009</v>
      </c>
      <c r="W520" s="4004" t="s">
        <v>4208</v>
      </c>
      <c r="X520" s="3961">
        <v>0</v>
      </c>
      <c r="Z520" s="3939"/>
      <c r="AD520" s="4003">
        <v>12191102</v>
      </c>
      <c r="AE520" s="4004" t="s">
        <v>4212</v>
      </c>
      <c r="AF520" s="3961">
        <v>0</v>
      </c>
    </row>
    <row r="521" spans="6:32">
      <c r="F521" s="4001">
        <v>12191010</v>
      </c>
      <c r="G521" s="4002" t="s">
        <v>4209</v>
      </c>
      <c r="H521" s="3958">
        <v>0</v>
      </c>
      <c r="J521" s="3939"/>
      <c r="N521" s="4003">
        <v>12191010</v>
      </c>
      <c r="O521" s="4004" t="s">
        <v>4209</v>
      </c>
      <c r="P521" s="3961">
        <v>0</v>
      </c>
      <c r="R521" s="3939"/>
      <c r="V521" s="4003">
        <v>12191010</v>
      </c>
      <c r="W521" s="4004" t="s">
        <v>4209</v>
      </c>
      <c r="X521" s="3961">
        <v>0</v>
      </c>
      <c r="Z521" s="3939"/>
      <c r="AD521" s="4003">
        <v>12191103</v>
      </c>
      <c r="AE521" s="4004" t="s">
        <v>4213</v>
      </c>
      <c r="AF521" s="3961">
        <v>0</v>
      </c>
    </row>
    <row r="522" spans="6:32">
      <c r="F522" s="4001">
        <v>12191011</v>
      </c>
      <c r="G522" s="4002" t="s">
        <v>5041</v>
      </c>
      <c r="H522" s="3958">
        <v>0</v>
      </c>
      <c r="J522" s="3939"/>
      <c r="N522" s="4003">
        <v>12191011</v>
      </c>
      <c r="O522" s="4004" t="s">
        <v>4210</v>
      </c>
      <c r="P522" s="3961">
        <v>0</v>
      </c>
      <c r="R522" s="3939"/>
      <c r="V522" s="4003">
        <v>12191011</v>
      </c>
      <c r="W522" s="4004" t="s">
        <v>4210</v>
      </c>
      <c r="X522" s="3961">
        <v>0</v>
      </c>
      <c r="Z522" s="3939"/>
      <c r="AD522" s="3998">
        <v>12191200</v>
      </c>
      <c r="AE522" s="4008" t="s">
        <v>3585</v>
      </c>
      <c r="AF522" s="4000">
        <v>0</v>
      </c>
    </row>
    <row r="523" spans="6:32">
      <c r="F523" s="4001">
        <v>12191012</v>
      </c>
      <c r="G523" s="4002" t="s">
        <v>5042</v>
      </c>
      <c r="H523" s="3958">
        <v>0</v>
      </c>
      <c r="J523" s="3939"/>
      <c r="N523" s="4003">
        <v>12191012</v>
      </c>
      <c r="O523" s="4004" t="s">
        <v>4211</v>
      </c>
      <c r="P523" s="3961">
        <v>0</v>
      </c>
      <c r="R523" s="3939"/>
      <c r="V523" s="4003">
        <v>12191012</v>
      </c>
      <c r="W523" s="4004" t="s">
        <v>4211</v>
      </c>
      <c r="X523" s="3961">
        <v>0</v>
      </c>
      <c r="Z523" s="3939"/>
      <c r="AD523" s="4003">
        <v>12191201</v>
      </c>
      <c r="AE523" s="4004" t="s">
        <v>3585</v>
      </c>
      <c r="AF523" s="3961">
        <v>0</v>
      </c>
    </row>
    <row r="524" spans="6:32">
      <c r="F524" s="3995">
        <v>12191100</v>
      </c>
      <c r="G524" s="4007" t="s">
        <v>3589</v>
      </c>
      <c r="H524" s="3997">
        <v>118373469</v>
      </c>
      <c r="J524" s="3939"/>
      <c r="N524" s="3998">
        <v>12191100</v>
      </c>
      <c r="O524" s="4008" t="s">
        <v>3589</v>
      </c>
      <c r="P524" s="4000">
        <v>64487629</v>
      </c>
      <c r="R524" s="3939"/>
      <c r="V524" s="3998">
        <v>12191100</v>
      </c>
      <c r="W524" s="4008" t="s">
        <v>3589</v>
      </c>
      <c r="X524" s="4000">
        <v>32901920</v>
      </c>
      <c r="Z524" s="3939"/>
      <c r="AD524" s="4003">
        <v>12191202</v>
      </c>
      <c r="AE524" s="4004" t="s">
        <v>4214</v>
      </c>
      <c r="AF524" s="3961">
        <v>0</v>
      </c>
    </row>
    <row r="525" spans="6:32">
      <c r="F525" s="4001">
        <v>12191101</v>
      </c>
      <c r="G525" s="4002" t="s">
        <v>3589</v>
      </c>
      <c r="H525" s="3958">
        <v>118373469</v>
      </c>
      <c r="J525" s="3939"/>
      <c r="N525" s="4003">
        <v>12191101</v>
      </c>
      <c r="O525" s="4004" t="s">
        <v>3589</v>
      </c>
      <c r="P525" s="3961">
        <v>64487629</v>
      </c>
      <c r="R525" s="3939"/>
      <c r="V525" s="4003">
        <v>12191101</v>
      </c>
      <c r="W525" s="4004" t="s">
        <v>3589</v>
      </c>
      <c r="X525" s="3961">
        <v>32901920</v>
      </c>
      <c r="Z525" s="3939"/>
      <c r="AD525" s="4003">
        <v>12191203</v>
      </c>
      <c r="AE525" s="4004" t="s">
        <v>4215</v>
      </c>
      <c r="AF525" s="3961">
        <v>0</v>
      </c>
    </row>
    <row r="526" spans="6:32">
      <c r="F526" s="4001">
        <v>12191102</v>
      </c>
      <c r="G526" s="4002" t="s">
        <v>5043</v>
      </c>
      <c r="H526" s="3958">
        <v>0</v>
      </c>
      <c r="J526" s="3939"/>
      <c r="N526" s="4003">
        <v>12191102</v>
      </c>
      <c r="O526" s="4004" t="s">
        <v>4212</v>
      </c>
      <c r="P526" s="3961">
        <v>0</v>
      </c>
      <c r="R526" s="3939"/>
      <c r="V526" s="4003">
        <v>12191102</v>
      </c>
      <c r="W526" s="4004" t="s">
        <v>4212</v>
      </c>
      <c r="X526" s="3961">
        <v>0</v>
      </c>
      <c r="Z526" s="3939"/>
      <c r="AD526" s="4003">
        <v>12191204</v>
      </c>
      <c r="AE526" s="4004" t="s">
        <v>4216</v>
      </c>
      <c r="AF526" s="3961">
        <v>0</v>
      </c>
    </row>
    <row r="527" spans="6:32">
      <c r="F527" s="4001">
        <v>12191103</v>
      </c>
      <c r="G527" s="4002" t="s">
        <v>5044</v>
      </c>
      <c r="H527" s="3958">
        <v>0</v>
      </c>
      <c r="J527" s="3939"/>
      <c r="N527" s="4003">
        <v>12191103</v>
      </c>
      <c r="O527" s="4004" t="s">
        <v>4213</v>
      </c>
      <c r="P527" s="3961">
        <v>0</v>
      </c>
      <c r="R527" s="3939"/>
      <c r="V527" s="4003">
        <v>12191103</v>
      </c>
      <c r="W527" s="4004" t="s">
        <v>4213</v>
      </c>
      <c r="X527" s="3961">
        <v>0</v>
      </c>
      <c r="Z527" s="3939"/>
      <c r="AD527" s="3998">
        <v>12191300</v>
      </c>
      <c r="AE527" s="4008" t="s">
        <v>3587</v>
      </c>
      <c r="AF527" s="4000">
        <v>0</v>
      </c>
    </row>
    <row r="528" spans="6:32">
      <c r="F528" s="3995">
        <v>12191200</v>
      </c>
      <c r="G528" s="4007" t="s">
        <v>3585</v>
      </c>
      <c r="H528" s="3997">
        <v>0</v>
      </c>
      <c r="J528" s="3939"/>
      <c r="N528" s="3998">
        <v>12191200</v>
      </c>
      <c r="O528" s="4008" t="s">
        <v>3585</v>
      </c>
      <c r="P528" s="4000">
        <v>0</v>
      </c>
      <c r="R528" s="3939"/>
      <c r="V528" s="3998">
        <v>12191200</v>
      </c>
      <c r="W528" s="4008" t="s">
        <v>3585</v>
      </c>
      <c r="X528" s="4000">
        <v>0</v>
      </c>
      <c r="Z528" s="3939"/>
      <c r="AD528" s="4003">
        <v>12191301</v>
      </c>
      <c r="AE528" s="4004" t="s">
        <v>3587</v>
      </c>
      <c r="AF528" s="3961">
        <v>0</v>
      </c>
    </row>
    <row r="529" spans="6:32">
      <c r="F529" s="4001">
        <v>12191201</v>
      </c>
      <c r="G529" s="4002" t="s">
        <v>3585</v>
      </c>
      <c r="H529" s="3958">
        <v>0</v>
      </c>
      <c r="J529" s="3939"/>
      <c r="N529" s="4003">
        <v>12191201</v>
      </c>
      <c r="O529" s="4004" t="s">
        <v>3585</v>
      </c>
      <c r="P529" s="3961">
        <v>0</v>
      </c>
      <c r="R529" s="3939"/>
      <c r="V529" s="4003">
        <v>12191201</v>
      </c>
      <c r="W529" s="4004" t="s">
        <v>3585</v>
      </c>
      <c r="X529" s="3961">
        <v>0</v>
      </c>
      <c r="Z529" s="3939"/>
      <c r="AD529" s="4003">
        <v>12191302</v>
      </c>
      <c r="AE529" s="4004" t="s">
        <v>4217</v>
      </c>
      <c r="AF529" s="3961">
        <v>0</v>
      </c>
    </row>
    <row r="530" spans="6:32">
      <c r="F530" s="4001">
        <v>12191202</v>
      </c>
      <c r="G530" s="4002" t="s">
        <v>5045</v>
      </c>
      <c r="H530" s="3958">
        <v>0</v>
      </c>
      <c r="J530" s="3939"/>
      <c r="N530" s="4003">
        <v>12191202</v>
      </c>
      <c r="O530" s="4004" t="s">
        <v>4214</v>
      </c>
      <c r="P530" s="3961">
        <v>0</v>
      </c>
      <c r="R530" s="3939"/>
      <c r="V530" s="4003">
        <v>12191202</v>
      </c>
      <c r="W530" s="4004" t="s">
        <v>4214</v>
      </c>
      <c r="X530" s="3961">
        <v>0</v>
      </c>
      <c r="Z530" s="3939"/>
      <c r="AD530" s="4003">
        <v>12191303</v>
      </c>
      <c r="AE530" s="4004" t="s">
        <v>4218</v>
      </c>
      <c r="AF530" s="3961">
        <v>0</v>
      </c>
    </row>
    <row r="531" spans="6:32">
      <c r="F531" s="4001">
        <v>12191203</v>
      </c>
      <c r="G531" s="4002" t="s">
        <v>4215</v>
      </c>
      <c r="H531" s="3958">
        <v>0</v>
      </c>
      <c r="J531" s="3939"/>
      <c r="N531" s="4003">
        <v>12191203</v>
      </c>
      <c r="O531" s="4004" t="s">
        <v>4215</v>
      </c>
      <c r="P531" s="3961">
        <v>0</v>
      </c>
      <c r="R531" s="3939"/>
      <c r="V531" s="4003">
        <v>12191203</v>
      </c>
      <c r="W531" s="4004" t="s">
        <v>4215</v>
      </c>
      <c r="X531" s="3961">
        <v>0</v>
      </c>
      <c r="Z531" s="3939"/>
      <c r="AD531" s="3998">
        <v>12191400</v>
      </c>
      <c r="AE531" s="4008" t="s">
        <v>3588</v>
      </c>
      <c r="AF531" s="4000">
        <v>63500800</v>
      </c>
    </row>
    <row r="532" spans="6:32">
      <c r="F532" s="4001">
        <v>12191204</v>
      </c>
      <c r="G532" s="4002" t="s">
        <v>4216</v>
      </c>
      <c r="H532" s="3958">
        <v>0</v>
      </c>
      <c r="J532" s="3939"/>
      <c r="N532" s="4003">
        <v>12191204</v>
      </c>
      <c r="O532" s="4004" t="s">
        <v>4216</v>
      </c>
      <c r="P532" s="3961">
        <v>0</v>
      </c>
      <c r="R532" s="3939"/>
      <c r="V532" s="4003">
        <v>12191204</v>
      </c>
      <c r="W532" s="4004" t="s">
        <v>4216</v>
      </c>
      <c r="X532" s="3961">
        <v>0</v>
      </c>
      <c r="Z532" s="3939"/>
      <c r="AD532" s="4003">
        <v>12191401</v>
      </c>
      <c r="AE532" s="4004" t="s">
        <v>3588</v>
      </c>
      <c r="AF532" s="3961">
        <v>63500800</v>
      </c>
    </row>
    <row r="533" spans="6:32">
      <c r="F533" s="3995">
        <v>12191300</v>
      </c>
      <c r="G533" s="4007" t="s">
        <v>3587</v>
      </c>
      <c r="H533" s="3997">
        <v>0</v>
      </c>
      <c r="J533" s="3939"/>
      <c r="N533" s="3998">
        <v>12191300</v>
      </c>
      <c r="O533" s="4008" t="s">
        <v>3587</v>
      </c>
      <c r="P533" s="4000">
        <v>0</v>
      </c>
      <c r="R533" s="3939"/>
      <c r="V533" s="3998">
        <v>12191300</v>
      </c>
      <c r="W533" s="4008" t="s">
        <v>3587</v>
      </c>
      <c r="X533" s="4000">
        <v>0</v>
      </c>
      <c r="Z533" s="3939"/>
      <c r="AD533" s="4003">
        <v>12191402</v>
      </c>
      <c r="AE533" s="4004" t="s">
        <v>4219</v>
      </c>
      <c r="AF533" s="3961">
        <v>0</v>
      </c>
    </row>
    <row r="534" spans="6:32">
      <c r="F534" s="4001">
        <v>12191301</v>
      </c>
      <c r="G534" s="4002" t="s">
        <v>3587</v>
      </c>
      <c r="H534" s="3958">
        <v>0</v>
      </c>
      <c r="J534" s="3939"/>
      <c r="N534" s="4003">
        <v>12191301</v>
      </c>
      <c r="O534" s="4004" t="s">
        <v>3587</v>
      </c>
      <c r="P534" s="3961">
        <v>0</v>
      </c>
      <c r="R534" s="3939"/>
      <c r="V534" s="4003">
        <v>12191301</v>
      </c>
      <c r="W534" s="4004" t="s">
        <v>3587</v>
      </c>
      <c r="X534" s="3961">
        <v>0</v>
      </c>
      <c r="Z534" s="3939"/>
      <c r="AD534" s="4003">
        <v>12191403</v>
      </c>
      <c r="AE534" s="4004" t="s">
        <v>4220</v>
      </c>
      <c r="AF534" s="3961">
        <v>0</v>
      </c>
    </row>
    <row r="535" spans="6:32">
      <c r="F535" s="4001">
        <v>12191302</v>
      </c>
      <c r="G535" s="4002" t="s">
        <v>5046</v>
      </c>
      <c r="H535" s="3958">
        <v>0</v>
      </c>
      <c r="J535" s="3939"/>
      <c r="N535" s="4003">
        <v>12191302</v>
      </c>
      <c r="O535" s="4004" t="s">
        <v>4217</v>
      </c>
      <c r="P535" s="3961">
        <v>0</v>
      </c>
      <c r="R535" s="3939"/>
      <c r="V535" s="4003">
        <v>12191302</v>
      </c>
      <c r="W535" s="4004" t="s">
        <v>4217</v>
      </c>
      <c r="X535" s="3961">
        <v>0</v>
      </c>
      <c r="Z535" s="3939"/>
      <c r="AD535" s="3998">
        <v>12191500</v>
      </c>
      <c r="AE535" s="4008" t="s">
        <v>4221</v>
      </c>
      <c r="AF535" s="4000">
        <v>0</v>
      </c>
    </row>
    <row r="536" spans="6:32">
      <c r="F536" s="4001">
        <v>12191303</v>
      </c>
      <c r="G536" s="4002" t="s">
        <v>4218</v>
      </c>
      <c r="H536" s="3958">
        <v>0</v>
      </c>
      <c r="J536" s="3939"/>
      <c r="N536" s="4003">
        <v>12191303</v>
      </c>
      <c r="O536" s="4004" t="s">
        <v>4218</v>
      </c>
      <c r="P536" s="3961">
        <v>0</v>
      </c>
      <c r="R536" s="3939"/>
      <c r="V536" s="4003">
        <v>12191303</v>
      </c>
      <c r="W536" s="4004" t="s">
        <v>4218</v>
      </c>
      <c r="X536" s="3961">
        <v>0</v>
      </c>
      <c r="Z536" s="3939"/>
      <c r="AD536" s="4003">
        <v>12191501</v>
      </c>
      <c r="AE536" s="4004" t="s">
        <v>4222</v>
      </c>
      <c r="AF536" s="3961">
        <v>0</v>
      </c>
    </row>
    <row r="537" spans="6:32">
      <c r="F537" s="3995">
        <v>12191400</v>
      </c>
      <c r="G537" s="4007" t="s">
        <v>3588</v>
      </c>
      <c r="H537" s="3997">
        <v>63500800</v>
      </c>
      <c r="J537" s="3939"/>
      <c r="N537" s="3998">
        <v>12191400</v>
      </c>
      <c r="O537" s="4008" t="s">
        <v>3588</v>
      </c>
      <c r="P537" s="4000">
        <v>63500800</v>
      </c>
      <c r="R537" s="3939"/>
      <c r="V537" s="3998">
        <v>12191400</v>
      </c>
      <c r="W537" s="4008" t="s">
        <v>3588</v>
      </c>
      <c r="X537" s="4000">
        <v>63500800</v>
      </c>
      <c r="Z537" s="3939"/>
      <c r="AD537" s="4003">
        <v>12191502</v>
      </c>
      <c r="AE537" s="4004" t="s">
        <v>4223</v>
      </c>
      <c r="AF537" s="3961">
        <v>0</v>
      </c>
    </row>
    <row r="538" spans="6:32">
      <c r="F538" s="4001">
        <v>12191401</v>
      </c>
      <c r="G538" s="4002" t="s">
        <v>5047</v>
      </c>
      <c r="H538" s="3958">
        <v>63500800</v>
      </c>
      <c r="J538" s="3939"/>
      <c r="N538" s="4003">
        <v>12191401</v>
      </c>
      <c r="O538" s="4004" t="s">
        <v>3588</v>
      </c>
      <c r="P538" s="3961">
        <v>63500800</v>
      </c>
      <c r="R538" s="3939"/>
      <c r="V538" s="4003">
        <v>12191401</v>
      </c>
      <c r="W538" s="4004" t="s">
        <v>3588</v>
      </c>
      <c r="X538" s="3961">
        <v>63500800</v>
      </c>
      <c r="Z538" s="3939"/>
      <c r="AD538" s="4003">
        <v>12191503</v>
      </c>
      <c r="AE538" s="4004" t="s">
        <v>4224</v>
      </c>
      <c r="AF538" s="3961">
        <v>0</v>
      </c>
    </row>
    <row r="539" spans="6:32">
      <c r="F539" s="4001">
        <v>12191402</v>
      </c>
      <c r="G539" s="4002" t="s">
        <v>5048</v>
      </c>
      <c r="H539" s="3958">
        <v>0</v>
      </c>
      <c r="J539" s="3939"/>
      <c r="N539" s="4003">
        <v>12191402</v>
      </c>
      <c r="O539" s="4004" t="s">
        <v>4219</v>
      </c>
      <c r="P539" s="3961">
        <v>0</v>
      </c>
      <c r="R539" s="3939"/>
      <c r="V539" s="4003">
        <v>12191402</v>
      </c>
      <c r="W539" s="4004" t="s">
        <v>4219</v>
      </c>
      <c r="X539" s="3961">
        <v>0</v>
      </c>
      <c r="Z539" s="3939"/>
      <c r="AD539" s="4003">
        <v>12191504</v>
      </c>
      <c r="AE539" s="4004" t="s">
        <v>4221</v>
      </c>
      <c r="AF539" s="3961">
        <v>0</v>
      </c>
    </row>
    <row r="540" spans="6:32">
      <c r="F540" s="4001">
        <v>12191403</v>
      </c>
      <c r="G540" s="4002" t="s">
        <v>5049</v>
      </c>
      <c r="H540" s="3958">
        <v>0</v>
      </c>
      <c r="J540" s="3939"/>
      <c r="N540" s="4003">
        <v>12191403</v>
      </c>
      <c r="O540" s="4004" t="s">
        <v>4220</v>
      </c>
      <c r="P540" s="3961">
        <v>0</v>
      </c>
      <c r="R540" s="3939"/>
      <c r="V540" s="4003">
        <v>12191403</v>
      </c>
      <c r="W540" s="4004" t="s">
        <v>4220</v>
      </c>
      <c r="X540" s="3961">
        <v>0</v>
      </c>
      <c r="Z540" s="3939"/>
      <c r="AD540" s="4003">
        <v>12191505</v>
      </c>
      <c r="AE540" s="4004" t="s">
        <v>4225</v>
      </c>
      <c r="AF540" s="3961">
        <v>0</v>
      </c>
    </row>
    <row r="541" spans="6:32">
      <c r="F541" s="3995">
        <v>12191500</v>
      </c>
      <c r="G541" s="4007" t="s">
        <v>4221</v>
      </c>
      <c r="H541" s="3997">
        <v>0</v>
      </c>
      <c r="J541" s="3939"/>
      <c r="N541" s="3998">
        <v>12191500</v>
      </c>
      <c r="O541" s="4008" t="s">
        <v>4221</v>
      </c>
      <c r="P541" s="4000">
        <v>0</v>
      </c>
      <c r="R541" s="3939"/>
      <c r="V541" s="3998">
        <v>12191500</v>
      </c>
      <c r="W541" s="4008" t="s">
        <v>4221</v>
      </c>
      <c r="X541" s="4000">
        <v>0</v>
      </c>
      <c r="Z541" s="3939"/>
      <c r="AD541" s="4003">
        <v>12191506</v>
      </c>
      <c r="AE541" s="4004" t="s">
        <v>4226</v>
      </c>
      <c r="AF541" s="3961">
        <v>0</v>
      </c>
    </row>
    <row r="542" spans="6:32">
      <c r="F542" s="4001">
        <v>12191501</v>
      </c>
      <c r="G542" s="4002" t="s">
        <v>4222</v>
      </c>
      <c r="H542" s="3958">
        <v>0</v>
      </c>
      <c r="J542" s="3939"/>
      <c r="N542" s="4003">
        <v>12191501</v>
      </c>
      <c r="O542" s="4004" t="s">
        <v>4222</v>
      </c>
      <c r="P542" s="3961">
        <v>0</v>
      </c>
      <c r="R542" s="3939"/>
      <c r="V542" s="4003">
        <v>12191501</v>
      </c>
      <c r="W542" s="4004" t="s">
        <v>4222</v>
      </c>
      <c r="X542" s="3961">
        <v>0</v>
      </c>
      <c r="Z542" s="3939"/>
      <c r="AD542" s="4003">
        <v>12191550</v>
      </c>
      <c r="AE542" s="4004" t="s">
        <v>3591</v>
      </c>
      <c r="AF542" s="3961">
        <v>0</v>
      </c>
    </row>
    <row r="543" spans="6:32">
      <c r="F543" s="4001">
        <v>12191502</v>
      </c>
      <c r="G543" s="4002" t="s">
        <v>4223</v>
      </c>
      <c r="H543" s="3958">
        <v>0</v>
      </c>
      <c r="J543" s="3939"/>
      <c r="N543" s="4003">
        <v>12191502</v>
      </c>
      <c r="O543" s="4004" t="s">
        <v>4223</v>
      </c>
      <c r="P543" s="3961">
        <v>0</v>
      </c>
      <c r="R543" s="3939"/>
      <c r="V543" s="4003">
        <v>12191502</v>
      </c>
      <c r="W543" s="4004" t="s">
        <v>4223</v>
      </c>
      <c r="X543" s="3961">
        <v>0</v>
      </c>
      <c r="Z543" s="3939"/>
      <c r="AD543" s="4003">
        <v>12191551</v>
      </c>
      <c r="AE543" s="4004" t="s">
        <v>4227</v>
      </c>
      <c r="AF543" s="3961">
        <v>0</v>
      </c>
    </row>
    <row r="544" spans="6:32">
      <c r="F544" s="4001">
        <v>12191503</v>
      </c>
      <c r="G544" s="4002" t="s">
        <v>4224</v>
      </c>
      <c r="H544" s="3958">
        <v>0</v>
      </c>
      <c r="J544" s="3939"/>
      <c r="N544" s="4003">
        <v>12191503</v>
      </c>
      <c r="O544" s="4004" t="s">
        <v>4224</v>
      </c>
      <c r="P544" s="3961">
        <v>0</v>
      </c>
      <c r="R544" s="3939"/>
      <c r="V544" s="4003">
        <v>12191503</v>
      </c>
      <c r="W544" s="4004" t="s">
        <v>4224</v>
      </c>
      <c r="X544" s="3961">
        <v>0</v>
      </c>
      <c r="Z544" s="3939"/>
      <c r="AD544" s="3998">
        <v>12191600</v>
      </c>
      <c r="AE544" s="4008" t="s">
        <v>4228</v>
      </c>
      <c r="AF544" s="4000">
        <v>0</v>
      </c>
    </row>
    <row r="545" spans="6:32">
      <c r="F545" s="4001">
        <v>12191504</v>
      </c>
      <c r="G545" s="4002" t="s">
        <v>4221</v>
      </c>
      <c r="H545" s="3958">
        <v>0</v>
      </c>
      <c r="J545" s="3939"/>
      <c r="N545" s="4003">
        <v>12191504</v>
      </c>
      <c r="O545" s="4004" t="s">
        <v>4221</v>
      </c>
      <c r="P545" s="3961">
        <v>0</v>
      </c>
      <c r="R545" s="3939"/>
      <c r="V545" s="4003">
        <v>12191504</v>
      </c>
      <c r="W545" s="4004" t="s">
        <v>4221</v>
      </c>
      <c r="X545" s="3961">
        <v>0</v>
      </c>
      <c r="Z545" s="3939"/>
      <c r="AD545" s="4003">
        <v>12191601</v>
      </c>
      <c r="AE545" s="4004" t="s">
        <v>4228</v>
      </c>
      <c r="AF545" s="3961">
        <v>0</v>
      </c>
    </row>
    <row r="546" spans="6:32">
      <c r="F546" s="4001">
        <v>12191505</v>
      </c>
      <c r="G546" s="4002" t="s">
        <v>5050</v>
      </c>
      <c r="H546" s="3958">
        <v>0</v>
      </c>
      <c r="J546" s="3939"/>
      <c r="N546" s="4003">
        <v>12191505</v>
      </c>
      <c r="O546" s="4004" t="s">
        <v>4225</v>
      </c>
      <c r="P546" s="3961">
        <v>0</v>
      </c>
      <c r="R546" s="3939"/>
      <c r="V546" s="4003">
        <v>12191505</v>
      </c>
      <c r="W546" s="4004" t="s">
        <v>4225</v>
      </c>
      <c r="X546" s="3961">
        <v>0</v>
      </c>
      <c r="Z546" s="3939"/>
      <c r="AD546" s="4003">
        <v>12191602</v>
      </c>
      <c r="AE546" s="4004" t="s">
        <v>4229</v>
      </c>
      <c r="AF546" s="3961">
        <v>0</v>
      </c>
    </row>
    <row r="547" spans="6:32">
      <c r="F547" s="4001">
        <v>12191506</v>
      </c>
      <c r="G547" s="4002" t="s">
        <v>5051</v>
      </c>
      <c r="H547" s="3958">
        <v>0</v>
      </c>
      <c r="J547" s="3939"/>
      <c r="N547" s="4003">
        <v>12191506</v>
      </c>
      <c r="O547" s="4004" t="s">
        <v>4226</v>
      </c>
      <c r="P547" s="3961">
        <v>0</v>
      </c>
      <c r="R547" s="3939"/>
      <c r="V547" s="4003">
        <v>12191506</v>
      </c>
      <c r="W547" s="4004" t="s">
        <v>4226</v>
      </c>
      <c r="X547" s="3961">
        <v>0</v>
      </c>
      <c r="Z547" s="3939"/>
      <c r="AD547" s="3992">
        <v>12200000</v>
      </c>
      <c r="AE547" s="4006" t="s">
        <v>3922</v>
      </c>
      <c r="AF547" s="3994">
        <v>0</v>
      </c>
    </row>
    <row r="548" spans="6:32">
      <c r="F548" s="4001">
        <v>12191550</v>
      </c>
      <c r="G548" s="4002" t="s">
        <v>3591</v>
      </c>
      <c r="H548" s="3958">
        <v>0</v>
      </c>
      <c r="J548" s="3939"/>
      <c r="N548" s="4003">
        <v>12191550</v>
      </c>
      <c r="O548" s="4004" t="s">
        <v>3591</v>
      </c>
      <c r="P548" s="3961">
        <v>0</v>
      </c>
      <c r="R548" s="3939"/>
      <c r="V548" s="4003">
        <v>12191550</v>
      </c>
      <c r="W548" s="4004" t="s">
        <v>3591</v>
      </c>
      <c r="X548" s="3961">
        <v>0</v>
      </c>
      <c r="Z548" s="3939"/>
      <c r="AD548" s="3998">
        <v>12201000</v>
      </c>
      <c r="AE548" s="4008" t="s">
        <v>3922</v>
      </c>
      <c r="AF548" s="4000">
        <v>0</v>
      </c>
    </row>
    <row r="549" spans="6:32">
      <c r="F549" s="4001">
        <v>12191551</v>
      </c>
      <c r="G549" s="4002" t="s">
        <v>4227</v>
      </c>
      <c r="H549" s="3958">
        <v>0</v>
      </c>
      <c r="J549" s="3939"/>
      <c r="N549" s="4003">
        <v>12191551</v>
      </c>
      <c r="O549" s="4004" t="s">
        <v>4227</v>
      </c>
      <c r="P549" s="3961">
        <v>0</v>
      </c>
      <c r="R549" s="3939"/>
      <c r="V549" s="4003">
        <v>12191551</v>
      </c>
      <c r="W549" s="4004" t="s">
        <v>4227</v>
      </c>
      <c r="X549" s="3961">
        <v>0</v>
      </c>
      <c r="Z549" s="3939"/>
      <c r="AD549" s="4003">
        <v>12201001</v>
      </c>
      <c r="AE549" s="4004" t="s">
        <v>3922</v>
      </c>
      <c r="AF549" s="3961">
        <v>0</v>
      </c>
    </row>
    <row r="550" spans="6:32">
      <c r="F550" s="3995">
        <v>12191600</v>
      </c>
      <c r="G550" s="4007" t="s">
        <v>4228</v>
      </c>
      <c r="H550" s="3997">
        <v>0</v>
      </c>
      <c r="J550" s="3939"/>
      <c r="N550" s="3998">
        <v>12191600</v>
      </c>
      <c r="O550" s="4008" t="s">
        <v>4228</v>
      </c>
      <c r="P550" s="4000">
        <v>0</v>
      </c>
      <c r="R550" s="3939"/>
      <c r="V550" s="3998">
        <v>12191600</v>
      </c>
      <c r="W550" s="4008" t="s">
        <v>4228</v>
      </c>
      <c r="X550" s="4000">
        <v>0</v>
      </c>
      <c r="Z550" s="3939"/>
      <c r="AD550" s="3992">
        <v>12210000</v>
      </c>
      <c r="AE550" s="4006" t="s">
        <v>4246</v>
      </c>
      <c r="AF550" s="3994">
        <v>0</v>
      </c>
    </row>
    <row r="551" spans="6:32">
      <c r="F551" s="4001">
        <v>12191601</v>
      </c>
      <c r="G551" s="4002" t="s">
        <v>4228</v>
      </c>
      <c r="H551" s="3958">
        <v>0</v>
      </c>
      <c r="J551" s="3939"/>
      <c r="N551" s="4003">
        <v>12191601</v>
      </c>
      <c r="O551" s="4004" t="s">
        <v>4228</v>
      </c>
      <c r="P551" s="3961">
        <v>0</v>
      </c>
      <c r="R551" s="3939"/>
      <c r="V551" s="4003">
        <v>12191601</v>
      </c>
      <c r="W551" s="4004" t="s">
        <v>4228</v>
      </c>
      <c r="X551" s="3961">
        <v>0</v>
      </c>
      <c r="Z551" s="3939"/>
      <c r="AD551" s="3998">
        <v>12211000</v>
      </c>
      <c r="AE551" s="4008" t="s">
        <v>4247</v>
      </c>
      <c r="AF551" s="4000">
        <v>0</v>
      </c>
    </row>
    <row r="552" spans="6:32">
      <c r="F552" s="4001">
        <v>12191602</v>
      </c>
      <c r="G552" s="4002" t="s">
        <v>4229</v>
      </c>
      <c r="H552" s="3958">
        <v>0</v>
      </c>
      <c r="J552" s="3939"/>
      <c r="N552" s="4003">
        <v>12191602</v>
      </c>
      <c r="O552" s="4004" t="s">
        <v>4229</v>
      </c>
      <c r="P552" s="3961">
        <v>0</v>
      </c>
      <c r="R552" s="3939"/>
      <c r="V552" s="4003">
        <v>12191602</v>
      </c>
      <c r="W552" s="4004" t="s">
        <v>4229</v>
      </c>
      <c r="X552" s="3961">
        <v>0</v>
      </c>
      <c r="Z552" s="3939"/>
      <c r="AD552" s="4003">
        <v>12211001</v>
      </c>
      <c r="AE552" s="4004" t="s">
        <v>4247</v>
      </c>
      <c r="AF552" s="3961">
        <v>0</v>
      </c>
    </row>
    <row r="553" spans="6:32">
      <c r="F553" s="3989">
        <v>12160000</v>
      </c>
      <c r="G553" s="4005" t="s">
        <v>1545</v>
      </c>
      <c r="H553" s="3991">
        <v>181743010</v>
      </c>
      <c r="J553" s="3939"/>
      <c r="N553" s="3992">
        <v>12160000</v>
      </c>
      <c r="O553" s="4006" t="s">
        <v>1545</v>
      </c>
      <c r="P553" s="3994">
        <v>104634084</v>
      </c>
      <c r="R553" s="3939"/>
      <c r="V553" s="3992">
        <v>12160000</v>
      </c>
      <c r="W553" s="4006" t="s">
        <v>1545</v>
      </c>
      <c r="X553" s="3994">
        <v>90505769</v>
      </c>
      <c r="Z553" s="3939"/>
      <c r="AD553" s="4003">
        <v>12211002</v>
      </c>
      <c r="AE553" s="4004" t="s">
        <v>4248</v>
      </c>
      <c r="AF553" s="3961">
        <v>0</v>
      </c>
    </row>
    <row r="554" spans="6:32">
      <c r="F554" s="3995">
        <v>12161000</v>
      </c>
      <c r="G554" s="4007" t="s">
        <v>4230</v>
      </c>
      <c r="H554" s="3997">
        <v>0</v>
      </c>
      <c r="J554" s="3939"/>
      <c r="N554" s="3998">
        <v>12161000</v>
      </c>
      <c r="O554" s="4008" t="s">
        <v>4230</v>
      </c>
      <c r="P554" s="4000">
        <v>0</v>
      </c>
      <c r="R554" s="3939"/>
      <c r="V554" s="3998">
        <v>12161000</v>
      </c>
      <c r="W554" s="4008" t="s">
        <v>4230</v>
      </c>
      <c r="X554" s="4000">
        <v>0</v>
      </c>
      <c r="Z554" s="3939"/>
      <c r="AD554" s="4003">
        <v>12211003</v>
      </c>
      <c r="AE554" s="4004" t="s">
        <v>4249</v>
      </c>
      <c r="AF554" s="3961">
        <v>0</v>
      </c>
    </row>
    <row r="555" spans="6:32">
      <c r="F555" s="4001">
        <v>12161001</v>
      </c>
      <c r="G555" s="4002" t="s">
        <v>4230</v>
      </c>
      <c r="H555" s="3958">
        <v>0</v>
      </c>
      <c r="J555" s="3939"/>
      <c r="N555" s="4003">
        <v>12161001</v>
      </c>
      <c r="O555" s="4004" t="s">
        <v>4230</v>
      </c>
      <c r="P555" s="3961">
        <v>0</v>
      </c>
      <c r="R555" s="3939"/>
      <c r="V555" s="4003">
        <v>12161001</v>
      </c>
      <c r="W555" s="4004" t="s">
        <v>4230</v>
      </c>
      <c r="X555" s="3961">
        <v>0</v>
      </c>
      <c r="Z555" s="3939"/>
      <c r="AD555" s="3998">
        <v>12211100</v>
      </c>
      <c r="AE555" s="4008" t="s">
        <v>4250</v>
      </c>
      <c r="AF555" s="4000">
        <v>0</v>
      </c>
    </row>
    <row r="556" spans="6:32">
      <c r="F556" s="4001">
        <v>12161002</v>
      </c>
      <c r="G556" s="4002" t="s">
        <v>4231</v>
      </c>
      <c r="H556" s="3958">
        <v>0</v>
      </c>
      <c r="J556" s="3939"/>
      <c r="N556" s="4003">
        <v>12161002</v>
      </c>
      <c r="O556" s="4004" t="s">
        <v>4231</v>
      </c>
      <c r="P556" s="3961">
        <v>0</v>
      </c>
      <c r="R556" s="3939"/>
      <c r="V556" s="4003">
        <v>12161002</v>
      </c>
      <c r="W556" s="4004" t="s">
        <v>4231</v>
      </c>
      <c r="X556" s="3961">
        <v>0</v>
      </c>
      <c r="Z556" s="3939"/>
      <c r="AD556" s="4003">
        <v>12211101</v>
      </c>
      <c r="AE556" s="4004" t="s">
        <v>4250</v>
      </c>
      <c r="AF556" s="3961">
        <v>0</v>
      </c>
    </row>
    <row r="557" spans="6:32">
      <c r="F557" s="3995">
        <v>12161100</v>
      </c>
      <c r="G557" s="4007" t="s">
        <v>4232</v>
      </c>
      <c r="H557" s="3997">
        <v>21801930</v>
      </c>
      <c r="J557" s="3939"/>
      <c r="N557" s="3998">
        <v>12161100</v>
      </c>
      <c r="O557" s="4008" t="s">
        <v>4232</v>
      </c>
      <c r="P557" s="4000">
        <v>4315520</v>
      </c>
      <c r="R557" s="3939"/>
      <c r="V557" s="3998">
        <v>12161100</v>
      </c>
      <c r="W557" s="4008" t="s">
        <v>4232</v>
      </c>
      <c r="X557" s="4000">
        <v>5478560</v>
      </c>
      <c r="Z557" s="3939"/>
      <c r="AD557" s="3998">
        <v>12211200</v>
      </c>
      <c r="AE557" s="4008" t="s">
        <v>4251</v>
      </c>
      <c r="AF557" s="4000">
        <v>0</v>
      </c>
    </row>
    <row r="558" spans="6:32">
      <c r="F558" s="4001">
        <v>12161101</v>
      </c>
      <c r="G558" s="4002" t="s">
        <v>4232</v>
      </c>
      <c r="H558" s="3958">
        <v>21801930</v>
      </c>
      <c r="J558" s="3939"/>
      <c r="N558" s="4003">
        <v>12161101</v>
      </c>
      <c r="O558" s="4004" t="s">
        <v>4232</v>
      </c>
      <c r="P558" s="3961">
        <v>4315520</v>
      </c>
      <c r="R558" s="3939"/>
      <c r="V558" s="4003">
        <v>12161101</v>
      </c>
      <c r="W558" s="4004" t="s">
        <v>4232</v>
      </c>
      <c r="X558" s="3961">
        <v>5478560</v>
      </c>
      <c r="Z558" s="3939"/>
      <c r="AD558" s="4003">
        <v>12211201</v>
      </c>
      <c r="AE558" s="4004" t="s">
        <v>4251</v>
      </c>
      <c r="AF558" s="3961">
        <v>0</v>
      </c>
    </row>
    <row r="559" spans="6:32">
      <c r="F559" s="4001">
        <v>12161102</v>
      </c>
      <c r="G559" s="4002" t="s">
        <v>4233</v>
      </c>
      <c r="H559" s="3958">
        <v>0</v>
      </c>
      <c r="J559" s="3939"/>
      <c r="N559" s="4003">
        <v>12161102</v>
      </c>
      <c r="O559" s="4004" t="s">
        <v>4233</v>
      </c>
      <c r="P559" s="3961">
        <v>0</v>
      </c>
      <c r="R559" s="3939"/>
      <c r="V559" s="4003">
        <v>12161102</v>
      </c>
      <c r="W559" s="4004" t="s">
        <v>4233</v>
      </c>
      <c r="X559" s="3961">
        <v>0</v>
      </c>
      <c r="Z559" s="3939"/>
      <c r="AD559" s="3998">
        <v>12211300</v>
      </c>
      <c r="AE559" s="4008" t="s">
        <v>4252</v>
      </c>
      <c r="AF559" s="4000">
        <v>0</v>
      </c>
    </row>
    <row r="560" spans="6:32">
      <c r="F560" s="3995">
        <v>12161200</v>
      </c>
      <c r="G560" s="4007" t="s">
        <v>4234</v>
      </c>
      <c r="H560" s="3997">
        <v>0</v>
      </c>
      <c r="J560" s="3939"/>
      <c r="N560" s="3998">
        <v>12161200</v>
      </c>
      <c r="O560" s="4008" t="s">
        <v>4234</v>
      </c>
      <c r="P560" s="4000">
        <v>0</v>
      </c>
      <c r="R560" s="3939"/>
      <c r="V560" s="3998">
        <v>12161200</v>
      </c>
      <c r="W560" s="4008" t="s">
        <v>4234</v>
      </c>
      <c r="X560" s="4000">
        <v>0</v>
      </c>
      <c r="Z560" s="3939"/>
      <c r="AD560" s="4003">
        <v>12211301</v>
      </c>
      <c r="AE560" s="4004" t="s">
        <v>4252</v>
      </c>
      <c r="AF560" s="3961">
        <v>0</v>
      </c>
    </row>
    <row r="561" spans="6:32">
      <c r="F561" s="4001">
        <v>12161201</v>
      </c>
      <c r="G561" s="4002" t="s">
        <v>4234</v>
      </c>
      <c r="H561" s="3958">
        <v>0</v>
      </c>
      <c r="J561" s="3939"/>
      <c r="N561" s="4003">
        <v>12161201</v>
      </c>
      <c r="O561" s="4004" t="s">
        <v>4234</v>
      </c>
      <c r="P561" s="3961">
        <v>0</v>
      </c>
      <c r="R561" s="3939"/>
      <c r="V561" s="4003">
        <v>12161201</v>
      </c>
      <c r="W561" s="4004" t="s">
        <v>4234</v>
      </c>
      <c r="X561" s="3961">
        <v>0</v>
      </c>
      <c r="Z561" s="3939"/>
      <c r="AD561" s="3998">
        <v>12211400</v>
      </c>
      <c r="AE561" s="4008" t="s">
        <v>4253</v>
      </c>
      <c r="AF561" s="4000">
        <v>0</v>
      </c>
    </row>
    <row r="562" spans="6:32">
      <c r="F562" s="4001">
        <v>12161202</v>
      </c>
      <c r="G562" s="4002" t="s">
        <v>4235</v>
      </c>
      <c r="H562" s="3958">
        <v>0</v>
      </c>
      <c r="J562" s="3939"/>
      <c r="N562" s="4003">
        <v>12161202</v>
      </c>
      <c r="O562" s="4004" t="s">
        <v>4235</v>
      </c>
      <c r="P562" s="3961">
        <v>0</v>
      </c>
      <c r="R562" s="3939"/>
      <c r="V562" s="4003">
        <v>12161202</v>
      </c>
      <c r="W562" s="4004" t="s">
        <v>4235</v>
      </c>
      <c r="X562" s="3961">
        <v>0</v>
      </c>
      <c r="Z562" s="3939"/>
      <c r="AD562" s="4003">
        <v>12211401</v>
      </c>
      <c r="AE562" s="4004" t="s">
        <v>4253</v>
      </c>
      <c r="AF562" s="3961">
        <v>0</v>
      </c>
    </row>
    <row r="563" spans="6:32">
      <c r="F563" s="3995">
        <v>12161300</v>
      </c>
      <c r="G563" s="4007" t="s">
        <v>4236</v>
      </c>
      <c r="H563" s="3997">
        <v>0</v>
      </c>
      <c r="J563" s="3939"/>
      <c r="N563" s="3998">
        <v>12161300</v>
      </c>
      <c r="O563" s="4008" t="s">
        <v>4236</v>
      </c>
      <c r="P563" s="4000">
        <v>0</v>
      </c>
      <c r="R563" s="3939"/>
      <c r="V563" s="3998">
        <v>12161300</v>
      </c>
      <c r="W563" s="4008" t="s">
        <v>4236</v>
      </c>
      <c r="X563" s="4000">
        <v>0</v>
      </c>
      <c r="Z563" s="3939"/>
      <c r="AD563" s="4003">
        <v>12211402</v>
      </c>
      <c r="AE563" s="4004" t="s">
        <v>4254</v>
      </c>
      <c r="AF563" s="3961">
        <v>0</v>
      </c>
    </row>
    <row r="564" spans="6:32">
      <c r="F564" s="4001">
        <v>12161301</v>
      </c>
      <c r="G564" s="4002" t="s">
        <v>4236</v>
      </c>
      <c r="H564" s="3958">
        <v>0</v>
      </c>
      <c r="J564" s="3939"/>
      <c r="N564" s="4003">
        <v>12161301</v>
      </c>
      <c r="O564" s="4004" t="s">
        <v>4236</v>
      </c>
      <c r="P564" s="3961">
        <v>0</v>
      </c>
      <c r="R564" s="3939"/>
      <c r="V564" s="4003">
        <v>12161301</v>
      </c>
      <c r="W564" s="4004" t="s">
        <v>4236</v>
      </c>
      <c r="X564" s="3961">
        <v>0</v>
      </c>
      <c r="Z564" s="3939"/>
      <c r="AD564" s="3998">
        <v>12211500</v>
      </c>
      <c r="AE564" s="4008" t="s">
        <v>4255</v>
      </c>
      <c r="AF564" s="4000">
        <v>0</v>
      </c>
    </row>
    <row r="565" spans="6:32">
      <c r="F565" s="4001">
        <v>12161302</v>
      </c>
      <c r="G565" s="4002" t="s">
        <v>4237</v>
      </c>
      <c r="H565" s="3958">
        <v>0</v>
      </c>
      <c r="J565" s="3939"/>
      <c r="N565" s="4003">
        <v>12161302</v>
      </c>
      <c r="O565" s="4004" t="s">
        <v>4237</v>
      </c>
      <c r="P565" s="3961">
        <v>0</v>
      </c>
      <c r="R565" s="3939"/>
      <c r="V565" s="4003">
        <v>12161302</v>
      </c>
      <c r="W565" s="4004" t="s">
        <v>4237</v>
      </c>
      <c r="X565" s="3961">
        <v>0</v>
      </c>
      <c r="Z565" s="3939"/>
      <c r="AD565" s="4003">
        <v>12211501</v>
      </c>
      <c r="AE565" s="4004" t="s">
        <v>4255</v>
      </c>
      <c r="AF565" s="3961">
        <v>0</v>
      </c>
    </row>
    <row r="566" spans="6:32">
      <c r="F566" s="3995">
        <v>12161400</v>
      </c>
      <c r="G566" s="4007" t="s">
        <v>4238</v>
      </c>
      <c r="H566" s="3997">
        <v>159941080</v>
      </c>
      <c r="J566" s="3939"/>
      <c r="N566" s="3998">
        <v>12161400</v>
      </c>
      <c r="O566" s="4008" t="s">
        <v>4238</v>
      </c>
      <c r="P566" s="4000">
        <v>100318564</v>
      </c>
      <c r="R566" s="3939"/>
      <c r="V566" s="3998">
        <v>12161400</v>
      </c>
      <c r="W566" s="4008" t="s">
        <v>4238</v>
      </c>
      <c r="X566" s="4000">
        <v>85027209</v>
      </c>
      <c r="Z566" s="3939"/>
      <c r="AD566" s="3998">
        <v>12211600</v>
      </c>
      <c r="AE566" s="4008" t="s">
        <v>4256</v>
      </c>
      <c r="AF566" s="4000">
        <v>0</v>
      </c>
    </row>
    <row r="567" spans="6:32">
      <c r="F567" s="4001">
        <v>12161401</v>
      </c>
      <c r="G567" s="4002" t="s">
        <v>4238</v>
      </c>
      <c r="H567" s="3958">
        <v>159941080</v>
      </c>
      <c r="J567" s="3939"/>
      <c r="N567" s="4003">
        <v>12161401</v>
      </c>
      <c r="O567" s="4004" t="s">
        <v>4238</v>
      </c>
      <c r="P567" s="3961">
        <v>100318564</v>
      </c>
      <c r="R567" s="3939"/>
      <c r="V567" s="4003">
        <v>12161401</v>
      </c>
      <c r="W567" s="4004" t="s">
        <v>4238</v>
      </c>
      <c r="X567" s="3961">
        <v>85027209</v>
      </c>
      <c r="Z567" s="3939"/>
      <c r="AD567" s="4003">
        <v>12211601</v>
      </c>
      <c r="AE567" s="4004" t="s">
        <v>4256</v>
      </c>
      <c r="AF567" s="3961">
        <v>0</v>
      </c>
    </row>
    <row r="568" spans="6:32">
      <c r="F568" s="4001">
        <v>12161402</v>
      </c>
      <c r="G568" s="4002" t="s">
        <v>4239</v>
      </c>
      <c r="H568" s="3958">
        <v>0</v>
      </c>
      <c r="J568" s="3939"/>
      <c r="N568" s="4003">
        <v>12161402</v>
      </c>
      <c r="O568" s="4004" t="s">
        <v>4239</v>
      </c>
      <c r="P568" s="3961">
        <v>0</v>
      </c>
      <c r="R568" s="3939"/>
      <c r="V568" s="4003">
        <v>12161402</v>
      </c>
      <c r="W568" s="4004" t="s">
        <v>4239</v>
      </c>
      <c r="X568" s="3961">
        <v>0</v>
      </c>
      <c r="Z568" s="3939"/>
      <c r="AD568" s="4003">
        <v>12211602</v>
      </c>
      <c r="AE568" s="4004" t="s">
        <v>4257</v>
      </c>
      <c r="AF568" s="3961">
        <v>0</v>
      </c>
    </row>
    <row r="569" spans="6:32">
      <c r="F569" s="3995">
        <v>12161500</v>
      </c>
      <c r="G569" s="4007" t="s">
        <v>4240</v>
      </c>
      <c r="H569" s="3997">
        <v>0</v>
      </c>
      <c r="J569" s="3939"/>
      <c r="N569" s="3998">
        <v>12161500</v>
      </c>
      <c r="O569" s="4008" t="s">
        <v>4240</v>
      </c>
      <c r="P569" s="4000">
        <v>0</v>
      </c>
      <c r="R569" s="3939"/>
      <c r="V569" s="3998">
        <v>12161500</v>
      </c>
      <c r="W569" s="4008" t="s">
        <v>4240</v>
      </c>
      <c r="X569" s="4000">
        <v>0</v>
      </c>
      <c r="Z569" s="3939"/>
      <c r="AD569" s="3992">
        <v>12211700</v>
      </c>
      <c r="AE569" s="4006" t="s">
        <v>4258</v>
      </c>
      <c r="AF569" s="3994">
        <v>0</v>
      </c>
    </row>
    <row r="570" spans="6:32">
      <c r="F570" s="4001">
        <v>12161501</v>
      </c>
      <c r="G570" s="4002" t="s">
        <v>4240</v>
      </c>
      <c r="H570" s="3958">
        <v>0</v>
      </c>
      <c r="J570" s="3939"/>
      <c r="N570" s="4003">
        <v>12161501</v>
      </c>
      <c r="O570" s="4004" t="s">
        <v>4240</v>
      </c>
      <c r="P570" s="3961">
        <v>0</v>
      </c>
      <c r="R570" s="3939"/>
      <c r="V570" s="4003">
        <v>12161501</v>
      </c>
      <c r="W570" s="4004" t="s">
        <v>4240</v>
      </c>
      <c r="X570" s="3961">
        <v>0</v>
      </c>
      <c r="Z570" s="3939"/>
      <c r="AD570" s="4003">
        <v>12211701</v>
      </c>
      <c r="AE570" s="4004" t="s">
        <v>4258</v>
      </c>
      <c r="AF570" s="3961">
        <v>0</v>
      </c>
    </row>
    <row r="571" spans="6:32">
      <c r="F571" s="4001">
        <v>12161502</v>
      </c>
      <c r="G571" s="4002" t="s">
        <v>4241</v>
      </c>
      <c r="H571" s="3958">
        <v>0</v>
      </c>
      <c r="J571" s="3939"/>
      <c r="N571" s="4003">
        <v>12161502</v>
      </c>
      <c r="O571" s="4004" t="s">
        <v>4241</v>
      </c>
      <c r="P571" s="3961">
        <v>0</v>
      </c>
      <c r="R571" s="3939"/>
      <c r="V571" s="4003">
        <v>12161502</v>
      </c>
      <c r="W571" s="4004" t="s">
        <v>4241</v>
      </c>
      <c r="X571" s="3961">
        <v>0</v>
      </c>
      <c r="Z571" s="3939"/>
      <c r="AD571" s="3992">
        <v>12990000</v>
      </c>
      <c r="AE571" s="4006" t="s">
        <v>4259</v>
      </c>
      <c r="AF571" s="3994">
        <v>0</v>
      </c>
    </row>
    <row r="572" spans="6:32">
      <c r="F572" s="3995">
        <v>12161600</v>
      </c>
      <c r="G572" s="4007" t="s">
        <v>4242</v>
      </c>
      <c r="H572" s="3997">
        <v>0</v>
      </c>
      <c r="J572" s="3939"/>
      <c r="N572" s="3998">
        <v>12161600</v>
      </c>
      <c r="O572" s="4008" t="s">
        <v>4242</v>
      </c>
      <c r="P572" s="4000">
        <v>0</v>
      </c>
      <c r="R572" s="3939"/>
      <c r="V572" s="3998">
        <v>12161600</v>
      </c>
      <c r="W572" s="4008" t="s">
        <v>4242</v>
      </c>
      <c r="X572" s="4000">
        <v>0</v>
      </c>
      <c r="Z572" s="3939"/>
      <c r="AD572" s="3998">
        <v>12991000</v>
      </c>
      <c r="AE572" s="4008" t="s">
        <v>4260</v>
      </c>
      <c r="AF572" s="4000">
        <v>0</v>
      </c>
    </row>
    <row r="573" spans="6:32">
      <c r="F573" s="4001">
        <v>12161601</v>
      </c>
      <c r="G573" s="4002" t="s">
        <v>4242</v>
      </c>
      <c r="H573" s="3958">
        <v>0</v>
      </c>
      <c r="J573" s="3939"/>
      <c r="N573" s="4003">
        <v>12161601</v>
      </c>
      <c r="O573" s="4004" t="s">
        <v>4242</v>
      </c>
      <c r="P573" s="3961">
        <v>0</v>
      </c>
      <c r="R573" s="3939"/>
      <c r="V573" s="4003">
        <v>12161601</v>
      </c>
      <c r="W573" s="4004" t="s">
        <v>4242</v>
      </c>
      <c r="X573" s="3961">
        <v>0</v>
      </c>
      <c r="Z573" s="3939"/>
      <c r="AD573" s="4003">
        <v>12991001</v>
      </c>
      <c r="AE573" s="4004" t="s">
        <v>4261</v>
      </c>
      <c r="AF573" s="3961">
        <v>0</v>
      </c>
    </row>
    <row r="574" spans="6:32">
      <c r="F574" s="4001">
        <v>12161602</v>
      </c>
      <c r="G574" s="4002" t="s">
        <v>4243</v>
      </c>
      <c r="H574" s="3958">
        <v>0</v>
      </c>
      <c r="J574" s="3939"/>
      <c r="N574" s="4003">
        <v>12161602</v>
      </c>
      <c r="O574" s="4004" t="s">
        <v>4243</v>
      </c>
      <c r="P574" s="3961">
        <v>0</v>
      </c>
      <c r="R574" s="3939"/>
      <c r="V574" s="4003">
        <v>12161602</v>
      </c>
      <c r="W574" s="4004" t="s">
        <v>4243</v>
      </c>
      <c r="X574" s="3961">
        <v>0</v>
      </c>
      <c r="Z574" s="3939"/>
      <c r="AD574" s="3998">
        <v>12991100</v>
      </c>
      <c r="AE574" s="4008" t="s">
        <v>4262</v>
      </c>
      <c r="AF574" s="4000">
        <v>0</v>
      </c>
    </row>
    <row r="575" spans="6:32">
      <c r="F575" s="3995">
        <v>12161900</v>
      </c>
      <c r="G575" s="4007" t="s">
        <v>4244</v>
      </c>
      <c r="H575" s="3997">
        <v>0</v>
      </c>
      <c r="J575" s="3939"/>
      <c r="N575" s="3998">
        <v>12161900</v>
      </c>
      <c r="O575" s="4008" t="s">
        <v>4244</v>
      </c>
      <c r="P575" s="4000">
        <v>0</v>
      </c>
      <c r="R575" s="3939"/>
      <c r="V575" s="3998">
        <v>12161900</v>
      </c>
      <c r="W575" s="4008" t="s">
        <v>4244</v>
      </c>
      <c r="X575" s="4000">
        <v>0</v>
      </c>
      <c r="Z575" s="3939"/>
      <c r="AD575" s="4003">
        <v>12991101</v>
      </c>
      <c r="AE575" s="4004" t="s">
        <v>4263</v>
      </c>
      <c r="AF575" s="3961">
        <v>0</v>
      </c>
    </row>
    <row r="576" spans="6:32">
      <c r="F576" s="4001">
        <v>12161901</v>
      </c>
      <c r="G576" s="4002" t="s">
        <v>4244</v>
      </c>
      <c r="H576" s="3958">
        <v>0</v>
      </c>
      <c r="J576" s="3939"/>
      <c r="N576" s="4003">
        <v>12161901</v>
      </c>
      <c r="O576" s="4004" t="s">
        <v>4244</v>
      </c>
      <c r="P576" s="3961">
        <v>0</v>
      </c>
      <c r="R576" s="3939"/>
      <c r="V576" s="4003">
        <v>12161901</v>
      </c>
      <c r="W576" s="4004" t="s">
        <v>4244</v>
      </c>
      <c r="X576" s="3961">
        <v>0</v>
      </c>
      <c r="Z576" s="3939"/>
      <c r="AD576" s="4003">
        <v>12991102</v>
      </c>
      <c r="AE576" s="4004" t="s">
        <v>4264</v>
      </c>
      <c r="AF576" s="3961">
        <v>0</v>
      </c>
    </row>
    <row r="577" spans="6:32">
      <c r="F577" s="4001">
        <v>12161902</v>
      </c>
      <c r="G577" s="4002" t="s">
        <v>4245</v>
      </c>
      <c r="H577" s="3958">
        <v>0</v>
      </c>
      <c r="J577" s="3939"/>
      <c r="N577" s="4003">
        <v>12161902</v>
      </c>
      <c r="O577" s="4004" t="s">
        <v>4245</v>
      </c>
      <c r="P577" s="3961">
        <v>0</v>
      </c>
      <c r="R577" s="3939"/>
      <c r="V577" s="4003">
        <v>12161902</v>
      </c>
      <c r="W577" s="4004" t="s">
        <v>4245</v>
      </c>
      <c r="X577" s="3961">
        <v>0</v>
      </c>
      <c r="Z577" s="3939"/>
      <c r="AD577" s="4003">
        <v>12991103</v>
      </c>
      <c r="AE577" s="4004" t="s">
        <v>4265</v>
      </c>
      <c r="AF577" s="3961">
        <v>0</v>
      </c>
    </row>
    <row r="578" spans="6:32">
      <c r="F578" s="3989">
        <v>12200000</v>
      </c>
      <c r="G578" s="4005" t="s">
        <v>3922</v>
      </c>
      <c r="H578" s="3991">
        <v>0</v>
      </c>
      <c r="J578" s="3939"/>
      <c r="N578" s="3992">
        <v>12200000</v>
      </c>
      <c r="O578" s="4006" t="s">
        <v>3922</v>
      </c>
      <c r="P578" s="3994">
        <v>0</v>
      </c>
      <c r="R578" s="3939"/>
      <c r="V578" s="3992">
        <v>12200000</v>
      </c>
      <c r="W578" s="4006" t="s">
        <v>3922</v>
      </c>
      <c r="X578" s="3994">
        <v>0</v>
      </c>
      <c r="Z578" s="3939"/>
      <c r="AD578" s="4003">
        <v>12991104</v>
      </c>
      <c r="AE578" s="4004" t="s">
        <v>4266</v>
      </c>
      <c r="AF578" s="3961">
        <v>0</v>
      </c>
    </row>
    <row r="579" spans="6:32">
      <c r="F579" s="3995">
        <v>12201000</v>
      </c>
      <c r="G579" s="4007" t="s">
        <v>3922</v>
      </c>
      <c r="H579" s="3997">
        <v>0</v>
      </c>
      <c r="J579" s="3939"/>
      <c r="N579" s="3998">
        <v>12201000</v>
      </c>
      <c r="O579" s="4008" t="s">
        <v>3922</v>
      </c>
      <c r="P579" s="4000">
        <v>0</v>
      </c>
      <c r="R579" s="3939"/>
      <c r="V579" s="3998">
        <v>12201000</v>
      </c>
      <c r="W579" s="4008" t="s">
        <v>3922</v>
      </c>
      <c r="X579" s="4000">
        <v>0</v>
      </c>
      <c r="Z579" s="3939"/>
      <c r="AD579" s="3980">
        <v>20000000</v>
      </c>
      <c r="AE579" s="3981" t="s">
        <v>102</v>
      </c>
      <c r="AF579" s="3982">
        <v>18908502556</v>
      </c>
    </row>
    <row r="580" spans="6:32">
      <c r="F580" s="4001">
        <v>12201001</v>
      </c>
      <c r="G580" s="4002" t="s">
        <v>3922</v>
      </c>
      <c r="H580" s="3958">
        <v>0</v>
      </c>
      <c r="J580" s="3939"/>
      <c r="N580" s="4003">
        <v>12201001</v>
      </c>
      <c r="O580" s="4004" t="s">
        <v>3922</v>
      </c>
      <c r="P580" s="3961">
        <v>0</v>
      </c>
      <c r="R580" s="3939"/>
      <c r="V580" s="4003">
        <v>12201001</v>
      </c>
      <c r="W580" s="4004" t="s">
        <v>3922</v>
      </c>
      <c r="X580" s="3961">
        <v>0</v>
      </c>
      <c r="Z580" s="3939"/>
      <c r="AD580" s="3986">
        <v>21000000</v>
      </c>
      <c r="AE580" s="3987" t="s">
        <v>4267</v>
      </c>
      <c r="AF580" s="3988">
        <v>17250434591</v>
      </c>
    </row>
    <row r="581" spans="6:32">
      <c r="F581" s="3989">
        <v>12210000</v>
      </c>
      <c r="G581" s="4005" t="s">
        <v>4246</v>
      </c>
      <c r="H581" s="3991">
        <v>0</v>
      </c>
      <c r="J581" s="3939"/>
      <c r="N581" s="3992">
        <v>12210000</v>
      </c>
      <c r="O581" s="4006" t="s">
        <v>4246</v>
      </c>
      <c r="P581" s="3994">
        <v>0</v>
      </c>
      <c r="R581" s="3939"/>
      <c r="V581" s="3992">
        <v>12210000</v>
      </c>
      <c r="W581" s="4006" t="s">
        <v>4246</v>
      </c>
      <c r="X581" s="3994">
        <v>0</v>
      </c>
      <c r="Z581" s="3939"/>
      <c r="AD581" s="3992">
        <v>21100000</v>
      </c>
      <c r="AE581" s="4006" t="s">
        <v>4268</v>
      </c>
      <c r="AF581" s="3994">
        <v>3625636512</v>
      </c>
    </row>
    <row r="582" spans="6:32">
      <c r="F582" s="3995">
        <v>12211000</v>
      </c>
      <c r="G582" s="4007" t="s">
        <v>4247</v>
      </c>
      <c r="H582" s="3997">
        <v>0</v>
      </c>
      <c r="J582" s="3939"/>
      <c r="N582" s="3998">
        <v>12211000</v>
      </c>
      <c r="O582" s="4008" t="s">
        <v>4247</v>
      </c>
      <c r="P582" s="4000">
        <v>0</v>
      </c>
      <c r="R582" s="3939"/>
      <c r="V582" s="3998">
        <v>12211000</v>
      </c>
      <c r="W582" s="4008" t="s">
        <v>4247</v>
      </c>
      <c r="X582" s="4000">
        <v>0</v>
      </c>
      <c r="Z582" s="3939"/>
      <c r="AD582" s="3998">
        <v>21101000</v>
      </c>
      <c r="AE582" s="4008" t="s">
        <v>4269</v>
      </c>
      <c r="AF582" s="4000">
        <v>2460511748</v>
      </c>
    </row>
    <row r="583" spans="6:32">
      <c r="F583" s="4001">
        <v>12211001</v>
      </c>
      <c r="G583" s="4002" t="s">
        <v>4247</v>
      </c>
      <c r="H583" s="3958">
        <v>0</v>
      </c>
      <c r="J583" s="3939"/>
      <c r="N583" s="4003">
        <v>12211001</v>
      </c>
      <c r="O583" s="4004" t="s">
        <v>4247</v>
      </c>
      <c r="P583" s="3961">
        <v>0</v>
      </c>
      <c r="R583" s="3939"/>
      <c r="V583" s="4003">
        <v>12211001</v>
      </c>
      <c r="W583" s="4004" t="s">
        <v>4247</v>
      </c>
      <c r="X583" s="3961">
        <v>0</v>
      </c>
      <c r="Z583" s="3939"/>
      <c r="AD583" s="4003">
        <v>21101001</v>
      </c>
      <c r="AE583" s="4004" t="s">
        <v>3974</v>
      </c>
      <c r="AF583" s="3961">
        <v>716638348</v>
      </c>
    </row>
    <row r="584" spans="6:32">
      <c r="F584" s="4001">
        <v>12211002</v>
      </c>
      <c r="G584" s="4002" t="s">
        <v>5052</v>
      </c>
      <c r="H584" s="3958">
        <v>0</v>
      </c>
      <c r="J584" s="3939"/>
      <c r="N584" s="4003">
        <v>12211002</v>
      </c>
      <c r="O584" s="4004" t="s">
        <v>4248</v>
      </c>
      <c r="P584" s="3961">
        <v>0</v>
      </c>
      <c r="R584" s="3939"/>
      <c r="V584" s="4003">
        <v>12211002</v>
      </c>
      <c r="W584" s="4004" t="s">
        <v>4248</v>
      </c>
      <c r="X584" s="3961">
        <v>0</v>
      </c>
      <c r="Z584" s="3939"/>
      <c r="AD584" s="4003">
        <v>21101002</v>
      </c>
      <c r="AE584" s="4004" t="s">
        <v>4270</v>
      </c>
      <c r="AF584" s="3961">
        <v>1743873400</v>
      </c>
    </row>
    <row r="585" spans="6:32">
      <c r="F585" s="4001">
        <v>12211003</v>
      </c>
      <c r="G585" s="4002" t="s">
        <v>4249</v>
      </c>
      <c r="H585" s="3958">
        <v>0</v>
      </c>
      <c r="J585" s="3939"/>
      <c r="N585" s="4003">
        <v>12211003</v>
      </c>
      <c r="O585" s="4004" t="s">
        <v>4249</v>
      </c>
      <c r="P585" s="3961">
        <v>0</v>
      </c>
      <c r="R585" s="3939"/>
      <c r="V585" s="4003">
        <v>12211003</v>
      </c>
      <c r="W585" s="4004" t="s">
        <v>4249</v>
      </c>
      <c r="X585" s="3961">
        <v>0</v>
      </c>
      <c r="Z585" s="3939"/>
      <c r="AD585" s="4003">
        <v>21101003</v>
      </c>
      <c r="AE585" s="4004" t="s">
        <v>4271</v>
      </c>
      <c r="AF585" s="3961">
        <v>0</v>
      </c>
    </row>
    <row r="586" spans="6:32">
      <c r="F586" s="3995">
        <v>12211100</v>
      </c>
      <c r="G586" s="4007" t="s">
        <v>4250</v>
      </c>
      <c r="H586" s="3997">
        <v>0</v>
      </c>
      <c r="J586" s="3939"/>
      <c r="N586" s="3998">
        <v>12211100</v>
      </c>
      <c r="O586" s="4008" t="s">
        <v>4250</v>
      </c>
      <c r="P586" s="4000">
        <v>0</v>
      </c>
      <c r="R586" s="3939"/>
      <c r="V586" s="3998">
        <v>12211100</v>
      </c>
      <c r="W586" s="4008" t="s">
        <v>4250</v>
      </c>
      <c r="X586" s="4000">
        <v>0</v>
      </c>
      <c r="Z586" s="3939"/>
      <c r="AD586" s="4003">
        <v>21101004</v>
      </c>
      <c r="AE586" s="4004" t="s">
        <v>4272</v>
      </c>
      <c r="AF586" s="3961">
        <v>0</v>
      </c>
    </row>
    <row r="587" spans="6:32">
      <c r="F587" s="4001">
        <v>12211101</v>
      </c>
      <c r="G587" s="4002" t="s">
        <v>4250</v>
      </c>
      <c r="H587" s="3958">
        <v>0</v>
      </c>
      <c r="J587" s="3939"/>
      <c r="N587" s="4003">
        <v>12211101</v>
      </c>
      <c r="O587" s="4004" t="s">
        <v>4250</v>
      </c>
      <c r="P587" s="3961">
        <v>0</v>
      </c>
      <c r="R587" s="3939"/>
      <c r="V587" s="4003">
        <v>12211101</v>
      </c>
      <c r="W587" s="4004" t="s">
        <v>4250</v>
      </c>
      <c r="X587" s="3961">
        <v>0</v>
      </c>
      <c r="Z587" s="3939"/>
      <c r="AD587" s="3998">
        <v>21101100</v>
      </c>
      <c r="AE587" s="4008" t="s">
        <v>2171</v>
      </c>
      <c r="AF587" s="4000">
        <v>767220730</v>
      </c>
    </row>
    <row r="588" spans="6:32">
      <c r="F588" s="3995">
        <v>12211200</v>
      </c>
      <c r="G588" s="4007" t="s">
        <v>4251</v>
      </c>
      <c r="H588" s="3997">
        <v>0</v>
      </c>
      <c r="J588" s="3939"/>
      <c r="N588" s="3998">
        <v>12211200</v>
      </c>
      <c r="O588" s="4008" t="s">
        <v>4251</v>
      </c>
      <c r="P588" s="4000">
        <v>0</v>
      </c>
      <c r="R588" s="3939"/>
      <c r="V588" s="3998">
        <v>12211200</v>
      </c>
      <c r="W588" s="4008" t="s">
        <v>4251</v>
      </c>
      <c r="X588" s="4000">
        <v>0</v>
      </c>
      <c r="Z588" s="3939"/>
      <c r="AD588" s="4003">
        <v>21101101</v>
      </c>
      <c r="AE588" s="4004" t="s">
        <v>2171</v>
      </c>
      <c r="AF588" s="3961">
        <v>767220730</v>
      </c>
    </row>
    <row r="589" spans="6:32">
      <c r="F589" s="4001">
        <v>12211201</v>
      </c>
      <c r="G589" s="4002" t="s">
        <v>4251</v>
      </c>
      <c r="H589" s="3958">
        <v>0</v>
      </c>
      <c r="J589" s="3939"/>
      <c r="N589" s="4003">
        <v>12211201</v>
      </c>
      <c r="O589" s="4004" t="s">
        <v>4251</v>
      </c>
      <c r="P589" s="3961">
        <v>0</v>
      </c>
      <c r="R589" s="3939"/>
      <c r="V589" s="4003">
        <v>12211201</v>
      </c>
      <c r="W589" s="4004" t="s">
        <v>4251</v>
      </c>
      <c r="X589" s="3961">
        <v>0</v>
      </c>
      <c r="Z589" s="3939"/>
      <c r="AD589" s="3998">
        <v>21101200</v>
      </c>
      <c r="AE589" s="4008" t="s">
        <v>4273</v>
      </c>
      <c r="AF589" s="4000">
        <v>397904034</v>
      </c>
    </row>
    <row r="590" spans="6:32">
      <c r="F590" s="3995">
        <v>12211300</v>
      </c>
      <c r="G590" s="4007" t="s">
        <v>4252</v>
      </c>
      <c r="H590" s="3997">
        <v>0</v>
      </c>
      <c r="J590" s="3939"/>
      <c r="N590" s="3998">
        <v>12211300</v>
      </c>
      <c r="O590" s="4008" t="s">
        <v>4252</v>
      </c>
      <c r="P590" s="4000">
        <v>0</v>
      </c>
      <c r="R590" s="3939"/>
      <c r="V590" s="3998">
        <v>12211300</v>
      </c>
      <c r="W590" s="4008" t="s">
        <v>4252</v>
      </c>
      <c r="X590" s="4000">
        <v>0</v>
      </c>
      <c r="Z590" s="3939"/>
      <c r="AD590" s="4003">
        <v>21101201</v>
      </c>
      <c r="AE590" s="4004" t="s">
        <v>4273</v>
      </c>
      <c r="AF590" s="3961">
        <v>397904034</v>
      </c>
    </row>
    <row r="591" spans="6:32">
      <c r="F591" s="4001">
        <v>12211301</v>
      </c>
      <c r="G591" s="4002" t="s">
        <v>4252</v>
      </c>
      <c r="H591" s="3958">
        <v>0</v>
      </c>
      <c r="J591" s="3939"/>
      <c r="N591" s="4003">
        <v>12211301</v>
      </c>
      <c r="O591" s="4004" t="s">
        <v>4252</v>
      </c>
      <c r="P591" s="3961">
        <v>0</v>
      </c>
      <c r="R591" s="3939"/>
      <c r="V591" s="4003">
        <v>12211301</v>
      </c>
      <c r="W591" s="4004" t="s">
        <v>4252</v>
      </c>
      <c r="X591" s="3961">
        <v>0</v>
      </c>
      <c r="Z591" s="3939"/>
      <c r="AD591" s="3998">
        <v>21101300</v>
      </c>
      <c r="AE591" s="4008" t="s">
        <v>4274</v>
      </c>
      <c r="AF591" s="4000">
        <v>0</v>
      </c>
    </row>
    <row r="592" spans="6:32">
      <c r="F592" s="3995">
        <v>12211400</v>
      </c>
      <c r="G592" s="4007" t="s">
        <v>4253</v>
      </c>
      <c r="H592" s="3997">
        <v>0</v>
      </c>
      <c r="J592" s="3939"/>
      <c r="N592" s="3998">
        <v>12211400</v>
      </c>
      <c r="O592" s="4008" t="s">
        <v>4253</v>
      </c>
      <c r="P592" s="4000">
        <v>0</v>
      </c>
      <c r="R592" s="3939"/>
      <c r="V592" s="3998">
        <v>12211400</v>
      </c>
      <c r="W592" s="4008" t="s">
        <v>4253</v>
      </c>
      <c r="X592" s="4000">
        <v>0</v>
      </c>
      <c r="Z592" s="3939"/>
      <c r="AD592" s="4003">
        <v>21101301</v>
      </c>
      <c r="AE592" s="4004" t="s">
        <v>4274</v>
      </c>
      <c r="AF592" s="3961">
        <v>0</v>
      </c>
    </row>
    <row r="593" spans="6:32">
      <c r="F593" s="4001">
        <v>12211401</v>
      </c>
      <c r="G593" s="4002" t="s">
        <v>4253</v>
      </c>
      <c r="H593" s="3958">
        <v>0</v>
      </c>
      <c r="J593" s="3939"/>
      <c r="N593" s="4003">
        <v>12211401</v>
      </c>
      <c r="O593" s="4004" t="s">
        <v>4253</v>
      </c>
      <c r="P593" s="3961">
        <v>0</v>
      </c>
      <c r="R593" s="3939"/>
      <c r="V593" s="4003">
        <v>12211401</v>
      </c>
      <c r="W593" s="4004" t="s">
        <v>4253</v>
      </c>
      <c r="X593" s="3961">
        <v>0</v>
      </c>
      <c r="Z593" s="3939"/>
      <c r="AD593" s="3992">
        <v>21110000</v>
      </c>
      <c r="AE593" s="4006" t="s">
        <v>4275</v>
      </c>
      <c r="AF593" s="3994">
        <v>668472455</v>
      </c>
    </row>
    <row r="594" spans="6:32">
      <c r="F594" s="4001">
        <v>12211402</v>
      </c>
      <c r="G594" s="4002" t="s">
        <v>4254</v>
      </c>
      <c r="H594" s="3958">
        <v>0</v>
      </c>
      <c r="J594" s="3939"/>
      <c r="N594" s="4003">
        <v>12211402</v>
      </c>
      <c r="O594" s="4004" t="s">
        <v>4254</v>
      </c>
      <c r="P594" s="3961">
        <v>0</v>
      </c>
      <c r="R594" s="3939"/>
      <c r="V594" s="4003">
        <v>12211402</v>
      </c>
      <c r="W594" s="4004" t="s">
        <v>4254</v>
      </c>
      <c r="X594" s="3961">
        <v>0</v>
      </c>
      <c r="Z594" s="3939"/>
      <c r="AD594" s="3998">
        <v>21111000</v>
      </c>
      <c r="AE594" s="4008" t="s">
        <v>4276</v>
      </c>
      <c r="AF594" s="4000">
        <v>0</v>
      </c>
    </row>
    <row r="595" spans="6:32">
      <c r="F595" s="3995">
        <v>12211500</v>
      </c>
      <c r="G595" s="4007" t="s">
        <v>4255</v>
      </c>
      <c r="H595" s="3997">
        <v>0</v>
      </c>
      <c r="J595" s="3939"/>
      <c r="N595" s="3998">
        <v>12211500</v>
      </c>
      <c r="O595" s="4008" t="s">
        <v>4255</v>
      </c>
      <c r="P595" s="4000">
        <v>0</v>
      </c>
      <c r="R595" s="3939"/>
      <c r="V595" s="3998">
        <v>12211500</v>
      </c>
      <c r="W595" s="4008" t="s">
        <v>4255</v>
      </c>
      <c r="X595" s="4000">
        <v>0</v>
      </c>
      <c r="Z595" s="3939"/>
      <c r="AD595" s="4003">
        <v>21111001</v>
      </c>
      <c r="AE595" s="4004" t="s">
        <v>4276</v>
      </c>
      <c r="AF595" s="3961">
        <v>0</v>
      </c>
    </row>
    <row r="596" spans="6:32">
      <c r="F596" s="4001">
        <v>12211501</v>
      </c>
      <c r="G596" s="4002" t="s">
        <v>4255</v>
      </c>
      <c r="H596" s="3958">
        <v>0</v>
      </c>
      <c r="J596" s="3939"/>
      <c r="N596" s="4003">
        <v>12211501</v>
      </c>
      <c r="O596" s="4004" t="s">
        <v>4255</v>
      </c>
      <c r="P596" s="3961">
        <v>0</v>
      </c>
      <c r="R596" s="3939"/>
      <c r="V596" s="4003">
        <v>12211501</v>
      </c>
      <c r="W596" s="4004" t="s">
        <v>4255</v>
      </c>
      <c r="X596" s="3961">
        <v>0</v>
      </c>
      <c r="Z596" s="3939"/>
      <c r="AD596" s="3998">
        <v>21111100</v>
      </c>
      <c r="AE596" s="4008" t="s">
        <v>4277</v>
      </c>
      <c r="AF596" s="4000">
        <v>668472455</v>
      </c>
    </row>
    <row r="597" spans="6:32">
      <c r="F597" s="3995">
        <v>12211600</v>
      </c>
      <c r="G597" s="4007" t="s">
        <v>4256</v>
      </c>
      <c r="H597" s="3997">
        <v>0</v>
      </c>
      <c r="J597" s="3939"/>
      <c r="N597" s="3998">
        <v>12211600</v>
      </c>
      <c r="O597" s="4008" t="s">
        <v>4256</v>
      </c>
      <c r="P597" s="4000">
        <v>0</v>
      </c>
      <c r="R597" s="3939"/>
      <c r="V597" s="3998">
        <v>12211600</v>
      </c>
      <c r="W597" s="4008" t="s">
        <v>4256</v>
      </c>
      <c r="X597" s="4000">
        <v>0</v>
      </c>
      <c r="Z597" s="3939"/>
      <c r="AD597" s="4003">
        <v>21111101</v>
      </c>
      <c r="AE597" s="4004" t="s">
        <v>4278</v>
      </c>
      <c r="AF597" s="3961">
        <v>0</v>
      </c>
    </row>
    <row r="598" spans="6:32">
      <c r="F598" s="4001">
        <v>12211601</v>
      </c>
      <c r="G598" s="4002" t="s">
        <v>4256</v>
      </c>
      <c r="H598" s="3958">
        <v>0</v>
      </c>
      <c r="J598" s="3939"/>
      <c r="N598" s="4003">
        <v>12211601</v>
      </c>
      <c r="O598" s="4004" t="s">
        <v>4256</v>
      </c>
      <c r="P598" s="3961">
        <v>0</v>
      </c>
      <c r="R598" s="3939"/>
      <c r="V598" s="4003">
        <v>12211601</v>
      </c>
      <c r="W598" s="4004" t="s">
        <v>4256</v>
      </c>
      <c r="X598" s="3961">
        <v>0</v>
      </c>
      <c r="Z598" s="3939"/>
      <c r="AD598" s="4003">
        <v>21111102</v>
      </c>
      <c r="AE598" s="4004" t="s">
        <v>4279</v>
      </c>
      <c r="AF598" s="3961">
        <v>668472455</v>
      </c>
    </row>
    <row r="599" spans="6:32">
      <c r="F599" s="4001">
        <v>12211602</v>
      </c>
      <c r="G599" s="4002" t="s">
        <v>4257</v>
      </c>
      <c r="H599" s="3958">
        <v>0</v>
      </c>
      <c r="J599" s="3939"/>
      <c r="N599" s="4003">
        <v>12211602</v>
      </c>
      <c r="O599" s="4004" t="s">
        <v>4257</v>
      </c>
      <c r="P599" s="3961">
        <v>0</v>
      </c>
      <c r="R599" s="3939"/>
      <c r="V599" s="4003">
        <v>12211602</v>
      </c>
      <c r="W599" s="4004" t="s">
        <v>4257</v>
      </c>
      <c r="X599" s="3961">
        <v>0</v>
      </c>
      <c r="Z599" s="3939"/>
      <c r="AD599" s="3992">
        <v>21120000</v>
      </c>
      <c r="AE599" s="4006" t="s">
        <v>4280</v>
      </c>
      <c r="AF599" s="3994">
        <v>0</v>
      </c>
    </row>
    <row r="600" spans="6:32">
      <c r="F600" s="3989">
        <v>12211700</v>
      </c>
      <c r="G600" s="4005" t="s">
        <v>4258</v>
      </c>
      <c r="H600" s="3991">
        <v>0</v>
      </c>
      <c r="J600" s="3939"/>
      <c r="N600" s="3992">
        <v>12211700</v>
      </c>
      <c r="O600" s="4006" t="s">
        <v>4258</v>
      </c>
      <c r="P600" s="3994">
        <v>0</v>
      </c>
      <c r="R600" s="3939"/>
      <c r="V600" s="3992">
        <v>12211700</v>
      </c>
      <c r="W600" s="4006" t="s">
        <v>4258</v>
      </c>
      <c r="X600" s="3994">
        <v>0</v>
      </c>
      <c r="Z600" s="3939"/>
      <c r="AD600" s="3998">
        <v>21121000</v>
      </c>
      <c r="AE600" s="4008" t="s">
        <v>4281</v>
      </c>
      <c r="AF600" s="4000">
        <v>0</v>
      </c>
    </row>
    <row r="601" spans="6:32">
      <c r="F601" s="4001">
        <v>12211701</v>
      </c>
      <c r="G601" s="4002" t="s">
        <v>4258</v>
      </c>
      <c r="H601" s="3958">
        <v>0</v>
      </c>
      <c r="J601" s="3939"/>
      <c r="N601" s="4003">
        <v>12211701</v>
      </c>
      <c r="O601" s="4004" t="s">
        <v>4258</v>
      </c>
      <c r="P601" s="3961">
        <v>0</v>
      </c>
      <c r="R601" s="3939"/>
      <c r="V601" s="4003">
        <v>12211701</v>
      </c>
      <c r="W601" s="4004" t="s">
        <v>4258</v>
      </c>
      <c r="X601" s="3961">
        <v>0</v>
      </c>
      <c r="Z601" s="3939"/>
      <c r="AD601" s="4003">
        <v>21121001</v>
      </c>
      <c r="AE601" s="4004" t="s">
        <v>4282</v>
      </c>
      <c r="AF601" s="3961">
        <v>0</v>
      </c>
    </row>
    <row r="602" spans="6:32">
      <c r="F602" s="3989">
        <v>12990000</v>
      </c>
      <c r="G602" s="4005" t="s">
        <v>4259</v>
      </c>
      <c r="H602" s="3991">
        <v>0</v>
      </c>
      <c r="J602" s="3939"/>
      <c r="N602" s="3992">
        <v>12990000</v>
      </c>
      <c r="O602" s="4006" t="s">
        <v>4259</v>
      </c>
      <c r="P602" s="3994">
        <v>0</v>
      </c>
      <c r="R602" s="3939"/>
      <c r="V602" s="3992">
        <v>12990000</v>
      </c>
      <c r="W602" s="4006" t="s">
        <v>4259</v>
      </c>
      <c r="X602" s="3994">
        <v>0</v>
      </c>
      <c r="Z602" s="3939"/>
      <c r="AD602" s="4003">
        <v>21121002</v>
      </c>
      <c r="AE602" s="4004" t="s">
        <v>4283</v>
      </c>
      <c r="AF602" s="3961">
        <v>0</v>
      </c>
    </row>
    <row r="603" spans="6:32">
      <c r="F603" s="3995">
        <v>12991000</v>
      </c>
      <c r="G603" s="4007" t="s">
        <v>4260</v>
      </c>
      <c r="H603" s="3997">
        <v>0</v>
      </c>
      <c r="J603" s="3939"/>
      <c r="N603" s="3998">
        <v>12991000</v>
      </c>
      <c r="O603" s="4008" t="s">
        <v>4260</v>
      </c>
      <c r="P603" s="4000">
        <v>0</v>
      </c>
      <c r="R603" s="3939"/>
      <c r="V603" s="3998">
        <v>12991000</v>
      </c>
      <c r="W603" s="4008" t="s">
        <v>4260</v>
      </c>
      <c r="X603" s="4000">
        <v>0</v>
      </c>
      <c r="Z603" s="3939"/>
      <c r="AD603" s="4003">
        <v>21121003</v>
      </c>
      <c r="AE603" s="4004" t="s">
        <v>4284</v>
      </c>
      <c r="AF603" s="3961">
        <v>0</v>
      </c>
    </row>
    <row r="604" spans="6:32">
      <c r="F604" s="4001">
        <v>12991001</v>
      </c>
      <c r="G604" s="4002" t="s">
        <v>4261</v>
      </c>
      <c r="H604" s="3958">
        <v>0</v>
      </c>
      <c r="J604" s="3939"/>
      <c r="N604" s="4003">
        <v>12991001</v>
      </c>
      <c r="O604" s="4004" t="s">
        <v>4261</v>
      </c>
      <c r="P604" s="3961">
        <v>0</v>
      </c>
      <c r="R604" s="3939"/>
      <c r="V604" s="4003">
        <v>12991001</v>
      </c>
      <c r="W604" s="4004" t="s">
        <v>4261</v>
      </c>
      <c r="X604" s="3961">
        <v>0</v>
      </c>
      <c r="Z604" s="3939"/>
      <c r="AD604" s="3998">
        <v>21121100</v>
      </c>
      <c r="AE604" s="4008" t="s">
        <v>4285</v>
      </c>
      <c r="AF604" s="4000">
        <v>0</v>
      </c>
    </row>
    <row r="605" spans="6:32">
      <c r="F605" s="3995">
        <v>12991100</v>
      </c>
      <c r="G605" s="4007" t="s">
        <v>4262</v>
      </c>
      <c r="H605" s="3997">
        <v>0</v>
      </c>
      <c r="J605" s="3939"/>
      <c r="N605" s="3998">
        <v>12991100</v>
      </c>
      <c r="O605" s="4008" t="s">
        <v>4262</v>
      </c>
      <c r="P605" s="4000">
        <v>0</v>
      </c>
      <c r="R605" s="3939"/>
      <c r="V605" s="3998">
        <v>12991100</v>
      </c>
      <c r="W605" s="4008" t="s">
        <v>4262</v>
      </c>
      <c r="X605" s="4000">
        <v>0</v>
      </c>
      <c r="Z605" s="3939"/>
      <c r="AD605" s="4003">
        <v>21121101</v>
      </c>
      <c r="AE605" s="4004" t="s">
        <v>4286</v>
      </c>
      <c r="AF605" s="3961">
        <v>0</v>
      </c>
    </row>
    <row r="606" spans="6:32">
      <c r="F606" s="4001">
        <v>12991101</v>
      </c>
      <c r="G606" s="4002" t="s">
        <v>4263</v>
      </c>
      <c r="H606" s="3958">
        <v>0</v>
      </c>
      <c r="J606" s="3939"/>
      <c r="N606" s="4003">
        <v>12991101</v>
      </c>
      <c r="O606" s="4004" t="s">
        <v>4263</v>
      </c>
      <c r="P606" s="3961">
        <v>0</v>
      </c>
      <c r="R606" s="3939"/>
      <c r="V606" s="4003">
        <v>12991101</v>
      </c>
      <c r="W606" s="4004" t="s">
        <v>4263</v>
      </c>
      <c r="X606" s="3961">
        <v>0</v>
      </c>
      <c r="Z606" s="3939"/>
      <c r="AD606" s="4003">
        <v>21121102</v>
      </c>
      <c r="AE606" s="4004" t="s">
        <v>4287</v>
      </c>
      <c r="AF606" s="3961">
        <v>0</v>
      </c>
    </row>
    <row r="607" spans="6:32">
      <c r="F607" s="4001">
        <v>12991102</v>
      </c>
      <c r="G607" s="4002" t="s">
        <v>4264</v>
      </c>
      <c r="H607" s="3958">
        <v>0</v>
      </c>
      <c r="J607" s="3939"/>
      <c r="N607" s="4003">
        <v>12991102</v>
      </c>
      <c r="O607" s="4004" t="s">
        <v>4264</v>
      </c>
      <c r="P607" s="3961">
        <v>0</v>
      </c>
      <c r="R607" s="3939"/>
      <c r="V607" s="4003">
        <v>12991102</v>
      </c>
      <c r="W607" s="4004" t="s">
        <v>4264</v>
      </c>
      <c r="X607" s="3961">
        <v>0</v>
      </c>
      <c r="Z607" s="3939"/>
      <c r="AD607" s="3992">
        <v>21130000</v>
      </c>
      <c r="AE607" s="4006" t="s">
        <v>4288</v>
      </c>
      <c r="AF607" s="3994">
        <v>12846000000</v>
      </c>
    </row>
    <row r="608" spans="6:32">
      <c r="F608" s="4001">
        <v>12991103</v>
      </c>
      <c r="G608" s="4002" t="s">
        <v>4265</v>
      </c>
      <c r="H608" s="3958">
        <v>0</v>
      </c>
      <c r="J608" s="3939"/>
      <c r="N608" s="4003">
        <v>12991103</v>
      </c>
      <c r="O608" s="4004" t="s">
        <v>4265</v>
      </c>
      <c r="P608" s="3961">
        <v>0</v>
      </c>
      <c r="R608" s="3939"/>
      <c r="V608" s="4003">
        <v>12991103</v>
      </c>
      <c r="W608" s="4004" t="s">
        <v>4265</v>
      </c>
      <c r="X608" s="3961">
        <v>0</v>
      </c>
      <c r="Z608" s="3939"/>
      <c r="AD608" s="3998">
        <v>21131000</v>
      </c>
      <c r="AE608" s="4008" t="s">
        <v>4288</v>
      </c>
      <c r="AF608" s="4000">
        <v>12846000000</v>
      </c>
    </row>
    <row r="609" spans="6:32">
      <c r="F609" s="4001">
        <v>12991104</v>
      </c>
      <c r="G609" s="4002" t="s">
        <v>4266</v>
      </c>
      <c r="H609" s="3958">
        <v>0</v>
      </c>
      <c r="J609" s="3939"/>
      <c r="N609" s="4003">
        <v>12991104</v>
      </c>
      <c r="O609" s="4004" t="s">
        <v>4266</v>
      </c>
      <c r="P609" s="3961">
        <v>0</v>
      </c>
      <c r="R609" s="3939"/>
      <c r="V609" s="4003">
        <v>12991104</v>
      </c>
      <c r="W609" s="4004" t="s">
        <v>4266</v>
      </c>
      <c r="X609" s="3961">
        <v>0</v>
      </c>
      <c r="Z609" s="3939"/>
      <c r="AD609" s="4003">
        <v>21131001</v>
      </c>
      <c r="AE609" s="4004" t="s">
        <v>4289</v>
      </c>
      <c r="AF609" s="3961">
        <v>12846000000</v>
      </c>
    </row>
    <row r="610" spans="6:32">
      <c r="F610" s="3977">
        <v>20000000</v>
      </c>
      <c r="G610" s="3978" t="s">
        <v>5053</v>
      </c>
      <c r="H610" s="3979">
        <v>21314940507</v>
      </c>
      <c r="J610" s="3939"/>
      <c r="N610" s="3980">
        <v>20000000</v>
      </c>
      <c r="O610" s="3981" t="s">
        <v>102</v>
      </c>
      <c r="P610" s="3982">
        <v>17383144574</v>
      </c>
      <c r="R610" s="3939"/>
      <c r="V610" s="3980">
        <v>20000000</v>
      </c>
      <c r="W610" s="3981" t="s">
        <v>102</v>
      </c>
      <c r="X610" s="3982">
        <v>21992778553</v>
      </c>
      <c r="Z610" s="3939"/>
      <c r="AD610" s="4003">
        <v>21131002</v>
      </c>
      <c r="AE610" s="4004" t="s">
        <v>4290</v>
      </c>
      <c r="AF610" s="3961">
        <v>0</v>
      </c>
    </row>
    <row r="611" spans="6:32">
      <c r="F611" s="3983">
        <v>21000000</v>
      </c>
      <c r="G611" s="3984" t="s">
        <v>5054</v>
      </c>
      <c r="H611" s="3985">
        <v>18462759204</v>
      </c>
      <c r="J611" s="3939"/>
      <c r="N611" s="3986">
        <v>21000000</v>
      </c>
      <c r="O611" s="3987" t="s">
        <v>4267</v>
      </c>
      <c r="P611" s="3988">
        <v>15433304262</v>
      </c>
      <c r="R611" s="3939"/>
      <c r="V611" s="3986">
        <v>21000000</v>
      </c>
      <c r="W611" s="3987" t="s">
        <v>4267</v>
      </c>
      <c r="X611" s="3988">
        <v>20380724019</v>
      </c>
      <c r="Z611" s="3939"/>
      <c r="AD611" s="4003">
        <v>21131003</v>
      </c>
      <c r="AE611" s="4004" t="s">
        <v>4291</v>
      </c>
      <c r="AF611" s="3961">
        <v>0</v>
      </c>
    </row>
    <row r="612" spans="6:32">
      <c r="F612" s="3989">
        <v>21100000</v>
      </c>
      <c r="G612" s="4005" t="s">
        <v>4268</v>
      </c>
      <c r="H612" s="3991">
        <v>3875935943</v>
      </c>
      <c r="J612" s="3939"/>
      <c r="N612" s="3992">
        <v>21100000</v>
      </c>
      <c r="O612" s="4006" t="s">
        <v>4268</v>
      </c>
      <c r="P612" s="3994">
        <v>4963572054</v>
      </c>
      <c r="R612" s="3939"/>
      <c r="V612" s="3992">
        <v>21100000</v>
      </c>
      <c r="W612" s="4006" t="s">
        <v>4268</v>
      </c>
      <c r="X612" s="3994">
        <v>6693314273</v>
      </c>
      <c r="Z612" s="3939"/>
      <c r="AD612" s="4003">
        <v>21131004</v>
      </c>
      <c r="AE612" s="4004" t="s">
        <v>4292</v>
      </c>
      <c r="AF612" s="3961">
        <v>0</v>
      </c>
    </row>
    <row r="613" spans="6:32">
      <c r="F613" s="3995">
        <v>21101000</v>
      </c>
      <c r="G613" s="4007" t="s">
        <v>4269</v>
      </c>
      <c r="H613" s="3997">
        <v>2352065325</v>
      </c>
      <c r="J613" s="3939"/>
      <c r="N613" s="3998">
        <v>21101000</v>
      </c>
      <c r="O613" s="4008" t="s">
        <v>4269</v>
      </c>
      <c r="P613" s="4000">
        <v>3417510029</v>
      </c>
      <c r="R613" s="3939"/>
      <c r="V613" s="3998">
        <v>21101000</v>
      </c>
      <c r="W613" s="4008" t="s">
        <v>4269</v>
      </c>
      <c r="X613" s="4000">
        <v>5516559042</v>
      </c>
      <c r="Z613" s="3939"/>
      <c r="AD613" s="4003">
        <v>21131005</v>
      </c>
      <c r="AE613" s="4004" t="s">
        <v>4293</v>
      </c>
      <c r="AF613" s="3961">
        <v>0</v>
      </c>
    </row>
    <row r="614" spans="6:32">
      <c r="F614" s="4001">
        <v>21101001</v>
      </c>
      <c r="G614" s="4002" t="s">
        <v>3974</v>
      </c>
      <c r="H614" s="3958">
        <v>2352065325</v>
      </c>
      <c r="J614" s="3939"/>
      <c r="N614" s="4003">
        <v>21101001</v>
      </c>
      <c r="O614" s="4004" t="s">
        <v>3974</v>
      </c>
      <c r="P614" s="3961">
        <v>3417510029</v>
      </c>
      <c r="R614" s="3939"/>
      <c r="V614" s="4003">
        <v>21101001</v>
      </c>
      <c r="W614" s="4004" t="s">
        <v>3974</v>
      </c>
      <c r="X614" s="3961">
        <v>5516559042</v>
      </c>
      <c r="Z614" s="3939"/>
      <c r="AD614" s="3992">
        <v>21140000</v>
      </c>
      <c r="AE614" s="4006" t="s">
        <v>4294</v>
      </c>
      <c r="AF614" s="3994">
        <v>0</v>
      </c>
    </row>
    <row r="615" spans="6:32">
      <c r="F615" s="4001">
        <v>21101002</v>
      </c>
      <c r="G615" s="4002" t="s">
        <v>4270</v>
      </c>
      <c r="H615" s="3958">
        <v>0</v>
      </c>
      <c r="J615" s="3939"/>
      <c r="N615" s="4003">
        <v>21101002</v>
      </c>
      <c r="O615" s="4004" t="s">
        <v>4270</v>
      </c>
      <c r="P615" s="3961">
        <v>0</v>
      </c>
      <c r="R615" s="3939"/>
      <c r="V615" s="4003">
        <v>21101002</v>
      </c>
      <c r="W615" s="4004" t="s">
        <v>4270</v>
      </c>
      <c r="X615" s="3961">
        <v>0</v>
      </c>
      <c r="Z615" s="3939"/>
      <c r="AD615" s="3998">
        <v>21141000</v>
      </c>
      <c r="AE615" s="4008" t="s">
        <v>4294</v>
      </c>
      <c r="AF615" s="4000">
        <v>0</v>
      </c>
    </row>
    <row r="616" spans="6:32">
      <c r="F616" s="4001">
        <v>21101003</v>
      </c>
      <c r="G616" s="4002" t="s">
        <v>4271</v>
      </c>
      <c r="H616" s="3958">
        <v>0</v>
      </c>
      <c r="J616" s="3939"/>
      <c r="N616" s="4003">
        <v>21101003</v>
      </c>
      <c r="O616" s="4004" t="s">
        <v>4271</v>
      </c>
      <c r="P616" s="3961">
        <v>0</v>
      </c>
      <c r="R616" s="3939"/>
      <c r="V616" s="4003">
        <v>21101003</v>
      </c>
      <c r="W616" s="4004" t="s">
        <v>4271</v>
      </c>
      <c r="X616" s="3961">
        <v>0</v>
      </c>
      <c r="Z616" s="3939"/>
      <c r="AD616" s="4003">
        <v>21141001</v>
      </c>
      <c r="AE616" s="4004" t="s">
        <v>4294</v>
      </c>
      <c r="AF616" s="3961">
        <v>0</v>
      </c>
    </row>
    <row r="617" spans="6:32">
      <c r="F617" s="4001">
        <v>21101004</v>
      </c>
      <c r="G617" s="4002" t="s">
        <v>4272</v>
      </c>
      <c r="H617" s="3958">
        <v>0</v>
      </c>
      <c r="J617" s="3939"/>
      <c r="N617" s="4003">
        <v>21101004</v>
      </c>
      <c r="O617" s="4004" t="s">
        <v>4272</v>
      </c>
      <c r="P617" s="3961">
        <v>0</v>
      </c>
      <c r="R617" s="3939"/>
      <c r="V617" s="4003">
        <v>21101004</v>
      </c>
      <c r="W617" s="4004" t="s">
        <v>4272</v>
      </c>
      <c r="X617" s="3961">
        <v>0</v>
      </c>
      <c r="Z617" s="3939"/>
      <c r="AD617" s="3992">
        <v>21150000</v>
      </c>
      <c r="AE617" s="4006" t="s">
        <v>4295</v>
      </c>
      <c r="AF617" s="3994">
        <v>0</v>
      </c>
    </row>
    <row r="618" spans="6:32">
      <c r="F618" s="3995">
        <v>21101100</v>
      </c>
      <c r="G618" s="4007" t="s">
        <v>2171</v>
      </c>
      <c r="H618" s="3997">
        <v>1051411172</v>
      </c>
      <c r="J618" s="3939"/>
      <c r="N618" s="3998">
        <v>21101100</v>
      </c>
      <c r="O618" s="4008" t="s">
        <v>2171</v>
      </c>
      <c r="P618" s="4000">
        <v>933292037</v>
      </c>
      <c r="R618" s="3939"/>
      <c r="V618" s="3998">
        <v>21101100</v>
      </c>
      <c r="W618" s="4008" t="s">
        <v>2171</v>
      </c>
      <c r="X618" s="4000">
        <v>618939672</v>
      </c>
      <c r="Z618" s="3939"/>
      <c r="AD618" s="3998">
        <v>21151000</v>
      </c>
      <c r="AE618" s="4008" t="s">
        <v>4296</v>
      </c>
      <c r="AF618" s="4000">
        <v>0</v>
      </c>
    </row>
    <row r="619" spans="6:32">
      <c r="F619" s="4001">
        <v>21101101</v>
      </c>
      <c r="G619" s="4002" t="s">
        <v>2171</v>
      </c>
      <c r="H619" s="3958">
        <v>1051411172</v>
      </c>
      <c r="J619" s="3939"/>
      <c r="N619" s="4003">
        <v>21101101</v>
      </c>
      <c r="O619" s="4004" t="s">
        <v>2171</v>
      </c>
      <c r="P619" s="3961">
        <v>933292037</v>
      </c>
      <c r="R619" s="3939"/>
      <c r="V619" s="4003">
        <v>21101101</v>
      </c>
      <c r="W619" s="4004" t="s">
        <v>2171</v>
      </c>
      <c r="X619" s="3961">
        <v>618939672</v>
      </c>
      <c r="Z619" s="3939"/>
      <c r="AD619" s="4003">
        <v>21151001</v>
      </c>
      <c r="AE619" s="4004" t="s">
        <v>4296</v>
      </c>
      <c r="AF619" s="3961">
        <v>0</v>
      </c>
    </row>
    <row r="620" spans="6:32">
      <c r="F620" s="3995">
        <v>21101200</v>
      </c>
      <c r="G620" s="4007" t="s">
        <v>4273</v>
      </c>
      <c r="H620" s="3997">
        <v>472459446</v>
      </c>
      <c r="J620" s="3939"/>
      <c r="N620" s="3998">
        <v>21101200</v>
      </c>
      <c r="O620" s="4008" t="s">
        <v>4273</v>
      </c>
      <c r="P620" s="4000">
        <v>612769988</v>
      </c>
      <c r="R620" s="3939"/>
      <c r="V620" s="3998">
        <v>21101200</v>
      </c>
      <c r="W620" s="4008" t="s">
        <v>4273</v>
      </c>
      <c r="X620" s="4000">
        <v>557815559</v>
      </c>
      <c r="Z620" s="3939"/>
      <c r="AD620" s="4003">
        <v>21151002</v>
      </c>
      <c r="AE620" s="4004" t="s">
        <v>4297</v>
      </c>
      <c r="AF620" s="3961">
        <v>0</v>
      </c>
    </row>
    <row r="621" spans="6:32">
      <c r="F621" s="4001">
        <v>21101201</v>
      </c>
      <c r="G621" s="4002" t="s">
        <v>4273</v>
      </c>
      <c r="H621" s="3958">
        <v>472459446</v>
      </c>
      <c r="J621" s="3939"/>
      <c r="N621" s="4003">
        <v>21101201</v>
      </c>
      <c r="O621" s="4004" t="s">
        <v>4273</v>
      </c>
      <c r="P621" s="3961">
        <v>612769988</v>
      </c>
      <c r="R621" s="3939"/>
      <c r="V621" s="4003">
        <v>21101201</v>
      </c>
      <c r="W621" s="4004" t="s">
        <v>4273</v>
      </c>
      <c r="X621" s="3961">
        <v>557815559</v>
      </c>
      <c r="Z621" s="3939"/>
      <c r="AD621" s="4003">
        <v>21151003</v>
      </c>
      <c r="AE621" s="4004" t="s">
        <v>4298</v>
      </c>
      <c r="AF621" s="3961">
        <v>0</v>
      </c>
    </row>
    <row r="622" spans="6:32">
      <c r="F622" s="3995">
        <v>21101300</v>
      </c>
      <c r="G622" s="4007" t="s">
        <v>4274</v>
      </c>
      <c r="H622" s="3997">
        <v>0</v>
      </c>
      <c r="J622" s="3939"/>
      <c r="N622" s="3998">
        <v>21101300</v>
      </c>
      <c r="O622" s="4008" t="s">
        <v>4274</v>
      </c>
      <c r="P622" s="4000">
        <v>0</v>
      </c>
      <c r="R622" s="3939"/>
      <c r="V622" s="3998">
        <v>21101300</v>
      </c>
      <c r="W622" s="4008" t="s">
        <v>4274</v>
      </c>
      <c r="X622" s="4000">
        <v>0</v>
      </c>
      <c r="Z622" s="3939"/>
      <c r="AD622" s="4003">
        <v>21151004</v>
      </c>
      <c r="AE622" s="4004" t="s">
        <v>4299</v>
      </c>
      <c r="AF622" s="3961">
        <v>0</v>
      </c>
    </row>
    <row r="623" spans="6:32">
      <c r="F623" s="4001">
        <v>21101301</v>
      </c>
      <c r="G623" s="4002" t="s">
        <v>4274</v>
      </c>
      <c r="H623" s="3958">
        <v>0</v>
      </c>
      <c r="J623" s="3939"/>
      <c r="N623" s="4003">
        <v>21101301</v>
      </c>
      <c r="O623" s="4004" t="s">
        <v>4274</v>
      </c>
      <c r="P623" s="3961">
        <v>0</v>
      </c>
      <c r="R623" s="3939"/>
      <c r="V623" s="4003">
        <v>21101301</v>
      </c>
      <c r="W623" s="4004" t="s">
        <v>4274</v>
      </c>
      <c r="X623" s="3961">
        <v>0</v>
      </c>
      <c r="Z623" s="3939"/>
      <c r="AD623" s="4003">
        <v>21151005</v>
      </c>
      <c r="AE623" s="4004" t="s">
        <v>4300</v>
      </c>
      <c r="AF623" s="3961">
        <v>0</v>
      </c>
    </row>
    <row r="624" spans="6:32">
      <c r="F624" s="3989">
        <v>21110000</v>
      </c>
      <c r="G624" s="4005" t="s">
        <v>4275</v>
      </c>
      <c r="H624" s="3991">
        <v>0</v>
      </c>
      <c r="J624" s="3939"/>
      <c r="N624" s="3992">
        <v>21110000</v>
      </c>
      <c r="O624" s="4006" t="s">
        <v>4275</v>
      </c>
      <c r="P624" s="3994">
        <v>0</v>
      </c>
      <c r="R624" s="3939"/>
      <c r="V624" s="3992">
        <v>21110000</v>
      </c>
      <c r="W624" s="4006" t="s">
        <v>4275</v>
      </c>
      <c r="X624" s="3994">
        <v>699313268</v>
      </c>
      <c r="Z624" s="3939"/>
      <c r="AD624" s="3992">
        <v>21160000</v>
      </c>
      <c r="AE624" s="4006" t="s">
        <v>4301</v>
      </c>
      <c r="AF624" s="3994">
        <v>0</v>
      </c>
    </row>
    <row r="625" spans="6:32">
      <c r="F625" s="3995">
        <v>21111000</v>
      </c>
      <c r="G625" s="4007" t="s">
        <v>4276</v>
      </c>
      <c r="H625" s="3997">
        <v>0</v>
      </c>
      <c r="J625" s="3939"/>
      <c r="N625" s="3998">
        <v>21111000</v>
      </c>
      <c r="O625" s="4008" t="s">
        <v>4276</v>
      </c>
      <c r="P625" s="4000">
        <v>0</v>
      </c>
      <c r="R625" s="3939"/>
      <c r="V625" s="3998">
        <v>21111000</v>
      </c>
      <c r="W625" s="4008" t="s">
        <v>4276</v>
      </c>
      <c r="X625" s="4000">
        <v>0</v>
      </c>
      <c r="Z625" s="3939"/>
      <c r="AD625" s="3998">
        <v>21161000</v>
      </c>
      <c r="AE625" s="4008" t="s">
        <v>4301</v>
      </c>
      <c r="AF625" s="4000">
        <v>0</v>
      </c>
    </row>
    <row r="626" spans="6:32">
      <c r="F626" s="4001">
        <v>21111001</v>
      </c>
      <c r="G626" s="4002" t="s">
        <v>5055</v>
      </c>
      <c r="H626" s="3958">
        <v>0</v>
      </c>
      <c r="J626" s="3939"/>
      <c r="N626" s="4003">
        <v>21111001</v>
      </c>
      <c r="O626" s="4004" t="s">
        <v>4276</v>
      </c>
      <c r="P626" s="3961">
        <v>0</v>
      </c>
      <c r="R626" s="3939"/>
      <c r="V626" s="4003">
        <v>21111001</v>
      </c>
      <c r="W626" s="4004" t="s">
        <v>4276</v>
      </c>
      <c r="X626" s="3961">
        <v>0</v>
      </c>
      <c r="Z626" s="3939"/>
      <c r="AD626" s="4003">
        <v>21161001</v>
      </c>
      <c r="AE626" s="4004" t="s">
        <v>4301</v>
      </c>
      <c r="AF626" s="3961">
        <v>0</v>
      </c>
    </row>
    <row r="627" spans="6:32">
      <c r="F627" s="3995">
        <v>21111100</v>
      </c>
      <c r="G627" s="4007" t="s">
        <v>4277</v>
      </c>
      <c r="H627" s="3997">
        <v>0</v>
      </c>
      <c r="J627" s="3939"/>
      <c r="N627" s="3998">
        <v>21111100</v>
      </c>
      <c r="O627" s="4008" t="s">
        <v>4277</v>
      </c>
      <c r="P627" s="4000">
        <v>0</v>
      </c>
      <c r="R627" s="3939"/>
      <c r="V627" s="3998">
        <v>21111100</v>
      </c>
      <c r="W627" s="4008" t="s">
        <v>4277</v>
      </c>
      <c r="X627" s="4000">
        <v>699313268</v>
      </c>
      <c r="Z627" s="3939"/>
      <c r="AD627" s="4003">
        <v>21161002</v>
      </c>
      <c r="AE627" s="4004" t="s">
        <v>4302</v>
      </c>
      <c r="AF627" s="3961">
        <v>0</v>
      </c>
    </row>
    <row r="628" spans="6:32">
      <c r="F628" s="4001">
        <v>21111101</v>
      </c>
      <c r="G628" s="4002" t="s">
        <v>5056</v>
      </c>
      <c r="H628" s="3958">
        <v>0</v>
      </c>
      <c r="J628" s="3939"/>
      <c r="N628" s="4003">
        <v>21111101</v>
      </c>
      <c r="O628" s="4004" t="s">
        <v>4278</v>
      </c>
      <c r="P628" s="3961">
        <v>0</v>
      </c>
      <c r="R628" s="3939"/>
      <c r="V628" s="4003">
        <v>21111101</v>
      </c>
      <c r="W628" s="4004" t="s">
        <v>4278</v>
      </c>
      <c r="X628" s="3961">
        <v>0</v>
      </c>
      <c r="Z628" s="3939"/>
      <c r="AD628" s="4003">
        <v>21161003</v>
      </c>
      <c r="AE628" s="4004" t="s">
        <v>4303</v>
      </c>
      <c r="AF628" s="3961">
        <v>0</v>
      </c>
    </row>
    <row r="629" spans="6:32">
      <c r="F629" s="4001">
        <v>21111102</v>
      </c>
      <c r="G629" s="4002" t="s">
        <v>5057</v>
      </c>
      <c r="H629" s="3958">
        <v>0</v>
      </c>
      <c r="J629" s="3939"/>
      <c r="N629" s="4003">
        <v>21111102</v>
      </c>
      <c r="O629" s="4004" t="s">
        <v>4279</v>
      </c>
      <c r="P629" s="3961">
        <v>0</v>
      </c>
      <c r="R629" s="3939"/>
      <c r="V629" s="4003">
        <v>21111102</v>
      </c>
      <c r="W629" s="4004" t="s">
        <v>4279</v>
      </c>
      <c r="X629" s="3961">
        <v>699313268</v>
      </c>
      <c r="Z629" s="3939"/>
      <c r="AD629" s="3992">
        <v>21170000</v>
      </c>
      <c r="AE629" s="4006" t="s">
        <v>4304</v>
      </c>
      <c r="AF629" s="3994">
        <v>0</v>
      </c>
    </row>
    <row r="630" spans="6:32">
      <c r="F630" s="3989">
        <v>21120000</v>
      </c>
      <c r="G630" s="4005" t="s">
        <v>4280</v>
      </c>
      <c r="H630" s="3991">
        <v>339775802</v>
      </c>
      <c r="J630" s="3939"/>
      <c r="N630" s="3992">
        <v>21120000</v>
      </c>
      <c r="O630" s="4006" t="s">
        <v>4280</v>
      </c>
      <c r="P630" s="3994">
        <v>630303271</v>
      </c>
      <c r="R630" s="3939"/>
      <c r="V630" s="3992">
        <v>21120000</v>
      </c>
      <c r="W630" s="4006" t="s">
        <v>4280</v>
      </c>
      <c r="X630" s="3994">
        <v>0</v>
      </c>
      <c r="Z630" s="3939"/>
      <c r="AD630" s="3998">
        <v>21171000</v>
      </c>
      <c r="AE630" s="4008" t="s">
        <v>4304</v>
      </c>
      <c r="AF630" s="4000">
        <v>0</v>
      </c>
    </row>
    <row r="631" spans="6:32">
      <c r="F631" s="3995">
        <v>21121000</v>
      </c>
      <c r="G631" s="4007" t="s">
        <v>4281</v>
      </c>
      <c r="H631" s="3997">
        <v>0</v>
      </c>
      <c r="J631" s="3939"/>
      <c r="N631" s="3998">
        <v>21121000</v>
      </c>
      <c r="O631" s="4008" t="s">
        <v>4281</v>
      </c>
      <c r="P631" s="4000">
        <v>0</v>
      </c>
      <c r="R631" s="3939"/>
      <c r="V631" s="3998">
        <v>21121000</v>
      </c>
      <c r="W631" s="4008" t="s">
        <v>4281</v>
      </c>
      <c r="X631" s="4000">
        <v>0</v>
      </c>
      <c r="Z631" s="3939"/>
      <c r="AD631" s="4003">
        <v>21171001</v>
      </c>
      <c r="AE631" s="4004" t="s">
        <v>4304</v>
      </c>
      <c r="AF631" s="3961">
        <v>0</v>
      </c>
    </row>
    <row r="632" spans="6:32">
      <c r="F632" s="4001">
        <v>21121001</v>
      </c>
      <c r="G632" s="4002" t="s">
        <v>5058</v>
      </c>
      <c r="H632" s="3958">
        <v>0</v>
      </c>
      <c r="J632" s="3939"/>
      <c r="N632" s="4003">
        <v>21121001</v>
      </c>
      <c r="O632" s="4004" t="s">
        <v>4282</v>
      </c>
      <c r="P632" s="3961">
        <v>0</v>
      </c>
      <c r="R632" s="3939"/>
      <c r="V632" s="4003">
        <v>21121001</v>
      </c>
      <c r="W632" s="4004" t="s">
        <v>4282</v>
      </c>
      <c r="X632" s="3961">
        <v>0</v>
      </c>
      <c r="Z632" s="3939"/>
      <c r="AD632" s="3992">
        <v>21180000</v>
      </c>
      <c r="AE632" s="4006" t="s">
        <v>4305</v>
      </c>
      <c r="AF632" s="3994">
        <v>0</v>
      </c>
    </row>
    <row r="633" spans="6:32">
      <c r="F633" s="4001">
        <v>21121002</v>
      </c>
      <c r="G633" s="4002" t="s">
        <v>5059</v>
      </c>
      <c r="H633" s="3958">
        <v>0</v>
      </c>
      <c r="J633" s="3939"/>
      <c r="N633" s="4003">
        <v>21121002</v>
      </c>
      <c r="O633" s="4004" t="s">
        <v>4283</v>
      </c>
      <c r="P633" s="3961">
        <v>0</v>
      </c>
      <c r="R633" s="3939"/>
      <c r="V633" s="4003">
        <v>21121002</v>
      </c>
      <c r="W633" s="4004" t="s">
        <v>4283</v>
      </c>
      <c r="X633" s="3961">
        <v>0</v>
      </c>
      <c r="Z633" s="3939"/>
      <c r="AD633" s="3998">
        <v>21181000</v>
      </c>
      <c r="AE633" s="4008" t="s">
        <v>4306</v>
      </c>
      <c r="AF633" s="4000">
        <v>0</v>
      </c>
    </row>
    <row r="634" spans="6:32">
      <c r="F634" s="4001">
        <v>21121003</v>
      </c>
      <c r="G634" s="4002" t="s">
        <v>5060</v>
      </c>
      <c r="H634" s="3958">
        <v>0</v>
      </c>
      <c r="J634" s="3939"/>
      <c r="N634" s="4003">
        <v>21121003</v>
      </c>
      <c r="O634" s="4004" t="s">
        <v>4284</v>
      </c>
      <c r="P634" s="3961">
        <v>0</v>
      </c>
      <c r="R634" s="3939"/>
      <c r="V634" s="4003">
        <v>21121003</v>
      </c>
      <c r="W634" s="4004" t="s">
        <v>4284</v>
      </c>
      <c r="X634" s="3961">
        <v>0</v>
      </c>
      <c r="Z634" s="3939"/>
      <c r="AD634" s="4003">
        <v>21181001</v>
      </c>
      <c r="AE634" s="4004" t="s">
        <v>4306</v>
      </c>
      <c r="AF634" s="3961">
        <v>0</v>
      </c>
    </row>
    <row r="635" spans="6:32">
      <c r="F635" s="3995">
        <v>21121100</v>
      </c>
      <c r="G635" s="4007" t="s">
        <v>4285</v>
      </c>
      <c r="H635" s="3997">
        <v>339775802</v>
      </c>
      <c r="J635" s="3939"/>
      <c r="N635" s="3998">
        <v>21121100</v>
      </c>
      <c r="O635" s="4008" t="s">
        <v>4285</v>
      </c>
      <c r="P635" s="4000">
        <v>630303271</v>
      </c>
      <c r="R635" s="3939"/>
      <c r="V635" s="3998">
        <v>21121100</v>
      </c>
      <c r="W635" s="4008" t="s">
        <v>4285</v>
      </c>
      <c r="X635" s="4000">
        <v>0</v>
      </c>
      <c r="Z635" s="3939"/>
      <c r="AD635" s="3998">
        <v>21181100</v>
      </c>
      <c r="AE635" s="4008" t="s">
        <v>4307</v>
      </c>
      <c r="AF635" s="4000">
        <v>0</v>
      </c>
    </row>
    <row r="636" spans="6:32">
      <c r="F636" s="4001">
        <v>21121101</v>
      </c>
      <c r="G636" s="4002" t="s">
        <v>5061</v>
      </c>
      <c r="H636" s="3958">
        <v>0</v>
      </c>
      <c r="J636" s="3939"/>
      <c r="N636" s="4003">
        <v>21121101</v>
      </c>
      <c r="O636" s="4004" t="s">
        <v>4286</v>
      </c>
      <c r="P636" s="3961">
        <v>0</v>
      </c>
      <c r="R636" s="3939"/>
      <c r="V636" s="4003">
        <v>21121101</v>
      </c>
      <c r="W636" s="4004" t="s">
        <v>4286</v>
      </c>
      <c r="X636" s="3961">
        <v>0</v>
      </c>
      <c r="Z636" s="3939"/>
      <c r="AD636" s="4003">
        <v>21181101</v>
      </c>
      <c r="AE636" s="4004" t="s">
        <v>4308</v>
      </c>
      <c r="AF636" s="3961">
        <v>0</v>
      </c>
    </row>
    <row r="637" spans="6:32">
      <c r="F637" s="4001">
        <v>21121102</v>
      </c>
      <c r="G637" s="4002" t="s">
        <v>5062</v>
      </c>
      <c r="H637" s="3958">
        <v>339775802</v>
      </c>
      <c r="J637" s="3939"/>
      <c r="N637" s="4003">
        <v>21121102</v>
      </c>
      <c r="O637" s="4004" t="s">
        <v>4287</v>
      </c>
      <c r="P637" s="3961">
        <v>630303271</v>
      </c>
      <c r="R637" s="3939"/>
      <c r="V637" s="4003">
        <v>21121102</v>
      </c>
      <c r="W637" s="4004" t="s">
        <v>4287</v>
      </c>
      <c r="X637" s="3961">
        <v>0</v>
      </c>
      <c r="Z637" s="3939"/>
      <c r="AD637" s="3998">
        <v>21181200</v>
      </c>
      <c r="AE637" s="4008" t="s">
        <v>4309</v>
      </c>
      <c r="AF637" s="4000">
        <v>0</v>
      </c>
    </row>
    <row r="638" spans="6:32">
      <c r="F638" s="3989">
        <v>21130000</v>
      </c>
      <c r="G638" s="4005" t="s">
        <v>4288</v>
      </c>
      <c r="H638" s="3991">
        <v>13430000000</v>
      </c>
      <c r="J638" s="3939"/>
      <c r="N638" s="3992">
        <v>21130000</v>
      </c>
      <c r="O638" s="4006" t="s">
        <v>4288</v>
      </c>
      <c r="P638" s="3994">
        <v>9100000000</v>
      </c>
      <c r="R638" s="3939"/>
      <c r="V638" s="3992">
        <v>21130000</v>
      </c>
      <c r="W638" s="4006" t="s">
        <v>4288</v>
      </c>
      <c r="X638" s="3994">
        <v>12547000000</v>
      </c>
      <c r="Z638" s="3939"/>
      <c r="AD638" s="4003">
        <v>21181201</v>
      </c>
      <c r="AE638" s="4004" t="s">
        <v>4310</v>
      </c>
      <c r="AF638" s="3961">
        <v>0</v>
      </c>
    </row>
    <row r="639" spans="6:32">
      <c r="F639" s="3995">
        <v>21131000</v>
      </c>
      <c r="G639" s="4007" t="s">
        <v>4288</v>
      </c>
      <c r="H639" s="3997">
        <v>13430000000</v>
      </c>
      <c r="J639" s="3939"/>
      <c r="N639" s="3998">
        <v>21131000</v>
      </c>
      <c r="O639" s="4008" t="s">
        <v>4288</v>
      </c>
      <c r="P639" s="4000">
        <v>9100000000</v>
      </c>
      <c r="R639" s="3939"/>
      <c r="V639" s="3998">
        <v>21131000</v>
      </c>
      <c r="W639" s="4008" t="s">
        <v>4288</v>
      </c>
      <c r="X639" s="4000">
        <v>12547000000</v>
      </c>
      <c r="Z639" s="3939"/>
      <c r="AD639" s="3998">
        <v>21181300</v>
      </c>
      <c r="AE639" s="4008" t="s">
        <v>4311</v>
      </c>
      <c r="AF639" s="4000">
        <v>0</v>
      </c>
    </row>
    <row r="640" spans="6:32">
      <c r="F640" s="4001">
        <v>21131001</v>
      </c>
      <c r="G640" s="4002" t="s">
        <v>4289</v>
      </c>
      <c r="H640" s="3958">
        <v>13430000000</v>
      </c>
      <c r="J640" s="3939"/>
      <c r="N640" s="4003">
        <v>21131001</v>
      </c>
      <c r="O640" s="4004" t="s">
        <v>4289</v>
      </c>
      <c r="P640" s="3961">
        <v>9100000000</v>
      </c>
      <c r="R640" s="3939"/>
      <c r="V640" s="4003">
        <v>21131001</v>
      </c>
      <c r="W640" s="4004" t="s">
        <v>4289</v>
      </c>
      <c r="X640" s="3961">
        <v>12547000000</v>
      </c>
      <c r="Z640" s="3939"/>
      <c r="AD640" s="4003">
        <v>21181301</v>
      </c>
      <c r="AE640" s="4004" t="s">
        <v>4311</v>
      </c>
      <c r="AF640" s="3961">
        <v>0</v>
      </c>
    </row>
    <row r="641" spans="6:32">
      <c r="F641" s="4001">
        <v>21131002</v>
      </c>
      <c r="G641" s="4002" t="s">
        <v>4290</v>
      </c>
      <c r="H641" s="3958">
        <v>0</v>
      </c>
      <c r="J641" s="3939"/>
      <c r="N641" s="4003">
        <v>21131002</v>
      </c>
      <c r="O641" s="4004" t="s">
        <v>4290</v>
      </c>
      <c r="P641" s="3961">
        <v>0</v>
      </c>
      <c r="R641" s="3939"/>
      <c r="V641" s="4003">
        <v>21131002</v>
      </c>
      <c r="W641" s="4004" t="s">
        <v>4290</v>
      </c>
      <c r="X641" s="3961">
        <v>0</v>
      </c>
      <c r="Z641" s="3939"/>
      <c r="AD641" s="3998">
        <v>21181400</v>
      </c>
      <c r="AE641" s="4008" t="s">
        <v>4312</v>
      </c>
      <c r="AF641" s="4000">
        <v>0</v>
      </c>
    </row>
    <row r="642" spans="6:32">
      <c r="F642" s="4001">
        <v>21131003</v>
      </c>
      <c r="G642" s="4002" t="s">
        <v>4291</v>
      </c>
      <c r="H642" s="3958">
        <v>0</v>
      </c>
      <c r="J642" s="3939"/>
      <c r="N642" s="4003">
        <v>21131003</v>
      </c>
      <c r="O642" s="4004" t="s">
        <v>4291</v>
      </c>
      <c r="P642" s="3961">
        <v>0</v>
      </c>
      <c r="R642" s="3939"/>
      <c r="V642" s="4003">
        <v>21131003</v>
      </c>
      <c r="W642" s="4004" t="s">
        <v>4291</v>
      </c>
      <c r="X642" s="3961">
        <v>0</v>
      </c>
      <c r="Z642" s="3939"/>
      <c r="AD642" s="4003">
        <v>21181401</v>
      </c>
      <c r="AE642" s="4004" t="s">
        <v>4312</v>
      </c>
      <c r="AF642" s="3961">
        <v>0</v>
      </c>
    </row>
    <row r="643" spans="6:32">
      <c r="F643" s="4001">
        <v>21131004</v>
      </c>
      <c r="G643" s="4002" t="s">
        <v>5063</v>
      </c>
      <c r="H643" s="3958">
        <v>0</v>
      </c>
      <c r="J643" s="3939"/>
      <c r="N643" s="4003">
        <v>21131004</v>
      </c>
      <c r="O643" s="4004" t="s">
        <v>4292</v>
      </c>
      <c r="P643" s="3961">
        <v>0</v>
      </c>
      <c r="R643" s="3939"/>
      <c r="V643" s="4003">
        <v>21131004</v>
      </c>
      <c r="W643" s="4004" t="s">
        <v>4292</v>
      </c>
      <c r="X643" s="3961">
        <v>0</v>
      </c>
      <c r="Z643" s="3939"/>
      <c r="AD643" s="3998">
        <v>21181900</v>
      </c>
      <c r="AE643" s="4008" t="s">
        <v>4313</v>
      </c>
      <c r="AF643" s="4000">
        <v>0</v>
      </c>
    </row>
    <row r="644" spans="6:32">
      <c r="F644" s="4001">
        <v>21131005</v>
      </c>
      <c r="G644" s="4002" t="s">
        <v>4293</v>
      </c>
      <c r="H644" s="3958">
        <v>0</v>
      </c>
      <c r="J644" s="3939"/>
      <c r="N644" s="4003">
        <v>21131005</v>
      </c>
      <c r="O644" s="4004" t="s">
        <v>4293</v>
      </c>
      <c r="P644" s="3961">
        <v>0</v>
      </c>
      <c r="R644" s="3939"/>
      <c r="V644" s="4003">
        <v>21131005</v>
      </c>
      <c r="W644" s="4004" t="s">
        <v>4293</v>
      </c>
      <c r="X644" s="3961">
        <v>0</v>
      </c>
      <c r="Z644" s="3939"/>
      <c r="AD644" s="4003">
        <v>21181901</v>
      </c>
      <c r="AE644" s="4004" t="s">
        <v>4313</v>
      </c>
      <c r="AF644" s="3961">
        <v>0</v>
      </c>
    </row>
    <row r="645" spans="6:32">
      <c r="F645" s="3989">
        <v>21140000</v>
      </c>
      <c r="G645" s="4005" t="s">
        <v>4294</v>
      </c>
      <c r="H645" s="3991">
        <v>21921356</v>
      </c>
      <c r="J645" s="3939"/>
      <c r="N645" s="3992">
        <v>21140000</v>
      </c>
      <c r="O645" s="4006" t="s">
        <v>4294</v>
      </c>
      <c r="P645" s="3994">
        <v>55670084</v>
      </c>
      <c r="R645" s="3939"/>
      <c r="V645" s="3992">
        <v>21140000</v>
      </c>
      <c r="W645" s="4006" t="s">
        <v>4294</v>
      </c>
      <c r="X645" s="3994">
        <v>58964282</v>
      </c>
      <c r="Z645" s="3939"/>
      <c r="AD645" s="3992">
        <v>21190000</v>
      </c>
      <c r="AE645" s="4006" t="s">
        <v>4314</v>
      </c>
      <c r="AF645" s="3994">
        <v>110325624</v>
      </c>
    </row>
    <row r="646" spans="6:32">
      <c r="F646" s="3995">
        <v>21141000</v>
      </c>
      <c r="G646" s="4007" t="s">
        <v>4294</v>
      </c>
      <c r="H646" s="3997">
        <v>21921356</v>
      </c>
      <c r="J646" s="3939"/>
      <c r="N646" s="3998">
        <v>21141000</v>
      </c>
      <c r="O646" s="4008" t="s">
        <v>4294</v>
      </c>
      <c r="P646" s="4000">
        <v>55670084</v>
      </c>
      <c r="R646" s="3939"/>
      <c r="V646" s="3998">
        <v>21141000</v>
      </c>
      <c r="W646" s="4008" t="s">
        <v>4294</v>
      </c>
      <c r="X646" s="4000">
        <v>58964282</v>
      </c>
      <c r="Z646" s="3939"/>
      <c r="AD646" s="3998">
        <v>21191000</v>
      </c>
      <c r="AE646" s="4008" t="s">
        <v>4315</v>
      </c>
      <c r="AF646" s="4000">
        <v>0</v>
      </c>
    </row>
    <row r="647" spans="6:32">
      <c r="F647" s="4001">
        <v>21141001</v>
      </c>
      <c r="G647" s="4002" t="s">
        <v>4294</v>
      </c>
      <c r="H647" s="3958">
        <v>21921356</v>
      </c>
      <c r="J647" s="3939"/>
      <c r="N647" s="4003">
        <v>21141001</v>
      </c>
      <c r="O647" s="4004" t="s">
        <v>4294</v>
      </c>
      <c r="P647" s="3961">
        <v>55670084</v>
      </c>
      <c r="R647" s="3939"/>
      <c r="V647" s="4003">
        <v>21141001</v>
      </c>
      <c r="W647" s="4004" t="s">
        <v>4294</v>
      </c>
      <c r="X647" s="3961">
        <v>58964282</v>
      </c>
      <c r="Z647" s="3939"/>
      <c r="AD647" s="4003">
        <v>21191001</v>
      </c>
      <c r="AE647" s="4004" t="s">
        <v>4315</v>
      </c>
      <c r="AF647" s="3961">
        <v>0</v>
      </c>
    </row>
    <row r="648" spans="6:32">
      <c r="F648" s="3989">
        <v>21150000</v>
      </c>
      <c r="G648" s="4005" t="s">
        <v>4295</v>
      </c>
      <c r="H648" s="3991">
        <v>0</v>
      </c>
      <c r="J648" s="3939"/>
      <c r="N648" s="3992">
        <v>21150000</v>
      </c>
      <c r="O648" s="4006" t="s">
        <v>4295</v>
      </c>
      <c r="P648" s="3994">
        <v>0</v>
      </c>
      <c r="R648" s="3939"/>
      <c r="V648" s="3992">
        <v>21150000</v>
      </c>
      <c r="W648" s="4006" t="s">
        <v>4295</v>
      </c>
      <c r="X648" s="3994">
        <v>0</v>
      </c>
      <c r="Z648" s="3939"/>
      <c r="AD648" s="4003">
        <v>21191002</v>
      </c>
      <c r="AE648" s="4004" t="s">
        <v>4316</v>
      </c>
      <c r="AF648" s="3961">
        <v>0</v>
      </c>
    </row>
    <row r="649" spans="6:32">
      <c r="F649" s="3995">
        <v>21151000</v>
      </c>
      <c r="G649" s="4007" t="s">
        <v>4296</v>
      </c>
      <c r="H649" s="3997">
        <v>0</v>
      </c>
      <c r="J649" s="3939"/>
      <c r="N649" s="3998">
        <v>21151000</v>
      </c>
      <c r="O649" s="4008" t="s">
        <v>4296</v>
      </c>
      <c r="P649" s="4000">
        <v>0</v>
      </c>
      <c r="R649" s="3939"/>
      <c r="V649" s="3998">
        <v>21151000</v>
      </c>
      <c r="W649" s="4008" t="s">
        <v>4296</v>
      </c>
      <c r="X649" s="4000">
        <v>0</v>
      </c>
      <c r="Z649" s="3939"/>
      <c r="AD649" s="3998">
        <v>21191100</v>
      </c>
      <c r="AE649" s="4008" t="s">
        <v>3955</v>
      </c>
      <c r="AF649" s="4000">
        <v>0</v>
      </c>
    </row>
    <row r="650" spans="6:32">
      <c r="F650" s="4001">
        <v>21151001</v>
      </c>
      <c r="G650" s="4002" t="s">
        <v>4296</v>
      </c>
      <c r="H650" s="3958">
        <v>0</v>
      </c>
      <c r="J650" s="3939"/>
      <c r="N650" s="4003">
        <v>21151001</v>
      </c>
      <c r="O650" s="4004" t="s">
        <v>4296</v>
      </c>
      <c r="P650" s="3961">
        <v>0</v>
      </c>
      <c r="R650" s="3939"/>
      <c r="V650" s="4003">
        <v>21151001</v>
      </c>
      <c r="W650" s="4004" t="s">
        <v>4296</v>
      </c>
      <c r="X650" s="3961">
        <v>0</v>
      </c>
      <c r="Z650" s="3939"/>
      <c r="AD650" s="4003">
        <v>21191101</v>
      </c>
      <c r="AE650" s="4004" t="s">
        <v>3955</v>
      </c>
      <c r="AF650" s="3961">
        <v>0</v>
      </c>
    </row>
    <row r="651" spans="6:32">
      <c r="F651" s="4001">
        <v>21151002</v>
      </c>
      <c r="G651" s="4002" t="s">
        <v>4297</v>
      </c>
      <c r="H651" s="3958">
        <v>0</v>
      </c>
      <c r="J651" s="3939"/>
      <c r="N651" s="4003">
        <v>21151002</v>
      </c>
      <c r="O651" s="4004" t="s">
        <v>4297</v>
      </c>
      <c r="P651" s="3961">
        <v>0</v>
      </c>
      <c r="R651" s="3939"/>
      <c r="V651" s="4003">
        <v>21151002</v>
      </c>
      <c r="W651" s="4004" t="s">
        <v>4297</v>
      </c>
      <c r="X651" s="3961">
        <v>0</v>
      </c>
      <c r="Z651" s="3939"/>
      <c r="AD651" s="3998">
        <v>21191200</v>
      </c>
      <c r="AE651" s="4008" t="s">
        <v>4317</v>
      </c>
      <c r="AF651" s="4000">
        <v>50634911</v>
      </c>
    </row>
    <row r="652" spans="6:32">
      <c r="F652" s="4001">
        <v>21151003</v>
      </c>
      <c r="G652" s="4002" t="s">
        <v>4298</v>
      </c>
      <c r="H652" s="3958">
        <v>0</v>
      </c>
      <c r="J652" s="3939"/>
      <c r="N652" s="4003">
        <v>21151003</v>
      </c>
      <c r="O652" s="4004" t="s">
        <v>4298</v>
      </c>
      <c r="P652" s="3961">
        <v>0</v>
      </c>
      <c r="R652" s="3939"/>
      <c r="V652" s="4003">
        <v>21151003</v>
      </c>
      <c r="W652" s="4004" t="s">
        <v>4298</v>
      </c>
      <c r="X652" s="3961">
        <v>0</v>
      </c>
      <c r="Z652" s="3939"/>
      <c r="AD652" s="4003">
        <v>21191201</v>
      </c>
      <c r="AE652" s="4004" t="s">
        <v>4317</v>
      </c>
      <c r="AF652" s="3961">
        <v>50634911</v>
      </c>
    </row>
    <row r="653" spans="6:32">
      <c r="F653" s="4001">
        <v>21151004</v>
      </c>
      <c r="G653" s="4002" t="s">
        <v>4299</v>
      </c>
      <c r="H653" s="3958">
        <v>0</v>
      </c>
      <c r="J653" s="3939"/>
      <c r="N653" s="4003">
        <v>21151004</v>
      </c>
      <c r="O653" s="4004" t="s">
        <v>4299</v>
      </c>
      <c r="P653" s="3961">
        <v>0</v>
      </c>
      <c r="R653" s="3939"/>
      <c r="V653" s="4003">
        <v>21151004</v>
      </c>
      <c r="W653" s="4004" t="s">
        <v>4299</v>
      </c>
      <c r="X653" s="3961">
        <v>0</v>
      </c>
      <c r="Z653" s="3939"/>
      <c r="AD653" s="3998">
        <v>21191300</v>
      </c>
      <c r="AE653" s="4008" t="s">
        <v>3952</v>
      </c>
      <c r="AF653" s="4000">
        <v>0</v>
      </c>
    </row>
    <row r="654" spans="6:32">
      <c r="F654" s="4001">
        <v>21151005</v>
      </c>
      <c r="G654" s="4002" t="s">
        <v>4300</v>
      </c>
      <c r="H654" s="3958">
        <v>0</v>
      </c>
      <c r="J654" s="3939"/>
      <c r="N654" s="4003">
        <v>21151005</v>
      </c>
      <c r="O654" s="4004" t="s">
        <v>4300</v>
      </c>
      <c r="P654" s="3961">
        <v>0</v>
      </c>
      <c r="R654" s="3939"/>
      <c r="V654" s="4003">
        <v>21151005</v>
      </c>
      <c r="W654" s="4004" t="s">
        <v>4300</v>
      </c>
      <c r="X654" s="3961">
        <v>0</v>
      </c>
      <c r="Z654" s="3939"/>
      <c r="AD654" s="4003">
        <v>21191301</v>
      </c>
      <c r="AE654" s="4004" t="s">
        <v>3952</v>
      </c>
      <c r="AF654" s="3961">
        <v>0</v>
      </c>
    </row>
    <row r="655" spans="6:32">
      <c r="F655" s="3989">
        <v>21160000</v>
      </c>
      <c r="G655" s="4005" t="s">
        <v>4301</v>
      </c>
      <c r="H655" s="3991">
        <v>0</v>
      </c>
      <c r="J655" s="3939"/>
      <c r="N655" s="3992">
        <v>21160000</v>
      </c>
      <c r="O655" s="4006" t="s">
        <v>4301</v>
      </c>
      <c r="P655" s="3994">
        <v>0</v>
      </c>
      <c r="R655" s="3939"/>
      <c r="V655" s="3992">
        <v>21160000</v>
      </c>
      <c r="W655" s="4006" t="s">
        <v>4301</v>
      </c>
      <c r="X655" s="3994">
        <v>0</v>
      </c>
      <c r="Z655" s="3939"/>
      <c r="AD655" s="3998">
        <v>21191400</v>
      </c>
      <c r="AE655" s="4008" t="s">
        <v>4318</v>
      </c>
      <c r="AF655" s="4000">
        <v>0</v>
      </c>
    </row>
    <row r="656" spans="6:32">
      <c r="F656" s="3995">
        <v>21161000</v>
      </c>
      <c r="G656" s="4007" t="s">
        <v>4301</v>
      </c>
      <c r="H656" s="3997">
        <v>0</v>
      </c>
      <c r="J656" s="3939"/>
      <c r="N656" s="3998">
        <v>21161000</v>
      </c>
      <c r="O656" s="4008" t="s">
        <v>4301</v>
      </c>
      <c r="P656" s="4000">
        <v>0</v>
      </c>
      <c r="R656" s="3939"/>
      <c r="V656" s="3998">
        <v>21161000</v>
      </c>
      <c r="W656" s="4008" t="s">
        <v>4301</v>
      </c>
      <c r="X656" s="4000">
        <v>0</v>
      </c>
      <c r="Z656" s="3939"/>
      <c r="AD656" s="4003">
        <v>21191401</v>
      </c>
      <c r="AE656" s="4004" t="s">
        <v>4319</v>
      </c>
      <c r="AF656" s="3961">
        <v>0</v>
      </c>
    </row>
    <row r="657" spans="6:32">
      <c r="F657" s="4001">
        <v>21161001</v>
      </c>
      <c r="G657" s="4002" t="s">
        <v>4301</v>
      </c>
      <c r="H657" s="3958">
        <v>0</v>
      </c>
      <c r="J657" s="3939"/>
      <c r="N657" s="4003">
        <v>21161001</v>
      </c>
      <c r="O657" s="4004" t="s">
        <v>4301</v>
      </c>
      <c r="P657" s="3961">
        <v>0</v>
      </c>
      <c r="R657" s="3939"/>
      <c r="V657" s="4003">
        <v>21161001</v>
      </c>
      <c r="W657" s="4004" t="s">
        <v>4301</v>
      </c>
      <c r="X657" s="3961">
        <v>0</v>
      </c>
      <c r="Z657" s="3939"/>
      <c r="AD657" s="3998">
        <v>21191500</v>
      </c>
      <c r="AE657" s="4008" t="s">
        <v>4320</v>
      </c>
      <c r="AF657" s="4000">
        <v>59690713</v>
      </c>
    </row>
    <row r="658" spans="6:32">
      <c r="F658" s="4001">
        <v>21161002</v>
      </c>
      <c r="G658" s="4002" t="s">
        <v>4302</v>
      </c>
      <c r="H658" s="3958">
        <v>0</v>
      </c>
      <c r="J658" s="3939"/>
      <c r="N658" s="4003">
        <v>21161002</v>
      </c>
      <c r="O658" s="4004" t="s">
        <v>4302</v>
      </c>
      <c r="P658" s="3961">
        <v>0</v>
      </c>
      <c r="R658" s="3939"/>
      <c r="V658" s="4003">
        <v>21161002</v>
      </c>
      <c r="W658" s="4004" t="s">
        <v>4302</v>
      </c>
      <c r="X658" s="3961">
        <v>0</v>
      </c>
      <c r="Z658" s="3939"/>
      <c r="AD658" s="4003">
        <v>21191501</v>
      </c>
      <c r="AE658" s="4004" t="s">
        <v>4320</v>
      </c>
      <c r="AF658" s="3961">
        <v>59690713</v>
      </c>
    </row>
    <row r="659" spans="6:32">
      <c r="F659" s="4001">
        <v>21161003</v>
      </c>
      <c r="G659" s="4002" t="s">
        <v>4303</v>
      </c>
      <c r="H659" s="3958">
        <v>0</v>
      </c>
      <c r="J659" s="3939"/>
      <c r="N659" s="4003">
        <v>21161003</v>
      </c>
      <c r="O659" s="4004" t="s">
        <v>4303</v>
      </c>
      <c r="P659" s="3961">
        <v>0</v>
      </c>
      <c r="R659" s="3939"/>
      <c r="V659" s="4003">
        <v>21161003</v>
      </c>
      <c r="W659" s="4004" t="s">
        <v>4303</v>
      </c>
      <c r="X659" s="3961">
        <v>0</v>
      </c>
      <c r="Z659" s="3939"/>
      <c r="AD659" s="3998">
        <v>21191600</v>
      </c>
      <c r="AE659" s="4008" t="s">
        <v>4314</v>
      </c>
      <c r="AF659" s="4000">
        <v>0</v>
      </c>
    </row>
    <row r="660" spans="6:32">
      <c r="F660" s="3989">
        <v>21170000</v>
      </c>
      <c r="G660" s="4005" t="s">
        <v>4304</v>
      </c>
      <c r="H660" s="3991">
        <v>0</v>
      </c>
      <c r="J660" s="3939"/>
      <c r="N660" s="3992">
        <v>21170000</v>
      </c>
      <c r="O660" s="4006" t="s">
        <v>4304</v>
      </c>
      <c r="P660" s="3994">
        <v>0</v>
      </c>
      <c r="R660" s="3939"/>
      <c r="V660" s="3992">
        <v>21170000</v>
      </c>
      <c r="W660" s="4006" t="s">
        <v>4304</v>
      </c>
      <c r="X660" s="3994">
        <v>0</v>
      </c>
      <c r="Z660" s="3939"/>
      <c r="AD660" s="4003">
        <v>21191601</v>
      </c>
      <c r="AE660" s="4004" t="s">
        <v>4314</v>
      </c>
      <c r="AF660" s="3961">
        <v>0</v>
      </c>
    </row>
    <row r="661" spans="6:32">
      <c r="F661" s="3995">
        <v>21171000</v>
      </c>
      <c r="G661" s="4007" t="s">
        <v>4304</v>
      </c>
      <c r="H661" s="3997">
        <v>0</v>
      </c>
      <c r="J661" s="3939"/>
      <c r="N661" s="3998">
        <v>21171000</v>
      </c>
      <c r="O661" s="4008" t="s">
        <v>4304</v>
      </c>
      <c r="P661" s="4000">
        <v>0</v>
      </c>
      <c r="R661" s="3939"/>
      <c r="V661" s="3998">
        <v>21171000</v>
      </c>
      <c r="W661" s="4008" t="s">
        <v>4304</v>
      </c>
      <c r="X661" s="4000">
        <v>0</v>
      </c>
      <c r="Z661" s="3939"/>
      <c r="AD661" s="3992">
        <v>21200000</v>
      </c>
      <c r="AE661" s="4006" t="s">
        <v>4321</v>
      </c>
      <c r="AF661" s="3994">
        <v>0</v>
      </c>
    </row>
    <row r="662" spans="6:32">
      <c r="F662" s="4001">
        <v>21171001</v>
      </c>
      <c r="G662" s="4002" t="s">
        <v>4304</v>
      </c>
      <c r="H662" s="3958">
        <v>0</v>
      </c>
      <c r="J662" s="3939"/>
      <c r="N662" s="4003">
        <v>21171001</v>
      </c>
      <c r="O662" s="4004" t="s">
        <v>4304</v>
      </c>
      <c r="P662" s="3961">
        <v>0</v>
      </c>
      <c r="R662" s="3939"/>
      <c r="V662" s="4003">
        <v>21171001</v>
      </c>
      <c r="W662" s="4004" t="s">
        <v>4304</v>
      </c>
      <c r="X662" s="3961">
        <v>0</v>
      </c>
      <c r="Z662" s="3939"/>
      <c r="AD662" s="3998">
        <v>21201000</v>
      </c>
      <c r="AE662" s="4008" t="s">
        <v>4322</v>
      </c>
      <c r="AF662" s="4000">
        <v>0</v>
      </c>
    </row>
    <row r="663" spans="6:32">
      <c r="F663" s="3989">
        <v>21180000</v>
      </c>
      <c r="G663" s="4005" t="s">
        <v>4305</v>
      </c>
      <c r="H663" s="3991">
        <v>0</v>
      </c>
      <c r="J663" s="3939"/>
      <c r="N663" s="3992">
        <v>21180000</v>
      </c>
      <c r="O663" s="4006" t="s">
        <v>4305</v>
      </c>
      <c r="P663" s="3994">
        <v>0</v>
      </c>
      <c r="R663" s="3939"/>
      <c r="V663" s="3992">
        <v>21180000</v>
      </c>
      <c r="W663" s="4006" t="s">
        <v>4305</v>
      </c>
      <c r="X663" s="3994">
        <v>0</v>
      </c>
      <c r="Z663" s="3939"/>
      <c r="AD663" s="4003">
        <v>21201001</v>
      </c>
      <c r="AE663" s="4004" t="s">
        <v>4322</v>
      </c>
      <c r="AF663" s="3961">
        <v>0</v>
      </c>
    </row>
    <row r="664" spans="6:32">
      <c r="F664" s="3995">
        <v>21181000</v>
      </c>
      <c r="G664" s="4007" t="s">
        <v>4306</v>
      </c>
      <c r="H664" s="3997">
        <v>0</v>
      </c>
      <c r="J664" s="3939"/>
      <c r="N664" s="3998">
        <v>21181000</v>
      </c>
      <c r="O664" s="4008" t="s">
        <v>4306</v>
      </c>
      <c r="P664" s="4000">
        <v>0</v>
      </c>
      <c r="R664" s="3939"/>
      <c r="V664" s="3998">
        <v>21181000</v>
      </c>
      <c r="W664" s="4008" t="s">
        <v>4306</v>
      </c>
      <c r="X664" s="4000">
        <v>0</v>
      </c>
      <c r="Z664" s="3939"/>
      <c r="AD664" s="3998">
        <v>21201100</v>
      </c>
      <c r="AE664" s="4008" t="s">
        <v>4321</v>
      </c>
      <c r="AF664" s="4000">
        <v>0</v>
      </c>
    </row>
    <row r="665" spans="6:32">
      <c r="F665" s="4001">
        <v>21181001</v>
      </c>
      <c r="G665" s="4002" t="s">
        <v>4306</v>
      </c>
      <c r="H665" s="3958">
        <v>0</v>
      </c>
      <c r="J665" s="3939"/>
      <c r="N665" s="4003">
        <v>21181001</v>
      </c>
      <c r="O665" s="4004" t="s">
        <v>4306</v>
      </c>
      <c r="P665" s="3961">
        <v>0</v>
      </c>
      <c r="R665" s="3939"/>
      <c r="V665" s="4003">
        <v>21181001</v>
      </c>
      <c r="W665" s="4004" t="s">
        <v>4306</v>
      </c>
      <c r="X665" s="3961">
        <v>0</v>
      </c>
      <c r="Z665" s="3939"/>
      <c r="AD665" s="4003">
        <v>21201101</v>
      </c>
      <c r="AE665" s="4004" t="s">
        <v>4323</v>
      </c>
      <c r="AF665" s="3961">
        <v>0</v>
      </c>
    </row>
    <row r="666" spans="6:32">
      <c r="F666" s="3995">
        <v>21181100</v>
      </c>
      <c r="G666" s="4007" t="s">
        <v>4307</v>
      </c>
      <c r="H666" s="3997">
        <v>0</v>
      </c>
      <c r="J666" s="3939"/>
      <c r="N666" s="3998">
        <v>21181100</v>
      </c>
      <c r="O666" s="4008" t="s">
        <v>4307</v>
      </c>
      <c r="P666" s="4000">
        <v>0</v>
      </c>
      <c r="R666" s="3939"/>
      <c r="V666" s="3998">
        <v>21181100</v>
      </c>
      <c r="W666" s="4008" t="s">
        <v>4307</v>
      </c>
      <c r="X666" s="4000">
        <v>0</v>
      </c>
      <c r="Z666" s="3939"/>
      <c r="AD666" s="3992">
        <v>21210000</v>
      </c>
      <c r="AE666" s="4006" t="s">
        <v>4324</v>
      </c>
      <c r="AF666" s="3994">
        <v>0</v>
      </c>
    </row>
    <row r="667" spans="6:32">
      <c r="F667" s="4001">
        <v>21181101</v>
      </c>
      <c r="G667" s="4002" t="s">
        <v>4308</v>
      </c>
      <c r="H667" s="3958">
        <v>0</v>
      </c>
      <c r="J667" s="3939"/>
      <c r="N667" s="4003">
        <v>21181101</v>
      </c>
      <c r="O667" s="4004" t="s">
        <v>4308</v>
      </c>
      <c r="P667" s="3961">
        <v>0</v>
      </c>
      <c r="R667" s="3939"/>
      <c r="V667" s="4003">
        <v>21181101</v>
      </c>
      <c r="W667" s="4004" t="s">
        <v>4308</v>
      </c>
      <c r="X667" s="3961">
        <v>0</v>
      </c>
      <c r="Z667" s="3939"/>
      <c r="AD667" s="3998">
        <v>21211000</v>
      </c>
      <c r="AE667" s="4008" t="s">
        <v>4324</v>
      </c>
      <c r="AF667" s="4000">
        <v>0</v>
      </c>
    </row>
    <row r="668" spans="6:32">
      <c r="F668" s="3995">
        <v>21181200</v>
      </c>
      <c r="G668" s="4007" t="s">
        <v>4309</v>
      </c>
      <c r="H668" s="3997">
        <v>0</v>
      </c>
      <c r="J668" s="3939"/>
      <c r="N668" s="3998">
        <v>21181200</v>
      </c>
      <c r="O668" s="4008" t="s">
        <v>4309</v>
      </c>
      <c r="P668" s="4000">
        <v>0</v>
      </c>
      <c r="R668" s="3939"/>
      <c r="V668" s="3998">
        <v>21181200</v>
      </c>
      <c r="W668" s="4008" t="s">
        <v>4309</v>
      </c>
      <c r="X668" s="4000">
        <v>0</v>
      </c>
      <c r="Z668" s="3939"/>
      <c r="AD668" s="4003">
        <v>21211001</v>
      </c>
      <c r="AE668" s="4004" t="s">
        <v>4324</v>
      </c>
      <c r="AF668" s="3961">
        <v>0</v>
      </c>
    </row>
    <row r="669" spans="6:32">
      <c r="F669" s="4001">
        <v>21181201</v>
      </c>
      <c r="G669" s="4002" t="s">
        <v>4310</v>
      </c>
      <c r="H669" s="3958">
        <v>0</v>
      </c>
      <c r="J669" s="3939"/>
      <c r="N669" s="4003">
        <v>21181201</v>
      </c>
      <c r="O669" s="4004" t="s">
        <v>4310</v>
      </c>
      <c r="P669" s="3961">
        <v>0</v>
      </c>
      <c r="R669" s="3939"/>
      <c r="V669" s="4003">
        <v>21181201</v>
      </c>
      <c r="W669" s="4004" t="s">
        <v>4310</v>
      </c>
      <c r="X669" s="3961">
        <v>0</v>
      </c>
      <c r="Z669" s="3939"/>
      <c r="AD669" s="3986">
        <v>22000000</v>
      </c>
      <c r="AE669" s="3987" t="s">
        <v>4325</v>
      </c>
      <c r="AF669" s="3988">
        <v>1658067965</v>
      </c>
    </row>
    <row r="670" spans="6:32">
      <c r="F670" s="3995">
        <v>21181300</v>
      </c>
      <c r="G670" s="4007" t="s">
        <v>4311</v>
      </c>
      <c r="H670" s="3997">
        <v>0</v>
      </c>
      <c r="J670" s="3939"/>
      <c r="N670" s="3998">
        <v>21181300</v>
      </c>
      <c r="O670" s="4008" t="s">
        <v>4311</v>
      </c>
      <c r="P670" s="4000">
        <v>0</v>
      </c>
      <c r="R670" s="3939"/>
      <c r="V670" s="3998">
        <v>21181300</v>
      </c>
      <c r="W670" s="4008" t="s">
        <v>4311</v>
      </c>
      <c r="X670" s="4000">
        <v>0</v>
      </c>
      <c r="Z670" s="3939"/>
      <c r="AD670" s="3992">
        <v>22100000</v>
      </c>
      <c r="AE670" s="4006" t="s">
        <v>4326</v>
      </c>
      <c r="AF670" s="3994">
        <v>0</v>
      </c>
    </row>
    <row r="671" spans="6:32">
      <c r="F671" s="4001">
        <v>21181301</v>
      </c>
      <c r="G671" s="4002" t="s">
        <v>4311</v>
      </c>
      <c r="H671" s="3958">
        <v>0</v>
      </c>
      <c r="J671" s="3939"/>
      <c r="N671" s="4003">
        <v>21181301</v>
      </c>
      <c r="O671" s="4004" t="s">
        <v>4311</v>
      </c>
      <c r="P671" s="3961">
        <v>0</v>
      </c>
      <c r="R671" s="3939"/>
      <c r="V671" s="4003">
        <v>21181301</v>
      </c>
      <c r="W671" s="4004" t="s">
        <v>4311</v>
      </c>
      <c r="X671" s="3961">
        <v>0</v>
      </c>
      <c r="Z671" s="3939"/>
      <c r="AD671" s="3998">
        <v>22101000</v>
      </c>
      <c r="AE671" s="4008" t="s">
        <v>4327</v>
      </c>
      <c r="AF671" s="4000">
        <v>0</v>
      </c>
    </row>
    <row r="672" spans="6:32">
      <c r="F672" s="3995">
        <v>21181400</v>
      </c>
      <c r="G672" s="4007" t="s">
        <v>5064</v>
      </c>
      <c r="H672" s="3997">
        <v>0</v>
      </c>
      <c r="J672" s="3939"/>
      <c r="N672" s="3998">
        <v>21181400</v>
      </c>
      <c r="O672" s="4008" t="s">
        <v>4312</v>
      </c>
      <c r="P672" s="4000">
        <v>0</v>
      </c>
      <c r="R672" s="3939"/>
      <c r="V672" s="3998">
        <v>21181400</v>
      </c>
      <c r="W672" s="4008" t="s">
        <v>4312</v>
      </c>
      <c r="X672" s="4000">
        <v>0</v>
      </c>
      <c r="Z672" s="3939"/>
      <c r="AD672" s="4003">
        <v>22101001</v>
      </c>
      <c r="AE672" s="4004" t="s">
        <v>4328</v>
      </c>
      <c r="AF672" s="3961">
        <v>0</v>
      </c>
    </row>
    <row r="673" spans="6:32">
      <c r="F673" s="4001">
        <v>21181401</v>
      </c>
      <c r="G673" s="4002" t="s">
        <v>5064</v>
      </c>
      <c r="H673" s="3958">
        <v>0</v>
      </c>
      <c r="J673" s="3939"/>
      <c r="N673" s="4003">
        <v>21181401</v>
      </c>
      <c r="O673" s="4004" t="s">
        <v>4312</v>
      </c>
      <c r="P673" s="3961">
        <v>0</v>
      </c>
      <c r="R673" s="3939"/>
      <c r="V673" s="4003">
        <v>21181401</v>
      </c>
      <c r="W673" s="4004" t="s">
        <v>4312</v>
      </c>
      <c r="X673" s="3961">
        <v>0</v>
      </c>
      <c r="Z673" s="3939"/>
      <c r="AD673" s="4003">
        <v>22101002</v>
      </c>
      <c r="AE673" s="4004" t="s">
        <v>4329</v>
      </c>
      <c r="AF673" s="3961">
        <v>0</v>
      </c>
    </row>
    <row r="674" spans="6:32">
      <c r="F674" s="3995">
        <v>21181900</v>
      </c>
      <c r="G674" s="4007" t="s">
        <v>4313</v>
      </c>
      <c r="H674" s="3997">
        <v>0</v>
      </c>
      <c r="J674" s="3939"/>
      <c r="N674" s="3998">
        <v>21181900</v>
      </c>
      <c r="O674" s="4008" t="s">
        <v>4313</v>
      </c>
      <c r="P674" s="4000">
        <v>0</v>
      </c>
      <c r="R674" s="3939"/>
      <c r="V674" s="3998">
        <v>21181900</v>
      </c>
      <c r="W674" s="4008" t="s">
        <v>4313</v>
      </c>
      <c r="X674" s="4000">
        <v>0</v>
      </c>
      <c r="Z674" s="3939"/>
      <c r="AD674" s="3998">
        <v>22101100</v>
      </c>
      <c r="AE674" s="4008" t="s">
        <v>4330</v>
      </c>
      <c r="AF674" s="4000">
        <v>0</v>
      </c>
    </row>
    <row r="675" spans="6:32">
      <c r="F675" s="4001">
        <v>21181901</v>
      </c>
      <c r="G675" s="4002" t="s">
        <v>4313</v>
      </c>
      <c r="H675" s="3958">
        <v>0</v>
      </c>
      <c r="J675" s="3939"/>
      <c r="N675" s="4003">
        <v>21181901</v>
      </c>
      <c r="O675" s="4004" t="s">
        <v>4313</v>
      </c>
      <c r="P675" s="3961">
        <v>0</v>
      </c>
      <c r="R675" s="3939"/>
      <c r="V675" s="4003">
        <v>21181901</v>
      </c>
      <c r="W675" s="4004" t="s">
        <v>4313</v>
      </c>
      <c r="X675" s="3961">
        <v>0</v>
      </c>
      <c r="Z675" s="3939"/>
      <c r="AD675" s="4003">
        <v>22101101</v>
      </c>
      <c r="AE675" s="4004" t="s">
        <v>4330</v>
      </c>
      <c r="AF675" s="3961">
        <v>0</v>
      </c>
    </row>
    <row r="676" spans="6:32">
      <c r="F676" s="3989">
        <v>21190000</v>
      </c>
      <c r="G676" s="4005" t="s">
        <v>4314</v>
      </c>
      <c r="H676" s="3991">
        <v>795126103</v>
      </c>
      <c r="J676" s="3939"/>
      <c r="N676" s="3992">
        <v>21190000</v>
      </c>
      <c r="O676" s="4006" t="s">
        <v>4314</v>
      </c>
      <c r="P676" s="3994">
        <v>683758853</v>
      </c>
      <c r="R676" s="3939"/>
      <c r="V676" s="3992">
        <v>21190000</v>
      </c>
      <c r="W676" s="4006" t="s">
        <v>4314</v>
      </c>
      <c r="X676" s="3994">
        <v>382132196</v>
      </c>
      <c r="Z676" s="3939"/>
      <c r="AD676" s="3998">
        <v>22101200</v>
      </c>
      <c r="AE676" s="4008" t="s">
        <v>4331</v>
      </c>
      <c r="AF676" s="4000">
        <v>0</v>
      </c>
    </row>
    <row r="677" spans="6:32">
      <c r="F677" s="3995">
        <v>21191000</v>
      </c>
      <c r="G677" s="4007" t="s">
        <v>4315</v>
      </c>
      <c r="H677" s="3997">
        <v>0</v>
      </c>
      <c r="J677" s="3939"/>
      <c r="N677" s="3998">
        <v>21191000</v>
      </c>
      <c r="O677" s="4008" t="s">
        <v>4315</v>
      </c>
      <c r="P677" s="4000">
        <v>0</v>
      </c>
      <c r="R677" s="3939"/>
      <c r="V677" s="3998">
        <v>21191000</v>
      </c>
      <c r="W677" s="4008" t="s">
        <v>4315</v>
      </c>
      <c r="X677" s="4000">
        <v>0</v>
      </c>
      <c r="Z677" s="3939"/>
      <c r="AD677" s="4003">
        <v>22101201</v>
      </c>
      <c r="AE677" s="4004" t="s">
        <v>4331</v>
      </c>
      <c r="AF677" s="3961">
        <v>0</v>
      </c>
    </row>
    <row r="678" spans="6:32">
      <c r="F678" s="4001">
        <v>21191001</v>
      </c>
      <c r="G678" s="4002" t="s">
        <v>5065</v>
      </c>
      <c r="H678" s="3958">
        <v>0</v>
      </c>
      <c r="J678" s="3939"/>
      <c r="N678" s="4003">
        <v>21191001</v>
      </c>
      <c r="O678" s="4004" t="s">
        <v>4315</v>
      </c>
      <c r="P678" s="3961">
        <v>0</v>
      </c>
      <c r="R678" s="3939"/>
      <c r="V678" s="4003">
        <v>21191001</v>
      </c>
      <c r="W678" s="4004" t="s">
        <v>4315</v>
      </c>
      <c r="X678" s="3961">
        <v>0</v>
      </c>
      <c r="Z678" s="3939"/>
      <c r="AD678" s="3998">
        <v>22101300</v>
      </c>
      <c r="AE678" s="4008" t="s">
        <v>4332</v>
      </c>
      <c r="AF678" s="4000">
        <v>0</v>
      </c>
    </row>
    <row r="679" spans="6:32">
      <c r="F679" s="4001">
        <v>21191002</v>
      </c>
      <c r="G679" s="4002" t="s">
        <v>5066</v>
      </c>
      <c r="H679" s="3958">
        <v>0</v>
      </c>
      <c r="J679" s="3939"/>
      <c r="N679" s="4003">
        <v>21191002</v>
      </c>
      <c r="O679" s="4004" t="s">
        <v>4316</v>
      </c>
      <c r="P679" s="3961">
        <v>0</v>
      </c>
      <c r="R679" s="3939"/>
      <c r="V679" s="4003">
        <v>21191002</v>
      </c>
      <c r="W679" s="4004" t="s">
        <v>4316</v>
      </c>
      <c r="X679" s="3961">
        <v>0</v>
      </c>
      <c r="Z679" s="3939"/>
      <c r="AD679" s="4003">
        <v>22101301</v>
      </c>
      <c r="AE679" s="4004" t="s">
        <v>4332</v>
      </c>
      <c r="AF679" s="3961">
        <v>0</v>
      </c>
    </row>
    <row r="680" spans="6:32">
      <c r="F680" s="3995">
        <v>21191100</v>
      </c>
      <c r="G680" s="4007" t="s">
        <v>3955</v>
      </c>
      <c r="H680" s="3997">
        <v>0</v>
      </c>
      <c r="J680" s="3939"/>
      <c r="N680" s="3998">
        <v>21191100</v>
      </c>
      <c r="O680" s="4008" t="s">
        <v>3955</v>
      </c>
      <c r="P680" s="4000">
        <v>0</v>
      </c>
      <c r="R680" s="3939"/>
      <c r="V680" s="3998">
        <v>21191100</v>
      </c>
      <c r="W680" s="4008" t="s">
        <v>3955</v>
      </c>
      <c r="X680" s="4000">
        <v>0</v>
      </c>
      <c r="Z680" s="3939"/>
      <c r="AD680" s="3998">
        <v>22101400</v>
      </c>
      <c r="AE680" s="4008" t="s">
        <v>4333</v>
      </c>
      <c r="AF680" s="4000">
        <v>0</v>
      </c>
    </row>
    <row r="681" spans="6:32">
      <c r="F681" s="4001">
        <v>21191101</v>
      </c>
      <c r="G681" s="4002" t="s">
        <v>3955</v>
      </c>
      <c r="H681" s="3958">
        <v>0</v>
      </c>
      <c r="J681" s="3939"/>
      <c r="N681" s="4003">
        <v>21191101</v>
      </c>
      <c r="O681" s="4004" t="s">
        <v>3955</v>
      </c>
      <c r="P681" s="3961">
        <v>0</v>
      </c>
      <c r="R681" s="3939"/>
      <c r="V681" s="4003">
        <v>21191101</v>
      </c>
      <c r="W681" s="4004" t="s">
        <v>3955</v>
      </c>
      <c r="X681" s="3961">
        <v>0</v>
      </c>
      <c r="Z681" s="3939"/>
      <c r="AD681" s="4003">
        <v>22101401</v>
      </c>
      <c r="AE681" s="4004" t="s">
        <v>4333</v>
      </c>
      <c r="AF681" s="3961">
        <v>0</v>
      </c>
    </row>
    <row r="682" spans="6:32">
      <c r="F682" s="3995">
        <v>21191200</v>
      </c>
      <c r="G682" s="4007" t="s">
        <v>4317</v>
      </c>
      <c r="H682" s="3997">
        <v>54758926</v>
      </c>
      <c r="J682" s="3939"/>
      <c r="N682" s="3998">
        <v>21191200</v>
      </c>
      <c r="O682" s="4008" t="s">
        <v>4317</v>
      </c>
      <c r="P682" s="4000">
        <v>49509756</v>
      </c>
      <c r="R682" s="3939"/>
      <c r="V682" s="3998">
        <v>21191200</v>
      </c>
      <c r="W682" s="4008" t="s">
        <v>4317</v>
      </c>
      <c r="X682" s="4000">
        <v>54525292</v>
      </c>
      <c r="Z682" s="3939"/>
      <c r="AD682" s="3998">
        <v>22101500</v>
      </c>
      <c r="AE682" s="4008" t="s">
        <v>4334</v>
      </c>
      <c r="AF682" s="4000">
        <v>0</v>
      </c>
    </row>
    <row r="683" spans="6:32">
      <c r="F683" s="4001">
        <v>21191201</v>
      </c>
      <c r="G683" s="4002" t="s">
        <v>4317</v>
      </c>
      <c r="H683" s="3958">
        <v>54758926</v>
      </c>
      <c r="J683" s="3939"/>
      <c r="N683" s="4003">
        <v>21191201</v>
      </c>
      <c r="O683" s="4004" t="s">
        <v>4317</v>
      </c>
      <c r="P683" s="3961">
        <v>49509756</v>
      </c>
      <c r="R683" s="3939"/>
      <c r="V683" s="4003">
        <v>21191201</v>
      </c>
      <c r="W683" s="4004" t="s">
        <v>4317</v>
      </c>
      <c r="X683" s="3961">
        <v>54525292</v>
      </c>
      <c r="Z683" s="3939"/>
      <c r="AD683" s="4003">
        <v>22101501</v>
      </c>
      <c r="AE683" s="4004" t="s">
        <v>4334</v>
      </c>
      <c r="AF683" s="3961">
        <v>0</v>
      </c>
    </row>
    <row r="684" spans="6:32">
      <c r="F684" s="3995">
        <v>21191300</v>
      </c>
      <c r="G684" s="4007" t="s">
        <v>3952</v>
      </c>
      <c r="H684" s="3997">
        <v>0</v>
      </c>
      <c r="J684" s="3939"/>
      <c r="N684" s="3998">
        <v>21191300</v>
      </c>
      <c r="O684" s="4008" t="s">
        <v>3952</v>
      </c>
      <c r="P684" s="4000">
        <v>0</v>
      </c>
      <c r="R684" s="3939"/>
      <c r="V684" s="3998">
        <v>21191300</v>
      </c>
      <c r="W684" s="4008" t="s">
        <v>3952</v>
      </c>
      <c r="X684" s="4000">
        <v>0</v>
      </c>
      <c r="Z684" s="3939"/>
      <c r="AD684" s="3998">
        <v>22101600</v>
      </c>
      <c r="AE684" s="4008" t="s">
        <v>4335</v>
      </c>
      <c r="AF684" s="4000">
        <v>0</v>
      </c>
    </row>
    <row r="685" spans="6:32">
      <c r="F685" s="4001">
        <v>21191301</v>
      </c>
      <c r="G685" s="4002" t="s">
        <v>3952</v>
      </c>
      <c r="H685" s="3958">
        <v>0</v>
      </c>
      <c r="J685" s="3939"/>
      <c r="N685" s="4003">
        <v>21191301</v>
      </c>
      <c r="O685" s="4004" t="s">
        <v>3952</v>
      </c>
      <c r="P685" s="3961">
        <v>0</v>
      </c>
      <c r="R685" s="3939"/>
      <c r="V685" s="4003">
        <v>21191301</v>
      </c>
      <c r="W685" s="4004" t="s">
        <v>3952</v>
      </c>
      <c r="X685" s="3961">
        <v>0</v>
      </c>
      <c r="Z685" s="3939"/>
      <c r="AD685" s="4003">
        <v>22101601</v>
      </c>
      <c r="AE685" s="4004" t="s">
        <v>4335</v>
      </c>
      <c r="AF685" s="3961">
        <v>0</v>
      </c>
    </row>
    <row r="686" spans="6:32">
      <c r="F686" s="3995">
        <v>21191400</v>
      </c>
      <c r="G686" s="4007" t="s">
        <v>4318</v>
      </c>
      <c r="H686" s="3997">
        <v>0</v>
      </c>
      <c r="J686" s="3939"/>
      <c r="N686" s="3998">
        <v>21191400</v>
      </c>
      <c r="O686" s="4008" t="s">
        <v>4318</v>
      </c>
      <c r="P686" s="4000">
        <v>0</v>
      </c>
      <c r="R686" s="3939"/>
      <c r="V686" s="3998">
        <v>21191400</v>
      </c>
      <c r="W686" s="4008" t="s">
        <v>4318</v>
      </c>
      <c r="X686" s="4000">
        <v>0</v>
      </c>
      <c r="Z686" s="3939"/>
      <c r="AD686" s="3998">
        <v>22101700</v>
      </c>
      <c r="AE686" s="4008" t="s">
        <v>4336</v>
      </c>
      <c r="AF686" s="4000">
        <v>0</v>
      </c>
    </row>
    <row r="687" spans="6:32">
      <c r="F687" s="4001">
        <v>21191401</v>
      </c>
      <c r="G687" s="4002" t="s">
        <v>4319</v>
      </c>
      <c r="H687" s="3958">
        <v>0</v>
      </c>
      <c r="J687" s="3939"/>
      <c r="N687" s="4003">
        <v>21191401</v>
      </c>
      <c r="O687" s="4004" t="s">
        <v>4319</v>
      </c>
      <c r="P687" s="3961">
        <v>0</v>
      </c>
      <c r="R687" s="3939"/>
      <c r="V687" s="4003">
        <v>21191401</v>
      </c>
      <c r="W687" s="4004" t="s">
        <v>4319</v>
      </c>
      <c r="X687" s="3961">
        <v>0</v>
      </c>
      <c r="Z687" s="3939"/>
      <c r="AD687" s="4003">
        <v>22101701</v>
      </c>
      <c r="AE687" s="4004" t="s">
        <v>4336</v>
      </c>
      <c r="AF687" s="3961">
        <v>0</v>
      </c>
    </row>
    <row r="688" spans="6:32">
      <c r="F688" s="3995">
        <v>21191500</v>
      </c>
      <c r="G688" s="4007" t="s">
        <v>4320</v>
      </c>
      <c r="H688" s="3997">
        <v>740367177</v>
      </c>
      <c r="J688" s="3939"/>
      <c r="N688" s="3998">
        <v>21191500</v>
      </c>
      <c r="O688" s="4008" t="s">
        <v>4320</v>
      </c>
      <c r="P688" s="4000">
        <v>634249097</v>
      </c>
      <c r="R688" s="3939"/>
      <c r="V688" s="3998">
        <v>21191500</v>
      </c>
      <c r="W688" s="4008" t="s">
        <v>4320</v>
      </c>
      <c r="X688" s="4000">
        <v>327606904</v>
      </c>
      <c r="Z688" s="3939"/>
      <c r="AD688" s="3998">
        <v>22101800</v>
      </c>
      <c r="AE688" s="4008" t="s">
        <v>4337</v>
      </c>
      <c r="AF688" s="4000">
        <v>0</v>
      </c>
    </row>
    <row r="689" spans="6:32">
      <c r="F689" s="4001">
        <v>21191501</v>
      </c>
      <c r="G689" s="4002" t="s">
        <v>4320</v>
      </c>
      <c r="H689" s="3958">
        <v>740367177</v>
      </c>
      <c r="J689" s="3939"/>
      <c r="N689" s="4003">
        <v>21191501</v>
      </c>
      <c r="O689" s="4004" t="s">
        <v>4320</v>
      </c>
      <c r="P689" s="3961">
        <v>634249097</v>
      </c>
      <c r="R689" s="3939"/>
      <c r="V689" s="4003">
        <v>21191501</v>
      </c>
      <c r="W689" s="4004" t="s">
        <v>4320</v>
      </c>
      <c r="X689" s="3961">
        <v>327606904</v>
      </c>
      <c r="Z689" s="3939"/>
      <c r="AD689" s="4003">
        <v>22101801</v>
      </c>
      <c r="AE689" s="4004" t="s">
        <v>4337</v>
      </c>
      <c r="AF689" s="3961">
        <v>0</v>
      </c>
    </row>
    <row r="690" spans="6:32">
      <c r="F690" s="3995">
        <v>21191600</v>
      </c>
      <c r="G690" s="4007" t="s">
        <v>4314</v>
      </c>
      <c r="H690" s="3997">
        <v>0</v>
      </c>
      <c r="J690" s="3939"/>
      <c r="N690" s="3998">
        <v>21191600</v>
      </c>
      <c r="O690" s="4008" t="s">
        <v>4314</v>
      </c>
      <c r="P690" s="4000">
        <v>0</v>
      </c>
      <c r="R690" s="3939"/>
      <c r="V690" s="3998">
        <v>21191600</v>
      </c>
      <c r="W690" s="4008" t="s">
        <v>4314</v>
      </c>
      <c r="X690" s="4000">
        <v>0</v>
      </c>
      <c r="Z690" s="3939"/>
      <c r="AD690" s="3992">
        <v>22110000</v>
      </c>
      <c r="AE690" s="4006" t="s">
        <v>4338</v>
      </c>
      <c r="AF690" s="3994">
        <v>0</v>
      </c>
    </row>
    <row r="691" spans="6:32">
      <c r="F691" s="4001">
        <v>21191601</v>
      </c>
      <c r="G691" s="4002" t="s">
        <v>4314</v>
      </c>
      <c r="H691" s="3958">
        <v>0</v>
      </c>
      <c r="J691" s="3939"/>
      <c r="N691" s="4003">
        <v>21191601</v>
      </c>
      <c r="O691" s="4004" t="s">
        <v>4314</v>
      </c>
      <c r="P691" s="3961">
        <v>0</v>
      </c>
      <c r="R691" s="3939"/>
      <c r="V691" s="4003">
        <v>21191601</v>
      </c>
      <c r="W691" s="4004" t="s">
        <v>4314</v>
      </c>
      <c r="X691" s="3961">
        <v>0</v>
      </c>
      <c r="Z691" s="3939"/>
      <c r="AD691" s="3998">
        <v>22111000</v>
      </c>
      <c r="AE691" s="4008" t="s">
        <v>4339</v>
      </c>
      <c r="AF691" s="4000">
        <v>0</v>
      </c>
    </row>
    <row r="692" spans="6:32">
      <c r="F692" s="3989">
        <v>21200000</v>
      </c>
      <c r="G692" s="4005" t="s">
        <v>4321</v>
      </c>
      <c r="H692" s="3991">
        <v>0</v>
      </c>
      <c r="J692" s="3939"/>
      <c r="N692" s="3992">
        <v>21200000</v>
      </c>
      <c r="O692" s="4006" t="s">
        <v>4321</v>
      </c>
      <c r="P692" s="3994">
        <v>0</v>
      </c>
      <c r="R692" s="3939"/>
      <c r="V692" s="3992">
        <v>21200000</v>
      </c>
      <c r="W692" s="4006" t="s">
        <v>4321</v>
      </c>
      <c r="X692" s="3994">
        <v>0</v>
      </c>
      <c r="Z692" s="3939"/>
      <c r="AD692" s="4003">
        <v>22111001</v>
      </c>
      <c r="AE692" s="4004" t="s">
        <v>4339</v>
      </c>
      <c r="AF692" s="3961">
        <v>0</v>
      </c>
    </row>
    <row r="693" spans="6:32">
      <c r="F693" s="3995">
        <v>21201000</v>
      </c>
      <c r="G693" s="4007" t="s">
        <v>4322</v>
      </c>
      <c r="H693" s="3997">
        <v>0</v>
      </c>
      <c r="J693" s="3939"/>
      <c r="N693" s="3998">
        <v>21201000</v>
      </c>
      <c r="O693" s="4008" t="s">
        <v>4322</v>
      </c>
      <c r="P693" s="4000">
        <v>0</v>
      </c>
      <c r="R693" s="3939"/>
      <c r="V693" s="3998">
        <v>21201000</v>
      </c>
      <c r="W693" s="4008" t="s">
        <v>4322</v>
      </c>
      <c r="X693" s="4000">
        <v>0</v>
      </c>
      <c r="Z693" s="3939"/>
      <c r="AD693" s="3998">
        <v>22111100</v>
      </c>
      <c r="AE693" s="4008" t="s">
        <v>4340</v>
      </c>
      <c r="AF693" s="4000">
        <v>0</v>
      </c>
    </row>
    <row r="694" spans="6:32">
      <c r="F694" s="4001">
        <v>21201001</v>
      </c>
      <c r="G694" s="4002" t="s">
        <v>5067</v>
      </c>
      <c r="H694" s="3958">
        <v>0</v>
      </c>
      <c r="J694" s="3939"/>
      <c r="N694" s="4003">
        <v>21201001</v>
      </c>
      <c r="O694" s="4004" t="s">
        <v>4322</v>
      </c>
      <c r="P694" s="3961">
        <v>0</v>
      </c>
      <c r="R694" s="3939"/>
      <c r="V694" s="4003">
        <v>21201001</v>
      </c>
      <c r="W694" s="4004" t="s">
        <v>4322</v>
      </c>
      <c r="X694" s="3961">
        <v>0</v>
      </c>
      <c r="Z694" s="3939"/>
      <c r="AD694" s="4003">
        <v>22111101</v>
      </c>
      <c r="AE694" s="4004" t="s">
        <v>4341</v>
      </c>
      <c r="AF694" s="3961">
        <v>0</v>
      </c>
    </row>
    <row r="695" spans="6:32">
      <c r="F695" s="3995">
        <v>21201100</v>
      </c>
      <c r="G695" s="4007" t="s">
        <v>4321</v>
      </c>
      <c r="H695" s="3997">
        <v>0</v>
      </c>
      <c r="J695" s="3939"/>
      <c r="N695" s="3998">
        <v>21201100</v>
      </c>
      <c r="O695" s="4008" t="s">
        <v>4321</v>
      </c>
      <c r="P695" s="4000">
        <v>0</v>
      </c>
      <c r="R695" s="3939"/>
      <c r="V695" s="3998">
        <v>21201100</v>
      </c>
      <c r="W695" s="4008" t="s">
        <v>4321</v>
      </c>
      <c r="X695" s="4000">
        <v>0</v>
      </c>
      <c r="Z695" s="3939"/>
      <c r="AD695" s="4003">
        <v>22111102</v>
      </c>
      <c r="AE695" s="4004" t="s">
        <v>4342</v>
      </c>
      <c r="AF695" s="3961">
        <v>0</v>
      </c>
    </row>
    <row r="696" spans="6:32">
      <c r="F696" s="4001">
        <v>21201101</v>
      </c>
      <c r="G696" s="4002" t="s">
        <v>4323</v>
      </c>
      <c r="H696" s="3958">
        <v>0</v>
      </c>
      <c r="J696" s="3939"/>
      <c r="N696" s="4003">
        <v>21201101</v>
      </c>
      <c r="O696" s="4004" t="s">
        <v>4323</v>
      </c>
      <c r="P696" s="3961">
        <v>0</v>
      </c>
      <c r="R696" s="3939"/>
      <c r="V696" s="4003">
        <v>21201101</v>
      </c>
      <c r="W696" s="4004" t="s">
        <v>4323</v>
      </c>
      <c r="X696" s="3961">
        <v>0</v>
      </c>
      <c r="Z696" s="3939"/>
      <c r="AD696" s="3992">
        <v>22120000</v>
      </c>
      <c r="AE696" s="4006" t="s">
        <v>4343</v>
      </c>
      <c r="AF696" s="3994">
        <v>0</v>
      </c>
    </row>
    <row r="697" spans="6:32">
      <c r="F697" s="3989">
        <v>21210000</v>
      </c>
      <c r="G697" s="4005" t="s">
        <v>4324</v>
      </c>
      <c r="H697" s="3991">
        <v>0</v>
      </c>
      <c r="J697" s="3939"/>
      <c r="N697" s="3992">
        <v>21210000</v>
      </c>
      <c r="O697" s="4006" t="s">
        <v>4324</v>
      </c>
      <c r="P697" s="3994">
        <v>0</v>
      </c>
      <c r="R697" s="3939"/>
      <c r="V697" s="3992">
        <v>21210000</v>
      </c>
      <c r="W697" s="4006" t="s">
        <v>4324</v>
      </c>
      <c r="X697" s="3994">
        <v>0</v>
      </c>
      <c r="Z697" s="3939"/>
      <c r="AD697" s="3998">
        <v>22121000</v>
      </c>
      <c r="AE697" s="4008" t="s">
        <v>4344</v>
      </c>
      <c r="AF697" s="4000">
        <v>0</v>
      </c>
    </row>
    <row r="698" spans="6:32">
      <c r="F698" s="3995">
        <v>21211000</v>
      </c>
      <c r="G698" s="4007" t="s">
        <v>4324</v>
      </c>
      <c r="H698" s="3997">
        <v>0</v>
      </c>
      <c r="J698" s="3939"/>
      <c r="N698" s="3998">
        <v>21211000</v>
      </c>
      <c r="O698" s="4008" t="s">
        <v>4324</v>
      </c>
      <c r="P698" s="4000">
        <v>0</v>
      </c>
      <c r="R698" s="3939"/>
      <c r="V698" s="3998">
        <v>21211000</v>
      </c>
      <c r="W698" s="4008" t="s">
        <v>4324</v>
      </c>
      <c r="X698" s="4000">
        <v>0</v>
      </c>
      <c r="Z698" s="3939"/>
      <c r="AD698" s="4003">
        <v>22121001</v>
      </c>
      <c r="AE698" s="4004" t="s">
        <v>4345</v>
      </c>
      <c r="AF698" s="3961">
        <v>0</v>
      </c>
    </row>
    <row r="699" spans="6:32">
      <c r="F699" s="4001">
        <v>21211001</v>
      </c>
      <c r="G699" s="4002" t="s">
        <v>4324</v>
      </c>
      <c r="H699" s="3958">
        <v>0</v>
      </c>
      <c r="J699" s="3939"/>
      <c r="N699" s="4003">
        <v>21211001</v>
      </c>
      <c r="O699" s="4004" t="s">
        <v>4324</v>
      </c>
      <c r="P699" s="3961">
        <v>0</v>
      </c>
      <c r="R699" s="3939"/>
      <c r="V699" s="4003">
        <v>21211001</v>
      </c>
      <c r="W699" s="4004" t="s">
        <v>4324</v>
      </c>
      <c r="X699" s="3961">
        <v>0</v>
      </c>
      <c r="Z699" s="3939"/>
      <c r="AD699" s="4003">
        <v>22121002</v>
      </c>
      <c r="AE699" s="4004" t="s">
        <v>4346</v>
      </c>
      <c r="AF699" s="3961">
        <v>0</v>
      </c>
    </row>
    <row r="700" spans="6:32">
      <c r="F700" s="3983">
        <v>22000000</v>
      </c>
      <c r="G700" s="3984" t="s">
        <v>4325</v>
      </c>
      <c r="H700" s="3985">
        <v>2852181303</v>
      </c>
      <c r="J700" s="3939"/>
      <c r="N700" s="3986">
        <v>22000000</v>
      </c>
      <c r="O700" s="3987" t="s">
        <v>4325</v>
      </c>
      <c r="P700" s="3988">
        <v>1949840312</v>
      </c>
      <c r="R700" s="3939"/>
      <c r="V700" s="3986">
        <v>22000000</v>
      </c>
      <c r="W700" s="3987" t="s">
        <v>4325</v>
      </c>
      <c r="X700" s="3988">
        <v>1612054534</v>
      </c>
      <c r="Z700" s="3939"/>
      <c r="AD700" s="4003">
        <v>22121003</v>
      </c>
      <c r="AE700" s="4004" t="s">
        <v>4347</v>
      </c>
      <c r="AF700" s="3961">
        <v>0</v>
      </c>
    </row>
    <row r="701" spans="6:32">
      <c r="F701" s="3989">
        <v>22100000</v>
      </c>
      <c r="G701" s="4005" t="s">
        <v>4326</v>
      </c>
      <c r="H701" s="3991">
        <v>0</v>
      </c>
      <c r="J701" s="3939"/>
      <c r="N701" s="3992">
        <v>22100000</v>
      </c>
      <c r="O701" s="4006" t="s">
        <v>4326</v>
      </c>
      <c r="P701" s="3994">
        <v>54533412</v>
      </c>
      <c r="R701" s="3939"/>
      <c r="V701" s="3992">
        <v>22100000</v>
      </c>
      <c r="W701" s="4006" t="s">
        <v>4326</v>
      </c>
      <c r="X701" s="3994">
        <v>0</v>
      </c>
      <c r="Z701" s="3939"/>
      <c r="AD701" s="3998">
        <v>22121100</v>
      </c>
      <c r="AE701" s="4008" t="s">
        <v>4348</v>
      </c>
      <c r="AF701" s="4000">
        <v>0</v>
      </c>
    </row>
    <row r="702" spans="6:32">
      <c r="F702" s="3995">
        <v>22101000</v>
      </c>
      <c r="G702" s="4007" t="s">
        <v>4327</v>
      </c>
      <c r="H702" s="3997">
        <v>0</v>
      </c>
      <c r="J702" s="3939"/>
      <c r="N702" s="3998">
        <v>22101000</v>
      </c>
      <c r="O702" s="4008" t="s">
        <v>4327</v>
      </c>
      <c r="P702" s="4000">
        <v>0</v>
      </c>
      <c r="R702" s="3939"/>
      <c r="V702" s="3998">
        <v>22101000</v>
      </c>
      <c r="W702" s="4008" t="s">
        <v>4327</v>
      </c>
      <c r="X702" s="4000">
        <v>0</v>
      </c>
      <c r="Z702" s="3939"/>
      <c r="AD702" s="4003">
        <v>22121101</v>
      </c>
      <c r="AE702" s="4004" t="s">
        <v>4349</v>
      </c>
      <c r="AF702" s="3961">
        <v>0</v>
      </c>
    </row>
    <row r="703" spans="6:32">
      <c r="F703" s="4001">
        <v>22101001</v>
      </c>
      <c r="G703" s="4002" t="s">
        <v>4328</v>
      </c>
      <c r="H703" s="3958">
        <v>0</v>
      </c>
      <c r="J703" s="3939"/>
      <c r="N703" s="4003">
        <v>22101001</v>
      </c>
      <c r="O703" s="4004" t="s">
        <v>4328</v>
      </c>
      <c r="P703" s="3961">
        <v>0</v>
      </c>
      <c r="R703" s="3939"/>
      <c r="V703" s="4003">
        <v>22101001</v>
      </c>
      <c r="W703" s="4004" t="s">
        <v>4328</v>
      </c>
      <c r="X703" s="3961">
        <v>0</v>
      </c>
      <c r="Z703" s="3939"/>
      <c r="AD703" s="4003">
        <v>22121102</v>
      </c>
      <c r="AE703" s="4004" t="s">
        <v>4350</v>
      </c>
      <c r="AF703" s="3961">
        <v>0</v>
      </c>
    </row>
    <row r="704" spans="6:32">
      <c r="F704" s="4001">
        <v>22101002</v>
      </c>
      <c r="G704" s="4002" t="s">
        <v>4329</v>
      </c>
      <c r="H704" s="3958">
        <v>0</v>
      </c>
      <c r="J704" s="3939"/>
      <c r="N704" s="4003">
        <v>22101002</v>
      </c>
      <c r="O704" s="4004" t="s">
        <v>4329</v>
      </c>
      <c r="P704" s="3961">
        <v>0</v>
      </c>
      <c r="R704" s="3939"/>
      <c r="V704" s="4003">
        <v>22101002</v>
      </c>
      <c r="W704" s="4004" t="s">
        <v>4329</v>
      </c>
      <c r="X704" s="3961">
        <v>0</v>
      </c>
      <c r="Z704" s="3939"/>
      <c r="AD704" s="3992">
        <v>22130000</v>
      </c>
      <c r="AE704" s="4006" t="s">
        <v>4351</v>
      </c>
      <c r="AF704" s="3994">
        <v>0</v>
      </c>
    </row>
    <row r="705" spans="6:32">
      <c r="F705" s="3995">
        <v>22101100</v>
      </c>
      <c r="G705" s="4007" t="s">
        <v>4330</v>
      </c>
      <c r="H705" s="3997">
        <v>0</v>
      </c>
      <c r="J705" s="3939"/>
      <c r="N705" s="3998">
        <v>22101100</v>
      </c>
      <c r="O705" s="4008" t="s">
        <v>4330</v>
      </c>
      <c r="P705" s="4000">
        <v>0</v>
      </c>
      <c r="R705" s="3939"/>
      <c r="V705" s="3998">
        <v>22101100</v>
      </c>
      <c r="W705" s="4008" t="s">
        <v>4330</v>
      </c>
      <c r="X705" s="4000">
        <v>0</v>
      </c>
      <c r="Z705" s="3939"/>
      <c r="AD705" s="3998">
        <v>22131000</v>
      </c>
      <c r="AE705" s="4008" t="s">
        <v>4351</v>
      </c>
      <c r="AF705" s="4000">
        <v>0</v>
      </c>
    </row>
    <row r="706" spans="6:32">
      <c r="F706" s="4001">
        <v>22101101</v>
      </c>
      <c r="G706" s="4002" t="s">
        <v>4330</v>
      </c>
      <c r="H706" s="3958">
        <v>0</v>
      </c>
      <c r="J706" s="3939"/>
      <c r="N706" s="4003">
        <v>22101101</v>
      </c>
      <c r="O706" s="4004" t="s">
        <v>4330</v>
      </c>
      <c r="P706" s="3961">
        <v>0</v>
      </c>
      <c r="R706" s="3939"/>
      <c r="V706" s="4003">
        <v>22101101</v>
      </c>
      <c r="W706" s="4004" t="s">
        <v>4330</v>
      </c>
      <c r="X706" s="3961">
        <v>0</v>
      </c>
      <c r="Z706" s="3939"/>
      <c r="AD706" s="4003">
        <v>22131001</v>
      </c>
      <c r="AE706" s="4004" t="s">
        <v>4352</v>
      </c>
      <c r="AF706" s="3961">
        <v>0</v>
      </c>
    </row>
    <row r="707" spans="6:32">
      <c r="F707" s="3995">
        <v>22101200</v>
      </c>
      <c r="G707" s="4007" t="s">
        <v>4331</v>
      </c>
      <c r="H707" s="3997">
        <v>0</v>
      </c>
      <c r="J707" s="3939"/>
      <c r="N707" s="3998">
        <v>22101200</v>
      </c>
      <c r="O707" s="4008" t="s">
        <v>4331</v>
      </c>
      <c r="P707" s="4000">
        <v>0</v>
      </c>
      <c r="R707" s="3939"/>
      <c r="V707" s="3998">
        <v>22101200</v>
      </c>
      <c r="W707" s="4008" t="s">
        <v>4331</v>
      </c>
      <c r="X707" s="4000">
        <v>0</v>
      </c>
      <c r="Z707" s="3939"/>
      <c r="AD707" s="4003">
        <v>22131002</v>
      </c>
      <c r="AE707" s="4004" t="s">
        <v>4353</v>
      </c>
      <c r="AF707" s="3961">
        <v>0</v>
      </c>
    </row>
    <row r="708" spans="6:32">
      <c r="F708" s="4001">
        <v>22101201</v>
      </c>
      <c r="G708" s="4002" t="s">
        <v>4331</v>
      </c>
      <c r="H708" s="3958">
        <v>0</v>
      </c>
      <c r="J708" s="3939"/>
      <c r="N708" s="4003">
        <v>22101201</v>
      </c>
      <c r="O708" s="4004" t="s">
        <v>4331</v>
      </c>
      <c r="P708" s="3961">
        <v>0</v>
      </c>
      <c r="R708" s="3939"/>
      <c r="V708" s="4003">
        <v>22101201</v>
      </c>
      <c r="W708" s="4004" t="s">
        <v>4331</v>
      </c>
      <c r="X708" s="3961">
        <v>0</v>
      </c>
      <c r="Z708" s="3939"/>
      <c r="AD708" s="4003">
        <v>22131003</v>
      </c>
      <c r="AE708" s="4004" t="s">
        <v>4354</v>
      </c>
      <c r="AF708" s="3961">
        <v>0</v>
      </c>
    </row>
    <row r="709" spans="6:32">
      <c r="F709" s="3995">
        <v>22101300</v>
      </c>
      <c r="G709" s="4007" t="s">
        <v>4332</v>
      </c>
      <c r="H709" s="3997">
        <v>0</v>
      </c>
      <c r="J709" s="3939"/>
      <c r="N709" s="3998">
        <v>22101300</v>
      </c>
      <c r="O709" s="4008" t="s">
        <v>4332</v>
      </c>
      <c r="P709" s="4000">
        <v>0</v>
      </c>
      <c r="R709" s="3939"/>
      <c r="V709" s="3998">
        <v>22101300</v>
      </c>
      <c r="W709" s="4008" t="s">
        <v>4332</v>
      </c>
      <c r="X709" s="4000">
        <v>0</v>
      </c>
      <c r="Z709" s="3939"/>
      <c r="AD709" s="3992">
        <v>22140000</v>
      </c>
      <c r="AE709" s="4006" t="s">
        <v>4355</v>
      </c>
      <c r="AF709" s="3994">
        <v>0</v>
      </c>
    </row>
    <row r="710" spans="6:32">
      <c r="F710" s="4001">
        <v>22101301</v>
      </c>
      <c r="G710" s="4002" t="s">
        <v>4332</v>
      </c>
      <c r="H710" s="3958">
        <v>0</v>
      </c>
      <c r="J710" s="3939"/>
      <c r="N710" s="4003">
        <v>22101301</v>
      </c>
      <c r="O710" s="4004" t="s">
        <v>4332</v>
      </c>
      <c r="P710" s="3961">
        <v>0</v>
      </c>
      <c r="R710" s="3939"/>
      <c r="V710" s="4003">
        <v>22101301</v>
      </c>
      <c r="W710" s="4004" t="s">
        <v>4332</v>
      </c>
      <c r="X710" s="3961">
        <v>0</v>
      </c>
      <c r="Z710" s="3939"/>
      <c r="AD710" s="3998">
        <v>22141000</v>
      </c>
      <c r="AE710" s="4008" t="s">
        <v>4355</v>
      </c>
      <c r="AF710" s="4000">
        <v>0</v>
      </c>
    </row>
    <row r="711" spans="6:32">
      <c r="F711" s="3995">
        <v>22101400</v>
      </c>
      <c r="G711" s="4007" t="s">
        <v>4333</v>
      </c>
      <c r="H711" s="3997">
        <v>0</v>
      </c>
      <c r="J711" s="3939"/>
      <c r="N711" s="3998">
        <v>22101400</v>
      </c>
      <c r="O711" s="4008" t="s">
        <v>4333</v>
      </c>
      <c r="P711" s="4000">
        <v>54533412</v>
      </c>
      <c r="R711" s="3939"/>
      <c r="V711" s="3998">
        <v>22101400</v>
      </c>
      <c r="W711" s="4008" t="s">
        <v>4333</v>
      </c>
      <c r="X711" s="4000">
        <v>0</v>
      </c>
      <c r="Z711" s="3939"/>
      <c r="AD711" s="4003">
        <v>22141001</v>
      </c>
      <c r="AE711" s="4004" t="s">
        <v>4355</v>
      </c>
      <c r="AF711" s="3961">
        <v>0</v>
      </c>
    </row>
    <row r="712" spans="6:32">
      <c r="F712" s="4001">
        <v>22101401</v>
      </c>
      <c r="G712" s="4002" t="s">
        <v>4333</v>
      </c>
      <c r="H712" s="3958">
        <v>0</v>
      </c>
      <c r="J712" s="3939"/>
      <c r="N712" s="4003">
        <v>22101401</v>
      </c>
      <c r="O712" s="4004" t="s">
        <v>4333</v>
      </c>
      <c r="P712" s="3961">
        <v>54533412</v>
      </c>
      <c r="R712" s="3939"/>
      <c r="V712" s="4003">
        <v>22101401</v>
      </c>
      <c r="W712" s="4004" t="s">
        <v>4333</v>
      </c>
      <c r="X712" s="3961">
        <v>0</v>
      </c>
      <c r="Z712" s="3939"/>
      <c r="AD712" s="3992">
        <v>22150000</v>
      </c>
      <c r="AE712" s="4006" t="s">
        <v>4356</v>
      </c>
      <c r="AF712" s="3994">
        <v>0</v>
      </c>
    </row>
    <row r="713" spans="6:32">
      <c r="F713" s="3995">
        <v>22101500</v>
      </c>
      <c r="G713" s="4007" t="s">
        <v>4334</v>
      </c>
      <c r="H713" s="3997">
        <v>0</v>
      </c>
      <c r="J713" s="3939"/>
      <c r="N713" s="3998">
        <v>22101500</v>
      </c>
      <c r="O713" s="4008" t="s">
        <v>4334</v>
      </c>
      <c r="P713" s="4000">
        <v>0</v>
      </c>
      <c r="R713" s="3939"/>
      <c r="V713" s="3998">
        <v>22101500</v>
      </c>
      <c r="W713" s="4008" t="s">
        <v>4334</v>
      </c>
      <c r="X713" s="4000">
        <v>0</v>
      </c>
      <c r="Z713" s="3939"/>
      <c r="AD713" s="3998">
        <v>22151000</v>
      </c>
      <c r="AE713" s="4008" t="s">
        <v>4356</v>
      </c>
      <c r="AF713" s="4000">
        <v>0</v>
      </c>
    </row>
    <row r="714" spans="6:32">
      <c r="F714" s="4001">
        <v>22101501</v>
      </c>
      <c r="G714" s="4002" t="s">
        <v>5068</v>
      </c>
      <c r="H714" s="3958">
        <v>0</v>
      </c>
      <c r="J714" s="3939"/>
      <c r="N714" s="4003">
        <v>22101501</v>
      </c>
      <c r="O714" s="4004" t="s">
        <v>4334</v>
      </c>
      <c r="P714" s="3961">
        <v>0</v>
      </c>
      <c r="R714" s="3939"/>
      <c r="V714" s="4003">
        <v>22101501</v>
      </c>
      <c r="W714" s="4004" t="s">
        <v>4334</v>
      </c>
      <c r="X714" s="3961">
        <v>0</v>
      </c>
      <c r="Z714" s="3939"/>
      <c r="AD714" s="4003">
        <v>22151001</v>
      </c>
      <c r="AE714" s="4004" t="s">
        <v>4356</v>
      </c>
      <c r="AF714" s="3961">
        <v>0</v>
      </c>
    </row>
    <row r="715" spans="6:32">
      <c r="F715" s="3995">
        <v>22101600</v>
      </c>
      <c r="G715" s="4007" t="s">
        <v>4335</v>
      </c>
      <c r="H715" s="3997">
        <v>0</v>
      </c>
      <c r="J715" s="3939"/>
      <c r="N715" s="3998">
        <v>22101600</v>
      </c>
      <c r="O715" s="4008" t="s">
        <v>4335</v>
      </c>
      <c r="P715" s="4000">
        <v>0</v>
      </c>
      <c r="R715" s="3939"/>
      <c r="V715" s="3998">
        <v>22101600</v>
      </c>
      <c r="W715" s="4008" t="s">
        <v>4335</v>
      </c>
      <c r="X715" s="4000">
        <v>0</v>
      </c>
      <c r="Z715" s="3939"/>
      <c r="AD715" s="3998">
        <v>22151100</v>
      </c>
      <c r="AE715" s="4008" t="s">
        <v>4357</v>
      </c>
      <c r="AF715" s="4000">
        <v>0</v>
      </c>
    </row>
    <row r="716" spans="6:32">
      <c r="F716" s="4001">
        <v>22101601</v>
      </c>
      <c r="G716" s="4002" t="s">
        <v>4335</v>
      </c>
      <c r="H716" s="3958">
        <v>0</v>
      </c>
      <c r="J716" s="3939"/>
      <c r="N716" s="4003">
        <v>22101601</v>
      </c>
      <c r="O716" s="4004" t="s">
        <v>4335</v>
      </c>
      <c r="P716" s="3961">
        <v>0</v>
      </c>
      <c r="R716" s="3939"/>
      <c r="V716" s="4003">
        <v>22101601</v>
      </c>
      <c r="W716" s="4004" t="s">
        <v>4335</v>
      </c>
      <c r="X716" s="3961">
        <v>0</v>
      </c>
      <c r="Z716" s="3939"/>
      <c r="AD716" s="4003">
        <v>22151101</v>
      </c>
      <c r="AE716" s="4004" t="s">
        <v>4357</v>
      </c>
      <c r="AF716" s="3961">
        <v>0</v>
      </c>
    </row>
    <row r="717" spans="6:32">
      <c r="F717" s="3995">
        <v>22101700</v>
      </c>
      <c r="G717" s="4007" t="s">
        <v>4336</v>
      </c>
      <c r="H717" s="3997">
        <v>0</v>
      </c>
      <c r="J717" s="3939"/>
      <c r="N717" s="3998">
        <v>22101700</v>
      </c>
      <c r="O717" s="4008" t="s">
        <v>4336</v>
      </c>
      <c r="P717" s="4000">
        <v>0</v>
      </c>
      <c r="R717" s="3939"/>
      <c r="V717" s="3998">
        <v>22101700</v>
      </c>
      <c r="W717" s="4008" t="s">
        <v>4336</v>
      </c>
      <c r="X717" s="4000">
        <v>0</v>
      </c>
      <c r="Z717" s="3939"/>
      <c r="AD717" s="3998">
        <v>22151200</v>
      </c>
      <c r="AE717" s="4008" t="s">
        <v>4358</v>
      </c>
      <c r="AF717" s="4000">
        <v>0</v>
      </c>
    </row>
    <row r="718" spans="6:32">
      <c r="F718" s="4001">
        <v>22101701</v>
      </c>
      <c r="G718" s="4002" t="s">
        <v>4336</v>
      </c>
      <c r="H718" s="3958">
        <v>0</v>
      </c>
      <c r="J718" s="3939"/>
      <c r="N718" s="4003">
        <v>22101701</v>
      </c>
      <c r="O718" s="4004" t="s">
        <v>4336</v>
      </c>
      <c r="P718" s="3961">
        <v>0</v>
      </c>
      <c r="R718" s="3939"/>
      <c r="V718" s="4003">
        <v>22101701</v>
      </c>
      <c r="W718" s="4004" t="s">
        <v>4336</v>
      </c>
      <c r="X718" s="3961">
        <v>0</v>
      </c>
      <c r="Z718" s="3939"/>
      <c r="AD718" s="4003">
        <v>22151201</v>
      </c>
      <c r="AE718" s="4004" t="s">
        <v>4358</v>
      </c>
      <c r="AF718" s="3961">
        <v>0</v>
      </c>
    </row>
    <row r="719" spans="6:32">
      <c r="F719" s="3995">
        <v>22101800</v>
      </c>
      <c r="G719" s="4007" t="s">
        <v>4337</v>
      </c>
      <c r="H719" s="3997">
        <v>0</v>
      </c>
      <c r="J719" s="3939"/>
      <c r="N719" s="3998">
        <v>22101800</v>
      </c>
      <c r="O719" s="4008" t="s">
        <v>4337</v>
      </c>
      <c r="P719" s="4000">
        <v>0</v>
      </c>
      <c r="R719" s="3939"/>
      <c r="V719" s="3998">
        <v>22101800</v>
      </c>
      <c r="W719" s="4008" t="s">
        <v>4337</v>
      </c>
      <c r="X719" s="4000">
        <v>0</v>
      </c>
      <c r="Z719" s="3939"/>
      <c r="AD719" s="3998">
        <v>22151300</v>
      </c>
      <c r="AE719" s="4008" t="s">
        <v>4359</v>
      </c>
      <c r="AF719" s="4000">
        <v>0</v>
      </c>
    </row>
    <row r="720" spans="6:32">
      <c r="F720" s="4001">
        <v>22101801</v>
      </c>
      <c r="G720" s="4002" t="s">
        <v>4337</v>
      </c>
      <c r="H720" s="3958">
        <v>0</v>
      </c>
      <c r="J720" s="3939"/>
      <c r="N720" s="4003">
        <v>22101801</v>
      </c>
      <c r="O720" s="4004" t="s">
        <v>4337</v>
      </c>
      <c r="P720" s="3961">
        <v>0</v>
      </c>
      <c r="R720" s="3939"/>
      <c r="V720" s="4003">
        <v>22101801</v>
      </c>
      <c r="W720" s="4004" t="s">
        <v>4337</v>
      </c>
      <c r="X720" s="3961">
        <v>0</v>
      </c>
      <c r="Z720" s="3939"/>
      <c r="AD720" s="4003">
        <v>22151301</v>
      </c>
      <c r="AE720" s="4004" t="s">
        <v>4359</v>
      </c>
      <c r="AF720" s="3961">
        <v>0</v>
      </c>
    </row>
    <row r="721" spans="6:32">
      <c r="F721" s="3989">
        <v>22110000</v>
      </c>
      <c r="G721" s="4005" t="s">
        <v>4338</v>
      </c>
      <c r="H721" s="3991">
        <v>0</v>
      </c>
      <c r="J721" s="3939"/>
      <c r="N721" s="3992">
        <v>22110000</v>
      </c>
      <c r="O721" s="4006" t="s">
        <v>4338</v>
      </c>
      <c r="P721" s="3994">
        <v>0</v>
      </c>
      <c r="R721" s="3939"/>
      <c r="V721" s="3992">
        <v>22110000</v>
      </c>
      <c r="W721" s="4006" t="s">
        <v>4338</v>
      </c>
      <c r="X721" s="3994">
        <v>0</v>
      </c>
      <c r="Z721" s="3939"/>
      <c r="AD721" s="3998">
        <v>22151400</v>
      </c>
      <c r="AE721" s="4008" t="s">
        <v>4360</v>
      </c>
      <c r="AF721" s="4000">
        <v>0</v>
      </c>
    </row>
    <row r="722" spans="6:32">
      <c r="F722" s="3995">
        <v>22111000</v>
      </c>
      <c r="G722" s="4007" t="s">
        <v>4339</v>
      </c>
      <c r="H722" s="3997">
        <v>0</v>
      </c>
      <c r="J722" s="3939"/>
      <c r="N722" s="3998">
        <v>22111000</v>
      </c>
      <c r="O722" s="4008" t="s">
        <v>4339</v>
      </c>
      <c r="P722" s="4000">
        <v>0</v>
      </c>
      <c r="R722" s="3939"/>
      <c r="V722" s="3998">
        <v>22111000</v>
      </c>
      <c r="W722" s="4008" t="s">
        <v>4339</v>
      </c>
      <c r="X722" s="4000">
        <v>0</v>
      </c>
      <c r="Z722" s="3939"/>
      <c r="AD722" s="4003">
        <v>22151401</v>
      </c>
      <c r="AE722" s="4004" t="s">
        <v>4360</v>
      </c>
      <c r="AF722" s="3961">
        <v>0</v>
      </c>
    </row>
    <row r="723" spans="6:32">
      <c r="F723" s="4001">
        <v>22111001</v>
      </c>
      <c r="G723" s="4002" t="s">
        <v>5069</v>
      </c>
      <c r="H723" s="3958">
        <v>0</v>
      </c>
      <c r="J723" s="3939"/>
      <c r="N723" s="4003">
        <v>22111001</v>
      </c>
      <c r="O723" s="4004" t="s">
        <v>4339</v>
      </c>
      <c r="P723" s="3961">
        <v>0</v>
      </c>
      <c r="R723" s="3939"/>
      <c r="V723" s="4003">
        <v>22111001</v>
      </c>
      <c r="W723" s="4004" t="s">
        <v>4339</v>
      </c>
      <c r="X723" s="3961">
        <v>0</v>
      </c>
      <c r="Z723" s="3939"/>
      <c r="AD723" s="3992">
        <v>22160000</v>
      </c>
      <c r="AE723" s="4006" t="s">
        <v>4361</v>
      </c>
      <c r="AF723" s="3994">
        <v>372412431</v>
      </c>
    </row>
    <row r="724" spans="6:32">
      <c r="F724" s="3995">
        <v>22111100</v>
      </c>
      <c r="G724" s="4007" t="s">
        <v>4340</v>
      </c>
      <c r="H724" s="3997">
        <v>0</v>
      </c>
      <c r="J724" s="3939"/>
      <c r="N724" s="3998">
        <v>22111100</v>
      </c>
      <c r="O724" s="4008" t="s">
        <v>4340</v>
      </c>
      <c r="P724" s="4000">
        <v>0</v>
      </c>
      <c r="R724" s="3939"/>
      <c r="V724" s="3998">
        <v>22111100</v>
      </c>
      <c r="W724" s="4008" t="s">
        <v>4340</v>
      </c>
      <c r="X724" s="4000">
        <v>0</v>
      </c>
      <c r="Z724" s="3939"/>
      <c r="AD724" s="3998">
        <v>22161000</v>
      </c>
      <c r="AE724" s="4008" t="s">
        <v>4361</v>
      </c>
      <c r="AF724" s="4000">
        <v>372412431</v>
      </c>
    </row>
    <row r="725" spans="6:32">
      <c r="F725" s="4001">
        <v>22111101</v>
      </c>
      <c r="G725" s="4002" t="s">
        <v>5070</v>
      </c>
      <c r="H725" s="3958">
        <v>0</v>
      </c>
      <c r="J725" s="3939"/>
      <c r="N725" s="4003">
        <v>22111101</v>
      </c>
      <c r="O725" s="4004" t="s">
        <v>4341</v>
      </c>
      <c r="P725" s="3961">
        <v>0</v>
      </c>
      <c r="R725" s="3939"/>
      <c r="V725" s="4003">
        <v>22111101</v>
      </c>
      <c r="W725" s="4004" t="s">
        <v>4341</v>
      </c>
      <c r="X725" s="3961">
        <v>0</v>
      </c>
      <c r="Z725" s="3939"/>
      <c r="AD725" s="4003">
        <v>22161001</v>
      </c>
      <c r="AE725" s="4004" t="s">
        <v>4361</v>
      </c>
      <c r="AF725" s="3961">
        <v>372412431</v>
      </c>
    </row>
    <row r="726" spans="6:32">
      <c r="F726" s="4001">
        <v>22111102</v>
      </c>
      <c r="G726" s="4002" t="s">
        <v>5071</v>
      </c>
      <c r="H726" s="3958">
        <v>0</v>
      </c>
      <c r="J726" s="3939"/>
      <c r="N726" s="4003">
        <v>22111102</v>
      </c>
      <c r="O726" s="4004" t="s">
        <v>4342</v>
      </c>
      <c r="P726" s="3961">
        <v>0</v>
      </c>
      <c r="R726" s="3939"/>
      <c r="V726" s="4003">
        <v>22111102</v>
      </c>
      <c r="W726" s="4004" t="s">
        <v>4342</v>
      </c>
      <c r="X726" s="3961">
        <v>0</v>
      </c>
      <c r="Z726" s="3939"/>
      <c r="AD726" s="3992">
        <v>22170000</v>
      </c>
      <c r="AE726" s="4006" t="s">
        <v>4305</v>
      </c>
      <c r="AF726" s="3994">
        <v>0</v>
      </c>
    </row>
    <row r="727" spans="6:32">
      <c r="F727" s="3989">
        <v>22120000</v>
      </c>
      <c r="G727" s="4005" t="s">
        <v>4343</v>
      </c>
      <c r="H727" s="3991">
        <v>0</v>
      </c>
      <c r="J727" s="3939"/>
      <c r="N727" s="3992">
        <v>22120000</v>
      </c>
      <c r="O727" s="4006" t="s">
        <v>4343</v>
      </c>
      <c r="P727" s="3994">
        <v>0</v>
      </c>
      <c r="R727" s="3939"/>
      <c r="V727" s="3992">
        <v>22120000</v>
      </c>
      <c r="W727" s="4006" t="s">
        <v>4343</v>
      </c>
      <c r="X727" s="3994">
        <v>0</v>
      </c>
      <c r="Z727" s="3939"/>
      <c r="AD727" s="3998">
        <v>22171000</v>
      </c>
      <c r="AE727" s="4008" t="s">
        <v>4362</v>
      </c>
      <c r="AF727" s="4000">
        <v>0</v>
      </c>
    </row>
    <row r="728" spans="6:32">
      <c r="F728" s="3995">
        <v>22121000</v>
      </c>
      <c r="G728" s="4007" t="s">
        <v>4344</v>
      </c>
      <c r="H728" s="3997">
        <v>0</v>
      </c>
      <c r="J728" s="3939"/>
      <c r="N728" s="3998">
        <v>22121000</v>
      </c>
      <c r="O728" s="4008" t="s">
        <v>4344</v>
      </c>
      <c r="P728" s="4000">
        <v>0</v>
      </c>
      <c r="R728" s="3939"/>
      <c r="V728" s="3998">
        <v>22121000</v>
      </c>
      <c r="W728" s="4008" t="s">
        <v>4344</v>
      </c>
      <c r="X728" s="4000">
        <v>0</v>
      </c>
      <c r="Z728" s="3939"/>
      <c r="AD728" s="4003">
        <v>22171001</v>
      </c>
      <c r="AE728" s="4004" t="s">
        <v>4363</v>
      </c>
      <c r="AF728" s="3961">
        <v>0</v>
      </c>
    </row>
    <row r="729" spans="6:32">
      <c r="F729" s="4001">
        <v>22121001</v>
      </c>
      <c r="G729" s="4002" t="s">
        <v>5072</v>
      </c>
      <c r="H729" s="3958">
        <v>0</v>
      </c>
      <c r="J729" s="3939"/>
      <c r="N729" s="4003">
        <v>22121001</v>
      </c>
      <c r="O729" s="4004" t="s">
        <v>4345</v>
      </c>
      <c r="P729" s="3961">
        <v>0</v>
      </c>
      <c r="R729" s="3939"/>
      <c r="V729" s="4003">
        <v>22121001</v>
      </c>
      <c r="W729" s="4004" t="s">
        <v>4345</v>
      </c>
      <c r="X729" s="3961">
        <v>0</v>
      </c>
      <c r="Z729" s="3939"/>
      <c r="AD729" s="3998">
        <v>22171100</v>
      </c>
      <c r="AE729" s="4008" t="s">
        <v>4364</v>
      </c>
      <c r="AF729" s="4000">
        <v>0</v>
      </c>
    </row>
    <row r="730" spans="6:32">
      <c r="F730" s="4001">
        <v>22121002</v>
      </c>
      <c r="G730" s="4002" t="s">
        <v>5073</v>
      </c>
      <c r="H730" s="3958">
        <v>0</v>
      </c>
      <c r="J730" s="3939"/>
      <c r="N730" s="4003">
        <v>22121002</v>
      </c>
      <c r="O730" s="4004" t="s">
        <v>4346</v>
      </c>
      <c r="P730" s="3961">
        <v>0</v>
      </c>
      <c r="R730" s="3939"/>
      <c r="V730" s="4003">
        <v>22121002</v>
      </c>
      <c r="W730" s="4004" t="s">
        <v>4346</v>
      </c>
      <c r="X730" s="3961">
        <v>0</v>
      </c>
      <c r="Z730" s="3939"/>
      <c r="AD730" s="4003">
        <v>22171101</v>
      </c>
      <c r="AE730" s="4004" t="s">
        <v>4364</v>
      </c>
      <c r="AF730" s="3961">
        <v>0</v>
      </c>
    </row>
    <row r="731" spans="6:32">
      <c r="F731" s="4001">
        <v>22121003</v>
      </c>
      <c r="G731" s="4002" t="s">
        <v>5074</v>
      </c>
      <c r="H731" s="3958">
        <v>0</v>
      </c>
      <c r="J731" s="3939"/>
      <c r="N731" s="4003">
        <v>22121003</v>
      </c>
      <c r="O731" s="4004" t="s">
        <v>4347</v>
      </c>
      <c r="P731" s="3961">
        <v>0</v>
      </c>
      <c r="R731" s="3939"/>
      <c r="V731" s="4003">
        <v>22121003</v>
      </c>
      <c r="W731" s="4004" t="s">
        <v>4347</v>
      </c>
      <c r="X731" s="3961">
        <v>0</v>
      </c>
      <c r="Z731" s="3939"/>
      <c r="AD731" s="3998">
        <v>22171200</v>
      </c>
      <c r="AE731" s="4008" t="s">
        <v>4365</v>
      </c>
      <c r="AF731" s="4000">
        <v>0</v>
      </c>
    </row>
    <row r="732" spans="6:32">
      <c r="F732" s="3995">
        <v>22121100</v>
      </c>
      <c r="G732" s="4007" t="s">
        <v>4348</v>
      </c>
      <c r="H732" s="3997">
        <v>0</v>
      </c>
      <c r="J732" s="3939"/>
      <c r="N732" s="3998">
        <v>22121100</v>
      </c>
      <c r="O732" s="4008" t="s">
        <v>4348</v>
      </c>
      <c r="P732" s="4000">
        <v>0</v>
      </c>
      <c r="R732" s="3939"/>
      <c r="V732" s="3998">
        <v>22121100</v>
      </c>
      <c r="W732" s="4008" t="s">
        <v>4348</v>
      </c>
      <c r="X732" s="4000">
        <v>0</v>
      </c>
      <c r="Z732" s="3939"/>
      <c r="AD732" s="4003">
        <v>22171201</v>
      </c>
      <c r="AE732" s="4004" t="s">
        <v>4366</v>
      </c>
      <c r="AF732" s="3961">
        <v>0</v>
      </c>
    </row>
    <row r="733" spans="6:32">
      <c r="F733" s="4001">
        <v>22121101</v>
      </c>
      <c r="G733" s="4002" t="s">
        <v>5075</v>
      </c>
      <c r="H733" s="3958">
        <v>0</v>
      </c>
      <c r="J733" s="3939"/>
      <c r="N733" s="4003">
        <v>22121101</v>
      </c>
      <c r="O733" s="4004" t="s">
        <v>4349</v>
      </c>
      <c r="P733" s="3961">
        <v>0</v>
      </c>
      <c r="R733" s="3939"/>
      <c r="V733" s="4003">
        <v>22121101</v>
      </c>
      <c r="W733" s="4004" t="s">
        <v>4349</v>
      </c>
      <c r="X733" s="3961">
        <v>0</v>
      </c>
      <c r="Z733" s="3939"/>
      <c r="AD733" s="3998">
        <v>22171500</v>
      </c>
      <c r="AE733" s="4008" t="s">
        <v>4367</v>
      </c>
      <c r="AF733" s="4000">
        <v>0</v>
      </c>
    </row>
    <row r="734" spans="6:32">
      <c r="F734" s="4001">
        <v>22121102</v>
      </c>
      <c r="G734" s="4002" t="s">
        <v>5076</v>
      </c>
      <c r="H734" s="3958">
        <v>0</v>
      </c>
      <c r="J734" s="3939"/>
      <c r="N734" s="4003">
        <v>22121102</v>
      </c>
      <c r="O734" s="4004" t="s">
        <v>4350</v>
      </c>
      <c r="P734" s="3961">
        <v>0</v>
      </c>
      <c r="R734" s="3939"/>
      <c r="V734" s="4003">
        <v>22121102</v>
      </c>
      <c r="W734" s="4004" t="s">
        <v>4350</v>
      </c>
      <c r="X734" s="3961">
        <v>0</v>
      </c>
      <c r="Z734" s="3939"/>
      <c r="AD734" s="4003">
        <v>22171501</v>
      </c>
      <c r="AE734" s="4004" t="s">
        <v>4367</v>
      </c>
      <c r="AF734" s="3961">
        <v>0</v>
      </c>
    </row>
    <row r="735" spans="6:32">
      <c r="F735" s="3989">
        <v>22130000</v>
      </c>
      <c r="G735" s="4005" t="s">
        <v>4351</v>
      </c>
      <c r="H735" s="3991">
        <v>600000000</v>
      </c>
      <c r="J735" s="3939"/>
      <c r="N735" s="3992">
        <v>22130000</v>
      </c>
      <c r="O735" s="4006" t="s">
        <v>4351</v>
      </c>
      <c r="P735" s="3994">
        <v>0</v>
      </c>
      <c r="R735" s="3939"/>
      <c r="V735" s="3992">
        <v>22130000</v>
      </c>
      <c r="W735" s="4006" t="s">
        <v>4351</v>
      </c>
      <c r="X735" s="3994">
        <v>0</v>
      </c>
      <c r="Z735" s="3939"/>
      <c r="AD735" s="3998">
        <v>22171900</v>
      </c>
      <c r="AE735" s="4008" t="s">
        <v>6550</v>
      </c>
      <c r="AF735" s="4000">
        <v>0</v>
      </c>
    </row>
    <row r="736" spans="6:32">
      <c r="F736" s="3995">
        <v>22131000</v>
      </c>
      <c r="G736" s="4007" t="s">
        <v>4351</v>
      </c>
      <c r="H736" s="3997">
        <v>600000000</v>
      </c>
      <c r="J736" s="3939"/>
      <c r="N736" s="3998">
        <v>22131000</v>
      </c>
      <c r="O736" s="4008" t="s">
        <v>4351</v>
      </c>
      <c r="P736" s="4000">
        <v>0</v>
      </c>
      <c r="R736" s="3939"/>
      <c r="V736" s="3998">
        <v>22131000</v>
      </c>
      <c r="W736" s="4008" t="s">
        <v>4351</v>
      </c>
      <c r="X736" s="4000">
        <v>0</v>
      </c>
      <c r="Z736" s="3939"/>
      <c r="AD736" s="4003">
        <v>22171901</v>
      </c>
      <c r="AE736" s="4004" t="s">
        <v>6550</v>
      </c>
      <c r="AF736" s="4015">
        <v>0</v>
      </c>
    </row>
    <row r="737" spans="6:32">
      <c r="F737" s="4001">
        <v>22131001</v>
      </c>
      <c r="G737" s="4002" t="s">
        <v>4352</v>
      </c>
      <c r="H737" s="3958">
        <v>600000000</v>
      </c>
      <c r="J737" s="3939"/>
      <c r="N737" s="4003">
        <v>22131001</v>
      </c>
      <c r="O737" s="4004" t="s">
        <v>4352</v>
      </c>
      <c r="P737" s="3961">
        <v>0</v>
      </c>
      <c r="R737" s="3939"/>
      <c r="V737" s="4003">
        <v>22131001</v>
      </c>
      <c r="W737" s="4004" t="s">
        <v>4352</v>
      </c>
      <c r="X737" s="3961">
        <v>0</v>
      </c>
      <c r="Z737" s="3939"/>
      <c r="AD737" s="3998">
        <v>22171300</v>
      </c>
      <c r="AE737" s="4008" t="s">
        <v>4369</v>
      </c>
      <c r="AF737" s="4000">
        <v>0</v>
      </c>
    </row>
    <row r="738" spans="6:32">
      <c r="F738" s="4001">
        <v>22131002</v>
      </c>
      <c r="G738" s="4002" t="s">
        <v>4353</v>
      </c>
      <c r="H738" s="3958">
        <v>0</v>
      </c>
      <c r="J738" s="3939"/>
      <c r="N738" s="4003">
        <v>22131002</v>
      </c>
      <c r="O738" s="4004" t="s">
        <v>4353</v>
      </c>
      <c r="P738" s="3961">
        <v>0</v>
      </c>
      <c r="R738" s="3939"/>
      <c r="V738" s="4003">
        <v>22131002</v>
      </c>
      <c r="W738" s="4004" t="s">
        <v>4353</v>
      </c>
      <c r="X738" s="3961">
        <v>0</v>
      </c>
      <c r="Z738" s="3939"/>
      <c r="AD738" s="4003">
        <v>22171301</v>
      </c>
      <c r="AE738" s="4004" t="s">
        <v>4369</v>
      </c>
      <c r="AF738" s="3961">
        <v>0</v>
      </c>
    </row>
    <row r="739" spans="6:32">
      <c r="F739" s="4001">
        <v>22131003</v>
      </c>
      <c r="G739" s="4002" t="s">
        <v>4354</v>
      </c>
      <c r="H739" s="3958">
        <v>0</v>
      </c>
      <c r="J739" s="3939"/>
      <c r="N739" s="4003">
        <v>22131003</v>
      </c>
      <c r="O739" s="4004" t="s">
        <v>4354</v>
      </c>
      <c r="P739" s="3961">
        <v>0</v>
      </c>
      <c r="R739" s="3939"/>
      <c r="V739" s="4003">
        <v>22131003</v>
      </c>
      <c r="W739" s="4004" t="s">
        <v>4354</v>
      </c>
      <c r="X739" s="3961">
        <v>0</v>
      </c>
      <c r="Z739" s="3939"/>
      <c r="AD739" s="3992">
        <v>22180000</v>
      </c>
      <c r="AE739" s="4006" t="s">
        <v>4370</v>
      </c>
      <c r="AF739" s="3994">
        <v>1285655534</v>
      </c>
    </row>
    <row r="740" spans="6:32">
      <c r="F740" s="3989">
        <v>22140000</v>
      </c>
      <c r="G740" s="4005" t="s">
        <v>4355</v>
      </c>
      <c r="H740" s="3991">
        <v>161095208</v>
      </c>
      <c r="J740" s="3939"/>
      <c r="N740" s="3992">
        <v>22140000</v>
      </c>
      <c r="O740" s="4006" t="s">
        <v>4355</v>
      </c>
      <c r="P740" s="3994">
        <v>49682401</v>
      </c>
      <c r="R740" s="3939"/>
      <c r="V740" s="3992">
        <v>22140000</v>
      </c>
      <c r="W740" s="4006" t="s">
        <v>4355</v>
      </c>
      <c r="X740" s="3994">
        <v>32668217</v>
      </c>
      <c r="Z740" s="3939"/>
      <c r="AD740" s="3998">
        <v>22181000</v>
      </c>
      <c r="AE740" s="4008" t="s">
        <v>4370</v>
      </c>
      <c r="AF740" s="4000">
        <v>1285655534</v>
      </c>
    </row>
    <row r="741" spans="6:32">
      <c r="F741" s="3995">
        <v>22141000</v>
      </c>
      <c r="G741" s="4007" t="s">
        <v>4355</v>
      </c>
      <c r="H741" s="3997">
        <v>161095208</v>
      </c>
      <c r="J741" s="3939"/>
      <c r="N741" s="3998">
        <v>22141000</v>
      </c>
      <c r="O741" s="4008" t="s">
        <v>4355</v>
      </c>
      <c r="P741" s="4000">
        <v>49682401</v>
      </c>
      <c r="R741" s="3939"/>
      <c r="V741" s="3998">
        <v>22141000</v>
      </c>
      <c r="W741" s="4008" t="s">
        <v>4355</v>
      </c>
      <c r="X741" s="4000">
        <v>32668217</v>
      </c>
      <c r="Z741" s="3939"/>
      <c r="AD741" s="4003">
        <v>22181001</v>
      </c>
      <c r="AE741" s="4004" t="s">
        <v>4370</v>
      </c>
      <c r="AF741" s="3961">
        <v>1285655534</v>
      </c>
    </row>
    <row r="742" spans="6:32">
      <c r="F742" s="4001">
        <v>22141001</v>
      </c>
      <c r="G742" s="4002" t="s">
        <v>4355</v>
      </c>
      <c r="H742" s="3958">
        <v>161095208</v>
      </c>
      <c r="J742" s="3939"/>
      <c r="N742" s="4003">
        <v>22141001</v>
      </c>
      <c r="O742" s="4004" t="s">
        <v>4355</v>
      </c>
      <c r="P742" s="3961">
        <v>49682401</v>
      </c>
      <c r="R742" s="3939"/>
      <c r="V742" s="4003">
        <v>22141001</v>
      </c>
      <c r="W742" s="4004" t="s">
        <v>4355</v>
      </c>
      <c r="X742" s="3961">
        <v>32668217</v>
      </c>
      <c r="Z742" s="3939"/>
      <c r="AD742" s="4003">
        <v>22181002</v>
      </c>
      <c r="AE742" s="4004" t="s">
        <v>4371</v>
      </c>
      <c r="AF742" s="3961">
        <v>0</v>
      </c>
    </row>
    <row r="743" spans="6:32">
      <c r="F743" s="3989">
        <v>22150000</v>
      </c>
      <c r="G743" s="4005" t="s">
        <v>4356</v>
      </c>
      <c r="H743" s="3991">
        <v>0</v>
      </c>
      <c r="J743" s="3939"/>
      <c r="N743" s="3992">
        <v>22150000</v>
      </c>
      <c r="O743" s="4006" t="s">
        <v>4356</v>
      </c>
      <c r="P743" s="3994">
        <v>0</v>
      </c>
      <c r="R743" s="3939"/>
      <c r="V743" s="3992">
        <v>22150000</v>
      </c>
      <c r="W743" s="4006" t="s">
        <v>4356</v>
      </c>
      <c r="X743" s="3994">
        <v>0</v>
      </c>
      <c r="Z743" s="3939"/>
      <c r="AD743" s="4003">
        <v>22181003</v>
      </c>
      <c r="AE743" s="4004" t="s">
        <v>4372</v>
      </c>
      <c r="AF743" s="3961">
        <v>0</v>
      </c>
    </row>
    <row r="744" spans="6:32">
      <c r="F744" s="3995">
        <v>22151000</v>
      </c>
      <c r="G744" s="4007" t="s">
        <v>4356</v>
      </c>
      <c r="H744" s="3997">
        <v>0</v>
      </c>
      <c r="J744" s="3939"/>
      <c r="N744" s="3998">
        <v>22151000</v>
      </c>
      <c r="O744" s="4008" t="s">
        <v>4356</v>
      </c>
      <c r="P744" s="4000">
        <v>0</v>
      </c>
      <c r="R744" s="3939"/>
      <c r="V744" s="3998">
        <v>22151000</v>
      </c>
      <c r="W744" s="4008" t="s">
        <v>4356</v>
      </c>
      <c r="X744" s="4000">
        <v>0</v>
      </c>
      <c r="Z744" s="3939"/>
      <c r="AD744" s="4003">
        <v>22181004</v>
      </c>
      <c r="AE744" s="4004" t="s">
        <v>4373</v>
      </c>
      <c r="AF744" s="3961">
        <v>0</v>
      </c>
    </row>
    <row r="745" spans="6:32">
      <c r="F745" s="4001">
        <v>22151001</v>
      </c>
      <c r="G745" s="4002" t="s">
        <v>4356</v>
      </c>
      <c r="H745" s="3958">
        <v>0</v>
      </c>
      <c r="J745" s="3939"/>
      <c r="N745" s="4003">
        <v>22151001</v>
      </c>
      <c r="O745" s="4004" t="s">
        <v>4356</v>
      </c>
      <c r="P745" s="3961">
        <v>0</v>
      </c>
      <c r="R745" s="3939"/>
      <c r="V745" s="4003">
        <v>22151001</v>
      </c>
      <c r="W745" s="4004" t="s">
        <v>4356</v>
      </c>
      <c r="X745" s="3961">
        <v>0</v>
      </c>
      <c r="Z745" s="3939"/>
      <c r="AD745" s="3992">
        <v>22190000</v>
      </c>
      <c r="AE745" s="4006" t="s">
        <v>4374</v>
      </c>
      <c r="AF745" s="3994">
        <v>0</v>
      </c>
    </row>
    <row r="746" spans="6:32">
      <c r="F746" s="3995">
        <v>22151100</v>
      </c>
      <c r="G746" s="4007" t="s">
        <v>4357</v>
      </c>
      <c r="H746" s="3997">
        <v>0</v>
      </c>
      <c r="J746" s="3939"/>
      <c r="N746" s="3998">
        <v>22151100</v>
      </c>
      <c r="O746" s="4008" t="s">
        <v>4357</v>
      </c>
      <c r="P746" s="4000">
        <v>0</v>
      </c>
      <c r="R746" s="3939"/>
      <c r="V746" s="3998">
        <v>22151100</v>
      </c>
      <c r="W746" s="4008" t="s">
        <v>4357</v>
      </c>
      <c r="X746" s="4000">
        <v>0</v>
      </c>
      <c r="Z746" s="3939"/>
      <c r="AD746" s="3998">
        <v>22191000</v>
      </c>
      <c r="AE746" s="4008" t="s">
        <v>4375</v>
      </c>
      <c r="AF746" s="4000">
        <v>0</v>
      </c>
    </row>
    <row r="747" spans="6:32">
      <c r="F747" s="4001">
        <v>22151101</v>
      </c>
      <c r="G747" s="4002" t="s">
        <v>4357</v>
      </c>
      <c r="H747" s="3958">
        <v>0</v>
      </c>
      <c r="J747" s="3939"/>
      <c r="N747" s="4003">
        <v>22151101</v>
      </c>
      <c r="O747" s="4004" t="s">
        <v>4357</v>
      </c>
      <c r="P747" s="3961">
        <v>0</v>
      </c>
      <c r="R747" s="3939"/>
      <c r="V747" s="4003">
        <v>22151101</v>
      </c>
      <c r="W747" s="4004" t="s">
        <v>4357</v>
      </c>
      <c r="X747" s="3961">
        <v>0</v>
      </c>
      <c r="Z747" s="3939"/>
      <c r="AD747" s="4003">
        <v>22191001</v>
      </c>
      <c r="AE747" s="4004" t="s">
        <v>4375</v>
      </c>
      <c r="AF747" s="3961">
        <v>0</v>
      </c>
    </row>
    <row r="748" spans="6:32">
      <c r="F748" s="3995">
        <v>22151200</v>
      </c>
      <c r="G748" s="4007" t="s">
        <v>4358</v>
      </c>
      <c r="H748" s="3997">
        <v>0</v>
      </c>
      <c r="J748" s="3939"/>
      <c r="N748" s="3998">
        <v>22151200</v>
      </c>
      <c r="O748" s="4008" t="s">
        <v>4358</v>
      </c>
      <c r="P748" s="4000">
        <v>0</v>
      </c>
      <c r="R748" s="3939"/>
      <c r="V748" s="3998">
        <v>22151200</v>
      </c>
      <c r="W748" s="4008" t="s">
        <v>4358</v>
      </c>
      <c r="X748" s="4000">
        <v>0</v>
      </c>
      <c r="Z748" s="3939"/>
      <c r="AD748" s="3998">
        <v>22191100</v>
      </c>
      <c r="AE748" s="4008" t="s">
        <v>4376</v>
      </c>
      <c r="AF748" s="4000">
        <v>0</v>
      </c>
    </row>
    <row r="749" spans="6:32">
      <c r="F749" s="4001">
        <v>22151201</v>
      </c>
      <c r="G749" s="4002" t="s">
        <v>4358</v>
      </c>
      <c r="H749" s="3958">
        <v>0</v>
      </c>
      <c r="J749" s="3939"/>
      <c r="N749" s="4003">
        <v>22151201</v>
      </c>
      <c r="O749" s="4004" t="s">
        <v>4358</v>
      </c>
      <c r="P749" s="3961">
        <v>0</v>
      </c>
      <c r="R749" s="3939"/>
      <c r="V749" s="4003">
        <v>22151201</v>
      </c>
      <c r="W749" s="4004" t="s">
        <v>4358</v>
      </c>
      <c r="X749" s="3961">
        <v>0</v>
      </c>
      <c r="Z749" s="3939"/>
      <c r="AD749" s="4003">
        <v>22191101</v>
      </c>
      <c r="AE749" s="4004" t="s">
        <v>4376</v>
      </c>
      <c r="AF749" s="3961">
        <v>0</v>
      </c>
    </row>
    <row r="750" spans="6:32">
      <c r="F750" s="3995">
        <v>22151300</v>
      </c>
      <c r="G750" s="4007" t="s">
        <v>4359</v>
      </c>
      <c r="H750" s="3997">
        <v>0</v>
      </c>
      <c r="J750" s="3939"/>
      <c r="N750" s="3998">
        <v>22151300</v>
      </c>
      <c r="O750" s="4008" t="s">
        <v>4359</v>
      </c>
      <c r="P750" s="4000">
        <v>0</v>
      </c>
      <c r="R750" s="3939"/>
      <c r="V750" s="3998">
        <v>22151300</v>
      </c>
      <c r="W750" s="4008" t="s">
        <v>4359</v>
      </c>
      <c r="X750" s="4000">
        <v>0</v>
      </c>
      <c r="Z750" s="3939"/>
      <c r="AD750" s="3998">
        <v>22191200</v>
      </c>
      <c r="AE750" s="4008" t="s">
        <v>4377</v>
      </c>
      <c r="AF750" s="4000">
        <v>0</v>
      </c>
    </row>
    <row r="751" spans="6:32">
      <c r="F751" s="4001">
        <v>22151301</v>
      </c>
      <c r="G751" s="4002" t="s">
        <v>4359</v>
      </c>
      <c r="H751" s="3958">
        <v>0</v>
      </c>
      <c r="J751" s="3939"/>
      <c r="N751" s="4003">
        <v>22151301</v>
      </c>
      <c r="O751" s="4004" t="s">
        <v>4359</v>
      </c>
      <c r="P751" s="3961">
        <v>0</v>
      </c>
      <c r="R751" s="3939"/>
      <c r="V751" s="4003">
        <v>22151301</v>
      </c>
      <c r="W751" s="4004" t="s">
        <v>4359</v>
      </c>
      <c r="X751" s="3961">
        <v>0</v>
      </c>
      <c r="Z751" s="3939"/>
      <c r="AD751" s="4003">
        <v>22191201</v>
      </c>
      <c r="AE751" s="4004" t="s">
        <v>4378</v>
      </c>
      <c r="AF751" s="3961">
        <v>0</v>
      </c>
    </row>
    <row r="752" spans="6:32">
      <c r="F752" s="3995">
        <v>22151400</v>
      </c>
      <c r="G752" s="4007" t="s">
        <v>4360</v>
      </c>
      <c r="H752" s="3997">
        <v>0</v>
      </c>
      <c r="J752" s="3939"/>
      <c r="N752" s="3998">
        <v>22151400</v>
      </c>
      <c r="O752" s="4008" t="s">
        <v>4360</v>
      </c>
      <c r="P752" s="4000">
        <v>0</v>
      </c>
      <c r="R752" s="3939"/>
      <c r="V752" s="3998">
        <v>22151400</v>
      </c>
      <c r="W752" s="4008" t="s">
        <v>4360</v>
      </c>
      <c r="X752" s="4000">
        <v>0</v>
      </c>
      <c r="Z752" s="3939"/>
      <c r="AD752" s="3998">
        <v>22191300</v>
      </c>
      <c r="AE752" s="4008" t="s">
        <v>4374</v>
      </c>
      <c r="AF752" s="4000">
        <v>0</v>
      </c>
    </row>
    <row r="753" spans="6:32">
      <c r="F753" s="4001">
        <v>22151401</v>
      </c>
      <c r="G753" s="4002" t="s">
        <v>4360</v>
      </c>
      <c r="H753" s="3958">
        <v>0</v>
      </c>
      <c r="J753" s="3939"/>
      <c r="N753" s="4003">
        <v>22151401</v>
      </c>
      <c r="O753" s="4004" t="s">
        <v>4360</v>
      </c>
      <c r="P753" s="3961">
        <v>0</v>
      </c>
      <c r="R753" s="3939"/>
      <c r="V753" s="4003">
        <v>22151401</v>
      </c>
      <c r="W753" s="4004" t="s">
        <v>4360</v>
      </c>
      <c r="X753" s="3961">
        <v>0</v>
      </c>
      <c r="Z753" s="3939"/>
      <c r="AD753" s="4003">
        <v>22191301</v>
      </c>
      <c r="AE753" s="4004" t="s">
        <v>4374</v>
      </c>
      <c r="AF753" s="3961">
        <v>0</v>
      </c>
    </row>
    <row r="754" spans="6:32">
      <c r="F754" s="3989">
        <v>22160000</v>
      </c>
      <c r="G754" s="4005" t="s">
        <v>4361</v>
      </c>
      <c r="H754" s="3991">
        <v>542171388</v>
      </c>
      <c r="J754" s="3939"/>
      <c r="N754" s="3992">
        <v>22160000</v>
      </c>
      <c r="O754" s="4006" t="s">
        <v>4361</v>
      </c>
      <c r="P754" s="3994">
        <v>542171388</v>
      </c>
      <c r="R754" s="3939"/>
      <c r="V754" s="3992">
        <v>22160000</v>
      </c>
      <c r="W754" s="4006" t="s">
        <v>4361</v>
      </c>
      <c r="X754" s="3994">
        <v>305274263</v>
      </c>
      <c r="Z754" s="3939"/>
      <c r="AD754" s="3992">
        <v>22200000</v>
      </c>
      <c r="AE754" s="4006" t="s">
        <v>4379</v>
      </c>
      <c r="AF754" s="3994">
        <v>0</v>
      </c>
    </row>
    <row r="755" spans="6:32">
      <c r="F755" s="3995">
        <v>22161000</v>
      </c>
      <c r="G755" s="4007" t="s">
        <v>4361</v>
      </c>
      <c r="H755" s="3997">
        <v>542171388</v>
      </c>
      <c r="J755" s="3939"/>
      <c r="N755" s="3998">
        <v>22161000</v>
      </c>
      <c r="O755" s="4008" t="s">
        <v>4361</v>
      </c>
      <c r="P755" s="4000">
        <v>542171388</v>
      </c>
      <c r="R755" s="3939"/>
      <c r="V755" s="3998">
        <v>22161000</v>
      </c>
      <c r="W755" s="4008" t="s">
        <v>4361</v>
      </c>
      <c r="X755" s="4000">
        <v>305274263</v>
      </c>
      <c r="Z755" s="3939"/>
      <c r="AD755" s="3998">
        <v>22201000</v>
      </c>
      <c r="AE755" s="4008" t="s">
        <v>4379</v>
      </c>
      <c r="AF755" s="4000">
        <v>0</v>
      </c>
    </row>
    <row r="756" spans="6:32">
      <c r="F756" s="4001">
        <v>22161001</v>
      </c>
      <c r="G756" s="4002" t="s">
        <v>4361</v>
      </c>
      <c r="H756" s="3958">
        <v>542171388</v>
      </c>
      <c r="J756" s="3939"/>
      <c r="N756" s="4003">
        <v>22161001</v>
      </c>
      <c r="O756" s="4004" t="s">
        <v>4361</v>
      </c>
      <c r="P756" s="3961">
        <v>542171388</v>
      </c>
      <c r="R756" s="3939"/>
      <c r="V756" s="4003">
        <v>22161001</v>
      </c>
      <c r="W756" s="4004" t="s">
        <v>4361</v>
      </c>
      <c r="X756" s="3961">
        <v>305274263</v>
      </c>
      <c r="Z756" s="3939"/>
      <c r="AD756" s="4003">
        <v>22201001</v>
      </c>
      <c r="AE756" s="4004" t="s">
        <v>4380</v>
      </c>
      <c r="AF756" s="3961">
        <v>0</v>
      </c>
    </row>
    <row r="757" spans="6:32">
      <c r="F757" s="3989">
        <v>22170000</v>
      </c>
      <c r="G757" s="4005" t="s">
        <v>4305</v>
      </c>
      <c r="H757" s="3991">
        <v>60270505</v>
      </c>
      <c r="J757" s="3939"/>
      <c r="N757" s="3992">
        <v>22170000</v>
      </c>
      <c r="O757" s="4006" t="s">
        <v>4305</v>
      </c>
      <c r="P757" s="3994">
        <v>0</v>
      </c>
      <c r="R757" s="3939"/>
      <c r="V757" s="3992">
        <v>22170000</v>
      </c>
      <c r="W757" s="4006" t="s">
        <v>4305</v>
      </c>
      <c r="X757" s="3994">
        <v>0</v>
      </c>
      <c r="Z757" s="3939"/>
      <c r="AD757" s="3992">
        <v>22990000</v>
      </c>
      <c r="AE757" s="4006" t="s">
        <v>4381</v>
      </c>
      <c r="AF757" s="3994">
        <v>0</v>
      </c>
    </row>
    <row r="758" spans="6:32">
      <c r="F758" s="3995">
        <v>22171000</v>
      </c>
      <c r="G758" s="4007" t="s">
        <v>4362</v>
      </c>
      <c r="H758" s="3997">
        <v>0</v>
      </c>
      <c r="J758" s="3939"/>
      <c r="N758" s="3998">
        <v>22171000</v>
      </c>
      <c r="O758" s="4008" t="s">
        <v>4362</v>
      </c>
      <c r="P758" s="4000">
        <v>0</v>
      </c>
      <c r="R758" s="3939"/>
      <c r="V758" s="3998">
        <v>22171000</v>
      </c>
      <c r="W758" s="4008" t="s">
        <v>4362</v>
      </c>
      <c r="X758" s="4000">
        <v>0</v>
      </c>
      <c r="Z758" s="3939"/>
      <c r="AD758" s="3998">
        <v>22991000</v>
      </c>
      <c r="AE758" s="4008" t="s">
        <v>4382</v>
      </c>
      <c r="AF758" s="4000">
        <v>0</v>
      </c>
    </row>
    <row r="759" spans="6:32">
      <c r="F759" s="4001">
        <v>22171001</v>
      </c>
      <c r="G759" s="4002" t="s">
        <v>4363</v>
      </c>
      <c r="H759" s="3958">
        <v>0</v>
      </c>
      <c r="J759" s="3939"/>
      <c r="N759" s="4003">
        <v>22171001</v>
      </c>
      <c r="O759" s="4004" t="s">
        <v>4363</v>
      </c>
      <c r="P759" s="3961">
        <v>0</v>
      </c>
      <c r="R759" s="3939"/>
      <c r="V759" s="4003">
        <v>22171001</v>
      </c>
      <c r="W759" s="4004" t="s">
        <v>4363</v>
      </c>
      <c r="X759" s="3961">
        <v>0</v>
      </c>
      <c r="Z759" s="3939"/>
      <c r="AD759" s="4003">
        <v>22991001</v>
      </c>
      <c r="AE759" s="4004" t="s">
        <v>4382</v>
      </c>
      <c r="AF759" s="3961">
        <v>0</v>
      </c>
    </row>
    <row r="760" spans="6:32">
      <c r="F760" s="3995">
        <v>22171100</v>
      </c>
      <c r="G760" s="4007" t="s">
        <v>4364</v>
      </c>
      <c r="H760" s="3997">
        <v>0</v>
      </c>
      <c r="J760" s="3939"/>
      <c r="N760" s="3998">
        <v>22171100</v>
      </c>
      <c r="O760" s="4008" t="s">
        <v>4364</v>
      </c>
      <c r="P760" s="4000">
        <v>0</v>
      </c>
      <c r="R760" s="3939"/>
      <c r="V760" s="3998">
        <v>22171100</v>
      </c>
      <c r="W760" s="4008" t="s">
        <v>4364</v>
      </c>
      <c r="X760" s="4000">
        <v>0</v>
      </c>
      <c r="Z760" s="3939"/>
      <c r="AD760" s="3980">
        <v>30000000</v>
      </c>
      <c r="AE760" s="3981" t="s">
        <v>116</v>
      </c>
      <c r="AF760" s="3982">
        <v>21963028565</v>
      </c>
    </row>
    <row r="761" spans="6:32">
      <c r="F761" s="4001">
        <v>22171101</v>
      </c>
      <c r="G761" s="4002" t="s">
        <v>4364</v>
      </c>
      <c r="H761" s="3958">
        <v>0</v>
      </c>
      <c r="J761" s="3939"/>
      <c r="N761" s="4003">
        <v>22171101</v>
      </c>
      <c r="O761" s="4004" t="s">
        <v>4364</v>
      </c>
      <c r="P761" s="3961">
        <v>0</v>
      </c>
      <c r="R761" s="3939"/>
      <c r="V761" s="4003">
        <v>22171101</v>
      </c>
      <c r="W761" s="4004" t="s">
        <v>4364</v>
      </c>
      <c r="X761" s="3961">
        <v>0</v>
      </c>
      <c r="Z761" s="3939"/>
      <c r="AD761" s="3986">
        <v>31000000</v>
      </c>
      <c r="AE761" s="3987" t="s">
        <v>4383</v>
      </c>
      <c r="AF761" s="3988">
        <v>21963028565</v>
      </c>
    </row>
    <row r="762" spans="6:32">
      <c r="F762" s="3995">
        <v>22171200</v>
      </c>
      <c r="G762" s="4007" t="s">
        <v>4365</v>
      </c>
      <c r="H762" s="3997">
        <v>0</v>
      </c>
      <c r="J762" s="3939"/>
      <c r="N762" s="3998">
        <v>22171200</v>
      </c>
      <c r="O762" s="4008" t="s">
        <v>4365</v>
      </c>
      <c r="P762" s="4000">
        <v>0</v>
      </c>
      <c r="R762" s="3939"/>
      <c r="V762" s="3998">
        <v>22171200</v>
      </c>
      <c r="W762" s="4008" t="s">
        <v>4365</v>
      </c>
      <c r="X762" s="4000">
        <v>0</v>
      </c>
      <c r="Z762" s="3939"/>
      <c r="AD762" s="3992">
        <v>31100000</v>
      </c>
      <c r="AE762" s="4006" t="s">
        <v>4384</v>
      </c>
      <c r="AF762" s="3994">
        <v>7503315000</v>
      </c>
    </row>
    <row r="763" spans="6:32">
      <c r="F763" s="4001">
        <v>22171201</v>
      </c>
      <c r="G763" s="4002" t="s">
        <v>5077</v>
      </c>
      <c r="H763" s="3958">
        <v>0</v>
      </c>
      <c r="J763" s="3939"/>
      <c r="N763" s="4003">
        <v>22171201</v>
      </c>
      <c r="O763" s="4004" t="s">
        <v>4366</v>
      </c>
      <c r="P763" s="3961">
        <v>0</v>
      </c>
      <c r="R763" s="3939"/>
      <c r="V763" s="4003">
        <v>22171201</v>
      </c>
      <c r="W763" s="4004" t="s">
        <v>4366</v>
      </c>
      <c r="X763" s="3961">
        <v>0</v>
      </c>
      <c r="Z763" s="3939"/>
      <c r="AD763" s="3998">
        <v>31101000</v>
      </c>
      <c r="AE763" s="4008" t="s">
        <v>4384</v>
      </c>
      <c r="AF763" s="4000">
        <v>7503315000</v>
      </c>
    </row>
    <row r="764" spans="6:32">
      <c r="F764" s="3995">
        <v>22171500</v>
      </c>
      <c r="G764" s="4007" t="s">
        <v>4367</v>
      </c>
      <c r="H764" s="3997">
        <v>0</v>
      </c>
      <c r="J764" s="3939"/>
      <c r="N764" s="3998">
        <v>22171500</v>
      </c>
      <c r="O764" s="4008" t="s">
        <v>4367</v>
      </c>
      <c r="P764" s="4000">
        <v>0</v>
      </c>
      <c r="R764" s="3939"/>
      <c r="V764" s="3998">
        <v>22171500</v>
      </c>
      <c r="W764" s="4008" t="s">
        <v>4367</v>
      </c>
      <c r="X764" s="4000">
        <v>0</v>
      </c>
      <c r="Z764" s="3939"/>
      <c r="AD764" s="4003">
        <v>31101001</v>
      </c>
      <c r="AE764" s="4004" t="s">
        <v>4385</v>
      </c>
      <c r="AF764" s="3961">
        <v>7503315000</v>
      </c>
    </row>
    <row r="765" spans="6:32">
      <c r="F765" s="4001">
        <v>22171501</v>
      </c>
      <c r="G765" s="4002" t="s">
        <v>4367</v>
      </c>
      <c r="H765" s="3958">
        <v>0</v>
      </c>
      <c r="J765" s="3939"/>
      <c r="N765" s="4003">
        <v>22171501</v>
      </c>
      <c r="O765" s="4004" t="s">
        <v>4367</v>
      </c>
      <c r="P765" s="3961">
        <v>0</v>
      </c>
      <c r="R765" s="3939"/>
      <c r="V765" s="4003">
        <v>22171501</v>
      </c>
      <c r="W765" s="4004" t="s">
        <v>4367</v>
      </c>
      <c r="X765" s="3961">
        <v>0</v>
      </c>
      <c r="Z765" s="3939"/>
      <c r="AD765" s="4003">
        <v>31101002</v>
      </c>
      <c r="AE765" s="4004" t="s">
        <v>4386</v>
      </c>
      <c r="AF765" s="3961">
        <v>0</v>
      </c>
    </row>
    <row r="766" spans="6:32">
      <c r="F766" s="3995">
        <v>22171900</v>
      </c>
      <c r="G766" s="4007" t="s">
        <v>4368</v>
      </c>
      <c r="H766" s="3997">
        <v>60270505</v>
      </c>
      <c r="J766" s="3939"/>
      <c r="N766" s="3998">
        <v>22171900</v>
      </c>
      <c r="O766" s="4008" t="s">
        <v>4368</v>
      </c>
      <c r="P766" s="4000">
        <v>0</v>
      </c>
      <c r="R766" s="3939"/>
      <c r="V766" s="3998">
        <v>22171900</v>
      </c>
      <c r="W766" s="4008" t="s">
        <v>6550</v>
      </c>
      <c r="X766" s="4000">
        <v>0</v>
      </c>
      <c r="Z766" s="3939"/>
      <c r="AD766" s="3992">
        <v>31110000</v>
      </c>
      <c r="AE766" s="4006" t="s">
        <v>4387</v>
      </c>
      <c r="AF766" s="3994">
        <v>583275000</v>
      </c>
    </row>
    <row r="767" spans="6:32">
      <c r="F767" s="4001">
        <v>22171901</v>
      </c>
      <c r="G767" s="4002" t="s">
        <v>5078</v>
      </c>
      <c r="H767" s="4016">
        <v>60270505</v>
      </c>
      <c r="J767" s="3939"/>
      <c r="N767" s="4003">
        <v>22171901</v>
      </c>
      <c r="O767" s="4004" t="s">
        <v>4368</v>
      </c>
      <c r="P767" s="4015">
        <v>0</v>
      </c>
      <c r="R767" s="3939"/>
      <c r="V767" s="4003">
        <v>22171901</v>
      </c>
      <c r="W767" s="4004" t="s">
        <v>6550</v>
      </c>
      <c r="X767" s="4015">
        <v>0</v>
      </c>
      <c r="Z767" s="3939"/>
      <c r="AD767" s="3998">
        <v>31111000</v>
      </c>
      <c r="AE767" s="4008" t="s">
        <v>4387</v>
      </c>
      <c r="AF767" s="4000">
        <v>583275000</v>
      </c>
    </row>
    <row r="768" spans="6:32">
      <c r="F768" s="3995">
        <v>22171300</v>
      </c>
      <c r="G768" s="4007" t="s">
        <v>4369</v>
      </c>
      <c r="H768" s="3997">
        <v>0</v>
      </c>
      <c r="J768" s="3939"/>
      <c r="N768" s="3998">
        <v>22171300</v>
      </c>
      <c r="O768" s="4008" t="s">
        <v>4369</v>
      </c>
      <c r="P768" s="4000">
        <v>0</v>
      </c>
      <c r="R768" s="3939"/>
      <c r="V768" s="3998">
        <v>22171300</v>
      </c>
      <c r="W768" s="4008" t="s">
        <v>4369</v>
      </c>
      <c r="X768" s="4000">
        <v>0</v>
      </c>
      <c r="Z768" s="3939"/>
      <c r="AD768" s="4003">
        <v>31111001</v>
      </c>
      <c r="AE768" s="4004" t="s">
        <v>4388</v>
      </c>
      <c r="AF768" s="3961">
        <v>583275000</v>
      </c>
    </row>
    <row r="769" spans="6:32">
      <c r="F769" s="4001">
        <v>22171301</v>
      </c>
      <c r="G769" s="4002" t="s">
        <v>4369</v>
      </c>
      <c r="H769" s="3958">
        <v>0</v>
      </c>
      <c r="J769" s="3939"/>
      <c r="N769" s="4003">
        <v>22171301</v>
      </c>
      <c r="O769" s="4004" t="s">
        <v>4369</v>
      </c>
      <c r="P769" s="3961">
        <v>0</v>
      </c>
      <c r="R769" s="3939"/>
      <c r="V769" s="4003">
        <v>22171301</v>
      </c>
      <c r="W769" s="4004" t="s">
        <v>4369</v>
      </c>
      <c r="X769" s="3961">
        <v>0</v>
      </c>
      <c r="Z769" s="3939"/>
      <c r="AD769" s="4003">
        <v>31111002</v>
      </c>
      <c r="AE769" s="4004" t="s">
        <v>4389</v>
      </c>
      <c r="AF769" s="3961">
        <v>0</v>
      </c>
    </row>
    <row r="770" spans="6:32">
      <c r="F770" s="3989">
        <v>22180000</v>
      </c>
      <c r="G770" s="4005" t="s">
        <v>4370</v>
      </c>
      <c r="H770" s="3991">
        <v>1488644202</v>
      </c>
      <c r="J770" s="3939"/>
      <c r="N770" s="3992">
        <v>22180000</v>
      </c>
      <c r="O770" s="4006" t="s">
        <v>4370</v>
      </c>
      <c r="P770" s="3994">
        <v>1303453111</v>
      </c>
      <c r="R770" s="3939"/>
      <c r="V770" s="3992">
        <v>22180000</v>
      </c>
      <c r="W770" s="4006" t="s">
        <v>4370</v>
      </c>
      <c r="X770" s="3994">
        <v>1274112054</v>
      </c>
      <c r="Z770" s="3939"/>
      <c r="AD770" s="4003">
        <v>31111003</v>
      </c>
      <c r="AE770" s="4004" t="s">
        <v>4390</v>
      </c>
      <c r="AF770" s="3961">
        <v>0</v>
      </c>
    </row>
    <row r="771" spans="6:32">
      <c r="F771" s="3995">
        <v>22181000</v>
      </c>
      <c r="G771" s="4007" t="s">
        <v>4370</v>
      </c>
      <c r="H771" s="3997">
        <v>1488644202</v>
      </c>
      <c r="J771" s="3939"/>
      <c r="N771" s="3998">
        <v>22181000</v>
      </c>
      <c r="O771" s="4008" t="s">
        <v>4370</v>
      </c>
      <c r="P771" s="4000">
        <v>1303453111</v>
      </c>
      <c r="R771" s="3939"/>
      <c r="V771" s="3998">
        <v>22181000</v>
      </c>
      <c r="W771" s="4008" t="s">
        <v>4370</v>
      </c>
      <c r="X771" s="4000">
        <v>1274112054</v>
      </c>
      <c r="Z771" s="3939"/>
      <c r="AD771" s="4003">
        <v>31111004</v>
      </c>
      <c r="AE771" s="4004" t="s">
        <v>4391</v>
      </c>
      <c r="AF771" s="3961">
        <v>0</v>
      </c>
    </row>
    <row r="772" spans="6:32">
      <c r="F772" s="4001">
        <v>22181001</v>
      </c>
      <c r="G772" s="4002" t="s">
        <v>5079</v>
      </c>
      <c r="H772" s="3958">
        <v>1488644202</v>
      </c>
      <c r="J772" s="3939"/>
      <c r="N772" s="4003">
        <v>22181001</v>
      </c>
      <c r="O772" s="4004" t="s">
        <v>4370</v>
      </c>
      <c r="P772" s="3961">
        <v>1303453111</v>
      </c>
      <c r="R772" s="3939"/>
      <c r="V772" s="4003">
        <v>22181001</v>
      </c>
      <c r="W772" s="4004" t="s">
        <v>4370</v>
      </c>
      <c r="X772" s="3961">
        <v>1274112054</v>
      </c>
      <c r="Z772" s="3939"/>
      <c r="AD772" s="4003">
        <v>31111005</v>
      </c>
      <c r="AE772" s="4004" t="s">
        <v>4392</v>
      </c>
      <c r="AF772" s="3961">
        <v>0</v>
      </c>
    </row>
    <row r="773" spans="6:32">
      <c r="F773" s="4001">
        <v>22181002</v>
      </c>
      <c r="G773" s="4002" t="s">
        <v>4371</v>
      </c>
      <c r="H773" s="3958">
        <v>0</v>
      </c>
      <c r="J773" s="3939"/>
      <c r="N773" s="4003">
        <v>22181002</v>
      </c>
      <c r="O773" s="4004" t="s">
        <v>4371</v>
      </c>
      <c r="P773" s="3961">
        <v>0</v>
      </c>
      <c r="R773" s="3939"/>
      <c r="V773" s="4003">
        <v>22181002</v>
      </c>
      <c r="W773" s="4004" t="s">
        <v>4371</v>
      </c>
      <c r="X773" s="3961">
        <v>0</v>
      </c>
      <c r="Z773" s="3939"/>
      <c r="AD773" s="4003">
        <v>31111006</v>
      </c>
      <c r="AE773" s="4004" t="s">
        <v>4393</v>
      </c>
      <c r="AF773" s="3961">
        <v>0</v>
      </c>
    </row>
    <row r="774" spans="6:32">
      <c r="F774" s="4001">
        <v>22181003</v>
      </c>
      <c r="G774" s="4002" t="s">
        <v>4372</v>
      </c>
      <c r="H774" s="3958">
        <v>0</v>
      </c>
      <c r="J774" s="3939"/>
      <c r="N774" s="4003">
        <v>22181003</v>
      </c>
      <c r="O774" s="4004" t="s">
        <v>4372</v>
      </c>
      <c r="P774" s="3961">
        <v>0</v>
      </c>
      <c r="R774" s="3939"/>
      <c r="V774" s="4003">
        <v>22181003</v>
      </c>
      <c r="W774" s="4004" t="s">
        <v>4372</v>
      </c>
      <c r="X774" s="3961">
        <v>0</v>
      </c>
      <c r="Z774" s="3939"/>
      <c r="AD774" s="4003">
        <v>31111007</v>
      </c>
      <c r="AE774" s="4004" t="s">
        <v>4394</v>
      </c>
      <c r="AF774" s="3961">
        <v>0</v>
      </c>
    </row>
    <row r="775" spans="6:32">
      <c r="F775" s="4001">
        <v>22181004</v>
      </c>
      <c r="G775" s="4002" t="s">
        <v>4373</v>
      </c>
      <c r="H775" s="3958">
        <v>0</v>
      </c>
      <c r="J775" s="3939"/>
      <c r="N775" s="4003">
        <v>22181004</v>
      </c>
      <c r="O775" s="4004" t="s">
        <v>4373</v>
      </c>
      <c r="P775" s="3961">
        <v>0</v>
      </c>
      <c r="R775" s="3939"/>
      <c r="V775" s="4003">
        <v>22181004</v>
      </c>
      <c r="W775" s="4004" t="s">
        <v>4373</v>
      </c>
      <c r="X775" s="3961">
        <v>0</v>
      </c>
      <c r="Z775" s="3939"/>
      <c r="AD775" s="4003">
        <v>31111008</v>
      </c>
      <c r="AE775" s="4004" t="s">
        <v>4395</v>
      </c>
      <c r="AF775" s="3961">
        <v>0</v>
      </c>
    </row>
    <row r="776" spans="6:32">
      <c r="F776" s="3989">
        <v>22190000</v>
      </c>
      <c r="G776" s="4005" t="s">
        <v>4374</v>
      </c>
      <c r="H776" s="3991">
        <v>0</v>
      </c>
      <c r="J776" s="3939"/>
      <c r="N776" s="3992">
        <v>22190000</v>
      </c>
      <c r="O776" s="4006" t="s">
        <v>4374</v>
      </c>
      <c r="P776" s="3994">
        <v>0</v>
      </c>
      <c r="R776" s="3939"/>
      <c r="V776" s="3992">
        <v>22190000</v>
      </c>
      <c r="W776" s="4006" t="s">
        <v>4374</v>
      </c>
      <c r="X776" s="3994">
        <v>0</v>
      </c>
      <c r="Z776" s="3939"/>
      <c r="AD776" s="4003">
        <v>31111009</v>
      </c>
      <c r="AE776" s="4004" t="s">
        <v>4396</v>
      </c>
      <c r="AF776" s="3961">
        <v>0</v>
      </c>
    </row>
    <row r="777" spans="6:32">
      <c r="F777" s="3995">
        <v>22191000</v>
      </c>
      <c r="G777" s="4007" t="s">
        <v>4375</v>
      </c>
      <c r="H777" s="3997">
        <v>0</v>
      </c>
      <c r="J777" s="3939"/>
      <c r="N777" s="3998">
        <v>22191000</v>
      </c>
      <c r="O777" s="4008" t="s">
        <v>4375</v>
      </c>
      <c r="P777" s="4000">
        <v>0</v>
      </c>
      <c r="R777" s="3939"/>
      <c r="V777" s="3998">
        <v>22191000</v>
      </c>
      <c r="W777" s="4008" t="s">
        <v>4375</v>
      </c>
      <c r="X777" s="4000">
        <v>0</v>
      </c>
      <c r="Z777" s="3939"/>
      <c r="AD777" s="3992">
        <v>31120000</v>
      </c>
      <c r="AE777" s="4006" t="s">
        <v>4397</v>
      </c>
      <c r="AF777" s="3994">
        <v>0</v>
      </c>
    </row>
    <row r="778" spans="6:32">
      <c r="F778" s="4001">
        <v>22191001</v>
      </c>
      <c r="G778" s="4002" t="s">
        <v>4375</v>
      </c>
      <c r="H778" s="3958">
        <v>0</v>
      </c>
      <c r="J778" s="3939"/>
      <c r="N778" s="4003">
        <v>22191001</v>
      </c>
      <c r="O778" s="4004" t="s">
        <v>4375</v>
      </c>
      <c r="P778" s="3961">
        <v>0</v>
      </c>
      <c r="R778" s="3939"/>
      <c r="V778" s="4003">
        <v>22191001</v>
      </c>
      <c r="W778" s="4004" t="s">
        <v>4375</v>
      </c>
      <c r="X778" s="3961">
        <v>0</v>
      </c>
      <c r="Z778" s="3939"/>
      <c r="AD778" s="3998">
        <v>31121000</v>
      </c>
      <c r="AE778" s="4008" t="s">
        <v>4397</v>
      </c>
      <c r="AF778" s="4000">
        <v>0</v>
      </c>
    </row>
    <row r="779" spans="6:32">
      <c r="F779" s="3995">
        <v>22191100</v>
      </c>
      <c r="G779" s="4007" t="s">
        <v>4376</v>
      </c>
      <c r="H779" s="3997">
        <v>0</v>
      </c>
      <c r="J779" s="3939"/>
      <c r="N779" s="3998">
        <v>22191100</v>
      </c>
      <c r="O779" s="4008" t="s">
        <v>4376</v>
      </c>
      <c r="P779" s="4000">
        <v>0</v>
      </c>
      <c r="R779" s="3939"/>
      <c r="V779" s="3998">
        <v>22191100</v>
      </c>
      <c r="W779" s="4008" t="s">
        <v>4376</v>
      </c>
      <c r="X779" s="4000">
        <v>0</v>
      </c>
      <c r="Z779" s="3939"/>
      <c r="AD779" s="4003">
        <v>31121001</v>
      </c>
      <c r="AE779" s="4004" t="s">
        <v>4398</v>
      </c>
      <c r="AF779" s="3961">
        <v>0</v>
      </c>
    </row>
    <row r="780" spans="6:32">
      <c r="F780" s="4001">
        <v>22191101</v>
      </c>
      <c r="G780" s="4002" t="s">
        <v>4376</v>
      </c>
      <c r="H780" s="3958">
        <v>0</v>
      </c>
      <c r="J780" s="3939"/>
      <c r="N780" s="4003">
        <v>22191101</v>
      </c>
      <c r="O780" s="4004" t="s">
        <v>4376</v>
      </c>
      <c r="P780" s="3961">
        <v>0</v>
      </c>
      <c r="R780" s="3939"/>
      <c r="V780" s="4003">
        <v>22191101</v>
      </c>
      <c r="W780" s="4004" t="s">
        <v>4376</v>
      </c>
      <c r="X780" s="3961">
        <v>0</v>
      </c>
      <c r="Z780" s="3939"/>
      <c r="AD780" s="4003">
        <v>31121002</v>
      </c>
      <c r="AE780" s="4004" t="s">
        <v>4399</v>
      </c>
      <c r="AF780" s="3961">
        <v>0</v>
      </c>
    </row>
    <row r="781" spans="6:32">
      <c r="F781" s="3995">
        <v>22191200</v>
      </c>
      <c r="G781" s="4007" t="s">
        <v>4377</v>
      </c>
      <c r="H781" s="3997">
        <v>0</v>
      </c>
      <c r="J781" s="3939"/>
      <c r="N781" s="3998">
        <v>22191200</v>
      </c>
      <c r="O781" s="4008" t="s">
        <v>4377</v>
      </c>
      <c r="P781" s="4000">
        <v>0</v>
      </c>
      <c r="R781" s="3939"/>
      <c r="V781" s="3998">
        <v>22191200</v>
      </c>
      <c r="W781" s="4008" t="s">
        <v>4377</v>
      </c>
      <c r="X781" s="4000">
        <v>0</v>
      </c>
      <c r="Z781" s="3939"/>
      <c r="AD781" s="4003">
        <v>31121003</v>
      </c>
      <c r="AE781" s="4004" t="s">
        <v>4400</v>
      </c>
      <c r="AF781" s="3961">
        <v>0</v>
      </c>
    </row>
    <row r="782" spans="6:32">
      <c r="F782" s="4001">
        <v>22191201</v>
      </c>
      <c r="G782" s="4002" t="s">
        <v>5080</v>
      </c>
      <c r="H782" s="3958">
        <v>0</v>
      </c>
      <c r="J782" s="3939"/>
      <c r="N782" s="4003">
        <v>22191201</v>
      </c>
      <c r="O782" s="4004" t="s">
        <v>4378</v>
      </c>
      <c r="P782" s="3961">
        <v>0</v>
      </c>
      <c r="R782" s="3939"/>
      <c r="V782" s="4003">
        <v>22191201</v>
      </c>
      <c r="W782" s="4004" t="s">
        <v>4378</v>
      </c>
      <c r="X782" s="3961">
        <v>0</v>
      </c>
      <c r="Z782" s="3939"/>
      <c r="AD782" s="4003">
        <v>31121004</v>
      </c>
      <c r="AE782" s="4004" t="s">
        <v>4401</v>
      </c>
      <c r="AF782" s="3961">
        <v>0</v>
      </c>
    </row>
    <row r="783" spans="6:32">
      <c r="F783" s="3995">
        <v>22191300</v>
      </c>
      <c r="G783" s="4007" t="s">
        <v>4374</v>
      </c>
      <c r="H783" s="3997">
        <v>0</v>
      </c>
      <c r="J783" s="3939"/>
      <c r="N783" s="3998">
        <v>22191300</v>
      </c>
      <c r="O783" s="4008" t="s">
        <v>4374</v>
      </c>
      <c r="P783" s="4000">
        <v>0</v>
      </c>
      <c r="R783" s="3939"/>
      <c r="V783" s="3998">
        <v>22191300</v>
      </c>
      <c r="W783" s="4008" t="s">
        <v>4374</v>
      </c>
      <c r="X783" s="4000">
        <v>0</v>
      </c>
      <c r="Z783" s="3939"/>
      <c r="AD783" s="4003">
        <v>31121005</v>
      </c>
      <c r="AE783" s="4004" t="s">
        <v>4402</v>
      </c>
      <c r="AF783" s="3961">
        <v>0</v>
      </c>
    </row>
    <row r="784" spans="6:32">
      <c r="F784" s="4001">
        <v>22191301</v>
      </c>
      <c r="G784" s="4002" t="s">
        <v>4374</v>
      </c>
      <c r="H784" s="3958">
        <v>0</v>
      </c>
      <c r="J784" s="3939"/>
      <c r="N784" s="4003">
        <v>22191301</v>
      </c>
      <c r="O784" s="4004" t="s">
        <v>4374</v>
      </c>
      <c r="P784" s="3961">
        <v>0</v>
      </c>
      <c r="R784" s="3939"/>
      <c r="V784" s="4003">
        <v>22191301</v>
      </c>
      <c r="W784" s="4004" t="s">
        <v>4374</v>
      </c>
      <c r="X784" s="3961">
        <v>0</v>
      </c>
      <c r="Z784" s="3939"/>
      <c r="AD784" s="4003">
        <v>31121006</v>
      </c>
      <c r="AE784" s="4004" t="s">
        <v>4403</v>
      </c>
      <c r="AF784" s="3961">
        <v>0</v>
      </c>
    </row>
    <row r="785" spans="6:32">
      <c r="F785" s="3989">
        <v>22200000</v>
      </c>
      <c r="G785" s="4005" t="s">
        <v>4379</v>
      </c>
      <c r="H785" s="3991">
        <v>0</v>
      </c>
      <c r="J785" s="3939"/>
      <c r="N785" s="3992">
        <v>22200000</v>
      </c>
      <c r="O785" s="4006" t="s">
        <v>4379</v>
      </c>
      <c r="P785" s="3994">
        <v>0</v>
      </c>
      <c r="R785" s="3939"/>
      <c r="V785" s="3992">
        <v>22200000</v>
      </c>
      <c r="W785" s="4006" t="s">
        <v>4379</v>
      </c>
      <c r="X785" s="3994">
        <v>0</v>
      </c>
      <c r="Z785" s="3939"/>
      <c r="AD785" s="3992">
        <v>31130000</v>
      </c>
      <c r="AE785" s="4006" t="s">
        <v>4404</v>
      </c>
      <c r="AF785" s="3994">
        <v>0</v>
      </c>
    </row>
    <row r="786" spans="6:32">
      <c r="F786" s="3995">
        <v>22201000</v>
      </c>
      <c r="G786" s="4007" t="s">
        <v>4379</v>
      </c>
      <c r="H786" s="3997">
        <v>0</v>
      </c>
      <c r="J786" s="3939"/>
      <c r="N786" s="3998">
        <v>22201000</v>
      </c>
      <c r="O786" s="4008" t="s">
        <v>4379</v>
      </c>
      <c r="P786" s="4000">
        <v>0</v>
      </c>
      <c r="R786" s="3939"/>
      <c r="V786" s="3998">
        <v>22201000</v>
      </c>
      <c r="W786" s="4008" t="s">
        <v>4379</v>
      </c>
      <c r="X786" s="4000">
        <v>0</v>
      </c>
      <c r="Z786" s="3939"/>
      <c r="AD786" s="3998">
        <v>31131000</v>
      </c>
      <c r="AE786" s="4008" t="s">
        <v>4404</v>
      </c>
      <c r="AF786" s="4000">
        <v>0</v>
      </c>
    </row>
    <row r="787" spans="6:32">
      <c r="F787" s="4001">
        <v>22201001</v>
      </c>
      <c r="G787" s="4002" t="s">
        <v>5081</v>
      </c>
      <c r="H787" s="3958">
        <v>0</v>
      </c>
      <c r="J787" s="3939"/>
      <c r="N787" s="4003">
        <v>22201001</v>
      </c>
      <c r="O787" s="4004" t="s">
        <v>4380</v>
      </c>
      <c r="P787" s="3961">
        <v>0</v>
      </c>
      <c r="R787" s="3939"/>
      <c r="V787" s="4003">
        <v>22201001</v>
      </c>
      <c r="W787" s="4004" t="s">
        <v>4380</v>
      </c>
      <c r="X787" s="3961">
        <v>0</v>
      </c>
      <c r="Z787" s="3939"/>
      <c r="AD787" s="4003">
        <v>31131001</v>
      </c>
      <c r="AE787" s="4004" t="s">
        <v>4405</v>
      </c>
      <c r="AF787" s="3961">
        <v>0</v>
      </c>
    </row>
    <row r="788" spans="6:32">
      <c r="F788" s="3989">
        <v>22990000</v>
      </c>
      <c r="G788" s="4005" t="s">
        <v>4381</v>
      </c>
      <c r="H788" s="3991">
        <v>0</v>
      </c>
      <c r="J788" s="3939"/>
      <c r="N788" s="3992">
        <v>22990000</v>
      </c>
      <c r="O788" s="4006" t="s">
        <v>4381</v>
      </c>
      <c r="P788" s="3994">
        <v>0</v>
      </c>
      <c r="R788" s="3939"/>
      <c r="V788" s="3992">
        <v>22990000</v>
      </c>
      <c r="W788" s="4006" t="s">
        <v>4381</v>
      </c>
      <c r="X788" s="3994">
        <v>0</v>
      </c>
      <c r="Z788" s="3939"/>
      <c r="AD788" s="4003">
        <v>31131002</v>
      </c>
      <c r="AE788" s="4004" t="s">
        <v>4406</v>
      </c>
      <c r="AF788" s="3961">
        <v>0</v>
      </c>
    </row>
    <row r="789" spans="6:32">
      <c r="F789" s="3995">
        <v>22991000</v>
      </c>
      <c r="G789" s="4007" t="s">
        <v>4382</v>
      </c>
      <c r="H789" s="3997">
        <v>0</v>
      </c>
      <c r="J789" s="3939"/>
      <c r="N789" s="3998">
        <v>22991000</v>
      </c>
      <c r="O789" s="4008" t="s">
        <v>4382</v>
      </c>
      <c r="P789" s="4000">
        <v>0</v>
      </c>
      <c r="R789" s="3939"/>
      <c r="V789" s="3998">
        <v>22991000</v>
      </c>
      <c r="W789" s="4008" t="s">
        <v>4382</v>
      </c>
      <c r="X789" s="4000">
        <v>0</v>
      </c>
      <c r="Z789" s="3939"/>
      <c r="AD789" s="4003">
        <v>31131003</v>
      </c>
      <c r="AE789" s="4004" t="s">
        <v>4407</v>
      </c>
      <c r="AF789" s="3961">
        <v>0</v>
      </c>
    </row>
    <row r="790" spans="6:32">
      <c r="F790" s="4001">
        <v>22991001</v>
      </c>
      <c r="G790" s="4002" t="s">
        <v>4382</v>
      </c>
      <c r="H790" s="3958">
        <v>0</v>
      </c>
      <c r="J790" s="3939"/>
      <c r="N790" s="4003">
        <v>22991001</v>
      </c>
      <c r="O790" s="4004" t="s">
        <v>4382</v>
      </c>
      <c r="P790" s="3961">
        <v>0</v>
      </c>
      <c r="R790" s="3939"/>
      <c r="V790" s="4003">
        <v>22991001</v>
      </c>
      <c r="W790" s="4004" t="s">
        <v>4382</v>
      </c>
      <c r="X790" s="3961">
        <v>0</v>
      </c>
      <c r="Z790" s="3939"/>
      <c r="AD790" s="4003">
        <v>31131004</v>
      </c>
      <c r="AE790" s="4004" t="s">
        <v>4408</v>
      </c>
      <c r="AF790" s="3961">
        <v>0</v>
      </c>
    </row>
    <row r="791" spans="6:32">
      <c r="F791" s="3977">
        <v>30000000</v>
      </c>
      <c r="G791" s="3978" t="s">
        <v>5082</v>
      </c>
      <c r="H791" s="3979">
        <v>31045459485</v>
      </c>
      <c r="J791" s="3939"/>
      <c r="N791" s="3980">
        <v>30000000</v>
      </c>
      <c r="O791" s="3981" t="s">
        <v>116</v>
      </c>
      <c r="P791" s="3982">
        <v>27086127231</v>
      </c>
      <c r="R791" s="3939"/>
      <c r="V791" s="3980">
        <v>30000000</v>
      </c>
      <c r="W791" s="3981" t="s">
        <v>116</v>
      </c>
      <c r="X791" s="3982">
        <v>23279059205</v>
      </c>
      <c r="Z791" s="3939"/>
      <c r="AD791" s="4003">
        <v>31131005</v>
      </c>
      <c r="AE791" s="4004" t="s">
        <v>4409</v>
      </c>
      <c r="AF791" s="3961">
        <v>0</v>
      </c>
    </row>
    <row r="792" spans="6:32">
      <c r="F792" s="3983">
        <v>31000000</v>
      </c>
      <c r="G792" s="3984" t="s">
        <v>5083</v>
      </c>
      <c r="H792" s="3985">
        <v>31045459485</v>
      </c>
      <c r="J792" s="3939"/>
      <c r="N792" s="3986">
        <v>31000000</v>
      </c>
      <c r="O792" s="3987" t="s">
        <v>4383</v>
      </c>
      <c r="P792" s="3988">
        <v>27086127231</v>
      </c>
      <c r="R792" s="3939"/>
      <c r="V792" s="3986">
        <v>31000000</v>
      </c>
      <c r="W792" s="3987" t="s">
        <v>4383</v>
      </c>
      <c r="X792" s="3988">
        <v>23279059205</v>
      </c>
      <c r="Z792" s="3939"/>
      <c r="AD792" s="4003">
        <v>31131006</v>
      </c>
      <c r="AE792" s="4004" t="s">
        <v>4410</v>
      </c>
      <c r="AF792" s="3961">
        <v>0</v>
      </c>
    </row>
    <row r="793" spans="6:32">
      <c r="F793" s="3989">
        <v>31100000</v>
      </c>
      <c r="G793" s="4005" t="s">
        <v>4384</v>
      </c>
      <c r="H793" s="3991">
        <v>7503315000</v>
      </c>
      <c r="J793" s="3939"/>
      <c r="N793" s="3992">
        <v>31100000</v>
      </c>
      <c r="O793" s="4006" t="s">
        <v>4384</v>
      </c>
      <c r="P793" s="3994">
        <v>7503315000</v>
      </c>
      <c r="R793" s="3939"/>
      <c r="V793" s="3992">
        <v>31100000</v>
      </c>
      <c r="W793" s="4006" t="s">
        <v>4384</v>
      </c>
      <c r="X793" s="3994">
        <v>7503315000</v>
      </c>
      <c r="Z793" s="3939"/>
      <c r="AD793" s="4003">
        <v>31131007</v>
      </c>
      <c r="AE793" s="4004" t="s">
        <v>4411</v>
      </c>
      <c r="AF793" s="3961">
        <v>0</v>
      </c>
    </row>
    <row r="794" spans="6:32">
      <c r="F794" s="3995">
        <v>31101000</v>
      </c>
      <c r="G794" s="4007" t="s">
        <v>4384</v>
      </c>
      <c r="H794" s="3997">
        <v>7503315000</v>
      </c>
      <c r="J794" s="3939"/>
      <c r="N794" s="3998">
        <v>31101000</v>
      </c>
      <c r="O794" s="4008" t="s">
        <v>4384</v>
      </c>
      <c r="P794" s="4000">
        <v>7503315000</v>
      </c>
      <c r="R794" s="3939"/>
      <c r="V794" s="3998">
        <v>31101000</v>
      </c>
      <c r="W794" s="4008" t="s">
        <v>4384</v>
      </c>
      <c r="X794" s="4000">
        <v>7503315000</v>
      </c>
      <c r="Z794" s="3939"/>
      <c r="AD794" s="4003">
        <v>31131008</v>
      </c>
      <c r="AE794" s="4004" t="s">
        <v>4412</v>
      </c>
      <c r="AF794" s="3961">
        <v>0</v>
      </c>
    </row>
    <row r="795" spans="6:32">
      <c r="F795" s="4001">
        <v>31101001</v>
      </c>
      <c r="G795" s="4002" t="s">
        <v>5084</v>
      </c>
      <c r="H795" s="3958">
        <v>7503315000</v>
      </c>
      <c r="J795" s="3939"/>
      <c r="N795" s="4003">
        <v>31101001</v>
      </c>
      <c r="O795" s="4004" t="s">
        <v>4385</v>
      </c>
      <c r="P795" s="3961">
        <v>7503315000</v>
      </c>
      <c r="R795" s="3939"/>
      <c r="V795" s="4003">
        <v>31101001</v>
      </c>
      <c r="W795" s="4004" t="s">
        <v>4385</v>
      </c>
      <c r="X795" s="3961">
        <v>7503315000</v>
      </c>
      <c r="Z795" s="3939"/>
      <c r="AD795" s="4003">
        <v>31131009</v>
      </c>
      <c r="AE795" s="4004" t="s">
        <v>4413</v>
      </c>
      <c r="AF795" s="3961">
        <v>0</v>
      </c>
    </row>
    <row r="796" spans="6:32">
      <c r="F796" s="4001">
        <v>31101002</v>
      </c>
      <c r="G796" s="4002" t="s">
        <v>4386</v>
      </c>
      <c r="H796" s="3958">
        <v>0</v>
      </c>
      <c r="J796" s="3939"/>
      <c r="N796" s="4003">
        <v>31101002</v>
      </c>
      <c r="O796" s="4004" t="s">
        <v>4386</v>
      </c>
      <c r="P796" s="3961">
        <v>0</v>
      </c>
      <c r="R796" s="3939"/>
      <c r="V796" s="4003">
        <v>31101002</v>
      </c>
      <c r="W796" s="4004" t="s">
        <v>4386</v>
      </c>
      <c r="X796" s="3961">
        <v>0</v>
      </c>
      <c r="Z796" s="3939"/>
      <c r="AD796" s="4003">
        <v>31131010</v>
      </c>
      <c r="AE796" s="4004" t="s">
        <v>4414</v>
      </c>
      <c r="AF796" s="3961">
        <v>0</v>
      </c>
    </row>
    <row r="797" spans="6:32">
      <c r="F797" s="3989">
        <v>31110000</v>
      </c>
      <c r="G797" s="4005" t="s">
        <v>4387</v>
      </c>
      <c r="H797" s="3991">
        <v>583275000</v>
      </c>
      <c r="J797" s="3939"/>
      <c r="N797" s="3992">
        <v>31110000</v>
      </c>
      <c r="O797" s="4006" t="s">
        <v>4387</v>
      </c>
      <c r="P797" s="3994">
        <v>583275000</v>
      </c>
      <c r="R797" s="3939"/>
      <c r="V797" s="3992">
        <v>31110000</v>
      </c>
      <c r="W797" s="4006" t="s">
        <v>4387</v>
      </c>
      <c r="X797" s="3994">
        <v>583275000</v>
      </c>
      <c r="Z797" s="3939"/>
      <c r="AD797" s="4003">
        <v>31131011</v>
      </c>
      <c r="AE797" s="4004" t="s">
        <v>246</v>
      </c>
      <c r="AF797" s="3961">
        <v>0</v>
      </c>
    </row>
    <row r="798" spans="6:32">
      <c r="F798" s="3995">
        <v>31111000</v>
      </c>
      <c r="G798" s="4007" t="s">
        <v>4387</v>
      </c>
      <c r="H798" s="3997">
        <v>583275000</v>
      </c>
      <c r="J798" s="3939"/>
      <c r="N798" s="3998">
        <v>31111000</v>
      </c>
      <c r="O798" s="4008" t="s">
        <v>4387</v>
      </c>
      <c r="P798" s="4000">
        <v>583275000</v>
      </c>
      <c r="R798" s="3939"/>
      <c r="V798" s="3998">
        <v>31111000</v>
      </c>
      <c r="W798" s="4008" t="s">
        <v>4387</v>
      </c>
      <c r="X798" s="4000">
        <v>583275000</v>
      </c>
      <c r="Z798" s="3939"/>
      <c r="AD798" s="4003">
        <v>31131012</v>
      </c>
      <c r="AE798" s="4004" t="s">
        <v>4415</v>
      </c>
      <c r="AF798" s="3961">
        <v>0</v>
      </c>
    </row>
    <row r="799" spans="6:32">
      <c r="F799" s="4001">
        <v>31111001</v>
      </c>
      <c r="G799" s="4002" t="s">
        <v>5085</v>
      </c>
      <c r="H799" s="3958">
        <v>583275000</v>
      </c>
      <c r="J799" s="3939"/>
      <c r="N799" s="4003">
        <v>31111001</v>
      </c>
      <c r="O799" s="4004" t="s">
        <v>4388</v>
      </c>
      <c r="P799" s="3961">
        <v>583275000</v>
      </c>
      <c r="R799" s="3939"/>
      <c r="V799" s="4003">
        <v>31111001</v>
      </c>
      <c r="W799" s="4004" t="s">
        <v>4388</v>
      </c>
      <c r="X799" s="3961">
        <v>583275000</v>
      </c>
      <c r="Z799" s="3939"/>
      <c r="AD799" s="4003">
        <v>31131013</v>
      </c>
      <c r="AE799" s="4004" t="s">
        <v>4416</v>
      </c>
      <c r="AF799" s="3961">
        <v>0</v>
      </c>
    </row>
    <row r="800" spans="6:32">
      <c r="F800" s="4001">
        <v>31111002</v>
      </c>
      <c r="G800" s="4002" t="s">
        <v>5086</v>
      </c>
      <c r="H800" s="3958">
        <v>0</v>
      </c>
      <c r="J800" s="3939"/>
      <c r="N800" s="4003">
        <v>31111002</v>
      </c>
      <c r="O800" s="4004" t="s">
        <v>4389</v>
      </c>
      <c r="P800" s="3961">
        <v>0</v>
      </c>
      <c r="R800" s="3939"/>
      <c r="V800" s="4003">
        <v>31111002</v>
      </c>
      <c r="W800" s="4004" t="s">
        <v>4389</v>
      </c>
      <c r="X800" s="3961">
        <v>0</v>
      </c>
      <c r="Z800" s="3939"/>
      <c r="AD800" s="3992">
        <v>31140000</v>
      </c>
      <c r="AE800" s="4006" t="s">
        <v>4417</v>
      </c>
      <c r="AF800" s="3994">
        <v>13876438565</v>
      </c>
    </row>
    <row r="801" spans="6:32">
      <c r="F801" s="4001">
        <v>31111003</v>
      </c>
      <c r="G801" s="4002" t="s">
        <v>5087</v>
      </c>
      <c r="H801" s="3958">
        <v>0</v>
      </c>
      <c r="J801" s="3939"/>
      <c r="N801" s="4003">
        <v>31111003</v>
      </c>
      <c r="O801" s="4004" t="s">
        <v>4390</v>
      </c>
      <c r="P801" s="3961">
        <v>0</v>
      </c>
      <c r="R801" s="3939"/>
      <c r="V801" s="4003">
        <v>31111003</v>
      </c>
      <c r="W801" s="4004" t="s">
        <v>4390</v>
      </c>
      <c r="X801" s="3961">
        <v>0</v>
      </c>
      <c r="Z801" s="3939"/>
      <c r="AD801" s="3998">
        <v>31141000</v>
      </c>
      <c r="AE801" s="4008" t="s">
        <v>4417</v>
      </c>
      <c r="AF801" s="4000">
        <v>13876438565</v>
      </c>
    </row>
    <row r="802" spans="6:32">
      <c r="F802" s="4001">
        <v>31111004</v>
      </c>
      <c r="G802" s="4002" t="s">
        <v>5088</v>
      </c>
      <c r="H802" s="3958">
        <v>0</v>
      </c>
      <c r="J802" s="3939"/>
      <c r="N802" s="4003">
        <v>31111004</v>
      </c>
      <c r="O802" s="4004" t="s">
        <v>4391</v>
      </c>
      <c r="P802" s="3961">
        <v>0</v>
      </c>
      <c r="R802" s="3939"/>
      <c r="V802" s="4003">
        <v>31111004</v>
      </c>
      <c r="W802" s="4004" t="s">
        <v>4391</v>
      </c>
      <c r="X802" s="3961">
        <v>0</v>
      </c>
      <c r="Z802" s="3939"/>
      <c r="AD802" s="4003">
        <v>31141001</v>
      </c>
      <c r="AE802" s="4004" t="s">
        <v>4418</v>
      </c>
      <c r="AF802" s="3961">
        <v>0</v>
      </c>
    </row>
    <row r="803" spans="6:32">
      <c r="F803" s="4001">
        <v>31111005</v>
      </c>
      <c r="G803" s="4002" t="s">
        <v>5089</v>
      </c>
      <c r="H803" s="3958">
        <v>0</v>
      </c>
      <c r="J803" s="3939"/>
      <c r="N803" s="4003">
        <v>31111005</v>
      </c>
      <c r="O803" s="4004" t="s">
        <v>4392</v>
      </c>
      <c r="P803" s="3961">
        <v>0</v>
      </c>
      <c r="R803" s="3939"/>
      <c r="V803" s="4003">
        <v>31111005</v>
      </c>
      <c r="W803" s="4004" t="s">
        <v>4392</v>
      </c>
      <c r="X803" s="3961">
        <v>0</v>
      </c>
      <c r="Z803" s="3939"/>
      <c r="AD803" s="4003">
        <v>31141002</v>
      </c>
      <c r="AE803" s="4004" t="s">
        <v>4419</v>
      </c>
      <c r="AF803" s="3961">
        <v>0</v>
      </c>
    </row>
    <row r="804" spans="6:32">
      <c r="F804" s="4001">
        <v>31111006</v>
      </c>
      <c r="G804" s="4002" t="s">
        <v>5090</v>
      </c>
      <c r="H804" s="3958">
        <v>0</v>
      </c>
      <c r="J804" s="3939"/>
      <c r="N804" s="4003">
        <v>31111006</v>
      </c>
      <c r="O804" s="4004" t="s">
        <v>4393</v>
      </c>
      <c r="P804" s="3961">
        <v>0</v>
      </c>
      <c r="R804" s="3939"/>
      <c r="V804" s="4003">
        <v>31111006</v>
      </c>
      <c r="W804" s="4004" t="s">
        <v>4393</v>
      </c>
      <c r="X804" s="3961">
        <v>0</v>
      </c>
      <c r="Z804" s="3939"/>
      <c r="AD804" s="4003">
        <v>31141003</v>
      </c>
      <c r="AE804" s="4004" t="s">
        <v>4420</v>
      </c>
      <c r="AF804" s="3961">
        <v>0</v>
      </c>
    </row>
    <row r="805" spans="6:32">
      <c r="F805" s="4001">
        <v>31111007</v>
      </c>
      <c r="G805" s="4002" t="s">
        <v>5091</v>
      </c>
      <c r="H805" s="3958">
        <v>0</v>
      </c>
      <c r="J805" s="3939"/>
      <c r="N805" s="4003">
        <v>31111007</v>
      </c>
      <c r="O805" s="4004" t="s">
        <v>4394</v>
      </c>
      <c r="P805" s="3961">
        <v>0</v>
      </c>
      <c r="R805" s="3939"/>
      <c r="V805" s="4003">
        <v>31111007</v>
      </c>
      <c r="W805" s="4004" t="s">
        <v>4394</v>
      </c>
      <c r="X805" s="3961">
        <v>0</v>
      </c>
      <c r="Z805" s="3939"/>
      <c r="AD805" s="4003">
        <v>31141004</v>
      </c>
      <c r="AE805" s="4004" t="s">
        <v>4421</v>
      </c>
      <c r="AF805" s="3961">
        <v>0</v>
      </c>
    </row>
    <row r="806" spans="6:32">
      <c r="F806" s="4001">
        <v>31111008</v>
      </c>
      <c r="G806" s="4002" t="s">
        <v>4395</v>
      </c>
      <c r="H806" s="3958">
        <v>0</v>
      </c>
      <c r="J806" s="3939"/>
      <c r="N806" s="4003">
        <v>31111008</v>
      </c>
      <c r="O806" s="4004" t="s">
        <v>4395</v>
      </c>
      <c r="P806" s="3961">
        <v>0</v>
      </c>
      <c r="R806" s="3939"/>
      <c r="V806" s="4003">
        <v>31111008</v>
      </c>
      <c r="W806" s="4004" t="s">
        <v>4395</v>
      </c>
      <c r="X806" s="3961">
        <v>0</v>
      </c>
      <c r="Z806" s="3939"/>
      <c r="AD806" s="4003">
        <v>31141005</v>
      </c>
      <c r="AE806" s="4004" t="s">
        <v>4422</v>
      </c>
      <c r="AF806" s="3961">
        <v>0</v>
      </c>
    </row>
    <row r="807" spans="6:32">
      <c r="F807" s="4001">
        <v>31111009</v>
      </c>
      <c r="G807" s="4002" t="s">
        <v>5092</v>
      </c>
      <c r="H807" s="3958">
        <v>0</v>
      </c>
      <c r="J807" s="3939"/>
      <c r="N807" s="4003">
        <v>31111009</v>
      </c>
      <c r="O807" s="4004" t="s">
        <v>4396</v>
      </c>
      <c r="P807" s="3961">
        <v>0</v>
      </c>
      <c r="R807" s="3939"/>
      <c r="V807" s="4003">
        <v>31111009</v>
      </c>
      <c r="W807" s="4004" t="s">
        <v>4396</v>
      </c>
      <c r="X807" s="3961">
        <v>0</v>
      </c>
      <c r="Z807" s="3939"/>
      <c r="AD807" s="4003">
        <v>31141006</v>
      </c>
      <c r="AE807" s="4004" t="s">
        <v>4423</v>
      </c>
      <c r="AF807" s="3961">
        <v>0</v>
      </c>
    </row>
    <row r="808" spans="6:32">
      <c r="F808" s="3989">
        <v>31120000</v>
      </c>
      <c r="G808" s="4005" t="s">
        <v>4397</v>
      </c>
      <c r="H808" s="3991">
        <v>0</v>
      </c>
      <c r="J808" s="3939"/>
      <c r="N808" s="3992">
        <v>31120000</v>
      </c>
      <c r="O808" s="4006" t="s">
        <v>4397</v>
      </c>
      <c r="P808" s="3994">
        <v>0</v>
      </c>
      <c r="R808" s="3939"/>
      <c r="V808" s="3992">
        <v>31120000</v>
      </c>
      <c r="W808" s="4006" t="s">
        <v>4397</v>
      </c>
      <c r="X808" s="3994">
        <v>0</v>
      </c>
      <c r="Z808" s="3939"/>
      <c r="AD808" s="4003">
        <v>31141007</v>
      </c>
      <c r="AE808" s="4004" t="s">
        <v>4424</v>
      </c>
      <c r="AF808" s="3961">
        <v>0</v>
      </c>
    </row>
    <row r="809" spans="6:32">
      <c r="F809" s="3995">
        <v>31121000</v>
      </c>
      <c r="G809" s="4007" t="s">
        <v>4397</v>
      </c>
      <c r="H809" s="3997">
        <v>0</v>
      </c>
      <c r="J809" s="3939"/>
      <c r="N809" s="3998">
        <v>31121000</v>
      </c>
      <c r="O809" s="4008" t="s">
        <v>4397</v>
      </c>
      <c r="P809" s="4000">
        <v>0</v>
      </c>
      <c r="R809" s="3939"/>
      <c r="V809" s="3998">
        <v>31121000</v>
      </c>
      <c r="W809" s="4008" t="s">
        <v>4397</v>
      </c>
      <c r="X809" s="4000">
        <v>0</v>
      </c>
      <c r="Z809" s="3939"/>
      <c r="AD809" s="4003">
        <v>31141008</v>
      </c>
      <c r="AE809" s="4004" t="s">
        <v>4425</v>
      </c>
      <c r="AF809" s="3961">
        <v>0</v>
      </c>
    </row>
    <row r="810" spans="6:32">
      <c r="F810" s="4001">
        <v>31121001</v>
      </c>
      <c r="G810" s="4002" t="s">
        <v>4398</v>
      </c>
      <c r="H810" s="3958">
        <v>0</v>
      </c>
      <c r="J810" s="3939"/>
      <c r="N810" s="4003">
        <v>31121001</v>
      </c>
      <c r="O810" s="4004" t="s">
        <v>4398</v>
      </c>
      <c r="P810" s="3961">
        <v>0</v>
      </c>
      <c r="R810" s="3939"/>
      <c r="V810" s="4003">
        <v>31121001</v>
      </c>
      <c r="W810" s="4004" t="s">
        <v>4398</v>
      </c>
      <c r="X810" s="3961">
        <v>0</v>
      </c>
      <c r="Z810" s="3939"/>
      <c r="AD810" s="4003">
        <v>31141009</v>
      </c>
      <c r="AE810" s="4004" t="s">
        <v>4426</v>
      </c>
      <c r="AF810" s="3961">
        <v>0</v>
      </c>
    </row>
    <row r="811" spans="6:32">
      <c r="F811" s="4001">
        <v>31121002</v>
      </c>
      <c r="G811" s="4002" t="s">
        <v>4399</v>
      </c>
      <c r="H811" s="3958">
        <v>0</v>
      </c>
      <c r="J811" s="3939"/>
      <c r="N811" s="4003">
        <v>31121002</v>
      </c>
      <c r="O811" s="4004" t="s">
        <v>4399</v>
      </c>
      <c r="P811" s="3961">
        <v>0</v>
      </c>
      <c r="R811" s="3939"/>
      <c r="V811" s="4003">
        <v>31121002</v>
      </c>
      <c r="W811" s="4004" t="s">
        <v>4399</v>
      </c>
      <c r="X811" s="3961">
        <v>0</v>
      </c>
      <c r="Z811" s="3939"/>
      <c r="AD811" s="4003">
        <v>31141010</v>
      </c>
      <c r="AE811" s="4004" t="s">
        <v>4427</v>
      </c>
      <c r="AF811" s="3961">
        <v>0</v>
      </c>
    </row>
    <row r="812" spans="6:32">
      <c r="F812" s="4001">
        <v>31121003</v>
      </c>
      <c r="G812" s="4002" t="s">
        <v>4400</v>
      </c>
      <c r="H812" s="3958">
        <v>0</v>
      </c>
      <c r="J812" s="3939"/>
      <c r="N812" s="4003">
        <v>31121003</v>
      </c>
      <c r="O812" s="4004" t="s">
        <v>4400</v>
      </c>
      <c r="P812" s="3961">
        <v>0</v>
      </c>
      <c r="R812" s="3939"/>
      <c r="V812" s="4003">
        <v>31121003</v>
      </c>
      <c r="W812" s="4004" t="s">
        <v>4400</v>
      </c>
      <c r="X812" s="3961">
        <v>0</v>
      </c>
      <c r="Z812" s="3939"/>
      <c r="AD812" s="4003">
        <v>31141011</v>
      </c>
      <c r="AE812" s="4004" t="s">
        <v>4428</v>
      </c>
      <c r="AF812" s="3961">
        <v>11900000000</v>
      </c>
    </row>
    <row r="813" spans="6:32">
      <c r="F813" s="4001">
        <v>31121004</v>
      </c>
      <c r="G813" s="4002" t="s">
        <v>4401</v>
      </c>
      <c r="H813" s="3958">
        <v>0</v>
      </c>
      <c r="J813" s="3939"/>
      <c r="N813" s="4003">
        <v>31121004</v>
      </c>
      <c r="O813" s="4004" t="s">
        <v>4401</v>
      </c>
      <c r="P813" s="3961">
        <v>0</v>
      </c>
      <c r="R813" s="3939"/>
      <c r="V813" s="4003">
        <v>31121004</v>
      </c>
      <c r="W813" s="4004" t="s">
        <v>4401</v>
      </c>
      <c r="X813" s="3961">
        <v>0</v>
      </c>
      <c r="Z813" s="3939"/>
      <c r="AD813" s="4003">
        <v>31141012</v>
      </c>
      <c r="AE813" s="4004" t="s">
        <v>4429</v>
      </c>
      <c r="AF813" s="3961">
        <v>-327000290</v>
      </c>
    </row>
    <row r="814" spans="6:32">
      <c r="F814" s="4001">
        <v>31121005</v>
      </c>
      <c r="G814" s="4002" t="s">
        <v>4402</v>
      </c>
      <c r="H814" s="3958">
        <v>0</v>
      </c>
      <c r="J814" s="3939"/>
      <c r="N814" s="4003">
        <v>31121005</v>
      </c>
      <c r="O814" s="4004" t="s">
        <v>4402</v>
      </c>
      <c r="P814" s="3961">
        <v>0</v>
      </c>
      <c r="R814" s="3939"/>
      <c r="V814" s="4003">
        <v>31121005</v>
      </c>
      <c r="W814" s="4004" t="s">
        <v>4402</v>
      </c>
      <c r="X814" s="3961">
        <v>0</v>
      </c>
      <c r="Z814" s="3939"/>
      <c r="AD814" s="4003">
        <v>31141013</v>
      </c>
      <c r="AE814" s="4004" t="s">
        <v>4430</v>
      </c>
      <c r="AF814" s="3961">
        <v>0</v>
      </c>
    </row>
    <row r="815" spans="6:32">
      <c r="F815" s="4001">
        <v>31121006</v>
      </c>
      <c r="G815" s="4002" t="s">
        <v>4403</v>
      </c>
      <c r="H815" s="3958">
        <v>0</v>
      </c>
      <c r="J815" s="3939"/>
      <c r="N815" s="4003">
        <v>31121006</v>
      </c>
      <c r="O815" s="4004" t="s">
        <v>4403</v>
      </c>
      <c r="P815" s="3961">
        <v>0</v>
      </c>
      <c r="R815" s="3939"/>
      <c r="V815" s="4003">
        <v>31121006</v>
      </c>
      <c r="W815" s="4004" t="s">
        <v>4403</v>
      </c>
      <c r="X815" s="3961">
        <v>0</v>
      </c>
      <c r="Z815" s="3939"/>
      <c r="AD815" s="4003">
        <v>31141014</v>
      </c>
      <c r="AE815" s="4004" t="s">
        <v>4431</v>
      </c>
      <c r="AF815" s="3961">
        <v>0</v>
      </c>
    </row>
    <row r="816" spans="6:32">
      <c r="F816" s="3989">
        <v>31130000</v>
      </c>
      <c r="G816" s="4005" t="s">
        <v>4404</v>
      </c>
      <c r="H816" s="3991">
        <v>843483192</v>
      </c>
      <c r="J816" s="3939"/>
      <c r="N816" s="3992">
        <v>31130000</v>
      </c>
      <c r="O816" s="4006" t="s">
        <v>4404</v>
      </c>
      <c r="P816" s="3994">
        <v>-288798432</v>
      </c>
      <c r="R816" s="3939"/>
      <c r="V816" s="3992">
        <v>31130000</v>
      </c>
      <c r="W816" s="4006" t="s">
        <v>4404</v>
      </c>
      <c r="X816" s="3994">
        <v>0</v>
      </c>
      <c r="Z816" s="3939"/>
      <c r="AD816" s="4003">
        <v>31141015</v>
      </c>
      <c r="AE816" s="4004" t="s">
        <v>3897</v>
      </c>
      <c r="AF816" s="3961">
        <v>-312379905</v>
      </c>
    </row>
    <row r="817" spans="6:32">
      <c r="F817" s="3995">
        <v>31131000</v>
      </c>
      <c r="G817" s="4007" t="s">
        <v>4404</v>
      </c>
      <c r="H817" s="3997">
        <v>843483192</v>
      </c>
      <c r="J817" s="3939"/>
      <c r="N817" s="3998">
        <v>31131000</v>
      </c>
      <c r="O817" s="4008" t="s">
        <v>4404</v>
      </c>
      <c r="P817" s="4000">
        <v>-288798432</v>
      </c>
      <c r="R817" s="3939"/>
      <c r="V817" s="3998">
        <v>31131000</v>
      </c>
      <c r="W817" s="4008" t="s">
        <v>4404</v>
      </c>
      <c r="X817" s="4000">
        <v>0</v>
      </c>
      <c r="Z817" s="3939"/>
      <c r="AD817" s="4003">
        <v>31141016</v>
      </c>
      <c r="AE817" s="4004" t="s">
        <v>153</v>
      </c>
      <c r="AF817" s="3961">
        <v>2615818760</v>
      </c>
    </row>
    <row r="818" spans="6:32">
      <c r="F818" s="4001">
        <v>31131001</v>
      </c>
      <c r="G818" s="4002" t="s">
        <v>4405</v>
      </c>
      <c r="H818" s="3958">
        <v>0</v>
      </c>
      <c r="J818" s="3939"/>
      <c r="N818" s="4003">
        <v>31131001</v>
      </c>
      <c r="O818" s="4004" t="s">
        <v>4405</v>
      </c>
      <c r="P818" s="3961">
        <v>0</v>
      </c>
      <c r="R818" s="3939"/>
      <c r="V818" s="4003">
        <v>31131001</v>
      </c>
      <c r="W818" s="4004" t="s">
        <v>4405</v>
      </c>
      <c r="X818" s="3961">
        <v>0</v>
      </c>
      <c r="Z818" s="3939"/>
      <c r="AD818" s="3986">
        <v>32000000</v>
      </c>
      <c r="AE818" s="3987" t="s">
        <v>4432</v>
      </c>
      <c r="AF818" s="3988">
        <v>0</v>
      </c>
    </row>
    <row r="819" spans="6:32">
      <c r="F819" s="4001">
        <v>31131002</v>
      </c>
      <c r="G819" s="4002" t="s">
        <v>4406</v>
      </c>
      <c r="H819" s="3958">
        <v>0</v>
      </c>
      <c r="J819" s="3939"/>
      <c r="N819" s="4003">
        <v>31131002</v>
      </c>
      <c r="O819" s="4004" t="s">
        <v>4406</v>
      </c>
      <c r="P819" s="3961">
        <v>0</v>
      </c>
      <c r="R819" s="3939"/>
      <c r="V819" s="4003">
        <v>31131002</v>
      </c>
      <c r="W819" s="4004" t="s">
        <v>4406</v>
      </c>
      <c r="X819" s="3961">
        <v>0</v>
      </c>
      <c r="Z819" s="3939"/>
      <c r="AD819" s="3992">
        <v>32100000</v>
      </c>
      <c r="AE819" s="4006" t="s">
        <v>4432</v>
      </c>
      <c r="AF819" s="3994">
        <v>0</v>
      </c>
    </row>
    <row r="820" spans="6:32">
      <c r="F820" s="4001">
        <v>31131003</v>
      </c>
      <c r="G820" s="4002" t="s">
        <v>4407</v>
      </c>
      <c r="H820" s="3958">
        <v>0</v>
      </c>
      <c r="J820" s="3939"/>
      <c r="N820" s="4003">
        <v>31131003</v>
      </c>
      <c r="O820" s="4004" t="s">
        <v>4407</v>
      </c>
      <c r="P820" s="3961">
        <v>0</v>
      </c>
      <c r="R820" s="3939"/>
      <c r="V820" s="4003">
        <v>31131003</v>
      </c>
      <c r="W820" s="4004" t="s">
        <v>4407</v>
      </c>
      <c r="X820" s="3961">
        <v>0</v>
      </c>
      <c r="Z820" s="3939"/>
      <c r="AD820" s="3998">
        <v>32101000</v>
      </c>
      <c r="AE820" s="4008" t="s">
        <v>4432</v>
      </c>
      <c r="AF820" s="4000">
        <v>0</v>
      </c>
    </row>
    <row r="821" spans="6:32">
      <c r="F821" s="4001">
        <v>31131004</v>
      </c>
      <c r="G821" s="4002" t="s">
        <v>4408</v>
      </c>
      <c r="H821" s="3958">
        <v>0</v>
      </c>
      <c r="J821" s="3939"/>
      <c r="N821" s="4003">
        <v>31131004</v>
      </c>
      <c r="O821" s="4004" t="s">
        <v>4408</v>
      </c>
      <c r="P821" s="3961">
        <v>0</v>
      </c>
      <c r="R821" s="3939"/>
      <c r="V821" s="4003">
        <v>31131004</v>
      </c>
      <c r="W821" s="4004" t="s">
        <v>4408</v>
      </c>
      <c r="X821" s="3961">
        <v>0</v>
      </c>
      <c r="Z821" s="3939"/>
      <c r="AD821" s="4003">
        <v>32101001</v>
      </c>
      <c r="AE821" s="4004" t="s">
        <v>4433</v>
      </c>
      <c r="AF821" s="3961">
        <v>0</v>
      </c>
    </row>
    <row r="822" spans="6:32">
      <c r="F822" s="4001">
        <v>31131005</v>
      </c>
      <c r="G822" s="4002" t="s">
        <v>4409</v>
      </c>
      <c r="H822" s="3958">
        <v>-339775802</v>
      </c>
      <c r="J822" s="3939"/>
      <c r="N822" s="4003">
        <v>31131005</v>
      </c>
      <c r="O822" s="4004" t="s">
        <v>4409</v>
      </c>
      <c r="P822" s="3961">
        <v>-491636551</v>
      </c>
      <c r="R822" s="3939"/>
      <c r="V822" s="4003">
        <v>31131005</v>
      </c>
      <c r="W822" s="4004" t="s">
        <v>4409</v>
      </c>
      <c r="X822" s="3961">
        <v>0</v>
      </c>
      <c r="Z822" s="3939"/>
      <c r="AD822" s="4003">
        <v>32101002</v>
      </c>
      <c r="AE822" s="4004" t="s">
        <v>4434</v>
      </c>
      <c r="AF822" s="3961">
        <v>0</v>
      </c>
    </row>
    <row r="823" spans="6:32">
      <c r="F823" s="4001">
        <v>31131006</v>
      </c>
      <c r="G823" s="4002" t="s">
        <v>4410</v>
      </c>
      <c r="H823" s="3958">
        <v>1183258994</v>
      </c>
      <c r="J823" s="3939"/>
      <c r="N823" s="4003">
        <v>31131006</v>
      </c>
      <c r="O823" s="4004" t="s">
        <v>4410</v>
      </c>
      <c r="P823" s="3961">
        <v>202838119</v>
      </c>
      <c r="R823" s="3939"/>
      <c r="V823" s="4003">
        <v>31131006</v>
      </c>
      <c r="W823" s="4004" t="s">
        <v>4410</v>
      </c>
      <c r="X823" s="3961">
        <v>0</v>
      </c>
      <c r="Z823" s="3939"/>
      <c r="AD823" s="4003">
        <v>32101003</v>
      </c>
      <c r="AE823" s="4004" t="s">
        <v>4435</v>
      </c>
      <c r="AF823" s="3961">
        <v>0</v>
      </c>
    </row>
    <row r="824" spans="6:32">
      <c r="F824" s="4001">
        <v>31131007</v>
      </c>
      <c r="G824" s="4002" t="s">
        <v>4411</v>
      </c>
      <c r="H824" s="3958">
        <v>0</v>
      </c>
      <c r="J824" s="3939"/>
      <c r="N824" s="4003">
        <v>31131007</v>
      </c>
      <c r="O824" s="4004" t="s">
        <v>4411</v>
      </c>
      <c r="P824" s="3961">
        <v>0</v>
      </c>
      <c r="R824" s="3939"/>
      <c r="V824" s="4003">
        <v>31131007</v>
      </c>
      <c r="W824" s="4004" t="s">
        <v>4411</v>
      </c>
      <c r="X824" s="3961">
        <v>0</v>
      </c>
      <c r="Z824" s="3939"/>
      <c r="AD824" s="4003">
        <v>32101004</v>
      </c>
      <c r="AE824" s="4004" t="s">
        <v>4436</v>
      </c>
      <c r="AF824" s="3961">
        <v>0</v>
      </c>
    </row>
    <row r="825" spans="6:32">
      <c r="F825" s="4001">
        <v>31131008</v>
      </c>
      <c r="G825" s="4002" t="s">
        <v>4412</v>
      </c>
      <c r="H825" s="3958">
        <v>0</v>
      </c>
      <c r="J825" s="3939"/>
      <c r="N825" s="4003">
        <v>31131008</v>
      </c>
      <c r="O825" s="4004" t="s">
        <v>4412</v>
      </c>
      <c r="P825" s="3961">
        <v>0</v>
      </c>
      <c r="R825" s="3939"/>
      <c r="V825" s="4003">
        <v>31131008</v>
      </c>
      <c r="W825" s="4004" t="s">
        <v>4412</v>
      </c>
      <c r="X825" s="3961">
        <v>0</v>
      </c>
      <c r="Z825" s="3939"/>
      <c r="AD825" s="4003">
        <v>32101005</v>
      </c>
      <c r="AE825" s="4004" t="s">
        <v>4437</v>
      </c>
      <c r="AF825" s="3961">
        <v>0</v>
      </c>
    </row>
    <row r="826" spans="6:32">
      <c r="F826" s="4001">
        <v>31131009</v>
      </c>
      <c r="G826" s="4002" t="s">
        <v>5093</v>
      </c>
      <c r="H826" s="3958">
        <v>0</v>
      </c>
      <c r="J826" s="3939"/>
      <c r="N826" s="4003">
        <v>31131009</v>
      </c>
      <c r="O826" s="4004" t="s">
        <v>4413</v>
      </c>
      <c r="P826" s="3961">
        <v>0</v>
      </c>
      <c r="R826" s="3939"/>
      <c r="V826" s="4003">
        <v>31131009</v>
      </c>
      <c r="W826" s="4004" t="s">
        <v>4413</v>
      </c>
      <c r="X826" s="3961">
        <v>0</v>
      </c>
      <c r="Z826" s="3939"/>
      <c r="AD826" s="4017">
        <v>32101006</v>
      </c>
      <c r="AE826" s="4018" t="s">
        <v>4438</v>
      </c>
      <c r="AF826" s="3961">
        <v>0</v>
      </c>
    </row>
    <row r="827" spans="6:32">
      <c r="F827" s="4001">
        <v>31131010</v>
      </c>
      <c r="G827" s="4002" t="s">
        <v>4414</v>
      </c>
      <c r="H827" s="3958">
        <v>0</v>
      </c>
      <c r="J827" s="3939"/>
      <c r="N827" s="4003">
        <v>31131010</v>
      </c>
      <c r="O827" s="4004" t="s">
        <v>4414</v>
      </c>
      <c r="P827" s="3961">
        <v>0</v>
      </c>
      <c r="R827" s="3939"/>
      <c r="V827" s="4003">
        <v>31131010</v>
      </c>
      <c r="W827" s="4004" t="s">
        <v>4414</v>
      </c>
      <c r="X827" s="3961">
        <v>0</v>
      </c>
      <c r="Z827" s="3939"/>
      <c r="AD827" s="3992">
        <v>32990000</v>
      </c>
      <c r="AE827" s="4006" t="s">
        <v>4439</v>
      </c>
      <c r="AF827" s="3994">
        <v>0</v>
      </c>
    </row>
    <row r="828" spans="6:32">
      <c r="F828" s="4001">
        <v>31131011</v>
      </c>
      <c r="G828" s="4002" t="s">
        <v>246</v>
      </c>
      <c r="H828" s="3958">
        <v>0</v>
      </c>
      <c r="J828" s="3939"/>
      <c r="N828" s="4003">
        <v>31131011</v>
      </c>
      <c r="O828" s="4004" t="s">
        <v>246</v>
      </c>
      <c r="P828" s="3961">
        <v>0</v>
      </c>
      <c r="R828" s="3939"/>
      <c r="V828" s="4003">
        <v>31131011</v>
      </c>
      <c r="W828" s="4004" t="s">
        <v>246</v>
      </c>
      <c r="X828" s="3961">
        <v>0</v>
      </c>
      <c r="Z828" s="3939"/>
      <c r="AD828" s="3998">
        <v>32991000</v>
      </c>
      <c r="AE828" s="4008" t="s">
        <v>4439</v>
      </c>
      <c r="AF828" s="4000">
        <v>0</v>
      </c>
    </row>
    <row r="829" spans="6:32">
      <c r="F829" s="4001">
        <v>31131012</v>
      </c>
      <c r="G829" s="4002" t="s">
        <v>4415</v>
      </c>
      <c r="H829" s="3958">
        <v>0</v>
      </c>
      <c r="J829" s="3939"/>
      <c r="N829" s="4003">
        <v>31131012</v>
      </c>
      <c r="O829" s="4004" t="s">
        <v>4415</v>
      </c>
      <c r="P829" s="3961">
        <v>0</v>
      </c>
      <c r="R829" s="3939"/>
      <c r="V829" s="4003">
        <v>31131012</v>
      </c>
      <c r="W829" s="4004" t="s">
        <v>4415</v>
      </c>
      <c r="X829" s="3961">
        <v>0</v>
      </c>
      <c r="Z829" s="3939"/>
      <c r="AD829" s="4003">
        <v>32991001</v>
      </c>
      <c r="AE829" s="4004" t="s">
        <v>4440</v>
      </c>
      <c r="AF829" s="4015">
        <v>0</v>
      </c>
    </row>
    <row r="830" spans="6:32">
      <c r="F830" s="4001">
        <v>31131013</v>
      </c>
      <c r="G830" s="4002" t="s">
        <v>4416</v>
      </c>
      <c r="H830" s="3958">
        <v>0</v>
      </c>
      <c r="J830" s="3939"/>
      <c r="N830" s="4003">
        <v>31131013</v>
      </c>
      <c r="O830" s="4004" t="s">
        <v>4416</v>
      </c>
      <c r="P830" s="3961">
        <v>0</v>
      </c>
      <c r="R830" s="3939"/>
      <c r="V830" s="4003">
        <v>31131013</v>
      </c>
      <c r="W830" s="4004" t="s">
        <v>4416</v>
      </c>
      <c r="X830" s="3961">
        <v>0</v>
      </c>
      <c r="Z830" s="3939"/>
    </row>
    <row r="831" spans="6:32">
      <c r="F831" s="3989">
        <v>31140000</v>
      </c>
      <c r="G831" s="4005" t="s">
        <v>4417</v>
      </c>
      <c r="H831" s="3991">
        <v>22115386293</v>
      </c>
      <c r="J831" s="3939"/>
      <c r="N831" s="3992">
        <v>31140000</v>
      </c>
      <c r="O831" s="4006" t="s">
        <v>4417</v>
      </c>
      <c r="P831" s="3994">
        <v>19288335663</v>
      </c>
      <c r="R831" s="3939"/>
      <c r="V831" s="3992">
        <v>31140000</v>
      </c>
      <c r="W831" s="4006" t="s">
        <v>4417</v>
      </c>
      <c r="X831" s="3994">
        <v>15192469205</v>
      </c>
      <c r="Z831" s="3939"/>
    </row>
    <row r="832" spans="6:32">
      <c r="F832" s="3995">
        <v>31141000</v>
      </c>
      <c r="G832" s="4007" t="s">
        <v>4417</v>
      </c>
      <c r="H832" s="3997">
        <v>22115386293</v>
      </c>
      <c r="J832" s="3939"/>
      <c r="N832" s="3998">
        <v>31141000</v>
      </c>
      <c r="O832" s="4008" t="s">
        <v>4417</v>
      </c>
      <c r="P832" s="4000">
        <v>19288335663</v>
      </c>
      <c r="R832" s="3939"/>
      <c r="V832" s="3998">
        <v>31141000</v>
      </c>
      <c r="W832" s="4008" t="s">
        <v>4417</v>
      </c>
      <c r="X832" s="4000">
        <v>15192469205</v>
      </c>
      <c r="Z832" s="3939"/>
    </row>
    <row r="833" spans="6:26">
      <c r="F833" s="4001">
        <v>31141001</v>
      </c>
      <c r="G833" s="4002" t="s">
        <v>4418</v>
      </c>
      <c r="H833" s="3958">
        <v>0</v>
      </c>
      <c r="J833" s="3939"/>
      <c r="N833" s="4003">
        <v>31141001</v>
      </c>
      <c r="O833" s="4004" t="s">
        <v>4418</v>
      </c>
      <c r="P833" s="3961">
        <v>0</v>
      </c>
      <c r="R833" s="3939"/>
      <c r="V833" s="4003">
        <v>31141001</v>
      </c>
      <c r="W833" s="4004" t="s">
        <v>4418</v>
      </c>
      <c r="X833" s="3961">
        <v>0</v>
      </c>
      <c r="Z833" s="3939"/>
    </row>
    <row r="834" spans="6:26">
      <c r="F834" s="4001">
        <v>31141002</v>
      </c>
      <c r="G834" s="4002" t="s">
        <v>4419</v>
      </c>
      <c r="H834" s="3958">
        <v>0</v>
      </c>
      <c r="J834" s="3939"/>
      <c r="N834" s="4003">
        <v>31141002</v>
      </c>
      <c r="O834" s="4004" t="s">
        <v>4419</v>
      </c>
      <c r="P834" s="3961">
        <v>0</v>
      </c>
      <c r="R834" s="3939"/>
      <c r="V834" s="4003">
        <v>31141002</v>
      </c>
      <c r="W834" s="4004" t="s">
        <v>4419</v>
      </c>
      <c r="X834" s="3961">
        <v>0</v>
      </c>
      <c r="Z834" s="3939"/>
    </row>
    <row r="835" spans="6:26">
      <c r="F835" s="4001">
        <v>31141003</v>
      </c>
      <c r="G835" s="4002" t="s">
        <v>4420</v>
      </c>
      <c r="H835" s="3958">
        <v>0</v>
      </c>
      <c r="J835" s="3939"/>
      <c r="N835" s="4003">
        <v>31141003</v>
      </c>
      <c r="O835" s="4004" t="s">
        <v>4420</v>
      </c>
      <c r="P835" s="3961">
        <v>0</v>
      </c>
      <c r="R835" s="3939"/>
      <c r="V835" s="4003">
        <v>31141003</v>
      </c>
      <c r="W835" s="4004" t="s">
        <v>4420</v>
      </c>
      <c r="X835" s="3961">
        <v>0</v>
      </c>
      <c r="Z835" s="3939"/>
    </row>
    <row r="836" spans="6:26">
      <c r="F836" s="4001">
        <v>31141004</v>
      </c>
      <c r="G836" s="4002" t="s">
        <v>4421</v>
      </c>
      <c r="H836" s="3958">
        <v>0</v>
      </c>
      <c r="J836" s="3939"/>
      <c r="N836" s="4003">
        <v>31141004</v>
      </c>
      <c r="O836" s="4004" t="s">
        <v>4421</v>
      </c>
      <c r="P836" s="3961">
        <v>0</v>
      </c>
      <c r="R836" s="3939"/>
      <c r="V836" s="4003">
        <v>31141004</v>
      </c>
      <c r="W836" s="4004" t="s">
        <v>4421</v>
      </c>
      <c r="X836" s="3961">
        <v>0</v>
      </c>
      <c r="Z836" s="3939"/>
    </row>
    <row r="837" spans="6:26">
      <c r="F837" s="4001">
        <v>31141005</v>
      </c>
      <c r="G837" s="4002" t="s">
        <v>4422</v>
      </c>
      <c r="H837" s="3958">
        <v>0</v>
      </c>
      <c r="J837" s="3939"/>
      <c r="N837" s="4003">
        <v>31141005</v>
      </c>
      <c r="O837" s="4004" t="s">
        <v>4422</v>
      </c>
      <c r="P837" s="3961">
        <v>0</v>
      </c>
      <c r="R837" s="3939"/>
      <c r="V837" s="4003">
        <v>31141005</v>
      </c>
      <c r="W837" s="4004" t="s">
        <v>4422</v>
      </c>
      <c r="X837" s="3961">
        <v>0</v>
      </c>
      <c r="Z837" s="3939"/>
    </row>
    <row r="838" spans="6:26">
      <c r="F838" s="4001">
        <v>31141006</v>
      </c>
      <c r="G838" s="4002" t="s">
        <v>4423</v>
      </c>
      <c r="H838" s="3958">
        <v>0</v>
      </c>
      <c r="J838" s="3939"/>
      <c r="N838" s="4003">
        <v>31141006</v>
      </c>
      <c r="O838" s="4004" t="s">
        <v>4423</v>
      </c>
      <c r="P838" s="3961">
        <v>0</v>
      </c>
      <c r="R838" s="3939"/>
      <c r="V838" s="4003">
        <v>31141006</v>
      </c>
      <c r="W838" s="4004" t="s">
        <v>4423</v>
      </c>
      <c r="X838" s="3961">
        <v>0</v>
      </c>
      <c r="Z838" s="3939"/>
    </row>
    <row r="839" spans="6:26">
      <c r="F839" s="4001">
        <v>31141007</v>
      </c>
      <c r="G839" s="4002" t="s">
        <v>4424</v>
      </c>
      <c r="H839" s="3958">
        <v>0</v>
      </c>
      <c r="J839" s="3939"/>
      <c r="N839" s="4003">
        <v>31141007</v>
      </c>
      <c r="O839" s="4004" t="s">
        <v>4424</v>
      </c>
      <c r="P839" s="3961">
        <v>0</v>
      </c>
      <c r="R839" s="3939"/>
      <c r="V839" s="4003">
        <v>31141007</v>
      </c>
      <c r="W839" s="4004" t="s">
        <v>4424</v>
      </c>
      <c r="X839" s="3961">
        <v>0</v>
      </c>
      <c r="Z839" s="3939"/>
    </row>
    <row r="840" spans="6:26">
      <c r="F840" s="4001">
        <v>31141008</v>
      </c>
      <c r="G840" s="4002" t="s">
        <v>4425</v>
      </c>
      <c r="H840" s="3958">
        <v>0</v>
      </c>
      <c r="J840" s="3939"/>
      <c r="N840" s="4003">
        <v>31141008</v>
      </c>
      <c r="O840" s="4004" t="s">
        <v>4425</v>
      </c>
      <c r="P840" s="3961">
        <v>0</v>
      </c>
      <c r="R840" s="3939"/>
      <c r="V840" s="4003">
        <v>31141008</v>
      </c>
      <c r="W840" s="4004" t="s">
        <v>4425</v>
      </c>
      <c r="X840" s="3961">
        <v>0</v>
      </c>
      <c r="Z840" s="3939"/>
    </row>
    <row r="841" spans="6:26">
      <c r="F841" s="4001">
        <v>31141009</v>
      </c>
      <c r="G841" s="4002" t="s">
        <v>4426</v>
      </c>
      <c r="H841" s="3958">
        <v>0</v>
      </c>
      <c r="J841" s="3939"/>
      <c r="N841" s="4003">
        <v>31141009</v>
      </c>
      <c r="O841" s="4004" t="s">
        <v>4426</v>
      </c>
      <c r="P841" s="3961">
        <v>0</v>
      </c>
      <c r="R841" s="3939"/>
      <c r="V841" s="4003">
        <v>31141009</v>
      </c>
      <c r="W841" s="4004" t="s">
        <v>4426</v>
      </c>
      <c r="X841" s="3961">
        <v>0</v>
      </c>
      <c r="Z841" s="3939"/>
    </row>
    <row r="842" spans="6:26">
      <c r="F842" s="4001">
        <v>31141010</v>
      </c>
      <c r="G842" s="4002" t="s">
        <v>4427</v>
      </c>
      <c r="H842" s="3958">
        <v>0</v>
      </c>
      <c r="J842" s="3939"/>
      <c r="N842" s="4003">
        <v>31141010</v>
      </c>
      <c r="O842" s="4004" t="s">
        <v>4427</v>
      </c>
      <c r="P842" s="3961">
        <v>0</v>
      </c>
      <c r="R842" s="3939"/>
      <c r="V842" s="4003">
        <v>31141010</v>
      </c>
      <c r="W842" s="4004" t="s">
        <v>4427</v>
      </c>
      <c r="X842" s="3961">
        <v>0</v>
      </c>
      <c r="Z842" s="3939"/>
    </row>
    <row r="843" spans="6:26">
      <c r="F843" s="4001">
        <v>31141011</v>
      </c>
      <c r="G843" s="4002" t="s">
        <v>4428</v>
      </c>
      <c r="H843" s="3958">
        <v>11900000000</v>
      </c>
      <c r="J843" s="3939"/>
      <c r="N843" s="4003">
        <v>31141011</v>
      </c>
      <c r="O843" s="4004" t="s">
        <v>4428</v>
      </c>
      <c r="P843" s="3961">
        <v>11900000000</v>
      </c>
      <c r="R843" s="3939"/>
      <c r="V843" s="4003">
        <v>31141011</v>
      </c>
      <c r="W843" s="4004" t="s">
        <v>4428</v>
      </c>
      <c r="X843" s="3961">
        <v>11900000000</v>
      </c>
      <c r="Z843" s="3939"/>
    </row>
    <row r="844" spans="6:26">
      <c r="F844" s="4001">
        <v>31141012</v>
      </c>
      <c r="G844" s="4002" t="s">
        <v>4429</v>
      </c>
      <c r="H844" s="3958">
        <v>-194850501</v>
      </c>
      <c r="J844" s="3939"/>
      <c r="N844" s="4003">
        <v>31141012</v>
      </c>
      <c r="O844" s="4004" t="s">
        <v>4429</v>
      </c>
      <c r="P844" s="3961">
        <v>-194850501</v>
      </c>
      <c r="R844" s="3939"/>
      <c r="V844" s="4003">
        <v>31141012</v>
      </c>
      <c r="W844" s="4004" t="s">
        <v>4429</v>
      </c>
      <c r="X844" s="3961">
        <v>-193333038</v>
      </c>
      <c r="Z844" s="3939"/>
    </row>
    <row r="845" spans="6:26">
      <c r="F845" s="4001">
        <v>31141013</v>
      </c>
      <c r="G845" s="4002" t="s">
        <v>5094</v>
      </c>
      <c r="H845" s="3958">
        <v>0</v>
      </c>
      <c r="J845" s="3939"/>
      <c r="N845" s="4003">
        <v>31141013</v>
      </c>
      <c r="O845" s="4004" t="s">
        <v>4430</v>
      </c>
      <c r="P845" s="3961">
        <v>0</v>
      </c>
      <c r="R845" s="3939"/>
      <c r="V845" s="4003">
        <v>31141013</v>
      </c>
      <c r="W845" s="4004" t="s">
        <v>4430</v>
      </c>
      <c r="X845" s="3961">
        <v>0</v>
      </c>
      <c r="Z845" s="3939"/>
    </row>
    <row r="846" spans="6:26">
      <c r="F846" s="4001">
        <v>31141014</v>
      </c>
      <c r="G846" s="4002" t="s">
        <v>4431</v>
      </c>
      <c r="H846" s="3958">
        <v>0</v>
      </c>
      <c r="J846" s="3939"/>
      <c r="N846" s="4003">
        <v>31141014</v>
      </c>
      <c r="O846" s="4004" t="s">
        <v>4431</v>
      </c>
      <c r="P846" s="3961">
        <v>0</v>
      </c>
      <c r="R846" s="3939"/>
      <c r="V846" s="4003">
        <v>31141014</v>
      </c>
      <c r="W846" s="4004" t="s">
        <v>4431</v>
      </c>
      <c r="X846" s="3961">
        <v>0</v>
      </c>
      <c r="Z846" s="3939"/>
    </row>
    <row r="847" spans="6:26">
      <c r="F847" s="4001">
        <v>31141015</v>
      </c>
      <c r="G847" s="4002" t="s">
        <v>3897</v>
      </c>
      <c r="H847" s="3958">
        <v>7583186164</v>
      </c>
      <c r="J847" s="3939"/>
      <c r="N847" s="4003">
        <v>31141015</v>
      </c>
      <c r="O847" s="4004" t="s">
        <v>3897</v>
      </c>
      <c r="P847" s="3961">
        <v>3485802243</v>
      </c>
      <c r="R847" s="3939"/>
      <c r="V847" s="4003">
        <v>31141015</v>
      </c>
      <c r="W847" s="4004" t="s">
        <v>3897</v>
      </c>
      <c r="X847" s="3961">
        <v>2303438855</v>
      </c>
      <c r="Z847" s="3939"/>
    </row>
    <row r="848" spans="6:26">
      <c r="F848" s="4001">
        <v>31141016</v>
      </c>
      <c r="G848" s="4002" t="s">
        <v>153</v>
      </c>
      <c r="H848" s="3958">
        <v>2827050630</v>
      </c>
      <c r="J848" s="3939"/>
      <c r="N848" s="4003">
        <v>31141016</v>
      </c>
      <c r="O848" s="4004" t="s">
        <v>153</v>
      </c>
      <c r="P848" s="3961">
        <v>4097383921</v>
      </c>
      <c r="R848" s="3939"/>
      <c r="V848" s="4003">
        <v>31141016</v>
      </c>
      <c r="W848" s="4004" t="s">
        <v>153</v>
      </c>
      <c r="X848" s="3961">
        <v>1182363388</v>
      </c>
      <c r="Z848" s="3939"/>
    </row>
    <row r="849" spans="6:26">
      <c r="F849" s="3983">
        <v>32000000</v>
      </c>
      <c r="G849" s="3984" t="s">
        <v>4432</v>
      </c>
      <c r="H849" s="3985">
        <v>0</v>
      </c>
      <c r="J849" s="3939"/>
      <c r="N849" s="3986">
        <v>32000000</v>
      </c>
      <c r="O849" s="3987" t="s">
        <v>4432</v>
      </c>
      <c r="P849" s="3988">
        <v>0</v>
      </c>
      <c r="R849" s="3939"/>
      <c r="V849" s="3986">
        <v>32000000</v>
      </c>
      <c r="W849" s="3987" t="s">
        <v>4432</v>
      </c>
      <c r="X849" s="3988">
        <v>0</v>
      </c>
      <c r="Z849" s="3939"/>
    </row>
    <row r="850" spans="6:26">
      <c r="F850" s="3989">
        <v>32100000</v>
      </c>
      <c r="G850" s="4005" t="s">
        <v>4432</v>
      </c>
      <c r="H850" s="3991">
        <v>0</v>
      </c>
      <c r="J850" s="3939"/>
      <c r="N850" s="3992">
        <v>32100000</v>
      </c>
      <c r="O850" s="4006" t="s">
        <v>4432</v>
      </c>
      <c r="P850" s="3994">
        <v>0</v>
      </c>
      <c r="R850" s="3939"/>
      <c r="V850" s="3992">
        <v>32100000</v>
      </c>
      <c r="W850" s="4006" t="s">
        <v>4432</v>
      </c>
      <c r="X850" s="3994">
        <v>0</v>
      </c>
      <c r="Z850" s="3939"/>
    </row>
    <row r="851" spans="6:26">
      <c r="F851" s="3995">
        <v>32101000</v>
      </c>
      <c r="G851" s="4007" t="s">
        <v>4432</v>
      </c>
      <c r="H851" s="3997">
        <v>0</v>
      </c>
      <c r="J851" s="3939"/>
      <c r="N851" s="3998">
        <v>32101000</v>
      </c>
      <c r="O851" s="4008" t="s">
        <v>4432</v>
      </c>
      <c r="P851" s="4000">
        <v>0</v>
      </c>
      <c r="R851" s="3939"/>
      <c r="V851" s="3998">
        <v>32101000</v>
      </c>
      <c r="W851" s="4008" t="s">
        <v>4432</v>
      </c>
      <c r="X851" s="4000">
        <v>0</v>
      </c>
      <c r="Z851" s="3939"/>
    </row>
    <row r="852" spans="6:26">
      <c r="F852" s="4001">
        <v>32101001</v>
      </c>
      <c r="G852" s="4002" t="s">
        <v>5095</v>
      </c>
      <c r="H852" s="3958">
        <v>0</v>
      </c>
      <c r="J852" s="3939"/>
      <c r="N852" s="4003">
        <v>32101001</v>
      </c>
      <c r="O852" s="4004" t="s">
        <v>4433</v>
      </c>
      <c r="P852" s="3961">
        <v>0</v>
      </c>
      <c r="R852" s="3939"/>
      <c r="V852" s="4003">
        <v>32101001</v>
      </c>
      <c r="W852" s="4004" t="s">
        <v>4433</v>
      </c>
      <c r="X852" s="3961">
        <v>0</v>
      </c>
      <c r="Z852" s="3939"/>
    </row>
    <row r="853" spans="6:26">
      <c r="F853" s="4001">
        <v>32101002</v>
      </c>
      <c r="G853" s="4002" t="s">
        <v>5096</v>
      </c>
      <c r="H853" s="3958">
        <v>0</v>
      </c>
      <c r="J853" s="3939"/>
      <c r="N853" s="4003">
        <v>32101002</v>
      </c>
      <c r="O853" s="4004" t="s">
        <v>4434</v>
      </c>
      <c r="P853" s="3961">
        <v>0</v>
      </c>
      <c r="R853" s="3939"/>
      <c r="V853" s="4003">
        <v>32101002</v>
      </c>
      <c r="W853" s="4004" t="s">
        <v>4434</v>
      </c>
      <c r="X853" s="3961">
        <v>0</v>
      </c>
      <c r="Z853" s="3939"/>
    </row>
    <row r="854" spans="6:26">
      <c r="F854" s="4001">
        <v>32101003</v>
      </c>
      <c r="G854" s="4002" t="s">
        <v>5097</v>
      </c>
      <c r="H854" s="3958">
        <v>0</v>
      </c>
      <c r="J854" s="3939"/>
      <c r="N854" s="4003">
        <v>32101003</v>
      </c>
      <c r="O854" s="4004" t="s">
        <v>4435</v>
      </c>
      <c r="P854" s="3961">
        <v>0</v>
      </c>
      <c r="R854" s="3939"/>
      <c r="V854" s="4003">
        <v>32101003</v>
      </c>
      <c r="W854" s="4004" t="s">
        <v>4435</v>
      </c>
      <c r="X854" s="3961">
        <v>0</v>
      </c>
      <c r="Z854" s="3939"/>
    </row>
    <row r="855" spans="6:26">
      <c r="F855" s="4001">
        <v>32101004</v>
      </c>
      <c r="G855" s="4002" t="s">
        <v>5098</v>
      </c>
      <c r="H855" s="3958">
        <v>0</v>
      </c>
      <c r="J855" s="3939"/>
      <c r="N855" s="4003">
        <v>32101004</v>
      </c>
      <c r="O855" s="4004" t="s">
        <v>4436</v>
      </c>
      <c r="P855" s="3961">
        <v>0</v>
      </c>
      <c r="R855" s="3939"/>
      <c r="V855" s="4003">
        <v>32101004</v>
      </c>
      <c r="W855" s="4004" t="s">
        <v>4436</v>
      </c>
      <c r="X855" s="3961">
        <v>0</v>
      </c>
      <c r="Z855" s="3939"/>
    </row>
    <row r="856" spans="6:26">
      <c r="F856" s="4001">
        <v>32101005</v>
      </c>
      <c r="G856" s="4002" t="s">
        <v>5099</v>
      </c>
      <c r="H856" s="3958">
        <v>0</v>
      </c>
      <c r="J856" s="3939"/>
      <c r="N856" s="4003">
        <v>32101005</v>
      </c>
      <c r="O856" s="4004" t="s">
        <v>4437</v>
      </c>
      <c r="P856" s="3961">
        <v>0</v>
      </c>
      <c r="R856" s="3939"/>
      <c r="V856" s="4003">
        <v>32101005</v>
      </c>
      <c r="W856" s="4004" t="s">
        <v>4437</v>
      </c>
      <c r="X856" s="3961">
        <v>0</v>
      </c>
      <c r="Z856" s="3939"/>
    </row>
    <row r="857" spans="6:26">
      <c r="F857" s="4019">
        <v>32101006</v>
      </c>
      <c r="G857" s="4020" t="s">
        <v>5100</v>
      </c>
      <c r="H857" s="3958">
        <v>0</v>
      </c>
      <c r="J857" s="3939"/>
      <c r="N857" s="4017">
        <v>32101006</v>
      </c>
      <c r="O857" s="4018" t="s">
        <v>4438</v>
      </c>
      <c r="P857" s="3961">
        <v>0</v>
      </c>
      <c r="R857" s="3939"/>
      <c r="V857" s="4017">
        <v>32101006</v>
      </c>
      <c r="W857" s="4018" t="s">
        <v>4438</v>
      </c>
      <c r="X857" s="3961">
        <v>0</v>
      </c>
      <c r="Z857" s="3939"/>
    </row>
    <row r="858" spans="6:26">
      <c r="F858" s="3989">
        <v>32990000</v>
      </c>
      <c r="G858" s="4005" t="s">
        <v>4439</v>
      </c>
      <c r="H858" s="3991">
        <v>0</v>
      </c>
      <c r="J858" s="3939"/>
      <c r="N858" s="3992">
        <v>32990000</v>
      </c>
      <c r="O858" s="4006" t="s">
        <v>4439</v>
      </c>
      <c r="P858" s="3994">
        <v>0</v>
      </c>
      <c r="R858" s="3939"/>
      <c r="V858" s="3992">
        <v>32990000</v>
      </c>
      <c r="W858" s="4006" t="s">
        <v>4439</v>
      </c>
      <c r="X858" s="3994">
        <v>0</v>
      </c>
      <c r="Z858" s="3939"/>
    </row>
    <row r="859" spans="6:26">
      <c r="F859" s="3995">
        <v>32991000</v>
      </c>
      <c r="G859" s="4007" t="s">
        <v>4439</v>
      </c>
      <c r="H859" s="3997">
        <v>0</v>
      </c>
      <c r="J859" s="3939"/>
      <c r="N859" s="3998">
        <v>32991000</v>
      </c>
      <c r="O859" s="4008" t="s">
        <v>4439</v>
      </c>
      <c r="P859" s="4000">
        <v>0</v>
      </c>
      <c r="R859" s="3939"/>
      <c r="V859" s="3998">
        <v>32991000</v>
      </c>
      <c r="W859" s="4008" t="s">
        <v>4439</v>
      </c>
      <c r="X859" s="4000">
        <v>0</v>
      </c>
      <c r="Z859" s="3939"/>
    </row>
    <row r="860" spans="6:26">
      <c r="F860" s="4001">
        <v>32991001</v>
      </c>
      <c r="G860" s="4002" t="s">
        <v>4440</v>
      </c>
      <c r="H860" s="4016">
        <v>0</v>
      </c>
      <c r="J860" s="3939"/>
      <c r="N860" s="4003">
        <v>32991001</v>
      </c>
      <c r="O860" s="4004" t="s">
        <v>4440</v>
      </c>
      <c r="P860" s="4015">
        <v>0</v>
      </c>
      <c r="R860" s="3939"/>
      <c r="V860" s="4003">
        <v>32991001</v>
      </c>
      <c r="W860" s="4004" t="s">
        <v>4440</v>
      </c>
      <c r="X860" s="4015">
        <v>0</v>
      </c>
      <c r="Z860" s="3939"/>
    </row>
  </sheetData>
  <mergeCells count="12">
    <mergeCell ref="AD5:AD6"/>
    <mergeCell ref="AE5:AE6"/>
    <mergeCell ref="G212:G213"/>
    <mergeCell ref="O212:O213"/>
    <mergeCell ref="W212:W213"/>
    <mergeCell ref="AE212:AE213"/>
    <mergeCell ref="W5:W6"/>
    <mergeCell ref="F5:F6"/>
    <mergeCell ref="G5:G6"/>
    <mergeCell ref="N5:N6"/>
    <mergeCell ref="O5:O6"/>
    <mergeCell ref="V5:V6"/>
  </mergeCells>
  <phoneticPr fontId="1"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B30CD-DF2E-4207-88C4-327BAFC80BEF}">
  <sheetPr codeName="Sheet55"/>
  <dimension ref="A1:P92"/>
  <sheetViews>
    <sheetView workbookViewId="0"/>
  </sheetViews>
  <sheetFormatPr defaultRowHeight="16.5"/>
  <sheetData>
    <row r="1" spans="1:16">
      <c r="A1" s="995"/>
      <c r="B1" s="3850"/>
      <c r="C1" s="995"/>
      <c r="D1" s="995"/>
      <c r="E1" s="995"/>
      <c r="F1" s="995"/>
      <c r="G1" s="995"/>
      <c r="H1" s="995"/>
      <c r="I1" s="995"/>
      <c r="J1" s="995"/>
      <c r="K1" s="995"/>
      <c r="L1" s="995"/>
      <c r="M1" s="995"/>
      <c r="N1" s="995"/>
      <c r="O1" s="995"/>
      <c r="P1" s="995"/>
    </row>
    <row r="2" spans="1:16" ht="26.25">
      <c r="A2" s="3851"/>
      <c r="B2" s="3852" t="s">
        <v>6510</v>
      </c>
      <c r="C2" s="3851"/>
      <c r="D2" s="3851"/>
      <c r="E2" s="3851"/>
      <c r="F2" s="3851"/>
      <c r="G2" s="3851"/>
      <c r="H2" s="3851"/>
      <c r="I2" s="3851"/>
      <c r="J2" s="3851"/>
      <c r="K2" s="3851"/>
      <c r="L2" s="3851"/>
      <c r="M2" s="3851"/>
      <c r="N2" s="3851"/>
      <c r="O2" s="3851"/>
      <c r="P2" s="3851"/>
    </row>
    <row r="3" spans="1:16">
      <c r="A3" s="995"/>
      <c r="B3" s="995"/>
      <c r="C3" s="995"/>
      <c r="D3" s="995"/>
      <c r="E3" s="995"/>
      <c r="F3" s="995"/>
      <c r="G3" s="1791" t="s">
        <v>6511</v>
      </c>
      <c r="H3" s="1791"/>
      <c r="I3" s="1791"/>
      <c r="J3" s="995"/>
      <c r="K3" s="995"/>
      <c r="L3" s="995"/>
      <c r="M3" s="995"/>
      <c r="N3" s="995"/>
      <c r="O3" s="995"/>
      <c r="P3" s="1791" t="s">
        <v>6512</v>
      </c>
    </row>
    <row r="4" spans="1:16">
      <c r="A4" s="3850"/>
      <c r="B4" s="3853" t="s">
        <v>6513</v>
      </c>
      <c r="C4" s="3854" t="s">
        <v>6514</v>
      </c>
      <c r="D4" s="3854" t="s">
        <v>6515</v>
      </c>
      <c r="E4" s="3854" t="s">
        <v>2825</v>
      </c>
      <c r="F4" s="3854" t="s">
        <v>2663</v>
      </c>
      <c r="G4" s="3854" t="s">
        <v>6516</v>
      </c>
      <c r="H4" s="3855"/>
      <c r="I4" s="3855"/>
      <c r="J4" s="3856"/>
      <c r="K4" s="3853" t="s">
        <v>6482</v>
      </c>
      <c r="L4" s="3854" t="s">
        <v>6514</v>
      </c>
      <c r="M4" s="3854" t="s">
        <v>6508</v>
      </c>
      <c r="N4" s="3854" t="s">
        <v>1934</v>
      </c>
      <c r="O4" s="3854" t="s">
        <v>1935</v>
      </c>
      <c r="P4" s="3854" t="s">
        <v>6509</v>
      </c>
    </row>
    <row r="5" spans="1:16">
      <c r="A5" s="995"/>
      <c r="B5" s="5408" t="s">
        <v>6517</v>
      </c>
      <c r="C5" s="3857" t="s">
        <v>6518</v>
      </c>
      <c r="D5" s="3858">
        <v>1738.8446369999999</v>
      </c>
      <c r="E5" s="3858">
        <v>1748.034881564291</v>
      </c>
      <c r="F5" s="3858">
        <v>1788.7014949338575</v>
      </c>
      <c r="G5" s="3858">
        <v>1832.7175168260162</v>
      </c>
      <c r="H5" s="3859"/>
      <c r="I5" s="3859"/>
      <c r="J5" s="995"/>
      <c r="K5" s="5408" t="s">
        <v>6517</v>
      </c>
      <c r="L5" s="3857" t="s">
        <v>6518</v>
      </c>
      <c r="M5" s="3858">
        <v>106229.63749654171</v>
      </c>
      <c r="N5" s="3858">
        <v>102828.50475548433</v>
      </c>
      <c r="O5" s="3858">
        <v>104927.89661601953</v>
      </c>
      <c r="P5" s="3858">
        <v>107087.23980812708</v>
      </c>
    </row>
    <row r="6" spans="1:16">
      <c r="A6" s="995"/>
      <c r="B6" s="5409"/>
      <c r="C6" s="3860" t="s">
        <v>6492</v>
      </c>
      <c r="D6" s="3861">
        <v>1955.6014399999999</v>
      </c>
      <c r="E6" s="3861">
        <v>1987.636</v>
      </c>
      <c r="F6" s="3861">
        <v>2048.6526000000003</v>
      </c>
      <c r="G6" s="3861">
        <v>2112.5125940000003</v>
      </c>
      <c r="H6" s="3859"/>
      <c r="I6" s="3859"/>
      <c r="J6" s="995"/>
      <c r="K6" s="5409"/>
      <c r="L6" s="3860" t="s">
        <v>6492</v>
      </c>
      <c r="M6" s="3861">
        <v>105650.86801982441</v>
      </c>
      <c r="N6" s="3861">
        <v>103919.44865959778</v>
      </c>
      <c r="O6" s="3861">
        <v>107119.65165161807</v>
      </c>
      <c r="P6" s="3861">
        <v>110489.42172445034</v>
      </c>
    </row>
    <row r="7" spans="1:16">
      <c r="A7" s="113"/>
      <c r="B7" s="5410"/>
      <c r="C7" s="3862" t="s">
        <v>5786</v>
      </c>
      <c r="D7" s="3863">
        <v>3694.4460769999996</v>
      </c>
      <c r="E7" s="3863">
        <v>3735.670881564291</v>
      </c>
      <c r="F7" s="3863">
        <v>3837.3540949338576</v>
      </c>
      <c r="G7" s="3863">
        <v>3945.2301108260162</v>
      </c>
      <c r="H7" s="3864"/>
      <c r="I7" s="3864"/>
      <c r="J7" s="113"/>
      <c r="K7" s="5410"/>
      <c r="L7" s="3862" t="s">
        <v>5786</v>
      </c>
      <c r="M7" s="3863">
        <v>211880.5055163661</v>
      </c>
      <c r="N7" s="3863">
        <v>206747.95341508213</v>
      </c>
      <c r="O7" s="3863">
        <v>212047.54826763761</v>
      </c>
      <c r="P7" s="3863">
        <v>217576.66153257742</v>
      </c>
    </row>
    <row r="8" spans="1:16">
      <c r="A8" s="995"/>
      <c r="B8" s="5408" t="s">
        <v>6519</v>
      </c>
      <c r="C8" s="3857" t="s">
        <v>6518</v>
      </c>
      <c r="D8" s="3858">
        <v>9606.5118787878801</v>
      </c>
      <c r="E8" s="3858">
        <v>9500.0848760856661</v>
      </c>
      <c r="F8" s="3858">
        <v>10089.768732197543</v>
      </c>
      <c r="G8" s="3858">
        <v>10767.547951633629</v>
      </c>
      <c r="H8" s="3859"/>
      <c r="I8" s="3859"/>
      <c r="J8" s="995"/>
      <c r="K8" s="5408" t="s">
        <v>6519</v>
      </c>
      <c r="L8" s="3857" t="s">
        <v>6518</v>
      </c>
      <c r="M8" s="3858">
        <v>8953.420884747422</v>
      </c>
      <c r="N8" s="3858">
        <v>8463.7147571908063</v>
      </c>
      <c r="O8" s="3858">
        <v>8989.0696377155891</v>
      </c>
      <c r="P8" s="3858">
        <v>9592.9095040412994</v>
      </c>
    </row>
    <row r="9" spans="1:16">
      <c r="A9" s="995"/>
      <c r="B9" s="5409"/>
      <c r="C9" s="3865" t="s">
        <v>6492</v>
      </c>
      <c r="D9" s="3866">
        <v>10018.997899999998</v>
      </c>
      <c r="E9" s="3866">
        <v>9361</v>
      </c>
      <c r="F9" s="3866">
        <v>9716.67</v>
      </c>
      <c r="G9" s="3866">
        <v>10031.175900000002</v>
      </c>
      <c r="H9" s="3859"/>
      <c r="I9" s="3859"/>
      <c r="J9" s="995"/>
      <c r="K9" s="5409"/>
      <c r="L9" s="3865" t="s">
        <v>6492</v>
      </c>
      <c r="M9" s="3866">
        <v>9471.0349525977563</v>
      </c>
      <c r="N9" s="3866">
        <v>8689.172312521101</v>
      </c>
      <c r="O9" s="3866">
        <v>9020.1250419711614</v>
      </c>
      <c r="P9" s="3866">
        <v>9313.5619813785925</v>
      </c>
    </row>
    <row r="10" spans="1:16">
      <c r="A10" s="113"/>
      <c r="B10" s="5410"/>
      <c r="C10" s="3862" t="s">
        <v>5786</v>
      </c>
      <c r="D10" s="3863">
        <v>19625.509778787877</v>
      </c>
      <c r="E10" s="3863">
        <v>18861.084876085668</v>
      </c>
      <c r="F10" s="3863">
        <v>19806.438732197545</v>
      </c>
      <c r="G10" s="3863">
        <v>20798.723851633629</v>
      </c>
      <c r="H10" s="3864"/>
      <c r="I10" s="3864"/>
      <c r="J10" s="113"/>
      <c r="K10" s="5410"/>
      <c r="L10" s="3862" t="s">
        <v>5786</v>
      </c>
      <c r="M10" s="3863">
        <v>18424.45583734518</v>
      </c>
      <c r="N10" s="3863">
        <v>17152.887069711905</v>
      </c>
      <c r="O10" s="3863">
        <v>18009.194679686749</v>
      </c>
      <c r="P10" s="3863">
        <v>18906.47148541989</v>
      </c>
    </row>
    <row r="11" spans="1:16">
      <c r="A11" s="995"/>
      <c r="B11" s="5408" t="s">
        <v>6520</v>
      </c>
      <c r="C11" s="3860" t="s">
        <v>6518</v>
      </c>
      <c r="D11" s="3861">
        <v>308.37552799999997</v>
      </c>
      <c r="E11" s="3861">
        <v>372.18077284558456</v>
      </c>
      <c r="F11" s="3861">
        <v>409.67178928485953</v>
      </c>
      <c r="G11" s="3861">
        <v>428.32338408810034</v>
      </c>
      <c r="H11" s="3859"/>
      <c r="I11" s="3859"/>
      <c r="J11" s="995"/>
      <c r="K11" s="5408" t="s">
        <v>6520</v>
      </c>
      <c r="L11" s="3860" t="s">
        <v>6518</v>
      </c>
      <c r="M11" s="3861">
        <v>12395.926871563806</v>
      </c>
      <c r="N11" s="3861">
        <v>13811.887173992776</v>
      </c>
      <c r="O11" s="3861">
        <v>15204.021084394883</v>
      </c>
      <c r="P11" s="3861">
        <v>15896.108970586007</v>
      </c>
    </row>
    <row r="12" spans="1:16">
      <c r="A12" s="995"/>
      <c r="B12" s="5409"/>
      <c r="C12" s="3860" t="s">
        <v>6492</v>
      </c>
      <c r="D12" s="3861">
        <v>16.08079</v>
      </c>
      <c r="E12" s="3861">
        <v>15.44</v>
      </c>
      <c r="F12" s="3861">
        <v>20.512</v>
      </c>
      <c r="G12" s="3861">
        <v>23.587600000000002</v>
      </c>
      <c r="H12" s="3859"/>
      <c r="I12" s="3859"/>
      <c r="J12" s="995"/>
      <c r="K12" s="5409"/>
      <c r="L12" s="3860" t="s">
        <v>6492</v>
      </c>
      <c r="M12" s="3861">
        <v>438.32770052880977</v>
      </c>
      <c r="N12" s="3861">
        <v>559.29548494542416</v>
      </c>
      <c r="O12" s="3861">
        <v>756.10267242593284</v>
      </c>
      <c r="P12" s="3861">
        <v>874.40244491423789</v>
      </c>
    </row>
    <row r="13" spans="1:16">
      <c r="A13" s="113"/>
      <c r="B13" s="5410"/>
      <c r="C13" s="3862" t="s">
        <v>5786</v>
      </c>
      <c r="D13" s="3863">
        <v>324.45631799999995</v>
      </c>
      <c r="E13" s="3863">
        <v>387.62077284558455</v>
      </c>
      <c r="F13" s="3863">
        <v>430.18378928485953</v>
      </c>
      <c r="G13" s="3863">
        <v>451.91098408810035</v>
      </c>
      <c r="H13" s="3864"/>
      <c r="I13" s="3864"/>
      <c r="J13" s="113"/>
      <c r="K13" s="5410"/>
      <c r="L13" s="3862" t="s">
        <v>5786</v>
      </c>
      <c r="M13" s="3863">
        <v>12834.254572092615</v>
      </c>
      <c r="N13" s="3863">
        <v>14371.1826589382</v>
      </c>
      <c r="O13" s="3863">
        <v>15960.123756820816</v>
      </c>
      <c r="P13" s="3863">
        <v>16770.511415500245</v>
      </c>
    </row>
    <row r="14" spans="1:16">
      <c r="A14" s="995"/>
      <c r="B14" s="5408" t="s">
        <v>6521</v>
      </c>
      <c r="C14" s="3857" t="s">
        <v>6518</v>
      </c>
      <c r="D14" s="3858">
        <v>357.15670449999993</v>
      </c>
      <c r="E14" s="3858">
        <v>381.14243499799977</v>
      </c>
      <c r="F14" s="3858">
        <v>402.2459899979998</v>
      </c>
      <c r="G14" s="3858">
        <v>423.84910909799981</v>
      </c>
      <c r="H14" s="3859"/>
      <c r="I14" s="3859"/>
      <c r="J14" s="995"/>
      <c r="K14" s="5408" t="s">
        <v>6521</v>
      </c>
      <c r="L14" s="3857" t="s">
        <v>6518</v>
      </c>
      <c r="M14" s="3858">
        <v>29959.507730038717</v>
      </c>
      <c r="N14" s="3858">
        <v>28353.31606084112</v>
      </c>
      <c r="O14" s="3858">
        <v>28455.313407257989</v>
      </c>
      <c r="P14" s="3858">
        <v>28433.668142798157</v>
      </c>
    </row>
    <row r="15" spans="1:16">
      <c r="A15" s="995"/>
      <c r="B15" s="5409"/>
      <c r="C15" s="3865" t="s">
        <v>6492</v>
      </c>
      <c r="D15" s="3866">
        <v>0.2</v>
      </c>
      <c r="E15" s="3866">
        <v>0.2</v>
      </c>
      <c r="F15" s="3866">
        <v>0.2</v>
      </c>
      <c r="G15" s="3866">
        <v>0.2</v>
      </c>
      <c r="H15" s="3859"/>
      <c r="I15" s="3859"/>
      <c r="J15" s="995"/>
      <c r="K15" s="5409"/>
      <c r="L15" s="3865" t="s">
        <v>6492</v>
      </c>
      <c r="M15" s="3866">
        <v>19.492011246772869</v>
      </c>
      <c r="N15" s="3866">
        <v>15.972478981465109</v>
      </c>
      <c r="O15" s="3866">
        <v>15.173855032391854</v>
      </c>
      <c r="P15" s="3866">
        <v>14.375231083318599</v>
      </c>
    </row>
    <row r="16" spans="1:16">
      <c r="A16" s="113"/>
      <c r="B16" s="5410"/>
      <c r="C16" s="3862" t="s">
        <v>5786</v>
      </c>
      <c r="D16" s="3863">
        <v>357.35670449999992</v>
      </c>
      <c r="E16" s="3863">
        <v>381.34243499799976</v>
      </c>
      <c r="F16" s="3863">
        <v>402.44598999799979</v>
      </c>
      <c r="G16" s="3863">
        <v>424.0491090979998</v>
      </c>
      <c r="H16" s="3864"/>
      <c r="I16" s="3864"/>
      <c r="J16" s="113"/>
      <c r="K16" s="5410"/>
      <c r="L16" s="3862" t="s">
        <v>5786</v>
      </c>
      <c r="M16" s="3863">
        <v>29978.99974128549</v>
      </c>
      <c r="N16" s="3863">
        <v>28369.288539822584</v>
      </c>
      <c r="O16" s="3863">
        <v>28470.487262290382</v>
      </c>
      <c r="P16" s="3863">
        <v>28448.043373881475</v>
      </c>
    </row>
    <row r="17" spans="1:16">
      <c r="A17" s="995"/>
      <c r="B17" s="5408" t="s">
        <v>6522</v>
      </c>
      <c r="C17" s="3857" t="s">
        <v>6518</v>
      </c>
      <c r="D17" s="3858">
        <v>44087.125</v>
      </c>
      <c r="E17" s="3858">
        <v>47523.8</v>
      </c>
      <c r="F17" s="3858">
        <v>49899.99</v>
      </c>
      <c r="G17" s="3858">
        <v>52394.989500000003</v>
      </c>
      <c r="H17" s="3859"/>
      <c r="I17" s="3859"/>
      <c r="J17" s="995"/>
      <c r="K17" s="5408" t="s">
        <v>6522</v>
      </c>
      <c r="L17" s="3857" t="s">
        <v>6518</v>
      </c>
      <c r="M17" s="3858">
        <v>516.05270798282095</v>
      </c>
      <c r="N17" s="3858">
        <v>464.54514500000005</v>
      </c>
      <c r="O17" s="3858">
        <v>487.77240225000003</v>
      </c>
      <c r="P17" s="3858">
        <v>512.16102236250003</v>
      </c>
    </row>
    <row r="18" spans="1:16">
      <c r="A18" s="995"/>
      <c r="B18" s="5409"/>
      <c r="C18" s="3865" t="s">
        <v>6492</v>
      </c>
      <c r="D18" s="3866"/>
      <c r="E18" s="3866"/>
      <c r="F18" s="3866"/>
      <c r="G18" s="3866"/>
      <c r="H18" s="3859"/>
      <c r="I18" s="3859"/>
      <c r="J18" s="995"/>
      <c r="K18" s="5409"/>
      <c r="L18" s="3865" t="s">
        <v>6492</v>
      </c>
      <c r="M18" s="3866"/>
      <c r="N18" s="3866"/>
      <c r="O18" s="3866"/>
      <c r="P18" s="3866"/>
    </row>
    <row r="19" spans="1:16">
      <c r="A19" s="113"/>
      <c r="B19" s="5410"/>
      <c r="C19" s="3862" t="s">
        <v>5786</v>
      </c>
      <c r="D19" s="3863">
        <v>44087.125</v>
      </c>
      <c r="E19" s="3863">
        <v>47523.8</v>
      </c>
      <c r="F19" s="3863">
        <v>49899.99</v>
      </c>
      <c r="G19" s="3863">
        <v>52394.989500000003</v>
      </c>
      <c r="H19" s="3864"/>
      <c r="I19" s="3864"/>
      <c r="J19" s="113"/>
      <c r="K19" s="5410"/>
      <c r="L19" s="3862" t="s">
        <v>5786</v>
      </c>
      <c r="M19" s="3863">
        <v>516.05270798282095</v>
      </c>
      <c r="N19" s="3863">
        <v>464.54514500000005</v>
      </c>
      <c r="O19" s="3863">
        <v>487.77240225000003</v>
      </c>
      <c r="P19" s="3863">
        <v>512.16102236250003</v>
      </c>
    </row>
    <row r="20" spans="1:16">
      <c r="A20" s="995"/>
      <c r="B20" s="5408" t="s">
        <v>1878</v>
      </c>
      <c r="C20" s="3857" t="s">
        <v>2765</v>
      </c>
      <c r="D20" s="3858">
        <v>88.364489999999989</v>
      </c>
      <c r="E20" s="3858">
        <v>102.24000000000524</v>
      </c>
      <c r="F20" s="3858">
        <v>102.23999999999069</v>
      </c>
      <c r="G20" s="3858">
        <v>102.23999999999069</v>
      </c>
      <c r="H20" s="3859"/>
      <c r="I20" s="3859"/>
      <c r="J20" s="995"/>
      <c r="K20" s="5408" t="s">
        <v>1878</v>
      </c>
      <c r="L20" s="3857" t="s">
        <v>2765</v>
      </c>
      <c r="M20" s="3858">
        <v>6054.1294037306352</v>
      </c>
      <c r="N20" s="3858">
        <v>6683.3111386181818</v>
      </c>
      <c r="O20" s="3858">
        <v>6683.3111386172322</v>
      </c>
      <c r="P20" s="3858">
        <v>6683.3111386172322</v>
      </c>
    </row>
    <row r="21" spans="1:16">
      <c r="A21" s="995"/>
      <c r="B21" s="5409"/>
      <c r="C21" s="3865" t="s">
        <v>6503</v>
      </c>
      <c r="D21" s="3866">
        <v>196195.55</v>
      </c>
      <c r="E21" s="3866">
        <v>168000</v>
      </c>
      <c r="F21" s="3866">
        <v>168000</v>
      </c>
      <c r="G21" s="3866">
        <v>168000</v>
      </c>
      <c r="H21" s="3859"/>
      <c r="I21" s="3859"/>
      <c r="J21" s="995"/>
      <c r="K21" s="5409"/>
      <c r="L21" s="3865" t="s">
        <v>6503</v>
      </c>
      <c r="M21" s="3866">
        <v>243.45189500000006</v>
      </c>
      <c r="N21" s="3866">
        <v>188.16000000000005</v>
      </c>
      <c r="O21" s="3866">
        <v>188.16000000000003</v>
      </c>
      <c r="P21" s="3866">
        <v>188.16000000000003</v>
      </c>
    </row>
    <row r="22" spans="1:16">
      <c r="A22" s="113"/>
      <c r="B22" s="5410"/>
      <c r="C22" s="3862" t="s">
        <v>5786</v>
      </c>
      <c r="D22" s="3863">
        <v>196283.91449</v>
      </c>
      <c r="E22" s="3863">
        <v>168102.24</v>
      </c>
      <c r="F22" s="3863">
        <v>168102.24</v>
      </c>
      <c r="G22" s="3863">
        <v>168102.24</v>
      </c>
      <c r="H22" s="3864"/>
      <c r="I22" s="3864"/>
      <c r="J22" s="113"/>
      <c r="K22" s="5410"/>
      <c r="L22" s="3862" t="s">
        <v>5786</v>
      </c>
      <c r="M22" s="3863">
        <v>6297.5812987306354</v>
      </c>
      <c r="N22" s="3863">
        <v>6871.4711386181816</v>
      </c>
      <c r="O22" s="3863">
        <v>6871.4711386172321</v>
      </c>
      <c r="P22" s="3863">
        <v>6871.4711386172321</v>
      </c>
    </row>
    <row r="23" spans="1:16">
      <c r="A23" s="995"/>
      <c r="B23" s="5408" t="s">
        <v>6523</v>
      </c>
      <c r="C23" s="3857" t="s">
        <v>6518</v>
      </c>
      <c r="D23" s="3858">
        <v>382854.89</v>
      </c>
      <c r="E23" s="3858">
        <v>0</v>
      </c>
      <c r="F23" s="3858">
        <v>0</v>
      </c>
      <c r="G23" s="3858">
        <v>0</v>
      </c>
      <c r="H23" s="3859"/>
      <c r="I23" s="3859"/>
      <c r="J23" s="995"/>
      <c r="K23" s="5408" t="s">
        <v>6523</v>
      </c>
      <c r="L23" s="3857" t="s">
        <v>6518</v>
      </c>
      <c r="M23" s="3858">
        <v>7615.6504002233241</v>
      </c>
      <c r="N23" s="3858">
        <v>0</v>
      </c>
      <c r="O23" s="3858">
        <v>0</v>
      </c>
      <c r="P23" s="3858">
        <v>0</v>
      </c>
    </row>
    <row r="24" spans="1:16">
      <c r="A24" s="3867"/>
      <c r="B24" s="5409"/>
      <c r="C24" s="3865" t="s">
        <v>6492</v>
      </c>
      <c r="D24" s="3866"/>
      <c r="E24" s="3866">
        <v>0</v>
      </c>
      <c r="F24" s="3866">
        <v>960400</v>
      </c>
      <c r="G24" s="3866">
        <v>1122100</v>
      </c>
      <c r="H24" s="3859"/>
      <c r="I24" s="3859"/>
      <c r="J24" s="995"/>
      <c r="K24" s="5409"/>
      <c r="L24" s="3865" t="s">
        <v>6492</v>
      </c>
      <c r="M24" s="3866"/>
      <c r="N24" s="3866">
        <v>0</v>
      </c>
      <c r="O24" s="3866">
        <v>22321.978565022422</v>
      </c>
      <c r="P24" s="3866">
        <v>28122.945739910316</v>
      </c>
    </row>
    <row r="25" spans="1:16">
      <c r="A25" s="113"/>
      <c r="B25" s="5410"/>
      <c r="C25" s="3862" t="s">
        <v>5786</v>
      </c>
      <c r="D25" s="3863">
        <v>382854.89</v>
      </c>
      <c r="E25" s="3863">
        <v>0</v>
      </c>
      <c r="F25" s="3863">
        <v>960400</v>
      </c>
      <c r="G25" s="3863">
        <v>1122100</v>
      </c>
      <c r="H25" s="3864"/>
      <c r="I25" s="3864"/>
      <c r="J25" s="113"/>
      <c r="K25" s="5410"/>
      <c r="L25" s="3862" t="s">
        <v>5786</v>
      </c>
      <c r="M25" s="3863">
        <v>7615.6504002233241</v>
      </c>
      <c r="N25" s="3863">
        <v>0</v>
      </c>
      <c r="O25" s="3863">
        <v>22321.978565022422</v>
      </c>
      <c r="P25" s="3863">
        <v>28122.945739910316</v>
      </c>
    </row>
    <row r="26" spans="1:16">
      <c r="A26" s="995"/>
      <c r="B26" s="5408" t="s">
        <v>6524</v>
      </c>
      <c r="C26" s="3857" t="s">
        <v>6518</v>
      </c>
      <c r="D26" s="3858"/>
      <c r="E26" s="3858"/>
      <c r="F26" s="3858"/>
      <c r="G26" s="3858"/>
      <c r="H26" s="3859"/>
      <c r="I26" s="3859"/>
      <c r="J26" s="995"/>
      <c r="K26" s="5408" t="s">
        <v>6524</v>
      </c>
      <c r="L26" s="3857" t="s">
        <v>6518</v>
      </c>
      <c r="M26" s="3858"/>
      <c r="N26" s="3858"/>
      <c r="O26" s="3858"/>
      <c r="P26" s="3858"/>
    </row>
    <row r="27" spans="1:16">
      <c r="A27" s="995"/>
      <c r="B27" s="5409"/>
      <c r="C27" s="3865" t="s">
        <v>6492</v>
      </c>
      <c r="D27" s="3866">
        <v>0</v>
      </c>
      <c r="E27" s="3866">
        <v>0</v>
      </c>
      <c r="F27" s="3866">
        <v>0</v>
      </c>
      <c r="G27" s="3866">
        <v>0</v>
      </c>
      <c r="H27" s="3859"/>
      <c r="I27" s="3859"/>
      <c r="J27" s="995"/>
      <c r="K27" s="5409"/>
      <c r="L27" s="3865" t="s">
        <v>6492</v>
      </c>
      <c r="M27" s="3866">
        <v>0</v>
      </c>
      <c r="N27" s="3866">
        <v>0</v>
      </c>
      <c r="O27" s="3866">
        <v>0</v>
      </c>
      <c r="P27" s="3866">
        <v>0</v>
      </c>
    </row>
    <row r="28" spans="1:16">
      <c r="A28" s="113"/>
      <c r="B28" s="5410"/>
      <c r="C28" s="3862" t="s">
        <v>5786</v>
      </c>
      <c r="D28" s="3863">
        <v>0</v>
      </c>
      <c r="E28" s="3863">
        <v>0</v>
      </c>
      <c r="F28" s="3863">
        <v>0</v>
      </c>
      <c r="G28" s="3863">
        <v>0</v>
      </c>
      <c r="H28" s="3864"/>
      <c r="I28" s="3864"/>
      <c r="J28" s="113"/>
      <c r="K28" s="5410"/>
      <c r="L28" s="3862" t="s">
        <v>5786</v>
      </c>
      <c r="M28" s="3863">
        <v>0</v>
      </c>
      <c r="N28" s="3863">
        <v>0</v>
      </c>
      <c r="O28" s="3863">
        <v>0</v>
      </c>
      <c r="P28" s="3863">
        <v>0</v>
      </c>
    </row>
    <row r="29" spans="1:16">
      <c r="A29" s="995"/>
      <c r="B29" s="113"/>
      <c r="C29" s="113"/>
      <c r="D29" s="113"/>
      <c r="E29" s="113"/>
      <c r="F29" s="113"/>
      <c r="G29" s="113"/>
      <c r="H29" s="113"/>
      <c r="I29" s="113"/>
      <c r="J29" s="995"/>
      <c r="K29" s="5414" t="s">
        <v>2744</v>
      </c>
      <c r="L29" s="3868" t="s">
        <v>6518</v>
      </c>
      <c r="M29" s="3869">
        <v>171967.77738982844</v>
      </c>
      <c r="N29" s="3869">
        <v>160793.43903112723</v>
      </c>
      <c r="O29" s="3869">
        <v>164935.54428625523</v>
      </c>
      <c r="P29" s="3869">
        <v>168393.55858653228</v>
      </c>
    </row>
    <row r="30" spans="1:16">
      <c r="A30" s="995"/>
      <c r="B30" s="113"/>
      <c r="C30" s="113"/>
      <c r="D30" s="113"/>
      <c r="E30" s="3870"/>
      <c r="F30" s="113"/>
      <c r="G30" s="113"/>
      <c r="H30" s="113"/>
      <c r="I30" s="113"/>
      <c r="J30" s="995"/>
      <c r="K30" s="5415"/>
      <c r="L30" s="3871" t="s">
        <v>6492</v>
      </c>
      <c r="M30" s="3872">
        <v>115579.72268419774</v>
      </c>
      <c r="N30" s="3872">
        <v>113183.88893604577</v>
      </c>
      <c r="O30" s="3872">
        <v>139233.03178606997</v>
      </c>
      <c r="P30" s="3872">
        <v>148814.70712173681</v>
      </c>
    </row>
    <row r="31" spans="1:16">
      <c r="A31" s="995"/>
      <c r="B31" s="113"/>
      <c r="C31" s="113"/>
      <c r="D31" s="113"/>
      <c r="E31" s="113"/>
      <c r="F31" s="113"/>
      <c r="G31" s="113"/>
      <c r="H31" s="113"/>
      <c r="I31" s="113"/>
      <c r="J31" s="995"/>
      <c r="K31" s="5416"/>
      <c r="L31" s="3873" t="s">
        <v>1646</v>
      </c>
      <c r="M31" s="3874">
        <v>287547.50007402617</v>
      </c>
      <c r="N31" s="3874">
        <v>273977.32796717301</v>
      </c>
      <c r="O31" s="3874">
        <v>304168.57607232523</v>
      </c>
      <c r="P31" s="3874">
        <v>317208.26570826909</v>
      </c>
    </row>
    <row r="32" spans="1:16">
      <c r="A32" s="995"/>
      <c r="B32" s="113"/>
      <c r="C32" s="113"/>
      <c r="D32" s="113"/>
      <c r="E32" s="113"/>
      <c r="F32" s="113"/>
      <c r="G32" s="113"/>
      <c r="H32" s="113"/>
      <c r="I32" s="113"/>
      <c r="J32" s="995"/>
      <c r="K32" s="5417" t="s">
        <v>6525</v>
      </c>
      <c r="L32" s="5418"/>
      <c r="M32" s="3875">
        <v>0.40195001749082471</v>
      </c>
      <c r="N32" s="3875">
        <v>0.41311406960508446</v>
      </c>
      <c r="O32" s="3875">
        <v>0.45774955974729992</v>
      </c>
      <c r="P32" s="3876">
        <v>0.46913880629642579</v>
      </c>
    </row>
    <row r="33" spans="1:16">
      <c r="A33" s="995"/>
      <c r="B33" s="113"/>
      <c r="C33" s="113"/>
      <c r="D33" s="113"/>
      <c r="E33" s="113"/>
      <c r="F33" s="113"/>
      <c r="G33" s="113"/>
      <c r="H33" s="113"/>
      <c r="I33" s="113"/>
      <c r="J33" s="995"/>
      <c r="K33" s="5419" t="s">
        <v>6526</v>
      </c>
      <c r="L33" s="3877" t="s">
        <v>6518</v>
      </c>
      <c r="M33" s="3878">
        <v>164108.6750946051</v>
      </c>
      <c r="N33" s="3878">
        <v>160605.27903112723</v>
      </c>
      <c r="O33" s="3878">
        <v>164747.38428625523</v>
      </c>
      <c r="P33" s="3878">
        <v>168205.39858653228</v>
      </c>
    </row>
    <row r="34" spans="1:16">
      <c r="A34" s="995"/>
      <c r="B34" s="113"/>
      <c r="C34" s="113"/>
      <c r="D34" s="113"/>
      <c r="E34" s="113"/>
      <c r="F34" s="113"/>
      <c r="G34" s="113"/>
      <c r="H34" s="113"/>
      <c r="I34" s="113"/>
      <c r="J34" s="995"/>
      <c r="K34" s="5420"/>
      <c r="L34" s="3879" t="s">
        <v>6492</v>
      </c>
      <c r="M34" s="3880">
        <v>115823.17457919774</v>
      </c>
      <c r="N34" s="3880">
        <v>113372.04893604577</v>
      </c>
      <c r="O34" s="3880">
        <v>117099.21322104755</v>
      </c>
      <c r="P34" s="3880">
        <v>120879.92138182648</v>
      </c>
    </row>
    <row r="35" spans="1:16">
      <c r="A35" s="995"/>
      <c r="B35" s="113"/>
      <c r="C35" s="113"/>
      <c r="D35" s="113"/>
      <c r="E35" s="113"/>
      <c r="F35" s="113"/>
      <c r="G35" s="113"/>
      <c r="H35" s="113"/>
      <c r="I35" s="113"/>
      <c r="J35" s="995"/>
      <c r="K35" s="5421"/>
      <c r="L35" s="3881" t="s">
        <v>1646</v>
      </c>
      <c r="M35" s="3882">
        <v>279931.84967380285</v>
      </c>
      <c r="N35" s="3882">
        <v>273977.32796717301</v>
      </c>
      <c r="O35" s="3882">
        <v>281846.59750730277</v>
      </c>
      <c r="P35" s="3882">
        <v>289085.31996835873</v>
      </c>
    </row>
    <row r="36" spans="1:16">
      <c r="A36" s="995"/>
      <c r="B36" s="3850"/>
      <c r="C36" s="995"/>
      <c r="D36" s="995"/>
      <c r="E36" s="995"/>
      <c r="F36" s="995"/>
      <c r="G36" s="995"/>
      <c r="H36" s="995"/>
      <c r="I36" s="995"/>
      <c r="J36" s="995"/>
      <c r="K36" s="995"/>
      <c r="L36" s="995"/>
      <c r="M36" s="995"/>
      <c r="N36" s="995"/>
      <c r="O36" s="995"/>
      <c r="P36" s="995"/>
    </row>
    <row r="37" spans="1:16">
      <c r="A37" s="995"/>
      <c r="B37" s="3850"/>
      <c r="C37" s="995"/>
      <c r="D37" s="995"/>
      <c r="E37" s="995"/>
      <c r="F37" s="995"/>
      <c r="G37" s="995"/>
      <c r="H37" s="995"/>
      <c r="I37" s="995"/>
      <c r="J37" s="995"/>
      <c r="K37" s="995"/>
      <c r="L37" s="995"/>
      <c r="M37" s="995"/>
      <c r="N37" s="995"/>
      <c r="O37" s="995"/>
      <c r="P37" s="995"/>
    </row>
    <row r="38" spans="1:16" ht="26.25">
      <c r="A38" s="995"/>
      <c r="B38" s="3852" t="s">
        <v>6527</v>
      </c>
      <c r="C38" s="995"/>
      <c r="D38" s="995"/>
      <c r="E38" s="995"/>
      <c r="F38" s="995"/>
      <c r="G38" s="995"/>
      <c r="H38" s="995"/>
      <c r="I38" s="995"/>
      <c r="J38" s="995"/>
      <c r="K38" s="995"/>
      <c r="L38" s="995"/>
      <c r="M38" s="995"/>
      <c r="N38" s="995"/>
      <c r="O38" s="995"/>
      <c r="P38" s="995"/>
    </row>
    <row r="39" spans="1:16">
      <c r="A39" s="995"/>
      <c r="B39" s="3850"/>
      <c r="C39" s="995"/>
      <c r="D39" s="995"/>
      <c r="E39" s="995"/>
      <c r="F39" s="995"/>
      <c r="G39" s="1791" t="s">
        <v>6511</v>
      </c>
      <c r="H39" s="1791"/>
      <c r="I39" s="1791"/>
      <c r="J39" s="995"/>
      <c r="K39" s="995"/>
      <c r="L39" s="995"/>
      <c r="M39" s="995"/>
      <c r="N39" s="995"/>
      <c r="O39" s="995"/>
      <c r="P39" s="1791" t="s">
        <v>6512</v>
      </c>
    </row>
    <row r="40" spans="1:16">
      <c r="A40" s="3850"/>
      <c r="B40" s="3853" t="s">
        <v>6513</v>
      </c>
      <c r="C40" s="3883" t="s">
        <v>6514</v>
      </c>
      <c r="D40" s="3854" t="s">
        <v>6508</v>
      </c>
      <c r="E40" s="3854" t="s">
        <v>1934</v>
      </c>
      <c r="F40" s="3854" t="s">
        <v>1935</v>
      </c>
      <c r="G40" s="3854" t="s">
        <v>6509</v>
      </c>
      <c r="H40" s="3855"/>
      <c r="I40" s="3855"/>
      <c r="J40" s="3850"/>
      <c r="K40" s="3853" t="s">
        <v>6482</v>
      </c>
      <c r="L40" s="3883" t="s">
        <v>6514</v>
      </c>
      <c r="M40" s="3854" t="s">
        <v>6508</v>
      </c>
      <c r="N40" s="3854" t="s">
        <v>1934</v>
      </c>
      <c r="O40" s="3854" t="s">
        <v>1935</v>
      </c>
      <c r="P40" s="3854" t="s">
        <v>6509</v>
      </c>
    </row>
    <row r="41" spans="1:16">
      <c r="A41" s="995"/>
      <c r="B41" s="5411" t="s">
        <v>2668</v>
      </c>
      <c r="C41" s="3884" t="s">
        <v>6528</v>
      </c>
      <c r="D41" s="3885">
        <v>438.73952000000003</v>
      </c>
      <c r="E41" s="3885">
        <v>471.13600000000008</v>
      </c>
      <c r="F41" s="3885">
        <v>496.57760000000002</v>
      </c>
      <c r="G41" s="3885">
        <v>523.90782400000012</v>
      </c>
      <c r="H41" s="3886"/>
      <c r="I41" s="3886"/>
      <c r="J41" s="995"/>
      <c r="K41" s="5411" t="s">
        <v>2668</v>
      </c>
      <c r="L41" s="3884" t="s">
        <v>6528</v>
      </c>
      <c r="M41" s="3885">
        <v>9805.7786993727659</v>
      </c>
      <c r="N41" s="3885">
        <v>10353.802491899623</v>
      </c>
      <c r="O41" s="3885">
        <v>11372.206552461686</v>
      </c>
      <c r="P41" s="3885">
        <v>12501.709284347853</v>
      </c>
    </row>
    <row r="42" spans="1:16">
      <c r="A42" s="995"/>
      <c r="B42" s="5412"/>
      <c r="C42" s="3887" t="s">
        <v>6529</v>
      </c>
      <c r="D42" s="3888">
        <v>144.74250000000001</v>
      </c>
      <c r="E42" s="3888">
        <v>160</v>
      </c>
      <c r="F42" s="3888">
        <v>176</v>
      </c>
      <c r="G42" s="3888">
        <v>193.60000000000002</v>
      </c>
      <c r="H42" s="3889"/>
      <c r="I42" s="3889"/>
      <c r="J42" s="995"/>
      <c r="K42" s="5412"/>
      <c r="L42" s="3890" t="s">
        <v>6529</v>
      </c>
      <c r="M42" s="3891">
        <v>9713.4093903727662</v>
      </c>
      <c r="N42" s="3891">
        <v>10267.937691899624</v>
      </c>
      <c r="O42" s="3891">
        <v>11283.669040461686</v>
      </c>
      <c r="P42" s="3891">
        <v>12412.035944507854</v>
      </c>
    </row>
    <row r="43" spans="1:16">
      <c r="A43" s="995"/>
      <c r="B43" s="5412"/>
      <c r="C43" s="3887" t="s">
        <v>6530</v>
      </c>
      <c r="D43" s="3888">
        <v>293.99702000000002</v>
      </c>
      <c r="E43" s="3888">
        <v>311.13600000000008</v>
      </c>
      <c r="F43" s="3888">
        <v>320.57760000000002</v>
      </c>
      <c r="G43" s="3888">
        <v>330.30782400000004</v>
      </c>
      <c r="H43" s="3889"/>
      <c r="I43" s="3889"/>
      <c r="J43" s="995"/>
      <c r="K43" s="5412"/>
      <c r="L43" s="3890" t="s">
        <v>6530</v>
      </c>
      <c r="M43" s="3891">
        <v>92.369309000000015</v>
      </c>
      <c r="N43" s="3891">
        <v>85.864800000000002</v>
      </c>
      <c r="O43" s="3891">
        <v>88.537512000000007</v>
      </c>
      <c r="P43" s="3891">
        <v>89.673339840000011</v>
      </c>
    </row>
    <row r="44" spans="1:16">
      <c r="A44" s="995"/>
      <c r="B44" s="5412"/>
      <c r="C44" s="3892" t="s">
        <v>6531</v>
      </c>
      <c r="D44" s="3893">
        <v>78.605599999999995</v>
      </c>
      <c r="E44" s="3893">
        <v>94.9</v>
      </c>
      <c r="F44" s="3893">
        <v>97.747</v>
      </c>
      <c r="G44" s="3893">
        <v>100.67941</v>
      </c>
      <c r="H44" s="3886"/>
      <c r="I44" s="3886"/>
      <c r="J44" s="995"/>
      <c r="K44" s="5412"/>
      <c r="L44" s="3892" t="s">
        <v>6531</v>
      </c>
      <c r="M44" s="3893">
        <v>2111.0132207462202</v>
      </c>
      <c r="N44" s="3893">
        <v>2884.0677323130844</v>
      </c>
      <c r="O44" s="3893">
        <v>2970.5897642824766</v>
      </c>
      <c r="P44" s="3893">
        <v>3059.7074572109509</v>
      </c>
    </row>
    <row r="45" spans="1:16">
      <c r="A45" s="995"/>
      <c r="B45" s="5412"/>
      <c r="C45" s="3890" t="s">
        <v>6529</v>
      </c>
      <c r="D45" s="3891">
        <v>30.26099</v>
      </c>
      <c r="E45" s="3891">
        <v>44</v>
      </c>
      <c r="F45" s="3891">
        <v>45.32</v>
      </c>
      <c r="G45" s="3891">
        <v>46.679600000000001</v>
      </c>
      <c r="H45" s="3894"/>
      <c r="I45" s="3894"/>
      <c r="J45" s="995"/>
      <c r="K45" s="5412"/>
      <c r="L45" s="3890" t="s">
        <v>6529</v>
      </c>
      <c r="M45" s="3891">
        <v>2076.7104597462203</v>
      </c>
      <c r="N45" s="3891">
        <v>2859.6357323130846</v>
      </c>
      <c r="O45" s="3891">
        <v>2945.4248042824765</v>
      </c>
      <c r="P45" s="3891">
        <v>3033.7875484109509</v>
      </c>
    </row>
    <row r="46" spans="1:16">
      <c r="A46" s="995"/>
      <c r="B46" s="5412"/>
      <c r="C46" s="3895" t="s">
        <v>6530</v>
      </c>
      <c r="D46" s="3896">
        <v>48.344609999999996</v>
      </c>
      <c r="E46" s="3896">
        <v>50.9</v>
      </c>
      <c r="F46" s="3896">
        <v>52.427</v>
      </c>
      <c r="G46" s="3896">
        <v>53.999810000000004</v>
      </c>
      <c r="H46" s="3894"/>
      <c r="I46" s="3894"/>
      <c r="J46" s="995"/>
      <c r="K46" s="5412"/>
      <c r="L46" s="3895" t="s">
        <v>6530</v>
      </c>
      <c r="M46" s="3896">
        <v>34.302761000000004</v>
      </c>
      <c r="N46" s="3896">
        <v>24.432000000000002</v>
      </c>
      <c r="O46" s="3896">
        <v>25.164960000000001</v>
      </c>
      <c r="P46" s="3896">
        <v>25.919908800000002</v>
      </c>
    </row>
    <row r="47" spans="1:16">
      <c r="A47" s="995"/>
      <c r="B47" s="5412"/>
      <c r="C47" s="3897" t="s">
        <v>6532</v>
      </c>
      <c r="D47" s="3898">
        <v>1821.6999999999996</v>
      </c>
      <c r="E47" s="3898">
        <v>1880</v>
      </c>
      <c r="F47" s="3898">
        <v>1917.6000000000001</v>
      </c>
      <c r="G47" s="3898">
        <v>1955.9520000000002</v>
      </c>
      <c r="H47" s="3899"/>
      <c r="I47" s="3899"/>
      <c r="J47" s="995"/>
      <c r="K47" s="5412"/>
      <c r="L47" s="3897" t="s">
        <v>6532</v>
      </c>
      <c r="M47" s="3900">
        <v>82557.567707608672</v>
      </c>
      <c r="N47" s="3900">
        <v>81421.240742681679</v>
      </c>
      <c r="O47" s="3900">
        <v>83053.500757535337</v>
      </c>
      <c r="P47" s="3900">
        <v>84718.48267668605</v>
      </c>
    </row>
    <row r="48" spans="1:16">
      <c r="A48" s="995"/>
      <c r="B48" s="5412"/>
      <c r="C48" s="3901" t="s">
        <v>6533</v>
      </c>
      <c r="D48" s="3902">
        <v>1238.7559999999999</v>
      </c>
      <c r="E48" s="3902">
        <v>1278.3999999999999</v>
      </c>
      <c r="F48" s="3902">
        <v>1303.9680000000001</v>
      </c>
      <c r="G48" s="3902">
        <v>1330.0473600000003</v>
      </c>
      <c r="H48" s="3903"/>
      <c r="I48" s="3903"/>
      <c r="J48" s="995"/>
      <c r="K48" s="5412"/>
      <c r="L48" s="3904"/>
      <c r="M48" s="3898"/>
      <c r="N48" s="3898"/>
      <c r="O48" s="3898"/>
      <c r="P48" s="3898"/>
    </row>
    <row r="49" spans="1:16">
      <c r="A49" s="995"/>
      <c r="B49" s="5412"/>
      <c r="C49" s="3905" t="s">
        <v>6534</v>
      </c>
      <c r="D49" s="3893">
        <v>0</v>
      </c>
      <c r="E49" s="3893">
        <v>0</v>
      </c>
      <c r="F49" s="3893">
        <v>0</v>
      </c>
      <c r="G49" s="3893">
        <v>0</v>
      </c>
      <c r="H49" s="3886"/>
      <c r="I49" s="3886"/>
      <c r="J49" s="995"/>
      <c r="K49" s="5412"/>
      <c r="L49" s="3905" t="s">
        <v>6534</v>
      </c>
      <c r="M49" s="3893">
        <v>0</v>
      </c>
      <c r="N49" s="3893">
        <v>0</v>
      </c>
      <c r="O49" s="3893">
        <v>0</v>
      </c>
      <c r="P49" s="3893">
        <v>0</v>
      </c>
    </row>
    <row r="50" spans="1:16">
      <c r="A50" s="995"/>
      <c r="B50" s="5412"/>
      <c r="C50" s="3890" t="s">
        <v>6529</v>
      </c>
      <c r="D50" s="3891">
        <v>0</v>
      </c>
      <c r="E50" s="3891">
        <v>0</v>
      </c>
      <c r="F50" s="3891">
        <v>0</v>
      </c>
      <c r="G50" s="3891">
        <v>0</v>
      </c>
      <c r="H50" s="3894"/>
      <c r="I50" s="3894"/>
      <c r="J50" s="995"/>
      <c r="K50" s="5412"/>
      <c r="L50" s="3890" t="s">
        <v>6529</v>
      </c>
      <c r="M50" s="3891">
        <v>0</v>
      </c>
      <c r="N50" s="3891">
        <v>0</v>
      </c>
      <c r="O50" s="3891">
        <v>0</v>
      </c>
      <c r="P50" s="3891">
        <v>0</v>
      </c>
    </row>
    <row r="51" spans="1:16">
      <c r="A51" s="995"/>
      <c r="B51" s="5412"/>
      <c r="C51" s="3895" t="s">
        <v>6530</v>
      </c>
      <c r="D51" s="3896">
        <v>0</v>
      </c>
      <c r="E51" s="3896">
        <v>0</v>
      </c>
      <c r="F51" s="3896">
        <v>0</v>
      </c>
      <c r="G51" s="3896">
        <v>0</v>
      </c>
      <c r="H51" s="3894"/>
      <c r="I51" s="3894"/>
      <c r="J51" s="995"/>
      <c r="K51" s="5412"/>
      <c r="L51" s="3895" t="s">
        <v>6530</v>
      </c>
      <c r="M51" s="3896">
        <v>0</v>
      </c>
      <c r="N51" s="3896">
        <v>0</v>
      </c>
      <c r="O51" s="3896">
        <v>0</v>
      </c>
      <c r="P51" s="3896">
        <v>0</v>
      </c>
    </row>
    <row r="52" spans="1:16">
      <c r="A52" s="995"/>
      <c r="B52" s="5412"/>
      <c r="C52" s="3905" t="s">
        <v>6535</v>
      </c>
      <c r="D52" s="3906">
        <v>0</v>
      </c>
      <c r="E52" s="3906">
        <v>0</v>
      </c>
      <c r="F52" s="3906">
        <v>0</v>
      </c>
      <c r="G52" s="3906">
        <v>0</v>
      </c>
      <c r="H52" s="3899"/>
      <c r="I52" s="3899"/>
      <c r="J52" s="995"/>
      <c r="K52" s="5412"/>
      <c r="L52" s="3905" t="s">
        <v>6535</v>
      </c>
      <c r="M52" s="3893">
        <v>0</v>
      </c>
      <c r="N52" s="3893">
        <v>0</v>
      </c>
      <c r="O52" s="3893">
        <v>0</v>
      </c>
      <c r="P52" s="3893">
        <v>0</v>
      </c>
    </row>
    <row r="53" spans="1:16">
      <c r="A53" s="995"/>
      <c r="B53" s="5412"/>
      <c r="C53" s="3907" t="s">
        <v>6533</v>
      </c>
      <c r="D53" s="3908">
        <v>0</v>
      </c>
      <c r="E53" s="3908">
        <v>0</v>
      </c>
      <c r="F53" s="3908">
        <v>0</v>
      </c>
      <c r="G53" s="3908">
        <v>0</v>
      </c>
      <c r="H53" s="3903"/>
      <c r="I53" s="3903"/>
      <c r="J53" s="995"/>
      <c r="K53" s="5412"/>
      <c r="L53" s="3907"/>
      <c r="M53" s="3908"/>
      <c r="N53" s="3908"/>
      <c r="O53" s="3908"/>
      <c r="P53" s="3908"/>
    </row>
    <row r="54" spans="1:16">
      <c r="A54" s="995"/>
      <c r="B54" s="5412"/>
      <c r="C54" s="3897" t="s">
        <v>6536</v>
      </c>
      <c r="D54" s="3898">
        <v>266.00042666666667</v>
      </c>
      <c r="E54" s="3898">
        <v>179</v>
      </c>
      <c r="F54" s="3898">
        <v>187.95000000000002</v>
      </c>
      <c r="G54" s="3898">
        <v>197.34750000000003</v>
      </c>
      <c r="H54" s="3899"/>
      <c r="I54" s="3899"/>
      <c r="J54" s="995"/>
      <c r="K54" s="5412"/>
      <c r="L54" s="3897" t="s">
        <v>6536</v>
      </c>
      <c r="M54" s="3900">
        <v>11176.508392096755</v>
      </c>
      <c r="N54" s="3900">
        <v>9260.3376927033933</v>
      </c>
      <c r="O54" s="3900">
        <v>9723.3545773385649</v>
      </c>
      <c r="P54" s="3900">
        <v>10209.522306205494</v>
      </c>
    </row>
    <row r="55" spans="1:16">
      <c r="A55" s="995"/>
      <c r="B55" s="5412"/>
      <c r="C55" s="3901" t="s">
        <v>6533</v>
      </c>
      <c r="D55" s="3900">
        <v>199.50031999999999</v>
      </c>
      <c r="E55" s="3902">
        <v>143.20000000000002</v>
      </c>
      <c r="F55" s="3902">
        <v>150.36000000000001</v>
      </c>
      <c r="G55" s="3902">
        <v>157.87800000000004</v>
      </c>
      <c r="H55" s="3903"/>
      <c r="I55" s="3903"/>
      <c r="J55" s="995"/>
      <c r="K55" s="5412"/>
      <c r="L55" s="3904"/>
      <c r="M55" s="3898"/>
      <c r="N55" s="3898"/>
      <c r="O55" s="3898"/>
      <c r="P55" s="3898"/>
    </row>
    <row r="56" spans="1:16">
      <c r="A56" s="3909"/>
      <c r="B56" s="5413"/>
      <c r="C56" s="3910" t="s">
        <v>5786</v>
      </c>
      <c r="D56" s="3911">
        <v>1955.6014399999999</v>
      </c>
      <c r="E56" s="3911">
        <v>1987.636</v>
      </c>
      <c r="F56" s="3911">
        <v>2048.6526000000003</v>
      </c>
      <c r="G56" s="3911">
        <v>2112.5125940000003</v>
      </c>
      <c r="H56" s="3912"/>
      <c r="I56" s="3912"/>
      <c r="J56" s="3909"/>
      <c r="K56" s="5413"/>
      <c r="L56" s="3910" t="s">
        <v>5786</v>
      </c>
      <c r="M56" s="3911">
        <v>105650.86801982441</v>
      </c>
      <c r="N56" s="3911">
        <v>103919.44865959778</v>
      </c>
      <c r="O56" s="3911">
        <v>107119.65165161807</v>
      </c>
      <c r="P56" s="3911">
        <v>110489.42172445034</v>
      </c>
    </row>
    <row r="57" spans="1:16">
      <c r="A57" s="995"/>
      <c r="B57" s="5411" t="s">
        <v>2673</v>
      </c>
      <c r="C57" s="3884" t="s">
        <v>6528</v>
      </c>
      <c r="D57" s="3885">
        <v>19</v>
      </c>
      <c r="E57" s="3885">
        <v>14</v>
      </c>
      <c r="F57" s="3885">
        <v>14.280000000000001</v>
      </c>
      <c r="G57" s="3885">
        <v>14.565600000000002</v>
      </c>
      <c r="H57" s="3886"/>
      <c r="I57" s="3886"/>
      <c r="J57" s="995"/>
      <c r="K57" s="5411" t="s">
        <v>2673</v>
      </c>
      <c r="L57" s="3884" t="s">
        <v>6528</v>
      </c>
      <c r="M57" s="3885">
        <v>31.868052401726082</v>
      </c>
      <c r="N57" s="3885">
        <v>25.467230376002703</v>
      </c>
      <c r="O57" s="3885">
        <v>25.976574983522756</v>
      </c>
      <c r="P57" s="3885">
        <v>26.496106483193213</v>
      </c>
    </row>
    <row r="58" spans="1:16">
      <c r="A58" s="995"/>
      <c r="B58" s="5412"/>
      <c r="C58" s="3892" t="s">
        <v>6531</v>
      </c>
      <c r="D58" s="3893">
        <v>3861.8986</v>
      </c>
      <c r="E58" s="3893">
        <v>3815</v>
      </c>
      <c r="F58" s="3893">
        <v>4005.75</v>
      </c>
      <c r="G58" s="3893">
        <v>4206.0375000000004</v>
      </c>
      <c r="H58" s="3886"/>
      <c r="I58" s="3886"/>
      <c r="J58" s="995"/>
      <c r="K58" s="5412"/>
      <c r="L58" s="3892" t="s">
        <v>6531</v>
      </c>
      <c r="M58" s="3893">
        <v>3725.6994738204012</v>
      </c>
      <c r="N58" s="3893">
        <v>3588.3948751748203</v>
      </c>
      <c r="O58" s="3893">
        <v>3767.8146189335607</v>
      </c>
      <c r="P58" s="3893">
        <v>3956.2053498802388</v>
      </c>
    </row>
    <row r="59" spans="1:16">
      <c r="A59" s="995"/>
      <c r="B59" s="5412"/>
      <c r="C59" s="3890" t="s">
        <v>6529</v>
      </c>
      <c r="D59" s="3891">
        <v>3861.8986</v>
      </c>
      <c r="E59" s="3891">
        <v>3815</v>
      </c>
      <c r="F59" s="3891">
        <v>4005.75</v>
      </c>
      <c r="G59" s="3891">
        <v>4206.0375000000004</v>
      </c>
      <c r="H59" s="3894"/>
      <c r="I59" s="3894"/>
      <c r="J59" s="995"/>
      <c r="K59" s="5412"/>
      <c r="L59" s="3890" t="s">
        <v>6529</v>
      </c>
      <c r="M59" s="3891">
        <v>3725.6994738204012</v>
      </c>
      <c r="N59" s="3891">
        <v>3588.3948751748203</v>
      </c>
      <c r="O59" s="3891">
        <v>3767.8146189335607</v>
      </c>
      <c r="P59" s="3891">
        <v>3956.2053498802388</v>
      </c>
    </row>
    <row r="60" spans="1:16">
      <c r="A60" s="995"/>
      <c r="B60" s="5412"/>
      <c r="C60" s="3895" t="s">
        <v>6530</v>
      </c>
      <c r="D60" s="3896">
        <v>0</v>
      </c>
      <c r="E60" s="3896">
        <v>0</v>
      </c>
      <c r="F60" s="3896">
        <v>0</v>
      </c>
      <c r="G60" s="3896">
        <v>0</v>
      </c>
      <c r="H60" s="3894"/>
      <c r="I60" s="3894"/>
      <c r="J60" s="995"/>
      <c r="K60" s="5412"/>
      <c r="L60" s="3895" t="s">
        <v>6530</v>
      </c>
      <c r="M60" s="3896">
        <v>0</v>
      </c>
      <c r="N60" s="3896">
        <v>0</v>
      </c>
      <c r="O60" s="3896">
        <v>0</v>
      </c>
      <c r="P60" s="3896">
        <v>0</v>
      </c>
    </row>
    <row r="61" spans="1:16">
      <c r="A61" s="995"/>
      <c r="B61" s="5412"/>
      <c r="C61" s="3897" t="s">
        <v>6537</v>
      </c>
      <c r="D61" s="3898">
        <v>9579.9999999999982</v>
      </c>
      <c r="E61" s="3898">
        <v>10000</v>
      </c>
      <c r="F61" s="3898">
        <v>10300</v>
      </c>
      <c r="G61" s="3898">
        <v>10506</v>
      </c>
      <c r="H61" s="3899"/>
      <c r="I61" s="3899"/>
      <c r="J61" s="995"/>
      <c r="K61" s="5412"/>
      <c r="L61" s="3897" t="s">
        <v>6537</v>
      </c>
      <c r="M61" s="3900">
        <v>4891.8173607713807</v>
      </c>
      <c r="N61" s="3900">
        <v>4951.7436944395331</v>
      </c>
      <c r="O61" s="3900">
        <v>5100.2960052727185</v>
      </c>
      <c r="P61" s="3900">
        <v>5202.301925378174</v>
      </c>
    </row>
    <row r="62" spans="1:16">
      <c r="A62" s="995"/>
      <c r="B62" s="5412"/>
      <c r="C62" s="3901" t="s">
        <v>6538</v>
      </c>
      <c r="D62" s="3902">
        <v>5173.2</v>
      </c>
      <c r="E62" s="3902">
        <v>5400</v>
      </c>
      <c r="F62" s="3902">
        <v>5562</v>
      </c>
      <c r="G62" s="3902">
        <v>5673.2400000000007</v>
      </c>
      <c r="H62" s="3903"/>
      <c r="I62" s="3903"/>
      <c r="J62" s="995"/>
      <c r="K62" s="5412"/>
      <c r="L62" s="3904"/>
      <c r="M62" s="3898"/>
      <c r="N62" s="3898"/>
      <c r="O62" s="3898"/>
      <c r="P62" s="3898"/>
    </row>
    <row r="63" spans="1:16">
      <c r="A63" s="995"/>
      <c r="B63" s="5412"/>
      <c r="C63" s="3890" t="s">
        <v>6529</v>
      </c>
      <c r="D63" s="3891">
        <v>9579.9999999999982</v>
      </c>
      <c r="E63" s="3891">
        <v>10000</v>
      </c>
      <c r="F63" s="3891">
        <v>10300</v>
      </c>
      <c r="G63" s="3891">
        <v>10506</v>
      </c>
      <c r="H63" s="3894"/>
      <c r="I63" s="3894"/>
      <c r="J63" s="995"/>
      <c r="K63" s="5412"/>
      <c r="L63" s="3890" t="s">
        <v>6529</v>
      </c>
      <c r="M63" s="3891">
        <v>4891.8173607713807</v>
      </c>
      <c r="N63" s="3891">
        <v>4951.7436944395331</v>
      </c>
      <c r="O63" s="3891">
        <v>5100.2960052727185</v>
      </c>
      <c r="P63" s="3891">
        <v>5202.301925378174</v>
      </c>
    </row>
    <row r="64" spans="1:16">
      <c r="A64" s="995"/>
      <c r="B64" s="5412"/>
      <c r="C64" s="3913" t="s">
        <v>6538</v>
      </c>
      <c r="D64" s="3914">
        <v>5173.2</v>
      </c>
      <c r="E64" s="3914">
        <v>5400</v>
      </c>
      <c r="F64" s="3914">
        <v>5562</v>
      </c>
      <c r="G64" s="3914">
        <v>5673.2400000000007</v>
      </c>
      <c r="H64" s="3915"/>
      <c r="I64" s="3915"/>
      <c r="J64" s="995"/>
      <c r="K64" s="5412"/>
      <c r="L64" s="3904"/>
      <c r="M64" s="3898"/>
      <c r="N64" s="3898"/>
      <c r="O64" s="3898"/>
      <c r="P64" s="3898"/>
    </row>
    <row r="65" spans="1:16">
      <c r="A65" s="995"/>
      <c r="B65" s="5412"/>
      <c r="C65" s="3890" t="s">
        <v>6530</v>
      </c>
      <c r="D65" s="3891">
        <v>0</v>
      </c>
      <c r="E65" s="3891">
        <v>0</v>
      </c>
      <c r="F65" s="3891">
        <v>0</v>
      </c>
      <c r="G65" s="3891">
        <v>0</v>
      </c>
      <c r="H65" s="3894"/>
      <c r="I65" s="3894"/>
      <c r="J65" s="995"/>
      <c r="K65" s="5412"/>
      <c r="L65" s="3890" t="s">
        <v>6530</v>
      </c>
      <c r="M65" s="3916">
        <v>0</v>
      </c>
      <c r="N65" s="3891"/>
      <c r="O65" s="3891"/>
      <c r="P65" s="3891"/>
    </row>
    <row r="66" spans="1:16">
      <c r="A66" s="995"/>
      <c r="B66" s="5412"/>
      <c r="C66" s="3917" t="s">
        <v>6538</v>
      </c>
      <c r="D66" s="3918">
        <v>0</v>
      </c>
      <c r="E66" s="3918">
        <v>0</v>
      </c>
      <c r="F66" s="3918">
        <v>0</v>
      </c>
      <c r="G66" s="3918">
        <v>0</v>
      </c>
      <c r="H66" s="3915"/>
      <c r="I66" s="3915"/>
      <c r="J66" s="995"/>
      <c r="K66" s="5412"/>
      <c r="L66" s="3919"/>
      <c r="M66" s="3920"/>
      <c r="N66" s="3920"/>
      <c r="O66" s="3920"/>
      <c r="P66" s="3920"/>
    </row>
    <row r="67" spans="1:16">
      <c r="A67" s="995"/>
      <c r="B67" s="5412"/>
      <c r="C67" s="3892" t="s">
        <v>6539</v>
      </c>
      <c r="D67" s="3906">
        <v>150</v>
      </c>
      <c r="E67" s="3906">
        <v>165</v>
      </c>
      <c r="F67" s="3906">
        <v>168.3</v>
      </c>
      <c r="G67" s="3906">
        <v>171.66600000000003</v>
      </c>
      <c r="H67" s="3899"/>
      <c r="I67" s="3899"/>
      <c r="J67" s="995"/>
      <c r="K67" s="5412"/>
      <c r="L67" s="3892" t="s">
        <v>6539</v>
      </c>
      <c r="M67" s="3893">
        <v>119.0732215499774</v>
      </c>
      <c r="N67" s="3893">
        <v>123.56651253074412</v>
      </c>
      <c r="O67" s="3893">
        <v>126.03784278135902</v>
      </c>
      <c r="P67" s="3893">
        <v>128.5585996369862</v>
      </c>
    </row>
    <row r="68" spans="1:16">
      <c r="A68" s="995"/>
      <c r="B68" s="5412"/>
      <c r="C68" s="3907" t="s">
        <v>6538</v>
      </c>
      <c r="D68" s="3908">
        <v>120</v>
      </c>
      <c r="E68" s="3908">
        <v>132</v>
      </c>
      <c r="F68" s="3908">
        <v>134.64000000000001</v>
      </c>
      <c r="G68" s="3908">
        <v>137.33280000000002</v>
      </c>
      <c r="H68" s="3903"/>
      <c r="I68" s="3903"/>
      <c r="J68" s="995"/>
      <c r="K68" s="5412"/>
      <c r="L68" s="3919"/>
      <c r="M68" s="3920"/>
      <c r="N68" s="3920"/>
      <c r="O68" s="3920"/>
      <c r="P68" s="3920"/>
    </row>
    <row r="69" spans="1:16">
      <c r="A69" s="995"/>
      <c r="B69" s="5412"/>
      <c r="C69" s="3892" t="s">
        <v>6540</v>
      </c>
      <c r="D69" s="3906">
        <v>1341.1100000000001</v>
      </c>
      <c r="E69" s="3906">
        <v>0</v>
      </c>
      <c r="F69" s="3906">
        <v>0</v>
      </c>
      <c r="G69" s="3906">
        <v>0</v>
      </c>
      <c r="H69" s="3899"/>
      <c r="I69" s="3899"/>
      <c r="J69" s="995"/>
      <c r="K69" s="5412"/>
      <c r="L69" s="3892" t="s">
        <v>6540</v>
      </c>
      <c r="M69" s="3893">
        <v>702.57684405427131</v>
      </c>
      <c r="N69" s="3893">
        <v>0</v>
      </c>
      <c r="O69" s="3893">
        <v>0</v>
      </c>
      <c r="P69" s="3893">
        <v>0</v>
      </c>
    </row>
    <row r="70" spans="1:16">
      <c r="A70" s="995"/>
      <c r="B70" s="5412"/>
      <c r="C70" s="3901" t="s">
        <v>6538</v>
      </c>
      <c r="D70" s="3902">
        <v>844.89929999999993</v>
      </c>
      <c r="E70" s="3902">
        <v>0</v>
      </c>
      <c r="F70" s="3902">
        <v>0</v>
      </c>
      <c r="G70" s="3902">
        <v>0</v>
      </c>
      <c r="H70" s="3903"/>
      <c r="I70" s="3903"/>
      <c r="J70" s="995"/>
      <c r="K70" s="5412"/>
      <c r="L70" s="3904"/>
      <c r="M70" s="3898"/>
      <c r="N70" s="3898"/>
      <c r="O70" s="3898"/>
      <c r="P70" s="3898"/>
    </row>
    <row r="71" spans="1:16">
      <c r="A71" s="995"/>
      <c r="B71" s="5412"/>
      <c r="C71" s="3890" t="s">
        <v>6529</v>
      </c>
      <c r="D71" s="3891">
        <v>1136</v>
      </c>
      <c r="E71" s="3891">
        <v>0</v>
      </c>
      <c r="F71" s="3891">
        <v>0</v>
      </c>
      <c r="G71" s="3891">
        <v>0</v>
      </c>
      <c r="H71" s="3894"/>
      <c r="I71" s="3894"/>
      <c r="J71" s="995"/>
      <c r="K71" s="5412"/>
      <c r="L71" s="3890" t="s">
        <v>6529</v>
      </c>
      <c r="M71" s="3891">
        <v>696.42354405427136</v>
      </c>
      <c r="N71" s="3891">
        <v>0</v>
      </c>
      <c r="O71" s="3891">
        <v>0</v>
      </c>
      <c r="P71" s="3891">
        <v>0</v>
      </c>
    </row>
    <row r="72" spans="1:16">
      <c r="A72" s="995"/>
      <c r="B72" s="5412"/>
      <c r="C72" s="3913" t="s">
        <v>6538</v>
      </c>
      <c r="D72" s="3914">
        <v>715.68</v>
      </c>
      <c r="E72" s="3914">
        <v>0</v>
      </c>
      <c r="F72" s="3914">
        <v>0</v>
      </c>
      <c r="G72" s="3914">
        <v>0</v>
      </c>
      <c r="H72" s="3915"/>
      <c r="I72" s="3915"/>
      <c r="J72" s="995"/>
      <c r="K72" s="5412"/>
      <c r="L72" s="3904"/>
      <c r="M72" s="3898"/>
      <c r="N72" s="3898"/>
      <c r="O72" s="3898"/>
      <c r="P72" s="3898"/>
    </row>
    <row r="73" spans="1:16">
      <c r="A73" s="995"/>
      <c r="B73" s="5412"/>
      <c r="C73" s="3890" t="s">
        <v>6530</v>
      </c>
      <c r="D73" s="3891">
        <v>205.11</v>
      </c>
      <c r="E73" s="3891">
        <v>0</v>
      </c>
      <c r="F73" s="3891">
        <v>0</v>
      </c>
      <c r="G73" s="3891">
        <v>0</v>
      </c>
      <c r="H73" s="3894"/>
      <c r="I73" s="3894"/>
      <c r="J73" s="995"/>
      <c r="K73" s="5412"/>
      <c r="L73" s="3890" t="s">
        <v>6530</v>
      </c>
      <c r="M73" s="3891">
        <v>6.1532999999999998</v>
      </c>
      <c r="N73" s="3891"/>
      <c r="O73" s="3891"/>
      <c r="P73" s="3891"/>
    </row>
    <row r="74" spans="1:16">
      <c r="A74" s="995"/>
      <c r="B74" s="5412"/>
      <c r="C74" s="3917" t="s">
        <v>6538</v>
      </c>
      <c r="D74" s="3918">
        <v>129.2193</v>
      </c>
      <c r="E74" s="3918">
        <v>0</v>
      </c>
      <c r="F74" s="3918">
        <v>0</v>
      </c>
      <c r="G74" s="3918">
        <v>0</v>
      </c>
      <c r="H74" s="3915"/>
      <c r="I74" s="3915"/>
      <c r="J74" s="995"/>
      <c r="K74" s="5412"/>
      <c r="L74" s="3919"/>
      <c r="M74" s="3920"/>
      <c r="N74" s="3920"/>
      <c r="O74" s="3920"/>
      <c r="P74" s="3920"/>
    </row>
    <row r="75" spans="1:16">
      <c r="A75" s="995"/>
      <c r="B75" s="5412"/>
      <c r="C75" s="3921" t="s">
        <v>6541</v>
      </c>
      <c r="D75" s="3900">
        <v>0</v>
      </c>
      <c r="E75" s="3900">
        <v>0</v>
      </c>
      <c r="F75" s="3900">
        <v>0</v>
      </c>
      <c r="G75" s="3900">
        <v>0</v>
      </c>
      <c r="H75" s="3886"/>
      <c r="I75" s="3886"/>
      <c r="J75" s="995"/>
      <c r="K75" s="5412"/>
      <c r="L75" s="3921" t="s">
        <v>6541</v>
      </c>
      <c r="M75" s="3900">
        <v>0</v>
      </c>
      <c r="N75" s="3900">
        <v>0</v>
      </c>
      <c r="O75" s="3900">
        <v>0</v>
      </c>
      <c r="P75" s="3900">
        <v>0</v>
      </c>
    </row>
    <row r="76" spans="1:16">
      <c r="A76" s="995"/>
      <c r="B76" s="5413"/>
      <c r="C76" s="3910" t="s">
        <v>5786</v>
      </c>
      <c r="D76" s="3911">
        <v>10018.997899999998</v>
      </c>
      <c r="E76" s="3911">
        <v>9361</v>
      </c>
      <c r="F76" s="3911">
        <v>9716.67</v>
      </c>
      <c r="G76" s="3911">
        <v>10031.175900000002</v>
      </c>
      <c r="H76" s="3912"/>
      <c r="I76" s="3912"/>
      <c r="J76" s="995"/>
      <c r="K76" s="5413"/>
      <c r="L76" s="3910" t="s">
        <v>5786</v>
      </c>
      <c r="M76" s="3911">
        <v>9471.0349525977563</v>
      </c>
      <c r="N76" s="3911">
        <v>8689.172312521101</v>
      </c>
      <c r="O76" s="3911">
        <v>9020.1250419711614</v>
      </c>
      <c r="P76" s="3911">
        <v>9313.5619813785925</v>
      </c>
    </row>
    <row r="77" spans="1:16">
      <c r="A77" s="995"/>
      <c r="B77" s="5411" t="s">
        <v>2678</v>
      </c>
      <c r="C77" s="3884" t="s">
        <v>6528</v>
      </c>
      <c r="D77" s="3922">
        <v>14.690390000000001</v>
      </c>
      <c r="E77" s="3885">
        <v>15.44</v>
      </c>
      <c r="F77" s="3885">
        <v>20.512</v>
      </c>
      <c r="G77" s="3885">
        <v>23.587600000000002</v>
      </c>
      <c r="H77" s="3886"/>
      <c r="I77" s="3886"/>
      <c r="J77" s="995"/>
      <c r="K77" s="5411" t="s">
        <v>2678</v>
      </c>
      <c r="L77" s="3884" t="s">
        <v>6528</v>
      </c>
      <c r="M77" s="3885">
        <v>418.24802352880977</v>
      </c>
      <c r="N77" s="3885">
        <v>559.29548494542416</v>
      </c>
      <c r="O77" s="3885">
        <v>756.10267242593284</v>
      </c>
      <c r="P77" s="3885">
        <v>874.40244491423789</v>
      </c>
    </row>
    <row r="78" spans="1:16">
      <c r="A78" s="995"/>
      <c r="B78" s="5412"/>
      <c r="C78" s="3890" t="s">
        <v>6529</v>
      </c>
      <c r="D78" s="3916">
        <v>8.75</v>
      </c>
      <c r="E78" s="3891">
        <v>14</v>
      </c>
      <c r="F78" s="3891">
        <v>19</v>
      </c>
      <c r="G78" s="3891">
        <v>22</v>
      </c>
      <c r="H78" s="3894"/>
      <c r="I78" s="3894"/>
      <c r="J78" s="995"/>
      <c r="K78" s="5412"/>
      <c r="L78" s="3890" t="s">
        <v>6529</v>
      </c>
      <c r="M78" s="3891">
        <v>379.07633952880974</v>
      </c>
      <c r="N78" s="3891">
        <v>549.71948494542414</v>
      </c>
      <c r="O78" s="3891">
        <v>746.04787242593284</v>
      </c>
      <c r="P78" s="3891">
        <v>863.84490491423787</v>
      </c>
    </row>
    <row r="79" spans="1:16">
      <c r="A79" s="995"/>
      <c r="B79" s="5412"/>
      <c r="C79" s="3895" t="s">
        <v>6530</v>
      </c>
      <c r="D79" s="3923">
        <v>5.9403899999999998</v>
      </c>
      <c r="E79" s="3896">
        <v>1.4400000000000002</v>
      </c>
      <c r="F79" s="3896">
        <v>1.5120000000000002</v>
      </c>
      <c r="G79" s="3896">
        <v>1.5876000000000003</v>
      </c>
      <c r="H79" s="3894"/>
      <c r="I79" s="3894"/>
      <c r="J79" s="995"/>
      <c r="K79" s="5412"/>
      <c r="L79" s="3890" t="s">
        <v>6530</v>
      </c>
      <c r="M79" s="3891">
        <v>39.171683999999999</v>
      </c>
      <c r="N79" s="3891">
        <v>9.5760000000000023</v>
      </c>
      <c r="O79" s="3891">
        <v>10.054800000000002</v>
      </c>
      <c r="P79" s="3891">
        <v>10.557540000000003</v>
      </c>
    </row>
    <row r="80" spans="1:16">
      <c r="A80" s="995"/>
      <c r="B80" s="5412"/>
      <c r="C80" s="3892" t="s">
        <v>6531</v>
      </c>
      <c r="D80" s="3924">
        <v>1.3904000000000001</v>
      </c>
      <c r="E80" s="3893">
        <v>0</v>
      </c>
      <c r="F80" s="3893">
        <v>0</v>
      </c>
      <c r="G80" s="3893">
        <v>0</v>
      </c>
      <c r="H80" s="3886"/>
      <c r="I80" s="3886"/>
      <c r="J80" s="995"/>
      <c r="K80" s="5412"/>
      <c r="L80" s="3892" t="s">
        <v>6531</v>
      </c>
      <c r="M80" s="3893">
        <v>20.079676999999997</v>
      </c>
      <c r="N80" s="3893">
        <v>0</v>
      </c>
      <c r="O80" s="3893">
        <v>0</v>
      </c>
      <c r="P80" s="3893">
        <v>0</v>
      </c>
    </row>
    <row r="81" spans="1:16">
      <c r="A81" s="995"/>
      <c r="B81" s="5412"/>
      <c r="C81" s="3890" t="s">
        <v>6529</v>
      </c>
      <c r="D81" s="3916">
        <v>0.40280000000000005</v>
      </c>
      <c r="E81" s="3891">
        <v>0</v>
      </c>
      <c r="F81" s="3891">
        <v>0</v>
      </c>
      <c r="G81" s="3891">
        <v>0</v>
      </c>
      <c r="H81" s="3894"/>
      <c r="I81" s="3894"/>
      <c r="J81" s="995"/>
      <c r="K81" s="5412"/>
      <c r="L81" s="3890" t="s">
        <v>6529</v>
      </c>
      <c r="M81" s="3891">
        <v>18.784126999999998</v>
      </c>
      <c r="N81" s="3891">
        <v>0</v>
      </c>
      <c r="O81" s="3891">
        <v>0</v>
      </c>
      <c r="P81" s="3891">
        <v>0</v>
      </c>
    </row>
    <row r="82" spans="1:16">
      <c r="A82" s="995"/>
      <c r="B82" s="5412"/>
      <c r="C82" s="3895" t="s">
        <v>6530</v>
      </c>
      <c r="D82" s="3923">
        <v>0.98760000000000003</v>
      </c>
      <c r="E82" s="3896">
        <v>0</v>
      </c>
      <c r="F82" s="3896">
        <v>0</v>
      </c>
      <c r="G82" s="3896">
        <v>0</v>
      </c>
      <c r="H82" s="3894"/>
      <c r="I82" s="3894"/>
      <c r="J82" s="995"/>
      <c r="K82" s="5412"/>
      <c r="L82" s="3890" t="s">
        <v>6530</v>
      </c>
      <c r="M82" s="3891">
        <v>1.29555</v>
      </c>
      <c r="N82" s="3891">
        <v>0</v>
      </c>
      <c r="O82" s="3891">
        <v>0</v>
      </c>
      <c r="P82" s="3891">
        <v>0</v>
      </c>
    </row>
    <row r="83" spans="1:16">
      <c r="A83" s="995"/>
      <c r="B83" s="5413"/>
      <c r="C83" s="3910" t="s">
        <v>5786</v>
      </c>
      <c r="D83" s="3925">
        <v>16.08079</v>
      </c>
      <c r="E83" s="3911">
        <v>15.44</v>
      </c>
      <c r="F83" s="3911">
        <v>20.512</v>
      </c>
      <c r="G83" s="3911">
        <v>23.587600000000002</v>
      </c>
      <c r="H83" s="3912"/>
      <c r="I83" s="3912"/>
      <c r="J83" s="995"/>
      <c r="K83" s="5413"/>
      <c r="L83" s="3910" t="s">
        <v>5786</v>
      </c>
      <c r="M83" s="3911">
        <v>438.32770052880977</v>
      </c>
      <c r="N83" s="3911">
        <v>559.29548494542416</v>
      </c>
      <c r="O83" s="3911">
        <v>756.10267242593284</v>
      </c>
      <c r="P83" s="3911">
        <v>874.40244491423789</v>
      </c>
    </row>
    <row r="84" spans="1:16">
      <c r="A84" s="995"/>
      <c r="B84" s="5411" t="s">
        <v>2681</v>
      </c>
      <c r="C84" s="3884" t="s">
        <v>6528</v>
      </c>
      <c r="D84" s="3922">
        <v>0.2</v>
      </c>
      <c r="E84" s="3885">
        <v>0.2</v>
      </c>
      <c r="F84" s="3885">
        <v>0.2</v>
      </c>
      <c r="G84" s="3885">
        <v>0.2</v>
      </c>
      <c r="H84" s="3886"/>
      <c r="I84" s="3886"/>
      <c r="J84" s="995"/>
      <c r="K84" s="5411" t="s">
        <v>2681</v>
      </c>
      <c r="L84" s="3884" t="s">
        <v>6528</v>
      </c>
      <c r="M84" s="3885">
        <v>19.492011246772869</v>
      </c>
      <c r="N84" s="3885">
        <v>15.972478981465109</v>
      </c>
      <c r="O84" s="3885">
        <v>15.173855032391854</v>
      </c>
      <c r="P84" s="3885">
        <v>14.375231083318599</v>
      </c>
    </row>
    <row r="85" spans="1:16">
      <c r="A85" s="995"/>
      <c r="B85" s="5412"/>
      <c r="C85" s="3892" t="s">
        <v>6531</v>
      </c>
      <c r="D85" s="3924">
        <v>0</v>
      </c>
      <c r="E85" s="3893">
        <v>0</v>
      </c>
      <c r="F85" s="3893">
        <v>0</v>
      </c>
      <c r="G85" s="3893">
        <v>0</v>
      </c>
      <c r="H85" s="3886"/>
      <c r="I85" s="3886"/>
      <c r="J85" s="995"/>
      <c r="K85" s="5412"/>
      <c r="L85" s="3892" t="s">
        <v>6531</v>
      </c>
      <c r="M85" s="3893">
        <v>0</v>
      </c>
      <c r="N85" s="3893">
        <v>0</v>
      </c>
      <c r="O85" s="3893">
        <v>0</v>
      </c>
      <c r="P85" s="3893">
        <v>0</v>
      </c>
    </row>
    <row r="86" spans="1:16">
      <c r="A86" s="995"/>
      <c r="B86" s="5412"/>
      <c r="C86" s="3892" t="s">
        <v>6542</v>
      </c>
      <c r="D86" s="3926">
        <v>0</v>
      </c>
      <c r="E86" s="3927">
        <v>0</v>
      </c>
      <c r="F86" s="3927">
        <v>0</v>
      </c>
      <c r="G86" s="3927">
        <v>0</v>
      </c>
      <c r="H86" s="1350"/>
      <c r="I86" s="1350"/>
      <c r="J86" s="995"/>
      <c r="K86" s="5412"/>
      <c r="L86" s="3892" t="s">
        <v>6542</v>
      </c>
      <c r="M86" s="3893">
        <v>0</v>
      </c>
      <c r="N86" s="3893">
        <v>0</v>
      </c>
      <c r="O86" s="3893">
        <v>0</v>
      </c>
      <c r="P86" s="3893">
        <v>0</v>
      </c>
    </row>
    <row r="87" spans="1:16">
      <c r="A87" s="995"/>
      <c r="B87" s="5412"/>
      <c r="C87" s="3913" t="s">
        <v>6543</v>
      </c>
      <c r="D87" s="3928">
        <v>0</v>
      </c>
      <c r="E87" s="3929">
        <v>0</v>
      </c>
      <c r="F87" s="3929">
        <v>0</v>
      </c>
      <c r="G87" s="3929">
        <v>0</v>
      </c>
      <c r="H87" s="3886"/>
      <c r="I87" s="3886"/>
      <c r="J87" s="995"/>
      <c r="K87" s="5412"/>
      <c r="L87" s="3930"/>
      <c r="M87" s="3929"/>
      <c r="N87" s="3929"/>
      <c r="O87" s="3929"/>
      <c r="P87" s="3929"/>
    </row>
    <row r="88" spans="1:16">
      <c r="A88" s="995"/>
      <c r="B88" s="5413"/>
      <c r="C88" s="3910" t="s">
        <v>5786</v>
      </c>
      <c r="D88" s="3925">
        <v>0.2</v>
      </c>
      <c r="E88" s="3911">
        <v>0.2</v>
      </c>
      <c r="F88" s="3911">
        <v>0.2</v>
      </c>
      <c r="G88" s="3911">
        <v>0.2</v>
      </c>
      <c r="H88" s="3912"/>
      <c r="I88" s="3912"/>
      <c r="J88" s="995"/>
      <c r="K88" s="5413"/>
      <c r="L88" s="3910" t="s">
        <v>5786</v>
      </c>
      <c r="M88" s="3911">
        <v>19.492011246772869</v>
      </c>
      <c r="N88" s="3911">
        <v>15.972478981465109</v>
      </c>
      <c r="O88" s="3911">
        <v>15.173855032391854</v>
      </c>
      <c r="P88" s="3911">
        <v>14.375231083318599</v>
      </c>
    </row>
    <row r="89" spans="1:16">
      <c r="A89" s="995"/>
      <c r="B89" s="5422" t="s">
        <v>2694</v>
      </c>
      <c r="C89" s="3931" t="s">
        <v>1885</v>
      </c>
      <c r="D89" s="3932"/>
      <c r="E89" s="3932">
        <v>0</v>
      </c>
      <c r="F89" s="3932">
        <v>4306726.4573991029</v>
      </c>
      <c r="G89" s="3932">
        <v>5031838.5650224211</v>
      </c>
      <c r="H89" s="3899"/>
      <c r="I89" s="3899"/>
      <c r="J89" s="995"/>
      <c r="K89" s="5422" t="s">
        <v>2694</v>
      </c>
      <c r="L89" s="3931" t="s">
        <v>1885</v>
      </c>
      <c r="M89" s="3885"/>
      <c r="N89" s="3885">
        <v>0</v>
      </c>
      <c r="O89" s="3885">
        <v>22321.978565022422</v>
      </c>
      <c r="P89" s="3885">
        <v>28122.945739910316</v>
      </c>
    </row>
    <row r="90" spans="1:16">
      <c r="A90" s="995"/>
      <c r="B90" s="5423"/>
      <c r="C90" s="3933" t="s">
        <v>6544</v>
      </c>
      <c r="D90" s="3934">
        <v>0</v>
      </c>
      <c r="E90" s="3934">
        <v>0</v>
      </c>
      <c r="F90" s="3934">
        <v>960400</v>
      </c>
      <c r="G90" s="3934">
        <v>1122100</v>
      </c>
      <c r="H90" s="3903"/>
      <c r="I90" s="3903"/>
      <c r="J90" s="995"/>
      <c r="K90" s="5423"/>
      <c r="L90" s="3933"/>
      <c r="M90" s="3935"/>
      <c r="N90" s="3935"/>
      <c r="O90" s="3935"/>
      <c r="P90" s="3935"/>
    </row>
    <row r="91" spans="1:16">
      <c r="A91" s="995"/>
      <c r="B91" s="5422" t="s">
        <v>6545</v>
      </c>
      <c r="C91" s="3931" t="s">
        <v>2770</v>
      </c>
      <c r="D91" s="3932"/>
      <c r="E91" s="3932">
        <v>0</v>
      </c>
      <c r="F91" s="3932">
        <v>0</v>
      </c>
      <c r="G91" s="3932">
        <v>0</v>
      </c>
      <c r="H91" s="3899"/>
      <c r="I91" s="3899"/>
      <c r="J91" s="995"/>
      <c r="K91" s="3936" t="s">
        <v>6545</v>
      </c>
      <c r="L91" s="3931" t="s">
        <v>2770</v>
      </c>
      <c r="M91" s="3885"/>
      <c r="N91" s="3885">
        <v>0</v>
      </c>
      <c r="O91" s="3885">
        <v>0</v>
      </c>
      <c r="P91" s="3885">
        <v>0</v>
      </c>
    </row>
    <row r="92" spans="1:16">
      <c r="A92" s="995"/>
      <c r="B92" s="5423"/>
      <c r="C92" s="3933" t="s">
        <v>6546</v>
      </c>
      <c r="D92" s="3934">
        <v>0</v>
      </c>
      <c r="E92" s="3934">
        <v>0</v>
      </c>
      <c r="F92" s="3934">
        <v>0</v>
      </c>
      <c r="G92" s="3934">
        <v>0</v>
      </c>
      <c r="H92" s="3903"/>
      <c r="I92" s="3903"/>
      <c r="J92" s="995"/>
      <c r="K92" s="5424" t="s">
        <v>1646</v>
      </c>
      <c r="L92" s="5425"/>
      <c r="M92" s="3937">
        <v>115579.72268419774</v>
      </c>
      <c r="N92" s="3937">
        <v>113183.88893604577</v>
      </c>
      <c r="O92" s="3937">
        <v>139233.03178606997</v>
      </c>
      <c r="P92" s="3938">
        <v>148814.70712173681</v>
      </c>
    </row>
  </sheetData>
  <mergeCells count="31">
    <mergeCell ref="B84:B88"/>
    <mergeCell ref="K84:K88"/>
    <mergeCell ref="B89:B90"/>
    <mergeCell ref="K89:K90"/>
    <mergeCell ref="B91:B92"/>
    <mergeCell ref="K92:L92"/>
    <mergeCell ref="B77:B83"/>
    <mergeCell ref="K77:K83"/>
    <mergeCell ref="B23:B25"/>
    <mergeCell ref="K23:K25"/>
    <mergeCell ref="B26:B28"/>
    <mergeCell ref="K26:K28"/>
    <mergeCell ref="K29:K31"/>
    <mergeCell ref="K32:L32"/>
    <mergeCell ref="K33:K35"/>
    <mergeCell ref="B41:B56"/>
    <mergeCell ref="K41:K56"/>
    <mergeCell ref="B57:B76"/>
    <mergeCell ref="K57:K76"/>
    <mergeCell ref="B14:B16"/>
    <mergeCell ref="K14:K16"/>
    <mergeCell ref="B17:B19"/>
    <mergeCell ref="K17:K19"/>
    <mergeCell ref="B20:B22"/>
    <mergeCell ref="K20:K22"/>
    <mergeCell ref="B5:B7"/>
    <mergeCell ref="K5:K7"/>
    <mergeCell ref="B8:B10"/>
    <mergeCell ref="K8:K10"/>
    <mergeCell ref="B11:B13"/>
    <mergeCell ref="K11:K13"/>
  </mergeCells>
  <phoneticPr fontId="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A5E3-FEBF-44B8-A2F3-7135DCA1235B}">
  <sheetPr codeName="Sheet56">
    <tabColor theme="0"/>
  </sheetPr>
  <dimension ref="B2:V106"/>
  <sheetViews>
    <sheetView workbookViewId="0"/>
  </sheetViews>
  <sheetFormatPr defaultColWidth="9" defaultRowHeight="12"/>
  <cols>
    <col min="1" max="3" width="9" style="1"/>
    <col min="4" max="4" width="9.125" style="1" bestFit="1" customWidth="1"/>
    <col min="5" max="5" width="11.5" style="1" bestFit="1" customWidth="1"/>
    <col min="6" max="6" width="14.875" style="1" bestFit="1" customWidth="1"/>
    <col min="7" max="16384" width="9" style="1"/>
  </cols>
  <sheetData>
    <row r="2" spans="2:22">
      <c r="H2" s="3014" t="s">
        <v>6051</v>
      </c>
      <c r="I2" s="3014"/>
      <c r="J2" s="210" t="s">
        <v>25</v>
      </c>
      <c r="K2" s="210" t="s">
        <v>69</v>
      </c>
      <c r="L2" s="210" t="s">
        <v>27</v>
      </c>
      <c r="M2" s="210" t="s">
        <v>60</v>
      </c>
      <c r="N2" s="210" t="s">
        <v>5103</v>
      </c>
      <c r="Q2" s="32" t="s">
        <v>6156</v>
      </c>
    </row>
    <row r="3" spans="2:22">
      <c r="B3" s="204" t="s">
        <v>5556</v>
      </c>
      <c r="C3" s="204" t="s">
        <v>354</v>
      </c>
      <c r="D3" s="204" t="s">
        <v>6048</v>
      </c>
      <c r="E3" s="204" t="s">
        <v>6049</v>
      </c>
      <c r="F3" s="204" t="s">
        <v>6050</v>
      </c>
      <c r="H3" s="204" t="s">
        <v>354</v>
      </c>
      <c r="I3" s="204" t="s">
        <v>354</v>
      </c>
      <c r="J3" s="204" t="s">
        <v>6052</v>
      </c>
      <c r="K3" s="204" t="s">
        <v>6053</v>
      </c>
      <c r="L3" s="204" t="s">
        <v>6054</v>
      </c>
      <c r="M3" s="204" t="s">
        <v>6055</v>
      </c>
      <c r="N3" s="204" t="s">
        <v>6056</v>
      </c>
      <c r="Q3" s="1" t="s">
        <v>6157</v>
      </c>
    </row>
    <row r="4" spans="2:22">
      <c r="B4" s="323" t="s">
        <v>6031</v>
      </c>
      <c r="C4" s="323" t="s">
        <v>242</v>
      </c>
      <c r="D4" s="324">
        <v>1141.1652839967114</v>
      </c>
      <c r="E4" s="324">
        <v>28807471.297115568</v>
      </c>
      <c r="F4" s="324">
        <v>32874086164</v>
      </c>
      <c r="H4" s="323" t="s">
        <v>258</v>
      </c>
      <c r="I4" s="323" t="s">
        <v>258</v>
      </c>
      <c r="J4" s="324">
        <f t="shared" ref="J4:J8" si="0">SUMIFS($D$4:$D$106,$B$4:$B$106,J$3,$C$4:$C$106,$I4)</f>
        <v>1130.8399999999999</v>
      </c>
      <c r="K4" s="324">
        <f t="shared" ref="K4:N9" si="1">SUMIFS($D$4:$D$106,$B$4:$B$106,K$3,$C$4:$C$106,$I4)</f>
        <v>1101.198129992189</v>
      </c>
      <c r="L4" s="324">
        <f t="shared" si="1"/>
        <v>1166.7558232243705</v>
      </c>
      <c r="M4" s="324">
        <f t="shared" si="1"/>
        <v>1175.0124516252363</v>
      </c>
      <c r="N4" s="324">
        <f t="shared" si="1"/>
        <v>1133.7282886053672</v>
      </c>
      <c r="Q4" s="3687" t="s">
        <v>4900</v>
      </c>
      <c r="R4" s="3688"/>
      <c r="S4" s="3689">
        <v>2018</v>
      </c>
      <c r="T4" s="3689">
        <v>2019</v>
      </c>
      <c r="U4" s="3689">
        <v>2020</v>
      </c>
      <c r="V4" s="3690">
        <v>2021</v>
      </c>
    </row>
    <row r="5" spans="2:22">
      <c r="B5" s="1" t="s">
        <v>6031</v>
      </c>
      <c r="C5" s="1" t="s">
        <v>6032</v>
      </c>
      <c r="D5" s="205">
        <v>1130.8966666666665</v>
      </c>
      <c r="E5" s="205">
        <v>55284618.606474511</v>
      </c>
      <c r="F5" s="205">
        <v>62521190900</v>
      </c>
      <c r="H5" s="1" t="s">
        <v>262</v>
      </c>
      <c r="I5" s="1" t="s">
        <v>262</v>
      </c>
      <c r="J5" s="205">
        <f t="shared" si="0"/>
        <v>1130.8399999999999</v>
      </c>
      <c r="K5" s="205">
        <f t="shared" si="1"/>
        <v>1124.6767963651237</v>
      </c>
      <c r="L5" s="205">
        <f t="shared" si="1"/>
        <v>1147.5255515029587</v>
      </c>
      <c r="M5" s="205">
        <f t="shared" si="1"/>
        <v>1200.9266056852096</v>
      </c>
      <c r="N5" s="205">
        <f t="shared" si="1"/>
        <v>1154.701031206054</v>
      </c>
      <c r="Q5" s="3691" t="s">
        <v>6064</v>
      </c>
      <c r="R5" s="3692"/>
      <c r="S5" s="3693">
        <v>32862.577998000001</v>
      </c>
      <c r="T5" s="3693">
        <v>32915.875789999998</v>
      </c>
      <c r="U5" s="3693">
        <v>34197.750478000002</v>
      </c>
      <c r="V5" s="3694">
        <v>26272.190805999999</v>
      </c>
    </row>
    <row r="6" spans="2:22">
      <c r="B6" s="1" t="s">
        <v>6031</v>
      </c>
      <c r="C6" s="1" t="s">
        <v>6033</v>
      </c>
      <c r="D6" s="205">
        <v>1130.8966666666665</v>
      </c>
      <c r="E6" s="205">
        <v>1355038.3913649642</v>
      </c>
      <c r="F6" s="205">
        <v>1532408400</v>
      </c>
      <c r="H6" s="1" t="s">
        <v>264</v>
      </c>
      <c r="I6" s="1" t="s">
        <v>264</v>
      </c>
      <c r="J6" s="205">
        <f t="shared" si="0"/>
        <v>1130.8399999999999</v>
      </c>
      <c r="K6" s="205">
        <f t="shared" si="1"/>
        <v>1102.8559344145283</v>
      </c>
      <c r="L6" s="205">
        <f t="shared" si="1"/>
        <v>1164.1939103599261</v>
      </c>
      <c r="M6" s="205">
        <f t="shared" si="1"/>
        <v>1169.4328230179669</v>
      </c>
      <c r="N6" s="205">
        <f t="shared" si="1"/>
        <v>1131.6293417227394</v>
      </c>
      <c r="Q6" s="3695"/>
      <c r="R6" s="3696" t="s">
        <v>6158</v>
      </c>
      <c r="S6" s="3697">
        <v>0</v>
      </c>
      <c r="T6" s="3697">
        <v>0</v>
      </c>
      <c r="U6" s="3697">
        <v>0</v>
      </c>
      <c r="V6" s="3698">
        <v>0</v>
      </c>
    </row>
    <row r="7" spans="2:22">
      <c r="B7" s="1" t="s">
        <v>6031</v>
      </c>
      <c r="C7" s="1" t="s">
        <v>5955</v>
      </c>
      <c r="D7" s="205">
        <v>1130.8966666666665</v>
      </c>
      <c r="E7" s="205">
        <v>595420.0590092229</v>
      </c>
      <c r="F7" s="205">
        <v>673358560</v>
      </c>
      <c r="H7" s="1" t="s">
        <v>266</v>
      </c>
      <c r="I7" s="1" t="s">
        <v>266</v>
      </c>
      <c r="J7" s="205">
        <f t="shared" si="0"/>
        <v>1130.8399999999999</v>
      </c>
      <c r="K7" s="205">
        <f>SUMIFS($D$4:$D$106,$B$4:$B$106,K$3,$C$4:$C$106,$I7)</f>
        <v>1071.5000007083504</v>
      </c>
      <c r="L7" s="205">
        <f t="shared" si="1"/>
        <v>1165.6500000000001</v>
      </c>
      <c r="M7" s="205">
        <f t="shared" si="1"/>
        <v>1180.05</v>
      </c>
      <c r="N7" s="205">
        <f t="shared" si="1"/>
        <v>1130.8966666666665</v>
      </c>
      <c r="Q7" s="3695"/>
      <c r="R7" s="3699" t="s">
        <v>6159</v>
      </c>
      <c r="S7" s="3700">
        <v>0</v>
      </c>
      <c r="T7" s="3700">
        <v>0</v>
      </c>
      <c r="U7" s="3700">
        <v>0</v>
      </c>
      <c r="V7" s="3701">
        <v>0</v>
      </c>
    </row>
    <row r="8" spans="2:22">
      <c r="B8" s="1" t="s">
        <v>6031</v>
      </c>
      <c r="C8" s="1" t="s">
        <v>5586</v>
      </c>
      <c r="D8" s="205">
        <v>1140.4775937382681</v>
      </c>
      <c r="E8" s="205">
        <v>9834205.7534309831</v>
      </c>
      <c r="F8" s="205">
        <v>11215691314</v>
      </c>
      <c r="H8" s="1" t="s">
        <v>268</v>
      </c>
      <c r="I8" s="1" t="s">
        <v>268</v>
      </c>
      <c r="J8" s="205">
        <f t="shared" si="0"/>
        <v>1130.8399999999999</v>
      </c>
      <c r="K8" s="205">
        <f t="shared" si="1"/>
        <v>1100.3</v>
      </c>
      <c r="L8" s="205">
        <f t="shared" si="1"/>
        <v>1158.1999999968143</v>
      </c>
      <c r="M8" s="205">
        <f t="shared" si="1"/>
        <v>1180.05</v>
      </c>
      <c r="N8" s="205">
        <f t="shared" si="1"/>
        <v>1184.9000000740459</v>
      </c>
      <c r="Q8" s="3702" t="s">
        <v>6065</v>
      </c>
      <c r="R8" s="3703"/>
      <c r="S8" s="3704">
        <v>9813.2846219999992</v>
      </c>
      <c r="T8" s="3704">
        <v>10185.235468000001</v>
      </c>
      <c r="U8" s="3704">
        <v>9765.7313649999996</v>
      </c>
      <c r="V8" s="3705">
        <v>7484.7407300000004</v>
      </c>
    </row>
    <row r="9" spans="2:22">
      <c r="B9" s="1" t="s">
        <v>6031</v>
      </c>
      <c r="C9" s="1" t="s">
        <v>252</v>
      </c>
      <c r="D9" s="205">
        <v>1130.8966666666665</v>
      </c>
      <c r="E9" s="205">
        <v>8440643.4198232088</v>
      </c>
      <c r="F9" s="205">
        <v>9545495508</v>
      </c>
      <c r="H9" s="68" t="s">
        <v>316</v>
      </c>
      <c r="I9" s="68" t="s">
        <v>6038</v>
      </c>
      <c r="J9" s="208">
        <f t="shared" ref="J9" si="2">SUMIFS($D$4:$D$106,$B$4:$B$106,J$3,$C$4:$C$106,$I9)</f>
        <v>1130.8399999999999</v>
      </c>
      <c r="K9" s="208">
        <f t="shared" si="1"/>
        <v>1077.6354087459788</v>
      </c>
      <c r="L9" s="208">
        <f t="shared" si="1"/>
        <v>1131.1394497053609</v>
      </c>
      <c r="M9" s="208">
        <f t="shared" si="1"/>
        <v>1119.2334232675864</v>
      </c>
      <c r="N9" s="208">
        <f t="shared" si="1"/>
        <v>1118.6391308876769</v>
      </c>
      <c r="Q9" s="3695"/>
      <c r="R9" s="3696" t="s">
        <v>6158</v>
      </c>
      <c r="S9" s="3697">
        <v>0</v>
      </c>
      <c r="T9" s="3697">
        <v>0</v>
      </c>
      <c r="U9" s="3697">
        <v>0</v>
      </c>
      <c r="V9" s="3698">
        <v>0</v>
      </c>
    </row>
    <row r="10" spans="2:22">
      <c r="B10" s="1" t="s">
        <v>6031</v>
      </c>
      <c r="C10" s="1" t="s">
        <v>6034</v>
      </c>
      <c r="D10" s="205">
        <v>1128.5216681411691</v>
      </c>
      <c r="E10" s="205">
        <v>1444246.2311641828</v>
      </c>
      <c r="F10" s="205">
        <v>1629863166</v>
      </c>
      <c r="Q10" s="3695"/>
      <c r="R10" s="3699" t="s">
        <v>6159</v>
      </c>
      <c r="S10" s="3700">
        <v>0</v>
      </c>
      <c r="T10" s="3700">
        <v>0</v>
      </c>
      <c r="U10" s="3700">
        <v>0</v>
      </c>
      <c r="V10" s="3701">
        <v>0</v>
      </c>
    </row>
    <row r="11" spans="2:22">
      <c r="B11" s="1" t="s">
        <v>6031</v>
      </c>
      <c r="C11" s="1" t="s">
        <v>6035</v>
      </c>
      <c r="D11" s="205">
        <v>1115.8441740728217</v>
      </c>
      <c r="E11" s="205">
        <v>37617.360000000001</v>
      </c>
      <c r="F11" s="205">
        <v>41975112</v>
      </c>
      <c r="Q11" s="3706" t="s">
        <v>6160</v>
      </c>
      <c r="R11" s="3707"/>
      <c r="S11" s="3708">
        <v>1953.806382</v>
      </c>
      <c r="T11" s="3708">
        <v>1706.3888609999999</v>
      </c>
      <c r="U11" s="3708">
        <v>1807.740446</v>
      </c>
      <c r="V11" s="3709">
        <v>1360.2454130000001</v>
      </c>
    </row>
    <row r="12" spans="2:22" ht="12.75" thickBot="1">
      <c r="B12" s="1" t="s">
        <v>6031</v>
      </c>
      <c r="C12" s="1" t="s">
        <v>2204</v>
      </c>
      <c r="D12" s="205">
        <v>1115.3438648937451</v>
      </c>
      <c r="E12" s="205">
        <v>75091.12</v>
      </c>
      <c r="F12" s="205">
        <v>83752420</v>
      </c>
      <c r="Q12" s="3710" t="s">
        <v>1893</v>
      </c>
      <c r="R12" s="3711"/>
      <c r="S12" s="3712">
        <v>44629.669002000002</v>
      </c>
      <c r="T12" s="3712">
        <v>44807.500118999997</v>
      </c>
      <c r="U12" s="3712">
        <v>45771.222288999998</v>
      </c>
      <c r="V12" s="3713">
        <v>35117.176949000001</v>
      </c>
    </row>
    <row r="13" spans="2:22">
      <c r="B13" s="1" t="s">
        <v>6031</v>
      </c>
      <c r="C13" s="1" t="s">
        <v>258</v>
      </c>
      <c r="D13" s="205">
        <v>1133.7282886053672</v>
      </c>
      <c r="E13" s="205">
        <v>4118361619.1914926</v>
      </c>
      <c r="F13" s="205">
        <v>4669103070384</v>
      </c>
      <c r="Q13" s="3703"/>
      <c r="R13" s="3714"/>
      <c r="S13" s="3704"/>
      <c r="T13" s="3704"/>
      <c r="U13" s="3704"/>
      <c r="V13" s="3704"/>
    </row>
    <row r="14" spans="2:22">
      <c r="B14" s="1" t="s">
        <v>6031</v>
      </c>
      <c r="C14" s="1" t="s">
        <v>6036</v>
      </c>
      <c r="D14" s="205">
        <v>1130.8966666666665</v>
      </c>
      <c r="E14" s="205">
        <v>1926484.3846623183</v>
      </c>
      <c r="F14" s="205">
        <v>2178654769</v>
      </c>
    </row>
    <row r="15" spans="2:22">
      <c r="B15" s="1" t="s">
        <v>6031</v>
      </c>
      <c r="C15" s="1" t="s">
        <v>262</v>
      </c>
      <c r="D15" s="205">
        <v>1154.701031206054</v>
      </c>
      <c r="E15" s="205">
        <v>1407570624.623409</v>
      </c>
      <c r="F15" s="205">
        <v>1625323251748</v>
      </c>
      <c r="Q15" s="3687" t="s">
        <v>4901</v>
      </c>
      <c r="R15" s="3688"/>
      <c r="S15" s="3689">
        <v>2018</v>
      </c>
      <c r="T15" s="3689">
        <v>2019</v>
      </c>
      <c r="U15" s="3689">
        <v>2020</v>
      </c>
      <c r="V15" s="3690">
        <v>2021</v>
      </c>
    </row>
    <row r="16" spans="2:22">
      <c r="B16" s="1" t="s">
        <v>6031</v>
      </c>
      <c r="C16" s="1" t="s">
        <v>264</v>
      </c>
      <c r="D16" s="205">
        <v>1131.6293417227394</v>
      </c>
      <c r="E16" s="205">
        <v>373810887.776223</v>
      </c>
      <c r="F16" s="205">
        <v>423015368863</v>
      </c>
      <c r="Q16" s="3691" t="s">
        <v>6064</v>
      </c>
      <c r="R16" s="3692"/>
      <c r="S16" s="3693">
        <v>16775.597020000001</v>
      </c>
      <c r="T16" s="3693">
        <v>16338.062400000001</v>
      </c>
      <c r="U16" s="3693">
        <v>15370.902669999999</v>
      </c>
      <c r="V16" s="3694">
        <v>12100.31601</v>
      </c>
    </row>
    <row r="17" spans="2:22">
      <c r="B17" s="1" t="s">
        <v>6031</v>
      </c>
      <c r="C17" s="1" t="s">
        <v>266</v>
      </c>
      <c r="D17" s="205">
        <v>1130.8966666666665</v>
      </c>
      <c r="E17" s="205">
        <v>5610419.4415051192</v>
      </c>
      <c r="F17" s="205">
        <v>6344804645</v>
      </c>
      <c r="Q17" s="3695"/>
      <c r="R17" s="3696" t="s">
        <v>6158</v>
      </c>
      <c r="S17" s="3697">
        <v>0</v>
      </c>
      <c r="T17" s="3697">
        <v>0</v>
      </c>
      <c r="U17" s="3715">
        <v>359.7</v>
      </c>
      <c r="V17" s="3716">
        <v>312.37</v>
      </c>
    </row>
    <row r="18" spans="2:22">
      <c r="B18" s="1" t="s">
        <v>6031</v>
      </c>
      <c r="C18" s="1" t="s">
        <v>268</v>
      </c>
      <c r="D18" s="205">
        <v>1184.9000000740459</v>
      </c>
      <c r="E18" s="205">
        <v>93505277.256372958</v>
      </c>
      <c r="F18" s="205">
        <v>110794403028</v>
      </c>
      <c r="Q18" s="3695"/>
      <c r="R18" s="3699" t="s">
        <v>6159</v>
      </c>
      <c r="S18" s="3700">
        <v>0</v>
      </c>
      <c r="T18" s="3700">
        <v>0</v>
      </c>
      <c r="U18" s="3717">
        <v>15011.202670000001</v>
      </c>
      <c r="V18" s="3718">
        <v>11787.94601</v>
      </c>
    </row>
    <row r="19" spans="2:22">
      <c r="B19" s="1" t="s">
        <v>6031</v>
      </c>
      <c r="C19" s="1" t="s">
        <v>270</v>
      </c>
      <c r="D19" s="205">
        <v>1131.5901142787284</v>
      </c>
      <c r="E19" s="205">
        <v>3892577.1614818368</v>
      </c>
      <c r="F19" s="205">
        <v>4404801835</v>
      </c>
      <c r="Q19" s="3702" t="s">
        <v>6065</v>
      </c>
      <c r="R19" s="3703"/>
      <c r="S19" s="3704">
        <v>7058.9821099999999</v>
      </c>
      <c r="T19" s="3704">
        <v>7092.6665300000004</v>
      </c>
      <c r="U19" s="3704">
        <v>6484.3537699999997</v>
      </c>
      <c r="V19" s="3705">
        <v>4900.9155799999999</v>
      </c>
    </row>
    <row r="20" spans="2:22">
      <c r="B20" s="1" t="s">
        <v>6031</v>
      </c>
      <c r="C20" s="1" t="s">
        <v>6037</v>
      </c>
      <c r="D20" s="205">
        <v>1145.3192438432495</v>
      </c>
      <c r="E20" s="205">
        <v>16250204.995723644</v>
      </c>
      <c r="F20" s="205">
        <v>18611672498</v>
      </c>
      <c r="Q20" s="3695"/>
      <c r="R20" s="3696" t="s">
        <v>6158</v>
      </c>
      <c r="S20" s="3697">
        <v>0</v>
      </c>
      <c r="T20" s="3697">
        <v>0</v>
      </c>
      <c r="U20" s="3715">
        <v>2442.4499999999998</v>
      </c>
      <c r="V20" s="3716">
        <v>2459.3000000000002</v>
      </c>
    </row>
    <row r="21" spans="2:22">
      <c r="B21" s="1" t="s">
        <v>6031</v>
      </c>
      <c r="C21" s="1" t="s">
        <v>6038</v>
      </c>
      <c r="D21" s="205">
        <v>1118.6391308876769</v>
      </c>
      <c r="E21" s="205">
        <v>1631247.8399999999</v>
      </c>
      <c r="F21" s="205">
        <v>1824777666</v>
      </c>
      <c r="G21" s="1">
        <v>1820</v>
      </c>
      <c r="H21" s="1">
        <f>E21/G21</f>
        <v>896.29002197802185</v>
      </c>
      <c r="Q21" s="3695"/>
      <c r="R21" s="3699" t="s">
        <v>6159</v>
      </c>
      <c r="S21" s="3700">
        <v>0</v>
      </c>
      <c r="T21" s="3700">
        <v>0</v>
      </c>
      <c r="U21" s="3717">
        <v>4041.9037699999999</v>
      </c>
      <c r="V21" s="3718">
        <v>2441.6155800000001</v>
      </c>
    </row>
    <row r="22" spans="2:22">
      <c r="B22" s="1" t="s">
        <v>6031</v>
      </c>
      <c r="C22" s="1" t="s">
        <v>6039</v>
      </c>
      <c r="D22" s="205">
        <v>1154.7523318872018</v>
      </c>
      <c r="E22" s="205">
        <v>829800</v>
      </c>
      <c r="F22" s="205">
        <v>958213485</v>
      </c>
      <c r="Q22" s="3706" t="s">
        <v>6160</v>
      </c>
      <c r="R22" s="3707"/>
      <c r="S22" s="3708">
        <v>1217.96515</v>
      </c>
      <c r="T22" s="3708">
        <v>1130.1250199999999</v>
      </c>
      <c r="U22" s="3708">
        <v>1093.9105300000001</v>
      </c>
      <c r="V22" s="3709">
        <v>857.65080999999998</v>
      </c>
    </row>
    <row r="23" spans="2:22" ht="12.75" thickBot="1">
      <c r="B23" s="1" t="s">
        <v>6031</v>
      </c>
      <c r="C23" s="1" t="s">
        <v>6040</v>
      </c>
      <c r="D23" s="205">
        <v>1110.6557083340031</v>
      </c>
      <c r="E23" s="205">
        <v>52856182.090000004</v>
      </c>
      <c r="F23" s="205">
        <v>58705020359</v>
      </c>
      <c r="Q23" s="3710" t="s">
        <v>1893</v>
      </c>
      <c r="R23" s="3711"/>
      <c r="S23" s="3712">
        <v>25052.544279999998</v>
      </c>
      <c r="T23" s="3712">
        <v>24560.853950000001</v>
      </c>
      <c r="U23" s="3712">
        <v>22949.166969999998</v>
      </c>
      <c r="V23" s="3713">
        <v>17858.882399999999</v>
      </c>
    </row>
    <row r="24" spans="2:22">
      <c r="B24" s="1" t="s">
        <v>6041</v>
      </c>
      <c r="C24" s="1" t="s">
        <v>242</v>
      </c>
      <c r="D24" s="205">
        <v>1177.207253636087</v>
      </c>
      <c r="E24" s="205">
        <v>11389679.250264671</v>
      </c>
      <c r="F24" s="205">
        <v>13408013030</v>
      </c>
      <c r="Q24" s="3703"/>
      <c r="R24" s="3714"/>
      <c r="S24" s="3723">
        <f>S19/S8</f>
        <v>0.71932919322188604</v>
      </c>
      <c r="T24" s="3723">
        <f t="shared" ref="T24:V24" si="3">T19/T8</f>
        <v>0.69636745780534559</v>
      </c>
      <c r="U24" s="3723">
        <f t="shared" si="3"/>
        <v>0.66399059401118388</v>
      </c>
      <c r="V24" s="3723">
        <f t="shared" si="3"/>
        <v>0.65478762148117853</v>
      </c>
    </row>
    <row r="25" spans="2:22">
      <c r="B25" s="1" t="s">
        <v>6041</v>
      </c>
      <c r="C25" s="1" t="s">
        <v>6032</v>
      </c>
      <c r="D25" s="205">
        <v>1189.9322799097065</v>
      </c>
      <c r="E25" s="205">
        <v>55006522.434173085</v>
      </c>
      <c r="F25" s="205">
        <v>65454036650</v>
      </c>
      <c r="Q25" s="32" t="s">
        <v>6156</v>
      </c>
      <c r="R25" s="32"/>
      <c r="S25" s="32"/>
      <c r="T25" s="32"/>
      <c r="U25" s="32"/>
      <c r="V25" s="32"/>
    </row>
    <row r="26" spans="2:22">
      <c r="B26" s="1" t="s">
        <v>6041</v>
      </c>
      <c r="C26" s="1" t="s">
        <v>6033</v>
      </c>
      <c r="D26" s="205">
        <v>1180.05</v>
      </c>
      <c r="E26" s="205">
        <v>1592809.033515529</v>
      </c>
      <c r="F26" s="205">
        <v>1879594300</v>
      </c>
      <c r="Q26" s="3687" t="s">
        <v>1290</v>
      </c>
      <c r="R26" s="3688"/>
      <c r="S26" s="3689">
        <v>2018</v>
      </c>
      <c r="T26" s="3689">
        <v>2019</v>
      </c>
      <c r="U26" s="3689">
        <v>2020</v>
      </c>
      <c r="V26" s="3690">
        <v>2021</v>
      </c>
    </row>
    <row r="27" spans="2:22">
      <c r="B27" s="1" t="s">
        <v>6041</v>
      </c>
      <c r="C27" s="1" t="s">
        <v>5955</v>
      </c>
      <c r="D27" s="205">
        <v>1180.05</v>
      </c>
      <c r="E27" s="205">
        <v>772909.62247362407</v>
      </c>
      <c r="F27" s="205">
        <v>912072000</v>
      </c>
      <c r="Q27" s="3691" t="s">
        <v>6064</v>
      </c>
      <c r="R27" s="3692"/>
      <c r="S27" s="3693">
        <v>5466.7008800000003</v>
      </c>
      <c r="T27" s="3693">
        <v>6976.5186240000003</v>
      </c>
      <c r="U27" s="3693">
        <v>6019.2757959999999</v>
      </c>
      <c r="V27" s="3694">
        <v>4165.0280949999997</v>
      </c>
    </row>
    <row r="28" spans="2:22">
      <c r="B28" s="1" t="s">
        <v>6041</v>
      </c>
      <c r="C28" s="1" t="s">
        <v>5586</v>
      </c>
      <c r="D28" s="205">
        <v>1152.5553115306259</v>
      </c>
      <c r="E28" s="205">
        <v>11526355.659545278</v>
      </c>
      <c r="F28" s="205">
        <v>13284762438</v>
      </c>
      <c r="Q28" s="3695"/>
      <c r="R28" s="3696" t="s">
        <v>6158</v>
      </c>
      <c r="S28" s="3715">
        <v>217.303</v>
      </c>
      <c r="T28" s="3715">
        <v>167.11199999999999</v>
      </c>
      <c r="U28" s="3715">
        <v>606.00165000000004</v>
      </c>
      <c r="V28" s="3716">
        <v>206.53321</v>
      </c>
    </row>
    <row r="29" spans="2:22">
      <c r="B29" s="1" t="s">
        <v>6041</v>
      </c>
      <c r="C29" s="1" t="s">
        <v>252</v>
      </c>
      <c r="D29" s="205">
        <v>1180.05</v>
      </c>
      <c r="E29" s="205">
        <v>11983837.965340452</v>
      </c>
      <c r="F29" s="205">
        <v>14141527991</v>
      </c>
      <c r="Q29" s="3695"/>
      <c r="R29" s="3699" t="s">
        <v>6159</v>
      </c>
      <c r="S29" s="3717">
        <v>5249.3978800000004</v>
      </c>
      <c r="T29" s="3717">
        <v>6809.4066240000002</v>
      </c>
      <c r="U29" s="3717">
        <v>5413.2741459999997</v>
      </c>
      <c r="V29" s="3718">
        <v>3958.4948850000001</v>
      </c>
    </row>
    <row r="30" spans="2:22">
      <c r="B30" s="1" t="s">
        <v>6041</v>
      </c>
      <c r="C30" s="1" t="s">
        <v>6034</v>
      </c>
      <c r="D30" s="205">
        <v>1177.742765738735</v>
      </c>
      <c r="E30" s="205">
        <v>1820148.3595234761</v>
      </c>
      <c r="F30" s="205">
        <v>2143666563</v>
      </c>
      <c r="Q30" s="3702" t="s">
        <v>6065</v>
      </c>
      <c r="R30" s="3703"/>
      <c r="S30" s="3704">
        <v>6161.8011200000001</v>
      </c>
      <c r="T30" s="3704">
        <v>7915.0636290000002</v>
      </c>
      <c r="U30" s="3704">
        <v>7593.7616680000001</v>
      </c>
      <c r="V30" s="3705">
        <v>2373.8690670000001</v>
      </c>
    </row>
    <row r="31" spans="2:22">
      <c r="B31" s="1" t="s">
        <v>6041</v>
      </c>
      <c r="C31" s="1" t="s">
        <v>6035</v>
      </c>
      <c r="D31" s="205">
        <v>1220.1590259698346</v>
      </c>
      <c r="E31" s="205">
        <v>51282.19000000001</v>
      </c>
      <c r="F31" s="205">
        <v>62572427</v>
      </c>
      <c r="Q31" s="3695"/>
      <c r="R31" s="3696" t="s">
        <v>6158</v>
      </c>
      <c r="S31" s="3715">
        <v>2523.027</v>
      </c>
      <c r="T31" s="3715">
        <v>2140.7759999999998</v>
      </c>
      <c r="U31" s="3715">
        <v>6321.0451400000002</v>
      </c>
      <c r="V31" s="3716">
        <v>1487.86293</v>
      </c>
    </row>
    <row r="32" spans="2:22">
      <c r="B32" s="1" t="s">
        <v>6041</v>
      </c>
      <c r="C32" s="1" t="s">
        <v>2204</v>
      </c>
      <c r="D32" s="205">
        <v>1204.3104867619677</v>
      </c>
      <c r="E32" s="205">
        <v>43670.01</v>
      </c>
      <c r="F32" s="205">
        <v>52592251</v>
      </c>
      <c r="Q32" s="3695"/>
      <c r="R32" s="3699" t="s">
        <v>6159</v>
      </c>
      <c r="S32" s="3717">
        <v>3638.77412</v>
      </c>
      <c r="T32" s="3717">
        <v>5774.2876290000004</v>
      </c>
      <c r="U32" s="3717">
        <v>1272.7165279999999</v>
      </c>
      <c r="V32" s="3718">
        <v>886.00613699999997</v>
      </c>
    </row>
    <row r="33" spans="2:22">
      <c r="B33" s="1" t="s">
        <v>6041</v>
      </c>
      <c r="C33" s="1" t="s">
        <v>258</v>
      </c>
      <c r="D33" s="205">
        <v>1175.0124516252363</v>
      </c>
      <c r="E33" s="205">
        <v>4016749135.0162578</v>
      </c>
      <c r="F33" s="205">
        <v>4719730248699</v>
      </c>
      <c r="Q33" s="3706" t="s">
        <v>6160</v>
      </c>
      <c r="R33" s="3707"/>
      <c r="S33" s="3708">
        <v>448.97194000000002</v>
      </c>
      <c r="T33" s="3708">
        <v>486.44540000000001</v>
      </c>
      <c r="U33" s="3708">
        <v>420.38117</v>
      </c>
      <c r="V33" s="3709">
        <v>314.96301499999998</v>
      </c>
    </row>
    <row r="34" spans="2:22" ht="12.75" thickBot="1">
      <c r="B34" s="1" t="s">
        <v>6041</v>
      </c>
      <c r="C34" s="1" t="s">
        <v>6036</v>
      </c>
      <c r="D34" s="205">
        <v>1180.05</v>
      </c>
      <c r="E34" s="205">
        <v>1741978.7093767214</v>
      </c>
      <c r="F34" s="205">
        <v>2055621976</v>
      </c>
      <c r="Q34" s="3710" t="s">
        <v>1893</v>
      </c>
      <c r="R34" s="3711"/>
      <c r="S34" s="3712">
        <v>12077.47394</v>
      </c>
      <c r="T34" s="3712">
        <v>15378.027652999999</v>
      </c>
      <c r="U34" s="3712">
        <v>14033.418634</v>
      </c>
      <c r="V34" s="3713">
        <v>6853.8601769999996</v>
      </c>
    </row>
    <row r="35" spans="2:22">
      <c r="B35" s="1" t="s">
        <v>6041</v>
      </c>
      <c r="C35" s="1" t="s">
        <v>262</v>
      </c>
      <c r="D35" s="205">
        <v>1200.9266056852096</v>
      </c>
      <c r="E35" s="205">
        <v>1788505268.1337667</v>
      </c>
      <c r="F35" s="205">
        <v>2147863560910</v>
      </c>
    </row>
    <row r="36" spans="2:22">
      <c r="B36" s="1" t="s">
        <v>6041</v>
      </c>
      <c r="C36" s="1" t="s">
        <v>264</v>
      </c>
      <c r="D36" s="205">
        <v>1169.4328230179669</v>
      </c>
      <c r="E36" s="205">
        <v>344693913.65869582</v>
      </c>
      <c r="F36" s="205">
        <v>403096376527</v>
      </c>
    </row>
    <row r="37" spans="2:22">
      <c r="B37" s="1" t="s">
        <v>6041</v>
      </c>
      <c r="C37" s="1" t="s">
        <v>266</v>
      </c>
      <c r="D37" s="205">
        <v>1180.05</v>
      </c>
      <c r="E37" s="205">
        <v>5744998.8508961489</v>
      </c>
      <c r="F37" s="205">
        <v>6779385894</v>
      </c>
      <c r="Q37" s="3687" t="s">
        <v>55</v>
      </c>
      <c r="R37" s="3688"/>
      <c r="S37" s="3689">
        <v>2018</v>
      </c>
      <c r="T37" s="3689">
        <v>2019</v>
      </c>
      <c r="U37" s="3689">
        <v>2020</v>
      </c>
      <c r="V37" s="3690">
        <v>2021</v>
      </c>
    </row>
    <row r="38" spans="2:22">
      <c r="B38" s="1" t="s">
        <v>6041</v>
      </c>
      <c r="C38" s="1" t="s">
        <v>268</v>
      </c>
      <c r="D38" s="205">
        <v>1180.05</v>
      </c>
      <c r="E38" s="205">
        <v>115752486.07431889</v>
      </c>
      <c r="F38" s="205">
        <v>136593721192</v>
      </c>
      <c r="Q38" s="3691" t="s">
        <v>6151</v>
      </c>
      <c r="R38" s="3692"/>
      <c r="S38" s="3693">
        <v>55104.875897999998</v>
      </c>
      <c r="T38" s="3693">
        <v>56230.456814000005</v>
      </c>
      <c r="U38" s="3693">
        <v>55587.928943999999</v>
      </c>
      <c r="V38" s="3694">
        <v>42537.534911000002</v>
      </c>
    </row>
    <row r="39" spans="2:22">
      <c r="B39" s="1" t="s">
        <v>6041</v>
      </c>
      <c r="C39" s="1" t="s">
        <v>270</v>
      </c>
      <c r="D39" s="205">
        <v>1181.732388406725</v>
      </c>
      <c r="E39" s="205">
        <v>4505971.178617903</v>
      </c>
      <c r="F39" s="205">
        <v>5324852083</v>
      </c>
      <c r="Q39" s="3695"/>
      <c r="R39" s="3696" t="s">
        <v>4746</v>
      </c>
      <c r="S39" s="3715">
        <v>217.303</v>
      </c>
      <c r="T39" s="3715">
        <v>167.11199999999999</v>
      </c>
      <c r="U39" s="3715">
        <v>965.70164999999997</v>
      </c>
      <c r="V39" s="3716">
        <v>518.90320999999994</v>
      </c>
    </row>
    <row r="40" spans="2:22">
      <c r="B40" s="1" t="s">
        <v>6041</v>
      </c>
      <c r="C40" s="1" t="s">
        <v>6037</v>
      </c>
      <c r="D40" s="205">
        <v>1181.4656724593744</v>
      </c>
      <c r="E40" s="205">
        <v>23616673.819999997</v>
      </c>
      <c r="F40" s="205">
        <v>27902289416</v>
      </c>
      <c r="Q40" s="3695"/>
      <c r="R40" s="3699" t="s">
        <v>6152</v>
      </c>
      <c r="S40" s="3717">
        <v>5249.3978800000004</v>
      </c>
      <c r="T40" s="3717">
        <v>6809.4066240000002</v>
      </c>
      <c r="U40" s="3717">
        <v>20424.476816000002</v>
      </c>
      <c r="V40" s="3718">
        <v>15746.440895</v>
      </c>
    </row>
    <row r="41" spans="2:22">
      <c r="B41" s="1" t="s">
        <v>6041</v>
      </c>
      <c r="C41" s="1" t="s">
        <v>6038</v>
      </c>
      <c r="D41" s="205">
        <v>1119.2334232675864</v>
      </c>
      <c r="E41" s="205">
        <v>178079.63098359716</v>
      </c>
      <c r="F41" s="205">
        <v>199312675</v>
      </c>
      <c r="Q41" s="3702" t="s">
        <v>6153</v>
      </c>
      <c r="R41" s="3703"/>
      <c r="S41" s="3704">
        <v>23034.067852</v>
      </c>
      <c r="T41" s="3704">
        <v>25192.965627000001</v>
      </c>
      <c r="U41" s="3704">
        <v>23843.846803</v>
      </c>
      <c r="V41" s="3705">
        <v>14759.525377</v>
      </c>
    </row>
    <row r="42" spans="2:22">
      <c r="B42" s="1" t="s">
        <v>6041</v>
      </c>
      <c r="C42" s="1" t="s">
        <v>6039</v>
      </c>
      <c r="D42" s="205">
        <v>1164.2705229506255</v>
      </c>
      <c r="E42" s="205">
        <v>1900275.0000000002</v>
      </c>
      <c r="F42" s="205">
        <v>2212434168</v>
      </c>
      <c r="Q42" s="3695"/>
      <c r="R42" s="3696" t="s">
        <v>4746</v>
      </c>
      <c r="S42" s="3715">
        <v>2523.027</v>
      </c>
      <c r="T42" s="3715">
        <v>2140.7759999999998</v>
      </c>
      <c r="U42" s="3715">
        <v>8763.4951399999991</v>
      </c>
      <c r="V42" s="3716">
        <v>3947.1629300000004</v>
      </c>
    </row>
    <row r="43" spans="2:22">
      <c r="B43" s="1" t="s">
        <v>6041</v>
      </c>
      <c r="C43" s="1" t="s">
        <v>6040</v>
      </c>
      <c r="D43" s="205">
        <v>1162.839249992684</v>
      </c>
      <c r="E43" s="205">
        <v>94184071.670000002</v>
      </c>
      <c r="F43" s="205">
        <v>109520935262</v>
      </c>
      <c r="Q43" s="3695"/>
      <c r="R43" s="3699" t="s">
        <v>6152</v>
      </c>
      <c r="S43" s="3717">
        <v>3638.77412</v>
      </c>
      <c r="T43" s="3717">
        <v>5774.2876290000004</v>
      </c>
      <c r="U43" s="3717">
        <v>5314.6202979999998</v>
      </c>
      <c r="V43" s="3718">
        <v>3327.621717</v>
      </c>
    </row>
    <row r="44" spans="2:22">
      <c r="B44" s="1" t="s">
        <v>6042</v>
      </c>
      <c r="C44" s="1" t="s">
        <v>242</v>
      </c>
      <c r="D44" s="205">
        <v>1163.8033429943625</v>
      </c>
      <c r="E44" s="205">
        <v>49124157.807370156</v>
      </c>
      <c r="F44" s="205">
        <v>57170859078</v>
      </c>
      <c r="Q44" s="3706" t="s">
        <v>6154</v>
      </c>
      <c r="R44" s="3707"/>
      <c r="S44" s="3708">
        <v>3620.7434719999997</v>
      </c>
      <c r="T44" s="3708">
        <v>3322.9592809999999</v>
      </c>
      <c r="U44" s="3708">
        <v>3322.032146</v>
      </c>
      <c r="V44" s="3709">
        <v>2532.859238</v>
      </c>
    </row>
    <row r="45" spans="2:22" ht="12.75" thickBot="1">
      <c r="B45" s="1" t="s">
        <v>6042</v>
      </c>
      <c r="C45" s="1" t="s">
        <v>6032</v>
      </c>
      <c r="D45" s="205">
        <v>1152.0122605363986</v>
      </c>
      <c r="E45" s="205">
        <v>41951828.163267203</v>
      </c>
      <c r="F45" s="205">
        <v>48329020396</v>
      </c>
      <c r="Q45" s="3710" t="s">
        <v>6155</v>
      </c>
      <c r="R45" s="3711"/>
      <c r="S45" s="3712">
        <v>81759.687221999993</v>
      </c>
      <c r="T45" s="3712">
        <v>84746.381721999991</v>
      </c>
      <c r="U45" s="3712">
        <v>82753.80789299999</v>
      </c>
      <c r="V45" s="3713">
        <v>59829.919526000005</v>
      </c>
    </row>
    <row r="46" spans="2:22">
      <c r="B46" s="1" t="s">
        <v>6042</v>
      </c>
      <c r="C46" s="1" t="s">
        <v>6033</v>
      </c>
      <c r="D46" s="205">
        <v>1165.6500000000001</v>
      </c>
      <c r="E46" s="205">
        <v>1945156.2647449919</v>
      </c>
      <c r="F46" s="205">
        <v>2267371400</v>
      </c>
    </row>
    <row r="47" spans="2:22">
      <c r="B47" s="1" t="s">
        <v>6042</v>
      </c>
      <c r="C47" s="1" t="s">
        <v>5955</v>
      </c>
      <c r="D47" s="205">
        <v>1165.6500000000001</v>
      </c>
      <c r="E47" s="205">
        <v>732212.92840904207</v>
      </c>
      <c r="F47" s="205">
        <v>853504000</v>
      </c>
    </row>
    <row r="48" spans="2:22">
      <c r="B48" s="1" t="s">
        <v>6042</v>
      </c>
      <c r="C48" s="1" t="s">
        <v>5586</v>
      </c>
      <c r="D48" s="205">
        <v>1165.8026733236552</v>
      </c>
      <c r="E48" s="205">
        <v>11486885.973439701</v>
      </c>
      <c r="F48" s="205">
        <v>13391442376</v>
      </c>
    </row>
    <row r="49" spans="2:6">
      <c r="B49" s="1" t="s">
        <v>6042</v>
      </c>
      <c r="C49" s="1" t="s">
        <v>252</v>
      </c>
      <c r="D49" s="205">
        <v>1165.6500000000001</v>
      </c>
      <c r="E49" s="205">
        <v>14724682.531634709</v>
      </c>
      <c r="F49" s="205">
        <v>17163826193</v>
      </c>
    </row>
    <row r="50" spans="2:6">
      <c r="B50" s="1" t="s">
        <v>6042</v>
      </c>
      <c r="C50" s="1" t="s">
        <v>6034</v>
      </c>
      <c r="D50" s="205">
        <v>1162.0045528965165</v>
      </c>
      <c r="E50" s="205">
        <v>2060765.3404033221</v>
      </c>
      <c r="F50" s="205">
        <v>2394618708</v>
      </c>
    </row>
    <row r="51" spans="2:6">
      <c r="B51" s="1" t="s">
        <v>6042</v>
      </c>
      <c r="C51" s="1" t="s">
        <v>6035</v>
      </c>
      <c r="D51" s="205">
        <v>1175.6617712114546</v>
      </c>
      <c r="E51" s="205">
        <v>65102.560000000005</v>
      </c>
      <c r="F51" s="205">
        <v>76538591</v>
      </c>
    </row>
    <row r="52" spans="2:6">
      <c r="B52" s="1" t="s">
        <v>6042</v>
      </c>
      <c r="C52" s="1" t="s">
        <v>2204</v>
      </c>
      <c r="D52" s="205">
        <v>1160.6692960910134</v>
      </c>
      <c r="E52" s="205">
        <v>75220.52</v>
      </c>
      <c r="F52" s="205">
        <v>87306148</v>
      </c>
    </row>
    <row r="53" spans="2:6">
      <c r="B53" s="1" t="s">
        <v>6042</v>
      </c>
      <c r="C53" s="1" t="s">
        <v>258</v>
      </c>
      <c r="D53" s="205">
        <v>1166.7558232243705</v>
      </c>
      <c r="E53" s="205">
        <v>3878903993.1371212</v>
      </c>
      <c r="F53" s="205">
        <v>4525733821721</v>
      </c>
    </row>
    <row r="54" spans="2:6">
      <c r="B54" s="1" t="s">
        <v>6042</v>
      </c>
      <c r="C54" s="1" t="s">
        <v>6036</v>
      </c>
      <c r="D54" s="205">
        <v>1165.6500000000001</v>
      </c>
      <c r="E54" s="205">
        <v>1421843.6082872215</v>
      </c>
      <c r="F54" s="205">
        <v>1657372002</v>
      </c>
    </row>
    <row r="55" spans="2:6">
      <c r="B55" s="1" t="s">
        <v>6042</v>
      </c>
      <c r="C55" s="1" t="s">
        <v>262</v>
      </c>
      <c r="D55" s="205">
        <v>1147.5255515029587</v>
      </c>
      <c r="E55" s="205">
        <v>2031078859.8156898</v>
      </c>
      <c r="F55" s="205">
        <v>2330714888756</v>
      </c>
    </row>
    <row r="56" spans="2:6">
      <c r="B56" s="1" t="s">
        <v>6042</v>
      </c>
      <c r="C56" s="1" t="s">
        <v>264</v>
      </c>
      <c r="D56" s="205">
        <v>1164.1939103599261</v>
      </c>
      <c r="E56" s="205">
        <v>312059846.28512746</v>
      </c>
      <c r="F56" s="205">
        <v>363298172713</v>
      </c>
    </row>
    <row r="57" spans="2:6">
      <c r="B57" s="1" t="s">
        <v>6042</v>
      </c>
      <c r="C57" s="1" t="s">
        <v>266</v>
      </c>
      <c r="D57" s="205">
        <v>1165.6500000000001</v>
      </c>
      <c r="E57" s="205">
        <v>5109187.1427958645</v>
      </c>
      <c r="F57" s="205">
        <v>5955523993</v>
      </c>
    </row>
    <row r="58" spans="2:6">
      <c r="B58" s="1" t="s">
        <v>6042</v>
      </c>
      <c r="C58" s="1" t="s">
        <v>268</v>
      </c>
      <c r="D58" s="205">
        <v>1158.1999999968143</v>
      </c>
      <c r="E58" s="205">
        <v>81575820.671956375</v>
      </c>
      <c r="F58" s="205">
        <v>94481115502</v>
      </c>
    </row>
    <row r="59" spans="2:6">
      <c r="B59" s="1" t="s">
        <v>6042</v>
      </c>
      <c r="C59" s="1" t="s">
        <v>270</v>
      </c>
      <c r="D59" s="205">
        <v>1158.761521649725</v>
      </c>
      <c r="E59" s="205">
        <v>6549986.4115217803</v>
      </c>
      <c r="F59" s="205">
        <v>7589872221</v>
      </c>
    </row>
    <row r="60" spans="2:6">
      <c r="B60" s="1" t="s">
        <v>6042</v>
      </c>
      <c r="C60" s="1" t="s">
        <v>6037</v>
      </c>
      <c r="D60" s="205">
        <v>1169.3857332162397</v>
      </c>
      <c r="E60" s="205">
        <v>20114814.16</v>
      </c>
      <c r="F60" s="205">
        <v>23521976705</v>
      </c>
    </row>
    <row r="61" spans="2:6">
      <c r="B61" s="1" t="s">
        <v>6042</v>
      </c>
      <c r="C61" s="1" t="s">
        <v>6038</v>
      </c>
      <c r="D61" s="205">
        <v>1131.1394497053609</v>
      </c>
      <c r="E61" s="205">
        <v>3071116.8546945038</v>
      </c>
      <c r="F61" s="205">
        <v>3473861429</v>
      </c>
    </row>
    <row r="62" spans="2:6">
      <c r="B62" s="1" t="s">
        <v>6042</v>
      </c>
      <c r="C62" s="1" t="s">
        <v>6039</v>
      </c>
      <c r="D62" s="205">
        <v>1186.7376545083468</v>
      </c>
      <c r="E62" s="205">
        <v>1910900</v>
      </c>
      <c r="F62" s="205">
        <v>2267736984</v>
      </c>
    </row>
    <row r="63" spans="2:6">
      <c r="B63" s="1" t="s">
        <v>6042</v>
      </c>
      <c r="C63" s="1" t="s">
        <v>6040</v>
      </c>
      <c r="D63" s="205">
        <v>1169.0543639437828</v>
      </c>
      <c r="E63" s="205">
        <v>121831615.38999997</v>
      </c>
      <c r="F63" s="205">
        <v>142427781638</v>
      </c>
    </row>
    <row r="64" spans="2:6">
      <c r="B64" s="1" t="s">
        <v>6043</v>
      </c>
      <c r="C64" s="1" t="s">
        <v>242</v>
      </c>
      <c r="D64" s="205">
        <v>1101.0752183181537</v>
      </c>
      <c r="E64" s="205">
        <v>40936827.460206985</v>
      </c>
      <c r="F64" s="205">
        <v>45074526233</v>
      </c>
    </row>
    <row r="65" spans="2:6">
      <c r="B65" s="1" t="s">
        <v>6043</v>
      </c>
      <c r="C65" s="1" t="s">
        <v>6032</v>
      </c>
      <c r="D65" s="205">
        <v>1085.1589462517679</v>
      </c>
      <c r="E65" s="205">
        <v>41030485.56047184</v>
      </c>
      <c r="F65" s="205">
        <v>44524598475</v>
      </c>
    </row>
    <row r="66" spans="2:6">
      <c r="B66" s="1" t="s">
        <v>6043</v>
      </c>
      <c r="C66" s="1" t="s">
        <v>6033</v>
      </c>
      <c r="D66" s="205">
        <v>1100.3</v>
      </c>
      <c r="E66" s="205">
        <v>2452809.8700354449</v>
      </c>
      <c r="F66" s="205">
        <v>2698826700</v>
      </c>
    </row>
    <row r="67" spans="2:6">
      <c r="B67" s="1" t="s">
        <v>6043</v>
      </c>
      <c r="C67" s="1" t="s">
        <v>5955</v>
      </c>
      <c r="D67" s="205">
        <v>1100.3</v>
      </c>
      <c r="E67" s="205">
        <v>861815.86839952739</v>
      </c>
      <c r="F67" s="205">
        <v>948256000</v>
      </c>
    </row>
    <row r="68" spans="2:6">
      <c r="B68" s="1" t="s">
        <v>6043</v>
      </c>
      <c r="C68" s="1" t="s">
        <v>5586</v>
      </c>
      <c r="D68" s="205">
        <v>1100.1521651287433</v>
      </c>
      <c r="E68" s="205">
        <v>9935573.9564634338</v>
      </c>
      <c r="F68" s="205">
        <v>10930643200</v>
      </c>
    </row>
    <row r="69" spans="2:6">
      <c r="B69" s="1" t="s">
        <v>6043</v>
      </c>
      <c r="C69" s="1" t="s">
        <v>252</v>
      </c>
      <c r="D69" s="205">
        <v>1100.3</v>
      </c>
      <c r="E69" s="205">
        <v>16390880.72253022</v>
      </c>
      <c r="F69" s="205">
        <v>18034886059</v>
      </c>
    </row>
    <row r="70" spans="2:6">
      <c r="B70" s="1" t="s">
        <v>6043</v>
      </c>
      <c r="C70" s="1" t="s">
        <v>6034</v>
      </c>
      <c r="D70" s="205">
        <v>1104.9601163761763</v>
      </c>
      <c r="E70" s="205">
        <v>2524880.9596401756</v>
      </c>
      <c r="F70" s="205">
        <v>2789892759</v>
      </c>
    </row>
    <row r="71" spans="2:6">
      <c r="B71" s="1" t="s">
        <v>6043</v>
      </c>
      <c r="C71" s="1" t="s">
        <v>6035</v>
      </c>
      <c r="D71" s="205">
        <v>1092.9952098358344</v>
      </c>
      <c r="E71" s="205">
        <v>129859.85000000002</v>
      </c>
      <c r="F71" s="205">
        <v>141936194</v>
      </c>
    </row>
    <row r="72" spans="2:6">
      <c r="B72" s="1" t="s">
        <v>6043</v>
      </c>
      <c r="C72" s="1" t="s">
        <v>2204</v>
      </c>
      <c r="D72" s="205">
        <v>1060.2498646909874</v>
      </c>
      <c r="E72" s="205">
        <v>30799.87</v>
      </c>
      <c r="F72" s="205">
        <v>32655558</v>
      </c>
    </row>
    <row r="73" spans="2:6">
      <c r="B73" s="1" t="s">
        <v>6043</v>
      </c>
      <c r="C73" s="1" t="s">
        <v>258</v>
      </c>
      <c r="D73" s="205">
        <v>1101.198129992189</v>
      </c>
      <c r="E73" s="205">
        <v>4272734816.10287</v>
      </c>
      <c r="F73" s="205">
        <v>4705127589445</v>
      </c>
    </row>
    <row r="74" spans="2:6">
      <c r="B74" s="1" t="s">
        <v>6043</v>
      </c>
      <c r="C74" s="1" t="s">
        <v>6036</v>
      </c>
      <c r="D74" s="205">
        <v>1100.3</v>
      </c>
      <c r="E74" s="205">
        <v>1540091.1914932292</v>
      </c>
      <c r="F74" s="205">
        <v>1694562338</v>
      </c>
    </row>
    <row r="75" spans="2:6">
      <c r="B75" s="1" t="s">
        <v>6043</v>
      </c>
      <c r="C75" s="1" t="s">
        <v>262</v>
      </c>
      <c r="D75" s="205">
        <v>1124.6767963651237</v>
      </c>
      <c r="E75" s="205">
        <v>1577655967.5202551</v>
      </c>
      <c r="F75" s="205">
        <v>1774353059317</v>
      </c>
    </row>
    <row r="76" spans="2:6">
      <c r="B76" s="1" t="s">
        <v>6043</v>
      </c>
      <c r="C76" s="1" t="s">
        <v>264</v>
      </c>
      <c r="D76" s="205">
        <v>1102.8559344145283</v>
      </c>
      <c r="E76" s="205">
        <v>325673284.15988666</v>
      </c>
      <c r="F76" s="205">
        <v>359170714116</v>
      </c>
    </row>
    <row r="77" spans="2:6">
      <c r="B77" s="1" t="s">
        <v>6043</v>
      </c>
      <c r="C77" s="1" t="s">
        <v>266</v>
      </c>
      <c r="D77" s="205">
        <v>1071.5000007083504</v>
      </c>
      <c r="E77" s="205">
        <v>5288177.8397145281</v>
      </c>
      <c r="F77" s="205">
        <v>5666282559</v>
      </c>
    </row>
    <row r="78" spans="2:6">
      <c r="B78" s="1" t="s">
        <v>6043</v>
      </c>
      <c r="C78" s="1" t="s">
        <v>268</v>
      </c>
      <c r="D78" s="205">
        <v>1100.3</v>
      </c>
      <c r="E78" s="205">
        <v>52538030.519858226</v>
      </c>
      <c r="F78" s="205">
        <v>57807594981</v>
      </c>
    </row>
    <row r="79" spans="2:6">
      <c r="B79" s="1" t="s">
        <v>6043</v>
      </c>
      <c r="C79" s="1" t="s">
        <v>270</v>
      </c>
      <c r="D79" s="205">
        <v>1096.5637570772806</v>
      </c>
      <c r="E79" s="205">
        <v>12884837.74318674</v>
      </c>
      <c r="F79" s="205">
        <v>14129046085</v>
      </c>
    </row>
    <row r="80" spans="2:6">
      <c r="B80" s="1" t="s">
        <v>6043</v>
      </c>
      <c r="C80" s="1" t="s">
        <v>6037</v>
      </c>
      <c r="D80" s="205">
        <v>1101.7295824887046</v>
      </c>
      <c r="E80" s="205">
        <v>16318329.529999999</v>
      </c>
      <c r="F80" s="205">
        <v>17978386380</v>
      </c>
    </row>
    <row r="81" spans="2:6">
      <c r="B81" s="1" t="s">
        <v>6043</v>
      </c>
      <c r="C81" s="1" t="s">
        <v>6038</v>
      </c>
      <c r="D81" s="205">
        <v>1077.6354087459788</v>
      </c>
      <c r="E81" s="205">
        <v>4603078.3470379449</v>
      </c>
      <c r="F81" s="205">
        <v>4960440216</v>
      </c>
    </row>
    <row r="82" spans="2:6">
      <c r="B82" s="1" t="s">
        <v>6043</v>
      </c>
      <c r="C82" s="1" t="s">
        <v>6039</v>
      </c>
      <c r="D82" s="205">
        <v>1096.8977731297737</v>
      </c>
      <c r="E82" s="205">
        <v>2916425</v>
      </c>
      <c r="F82" s="205">
        <v>3199020088</v>
      </c>
    </row>
    <row r="83" spans="2:6">
      <c r="B83" s="1" t="s">
        <v>6043</v>
      </c>
      <c r="C83" s="1" t="s">
        <v>6040</v>
      </c>
      <c r="D83" s="205">
        <v>1092.2471542432947</v>
      </c>
      <c r="E83" s="205">
        <v>141791726.87</v>
      </c>
      <c r="F83" s="205">
        <v>154871610169</v>
      </c>
    </row>
    <row r="84" spans="2:6">
      <c r="B84" s="1" t="s">
        <v>6044</v>
      </c>
      <c r="C84" s="1" t="s">
        <v>242</v>
      </c>
      <c r="D84" s="205">
        <v>1130.8399999999999</v>
      </c>
      <c r="E84" s="205">
        <v>24031852.190407131</v>
      </c>
      <c r="F84" s="205">
        <v>27176179731</v>
      </c>
    </row>
    <row r="85" spans="2:6">
      <c r="B85" s="1" t="s">
        <v>6044</v>
      </c>
      <c r="C85" s="1" t="s">
        <v>6032</v>
      </c>
      <c r="D85" s="205">
        <v>1130.8399999999999</v>
      </c>
      <c r="E85" s="205">
        <v>27365935.60185349</v>
      </c>
      <c r="F85" s="205">
        <v>30946494616</v>
      </c>
    </row>
    <row r="86" spans="2:6">
      <c r="B86" s="1" t="s">
        <v>6044</v>
      </c>
      <c r="C86" s="1" t="s">
        <v>6033</v>
      </c>
      <c r="D86" s="205">
        <v>1130.8399999999999</v>
      </c>
      <c r="E86" s="205">
        <v>2367068.1970924269</v>
      </c>
      <c r="F86" s="205">
        <v>2676775400</v>
      </c>
    </row>
    <row r="87" spans="2:6">
      <c r="B87" s="1" t="s">
        <v>6044</v>
      </c>
      <c r="C87" s="1" t="s">
        <v>6045</v>
      </c>
      <c r="D87" s="205">
        <v>1130.8399999999999</v>
      </c>
      <c r="E87" s="205">
        <v>57242.846025963008</v>
      </c>
      <c r="F87" s="205">
        <v>64732500</v>
      </c>
    </row>
    <row r="88" spans="2:6">
      <c r="B88" s="1" t="s">
        <v>6044</v>
      </c>
      <c r="C88" s="1" t="s">
        <v>5955</v>
      </c>
      <c r="D88" s="205">
        <v>1130.8399999999999</v>
      </c>
      <c r="E88" s="205">
        <v>688102.64935799944</v>
      </c>
      <c r="F88" s="205">
        <v>778134000</v>
      </c>
    </row>
    <row r="89" spans="2:6">
      <c r="B89" s="1" t="s">
        <v>6044</v>
      </c>
      <c r="C89" s="1" t="s">
        <v>5586</v>
      </c>
      <c r="D89" s="205">
        <v>1130.8399999999999</v>
      </c>
      <c r="E89" s="205">
        <v>8314154.4869300704</v>
      </c>
      <c r="F89" s="205">
        <v>9401978460</v>
      </c>
    </row>
    <row r="90" spans="2:6">
      <c r="B90" s="1" t="s">
        <v>6044</v>
      </c>
      <c r="C90" s="1" t="s">
        <v>252</v>
      </c>
      <c r="D90" s="205">
        <v>1130.8399999999999</v>
      </c>
      <c r="E90" s="205">
        <v>13394225.164479503</v>
      </c>
      <c r="F90" s="205">
        <v>15146725585</v>
      </c>
    </row>
    <row r="91" spans="2:6">
      <c r="B91" s="1" t="s">
        <v>6044</v>
      </c>
      <c r="C91" s="1" t="s">
        <v>6034</v>
      </c>
      <c r="D91" s="205">
        <v>1130.8399999999999</v>
      </c>
      <c r="E91" s="205">
        <v>1068979.411764706</v>
      </c>
      <c r="F91" s="205">
        <v>1208844678</v>
      </c>
    </row>
    <row r="92" spans="2:6">
      <c r="B92" s="1" t="s">
        <v>6044</v>
      </c>
      <c r="C92" s="1" t="s">
        <v>6035</v>
      </c>
      <c r="D92" s="205">
        <v>1130.8399999999999</v>
      </c>
      <c r="E92" s="205">
        <v>91383.956174171413</v>
      </c>
      <c r="F92" s="205">
        <v>103340633</v>
      </c>
    </row>
    <row r="93" spans="2:6">
      <c r="B93" s="1" t="s">
        <v>6044</v>
      </c>
      <c r="C93" s="1" t="s">
        <v>6046</v>
      </c>
      <c r="D93" s="205">
        <v>1130.8399999999999</v>
      </c>
      <c r="E93" s="205">
        <v>1172.9731880725833</v>
      </c>
      <c r="F93" s="205">
        <v>1326445</v>
      </c>
    </row>
    <row r="94" spans="2:6">
      <c r="B94" s="1" t="s">
        <v>6044</v>
      </c>
      <c r="C94" s="1" t="s">
        <v>2204</v>
      </c>
      <c r="D94" s="205">
        <v>1130.8399999999999</v>
      </c>
      <c r="E94" s="205">
        <v>63200.184818365116</v>
      </c>
      <c r="F94" s="205">
        <v>71469297</v>
      </c>
    </row>
    <row r="95" spans="2:6">
      <c r="B95" s="1" t="s">
        <v>6044</v>
      </c>
      <c r="C95" s="1" t="s">
        <v>258</v>
      </c>
      <c r="D95" s="205">
        <v>1130.8399999999999</v>
      </c>
      <c r="E95" s="205">
        <v>4122615651.9746385</v>
      </c>
      <c r="F95" s="205">
        <v>4662018683879</v>
      </c>
    </row>
    <row r="96" spans="2:6">
      <c r="B96" s="1" t="s">
        <v>6044</v>
      </c>
      <c r="C96" s="1" t="s">
        <v>6036</v>
      </c>
      <c r="D96" s="205">
        <v>1130.8399999999999</v>
      </c>
      <c r="E96" s="205">
        <v>1588944.79590393</v>
      </c>
      <c r="F96" s="205">
        <v>1796842333</v>
      </c>
    </row>
    <row r="97" spans="2:6">
      <c r="B97" s="1" t="s">
        <v>6044</v>
      </c>
      <c r="C97" s="1" t="s">
        <v>6047</v>
      </c>
      <c r="D97" s="205">
        <v>1130.8399999999999</v>
      </c>
      <c r="E97" s="205">
        <v>7799269.3139613038</v>
      </c>
      <c r="F97" s="205">
        <v>8819725711</v>
      </c>
    </row>
    <row r="98" spans="2:6">
      <c r="B98" s="1" t="s">
        <v>6044</v>
      </c>
      <c r="C98" s="1" t="s">
        <v>262</v>
      </c>
      <c r="D98" s="205">
        <v>1130.8399999999999</v>
      </c>
      <c r="E98" s="205">
        <v>1702655114.8394115</v>
      </c>
      <c r="F98" s="205">
        <v>1925430510065</v>
      </c>
    </row>
    <row r="99" spans="2:6">
      <c r="B99" s="1" t="s">
        <v>6044</v>
      </c>
      <c r="C99" s="1" t="s">
        <v>264</v>
      </c>
      <c r="D99" s="205">
        <v>1130.8399999999999</v>
      </c>
      <c r="E99" s="205">
        <v>313531339.23189843</v>
      </c>
      <c r="F99" s="205">
        <v>354553779657</v>
      </c>
    </row>
    <row r="100" spans="2:6">
      <c r="B100" s="1" t="s">
        <v>6044</v>
      </c>
      <c r="C100" s="1" t="s">
        <v>266</v>
      </c>
      <c r="D100" s="205">
        <v>1130.8399999999999</v>
      </c>
      <c r="E100" s="205">
        <v>12205839.873014752</v>
      </c>
      <c r="F100" s="205">
        <v>13802851962</v>
      </c>
    </row>
    <row r="101" spans="2:6">
      <c r="B101" s="1" t="s">
        <v>6044</v>
      </c>
      <c r="C101" s="1" t="s">
        <v>268</v>
      </c>
      <c r="D101" s="205">
        <v>1130.8399999999999</v>
      </c>
      <c r="E101" s="205">
        <v>46681630.063492626</v>
      </c>
      <c r="F101" s="205">
        <v>52789454541</v>
      </c>
    </row>
    <row r="102" spans="2:6">
      <c r="B102" s="1" t="s">
        <v>6044</v>
      </c>
      <c r="C102" s="1" t="s">
        <v>270</v>
      </c>
      <c r="D102" s="205">
        <v>1130.8399999999999</v>
      </c>
      <c r="E102" s="205">
        <v>12016989.576774787</v>
      </c>
      <c r="F102" s="205">
        <v>13589292493</v>
      </c>
    </row>
    <row r="103" spans="2:6">
      <c r="B103" s="1" t="s">
        <v>6044</v>
      </c>
      <c r="C103" s="1" t="s">
        <v>6037</v>
      </c>
      <c r="D103" s="205">
        <v>1130.8399999999999</v>
      </c>
      <c r="E103" s="205">
        <v>17024967.343744475</v>
      </c>
      <c r="F103" s="205">
        <v>19252514071</v>
      </c>
    </row>
    <row r="104" spans="2:6">
      <c r="B104" s="1" t="s">
        <v>6044</v>
      </c>
      <c r="C104" s="1" t="s">
        <v>6038</v>
      </c>
      <c r="D104" s="205">
        <v>1130.8399999999999</v>
      </c>
      <c r="E104" s="205">
        <v>3144447.1755509181</v>
      </c>
      <c r="F104" s="205">
        <v>3555866644</v>
      </c>
    </row>
    <row r="105" spans="2:6">
      <c r="B105" s="1" t="s">
        <v>6044</v>
      </c>
      <c r="C105" s="1" t="s">
        <v>6039</v>
      </c>
      <c r="D105" s="205">
        <v>1130.8399999999999</v>
      </c>
      <c r="E105" s="205">
        <v>2505743.0529517881</v>
      </c>
      <c r="F105" s="205">
        <v>2833594474</v>
      </c>
    </row>
    <row r="106" spans="2:6">
      <c r="B106" s="68" t="s">
        <v>6044</v>
      </c>
      <c r="C106" s="68" t="s">
        <v>6040</v>
      </c>
      <c r="D106" s="208">
        <v>1130.8399999999999</v>
      </c>
      <c r="E106" s="208">
        <v>78369741.290545091</v>
      </c>
      <c r="F106" s="208">
        <v>88623638241</v>
      </c>
    </row>
  </sheetData>
  <phoneticPr fontId="1"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filterMode="1"/>
  <dimension ref="A1:DV150"/>
  <sheetViews>
    <sheetView workbookViewId="0"/>
  </sheetViews>
  <sheetFormatPr defaultRowHeight="16.5"/>
  <cols>
    <col min="3" max="3" width="13.375" customWidth="1"/>
    <col min="7" max="7" width="11.625" style="2042" bestFit="1" customWidth="1"/>
    <col min="8" max="8" width="19.625" customWidth="1"/>
    <col min="10" max="10" width="15.25" customWidth="1"/>
    <col min="14" max="14" width="15.25" customWidth="1"/>
    <col min="17" max="18" width="11.125" style="2042" bestFit="1" customWidth="1"/>
    <col min="19" max="51" width="0" hidden="1" customWidth="1"/>
    <col min="52" max="52" width="13.625" style="2048" bestFit="1" customWidth="1"/>
    <col min="53" max="123" width="0" hidden="1" customWidth="1"/>
    <col min="124" max="125" width="12.625" style="2048" bestFit="1" customWidth="1"/>
  </cols>
  <sheetData>
    <row r="1" spans="1:126">
      <c r="AZ1" s="2048" t="s">
        <v>3358</v>
      </c>
    </row>
    <row r="2" spans="1:126">
      <c r="A2" t="s">
        <v>354</v>
      </c>
      <c r="B2" s="113" t="s">
        <v>4748</v>
      </c>
      <c r="C2" s="113" t="s">
        <v>4903</v>
      </c>
      <c r="D2" s="113" t="s">
        <v>4904</v>
      </c>
      <c r="E2" s="113" t="s">
        <v>4749</v>
      </c>
      <c r="F2" s="113" t="s">
        <v>4750</v>
      </c>
      <c r="G2" s="2512" t="s">
        <v>4751</v>
      </c>
      <c r="H2" s="113" t="s">
        <v>4740</v>
      </c>
      <c r="I2" s="113" t="s">
        <v>4752</v>
      </c>
      <c r="J2" s="113" t="s">
        <v>4753</v>
      </c>
      <c r="K2" s="113" t="s">
        <v>4754</v>
      </c>
      <c r="L2" s="113" t="s">
        <v>4755</v>
      </c>
      <c r="M2" s="113" t="s">
        <v>4756</v>
      </c>
      <c r="N2" s="113" t="s">
        <v>4757</v>
      </c>
      <c r="O2" s="113" t="s">
        <v>4758</v>
      </c>
      <c r="P2" s="113" t="s">
        <v>4759</v>
      </c>
      <c r="Q2" s="2512" t="s">
        <v>4760</v>
      </c>
      <c r="R2" s="2512" t="s">
        <v>4761</v>
      </c>
      <c r="S2" t="s">
        <v>4762</v>
      </c>
      <c r="T2" t="s">
        <v>4763</v>
      </c>
      <c r="U2" t="s">
        <v>4764</v>
      </c>
      <c r="V2" t="s">
        <v>4765</v>
      </c>
      <c r="W2" t="s">
        <v>4766</v>
      </c>
      <c r="X2" t="s">
        <v>4767</v>
      </c>
      <c r="Y2" t="s">
        <v>4768</v>
      </c>
      <c r="Z2" t="s">
        <v>4769</v>
      </c>
      <c r="AA2" t="s">
        <v>4770</v>
      </c>
      <c r="AB2" t="s">
        <v>4771</v>
      </c>
      <c r="AC2" t="s">
        <v>4772</v>
      </c>
      <c r="AD2" t="s">
        <v>4773</v>
      </c>
      <c r="AE2" t="s">
        <v>4774</v>
      </c>
      <c r="AF2" t="s">
        <v>4775</v>
      </c>
      <c r="AG2" t="s">
        <v>4776</v>
      </c>
      <c r="AH2" t="s">
        <v>4777</v>
      </c>
      <c r="AI2" t="s">
        <v>4778</v>
      </c>
      <c r="AJ2" t="s">
        <v>4779</v>
      </c>
      <c r="AK2" t="s">
        <v>4780</v>
      </c>
      <c r="AL2" t="s">
        <v>4781</v>
      </c>
      <c r="AM2" t="s">
        <v>4782</v>
      </c>
      <c r="AN2" t="s">
        <v>4783</v>
      </c>
      <c r="AO2" t="s">
        <v>4784</v>
      </c>
      <c r="AP2" t="s">
        <v>1377</v>
      </c>
      <c r="AQ2" t="s">
        <v>4785</v>
      </c>
      <c r="AR2" t="s">
        <v>4786</v>
      </c>
      <c r="AS2" t="s">
        <v>4787</v>
      </c>
      <c r="AT2" t="s">
        <v>4788</v>
      </c>
      <c r="AU2" t="s">
        <v>4789</v>
      </c>
      <c r="AV2" t="s">
        <v>4790</v>
      </c>
      <c r="AW2" t="s">
        <v>4791</v>
      </c>
      <c r="AX2" t="s">
        <v>4792</v>
      </c>
      <c r="AY2" t="s">
        <v>4793</v>
      </c>
      <c r="AZ2" s="2513" t="s">
        <v>4794</v>
      </c>
      <c r="BA2" t="s">
        <v>4795</v>
      </c>
      <c r="BB2" t="s">
        <v>4796</v>
      </c>
      <c r="BC2" t="s">
        <v>4797</v>
      </c>
      <c r="BD2" t="s">
        <v>4798</v>
      </c>
      <c r="BE2" t="s">
        <v>4799</v>
      </c>
      <c r="BF2" t="s">
        <v>4800</v>
      </c>
      <c r="BG2" t="s">
        <v>4801</v>
      </c>
      <c r="BH2" t="s">
        <v>4802</v>
      </c>
      <c r="BI2" t="s">
        <v>4803</v>
      </c>
      <c r="BJ2" t="s">
        <v>4804</v>
      </c>
      <c r="BK2" t="s">
        <v>4805</v>
      </c>
      <c r="BL2" t="s">
        <v>4806</v>
      </c>
      <c r="BM2" t="s">
        <v>4807</v>
      </c>
      <c r="BN2" t="s">
        <v>4808</v>
      </c>
      <c r="BO2" t="s">
        <v>4809</v>
      </c>
      <c r="BP2" t="s">
        <v>4810</v>
      </c>
      <c r="BQ2" t="s">
        <v>4811</v>
      </c>
      <c r="BR2" t="s">
        <v>4812</v>
      </c>
      <c r="BS2" t="s">
        <v>4813</v>
      </c>
      <c r="BT2" t="s">
        <v>4814</v>
      </c>
      <c r="BU2" t="s">
        <v>4815</v>
      </c>
      <c r="BV2" t="s">
        <v>4816</v>
      </c>
      <c r="BW2" t="s">
        <v>4817</v>
      </c>
      <c r="BX2" t="s">
        <v>4818</v>
      </c>
      <c r="BY2" t="s">
        <v>4819</v>
      </c>
      <c r="BZ2" t="s">
        <v>4820</v>
      </c>
      <c r="CA2" t="s">
        <v>4821</v>
      </c>
      <c r="CB2" t="s">
        <v>4822</v>
      </c>
      <c r="CC2" t="s">
        <v>4823</v>
      </c>
      <c r="CD2" t="s">
        <v>4824</v>
      </c>
      <c r="CE2" t="s">
        <v>4825</v>
      </c>
      <c r="CF2" t="s">
        <v>4826</v>
      </c>
      <c r="CG2" t="s">
        <v>4827</v>
      </c>
      <c r="CH2" t="s">
        <v>4828</v>
      </c>
      <c r="CI2" t="s">
        <v>4829</v>
      </c>
      <c r="CJ2" t="s">
        <v>4830</v>
      </c>
      <c r="CK2" t="s">
        <v>4831</v>
      </c>
      <c r="CL2" t="s">
        <v>4832</v>
      </c>
      <c r="CM2" t="s">
        <v>4833</v>
      </c>
      <c r="CN2" t="s">
        <v>4834</v>
      </c>
      <c r="CO2" t="s">
        <v>4835</v>
      </c>
      <c r="CP2" t="s">
        <v>4836</v>
      </c>
      <c r="CQ2" t="s">
        <v>4837</v>
      </c>
      <c r="CR2" t="s">
        <v>4838</v>
      </c>
      <c r="CS2" t="s">
        <v>4839</v>
      </c>
      <c r="CT2" t="s">
        <v>4840</v>
      </c>
      <c r="CU2" t="s">
        <v>4841</v>
      </c>
      <c r="CV2" t="s">
        <v>4842</v>
      </c>
      <c r="CW2" t="s">
        <v>4843</v>
      </c>
      <c r="CX2" t="s">
        <v>4844</v>
      </c>
      <c r="CY2" t="s">
        <v>4845</v>
      </c>
      <c r="CZ2" t="s">
        <v>4846</v>
      </c>
      <c r="DA2" t="s">
        <v>4847</v>
      </c>
      <c r="DB2" t="s">
        <v>4848</v>
      </c>
      <c r="DC2" t="s">
        <v>4849</v>
      </c>
      <c r="DD2" t="s">
        <v>4850</v>
      </c>
      <c r="DE2" t="s">
        <v>4851</v>
      </c>
      <c r="DF2" t="s">
        <v>4852</v>
      </c>
      <c r="DG2" t="s">
        <v>4853</v>
      </c>
      <c r="DH2" t="s">
        <v>4854</v>
      </c>
      <c r="DI2" t="s">
        <v>4855</v>
      </c>
      <c r="DJ2" t="s">
        <v>4856</v>
      </c>
      <c r="DK2" t="s">
        <v>4857</v>
      </c>
      <c r="DL2" t="s">
        <v>4858</v>
      </c>
      <c r="DM2" t="s">
        <v>4859</v>
      </c>
      <c r="DN2" t="s">
        <v>4860</v>
      </c>
      <c r="DO2" t="s">
        <v>4861</v>
      </c>
      <c r="DP2" t="s">
        <v>4862</v>
      </c>
      <c r="DQ2" t="s">
        <v>4863</v>
      </c>
      <c r="DR2" t="s">
        <v>4864</v>
      </c>
      <c r="DS2" t="s">
        <v>4865</v>
      </c>
      <c r="DT2" s="2513" t="s">
        <v>4866</v>
      </c>
      <c r="DU2" s="2513" t="s">
        <v>4867</v>
      </c>
      <c r="DV2" s="113" t="s">
        <v>2178</v>
      </c>
    </row>
    <row r="3" spans="1:126" hidden="1">
      <c r="A3" t="s">
        <v>4900</v>
      </c>
      <c r="B3" t="s">
        <v>4868</v>
      </c>
      <c r="C3">
        <v>2018</v>
      </c>
      <c r="D3">
        <v>12</v>
      </c>
      <c r="E3" t="s">
        <v>3953</v>
      </c>
      <c r="F3" t="s">
        <v>4869</v>
      </c>
      <c r="G3" s="2042">
        <v>43455</v>
      </c>
      <c r="H3" t="s">
        <v>4870</v>
      </c>
      <c r="I3" t="s">
        <v>4870</v>
      </c>
      <c r="J3" t="s">
        <v>4871</v>
      </c>
      <c r="K3" t="s">
        <v>4746</v>
      </c>
      <c r="L3" t="s">
        <v>4872</v>
      </c>
      <c r="M3" t="s">
        <v>4872</v>
      </c>
      <c r="N3" t="s">
        <v>4873</v>
      </c>
      <c r="O3" t="s">
        <v>4874</v>
      </c>
      <c r="P3" t="s">
        <v>4875</v>
      </c>
      <c r="Q3" s="2042">
        <v>43191</v>
      </c>
      <c r="R3" s="2042">
        <v>43191</v>
      </c>
      <c r="S3">
        <v>220</v>
      </c>
      <c r="T3">
        <v>0</v>
      </c>
      <c r="U3">
        <v>54000000</v>
      </c>
      <c r="V3">
        <v>10800000</v>
      </c>
      <c r="W3">
        <v>0</v>
      </c>
      <c r="X3">
        <v>37800000</v>
      </c>
      <c r="Y3">
        <v>0</v>
      </c>
      <c r="Z3">
        <v>0</v>
      </c>
      <c r="AA3">
        <v>0</v>
      </c>
      <c r="AB3">
        <v>0</v>
      </c>
      <c r="AC3">
        <v>0</v>
      </c>
      <c r="AD3">
        <v>0</v>
      </c>
      <c r="AE3">
        <v>0</v>
      </c>
      <c r="AF3">
        <v>0</v>
      </c>
      <c r="AG3">
        <v>0</v>
      </c>
      <c r="AH3">
        <v>0</v>
      </c>
      <c r="AI3">
        <v>0</v>
      </c>
      <c r="AJ3">
        <v>0</v>
      </c>
      <c r="AK3">
        <v>0</v>
      </c>
      <c r="AL3">
        <v>0</v>
      </c>
      <c r="AM3">
        <v>0</v>
      </c>
      <c r="AN3">
        <v>0</v>
      </c>
      <c r="AO3">
        <v>0</v>
      </c>
      <c r="AP3">
        <v>0</v>
      </c>
      <c r="AQ3">
        <v>0</v>
      </c>
      <c r="AR3">
        <v>51900</v>
      </c>
      <c r="AS3">
        <v>0</v>
      </c>
      <c r="AT3">
        <v>0</v>
      </c>
      <c r="AU3">
        <v>0</v>
      </c>
      <c r="AV3">
        <v>0</v>
      </c>
      <c r="AW3">
        <v>0</v>
      </c>
      <c r="AX3">
        <v>105300000</v>
      </c>
      <c r="AY3">
        <v>102651900</v>
      </c>
      <c r="AZ3">
        <v>102651900</v>
      </c>
      <c r="BA3">
        <v>0</v>
      </c>
      <c r="BB3">
        <v>0</v>
      </c>
      <c r="BC3">
        <v>0</v>
      </c>
      <c r="BD3">
        <v>0</v>
      </c>
      <c r="BE3">
        <v>0</v>
      </c>
      <c r="BF3">
        <v>0</v>
      </c>
      <c r="BG3">
        <v>0</v>
      </c>
      <c r="BH3">
        <v>0</v>
      </c>
      <c r="BI3">
        <v>0</v>
      </c>
      <c r="BJ3">
        <v>0</v>
      </c>
      <c r="BK3">
        <v>0</v>
      </c>
      <c r="BL3">
        <v>20135620</v>
      </c>
      <c r="BM3">
        <v>2013560</v>
      </c>
      <c r="BN3">
        <v>0</v>
      </c>
      <c r="BO3">
        <v>0</v>
      </c>
      <c r="BP3">
        <v>3325090</v>
      </c>
      <c r="BQ3">
        <v>0</v>
      </c>
      <c r="BR3">
        <v>0</v>
      </c>
      <c r="BS3">
        <v>0</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0</v>
      </c>
      <c r="DA3">
        <v>0</v>
      </c>
      <c r="DB3">
        <v>0</v>
      </c>
      <c r="DC3">
        <v>0</v>
      </c>
      <c r="DD3">
        <v>0</v>
      </c>
      <c r="DE3">
        <v>0</v>
      </c>
      <c r="DF3">
        <v>0</v>
      </c>
      <c r="DG3">
        <v>0</v>
      </c>
      <c r="DH3">
        <v>0</v>
      </c>
      <c r="DI3">
        <v>0</v>
      </c>
      <c r="DJ3">
        <v>0</v>
      </c>
      <c r="DK3">
        <v>0</v>
      </c>
      <c r="DL3">
        <v>0</v>
      </c>
      <c r="DM3">
        <v>0</v>
      </c>
      <c r="DN3">
        <v>0</v>
      </c>
      <c r="DO3">
        <v>0</v>
      </c>
      <c r="DP3">
        <v>0</v>
      </c>
      <c r="DQ3">
        <v>0</v>
      </c>
      <c r="DR3">
        <v>0</v>
      </c>
      <c r="DS3">
        <v>0</v>
      </c>
      <c r="DT3">
        <v>25474270</v>
      </c>
      <c r="DU3">
        <v>77177630</v>
      </c>
      <c r="DV3">
        <v>0</v>
      </c>
    </row>
    <row r="4" spans="1:126" hidden="1">
      <c r="A4" t="s">
        <v>4900</v>
      </c>
      <c r="B4" t="s">
        <v>4868</v>
      </c>
      <c r="C4">
        <v>2018</v>
      </c>
      <c r="D4">
        <v>11</v>
      </c>
      <c r="E4" t="s">
        <v>3953</v>
      </c>
      <c r="F4" t="s">
        <v>4869</v>
      </c>
      <c r="G4" s="2042">
        <v>43427</v>
      </c>
      <c r="H4" t="s">
        <v>4870</v>
      </c>
      <c r="I4" t="s">
        <v>4870</v>
      </c>
      <c r="J4" t="s">
        <v>4871</v>
      </c>
      <c r="K4" t="s">
        <v>4746</v>
      </c>
      <c r="L4" t="s">
        <v>4872</v>
      </c>
      <c r="M4" t="s">
        <v>4872</v>
      </c>
      <c r="N4" t="s">
        <v>4873</v>
      </c>
      <c r="O4" t="s">
        <v>4874</v>
      </c>
      <c r="P4" t="s">
        <v>4875</v>
      </c>
      <c r="Q4" s="2042">
        <v>43191</v>
      </c>
      <c r="R4" s="2042">
        <v>43191</v>
      </c>
      <c r="S4">
        <v>220</v>
      </c>
      <c r="T4">
        <v>0</v>
      </c>
      <c r="U4">
        <v>54000000</v>
      </c>
      <c r="V4">
        <v>10800000</v>
      </c>
      <c r="W4">
        <v>0</v>
      </c>
      <c r="X4">
        <v>37800000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105300000</v>
      </c>
      <c r="AY4">
        <v>102600000</v>
      </c>
      <c r="AZ4">
        <v>102600000</v>
      </c>
      <c r="BA4">
        <v>0</v>
      </c>
      <c r="BB4">
        <v>0</v>
      </c>
      <c r="BC4">
        <v>0</v>
      </c>
      <c r="BD4">
        <v>0</v>
      </c>
      <c r="BE4">
        <v>0</v>
      </c>
      <c r="BF4">
        <v>0</v>
      </c>
      <c r="BG4">
        <v>0</v>
      </c>
      <c r="BH4">
        <v>0</v>
      </c>
      <c r="BI4">
        <v>0</v>
      </c>
      <c r="BJ4">
        <v>0</v>
      </c>
      <c r="BK4">
        <v>0</v>
      </c>
      <c r="BL4">
        <v>20125760</v>
      </c>
      <c r="BM4">
        <v>2012570</v>
      </c>
      <c r="BN4">
        <v>0</v>
      </c>
      <c r="BO4">
        <v>0</v>
      </c>
      <c r="BP4">
        <v>3325090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DN4">
        <v>0</v>
      </c>
      <c r="DO4">
        <v>0</v>
      </c>
      <c r="DP4">
        <v>0</v>
      </c>
      <c r="DQ4">
        <v>0</v>
      </c>
      <c r="DR4">
        <v>0</v>
      </c>
      <c r="DS4">
        <v>0</v>
      </c>
      <c r="DT4">
        <v>25463420</v>
      </c>
      <c r="DU4">
        <v>77136580</v>
      </c>
      <c r="DV4">
        <v>0</v>
      </c>
    </row>
    <row r="5" spans="1:126" hidden="1">
      <c r="A5" t="s">
        <v>4900</v>
      </c>
      <c r="B5" t="s">
        <v>4868</v>
      </c>
      <c r="C5">
        <v>2018</v>
      </c>
      <c r="D5">
        <v>10</v>
      </c>
      <c r="E5" t="s">
        <v>3953</v>
      </c>
      <c r="F5" t="s">
        <v>4869</v>
      </c>
      <c r="G5" s="2042">
        <v>43397</v>
      </c>
      <c r="H5" t="s">
        <v>4870</v>
      </c>
      <c r="I5" t="s">
        <v>4870</v>
      </c>
      <c r="J5" t="s">
        <v>4871</v>
      </c>
      <c r="K5" t="s">
        <v>4746</v>
      </c>
      <c r="L5" t="s">
        <v>4872</v>
      </c>
      <c r="M5" t="s">
        <v>4872</v>
      </c>
      <c r="N5" t="s">
        <v>4873</v>
      </c>
      <c r="O5" t="s">
        <v>4874</v>
      </c>
      <c r="P5" t="s">
        <v>4875</v>
      </c>
      <c r="Q5" s="2042">
        <v>43191</v>
      </c>
      <c r="R5" s="2042">
        <v>43191</v>
      </c>
      <c r="S5">
        <v>220</v>
      </c>
      <c r="T5">
        <v>0</v>
      </c>
      <c r="U5">
        <v>54000000</v>
      </c>
      <c r="V5">
        <v>10800000</v>
      </c>
      <c r="W5">
        <v>0</v>
      </c>
      <c r="X5">
        <v>37800000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105300000</v>
      </c>
      <c r="AY5">
        <v>102600000</v>
      </c>
      <c r="AZ5">
        <v>102600000</v>
      </c>
      <c r="BA5">
        <v>0</v>
      </c>
      <c r="BB5">
        <v>0</v>
      </c>
      <c r="BC5">
        <v>0</v>
      </c>
      <c r="BD5">
        <v>0</v>
      </c>
      <c r="BE5">
        <v>0</v>
      </c>
      <c r="BF5">
        <v>0</v>
      </c>
      <c r="BG5">
        <v>0</v>
      </c>
      <c r="BH5">
        <v>0</v>
      </c>
      <c r="BI5">
        <v>0</v>
      </c>
      <c r="BJ5">
        <v>0</v>
      </c>
      <c r="BK5">
        <v>0</v>
      </c>
      <c r="BL5">
        <v>20125760</v>
      </c>
      <c r="BM5">
        <v>2012570</v>
      </c>
      <c r="BN5">
        <v>0</v>
      </c>
      <c r="BO5">
        <v>0</v>
      </c>
      <c r="BP5">
        <v>3325090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0</v>
      </c>
      <c r="DT5">
        <v>25463420</v>
      </c>
      <c r="DU5">
        <v>77136580</v>
      </c>
      <c r="DV5">
        <v>0</v>
      </c>
    </row>
    <row r="6" spans="1:126" hidden="1">
      <c r="A6" t="s">
        <v>4900</v>
      </c>
      <c r="B6" t="s">
        <v>4868</v>
      </c>
      <c r="C6">
        <v>2018</v>
      </c>
      <c r="D6">
        <v>9</v>
      </c>
      <c r="E6" t="s">
        <v>3953</v>
      </c>
      <c r="F6" t="s">
        <v>4869</v>
      </c>
      <c r="G6" s="2042">
        <v>43364</v>
      </c>
      <c r="H6" t="s">
        <v>4870</v>
      </c>
      <c r="I6" t="s">
        <v>4870</v>
      </c>
      <c r="J6" t="s">
        <v>4871</v>
      </c>
      <c r="K6" t="s">
        <v>4746</v>
      </c>
      <c r="L6" t="s">
        <v>4872</v>
      </c>
      <c r="M6" t="s">
        <v>4872</v>
      </c>
      <c r="N6" t="s">
        <v>4873</v>
      </c>
      <c r="O6" t="s">
        <v>4874</v>
      </c>
      <c r="P6" t="s">
        <v>4875</v>
      </c>
      <c r="Q6" s="2042">
        <v>43191</v>
      </c>
      <c r="R6" s="2042">
        <v>43191</v>
      </c>
      <c r="S6">
        <v>220</v>
      </c>
      <c r="T6">
        <v>0</v>
      </c>
      <c r="U6">
        <v>54000000</v>
      </c>
      <c r="V6">
        <v>10800000</v>
      </c>
      <c r="W6">
        <v>0</v>
      </c>
      <c r="X6">
        <v>37800000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105300000</v>
      </c>
      <c r="AY6">
        <v>102600000</v>
      </c>
      <c r="AZ6">
        <v>102600000</v>
      </c>
      <c r="BA6">
        <v>0</v>
      </c>
      <c r="BB6">
        <v>0</v>
      </c>
      <c r="BC6">
        <v>0</v>
      </c>
      <c r="BD6">
        <v>0</v>
      </c>
      <c r="BE6">
        <v>0</v>
      </c>
      <c r="BF6">
        <v>0</v>
      </c>
      <c r="BG6">
        <v>0</v>
      </c>
      <c r="BH6">
        <v>0</v>
      </c>
      <c r="BI6">
        <v>0</v>
      </c>
      <c r="BJ6">
        <v>0</v>
      </c>
      <c r="BK6">
        <v>0</v>
      </c>
      <c r="BL6">
        <v>20125760</v>
      </c>
      <c r="BM6">
        <v>2012570</v>
      </c>
      <c r="BN6">
        <v>0</v>
      </c>
      <c r="BO6">
        <v>0</v>
      </c>
      <c r="BP6">
        <v>3325090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25463420</v>
      </c>
      <c r="DU6">
        <v>77136580</v>
      </c>
      <c r="DV6">
        <v>0</v>
      </c>
    </row>
    <row r="7" spans="1:126" hidden="1">
      <c r="A7" t="s">
        <v>4900</v>
      </c>
      <c r="B7" t="s">
        <v>4868</v>
      </c>
      <c r="C7">
        <v>2018</v>
      </c>
      <c r="D7">
        <v>8</v>
      </c>
      <c r="E7" t="s">
        <v>3953</v>
      </c>
      <c r="F7" t="s">
        <v>4869</v>
      </c>
      <c r="G7" s="2042">
        <v>43336</v>
      </c>
      <c r="H7" t="s">
        <v>4870</v>
      </c>
      <c r="I7" t="s">
        <v>4870</v>
      </c>
      <c r="J7" t="s">
        <v>4871</v>
      </c>
      <c r="K7" t="s">
        <v>4746</v>
      </c>
      <c r="L7" t="s">
        <v>4872</v>
      </c>
      <c r="M7" t="s">
        <v>4872</v>
      </c>
      <c r="N7" t="s">
        <v>4873</v>
      </c>
      <c r="O7" t="s">
        <v>4874</v>
      </c>
      <c r="P7" t="s">
        <v>4875</v>
      </c>
      <c r="Q7" s="2042">
        <v>43191</v>
      </c>
      <c r="R7" s="2042">
        <v>43191</v>
      </c>
      <c r="S7">
        <v>220</v>
      </c>
      <c r="T7">
        <v>0</v>
      </c>
      <c r="U7">
        <v>54000000</v>
      </c>
      <c r="V7">
        <v>10800000</v>
      </c>
      <c r="W7">
        <v>0</v>
      </c>
      <c r="X7">
        <v>37800000</v>
      </c>
      <c r="Y7">
        <v>0</v>
      </c>
      <c r="Z7">
        <v>0</v>
      </c>
      <c r="AA7">
        <v>0</v>
      </c>
      <c r="AB7">
        <v>0</v>
      </c>
      <c r="AC7">
        <v>0</v>
      </c>
      <c r="AD7">
        <v>0</v>
      </c>
      <c r="AE7">
        <v>0</v>
      </c>
      <c r="AF7">
        <v>0</v>
      </c>
      <c r="AG7">
        <v>0</v>
      </c>
      <c r="AH7">
        <v>0</v>
      </c>
      <c r="AI7">
        <v>0</v>
      </c>
      <c r="AJ7">
        <v>0</v>
      </c>
      <c r="AK7">
        <v>0</v>
      </c>
      <c r="AL7">
        <v>0</v>
      </c>
      <c r="AM7">
        <v>0</v>
      </c>
      <c r="AN7">
        <v>0</v>
      </c>
      <c r="AO7">
        <v>0</v>
      </c>
      <c r="AP7">
        <v>0</v>
      </c>
      <c r="AQ7">
        <v>0</v>
      </c>
      <c r="AR7">
        <v>153480</v>
      </c>
      <c r="AS7">
        <v>0</v>
      </c>
      <c r="AT7">
        <v>0</v>
      </c>
      <c r="AU7">
        <v>0</v>
      </c>
      <c r="AV7">
        <v>0</v>
      </c>
      <c r="AW7">
        <v>0</v>
      </c>
      <c r="AX7">
        <v>105300000</v>
      </c>
      <c r="AY7">
        <v>102753480</v>
      </c>
      <c r="AZ7">
        <v>102753480</v>
      </c>
      <c r="BA7">
        <v>0</v>
      </c>
      <c r="BB7">
        <v>0</v>
      </c>
      <c r="BC7">
        <v>0</v>
      </c>
      <c r="BD7">
        <v>0</v>
      </c>
      <c r="BE7">
        <v>0</v>
      </c>
      <c r="BF7">
        <v>0</v>
      </c>
      <c r="BG7">
        <v>0</v>
      </c>
      <c r="BH7">
        <v>0</v>
      </c>
      <c r="BI7">
        <v>0</v>
      </c>
      <c r="BJ7">
        <v>0</v>
      </c>
      <c r="BK7">
        <v>0</v>
      </c>
      <c r="BL7">
        <v>20154920</v>
      </c>
      <c r="BM7">
        <v>2015490</v>
      </c>
      <c r="BN7">
        <v>0</v>
      </c>
      <c r="BO7">
        <v>0</v>
      </c>
      <c r="BP7">
        <v>3325090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25495500</v>
      </c>
      <c r="DU7">
        <v>77257980</v>
      </c>
      <c r="DV7">
        <v>0</v>
      </c>
    </row>
    <row r="8" spans="1:126" hidden="1">
      <c r="A8" t="s">
        <v>4900</v>
      </c>
      <c r="B8" t="s">
        <v>4868</v>
      </c>
      <c r="C8">
        <v>2018</v>
      </c>
      <c r="D8">
        <v>7</v>
      </c>
      <c r="E8" t="s">
        <v>3953</v>
      </c>
      <c r="F8" t="s">
        <v>4869</v>
      </c>
      <c r="G8" s="2042">
        <v>43305</v>
      </c>
      <c r="H8" t="s">
        <v>4870</v>
      </c>
      <c r="I8" t="s">
        <v>4870</v>
      </c>
      <c r="J8" t="s">
        <v>4871</v>
      </c>
      <c r="K8" t="s">
        <v>4746</v>
      </c>
      <c r="L8" t="s">
        <v>4872</v>
      </c>
      <c r="M8" t="s">
        <v>4872</v>
      </c>
      <c r="N8" t="s">
        <v>4873</v>
      </c>
      <c r="O8" t="s">
        <v>4874</v>
      </c>
      <c r="P8" t="s">
        <v>4875</v>
      </c>
      <c r="Q8" s="2042">
        <v>43191</v>
      </c>
      <c r="R8" s="2042">
        <v>43191</v>
      </c>
      <c r="S8">
        <v>220</v>
      </c>
      <c r="T8">
        <v>0</v>
      </c>
      <c r="U8">
        <v>54000000</v>
      </c>
      <c r="V8">
        <v>10800000</v>
      </c>
      <c r="W8">
        <v>0</v>
      </c>
      <c r="X8">
        <v>37800000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105300000</v>
      </c>
      <c r="AY8">
        <v>102600000</v>
      </c>
      <c r="AZ8">
        <v>102600000</v>
      </c>
      <c r="BA8">
        <v>0</v>
      </c>
      <c r="BB8">
        <v>0</v>
      </c>
      <c r="BC8">
        <v>0</v>
      </c>
      <c r="BD8">
        <v>0</v>
      </c>
      <c r="BE8">
        <v>0</v>
      </c>
      <c r="BF8">
        <v>0</v>
      </c>
      <c r="BG8">
        <v>0</v>
      </c>
      <c r="BH8">
        <v>0</v>
      </c>
      <c r="BI8">
        <v>0</v>
      </c>
      <c r="BJ8">
        <v>0</v>
      </c>
      <c r="BK8">
        <v>0</v>
      </c>
      <c r="BL8">
        <v>20125760</v>
      </c>
      <c r="BM8">
        <v>2012570</v>
      </c>
      <c r="BN8">
        <v>0</v>
      </c>
      <c r="BO8">
        <v>0</v>
      </c>
      <c r="BP8">
        <v>3325090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25463420</v>
      </c>
      <c r="DU8">
        <v>77136580</v>
      </c>
      <c r="DV8">
        <v>0</v>
      </c>
    </row>
    <row r="9" spans="1:126" hidden="1">
      <c r="A9" t="s">
        <v>4900</v>
      </c>
      <c r="B9" t="s">
        <v>4868</v>
      </c>
      <c r="C9">
        <v>2018</v>
      </c>
      <c r="D9">
        <v>6</v>
      </c>
      <c r="E9" t="s">
        <v>3953</v>
      </c>
      <c r="F9" t="s">
        <v>4869</v>
      </c>
      <c r="G9" s="2042">
        <v>43273</v>
      </c>
      <c r="H9" t="s">
        <v>4870</v>
      </c>
      <c r="I9" t="s">
        <v>4870</v>
      </c>
      <c r="J9" t="s">
        <v>4871</v>
      </c>
      <c r="K9" t="s">
        <v>4746</v>
      </c>
      <c r="L9" t="s">
        <v>4872</v>
      </c>
      <c r="M9" t="s">
        <v>4872</v>
      </c>
      <c r="N9" t="s">
        <v>4873</v>
      </c>
      <c r="O9" t="s">
        <v>4874</v>
      </c>
      <c r="P9" t="s">
        <v>4875</v>
      </c>
      <c r="Q9" s="2042">
        <v>43191</v>
      </c>
      <c r="R9" s="2042">
        <v>43191</v>
      </c>
      <c r="S9">
        <v>220</v>
      </c>
      <c r="T9">
        <v>0</v>
      </c>
      <c r="U9">
        <v>54000000</v>
      </c>
      <c r="V9">
        <v>10800000</v>
      </c>
      <c r="W9">
        <v>0</v>
      </c>
      <c r="X9">
        <v>37800000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105300000</v>
      </c>
      <c r="AY9">
        <v>102600000</v>
      </c>
      <c r="AZ9">
        <v>102600000</v>
      </c>
      <c r="BA9">
        <v>0</v>
      </c>
      <c r="BB9">
        <v>0</v>
      </c>
      <c r="BC9">
        <v>0</v>
      </c>
      <c r="BD9">
        <v>0</v>
      </c>
      <c r="BE9">
        <v>0</v>
      </c>
      <c r="BF9">
        <v>0</v>
      </c>
      <c r="BG9">
        <v>0</v>
      </c>
      <c r="BH9">
        <v>0</v>
      </c>
      <c r="BI9">
        <v>0</v>
      </c>
      <c r="BJ9">
        <v>0</v>
      </c>
      <c r="BK9">
        <v>0</v>
      </c>
      <c r="BL9">
        <v>19991140</v>
      </c>
      <c r="BM9">
        <v>1999110</v>
      </c>
      <c r="BN9">
        <v>0</v>
      </c>
      <c r="BO9">
        <v>0</v>
      </c>
      <c r="BP9">
        <v>2616540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DN9">
        <v>0</v>
      </c>
      <c r="DO9">
        <v>0</v>
      </c>
      <c r="DP9">
        <v>0</v>
      </c>
      <c r="DQ9">
        <v>0</v>
      </c>
      <c r="DR9">
        <v>0</v>
      </c>
      <c r="DS9">
        <v>0</v>
      </c>
      <c r="DT9">
        <v>24606790</v>
      </c>
      <c r="DU9">
        <v>77993210</v>
      </c>
      <c r="DV9">
        <v>0</v>
      </c>
    </row>
    <row r="10" spans="1:126" hidden="1">
      <c r="A10" t="s">
        <v>4900</v>
      </c>
      <c r="B10" t="s">
        <v>4868</v>
      </c>
      <c r="C10">
        <v>2018</v>
      </c>
      <c r="D10">
        <v>5</v>
      </c>
      <c r="E10" t="s">
        <v>3953</v>
      </c>
      <c r="F10" t="s">
        <v>4869</v>
      </c>
      <c r="G10" s="2042">
        <v>43244</v>
      </c>
      <c r="H10" t="s">
        <v>4870</v>
      </c>
      <c r="I10" t="s">
        <v>4870</v>
      </c>
      <c r="J10" t="s">
        <v>4871</v>
      </c>
      <c r="K10" t="s">
        <v>4746</v>
      </c>
      <c r="L10" t="s">
        <v>4872</v>
      </c>
      <c r="M10" t="s">
        <v>4872</v>
      </c>
      <c r="N10" t="s">
        <v>4873</v>
      </c>
      <c r="O10" t="s">
        <v>4874</v>
      </c>
      <c r="P10" t="s">
        <v>4875</v>
      </c>
      <c r="Q10" s="2042">
        <v>43191</v>
      </c>
      <c r="R10" s="2042">
        <v>43191</v>
      </c>
      <c r="S10">
        <v>220</v>
      </c>
      <c r="T10">
        <v>0</v>
      </c>
      <c r="U10">
        <v>54000000</v>
      </c>
      <c r="V10">
        <v>10800000</v>
      </c>
      <c r="W10">
        <v>0</v>
      </c>
      <c r="X10">
        <v>37800000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105300000</v>
      </c>
      <c r="AY10">
        <v>102600000</v>
      </c>
      <c r="AZ10">
        <v>102600000</v>
      </c>
      <c r="BA10">
        <v>0</v>
      </c>
      <c r="BB10">
        <v>0</v>
      </c>
      <c r="BC10">
        <v>0</v>
      </c>
      <c r="BD10">
        <v>0</v>
      </c>
      <c r="BE10">
        <v>0</v>
      </c>
      <c r="BF10">
        <v>0</v>
      </c>
      <c r="BG10">
        <v>0</v>
      </c>
      <c r="BH10">
        <v>0</v>
      </c>
      <c r="BI10">
        <v>0</v>
      </c>
      <c r="BJ10">
        <v>0</v>
      </c>
      <c r="BK10">
        <v>0</v>
      </c>
      <c r="BL10">
        <v>19991140</v>
      </c>
      <c r="BM10">
        <v>1999110</v>
      </c>
      <c r="BN10">
        <v>0</v>
      </c>
      <c r="BO10">
        <v>0</v>
      </c>
      <c r="BP10">
        <v>2616540</v>
      </c>
      <c r="BQ10">
        <v>0</v>
      </c>
      <c r="BR10">
        <v>0</v>
      </c>
      <c r="BS10">
        <v>0</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0</v>
      </c>
      <c r="DS10">
        <v>0</v>
      </c>
      <c r="DT10">
        <v>24606790</v>
      </c>
      <c r="DU10">
        <v>77993210</v>
      </c>
      <c r="DV10">
        <v>0</v>
      </c>
    </row>
    <row r="11" spans="1:126" hidden="1">
      <c r="A11" t="s">
        <v>4900</v>
      </c>
      <c r="B11" t="s">
        <v>4868</v>
      </c>
      <c r="C11">
        <v>2018</v>
      </c>
      <c r="D11">
        <v>4</v>
      </c>
      <c r="E11" t="s">
        <v>3953</v>
      </c>
      <c r="F11" t="s">
        <v>4869</v>
      </c>
      <c r="G11" s="2042">
        <v>43214</v>
      </c>
      <c r="H11" t="s">
        <v>4870</v>
      </c>
      <c r="I11" t="s">
        <v>4870</v>
      </c>
      <c r="J11" t="s">
        <v>4871</v>
      </c>
      <c r="K11" t="s">
        <v>4746</v>
      </c>
      <c r="L11" t="s">
        <v>4872</v>
      </c>
      <c r="M11" t="s">
        <v>4872</v>
      </c>
      <c r="N11" t="s">
        <v>4873</v>
      </c>
      <c r="O11" t="s">
        <v>4874</v>
      </c>
      <c r="P11" t="s">
        <v>4875</v>
      </c>
      <c r="Q11" s="2042">
        <v>43191</v>
      </c>
      <c r="R11" s="2042">
        <v>43191</v>
      </c>
      <c r="S11">
        <v>220</v>
      </c>
      <c r="T11">
        <v>0</v>
      </c>
      <c r="U11">
        <v>54000000</v>
      </c>
      <c r="V11">
        <v>10800000</v>
      </c>
      <c r="W11">
        <v>0</v>
      </c>
      <c r="X11">
        <v>37800000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105300000</v>
      </c>
      <c r="AY11">
        <v>103100000</v>
      </c>
      <c r="AZ11">
        <v>102600000</v>
      </c>
      <c r="BA11">
        <v>500000</v>
      </c>
      <c r="BB11">
        <v>0</v>
      </c>
      <c r="BC11">
        <v>0</v>
      </c>
      <c r="BD11">
        <v>0</v>
      </c>
      <c r="BE11">
        <v>0</v>
      </c>
      <c r="BF11">
        <v>0</v>
      </c>
      <c r="BG11">
        <v>0</v>
      </c>
      <c r="BH11">
        <v>0</v>
      </c>
      <c r="BI11">
        <v>0</v>
      </c>
      <c r="BJ11">
        <v>0</v>
      </c>
      <c r="BK11">
        <v>0</v>
      </c>
      <c r="BL11">
        <v>20086140</v>
      </c>
      <c r="BM11">
        <v>2008610</v>
      </c>
      <c r="BN11">
        <v>0</v>
      </c>
      <c r="BO11">
        <v>0</v>
      </c>
      <c r="BP11">
        <v>2616540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DN11">
        <v>0</v>
      </c>
      <c r="DO11">
        <v>0</v>
      </c>
      <c r="DP11">
        <v>0</v>
      </c>
      <c r="DQ11">
        <v>0</v>
      </c>
      <c r="DR11">
        <v>0</v>
      </c>
      <c r="DS11">
        <v>0</v>
      </c>
      <c r="DT11">
        <v>24711290</v>
      </c>
      <c r="DU11">
        <v>77888710</v>
      </c>
      <c r="DV11">
        <v>0</v>
      </c>
    </row>
    <row r="12" spans="1:126" hidden="1">
      <c r="A12" t="s">
        <v>4900</v>
      </c>
      <c r="B12" t="s">
        <v>4876</v>
      </c>
      <c r="C12">
        <v>2018</v>
      </c>
      <c r="D12">
        <v>3</v>
      </c>
      <c r="E12" t="s">
        <v>3953</v>
      </c>
      <c r="F12" t="s">
        <v>4869</v>
      </c>
      <c r="G12" s="2042">
        <v>43182</v>
      </c>
      <c r="H12" t="s">
        <v>4870</v>
      </c>
      <c r="I12" t="s">
        <v>4870</v>
      </c>
      <c r="J12" t="s">
        <v>4871</v>
      </c>
      <c r="K12" t="s">
        <v>4746</v>
      </c>
      <c r="L12" t="s">
        <v>4877</v>
      </c>
      <c r="M12" t="s">
        <v>4877</v>
      </c>
      <c r="N12" t="s">
        <v>4878</v>
      </c>
      <c r="O12" t="s">
        <v>4879</v>
      </c>
      <c r="P12" t="s">
        <v>4743</v>
      </c>
      <c r="Q12" s="2042">
        <v>41913</v>
      </c>
      <c r="R12" s="2042">
        <v>41913</v>
      </c>
      <c r="S12">
        <v>220</v>
      </c>
      <c r="T12">
        <v>0</v>
      </c>
      <c r="U12">
        <v>54000000</v>
      </c>
      <c r="V12">
        <v>10800000</v>
      </c>
      <c r="W12">
        <v>0</v>
      </c>
      <c r="X12">
        <v>37800000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105300000</v>
      </c>
      <c r="AY12">
        <v>102600000</v>
      </c>
      <c r="AZ12">
        <v>102600000</v>
      </c>
      <c r="BA12">
        <v>0</v>
      </c>
      <c r="BB12">
        <v>0</v>
      </c>
      <c r="BC12">
        <v>0</v>
      </c>
      <c r="BD12">
        <v>0</v>
      </c>
      <c r="BE12">
        <v>0</v>
      </c>
      <c r="BF12">
        <v>0</v>
      </c>
      <c r="BG12">
        <v>0</v>
      </c>
      <c r="BH12">
        <v>0</v>
      </c>
      <c r="BI12">
        <v>0</v>
      </c>
      <c r="BJ12">
        <v>0</v>
      </c>
      <c r="BK12">
        <v>0</v>
      </c>
      <c r="BL12">
        <v>19991140</v>
      </c>
      <c r="BM12">
        <v>1999110</v>
      </c>
      <c r="BN12">
        <v>0</v>
      </c>
      <c r="BO12">
        <v>0</v>
      </c>
      <c r="BP12">
        <v>2616540</v>
      </c>
      <c r="BQ12">
        <v>0</v>
      </c>
      <c r="BR12">
        <v>0</v>
      </c>
      <c r="BS12">
        <v>0</v>
      </c>
      <c r="BT12">
        <v>0</v>
      </c>
      <c r="BU12">
        <v>0</v>
      </c>
      <c r="BV12">
        <v>0</v>
      </c>
      <c r="BW12">
        <v>0</v>
      </c>
      <c r="BX12">
        <v>0</v>
      </c>
      <c r="BY12">
        <v>0</v>
      </c>
      <c r="BZ12">
        <v>0</v>
      </c>
      <c r="CA12">
        <v>0</v>
      </c>
      <c r="CB12">
        <v>0</v>
      </c>
      <c r="CC12">
        <v>0</v>
      </c>
      <c r="CD12">
        <v>0</v>
      </c>
      <c r="CE12">
        <v>0</v>
      </c>
      <c r="CF12">
        <v>0</v>
      </c>
      <c r="CG12">
        <v>0</v>
      </c>
      <c r="CH12">
        <v>0</v>
      </c>
      <c r="CI12">
        <v>0</v>
      </c>
      <c r="CJ12">
        <v>210</v>
      </c>
      <c r="CK12">
        <v>0</v>
      </c>
      <c r="CL12">
        <v>0</v>
      </c>
      <c r="CM12">
        <v>0</v>
      </c>
      <c r="CN12">
        <v>0</v>
      </c>
      <c r="CO12">
        <v>0</v>
      </c>
      <c r="CP12">
        <v>0</v>
      </c>
      <c r="CQ12">
        <v>0</v>
      </c>
      <c r="CR12">
        <v>0</v>
      </c>
      <c r="CS12">
        <v>0</v>
      </c>
      <c r="CT12">
        <v>0</v>
      </c>
      <c r="CU12">
        <v>0</v>
      </c>
      <c r="CV12">
        <v>0</v>
      </c>
      <c r="CW12">
        <v>0</v>
      </c>
      <c r="CX12">
        <v>0</v>
      </c>
      <c r="CY12">
        <v>0</v>
      </c>
      <c r="CZ12">
        <v>0</v>
      </c>
      <c r="DA12">
        <v>0</v>
      </c>
      <c r="DB12">
        <v>0</v>
      </c>
      <c r="DC12">
        <v>0</v>
      </c>
      <c r="DD12">
        <v>0</v>
      </c>
      <c r="DE12">
        <v>0</v>
      </c>
      <c r="DF12">
        <v>0</v>
      </c>
      <c r="DG12">
        <v>0</v>
      </c>
      <c r="DH12">
        <v>0</v>
      </c>
      <c r="DI12">
        <v>0</v>
      </c>
      <c r="DJ12">
        <v>0</v>
      </c>
      <c r="DK12">
        <v>0</v>
      </c>
      <c r="DL12">
        <v>0</v>
      </c>
      <c r="DM12">
        <v>0</v>
      </c>
      <c r="DN12">
        <v>0</v>
      </c>
      <c r="DO12">
        <v>0</v>
      </c>
      <c r="DP12">
        <v>0</v>
      </c>
      <c r="DQ12">
        <v>0</v>
      </c>
      <c r="DR12">
        <v>0</v>
      </c>
      <c r="DS12">
        <v>0</v>
      </c>
      <c r="DT12">
        <v>24607000</v>
      </c>
      <c r="DU12">
        <v>77993000</v>
      </c>
      <c r="DV12">
        <v>0</v>
      </c>
    </row>
    <row r="13" spans="1:126" hidden="1">
      <c r="A13" t="s">
        <v>4900</v>
      </c>
      <c r="B13" t="s">
        <v>4876</v>
      </c>
      <c r="C13">
        <v>2018</v>
      </c>
      <c r="D13">
        <v>2</v>
      </c>
      <c r="E13" t="s">
        <v>3953</v>
      </c>
      <c r="F13" t="s">
        <v>4869</v>
      </c>
      <c r="G13" s="2042">
        <v>43154</v>
      </c>
      <c r="H13" t="s">
        <v>4870</v>
      </c>
      <c r="I13" t="s">
        <v>4870</v>
      </c>
      <c r="J13" t="s">
        <v>4871</v>
      </c>
      <c r="K13" t="s">
        <v>4746</v>
      </c>
      <c r="L13" t="s">
        <v>4877</v>
      </c>
      <c r="M13" t="s">
        <v>4877</v>
      </c>
      <c r="N13" t="s">
        <v>4878</v>
      </c>
      <c r="O13" t="s">
        <v>4879</v>
      </c>
      <c r="P13" t="s">
        <v>4743</v>
      </c>
      <c r="Q13" s="2042">
        <v>41913</v>
      </c>
      <c r="R13" s="2042">
        <v>41913</v>
      </c>
      <c r="S13">
        <v>220</v>
      </c>
      <c r="T13">
        <v>0</v>
      </c>
      <c r="U13">
        <v>54000000</v>
      </c>
      <c r="V13">
        <v>10800000</v>
      </c>
      <c r="W13">
        <v>0</v>
      </c>
      <c r="X13">
        <v>37800000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105300000</v>
      </c>
      <c r="AY13">
        <v>102700000</v>
      </c>
      <c r="AZ13">
        <v>102600000</v>
      </c>
      <c r="BA13">
        <v>100000</v>
      </c>
      <c r="BB13">
        <v>0</v>
      </c>
      <c r="BC13">
        <v>0</v>
      </c>
      <c r="BD13">
        <v>0</v>
      </c>
      <c r="BE13">
        <v>0</v>
      </c>
      <c r="BF13">
        <v>0</v>
      </c>
      <c r="BG13">
        <v>0</v>
      </c>
      <c r="BH13">
        <v>0</v>
      </c>
      <c r="BI13">
        <v>0</v>
      </c>
      <c r="BJ13">
        <v>0</v>
      </c>
      <c r="BK13">
        <v>0</v>
      </c>
      <c r="BL13">
        <v>20010140</v>
      </c>
      <c r="BM13">
        <v>2001010</v>
      </c>
      <c r="BN13">
        <v>-28142460</v>
      </c>
      <c r="BO13">
        <v>-2814180</v>
      </c>
      <c r="BP13">
        <v>2616540</v>
      </c>
      <c r="BQ13">
        <v>0</v>
      </c>
      <c r="BR13">
        <v>0</v>
      </c>
      <c r="BS13">
        <v>0</v>
      </c>
      <c r="BT13">
        <v>0</v>
      </c>
      <c r="BU13">
        <v>0</v>
      </c>
      <c r="BV13">
        <v>0</v>
      </c>
      <c r="BW13">
        <v>0</v>
      </c>
      <c r="BX13">
        <v>0</v>
      </c>
      <c r="BY13">
        <v>0</v>
      </c>
      <c r="BZ13">
        <v>0</v>
      </c>
      <c r="CA13">
        <v>0</v>
      </c>
      <c r="CB13">
        <v>0</v>
      </c>
      <c r="CC13">
        <v>0</v>
      </c>
      <c r="CD13">
        <v>0</v>
      </c>
      <c r="CE13">
        <v>0</v>
      </c>
      <c r="CF13">
        <v>0</v>
      </c>
      <c r="CG13">
        <v>0</v>
      </c>
      <c r="CH13">
        <v>0</v>
      </c>
      <c r="CI13">
        <v>0</v>
      </c>
      <c r="CJ13">
        <v>950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DN13">
        <v>0</v>
      </c>
      <c r="DO13">
        <v>0</v>
      </c>
      <c r="DP13">
        <v>0</v>
      </c>
      <c r="DQ13">
        <v>0</v>
      </c>
      <c r="DR13">
        <v>0</v>
      </c>
      <c r="DS13">
        <v>0</v>
      </c>
      <c r="DT13">
        <v>-6328000</v>
      </c>
      <c r="DU13">
        <v>108928000</v>
      </c>
      <c r="DV13">
        <v>0</v>
      </c>
    </row>
    <row r="14" spans="1:126" hidden="1">
      <c r="A14" t="s">
        <v>4900</v>
      </c>
      <c r="B14" t="s">
        <v>4876</v>
      </c>
      <c r="C14">
        <v>2018</v>
      </c>
      <c r="D14">
        <v>1</v>
      </c>
      <c r="E14" t="s">
        <v>3953</v>
      </c>
      <c r="F14" t="s">
        <v>4869</v>
      </c>
      <c r="G14" s="2042">
        <v>43124</v>
      </c>
      <c r="H14" t="s">
        <v>4870</v>
      </c>
      <c r="I14" t="s">
        <v>4870</v>
      </c>
      <c r="J14" t="s">
        <v>4871</v>
      </c>
      <c r="K14" t="s">
        <v>4746</v>
      </c>
      <c r="L14" t="s">
        <v>4877</v>
      </c>
      <c r="M14" t="s">
        <v>4877</v>
      </c>
      <c r="N14" t="s">
        <v>4878</v>
      </c>
      <c r="O14" t="s">
        <v>4879</v>
      </c>
      <c r="P14" t="s">
        <v>4743</v>
      </c>
      <c r="Q14" s="2042">
        <v>41913</v>
      </c>
      <c r="R14" s="2042">
        <v>41913</v>
      </c>
      <c r="S14">
        <v>220</v>
      </c>
      <c r="T14">
        <v>0</v>
      </c>
      <c r="U14">
        <v>54000000</v>
      </c>
      <c r="V14">
        <v>10800000</v>
      </c>
      <c r="W14">
        <v>0</v>
      </c>
      <c r="X14">
        <v>37800000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97650000</v>
      </c>
      <c r="AY14">
        <v>102600000</v>
      </c>
      <c r="AZ14">
        <v>102600000</v>
      </c>
      <c r="BA14">
        <v>0</v>
      </c>
      <c r="BB14">
        <v>0</v>
      </c>
      <c r="BC14">
        <v>0</v>
      </c>
      <c r="BD14">
        <v>0</v>
      </c>
      <c r="BE14">
        <v>0</v>
      </c>
      <c r="BF14">
        <v>0</v>
      </c>
      <c r="BG14">
        <v>0</v>
      </c>
      <c r="BH14">
        <v>0</v>
      </c>
      <c r="BI14">
        <v>0</v>
      </c>
      <c r="BJ14">
        <v>0</v>
      </c>
      <c r="BK14">
        <v>0</v>
      </c>
      <c r="BL14">
        <v>19991140</v>
      </c>
      <c r="BM14">
        <v>1999110</v>
      </c>
      <c r="BN14">
        <v>0</v>
      </c>
      <c r="BO14">
        <v>0</v>
      </c>
      <c r="BP14">
        <v>2616540</v>
      </c>
      <c r="BQ14">
        <v>0</v>
      </c>
      <c r="BR14">
        <v>0</v>
      </c>
      <c r="BS14">
        <v>0</v>
      </c>
      <c r="BT14">
        <v>0</v>
      </c>
      <c r="BU14">
        <v>0</v>
      </c>
      <c r="BV14">
        <v>0</v>
      </c>
      <c r="BW14">
        <v>0</v>
      </c>
      <c r="BX14">
        <v>0</v>
      </c>
      <c r="BY14">
        <v>0</v>
      </c>
      <c r="BZ14">
        <v>0</v>
      </c>
      <c r="CA14">
        <v>0</v>
      </c>
      <c r="CB14">
        <v>0</v>
      </c>
      <c r="CC14">
        <v>0</v>
      </c>
      <c r="CD14">
        <v>0</v>
      </c>
      <c r="CE14">
        <v>0</v>
      </c>
      <c r="CF14">
        <v>0</v>
      </c>
      <c r="CG14">
        <v>0</v>
      </c>
      <c r="CH14">
        <v>0</v>
      </c>
      <c r="CI14">
        <v>0</v>
      </c>
      <c r="CJ14">
        <v>210</v>
      </c>
      <c r="CK14">
        <v>0</v>
      </c>
      <c r="CL14">
        <v>0</v>
      </c>
      <c r="CM14">
        <v>0</v>
      </c>
      <c r="CN14">
        <v>0</v>
      </c>
      <c r="CO14">
        <v>0</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DN14">
        <v>0</v>
      </c>
      <c r="DO14">
        <v>0</v>
      </c>
      <c r="DP14">
        <v>0</v>
      </c>
      <c r="DQ14">
        <v>0</v>
      </c>
      <c r="DR14">
        <v>0</v>
      </c>
      <c r="DS14">
        <v>0</v>
      </c>
      <c r="DT14">
        <v>24607000</v>
      </c>
      <c r="DU14">
        <v>77993000</v>
      </c>
      <c r="DV14">
        <v>0</v>
      </c>
    </row>
    <row r="15" spans="1:126" hidden="1">
      <c r="A15" t="s">
        <v>4900</v>
      </c>
      <c r="B15" t="s">
        <v>4868</v>
      </c>
      <c r="C15">
        <v>2018</v>
      </c>
      <c r="D15">
        <v>12</v>
      </c>
      <c r="E15" t="s">
        <v>3953</v>
      </c>
      <c r="F15" t="s">
        <v>4869</v>
      </c>
      <c r="G15" s="2042">
        <v>43455</v>
      </c>
      <c r="H15" t="s">
        <v>4880</v>
      </c>
      <c r="I15" t="s">
        <v>4880</v>
      </c>
      <c r="J15" t="s">
        <v>4881</v>
      </c>
      <c r="K15" t="s">
        <v>4746</v>
      </c>
      <c r="L15" t="s">
        <v>4882</v>
      </c>
      <c r="M15" t="s">
        <v>4882</v>
      </c>
      <c r="N15" t="s">
        <v>4883</v>
      </c>
      <c r="O15" t="s">
        <v>4879</v>
      </c>
      <c r="P15" t="s">
        <v>4743</v>
      </c>
      <c r="Q15" s="2042">
        <v>42826</v>
      </c>
      <c r="R15" s="2042">
        <v>42826</v>
      </c>
      <c r="S15">
        <v>220</v>
      </c>
      <c r="T15">
        <v>0</v>
      </c>
      <c r="U15">
        <v>10700000</v>
      </c>
      <c r="V15">
        <v>2140000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17120000</v>
      </c>
      <c r="AY15">
        <v>12840000</v>
      </c>
      <c r="AZ15">
        <v>12840000</v>
      </c>
      <c r="BA15">
        <v>0</v>
      </c>
      <c r="BB15">
        <v>0</v>
      </c>
      <c r="BC15">
        <v>0</v>
      </c>
      <c r="BD15">
        <v>0</v>
      </c>
      <c r="BE15">
        <v>0</v>
      </c>
      <c r="BF15">
        <v>0</v>
      </c>
      <c r="BG15">
        <v>0</v>
      </c>
      <c r="BH15">
        <v>0</v>
      </c>
      <c r="BI15">
        <v>0</v>
      </c>
      <c r="BJ15">
        <v>0</v>
      </c>
      <c r="BK15">
        <v>0</v>
      </c>
      <c r="BL15">
        <v>2643710</v>
      </c>
      <c r="BM15">
        <v>264370</v>
      </c>
      <c r="BN15">
        <v>0</v>
      </c>
      <c r="BO15">
        <v>0</v>
      </c>
      <c r="BP15">
        <v>1074310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3982390</v>
      </c>
      <c r="DU15">
        <v>8857610</v>
      </c>
      <c r="DV15">
        <v>0</v>
      </c>
    </row>
    <row r="16" spans="1:126" hidden="1">
      <c r="A16" t="s">
        <v>4900</v>
      </c>
      <c r="B16" t="s">
        <v>4868</v>
      </c>
      <c r="C16">
        <v>2018</v>
      </c>
      <c r="D16">
        <v>11</v>
      </c>
      <c r="E16" t="s">
        <v>3953</v>
      </c>
      <c r="F16" t="s">
        <v>4869</v>
      </c>
      <c r="G16" s="2042">
        <v>43427</v>
      </c>
      <c r="H16" t="s">
        <v>4880</v>
      </c>
      <c r="I16" t="s">
        <v>4880</v>
      </c>
      <c r="J16" t="s">
        <v>4881</v>
      </c>
      <c r="K16" t="s">
        <v>4746</v>
      </c>
      <c r="L16" t="s">
        <v>4882</v>
      </c>
      <c r="M16" t="s">
        <v>4882</v>
      </c>
      <c r="N16" t="s">
        <v>4883</v>
      </c>
      <c r="O16" t="s">
        <v>4879</v>
      </c>
      <c r="P16" t="s">
        <v>4743</v>
      </c>
      <c r="Q16" s="2042">
        <v>42826</v>
      </c>
      <c r="R16" s="2042">
        <v>42826</v>
      </c>
      <c r="S16">
        <v>220</v>
      </c>
      <c r="T16">
        <v>0</v>
      </c>
      <c r="U16">
        <v>10700000</v>
      </c>
      <c r="V16">
        <v>2140000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17120000</v>
      </c>
      <c r="AY16">
        <v>12840000</v>
      </c>
      <c r="AZ16">
        <v>12840000</v>
      </c>
      <c r="BA16">
        <v>0</v>
      </c>
      <c r="BB16">
        <v>0</v>
      </c>
      <c r="BC16">
        <v>0</v>
      </c>
      <c r="BD16">
        <v>0</v>
      </c>
      <c r="BE16">
        <v>0</v>
      </c>
      <c r="BF16">
        <v>0</v>
      </c>
      <c r="BG16">
        <v>0</v>
      </c>
      <c r="BH16">
        <v>0</v>
      </c>
      <c r="BI16">
        <v>0</v>
      </c>
      <c r="BJ16">
        <v>0</v>
      </c>
      <c r="BK16">
        <v>0</v>
      </c>
      <c r="BL16">
        <v>2643710</v>
      </c>
      <c r="BM16">
        <v>264370</v>
      </c>
      <c r="BN16">
        <v>0</v>
      </c>
      <c r="BO16">
        <v>0</v>
      </c>
      <c r="BP16">
        <v>1074310</v>
      </c>
      <c r="BQ16">
        <v>0</v>
      </c>
      <c r="BR16">
        <v>0</v>
      </c>
      <c r="BS16">
        <v>0</v>
      </c>
      <c r="BT16">
        <v>0</v>
      </c>
      <c r="BU16">
        <v>0</v>
      </c>
      <c r="BV16">
        <v>0</v>
      </c>
      <c r="BW16">
        <v>0</v>
      </c>
      <c r="BX16">
        <v>0</v>
      </c>
      <c r="BY16">
        <v>0</v>
      </c>
      <c r="BZ16">
        <v>0</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0</v>
      </c>
      <c r="DM16">
        <v>0</v>
      </c>
      <c r="DN16">
        <v>0</v>
      </c>
      <c r="DO16">
        <v>0</v>
      </c>
      <c r="DP16">
        <v>0</v>
      </c>
      <c r="DQ16">
        <v>0</v>
      </c>
      <c r="DR16">
        <v>0</v>
      </c>
      <c r="DS16">
        <v>0</v>
      </c>
      <c r="DT16">
        <v>3982390</v>
      </c>
      <c r="DU16">
        <v>8857610</v>
      </c>
      <c r="DV16">
        <v>0</v>
      </c>
    </row>
    <row r="17" spans="1:126" hidden="1">
      <c r="A17" t="s">
        <v>4900</v>
      </c>
      <c r="B17" t="s">
        <v>4868</v>
      </c>
      <c r="C17">
        <v>2018</v>
      </c>
      <c r="D17">
        <v>10</v>
      </c>
      <c r="E17" t="s">
        <v>3953</v>
      </c>
      <c r="F17" t="s">
        <v>4869</v>
      </c>
      <c r="G17" s="2042">
        <v>43397</v>
      </c>
      <c r="H17" t="s">
        <v>4880</v>
      </c>
      <c r="I17" t="s">
        <v>4880</v>
      </c>
      <c r="J17" t="s">
        <v>4881</v>
      </c>
      <c r="K17" t="s">
        <v>4746</v>
      </c>
      <c r="L17" t="s">
        <v>4882</v>
      </c>
      <c r="M17" t="s">
        <v>4882</v>
      </c>
      <c r="N17" t="s">
        <v>4883</v>
      </c>
      <c r="O17" t="s">
        <v>4879</v>
      </c>
      <c r="P17" t="s">
        <v>4743</v>
      </c>
      <c r="Q17" s="2042">
        <v>42826</v>
      </c>
      <c r="R17" s="2042">
        <v>42826</v>
      </c>
      <c r="S17">
        <v>220</v>
      </c>
      <c r="T17">
        <v>0</v>
      </c>
      <c r="U17">
        <v>10700000</v>
      </c>
      <c r="V17">
        <v>2140000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17120000</v>
      </c>
      <c r="AY17">
        <v>12840000</v>
      </c>
      <c r="AZ17">
        <v>12840000</v>
      </c>
      <c r="BA17">
        <v>0</v>
      </c>
      <c r="BB17">
        <v>0</v>
      </c>
      <c r="BC17">
        <v>0</v>
      </c>
      <c r="BD17">
        <v>0</v>
      </c>
      <c r="BE17">
        <v>0</v>
      </c>
      <c r="BF17">
        <v>0</v>
      </c>
      <c r="BG17">
        <v>0</v>
      </c>
      <c r="BH17">
        <v>0</v>
      </c>
      <c r="BI17">
        <v>0</v>
      </c>
      <c r="BJ17">
        <v>0</v>
      </c>
      <c r="BK17">
        <v>0</v>
      </c>
      <c r="BL17">
        <v>2643710</v>
      </c>
      <c r="BM17">
        <v>264370</v>
      </c>
      <c r="BN17">
        <v>0</v>
      </c>
      <c r="BO17">
        <v>0</v>
      </c>
      <c r="BP17">
        <v>1074310</v>
      </c>
      <c r="BQ17">
        <v>0</v>
      </c>
      <c r="BR17">
        <v>0</v>
      </c>
      <c r="BS17">
        <v>0</v>
      </c>
      <c r="BT17">
        <v>0</v>
      </c>
      <c r="BU17">
        <v>0</v>
      </c>
      <c r="BV17">
        <v>0</v>
      </c>
      <c r="BW17">
        <v>0</v>
      </c>
      <c r="BX17">
        <v>0</v>
      </c>
      <c r="BY17">
        <v>0</v>
      </c>
      <c r="BZ17">
        <v>0</v>
      </c>
      <c r="CA17">
        <v>0</v>
      </c>
      <c r="CB17">
        <v>0</v>
      </c>
      <c r="CC17">
        <v>0</v>
      </c>
      <c r="CD17">
        <v>0</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0</v>
      </c>
      <c r="DA17">
        <v>0</v>
      </c>
      <c r="DB17">
        <v>0</v>
      </c>
      <c r="DC17">
        <v>0</v>
      </c>
      <c r="DD17">
        <v>0</v>
      </c>
      <c r="DE17">
        <v>0</v>
      </c>
      <c r="DF17">
        <v>0</v>
      </c>
      <c r="DG17">
        <v>0</v>
      </c>
      <c r="DH17">
        <v>0</v>
      </c>
      <c r="DI17">
        <v>0</v>
      </c>
      <c r="DJ17">
        <v>0</v>
      </c>
      <c r="DK17">
        <v>0</v>
      </c>
      <c r="DL17">
        <v>0</v>
      </c>
      <c r="DM17">
        <v>0</v>
      </c>
      <c r="DN17">
        <v>0</v>
      </c>
      <c r="DO17">
        <v>0</v>
      </c>
      <c r="DP17">
        <v>0</v>
      </c>
      <c r="DQ17">
        <v>0</v>
      </c>
      <c r="DR17">
        <v>0</v>
      </c>
      <c r="DS17">
        <v>0</v>
      </c>
      <c r="DT17">
        <v>3982390</v>
      </c>
      <c r="DU17">
        <v>8857610</v>
      </c>
      <c r="DV17">
        <v>0</v>
      </c>
    </row>
    <row r="18" spans="1:126" hidden="1">
      <c r="A18" t="s">
        <v>4900</v>
      </c>
      <c r="B18" t="s">
        <v>4868</v>
      </c>
      <c r="C18">
        <v>2018</v>
      </c>
      <c r="D18">
        <v>9</v>
      </c>
      <c r="E18" t="s">
        <v>3953</v>
      </c>
      <c r="F18" t="s">
        <v>4869</v>
      </c>
      <c r="G18" s="2042">
        <v>43364</v>
      </c>
      <c r="H18" t="s">
        <v>4880</v>
      </c>
      <c r="I18" t="s">
        <v>4880</v>
      </c>
      <c r="J18" t="s">
        <v>4881</v>
      </c>
      <c r="K18" t="s">
        <v>4746</v>
      </c>
      <c r="L18" t="s">
        <v>4882</v>
      </c>
      <c r="M18" t="s">
        <v>4882</v>
      </c>
      <c r="N18" t="s">
        <v>4883</v>
      </c>
      <c r="O18" t="s">
        <v>4879</v>
      </c>
      <c r="P18" t="s">
        <v>4743</v>
      </c>
      <c r="Q18" s="2042">
        <v>42826</v>
      </c>
      <c r="R18" s="2042">
        <v>42826</v>
      </c>
      <c r="S18">
        <v>220</v>
      </c>
      <c r="T18">
        <v>0</v>
      </c>
      <c r="U18">
        <v>10700000</v>
      </c>
      <c r="V18">
        <v>2140000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17120000</v>
      </c>
      <c r="AY18">
        <v>12840000</v>
      </c>
      <c r="AZ18">
        <v>12840000</v>
      </c>
      <c r="BA18">
        <v>0</v>
      </c>
      <c r="BB18">
        <v>0</v>
      </c>
      <c r="BC18">
        <v>0</v>
      </c>
      <c r="BD18">
        <v>0</v>
      </c>
      <c r="BE18">
        <v>0</v>
      </c>
      <c r="BF18">
        <v>0</v>
      </c>
      <c r="BG18">
        <v>0</v>
      </c>
      <c r="BH18">
        <v>0</v>
      </c>
      <c r="BI18">
        <v>0</v>
      </c>
      <c r="BJ18">
        <v>0</v>
      </c>
      <c r="BK18">
        <v>0</v>
      </c>
      <c r="BL18">
        <v>2643710</v>
      </c>
      <c r="BM18">
        <v>264370</v>
      </c>
      <c r="BN18">
        <v>0</v>
      </c>
      <c r="BO18">
        <v>0</v>
      </c>
      <c r="BP18">
        <v>1074310</v>
      </c>
      <c r="BQ18">
        <v>0</v>
      </c>
      <c r="BR18">
        <v>0</v>
      </c>
      <c r="BS18">
        <v>0</v>
      </c>
      <c r="BT18">
        <v>0</v>
      </c>
      <c r="BU18">
        <v>0</v>
      </c>
      <c r="BV18">
        <v>0</v>
      </c>
      <c r="BW18">
        <v>0</v>
      </c>
      <c r="BX18">
        <v>0</v>
      </c>
      <c r="BY18">
        <v>0</v>
      </c>
      <c r="BZ18">
        <v>0</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3982390</v>
      </c>
      <c r="DU18">
        <v>8857610</v>
      </c>
      <c r="DV18">
        <v>0</v>
      </c>
    </row>
    <row r="19" spans="1:126" hidden="1">
      <c r="A19" t="s">
        <v>4900</v>
      </c>
      <c r="B19" t="s">
        <v>4868</v>
      </c>
      <c r="C19">
        <v>2018</v>
      </c>
      <c r="D19">
        <v>8</v>
      </c>
      <c r="E19" t="s">
        <v>3953</v>
      </c>
      <c r="F19" t="s">
        <v>4869</v>
      </c>
      <c r="G19" s="2042">
        <v>43336</v>
      </c>
      <c r="H19" t="s">
        <v>4880</v>
      </c>
      <c r="I19" t="s">
        <v>4880</v>
      </c>
      <c r="J19" t="s">
        <v>4881</v>
      </c>
      <c r="K19" t="s">
        <v>4746</v>
      </c>
      <c r="L19" t="s">
        <v>4882</v>
      </c>
      <c r="M19" t="s">
        <v>4882</v>
      </c>
      <c r="N19" t="s">
        <v>4883</v>
      </c>
      <c r="O19" t="s">
        <v>4879</v>
      </c>
      <c r="P19" t="s">
        <v>4743</v>
      </c>
      <c r="Q19" s="2042">
        <v>42826</v>
      </c>
      <c r="R19" s="2042">
        <v>42826</v>
      </c>
      <c r="S19">
        <v>220</v>
      </c>
      <c r="T19">
        <v>0</v>
      </c>
      <c r="U19">
        <v>10700000</v>
      </c>
      <c r="V19">
        <v>2140000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17120000</v>
      </c>
      <c r="AY19">
        <v>12840000</v>
      </c>
      <c r="AZ19">
        <v>12840000</v>
      </c>
      <c r="BA19">
        <v>0</v>
      </c>
      <c r="BB19">
        <v>0</v>
      </c>
      <c r="BC19">
        <v>0</v>
      </c>
      <c r="BD19">
        <v>0</v>
      </c>
      <c r="BE19">
        <v>0</v>
      </c>
      <c r="BF19">
        <v>0</v>
      </c>
      <c r="BG19">
        <v>0</v>
      </c>
      <c r="BH19">
        <v>0</v>
      </c>
      <c r="BI19">
        <v>0</v>
      </c>
      <c r="BJ19">
        <v>0</v>
      </c>
      <c r="BK19">
        <v>0</v>
      </c>
      <c r="BL19">
        <v>2643710</v>
      </c>
      <c r="BM19">
        <v>264370</v>
      </c>
      <c r="BN19">
        <v>0</v>
      </c>
      <c r="BO19">
        <v>0</v>
      </c>
      <c r="BP19">
        <v>1074310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DN19">
        <v>0</v>
      </c>
      <c r="DO19">
        <v>0</v>
      </c>
      <c r="DP19">
        <v>0</v>
      </c>
      <c r="DQ19">
        <v>0</v>
      </c>
      <c r="DR19">
        <v>0</v>
      </c>
      <c r="DS19">
        <v>0</v>
      </c>
      <c r="DT19">
        <v>3982390</v>
      </c>
      <c r="DU19">
        <v>8857610</v>
      </c>
      <c r="DV19">
        <v>0</v>
      </c>
    </row>
    <row r="20" spans="1:126" hidden="1">
      <c r="A20" t="s">
        <v>4900</v>
      </c>
      <c r="B20" t="s">
        <v>4868</v>
      </c>
      <c r="C20">
        <v>2018</v>
      </c>
      <c r="D20">
        <v>7</v>
      </c>
      <c r="E20" t="s">
        <v>3953</v>
      </c>
      <c r="F20" t="s">
        <v>4869</v>
      </c>
      <c r="G20" s="2042">
        <v>43305</v>
      </c>
      <c r="H20" t="s">
        <v>4880</v>
      </c>
      <c r="I20" t="s">
        <v>4880</v>
      </c>
      <c r="J20" t="s">
        <v>4881</v>
      </c>
      <c r="K20" t="s">
        <v>4746</v>
      </c>
      <c r="L20" t="s">
        <v>4882</v>
      </c>
      <c r="M20" t="s">
        <v>4882</v>
      </c>
      <c r="N20" t="s">
        <v>4883</v>
      </c>
      <c r="O20" t="s">
        <v>4879</v>
      </c>
      <c r="P20" t="s">
        <v>4743</v>
      </c>
      <c r="Q20" s="2042">
        <v>42826</v>
      </c>
      <c r="R20" s="2042">
        <v>42826</v>
      </c>
      <c r="S20">
        <v>220</v>
      </c>
      <c r="T20">
        <v>0</v>
      </c>
      <c r="U20">
        <v>10700000</v>
      </c>
      <c r="V20">
        <v>2140000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17120000</v>
      </c>
      <c r="AY20">
        <v>12840000</v>
      </c>
      <c r="AZ20">
        <v>12840000</v>
      </c>
      <c r="BA20">
        <v>0</v>
      </c>
      <c r="BB20">
        <v>0</v>
      </c>
      <c r="BC20">
        <v>0</v>
      </c>
      <c r="BD20">
        <v>0</v>
      </c>
      <c r="BE20">
        <v>0</v>
      </c>
      <c r="BF20">
        <v>0</v>
      </c>
      <c r="BG20">
        <v>0</v>
      </c>
      <c r="BH20">
        <v>0</v>
      </c>
      <c r="BI20">
        <v>0</v>
      </c>
      <c r="BJ20">
        <v>0</v>
      </c>
      <c r="BK20">
        <v>0</v>
      </c>
      <c r="BL20">
        <v>2643710</v>
      </c>
      <c r="BM20">
        <v>264370</v>
      </c>
      <c r="BN20">
        <v>0</v>
      </c>
      <c r="BO20">
        <v>0</v>
      </c>
      <c r="BP20">
        <v>1074310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DN20">
        <v>0</v>
      </c>
      <c r="DO20">
        <v>0</v>
      </c>
      <c r="DP20">
        <v>0</v>
      </c>
      <c r="DQ20">
        <v>0</v>
      </c>
      <c r="DR20">
        <v>0</v>
      </c>
      <c r="DS20">
        <v>0</v>
      </c>
      <c r="DT20">
        <v>3982390</v>
      </c>
      <c r="DU20">
        <v>8857610</v>
      </c>
      <c r="DV20">
        <v>0</v>
      </c>
    </row>
    <row r="21" spans="1:126" hidden="1">
      <c r="A21" t="s">
        <v>4900</v>
      </c>
      <c r="B21" t="s">
        <v>4868</v>
      </c>
      <c r="C21">
        <v>2018</v>
      </c>
      <c r="D21">
        <v>6</v>
      </c>
      <c r="E21" t="s">
        <v>3953</v>
      </c>
      <c r="F21" t="s">
        <v>4869</v>
      </c>
      <c r="G21" s="2042">
        <v>43273</v>
      </c>
      <c r="H21" t="s">
        <v>4880</v>
      </c>
      <c r="I21" t="s">
        <v>4880</v>
      </c>
      <c r="J21" t="s">
        <v>4881</v>
      </c>
      <c r="K21" t="s">
        <v>4746</v>
      </c>
      <c r="L21" t="s">
        <v>4882</v>
      </c>
      <c r="M21" t="s">
        <v>4882</v>
      </c>
      <c r="N21" t="s">
        <v>4883</v>
      </c>
      <c r="O21" t="s">
        <v>4879</v>
      </c>
      <c r="P21" t="s">
        <v>4743</v>
      </c>
      <c r="Q21" s="2042">
        <v>42826</v>
      </c>
      <c r="R21" s="2042">
        <v>42826</v>
      </c>
      <c r="S21">
        <v>220</v>
      </c>
      <c r="T21">
        <v>0</v>
      </c>
      <c r="U21">
        <v>10700000</v>
      </c>
      <c r="V21">
        <v>2140000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17120000</v>
      </c>
      <c r="AY21">
        <v>12840000</v>
      </c>
      <c r="AZ21">
        <v>12840000</v>
      </c>
      <c r="BA21">
        <v>0</v>
      </c>
      <c r="BB21">
        <v>0</v>
      </c>
      <c r="BC21">
        <v>0</v>
      </c>
      <c r="BD21">
        <v>0</v>
      </c>
      <c r="BE21">
        <v>0</v>
      </c>
      <c r="BF21">
        <v>0</v>
      </c>
      <c r="BG21">
        <v>0</v>
      </c>
      <c r="BH21">
        <v>0</v>
      </c>
      <c r="BI21">
        <v>0</v>
      </c>
      <c r="BJ21">
        <v>0</v>
      </c>
      <c r="BK21">
        <v>0</v>
      </c>
      <c r="BL21">
        <v>2643710</v>
      </c>
      <c r="BM21">
        <v>264370</v>
      </c>
      <c r="BN21">
        <v>0</v>
      </c>
      <c r="BO21">
        <v>0</v>
      </c>
      <c r="BP21">
        <v>1074310</v>
      </c>
      <c r="BQ21">
        <v>0</v>
      </c>
      <c r="BR21">
        <v>0</v>
      </c>
      <c r="BS21">
        <v>0</v>
      </c>
      <c r="BT21">
        <v>0</v>
      </c>
      <c r="BU21">
        <v>0</v>
      </c>
      <c r="BV21">
        <v>0</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3982390</v>
      </c>
      <c r="DU21">
        <v>8857610</v>
      </c>
      <c r="DV21">
        <v>0</v>
      </c>
    </row>
    <row r="22" spans="1:126" hidden="1">
      <c r="A22" t="s">
        <v>4900</v>
      </c>
      <c r="B22" t="s">
        <v>4868</v>
      </c>
      <c r="C22">
        <v>2018</v>
      </c>
      <c r="D22">
        <v>5</v>
      </c>
      <c r="E22" t="s">
        <v>3953</v>
      </c>
      <c r="F22" t="s">
        <v>4869</v>
      </c>
      <c r="G22" s="2042">
        <v>43244</v>
      </c>
      <c r="H22" t="s">
        <v>4880</v>
      </c>
      <c r="I22" t="s">
        <v>4880</v>
      </c>
      <c r="J22" t="s">
        <v>4881</v>
      </c>
      <c r="K22" t="s">
        <v>4746</v>
      </c>
      <c r="L22" t="s">
        <v>4882</v>
      </c>
      <c r="M22" t="s">
        <v>4882</v>
      </c>
      <c r="N22" t="s">
        <v>4883</v>
      </c>
      <c r="O22" t="s">
        <v>4879</v>
      </c>
      <c r="P22" t="s">
        <v>4743</v>
      </c>
      <c r="Q22" s="2042">
        <v>42826</v>
      </c>
      <c r="R22" s="2042">
        <v>42826</v>
      </c>
      <c r="S22">
        <v>220</v>
      </c>
      <c r="T22">
        <v>0</v>
      </c>
      <c r="U22">
        <v>10700000</v>
      </c>
      <c r="V22">
        <v>2140000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148700</v>
      </c>
      <c r="AS22">
        <v>0</v>
      </c>
      <c r="AT22">
        <v>0</v>
      </c>
      <c r="AU22">
        <v>0</v>
      </c>
      <c r="AV22">
        <v>0</v>
      </c>
      <c r="AW22">
        <v>0</v>
      </c>
      <c r="AX22">
        <v>17120000</v>
      </c>
      <c r="AY22">
        <v>12988700</v>
      </c>
      <c r="AZ22">
        <v>12988700</v>
      </c>
      <c r="BA22">
        <v>0</v>
      </c>
      <c r="BB22">
        <v>0</v>
      </c>
      <c r="BC22">
        <v>0</v>
      </c>
      <c r="BD22">
        <v>0</v>
      </c>
      <c r="BE22">
        <v>0</v>
      </c>
      <c r="BF22">
        <v>0</v>
      </c>
      <c r="BG22">
        <v>0</v>
      </c>
      <c r="BH22">
        <v>0</v>
      </c>
      <c r="BI22">
        <v>0</v>
      </c>
      <c r="BJ22">
        <v>0</v>
      </c>
      <c r="BK22">
        <v>0</v>
      </c>
      <c r="BL22">
        <v>2671970</v>
      </c>
      <c r="BM22">
        <v>267190</v>
      </c>
      <c r="BN22">
        <v>0</v>
      </c>
      <c r="BO22">
        <v>0</v>
      </c>
      <c r="BP22">
        <v>1074310</v>
      </c>
      <c r="BQ22">
        <v>0</v>
      </c>
      <c r="BR22">
        <v>0</v>
      </c>
      <c r="BS22">
        <v>0</v>
      </c>
      <c r="BT22">
        <v>0</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DN22">
        <v>0</v>
      </c>
      <c r="DO22">
        <v>0</v>
      </c>
      <c r="DP22">
        <v>0</v>
      </c>
      <c r="DQ22">
        <v>0</v>
      </c>
      <c r="DR22">
        <v>0</v>
      </c>
      <c r="DS22">
        <v>0</v>
      </c>
      <c r="DT22">
        <v>4013470</v>
      </c>
      <c r="DU22">
        <v>8975230</v>
      </c>
      <c r="DV22">
        <v>0</v>
      </c>
    </row>
    <row r="23" spans="1:126" hidden="1">
      <c r="A23" t="s">
        <v>4900</v>
      </c>
      <c r="B23" t="s">
        <v>4868</v>
      </c>
      <c r="C23">
        <v>2018</v>
      </c>
      <c r="D23">
        <v>4</v>
      </c>
      <c r="E23" t="s">
        <v>3953</v>
      </c>
      <c r="F23" t="s">
        <v>4869</v>
      </c>
      <c r="G23" s="2042">
        <v>43214</v>
      </c>
      <c r="H23" t="s">
        <v>4880</v>
      </c>
      <c r="I23" t="s">
        <v>4880</v>
      </c>
      <c r="J23" t="s">
        <v>4881</v>
      </c>
      <c r="K23" t="s">
        <v>4746</v>
      </c>
      <c r="L23" t="s">
        <v>4882</v>
      </c>
      <c r="M23" t="s">
        <v>4882</v>
      </c>
      <c r="N23" t="s">
        <v>4883</v>
      </c>
      <c r="O23" t="s">
        <v>4879</v>
      </c>
      <c r="P23" t="s">
        <v>4743</v>
      </c>
      <c r="Q23" s="2042">
        <v>42826</v>
      </c>
      <c r="R23" s="2042">
        <v>42826</v>
      </c>
      <c r="S23">
        <v>220</v>
      </c>
      <c r="T23">
        <v>0</v>
      </c>
      <c r="U23">
        <v>10700000</v>
      </c>
      <c r="V23">
        <v>2140000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17120000</v>
      </c>
      <c r="AY23">
        <v>13340000</v>
      </c>
      <c r="AZ23">
        <v>12840000</v>
      </c>
      <c r="BA23">
        <v>500000</v>
      </c>
      <c r="BB23">
        <v>0</v>
      </c>
      <c r="BC23">
        <v>0</v>
      </c>
      <c r="BD23">
        <v>0</v>
      </c>
      <c r="BE23">
        <v>0</v>
      </c>
      <c r="BF23">
        <v>0</v>
      </c>
      <c r="BG23">
        <v>0</v>
      </c>
      <c r="BH23">
        <v>0</v>
      </c>
      <c r="BI23">
        <v>0</v>
      </c>
      <c r="BJ23">
        <v>0</v>
      </c>
      <c r="BK23">
        <v>0</v>
      </c>
      <c r="BL23">
        <v>2931480</v>
      </c>
      <c r="BM23">
        <v>293140</v>
      </c>
      <c r="BN23">
        <v>0</v>
      </c>
      <c r="BO23">
        <v>0</v>
      </c>
      <c r="BP23">
        <v>2088880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c r="DS23">
        <v>0</v>
      </c>
      <c r="DT23">
        <v>5313500</v>
      </c>
      <c r="DU23">
        <v>7526500</v>
      </c>
      <c r="DV23">
        <v>0</v>
      </c>
    </row>
    <row r="24" spans="1:126" hidden="1">
      <c r="A24" t="s">
        <v>4900</v>
      </c>
      <c r="B24" t="s">
        <v>4868</v>
      </c>
      <c r="C24">
        <v>2018</v>
      </c>
      <c r="D24">
        <v>3</v>
      </c>
      <c r="E24" t="s">
        <v>3953</v>
      </c>
      <c r="F24" t="s">
        <v>4869</v>
      </c>
      <c r="G24" s="2042">
        <v>43182</v>
      </c>
      <c r="H24" t="s">
        <v>4880</v>
      </c>
      <c r="I24" t="s">
        <v>4880</v>
      </c>
      <c r="J24" t="s">
        <v>4881</v>
      </c>
      <c r="K24" t="s">
        <v>4746</v>
      </c>
      <c r="L24" t="s">
        <v>4882</v>
      </c>
      <c r="M24" t="s">
        <v>4882</v>
      </c>
      <c r="N24" t="s">
        <v>4883</v>
      </c>
      <c r="O24" t="s">
        <v>4879</v>
      </c>
      <c r="P24" t="s">
        <v>4743</v>
      </c>
      <c r="Q24" s="2042">
        <v>42826</v>
      </c>
      <c r="R24" s="2042">
        <v>42826</v>
      </c>
      <c r="S24">
        <v>220</v>
      </c>
      <c r="T24">
        <v>0</v>
      </c>
      <c r="U24">
        <v>10700000</v>
      </c>
      <c r="V24">
        <v>2140000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17120000</v>
      </c>
      <c r="AY24">
        <v>12840000</v>
      </c>
      <c r="AZ24">
        <v>12840000</v>
      </c>
      <c r="BA24">
        <v>0</v>
      </c>
      <c r="BB24">
        <v>0</v>
      </c>
      <c r="BC24">
        <v>0</v>
      </c>
      <c r="BD24">
        <v>0</v>
      </c>
      <c r="BE24">
        <v>0</v>
      </c>
      <c r="BF24">
        <v>0</v>
      </c>
      <c r="BG24">
        <v>0</v>
      </c>
      <c r="BH24">
        <v>0</v>
      </c>
      <c r="BI24">
        <v>0</v>
      </c>
      <c r="BJ24">
        <v>0</v>
      </c>
      <c r="BK24">
        <v>0</v>
      </c>
      <c r="BL24">
        <v>2583190</v>
      </c>
      <c r="BM24">
        <v>258310</v>
      </c>
      <c r="BN24">
        <v>0</v>
      </c>
      <c r="BO24">
        <v>0</v>
      </c>
      <c r="BP24">
        <v>755780</v>
      </c>
      <c r="BQ24">
        <v>0</v>
      </c>
      <c r="BR24">
        <v>0</v>
      </c>
      <c r="BS24">
        <v>0</v>
      </c>
      <c r="BT24">
        <v>0</v>
      </c>
      <c r="BU24">
        <v>0</v>
      </c>
      <c r="BV24">
        <v>0</v>
      </c>
      <c r="BW24">
        <v>0</v>
      </c>
      <c r="BX24">
        <v>0</v>
      </c>
      <c r="BY24">
        <v>0</v>
      </c>
      <c r="BZ24">
        <v>0</v>
      </c>
      <c r="CA24">
        <v>0</v>
      </c>
      <c r="CB24">
        <v>0</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3597280</v>
      </c>
      <c r="DU24">
        <v>9242720</v>
      </c>
      <c r="DV24">
        <v>0</v>
      </c>
    </row>
    <row r="25" spans="1:126" hidden="1">
      <c r="A25" t="s">
        <v>4900</v>
      </c>
      <c r="B25" t="s">
        <v>4868</v>
      </c>
      <c r="C25">
        <v>2018</v>
      </c>
      <c r="D25">
        <v>2</v>
      </c>
      <c r="E25" t="s">
        <v>3953</v>
      </c>
      <c r="F25" t="s">
        <v>4869</v>
      </c>
      <c r="G25" s="2042">
        <v>43154</v>
      </c>
      <c r="H25" t="s">
        <v>4880</v>
      </c>
      <c r="I25" t="s">
        <v>4880</v>
      </c>
      <c r="J25" t="s">
        <v>4881</v>
      </c>
      <c r="K25" t="s">
        <v>4746</v>
      </c>
      <c r="L25" t="s">
        <v>4882</v>
      </c>
      <c r="M25" t="s">
        <v>4882</v>
      </c>
      <c r="N25" t="s">
        <v>4883</v>
      </c>
      <c r="O25" t="s">
        <v>4879</v>
      </c>
      <c r="P25" t="s">
        <v>4743</v>
      </c>
      <c r="Q25" s="2042">
        <v>42826</v>
      </c>
      <c r="R25" s="2042">
        <v>42826</v>
      </c>
      <c r="S25">
        <v>220</v>
      </c>
      <c r="T25">
        <v>0</v>
      </c>
      <c r="U25">
        <v>10700000</v>
      </c>
      <c r="V25">
        <v>2140000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54550</v>
      </c>
      <c r="AS25">
        <v>0</v>
      </c>
      <c r="AT25">
        <v>0</v>
      </c>
      <c r="AU25">
        <v>0</v>
      </c>
      <c r="AV25">
        <v>0</v>
      </c>
      <c r="AW25">
        <v>0</v>
      </c>
      <c r="AX25">
        <v>16852500</v>
      </c>
      <c r="AY25">
        <v>12994550</v>
      </c>
      <c r="AZ25">
        <v>12894550</v>
      </c>
      <c r="BA25">
        <v>100000</v>
      </c>
      <c r="BB25">
        <v>0</v>
      </c>
      <c r="BC25">
        <v>0</v>
      </c>
      <c r="BD25">
        <v>0</v>
      </c>
      <c r="BE25">
        <v>0</v>
      </c>
      <c r="BF25">
        <v>0</v>
      </c>
      <c r="BG25">
        <v>0</v>
      </c>
      <c r="BH25">
        <v>0</v>
      </c>
      <c r="BI25">
        <v>0</v>
      </c>
      <c r="BJ25">
        <v>0</v>
      </c>
      <c r="BK25">
        <v>0</v>
      </c>
      <c r="BL25">
        <v>2612560</v>
      </c>
      <c r="BM25">
        <v>261250</v>
      </c>
      <c r="BN25">
        <v>588410</v>
      </c>
      <c r="BO25">
        <v>58890</v>
      </c>
      <c r="BP25">
        <v>755780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4276890</v>
      </c>
      <c r="DU25">
        <v>8617660</v>
      </c>
      <c r="DV25">
        <v>0</v>
      </c>
    </row>
    <row r="26" spans="1:126" hidden="1">
      <c r="A26" t="s">
        <v>4900</v>
      </c>
      <c r="B26" t="s">
        <v>4868</v>
      </c>
      <c r="C26">
        <v>2018</v>
      </c>
      <c r="D26">
        <v>1</v>
      </c>
      <c r="E26" t="s">
        <v>3953</v>
      </c>
      <c r="F26" t="s">
        <v>4869</v>
      </c>
      <c r="G26" s="2042">
        <v>43124</v>
      </c>
      <c r="H26" t="s">
        <v>4880</v>
      </c>
      <c r="I26" t="s">
        <v>4880</v>
      </c>
      <c r="J26" t="s">
        <v>4881</v>
      </c>
      <c r="K26" t="s">
        <v>4746</v>
      </c>
      <c r="L26" t="s">
        <v>4882</v>
      </c>
      <c r="M26" t="s">
        <v>4882</v>
      </c>
      <c r="N26" t="s">
        <v>4883</v>
      </c>
      <c r="O26" t="s">
        <v>4879</v>
      </c>
      <c r="P26" t="s">
        <v>4743</v>
      </c>
      <c r="Q26" s="2042">
        <v>42826</v>
      </c>
      <c r="R26" s="2042">
        <v>42826</v>
      </c>
      <c r="S26">
        <v>220</v>
      </c>
      <c r="T26">
        <v>0</v>
      </c>
      <c r="U26">
        <v>10700000</v>
      </c>
      <c r="V26">
        <v>2140000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16852500</v>
      </c>
      <c r="AY26">
        <v>12840000</v>
      </c>
      <c r="AZ26">
        <v>12840000</v>
      </c>
      <c r="BA26">
        <v>0</v>
      </c>
      <c r="BB26">
        <v>0</v>
      </c>
      <c r="BC26">
        <v>0</v>
      </c>
      <c r="BD26">
        <v>0</v>
      </c>
      <c r="BE26">
        <v>0</v>
      </c>
      <c r="BF26">
        <v>0</v>
      </c>
      <c r="BG26">
        <v>0</v>
      </c>
      <c r="BH26">
        <v>0</v>
      </c>
      <c r="BI26">
        <v>0</v>
      </c>
      <c r="BJ26">
        <v>0</v>
      </c>
      <c r="BK26">
        <v>0</v>
      </c>
      <c r="BL26">
        <v>2583190</v>
      </c>
      <c r="BM26">
        <v>258310</v>
      </c>
      <c r="BN26">
        <v>0</v>
      </c>
      <c r="BO26">
        <v>0</v>
      </c>
      <c r="BP26">
        <v>755780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DN26">
        <v>0</v>
      </c>
      <c r="DO26">
        <v>0</v>
      </c>
      <c r="DP26">
        <v>0</v>
      </c>
      <c r="DQ26">
        <v>0</v>
      </c>
      <c r="DR26">
        <v>0</v>
      </c>
      <c r="DS26">
        <v>0</v>
      </c>
      <c r="DT26">
        <v>3597280</v>
      </c>
      <c r="DU26">
        <v>9242720</v>
      </c>
      <c r="DV26">
        <v>0</v>
      </c>
    </row>
    <row r="27" spans="1:126" hidden="1">
      <c r="A27" t="s">
        <v>4900</v>
      </c>
      <c r="B27" t="s">
        <v>4868</v>
      </c>
      <c r="C27">
        <v>2019</v>
      </c>
      <c r="D27">
        <v>12</v>
      </c>
      <c r="E27" t="s">
        <v>3953</v>
      </c>
      <c r="F27" t="s">
        <v>4869</v>
      </c>
      <c r="G27" s="2042">
        <v>43823</v>
      </c>
      <c r="H27" t="s">
        <v>4870</v>
      </c>
      <c r="I27" t="s">
        <v>4870</v>
      </c>
      <c r="J27" t="s">
        <v>4871</v>
      </c>
      <c r="K27" t="s">
        <v>4746</v>
      </c>
      <c r="L27" t="s">
        <v>4872</v>
      </c>
      <c r="M27" t="s">
        <v>4872</v>
      </c>
      <c r="N27" t="s">
        <v>4873</v>
      </c>
      <c r="O27" t="s">
        <v>4879</v>
      </c>
      <c r="P27" t="s">
        <v>4743</v>
      </c>
      <c r="Q27" s="2042">
        <v>43191</v>
      </c>
      <c r="R27" s="2042">
        <v>43191</v>
      </c>
      <c r="S27">
        <v>220</v>
      </c>
      <c r="T27">
        <v>0</v>
      </c>
      <c r="U27">
        <v>56160000</v>
      </c>
      <c r="V27">
        <v>11230000</v>
      </c>
      <c r="W27">
        <v>0</v>
      </c>
      <c r="X27">
        <v>43240000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111475000</v>
      </c>
      <c r="AY27">
        <v>144890380</v>
      </c>
      <c r="AZ27">
        <v>110630000</v>
      </c>
      <c r="BA27">
        <v>34260380</v>
      </c>
      <c r="BB27">
        <v>0</v>
      </c>
      <c r="BC27">
        <v>0</v>
      </c>
      <c r="BD27">
        <v>0</v>
      </c>
      <c r="BE27">
        <v>0</v>
      </c>
      <c r="BF27">
        <v>0</v>
      </c>
      <c r="BG27">
        <v>0</v>
      </c>
      <c r="BH27">
        <v>0</v>
      </c>
      <c r="BI27">
        <v>0</v>
      </c>
      <c r="BJ27">
        <v>0</v>
      </c>
      <c r="BK27">
        <v>0</v>
      </c>
      <c r="BL27">
        <v>55841050</v>
      </c>
      <c r="BM27">
        <v>5584100</v>
      </c>
      <c r="BN27">
        <v>0</v>
      </c>
      <c r="BO27">
        <v>0</v>
      </c>
      <c r="BP27">
        <v>3453610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c r="DA27">
        <v>0</v>
      </c>
      <c r="DB27">
        <v>0</v>
      </c>
      <c r="DC27">
        <v>0</v>
      </c>
      <c r="DD27">
        <v>0</v>
      </c>
      <c r="DE27">
        <v>0</v>
      </c>
      <c r="DF27">
        <v>0</v>
      </c>
      <c r="DG27">
        <v>0</v>
      </c>
      <c r="DH27">
        <v>0</v>
      </c>
      <c r="DI27">
        <v>0</v>
      </c>
      <c r="DJ27">
        <v>0</v>
      </c>
      <c r="DK27">
        <v>0</v>
      </c>
      <c r="DL27">
        <v>0</v>
      </c>
      <c r="DM27">
        <v>0</v>
      </c>
      <c r="DN27">
        <v>0</v>
      </c>
      <c r="DO27">
        <v>0</v>
      </c>
      <c r="DP27">
        <v>0</v>
      </c>
      <c r="DQ27">
        <v>0</v>
      </c>
      <c r="DR27">
        <v>0</v>
      </c>
      <c r="DS27">
        <v>0</v>
      </c>
      <c r="DT27">
        <v>64878760</v>
      </c>
      <c r="DU27">
        <v>45751240</v>
      </c>
      <c r="DV27">
        <v>0</v>
      </c>
    </row>
    <row r="28" spans="1:126" hidden="1">
      <c r="A28" t="s">
        <v>4900</v>
      </c>
      <c r="B28" t="s">
        <v>4868</v>
      </c>
      <c r="C28">
        <v>2019</v>
      </c>
      <c r="D28">
        <v>11</v>
      </c>
      <c r="E28" t="s">
        <v>3953</v>
      </c>
      <c r="F28" t="s">
        <v>4869</v>
      </c>
      <c r="G28" s="2042">
        <v>43791</v>
      </c>
      <c r="H28" t="s">
        <v>4870</v>
      </c>
      <c r="I28" t="s">
        <v>4870</v>
      </c>
      <c r="J28" t="s">
        <v>4871</v>
      </c>
      <c r="K28" t="s">
        <v>4746</v>
      </c>
      <c r="L28" t="s">
        <v>4872</v>
      </c>
      <c r="M28" t="s">
        <v>4872</v>
      </c>
      <c r="N28" t="s">
        <v>4873</v>
      </c>
      <c r="O28" t="s">
        <v>4879</v>
      </c>
      <c r="P28" t="s">
        <v>4743</v>
      </c>
      <c r="Q28" s="2042">
        <v>43191</v>
      </c>
      <c r="R28" s="2042">
        <v>43191</v>
      </c>
      <c r="S28">
        <v>220</v>
      </c>
      <c r="T28">
        <v>0</v>
      </c>
      <c r="U28">
        <v>56160000</v>
      </c>
      <c r="V28">
        <v>11230000</v>
      </c>
      <c r="W28">
        <v>0</v>
      </c>
      <c r="X28">
        <v>43240000</v>
      </c>
      <c r="Y28">
        <v>0</v>
      </c>
      <c r="Z28">
        <v>0</v>
      </c>
      <c r="AA28">
        <v>0</v>
      </c>
      <c r="AB28">
        <v>0</v>
      </c>
      <c r="AC28">
        <v>0</v>
      </c>
      <c r="AD28">
        <v>0</v>
      </c>
      <c r="AE28">
        <v>0</v>
      </c>
      <c r="AF28">
        <v>0</v>
      </c>
      <c r="AG28">
        <v>0</v>
      </c>
      <c r="AH28">
        <v>0</v>
      </c>
      <c r="AI28">
        <v>0</v>
      </c>
      <c r="AJ28">
        <v>0</v>
      </c>
      <c r="AK28">
        <v>0</v>
      </c>
      <c r="AL28">
        <v>0</v>
      </c>
      <c r="AM28">
        <v>0</v>
      </c>
      <c r="AN28">
        <v>0</v>
      </c>
      <c r="AO28">
        <v>0</v>
      </c>
      <c r="AP28">
        <v>0</v>
      </c>
      <c r="AQ28">
        <v>0</v>
      </c>
      <c r="AR28">
        <v>149400</v>
      </c>
      <c r="AS28">
        <v>0</v>
      </c>
      <c r="AT28">
        <v>0</v>
      </c>
      <c r="AU28">
        <v>0</v>
      </c>
      <c r="AV28">
        <v>0</v>
      </c>
      <c r="AW28">
        <v>0</v>
      </c>
      <c r="AX28">
        <v>111475000</v>
      </c>
      <c r="AY28">
        <v>110779400</v>
      </c>
      <c r="AZ28">
        <v>110779400</v>
      </c>
      <c r="BA28">
        <v>0</v>
      </c>
      <c r="BB28">
        <v>0</v>
      </c>
      <c r="BC28">
        <v>0</v>
      </c>
      <c r="BD28">
        <v>0</v>
      </c>
      <c r="BE28">
        <v>0</v>
      </c>
      <c r="BF28">
        <v>0</v>
      </c>
      <c r="BG28">
        <v>0</v>
      </c>
      <c r="BH28">
        <v>0</v>
      </c>
      <c r="BI28">
        <v>0</v>
      </c>
      <c r="BJ28">
        <v>0</v>
      </c>
      <c r="BK28">
        <v>0</v>
      </c>
      <c r="BL28">
        <v>41800970</v>
      </c>
      <c r="BM28">
        <v>4180090</v>
      </c>
      <c r="BN28">
        <v>0</v>
      </c>
      <c r="BO28">
        <v>0</v>
      </c>
      <c r="BP28">
        <v>3453610</v>
      </c>
      <c r="BQ28">
        <v>0</v>
      </c>
      <c r="BR28">
        <v>0</v>
      </c>
      <c r="BS28">
        <v>0</v>
      </c>
      <c r="BT28">
        <v>0</v>
      </c>
      <c r="BU28">
        <v>0</v>
      </c>
      <c r="BV28">
        <v>0</v>
      </c>
      <c r="BW28">
        <v>0</v>
      </c>
      <c r="BX28">
        <v>0</v>
      </c>
      <c r="BY28">
        <v>0</v>
      </c>
      <c r="BZ28">
        <v>0</v>
      </c>
      <c r="CA28">
        <v>0</v>
      </c>
      <c r="CB28">
        <v>0</v>
      </c>
      <c r="CC28">
        <v>0</v>
      </c>
      <c r="CD28">
        <v>0</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0</v>
      </c>
      <c r="DA28">
        <v>0</v>
      </c>
      <c r="DB28">
        <v>0</v>
      </c>
      <c r="DC28">
        <v>0</v>
      </c>
      <c r="DD28">
        <v>0</v>
      </c>
      <c r="DE28">
        <v>0</v>
      </c>
      <c r="DF28">
        <v>0</v>
      </c>
      <c r="DG28">
        <v>0</v>
      </c>
      <c r="DH28">
        <v>0</v>
      </c>
      <c r="DI28">
        <v>0</v>
      </c>
      <c r="DJ28">
        <v>0</v>
      </c>
      <c r="DK28">
        <v>0</v>
      </c>
      <c r="DL28">
        <v>0</v>
      </c>
      <c r="DM28">
        <v>0</v>
      </c>
      <c r="DN28">
        <v>0</v>
      </c>
      <c r="DO28">
        <v>0</v>
      </c>
      <c r="DP28">
        <v>0</v>
      </c>
      <c r="DQ28">
        <v>0</v>
      </c>
      <c r="DR28">
        <v>0</v>
      </c>
      <c r="DS28">
        <v>0</v>
      </c>
      <c r="DT28">
        <v>49434670</v>
      </c>
      <c r="DU28">
        <v>61344730</v>
      </c>
      <c r="DV28">
        <v>0</v>
      </c>
    </row>
    <row r="29" spans="1:126" hidden="1">
      <c r="A29" t="s">
        <v>4900</v>
      </c>
      <c r="B29" t="s">
        <v>4868</v>
      </c>
      <c r="C29">
        <v>2019</v>
      </c>
      <c r="D29">
        <v>10</v>
      </c>
      <c r="E29" t="s">
        <v>3953</v>
      </c>
      <c r="F29" t="s">
        <v>4869</v>
      </c>
      <c r="G29" s="2042">
        <v>43762</v>
      </c>
      <c r="H29" t="s">
        <v>4870</v>
      </c>
      <c r="I29" t="s">
        <v>4870</v>
      </c>
      <c r="J29" t="s">
        <v>4871</v>
      </c>
      <c r="K29" t="s">
        <v>4746</v>
      </c>
      <c r="L29" t="s">
        <v>4872</v>
      </c>
      <c r="M29" t="s">
        <v>4872</v>
      </c>
      <c r="N29" t="s">
        <v>4873</v>
      </c>
      <c r="O29" t="s">
        <v>4879</v>
      </c>
      <c r="P29" t="s">
        <v>4743</v>
      </c>
      <c r="Q29" s="2042">
        <v>43191</v>
      </c>
      <c r="R29" s="2042">
        <v>43191</v>
      </c>
      <c r="S29">
        <v>220</v>
      </c>
      <c r="T29">
        <v>0</v>
      </c>
      <c r="U29">
        <v>56160000</v>
      </c>
      <c r="V29">
        <v>11230000</v>
      </c>
      <c r="W29">
        <v>0</v>
      </c>
      <c r="X29">
        <v>43240000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111475000</v>
      </c>
      <c r="AY29">
        <v>110630000</v>
      </c>
      <c r="AZ29">
        <v>110630000</v>
      </c>
      <c r="BA29">
        <v>0</v>
      </c>
      <c r="BB29">
        <v>0</v>
      </c>
      <c r="BC29">
        <v>0</v>
      </c>
      <c r="BD29">
        <v>0</v>
      </c>
      <c r="BE29">
        <v>0</v>
      </c>
      <c r="BF29">
        <v>0</v>
      </c>
      <c r="BG29">
        <v>0</v>
      </c>
      <c r="BH29">
        <v>0</v>
      </c>
      <c r="BI29">
        <v>0</v>
      </c>
      <c r="BJ29">
        <v>0</v>
      </c>
      <c r="BK29">
        <v>0</v>
      </c>
      <c r="BL29">
        <v>41739470</v>
      </c>
      <c r="BM29">
        <v>4173940</v>
      </c>
      <c r="BN29">
        <v>0</v>
      </c>
      <c r="BO29">
        <v>0</v>
      </c>
      <c r="BP29">
        <v>3453610</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0</v>
      </c>
      <c r="DA29">
        <v>0</v>
      </c>
      <c r="DB29">
        <v>0</v>
      </c>
      <c r="DC29">
        <v>0</v>
      </c>
      <c r="DD29">
        <v>0</v>
      </c>
      <c r="DE29">
        <v>0</v>
      </c>
      <c r="DF29">
        <v>0</v>
      </c>
      <c r="DG29">
        <v>0</v>
      </c>
      <c r="DH29">
        <v>0</v>
      </c>
      <c r="DI29">
        <v>0</v>
      </c>
      <c r="DJ29">
        <v>0</v>
      </c>
      <c r="DK29">
        <v>0</v>
      </c>
      <c r="DL29">
        <v>0</v>
      </c>
      <c r="DM29">
        <v>0</v>
      </c>
      <c r="DN29">
        <v>0</v>
      </c>
      <c r="DO29">
        <v>0</v>
      </c>
      <c r="DP29">
        <v>0</v>
      </c>
      <c r="DQ29">
        <v>0</v>
      </c>
      <c r="DR29">
        <v>0</v>
      </c>
      <c r="DS29">
        <v>0</v>
      </c>
      <c r="DT29">
        <v>49367020</v>
      </c>
      <c r="DU29">
        <v>61262980</v>
      </c>
      <c r="DV29">
        <v>0</v>
      </c>
    </row>
    <row r="30" spans="1:126" hidden="1">
      <c r="A30" t="s">
        <v>4900</v>
      </c>
      <c r="B30" t="s">
        <v>4868</v>
      </c>
      <c r="C30">
        <v>2019</v>
      </c>
      <c r="D30">
        <v>9</v>
      </c>
      <c r="E30" t="s">
        <v>3953</v>
      </c>
      <c r="F30" t="s">
        <v>4869</v>
      </c>
      <c r="G30" s="2042">
        <v>43732</v>
      </c>
      <c r="H30" t="s">
        <v>4870</v>
      </c>
      <c r="I30" t="s">
        <v>4870</v>
      </c>
      <c r="J30" t="s">
        <v>4871</v>
      </c>
      <c r="K30" t="s">
        <v>4746</v>
      </c>
      <c r="L30" t="s">
        <v>4872</v>
      </c>
      <c r="M30" t="s">
        <v>4872</v>
      </c>
      <c r="N30" t="s">
        <v>4873</v>
      </c>
      <c r="O30" t="s">
        <v>4879</v>
      </c>
      <c r="P30" t="s">
        <v>4743</v>
      </c>
      <c r="Q30" s="2042">
        <v>43191</v>
      </c>
      <c r="R30" s="2042">
        <v>43191</v>
      </c>
      <c r="S30">
        <v>220</v>
      </c>
      <c r="T30">
        <v>0</v>
      </c>
      <c r="U30">
        <v>56160000</v>
      </c>
      <c r="V30">
        <v>11230000</v>
      </c>
      <c r="W30">
        <v>0</v>
      </c>
      <c r="X30">
        <v>43240000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111475000</v>
      </c>
      <c r="AY30">
        <v>110630000</v>
      </c>
      <c r="AZ30">
        <v>110630000</v>
      </c>
      <c r="BA30">
        <v>0</v>
      </c>
      <c r="BB30">
        <v>0</v>
      </c>
      <c r="BC30">
        <v>0</v>
      </c>
      <c r="BD30">
        <v>0</v>
      </c>
      <c r="BE30">
        <v>0</v>
      </c>
      <c r="BF30">
        <v>0</v>
      </c>
      <c r="BG30">
        <v>0</v>
      </c>
      <c r="BH30">
        <v>0</v>
      </c>
      <c r="BI30">
        <v>0</v>
      </c>
      <c r="BJ30">
        <v>0</v>
      </c>
      <c r="BK30">
        <v>0</v>
      </c>
      <c r="BL30">
        <v>41739470</v>
      </c>
      <c r="BM30">
        <v>4173940</v>
      </c>
      <c r="BN30">
        <v>0</v>
      </c>
      <c r="BO30">
        <v>0</v>
      </c>
      <c r="BP30">
        <v>3453610</v>
      </c>
      <c r="BQ30">
        <v>0</v>
      </c>
      <c r="BR30">
        <v>0</v>
      </c>
      <c r="BS30">
        <v>0</v>
      </c>
      <c r="BT30">
        <v>0</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0</v>
      </c>
      <c r="DA30">
        <v>0</v>
      </c>
      <c r="DB30">
        <v>0</v>
      </c>
      <c r="DC30">
        <v>0</v>
      </c>
      <c r="DD30">
        <v>0</v>
      </c>
      <c r="DE30">
        <v>0</v>
      </c>
      <c r="DF30">
        <v>0</v>
      </c>
      <c r="DG30">
        <v>0</v>
      </c>
      <c r="DH30">
        <v>0</v>
      </c>
      <c r="DI30">
        <v>0</v>
      </c>
      <c r="DJ30">
        <v>0</v>
      </c>
      <c r="DK30">
        <v>0</v>
      </c>
      <c r="DL30">
        <v>0</v>
      </c>
      <c r="DM30">
        <v>0</v>
      </c>
      <c r="DN30">
        <v>0</v>
      </c>
      <c r="DO30">
        <v>0</v>
      </c>
      <c r="DP30">
        <v>0</v>
      </c>
      <c r="DQ30">
        <v>0</v>
      </c>
      <c r="DR30">
        <v>0</v>
      </c>
      <c r="DS30">
        <v>0</v>
      </c>
      <c r="DT30">
        <v>49367020</v>
      </c>
      <c r="DU30">
        <v>61262980</v>
      </c>
      <c r="DV30">
        <v>0</v>
      </c>
    </row>
    <row r="31" spans="1:126" hidden="1">
      <c r="A31" t="s">
        <v>4900</v>
      </c>
      <c r="B31" t="s">
        <v>4868</v>
      </c>
      <c r="C31">
        <v>2019</v>
      </c>
      <c r="D31">
        <v>8</v>
      </c>
      <c r="E31" t="s">
        <v>3953</v>
      </c>
      <c r="F31" t="s">
        <v>4869</v>
      </c>
      <c r="G31" s="2042">
        <v>43700</v>
      </c>
      <c r="H31" t="s">
        <v>4870</v>
      </c>
      <c r="I31" t="s">
        <v>4870</v>
      </c>
      <c r="J31" t="s">
        <v>4871</v>
      </c>
      <c r="K31" t="s">
        <v>4746</v>
      </c>
      <c r="L31" t="s">
        <v>4872</v>
      </c>
      <c r="M31" t="s">
        <v>4872</v>
      </c>
      <c r="N31" t="s">
        <v>4873</v>
      </c>
      <c r="O31" t="s">
        <v>4879</v>
      </c>
      <c r="P31" t="s">
        <v>4743</v>
      </c>
      <c r="Q31" s="2042">
        <v>43191</v>
      </c>
      <c r="R31" s="2042">
        <v>43191</v>
      </c>
      <c r="S31">
        <v>220</v>
      </c>
      <c r="T31">
        <v>0</v>
      </c>
      <c r="U31">
        <v>56160000</v>
      </c>
      <c r="V31">
        <v>11230000</v>
      </c>
      <c r="W31">
        <v>0</v>
      </c>
      <c r="X31">
        <v>43240000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111475000</v>
      </c>
      <c r="AY31">
        <v>110630000</v>
      </c>
      <c r="AZ31">
        <v>110630000</v>
      </c>
      <c r="BA31">
        <v>0</v>
      </c>
      <c r="BB31">
        <v>0</v>
      </c>
      <c r="BC31">
        <v>0</v>
      </c>
      <c r="BD31">
        <v>0</v>
      </c>
      <c r="BE31">
        <v>0</v>
      </c>
      <c r="BF31">
        <v>0</v>
      </c>
      <c r="BG31">
        <v>0</v>
      </c>
      <c r="BH31">
        <v>0</v>
      </c>
      <c r="BI31">
        <v>0</v>
      </c>
      <c r="BJ31">
        <v>0</v>
      </c>
      <c r="BK31">
        <v>0</v>
      </c>
      <c r="BL31">
        <v>41739470</v>
      </c>
      <c r="BM31">
        <v>4173940</v>
      </c>
      <c r="BN31">
        <v>0</v>
      </c>
      <c r="BO31">
        <v>0</v>
      </c>
      <c r="BP31">
        <v>3453610</v>
      </c>
      <c r="BQ31">
        <v>0</v>
      </c>
      <c r="BR31">
        <v>0</v>
      </c>
      <c r="BS31">
        <v>0</v>
      </c>
      <c r="BT31">
        <v>0</v>
      </c>
      <c r="BU31">
        <v>0</v>
      </c>
      <c r="BV31">
        <v>0</v>
      </c>
      <c r="BW31">
        <v>0</v>
      </c>
      <c r="BX31">
        <v>0</v>
      </c>
      <c r="BY31">
        <v>0</v>
      </c>
      <c r="BZ31">
        <v>0</v>
      </c>
      <c r="CA31">
        <v>0</v>
      </c>
      <c r="CB31">
        <v>0</v>
      </c>
      <c r="CC31">
        <v>0</v>
      </c>
      <c r="CD31">
        <v>0</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0</v>
      </c>
      <c r="DA31">
        <v>0</v>
      </c>
      <c r="DB31">
        <v>0</v>
      </c>
      <c r="DC31">
        <v>0</v>
      </c>
      <c r="DD31">
        <v>0</v>
      </c>
      <c r="DE31">
        <v>0</v>
      </c>
      <c r="DF31">
        <v>0</v>
      </c>
      <c r="DG31">
        <v>0</v>
      </c>
      <c r="DH31">
        <v>0</v>
      </c>
      <c r="DI31">
        <v>0</v>
      </c>
      <c r="DJ31">
        <v>0</v>
      </c>
      <c r="DK31">
        <v>0</v>
      </c>
      <c r="DL31">
        <v>0</v>
      </c>
      <c r="DM31">
        <v>0</v>
      </c>
      <c r="DN31">
        <v>0</v>
      </c>
      <c r="DO31">
        <v>0</v>
      </c>
      <c r="DP31">
        <v>0</v>
      </c>
      <c r="DQ31">
        <v>0</v>
      </c>
      <c r="DR31">
        <v>0</v>
      </c>
      <c r="DS31">
        <v>0</v>
      </c>
      <c r="DT31">
        <v>49367020</v>
      </c>
      <c r="DU31">
        <v>61262980</v>
      </c>
      <c r="DV31">
        <v>0</v>
      </c>
    </row>
    <row r="32" spans="1:126" hidden="1">
      <c r="A32" t="s">
        <v>4900</v>
      </c>
      <c r="B32" t="s">
        <v>4868</v>
      </c>
      <c r="C32">
        <v>2019</v>
      </c>
      <c r="D32">
        <v>7</v>
      </c>
      <c r="E32" t="s">
        <v>3953</v>
      </c>
      <c r="F32" t="s">
        <v>4869</v>
      </c>
      <c r="G32" s="2042">
        <v>43670</v>
      </c>
      <c r="H32" t="s">
        <v>4870</v>
      </c>
      <c r="I32" t="s">
        <v>4870</v>
      </c>
      <c r="J32" t="s">
        <v>4871</v>
      </c>
      <c r="K32" t="s">
        <v>4746</v>
      </c>
      <c r="L32" t="s">
        <v>4872</v>
      </c>
      <c r="M32" t="s">
        <v>4872</v>
      </c>
      <c r="N32" t="s">
        <v>4873</v>
      </c>
      <c r="O32" t="s">
        <v>4879</v>
      </c>
      <c r="P32" t="s">
        <v>4743</v>
      </c>
      <c r="Q32" s="2042">
        <v>43191</v>
      </c>
      <c r="R32" s="2042">
        <v>43191</v>
      </c>
      <c r="S32">
        <v>220</v>
      </c>
      <c r="T32">
        <v>0</v>
      </c>
      <c r="U32">
        <v>56160000</v>
      </c>
      <c r="V32">
        <v>11230000</v>
      </c>
      <c r="W32">
        <v>0</v>
      </c>
      <c r="X32">
        <v>43240000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111475000</v>
      </c>
      <c r="AY32">
        <v>110630000</v>
      </c>
      <c r="AZ32">
        <v>110630000</v>
      </c>
      <c r="BA32">
        <v>0</v>
      </c>
      <c r="BB32">
        <v>0</v>
      </c>
      <c r="BC32">
        <v>0</v>
      </c>
      <c r="BD32">
        <v>0</v>
      </c>
      <c r="BE32">
        <v>0</v>
      </c>
      <c r="BF32">
        <v>0</v>
      </c>
      <c r="BG32">
        <v>0</v>
      </c>
      <c r="BH32">
        <v>0</v>
      </c>
      <c r="BI32">
        <v>0</v>
      </c>
      <c r="BJ32">
        <v>0</v>
      </c>
      <c r="BK32">
        <v>0</v>
      </c>
      <c r="BL32">
        <v>41739470</v>
      </c>
      <c r="BM32">
        <v>4173940</v>
      </c>
      <c r="BN32">
        <v>0</v>
      </c>
      <c r="BO32">
        <v>0</v>
      </c>
      <c r="BP32">
        <v>3453610</v>
      </c>
      <c r="BQ32">
        <v>0</v>
      </c>
      <c r="BR32">
        <v>0</v>
      </c>
      <c r="BS32">
        <v>0</v>
      </c>
      <c r="BT32">
        <v>0</v>
      </c>
      <c r="BU32">
        <v>0</v>
      </c>
      <c r="BV32">
        <v>0</v>
      </c>
      <c r="BW32">
        <v>0</v>
      </c>
      <c r="BX32">
        <v>0</v>
      </c>
      <c r="BY32">
        <v>0</v>
      </c>
      <c r="BZ32">
        <v>0</v>
      </c>
      <c r="CA32">
        <v>0</v>
      </c>
      <c r="CB32">
        <v>0</v>
      </c>
      <c r="CC32">
        <v>0</v>
      </c>
      <c r="CD32">
        <v>0</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0</v>
      </c>
      <c r="DA32">
        <v>0</v>
      </c>
      <c r="DB32">
        <v>0</v>
      </c>
      <c r="DC32">
        <v>0</v>
      </c>
      <c r="DD32">
        <v>0</v>
      </c>
      <c r="DE32">
        <v>0</v>
      </c>
      <c r="DF32">
        <v>0</v>
      </c>
      <c r="DG32">
        <v>0</v>
      </c>
      <c r="DH32">
        <v>0</v>
      </c>
      <c r="DI32">
        <v>0</v>
      </c>
      <c r="DJ32">
        <v>0</v>
      </c>
      <c r="DK32">
        <v>0</v>
      </c>
      <c r="DL32">
        <v>0</v>
      </c>
      <c r="DM32">
        <v>0</v>
      </c>
      <c r="DN32">
        <v>0</v>
      </c>
      <c r="DO32">
        <v>0</v>
      </c>
      <c r="DP32">
        <v>0</v>
      </c>
      <c r="DQ32">
        <v>0</v>
      </c>
      <c r="DR32">
        <v>0</v>
      </c>
      <c r="DS32">
        <v>0</v>
      </c>
      <c r="DT32">
        <v>49367020</v>
      </c>
      <c r="DU32">
        <v>61262980</v>
      </c>
      <c r="DV32">
        <v>0</v>
      </c>
    </row>
    <row r="33" spans="1:126" hidden="1">
      <c r="A33" t="s">
        <v>4900</v>
      </c>
      <c r="B33" t="s">
        <v>4868</v>
      </c>
      <c r="C33">
        <v>2019</v>
      </c>
      <c r="D33">
        <v>6</v>
      </c>
      <c r="E33" t="s">
        <v>3953</v>
      </c>
      <c r="F33" t="s">
        <v>4869</v>
      </c>
      <c r="G33" s="2042">
        <v>43640</v>
      </c>
      <c r="H33" t="s">
        <v>4870</v>
      </c>
      <c r="I33" t="s">
        <v>4870</v>
      </c>
      <c r="J33" t="s">
        <v>4871</v>
      </c>
      <c r="K33" t="s">
        <v>4746</v>
      </c>
      <c r="L33" t="s">
        <v>4872</v>
      </c>
      <c r="M33" t="s">
        <v>4872</v>
      </c>
      <c r="N33" t="s">
        <v>4873</v>
      </c>
      <c r="O33" t="s">
        <v>4879</v>
      </c>
      <c r="P33" t="s">
        <v>4743</v>
      </c>
      <c r="Q33" s="2042">
        <v>43191</v>
      </c>
      <c r="R33" s="2042">
        <v>43191</v>
      </c>
      <c r="S33">
        <v>220</v>
      </c>
      <c r="T33">
        <v>0</v>
      </c>
      <c r="U33">
        <v>56160000</v>
      </c>
      <c r="V33">
        <v>11230000</v>
      </c>
      <c r="W33">
        <v>0</v>
      </c>
      <c r="X33">
        <v>43240000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111475000</v>
      </c>
      <c r="AY33">
        <v>110630000</v>
      </c>
      <c r="AZ33">
        <v>110630000</v>
      </c>
      <c r="BA33">
        <v>0</v>
      </c>
      <c r="BB33">
        <v>0</v>
      </c>
      <c r="BC33">
        <v>0</v>
      </c>
      <c r="BD33">
        <v>0</v>
      </c>
      <c r="BE33">
        <v>0</v>
      </c>
      <c r="BF33">
        <v>0</v>
      </c>
      <c r="BG33">
        <v>0</v>
      </c>
      <c r="BH33">
        <v>0</v>
      </c>
      <c r="BI33">
        <v>0</v>
      </c>
      <c r="BJ33">
        <v>0</v>
      </c>
      <c r="BK33">
        <v>0</v>
      </c>
      <c r="BL33">
        <v>41739470</v>
      </c>
      <c r="BM33">
        <v>4173940</v>
      </c>
      <c r="BN33">
        <v>0</v>
      </c>
      <c r="BO33">
        <v>0</v>
      </c>
      <c r="BP33">
        <v>3453610</v>
      </c>
      <c r="BQ33">
        <v>0</v>
      </c>
      <c r="BR33">
        <v>0</v>
      </c>
      <c r="BS33">
        <v>0</v>
      </c>
      <c r="BT33">
        <v>0</v>
      </c>
      <c r="BU33">
        <v>0</v>
      </c>
      <c r="BV33">
        <v>0</v>
      </c>
      <c r="BW33">
        <v>0</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0</v>
      </c>
      <c r="DO33">
        <v>0</v>
      </c>
      <c r="DP33">
        <v>0</v>
      </c>
      <c r="DQ33">
        <v>0</v>
      </c>
      <c r="DR33">
        <v>0</v>
      </c>
      <c r="DS33">
        <v>0</v>
      </c>
      <c r="DT33">
        <v>49367020</v>
      </c>
      <c r="DU33">
        <v>61262980</v>
      </c>
      <c r="DV33">
        <v>0</v>
      </c>
    </row>
    <row r="34" spans="1:126" hidden="1">
      <c r="A34" t="s">
        <v>4900</v>
      </c>
      <c r="B34" t="s">
        <v>4868</v>
      </c>
      <c r="C34">
        <v>2019</v>
      </c>
      <c r="D34">
        <v>5</v>
      </c>
      <c r="E34" t="s">
        <v>3953</v>
      </c>
      <c r="F34" t="s">
        <v>4869</v>
      </c>
      <c r="G34" s="2042">
        <v>43609</v>
      </c>
      <c r="H34" t="s">
        <v>4870</v>
      </c>
      <c r="I34" t="s">
        <v>4870</v>
      </c>
      <c r="J34" t="s">
        <v>4871</v>
      </c>
      <c r="K34" t="s">
        <v>4746</v>
      </c>
      <c r="L34" t="s">
        <v>4872</v>
      </c>
      <c r="M34" t="s">
        <v>4872</v>
      </c>
      <c r="N34" t="s">
        <v>4873</v>
      </c>
      <c r="O34" t="s">
        <v>4879</v>
      </c>
      <c r="P34" t="s">
        <v>4743</v>
      </c>
      <c r="Q34" s="2042">
        <v>43191</v>
      </c>
      <c r="R34" s="2042">
        <v>43191</v>
      </c>
      <c r="S34">
        <v>220</v>
      </c>
      <c r="T34">
        <v>0</v>
      </c>
      <c r="U34">
        <v>56160000</v>
      </c>
      <c r="V34">
        <v>11230000</v>
      </c>
      <c r="W34">
        <v>0</v>
      </c>
      <c r="X34">
        <v>43240000</v>
      </c>
      <c r="Y34">
        <v>0</v>
      </c>
      <c r="Z34">
        <v>0</v>
      </c>
      <c r="AA34">
        <v>0</v>
      </c>
      <c r="AB34">
        <v>0</v>
      </c>
      <c r="AC34">
        <v>0</v>
      </c>
      <c r="AD34">
        <v>0</v>
      </c>
      <c r="AE34">
        <v>0</v>
      </c>
      <c r="AF34">
        <v>0</v>
      </c>
      <c r="AG34">
        <v>0</v>
      </c>
      <c r="AH34">
        <v>0</v>
      </c>
      <c r="AI34">
        <v>0</v>
      </c>
      <c r="AJ34">
        <v>0</v>
      </c>
      <c r="AK34">
        <v>0</v>
      </c>
      <c r="AL34">
        <v>0</v>
      </c>
      <c r="AM34">
        <v>0</v>
      </c>
      <c r="AN34">
        <v>0</v>
      </c>
      <c r="AO34">
        <v>0</v>
      </c>
      <c r="AP34">
        <v>0</v>
      </c>
      <c r="AQ34">
        <v>0</v>
      </c>
      <c r="AR34">
        <v>546300</v>
      </c>
      <c r="AS34">
        <v>0</v>
      </c>
      <c r="AT34">
        <v>0</v>
      </c>
      <c r="AU34">
        <v>0</v>
      </c>
      <c r="AV34">
        <v>0</v>
      </c>
      <c r="AW34">
        <v>0</v>
      </c>
      <c r="AX34">
        <v>111475000</v>
      </c>
      <c r="AY34">
        <v>111776300</v>
      </c>
      <c r="AZ34">
        <v>111176300</v>
      </c>
      <c r="BA34">
        <v>600000</v>
      </c>
      <c r="BB34">
        <v>0</v>
      </c>
      <c r="BC34">
        <v>0</v>
      </c>
      <c r="BD34">
        <v>0</v>
      </c>
      <c r="BE34">
        <v>0</v>
      </c>
      <c r="BF34">
        <v>0</v>
      </c>
      <c r="BG34">
        <v>0</v>
      </c>
      <c r="BH34">
        <v>0</v>
      </c>
      <c r="BI34">
        <v>0</v>
      </c>
      <c r="BJ34">
        <v>0</v>
      </c>
      <c r="BK34">
        <v>0</v>
      </c>
      <c r="BL34">
        <v>42211290</v>
      </c>
      <c r="BM34">
        <v>4221120</v>
      </c>
      <c r="BN34">
        <v>0</v>
      </c>
      <c r="BO34">
        <v>0</v>
      </c>
      <c r="BP34">
        <v>3453610</v>
      </c>
      <c r="BQ34">
        <v>0</v>
      </c>
      <c r="BR34">
        <v>0</v>
      </c>
      <c r="BS34">
        <v>0</v>
      </c>
      <c r="BT34">
        <v>0</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0</v>
      </c>
      <c r="DA34">
        <v>0</v>
      </c>
      <c r="DB34">
        <v>0</v>
      </c>
      <c r="DC34">
        <v>0</v>
      </c>
      <c r="DD34">
        <v>0</v>
      </c>
      <c r="DE34">
        <v>0</v>
      </c>
      <c r="DF34">
        <v>0</v>
      </c>
      <c r="DG34">
        <v>0</v>
      </c>
      <c r="DH34">
        <v>0</v>
      </c>
      <c r="DI34">
        <v>0</v>
      </c>
      <c r="DJ34">
        <v>0</v>
      </c>
      <c r="DK34">
        <v>0</v>
      </c>
      <c r="DL34">
        <v>0</v>
      </c>
      <c r="DM34">
        <v>0</v>
      </c>
      <c r="DN34">
        <v>0</v>
      </c>
      <c r="DO34">
        <v>0</v>
      </c>
      <c r="DP34">
        <v>0</v>
      </c>
      <c r="DQ34">
        <v>0</v>
      </c>
      <c r="DR34">
        <v>0</v>
      </c>
      <c r="DS34">
        <v>0</v>
      </c>
      <c r="DT34">
        <v>49886020</v>
      </c>
      <c r="DU34">
        <v>61290280</v>
      </c>
      <c r="DV34">
        <v>0</v>
      </c>
    </row>
    <row r="35" spans="1:126" hidden="1">
      <c r="A35" t="s">
        <v>4900</v>
      </c>
      <c r="B35" t="s">
        <v>4868</v>
      </c>
      <c r="C35">
        <v>2019</v>
      </c>
      <c r="D35">
        <v>4</v>
      </c>
      <c r="E35" t="s">
        <v>3953</v>
      </c>
      <c r="F35" t="s">
        <v>4869</v>
      </c>
      <c r="G35" s="2042">
        <v>43579</v>
      </c>
      <c r="H35" t="s">
        <v>4870</v>
      </c>
      <c r="I35" t="s">
        <v>4870</v>
      </c>
      <c r="J35" t="s">
        <v>4871</v>
      </c>
      <c r="K35" t="s">
        <v>4746</v>
      </c>
      <c r="L35" t="s">
        <v>4872</v>
      </c>
      <c r="M35" t="s">
        <v>4872</v>
      </c>
      <c r="N35" t="s">
        <v>4873</v>
      </c>
      <c r="O35" t="s">
        <v>4879</v>
      </c>
      <c r="P35" t="s">
        <v>4743</v>
      </c>
      <c r="Q35" s="2042">
        <v>43191</v>
      </c>
      <c r="R35" s="2042">
        <v>43191</v>
      </c>
      <c r="S35">
        <v>220</v>
      </c>
      <c r="T35">
        <v>0</v>
      </c>
      <c r="U35">
        <v>56160000</v>
      </c>
      <c r="V35">
        <v>11230000</v>
      </c>
      <c r="W35">
        <v>0</v>
      </c>
      <c r="X35">
        <v>43240000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105300000</v>
      </c>
      <c r="AY35">
        <v>110630000</v>
      </c>
      <c r="AZ35">
        <v>110630000</v>
      </c>
      <c r="BA35">
        <v>0</v>
      </c>
      <c r="BB35">
        <v>0</v>
      </c>
      <c r="BC35">
        <v>0</v>
      </c>
      <c r="BD35">
        <v>0</v>
      </c>
      <c r="BE35">
        <v>0</v>
      </c>
      <c r="BF35">
        <v>0</v>
      </c>
      <c r="BG35">
        <v>0</v>
      </c>
      <c r="BH35">
        <v>0</v>
      </c>
      <c r="BI35">
        <v>0</v>
      </c>
      <c r="BJ35">
        <v>0</v>
      </c>
      <c r="BK35">
        <v>0</v>
      </c>
      <c r="BL35">
        <v>41815310</v>
      </c>
      <c r="BM35">
        <v>4181530</v>
      </c>
      <c r="BN35">
        <v>0</v>
      </c>
      <c r="BO35">
        <v>0</v>
      </c>
      <c r="BP35">
        <v>3453610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0</v>
      </c>
      <c r="DJ35">
        <v>0</v>
      </c>
      <c r="DK35">
        <v>0</v>
      </c>
      <c r="DL35">
        <v>0</v>
      </c>
      <c r="DM35">
        <v>0</v>
      </c>
      <c r="DN35">
        <v>0</v>
      </c>
      <c r="DO35">
        <v>0</v>
      </c>
      <c r="DP35">
        <v>0</v>
      </c>
      <c r="DQ35">
        <v>0</v>
      </c>
      <c r="DR35">
        <v>0</v>
      </c>
      <c r="DS35">
        <v>0</v>
      </c>
      <c r="DT35">
        <v>49450450</v>
      </c>
      <c r="DU35">
        <v>61179550</v>
      </c>
      <c r="DV35">
        <v>0</v>
      </c>
    </row>
    <row r="36" spans="1:126" hidden="1">
      <c r="A36" t="s">
        <v>4900</v>
      </c>
      <c r="B36" t="s">
        <v>4868</v>
      </c>
      <c r="C36">
        <v>2019</v>
      </c>
      <c r="D36">
        <v>3</v>
      </c>
      <c r="E36" t="s">
        <v>3953</v>
      </c>
      <c r="F36" t="s">
        <v>4869</v>
      </c>
      <c r="G36" s="2042">
        <v>43546</v>
      </c>
      <c r="H36" t="s">
        <v>4870</v>
      </c>
      <c r="I36" t="s">
        <v>4870</v>
      </c>
      <c r="J36" t="s">
        <v>4871</v>
      </c>
      <c r="K36" t="s">
        <v>4746</v>
      </c>
      <c r="L36" t="s">
        <v>4872</v>
      </c>
      <c r="M36" t="s">
        <v>4872</v>
      </c>
      <c r="N36" t="s">
        <v>4873</v>
      </c>
      <c r="O36" t="s">
        <v>4879</v>
      </c>
      <c r="P36" t="s">
        <v>4743</v>
      </c>
      <c r="Q36" s="2042">
        <v>43191</v>
      </c>
      <c r="R36" s="2042">
        <v>43191</v>
      </c>
      <c r="S36">
        <v>220</v>
      </c>
      <c r="T36">
        <v>0</v>
      </c>
      <c r="U36">
        <v>56160000</v>
      </c>
      <c r="V36">
        <v>11230000</v>
      </c>
      <c r="W36">
        <v>0</v>
      </c>
      <c r="X36">
        <v>43240000</v>
      </c>
      <c r="Y36">
        <v>0</v>
      </c>
      <c r="Z36">
        <v>0</v>
      </c>
      <c r="AA36">
        <v>0</v>
      </c>
      <c r="AB36">
        <v>0</v>
      </c>
      <c r="AC36">
        <v>0</v>
      </c>
      <c r="AD36">
        <v>0</v>
      </c>
      <c r="AE36">
        <v>0</v>
      </c>
      <c r="AF36">
        <v>0</v>
      </c>
      <c r="AG36">
        <v>0</v>
      </c>
      <c r="AH36">
        <v>0</v>
      </c>
      <c r="AI36">
        <v>0</v>
      </c>
      <c r="AJ36">
        <v>0</v>
      </c>
      <c r="AK36">
        <v>0</v>
      </c>
      <c r="AL36">
        <v>0</v>
      </c>
      <c r="AM36">
        <v>0</v>
      </c>
      <c r="AN36">
        <v>0</v>
      </c>
      <c r="AO36">
        <v>0</v>
      </c>
      <c r="AP36">
        <v>0</v>
      </c>
      <c r="AQ36">
        <v>0</v>
      </c>
      <c r="AR36">
        <v>93496</v>
      </c>
      <c r="AS36">
        <v>0</v>
      </c>
      <c r="AT36">
        <v>0</v>
      </c>
      <c r="AU36">
        <v>0</v>
      </c>
      <c r="AV36">
        <v>0</v>
      </c>
      <c r="AW36">
        <v>0</v>
      </c>
      <c r="AX36">
        <v>111475000</v>
      </c>
      <c r="AY36">
        <v>110723496</v>
      </c>
      <c r="AZ36">
        <v>110723496</v>
      </c>
      <c r="BA36">
        <v>0</v>
      </c>
      <c r="BB36">
        <v>0</v>
      </c>
      <c r="BC36">
        <v>0</v>
      </c>
      <c r="BD36">
        <v>0</v>
      </c>
      <c r="BE36">
        <v>0</v>
      </c>
      <c r="BF36">
        <v>0</v>
      </c>
      <c r="BG36">
        <v>0</v>
      </c>
      <c r="BH36">
        <v>0</v>
      </c>
      <c r="BI36">
        <v>0</v>
      </c>
      <c r="BJ36">
        <v>0</v>
      </c>
      <c r="BK36">
        <v>0</v>
      </c>
      <c r="BL36">
        <v>41853790</v>
      </c>
      <c r="BM36">
        <v>4185370</v>
      </c>
      <c r="BN36">
        <v>0</v>
      </c>
      <c r="BO36">
        <v>0</v>
      </c>
      <c r="BP36">
        <v>3453610</v>
      </c>
      <c r="BQ36">
        <v>0</v>
      </c>
      <c r="BR36">
        <v>0</v>
      </c>
      <c r="BS36">
        <v>0</v>
      </c>
      <c r="BT36">
        <v>0</v>
      </c>
      <c r="BU36">
        <v>0</v>
      </c>
      <c r="BV36">
        <v>0</v>
      </c>
      <c r="BW36">
        <v>0</v>
      </c>
      <c r="BX36">
        <v>0</v>
      </c>
      <c r="BY36">
        <v>0</v>
      </c>
      <c r="BZ36">
        <v>0</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0</v>
      </c>
      <c r="DA36">
        <v>0</v>
      </c>
      <c r="DB36">
        <v>0</v>
      </c>
      <c r="DC36">
        <v>0</v>
      </c>
      <c r="DD36">
        <v>0</v>
      </c>
      <c r="DE36">
        <v>0</v>
      </c>
      <c r="DF36">
        <v>0</v>
      </c>
      <c r="DG36">
        <v>0</v>
      </c>
      <c r="DH36">
        <v>0</v>
      </c>
      <c r="DI36">
        <v>0</v>
      </c>
      <c r="DJ36">
        <v>0</v>
      </c>
      <c r="DK36">
        <v>0</v>
      </c>
      <c r="DL36">
        <v>0</v>
      </c>
      <c r="DM36">
        <v>0</v>
      </c>
      <c r="DN36">
        <v>0</v>
      </c>
      <c r="DO36">
        <v>0</v>
      </c>
      <c r="DP36">
        <v>0</v>
      </c>
      <c r="DQ36">
        <v>0</v>
      </c>
      <c r="DR36">
        <v>0</v>
      </c>
      <c r="DS36">
        <v>0</v>
      </c>
      <c r="DT36">
        <v>49492770</v>
      </c>
      <c r="DU36">
        <v>61230726</v>
      </c>
      <c r="DV36">
        <v>0</v>
      </c>
    </row>
    <row r="37" spans="1:126" hidden="1">
      <c r="A37" t="s">
        <v>4900</v>
      </c>
      <c r="B37" t="s">
        <v>4868</v>
      </c>
      <c r="C37">
        <v>2019</v>
      </c>
      <c r="D37">
        <v>2</v>
      </c>
      <c r="E37" t="s">
        <v>3953</v>
      </c>
      <c r="F37" t="s">
        <v>4869</v>
      </c>
      <c r="G37" s="2042">
        <v>43518</v>
      </c>
      <c r="H37" t="s">
        <v>4870</v>
      </c>
      <c r="I37" t="s">
        <v>4870</v>
      </c>
      <c r="J37" t="s">
        <v>4871</v>
      </c>
      <c r="K37" t="s">
        <v>4746</v>
      </c>
      <c r="L37" t="s">
        <v>4872</v>
      </c>
      <c r="M37" t="s">
        <v>4872</v>
      </c>
      <c r="N37" t="s">
        <v>4873</v>
      </c>
      <c r="O37" t="s">
        <v>4879</v>
      </c>
      <c r="P37" t="s">
        <v>4743</v>
      </c>
      <c r="Q37" s="2042">
        <v>43191</v>
      </c>
      <c r="R37" s="2042">
        <v>43191</v>
      </c>
      <c r="S37">
        <v>220</v>
      </c>
      <c r="T37">
        <v>0</v>
      </c>
      <c r="U37">
        <v>56160000</v>
      </c>
      <c r="V37">
        <v>11230000</v>
      </c>
      <c r="W37">
        <v>0</v>
      </c>
      <c r="X37">
        <v>43240000</v>
      </c>
      <c r="Y37">
        <v>0</v>
      </c>
      <c r="Z37">
        <v>0</v>
      </c>
      <c r="AA37">
        <v>0</v>
      </c>
      <c r="AB37">
        <v>0</v>
      </c>
      <c r="AC37">
        <v>0</v>
      </c>
      <c r="AD37">
        <v>0</v>
      </c>
      <c r="AE37">
        <v>0</v>
      </c>
      <c r="AF37">
        <v>0</v>
      </c>
      <c r="AG37">
        <v>0</v>
      </c>
      <c r="AH37">
        <v>0</v>
      </c>
      <c r="AI37">
        <v>0</v>
      </c>
      <c r="AJ37">
        <v>0</v>
      </c>
      <c r="AK37">
        <v>0</v>
      </c>
      <c r="AL37">
        <v>0</v>
      </c>
      <c r="AM37">
        <v>0</v>
      </c>
      <c r="AN37">
        <v>0</v>
      </c>
      <c r="AO37">
        <v>0</v>
      </c>
      <c r="AP37">
        <v>0</v>
      </c>
      <c r="AQ37">
        <v>0</v>
      </c>
      <c r="AR37">
        <v>110200</v>
      </c>
      <c r="AS37">
        <v>0</v>
      </c>
      <c r="AT37">
        <v>0</v>
      </c>
      <c r="AU37">
        <v>0</v>
      </c>
      <c r="AV37">
        <v>0</v>
      </c>
      <c r="AW37">
        <v>0</v>
      </c>
      <c r="AX37">
        <v>105300000</v>
      </c>
      <c r="AY37">
        <v>110740200</v>
      </c>
      <c r="AZ37">
        <v>110740200</v>
      </c>
      <c r="BA37">
        <v>0</v>
      </c>
      <c r="BB37">
        <v>0</v>
      </c>
      <c r="BC37">
        <v>0</v>
      </c>
      <c r="BD37">
        <v>0</v>
      </c>
      <c r="BE37">
        <v>0</v>
      </c>
      <c r="BF37">
        <v>0</v>
      </c>
      <c r="BG37">
        <v>0</v>
      </c>
      <c r="BH37">
        <v>0</v>
      </c>
      <c r="BI37">
        <v>0</v>
      </c>
      <c r="BJ37">
        <v>0</v>
      </c>
      <c r="BK37">
        <v>0</v>
      </c>
      <c r="BL37">
        <v>41860660</v>
      </c>
      <c r="BM37">
        <v>4186060</v>
      </c>
      <c r="BN37">
        <v>0</v>
      </c>
      <c r="BO37">
        <v>0</v>
      </c>
      <c r="BP37">
        <v>3453610</v>
      </c>
      <c r="BQ37">
        <v>0</v>
      </c>
      <c r="BR37">
        <v>0</v>
      </c>
      <c r="BS37">
        <v>0</v>
      </c>
      <c r="BT37">
        <v>0</v>
      </c>
      <c r="BU37">
        <v>0</v>
      </c>
      <c r="BV37">
        <v>0</v>
      </c>
      <c r="BW37">
        <v>0</v>
      </c>
      <c r="BX37">
        <v>0</v>
      </c>
      <c r="BY37">
        <v>0</v>
      </c>
      <c r="BZ37">
        <v>0</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0</v>
      </c>
      <c r="DA37">
        <v>0</v>
      </c>
      <c r="DB37">
        <v>0</v>
      </c>
      <c r="DC37">
        <v>0</v>
      </c>
      <c r="DD37">
        <v>0</v>
      </c>
      <c r="DE37">
        <v>0</v>
      </c>
      <c r="DF37">
        <v>0</v>
      </c>
      <c r="DG37">
        <v>0</v>
      </c>
      <c r="DH37">
        <v>0</v>
      </c>
      <c r="DI37">
        <v>0</v>
      </c>
      <c r="DJ37">
        <v>0</v>
      </c>
      <c r="DK37">
        <v>0</v>
      </c>
      <c r="DL37">
        <v>0</v>
      </c>
      <c r="DM37">
        <v>0</v>
      </c>
      <c r="DN37">
        <v>0</v>
      </c>
      <c r="DO37">
        <v>0</v>
      </c>
      <c r="DP37">
        <v>0</v>
      </c>
      <c r="DQ37">
        <v>0</v>
      </c>
      <c r="DR37">
        <v>0</v>
      </c>
      <c r="DS37">
        <v>0</v>
      </c>
      <c r="DT37">
        <v>49500330</v>
      </c>
      <c r="DU37">
        <v>61239870</v>
      </c>
      <c r="DV37">
        <v>0</v>
      </c>
    </row>
    <row r="38" spans="1:126" hidden="1">
      <c r="A38" t="s">
        <v>4900</v>
      </c>
      <c r="B38" t="s">
        <v>4868</v>
      </c>
      <c r="C38">
        <v>2019</v>
      </c>
      <c r="D38">
        <v>1</v>
      </c>
      <c r="E38" t="s">
        <v>3953</v>
      </c>
      <c r="F38" t="s">
        <v>4869</v>
      </c>
      <c r="G38" s="2042">
        <v>43489</v>
      </c>
      <c r="H38" t="s">
        <v>4870</v>
      </c>
      <c r="I38" t="s">
        <v>4870</v>
      </c>
      <c r="J38" t="s">
        <v>4871</v>
      </c>
      <c r="K38" t="s">
        <v>4746</v>
      </c>
      <c r="L38" t="s">
        <v>4872</v>
      </c>
      <c r="M38" t="s">
        <v>4872</v>
      </c>
      <c r="N38" t="s">
        <v>4873</v>
      </c>
      <c r="O38" t="s">
        <v>4879</v>
      </c>
      <c r="P38" t="s">
        <v>4743</v>
      </c>
      <c r="Q38" s="2042">
        <v>43191</v>
      </c>
      <c r="R38" s="2042">
        <v>43191</v>
      </c>
      <c r="S38">
        <v>220</v>
      </c>
      <c r="T38">
        <v>0</v>
      </c>
      <c r="U38">
        <v>56160000</v>
      </c>
      <c r="V38">
        <v>11230000</v>
      </c>
      <c r="W38">
        <v>0</v>
      </c>
      <c r="X38">
        <v>43240000</v>
      </c>
      <c r="Y38">
        <v>0</v>
      </c>
      <c r="Z38">
        <v>0</v>
      </c>
      <c r="AA38">
        <v>0</v>
      </c>
      <c r="AB38">
        <v>0</v>
      </c>
      <c r="AC38">
        <v>0</v>
      </c>
      <c r="AD38">
        <v>0</v>
      </c>
      <c r="AE38">
        <v>0</v>
      </c>
      <c r="AF38">
        <v>0</v>
      </c>
      <c r="AG38">
        <v>0</v>
      </c>
      <c r="AH38">
        <v>0</v>
      </c>
      <c r="AI38">
        <v>0</v>
      </c>
      <c r="AJ38">
        <v>0</v>
      </c>
      <c r="AK38">
        <v>0</v>
      </c>
      <c r="AL38">
        <v>0</v>
      </c>
      <c r="AM38">
        <v>0</v>
      </c>
      <c r="AN38">
        <v>0</v>
      </c>
      <c r="AO38">
        <v>0</v>
      </c>
      <c r="AP38">
        <v>0</v>
      </c>
      <c r="AQ38">
        <v>0</v>
      </c>
      <c r="AR38">
        <v>14700</v>
      </c>
      <c r="AS38">
        <v>0</v>
      </c>
      <c r="AT38">
        <v>0</v>
      </c>
      <c r="AU38">
        <v>0</v>
      </c>
      <c r="AV38">
        <v>0</v>
      </c>
      <c r="AW38">
        <v>0</v>
      </c>
      <c r="AX38">
        <v>105300000</v>
      </c>
      <c r="AY38">
        <v>110644700</v>
      </c>
      <c r="AZ38">
        <v>110644700</v>
      </c>
      <c r="BA38">
        <v>0</v>
      </c>
      <c r="BB38">
        <v>0</v>
      </c>
      <c r="BC38">
        <v>0</v>
      </c>
      <c r="BD38">
        <v>0</v>
      </c>
      <c r="BE38">
        <v>0</v>
      </c>
      <c r="BF38">
        <v>0</v>
      </c>
      <c r="BG38">
        <v>0</v>
      </c>
      <c r="BH38">
        <v>0</v>
      </c>
      <c r="BI38">
        <v>0</v>
      </c>
      <c r="BJ38">
        <v>0</v>
      </c>
      <c r="BK38">
        <v>0</v>
      </c>
      <c r="BL38">
        <v>41821350</v>
      </c>
      <c r="BM38">
        <v>4182130</v>
      </c>
      <c r="BN38">
        <v>0</v>
      </c>
      <c r="BO38">
        <v>0</v>
      </c>
      <c r="BP38">
        <v>3453610</v>
      </c>
      <c r="BQ38">
        <v>0</v>
      </c>
      <c r="BR38">
        <v>0</v>
      </c>
      <c r="BS38">
        <v>0</v>
      </c>
      <c r="BT38">
        <v>0</v>
      </c>
      <c r="BU38">
        <v>0</v>
      </c>
      <c r="BV38">
        <v>0</v>
      </c>
      <c r="BW38">
        <v>0</v>
      </c>
      <c r="BX38">
        <v>0</v>
      </c>
      <c r="BY38">
        <v>0</v>
      </c>
      <c r="BZ38">
        <v>0</v>
      </c>
      <c r="CA38">
        <v>0</v>
      </c>
      <c r="CB38">
        <v>0</v>
      </c>
      <c r="CC38">
        <v>0</v>
      </c>
      <c r="CD38">
        <v>0</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0</v>
      </c>
      <c r="DA38">
        <v>0</v>
      </c>
      <c r="DB38">
        <v>0</v>
      </c>
      <c r="DC38">
        <v>0</v>
      </c>
      <c r="DD38">
        <v>0</v>
      </c>
      <c r="DE38">
        <v>0</v>
      </c>
      <c r="DF38">
        <v>0</v>
      </c>
      <c r="DG38">
        <v>0</v>
      </c>
      <c r="DH38">
        <v>0</v>
      </c>
      <c r="DI38">
        <v>0</v>
      </c>
      <c r="DJ38">
        <v>0</v>
      </c>
      <c r="DK38">
        <v>0</v>
      </c>
      <c r="DL38">
        <v>0</v>
      </c>
      <c r="DM38">
        <v>0</v>
      </c>
      <c r="DN38">
        <v>0</v>
      </c>
      <c r="DO38">
        <v>0</v>
      </c>
      <c r="DP38">
        <v>0</v>
      </c>
      <c r="DQ38">
        <v>0</v>
      </c>
      <c r="DR38">
        <v>0</v>
      </c>
      <c r="DS38">
        <v>0</v>
      </c>
      <c r="DT38">
        <v>49457090</v>
      </c>
      <c r="DU38">
        <v>61187610</v>
      </c>
      <c r="DV38">
        <v>0</v>
      </c>
    </row>
    <row r="39" spans="1:126" hidden="1">
      <c r="A39" t="s">
        <v>4900</v>
      </c>
      <c r="B39" t="s">
        <v>4868</v>
      </c>
      <c r="C39">
        <v>2019</v>
      </c>
      <c r="D39">
        <v>12</v>
      </c>
      <c r="E39" t="s">
        <v>3953</v>
      </c>
      <c r="F39" t="s">
        <v>4869</v>
      </c>
      <c r="G39" s="2042">
        <v>43823</v>
      </c>
      <c r="H39" t="s">
        <v>4880</v>
      </c>
      <c r="I39" t="s">
        <v>4880</v>
      </c>
      <c r="J39" t="s">
        <v>4881</v>
      </c>
      <c r="K39" t="s">
        <v>4746</v>
      </c>
      <c r="L39" t="s">
        <v>4882</v>
      </c>
      <c r="M39" t="s">
        <v>4882</v>
      </c>
      <c r="N39" t="s">
        <v>4883</v>
      </c>
      <c r="O39" t="s">
        <v>4879</v>
      </c>
      <c r="P39" t="s">
        <v>4743</v>
      </c>
      <c r="Q39" s="2042">
        <v>42826</v>
      </c>
      <c r="R39" s="2042">
        <v>42826</v>
      </c>
      <c r="S39">
        <v>220</v>
      </c>
      <c r="T39">
        <v>0</v>
      </c>
      <c r="U39">
        <v>11130000</v>
      </c>
      <c r="V39">
        <v>2230000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17810000</v>
      </c>
      <c r="AY39">
        <v>13360000</v>
      </c>
      <c r="AZ39">
        <v>13360000</v>
      </c>
      <c r="BA39">
        <v>0</v>
      </c>
      <c r="BB39">
        <v>0</v>
      </c>
      <c r="BC39">
        <v>0</v>
      </c>
      <c r="BD39">
        <v>0</v>
      </c>
      <c r="BE39">
        <v>0</v>
      </c>
      <c r="BF39">
        <v>0</v>
      </c>
      <c r="BG39">
        <v>0</v>
      </c>
      <c r="BH39">
        <v>0</v>
      </c>
      <c r="BI39">
        <v>0</v>
      </c>
      <c r="BJ39">
        <v>0</v>
      </c>
      <c r="BK39">
        <v>0</v>
      </c>
      <c r="BL39">
        <v>2752380</v>
      </c>
      <c r="BM39">
        <v>275230</v>
      </c>
      <c r="BN39">
        <v>0</v>
      </c>
      <c r="BO39">
        <v>0</v>
      </c>
      <c r="BP39">
        <v>1126230</v>
      </c>
      <c r="BQ39">
        <v>0</v>
      </c>
      <c r="BR39">
        <v>0</v>
      </c>
      <c r="BS39">
        <v>0</v>
      </c>
      <c r="BT39">
        <v>0</v>
      </c>
      <c r="BU39">
        <v>0</v>
      </c>
      <c r="BV39">
        <v>0</v>
      </c>
      <c r="BW39">
        <v>0</v>
      </c>
      <c r="BX39">
        <v>0</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DN39">
        <v>0</v>
      </c>
      <c r="DO39">
        <v>0</v>
      </c>
      <c r="DP39">
        <v>0</v>
      </c>
      <c r="DQ39">
        <v>0</v>
      </c>
      <c r="DR39">
        <v>0</v>
      </c>
      <c r="DS39">
        <v>0</v>
      </c>
      <c r="DT39">
        <v>4153840</v>
      </c>
      <c r="DU39">
        <v>9206160</v>
      </c>
      <c r="DV39">
        <v>0</v>
      </c>
    </row>
    <row r="40" spans="1:126" hidden="1">
      <c r="A40" t="s">
        <v>4900</v>
      </c>
      <c r="B40" t="s">
        <v>4868</v>
      </c>
      <c r="C40">
        <v>2019</v>
      </c>
      <c r="D40">
        <v>11</v>
      </c>
      <c r="E40" t="s">
        <v>3953</v>
      </c>
      <c r="F40" t="s">
        <v>4869</v>
      </c>
      <c r="G40" s="2042">
        <v>43791</v>
      </c>
      <c r="H40" t="s">
        <v>4880</v>
      </c>
      <c r="I40" t="s">
        <v>4880</v>
      </c>
      <c r="J40" t="s">
        <v>4881</v>
      </c>
      <c r="K40" t="s">
        <v>4746</v>
      </c>
      <c r="L40" t="s">
        <v>4882</v>
      </c>
      <c r="M40" t="s">
        <v>4882</v>
      </c>
      <c r="N40" t="s">
        <v>4883</v>
      </c>
      <c r="O40" t="s">
        <v>4879</v>
      </c>
      <c r="P40" t="s">
        <v>4743</v>
      </c>
      <c r="Q40" s="2042">
        <v>42826</v>
      </c>
      <c r="R40" s="2042">
        <v>42826</v>
      </c>
      <c r="S40">
        <v>220</v>
      </c>
      <c r="T40">
        <v>0</v>
      </c>
      <c r="U40">
        <v>11130000</v>
      </c>
      <c r="V40">
        <v>2230000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17810000</v>
      </c>
      <c r="AY40">
        <v>13360000</v>
      </c>
      <c r="AZ40">
        <v>13360000</v>
      </c>
      <c r="BA40">
        <v>0</v>
      </c>
      <c r="BB40">
        <v>0</v>
      </c>
      <c r="BC40">
        <v>0</v>
      </c>
      <c r="BD40">
        <v>0</v>
      </c>
      <c r="BE40">
        <v>0</v>
      </c>
      <c r="BF40">
        <v>0</v>
      </c>
      <c r="BG40">
        <v>0</v>
      </c>
      <c r="BH40">
        <v>0</v>
      </c>
      <c r="BI40">
        <v>0</v>
      </c>
      <c r="BJ40">
        <v>0</v>
      </c>
      <c r="BK40">
        <v>0</v>
      </c>
      <c r="BL40">
        <v>2752380</v>
      </c>
      <c r="BM40">
        <v>275230</v>
      </c>
      <c r="BN40">
        <v>0</v>
      </c>
      <c r="BO40">
        <v>0</v>
      </c>
      <c r="BP40">
        <v>1126230</v>
      </c>
      <c r="BQ40">
        <v>0</v>
      </c>
      <c r="BR40">
        <v>0</v>
      </c>
      <c r="BS40">
        <v>0</v>
      </c>
      <c r="BT40">
        <v>0</v>
      </c>
      <c r="BU40">
        <v>0</v>
      </c>
      <c r="BV40">
        <v>0</v>
      </c>
      <c r="BW40">
        <v>0</v>
      </c>
      <c r="BX40">
        <v>0</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0</v>
      </c>
      <c r="DA40">
        <v>0</v>
      </c>
      <c r="DB40">
        <v>0</v>
      </c>
      <c r="DC40">
        <v>0</v>
      </c>
      <c r="DD40">
        <v>0</v>
      </c>
      <c r="DE40">
        <v>0</v>
      </c>
      <c r="DF40">
        <v>0</v>
      </c>
      <c r="DG40">
        <v>0</v>
      </c>
      <c r="DH40">
        <v>0</v>
      </c>
      <c r="DI40">
        <v>0</v>
      </c>
      <c r="DJ40">
        <v>0</v>
      </c>
      <c r="DK40">
        <v>0</v>
      </c>
      <c r="DL40">
        <v>0</v>
      </c>
      <c r="DM40">
        <v>0</v>
      </c>
      <c r="DN40">
        <v>0</v>
      </c>
      <c r="DO40">
        <v>0</v>
      </c>
      <c r="DP40">
        <v>0</v>
      </c>
      <c r="DQ40">
        <v>0</v>
      </c>
      <c r="DR40">
        <v>0</v>
      </c>
      <c r="DS40">
        <v>0</v>
      </c>
      <c r="DT40">
        <v>4153840</v>
      </c>
      <c r="DU40">
        <v>9206160</v>
      </c>
      <c r="DV40">
        <v>0</v>
      </c>
    </row>
    <row r="41" spans="1:126" hidden="1">
      <c r="A41" t="s">
        <v>4900</v>
      </c>
      <c r="B41" t="s">
        <v>4868</v>
      </c>
      <c r="C41">
        <v>2019</v>
      </c>
      <c r="D41">
        <v>10</v>
      </c>
      <c r="E41" t="s">
        <v>3953</v>
      </c>
      <c r="F41" t="s">
        <v>4869</v>
      </c>
      <c r="G41" s="2042">
        <v>43762</v>
      </c>
      <c r="H41" t="s">
        <v>4880</v>
      </c>
      <c r="I41" t="s">
        <v>4880</v>
      </c>
      <c r="J41" t="s">
        <v>4881</v>
      </c>
      <c r="K41" t="s">
        <v>4746</v>
      </c>
      <c r="L41" t="s">
        <v>4882</v>
      </c>
      <c r="M41" t="s">
        <v>4882</v>
      </c>
      <c r="N41" t="s">
        <v>4883</v>
      </c>
      <c r="O41" t="s">
        <v>4879</v>
      </c>
      <c r="P41" t="s">
        <v>4743</v>
      </c>
      <c r="Q41" s="2042">
        <v>42826</v>
      </c>
      <c r="R41" s="2042">
        <v>42826</v>
      </c>
      <c r="S41">
        <v>220</v>
      </c>
      <c r="T41">
        <v>0</v>
      </c>
      <c r="U41">
        <v>11130000</v>
      </c>
      <c r="V41">
        <v>2230000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17810000</v>
      </c>
      <c r="AY41">
        <v>13360000</v>
      </c>
      <c r="AZ41">
        <v>13360000</v>
      </c>
      <c r="BA41">
        <v>0</v>
      </c>
      <c r="BB41">
        <v>0</v>
      </c>
      <c r="BC41">
        <v>0</v>
      </c>
      <c r="BD41">
        <v>0</v>
      </c>
      <c r="BE41">
        <v>0</v>
      </c>
      <c r="BF41">
        <v>0</v>
      </c>
      <c r="BG41">
        <v>0</v>
      </c>
      <c r="BH41">
        <v>0</v>
      </c>
      <c r="BI41">
        <v>0</v>
      </c>
      <c r="BJ41">
        <v>0</v>
      </c>
      <c r="BK41">
        <v>0</v>
      </c>
      <c r="BL41">
        <v>2752380</v>
      </c>
      <c r="BM41">
        <v>275230</v>
      </c>
      <c r="BN41">
        <v>0</v>
      </c>
      <c r="BO41">
        <v>0</v>
      </c>
      <c r="BP41">
        <v>1126230</v>
      </c>
      <c r="BQ41">
        <v>0</v>
      </c>
      <c r="BR41">
        <v>0</v>
      </c>
      <c r="BS41">
        <v>0</v>
      </c>
      <c r="BT41">
        <v>0</v>
      </c>
      <c r="BU41">
        <v>0</v>
      </c>
      <c r="BV41">
        <v>0</v>
      </c>
      <c r="BW41">
        <v>0</v>
      </c>
      <c r="BX41">
        <v>0</v>
      </c>
      <c r="BY41">
        <v>0</v>
      </c>
      <c r="BZ41">
        <v>0</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0</v>
      </c>
      <c r="DA41">
        <v>0</v>
      </c>
      <c r="DB41">
        <v>0</v>
      </c>
      <c r="DC41">
        <v>0</v>
      </c>
      <c r="DD41">
        <v>0</v>
      </c>
      <c r="DE41">
        <v>0</v>
      </c>
      <c r="DF41">
        <v>0</v>
      </c>
      <c r="DG41">
        <v>0</v>
      </c>
      <c r="DH41">
        <v>0</v>
      </c>
      <c r="DI41">
        <v>0</v>
      </c>
      <c r="DJ41">
        <v>0</v>
      </c>
      <c r="DK41">
        <v>0</v>
      </c>
      <c r="DL41">
        <v>0</v>
      </c>
      <c r="DM41">
        <v>0</v>
      </c>
      <c r="DN41">
        <v>0</v>
      </c>
      <c r="DO41">
        <v>0</v>
      </c>
      <c r="DP41">
        <v>0</v>
      </c>
      <c r="DQ41">
        <v>0</v>
      </c>
      <c r="DR41">
        <v>0</v>
      </c>
      <c r="DS41">
        <v>0</v>
      </c>
      <c r="DT41">
        <v>4153840</v>
      </c>
      <c r="DU41">
        <v>9206160</v>
      </c>
      <c r="DV41">
        <v>0</v>
      </c>
    </row>
    <row r="42" spans="1:126" hidden="1">
      <c r="A42" t="s">
        <v>4900</v>
      </c>
      <c r="B42" t="s">
        <v>4868</v>
      </c>
      <c r="C42">
        <v>2019</v>
      </c>
      <c r="D42">
        <v>9</v>
      </c>
      <c r="E42" t="s">
        <v>3953</v>
      </c>
      <c r="F42" t="s">
        <v>4869</v>
      </c>
      <c r="G42" s="2042">
        <v>43732</v>
      </c>
      <c r="H42" t="s">
        <v>4880</v>
      </c>
      <c r="I42" t="s">
        <v>4880</v>
      </c>
      <c r="J42" t="s">
        <v>4881</v>
      </c>
      <c r="K42" t="s">
        <v>4746</v>
      </c>
      <c r="L42" t="s">
        <v>4882</v>
      </c>
      <c r="M42" t="s">
        <v>4882</v>
      </c>
      <c r="N42" t="s">
        <v>4883</v>
      </c>
      <c r="O42" t="s">
        <v>4879</v>
      </c>
      <c r="P42" t="s">
        <v>4743</v>
      </c>
      <c r="Q42" s="2042">
        <v>42826</v>
      </c>
      <c r="R42" s="2042">
        <v>42826</v>
      </c>
      <c r="S42">
        <v>220</v>
      </c>
      <c r="T42">
        <v>0</v>
      </c>
      <c r="U42">
        <v>11130000</v>
      </c>
      <c r="V42">
        <v>2230000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17810000</v>
      </c>
      <c r="AY42">
        <v>13360000</v>
      </c>
      <c r="AZ42">
        <v>13360000</v>
      </c>
      <c r="BA42">
        <v>0</v>
      </c>
      <c r="BB42">
        <v>0</v>
      </c>
      <c r="BC42">
        <v>0</v>
      </c>
      <c r="BD42">
        <v>0</v>
      </c>
      <c r="BE42">
        <v>0</v>
      </c>
      <c r="BF42">
        <v>0</v>
      </c>
      <c r="BG42">
        <v>0</v>
      </c>
      <c r="BH42">
        <v>0</v>
      </c>
      <c r="BI42">
        <v>0</v>
      </c>
      <c r="BJ42">
        <v>0</v>
      </c>
      <c r="BK42">
        <v>0</v>
      </c>
      <c r="BL42">
        <v>2752380</v>
      </c>
      <c r="BM42">
        <v>275230</v>
      </c>
      <c r="BN42">
        <v>0</v>
      </c>
      <c r="BO42">
        <v>0</v>
      </c>
      <c r="BP42">
        <v>1126230</v>
      </c>
      <c r="BQ42">
        <v>0</v>
      </c>
      <c r="BR42">
        <v>0</v>
      </c>
      <c r="BS42">
        <v>0</v>
      </c>
      <c r="BT42">
        <v>0</v>
      </c>
      <c r="BU42">
        <v>0</v>
      </c>
      <c r="BV42">
        <v>0</v>
      </c>
      <c r="BW42">
        <v>0</v>
      </c>
      <c r="BX42">
        <v>0</v>
      </c>
      <c r="BY42">
        <v>0</v>
      </c>
      <c r="BZ42">
        <v>0</v>
      </c>
      <c r="CA42">
        <v>0</v>
      </c>
      <c r="CB42">
        <v>0</v>
      </c>
      <c r="CC42">
        <v>0</v>
      </c>
      <c r="CD42">
        <v>0</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0</v>
      </c>
      <c r="DA42">
        <v>0</v>
      </c>
      <c r="DB42">
        <v>0</v>
      </c>
      <c r="DC42">
        <v>0</v>
      </c>
      <c r="DD42">
        <v>0</v>
      </c>
      <c r="DE42">
        <v>0</v>
      </c>
      <c r="DF42">
        <v>0</v>
      </c>
      <c r="DG42">
        <v>0</v>
      </c>
      <c r="DH42">
        <v>0</v>
      </c>
      <c r="DI42">
        <v>0</v>
      </c>
      <c r="DJ42">
        <v>0</v>
      </c>
      <c r="DK42">
        <v>0</v>
      </c>
      <c r="DL42">
        <v>0</v>
      </c>
      <c r="DM42">
        <v>0</v>
      </c>
      <c r="DN42">
        <v>0</v>
      </c>
      <c r="DO42">
        <v>0</v>
      </c>
      <c r="DP42">
        <v>0</v>
      </c>
      <c r="DQ42">
        <v>0</v>
      </c>
      <c r="DR42">
        <v>0</v>
      </c>
      <c r="DS42">
        <v>0</v>
      </c>
      <c r="DT42">
        <v>4153840</v>
      </c>
      <c r="DU42">
        <v>9206160</v>
      </c>
      <c r="DV42">
        <v>0</v>
      </c>
    </row>
    <row r="43" spans="1:126" hidden="1">
      <c r="A43" t="s">
        <v>4900</v>
      </c>
      <c r="B43" t="s">
        <v>4868</v>
      </c>
      <c r="C43">
        <v>2019</v>
      </c>
      <c r="D43">
        <v>8</v>
      </c>
      <c r="E43" t="s">
        <v>3953</v>
      </c>
      <c r="F43" t="s">
        <v>4869</v>
      </c>
      <c r="G43" s="2042">
        <v>43700</v>
      </c>
      <c r="H43" t="s">
        <v>4880</v>
      </c>
      <c r="I43" t="s">
        <v>4880</v>
      </c>
      <c r="J43" t="s">
        <v>4881</v>
      </c>
      <c r="K43" t="s">
        <v>4746</v>
      </c>
      <c r="L43" t="s">
        <v>4882</v>
      </c>
      <c r="M43" t="s">
        <v>4882</v>
      </c>
      <c r="N43" t="s">
        <v>4883</v>
      </c>
      <c r="O43" t="s">
        <v>4879</v>
      </c>
      <c r="P43" t="s">
        <v>4743</v>
      </c>
      <c r="Q43" s="2042">
        <v>42826</v>
      </c>
      <c r="R43" s="2042">
        <v>42826</v>
      </c>
      <c r="S43">
        <v>220</v>
      </c>
      <c r="T43">
        <v>0</v>
      </c>
      <c r="U43">
        <v>11130000</v>
      </c>
      <c r="V43">
        <v>2230000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17810000</v>
      </c>
      <c r="AY43">
        <v>13360000</v>
      </c>
      <c r="AZ43">
        <v>13360000</v>
      </c>
      <c r="BA43">
        <v>0</v>
      </c>
      <c r="BB43">
        <v>0</v>
      </c>
      <c r="BC43">
        <v>0</v>
      </c>
      <c r="BD43">
        <v>0</v>
      </c>
      <c r="BE43">
        <v>0</v>
      </c>
      <c r="BF43">
        <v>0</v>
      </c>
      <c r="BG43">
        <v>0</v>
      </c>
      <c r="BH43">
        <v>0</v>
      </c>
      <c r="BI43">
        <v>0</v>
      </c>
      <c r="BJ43">
        <v>0</v>
      </c>
      <c r="BK43">
        <v>0</v>
      </c>
      <c r="BL43">
        <v>2752380</v>
      </c>
      <c r="BM43">
        <v>275230</v>
      </c>
      <c r="BN43">
        <v>0</v>
      </c>
      <c r="BO43">
        <v>0</v>
      </c>
      <c r="BP43">
        <v>1126230</v>
      </c>
      <c r="BQ43">
        <v>0</v>
      </c>
      <c r="BR43">
        <v>0</v>
      </c>
      <c r="BS43">
        <v>0</v>
      </c>
      <c r="BT43">
        <v>0</v>
      </c>
      <c r="BU43">
        <v>0</v>
      </c>
      <c r="BV43">
        <v>0</v>
      </c>
      <c r="BW43">
        <v>0</v>
      </c>
      <c r="BX43">
        <v>0</v>
      </c>
      <c r="BY43">
        <v>0</v>
      </c>
      <c r="BZ43">
        <v>0</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0</v>
      </c>
      <c r="DA43">
        <v>0</v>
      </c>
      <c r="DB43">
        <v>0</v>
      </c>
      <c r="DC43">
        <v>0</v>
      </c>
      <c r="DD43">
        <v>0</v>
      </c>
      <c r="DE43">
        <v>0</v>
      </c>
      <c r="DF43">
        <v>0</v>
      </c>
      <c r="DG43">
        <v>0</v>
      </c>
      <c r="DH43">
        <v>0</v>
      </c>
      <c r="DI43">
        <v>0</v>
      </c>
      <c r="DJ43">
        <v>0</v>
      </c>
      <c r="DK43">
        <v>0</v>
      </c>
      <c r="DL43">
        <v>0</v>
      </c>
      <c r="DM43">
        <v>0</v>
      </c>
      <c r="DN43">
        <v>0</v>
      </c>
      <c r="DO43">
        <v>0</v>
      </c>
      <c r="DP43">
        <v>0</v>
      </c>
      <c r="DQ43">
        <v>0</v>
      </c>
      <c r="DR43">
        <v>0</v>
      </c>
      <c r="DS43">
        <v>0</v>
      </c>
      <c r="DT43">
        <v>4153840</v>
      </c>
      <c r="DU43">
        <v>9206160</v>
      </c>
      <c r="DV43">
        <v>0</v>
      </c>
    </row>
    <row r="44" spans="1:126" hidden="1">
      <c r="A44" t="s">
        <v>4900</v>
      </c>
      <c r="B44" t="s">
        <v>4868</v>
      </c>
      <c r="C44">
        <v>2019</v>
      </c>
      <c r="D44">
        <v>7</v>
      </c>
      <c r="E44" t="s">
        <v>3953</v>
      </c>
      <c r="F44" t="s">
        <v>4869</v>
      </c>
      <c r="G44" s="2042">
        <v>43670</v>
      </c>
      <c r="H44" t="s">
        <v>4880</v>
      </c>
      <c r="I44" t="s">
        <v>4880</v>
      </c>
      <c r="J44" t="s">
        <v>4881</v>
      </c>
      <c r="K44" t="s">
        <v>4746</v>
      </c>
      <c r="L44" t="s">
        <v>4882</v>
      </c>
      <c r="M44" t="s">
        <v>4882</v>
      </c>
      <c r="N44" t="s">
        <v>4883</v>
      </c>
      <c r="O44" t="s">
        <v>4879</v>
      </c>
      <c r="P44" t="s">
        <v>4743</v>
      </c>
      <c r="Q44" s="2042">
        <v>42826</v>
      </c>
      <c r="R44" s="2042">
        <v>42826</v>
      </c>
      <c r="S44">
        <v>220</v>
      </c>
      <c r="T44">
        <v>0</v>
      </c>
      <c r="U44">
        <v>11130000</v>
      </c>
      <c r="V44">
        <v>2230000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17810000</v>
      </c>
      <c r="AY44">
        <v>13360000</v>
      </c>
      <c r="AZ44">
        <v>13360000</v>
      </c>
      <c r="BA44">
        <v>0</v>
      </c>
      <c r="BB44">
        <v>0</v>
      </c>
      <c r="BC44">
        <v>0</v>
      </c>
      <c r="BD44">
        <v>0</v>
      </c>
      <c r="BE44">
        <v>0</v>
      </c>
      <c r="BF44">
        <v>0</v>
      </c>
      <c r="BG44">
        <v>0</v>
      </c>
      <c r="BH44">
        <v>0</v>
      </c>
      <c r="BI44">
        <v>0</v>
      </c>
      <c r="BJ44">
        <v>0</v>
      </c>
      <c r="BK44">
        <v>0</v>
      </c>
      <c r="BL44">
        <v>2752380</v>
      </c>
      <c r="BM44">
        <v>275230</v>
      </c>
      <c r="BN44">
        <v>0</v>
      </c>
      <c r="BO44">
        <v>0</v>
      </c>
      <c r="BP44">
        <v>1126230</v>
      </c>
      <c r="BQ44">
        <v>0</v>
      </c>
      <c r="BR44">
        <v>0</v>
      </c>
      <c r="BS44">
        <v>0</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0</v>
      </c>
      <c r="DA44">
        <v>0</v>
      </c>
      <c r="DB44">
        <v>0</v>
      </c>
      <c r="DC44">
        <v>0</v>
      </c>
      <c r="DD44">
        <v>0</v>
      </c>
      <c r="DE44">
        <v>0</v>
      </c>
      <c r="DF44">
        <v>0</v>
      </c>
      <c r="DG44">
        <v>0</v>
      </c>
      <c r="DH44">
        <v>0</v>
      </c>
      <c r="DI44">
        <v>0</v>
      </c>
      <c r="DJ44">
        <v>0</v>
      </c>
      <c r="DK44">
        <v>0</v>
      </c>
      <c r="DL44">
        <v>0</v>
      </c>
      <c r="DM44">
        <v>0</v>
      </c>
      <c r="DN44">
        <v>0</v>
      </c>
      <c r="DO44">
        <v>0</v>
      </c>
      <c r="DP44">
        <v>0</v>
      </c>
      <c r="DQ44">
        <v>0</v>
      </c>
      <c r="DR44">
        <v>0</v>
      </c>
      <c r="DS44">
        <v>0</v>
      </c>
      <c r="DT44">
        <v>4153840</v>
      </c>
      <c r="DU44">
        <v>9206160</v>
      </c>
      <c r="DV44">
        <v>0</v>
      </c>
    </row>
    <row r="45" spans="1:126" hidden="1">
      <c r="A45" t="s">
        <v>4900</v>
      </c>
      <c r="B45" t="s">
        <v>4868</v>
      </c>
      <c r="C45">
        <v>2019</v>
      </c>
      <c r="D45">
        <v>6</v>
      </c>
      <c r="E45" t="s">
        <v>3953</v>
      </c>
      <c r="F45" t="s">
        <v>4869</v>
      </c>
      <c r="G45" s="2042">
        <v>43640</v>
      </c>
      <c r="H45" t="s">
        <v>4880</v>
      </c>
      <c r="I45" t="s">
        <v>4880</v>
      </c>
      <c r="J45" t="s">
        <v>4881</v>
      </c>
      <c r="K45" t="s">
        <v>4746</v>
      </c>
      <c r="L45" t="s">
        <v>4882</v>
      </c>
      <c r="M45" t="s">
        <v>4882</v>
      </c>
      <c r="N45" t="s">
        <v>4883</v>
      </c>
      <c r="O45" t="s">
        <v>4879</v>
      </c>
      <c r="P45" t="s">
        <v>4743</v>
      </c>
      <c r="Q45" s="2042">
        <v>42826</v>
      </c>
      <c r="R45" s="2042">
        <v>42826</v>
      </c>
      <c r="S45">
        <v>220</v>
      </c>
      <c r="T45">
        <v>0</v>
      </c>
      <c r="U45">
        <v>11130000</v>
      </c>
      <c r="V45">
        <v>2230000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17810000</v>
      </c>
      <c r="AY45">
        <v>13360000</v>
      </c>
      <c r="AZ45">
        <v>13360000</v>
      </c>
      <c r="BA45">
        <v>0</v>
      </c>
      <c r="BB45">
        <v>0</v>
      </c>
      <c r="BC45">
        <v>0</v>
      </c>
      <c r="BD45">
        <v>0</v>
      </c>
      <c r="BE45">
        <v>0</v>
      </c>
      <c r="BF45">
        <v>0</v>
      </c>
      <c r="BG45">
        <v>0</v>
      </c>
      <c r="BH45">
        <v>0</v>
      </c>
      <c r="BI45">
        <v>0</v>
      </c>
      <c r="BJ45">
        <v>0</v>
      </c>
      <c r="BK45">
        <v>0</v>
      </c>
      <c r="BL45">
        <v>2752380</v>
      </c>
      <c r="BM45">
        <v>275230</v>
      </c>
      <c r="BN45">
        <v>0</v>
      </c>
      <c r="BO45">
        <v>0</v>
      </c>
      <c r="BP45">
        <v>1126230</v>
      </c>
      <c r="BQ45">
        <v>0</v>
      </c>
      <c r="BR45">
        <v>0</v>
      </c>
      <c r="BS45">
        <v>0</v>
      </c>
      <c r="BT45">
        <v>0</v>
      </c>
      <c r="BU45">
        <v>0</v>
      </c>
      <c r="BV45">
        <v>0</v>
      </c>
      <c r="BW45">
        <v>0</v>
      </c>
      <c r="BX45">
        <v>0</v>
      </c>
      <c r="BY45">
        <v>0</v>
      </c>
      <c r="BZ45">
        <v>0</v>
      </c>
      <c r="CA45">
        <v>0</v>
      </c>
      <c r="CB45">
        <v>0</v>
      </c>
      <c r="CC45">
        <v>0</v>
      </c>
      <c r="CD45">
        <v>0</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0</v>
      </c>
      <c r="DA45">
        <v>0</v>
      </c>
      <c r="DB45">
        <v>0</v>
      </c>
      <c r="DC45">
        <v>0</v>
      </c>
      <c r="DD45">
        <v>0</v>
      </c>
      <c r="DE45">
        <v>0</v>
      </c>
      <c r="DF45">
        <v>0</v>
      </c>
      <c r="DG45">
        <v>0</v>
      </c>
      <c r="DH45">
        <v>0</v>
      </c>
      <c r="DI45">
        <v>0</v>
      </c>
      <c r="DJ45">
        <v>0</v>
      </c>
      <c r="DK45">
        <v>0</v>
      </c>
      <c r="DL45">
        <v>0</v>
      </c>
      <c r="DM45">
        <v>0</v>
      </c>
      <c r="DN45">
        <v>0</v>
      </c>
      <c r="DO45">
        <v>0</v>
      </c>
      <c r="DP45">
        <v>0</v>
      </c>
      <c r="DQ45">
        <v>0</v>
      </c>
      <c r="DR45">
        <v>0</v>
      </c>
      <c r="DS45">
        <v>0</v>
      </c>
      <c r="DT45">
        <v>4153840</v>
      </c>
      <c r="DU45">
        <v>9206160</v>
      </c>
      <c r="DV45">
        <v>0</v>
      </c>
    </row>
    <row r="46" spans="1:126" hidden="1">
      <c r="A46" t="s">
        <v>4900</v>
      </c>
      <c r="B46" t="s">
        <v>4868</v>
      </c>
      <c r="C46">
        <v>2019</v>
      </c>
      <c r="D46">
        <v>5</v>
      </c>
      <c r="E46" t="s">
        <v>3953</v>
      </c>
      <c r="F46" t="s">
        <v>4869</v>
      </c>
      <c r="G46" s="2042">
        <v>43609</v>
      </c>
      <c r="H46" t="s">
        <v>4880</v>
      </c>
      <c r="I46" t="s">
        <v>4880</v>
      </c>
      <c r="J46" t="s">
        <v>4881</v>
      </c>
      <c r="K46" t="s">
        <v>4746</v>
      </c>
      <c r="L46" t="s">
        <v>4882</v>
      </c>
      <c r="M46" t="s">
        <v>4882</v>
      </c>
      <c r="N46" t="s">
        <v>4883</v>
      </c>
      <c r="O46" t="s">
        <v>4879</v>
      </c>
      <c r="P46" t="s">
        <v>4743</v>
      </c>
      <c r="Q46" s="2042">
        <v>42826</v>
      </c>
      <c r="R46" s="2042">
        <v>42826</v>
      </c>
      <c r="S46">
        <v>220</v>
      </c>
      <c r="T46">
        <v>0</v>
      </c>
      <c r="U46">
        <v>11130000</v>
      </c>
      <c r="V46">
        <v>2230000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17810000</v>
      </c>
      <c r="AY46">
        <v>13960000</v>
      </c>
      <c r="AZ46">
        <v>13360000</v>
      </c>
      <c r="BA46">
        <v>600000</v>
      </c>
      <c r="BB46">
        <v>0</v>
      </c>
      <c r="BC46">
        <v>0</v>
      </c>
      <c r="BD46">
        <v>0</v>
      </c>
      <c r="BE46">
        <v>0</v>
      </c>
      <c r="BF46">
        <v>0</v>
      </c>
      <c r="BG46">
        <v>0</v>
      </c>
      <c r="BH46">
        <v>0</v>
      </c>
      <c r="BI46">
        <v>0</v>
      </c>
      <c r="BJ46">
        <v>0</v>
      </c>
      <c r="BK46">
        <v>0</v>
      </c>
      <c r="BL46">
        <v>2866380</v>
      </c>
      <c r="BM46">
        <v>286630</v>
      </c>
      <c r="BN46">
        <v>0</v>
      </c>
      <c r="BO46">
        <v>0</v>
      </c>
      <c r="BP46">
        <v>1126230</v>
      </c>
      <c r="BQ46">
        <v>0</v>
      </c>
      <c r="BR46">
        <v>0</v>
      </c>
      <c r="BS46">
        <v>0</v>
      </c>
      <c r="BT46">
        <v>0</v>
      </c>
      <c r="BU46">
        <v>0</v>
      </c>
      <c r="BV46">
        <v>0</v>
      </c>
      <c r="BW46">
        <v>0</v>
      </c>
      <c r="BX46">
        <v>0</v>
      </c>
      <c r="BY46">
        <v>0</v>
      </c>
      <c r="BZ46">
        <v>0</v>
      </c>
      <c r="CA46">
        <v>0</v>
      </c>
      <c r="CB46">
        <v>0</v>
      </c>
      <c r="CC46">
        <v>0</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0</v>
      </c>
      <c r="DA46">
        <v>0</v>
      </c>
      <c r="DB46">
        <v>0</v>
      </c>
      <c r="DC46">
        <v>0</v>
      </c>
      <c r="DD46">
        <v>0</v>
      </c>
      <c r="DE46">
        <v>0</v>
      </c>
      <c r="DF46">
        <v>0</v>
      </c>
      <c r="DG46">
        <v>0</v>
      </c>
      <c r="DH46">
        <v>0</v>
      </c>
      <c r="DI46">
        <v>0</v>
      </c>
      <c r="DJ46">
        <v>0</v>
      </c>
      <c r="DK46">
        <v>0</v>
      </c>
      <c r="DL46">
        <v>0</v>
      </c>
      <c r="DM46">
        <v>0</v>
      </c>
      <c r="DN46">
        <v>0</v>
      </c>
      <c r="DO46">
        <v>0</v>
      </c>
      <c r="DP46">
        <v>0</v>
      </c>
      <c r="DQ46">
        <v>0</v>
      </c>
      <c r="DR46">
        <v>0</v>
      </c>
      <c r="DS46">
        <v>0</v>
      </c>
      <c r="DT46">
        <v>4279240</v>
      </c>
      <c r="DU46">
        <v>9080760</v>
      </c>
      <c r="DV46">
        <v>0</v>
      </c>
    </row>
    <row r="47" spans="1:126" hidden="1">
      <c r="A47" t="s">
        <v>4900</v>
      </c>
      <c r="B47" t="s">
        <v>4868</v>
      </c>
      <c r="C47">
        <v>2019</v>
      </c>
      <c r="D47">
        <v>4</v>
      </c>
      <c r="E47" t="s">
        <v>3953</v>
      </c>
      <c r="F47" t="s">
        <v>4869</v>
      </c>
      <c r="G47" s="2042">
        <v>43579</v>
      </c>
      <c r="H47" t="s">
        <v>4880</v>
      </c>
      <c r="I47" t="s">
        <v>4880</v>
      </c>
      <c r="J47" t="s">
        <v>4881</v>
      </c>
      <c r="K47" t="s">
        <v>4746</v>
      </c>
      <c r="L47" t="s">
        <v>4882</v>
      </c>
      <c r="M47" t="s">
        <v>4882</v>
      </c>
      <c r="N47" t="s">
        <v>4883</v>
      </c>
      <c r="O47" t="s">
        <v>4879</v>
      </c>
      <c r="P47" t="s">
        <v>4743</v>
      </c>
      <c r="Q47" s="2042">
        <v>42826</v>
      </c>
      <c r="R47" s="2042">
        <v>42826</v>
      </c>
      <c r="S47">
        <v>220</v>
      </c>
      <c r="T47">
        <v>0</v>
      </c>
      <c r="U47">
        <v>11130000</v>
      </c>
      <c r="V47">
        <v>2230000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17810000</v>
      </c>
      <c r="AY47">
        <v>13360000</v>
      </c>
      <c r="AZ47">
        <v>13360000</v>
      </c>
      <c r="BA47">
        <v>0</v>
      </c>
      <c r="BB47">
        <v>0</v>
      </c>
      <c r="BC47">
        <v>0</v>
      </c>
      <c r="BD47">
        <v>0</v>
      </c>
      <c r="BE47">
        <v>0</v>
      </c>
      <c r="BF47">
        <v>0</v>
      </c>
      <c r="BG47">
        <v>0</v>
      </c>
      <c r="BH47">
        <v>0</v>
      </c>
      <c r="BI47">
        <v>0</v>
      </c>
      <c r="BJ47">
        <v>0</v>
      </c>
      <c r="BK47">
        <v>0</v>
      </c>
      <c r="BL47">
        <v>2939020</v>
      </c>
      <c r="BM47">
        <v>293900</v>
      </c>
      <c r="BN47">
        <v>0</v>
      </c>
      <c r="BO47">
        <v>0</v>
      </c>
      <c r="BP47">
        <v>2108580</v>
      </c>
      <c r="BQ47">
        <v>0</v>
      </c>
      <c r="BR47">
        <v>0</v>
      </c>
      <c r="BS47">
        <v>0</v>
      </c>
      <c r="BT47">
        <v>0</v>
      </c>
      <c r="BU47">
        <v>0</v>
      </c>
      <c r="BV47">
        <v>0</v>
      </c>
      <c r="BW47">
        <v>0</v>
      </c>
      <c r="BX47">
        <v>0</v>
      </c>
      <c r="BY47">
        <v>0</v>
      </c>
      <c r="BZ47">
        <v>0</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0</v>
      </c>
      <c r="DA47">
        <v>0</v>
      </c>
      <c r="DB47">
        <v>0</v>
      </c>
      <c r="DC47">
        <v>0</v>
      </c>
      <c r="DD47">
        <v>0</v>
      </c>
      <c r="DE47">
        <v>0</v>
      </c>
      <c r="DF47">
        <v>0</v>
      </c>
      <c r="DG47">
        <v>0</v>
      </c>
      <c r="DH47">
        <v>0</v>
      </c>
      <c r="DI47">
        <v>0</v>
      </c>
      <c r="DJ47">
        <v>0</v>
      </c>
      <c r="DK47">
        <v>0</v>
      </c>
      <c r="DL47">
        <v>0</v>
      </c>
      <c r="DM47">
        <v>0</v>
      </c>
      <c r="DN47">
        <v>0</v>
      </c>
      <c r="DO47">
        <v>0</v>
      </c>
      <c r="DP47">
        <v>0</v>
      </c>
      <c r="DQ47">
        <v>0</v>
      </c>
      <c r="DR47">
        <v>0</v>
      </c>
      <c r="DS47">
        <v>0</v>
      </c>
      <c r="DT47">
        <v>5341500</v>
      </c>
      <c r="DU47">
        <v>8018500</v>
      </c>
      <c r="DV47">
        <v>0</v>
      </c>
    </row>
    <row r="48" spans="1:126" hidden="1">
      <c r="A48" t="s">
        <v>4900</v>
      </c>
      <c r="B48" t="s">
        <v>4868</v>
      </c>
      <c r="C48">
        <v>2019</v>
      </c>
      <c r="D48">
        <v>3</v>
      </c>
      <c r="E48" t="s">
        <v>3953</v>
      </c>
      <c r="F48" t="s">
        <v>4869</v>
      </c>
      <c r="G48" s="2042">
        <v>43546</v>
      </c>
      <c r="H48" t="s">
        <v>4880</v>
      </c>
      <c r="I48" t="s">
        <v>4880</v>
      </c>
      <c r="J48" t="s">
        <v>4881</v>
      </c>
      <c r="K48" t="s">
        <v>4746</v>
      </c>
      <c r="L48" t="s">
        <v>4882</v>
      </c>
      <c r="M48" t="s">
        <v>4882</v>
      </c>
      <c r="N48" t="s">
        <v>4883</v>
      </c>
      <c r="O48" t="s">
        <v>4879</v>
      </c>
      <c r="P48" t="s">
        <v>4743</v>
      </c>
      <c r="Q48" s="2042">
        <v>42826</v>
      </c>
      <c r="R48" s="2042">
        <v>42826</v>
      </c>
      <c r="S48">
        <v>220</v>
      </c>
      <c r="T48">
        <v>0</v>
      </c>
      <c r="U48">
        <v>11130000</v>
      </c>
      <c r="V48">
        <v>2230000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17810000</v>
      </c>
      <c r="AY48">
        <v>13360000</v>
      </c>
      <c r="AZ48">
        <v>13360000</v>
      </c>
      <c r="BA48">
        <v>0</v>
      </c>
      <c r="BB48">
        <v>0</v>
      </c>
      <c r="BC48">
        <v>0</v>
      </c>
      <c r="BD48">
        <v>0</v>
      </c>
      <c r="BE48">
        <v>0</v>
      </c>
      <c r="BF48">
        <v>0</v>
      </c>
      <c r="BG48">
        <v>0</v>
      </c>
      <c r="BH48">
        <v>0</v>
      </c>
      <c r="BI48">
        <v>0</v>
      </c>
      <c r="BJ48">
        <v>0</v>
      </c>
      <c r="BK48">
        <v>0</v>
      </c>
      <c r="BL48">
        <v>2751930</v>
      </c>
      <c r="BM48">
        <v>275190</v>
      </c>
      <c r="BN48">
        <v>0</v>
      </c>
      <c r="BO48">
        <v>0</v>
      </c>
      <c r="BP48">
        <v>1123890</v>
      </c>
      <c r="BQ48">
        <v>0</v>
      </c>
      <c r="BR48">
        <v>0</v>
      </c>
      <c r="BS48">
        <v>0</v>
      </c>
      <c r="BT48">
        <v>0</v>
      </c>
      <c r="BU48">
        <v>0</v>
      </c>
      <c r="BV48">
        <v>0</v>
      </c>
      <c r="BW48">
        <v>0</v>
      </c>
      <c r="BX48">
        <v>0</v>
      </c>
      <c r="BY48">
        <v>0</v>
      </c>
      <c r="BZ48">
        <v>0</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0</v>
      </c>
      <c r="DA48">
        <v>0</v>
      </c>
      <c r="DB48">
        <v>0</v>
      </c>
      <c r="DC48">
        <v>0</v>
      </c>
      <c r="DD48">
        <v>0</v>
      </c>
      <c r="DE48">
        <v>0</v>
      </c>
      <c r="DF48">
        <v>0</v>
      </c>
      <c r="DG48">
        <v>0</v>
      </c>
      <c r="DH48">
        <v>0</v>
      </c>
      <c r="DI48">
        <v>0</v>
      </c>
      <c r="DJ48">
        <v>0</v>
      </c>
      <c r="DK48">
        <v>0</v>
      </c>
      <c r="DL48">
        <v>0</v>
      </c>
      <c r="DM48">
        <v>0</v>
      </c>
      <c r="DN48">
        <v>0</v>
      </c>
      <c r="DO48">
        <v>0</v>
      </c>
      <c r="DP48">
        <v>0</v>
      </c>
      <c r="DQ48">
        <v>0</v>
      </c>
      <c r="DR48">
        <v>0</v>
      </c>
      <c r="DS48">
        <v>0</v>
      </c>
      <c r="DT48">
        <v>4151010</v>
      </c>
      <c r="DU48">
        <v>9208990</v>
      </c>
      <c r="DV48">
        <v>0</v>
      </c>
    </row>
    <row r="49" spans="1:126" hidden="1">
      <c r="A49" t="s">
        <v>4900</v>
      </c>
      <c r="B49" t="s">
        <v>4868</v>
      </c>
      <c r="C49">
        <v>2019</v>
      </c>
      <c r="D49">
        <v>2</v>
      </c>
      <c r="E49" t="s">
        <v>3953</v>
      </c>
      <c r="F49" t="s">
        <v>4869</v>
      </c>
      <c r="G49" s="2042">
        <v>43518</v>
      </c>
      <c r="H49" t="s">
        <v>4880</v>
      </c>
      <c r="I49" t="s">
        <v>4880</v>
      </c>
      <c r="J49" t="s">
        <v>4881</v>
      </c>
      <c r="K49" t="s">
        <v>4746</v>
      </c>
      <c r="L49" t="s">
        <v>4882</v>
      </c>
      <c r="M49" t="s">
        <v>4882</v>
      </c>
      <c r="N49" t="s">
        <v>4883</v>
      </c>
      <c r="O49" t="s">
        <v>4879</v>
      </c>
      <c r="P49" t="s">
        <v>4743</v>
      </c>
      <c r="Q49" s="2042">
        <v>42826</v>
      </c>
      <c r="R49" s="2042">
        <v>42826</v>
      </c>
      <c r="S49">
        <v>220</v>
      </c>
      <c r="T49">
        <v>0</v>
      </c>
      <c r="U49">
        <v>11130000</v>
      </c>
      <c r="V49">
        <v>2230000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17810000</v>
      </c>
      <c r="AY49">
        <v>13360000</v>
      </c>
      <c r="AZ49">
        <v>13360000</v>
      </c>
      <c r="BA49">
        <v>0</v>
      </c>
      <c r="BB49">
        <v>0</v>
      </c>
      <c r="BC49">
        <v>0</v>
      </c>
      <c r="BD49">
        <v>0</v>
      </c>
      <c r="BE49">
        <v>0</v>
      </c>
      <c r="BF49">
        <v>0</v>
      </c>
      <c r="BG49">
        <v>0</v>
      </c>
      <c r="BH49">
        <v>0</v>
      </c>
      <c r="BI49">
        <v>0</v>
      </c>
      <c r="BJ49">
        <v>0</v>
      </c>
      <c r="BK49">
        <v>0</v>
      </c>
      <c r="BL49">
        <v>2751930</v>
      </c>
      <c r="BM49">
        <v>275190</v>
      </c>
      <c r="BN49">
        <v>0</v>
      </c>
      <c r="BO49">
        <v>0</v>
      </c>
      <c r="BP49">
        <v>1123890</v>
      </c>
      <c r="BQ49">
        <v>0</v>
      </c>
      <c r="BR49">
        <v>0</v>
      </c>
      <c r="BS49">
        <v>0</v>
      </c>
      <c r="BT49">
        <v>0</v>
      </c>
      <c r="BU49">
        <v>0</v>
      </c>
      <c r="BV49">
        <v>0</v>
      </c>
      <c r="BW49">
        <v>0</v>
      </c>
      <c r="BX49">
        <v>0</v>
      </c>
      <c r="BY49">
        <v>0</v>
      </c>
      <c r="BZ49">
        <v>0</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0</v>
      </c>
      <c r="DA49">
        <v>0</v>
      </c>
      <c r="DB49">
        <v>0</v>
      </c>
      <c r="DC49">
        <v>0</v>
      </c>
      <c r="DD49">
        <v>0</v>
      </c>
      <c r="DE49">
        <v>0</v>
      </c>
      <c r="DF49">
        <v>0</v>
      </c>
      <c r="DG49">
        <v>0</v>
      </c>
      <c r="DH49">
        <v>0</v>
      </c>
      <c r="DI49">
        <v>0</v>
      </c>
      <c r="DJ49">
        <v>0</v>
      </c>
      <c r="DK49">
        <v>0</v>
      </c>
      <c r="DL49">
        <v>0</v>
      </c>
      <c r="DM49">
        <v>0</v>
      </c>
      <c r="DN49">
        <v>0</v>
      </c>
      <c r="DO49">
        <v>0</v>
      </c>
      <c r="DP49">
        <v>0</v>
      </c>
      <c r="DQ49">
        <v>0</v>
      </c>
      <c r="DR49">
        <v>0</v>
      </c>
      <c r="DS49">
        <v>0</v>
      </c>
      <c r="DT49">
        <v>4151010</v>
      </c>
      <c r="DU49">
        <v>9208990</v>
      </c>
      <c r="DV49">
        <v>0</v>
      </c>
    </row>
    <row r="50" spans="1:126" hidden="1">
      <c r="A50" t="s">
        <v>4900</v>
      </c>
      <c r="B50" t="s">
        <v>4868</v>
      </c>
      <c r="C50">
        <v>2019</v>
      </c>
      <c r="D50">
        <v>1</v>
      </c>
      <c r="E50" t="s">
        <v>3953</v>
      </c>
      <c r="F50" t="s">
        <v>4869</v>
      </c>
      <c r="G50" s="2042">
        <v>43489</v>
      </c>
      <c r="H50" t="s">
        <v>4880</v>
      </c>
      <c r="I50" t="s">
        <v>4880</v>
      </c>
      <c r="J50" t="s">
        <v>4881</v>
      </c>
      <c r="K50" t="s">
        <v>4746</v>
      </c>
      <c r="L50" t="s">
        <v>4882</v>
      </c>
      <c r="M50" t="s">
        <v>4882</v>
      </c>
      <c r="N50" t="s">
        <v>4883</v>
      </c>
      <c r="O50" t="s">
        <v>4879</v>
      </c>
      <c r="P50" t="s">
        <v>4743</v>
      </c>
      <c r="Q50" s="2042">
        <v>42826</v>
      </c>
      <c r="R50" s="2042">
        <v>42826</v>
      </c>
      <c r="S50">
        <v>220</v>
      </c>
      <c r="T50">
        <v>0</v>
      </c>
      <c r="U50">
        <v>11130000</v>
      </c>
      <c r="V50">
        <v>2230000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17120000</v>
      </c>
      <c r="AY50">
        <v>13360000</v>
      </c>
      <c r="AZ50">
        <v>13360000</v>
      </c>
      <c r="BA50">
        <v>0</v>
      </c>
      <c r="BB50">
        <v>0</v>
      </c>
      <c r="BC50">
        <v>0</v>
      </c>
      <c r="BD50">
        <v>0</v>
      </c>
      <c r="BE50">
        <v>0</v>
      </c>
      <c r="BF50">
        <v>0</v>
      </c>
      <c r="BG50">
        <v>0</v>
      </c>
      <c r="BH50">
        <v>0</v>
      </c>
      <c r="BI50">
        <v>0</v>
      </c>
      <c r="BJ50">
        <v>0</v>
      </c>
      <c r="BK50">
        <v>0</v>
      </c>
      <c r="BL50">
        <v>2751930</v>
      </c>
      <c r="BM50">
        <v>275190</v>
      </c>
      <c r="BN50">
        <v>0</v>
      </c>
      <c r="BO50">
        <v>0</v>
      </c>
      <c r="BP50">
        <v>1123890</v>
      </c>
      <c r="BQ50">
        <v>0</v>
      </c>
      <c r="BR50">
        <v>0</v>
      </c>
      <c r="BS50">
        <v>0</v>
      </c>
      <c r="BT50">
        <v>0</v>
      </c>
      <c r="BU50">
        <v>0</v>
      </c>
      <c r="BV50">
        <v>0</v>
      </c>
      <c r="BW50">
        <v>0</v>
      </c>
      <c r="BX50">
        <v>0</v>
      </c>
      <c r="BY50">
        <v>0</v>
      </c>
      <c r="BZ50">
        <v>0</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DN50">
        <v>0</v>
      </c>
      <c r="DO50">
        <v>0</v>
      </c>
      <c r="DP50">
        <v>0</v>
      </c>
      <c r="DQ50">
        <v>0</v>
      </c>
      <c r="DR50">
        <v>0</v>
      </c>
      <c r="DS50">
        <v>0</v>
      </c>
      <c r="DT50">
        <v>4151010</v>
      </c>
      <c r="DU50">
        <v>9208990</v>
      </c>
      <c r="DV50">
        <v>0</v>
      </c>
    </row>
    <row r="51" spans="1:126" hidden="1">
      <c r="A51" t="s">
        <v>4900</v>
      </c>
      <c r="B51" t="s">
        <v>4868</v>
      </c>
      <c r="C51">
        <v>2020</v>
      </c>
      <c r="D51">
        <v>12</v>
      </c>
      <c r="E51" t="s">
        <v>3953</v>
      </c>
      <c r="F51" t="s">
        <v>4869</v>
      </c>
      <c r="G51" s="2042">
        <v>44189</v>
      </c>
      <c r="H51" t="s">
        <v>4870</v>
      </c>
      <c r="I51" t="s">
        <v>4870</v>
      </c>
      <c r="J51" t="s">
        <v>4871</v>
      </c>
      <c r="K51" t="s">
        <v>4746</v>
      </c>
      <c r="L51" t="s">
        <v>4872</v>
      </c>
      <c r="M51" t="s">
        <v>4872</v>
      </c>
      <c r="N51" t="s">
        <v>4873</v>
      </c>
      <c r="O51" t="s">
        <v>4879</v>
      </c>
      <c r="P51" t="s">
        <v>4743</v>
      </c>
      <c r="Q51" s="2042">
        <v>43191</v>
      </c>
      <c r="R51" s="2042">
        <v>43191</v>
      </c>
      <c r="S51">
        <v>220</v>
      </c>
      <c r="T51">
        <v>0</v>
      </c>
      <c r="U51">
        <v>56160000</v>
      </c>
      <c r="V51">
        <v>11230000</v>
      </c>
      <c r="W51">
        <v>0</v>
      </c>
      <c r="X51">
        <v>43240000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111475000</v>
      </c>
      <c r="AY51">
        <v>110630000</v>
      </c>
      <c r="AZ51">
        <v>110630000</v>
      </c>
      <c r="BA51">
        <v>0</v>
      </c>
      <c r="BB51">
        <v>0</v>
      </c>
      <c r="BC51">
        <v>0</v>
      </c>
      <c r="BD51">
        <v>0</v>
      </c>
      <c r="BE51">
        <v>0</v>
      </c>
      <c r="BF51">
        <v>0</v>
      </c>
      <c r="BG51">
        <v>0</v>
      </c>
      <c r="BH51">
        <v>0</v>
      </c>
      <c r="BI51">
        <v>0</v>
      </c>
      <c r="BJ51">
        <v>0</v>
      </c>
      <c r="BK51">
        <v>0</v>
      </c>
      <c r="BL51">
        <v>42426770</v>
      </c>
      <c r="BM51">
        <v>4242670</v>
      </c>
      <c r="BN51">
        <v>0</v>
      </c>
      <c r="BO51">
        <v>0</v>
      </c>
      <c r="BP51">
        <v>3662690</v>
      </c>
      <c r="BQ51">
        <v>0</v>
      </c>
      <c r="BR51">
        <v>0</v>
      </c>
      <c r="BS51">
        <v>0</v>
      </c>
      <c r="BT51">
        <v>0</v>
      </c>
      <c r="BU51">
        <v>0</v>
      </c>
      <c r="BV51">
        <v>0</v>
      </c>
      <c r="BW51">
        <v>0</v>
      </c>
      <c r="BX51">
        <v>0</v>
      </c>
      <c r="BY51">
        <v>0</v>
      </c>
      <c r="BZ51">
        <v>0</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c r="DA51">
        <v>0</v>
      </c>
      <c r="DB51">
        <v>0</v>
      </c>
      <c r="DC51">
        <v>0</v>
      </c>
      <c r="DD51">
        <v>0</v>
      </c>
      <c r="DE51">
        <v>0</v>
      </c>
      <c r="DF51">
        <v>0</v>
      </c>
      <c r="DG51">
        <v>0</v>
      </c>
      <c r="DH51">
        <v>0</v>
      </c>
      <c r="DI51">
        <v>0</v>
      </c>
      <c r="DJ51">
        <v>0</v>
      </c>
      <c r="DK51">
        <v>0</v>
      </c>
      <c r="DL51">
        <v>0</v>
      </c>
      <c r="DM51">
        <v>0</v>
      </c>
      <c r="DN51">
        <v>0</v>
      </c>
      <c r="DO51">
        <v>0</v>
      </c>
      <c r="DP51">
        <v>0</v>
      </c>
      <c r="DQ51">
        <v>0</v>
      </c>
      <c r="DR51">
        <v>0</v>
      </c>
      <c r="DS51">
        <v>0</v>
      </c>
      <c r="DT51">
        <v>50332130</v>
      </c>
      <c r="DU51">
        <v>60297870</v>
      </c>
      <c r="DV51">
        <v>0</v>
      </c>
    </row>
    <row r="52" spans="1:126" hidden="1">
      <c r="A52" t="s">
        <v>4900</v>
      </c>
      <c r="B52" t="s">
        <v>4868</v>
      </c>
      <c r="C52">
        <v>2020</v>
      </c>
      <c r="D52">
        <v>11</v>
      </c>
      <c r="E52" t="s">
        <v>3953</v>
      </c>
      <c r="F52" t="s">
        <v>4869</v>
      </c>
      <c r="G52" s="2042">
        <v>44159</v>
      </c>
      <c r="H52" t="s">
        <v>4870</v>
      </c>
      <c r="I52" t="s">
        <v>4870</v>
      </c>
      <c r="J52" t="s">
        <v>4871</v>
      </c>
      <c r="K52" t="s">
        <v>4746</v>
      </c>
      <c r="L52" t="s">
        <v>4872</v>
      </c>
      <c r="M52" t="s">
        <v>4872</v>
      </c>
      <c r="N52" t="s">
        <v>4873</v>
      </c>
      <c r="O52" t="s">
        <v>4879</v>
      </c>
      <c r="P52" t="s">
        <v>4743</v>
      </c>
      <c r="Q52" s="2042">
        <v>43191</v>
      </c>
      <c r="R52" s="2042">
        <v>43191</v>
      </c>
      <c r="S52">
        <v>220</v>
      </c>
      <c r="T52">
        <v>0</v>
      </c>
      <c r="U52">
        <v>56160000</v>
      </c>
      <c r="V52">
        <v>11230000</v>
      </c>
      <c r="W52">
        <v>0</v>
      </c>
      <c r="X52">
        <v>43240000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111475000</v>
      </c>
      <c r="AY52">
        <v>110630000</v>
      </c>
      <c r="AZ52">
        <v>110630000</v>
      </c>
      <c r="BA52">
        <v>0</v>
      </c>
      <c r="BB52">
        <v>0</v>
      </c>
      <c r="BC52">
        <v>0</v>
      </c>
      <c r="BD52">
        <v>0</v>
      </c>
      <c r="BE52">
        <v>0</v>
      </c>
      <c r="BF52">
        <v>0</v>
      </c>
      <c r="BG52">
        <v>0</v>
      </c>
      <c r="BH52">
        <v>0</v>
      </c>
      <c r="BI52">
        <v>0</v>
      </c>
      <c r="BJ52">
        <v>0</v>
      </c>
      <c r="BK52">
        <v>0</v>
      </c>
      <c r="BL52">
        <v>42426770</v>
      </c>
      <c r="BM52">
        <v>4242670</v>
      </c>
      <c r="BN52">
        <v>0</v>
      </c>
      <c r="BO52">
        <v>0</v>
      </c>
      <c r="BP52">
        <v>3662690</v>
      </c>
      <c r="BQ52">
        <v>0</v>
      </c>
      <c r="BR52">
        <v>0</v>
      </c>
      <c r="BS52">
        <v>0</v>
      </c>
      <c r="BT52">
        <v>0</v>
      </c>
      <c r="BU52">
        <v>0</v>
      </c>
      <c r="BV52">
        <v>0</v>
      </c>
      <c r="BW52">
        <v>0</v>
      </c>
      <c r="BX52">
        <v>0</v>
      </c>
      <c r="BY52">
        <v>0</v>
      </c>
      <c r="BZ52">
        <v>0</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0</v>
      </c>
      <c r="DA52">
        <v>0</v>
      </c>
      <c r="DB52">
        <v>0</v>
      </c>
      <c r="DC52">
        <v>0</v>
      </c>
      <c r="DD52">
        <v>0</v>
      </c>
      <c r="DE52">
        <v>0</v>
      </c>
      <c r="DF52">
        <v>0</v>
      </c>
      <c r="DG52">
        <v>0</v>
      </c>
      <c r="DH52">
        <v>0</v>
      </c>
      <c r="DI52">
        <v>0</v>
      </c>
      <c r="DJ52">
        <v>0</v>
      </c>
      <c r="DK52">
        <v>0</v>
      </c>
      <c r="DL52">
        <v>0</v>
      </c>
      <c r="DM52">
        <v>0</v>
      </c>
      <c r="DN52">
        <v>0</v>
      </c>
      <c r="DO52">
        <v>0</v>
      </c>
      <c r="DP52">
        <v>0</v>
      </c>
      <c r="DQ52">
        <v>0</v>
      </c>
      <c r="DR52">
        <v>0</v>
      </c>
      <c r="DS52">
        <v>0</v>
      </c>
      <c r="DT52">
        <v>50332130</v>
      </c>
      <c r="DU52">
        <v>60297870</v>
      </c>
      <c r="DV52">
        <v>0</v>
      </c>
    </row>
    <row r="53" spans="1:126" hidden="1">
      <c r="A53" t="s">
        <v>4900</v>
      </c>
      <c r="B53" t="s">
        <v>4868</v>
      </c>
      <c r="C53">
        <v>2020</v>
      </c>
      <c r="D53">
        <v>10</v>
      </c>
      <c r="E53" t="s">
        <v>3953</v>
      </c>
      <c r="F53" t="s">
        <v>4869</v>
      </c>
      <c r="G53" s="2042">
        <v>44127</v>
      </c>
      <c r="H53" t="s">
        <v>4870</v>
      </c>
      <c r="I53" t="s">
        <v>4870</v>
      </c>
      <c r="J53" t="s">
        <v>4871</v>
      </c>
      <c r="K53" t="s">
        <v>4746</v>
      </c>
      <c r="L53" t="s">
        <v>4872</v>
      </c>
      <c r="M53" t="s">
        <v>4872</v>
      </c>
      <c r="N53" t="s">
        <v>4873</v>
      </c>
      <c r="O53" t="s">
        <v>4879</v>
      </c>
      <c r="P53" t="s">
        <v>4743</v>
      </c>
      <c r="Q53" s="2042">
        <v>43191</v>
      </c>
      <c r="R53" s="2042">
        <v>43191</v>
      </c>
      <c r="S53">
        <v>220</v>
      </c>
      <c r="T53">
        <v>0</v>
      </c>
      <c r="U53">
        <v>56160000</v>
      </c>
      <c r="V53">
        <v>11230000</v>
      </c>
      <c r="W53">
        <v>0</v>
      </c>
      <c r="X53">
        <v>43240000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111475000</v>
      </c>
      <c r="AY53">
        <v>110630000</v>
      </c>
      <c r="AZ53">
        <v>110630000</v>
      </c>
      <c r="BA53">
        <v>0</v>
      </c>
      <c r="BB53">
        <v>0</v>
      </c>
      <c r="BC53">
        <v>0</v>
      </c>
      <c r="BD53">
        <v>0</v>
      </c>
      <c r="BE53">
        <v>0</v>
      </c>
      <c r="BF53">
        <v>0</v>
      </c>
      <c r="BG53">
        <v>0</v>
      </c>
      <c r="BH53">
        <v>0</v>
      </c>
      <c r="BI53">
        <v>0</v>
      </c>
      <c r="BJ53">
        <v>0</v>
      </c>
      <c r="BK53">
        <v>0</v>
      </c>
      <c r="BL53">
        <v>42426770</v>
      </c>
      <c r="BM53">
        <v>4242670</v>
      </c>
      <c r="BN53">
        <v>0</v>
      </c>
      <c r="BO53">
        <v>0</v>
      </c>
      <c r="BP53">
        <v>3662690</v>
      </c>
      <c r="BQ53">
        <v>0</v>
      </c>
      <c r="BR53">
        <v>0</v>
      </c>
      <c r="BS53">
        <v>0</v>
      </c>
      <c r="BT53">
        <v>0</v>
      </c>
      <c r="BU53">
        <v>0</v>
      </c>
      <c r="BV53">
        <v>0</v>
      </c>
      <c r="BW53">
        <v>0</v>
      </c>
      <c r="BX53">
        <v>0</v>
      </c>
      <c r="BY53">
        <v>0</v>
      </c>
      <c r="BZ53">
        <v>0</v>
      </c>
      <c r="CA53">
        <v>0</v>
      </c>
      <c r="CB53">
        <v>0</v>
      </c>
      <c r="CC53">
        <v>0</v>
      </c>
      <c r="CD53">
        <v>0</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0</v>
      </c>
      <c r="DA53">
        <v>0</v>
      </c>
      <c r="DB53">
        <v>0</v>
      </c>
      <c r="DC53">
        <v>0</v>
      </c>
      <c r="DD53">
        <v>0</v>
      </c>
      <c r="DE53">
        <v>0</v>
      </c>
      <c r="DF53">
        <v>0</v>
      </c>
      <c r="DG53">
        <v>0</v>
      </c>
      <c r="DH53">
        <v>0</v>
      </c>
      <c r="DI53">
        <v>0</v>
      </c>
      <c r="DJ53">
        <v>0</v>
      </c>
      <c r="DK53">
        <v>0</v>
      </c>
      <c r="DL53">
        <v>0</v>
      </c>
      <c r="DM53">
        <v>0</v>
      </c>
      <c r="DN53">
        <v>0</v>
      </c>
      <c r="DO53">
        <v>0</v>
      </c>
      <c r="DP53">
        <v>0</v>
      </c>
      <c r="DQ53">
        <v>0</v>
      </c>
      <c r="DR53">
        <v>0</v>
      </c>
      <c r="DS53">
        <v>0</v>
      </c>
      <c r="DT53">
        <v>50332130</v>
      </c>
      <c r="DU53">
        <v>60297870</v>
      </c>
      <c r="DV53">
        <v>0</v>
      </c>
    </row>
    <row r="54" spans="1:126" hidden="1">
      <c r="A54" t="s">
        <v>4900</v>
      </c>
      <c r="B54" t="s">
        <v>4868</v>
      </c>
      <c r="C54">
        <v>2020</v>
      </c>
      <c r="D54">
        <v>9</v>
      </c>
      <c r="E54" t="s">
        <v>3953</v>
      </c>
      <c r="F54" t="s">
        <v>4869</v>
      </c>
      <c r="G54" s="2042">
        <v>44098</v>
      </c>
      <c r="H54" t="s">
        <v>4870</v>
      </c>
      <c r="I54" t="s">
        <v>4870</v>
      </c>
      <c r="J54" t="s">
        <v>4871</v>
      </c>
      <c r="K54" t="s">
        <v>4746</v>
      </c>
      <c r="L54" t="s">
        <v>4872</v>
      </c>
      <c r="M54" t="s">
        <v>4872</v>
      </c>
      <c r="N54" t="s">
        <v>4873</v>
      </c>
      <c r="O54" t="s">
        <v>4879</v>
      </c>
      <c r="P54" t="s">
        <v>4743</v>
      </c>
      <c r="Q54" s="2042">
        <v>43191</v>
      </c>
      <c r="R54" s="2042">
        <v>43191</v>
      </c>
      <c r="S54">
        <v>220</v>
      </c>
      <c r="T54">
        <v>0</v>
      </c>
      <c r="U54">
        <v>56160000</v>
      </c>
      <c r="V54">
        <v>11230000</v>
      </c>
      <c r="W54">
        <v>0</v>
      </c>
      <c r="X54">
        <v>43240000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111475000</v>
      </c>
      <c r="AY54">
        <v>110630000</v>
      </c>
      <c r="AZ54">
        <v>110630000</v>
      </c>
      <c r="BA54">
        <v>0</v>
      </c>
      <c r="BB54">
        <v>0</v>
      </c>
      <c r="BC54">
        <v>0</v>
      </c>
      <c r="BD54">
        <v>0</v>
      </c>
      <c r="BE54">
        <v>0</v>
      </c>
      <c r="BF54">
        <v>0</v>
      </c>
      <c r="BG54">
        <v>0</v>
      </c>
      <c r="BH54">
        <v>0</v>
      </c>
      <c r="BI54">
        <v>0</v>
      </c>
      <c r="BJ54">
        <v>0</v>
      </c>
      <c r="BK54">
        <v>0</v>
      </c>
      <c r="BL54">
        <v>42426770</v>
      </c>
      <c r="BM54">
        <v>4242670</v>
      </c>
      <c r="BN54">
        <v>0</v>
      </c>
      <c r="BO54">
        <v>0</v>
      </c>
      <c r="BP54">
        <v>3662690</v>
      </c>
      <c r="BQ54">
        <v>0</v>
      </c>
      <c r="BR54">
        <v>0</v>
      </c>
      <c r="BS54">
        <v>0</v>
      </c>
      <c r="BT54">
        <v>0</v>
      </c>
      <c r="BU54">
        <v>0</v>
      </c>
      <c r="BV54">
        <v>0</v>
      </c>
      <c r="BW54">
        <v>0</v>
      </c>
      <c r="BX54">
        <v>0</v>
      </c>
      <c r="BY54">
        <v>0</v>
      </c>
      <c r="BZ54">
        <v>0</v>
      </c>
      <c r="CA54">
        <v>0</v>
      </c>
      <c r="CB54">
        <v>0</v>
      </c>
      <c r="CC54">
        <v>0</v>
      </c>
      <c r="CD54">
        <v>0</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0</v>
      </c>
      <c r="DA54">
        <v>0</v>
      </c>
      <c r="DB54">
        <v>0</v>
      </c>
      <c r="DC54">
        <v>0</v>
      </c>
      <c r="DD54">
        <v>0</v>
      </c>
      <c r="DE54">
        <v>0</v>
      </c>
      <c r="DF54">
        <v>0</v>
      </c>
      <c r="DG54">
        <v>0</v>
      </c>
      <c r="DH54">
        <v>0</v>
      </c>
      <c r="DI54">
        <v>0</v>
      </c>
      <c r="DJ54">
        <v>0</v>
      </c>
      <c r="DK54">
        <v>0</v>
      </c>
      <c r="DL54">
        <v>0</v>
      </c>
      <c r="DM54">
        <v>0</v>
      </c>
      <c r="DN54">
        <v>0</v>
      </c>
      <c r="DO54">
        <v>0</v>
      </c>
      <c r="DP54">
        <v>0</v>
      </c>
      <c r="DQ54">
        <v>0</v>
      </c>
      <c r="DR54">
        <v>0</v>
      </c>
      <c r="DS54">
        <v>0</v>
      </c>
      <c r="DT54">
        <v>50332130</v>
      </c>
      <c r="DU54">
        <v>60297870</v>
      </c>
      <c r="DV54">
        <v>0</v>
      </c>
    </row>
    <row r="55" spans="1:126" hidden="1">
      <c r="A55" t="s">
        <v>4900</v>
      </c>
      <c r="B55" t="s">
        <v>4868</v>
      </c>
      <c r="C55">
        <v>2020</v>
      </c>
      <c r="D55">
        <v>8</v>
      </c>
      <c r="E55" t="s">
        <v>3953</v>
      </c>
      <c r="F55" t="s">
        <v>4869</v>
      </c>
      <c r="G55" s="2042">
        <v>44067</v>
      </c>
      <c r="H55" t="s">
        <v>4870</v>
      </c>
      <c r="I55" t="s">
        <v>4870</v>
      </c>
      <c r="J55" t="s">
        <v>4871</v>
      </c>
      <c r="K55" t="s">
        <v>4746</v>
      </c>
      <c r="L55" t="s">
        <v>4872</v>
      </c>
      <c r="M55" t="s">
        <v>4872</v>
      </c>
      <c r="N55" t="s">
        <v>4873</v>
      </c>
      <c r="O55" t="s">
        <v>4879</v>
      </c>
      <c r="P55" t="s">
        <v>4743</v>
      </c>
      <c r="Q55" s="2042">
        <v>43191</v>
      </c>
      <c r="R55" s="2042">
        <v>43191</v>
      </c>
      <c r="S55">
        <v>220</v>
      </c>
      <c r="T55">
        <v>0</v>
      </c>
      <c r="U55">
        <v>56160000</v>
      </c>
      <c r="V55">
        <v>11230000</v>
      </c>
      <c r="W55">
        <v>0</v>
      </c>
      <c r="X55">
        <v>43240000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111475000</v>
      </c>
      <c r="AY55">
        <v>110630000</v>
      </c>
      <c r="AZ55">
        <v>110630000</v>
      </c>
      <c r="BA55">
        <v>0</v>
      </c>
      <c r="BB55">
        <v>0</v>
      </c>
      <c r="BC55">
        <v>0</v>
      </c>
      <c r="BD55">
        <v>0</v>
      </c>
      <c r="BE55">
        <v>0</v>
      </c>
      <c r="BF55">
        <v>0</v>
      </c>
      <c r="BG55">
        <v>0</v>
      </c>
      <c r="BH55">
        <v>0</v>
      </c>
      <c r="BI55">
        <v>0</v>
      </c>
      <c r="BJ55">
        <v>0</v>
      </c>
      <c r="BK55">
        <v>0</v>
      </c>
      <c r="BL55">
        <v>42426770</v>
      </c>
      <c r="BM55">
        <v>4242670</v>
      </c>
      <c r="BN55">
        <v>0</v>
      </c>
      <c r="BO55">
        <v>0</v>
      </c>
      <c r="BP55">
        <v>3662690</v>
      </c>
      <c r="BQ55">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DN55">
        <v>0</v>
      </c>
      <c r="DO55">
        <v>0</v>
      </c>
      <c r="DP55">
        <v>0</v>
      </c>
      <c r="DQ55">
        <v>0</v>
      </c>
      <c r="DR55">
        <v>0</v>
      </c>
      <c r="DS55">
        <v>0</v>
      </c>
      <c r="DT55">
        <v>50332130</v>
      </c>
      <c r="DU55">
        <v>60297870</v>
      </c>
      <c r="DV55">
        <v>0</v>
      </c>
    </row>
    <row r="56" spans="1:126" hidden="1">
      <c r="A56" t="s">
        <v>4900</v>
      </c>
      <c r="B56" t="s">
        <v>4868</v>
      </c>
      <c r="C56">
        <v>2020</v>
      </c>
      <c r="D56">
        <v>7</v>
      </c>
      <c r="E56" t="s">
        <v>3953</v>
      </c>
      <c r="F56" t="s">
        <v>4869</v>
      </c>
      <c r="G56" s="2042">
        <v>44036</v>
      </c>
      <c r="H56" t="s">
        <v>4870</v>
      </c>
      <c r="I56" t="s">
        <v>4870</v>
      </c>
      <c r="J56" t="s">
        <v>4871</v>
      </c>
      <c r="K56" t="s">
        <v>4746</v>
      </c>
      <c r="L56" t="s">
        <v>4872</v>
      </c>
      <c r="M56" t="s">
        <v>4872</v>
      </c>
      <c r="N56" t="s">
        <v>4873</v>
      </c>
      <c r="O56" t="s">
        <v>4879</v>
      </c>
      <c r="P56" t="s">
        <v>4743</v>
      </c>
      <c r="Q56" s="2042">
        <v>43191</v>
      </c>
      <c r="R56" s="2042">
        <v>43191</v>
      </c>
      <c r="S56">
        <v>220</v>
      </c>
      <c r="T56">
        <v>0</v>
      </c>
      <c r="U56">
        <v>56160000</v>
      </c>
      <c r="V56">
        <v>11230000</v>
      </c>
      <c r="W56">
        <v>0</v>
      </c>
      <c r="X56">
        <v>43240000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111475000</v>
      </c>
      <c r="AY56">
        <v>110630000</v>
      </c>
      <c r="AZ56">
        <v>110630000</v>
      </c>
      <c r="BA56">
        <v>0</v>
      </c>
      <c r="BB56">
        <v>0</v>
      </c>
      <c r="BC56">
        <v>0</v>
      </c>
      <c r="BD56">
        <v>0</v>
      </c>
      <c r="BE56">
        <v>0</v>
      </c>
      <c r="BF56">
        <v>0</v>
      </c>
      <c r="BG56">
        <v>0</v>
      </c>
      <c r="BH56">
        <v>0</v>
      </c>
      <c r="BI56">
        <v>0</v>
      </c>
      <c r="BJ56">
        <v>0</v>
      </c>
      <c r="BK56">
        <v>0</v>
      </c>
      <c r="BL56">
        <v>42426770</v>
      </c>
      <c r="BM56">
        <v>4242670</v>
      </c>
      <c r="BN56">
        <v>0</v>
      </c>
      <c r="BO56">
        <v>0</v>
      </c>
      <c r="BP56">
        <v>3662690</v>
      </c>
      <c r="BQ56">
        <v>0</v>
      </c>
      <c r="BR56">
        <v>0</v>
      </c>
      <c r="BS56">
        <v>0</v>
      </c>
      <c r="BT56">
        <v>0</v>
      </c>
      <c r="BU56">
        <v>0</v>
      </c>
      <c r="BV56">
        <v>0</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0</v>
      </c>
      <c r="DA56">
        <v>0</v>
      </c>
      <c r="DB56">
        <v>0</v>
      </c>
      <c r="DC56">
        <v>0</v>
      </c>
      <c r="DD56">
        <v>0</v>
      </c>
      <c r="DE56">
        <v>0</v>
      </c>
      <c r="DF56">
        <v>0</v>
      </c>
      <c r="DG56">
        <v>0</v>
      </c>
      <c r="DH56">
        <v>0</v>
      </c>
      <c r="DI56">
        <v>0</v>
      </c>
      <c r="DJ56">
        <v>0</v>
      </c>
      <c r="DK56">
        <v>0</v>
      </c>
      <c r="DL56">
        <v>0</v>
      </c>
      <c r="DM56">
        <v>0</v>
      </c>
      <c r="DN56">
        <v>0</v>
      </c>
      <c r="DO56">
        <v>0</v>
      </c>
      <c r="DP56">
        <v>0</v>
      </c>
      <c r="DQ56">
        <v>0</v>
      </c>
      <c r="DR56">
        <v>0</v>
      </c>
      <c r="DS56">
        <v>0</v>
      </c>
      <c r="DT56">
        <v>50332130</v>
      </c>
      <c r="DU56">
        <v>60297870</v>
      </c>
      <c r="DV56">
        <v>0</v>
      </c>
    </row>
    <row r="57" spans="1:126" hidden="1">
      <c r="A57" t="s">
        <v>4900</v>
      </c>
      <c r="B57" t="s">
        <v>4868</v>
      </c>
      <c r="C57">
        <v>2020</v>
      </c>
      <c r="D57">
        <v>6</v>
      </c>
      <c r="E57" t="s">
        <v>3953</v>
      </c>
      <c r="F57" t="s">
        <v>4869</v>
      </c>
      <c r="G57" s="2042">
        <v>44006</v>
      </c>
      <c r="H57" t="s">
        <v>4870</v>
      </c>
      <c r="I57" t="s">
        <v>4870</v>
      </c>
      <c r="J57" t="s">
        <v>4871</v>
      </c>
      <c r="K57" t="s">
        <v>4746</v>
      </c>
      <c r="L57" t="s">
        <v>4872</v>
      </c>
      <c r="M57" t="s">
        <v>4872</v>
      </c>
      <c r="N57" t="s">
        <v>4873</v>
      </c>
      <c r="O57" t="s">
        <v>4879</v>
      </c>
      <c r="P57" t="s">
        <v>4743</v>
      </c>
      <c r="Q57" s="2042">
        <v>43191</v>
      </c>
      <c r="R57" s="2042">
        <v>43191</v>
      </c>
      <c r="S57">
        <v>220</v>
      </c>
      <c r="T57">
        <v>0</v>
      </c>
      <c r="U57">
        <v>56160000</v>
      </c>
      <c r="V57">
        <v>11230000</v>
      </c>
      <c r="W57">
        <v>0</v>
      </c>
      <c r="X57">
        <v>43240000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111475000</v>
      </c>
      <c r="AY57">
        <v>110630000</v>
      </c>
      <c r="AZ57">
        <v>110630000</v>
      </c>
      <c r="BA57">
        <v>0</v>
      </c>
      <c r="BB57">
        <v>0</v>
      </c>
      <c r="BC57">
        <v>0</v>
      </c>
      <c r="BD57">
        <v>0</v>
      </c>
      <c r="BE57">
        <v>0</v>
      </c>
      <c r="BF57">
        <v>0</v>
      </c>
      <c r="BG57">
        <v>0</v>
      </c>
      <c r="BH57">
        <v>0</v>
      </c>
      <c r="BI57">
        <v>0</v>
      </c>
      <c r="BJ57">
        <v>0</v>
      </c>
      <c r="BK57">
        <v>0</v>
      </c>
      <c r="BL57">
        <v>42426770</v>
      </c>
      <c r="BM57">
        <v>4242670</v>
      </c>
      <c r="BN57">
        <v>0</v>
      </c>
      <c r="BO57">
        <v>0</v>
      </c>
      <c r="BP57">
        <v>3662690</v>
      </c>
      <c r="BQ57">
        <v>0</v>
      </c>
      <c r="BR57">
        <v>0</v>
      </c>
      <c r="BS57">
        <v>0</v>
      </c>
      <c r="BT57">
        <v>0</v>
      </c>
      <c r="BU57">
        <v>0</v>
      </c>
      <c r="BV57">
        <v>0</v>
      </c>
      <c r="BW57">
        <v>0</v>
      </c>
      <c r="BX57">
        <v>0</v>
      </c>
      <c r="BY57">
        <v>0</v>
      </c>
      <c r="BZ57">
        <v>0</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0</v>
      </c>
      <c r="DA57">
        <v>0</v>
      </c>
      <c r="DB57">
        <v>0</v>
      </c>
      <c r="DC57">
        <v>0</v>
      </c>
      <c r="DD57">
        <v>0</v>
      </c>
      <c r="DE57">
        <v>0</v>
      </c>
      <c r="DF57">
        <v>0</v>
      </c>
      <c r="DG57">
        <v>0</v>
      </c>
      <c r="DH57">
        <v>0</v>
      </c>
      <c r="DI57">
        <v>0</v>
      </c>
      <c r="DJ57">
        <v>0</v>
      </c>
      <c r="DK57">
        <v>0</v>
      </c>
      <c r="DL57">
        <v>0</v>
      </c>
      <c r="DM57">
        <v>0</v>
      </c>
      <c r="DN57">
        <v>0</v>
      </c>
      <c r="DO57">
        <v>0</v>
      </c>
      <c r="DP57">
        <v>0</v>
      </c>
      <c r="DQ57">
        <v>0</v>
      </c>
      <c r="DR57">
        <v>0</v>
      </c>
      <c r="DS57">
        <v>0</v>
      </c>
      <c r="DT57">
        <v>50332130</v>
      </c>
      <c r="DU57">
        <v>60297870</v>
      </c>
      <c r="DV57">
        <v>0</v>
      </c>
    </row>
    <row r="58" spans="1:126" hidden="1">
      <c r="A58" t="s">
        <v>4900</v>
      </c>
      <c r="B58" t="s">
        <v>4868</v>
      </c>
      <c r="C58">
        <v>2020</v>
      </c>
      <c r="D58">
        <v>5</v>
      </c>
      <c r="E58" t="s">
        <v>3953</v>
      </c>
      <c r="F58" t="s">
        <v>4869</v>
      </c>
      <c r="G58" s="2042">
        <v>43973</v>
      </c>
      <c r="H58" t="s">
        <v>4870</v>
      </c>
      <c r="I58" t="s">
        <v>4870</v>
      </c>
      <c r="J58" t="s">
        <v>4871</v>
      </c>
      <c r="K58" t="s">
        <v>4746</v>
      </c>
      <c r="L58" t="s">
        <v>4872</v>
      </c>
      <c r="M58" t="s">
        <v>4872</v>
      </c>
      <c r="N58" t="s">
        <v>4873</v>
      </c>
      <c r="O58" t="s">
        <v>4879</v>
      </c>
      <c r="P58" t="s">
        <v>4743</v>
      </c>
      <c r="Q58" s="2042">
        <v>43191</v>
      </c>
      <c r="R58" s="2042">
        <v>43191</v>
      </c>
      <c r="S58">
        <v>220</v>
      </c>
      <c r="T58">
        <v>0</v>
      </c>
      <c r="U58">
        <v>56160000</v>
      </c>
      <c r="V58">
        <v>11230000</v>
      </c>
      <c r="W58">
        <v>0</v>
      </c>
      <c r="X58">
        <v>43240000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111475000</v>
      </c>
      <c r="AY58">
        <v>110630000</v>
      </c>
      <c r="AZ58">
        <v>110630000</v>
      </c>
      <c r="BA58">
        <v>0</v>
      </c>
      <c r="BB58">
        <v>0</v>
      </c>
      <c r="BC58">
        <v>0</v>
      </c>
      <c r="BD58">
        <v>0</v>
      </c>
      <c r="BE58">
        <v>0</v>
      </c>
      <c r="BF58">
        <v>0</v>
      </c>
      <c r="BG58">
        <v>0</v>
      </c>
      <c r="BH58">
        <v>0</v>
      </c>
      <c r="BI58">
        <v>0</v>
      </c>
      <c r="BJ58">
        <v>0</v>
      </c>
      <c r="BK58">
        <v>0</v>
      </c>
      <c r="BL58">
        <v>42426770</v>
      </c>
      <c r="BM58">
        <v>4242670</v>
      </c>
      <c r="BN58">
        <v>0</v>
      </c>
      <c r="BO58">
        <v>0</v>
      </c>
      <c r="BP58">
        <v>7325390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c r="DA58">
        <v>0</v>
      </c>
      <c r="DB58">
        <v>0</v>
      </c>
      <c r="DC58">
        <v>0</v>
      </c>
      <c r="DD58">
        <v>0</v>
      </c>
      <c r="DE58">
        <v>0</v>
      </c>
      <c r="DF58">
        <v>0</v>
      </c>
      <c r="DG58">
        <v>0</v>
      </c>
      <c r="DH58">
        <v>0</v>
      </c>
      <c r="DI58">
        <v>0</v>
      </c>
      <c r="DJ58">
        <v>0</v>
      </c>
      <c r="DK58">
        <v>0</v>
      </c>
      <c r="DL58">
        <v>0</v>
      </c>
      <c r="DM58">
        <v>0</v>
      </c>
      <c r="DN58">
        <v>0</v>
      </c>
      <c r="DO58">
        <v>0</v>
      </c>
      <c r="DP58">
        <v>0</v>
      </c>
      <c r="DQ58">
        <v>0</v>
      </c>
      <c r="DR58">
        <v>0</v>
      </c>
      <c r="DS58">
        <v>0</v>
      </c>
      <c r="DT58">
        <v>53994830</v>
      </c>
      <c r="DU58">
        <v>56635170</v>
      </c>
      <c r="DV58">
        <v>0</v>
      </c>
    </row>
    <row r="59" spans="1:126" hidden="1">
      <c r="A59" t="s">
        <v>4900</v>
      </c>
      <c r="B59" t="s">
        <v>4868</v>
      </c>
      <c r="C59">
        <v>2020</v>
      </c>
      <c r="D59">
        <v>4</v>
      </c>
      <c r="E59" t="s">
        <v>3953</v>
      </c>
      <c r="F59" t="s">
        <v>4869</v>
      </c>
      <c r="G59" s="2042">
        <v>43945</v>
      </c>
      <c r="H59" t="s">
        <v>4870</v>
      </c>
      <c r="I59" t="s">
        <v>4870</v>
      </c>
      <c r="J59" t="s">
        <v>4871</v>
      </c>
      <c r="K59" t="s">
        <v>4746</v>
      </c>
      <c r="L59" t="s">
        <v>4872</v>
      </c>
      <c r="M59" t="s">
        <v>4872</v>
      </c>
      <c r="N59" t="s">
        <v>4873</v>
      </c>
      <c r="O59" t="s">
        <v>4879</v>
      </c>
      <c r="P59" t="s">
        <v>4743</v>
      </c>
      <c r="Q59" s="2042">
        <v>43191</v>
      </c>
      <c r="R59" s="2042">
        <v>43191</v>
      </c>
      <c r="S59">
        <v>220</v>
      </c>
      <c r="T59">
        <v>0</v>
      </c>
      <c r="U59">
        <v>56160000</v>
      </c>
      <c r="V59">
        <v>11230000</v>
      </c>
      <c r="W59">
        <v>0</v>
      </c>
      <c r="X59">
        <v>43240000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111475000</v>
      </c>
      <c r="AY59">
        <v>111230000</v>
      </c>
      <c r="AZ59">
        <v>110630000</v>
      </c>
      <c r="BA59">
        <v>600000</v>
      </c>
      <c r="BB59">
        <v>0</v>
      </c>
      <c r="BC59">
        <v>0</v>
      </c>
      <c r="BD59">
        <v>0</v>
      </c>
      <c r="BE59">
        <v>0</v>
      </c>
      <c r="BF59">
        <v>0</v>
      </c>
      <c r="BG59">
        <v>0</v>
      </c>
      <c r="BH59">
        <v>0</v>
      </c>
      <c r="BI59">
        <v>0</v>
      </c>
      <c r="BJ59">
        <v>0</v>
      </c>
      <c r="BK59">
        <v>0</v>
      </c>
      <c r="BL59">
        <v>42678770</v>
      </c>
      <c r="BM59">
        <v>4267870</v>
      </c>
      <c r="BN59">
        <v>0</v>
      </c>
      <c r="BO59">
        <v>0</v>
      </c>
      <c r="BP59">
        <v>1831340</v>
      </c>
      <c r="BQ59">
        <v>0</v>
      </c>
      <c r="BR59">
        <v>0</v>
      </c>
      <c r="BS59">
        <v>0</v>
      </c>
      <c r="BT59">
        <v>0</v>
      </c>
      <c r="BU59">
        <v>0</v>
      </c>
      <c r="BV59">
        <v>0</v>
      </c>
      <c r="BW59">
        <v>0</v>
      </c>
      <c r="BX59">
        <v>0</v>
      </c>
      <c r="BY59">
        <v>0</v>
      </c>
      <c r="BZ59">
        <v>0</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DN59">
        <v>0</v>
      </c>
      <c r="DO59">
        <v>0</v>
      </c>
      <c r="DP59">
        <v>0</v>
      </c>
      <c r="DQ59">
        <v>0</v>
      </c>
      <c r="DR59">
        <v>0</v>
      </c>
      <c r="DS59">
        <v>0</v>
      </c>
      <c r="DT59">
        <v>48777980</v>
      </c>
      <c r="DU59">
        <v>61852020</v>
      </c>
      <c r="DV59">
        <v>0</v>
      </c>
    </row>
    <row r="60" spans="1:126" hidden="1">
      <c r="A60" t="s">
        <v>4900</v>
      </c>
      <c r="B60" t="s">
        <v>4868</v>
      </c>
      <c r="C60">
        <v>2020</v>
      </c>
      <c r="D60">
        <v>3</v>
      </c>
      <c r="E60" t="s">
        <v>3953</v>
      </c>
      <c r="F60" t="s">
        <v>4869</v>
      </c>
      <c r="G60" s="2042">
        <v>43914</v>
      </c>
      <c r="H60" t="s">
        <v>4870</v>
      </c>
      <c r="I60" t="s">
        <v>4870</v>
      </c>
      <c r="J60" t="s">
        <v>4871</v>
      </c>
      <c r="K60" t="s">
        <v>4746</v>
      </c>
      <c r="L60" t="s">
        <v>4872</v>
      </c>
      <c r="M60" t="s">
        <v>4872</v>
      </c>
      <c r="N60" t="s">
        <v>4873</v>
      </c>
      <c r="O60" t="s">
        <v>4879</v>
      </c>
      <c r="P60" t="s">
        <v>4743</v>
      </c>
      <c r="Q60" s="2042">
        <v>43191</v>
      </c>
      <c r="R60" s="2042">
        <v>43191</v>
      </c>
      <c r="S60">
        <v>220</v>
      </c>
      <c r="T60">
        <v>0</v>
      </c>
      <c r="U60">
        <v>56160000</v>
      </c>
      <c r="V60">
        <v>11230000</v>
      </c>
      <c r="W60">
        <v>0</v>
      </c>
      <c r="X60">
        <v>43240000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111475000</v>
      </c>
      <c r="AY60">
        <v>110630000</v>
      </c>
      <c r="AZ60">
        <v>110630000</v>
      </c>
      <c r="BA60">
        <v>0</v>
      </c>
      <c r="BB60">
        <v>0</v>
      </c>
      <c r="BC60">
        <v>0</v>
      </c>
      <c r="BD60">
        <v>0</v>
      </c>
      <c r="BE60">
        <v>0</v>
      </c>
      <c r="BF60">
        <v>0</v>
      </c>
      <c r="BG60">
        <v>0</v>
      </c>
      <c r="BH60">
        <v>0</v>
      </c>
      <c r="BI60">
        <v>0</v>
      </c>
      <c r="BJ60">
        <v>0</v>
      </c>
      <c r="BK60">
        <v>0</v>
      </c>
      <c r="BL60">
        <v>42426770</v>
      </c>
      <c r="BM60">
        <v>4242670</v>
      </c>
      <c r="BN60">
        <v>0</v>
      </c>
      <c r="BO60">
        <v>0</v>
      </c>
      <c r="BP60">
        <v>1831340</v>
      </c>
      <c r="BQ60">
        <v>0</v>
      </c>
      <c r="BR60">
        <v>0</v>
      </c>
      <c r="BS60">
        <v>0</v>
      </c>
      <c r="BT60">
        <v>0</v>
      </c>
      <c r="BU60">
        <v>0</v>
      </c>
      <c r="BV60">
        <v>0</v>
      </c>
      <c r="BW60">
        <v>0</v>
      </c>
      <c r="BX60">
        <v>0</v>
      </c>
      <c r="BY60">
        <v>0</v>
      </c>
      <c r="BZ60">
        <v>0</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0</v>
      </c>
      <c r="DA60">
        <v>0</v>
      </c>
      <c r="DB60">
        <v>0</v>
      </c>
      <c r="DC60">
        <v>0</v>
      </c>
      <c r="DD60">
        <v>0</v>
      </c>
      <c r="DE60">
        <v>0</v>
      </c>
      <c r="DF60">
        <v>0</v>
      </c>
      <c r="DG60">
        <v>0</v>
      </c>
      <c r="DH60">
        <v>0</v>
      </c>
      <c r="DI60">
        <v>0</v>
      </c>
      <c r="DJ60">
        <v>0</v>
      </c>
      <c r="DK60">
        <v>0</v>
      </c>
      <c r="DL60">
        <v>0</v>
      </c>
      <c r="DM60">
        <v>0</v>
      </c>
      <c r="DN60">
        <v>0</v>
      </c>
      <c r="DO60">
        <v>0</v>
      </c>
      <c r="DP60">
        <v>0</v>
      </c>
      <c r="DQ60">
        <v>0</v>
      </c>
      <c r="DR60">
        <v>0</v>
      </c>
      <c r="DS60">
        <v>0</v>
      </c>
      <c r="DT60">
        <v>48500780</v>
      </c>
      <c r="DU60">
        <v>62129220</v>
      </c>
      <c r="DV60">
        <v>0</v>
      </c>
    </row>
    <row r="61" spans="1:126" hidden="1">
      <c r="A61" t="s">
        <v>4900</v>
      </c>
      <c r="B61" t="s">
        <v>4868</v>
      </c>
      <c r="C61">
        <v>2020</v>
      </c>
      <c r="D61">
        <v>2</v>
      </c>
      <c r="E61" t="s">
        <v>3953</v>
      </c>
      <c r="F61" t="s">
        <v>4869</v>
      </c>
      <c r="G61" s="2042">
        <v>43885</v>
      </c>
      <c r="H61" t="s">
        <v>4870</v>
      </c>
      <c r="I61" t="s">
        <v>4870</v>
      </c>
      <c r="J61" t="s">
        <v>4871</v>
      </c>
      <c r="K61" t="s">
        <v>4746</v>
      </c>
      <c r="L61" t="s">
        <v>4872</v>
      </c>
      <c r="M61" t="s">
        <v>4872</v>
      </c>
      <c r="N61" t="s">
        <v>4873</v>
      </c>
      <c r="O61" t="s">
        <v>4879</v>
      </c>
      <c r="P61" t="s">
        <v>4743</v>
      </c>
      <c r="Q61" s="2042">
        <v>43191</v>
      </c>
      <c r="R61" s="2042">
        <v>43191</v>
      </c>
      <c r="S61">
        <v>220</v>
      </c>
      <c r="T61">
        <v>0</v>
      </c>
      <c r="U61">
        <v>56160000</v>
      </c>
      <c r="V61">
        <v>11230000</v>
      </c>
      <c r="W61">
        <v>0</v>
      </c>
      <c r="X61">
        <v>43240000</v>
      </c>
      <c r="Y61">
        <v>0</v>
      </c>
      <c r="Z61">
        <v>0</v>
      </c>
      <c r="AA61">
        <v>0</v>
      </c>
      <c r="AB61">
        <v>0</v>
      </c>
      <c r="AC61">
        <v>0</v>
      </c>
      <c r="AD61">
        <v>0</v>
      </c>
      <c r="AE61">
        <v>0</v>
      </c>
      <c r="AF61">
        <v>0</v>
      </c>
      <c r="AG61">
        <v>0</v>
      </c>
      <c r="AH61">
        <v>0</v>
      </c>
      <c r="AI61">
        <v>0</v>
      </c>
      <c r="AJ61">
        <v>0</v>
      </c>
      <c r="AK61">
        <v>0</v>
      </c>
      <c r="AL61">
        <v>0</v>
      </c>
      <c r="AM61">
        <v>0</v>
      </c>
      <c r="AN61">
        <v>0</v>
      </c>
      <c r="AO61">
        <v>0</v>
      </c>
      <c r="AP61">
        <v>0</v>
      </c>
      <c r="AQ61">
        <v>0</v>
      </c>
      <c r="AR61">
        <v>141900</v>
      </c>
      <c r="AS61">
        <v>0</v>
      </c>
      <c r="AT61">
        <v>0</v>
      </c>
      <c r="AU61">
        <v>0</v>
      </c>
      <c r="AV61">
        <v>0</v>
      </c>
      <c r="AW61">
        <v>0</v>
      </c>
      <c r="AX61">
        <v>111475000</v>
      </c>
      <c r="AY61">
        <v>110871900</v>
      </c>
      <c r="AZ61">
        <v>110771900</v>
      </c>
      <c r="BA61">
        <v>100000</v>
      </c>
      <c r="BB61">
        <v>0</v>
      </c>
      <c r="BC61">
        <v>0</v>
      </c>
      <c r="BD61">
        <v>0</v>
      </c>
      <c r="BE61">
        <v>0</v>
      </c>
      <c r="BF61">
        <v>0</v>
      </c>
      <c r="BG61">
        <v>0</v>
      </c>
      <c r="BH61">
        <v>0</v>
      </c>
      <c r="BI61">
        <v>0</v>
      </c>
      <c r="BJ61">
        <v>0</v>
      </c>
      <c r="BK61">
        <v>0</v>
      </c>
      <c r="BL61">
        <v>42528360</v>
      </c>
      <c r="BM61">
        <v>4252830</v>
      </c>
      <c r="BN61">
        <v>-14330050</v>
      </c>
      <c r="BO61">
        <v>-1432890</v>
      </c>
      <c r="BP61">
        <v>3662690</v>
      </c>
      <c r="BQ61">
        <v>0</v>
      </c>
      <c r="BR61">
        <v>0</v>
      </c>
      <c r="BS61">
        <v>0</v>
      </c>
      <c r="BT61">
        <v>0</v>
      </c>
      <c r="BU61">
        <v>0</v>
      </c>
      <c r="BV61">
        <v>0</v>
      </c>
      <c r="BW61">
        <v>0</v>
      </c>
      <c r="BX61">
        <v>0</v>
      </c>
      <c r="BY61">
        <v>0</v>
      </c>
      <c r="BZ61">
        <v>0</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0</v>
      </c>
      <c r="DA61">
        <v>0</v>
      </c>
      <c r="DB61">
        <v>0</v>
      </c>
      <c r="DC61">
        <v>0</v>
      </c>
      <c r="DD61">
        <v>0</v>
      </c>
      <c r="DE61">
        <v>0</v>
      </c>
      <c r="DF61">
        <v>0</v>
      </c>
      <c r="DG61">
        <v>0</v>
      </c>
      <c r="DH61">
        <v>0</v>
      </c>
      <c r="DI61">
        <v>0</v>
      </c>
      <c r="DJ61">
        <v>0</v>
      </c>
      <c r="DK61">
        <v>0</v>
      </c>
      <c r="DL61">
        <v>0</v>
      </c>
      <c r="DM61">
        <v>0</v>
      </c>
      <c r="DN61">
        <v>0</v>
      </c>
      <c r="DO61">
        <v>0</v>
      </c>
      <c r="DP61">
        <v>0</v>
      </c>
      <c r="DQ61">
        <v>0</v>
      </c>
      <c r="DR61">
        <v>0</v>
      </c>
      <c r="DS61">
        <v>0</v>
      </c>
      <c r="DT61">
        <v>34680940</v>
      </c>
      <c r="DU61">
        <v>76090960</v>
      </c>
      <c r="DV61">
        <v>0</v>
      </c>
    </row>
    <row r="62" spans="1:126" hidden="1">
      <c r="A62" t="s">
        <v>4900</v>
      </c>
      <c r="B62" t="s">
        <v>4868</v>
      </c>
      <c r="C62">
        <v>2020</v>
      </c>
      <c r="D62">
        <v>1</v>
      </c>
      <c r="E62" t="s">
        <v>3953</v>
      </c>
      <c r="F62" t="s">
        <v>4869</v>
      </c>
      <c r="G62" s="2042">
        <v>43853</v>
      </c>
      <c r="H62" t="s">
        <v>4870</v>
      </c>
      <c r="I62" t="s">
        <v>4870</v>
      </c>
      <c r="J62" t="s">
        <v>4871</v>
      </c>
      <c r="K62" t="s">
        <v>4746</v>
      </c>
      <c r="L62" t="s">
        <v>4872</v>
      </c>
      <c r="M62" t="s">
        <v>4872</v>
      </c>
      <c r="N62" t="s">
        <v>4873</v>
      </c>
      <c r="O62" t="s">
        <v>4879</v>
      </c>
      <c r="P62" t="s">
        <v>4743</v>
      </c>
      <c r="Q62" s="2042">
        <v>43191</v>
      </c>
      <c r="R62" s="2042">
        <v>43191</v>
      </c>
      <c r="S62">
        <v>220</v>
      </c>
      <c r="T62">
        <v>0</v>
      </c>
      <c r="U62">
        <v>56160000</v>
      </c>
      <c r="V62">
        <v>11230000</v>
      </c>
      <c r="W62">
        <v>0</v>
      </c>
      <c r="X62">
        <v>43240000</v>
      </c>
      <c r="Y62">
        <v>0</v>
      </c>
      <c r="Z62">
        <v>0</v>
      </c>
      <c r="AA62">
        <v>0</v>
      </c>
      <c r="AB62">
        <v>0</v>
      </c>
      <c r="AC62">
        <v>0</v>
      </c>
      <c r="AD62">
        <v>0</v>
      </c>
      <c r="AE62">
        <v>0</v>
      </c>
      <c r="AF62">
        <v>0</v>
      </c>
      <c r="AG62">
        <v>0</v>
      </c>
      <c r="AH62">
        <v>0</v>
      </c>
      <c r="AI62">
        <v>0</v>
      </c>
      <c r="AJ62">
        <v>0</v>
      </c>
      <c r="AK62">
        <v>0</v>
      </c>
      <c r="AL62">
        <v>0</v>
      </c>
      <c r="AM62">
        <v>0</v>
      </c>
      <c r="AN62">
        <v>0</v>
      </c>
      <c r="AO62">
        <v>0</v>
      </c>
      <c r="AP62">
        <v>0</v>
      </c>
      <c r="AQ62">
        <v>0</v>
      </c>
      <c r="AR62">
        <v>296300</v>
      </c>
      <c r="AS62">
        <v>0</v>
      </c>
      <c r="AT62">
        <v>0</v>
      </c>
      <c r="AU62">
        <v>0</v>
      </c>
      <c r="AV62">
        <v>0</v>
      </c>
      <c r="AW62">
        <v>0</v>
      </c>
      <c r="AX62">
        <v>111475000</v>
      </c>
      <c r="AY62">
        <v>110926300</v>
      </c>
      <c r="AZ62">
        <v>110926300</v>
      </c>
      <c r="BA62">
        <v>0</v>
      </c>
      <c r="BB62">
        <v>0</v>
      </c>
      <c r="BC62">
        <v>0</v>
      </c>
      <c r="BD62">
        <v>0</v>
      </c>
      <c r="BE62">
        <v>0</v>
      </c>
      <c r="BF62">
        <v>0</v>
      </c>
      <c r="BG62">
        <v>0</v>
      </c>
      <c r="BH62">
        <v>0</v>
      </c>
      <c r="BI62">
        <v>0</v>
      </c>
      <c r="BJ62">
        <v>0</v>
      </c>
      <c r="BK62">
        <v>0</v>
      </c>
      <c r="BL62">
        <v>41861430</v>
      </c>
      <c r="BM62">
        <v>4186140</v>
      </c>
      <c r="BN62">
        <v>0</v>
      </c>
      <c r="BO62">
        <v>0</v>
      </c>
      <c r="BP62">
        <v>3662690</v>
      </c>
      <c r="BQ62">
        <v>0</v>
      </c>
      <c r="BR62">
        <v>0</v>
      </c>
      <c r="BS62">
        <v>0</v>
      </c>
      <c r="BT62">
        <v>0</v>
      </c>
      <c r="BU62">
        <v>0</v>
      </c>
      <c r="BV62">
        <v>0</v>
      </c>
      <c r="BW62">
        <v>0</v>
      </c>
      <c r="BX62">
        <v>0</v>
      </c>
      <c r="BY62">
        <v>0</v>
      </c>
      <c r="BZ62">
        <v>0</v>
      </c>
      <c r="CA62">
        <v>0</v>
      </c>
      <c r="CB62">
        <v>0</v>
      </c>
      <c r="CC62">
        <v>0</v>
      </c>
      <c r="CD62">
        <v>0</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0</v>
      </c>
      <c r="DA62">
        <v>0</v>
      </c>
      <c r="DB62">
        <v>0</v>
      </c>
      <c r="DC62">
        <v>0</v>
      </c>
      <c r="DD62">
        <v>0</v>
      </c>
      <c r="DE62">
        <v>0</v>
      </c>
      <c r="DF62">
        <v>0</v>
      </c>
      <c r="DG62">
        <v>0</v>
      </c>
      <c r="DH62">
        <v>0</v>
      </c>
      <c r="DI62">
        <v>0</v>
      </c>
      <c r="DJ62">
        <v>0</v>
      </c>
      <c r="DK62">
        <v>0</v>
      </c>
      <c r="DL62">
        <v>0</v>
      </c>
      <c r="DM62">
        <v>0</v>
      </c>
      <c r="DN62">
        <v>0</v>
      </c>
      <c r="DO62">
        <v>0</v>
      </c>
      <c r="DP62">
        <v>0</v>
      </c>
      <c r="DQ62">
        <v>0</v>
      </c>
      <c r="DR62">
        <v>0</v>
      </c>
      <c r="DS62">
        <v>0</v>
      </c>
      <c r="DT62">
        <v>49710260</v>
      </c>
      <c r="DU62">
        <v>61216040</v>
      </c>
      <c r="DV62">
        <v>0</v>
      </c>
    </row>
    <row r="63" spans="1:126" hidden="1">
      <c r="A63" t="s">
        <v>4900</v>
      </c>
      <c r="B63" t="s">
        <v>4868</v>
      </c>
      <c r="C63">
        <v>2020</v>
      </c>
      <c r="D63">
        <v>12</v>
      </c>
      <c r="E63" t="s">
        <v>3953</v>
      </c>
      <c r="F63" t="s">
        <v>4869</v>
      </c>
      <c r="G63" s="2042">
        <v>44189</v>
      </c>
      <c r="H63" t="s">
        <v>4880</v>
      </c>
      <c r="I63" t="s">
        <v>4880</v>
      </c>
      <c r="J63" t="s">
        <v>4881</v>
      </c>
      <c r="K63" t="s">
        <v>4746</v>
      </c>
      <c r="L63" t="s">
        <v>4882</v>
      </c>
      <c r="M63" t="s">
        <v>4882</v>
      </c>
      <c r="N63" t="s">
        <v>4883</v>
      </c>
      <c r="O63" t="s">
        <v>4879</v>
      </c>
      <c r="P63" t="s">
        <v>4743</v>
      </c>
      <c r="Q63" s="2042">
        <v>42826</v>
      </c>
      <c r="R63" s="2042">
        <v>42826</v>
      </c>
      <c r="S63">
        <v>220</v>
      </c>
      <c r="T63">
        <v>0</v>
      </c>
      <c r="U63">
        <v>11130000</v>
      </c>
      <c r="V63">
        <v>2230000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17810000</v>
      </c>
      <c r="AY63">
        <v>13360000</v>
      </c>
      <c r="AZ63">
        <v>13360000</v>
      </c>
      <c r="BA63">
        <v>0</v>
      </c>
      <c r="BB63">
        <v>0</v>
      </c>
      <c r="BC63">
        <v>0</v>
      </c>
      <c r="BD63">
        <v>0</v>
      </c>
      <c r="BE63">
        <v>0</v>
      </c>
      <c r="BF63">
        <v>0</v>
      </c>
      <c r="BG63">
        <v>0</v>
      </c>
      <c r="BH63">
        <v>0</v>
      </c>
      <c r="BI63">
        <v>0</v>
      </c>
      <c r="BJ63">
        <v>0</v>
      </c>
      <c r="BK63">
        <v>0</v>
      </c>
      <c r="BL63">
        <v>2863870</v>
      </c>
      <c r="BM63">
        <v>286380</v>
      </c>
      <c r="BN63">
        <v>0</v>
      </c>
      <c r="BO63">
        <v>0</v>
      </c>
      <c r="BP63">
        <v>1713030</v>
      </c>
      <c r="BQ63">
        <v>0</v>
      </c>
      <c r="BR63">
        <v>0</v>
      </c>
      <c r="BS63">
        <v>0</v>
      </c>
      <c r="BT63">
        <v>0</v>
      </c>
      <c r="BU63">
        <v>0</v>
      </c>
      <c r="BV63">
        <v>0</v>
      </c>
      <c r="BW63">
        <v>0</v>
      </c>
      <c r="BX63">
        <v>0</v>
      </c>
      <c r="BY63">
        <v>0</v>
      </c>
      <c r="BZ63">
        <v>0</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DN63">
        <v>0</v>
      </c>
      <c r="DO63">
        <v>0</v>
      </c>
      <c r="DP63">
        <v>0</v>
      </c>
      <c r="DQ63">
        <v>0</v>
      </c>
      <c r="DR63">
        <v>0</v>
      </c>
      <c r="DS63">
        <v>0</v>
      </c>
      <c r="DT63">
        <v>4863280</v>
      </c>
      <c r="DU63">
        <v>8496720</v>
      </c>
      <c r="DV63">
        <v>0</v>
      </c>
    </row>
    <row r="64" spans="1:126" hidden="1">
      <c r="A64" t="s">
        <v>4900</v>
      </c>
      <c r="B64" t="s">
        <v>4868</v>
      </c>
      <c r="C64">
        <v>2020</v>
      </c>
      <c r="D64">
        <v>11</v>
      </c>
      <c r="E64" t="s">
        <v>3953</v>
      </c>
      <c r="F64" t="s">
        <v>4869</v>
      </c>
      <c r="G64" s="2042">
        <v>44159</v>
      </c>
      <c r="H64" t="s">
        <v>4880</v>
      </c>
      <c r="I64" t="s">
        <v>4880</v>
      </c>
      <c r="J64" t="s">
        <v>4881</v>
      </c>
      <c r="K64" t="s">
        <v>4746</v>
      </c>
      <c r="L64" t="s">
        <v>4882</v>
      </c>
      <c r="M64" t="s">
        <v>4882</v>
      </c>
      <c r="N64" t="s">
        <v>4883</v>
      </c>
      <c r="O64" t="s">
        <v>4879</v>
      </c>
      <c r="P64" t="s">
        <v>4743</v>
      </c>
      <c r="Q64" s="2042">
        <v>42826</v>
      </c>
      <c r="R64" s="2042">
        <v>42826</v>
      </c>
      <c r="S64">
        <v>220</v>
      </c>
      <c r="T64">
        <v>0</v>
      </c>
      <c r="U64">
        <v>11130000</v>
      </c>
      <c r="V64">
        <v>2230000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17810000</v>
      </c>
      <c r="AY64">
        <v>13360000</v>
      </c>
      <c r="AZ64">
        <v>13360000</v>
      </c>
      <c r="BA64">
        <v>0</v>
      </c>
      <c r="BB64">
        <v>0</v>
      </c>
      <c r="BC64">
        <v>0</v>
      </c>
      <c r="BD64">
        <v>0</v>
      </c>
      <c r="BE64">
        <v>0</v>
      </c>
      <c r="BF64">
        <v>0</v>
      </c>
      <c r="BG64">
        <v>0</v>
      </c>
      <c r="BH64">
        <v>0</v>
      </c>
      <c r="BI64">
        <v>0</v>
      </c>
      <c r="BJ64">
        <v>0</v>
      </c>
      <c r="BK64">
        <v>0</v>
      </c>
      <c r="BL64">
        <v>2863870</v>
      </c>
      <c r="BM64">
        <v>286380</v>
      </c>
      <c r="BN64">
        <v>0</v>
      </c>
      <c r="BO64">
        <v>0</v>
      </c>
      <c r="BP64">
        <v>1713030</v>
      </c>
      <c r="BQ64">
        <v>0</v>
      </c>
      <c r="BR64">
        <v>0</v>
      </c>
      <c r="BS64">
        <v>0</v>
      </c>
      <c r="BT64">
        <v>0</v>
      </c>
      <c r="BU64">
        <v>0</v>
      </c>
      <c r="BV64">
        <v>0</v>
      </c>
      <c r="BW64">
        <v>0</v>
      </c>
      <c r="BX64">
        <v>0</v>
      </c>
      <c r="BY64">
        <v>0</v>
      </c>
      <c r="BZ64">
        <v>0</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0</v>
      </c>
      <c r="DA64">
        <v>0</v>
      </c>
      <c r="DB64">
        <v>0</v>
      </c>
      <c r="DC64">
        <v>0</v>
      </c>
      <c r="DD64">
        <v>0</v>
      </c>
      <c r="DE64">
        <v>0</v>
      </c>
      <c r="DF64">
        <v>0</v>
      </c>
      <c r="DG64">
        <v>0</v>
      </c>
      <c r="DH64">
        <v>0</v>
      </c>
      <c r="DI64">
        <v>0</v>
      </c>
      <c r="DJ64">
        <v>0</v>
      </c>
      <c r="DK64">
        <v>0</v>
      </c>
      <c r="DL64">
        <v>0</v>
      </c>
      <c r="DM64">
        <v>0</v>
      </c>
      <c r="DN64">
        <v>0</v>
      </c>
      <c r="DO64">
        <v>0</v>
      </c>
      <c r="DP64">
        <v>0</v>
      </c>
      <c r="DQ64">
        <v>0</v>
      </c>
      <c r="DR64">
        <v>0</v>
      </c>
      <c r="DS64">
        <v>0</v>
      </c>
      <c r="DT64">
        <v>4863280</v>
      </c>
      <c r="DU64">
        <v>8496720</v>
      </c>
      <c r="DV64">
        <v>0</v>
      </c>
    </row>
    <row r="65" spans="1:126" hidden="1">
      <c r="A65" t="s">
        <v>4900</v>
      </c>
      <c r="B65" t="s">
        <v>4868</v>
      </c>
      <c r="C65">
        <v>2020</v>
      </c>
      <c r="D65">
        <v>10</v>
      </c>
      <c r="E65" t="s">
        <v>3953</v>
      </c>
      <c r="F65" t="s">
        <v>4869</v>
      </c>
      <c r="G65" s="2042">
        <v>44127</v>
      </c>
      <c r="H65" t="s">
        <v>4880</v>
      </c>
      <c r="I65" t="s">
        <v>4880</v>
      </c>
      <c r="J65" t="s">
        <v>4881</v>
      </c>
      <c r="K65" t="s">
        <v>4746</v>
      </c>
      <c r="L65" t="s">
        <v>4882</v>
      </c>
      <c r="M65" t="s">
        <v>4882</v>
      </c>
      <c r="N65" t="s">
        <v>4883</v>
      </c>
      <c r="O65" t="s">
        <v>4879</v>
      </c>
      <c r="P65" t="s">
        <v>4743</v>
      </c>
      <c r="Q65" s="2042">
        <v>42826</v>
      </c>
      <c r="R65" s="2042">
        <v>42826</v>
      </c>
      <c r="S65">
        <v>220</v>
      </c>
      <c r="T65">
        <v>0</v>
      </c>
      <c r="U65">
        <v>11130000</v>
      </c>
      <c r="V65">
        <v>2230000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17810000</v>
      </c>
      <c r="AY65">
        <v>13360000</v>
      </c>
      <c r="AZ65">
        <v>13360000</v>
      </c>
      <c r="BA65">
        <v>0</v>
      </c>
      <c r="BB65">
        <v>0</v>
      </c>
      <c r="BC65">
        <v>0</v>
      </c>
      <c r="BD65">
        <v>0</v>
      </c>
      <c r="BE65">
        <v>0</v>
      </c>
      <c r="BF65">
        <v>0</v>
      </c>
      <c r="BG65">
        <v>0</v>
      </c>
      <c r="BH65">
        <v>0</v>
      </c>
      <c r="BI65">
        <v>0</v>
      </c>
      <c r="BJ65">
        <v>0</v>
      </c>
      <c r="BK65">
        <v>0</v>
      </c>
      <c r="BL65">
        <v>2863870</v>
      </c>
      <c r="BM65">
        <v>286380</v>
      </c>
      <c r="BN65">
        <v>0</v>
      </c>
      <c r="BO65">
        <v>0</v>
      </c>
      <c r="BP65">
        <v>1713030</v>
      </c>
      <c r="BQ65">
        <v>0</v>
      </c>
      <c r="BR65">
        <v>0</v>
      </c>
      <c r="BS65">
        <v>0</v>
      </c>
      <c r="BT65">
        <v>0</v>
      </c>
      <c r="BU65">
        <v>0</v>
      </c>
      <c r="BV65">
        <v>0</v>
      </c>
      <c r="BW65">
        <v>0</v>
      </c>
      <c r="BX65">
        <v>0</v>
      </c>
      <c r="BY65">
        <v>0</v>
      </c>
      <c r="BZ65">
        <v>0</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0</v>
      </c>
      <c r="DA65">
        <v>0</v>
      </c>
      <c r="DB65">
        <v>0</v>
      </c>
      <c r="DC65">
        <v>0</v>
      </c>
      <c r="DD65">
        <v>0</v>
      </c>
      <c r="DE65">
        <v>0</v>
      </c>
      <c r="DF65">
        <v>0</v>
      </c>
      <c r="DG65">
        <v>0</v>
      </c>
      <c r="DH65">
        <v>0</v>
      </c>
      <c r="DI65">
        <v>0</v>
      </c>
      <c r="DJ65">
        <v>0</v>
      </c>
      <c r="DK65">
        <v>0</v>
      </c>
      <c r="DL65">
        <v>0</v>
      </c>
      <c r="DM65">
        <v>0</v>
      </c>
      <c r="DN65">
        <v>0</v>
      </c>
      <c r="DO65">
        <v>0</v>
      </c>
      <c r="DP65">
        <v>0</v>
      </c>
      <c r="DQ65">
        <v>0</v>
      </c>
      <c r="DR65">
        <v>0</v>
      </c>
      <c r="DS65">
        <v>0</v>
      </c>
      <c r="DT65">
        <v>4863280</v>
      </c>
      <c r="DU65">
        <v>8496720</v>
      </c>
      <c r="DV65">
        <v>0</v>
      </c>
    </row>
    <row r="66" spans="1:126" hidden="1">
      <c r="A66" t="s">
        <v>4900</v>
      </c>
      <c r="B66" t="s">
        <v>4868</v>
      </c>
      <c r="C66">
        <v>2020</v>
      </c>
      <c r="D66">
        <v>9</v>
      </c>
      <c r="E66" t="s">
        <v>3953</v>
      </c>
      <c r="F66" t="s">
        <v>4869</v>
      </c>
      <c r="G66" s="2042">
        <v>44098</v>
      </c>
      <c r="H66" t="s">
        <v>4880</v>
      </c>
      <c r="I66" t="s">
        <v>4880</v>
      </c>
      <c r="J66" t="s">
        <v>4881</v>
      </c>
      <c r="K66" t="s">
        <v>4746</v>
      </c>
      <c r="L66" t="s">
        <v>4882</v>
      </c>
      <c r="M66" t="s">
        <v>4882</v>
      </c>
      <c r="N66" t="s">
        <v>4883</v>
      </c>
      <c r="O66" t="s">
        <v>4879</v>
      </c>
      <c r="P66" t="s">
        <v>4743</v>
      </c>
      <c r="Q66" s="2042">
        <v>42826</v>
      </c>
      <c r="R66" s="2042">
        <v>42826</v>
      </c>
      <c r="S66">
        <v>220</v>
      </c>
      <c r="T66">
        <v>0</v>
      </c>
      <c r="U66">
        <v>11130000</v>
      </c>
      <c r="V66">
        <v>2230000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17810000</v>
      </c>
      <c r="AY66">
        <v>13360000</v>
      </c>
      <c r="AZ66">
        <v>13360000</v>
      </c>
      <c r="BA66">
        <v>0</v>
      </c>
      <c r="BB66">
        <v>0</v>
      </c>
      <c r="BC66">
        <v>0</v>
      </c>
      <c r="BD66">
        <v>0</v>
      </c>
      <c r="BE66">
        <v>0</v>
      </c>
      <c r="BF66">
        <v>0</v>
      </c>
      <c r="BG66">
        <v>0</v>
      </c>
      <c r="BH66">
        <v>0</v>
      </c>
      <c r="BI66">
        <v>0</v>
      </c>
      <c r="BJ66">
        <v>0</v>
      </c>
      <c r="BK66">
        <v>0</v>
      </c>
      <c r="BL66">
        <v>2863870</v>
      </c>
      <c r="BM66">
        <v>286380</v>
      </c>
      <c r="BN66">
        <v>0</v>
      </c>
      <c r="BO66">
        <v>0</v>
      </c>
      <c r="BP66">
        <v>1713030</v>
      </c>
      <c r="BQ66">
        <v>0</v>
      </c>
      <c r="BR66">
        <v>0</v>
      </c>
      <c r="BS66">
        <v>0</v>
      </c>
      <c r="BT66">
        <v>0</v>
      </c>
      <c r="BU66">
        <v>0</v>
      </c>
      <c r="BV66">
        <v>0</v>
      </c>
      <c r="BW66">
        <v>0</v>
      </c>
      <c r="BX66">
        <v>0</v>
      </c>
      <c r="BY66">
        <v>0</v>
      </c>
      <c r="BZ66">
        <v>0</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DN66">
        <v>0</v>
      </c>
      <c r="DO66">
        <v>0</v>
      </c>
      <c r="DP66">
        <v>0</v>
      </c>
      <c r="DQ66">
        <v>0</v>
      </c>
      <c r="DR66">
        <v>0</v>
      </c>
      <c r="DS66">
        <v>0</v>
      </c>
      <c r="DT66">
        <v>4863280</v>
      </c>
      <c r="DU66">
        <v>8496720</v>
      </c>
      <c r="DV66">
        <v>0</v>
      </c>
    </row>
    <row r="67" spans="1:126" hidden="1">
      <c r="A67" t="s">
        <v>4900</v>
      </c>
      <c r="B67" t="s">
        <v>4868</v>
      </c>
      <c r="C67">
        <v>2020</v>
      </c>
      <c r="D67">
        <v>8</v>
      </c>
      <c r="E67" t="s">
        <v>3953</v>
      </c>
      <c r="F67" t="s">
        <v>4869</v>
      </c>
      <c r="G67" s="2042">
        <v>44067</v>
      </c>
      <c r="H67" t="s">
        <v>4880</v>
      </c>
      <c r="I67" t="s">
        <v>4880</v>
      </c>
      <c r="J67" t="s">
        <v>4881</v>
      </c>
      <c r="K67" t="s">
        <v>4746</v>
      </c>
      <c r="L67" t="s">
        <v>4882</v>
      </c>
      <c r="M67" t="s">
        <v>4882</v>
      </c>
      <c r="N67" t="s">
        <v>4883</v>
      </c>
      <c r="O67" t="s">
        <v>4879</v>
      </c>
      <c r="P67" t="s">
        <v>4743</v>
      </c>
      <c r="Q67" s="2042">
        <v>42826</v>
      </c>
      <c r="R67" s="2042">
        <v>42826</v>
      </c>
      <c r="S67">
        <v>220</v>
      </c>
      <c r="T67">
        <v>0</v>
      </c>
      <c r="U67">
        <v>11130000</v>
      </c>
      <c r="V67">
        <v>2230000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17810000</v>
      </c>
      <c r="AY67">
        <v>13360000</v>
      </c>
      <c r="AZ67">
        <v>13360000</v>
      </c>
      <c r="BA67">
        <v>0</v>
      </c>
      <c r="BB67">
        <v>0</v>
      </c>
      <c r="BC67">
        <v>0</v>
      </c>
      <c r="BD67">
        <v>0</v>
      </c>
      <c r="BE67">
        <v>0</v>
      </c>
      <c r="BF67">
        <v>0</v>
      </c>
      <c r="BG67">
        <v>0</v>
      </c>
      <c r="BH67">
        <v>0</v>
      </c>
      <c r="BI67">
        <v>0</v>
      </c>
      <c r="BJ67">
        <v>0</v>
      </c>
      <c r="BK67">
        <v>0</v>
      </c>
      <c r="BL67">
        <v>2863870</v>
      </c>
      <c r="BM67">
        <v>286380</v>
      </c>
      <c r="BN67">
        <v>0</v>
      </c>
      <c r="BO67">
        <v>0</v>
      </c>
      <c r="BP67">
        <v>1713030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4863280</v>
      </c>
      <c r="DU67">
        <v>8496720</v>
      </c>
      <c r="DV67">
        <v>0</v>
      </c>
    </row>
    <row r="68" spans="1:126" hidden="1">
      <c r="A68" t="s">
        <v>4900</v>
      </c>
      <c r="B68" t="s">
        <v>4868</v>
      </c>
      <c r="C68">
        <v>2020</v>
      </c>
      <c r="D68">
        <v>7</v>
      </c>
      <c r="E68" t="s">
        <v>3953</v>
      </c>
      <c r="F68" t="s">
        <v>4869</v>
      </c>
      <c r="G68" s="2042">
        <v>44036</v>
      </c>
      <c r="H68" t="s">
        <v>4880</v>
      </c>
      <c r="I68" t="s">
        <v>4880</v>
      </c>
      <c r="J68" t="s">
        <v>4881</v>
      </c>
      <c r="K68" t="s">
        <v>4746</v>
      </c>
      <c r="L68" t="s">
        <v>4882</v>
      </c>
      <c r="M68" t="s">
        <v>4882</v>
      </c>
      <c r="N68" t="s">
        <v>4883</v>
      </c>
      <c r="O68" t="s">
        <v>4879</v>
      </c>
      <c r="P68" t="s">
        <v>4743</v>
      </c>
      <c r="Q68" s="2042">
        <v>42826</v>
      </c>
      <c r="R68" s="2042">
        <v>42826</v>
      </c>
      <c r="S68">
        <v>220</v>
      </c>
      <c r="T68">
        <v>0</v>
      </c>
      <c r="U68">
        <v>11130000</v>
      </c>
      <c r="V68">
        <v>2230000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17810000</v>
      </c>
      <c r="AY68">
        <v>13360000</v>
      </c>
      <c r="AZ68">
        <v>13360000</v>
      </c>
      <c r="BA68">
        <v>0</v>
      </c>
      <c r="BB68">
        <v>0</v>
      </c>
      <c r="BC68">
        <v>0</v>
      </c>
      <c r="BD68">
        <v>0</v>
      </c>
      <c r="BE68">
        <v>0</v>
      </c>
      <c r="BF68">
        <v>0</v>
      </c>
      <c r="BG68">
        <v>0</v>
      </c>
      <c r="BH68">
        <v>0</v>
      </c>
      <c r="BI68">
        <v>0</v>
      </c>
      <c r="BJ68">
        <v>0</v>
      </c>
      <c r="BK68">
        <v>0</v>
      </c>
      <c r="BL68">
        <v>2863870</v>
      </c>
      <c r="BM68">
        <v>286380</v>
      </c>
      <c r="BN68">
        <v>0</v>
      </c>
      <c r="BO68">
        <v>0</v>
      </c>
      <c r="BP68">
        <v>1713030</v>
      </c>
      <c r="BQ68">
        <v>0</v>
      </c>
      <c r="BR68">
        <v>0</v>
      </c>
      <c r="BS68">
        <v>0</v>
      </c>
      <c r="BT68">
        <v>0</v>
      </c>
      <c r="BU68">
        <v>0</v>
      </c>
      <c r="BV68">
        <v>0</v>
      </c>
      <c r="BW68">
        <v>0</v>
      </c>
      <c r="BX68">
        <v>0</v>
      </c>
      <c r="BY68">
        <v>0</v>
      </c>
      <c r="BZ68">
        <v>0</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4863280</v>
      </c>
      <c r="DU68">
        <v>8496720</v>
      </c>
      <c r="DV68">
        <v>0</v>
      </c>
    </row>
    <row r="69" spans="1:126" hidden="1">
      <c r="A69" t="s">
        <v>4900</v>
      </c>
      <c r="B69" t="s">
        <v>4868</v>
      </c>
      <c r="C69">
        <v>2020</v>
      </c>
      <c r="D69">
        <v>6</v>
      </c>
      <c r="E69" t="s">
        <v>3953</v>
      </c>
      <c r="F69" t="s">
        <v>4869</v>
      </c>
      <c r="G69" s="2042">
        <v>44006</v>
      </c>
      <c r="H69" t="s">
        <v>4880</v>
      </c>
      <c r="I69" t="s">
        <v>4880</v>
      </c>
      <c r="J69" t="s">
        <v>4881</v>
      </c>
      <c r="K69" t="s">
        <v>4746</v>
      </c>
      <c r="L69" t="s">
        <v>4882</v>
      </c>
      <c r="M69" t="s">
        <v>4882</v>
      </c>
      <c r="N69" t="s">
        <v>4883</v>
      </c>
      <c r="O69" t="s">
        <v>4879</v>
      </c>
      <c r="P69" t="s">
        <v>4743</v>
      </c>
      <c r="Q69" s="2042">
        <v>42826</v>
      </c>
      <c r="R69" s="2042">
        <v>42826</v>
      </c>
      <c r="S69">
        <v>220</v>
      </c>
      <c r="T69">
        <v>0</v>
      </c>
      <c r="U69">
        <v>11130000</v>
      </c>
      <c r="V69">
        <v>2230000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17810000</v>
      </c>
      <c r="AY69">
        <v>13360000</v>
      </c>
      <c r="AZ69">
        <v>13360000</v>
      </c>
      <c r="BA69">
        <v>0</v>
      </c>
      <c r="BB69">
        <v>0</v>
      </c>
      <c r="BC69">
        <v>0</v>
      </c>
      <c r="BD69">
        <v>0</v>
      </c>
      <c r="BE69">
        <v>0</v>
      </c>
      <c r="BF69">
        <v>0</v>
      </c>
      <c r="BG69">
        <v>0</v>
      </c>
      <c r="BH69">
        <v>0</v>
      </c>
      <c r="BI69">
        <v>0</v>
      </c>
      <c r="BJ69">
        <v>0</v>
      </c>
      <c r="BK69">
        <v>0</v>
      </c>
      <c r="BL69">
        <v>2863870</v>
      </c>
      <c r="BM69">
        <v>286380</v>
      </c>
      <c r="BN69">
        <v>0</v>
      </c>
      <c r="BO69">
        <v>0</v>
      </c>
      <c r="BP69">
        <v>1713030</v>
      </c>
      <c r="BQ69">
        <v>0</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0</v>
      </c>
      <c r="DA69">
        <v>0</v>
      </c>
      <c r="DB69">
        <v>0</v>
      </c>
      <c r="DC69">
        <v>0</v>
      </c>
      <c r="DD69">
        <v>0</v>
      </c>
      <c r="DE69">
        <v>0</v>
      </c>
      <c r="DF69">
        <v>0</v>
      </c>
      <c r="DG69">
        <v>0</v>
      </c>
      <c r="DH69">
        <v>0</v>
      </c>
      <c r="DI69">
        <v>0</v>
      </c>
      <c r="DJ69">
        <v>0</v>
      </c>
      <c r="DK69">
        <v>0</v>
      </c>
      <c r="DL69">
        <v>0</v>
      </c>
      <c r="DM69">
        <v>0</v>
      </c>
      <c r="DN69">
        <v>0</v>
      </c>
      <c r="DO69">
        <v>0</v>
      </c>
      <c r="DP69">
        <v>0</v>
      </c>
      <c r="DQ69">
        <v>0</v>
      </c>
      <c r="DR69">
        <v>0</v>
      </c>
      <c r="DS69">
        <v>0</v>
      </c>
      <c r="DT69">
        <v>4863280</v>
      </c>
      <c r="DU69">
        <v>8496720</v>
      </c>
      <c r="DV69">
        <v>0</v>
      </c>
    </row>
    <row r="70" spans="1:126" hidden="1">
      <c r="A70" t="s">
        <v>4900</v>
      </c>
      <c r="B70" t="s">
        <v>4868</v>
      </c>
      <c r="C70">
        <v>2020</v>
      </c>
      <c r="D70">
        <v>5</v>
      </c>
      <c r="E70" t="s">
        <v>3953</v>
      </c>
      <c r="F70" t="s">
        <v>4869</v>
      </c>
      <c r="G70" s="2042">
        <v>43973</v>
      </c>
      <c r="H70" t="s">
        <v>4880</v>
      </c>
      <c r="I70" t="s">
        <v>4880</v>
      </c>
      <c r="J70" t="s">
        <v>4881</v>
      </c>
      <c r="K70" t="s">
        <v>4746</v>
      </c>
      <c r="L70" t="s">
        <v>4882</v>
      </c>
      <c r="M70" t="s">
        <v>4882</v>
      </c>
      <c r="N70" t="s">
        <v>4883</v>
      </c>
      <c r="O70" t="s">
        <v>4879</v>
      </c>
      <c r="P70" t="s">
        <v>4743</v>
      </c>
      <c r="Q70" s="2042">
        <v>42826</v>
      </c>
      <c r="R70" s="2042">
        <v>42826</v>
      </c>
      <c r="S70">
        <v>220</v>
      </c>
      <c r="T70">
        <v>0</v>
      </c>
      <c r="U70">
        <v>11130000</v>
      </c>
      <c r="V70">
        <v>2230000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17810000</v>
      </c>
      <c r="AY70">
        <v>13360000</v>
      </c>
      <c r="AZ70">
        <v>13360000</v>
      </c>
      <c r="BA70">
        <v>0</v>
      </c>
      <c r="BB70">
        <v>0</v>
      </c>
      <c r="BC70">
        <v>0</v>
      </c>
      <c r="BD70">
        <v>0</v>
      </c>
      <c r="BE70">
        <v>0</v>
      </c>
      <c r="BF70">
        <v>0</v>
      </c>
      <c r="BG70">
        <v>0</v>
      </c>
      <c r="BH70">
        <v>0</v>
      </c>
      <c r="BI70">
        <v>0</v>
      </c>
      <c r="BJ70">
        <v>0</v>
      </c>
      <c r="BK70">
        <v>0</v>
      </c>
      <c r="BL70">
        <v>2587110</v>
      </c>
      <c r="BM70">
        <v>258710</v>
      </c>
      <c r="BN70">
        <v>0</v>
      </c>
      <c r="BO70">
        <v>0</v>
      </c>
      <c r="BP70">
        <v>256380</v>
      </c>
      <c r="BQ70">
        <v>0</v>
      </c>
      <c r="BR70">
        <v>0</v>
      </c>
      <c r="BS70">
        <v>0</v>
      </c>
      <c r="BT70">
        <v>0</v>
      </c>
      <c r="BU70">
        <v>0</v>
      </c>
      <c r="BV70">
        <v>0</v>
      </c>
      <c r="BW70">
        <v>0</v>
      </c>
      <c r="BX70">
        <v>0</v>
      </c>
      <c r="BY70">
        <v>0</v>
      </c>
      <c r="BZ70">
        <v>0</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DN70">
        <v>0</v>
      </c>
      <c r="DO70">
        <v>0</v>
      </c>
      <c r="DP70">
        <v>0</v>
      </c>
      <c r="DQ70">
        <v>0</v>
      </c>
      <c r="DR70">
        <v>0</v>
      </c>
      <c r="DS70">
        <v>0</v>
      </c>
      <c r="DT70">
        <v>3102200</v>
      </c>
      <c r="DU70">
        <v>10257800</v>
      </c>
      <c r="DV70">
        <v>0</v>
      </c>
    </row>
    <row r="71" spans="1:126" hidden="1">
      <c r="A71" t="s">
        <v>4900</v>
      </c>
      <c r="B71" t="s">
        <v>4868</v>
      </c>
      <c r="C71">
        <v>2020</v>
      </c>
      <c r="D71">
        <v>4</v>
      </c>
      <c r="E71" t="s">
        <v>3953</v>
      </c>
      <c r="F71" t="s">
        <v>4869</v>
      </c>
      <c r="G71" s="2042">
        <v>43945</v>
      </c>
      <c r="H71" t="s">
        <v>4880</v>
      </c>
      <c r="I71" t="s">
        <v>4880</v>
      </c>
      <c r="J71" t="s">
        <v>4881</v>
      </c>
      <c r="K71" t="s">
        <v>4746</v>
      </c>
      <c r="L71" t="s">
        <v>4882</v>
      </c>
      <c r="M71" t="s">
        <v>4882</v>
      </c>
      <c r="N71" t="s">
        <v>4883</v>
      </c>
      <c r="O71" t="s">
        <v>4879</v>
      </c>
      <c r="P71" t="s">
        <v>4743</v>
      </c>
      <c r="Q71" s="2042">
        <v>42826</v>
      </c>
      <c r="R71" s="2042">
        <v>42826</v>
      </c>
      <c r="S71">
        <v>220</v>
      </c>
      <c r="T71">
        <v>0</v>
      </c>
      <c r="U71">
        <v>11130000</v>
      </c>
      <c r="V71">
        <v>2230000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17810000</v>
      </c>
      <c r="AY71">
        <v>13960000</v>
      </c>
      <c r="AZ71">
        <v>13360000</v>
      </c>
      <c r="BA71">
        <v>600000</v>
      </c>
      <c r="BB71">
        <v>0</v>
      </c>
      <c r="BC71">
        <v>0</v>
      </c>
      <c r="BD71">
        <v>0</v>
      </c>
      <c r="BE71">
        <v>0</v>
      </c>
      <c r="BF71">
        <v>0</v>
      </c>
      <c r="BG71">
        <v>0</v>
      </c>
      <c r="BH71">
        <v>0</v>
      </c>
      <c r="BI71">
        <v>0</v>
      </c>
      <c r="BJ71">
        <v>0</v>
      </c>
      <c r="BK71">
        <v>0</v>
      </c>
      <c r="BL71">
        <v>2701130</v>
      </c>
      <c r="BM71">
        <v>270110</v>
      </c>
      <c r="BN71">
        <v>0</v>
      </c>
      <c r="BO71">
        <v>0</v>
      </c>
      <c r="BP71">
        <v>256460</v>
      </c>
      <c r="BQ71">
        <v>-140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c r="DS71">
        <v>0</v>
      </c>
      <c r="DT71">
        <v>3227560</v>
      </c>
      <c r="DU71">
        <v>10132440</v>
      </c>
      <c r="DV71">
        <v>0</v>
      </c>
    </row>
    <row r="72" spans="1:126" hidden="1">
      <c r="A72" t="s">
        <v>4900</v>
      </c>
      <c r="B72" t="s">
        <v>4868</v>
      </c>
      <c r="C72">
        <v>2020</v>
      </c>
      <c r="D72">
        <v>3</v>
      </c>
      <c r="E72" t="s">
        <v>3953</v>
      </c>
      <c r="F72" t="s">
        <v>4869</v>
      </c>
      <c r="G72" s="2042">
        <v>43914</v>
      </c>
      <c r="H72" t="s">
        <v>4880</v>
      </c>
      <c r="I72" t="s">
        <v>4880</v>
      </c>
      <c r="J72" t="s">
        <v>4881</v>
      </c>
      <c r="K72" t="s">
        <v>4746</v>
      </c>
      <c r="L72" t="s">
        <v>4882</v>
      </c>
      <c r="M72" t="s">
        <v>4882</v>
      </c>
      <c r="N72" t="s">
        <v>4883</v>
      </c>
      <c r="O72" t="s">
        <v>4879</v>
      </c>
      <c r="P72" t="s">
        <v>4743</v>
      </c>
      <c r="Q72" s="2042">
        <v>42826</v>
      </c>
      <c r="R72" s="2042">
        <v>42826</v>
      </c>
      <c r="S72">
        <v>220</v>
      </c>
      <c r="T72">
        <v>0</v>
      </c>
      <c r="U72">
        <v>11130000</v>
      </c>
      <c r="V72">
        <v>2230000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17810000</v>
      </c>
      <c r="AY72">
        <v>13360000</v>
      </c>
      <c r="AZ72">
        <v>13360000</v>
      </c>
      <c r="BA72">
        <v>0</v>
      </c>
      <c r="BB72">
        <v>0</v>
      </c>
      <c r="BC72">
        <v>0</v>
      </c>
      <c r="BD72">
        <v>0</v>
      </c>
      <c r="BE72">
        <v>0</v>
      </c>
      <c r="BF72">
        <v>0</v>
      </c>
      <c r="BG72">
        <v>0</v>
      </c>
      <c r="BH72">
        <v>0</v>
      </c>
      <c r="BI72">
        <v>0</v>
      </c>
      <c r="BJ72">
        <v>0</v>
      </c>
      <c r="BK72">
        <v>0</v>
      </c>
      <c r="BL72">
        <v>2650640</v>
      </c>
      <c r="BM72">
        <v>265060</v>
      </c>
      <c r="BN72">
        <v>0</v>
      </c>
      <c r="BO72">
        <v>0</v>
      </c>
      <c r="BP72">
        <v>590740</v>
      </c>
      <c r="BQ72">
        <v>0</v>
      </c>
      <c r="BR72">
        <v>0</v>
      </c>
      <c r="BS72">
        <v>0</v>
      </c>
      <c r="BT72">
        <v>0</v>
      </c>
      <c r="BU72">
        <v>0</v>
      </c>
      <c r="BV72">
        <v>0</v>
      </c>
      <c r="BW72">
        <v>0</v>
      </c>
      <c r="BX72">
        <v>0</v>
      </c>
      <c r="BY72">
        <v>0</v>
      </c>
      <c r="BZ72">
        <v>0</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0</v>
      </c>
      <c r="DA72">
        <v>0</v>
      </c>
      <c r="DB72">
        <v>0</v>
      </c>
      <c r="DC72">
        <v>0</v>
      </c>
      <c r="DD72">
        <v>0</v>
      </c>
      <c r="DE72">
        <v>0</v>
      </c>
      <c r="DF72">
        <v>0</v>
      </c>
      <c r="DG72">
        <v>0</v>
      </c>
      <c r="DH72">
        <v>0</v>
      </c>
      <c r="DI72">
        <v>0</v>
      </c>
      <c r="DJ72">
        <v>0</v>
      </c>
      <c r="DK72">
        <v>0</v>
      </c>
      <c r="DL72">
        <v>0</v>
      </c>
      <c r="DM72">
        <v>0</v>
      </c>
      <c r="DN72">
        <v>0</v>
      </c>
      <c r="DO72">
        <v>0</v>
      </c>
      <c r="DP72">
        <v>0</v>
      </c>
      <c r="DQ72">
        <v>0</v>
      </c>
      <c r="DR72">
        <v>0</v>
      </c>
      <c r="DS72">
        <v>0</v>
      </c>
      <c r="DT72">
        <v>3506440</v>
      </c>
      <c r="DU72">
        <v>9853560</v>
      </c>
      <c r="DV72">
        <v>0</v>
      </c>
    </row>
    <row r="73" spans="1:126" hidden="1">
      <c r="A73" t="s">
        <v>4900</v>
      </c>
      <c r="B73" t="s">
        <v>4868</v>
      </c>
      <c r="C73">
        <v>2020</v>
      </c>
      <c r="D73">
        <v>2</v>
      </c>
      <c r="E73" t="s">
        <v>3953</v>
      </c>
      <c r="F73" t="s">
        <v>4869</v>
      </c>
      <c r="G73" s="2042">
        <v>43885</v>
      </c>
      <c r="H73" t="s">
        <v>4880</v>
      </c>
      <c r="I73" t="s">
        <v>4880</v>
      </c>
      <c r="J73" t="s">
        <v>4881</v>
      </c>
      <c r="K73" t="s">
        <v>4746</v>
      </c>
      <c r="L73" t="s">
        <v>4882</v>
      </c>
      <c r="M73" t="s">
        <v>4882</v>
      </c>
      <c r="N73" t="s">
        <v>4883</v>
      </c>
      <c r="O73" t="s">
        <v>4879</v>
      </c>
      <c r="P73" t="s">
        <v>4743</v>
      </c>
      <c r="Q73" s="2042">
        <v>42826</v>
      </c>
      <c r="R73" s="2042">
        <v>42826</v>
      </c>
      <c r="S73">
        <v>220</v>
      </c>
      <c r="T73">
        <v>0</v>
      </c>
      <c r="U73">
        <v>11130000</v>
      </c>
      <c r="V73">
        <v>2230000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17810000</v>
      </c>
      <c r="AY73">
        <v>13460000</v>
      </c>
      <c r="AZ73">
        <v>13360000</v>
      </c>
      <c r="BA73">
        <v>100000</v>
      </c>
      <c r="BB73">
        <v>0</v>
      </c>
      <c r="BC73">
        <v>0</v>
      </c>
      <c r="BD73">
        <v>0</v>
      </c>
      <c r="BE73">
        <v>0</v>
      </c>
      <c r="BF73">
        <v>0</v>
      </c>
      <c r="BG73">
        <v>0</v>
      </c>
      <c r="BH73">
        <v>0</v>
      </c>
      <c r="BI73">
        <v>0</v>
      </c>
      <c r="BJ73">
        <v>0</v>
      </c>
      <c r="BK73">
        <v>0</v>
      </c>
      <c r="BL73">
        <v>2781880</v>
      </c>
      <c r="BM73">
        <v>278180</v>
      </c>
      <c r="BN73">
        <v>0</v>
      </c>
      <c r="BO73">
        <v>0</v>
      </c>
      <c r="BP73">
        <v>1181490</v>
      </c>
      <c r="BQ73">
        <v>0</v>
      </c>
      <c r="BR73">
        <v>0</v>
      </c>
      <c r="BS73">
        <v>0</v>
      </c>
      <c r="BT73">
        <v>0</v>
      </c>
      <c r="BU73">
        <v>0</v>
      </c>
      <c r="BV73">
        <v>0</v>
      </c>
      <c r="BW73">
        <v>0</v>
      </c>
      <c r="BX73">
        <v>0</v>
      </c>
      <c r="BY73">
        <v>0</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0</v>
      </c>
      <c r="DM73">
        <v>0</v>
      </c>
      <c r="DN73">
        <v>0</v>
      </c>
      <c r="DO73">
        <v>0</v>
      </c>
      <c r="DP73">
        <v>0</v>
      </c>
      <c r="DQ73">
        <v>0</v>
      </c>
      <c r="DR73">
        <v>0</v>
      </c>
      <c r="DS73">
        <v>0</v>
      </c>
      <c r="DT73">
        <v>4241550</v>
      </c>
      <c r="DU73">
        <v>9118450</v>
      </c>
      <c r="DV73">
        <v>0</v>
      </c>
    </row>
    <row r="74" spans="1:126" hidden="1">
      <c r="A74" t="s">
        <v>4900</v>
      </c>
      <c r="B74" t="s">
        <v>4868</v>
      </c>
      <c r="C74">
        <v>2020</v>
      </c>
      <c r="D74">
        <v>1</v>
      </c>
      <c r="E74" t="s">
        <v>3953</v>
      </c>
      <c r="F74" t="s">
        <v>4869</v>
      </c>
      <c r="G74" s="2042">
        <v>43853</v>
      </c>
      <c r="H74" t="s">
        <v>4880</v>
      </c>
      <c r="I74" t="s">
        <v>4880</v>
      </c>
      <c r="J74" t="s">
        <v>4881</v>
      </c>
      <c r="K74" t="s">
        <v>4746</v>
      </c>
      <c r="L74" t="s">
        <v>4882</v>
      </c>
      <c r="M74" t="s">
        <v>4882</v>
      </c>
      <c r="N74" t="s">
        <v>4883</v>
      </c>
      <c r="O74" t="s">
        <v>4879</v>
      </c>
      <c r="P74" t="s">
        <v>4743</v>
      </c>
      <c r="Q74" s="2042">
        <v>42826</v>
      </c>
      <c r="R74" s="2042">
        <v>42826</v>
      </c>
      <c r="S74">
        <v>220</v>
      </c>
      <c r="T74">
        <v>0</v>
      </c>
      <c r="U74">
        <v>11130000</v>
      </c>
      <c r="V74">
        <v>2230000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17810000</v>
      </c>
      <c r="AY74">
        <v>13360000</v>
      </c>
      <c r="AZ74">
        <v>13360000</v>
      </c>
      <c r="BA74">
        <v>0</v>
      </c>
      <c r="BB74">
        <v>0</v>
      </c>
      <c r="BC74">
        <v>0</v>
      </c>
      <c r="BD74">
        <v>0</v>
      </c>
      <c r="BE74">
        <v>0</v>
      </c>
      <c r="BF74">
        <v>0</v>
      </c>
      <c r="BG74">
        <v>0</v>
      </c>
      <c r="BH74">
        <v>0</v>
      </c>
      <c r="BI74">
        <v>0</v>
      </c>
      <c r="BJ74">
        <v>0</v>
      </c>
      <c r="BK74">
        <v>0</v>
      </c>
      <c r="BL74">
        <v>2762880</v>
      </c>
      <c r="BM74">
        <v>276280</v>
      </c>
      <c r="BN74">
        <v>0</v>
      </c>
      <c r="BO74">
        <v>0</v>
      </c>
      <c r="BP74">
        <v>1181490</v>
      </c>
      <c r="BQ74">
        <v>0</v>
      </c>
      <c r="BR74">
        <v>0</v>
      </c>
      <c r="BS74">
        <v>0</v>
      </c>
      <c r="BT74">
        <v>0</v>
      </c>
      <c r="BU74">
        <v>0</v>
      </c>
      <c r="BV74">
        <v>0</v>
      </c>
      <c r="BW74">
        <v>0</v>
      </c>
      <c r="BX74">
        <v>0</v>
      </c>
      <c r="BY74">
        <v>0</v>
      </c>
      <c r="BZ74">
        <v>0</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0</v>
      </c>
      <c r="DM74">
        <v>0</v>
      </c>
      <c r="DN74">
        <v>0</v>
      </c>
      <c r="DO74">
        <v>0</v>
      </c>
      <c r="DP74">
        <v>0</v>
      </c>
      <c r="DQ74">
        <v>0</v>
      </c>
      <c r="DR74">
        <v>0</v>
      </c>
      <c r="DS74">
        <v>0</v>
      </c>
      <c r="DT74">
        <v>4220650</v>
      </c>
      <c r="DU74">
        <v>9139350</v>
      </c>
      <c r="DV74">
        <v>0</v>
      </c>
    </row>
    <row r="75" spans="1:126" hidden="1">
      <c r="A75" t="s">
        <v>4900</v>
      </c>
      <c r="B75" t="s">
        <v>4868</v>
      </c>
      <c r="C75">
        <v>2021</v>
      </c>
      <c r="D75">
        <v>6</v>
      </c>
      <c r="E75" t="s">
        <v>3953</v>
      </c>
      <c r="F75" t="s">
        <v>4869</v>
      </c>
      <c r="G75" s="2042">
        <v>44371</v>
      </c>
      <c r="H75" t="s">
        <v>4870</v>
      </c>
      <c r="I75" t="s">
        <v>4870</v>
      </c>
      <c r="J75" t="s">
        <v>4871</v>
      </c>
      <c r="K75" t="s">
        <v>4746</v>
      </c>
      <c r="L75" t="s">
        <v>4872</v>
      </c>
      <c r="M75" t="s">
        <v>4872</v>
      </c>
      <c r="N75" t="s">
        <v>4873</v>
      </c>
      <c r="O75" t="s">
        <v>4879</v>
      </c>
      <c r="P75" t="s">
        <v>4743</v>
      </c>
      <c r="Q75" s="2042">
        <v>43191</v>
      </c>
      <c r="R75" s="2042">
        <v>43191</v>
      </c>
      <c r="S75">
        <v>220</v>
      </c>
      <c r="T75">
        <v>0</v>
      </c>
      <c r="U75">
        <v>56160000</v>
      </c>
      <c r="V75">
        <v>11230000</v>
      </c>
      <c r="W75">
        <v>0</v>
      </c>
      <c r="X75">
        <v>43240000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111475000</v>
      </c>
      <c r="AY75">
        <v>110630000</v>
      </c>
      <c r="AZ75" s="2048">
        <v>110630000</v>
      </c>
      <c r="BA75">
        <v>0</v>
      </c>
      <c r="BB75">
        <v>0</v>
      </c>
      <c r="BC75">
        <v>0</v>
      </c>
      <c r="BD75">
        <v>0</v>
      </c>
      <c r="BE75">
        <v>0</v>
      </c>
      <c r="BF75">
        <v>0</v>
      </c>
      <c r="BG75">
        <v>0</v>
      </c>
      <c r="BH75">
        <v>0</v>
      </c>
      <c r="BI75">
        <v>0</v>
      </c>
      <c r="BJ75">
        <v>0</v>
      </c>
      <c r="BK75">
        <v>0</v>
      </c>
      <c r="BL75">
        <v>43119670</v>
      </c>
      <c r="BM75">
        <v>4311960</v>
      </c>
      <c r="BN75">
        <v>0</v>
      </c>
      <c r="BO75">
        <v>0</v>
      </c>
      <c r="BP75">
        <v>3929900</v>
      </c>
      <c r="BQ75">
        <v>0</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DN75">
        <v>0</v>
      </c>
      <c r="DO75">
        <v>0</v>
      </c>
      <c r="DP75">
        <v>0</v>
      </c>
      <c r="DQ75">
        <v>0</v>
      </c>
      <c r="DR75">
        <v>0</v>
      </c>
      <c r="DS75">
        <v>0</v>
      </c>
      <c r="DT75" s="2048">
        <v>51361530</v>
      </c>
      <c r="DU75" s="2048">
        <v>59268470</v>
      </c>
      <c r="DV75">
        <v>0</v>
      </c>
    </row>
    <row r="76" spans="1:126" hidden="1">
      <c r="A76" t="s">
        <v>4900</v>
      </c>
      <c r="B76" t="s">
        <v>4868</v>
      </c>
      <c r="C76">
        <v>2021</v>
      </c>
      <c r="D76">
        <v>5</v>
      </c>
      <c r="E76" t="s">
        <v>3953</v>
      </c>
      <c r="F76" t="s">
        <v>4869</v>
      </c>
      <c r="G76" s="2042">
        <v>44340</v>
      </c>
      <c r="H76" t="s">
        <v>4870</v>
      </c>
      <c r="I76" t="s">
        <v>4870</v>
      </c>
      <c r="J76" t="s">
        <v>4871</v>
      </c>
      <c r="K76" t="s">
        <v>4746</v>
      </c>
      <c r="L76" t="s">
        <v>4872</v>
      </c>
      <c r="M76" t="s">
        <v>4872</v>
      </c>
      <c r="N76" t="s">
        <v>4873</v>
      </c>
      <c r="O76" t="s">
        <v>4879</v>
      </c>
      <c r="P76" t="s">
        <v>4743</v>
      </c>
      <c r="Q76" s="2042">
        <v>43191</v>
      </c>
      <c r="R76" s="2042">
        <v>43191</v>
      </c>
      <c r="S76">
        <v>220</v>
      </c>
      <c r="T76">
        <v>0</v>
      </c>
      <c r="U76">
        <v>56160000</v>
      </c>
      <c r="V76">
        <v>11230000</v>
      </c>
      <c r="W76">
        <v>0</v>
      </c>
      <c r="X76">
        <v>43240000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111475000</v>
      </c>
      <c r="AY76">
        <v>111230000</v>
      </c>
      <c r="AZ76" s="2048">
        <v>110630000</v>
      </c>
      <c r="BA76">
        <v>600000</v>
      </c>
      <c r="BB76">
        <v>0</v>
      </c>
      <c r="BC76">
        <v>0</v>
      </c>
      <c r="BD76">
        <v>0</v>
      </c>
      <c r="BE76">
        <v>0</v>
      </c>
      <c r="BF76">
        <v>0</v>
      </c>
      <c r="BG76">
        <v>0</v>
      </c>
      <c r="BH76">
        <v>0</v>
      </c>
      <c r="BI76">
        <v>0</v>
      </c>
      <c r="BJ76">
        <v>0</v>
      </c>
      <c r="BK76">
        <v>0</v>
      </c>
      <c r="BL76">
        <v>43389670</v>
      </c>
      <c r="BM76">
        <v>4338960</v>
      </c>
      <c r="BN76">
        <v>0</v>
      </c>
      <c r="BO76">
        <v>0</v>
      </c>
      <c r="BP76">
        <v>3929900</v>
      </c>
      <c r="BQ76">
        <v>0</v>
      </c>
      <c r="BR76">
        <v>0</v>
      </c>
      <c r="BS76">
        <v>0</v>
      </c>
      <c r="BT76">
        <v>0</v>
      </c>
      <c r="BU76">
        <v>0</v>
      </c>
      <c r="BV76">
        <v>0</v>
      </c>
      <c r="BW76">
        <v>0</v>
      </c>
      <c r="BX76">
        <v>0</v>
      </c>
      <c r="BY76">
        <v>0</v>
      </c>
      <c r="BZ76">
        <v>0</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0</v>
      </c>
      <c r="DA76">
        <v>0</v>
      </c>
      <c r="DB76">
        <v>0</v>
      </c>
      <c r="DC76">
        <v>0</v>
      </c>
      <c r="DD76">
        <v>0</v>
      </c>
      <c r="DE76">
        <v>0</v>
      </c>
      <c r="DF76">
        <v>0</v>
      </c>
      <c r="DG76">
        <v>0</v>
      </c>
      <c r="DH76">
        <v>0</v>
      </c>
      <c r="DI76">
        <v>0</v>
      </c>
      <c r="DJ76">
        <v>0</v>
      </c>
      <c r="DK76">
        <v>0</v>
      </c>
      <c r="DL76">
        <v>0</v>
      </c>
      <c r="DM76">
        <v>0</v>
      </c>
      <c r="DN76">
        <v>0</v>
      </c>
      <c r="DO76">
        <v>0</v>
      </c>
      <c r="DP76">
        <v>0</v>
      </c>
      <c r="DQ76">
        <v>0</v>
      </c>
      <c r="DR76">
        <v>0</v>
      </c>
      <c r="DS76">
        <v>0</v>
      </c>
      <c r="DT76" s="2048">
        <v>51658530</v>
      </c>
      <c r="DU76" s="2048">
        <v>58971470</v>
      </c>
      <c r="DV76">
        <v>0</v>
      </c>
    </row>
    <row r="77" spans="1:126" hidden="1">
      <c r="A77" t="s">
        <v>4900</v>
      </c>
      <c r="B77" t="s">
        <v>4868</v>
      </c>
      <c r="C77">
        <v>2021</v>
      </c>
      <c r="D77">
        <v>4</v>
      </c>
      <c r="E77" t="s">
        <v>3953</v>
      </c>
      <c r="F77" t="s">
        <v>4869</v>
      </c>
      <c r="G77" s="2042">
        <v>44309</v>
      </c>
      <c r="H77" t="s">
        <v>4870</v>
      </c>
      <c r="I77" t="s">
        <v>4870</v>
      </c>
      <c r="J77" t="s">
        <v>4871</v>
      </c>
      <c r="K77" t="s">
        <v>4746</v>
      </c>
      <c r="L77" t="s">
        <v>4872</v>
      </c>
      <c r="M77" t="s">
        <v>4872</v>
      </c>
      <c r="N77" t="s">
        <v>4873</v>
      </c>
      <c r="O77" t="s">
        <v>4879</v>
      </c>
      <c r="P77" t="s">
        <v>4743</v>
      </c>
      <c r="Q77" s="2042">
        <v>43191</v>
      </c>
      <c r="R77" s="2042">
        <v>43191</v>
      </c>
      <c r="S77">
        <v>220</v>
      </c>
      <c r="T77">
        <v>0</v>
      </c>
      <c r="U77">
        <v>56160000</v>
      </c>
      <c r="V77">
        <v>11230000</v>
      </c>
      <c r="W77">
        <v>0</v>
      </c>
      <c r="X77">
        <v>43240000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111475000</v>
      </c>
      <c r="AY77">
        <v>110630000</v>
      </c>
      <c r="AZ77" s="2048">
        <v>110630000</v>
      </c>
      <c r="BA77">
        <v>0</v>
      </c>
      <c r="BB77">
        <v>0</v>
      </c>
      <c r="BC77">
        <v>0</v>
      </c>
      <c r="BD77">
        <v>0</v>
      </c>
      <c r="BE77">
        <v>0</v>
      </c>
      <c r="BF77">
        <v>0</v>
      </c>
      <c r="BG77">
        <v>0</v>
      </c>
      <c r="BH77">
        <v>0</v>
      </c>
      <c r="BI77">
        <v>0</v>
      </c>
      <c r="BJ77">
        <v>0</v>
      </c>
      <c r="BK77">
        <v>0</v>
      </c>
      <c r="BL77">
        <v>43119670</v>
      </c>
      <c r="BM77">
        <v>4311960</v>
      </c>
      <c r="BN77">
        <v>0</v>
      </c>
      <c r="BO77">
        <v>0</v>
      </c>
      <c r="BP77">
        <v>3929900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s="2048">
        <v>51361530</v>
      </c>
      <c r="DU77" s="2048">
        <v>59268470</v>
      </c>
      <c r="DV77">
        <v>0</v>
      </c>
    </row>
    <row r="78" spans="1:126" hidden="1">
      <c r="A78" t="s">
        <v>4900</v>
      </c>
      <c r="B78" t="s">
        <v>4868</v>
      </c>
      <c r="C78">
        <v>2021</v>
      </c>
      <c r="D78">
        <v>3</v>
      </c>
      <c r="E78" t="s">
        <v>3953</v>
      </c>
      <c r="F78" t="s">
        <v>4869</v>
      </c>
      <c r="G78" s="2042">
        <v>44279</v>
      </c>
      <c r="H78" t="s">
        <v>4870</v>
      </c>
      <c r="I78" t="s">
        <v>4870</v>
      </c>
      <c r="J78" t="s">
        <v>4871</v>
      </c>
      <c r="K78" t="s">
        <v>4746</v>
      </c>
      <c r="L78" t="s">
        <v>4872</v>
      </c>
      <c r="M78" t="s">
        <v>4872</v>
      </c>
      <c r="N78" t="s">
        <v>4873</v>
      </c>
      <c r="O78" t="s">
        <v>4879</v>
      </c>
      <c r="P78" t="s">
        <v>4743</v>
      </c>
      <c r="Q78" s="2042">
        <v>43191</v>
      </c>
      <c r="R78" s="2042">
        <v>43191</v>
      </c>
      <c r="S78">
        <v>220</v>
      </c>
      <c r="T78">
        <v>0</v>
      </c>
      <c r="U78">
        <v>56160000</v>
      </c>
      <c r="V78">
        <v>11230000</v>
      </c>
      <c r="W78">
        <v>0</v>
      </c>
      <c r="X78">
        <v>43240000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111475000</v>
      </c>
      <c r="AY78">
        <v>110730000</v>
      </c>
      <c r="AZ78" s="2048">
        <v>110630000</v>
      </c>
      <c r="BA78">
        <v>100000</v>
      </c>
      <c r="BB78">
        <v>0</v>
      </c>
      <c r="BC78">
        <v>0</v>
      </c>
      <c r="BD78">
        <v>0</v>
      </c>
      <c r="BE78">
        <v>0</v>
      </c>
      <c r="BF78">
        <v>0</v>
      </c>
      <c r="BG78">
        <v>0</v>
      </c>
      <c r="BH78">
        <v>0</v>
      </c>
      <c r="BI78">
        <v>0</v>
      </c>
      <c r="BJ78">
        <v>0</v>
      </c>
      <c r="BK78">
        <v>0</v>
      </c>
      <c r="BL78">
        <v>43164670</v>
      </c>
      <c r="BM78">
        <v>4316460</v>
      </c>
      <c r="BN78">
        <v>0</v>
      </c>
      <c r="BO78">
        <v>0</v>
      </c>
      <c r="BP78">
        <v>3929900</v>
      </c>
      <c r="BQ78">
        <v>0</v>
      </c>
      <c r="BR78">
        <v>0</v>
      </c>
      <c r="BS78">
        <v>0</v>
      </c>
      <c r="BT78">
        <v>0</v>
      </c>
      <c r="BU78">
        <v>0</v>
      </c>
      <c r="BV78">
        <v>0</v>
      </c>
      <c r="BW78">
        <v>0</v>
      </c>
      <c r="BX78">
        <v>0</v>
      </c>
      <c r="BY78">
        <v>0</v>
      </c>
      <c r="BZ78">
        <v>0</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0</v>
      </c>
      <c r="DM78">
        <v>0</v>
      </c>
      <c r="DN78">
        <v>0</v>
      </c>
      <c r="DO78">
        <v>0</v>
      </c>
      <c r="DP78">
        <v>0</v>
      </c>
      <c r="DQ78">
        <v>0</v>
      </c>
      <c r="DR78">
        <v>0</v>
      </c>
      <c r="DS78">
        <v>0</v>
      </c>
      <c r="DT78" s="2048">
        <v>51411030</v>
      </c>
      <c r="DU78" s="2048">
        <v>59218970</v>
      </c>
      <c r="DV78">
        <v>0</v>
      </c>
    </row>
    <row r="79" spans="1:126" hidden="1">
      <c r="A79" t="s">
        <v>4900</v>
      </c>
      <c r="B79" t="s">
        <v>4868</v>
      </c>
      <c r="C79">
        <v>2021</v>
      </c>
      <c r="D79">
        <v>2</v>
      </c>
      <c r="E79" t="s">
        <v>3953</v>
      </c>
      <c r="F79" t="s">
        <v>4869</v>
      </c>
      <c r="G79" s="2042">
        <v>44251</v>
      </c>
      <c r="H79" t="s">
        <v>4870</v>
      </c>
      <c r="I79" t="s">
        <v>4870</v>
      </c>
      <c r="J79" t="s">
        <v>4871</v>
      </c>
      <c r="K79" t="s">
        <v>4746</v>
      </c>
      <c r="L79" t="s">
        <v>4872</v>
      </c>
      <c r="M79" t="s">
        <v>4872</v>
      </c>
      <c r="N79" t="s">
        <v>4873</v>
      </c>
      <c r="O79" t="s">
        <v>4879</v>
      </c>
      <c r="P79" t="s">
        <v>4743</v>
      </c>
      <c r="Q79" s="2042">
        <v>43191</v>
      </c>
      <c r="R79" s="2042">
        <v>43191</v>
      </c>
      <c r="S79">
        <v>220</v>
      </c>
      <c r="T79">
        <v>0</v>
      </c>
      <c r="U79">
        <v>56160000</v>
      </c>
      <c r="V79">
        <v>11230000</v>
      </c>
      <c r="W79">
        <v>0</v>
      </c>
      <c r="X79">
        <v>43240000</v>
      </c>
      <c r="Y79">
        <v>0</v>
      </c>
      <c r="Z79">
        <v>0</v>
      </c>
      <c r="AA79">
        <v>0</v>
      </c>
      <c r="AB79">
        <v>0</v>
      </c>
      <c r="AC79">
        <v>0</v>
      </c>
      <c r="AD79">
        <v>0</v>
      </c>
      <c r="AE79">
        <v>0</v>
      </c>
      <c r="AF79">
        <v>0</v>
      </c>
      <c r="AG79">
        <v>0</v>
      </c>
      <c r="AH79">
        <v>0</v>
      </c>
      <c r="AI79">
        <v>0</v>
      </c>
      <c r="AJ79">
        <v>0</v>
      </c>
      <c r="AK79">
        <v>0</v>
      </c>
      <c r="AL79">
        <v>0</v>
      </c>
      <c r="AM79">
        <v>0</v>
      </c>
      <c r="AN79">
        <v>0</v>
      </c>
      <c r="AO79">
        <v>0</v>
      </c>
      <c r="AP79">
        <v>0</v>
      </c>
      <c r="AQ79">
        <v>0</v>
      </c>
      <c r="AR79">
        <v>155700</v>
      </c>
      <c r="AS79">
        <v>0</v>
      </c>
      <c r="AT79">
        <v>0</v>
      </c>
      <c r="AU79">
        <v>0</v>
      </c>
      <c r="AV79">
        <v>0</v>
      </c>
      <c r="AW79">
        <v>0</v>
      </c>
      <c r="AX79">
        <v>111475000</v>
      </c>
      <c r="AY79">
        <v>110785700</v>
      </c>
      <c r="AZ79" s="2048">
        <v>110785700</v>
      </c>
      <c r="BA79">
        <v>0</v>
      </c>
      <c r="BB79">
        <v>0</v>
      </c>
      <c r="BC79">
        <v>0</v>
      </c>
      <c r="BD79">
        <v>0</v>
      </c>
      <c r="BE79">
        <v>0</v>
      </c>
      <c r="BF79">
        <v>0</v>
      </c>
      <c r="BG79">
        <v>0</v>
      </c>
      <c r="BH79">
        <v>0</v>
      </c>
      <c r="BI79">
        <v>0</v>
      </c>
      <c r="BJ79">
        <v>0</v>
      </c>
      <c r="BK79">
        <v>0</v>
      </c>
      <c r="BL79">
        <v>42492160</v>
      </c>
      <c r="BM79">
        <v>4249210</v>
      </c>
      <c r="BN79">
        <v>-15565960</v>
      </c>
      <c r="BO79">
        <v>-1556470</v>
      </c>
      <c r="BP79">
        <v>3929900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DN79">
        <v>0</v>
      </c>
      <c r="DO79">
        <v>0</v>
      </c>
      <c r="DP79">
        <v>0</v>
      </c>
      <c r="DQ79">
        <v>0</v>
      </c>
      <c r="DR79">
        <v>0</v>
      </c>
      <c r="DS79">
        <v>0</v>
      </c>
      <c r="DT79" s="2048">
        <v>33548840</v>
      </c>
      <c r="DU79" s="2048">
        <v>77236860</v>
      </c>
      <c r="DV79">
        <v>0</v>
      </c>
    </row>
    <row r="80" spans="1:126" hidden="1">
      <c r="A80" t="s">
        <v>4900</v>
      </c>
      <c r="B80" t="s">
        <v>4868</v>
      </c>
      <c r="C80">
        <v>2021</v>
      </c>
      <c r="D80">
        <v>1</v>
      </c>
      <c r="E80" t="s">
        <v>3953</v>
      </c>
      <c r="F80" t="s">
        <v>4869</v>
      </c>
      <c r="G80" s="2042">
        <v>44218</v>
      </c>
      <c r="H80" t="s">
        <v>4870</v>
      </c>
      <c r="I80" t="s">
        <v>4870</v>
      </c>
      <c r="J80" t="s">
        <v>4871</v>
      </c>
      <c r="K80" t="s">
        <v>4746</v>
      </c>
      <c r="L80" t="s">
        <v>4872</v>
      </c>
      <c r="M80" t="s">
        <v>4872</v>
      </c>
      <c r="N80" t="s">
        <v>4873</v>
      </c>
      <c r="O80" t="s">
        <v>4879</v>
      </c>
      <c r="P80" t="s">
        <v>4743</v>
      </c>
      <c r="Q80" s="2042">
        <v>43191</v>
      </c>
      <c r="R80" s="2042">
        <v>43191</v>
      </c>
      <c r="S80">
        <v>220</v>
      </c>
      <c r="T80">
        <v>0</v>
      </c>
      <c r="U80">
        <v>56160000</v>
      </c>
      <c r="V80">
        <v>11230000</v>
      </c>
      <c r="W80">
        <v>0</v>
      </c>
      <c r="X80">
        <v>43240000</v>
      </c>
      <c r="Y80">
        <v>0</v>
      </c>
      <c r="Z80">
        <v>0</v>
      </c>
      <c r="AA80">
        <v>0</v>
      </c>
      <c r="AB80">
        <v>0</v>
      </c>
      <c r="AC80">
        <v>0</v>
      </c>
      <c r="AD80">
        <v>0</v>
      </c>
      <c r="AE80">
        <v>0</v>
      </c>
      <c r="AF80">
        <v>0</v>
      </c>
      <c r="AG80">
        <v>0</v>
      </c>
      <c r="AH80">
        <v>0</v>
      </c>
      <c r="AI80">
        <v>0</v>
      </c>
      <c r="AJ80">
        <v>0</v>
      </c>
      <c r="AK80">
        <v>0</v>
      </c>
      <c r="AL80">
        <v>0</v>
      </c>
      <c r="AM80">
        <v>0</v>
      </c>
      <c r="AN80">
        <v>0</v>
      </c>
      <c r="AO80">
        <v>0</v>
      </c>
      <c r="AP80">
        <v>0</v>
      </c>
      <c r="AQ80">
        <v>0</v>
      </c>
      <c r="AR80">
        <v>350000</v>
      </c>
      <c r="AS80">
        <v>0</v>
      </c>
      <c r="AT80">
        <v>0</v>
      </c>
      <c r="AU80">
        <v>0</v>
      </c>
      <c r="AV80">
        <v>0</v>
      </c>
      <c r="AW80">
        <v>0</v>
      </c>
      <c r="AX80">
        <v>111475000</v>
      </c>
      <c r="AY80">
        <v>110980000</v>
      </c>
      <c r="AZ80" s="2048">
        <v>110980000</v>
      </c>
      <c r="BA80">
        <v>0</v>
      </c>
      <c r="BB80">
        <v>0</v>
      </c>
      <c r="BC80">
        <v>0</v>
      </c>
      <c r="BD80">
        <v>0</v>
      </c>
      <c r="BE80">
        <v>0</v>
      </c>
      <c r="BF80">
        <v>0</v>
      </c>
      <c r="BG80">
        <v>0</v>
      </c>
      <c r="BH80">
        <v>0</v>
      </c>
      <c r="BI80">
        <v>0</v>
      </c>
      <c r="BJ80">
        <v>0</v>
      </c>
      <c r="BK80">
        <v>0</v>
      </c>
      <c r="BL80">
        <v>42573770</v>
      </c>
      <c r="BM80">
        <v>4257370</v>
      </c>
      <c r="BN80">
        <v>0</v>
      </c>
      <c r="BO80">
        <v>0</v>
      </c>
      <c r="BP80">
        <v>3929900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DN80">
        <v>0</v>
      </c>
      <c r="DO80">
        <v>0</v>
      </c>
      <c r="DP80">
        <v>0</v>
      </c>
      <c r="DQ80">
        <v>0</v>
      </c>
      <c r="DR80">
        <v>0</v>
      </c>
      <c r="DS80">
        <v>0</v>
      </c>
      <c r="DT80" s="2048">
        <v>50761040</v>
      </c>
      <c r="DU80" s="2048">
        <v>60218960</v>
      </c>
      <c r="DV80">
        <v>0</v>
      </c>
    </row>
    <row r="81" spans="1:126" hidden="1">
      <c r="A81" t="s">
        <v>4900</v>
      </c>
      <c r="B81" t="s">
        <v>4868</v>
      </c>
      <c r="C81">
        <v>2021</v>
      </c>
      <c r="D81">
        <v>6</v>
      </c>
      <c r="E81" t="s">
        <v>3953</v>
      </c>
      <c r="F81" t="s">
        <v>4869</v>
      </c>
      <c r="G81" s="2042">
        <v>44371</v>
      </c>
      <c r="H81" t="s">
        <v>4880</v>
      </c>
      <c r="I81" t="s">
        <v>4880</v>
      </c>
      <c r="J81" t="s">
        <v>4881</v>
      </c>
      <c r="K81" t="s">
        <v>4746</v>
      </c>
      <c r="L81" t="s">
        <v>4882</v>
      </c>
      <c r="M81" t="s">
        <v>4882</v>
      </c>
      <c r="N81" t="s">
        <v>4883</v>
      </c>
      <c r="O81" t="s">
        <v>4879</v>
      </c>
      <c r="P81" t="s">
        <v>4743</v>
      </c>
      <c r="Q81" s="2042">
        <v>42826</v>
      </c>
      <c r="R81" s="2042">
        <v>42826</v>
      </c>
      <c r="S81">
        <v>220</v>
      </c>
      <c r="T81">
        <v>0</v>
      </c>
      <c r="U81">
        <v>11130000</v>
      </c>
      <c r="V81">
        <v>2230000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17810000</v>
      </c>
      <c r="AY81">
        <v>13360000</v>
      </c>
      <c r="AZ81">
        <v>13360000</v>
      </c>
      <c r="BA81">
        <v>0</v>
      </c>
      <c r="BB81">
        <v>0</v>
      </c>
      <c r="BC81">
        <v>0</v>
      </c>
      <c r="BD81">
        <v>0</v>
      </c>
      <c r="BE81">
        <v>0</v>
      </c>
      <c r="BF81">
        <v>0</v>
      </c>
      <c r="BG81">
        <v>0</v>
      </c>
      <c r="BH81">
        <v>0</v>
      </c>
      <c r="BI81">
        <v>0</v>
      </c>
      <c r="BJ81">
        <v>0</v>
      </c>
      <c r="BK81">
        <v>0</v>
      </c>
      <c r="BL81">
        <v>2800340</v>
      </c>
      <c r="BM81">
        <v>280030</v>
      </c>
      <c r="BN81">
        <v>0</v>
      </c>
      <c r="BO81">
        <v>0</v>
      </c>
      <c r="BP81">
        <v>1378660</v>
      </c>
      <c r="BQ81">
        <v>0</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0</v>
      </c>
      <c r="DA81">
        <v>0</v>
      </c>
      <c r="DB81">
        <v>0</v>
      </c>
      <c r="DC81">
        <v>0</v>
      </c>
      <c r="DD81">
        <v>0</v>
      </c>
      <c r="DE81">
        <v>0</v>
      </c>
      <c r="DF81">
        <v>0</v>
      </c>
      <c r="DG81">
        <v>0</v>
      </c>
      <c r="DH81">
        <v>0</v>
      </c>
      <c r="DI81">
        <v>0</v>
      </c>
      <c r="DJ81">
        <v>0</v>
      </c>
      <c r="DK81">
        <v>0</v>
      </c>
      <c r="DL81">
        <v>0</v>
      </c>
      <c r="DM81">
        <v>0</v>
      </c>
      <c r="DN81">
        <v>0</v>
      </c>
      <c r="DO81">
        <v>0</v>
      </c>
      <c r="DP81">
        <v>0</v>
      </c>
      <c r="DQ81">
        <v>0</v>
      </c>
      <c r="DR81">
        <v>0</v>
      </c>
      <c r="DS81">
        <v>0</v>
      </c>
      <c r="DT81">
        <v>4459030</v>
      </c>
      <c r="DU81">
        <v>8900970</v>
      </c>
      <c r="DV81">
        <v>0</v>
      </c>
    </row>
    <row r="82" spans="1:126" hidden="1">
      <c r="A82" t="s">
        <v>4900</v>
      </c>
      <c r="B82" t="s">
        <v>4868</v>
      </c>
      <c r="C82">
        <v>2021</v>
      </c>
      <c r="D82">
        <v>5</v>
      </c>
      <c r="E82" t="s">
        <v>3953</v>
      </c>
      <c r="F82" t="s">
        <v>4869</v>
      </c>
      <c r="G82" s="2042">
        <v>44340</v>
      </c>
      <c r="H82" t="s">
        <v>4880</v>
      </c>
      <c r="I82" t="s">
        <v>4880</v>
      </c>
      <c r="J82" t="s">
        <v>4881</v>
      </c>
      <c r="K82" t="s">
        <v>4746</v>
      </c>
      <c r="L82" t="s">
        <v>4882</v>
      </c>
      <c r="M82" t="s">
        <v>4882</v>
      </c>
      <c r="N82" t="s">
        <v>4883</v>
      </c>
      <c r="O82" t="s">
        <v>4879</v>
      </c>
      <c r="P82" t="s">
        <v>4743</v>
      </c>
      <c r="Q82" s="2042">
        <v>42826</v>
      </c>
      <c r="R82" s="2042">
        <v>42826</v>
      </c>
      <c r="S82">
        <v>220</v>
      </c>
      <c r="T82">
        <v>0</v>
      </c>
      <c r="U82">
        <v>11130000</v>
      </c>
      <c r="V82">
        <v>2230000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17810000</v>
      </c>
      <c r="AY82">
        <v>13960000</v>
      </c>
      <c r="AZ82">
        <v>13360000</v>
      </c>
      <c r="BA82">
        <v>600000</v>
      </c>
      <c r="BB82">
        <v>0</v>
      </c>
      <c r="BC82">
        <v>0</v>
      </c>
      <c r="BD82">
        <v>0</v>
      </c>
      <c r="BE82">
        <v>0</v>
      </c>
      <c r="BF82">
        <v>0</v>
      </c>
      <c r="BG82">
        <v>0</v>
      </c>
      <c r="BH82">
        <v>0</v>
      </c>
      <c r="BI82">
        <v>0</v>
      </c>
      <c r="BJ82">
        <v>0</v>
      </c>
      <c r="BK82">
        <v>0</v>
      </c>
      <c r="BL82">
        <v>2914340</v>
      </c>
      <c r="BM82">
        <v>291430</v>
      </c>
      <c r="BN82">
        <v>0</v>
      </c>
      <c r="BO82">
        <v>0</v>
      </c>
      <c r="BP82">
        <v>1378660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DN82">
        <v>0</v>
      </c>
      <c r="DO82">
        <v>0</v>
      </c>
      <c r="DP82">
        <v>0</v>
      </c>
      <c r="DQ82">
        <v>0</v>
      </c>
      <c r="DR82">
        <v>0</v>
      </c>
      <c r="DS82">
        <v>0</v>
      </c>
      <c r="DT82">
        <v>4584430</v>
      </c>
      <c r="DU82">
        <v>8775570</v>
      </c>
      <c r="DV82">
        <v>0</v>
      </c>
    </row>
    <row r="83" spans="1:126" hidden="1">
      <c r="A83" t="s">
        <v>4900</v>
      </c>
      <c r="B83" t="s">
        <v>4868</v>
      </c>
      <c r="C83">
        <v>2021</v>
      </c>
      <c r="D83">
        <v>4</v>
      </c>
      <c r="E83" t="s">
        <v>3953</v>
      </c>
      <c r="F83" t="s">
        <v>4869</v>
      </c>
      <c r="G83" s="2042">
        <v>44309</v>
      </c>
      <c r="H83" t="s">
        <v>4880</v>
      </c>
      <c r="I83" t="s">
        <v>4880</v>
      </c>
      <c r="J83" t="s">
        <v>4881</v>
      </c>
      <c r="K83" t="s">
        <v>4746</v>
      </c>
      <c r="L83" t="s">
        <v>4882</v>
      </c>
      <c r="M83" t="s">
        <v>4882</v>
      </c>
      <c r="N83" t="s">
        <v>4883</v>
      </c>
      <c r="O83" t="s">
        <v>4879</v>
      </c>
      <c r="P83" t="s">
        <v>4743</v>
      </c>
      <c r="Q83" s="2042">
        <v>42826</v>
      </c>
      <c r="R83" s="2042">
        <v>42826</v>
      </c>
      <c r="S83">
        <v>220</v>
      </c>
      <c r="T83">
        <v>0</v>
      </c>
      <c r="U83">
        <v>11130000</v>
      </c>
      <c r="V83">
        <v>2230000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17810000</v>
      </c>
      <c r="AY83">
        <v>13360000</v>
      </c>
      <c r="AZ83">
        <v>13360000</v>
      </c>
      <c r="BA83">
        <v>0</v>
      </c>
      <c r="BB83">
        <v>0</v>
      </c>
      <c r="BC83">
        <v>0</v>
      </c>
      <c r="BD83">
        <v>0</v>
      </c>
      <c r="BE83">
        <v>0</v>
      </c>
      <c r="BF83">
        <v>0</v>
      </c>
      <c r="BG83">
        <v>0</v>
      </c>
      <c r="BH83">
        <v>0</v>
      </c>
      <c r="BI83">
        <v>0</v>
      </c>
      <c r="BJ83">
        <v>0</v>
      </c>
      <c r="BK83">
        <v>0</v>
      </c>
      <c r="BL83">
        <v>2800360</v>
      </c>
      <c r="BM83">
        <v>280030</v>
      </c>
      <c r="BN83">
        <v>0</v>
      </c>
      <c r="BO83">
        <v>0</v>
      </c>
      <c r="BP83">
        <v>1378760</v>
      </c>
      <c r="BQ83">
        <v>0</v>
      </c>
      <c r="BR83">
        <v>0</v>
      </c>
      <c r="BS83">
        <v>0</v>
      </c>
      <c r="BT83">
        <v>0</v>
      </c>
      <c r="BU83">
        <v>0</v>
      </c>
      <c r="BV83">
        <v>0</v>
      </c>
      <c r="BW83">
        <v>0</v>
      </c>
      <c r="BX83">
        <v>0</v>
      </c>
      <c r="BY83">
        <v>0</v>
      </c>
      <c r="BZ83">
        <v>0</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DN83">
        <v>0</v>
      </c>
      <c r="DO83">
        <v>0</v>
      </c>
      <c r="DP83">
        <v>0</v>
      </c>
      <c r="DQ83">
        <v>0</v>
      </c>
      <c r="DR83">
        <v>0</v>
      </c>
      <c r="DS83">
        <v>0</v>
      </c>
      <c r="DT83">
        <v>4459150</v>
      </c>
      <c r="DU83">
        <v>8900850</v>
      </c>
      <c r="DV83">
        <v>0</v>
      </c>
    </row>
    <row r="84" spans="1:126" hidden="1">
      <c r="A84" t="s">
        <v>4900</v>
      </c>
      <c r="B84" t="s">
        <v>4868</v>
      </c>
      <c r="C84">
        <v>2021</v>
      </c>
      <c r="D84">
        <v>3</v>
      </c>
      <c r="E84" t="s">
        <v>3953</v>
      </c>
      <c r="F84" t="s">
        <v>4869</v>
      </c>
      <c r="G84" s="2042">
        <v>44279</v>
      </c>
      <c r="H84" t="s">
        <v>4880</v>
      </c>
      <c r="I84" t="s">
        <v>4880</v>
      </c>
      <c r="J84" t="s">
        <v>4881</v>
      </c>
      <c r="K84" t="s">
        <v>4746</v>
      </c>
      <c r="L84" t="s">
        <v>4882</v>
      </c>
      <c r="M84" t="s">
        <v>4882</v>
      </c>
      <c r="N84" t="s">
        <v>4883</v>
      </c>
      <c r="O84" t="s">
        <v>4879</v>
      </c>
      <c r="P84" t="s">
        <v>4743</v>
      </c>
      <c r="Q84" s="2042">
        <v>42826</v>
      </c>
      <c r="R84" s="2042">
        <v>42826</v>
      </c>
      <c r="S84">
        <v>220</v>
      </c>
      <c r="T84">
        <v>0</v>
      </c>
      <c r="U84">
        <v>11130000</v>
      </c>
      <c r="V84">
        <v>2230000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17810000</v>
      </c>
      <c r="AY84">
        <v>13460000</v>
      </c>
      <c r="AZ84">
        <v>13360000</v>
      </c>
      <c r="BA84">
        <v>100000</v>
      </c>
      <c r="BB84">
        <v>0</v>
      </c>
      <c r="BC84">
        <v>0</v>
      </c>
      <c r="BD84">
        <v>0</v>
      </c>
      <c r="BE84">
        <v>0</v>
      </c>
      <c r="BF84">
        <v>0</v>
      </c>
      <c r="BG84">
        <v>0</v>
      </c>
      <c r="BH84">
        <v>0</v>
      </c>
      <c r="BI84">
        <v>0</v>
      </c>
      <c r="BJ84">
        <v>0</v>
      </c>
      <c r="BK84">
        <v>0</v>
      </c>
      <c r="BL84">
        <v>2845320</v>
      </c>
      <c r="BM84">
        <v>284530</v>
      </c>
      <c r="BN84">
        <v>0</v>
      </c>
      <c r="BO84">
        <v>0</v>
      </c>
      <c r="BP84">
        <v>1515410</v>
      </c>
      <c r="BQ84">
        <v>0</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DN84">
        <v>0</v>
      </c>
      <c r="DO84">
        <v>0</v>
      </c>
      <c r="DP84">
        <v>0</v>
      </c>
      <c r="DQ84">
        <v>0</v>
      </c>
      <c r="DR84">
        <v>0</v>
      </c>
      <c r="DS84">
        <v>0</v>
      </c>
      <c r="DT84">
        <v>4645260</v>
      </c>
      <c r="DU84">
        <v>8714740</v>
      </c>
      <c r="DV84">
        <v>0</v>
      </c>
    </row>
    <row r="85" spans="1:126" hidden="1">
      <c r="A85" t="s">
        <v>4900</v>
      </c>
      <c r="B85" t="s">
        <v>4868</v>
      </c>
      <c r="C85">
        <v>2021</v>
      </c>
      <c r="D85">
        <v>2</v>
      </c>
      <c r="E85" t="s">
        <v>3953</v>
      </c>
      <c r="F85" t="s">
        <v>4869</v>
      </c>
      <c r="G85" s="2042">
        <v>44251</v>
      </c>
      <c r="H85" t="s">
        <v>4880</v>
      </c>
      <c r="I85" t="s">
        <v>4880</v>
      </c>
      <c r="J85" t="s">
        <v>4881</v>
      </c>
      <c r="K85" t="s">
        <v>4746</v>
      </c>
      <c r="L85" t="s">
        <v>4882</v>
      </c>
      <c r="M85" t="s">
        <v>4882</v>
      </c>
      <c r="N85" t="s">
        <v>4883</v>
      </c>
      <c r="O85" t="s">
        <v>4879</v>
      </c>
      <c r="P85" t="s">
        <v>4743</v>
      </c>
      <c r="Q85" s="2042">
        <v>42826</v>
      </c>
      <c r="R85" s="2042">
        <v>42826</v>
      </c>
      <c r="S85">
        <v>220</v>
      </c>
      <c r="T85">
        <v>0</v>
      </c>
      <c r="U85">
        <v>11130000</v>
      </c>
      <c r="V85">
        <v>2230000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17810000</v>
      </c>
      <c r="AY85">
        <v>13360000</v>
      </c>
      <c r="AZ85">
        <v>13360000</v>
      </c>
      <c r="BA85">
        <v>0</v>
      </c>
      <c r="BB85">
        <v>0</v>
      </c>
      <c r="BC85">
        <v>0</v>
      </c>
      <c r="BD85">
        <v>0</v>
      </c>
      <c r="BE85">
        <v>0</v>
      </c>
      <c r="BF85">
        <v>0</v>
      </c>
      <c r="BG85">
        <v>0</v>
      </c>
      <c r="BH85">
        <v>0</v>
      </c>
      <c r="BI85">
        <v>0</v>
      </c>
      <c r="BJ85">
        <v>0</v>
      </c>
      <c r="BK85">
        <v>0</v>
      </c>
      <c r="BL85">
        <v>2826320</v>
      </c>
      <c r="BM85">
        <v>282630</v>
      </c>
      <c r="BN85">
        <v>328320</v>
      </c>
      <c r="BO85">
        <v>32910</v>
      </c>
      <c r="BP85">
        <v>1515410</v>
      </c>
      <c r="BQ85">
        <v>0</v>
      </c>
      <c r="BR85">
        <v>0</v>
      </c>
      <c r="BS85">
        <v>0</v>
      </c>
      <c r="BT85">
        <v>0</v>
      </c>
      <c r="BU85">
        <v>0</v>
      </c>
      <c r="BV85">
        <v>0</v>
      </c>
      <c r="BW85">
        <v>0</v>
      </c>
      <c r="BX85">
        <v>0</v>
      </c>
      <c r="BY85">
        <v>0</v>
      </c>
      <c r="BZ85">
        <v>0</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DN85">
        <v>0</v>
      </c>
      <c r="DO85">
        <v>0</v>
      </c>
      <c r="DP85">
        <v>0</v>
      </c>
      <c r="DQ85">
        <v>0</v>
      </c>
      <c r="DR85">
        <v>0</v>
      </c>
      <c r="DS85">
        <v>0</v>
      </c>
      <c r="DT85">
        <v>4985590</v>
      </c>
      <c r="DU85">
        <v>8374410</v>
      </c>
      <c r="DV85">
        <v>0</v>
      </c>
    </row>
    <row r="86" spans="1:126" hidden="1">
      <c r="A86" t="s">
        <v>4900</v>
      </c>
      <c r="B86" t="s">
        <v>4868</v>
      </c>
      <c r="C86">
        <v>2021</v>
      </c>
      <c r="D86">
        <v>1</v>
      </c>
      <c r="E86" t="s">
        <v>3953</v>
      </c>
      <c r="F86" t="s">
        <v>4869</v>
      </c>
      <c r="G86" s="2042">
        <v>44218</v>
      </c>
      <c r="H86" t="s">
        <v>4880</v>
      </c>
      <c r="I86" t="s">
        <v>4880</v>
      </c>
      <c r="J86" t="s">
        <v>4881</v>
      </c>
      <c r="K86" t="s">
        <v>4746</v>
      </c>
      <c r="L86" t="s">
        <v>4882</v>
      </c>
      <c r="M86" t="s">
        <v>4882</v>
      </c>
      <c r="N86" t="s">
        <v>4883</v>
      </c>
      <c r="O86" t="s">
        <v>4879</v>
      </c>
      <c r="P86" t="s">
        <v>4743</v>
      </c>
      <c r="Q86" s="2042">
        <v>42826</v>
      </c>
      <c r="R86" s="2042">
        <v>42826</v>
      </c>
      <c r="S86">
        <v>220</v>
      </c>
      <c r="T86">
        <v>0</v>
      </c>
      <c r="U86">
        <v>11130000</v>
      </c>
      <c r="V86">
        <v>2230000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17810000</v>
      </c>
      <c r="AY86">
        <v>13360000</v>
      </c>
      <c r="AZ86">
        <v>13360000</v>
      </c>
      <c r="BA86">
        <v>0</v>
      </c>
      <c r="BB86">
        <v>0</v>
      </c>
      <c r="BC86">
        <v>0</v>
      </c>
      <c r="BD86">
        <v>0</v>
      </c>
      <c r="BE86">
        <v>0</v>
      </c>
      <c r="BF86">
        <v>0</v>
      </c>
      <c r="BG86">
        <v>0</v>
      </c>
      <c r="BH86">
        <v>0</v>
      </c>
      <c r="BI86">
        <v>0</v>
      </c>
      <c r="BJ86">
        <v>0</v>
      </c>
      <c r="BK86">
        <v>0</v>
      </c>
      <c r="BL86">
        <v>2875040</v>
      </c>
      <c r="BM86">
        <v>287500</v>
      </c>
      <c r="BN86">
        <v>0</v>
      </c>
      <c r="BO86">
        <v>0</v>
      </c>
      <c r="BP86">
        <v>1771790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DN86">
        <v>0</v>
      </c>
      <c r="DO86">
        <v>0</v>
      </c>
      <c r="DP86">
        <v>0</v>
      </c>
      <c r="DQ86">
        <v>0</v>
      </c>
      <c r="DR86">
        <v>0</v>
      </c>
      <c r="DS86">
        <v>0</v>
      </c>
      <c r="DT86">
        <v>4934330</v>
      </c>
      <c r="DU86">
        <v>8425670</v>
      </c>
      <c r="DV86">
        <v>0</v>
      </c>
    </row>
    <row r="87" spans="1:126" hidden="1">
      <c r="A87" t="s">
        <v>4901</v>
      </c>
      <c r="B87" t="s">
        <v>4868</v>
      </c>
      <c r="C87">
        <v>2018</v>
      </c>
      <c r="D87">
        <v>12</v>
      </c>
      <c r="E87" t="s">
        <v>4884</v>
      </c>
      <c r="F87" t="s">
        <v>4885</v>
      </c>
      <c r="G87" s="2042">
        <v>43462</v>
      </c>
      <c r="H87" t="s">
        <v>4870</v>
      </c>
      <c r="I87" t="s">
        <v>4870</v>
      </c>
      <c r="J87" t="s">
        <v>4871</v>
      </c>
      <c r="K87" t="s">
        <v>4746</v>
      </c>
      <c r="L87" t="s">
        <v>4872</v>
      </c>
      <c r="M87" t="s">
        <v>4872</v>
      </c>
      <c r="N87" t="s">
        <v>4873</v>
      </c>
      <c r="O87" t="s">
        <v>4874</v>
      </c>
      <c r="P87" t="s">
        <v>4875</v>
      </c>
      <c r="Q87" s="2042">
        <v>43191</v>
      </c>
      <c r="R87" s="2042">
        <v>43191</v>
      </c>
      <c r="S87">
        <v>220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256500000</v>
      </c>
      <c r="AQ87">
        <v>0</v>
      </c>
      <c r="AR87">
        <v>0</v>
      </c>
      <c r="AS87">
        <v>0</v>
      </c>
      <c r="AT87">
        <v>0</v>
      </c>
      <c r="AU87">
        <v>0</v>
      </c>
      <c r="AV87">
        <v>0</v>
      </c>
      <c r="AW87">
        <v>0</v>
      </c>
      <c r="AX87">
        <v>0</v>
      </c>
      <c r="AY87">
        <v>256500000</v>
      </c>
      <c r="AZ87">
        <v>256500000</v>
      </c>
      <c r="BA87">
        <v>0</v>
      </c>
      <c r="BB87">
        <v>0</v>
      </c>
      <c r="BC87">
        <v>0</v>
      </c>
      <c r="BD87">
        <v>0</v>
      </c>
      <c r="BE87">
        <v>0</v>
      </c>
      <c r="BF87">
        <v>0</v>
      </c>
      <c r="BG87">
        <v>0</v>
      </c>
      <c r="BH87">
        <v>0</v>
      </c>
      <c r="BI87">
        <v>0</v>
      </c>
      <c r="BJ87">
        <v>0</v>
      </c>
      <c r="BK87">
        <v>0</v>
      </c>
      <c r="BL87">
        <v>48735020</v>
      </c>
      <c r="BM87">
        <v>4873500</v>
      </c>
      <c r="BN87">
        <v>0</v>
      </c>
      <c r="BO87">
        <v>0</v>
      </c>
      <c r="BP87">
        <v>0</v>
      </c>
      <c r="BQ87">
        <v>0</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DN87">
        <v>0</v>
      </c>
      <c r="DO87">
        <v>0</v>
      </c>
      <c r="DP87">
        <v>0</v>
      </c>
      <c r="DQ87">
        <v>0</v>
      </c>
      <c r="DR87">
        <v>0</v>
      </c>
      <c r="DS87">
        <v>0</v>
      </c>
      <c r="DT87">
        <v>53608520</v>
      </c>
      <c r="DU87">
        <v>202891480</v>
      </c>
      <c r="DV87">
        <v>0</v>
      </c>
    </row>
    <row r="88" spans="1:126" hidden="1">
      <c r="A88" t="s">
        <v>4901</v>
      </c>
      <c r="B88" t="s">
        <v>4868</v>
      </c>
      <c r="C88">
        <v>2018</v>
      </c>
      <c r="D88">
        <v>9</v>
      </c>
      <c r="E88" t="s">
        <v>4884</v>
      </c>
      <c r="F88" t="s">
        <v>4885</v>
      </c>
      <c r="G88" s="2042">
        <v>43371</v>
      </c>
      <c r="H88" t="s">
        <v>4870</v>
      </c>
      <c r="I88" t="s">
        <v>4870</v>
      </c>
      <c r="J88" t="s">
        <v>4871</v>
      </c>
      <c r="K88" t="s">
        <v>4746</v>
      </c>
      <c r="L88" t="s">
        <v>4872</v>
      </c>
      <c r="M88" t="s">
        <v>4872</v>
      </c>
      <c r="N88" t="s">
        <v>4873</v>
      </c>
      <c r="O88" t="s">
        <v>4874</v>
      </c>
      <c r="P88" t="s">
        <v>4875</v>
      </c>
      <c r="Q88" s="2042">
        <v>43191</v>
      </c>
      <c r="R88" s="2042">
        <v>43191</v>
      </c>
      <c r="S88">
        <v>220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256500000</v>
      </c>
      <c r="AQ88">
        <v>0</v>
      </c>
      <c r="AR88">
        <v>0</v>
      </c>
      <c r="AS88">
        <v>0</v>
      </c>
      <c r="AT88">
        <v>0</v>
      </c>
      <c r="AU88">
        <v>0</v>
      </c>
      <c r="AV88">
        <v>0</v>
      </c>
      <c r="AW88">
        <v>0</v>
      </c>
      <c r="AX88">
        <v>0</v>
      </c>
      <c r="AY88">
        <v>256500000</v>
      </c>
      <c r="AZ88">
        <v>256500000</v>
      </c>
      <c r="BA88">
        <v>0</v>
      </c>
      <c r="BB88">
        <v>0</v>
      </c>
      <c r="BC88">
        <v>0</v>
      </c>
      <c r="BD88">
        <v>0</v>
      </c>
      <c r="BE88">
        <v>0</v>
      </c>
      <c r="BF88">
        <v>0</v>
      </c>
      <c r="BG88">
        <v>0</v>
      </c>
      <c r="BH88">
        <v>0</v>
      </c>
      <c r="BI88">
        <v>0</v>
      </c>
      <c r="BJ88">
        <v>0</v>
      </c>
      <c r="BK88">
        <v>0</v>
      </c>
      <c r="BL88">
        <v>48735020</v>
      </c>
      <c r="BM88">
        <v>4873500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c r="DS88">
        <v>0</v>
      </c>
      <c r="DT88">
        <v>53608520</v>
      </c>
      <c r="DU88">
        <v>202891480</v>
      </c>
      <c r="DV88">
        <v>0</v>
      </c>
    </row>
    <row r="89" spans="1:126" hidden="1">
      <c r="A89" t="s">
        <v>4901</v>
      </c>
      <c r="B89" t="s">
        <v>4868</v>
      </c>
      <c r="C89">
        <v>2018</v>
      </c>
      <c r="D89">
        <v>6</v>
      </c>
      <c r="E89" t="s">
        <v>4884</v>
      </c>
      <c r="F89" t="s">
        <v>4885</v>
      </c>
      <c r="G89" s="2042">
        <v>43280</v>
      </c>
      <c r="H89" t="s">
        <v>4870</v>
      </c>
      <c r="I89" t="s">
        <v>4870</v>
      </c>
      <c r="J89" t="s">
        <v>4871</v>
      </c>
      <c r="K89" t="s">
        <v>4746</v>
      </c>
      <c r="L89" t="s">
        <v>4872</v>
      </c>
      <c r="M89" t="s">
        <v>4872</v>
      </c>
      <c r="N89" t="s">
        <v>4873</v>
      </c>
      <c r="O89" t="s">
        <v>4874</v>
      </c>
      <c r="P89" t="s">
        <v>4875</v>
      </c>
      <c r="Q89" s="2042">
        <v>43191</v>
      </c>
      <c r="R89" s="2042">
        <v>43191</v>
      </c>
      <c r="S89">
        <v>220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256500000</v>
      </c>
      <c r="AQ89">
        <v>0</v>
      </c>
      <c r="AR89">
        <v>0</v>
      </c>
      <c r="AS89">
        <v>0</v>
      </c>
      <c r="AT89">
        <v>0</v>
      </c>
      <c r="AU89">
        <v>0</v>
      </c>
      <c r="AV89">
        <v>0</v>
      </c>
      <c r="AW89">
        <v>0</v>
      </c>
      <c r="AX89">
        <v>0</v>
      </c>
      <c r="AY89">
        <v>256500000</v>
      </c>
      <c r="AZ89">
        <v>256500000</v>
      </c>
      <c r="BA89">
        <v>0</v>
      </c>
      <c r="BB89">
        <v>0</v>
      </c>
      <c r="BC89">
        <v>0</v>
      </c>
      <c r="BD89">
        <v>0</v>
      </c>
      <c r="BE89">
        <v>0</v>
      </c>
      <c r="BF89">
        <v>0</v>
      </c>
      <c r="BG89">
        <v>0</v>
      </c>
      <c r="BH89">
        <v>0</v>
      </c>
      <c r="BI89">
        <v>0</v>
      </c>
      <c r="BJ89">
        <v>0</v>
      </c>
      <c r="BK89">
        <v>0</v>
      </c>
      <c r="BL89">
        <v>48735000</v>
      </c>
      <c r="BM89">
        <v>4873500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53608500</v>
      </c>
      <c r="DU89">
        <v>202891500</v>
      </c>
      <c r="DV89">
        <v>0</v>
      </c>
    </row>
    <row r="90" spans="1:126" hidden="1">
      <c r="A90" t="s">
        <v>4901</v>
      </c>
      <c r="B90" t="s">
        <v>4876</v>
      </c>
      <c r="C90">
        <v>2018</v>
      </c>
      <c r="D90">
        <v>3</v>
      </c>
      <c r="E90" t="s">
        <v>4884</v>
      </c>
      <c r="F90" t="s">
        <v>4885</v>
      </c>
      <c r="G90" s="2042">
        <v>43189</v>
      </c>
      <c r="H90" t="s">
        <v>4870</v>
      </c>
      <c r="I90" t="s">
        <v>4870</v>
      </c>
      <c r="J90" t="s">
        <v>4871</v>
      </c>
      <c r="K90" t="s">
        <v>4746</v>
      </c>
      <c r="L90" t="s">
        <v>4877</v>
      </c>
      <c r="M90" t="s">
        <v>4877</v>
      </c>
      <c r="N90" t="s">
        <v>4878</v>
      </c>
      <c r="O90" t="s">
        <v>4879</v>
      </c>
      <c r="P90" t="s">
        <v>4743</v>
      </c>
      <c r="Q90" s="2042">
        <v>41913</v>
      </c>
      <c r="R90" s="2042">
        <v>41913</v>
      </c>
      <c r="S90">
        <v>220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256500000</v>
      </c>
      <c r="AQ90">
        <v>0</v>
      </c>
      <c r="AR90">
        <v>0</v>
      </c>
      <c r="AS90">
        <v>0</v>
      </c>
      <c r="AT90">
        <v>0</v>
      </c>
      <c r="AU90">
        <v>0</v>
      </c>
      <c r="AV90">
        <v>0</v>
      </c>
      <c r="AW90">
        <v>0</v>
      </c>
      <c r="AX90">
        <v>0</v>
      </c>
      <c r="AY90">
        <v>256500000</v>
      </c>
      <c r="AZ90">
        <v>256500000</v>
      </c>
      <c r="BA90">
        <v>0</v>
      </c>
      <c r="BB90">
        <v>0</v>
      </c>
      <c r="BC90">
        <v>0</v>
      </c>
      <c r="BD90">
        <v>0</v>
      </c>
      <c r="BE90">
        <v>0</v>
      </c>
      <c r="BF90">
        <v>0</v>
      </c>
      <c r="BG90">
        <v>0</v>
      </c>
      <c r="BH90">
        <v>0</v>
      </c>
      <c r="BI90">
        <v>0</v>
      </c>
      <c r="BJ90">
        <v>0</v>
      </c>
      <c r="BK90">
        <v>0</v>
      </c>
      <c r="BL90">
        <v>48735000</v>
      </c>
      <c r="BM90">
        <v>4873500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500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53609000</v>
      </c>
      <c r="DU90">
        <v>202891000</v>
      </c>
      <c r="DV90">
        <v>0</v>
      </c>
    </row>
    <row r="91" spans="1:126" hidden="1">
      <c r="A91" t="s">
        <v>4901</v>
      </c>
      <c r="B91" t="s">
        <v>4868</v>
      </c>
      <c r="C91">
        <v>2018</v>
      </c>
      <c r="D91">
        <v>12</v>
      </c>
      <c r="E91" t="s">
        <v>4884</v>
      </c>
      <c r="F91" t="s">
        <v>4885</v>
      </c>
      <c r="G91" s="2042">
        <v>43462</v>
      </c>
      <c r="H91" t="s">
        <v>4880</v>
      </c>
      <c r="I91" t="s">
        <v>4880</v>
      </c>
      <c r="J91" t="s">
        <v>4881</v>
      </c>
      <c r="K91" t="s">
        <v>4746</v>
      </c>
      <c r="L91" t="s">
        <v>4882</v>
      </c>
      <c r="M91" t="s">
        <v>4882</v>
      </c>
      <c r="N91" t="s">
        <v>4883</v>
      </c>
      <c r="O91" t="s">
        <v>4879</v>
      </c>
      <c r="P91" t="s">
        <v>4743</v>
      </c>
      <c r="Q91" s="2042">
        <v>42826</v>
      </c>
      <c r="R91" s="2042">
        <v>42826</v>
      </c>
      <c r="S91">
        <v>220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32100000</v>
      </c>
      <c r="AQ91">
        <v>0</v>
      </c>
      <c r="AR91">
        <v>0</v>
      </c>
      <c r="AS91">
        <v>0</v>
      </c>
      <c r="AT91">
        <v>0</v>
      </c>
      <c r="AU91">
        <v>0</v>
      </c>
      <c r="AV91">
        <v>0</v>
      </c>
      <c r="AW91">
        <v>0</v>
      </c>
      <c r="AX91">
        <v>0</v>
      </c>
      <c r="AY91">
        <v>32100000</v>
      </c>
      <c r="AZ91">
        <v>32100000</v>
      </c>
      <c r="BA91">
        <v>0</v>
      </c>
      <c r="BB91">
        <v>0</v>
      </c>
      <c r="BC91">
        <v>0</v>
      </c>
      <c r="BD91">
        <v>0</v>
      </c>
      <c r="BE91">
        <v>0</v>
      </c>
      <c r="BF91">
        <v>0</v>
      </c>
      <c r="BG91">
        <v>0</v>
      </c>
      <c r="BH91">
        <v>0</v>
      </c>
      <c r="BI91">
        <v>0</v>
      </c>
      <c r="BJ91">
        <v>0</v>
      </c>
      <c r="BK91">
        <v>0</v>
      </c>
      <c r="BL91">
        <v>6099020</v>
      </c>
      <c r="BM91">
        <v>609900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6708920</v>
      </c>
      <c r="DU91">
        <v>25391080</v>
      </c>
      <c r="DV91">
        <v>0</v>
      </c>
    </row>
    <row r="92" spans="1:126" hidden="1">
      <c r="A92" t="s">
        <v>4901</v>
      </c>
      <c r="B92" t="s">
        <v>4868</v>
      </c>
      <c r="C92">
        <v>2018</v>
      </c>
      <c r="D92">
        <v>9</v>
      </c>
      <c r="E92" t="s">
        <v>4884</v>
      </c>
      <c r="F92" t="s">
        <v>4885</v>
      </c>
      <c r="G92" s="2042">
        <v>43371</v>
      </c>
      <c r="H92" t="s">
        <v>4880</v>
      </c>
      <c r="I92" t="s">
        <v>4880</v>
      </c>
      <c r="J92" t="s">
        <v>4881</v>
      </c>
      <c r="K92" t="s">
        <v>4746</v>
      </c>
      <c r="L92" t="s">
        <v>4882</v>
      </c>
      <c r="M92" t="s">
        <v>4882</v>
      </c>
      <c r="N92" t="s">
        <v>4883</v>
      </c>
      <c r="O92" t="s">
        <v>4879</v>
      </c>
      <c r="P92" t="s">
        <v>4743</v>
      </c>
      <c r="Q92" s="2042">
        <v>42826</v>
      </c>
      <c r="R92" s="2042">
        <v>42826</v>
      </c>
      <c r="S92">
        <v>220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32100000</v>
      </c>
      <c r="AQ92">
        <v>0</v>
      </c>
      <c r="AR92">
        <v>0</v>
      </c>
      <c r="AS92">
        <v>0</v>
      </c>
      <c r="AT92">
        <v>0</v>
      </c>
      <c r="AU92">
        <v>0</v>
      </c>
      <c r="AV92">
        <v>0</v>
      </c>
      <c r="AW92">
        <v>0</v>
      </c>
      <c r="AX92">
        <v>0</v>
      </c>
      <c r="AY92">
        <v>32100000</v>
      </c>
      <c r="AZ92">
        <v>32100000</v>
      </c>
      <c r="BA92">
        <v>0</v>
      </c>
      <c r="BB92">
        <v>0</v>
      </c>
      <c r="BC92">
        <v>0</v>
      </c>
      <c r="BD92">
        <v>0</v>
      </c>
      <c r="BE92">
        <v>0</v>
      </c>
      <c r="BF92">
        <v>0</v>
      </c>
      <c r="BG92">
        <v>0</v>
      </c>
      <c r="BH92">
        <v>0</v>
      </c>
      <c r="BI92">
        <v>0</v>
      </c>
      <c r="BJ92">
        <v>0</v>
      </c>
      <c r="BK92">
        <v>0</v>
      </c>
      <c r="BL92">
        <v>6099020</v>
      </c>
      <c r="BM92">
        <v>609900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6708920</v>
      </c>
      <c r="DU92">
        <v>25391080</v>
      </c>
      <c r="DV92">
        <v>0</v>
      </c>
    </row>
    <row r="93" spans="1:126" hidden="1">
      <c r="A93" t="s">
        <v>4901</v>
      </c>
      <c r="B93" t="s">
        <v>4868</v>
      </c>
      <c r="C93">
        <v>2018</v>
      </c>
      <c r="D93">
        <v>6</v>
      </c>
      <c r="E93" t="s">
        <v>4884</v>
      </c>
      <c r="F93" t="s">
        <v>4885</v>
      </c>
      <c r="G93" s="2042">
        <v>43280</v>
      </c>
      <c r="H93" t="s">
        <v>4880</v>
      </c>
      <c r="I93" t="s">
        <v>4880</v>
      </c>
      <c r="J93" t="s">
        <v>4881</v>
      </c>
      <c r="K93" t="s">
        <v>4746</v>
      </c>
      <c r="L93" t="s">
        <v>4882</v>
      </c>
      <c r="M93" t="s">
        <v>4882</v>
      </c>
      <c r="N93" t="s">
        <v>4883</v>
      </c>
      <c r="O93" t="s">
        <v>4879</v>
      </c>
      <c r="P93" t="s">
        <v>4743</v>
      </c>
      <c r="Q93" s="2042">
        <v>42826</v>
      </c>
      <c r="R93" s="2042">
        <v>42826</v>
      </c>
      <c r="S93">
        <v>220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32100000</v>
      </c>
      <c r="AQ93">
        <v>0</v>
      </c>
      <c r="AR93">
        <v>0</v>
      </c>
      <c r="AS93">
        <v>0</v>
      </c>
      <c r="AT93">
        <v>0</v>
      </c>
      <c r="AU93">
        <v>0</v>
      </c>
      <c r="AV93">
        <v>0</v>
      </c>
      <c r="AW93">
        <v>0</v>
      </c>
      <c r="AX93">
        <v>0</v>
      </c>
      <c r="AY93">
        <v>32100000</v>
      </c>
      <c r="AZ93">
        <v>32100000</v>
      </c>
      <c r="BA93">
        <v>0</v>
      </c>
      <c r="BB93">
        <v>0</v>
      </c>
      <c r="BC93">
        <v>0</v>
      </c>
      <c r="BD93">
        <v>0</v>
      </c>
      <c r="BE93">
        <v>0</v>
      </c>
      <c r="BF93">
        <v>0</v>
      </c>
      <c r="BG93">
        <v>0</v>
      </c>
      <c r="BH93">
        <v>0</v>
      </c>
      <c r="BI93">
        <v>0</v>
      </c>
      <c r="BJ93">
        <v>0</v>
      </c>
      <c r="BK93">
        <v>0</v>
      </c>
      <c r="BL93">
        <v>6099000</v>
      </c>
      <c r="BM93">
        <v>609900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DN93">
        <v>0</v>
      </c>
      <c r="DO93">
        <v>0</v>
      </c>
      <c r="DP93">
        <v>0</v>
      </c>
      <c r="DQ93">
        <v>0</v>
      </c>
      <c r="DR93">
        <v>0</v>
      </c>
      <c r="DS93">
        <v>0</v>
      </c>
      <c r="DT93">
        <v>6708900</v>
      </c>
      <c r="DU93">
        <v>25391100</v>
      </c>
      <c r="DV93">
        <v>0</v>
      </c>
    </row>
    <row r="94" spans="1:126" hidden="1">
      <c r="A94" t="s">
        <v>4901</v>
      </c>
      <c r="B94" t="s">
        <v>4868</v>
      </c>
      <c r="C94">
        <v>2018</v>
      </c>
      <c r="D94">
        <v>3</v>
      </c>
      <c r="E94" t="s">
        <v>4884</v>
      </c>
      <c r="F94" t="s">
        <v>4885</v>
      </c>
      <c r="G94" s="2042">
        <v>43189</v>
      </c>
      <c r="H94" t="s">
        <v>4880</v>
      </c>
      <c r="I94" t="s">
        <v>4880</v>
      </c>
      <c r="J94" t="s">
        <v>4881</v>
      </c>
      <c r="K94" t="s">
        <v>4746</v>
      </c>
      <c r="L94" t="s">
        <v>4882</v>
      </c>
      <c r="M94" t="s">
        <v>4882</v>
      </c>
      <c r="N94" t="s">
        <v>4883</v>
      </c>
      <c r="O94" t="s">
        <v>4879</v>
      </c>
      <c r="P94" t="s">
        <v>4743</v>
      </c>
      <c r="Q94" s="2042">
        <v>42826</v>
      </c>
      <c r="R94" s="2042">
        <v>42826</v>
      </c>
      <c r="S94">
        <v>220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32100000</v>
      </c>
      <c r="AQ94">
        <v>0</v>
      </c>
      <c r="AR94">
        <v>0</v>
      </c>
      <c r="AS94">
        <v>0</v>
      </c>
      <c r="AT94">
        <v>0</v>
      </c>
      <c r="AU94">
        <v>0</v>
      </c>
      <c r="AV94">
        <v>0</v>
      </c>
      <c r="AW94">
        <v>0</v>
      </c>
      <c r="AX94">
        <v>0</v>
      </c>
      <c r="AY94">
        <v>32100000</v>
      </c>
      <c r="AZ94">
        <v>32100000</v>
      </c>
      <c r="BA94">
        <v>0</v>
      </c>
      <c r="BB94">
        <v>0</v>
      </c>
      <c r="BC94">
        <v>0</v>
      </c>
      <c r="BD94">
        <v>0</v>
      </c>
      <c r="BE94">
        <v>0</v>
      </c>
      <c r="BF94">
        <v>0</v>
      </c>
      <c r="BG94">
        <v>0</v>
      </c>
      <c r="BH94">
        <v>0</v>
      </c>
      <c r="BI94">
        <v>0</v>
      </c>
      <c r="BJ94">
        <v>0</v>
      </c>
      <c r="BK94">
        <v>0</v>
      </c>
      <c r="BL94">
        <v>6099010</v>
      </c>
      <c r="BM94">
        <v>609900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DN94">
        <v>0</v>
      </c>
      <c r="DO94">
        <v>0</v>
      </c>
      <c r="DP94">
        <v>0</v>
      </c>
      <c r="DQ94">
        <v>0</v>
      </c>
      <c r="DR94">
        <v>0</v>
      </c>
      <c r="DS94">
        <v>0</v>
      </c>
      <c r="DT94">
        <v>6708910</v>
      </c>
      <c r="DU94">
        <v>25391090</v>
      </c>
      <c r="DV94">
        <v>0</v>
      </c>
    </row>
    <row r="95" spans="1:126" hidden="1">
      <c r="A95" t="s">
        <v>4901</v>
      </c>
      <c r="B95" t="s">
        <v>4868</v>
      </c>
      <c r="C95">
        <v>2019</v>
      </c>
      <c r="D95">
        <v>12</v>
      </c>
      <c r="E95" t="s">
        <v>4884</v>
      </c>
      <c r="F95" t="s">
        <v>4885</v>
      </c>
      <c r="G95" s="2042">
        <v>43830</v>
      </c>
      <c r="H95" t="s">
        <v>4870</v>
      </c>
      <c r="I95" t="s">
        <v>4870</v>
      </c>
      <c r="J95" t="s">
        <v>4871</v>
      </c>
      <c r="K95" t="s">
        <v>4746</v>
      </c>
      <c r="L95" t="s">
        <v>4872</v>
      </c>
      <c r="M95" t="s">
        <v>4872</v>
      </c>
      <c r="N95" t="s">
        <v>4873</v>
      </c>
      <c r="O95" t="s">
        <v>4879</v>
      </c>
      <c r="P95" t="s">
        <v>4743</v>
      </c>
      <c r="Q95" s="2042">
        <v>43191</v>
      </c>
      <c r="R95" s="2042">
        <v>43191</v>
      </c>
      <c r="S95">
        <v>220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276575000</v>
      </c>
      <c r="AQ95">
        <v>0</v>
      </c>
      <c r="AR95">
        <v>0</v>
      </c>
      <c r="AS95">
        <v>0</v>
      </c>
      <c r="AT95">
        <v>0</v>
      </c>
      <c r="AU95">
        <v>0</v>
      </c>
      <c r="AV95">
        <v>0</v>
      </c>
      <c r="AW95">
        <v>0</v>
      </c>
      <c r="AX95">
        <v>0</v>
      </c>
      <c r="AY95">
        <v>276575000</v>
      </c>
      <c r="AZ95">
        <v>276575000</v>
      </c>
      <c r="BA95">
        <v>0</v>
      </c>
      <c r="BB95">
        <v>0</v>
      </c>
      <c r="BC95">
        <v>0</v>
      </c>
      <c r="BD95">
        <v>0</v>
      </c>
      <c r="BE95">
        <v>0</v>
      </c>
      <c r="BF95">
        <v>0</v>
      </c>
      <c r="BG95">
        <v>0</v>
      </c>
      <c r="BH95">
        <v>0</v>
      </c>
      <c r="BI95">
        <v>0</v>
      </c>
      <c r="BJ95">
        <v>0</v>
      </c>
      <c r="BK95">
        <v>0</v>
      </c>
      <c r="BL95">
        <v>113838260</v>
      </c>
      <c r="BM95">
        <v>11383820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125222080</v>
      </c>
      <c r="DU95">
        <v>151352920</v>
      </c>
      <c r="DV95">
        <v>0</v>
      </c>
    </row>
    <row r="96" spans="1:126" hidden="1">
      <c r="A96" t="s">
        <v>4901</v>
      </c>
      <c r="B96" t="s">
        <v>4868</v>
      </c>
      <c r="C96">
        <v>2019</v>
      </c>
      <c r="D96">
        <v>9</v>
      </c>
      <c r="E96" t="s">
        <v>4884</v>
      </c>
      <c r="F96" t="s">
        <v>4885</v>
      </c>
      <c r="G96" s="2042">
        <v>43738</v>
      </c>
      <c r="H96" t="s">
        <v>4870</v>
      </c>
      <c r="I96" t="s">
        <v>4870</v>
      </c>
      <c r="J96" t="s">
        <v>4871</v>
      </c>
      <c r="K96" t="s">
        <v>4746</v>
      </c>
      <c r="L96" t="s">
        <v>4872</v>
      </c>
      <c r="M96" t="s">
        <v>4872</v>
      </c>
      <c r="N96" t="s">
        <v>4873</v>
      </c>
      <c r="O96" t="s">
        <v>4879</v>
      </c>
      <c r="P96" t="s">
        <v>4743</v>
      </c>
      <c r="Q96" s="2042">
        <v>43191</v>
      </c>
      <c r="R96" s="2042">
        <v>43191</v>
      </c>
      <c r="S96">
        <v>220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276575000</v>
      </c>
      <c r="AQ96">
        <v>0</v>
      </c>
      <c r="AR96">
        <v>0</v>
      </c>
      <c r="AS96">
        <v>0</v>
      </c>
      <c r="AT96">
        <v>0</v>
      </c>
      <c r="AU96">
        <v>0</v>
      </c>
      <c r="AV96">
        <v>0</v>
      </c>
      <c r="AW96">
        <v>0</v>
      </c>
      <c r="AX96">
        <v>0</v>
      </c>
      <c r="AY96">
        <v>276575000</v>
      </c>
      <c r="AZ96">
        <v>276575000</v>
      </c>
      <c r="BA96">
        <v>0</v>
      </c>
      <c r="BB96">
        <v>0</v>
      </c>
      <c r="BC96">
        <v>0</v>
      </c>
      <c r="BD96">
        <v>0</v>
      </c>
      <c r="BE96">
        <v>0</v>
      </c>
      <c r="BF96">
        <v>0</v>
      </c>
      <c r="BG96">
        <v>0</v>
      </c>
      <c r="BH96">
        <v>0</v>
      </c>
      <c r="BI96">
        <v>0</v>
      </c>
      <c r="BJ96">
        <v>0</v>
      </c>
      <c r="BK96">
        <v>0</v>
      </c>
      <c r="BL96">
        <v>113838290</v>
      </c>
      <c r="BM96">
        <v>11383820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0</v>
      </c>
      <c r="DG96">
        <v>0</v>
      </c>
      <c r="DH96">
        <v>0</v>
      </c>
      <c r="DI96">
        <v>0</v>
      </c>
      <c r="DJ96">
        <v>0</v>
      </c>
      <c r="DK96">
        <v>0</v>
      </c>
      <c r="DL96">
        <v>0</v>
      </c>
      <c r="DM96">
        <v>0</v>
      </c>
      <c r="DN96">
        <v>0</v>
      </c>
      <c r="DO96">
        <v>0</v>
      </c>
      <c r="DP96">
        <v>0</v>
      </c>
      <c r="DQ96">
        <v>0</v>
      </c>
      <c r="DR96">
        <v>0</v>
      </c>
      <c r="DS96">
        <v>0</v>
      </c>
      <c r="DT96">
        <v>125222110</v>
      </c>
      <c r="DU96">
        <v>151352890</v>
      </c>
      <c r="DV96">
        <v>0</v>
      </c>
    </row>
    <row r="97" spans="1:126" hidden="1">
      <c r="A97" t="s">
        <v>4901</v>
      </c>
      <c r="B97" t="s">
        <v>4868</v>
      </c>
      <c r="C97">
        <v>2019</v>
      </c>
      <c r="D97">
        <v>6</v>
      </c>
      <c r="E97" t="s">
        <v>4884</v>
      </c>
      <c r="F97" t="s">
        <v>4885</v>
      </c>
      <c r="G97" s="2042">
        <v>43644</v>
      </c>
      <c r="H97" t="s">
        <v>4870</v>
      </c>
      <c r="I97" t="s">
        <v>4870</v>
      </c>
      <c r="J97" t="s">
        <v>4871</v>
      </c>
      <c r="K97" t="s">
        <v>4746</v>
      </c>
      <c r="L97" t="s">
        <v>4872</v>
      </c>
      <c r="M97" t="s">
        <v>4872</v>
      </c>
      <c r="N97" t="s">
        <v>4873</v>
      </c>
      <c r="O97" t="s">
        <v>4879</v>
      </c>
      <c r="P97" t="s">
        <v>4743</v>
      </c>
      <c r="Q97" s="2042">
        <v>43191</v>
      </c>
      <c r="R97" s="2042">
        <v>43191</v>
      </c>
      <c r="S97">
        <v>220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276575000</v>
      </c>
      <c r="AQ97">
        <v>0</v>
      </c>
      <c r="AR97">
        <v>0</v>
      </c>
      <c r="AS97">
        <v>0</v>
      </c>
      <c r="AT97">
        <v>0</v>
      </c>
      <c r="AU97">
        <v>0</v>
      </c>
      <c r="AV97">
        <v>0</v>
      </c>
      <c r="AW97">
        <v>0</v>
      </c>
      <c r="AX97">
        <v>0</v>
      </c>
      <c r="AY97">
        <v>276575000</v>
      </c>
      <c r="AZ97">
        <v>276575000</v>
      </c>
      <c r="BA97">
        <v>0</v>
      </c>
      <c r="BB97">
        <v>0</v>
      </c>
      <c r="BC97">
        <v>0</v>
      </c>
      <c r="BD97">
        <v>0</v>
      </c>
      <c r="BE97">
        <v>0</v>
      </c>
      <c r="BF97">
        <v>0</v>
      </c>
      <c r="BG97">
        <v>0</v>
      </c>
      <c r="BH97">
        <v>0</v>
      </c>
      <c r="BI97">
        <v>0</v>
      </c>
      <c r="BJ97">
        <v>0</v>
      </c>
      <c r="BK97">
        <v>0</v>
      </c>
      <c r="BL97">
        <v>113838280</v>
      </c>
      <c r="BM97">
        <v>11383820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DN97">
        <v>0</v>
      </c>
      <c r="DO97">
        <v>0</v>
      </c>
      <c r="DP97">
        <v>0</v>
      </c>
      <c r="DQ97">
        <v>0</v>
      </c>
      <c r="DR97">
        <v>0</v>
      </c>
      <c r="DS97">
        <v>0</v>
      </c>
      <c r="DT97">
        <v>125222100</v>
      </c>
      <c r="DU97">
        <v>151352900</v>
      </c>
      <c r="DV97">
        <v>0</v>
      </c>
    </row>
    <row r="98" spans="1:126" hidden="1">
      <c r="A98" t="s">
        <v>4901</v>
      </c>
      <c r="B98" t="s">
        <v>4868</v>
      </c>
      <c r="C98">
        <v>2019</v>
      </c>
      <c r="D98">
        <v>3</v>
      </c>
      <c r="E98" t="s">
        <v>4884</v>
      </c>
      <c r="F98" t="s">
        <v>4885</v>
      </c>
      <c r="G98" s="2042">
        <v>43553</v>
      </c>
      <c r="H98" t="s">
        <v>4870</v>
      </c>
      <c r="I98" t="s">
        <v>4870</v>
      </c>
      <c r="J98" t="s">
        <v>4871</v>
      </c>
      <c r="K98" t="s">
        <v>4746</v>
      </c>
      <c r="L98" t="s">
        <v>4872</v>
      </c>
      <c r="M98" t="s">
        <v>4872</v>
      </c>
      <c r="N98" t="s">
        <v>4873</v>
      </c>
      <c r="O98" t="s">
        <v>4879</v>
      </c>
      <c r="P98" t="s">
        <v>4743</v>
      </c>
      <c r="Q98" s="2042">
        <v>43191</v>
      </c>
      <c r="R98" s="2042">
        <v>43191</v>
      </c>
      <c r="S98">
        <v>220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276575000</v>
      </c>
      <c r="AQ98">
        <v>0</v>
      </c>
      <c r="AR98">
        <v>0</v>
      </c>
      <c r="AS98">
        <v>0</v>
      </c>
      <c r="AT98">
        <v>0</v>
      </c>
      <c r="AU98">
        <v>0</v>
      </c>
      <c r="AV98">
        <v>0</v>
      </c>
      <c r="AW98">
        <v>0</v>
      </c>
      <c r="AX98">
        <v>0</v>
      </c>
      <c r="AY98">
        <v>276575000</v>
      </c>
      <c r="AZ98">
        <v>276575000</v>
      </c>
      <c r="BA98">
        <v>0</v>
      </c>
      <c r="BB98">
        <v>0</v>
      </c>
      <c r="BC98">
        <v>0</v>
      </c>
      <c r="BD98">
        <v>0</v>
      </c>
      <c r="BE98">
        <v>0</v>
      </c>
      <c r="BF98">
        <v>0</v>
      </c>
      <c r="BG98">
        <v>0</v>
      </c>
      <c r="BH98">
        <v>0</v>
      </c>
      <c r="BI98">
        <v>0</v>
      </c>
      <c r="BJ98">
        <v>0</v>
      </c>
      <c r="BK98">
        <v>0</v>
      </c>
      <c r="BL98">
        <v>113610790</v>
      </c>
      <c r="BM98">
        <v>11361070</v>
      </c>
      <c r="BN98">
        <v>328330</v>
      </c>
      <c r="BO98">
        <v>32870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DN98">
        <v>0</v>
      </c>
      <c r="DO98">
        <v>0</v>
      </c>
      <c r="DP98">
        <v>0</v>
      </c>
      <c r="DQ98">
        <v>0</v>
      </c>
      <c r="DR98">
        <v>0</v>
      </c>
      <c r="DS98">
        <v>0</v>
      </c>
      <c r="DT98">
        <v>125333060</v>
      </c>
      <c r="DU98">
        <v>151241940</v>
      </c>
      <c r="DV98">
        <v>0</v>
      </c>
    </row>
    <row r="99" spans="1:126" hidden="1">
      <c r="A99" t="s">
        <v>4901</v>
      </c>
      <c r="B99" t="s">
        <v>4868</v>
      </c>
      <c r="C99">
        <v>2019</v>
      </c>
      <c r="D99">
        <v>12</v>
      </c>
      <c r="E99" t="s">
        <v>4884</v>
      </c>
      <c r="F99" t="s">
        <v>4885</v>
      </c>
      <c r="G99" s="2042">
        <v>43830</v>
      </c>
      <c r="H99" t="s">
        <v>4880</v>
      </c>
      <c r="I99" t="s">
        <v>4880</v>
      </c>
      <c r="J99" t="s">
        <v>4881</v>
      </c>
      <c r="K99" t="s">
        <v>4746</v>
      </c>
      <c r="L99" t="s">
        <v>4882</v>
      </c>
      <c r="M99" t="s">
        <v>4882</v>
      </c>
      <c r="N99" t="s">
        <v>4883</v>
      </c>
      <c r="O99" t="s">
        <v>4879</v>
      </c>
      <c r="P99" t="s">
        <v>4743</v>
      </c>
      <c r="Q99" s="2042">
        <v>42826</v>
      </c>
      <c r="R99" s="2042">
        <v>42826</v>
      </c>
      <c r="S99">
        <v>220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33400000</v>
      </c>
      <c r="AQ99">
        <v>0</v>
      </c>
      <c r="AR99">
        <v>0</v>
      </c>
      <c r="AS99">
        <v>0</v>
      </c>
      <c r="AT99">
        <v>0</v>
      </c>
      <c r="AU99">
        <v>0</v>
      </c>
      <c r="AV99">
        <v>0</v>
      </c>
      <c r="AW99">
        <v>0</v>
      </c>
      <c r="AX99">
        <v>0</v>
      </c>
      <c r="AY99">
        <v>33400000</v>
      </c>
      <c r="AZ99">
        <v>33400000</v>
      </c>
      <c r="BA99">
        <v>0</v>
      </c>
      <c r="BB99">
        <v>0</v>
      </c>
      <c r="BC99">
        <v>0</v>
      </c>
      <c r="BD99">
        <v>0</v>
      </c>
      <c r="BE99">
        <v>0</v>
      </c>
      <c r="BF99">
        <v>0</v>
      </c>
      <c r="BG99">
        <v>0</v>
      </c>
      <c r="BH99">
        <v>0</v>
      </c>
      <c r="BI99">
        <v>0</v>
      </c>
      <c r="BJ99">
        <v>0</v>
      </c>
      <c r="BK99">
        <v>0</v>
      </c>
      <c r="BL99">
        <v>6346000</v>
      </c>
      <c r="BM99">
        <v>634600</v>
      </c>
      <c r="BN99">
        <v>0</v>
      </c>
      <c r="BO99">
        <v>0</v>
      </c>
      <c r="BP99">
        <v>0</v>
      </c>
      <c r="BQ99">
        <v>0</v>
      </c>
      <c r="BR99">
        <v>0</v>
      </c>
      <c r="BS99">
        <v>0</v>
      </c>
      <c r="BT99">
        <v>0</v>
      </c>
      <c r="BU99">
        <v>0</v>
      </c>
      <c r="BV99">
        <v>0</v>
      </c>
      <c r="BW99">
        <v>0</v>
      </c>
      <c r="BX99">
        <v>0</v>
      </c>
      <c r="BY99">
        <v>0</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0</v>
      </c>
      <c r="DA99">
        <v>0</v>
      </c>
      <c r="DB99">
        <v>0</v>
      </c>
      <c r="DC99">
        <v>0</v>
      </c>
      <c r="DD99">
        <v>0</v>
      </c>
      <c r="DE99">
        <v>0</v>
      </c>
      <c r="DF99">
        <v>0</v>
      </c>
      <c r="DG99">
        <v>0</v>
      </c>
      <c r="DH99">
        <v>0</v>
      </c>
      <c r="DI99">
        <v>0</v>
      </c>
      <c r="DJ99">
        <v>0</v>
      </c>
      <c r="DK99">
        <v>0</v>
      </c>
      <c r="DL99">
        <v>0</v>
      </c>
      <c r="DM99">
        <v>0</v>
      </c>
      <c r="DN99">
        <v>0</v>
      </c>
      <c r="DO99">
        <v>0</v>
      </c>
      <c r="DP99">
        <v>0</v>
      </c>
      <c r="DQ99">
        <v>0</v>
      </c>
      <c r="DR99">
        <v>0</v>
      </c>
      <c r="DS99">
        <v>0</v>
      </c>
      <c r="DT99">
        <v>6980600</v>
      </c>
      <c r="DU99">
        <v>26419400</v>
      </c>
      <c r="DV99">
        <v>0</v>
      </c>
    </row>
    <row r="100" spans="1:126" hidden="1">
      <c r="A100" t="s">
        <v>4901</v>
      </c>
      <c r="B100" t="s">
        <v>4868</v>
      </c>
      <c r="C100">
        <v>2019</v>
      </c>
      <c r="D100">
        <v>9</v>
      </c>
      <c r="E100" t="s">
        <v>4884</v>
      </c>
      <c r="F100" t="s">
        <v>4885</v>
      </c>
      <c r="G100" s="2042">
        <v>43738</v>
      </c>
      <c r="H100" t="s">
        <v>4880</v>
      </c>
      <c r="I100" t="s">
        <v>4880</v>
      </c>
      <c r="J100" t="s">
        <v>4881</v>
      </c>
      <c r="K100" t="s">
        <v>4746</v>
      </c>
      <c r="L100" t="s">
        <v>4882</v>
      </c>
      <c r="M100" t="s">
        <v>4882</v>
      </c>
      <c r="N100" t="s">
        <v>4883</v>
      </c>
      <c r="O100" t="s">
        <v>4879</v>
      </c>
      <c r="P100" t="s">
        <v>4743</v>
      </c>
      <c r="Q100" s="2042">
        <v>42826</v>
      </c>
      <c r="R100" s="2042">
        <v>42826</v>
      </c>
      <c r="S100">
        <v>220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33400000</v>
      </c>
      <c r="AQ100">
        <v>0</v>
      </c>
      <c r="AR100">
        <v>0</v>
      </c>
      <c r="AS100">
        <v>0</v>
      </c>
      <c r="AT100">
        <v>0</v>
      </c>
      <c r="AU100">
        <v>0</v>
      </c>
      <c r="AV100">
        <v>0</v>
      </c>
      <c r="AW100">
        <v>0</v>
      </c>
      <c r="AX100">
        <v>0</v>
      </c>
      <c r="AY100">
        <v>33400000</v>
      </c>
      <c r="AZ100">
        <v>33400000</v>
      </c>
      <c r="BA100">
        <v>0</v>
      </c>
      <c r="BB100">
        <v>0</v>
      </c>
      <c r="BC100">
        <v>0</v>
      </c>
      <c r="BD100">
        <v>0</v>
      </c>
      <c r="BE100">
        <v>0</v>
      </c>
      <c r="BF100">
        <v>0</v>
      </c>
      <c r="BG100">
        <v>0</v>
      </c>
      <c r="BH100">
        <v>0</v>
      </c>
      <c r="BI100">
        <v>0</v>
      </c>
      <c r="BJ100">
        <v>0</v>
      </c>
      <c r="BK100">
        <v>0</v>
      </c>
      <c r="BL100">
        <v>6346010</v>
      </c>
      <c r="BM100">
        <v>634600</v>
      </c>
      <c r="BN100">
        <v>0</v>
      </c>
      <c r="BO100">
        <v>0</v>
      </c>
      <c r="BP100">
        <v>0</v>
      </c>
      <c r="BQ100">
        <v>0</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DN100">
        <v>0</v>
      </c>
      <c r="DO100">
        <v>0</v>
      </c>
      <c r="DP100">
        <v>0</v>
      </c>
      <c r="DQ100">
        <v>0</v>
      </c>
      <c r="DR100">
        <v>0</v>
      </c>
      <c r="DS100">
        <v>0</v>
      </c>
      <c r="DT100">
        <v>6980610</v>
      </c>
      <c r="DU100">
        <v>26419390</v>
      </c>
      <c r="DV100">
        <v>0</v>
      </c>
    </row>
    <row r="101" spans="1:126" hidden="1">
      <c r="A101" t="s">
        <v>4901</v>
      </c>
      <c r="B101" t="s">
        <v>4868</v>
      </c>
      <c r="C101">
        <v>2019</v>
      </c>
      <c r="D101">
        <v>6</v>
      </c>
      <c r="E101" t="s">
        <v>4884</v>
      </c>
      <c r="F101" t="s">
        <v>4885</v>
      </c>
      <c r="G101" s="2042">
        <v>43644</v>
      </c>
      <c r="H101" t="s">
        <v>4880</v>
      </c>
      <c r="I101" t="s">
        <v>4880</v>
      </c>
      <c r="J101" t="s">
        <v>4881</v>
      </c>
      <c r="K101" t="s">
        <v>4746</v>
      </c>
      <c r="L101" t="s">
        <v>4882</v>
      </c>
      <c r="M101" t="s">
        <v>4882</v>
      </c>
      <c r="N101" t="s">
        <v>4883</v>
      </c>
      <c r="O101" t="s">
        <v>4879</v>
      </c>
      <c r="P101" t="s">
        <v>4743</v>
      </c>
      <c r="Q101" s="2042">
        <v>42826</v>
      </c>
      <c r="R101" s="2042">
        <v>42826</v>
      </c>
      <c r="S101">
        <v>220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33400000</v>
      </c>
      <c r="AQ101">
        <v>0</v>
      </c>
      <c r="AR101">
        <v>0</v>
      </c>
      <c r="AS101">
        <v>0</v>
      </c>
      <c r="AT101">
        <v>0</v>
      </c>
      <c r="AU101">
        <v>0</v>
      </c>
      <c r="AV101">
        <v>0</v>
      </c>
      <c r="AW101">
        <v>0</v>
      </c>
      <c r="AX101">
        <v>0</v>
      </c>
      <c r="AY101">
        <v>33400000</v>
      </c>
      <c r="AZ101">
        <v>33400000</v>
      </c>
      <c r="BA101">
        <v>0</v>
      </c>
      <c r="BB101">
        <v>0</v>
      </c>
      <c r="BC101">
        <v>0</v>
      </c>
      <c r="BD101">
        <v>0</v>
      </c>
      <c r="BE101">
        <v>0</v>
      </c>
      <c r="BF101">
        <v>0</v>
      </c>
      <c r="BG101">
        <v>0</v>
      </c>
      <c r="BH101">
        <v>0</v>
      </c>
      <c r="BI101">
        <v>0</v>
      </c>
      <c r="BJ101">
        <v>0</v>
      </c>
      <c r="BK101">
        <v>0</v>
      </c>
      <c r="BL101">
        <v>6346000</v>
      </c>
      <c r="BM101">
        <v>634600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c r="DN101">
        <v>0</v>
      </c>
      <c r="DO101">
        <v>0</v>
      </c>
      <c r="DP101">
        <v>0</v>
      </c>
      <c r="DQ101">
        <v>0</v>
      </c>
      <c r="DR101">
        <v>0</v>
      </c>
      <c r="DS101">
        <v>0</v>
      </c>
      <c r="DT101">
        <v>6980600</v>
      </c>
      <c r="DU101">
        <v>26419400</v>
      </c>
      <c r="DV101">
        <v>0</v>
      </c>
    </row>
    <row r="102" spans="1:126" hidden="1">
      <c r="A102" t="s">
        <v>4901</v>
      </c>
      <c r="B102" t="s">
        <v>4868</v>
      </c>
      <c r="C102">
        <v>2019</v>
      </c>
      <c r="D102">
        <v>3</v>
      </c>
      <c r="E102" t="s">
        <v>4884</v>
      </c>
      <c r="F102" t="s">
        <v>4885</v>
      </c>
      <c r="G102" s="2042">
        <v>43553</v>
      </c>
      <c r="H102" t="s">
        <v>4880</v>
      </c>
      <c r="I102" t="s">
        <v>4880</v>
      </c>
      <c r="J102" t="s">
        <v>4881</v>
      </c>
      <c r="K102" t="s">
        <v>4746</v>
      </c>
      <c r="L102" t="s">
        <v>4882</v>
      </c>
      <c r="M102" t="s">
        <v>4882</v>
      </c>
      <c r="N102" t="s">
        <v>4883</v>
      </c>
      <c r="O102" t="s">
        <v>4879</v>
      </c>
      <c r="P102" t="s">
        <v>4743</v>
      </c>
      <c r="Q102" s="2042">
        <v>42826</v>
      </c>
      <c r="R102" s="2042">
        <v>42826</v>
      </c>
      <c r="S102">
        <v>220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33400000</v>
      </c>
      <c r="AQ102">
        <v>0</v>
      </c>
      <c r="AR102">
        <v>0</v>
      </c>
      <c r="AS102">
        <v>0</v>
      </c>
      <c r="AT102">
        <v>0</v>
      </c>
      <c r="AU102">
        <v>0</v>
      </c>
      <c r="AV102">
        <v>0</v>
      </c>
      <c r="AW102">
        <v>0</v>
      </c>
      <c r="AX102">
        <v>0</v>
      </c>
      <c r="AY102">
        <v>33400000</v>
      </c>
      <c r="AZ102">
        <v>33400000</v>
      </c>
      <c r="BA102">
        <v>0</v>
      </c>
      <c r="BB102">
        <v>0</v>
      </c>
      <c r="BC102">
        <v>0</v>
      </c>
      <c r="BD102">
        <v>0</v>
      </c>
      <c r="BE102">
        <v>0</v>
      </c>
      <c r="BF102">
        <v>0</v>
      </c>
      <c r="BG102">
        <v>0</v>
      </c>
      <c r="BH102">
        <v>0</v>
      </c>
      <c r="BI102">
        <v>0</v>
      </c>
      <c r="BJ102">
        <v>0</v>
      </c>
      <c r="BK102">
        <v>0</v>
      </c>
      <c r="BL102">
        <v>6346020</v>
      </c>
      <c r="BM102">
        <v>634600</v>
      </c>
      <c r="BN102">
        <v>328350</v>
      </c>
      <c r="BO102">
        <v>32880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7341850</v>
      </c>
      <c r="DU102">
        <v>26058150</v>
      </c>
      <c r="DV102">
        <v>0</v>
      </c>
    </row>
    <row r="103" spans="1:126" hidden="1">
      <c r="A103" t="s">
        <v>4901</v>
      </c>
      <c r="B103" t="s">
        <v>4868</v>
      </c>
      <c r="C103">
        <v>2020</v>
      </c>
      <c r="D103">
        <v>12</v>
      </c>
      <c r="E103" t="s">
        <v>4884</v>
      </c>
      <c r="F103" t="s">
        <v>4885</v>
      </c>
      <c r="G103" s="2042">
        <v>44196</v>
      </c>
      <c r="H103" t="s">
        <v>4870</v>
      </c>
      <c r="I103" t="s">
        <v>4870</v>
      </c>
      <c r="J103" t="s">
        <v>4871</v>
      </c>
      <c r="K103" t="s">
        <v>4746</v>
      </c>
      <c r="L103" t="s">
        <v>4872</v>
      </c>
      <c r="M103" t="s">
        <v>4872</v>
      </c>
      <c r="N103" t="s">
        <v>4873</v>
      </c>
      <c r="O103" t="s">
        <v>4879</v>
      </c>
      <c r="P103" t="s">
        <v>4743</v>
      </c>
      <c r="Q103" s="2042">
        <v>43191</v>
      </c>
      <c r="R103" s="2042">
        <v>43191</v>
      </c>
      <c r="S103">
        <v>220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276575000</v>
      </c>
      <c r="AQ103">
        <v>0</v>
      </c>
      <c r="AR103">
        <v>0</v>
      </c>
      <c r="AS103">
        <v>0</v>
      </c>
      <c r="AT103">
        <v>0</v>
      </c>
      <c r="AU103">
        <v>0</v>
      </c>
      <c r="AV103">
        <v>0</v>
      </c>
      <c r="AW103">
        <v>0</v>
      </c>
      <c r="AX103">
        <v>0</v>
      </c>
      <c r="AY103">
        <v>276575000</v>
      </c>
      <c r="AZ103">
        <v>276575000</v>
      </c>
      <c r="BA103">
        <v>0</v>
      </c>
      <c r="BB103">
        <v>0</v>
      </c>
      <c r="BC103">
        <v>0</v>
      </c>
      <c r="BD103">
        <v>0</v>
      </c>
      <c r="BE103">
        <v>0</v>
      </c>
      <c r="BF103">
        <v>0</v>
      </c>
      <c r="BG103">
        <v>0</v>
      </c>
      <c r="BH103">
        <v>0</v>
      </c>
      <c r="BI103">
        <v>0</v>
      </c>
      <c r="BJ103">
        <v>0</v>
      </c>
      <c r="BK103">
        <v>0</v>
      </c>
      <c r="BL103">
        <v>116161490</v>
      </c>
      <c r="BM103">
        <v>11616140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c r="DN103">
        <v>0</v>
      </c>
      <c r="DO103">
        <v>0</v>
      </c>
      <c r="DP103">
        <v>0</v>
      </c>
      <c r="DQ103">
        <v>0</v>
      </c>
      <c r="DR103">
        <v>0</v>
      </c>
      <c r="DS103">
        <v>0</v>
      </c>
      <c r="DT103">
        <v>127777630</v>
      </c>
      <c r="DU103">
        <v>148797370</v>
      </c>
      <c r="DV103">
        <v>0</v>
      </c>
    </row>
    <row r="104" spans="1:126" hidden="1">
      <c r="A104" t="s">
        <v>4901</v>
      </c>
      <c r="B104" t="s">
        <v>4868</v>
      </c>
      <c r="C104">
        <v>2020</v>
      </c>
      <c r="D104">
        <v>9</v>
      </c>
      <c r="E104" t="s">
        <v>4884</v>
      </c>
      <c r="F104" t="s">
        <v>4885</v>
      </c>
      <c r="G104" s="2042">
        <v>44103</v>
      </c>
      <c r="H104" t="s">
        <v>4870</v>
      </c>
      <c r="I104" t="s">
        <v>4870</v>
      </c>
      <c r="J104" t="s">
        <v>4871</v>
      </c>
      <c r="K104" t="s">
        <v>4746</v>
      </c>
      <c r="L104" t="s">
        <v>4872</v>
      </c>
      <c r="M104" t="s">
        <v>4872</v>
      </c>
      <c r="N104" t="s">
        <v>4873</v>
      </c>
      <c r="O104" t="s">
        <v>4879</v>
      </c>
      <c r="P104" t="s">
        <v>4743</v>
      </c>
      <c r="Q104" s="2042">
        <v>43191</v>
      </c>
      <c r="R104" s="2042">
        <v>43191</v>
      </c>
      <c r="S104">
        <v>220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276575000</v>
      </c>
      <c r="AQ104">
        <v>0</v>
      </c>
      <c r="AR104">
        <v>0</v>
      </c>
      <c r="AS104">
        <v>0</v>
      </c>
      <c r="AT104">
        <v>0</v>
      </c>
      <c r="AU104">
        <v>0</v>
      </c>
      <c r="AV104">
        <v>0</v>
      </c>
      <c r="AW104">
        <v>0</v>
      </c>
      <c r="AX104">
        <v>0</v>
      </c>
      <c r="AY104">
        <v>276575000</v>
      </c>
      <c r="AZ104">
        <v>276575000</v>
      </c>
      <c r="BA104">
        <v>0</v>
      </c>
      <c r="BB104">
        <v>0</v>
      </c>
      <c r="BC104">
        <v>0</v>
      </c>
      <c r="BD104">
        <v>0</v>
      </c>
      <c r="BE104">
        <v>0</v>
      </c>
      <c r="BF104">
        <v>0</v>
      </c>
      <c r="BG104">
        <v>0</v>
      </c>
      <c r="BH104">
        <v>0</v>
      </c>
      <c r="BI104">
        <v>0</v>
      </c>
      <c r="BJ104">
        <v>0</v>
      </c>
      <c r="BK104">
        <v>0</v>
      </c>
      <c r="BL104">
        <v>116161490</v>
      </c>
      <c r="BM104">
        <v>11616140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c r="DM104">
        <v>0</v>
      </c>
      <c r="DN104">
        <v>0</v>
      </c>
      <c r="DO104">
        <v>0</v>
      </c>
      <c r="DP104">
        <v>0</v>
      </c>
      <c r="DQ104">
        <v>0</v>
      </c>
      <c r="DR104">
        <v>0</v>
      </c>
      <c r="DS104">
        <v>0</v>
      </c>
      <c r="DT104">
        <v>127777630</v>
      </c>
      <c r="DU104">
        <v>148797370</v>
      </c>
      <c r="DV104">
        <v>0</v>
      </c>
    </row>
    <row r="105" spans="1:126" hidden="1">
      <c r="A105" t="s">
        <v>4901</v>
      </c>
      <c r="B105" t="s">
        <v>4868</v>
      </c>
      <c r="C105">
        <v>2020</v>
      </c>
      <c r="D105">
        <v>6</v>
      </c>
      <c r="E105" t="s">
        <v>4884</v>
      </c>
      <c r="F105" t="s">
        <v>4885</v>
      </c>
      <c r="G105" s="2042">
        <v>44012</v>
      </c>
      <c r="H105" t="s">
        <v>4870</v>
      </c>
      <c r="I105" t="s">
        <v>4870</v>
      </c>
      <c r="J105" t="s">
        <v>4871</v>
      </c>
      <c r="K105" t="s">
        <v>4746</v>
      </c>
      <c r="L105" t="s">
        <v>4872</v>
      </c>
      <c r="M105" t="s">
        <v>4872</v>
      </c>
      <c r="N105" t="s">
        <v>4873</v>
      </c>
      <c r="O105" t="s">
        <v>4879</v>
      </c>
      <c r="P105" t="s">
        <v>4743</v>
      </c>
      <c r="Q105" s="2042">
        <v>43191</v>
      </c>
      <c r="R105" s="2042">
        <v>43191</v>
      </c>
      <c r="S105">
        <v>220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276575000</v>
      </c>
      <c r="AQ105">
        <v>0</v>
      </c>
      <c r="AR105">
        <v>0</v>
      </c>
      <c r="AS105">
        <v>0</v>
      </c>
      <c r="AT105">
        <v>0</v>
      </c>
      <c r="AU105">
        <v>0</v>
      </c>
      <c r="AV105">
        <v>0</v>
      </c>
      <c r="AW105">
        <v>0</v>
      </c>
      <c r="AX105">
        <v>0</v>
      </c>
      <c r="AY105">
        <v>276575000</v>
      </c>
      <c r="AZ105">
        <v>276575000</v>
      </c>
      <c r="BA105">
        <v>0</v>
      </c>
      <c r="BB105">
        <v>0</v>
      </c>
      <c r="BC105">
        <v>0</v>
      </c>
      <c r="BD105">
        <v>0</v>
      </c>
      <c r="BE105">
        <v>0</v>
      </c>
      <c r="BF105">
        <v>0</v>
      </c>
      <c r="BG105">
        <v>0</v>
      </c>
      <c r="BH105">
        <v>0</v>
      </c>
      <c r="BI105">
        <v>0</v>
      </c>
      <c r="BJ105">
        <v>0</v>
      </c>
      <c r="BK105">
        <v>0</v>
      </c>
      <c r="BL105">
        <v>116161490</v>
      </c>
      <c r="BM105">
        <v>11616140</v>
      </c>
      <c r="BN105">
        <v>0</v>
      </c>
      <c r="BO105">
        <v>0</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c r="DM105">
        <v>0</v>
      </c>
      <c r="DN105">
        <v>0</v>
      </c>
      <c r="DO105">
        <v>0</v>
      </c>
      <c r="DP105">
        <v>0</v>
      </c>
      <c r="DQ105">
        <v>0</v>
      </c>
      <c r="DR105">
        <v>0</v>
      </c>
      <c r="DS105">
        <v>0</v>
      </c>
      <c r="DT105">
        <v>127777630</v>
      </c>
      <c r="DU105">
        <v>148797370</v>
      </c>
      <c r="DV105">
        <v>0</v>
      </c>
    </row>
    <row r="106" spans="1:126" hidden="1">
      <c r="A106" t="s">
        <v>4901</v>
      </c>
      <c r="B106" t="s">
        <v>4868</v>
      </c>
      <c r="C106">
        <v>2020</v>
      </c>
      <c r="D106">
        <v>3</v>
      </c>
      <c r="E106" t="s">
        <v>4884</v>
      </c>
      <c r="F106" t="s">
        <v>4885</v>
      </c>
      <c r="G106" s="2042">
        <v>43921</v>
      </c>
      <c r="H106" t="s">
        <v>4870</v>
      </c>
      <c r="I106" t="s">
        <v>4870</v>
      </c>
      <c r="J106" t="s">
        <v>4871</v>
      </c>
      <c r="K106" t="s">
        <v>4746</v>
      </c>
      <c r="L106" t="s">
        <v>4872</v>
      </c>
      <c r="M106" t="s">
        <v>4872</v>
      </c>
      <c r="N106" t="s">
        <v>4873</v>
      </c>
      <c r="O106" t="s">
        <v>4879</v>
      </c>
      <c r="P106" t="s">
        <v>4743</v>
      </c>
      <c r="Q106" s="2042">
        <v>43191</v>
      </c>
      <c r="R106" s="2042">
        <v>43191</v>
      </c>
      <c r="S106">
        <v>220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276575000</v>
      </c>
      <c r="AQ106">
        <v>0</v>
      </c>
      <c r="AR106">
        <v>0</v>
      </c>
      <c r="AS106">
        <v>0</v>
      </c>
      <c r="AT106">
        <v>0</v>
      </c>
      <c r="AU106">
        <v>0</v>
      </c>
      <c r="AV106">
        <v>0</v>
      </c>
      <c r="AW106">
        <v>0</v>
      </c>
      <c r="AX106">
        <v>0</v>
      </c>
      <c r="AY106">
        <v>276575000</v>
      </c>
      <c r="AZ106">
        <v>276575000</v>
      </c>
      <c r="BA106">
        <v>0</v>
      </c>
      <c r="BB106">
        <v>0</v>
      </c>
      <c r="BC106">
        <v>0</v>
      </c>
      <c r="BD106">
        <v>0</v>
      </c>
      <c r="BE106">
        <v>0</v>
      </c>
      <c r="BF106">
        <v>0</v>
      </c>
      <c r="BG106">
        <v>0</v>
      </c>
      <c r="BH106">
        <v>0</v>
      </c>
      <c r="BI106">
        <v>0</v>
      </c>
      <c r="BJ106">
        <v>0</v>
      </c>
      <c r="BK106">
        <v>0</v>
      </c>
      <c r="BL106">
        <v>116851290</v>
      </c>
      <c r="BM106">
        <v>11685120</v>
      </c>
      <c r="BN106">
        <v>0</v>
      </c>
      <c r="BO106">
        <v>0</v>
      </c>
      <c r="BP106">
        <v>0</v>
      </c>
      <c r="BQ106">
        <v>0</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c r="DN106">
        <v>0</v>
      </c>
      <c r="DO106">
        <v>0</v>
      </c>
      <c r="DP106">
        <v>0</v>
      </c>
      <c r="DQ106">
        <v>0</v>
      </c>
      <c r="DR106">
        <v>0</v>
      </c>
      <c r="DS106">
        <v>0</v>
      </c>
      <c r="DT106">
        <v>128536410</v>
      </c>
      <c r="DU106">
        <v>148038590</v>
      </c>
      <c r="DV106">
        <v>0</v>
      </c>
    </row>
    <row r="107" spans="1:126" hidden="1">
      <c r="A107" t="s">
        <v>4901</v>
      </c>
      <c r="B107" t="s">
        <v>4868</v>
      </c>
      <c r="C107">
        <v>2020</v>
      </c>
      <c r="D107">
        <v>12</v>
      </c>
      <c r="E107" t="s">
        <v>4884</v>
      </c>
      <c r="F107" t="s">
        <v>4885</v>
      </c>
      <c r="G107" s="2042">
        <v>44196</v>
      </c>
      <c r="H107" t="s">
        <v>4880</v>
      </c>
      <c r="I107" t="s">
        <v>4880</v>
      </c>
      <c r="J107" t="s">
        <v>4881</v>
      </c>
      <c r="K107" t="s">
        <v>4746</v>
      </c>
      <c r="L107" t="s">
        <v>4882</v>
      </c>
      <c r="M107" t="s">
        <v>4882</v>
      </c>
      <c r="N107" t="s">
        <v>4883</v>
      </c>
      <c r="O107" t="s">
        <v>4879</v>
      </c>
      <c r="P107" t="s">
        <v>4743</v>
      </c>
      <c r="Q107" s="2042">
        <v>42826</v>
      </c>
      <c r="R107" s="2042">
        <v>42826</v>
      </c>
      <c r="S107">
        <v>220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33400000</v>
      </c>
      <c r="AQ107">
        <v>0</v>
      </c>
      <c r="AR107">
        <v>0</v>
      </c>
      <c r="AS107">
        <v>0</v>
      </c>
      <c r="AT107">
        <v>0</v>
      </c>
      <c r="AU107">
        <v>0</v>
      </c>
      <c r="AV107">
        <v>0</v>
      </c>
      <c r="AW107">
        <v>0</v>
      </c>
      <c r="AX107">
        <v>0</v>
      </c>
      <c r="AY107">
        <v>33400000</v>
      </c>
      <c r="AZ107">
        <v>33400000</v>
      </c>
      <c r="BA107">
        <v>0</v>
      </c>
      <c r="BB107">
        <v>0</v>
      </c>
      <c r="BC107">
        <v>0</v>
      </c>
      <c r="BD107">
        <v>0</v>
      </c>
      <c r="BE107">
        <v>0</v>
      </c>
      <c r="BF107">
        <v>0</v>
      </c>
      <c r="BG107">
        <v>0</v>
      </c>
      <c r="BH107">
        <v>0</v>
      </c>
      <c r="BI107">
        <v>0</v>
      </c>
      <c r="BJ107">
        <v>0</v>
      </c>
      <c r="BK107">
        <v>0</v>
      </c>
      <c r="BL107">
        <v>6346010</v>
      </c>
      <c r="BM107">
        <v>634600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c r="DN107">
        <v>0</v>
      </c>
      <c r="DO107">
        <v>0</v>
      </c>
      <c r="DP107">
        <v>0</v>
      </c>
      <c r="DQ107">
        <v>0</v>
      </c>
      <c r="DR107">
        <v>0</v>
      </c>
      <c r="DS107">
        <v>0</v>
      </c>
      <c r="DT107">
        <v>6980610</v>
      </c>
      <c r="DU107">
        <v>26419390</v>
      </c>
      <c r="DV107">
        <v>0</v>
      </c>
    </row>
    <row r="108" spans="1:126" hidden="1">
      <c r="A108" t="s">
        <v>4901</v>
      </c>
      <c r="B108" t="s">
        <v>4868</v>
      </c>
      <c r="C108">
        <v>2020</v>
      </c>
      <c r="D108">
        <v>9</v>
      </c>
      <c r="E108" t="s">
        <v>4884</v>
      </c>
      <c r="F108" t="s">
        <v>4885</v>
      </c>
      <c r="G108" s="2042">
        <v>44103</v>
      </c>
      <c r="H108" t="s">
        <v>4880</v>
      </c>
      <c r="I108" t="s">
        <v>4880</v>
      </c>
      <c r="J108" t="s">
        <v>4881</v>
      </c>
      <c r="K108" t="s">
        <v>4746</v>
      </c>
      <c r="L108" t="s">
        <v>4882</v>
      </c>
      <c r="M108" t="s">
        <v>4882</v>
      </c>
      <c r="N108" t="s">
        <v>4883</v>
      </c>
      <c r="O108" t="s">
        <v>4879</v>
      </c>
      <c r="P108" t="s">
        <v>4743</v>
      </c>
      <c r="Q108" s="2042">
        <v>42826</v>
      </c>
      <c r="R108" s="2042">
        <v>42826</v>
      </c>
      <c r="S108">
        <v>220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33400000</v>
      </c>
      <c r="AQ108">
        <v>0</v>
      </c>
      <c r="AR108">
        <v>0</v>
      </c>
      <c r="AS108">
        <v>0</v>
      </c>
      <c r="AT108">
        <v>0</v>
      </c>
      <c r="AU108">
        <v>0</v>
      </c>
      <c r="AV108">
        <v>0</v>
      </c>
      <c r="AW108">
        <v>0</v>
      </c>
      <c r="AX108">
        <v>0</v>
      </c>
      <c r="AY108">
        <v>33400000</v>
      </c>
      <c r="AZ108">
        <v>33400000</v>
      </c>
      <c r="BA108">
        <v>0</v>
      </c>
      <c r="BB108">
        <v>0</v>
      </c>
      <c r="BC108">
        <v>0</v>
      </c>
      <c r="BD108">
        <v>0</v>
      </c>
      <c r="BE108">
        <v>0</v>
      </c>
      <c r="BF108">
        <v>0</v>
      </c>
      <c r="BG108">
        <v>0</v>
      </c>
      <c r="BH108">
        <v>0</v>
      </c>
      <c r="BI108">
        <v>0</v>
      </c>
      <c r="BJ108">
        <v>0</v>
      </c>
      <c r="BK108">
        <v>0</v>
      </c>
      <c r="BL108">
        <v>6346010</v>
      </c>
      <c r="BM108">
        <v>634600</v>
      </c>
      <c r="BN108">
        <v>0</v>
      </c>
      <c r="BO108">
        <v>0</v>
      </c>
      <c r="BP108">
        <v>0</v>
      </c>
      <c r="BQ108">
        <v>0</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S108">
        <v>0</v>
      </c>
      <c r="DT108">
        <v>6980610</v>
      </c>
      <c r="DU108">
        <v>26419390</v>
      </c>
      <c r="DV108">
        <v>0</v>
      </c>
    </row>
    <row r="109" spans="1:126" hidden="1">
      <c r="A109" t="s">
        <v>4901</v>
      </c>
      <c r="B109" t="s">
        <v>4868</v>
      </c>
      <c r="C109">
        <v>2020</v>
      </c>
      <c r="D109">
        <v>6</v>
      </c>
      <c r="E109" t="s">
        <v>4884</v>
      </c>
      <c r="F109" t="s">
        <v>4885</v>
      </c>
      <c r="G109" s="2042">
        <v>44012</v>
      </c>
      <c r="H109" t="s">
        <v>4880</v>
      </c>
      <c r="I109" t="s">
        <v>4880</v>
      </c>
      <c r="J109" t="s">
        <v>4881</v>
      </c>
      <c r="K109" t="s">
        <v>4746</v>
      </c>
      <c r="L109" t="s">
        <v>4882</v>
      </c>
      <c r="M109" t="s">
        <v>4882</v>
      </c>
      <c r="N109" t="s">
        <v>4883</v>
      </c>
      <c r="O109" t="s">
        <v>4879</v>
      </c>
      <c r="P109" t="s">
        <v>4743</v>
      </c>
      <c r="Q109" s="2042">
        <v>42826</v>
      </c>
      <c r="R109" s="2042">
        <v>42826</v>
      </c>
      <c r="S109">
        <v>220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33400000</v>
      </c>
      <c r="AQ109">
        <v>0</v>
      </c>
      <c r="AR109">
        <v>0</v>
      </c>
      <c r="AS109">
        <v>0</v>
      </c>
      <c r="AT109">
        <v>0</v>
      </c>
      <c r="AU109">
        <v>0</v>
      </c>
      <c r="AV109">
        <v>0</v>
      </c>
      <c r="AW109">
        <v>0</v>
      </c>
      <c r="AX109">
        <v>0</v>
      </c>
      <c r="AY109">
        <v>33400000</v>
      </c>
      <c r="AZ109">
        <v>33400000</v>
      </c>
      <c r="BA109">
        <v>0</v>
      </c>
      <c r="BB109">
        <v>0</v>
      </c>
      <c r="BC109">
        <v>0</v>
      </c>
      <c r="BD109">
        <v>0</v>
      </c>
      <c r="BE109">
        <v>0</v>
      </c>
      <c r="BF109">
        <v>0</v>
      </c>
      <c r="BG109">
        <v>0</v>
      </c>
      <c r="BH109">
        <v>0</v>
      </c>
      <c r="BI109">
        <v>0</v>
      </c>
      <c r="BJ109">
        <v>0</v>
      </c>
      <c r="BK109">
        <v>0</v>
      </c>
      <c r="BL109">
        <v>6346000</v>
      </c>
      <c r="BM109">
        <v>634600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c r="DL109">
        <v>0</v>
      </c>
      <c r="DM109">
        <v>0</v>
      </c>
      <c r="DN109">
        <v>0</v>
      </c>
      <c r="DO109">
        <v>0</v>
      </c>
      <c r="DP109">
        <v>0</v>
      </c>
      <c r="DQ109">
        <v>0</v>
      </c>
      <c r="DR109">
        <v>0</v>
      </c>
      <c r="DS109">
        <v>0</v>
      </c>
      <c r="DT109">
        <v>6980600</v>
      </c>
      <c r="DU109">
        <v>26419400</v>
      </c>
      <c r="DV109">
        <v>0</v>
      </c>
    </row>
    <row r="110" spans="1:126" hidden="1">
      <c r="A110" t="s">
        <v>4901</v>
      </c>
      <c r="B110" t="s">
        <v>4868</v>
      </c>
      <c r="C110">
        <v>2020</v>
      </c>
      <c r="D110">
        <v>3</v>
      </c>
      <c r="E110" t="s">
        <v>4884</v>
      </c>
      <c r="F110" t="s">
        <v>4885</v>
      </c>
      <c r="G110" s="2042">
        <v>43921</v>
      </c>
      <c r="H110" t="s">
        <v>4880</v>
      </c>
      <c r="I110" t="s">
        <v>4880</v>
      </c>
      <c r="J110" t="s">
        <v>4881</v>
      </c>
      <c r="K110" t="s">
        <v>4746</v>
      </c>
      <c r="L110" t="s">
        <v>4882</v>
      </c>
      <c r="M110" t="s">
        <v>4882</v>
      </c>
      <c r="N110" t="s">
        <v>4883</v>
      </c>
      <c r="O110" t="s">
        <v>4879</v>
      </c>
      <c r="P110" t="s">
        <v>4743</v>
      </c>
      <c r="Q110" s="2042">
        <v>42826</v>
      </c>
      <c r="R110" s="2042">
        <v>42826</v>
      </c>
      <c r="S110">
        <v>220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33400000</v>
      </c>
      <c r="AQ110">
        <v>0</v>
      </c>
      <c r="AR110">
        <v>0</v>
      </c>
      <c r="AS110">
        <v>0</v>
      </c>
      <c r="AT110">
        <v>0</v>
      </c>
      <c r="AU110">
        <v>0</v>
      </c>
      <c r="AV110">
        <v>0</v>
      </c>
      <c r="AW110">
        <v>0</v>
      </c>
      <c r="AX110">
        <v>0</v>
      </c>
      <c r="AY110">
        <v>33400000</v>
      </c>
      <c r="AZ110">
        <v>33400000</v>
      </c>
      <c r="BA110">
        <v>0</v>
      </c>
      <c r="BB110">
        <v>0</v>
      </c>
      <c r="BC110">
        <v>0</v>
      </c>
      <c r="BD110">
        <v>0</v>
      </c>
      <c r="BE110">
        <v>0</v>
      </c>
      <c r="BF110">
        <v>0</v>
      </c>
      <c r="BG110">
        <v>0</v>
      </c>
      <c r="BH110">
        <v>0</v>
      </c>
      <c r="BI110">
        <v>0</v>
      </c>
      <c r="BJ110">
        <v>0</v>
      </c>
      <c r="BK110">
        <v>0</v>
      </c>
      <c r="BL110">
        <v>6346000</v>
      </c>
      <c r="BM110">
        <v>634600</v>
      </c>
      <c r="BN110">
        <v>347330</v>
      </c>
      <c r="BO110">
        <v>34810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c r="DN110">
        <v>0</v>
      </c>
      <c r="DO110">
        <v>0</v>
      </c>
      <c r="DP110">
        <v>0</v>
      </c>
      <c r="DQ110">
        <v>0</v>
      </c>
      <c r="DR110">
        <v>0</v>
      </c>
      <c r="DS110">
        <v>0</v>
      </c>
      <c r="DT110">
        <v>7362740</v>
      </c>
      <c r="DU110">
        <v>26037260</v>
      </c>
      <c r="DV110">
        <v>0</v>
      </c>
    </row>
    <row r="111" spans="1:126" hidden="1">
      <c r="A111" t="s">
        <v>4901</v>
      </c>
      <c r="B111" t="s">
        <v>4868</v>
      </c>
      <c r="C111">
        <v>2021</v>
      </c>
      <c r="D111">
        <v>6</v>
      </c>
      <c r="E111" t="s">
        <v>4884</v>
      </c>
      <c r="F111" t="s">
        <v>4885</v>
      </c>
      <c r="G111" s="2042">
        <v>44371</v>
      </c>
      <c r="H111" t="s">
        <v>4870</v>
      </c>
      <c r="I111" t="s">
        <v>4870</v>
      </c>
      <c r="J111" t="s">
        <v>4871</v>
      </c>
      <c r="K111" t="s">
        <v>4746</v>
      </c>
      <c r="L111" t="s">
        <v>4872</v>
      </c>
      <c r="M111" t="s">
        <v>4872</v>
      </c>
      <c r="N111" t="s">
        <v>4873</v>
      </c>
      <c r="O111" t="s">
        <v>4879</v>
      </c>
      <c r="P111" t="s">
        <v>4743</v>
      </c>
      <c r="Q111" s="2042">
        <v>43191</v>
      </c>
      <c r="R111" s="2042">
        <v>43191</v>
      </c>
      <c r="S111">
        <v>220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92200000</v>
      </c>
      <c r="AQ111">
        <v>0</v>
      </c>
      <c r="AR111">
        <v>0</v>
      </c>
      <c r="AS111">
        <v>0</v>
      </c>
      <c r="AT111">
        <v>0</v>
      </c>
      <c r="AU111">
        <v>0</v>
      </c>
      <c r="AV111">
        <v>0</v>
      </c>
      <c r="AW111">
        <v>0</v>
      </c>
      <c r="AX111">
        <v>0</v>
      </c>
      <c r="AY111">
        <v>92200000</v>
      </c>
      <c r="AZ111" s="2048">
        <v>92200000</v>
      </c>
      <c r="BA111">
        <v>0</v>
      </c>
      <c r="BB111">
        <v>0</v>
      </c>
      <c r="BC111">
        <v>0</v>
      </c>
      <c r="BD111">
        <v>0</v>
      </c>
      <c r="BE111">
        <v>0</v>
      </c>
      <c r="BF111">
        <v>0</v>
      </c>
      <c r="BG111">
        <v>0</v>
      </c>
      <c r="BH111">
        <v>0</v>
      </c>
      <c r="BI111">
        <v>0</v>
      </c>
      <c r="BJ111">
        <v>0</v>
      </c>
      <c r="BK111">
        <v>0</v>
      </c>
      <c r="BL111">
        <v>41490000</v>
      </c>
      <c r="BM111">
        <v>4149000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0</v>
      </c>
      <c r="DO111">
        <v>0</v>
      </c>
      <c r="DP111">
        <v>0</v>
      </c>
      <c r="DQ111">
        <v>0</v>
      </c>
      <c r="DR111">
        <v>0</v>
      </c>
      <c r="DS111">
        <v>0</v>
      </c>
      <c r="DT111" s="2048">
        <v>45639000</v>
      </c>
      <c r="DU111" s="2048">
        <v>46561000</v>
      </c>
      <c r="DV111">
        <v>0</v>
      </c>
    </row>
    <row r="112" spans="1:126" hidden="1">
      <c r="A112" t="s">
        <v>4901</v>
      </c>
      <c r="B112" t="s">
        <v>4868</v>
      </c>
      <c r="C112">
        <v>2021</v>
      </c>
      <c r="D112">
        <v>5</v>
      </c>
      <c r="E112" t="s">
        <v>4884</v>
      </c>
      <c r="F112" t="s">
        <v>4885</v>
      </c>
      <c r="G112" s="2042">
        <v>44340</v>
      </c>
      <c r="H112" t="s">
        <v>4870</v>
      </c>
      <c r="I112" t="s">
        <v>4870</v>
      </c>
      <c r="J112" t="s">
        <v>4871</v>
      </c>
      <c r="K112" t="s">
        <v>4746</v>
      </c>
      <c r="L112" t="s">
        <v>4872</v>
      </c>
      <c r="M112" t="s">
        <v>4872</v>
      </c>
      <c r="N112" t="s">
        <v>4873</v>
      </c>
      <c r="O112" t="s">
        <v>4879</v>
      </c>
      <c r="P112" t="s">
        <v>4743</v>
      </c>
      <c r="Q112" s="2042">
        <v>43191</v>
      </c>
      <c r="R112" s="2042">
        <v>43191</v>
      </c>
      <c r="S112">
        <v>220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92200000</v>
      </c>
      <c r="AQ112">
        <v>0</v>
      </c>
      <c r="AR112">
        <v>0</v>
      </c>
      <c r="AS112">
        <v>0</v>
      </c>
      <c r="AT112">
        <v>0</v>
      </c>
      <c r="AU112">
        <v>0</v>
      </c>
      <c r="AV112">
        <v>0</v>
      </c>
      <c r="AW112">
        <v>0</v>
      </c>
      <c r="AX112">
        <v>0</v>
      </c>
      <c r="AY112">
        <v>92200000</v>
      </c>
      <c r="AZ112" s="2048">
        <v>92200000</v>
      </c>
      <c r="BA112">
        <v>0</v>
      </c>
      <c r="BB112">
        <v>0</v>
      </c>
      <c r="BC112">
        <v>0</v>
      </c>
      <c r="BD112">
        <v>0</v>
      </c>
      <c r="BE112">
        <v>0</v>
      </c>
      <c r="BF112">
        <v>0</v>
      </c>
      <c r="BG112">
        <v>0</v>
      </c>
      <c r="BH112">
        <v>0</v>
      </c>
      <c r="BI112">
        <v>0</v>
      </c>
      <c r="BJ112">
        <v>0</v>
      </c>
      <c r="BK112">
        <v>0</v>
      </c>
      <c r="BL112">
        <v>41490000</v>
      </c>
      <c r="BM112">
        <v>4149000</v>
      </c>
      <c r="BN112">
        <v>0</v>
      </c>
      <c r="BO112">
        <v>0</v>
      </c>
      <c r="BP112">
        <v>0</v>
      </c>
      <c r="BQ112">
        <v>0</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c r="DN112">
        <v>0</v>
      </c>
      <c r="DO112">
        <v>0</v>
      </c>
      <c r="DP112">
        <v>0</v>
      </c>
      <c r="DQ112">
        <v>0</v>
      </c>
      <c r="DR112">
        <v>0</v>
      </c>
      <c r="DS112">
        <v>0</v>
      </c>
      <c r="DT112" s="2048">
        <v>45639000</v>
      </c>
      <c r="DU112" s="2048">
        <v>46561000</v>
      </c>
      <c r="DV112">
        <v>0</v>
      </c>
    </row>
    <row r="113" spans="1:126" hidden="1">
      <c r="A113" t="s">
        <v>4901</v>
      </c>
      <c r="B113" t="s">
        <v>4868</v>
      </c>
      <c r="C113">
        <v>2021</v>
      </c>
      <c r="D113">
        <v>4</v>
      </c>
      <c r="E113" t="s">
        <v>4884</v>
      </c>
      <c r="F113" t="s">
        <v>4885</v>
      </c>
      <c r="G113" s="2042">
        <v>44309</v>
      </c>
      <c r="H113" t="s">
        <v>4870</v>
      </c>
      <c r="I113" t="s">
        <v>4870</v>
      </c>
      <c r="J113" t="s">
        <v>4871</v>
      </c>
      <c r="K113" t="s">
        <v>4746</v>
      </c>
      <c r="L113" t="s">
        <v>4872</v>
      </c>
      <c r="M113" t="s">
        <v>4872</v>
      </c>
      <c r="N113" t="s">
        <v>4873</v>
      </c>
      <c r="O113" t="s">
        <v>4879</v>
      </c>
      <c r="P113" t="s">
        <v>4743</v>
      </c>
      <c r="Q113" s="2042">
        <v>43191</v>
      </c>
      <c r="R113" s="2042">
        <v>43191</v>
      </c>
      <c r="S113">
        <v>220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92200000</v>
      </c>
      <c r="AQ113">
        <v>0</v>
      </c>
      <c r="AR113">
        <v>0</v>
      </c>
      <c r="AS113">
        <v>0</v>
      </c>
      <c r="AT113">
        <v>0</v>
      </c>
      <c r="AU113">
        <v>0</v>
      </c>
      <c r="AV113">
        <v>0</v>
      </c>
      <c r="AW113">
        <v>0</v>
      </c>
      <c r="AX113">
        <v>0</v>
      </c>
      <c r="AY113">
        <v>92200000</v>
      </c>
      <c r="AZ113" s="2048">
        <v>92200000</v>
      </c>
      <c r="BA113">
        <v>0</v>
      </c>
      <c r="BB113">
        <v>0</v>
      </c>
      <c r="BC113">
        <v>0</v>
      </c>
      <c r="BD113">
        <v>0</v>
      </c>
      <c r="BE113">
        <v>0</v>
      </c>
      <c r="BF113">
        <v>0</v>
      </c>
      <c r="BG113">
        <v>0</v>
      </c>
      <c r="BH113">
        <v>0</v>
      </c>
      <c r="BI113">
        <v>0</v>
      </c>
      <c r="BJ113">
        <v>0</v>
      </c>
      <c r="BK113">
        <v>0</v>
      </c>
      <c r="BL113">
        <v>34557030</v>
      </c>
      <c r="BM113">
        <v>3455700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0</v>
      </c>
      <c r="DH113">
        <v>0</v>
      </c>
      <c r="DI113">
        <v>0</v>
      </c>
      <c r="DJ113">
        <v>0</v>
      </c>
      <c r="DK113">
        <v>0</v>
      </c>
      <c r="DL113">
        <v>0</v>
      </c>
      <c r="DM113">
        <v>0</v>
      </c>
      <c r="DN113">
        <v>0</v>
      </c>
      <c r="DO113">
        <v>0</v>
      </c>
      <c r="DP113">
        <v>0</v>
      </c>
      <c r="DQ113">
        <v>0</v>
      </c>
      <c r="DR113">
        <v>0</v>
      </c>
      <c r="DS113">
        <v>0</v>
      </c>
      <c r="DT113" s="2048">
        <v>38012730</v>
      </c>
      <c r="DU113" s="2048">
        <v>54187270</v>
      </c>
      <c r="DV113">
        <v>0</v>
      </c>
    </row>
    <row r="114" spans="1:126" hidden="1">
      <c r="A114" t="s">
        <v>4901</v>
      </c>
      <c r="B114" t="s">
        <v>4868</v>
      </c>
      <c r="C114">
        <v>2021</v>
      </c>
      <c r="D114">
        <v>3</v>
      </c>
      <c r="E114" t="s">
        <v>4884</v>
      </c>
      <c r="F114" t="s">
        <v>4885</v>
      </c>
      <c r="G114" s="2042">
        <v>44279</v>
      </c>
      <c r="H114" t="s">
        <v>4870</v>
      </c>
      <c r="I114" t="s">
        <v>4870</v>
      </c>
      <c r="J114" t="s">
        <v>4871</v>
      </c>
      <c r="K114" t="s">
        <v>4746</v>
      </c>
      <c r="L114" t="s">
        <v>4872</v>
      </c>
      <c r="M114" t="s">
        <v>4872</v>
      </c>
      <c r="N114" t="s">
        <v>4873</v>
      </c>
      <c r="O114" t="s">
        <v>4879</v>
      </c>
      <c r="P114" t="s">
        <v>4743</v>
      </c>
      <c r="Q114" s="2042">
        <v>43191</v>
      </c>
      <c r="R114" s="2042">
        <v>43191</v>
      </c>
      <c r="S114">
        <v>220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92200000</v>
      </c>
      <c r="AQ114">
        <v>0</v>
      </c>
      <c r="AR114">
        <v>0</v>
      </c>
      <c r="AS114">
        <v>0</v>
      </c>
      <c r="AT114">
        <v>0</v>
      </c>
      <c r="AU114">
        <v>0</v>
      </c>
      <c r="AV114">
        <v>0</v>
      </c>
      <c r="AW114">
        <v>0</v>
      </c>
      <c r="AX114">
        <v>0</v>
      </c>
      <c r="AY114">
        <v>92200000</v>
      </c>
      <c r="AZ114" s="2048">
        <v>92200000</v>
      </c>
      <c r="BA114">
        <v>0</v>
      </c>
      <c r="BB114">
        <v>0</v>
      </c>
      <c r="BC114">
        <v>0</v>
      </c>
      <c r="BD114">
        <v>0</v>
      </c>
      <c r="BE114">
        <v>0</v>
      </c>
      <c r="BF114">
        <v>0</v>
      </c>
      <c r="BG114">
        <v>0</v>
      </c>
      <c r="BH114">
        <v>0</v>
      </c>
      <c r="BI114">
        <v>0</v>
      </c>
      <c r="BJ114">
        <v>0</v>
      </c>
      <c r="BK114">
        <v>0</v>
      </c>
      <c r="BL114">
        <v>41490000</v>
      </c>
      <c r="BM114">
        <v>4149000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c r="DN114">
        <v>0</v>
      </c>
      <c r="DO114">
        <v>0</v>
      </c>
      <c r="DP114">
        <v>0</v>
      </c>
      <c r="DQ114">
        <v>0</v>
      </c>
      <c r="DR114">
        <v>0</v>
      </c>
      <c r="DS114">
        <v>0</v>
      </c>
      <c r="DT114" s="2048">
        <v>45639000</v>
      </c>
      <c r="DU114" s="2048">
        <v>46561000</v>
      </c>
      <c r="DV114">
        <v>0</v>
      </c>
    </row>
    <row r="115" spans="1:126" hidden="1">
      <c r="A115" t="s">
        <v>4901</v>
      </c>
      <c r="B115" t="s">
        <v>4868</v>
      </c>
      <c r="C115">
        <v>2021</v>
      </c>
      <c r="D115">
        <v>2</v>
      </c>
      <c r="E115" t="s">
        <v>4884</v>
      </c>
      <c r="F115" t="s">
        <v>4885</v>
      </c>
      <c r="G115" s="2042">
        <v>44251</v>
      </c>
      <c r="H115" t="s">
        <v>4870</v>
      </c>
      <c r="I115" t="s">
        <v>4870</v>
      </c>
      <c r="J115" t="s">
        <v>4871</v>
      </c>
      <c r="K115" t="s">
        <v>4746</v>
      </c>
      <c r="L115" t="s">
        <v>4872</v>
      </c>
      <c r="M115" t="s">
        <v>4872</v>
      </c>
      <c r="N115" t="s">
        <v>4873</v>
      </c>
      <c r="O115" t="s">
        <v>4879</v>
      </c>
      <c r="P115" t="s">
        <v>4743</v>
      </c>
      <c r="Q115" s="2042">
        <v>43191</v>
      </c>
      <c r="R115" s="2042">
        <v>43191</v>
      </c>
      <c r="S115">
        <v>220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92200000</v>
      </c>
      <c r="AQ115">
        <v>0</v>
      </c>
      <c r="AR115">
        <v>0</v>
      </c>
      <c r="AS115">
        <v>0</v>
      </c>
      <c r="AT115">
        <v>0</v>
      </c>
      <c r="AU115">
        <v>0</v>
      </c>
      <c r="AV115">
        <v>0</v>
      </c>
      <c r="AW115">
        <v>0</v>
      </c>
      <c r="AX115">
        <v>0</v>
      </c>
      <c r="AY115">
        <v>92200000</v>
      </c>
      <c r="AZ115" s="2048">
        <v>92200000</v>
      </c>
      <c r="BA115">
        <v>0</v>
      </c>
      <c r="BB115">
        <v>0</v>
      </c>
      <c r="BC115">
        <v>0</v>
      </c>
      <c r="BD115">
        <v>0</v>
      </c>
      <c r="BE115">
        <v>0</v>
      </c>
      <c r="BF115">
        <v>0</v>
      </c>
      <c r="BG115">
        <v>0</v>
      </c>
      <c r="BH115">
        <v>0</v>
      </c>
      <c r="BI115">
        <v>0</v>
      </c>
      <c r="BJ115">
        <v>0</v>
      </c>
      <c r="BK115">
        <v>0</v>
      </c>
      <c r="BL115">
        <v>38724000</v>
      </c>
      <c r="BM115">
        <v>3872400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c r="DN115">
        <v>0</v>
      </c>
      <c r="DO115">
        <v>0</v>
      </c>
      <c r="DP115">
        <v>0</v>
      </c>
      <c r="DQ115">
        <v>0</v>
      </c>
      <c r="DR115">
        <v>0</v>
      </c>
      <c r="DS115">
        <v>0</v>
      </c>
      <c r="DT115" s="2048">
        <v>42596400</v>
      </c>
      <c r="DU115" s="2048">
        <v>49603600</v>
      </c>
      <c r="DV115">
        <v>0</v>
      </c>
    </row>
    <row r="116" spans="1:126" hidden="1">
      <c r="A116" t="s">
        <v>4901</v>
      </c>
      <c r="B116" t="s">
        <v>4868</v>
      </c>
      <c r="C116">
        <v>2021</v>
      </c>
      <c r="D116">
        <v>1</v>
      </c>
      <c r="E116" t="s">
        <v>4884</v>
      </c>
      <c r="F116" t="s">
        <v>4885</v>
      </c>
      <c r="G116" s="2042">
        <v>44218</v>
      </c>
      <c r="H116" t="s">
        <v>4870</v>
      </c>
      <c r="I116" t="s">
        <v>4870</v>
      </c>
      <c r="J116" t="s">
        <v>4871</v>
      </c>
      <c r="K116" t="s">
        <v>4746</v>
      </c>
      <c r="L116" t="s">
        <v>4872</v>
      </c>
      <c r="M116" t="s">
        <v>4872</v>
      </c>
      <c r="N116" t="s">
        <v>4873</v>
      </c>
      <c r="O116" t="s">
        <v>4879</v>
      </c>
      <c r="P116" t="s">
        <v>4743</v>
      </c>
      <c r="Q116" s="2042">
        <v>43191</v>
      </c>
      <c r="R116" s="2042">
        <v>43191</v>
      </c>
      <c r="S116">
        <v>220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92200000</v>
      </c>
      <c r="AQ116">
        <v>0</v>
      </c>
      <c r="AR116">
        <v>0</v>
      </c>
      <c r="AS116">
        <v>0</v>
      </c>
      <c r="AT116">
        <v>0</v>
      </c>
      <c r="AU116">
        <v>0</v>
      </c>
      <c r="AV116">
        <v>0</v>
      </c>
      <c r="AW116">
        <v>0</v>
      </c>
      <c r="AX116">
        <v>0</v>
      </c>
      <c r="AY116">
        <v>92200000</v>
      </c>
      <c r="AZ116" s="2048">
        <v>92200000</v>
      </c>
      <c r="BA116">
        <v>0</v>
      </c>
      <c r="BB116">
        <v>0</v>
      </c>
      <c r="BC116">
        <v>0</v>
      </c>
      <c r="BD116">
        <v>0</v>
      </c>
      <c r="BE116">
        <v>0</v>
      </c>
      <c r="BF116">
        <v>0</v>
      </c>
      <c r="BG116">
        <v>0</v>
      </c>
      <c r="BH116">
        <v>0</v>
      </c>
      <c r="BI116">
        <v>0</v>
      </c>
      <c r="BJ116">
        <v>0</v>
      </c>
      <c r="BK116">
        <v>0</v>
      </c>
      <c r="BL116">
        <v>38724000</v>
      </c>
      <c r="BM116">
        <v>3872400</v>
      </c>
      <c r="BN116">
        <v>0</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c r="DN116">
        <v>0</v>
      </c>
      <c r="DO116">
        <v>0</v>
      </c>
      <c r="DP116">
        <v>0</v>
      </c>
      <c r="DQ116">
        <v>0</v>
      </c>
      <c r="DR116">
        <v>0</v>
      </c>
      <c r="DS116">
        <v>0</v>
      </c>
      <c r="DT116" s="2048">
        <v>42596400</v>
      </c>
      <c r="DU116" s="2048">
        <v>49603600</v>
      </c>
      <c r="DV116">
        <v>0</v>
      </c>
    </row>
    <row r="117" spans="1:126" hidden="1">
      <c r="A117" t="s">
        <v>4901</v>
      </c>
      <c r="B117" t="s">
        <v>4868</v>
      </c>
      <c r="C117">
        <v>2021</v>
      </c>
      <c r="D117">
        <v>6</v>
      </c>
      <c r="E117" t="s">
        <v>4884</v>
      </c>
      <c r="F117" t="s">
        <v>4885</v>
      </c>
      <c r="G117" s="2042">
        <v>44371</v>
      </c>
      <c r="H117" t="s">
        <v>4880</v>
      </c>
      <c r="I117" t="s">
        <v>4880</v>
      </c>
      <c r="J117" t="s">
        <v>4881</v>
      </c>
      <c r="K117" t="s">
        <v>4746</v>
      </c>
      <c r="L117" t="s">
        <v>4882</v>
      </c>
      <c r="M117" t="s">
        <v>4882</v>
      </c>
      <c r="N117" t="s">
        <v>4883</v>
      </c>
      <c r="O117" t="s">
        <v>4879</v>
      </c>
      <c r="P117" t="s">
        <v>4743</v>
      </c>
      <c r="Q117" s="2042">
        <v>42826</v>
      </c>
      <c r="R117" s="2042">
        <v>42826</v>
      </c>
      <c r="S117">
        <v>220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11140000</v>
      </c>
      <c r="AQ117">
        <v>0</v>
      </c>
      <c r="AR117">
        <v>0</v>
      </c>
      <c r="AS117">
        <v>0</v>
      </c>
      <c r="AT117">
        <v>0</v>
      </c>
      <c r="AU117">
        <v>0</v>
      </c>
      <c r="AV117">
        <v>0</v>
      </c>
      <c r="AW117">
        <v>0</v>
      </c>
      <c r="AX117">
        <v>0</v>
      </c>
      <c r="AY117">
        <v>11140000</v>
      </c>
      <c r="AZ117">
        <v>11140000</v>
      </c>
      <c r="BA117">
        <v>0</v>
      </c>
      <c r="BB117">
        <v>0</v>
      </c>
      <c r="BC117">
        <v>0</v>
      </c>
      <c r="BD117">
        <v>0</v>
      </c>
      <c r="BE117">
        <v>0</v>
      </c>
      <c r="BF117">
        <v>0</v>
      </c>
      <c r="BG117">
        <v>0</v>
      </c>
      <c r="BH117">
        <v>0</v>
      </c>
      <c r="BI117">
        <v>0</v>
      </c>
      <c r="BJ117">
        <v>0</v>
      </c>
      <c r="BK117">
        <v>0</v>
      </c>
      <c r="BL117">
        <v>2116600</v>
      </c>
      <c r="BM117">
        <v>211660</v>
      </c>
      <c r="BN117">
        <v>0</v>
      </c>
      <c r="BO117">
        <v>0</v>
      </c>
      <c r="BP117">
        <v>0</v>
      </c>
      <c r="BQ117">
        <v>0</v>
      </c>
      <c r="BR117">
        <v>0</v>
      </c>
      <c r="BS117">
        <v>0</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c r="DM117">
        <v>0</v>
      </c>
      <c r="DN117">
        <v>0</v>
      </c>
      <c r="DO117">
        <v>0</v>
      </c>
      <c r="DP117">
        <v>0</v>
      </c>
      <c r="DQ117">
        <v>0</v>
      </c>
      <c r="DR117">
        <v>0</v>
      </c>
      <c r="DS117">
        <v>0</v>
      </c>
      <c r="DT117">
        <v>2328260</v>
      </c>
      <c r="DU117">
        <v>8811740</v>
      </c>
      <c r="DV117">
        <v>0</v>
      </c>
    </row>
    <row r="118" spans="1:126" hidden="1">
      <c r="A118" t="s">
        <v>4901</v>
      </c>
      <c r="B118" t="s">
        <v>4868</v>
      </c>
      <c r="C118">
        <v>2021</v>
      </c>
      <c r="D118">
        <v>5</v>
      </c>
      <c r="E118" t="s">
        <v>4884</v>
      </c>
      <c r="F118" t="s">
        <v>4885</v>
      </c>
      <c r="G118" s="2042">
        <v>44340</v>
      </c>
      <c r="H118" t="s">
        <v>4880</v>
      </c>
      <c r="I118" t="s">
        <v>4880</v>
      </c>
      <c r="J118" t="s">
        <v>4881</v>
      </c>
      <c r="K118" t="s">
        <v>4746</v>
      </c>
      <c r="L118" t="s">
        <v>4882</v>
      </c>
      <c r="M118" t="s">
        <v>4882</v>
      </c>
      <c r="N118" t="s">
        <v>4883</v>
      </c>
      <c r="O118" t="s">
        <v>4879</v>
      </c>
      <c r="P118" t="s">
        <v>4743</v>
      </c>
      <c r="Q118" s="2042">
        <v>42826</v>
      </c>
      <c r="R118" s="2042">
        <v>42826</v>
      </c>
      <c r="S118">
        <v>220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11140000</v>
      </c>
      <c r="AQ118">
        <v>0</v>
      </c>
      <c r="AR118">
        <v>0</v>
      </c>
      <c r="AS118">
        <v>0</v>
      </c>
      <c r="AT118">
        <v>0</v>
      </c>
      <c r="AU118">
        <v>0</v>
      </c>
      <c r="AV118">
        <v>0</v>
      </c>
      <c r="AW118">
        <v>0</v>
      </c>
      <c r="AX118">
        <v>0</v>
      </c>
      <c r="AY118">
        <v>11140000</v>
      </c>
      <c r="AZ118">
        <v>11140000</v>
      </c>
      <c r="BA118">
        <v>0</v>
      </c>
      <c r="BB118">
        <v>0</v>
      </c>
      <c r="BC118">
        <v>0</v>
      </c>
      <c r="BD118">
        <v>0</v>
      </c>
      <c r="BE118">
        <v>0</v>
      </c>
      <c r="BF118">
        <v>0</v>
      </c>
      <c r="BG118">
        <v>0</v>
      </c>
      <c r="BH118">
        <v>0</v>
      </c>
      <c r="BI118">
        <v>0</v>
      </c>
      <c r="BJ118">
        <v>0</v>
      </c>
      <c r="BK118">
        <v>0</v>
      </c>
      <c r="BL118">
        <v>2116600</v>
      </c>
      <c r="BM118">
        <v>211660</v>
      </c>
      <c r="BN118">
        <v>0</v>
      </c>
      <c r="BO118">
        <v>0</v>
      </c>
      <c r="BP118">
        <v>0</v>
      </c>
      <c r="BQ118">
        <v>0</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c r="DN118">
        <v>0</v>
      </c>
      <c r="DO118">
        <v>0</v>
      </c>
      <c r="DP118">
        <v>0</v>
      </c>
      <c r="DQ118">
        <v>0</v>
      </c>
      <c r="DR118">
        <v>0</v>
      </c>
      <c r="DS118">
        <v>0</v>
      </c>
      <c r="DT118">
        <v>2328260</v>
      </c>
      <c r="DU118">
        <v>8811740</v>
      </c>
      <c r="DV118">
        <v>0</v>
      </c>
    </row>
    <row r="119" spans="1:126" hidden="1">
      <c r="A119" t="s">
        <v>4901</v>
      </c>
      <c r="B119" t="s">
        <v>4868</v>
      </c>
      <c r="C119">
        <v>2021</v>
      </c>
      <c r="D119">
        <v>4</v>
      </c>
      <c r="E119" t="s">
        <v>4884</v>
      </c>
      <c r="F119" t="s">
        <v>4885</v>
      </c>
      <c r="G119" s="2042">
        <v>44309</v>
      </c>
      <c r="H119" t="s">
        <v>4880</v>
      </c>
      <c r="I119" t="s">
        <v>4880</v>
      </c>
      <c r="J119" t="s">
        <v>4881</v>
      </c>
      <c r="K119" t="s">
        <v>4746</v>
      </c>
      <c r="L119" t="s">
        <v>4882</v>
      </c>
      <c r="M119" t="s">
        <v>4882</v>
      </c>
      <c r="N119" t="s">
        <v>4883</v>
      </c>
      <c r="O119" t="s">
        <v>4879</v>
      </c>
      <c r="P119" t="s">
        <v>4743</v>
      </c>
      <c r="Q119" s="2042">
        <v>42826</v>
      </c>
      <c r="R119" s="2042">
        <v>42826</v>
      </c>
      <c r="S119">
        <v>220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11140000</v>
      </c>
      <c r="AQ119">
        <v>0</v>
      </c>
      <c r="AR119">
        <v>0</v>
      </c>
      <c r="AS119">
        <v>0</v>
      </c>
      <c r="AT119">
        <v>0</v>
      </c>
      <c r="AU119">
        <v>0</v>
      </c>
      <c r="AV119">
        <v>0</v>
      </c>
      <c r="AW119">
        <v>0</v>
      </c>
      <c r="AX119">
        <v>0</v>
      </c>
      <c r="AY119">
        <v>11140000</v>
      </c>
      <c r="AZ119">
        <v>11140000</v>
      </c>
      <c r="BA119">
        <v>0</v>
      </c>
      <c r="BB119">
        <v>0</v>
      </c>
      <c r="BC119">
        <v>0</v>
      </c>
      <c r="BD119">
        <v>0</v>
      </c>
      <c r="BE119">
        <v>0</v>
      </c>
      <c r="BF119">
        <v>0</v>
      </c>
      <c r="BG119">
        <v>0</v>
      </c>
      <c r="BH119">
        <v>0</v>
      </c>
      <c r="BI119">
        <v>0</v>
      </c>
      <c r="BJ119">
        <v>0</v>
      </c>
      <c r="BK119">
        <v>0</v>
      </c>
      <c r="BL119">
        <v>2116580</v>
      </c>
      <c r="BM119">
        <v>211650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c r="DN119">
        <v>0</v>
      </c>
      <c r="DO119">
        <v>0</v>
      </c>
      <c r="DP119">
        <v>0</v>
      </c>
      <c r="DQ119">
        <v>0</v>
      </c>
      <c r="DR119">
        <v>0</v>
      </c>
      <c r="DS119">
        <v>0</v>
      </c>
      <c r="DT119">
        <v>2328230</v>
      </c>
      <c r="DU119">
        <v>8811770</v>
      </c>
      <c r="DV119">
        <v>0</v>
      </c>
    </row>
    <row r="120" spans="1:126" hidden="1">
      <c r="A120" t="s">
        <v>4901</v>
      </c>
      <c r="B120" t="s">
        <v>4868</v>
      </c>
      <c r="C120">
        <v>2021</v>
      </c>
      <c r="D120">
        <v>3</v>
      </c>
      <c r="E120" t="s">
        <v>4884</v>
      </c>
      <c r="F120" t="s">
        <v>4885</v>
      </c>
      <c r="G120" s="2042">
        <v>44279</v>
      </c>
      <c r="H120" t="s">
        <v>4880</v>
      </c>
      <c r="I120" t="s">
        <v>4880</v>
      </c>
      <c r="J120" t="s">
        <v>4881</v>
      </c>
      <c r="K120" t="s">
        <v>4746</v>
      </c>
      <c r="L120" t="s">
        <v>4882</v>
      </c>
      <c r="M120" t="s">
        <v>4882</v>
      </c>
      <c r="N120" t="s">
        <v>4883</v>
      </c>
      <c r="O120" t="s">
        <v>4879</v>
      </c>
      <c r="P120" t="s">
        <v>4743</v>
      </c>
      <c r="Q120" s="2042">
        <v>42826</v>
      </c>
      <c r="R120" s="2042">
        <v>42826</v>
      </c>
      <c r="S120">
        <v>220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11140000</v>
      </c>
      <c r="AQ120">
        <v>0</v>
      </c>
      <c r="AR120">
        <v>0</v>
      </c>
      <c r="AS120">
        <v>0</v>
      </c>
      <c r="AT120">
        <v>0</v>
      </c>
      <c r="AU120">
        <v>0</v>
      </c>
      <c r="AV120">
        <v>0</v>
      </c>
      <c r="AW120">
        <v>0</v>
      </c>
      <c r="AX120">
        <v>0</v>
      </c>
      <c r="AY120">
        <v>11140000</v>
      </c>
      <c r="AZ120">
        <v>11140000</v>
      </c>
      <c r="BA120">
        <v>0</v>
      </c>
      <c r="BB120">
        <v>0</v>
      </c>
      <c r="BC120">
        <v>0</v>
      </c>
      <c r="BD120">
        <v>0</v>
      </c>
      <c r="BE120">
        <v>0</v>
      </c>
      <c r="BF120">
        <v>0</v>
      </c>
      <c r="BG120">
        <v>0</v>
      </c>
      <c r="BH120">
        <v>0</v>
      </c>
      <c r="BI120">
        <v>0</v>
      </c>
      <c r="BJ120">
        <v>0</v>
      </c>
      <c r="BK120">
        <v>0</v>
      </c>
      <c r="BL120">
        <v>2116600</v>
      </c>
      <c r="BM120">
        <v>211660</v>
      </c>
      <c r="BN120">
        <v>0</v>
      </c>
      <c r="BO120">
        <v>0</v>
      </c>
      <c r="BP120">
        <v>0</v>
      </c>
      <c r="BQ120">
        <v>0</v>
      </c>
      <c r="BR120">
        <v>0</v>
      </c>
      <c r="BS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S120">
        <v>0</v>
      </c>
      <c r="DT120">
        <v>2328260</v>
      </c>
      <c r="DU120">
        <v>8811740</v>
      </c>
      <c r="DV120">
        <v>0</v>
      </c>
    </row>
    <row r="121" spans="1:126" hidden="1">
      <c r="A121" t="s">
        <v>4901</v>
      </c>
      <c r="B121" t="s">
        <v>4868</v>
      </c>
      <c r="C121">
        <v>2021</v>
      </c>
      <c r="D121">
        <v>2</v>
      </c>
      <c r="E121" t="s">
        <v>4884</v>
      </c>
      <c r="F121" t="s">
        <v>4885</v>
      </c>
      <c r="G121" s="2042">
        <v>44251</v>
      </c>
      <c r="H121" t="s">
        <v>4880</v>
      </c>
      <c r="I121" t="s">
        <v>4880</v>
      </c>
      <c r="J121" t="s">
        <v>4881</v>
      </c>
      <c r="K121" t="s">
        <v>4746</v>
      </c>
      <c r="L121" t="s">
        <v>4882</v>
      </c>
      <c r="M121" t="s">
        <v>4882</v>
      </c>
      <c r="N121" t="s">
        <v>4883</v>
      </c>
      <c r="O121" t="s">
        <v>4879</v>
      </c>
      <c r="P121" t="s">
        <v>4743</v>
      </c>
      <c r="Q121" s="2042">
        <v>42826</v>
      </c>
      <c r="R121" s="2042">
        <v>42826</v>
      </c>
      <c r="S121">
        <v>220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11140000</v>
      </c>
      <c r="AQ121">
        <v>0</v>
      </c>
      <c r="AR121">
        <v>0</v>
      </c>
      <c r="AS121">
        <v>0</v>
      </c>
      <c r="AT121">
        <v>0</v>
      </c>
      <c r="AU121">
        <v>0</v>
      </c>
      <c r="AV121">
        <v>0</v>
      </c>
      <c r="AW121">
        <v>0</v>
      </c>
      <c r="AX121">
        <v>0</v>
      </c>
      <c r="AY121">
        <v>11140000</v>
      </c>
      <c r="AZ121">
        <v>11140000</v>
      </c>
      <c r="BA121">
        <v>0</v>
      </c>
      <c r="BB121">
        <v>0</v>
      </c>
      <c r="BC121">
        <v>0</v>
      </c>
      <c r="BD121">
        <v>0</v>
      </c>
      <c r="BE121">
        <v>0</v>
      </c>
      <c r="BF121">
        <v>0</v>
      </c>
      <c r="BG121">
        <v>0</v>
      </c>
      <c r="BH121">
        <v>0</v>
      </c>
      <c r="BI121">
        <v>0</v>
      </c>
      <c r="BJ121">
        <v>0</v>
      </c>
      <c r="BK121">
        <v>0</v>
      </c>
      <c r="BL121">
        <v>2116600</v>
      </c>
      <c r="BM121">
        <v>211660</v>
      </c>
      <c r="BN121">
        <v>0</v>
      </c>
      <c r="BO121">
        <v>0</v>
      </c>
      <c r="BP121">
        <v>0</v>
      </c>
      <c r="BQ121">
        <v>0</v>
      </c>
      <c r="BR121">
        <v>0</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S121">
        <v>0</v>
      </c>
      <c r="DT121">
        <v>2328260</v>
      </c>
      <c r="DU121">
        <v>8811740</v>
      </c>
      <c r="DV121">
        <v>0</v>
      </c>
    </row>
    <row r="122" spans="1:126" hidden="1">
      <c r="A122" t="s">
        <v>4901</v>
      </c>
      <c r="B122" t="s">
        <v>4868</v>
      </c>
      <c r="C122">
        <v>2021</v>
      </c>
      <c r="D122">
        <v>1</v>
      </c>
      <c r="E122" t="s">
        <v>4884</v>
      </c>
      <c r="F122" t="s">
        <v>4885</v>
      </c>
      <c r="G122" s="2042">
        <v>44218</v>
      </c>
      <c r="H122" t="s">
        <v>4880</v>
      </c>
      <c r="I122" t="s">
        <v>4880</v>
      </c>
      <c r="J122" t="s">
        <v>4881</v>
      </c>
      <c r="K122" t="s">
        <v>4746</v>
      </c>
      <c r="L122" t="s">
        <v>4882</v>
      </c>
      <c r="M122" t="s">
        <v>4882</v>
      </c>
      <c r="N122" t="s">
        <v>4883</v>
      </c>
      <c r="O122" t="s">
        <v>4879</v>
      </c>
      <c r="P122" t="s">
        <v>4743</v>
      </c>
      <c r="Q122" s="2042">
        <v>42826</v>
      </c>
      <c r="R122" s="2042">
        <v>42826</v>
      </c>
      <c r="S122">
        <v>220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11140000</v>
      </c>
      <c r="AQ122">
        <v>0</v>
      </c>
      <c r="AR122">
        <v>0</v>
      </c>
      <c r="AS122">
        <v>0</v>
      </c>
      <c r="AT122">
        <v>0</v>
      </c>
      <c r="AU122">
        <v>0</v>
      </c>
      <c r="AV122">
        <v>0</v>
      </c>
      <c r="AW122">
        <v>0</v>
      </c>
      <c r="AX122">
        <v>0</v>
      </c>
      <c r="AY122">
        <v>11140000</v>
      </c>
      <c r="AZ122">
        <v>11140000</v>
      </c>
      <c r="BA122">
        <v>0</v>
      </c>
      <c r="BB122">
        <v>0</v>
      </c>
      <c r="BC122">
        <v>0</v>
      </c>
      <c r="BD122">
        <v>0</v>
      </c>
      <c r="BE122">
        <v>0</v>
      </c>
      <c r="BF122">
        <v>0</v>
      </c>
      <c r="BG122">
        <v>0</v>
      </c>
      <c r="BH122">
        <v>0</v>
      </c>
      <c r="BI122">
        <v>0</v>
      </c>
      <c r="BJ122">
        <v>0</v>
      </c>
      <c r="BK122">
        <v>0</v>
      </c>
      <c r="BL122">
        <v>2116600</v>
      </c>
      <c r="BM122">
        <v>211660</v>
      </c>
      <c r="BN122">
        <v>0</v>
      </c>
      <c r="BO122">
        <v>0</v>
      </c>
      <c r="BP122">
        <v>0</v>
      </c>
      <c r="BQ122">
        <v>0</v>
      </c>
      <c r="BR122">
        <v>0</v>
      </c>
      <c r="BS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S122">
        <v>0</v>
      </c>
      <c r="DT122">
        <v>2328260</v>
      </c>
      <c r="DU122">
        <v>8811740</v>
      </c>
      <c r="DV122">
        <v>0</v>
      </c>
    </row>
    <row r="123" spans="1:126">
      <c r="A123" t="s">
        <v>1414</v>
      </c>
      <c r="B123" t="s">
        <v>4876</v>
      </c>
      <c r="C123">
        <v>2018</v>
      </c>
      <c r="D123">
        <v>4</v>
      </c>
      <c r="E123" t="s">
        <v>4886</v>
      </c>
      <c r="F123" t="s">
        <v>4887</v>
      </c>
      <c r="G123" s="2042">
        <v>43203</v>
      </c>
      <c r="H123" t="s">
        <v>4870</v>
      </c>
      <c r="I123" t="s">
        <v>4870</v>
      </c>
      <c r="J123" t="s">
        <v>4871</v>
      </c>
      <c r="K123" t="s">
        <v>4746</v>
      </c>
      <c r="L123" t="s">
        <v>4877</v>
      </c>
      <c r="M123" t="s">
        <v>4877</v>
      </c>
      <c r="N123" t="s">
        <v>4878</v>
      </c>
      <c r="O123" t="s">
        <v>4879</v>
      </c>
      <c r="P123" t="s">
        <v>4743</v>
      </c>
      <c r="Q123" s="2042">
        <v>41913</v>
      </c>
      <c r="R123" s="2042">
        <v>41913</v>
      </c>
      <c r="S123">
        <v>220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1571838400</v>
      </c>
      <c r="BA123">
        <v>-1571838400</v>
      </c>
      <c r="BB123">
        <v>0</v>
      </c>
      <c r="BC123">
        <v>0</v>
      </c>
      <c r="BD123">
        <v>0</v>
      </c>
      <c r="BE123">
        <v>0</v>
      </c>
      <c r="BF123">
        <v>0</v>
      </c>
      <c r="BG123">
        <v>0</v>
      </c>
      <c r="BH123">
        <v>0</v>
      </c>
      <c r="BI123">
        <v>0</v>
      </c>
      <c r="BJ123">
        <v>0</v>
      </c>
      <c r="BK123">
        <v>0</v>
      </c>
      <c r="BL123">
        <v>0</v>
      </c>
      <c r="BM123">
        <v>0</v>
      </c>
      <c r="BN123">
        <v>0</v>
      </c>
      <c r="BO123">
        <v>0</v>
      </c>
      <c r="BP123">
        <v>0</v>
      </c>
      <c r="BQ123">
        <v>0</v>
      </c>
      <c r="BR123">
        <v>0</v>
      </c>
      <c r="BS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S123">
        <v>0</v>
      </c>
      <c r="DT123">
        <v>445085820</v>
      </c>
      <c r="DU123">
        <v>1126752580</v>
      </c>
      <c r="DV123">
        <v>0</v>
      </c>
    </row>
    <row r="124" spans="1:126" hidden="1">
      <c r="A124" t="s">
        <v>4900</v>
      </c>
      <c r="B124" t="s">
        <v>4876</v>
      </c>
      <c r="C124">
        <v>2018</v>
      </c>
      <c r="D124">
        <v>11</v>
      </c>
      <c r="E124" t="s">
        <v>4888</v>
      </c>
      <c r="F124" t="s">
        <v>4889</v>
      </c>
      <c r="G124" s="2042">
        <v>43405</v>
      </c>
      <c r="H124" t="s">
        <v>4870</v>
      </c>
      <c r="I124" t="s">
        <v>4870</v>
      </c>
      <c r="J124" t="s">
        <v>4871</v>
      </c>
      <c r="K124" t="s">
        <v>4746</v>
      </c>
      <c r="L124" t="s">
        <v>4877</v>
      </c>
      <c r="M124" t="s">
        <v>4877</v>
      </c>
      <c r="N124" t="s">
        <v>4878</v>
      </c>
      <c r="O124" t="s">
        <v>4879</v>
      </c>
      <c r="P124" t="s">
        <v>4743</v>
      </c>
      <c r="Q124" s="2042">
        <v>41913</v>
      </c>
      <c r="R124" s="2042">
        <v>41913</v>
      </c>
      <c r="S124">
        <v>220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105300000</v>
      </c>
      <c r="AY124">
        <v>0</v>
      </c>
      <c r="AZ124">
        <v>173250000</v>
      </c>
      <c r="BA124">
        <v>-173250000</v>
      </c>
      <c r="BB124">
        <v>0</v>
      </c>
      <c r="BC124">
        <v>0</v>
      </c>
      <c r="BD124">
        <v>0</v>
      </c>
      <c r="BE124">
        <v>0</v>
      </c>
      <c r="BF124">
        <v>0</v>
      </c>
      <c r="BG124">
        <v>0</v>
      </c>
      <c r="BH124">
        <v>0</v>
      </c>
      <c r="BI124">
        <v>0</v>
      </c>
      <c r="BJ124">
        <v>0</v>
      </c>
      <c r="BK124">
        <v>0</v>
      </c>
      <c r="BL124">
        <v>0</v>
      </c>
      <c r="BM124">
        <v>0</v>
      </c>
      <c r="BN124">
        <v>0</v>
      </c>
      <c r="BO124">
        <v>0</v>
      </c>
      <c r="BP124">
        <v>0</v>
      </c>
      <c r="BQ124">
        <v>0</v>
      </c>
      <c r="BR124">
        <v>0</v>
      </c>
      <c r="BS124">
        <v>0</v>
      </c>
      <c r="BT124">
        <v>0</v>
      </c>
      <c r="BU124">
        <v>0</v>
      </c>
      <c r="BV124">
        <v>0</v>
      </c>
      <c r="BW124">
        <v>0</v>
      </c>
      <c r="BX124">
        <v>0</v>
      </c>
      <c r="BY124">
        <v>0</v>
      </c>
      <c r="BZ124">
        <v>0</v>
      </c>
      <c r="CA124">
        <v>0</v>
      </c>
      <c r="CB124">
        <v>0</v>
      </c>
      <c r="CC124">
        <v>0</v>
      </c>
      <c r="CD124">
        <v>0</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c r="DM124">
        <v>0</v>
      </c>
      <c r="DN124">
        <v>0</v>
      </c>
      <c r="DO124">
        <v>0</v>
      </c>
      <c r="DP124">
        <v>0</v>
      </c>
      <c r="DQ124">
        <v>0</v>
      </c>
      <c r="DR124">
        <v>0</v>
      </c>
      <c r="DS124">
        <v>0</v>
      </c>
      <c r="DT124">
        <v>50426150</v>
      </c>
      <c r="DU124">
        <v>122823850</v>
      </c>
      <c r="DV124">
        <v>0</v>
      </c>
    </row>
    <row r="125" spans="1:126" hidden="1">
      <c r="A125" t="s">
        <v>1290</v>
      </c>
      <c r="B125" t="s">
        <v>4876</v>
      </c>
      <c r="C125">
        <v>2018</v>
      </c>
      <c r="D125">
        <v>4</v>
      </c>
      <c r="E125" t="s">
        <v>4890</v>
      </c>
      <c r="F125" t="s">
        <v>4891</v>
      </c>
      <c r="G125" s="2042">
        <v>43193</v>
      </c>
      <c r="H125" t="s">
        <v>4870</v>
      </c>
      <c r="I125" t="s">
        <v>4870</v>
      </c>
      <c r="J125" t="s">
        <v>4871</v>
      </c>
      <c r="K125" t="s">
        <v>4746</v>
      </c>
      <c r="L125" t="s">
        <v>4877</v>
      </c>
      <c r="M125" t="s">
        <v>4877</v>
      </c>
      <c r="N125" t="s">
        <v>4878</v>
      </c>
      <c r="O125" t="s">
        <v>4879</v>
      </c>
      <c r="P125" t="s">
        <v>4743</v>
      </c>
      <c r="Q125" s="2042">
        <v>41913</v>
      </c>
      <c r="R125" s="2042">
        <v>41913</v>
      </c>
      <c r="S125">
        <v>220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799130000</v>
      </c>
      <c r="AQ125">
        <v>0</v>
      </c>
      <c r="AR125">
        <v>0</v>
      </c>
      <c r="AS125">
        <v>0</v>
      </c>
      <c r="AT125">
        <v>0</v>
      </c>
      <c r="AU125">
        <v>0</v>
      </c>
      <c r="AV125">
        <v>0</v>
      </c>
      <c r="AW125">
        <v>0</v>
      </c>
      <c r="AX125">
        <v>0</v>
      </c>
      <c r="AY125">
        <v>799130000</v>
      </c>
      <c r="AZ125">
        <v>799130000</v>
      </c>
      <c r="BA125">
        <v>0</v>
      </c>
      <c r="BB125">
        <v>0</v>
      </c>
      <c r="BC125">
        <v>0</v>
      </c>
      <c r="BD125">
        <v>0</v>
      </c>
      <c r="BE125">
        <v>0</v>
      </c>
      <c r="BF125">
        <v>0</v>
      </c>
      <c r="BG125">
        <v>0</v>
      </c>
      <c r="BH125">
        <v>0</v>
      </c>
      <c r="BI125">
        <v>0</v>
      </c>
      <c r="BJ125">
        <v>0</v>
      </c>
      <c r="BK125">
        <v>0</v>
      </c>
      <c r="BL125">
        <v>151834710</v>
      </c>
      <c r="BM125">
        <v>15183470</v>
      </c>
      <c r="BN125">
        <v>0</v>
      </c>
      <c r="BO125">
        <v>0</v>
      </c>
      <c r="BP125">
        <v>0</v>
      </c>
      <c r="BQ125">
        <v>0</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820</v>
      </c>
      <c r="CK125">
        <v>0</v>
      </c>
      <c r="CL125">
        <v>0</v>
      </c>
      <c r="CM125">
        <v>0</v>
      </c>
      <c r="CN125">
        <v>0</v>
      </c>
      <c r="CO125">
        <v>0</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c r="DM125">
        <v>0</v>
      </c>
      <c r="DN125">
        <v>0</v>
      </c>
      <c r="DO125">
        <v>0</v>
      </c>
      <c r="DP125">
        <v>0</v>
      </c>
      <c r="DQ125">
        <v>0</v>
      </c>
      <c r="DR125">
        <v>0</v>
      </c>
      <c r="DS125">
        <v>0</v>
      </c>
      <c r="DT125">
        <v>167019000</v>
      </c>
      <c r="DU125">
        <v>632111000</v>
      </c>
      <c r="DV125">
        <v>0</v>
      </c>
    </row>
    <row r="126" spans="1:126" hidden="1">
      <c r="A126" t="s">
        <v>6028</v>
      </c>
      <c r="B126" t="s">
        <v>4868</v>
      </c>
      <c r="C126">
        <v>2018</v>
      </c>
      <c r="D126">
        <v>4</v>
      </c>
      <c r="E126" t="s">
        <v>4890</v>
      </c>
      <c r="F126" t="s">
        <v>4891</v>
      </c>
      <c r="G126" s="2042">
        <v>43193</v>
      </c>
      <c r="H126" t="s">
        <v>4880</v>
      </c>
      <c r="I126" t="s">
        <v>4880</v>
      </c>
      <c r="J126" t="s">
        <v>4881</v>
      </c>
      <c r="K126" t="s">
        <v>4746</v>
      </c>
      <c r="L126" t="s">
        <v>4882</v>
      </c>
      <c r="M126" t="s">
        <v>4882</v>
      </c>
      <c r="N126" t="s">
        <v>4883</v>
      </c>
      <c r="O126" t="s">
        <v>4879</v>
      </c>
      <c r="P126" t="s">
        <v>4743</v>
      </c>
      <c r="Q126" s="2042">
        <v>42826</v>
      </c>
      <c r="R126" s="2042">
        <v>42826</v>
      </c>
      <c r="S126">
        <v>220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102320000</v>
      </c>
      <c r="AQ126">
        <v>0</v>
      </c>
      <c r="AR126">
        <v>0</v>
      </c>
      <c r="AS126">
        <v>0</v>
      </c>
      <c r="AT126">
        <v>0</v>
      </c>
      <c r="AU126">
        <v>0</v>
      </c>
      <c r="AV126">
        <v>0</v>
      </c>
      <c r="AW126">
        <v>0</v>
      </c>
      <c r="AX126">
        <v>0</v>
      </c>
      <c r="AY126">
        <v>102320000</v>
      </c>
      <c r="AZ126">
        <v>102320000</v>
      </c>
      <c r="BA126">
        <v>0</v>
      </c>
      <c r="BB126">
        <v>0</v>
      </c>
      <c r="BC126">
        <v>0</v>
      </c>
      <c r="BD126">
        <v>0</v>
      </c>
      <c r="BE126">
        <v>0</v>
      </c>
      <c r="BF126">
        <v>0</v>
      </c>
      <c r="BG126">
        <v>0</v>
      </c>
      <c r="BH126">
        <v>0</v>
      </c>
      <c r="BI126">
        <v>0</v>
      </c>
      <c r="BJ126">
        <v>0</v>
      </c>
      <c r="BK126">
        <v>0</v>
      </c>
      <c r="BL126">
        <v>19440810</v>
      </c>
      <c r="BM126">
        <v>1944080</v>
      </c>
      <c r="BN126">
        <v>0</v>
      </c>
      <c r="BO126">
        <v>0</v>
      </c>
      <c r="BP126">
        <v>0</v>
      </c>
      <c r="BQ126">
        <v>0</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0</v>
      </c>
      <c r="DI126">
        <v>0</v>
      </c>
      <c r="DJ126">
        <v>0</v>
      </c>
      <c r="DK126">
        <v>0</v>
      </c>
      <c r="DL126">
        <v>0</v>
      </c>
      <c r="DM126">
        <v>0</v>
      </c>
      <c r="DN126">
        <v>0</v>
      </c>
      <c r="DO126">
        <v>0</v>
      </c>
      <c r="DP126">
        <v>0</v>
      </c>
      <c r="DQ126">
        <v>0</v>
      </c>
      <c r="DR126">
        <v>0</v>
      </c>
      <c r="DS126">
        <v>0</v>
      </c>
      <c r="DT126">
        <v>21384890</v>
      </c>
      <c r="DU126">
        <v>80935110</v>
      </c>
      <c r="DV126">
        <v>0</v>
      </c>
    </row>
    <row r="127" spans="1:126" hidden="1">
      <c r="A127" t="s">
        <v>6028</v>
      </c>
      <c r="B127" t="s">
        <v>4868</v>
      </c>
      <c r="C127">
        <v>2019</v>
      </c>
      <c r="D127">
        <v>12</v>
      </c>
      <c r="E127" t="s">
        <v>4890</v>
      </c>
      <c r="F127" t="s">
        <v>4891</v>
      </c>
      <c r="G127" s="2042">
        <v>43805</v>
      </c>
      <c r="H127" t="s">
        <v>4870</v>
      </c>
      <c r="I127" t="s">
        <v>4870</v>
      </c>
      <c r="J127" t="s">
        <v>4871</v>
      </c>
      <c r="K127" t="s">
        <v>4746</v>
      </c>
      <c r="L127" t="s">
        <v>4872</v>
      </c>
      <c r="M127" t="s">
        <v>4872</v>
      </c>
      <c r="N127" t="s">
        <v>4873</v>
      </c>
      <c r="O127" t="s">
        <v>4879</v>
      </c>
      <c r="P127" t="s">
        <v>4743</v>
      </c>
      <c r="Q127" s="2042">
        <v>43191</v>
      </c>
      <c r="R127" s="2042">
        <v>43191</v>
      </c>
      <c r="S127">
        <v>220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384910000</v>
      </c>
      <c r="AQ127">
        <v>0</v>
      </c>
      <c r="AR127">
        <v>0</v>
      </c>
      <c r="AS127">
        <v>0</v>
      </c>
      <c r="AT127">
        <v>0</v>
      </c>
      <c r="AU127">
        <v>0</v>
      </c>
      <c r="AV127">
        <v>0</v>
      </c>
      <c r="AW127">
        <v>0</v>
      </c>
      <c r="AX127">
        <v>0</v>
      </c>
      <c r="AY127">
        <v>384910000</v>
      </c>
      <c r="AZ127">
        <v>384910000</v>
      </c>
      <c r="BA127">
        <v>0</v>
      </c>
      <c r="BB127">
        <v>0</v>
      </c>
      <c r="BC127">
        <v>0</v>
      </c>
      <c r="BD127">
        <v>0</v>
      </c>
      <c r="BE127">
        <v>0</v>
      </c>
      <c r="BF127">
        <v>0</v>
      </c>
      <c r="BG127">
        <v>0</v>
      </c>
      <c r="BH127">
        <v>0</v>
      </c>
      <c r="BI127">
        <v>0</v>
      </c>
      <c r="BJ127">
        <v>0</v>
      </c>
      <c r="BK127">
        <v>0</v>
      </c>
      <c r="BL127">
        <v>158428970</v>
      </c>
      <c r="BM127">
        <v>15842890</v>
      </c>
      <c r="BN127">
        <v>0</v>
      </c>
      <c r="BO127">
        <v>0</v>
      </c>
      <c r="BP127">
        <v>0</v>
      </c>
      <c r="BQ127">
        <v>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c r="DN127">
        <v>0</v>
      </c>
      <c r="DO127">
        <v>0</v>
      </c>
      <c r="DP127">
        <v>0</v>
      </c>
      <c r="DQ127">
        <v>0</v>
      </c>
      <c r="DR127">
        <v>0</v>
      </c>
      <c r="DS127">
        <v>0</v>
      </c>
      <c r="DT127">
        <v>174271860</v>
      </c>
      <c r="DU127">
        <v>210638140</v>
      </c>
      <c r="DV127">
        <v>0</v>
      </c>
    </row>
    <row r="128" spans="1:126" hidden="1">
      <c r="A128" t="s">
        <v>6028</v>
      </c>
      <c r="B128" t="s">
        <v>4868</v>
      </c>
      <c r="C128">
        <v>2019</v>
      </c>
      <c r="D128">
        <v>4</v>
      </c>
      <c r="E128" t="s">
        <v>4890</v>
      </c>
      <c r="F128" t="s">
        <v>4891</v>
      </c>
      <c r="G128" s="2042">
        <v>43556</v>
      </c>
      <c r="H128" t="s">
        <v>4870</v>
      </c>
      <c r="I128" t="s">
        <v>4870</v>
      </c>
      <c r="J128" t="s">
        <v>4871</v>
      </c>
      <c r="K128" t="s">
        <v>4746</v>
      </c>
      <c r="L128" t="s">
        <v>4872</v>
      </c>
      <c r="M128" t="s">
        <v>4872</v>
      </c>
      <c r="N128" t="s">
        <v>4873</v>
      </c>
      <c r="O128" t="s">
        <v>4879</v>
      </c>
      <c r="P128" t="s">
        <v>4743</v>
      </c>
      <c r="Q128" s="2042">
        <v>43191</v>
      </c>
      <c r="R128" s="2042">
        <v>43191</v>
      </c>
      <c r="S128">
        <v>220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947520000</v>
      </c>
      <c r="AQ128">
        <v>0</v>
      </c>
      <c r="AR128">
        <v>0</v>
      </c>
      <c r="AS128">
        <v>0</v>
      </c>
      <c r="AT128">
        <v>0</v>
      </c>
      <c r="AU128">
        <v>0</v>
      </c>
      <c r="AV128">
        <v>0</v>
      </c>
      <c r="AW128">
        <v>0</v>
      </c>
      <c r="AX128">
        <v>0</v>
      </c>
      <c r="AY128">
        <v>947520000</v>
      </c>
      <c r="AZ128">
        <v>947520000</v>
      </c>
      <c r="BA128">
        <v>0</v>
      </c>
      <c r="BB128">
        <v>0</v>
      </c>
      <c r="BC128">
        <v>0</v>
      </c>
      <c r="BD128">
        <v>0</v>
      </c>
      <c r="BE128">
        <v>0</v>
      </c>
      <c r="BF128">
        <v>0</v>
      </c>
      <c r="BG128">
        <v>0</v>
      </c>
      <c r="BH128">
        <v>0</v>
      </c>
      <c r="BI128">
        <v>0</v>
      </c>
      <c r="BJ128">
        <v>0</v>
      </c>
      <c r="BK128">
        <v>0</v>
      </c>
      <c r="BL128">
        <v>389923400</v>
      </c>
      <c r="BM128">
        <v>38992340</v>
      </c>
      <c r="BN128">
        <v>0</v>
      </c>
      <c r="BO128">
        <v>0</v>
      </c>
      <c r="BP128">
        <v>0</v>
      </c>
      <c r="BQ128">
        <v>0</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0</v>
      </c>
      <c r="DI128">
        <v>0</v>
      </c>
      <c r="DJ128">
        <v>0</v>
      </c>
      <c r="DK128">
        <v>0</v>
      </c>
      <c r="DL128">
        <v>0</v>
      </c>
      <c r="DM128">
        <v>0</v>
      </c>
      <c r="DN128">
        <v>0</v>
      </c>
      <c r="DO128">
        <v>0</v>
      </c>
      <c r="DP128">
        <v>0</v>
      </c>
      <c r="DQ128">
        <v>0</v>
      </c>
      <c r="DR128">
        <v>0</v>
      </c>
      <c r="DS128">
        <v>0</v>
      </c>
      <c r="DT128">
        <v>428915740</v>
      </c>
      <c r="DU128">
        <v>518604260</v>
      </c>
      <c r="DV128">
        <v>0</v>
      </c>
    </row>
    <row r="129" spans="1:126" hidden="1">
      <c r="A129" t="s">
        <v>6028</v>
      </c>
      <c r="B129" t="s">
        <v>4868</v>
      </c>
      <c r="C129">
        <v>2019</v>
      </c>
      <c r="D129">
        <v>12</v>
      </c>
      <c r="E129" t="s">
        <v>4890</v>
      </c>
      <c r="F129" t="s">
        <v>4891</v>
      </c>
      <c r="G129" s="2042">
        <v>43805</v>
      </c>
      <c r="H129" t="s">
        <v>4880</v>
      </c>
      <c r="I129" t="s">
        <v>4880</v>
      </c>
      <c r="J129" t="s">
        <v>4881</v>
      </c>
      <c r="K129" t="s">
        <v>4746</v>
      </c>
      <c r="L129" t="s">
        <v>4882</v>
      </c>
      <c r="M129" t="s">
        <v>4882</v>
      </c>
      <c r="N129" t="s">
        <v>4883</v>
      </c>
      <c r="O129" t="s">
        <v>4879</v>
      </c>
      <c r="P129" t="s">
        <v>4743</v>
      </c>
      <c r="Q129" s="2042">
        <v>42826</v>
      </c>
      <c r="R129" s="2042">
        <v>42826</v>
      </c>
      <c r="S129">
        <v>220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45850000</v>
      </c>
      <c r="AQ129">
        <v>0</v>
      </c>
      <c r="AR129">
        <v>0</v>
      </c>
      <c r="AS129">
        <v>0</v>
      </c>
      <c r="AT129">
        <v>0</v>
      </c>
      <c r="AU129">
        <v>0</v>
      </c>
      <c r="AV129">
        <v>0</v>
      </c>
      <c r="AW129">
        <v>0</v>
      </c>
      <c r="AX129">
        <v>0</v>
      </c>
      <c r="AY129">
        <v>45850000</v>
      </c>
      <c r="AZ129">
        <v>45850000</v>
      </c>
      <c r="BA129">
        <v>0</v>
      </c>
      <c r="BB129">
        <v>0</v>
      </c>
      <c r="BC129">
        <v>0</v>
      </c>
      <c r="BD129">
        <v>0</v>
      </c>
      <c r="BE129">
        <v>0</v>
      </c>
      <c r="BF129">
        <v>0</v>
      </c>
      <c r="BG129">
        <v>0</v>
      </c>
      <c r="BH129">
        <v>0</v>
      </c>
      <c r="BI129">
        <v>0</v>
      </c>
      <c r="BJ129">
        <v>0</v>
      </c>
      <c r="BK129">
        <v>0</v>
      </c>
      <c r="BL129">
        <v>8711510</v>
      </c>
      <c r="BM129">
        <v>871150</v>
      </c>
      <c r="BN129">
        <v>0</v>
      </c>
      <c r="BO129">
        <v>0</v>
      </c>
      <c r="BP129">
        <v>0</v>
      </c>
      <c r="BQ129">
        <v>0</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c r="DM129">
        <v>0</v>
      </c>
      <c r="DN129">
        <v>0</v>
      </c>
      <c r="DO129">
        <v>0</v>
      </c>
      <c r="DP129">
        <v>0</v>
      </c>
      <c r="DQ129">
        <v>0</v>
      </c>
      <c r="DR129">
        <v>0</v>
      </c>
      <c r="DS129">
        <v>0</v>
      </c>
      <c r="DT129">
        <v>9582660</v>
      </c>
      <c r="DU129">
        <v>36267340</v>
      </c>
      <c r="DV129">
        <v>0</v>
      </c>
    </row>
    <row r="130" spans="1:126" hidden="1">
      <c r="A130" t="s">
        <v>6028</v>
      </c>
      <c r="B130" t="s">
        <v>4868</v>
      </c>
      <c r="C130">
        <v>2019</v>
      </c>
      <c r="D130">
        <v>4</v>
      </c>
      <c r="E130" t="s">
        <v>4890</v>
      </c>
      <c r="F130" t="s">
        <v>4891</v>
      </c>
      <c r="G130" s="2042">
        <v>43556</v>
      </c>
      <c r="H130" t="s">
        <v>4880</v>
      </c>
      <c r="I130" t="s">
        <v>4880</v>
      </c>
      <c r="J130" t="s">
        <v>4881</v>
      </c>
      <c r="K130" t="s">
        <v>4746</v>
      </c>
      <c r="L130" t="s">
        <v>4882</v>
      </c>
      <c r="M130" t="s">
        <v>4882</v>
      </c>
      <c r="N130" t="s">
        <v>4883</v>
      </c>
      <c r="O130" t="s">
        <v>4879</v>
      </c>
      <c r="P130" t="s">
        <v>4743</v>
      </c>
      <c r="Q130" s="2042">
        <v>42826</v>
      </c>
      <c r="R130" s="2042">
        <v>42826</v>
      </c>
      <c r="S130">
        <v>220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118720000</v>
      </c>
      <c r="AQ130">
        <v>0</v>
      </c>
      <c r="AR130">
        <v>0</v>
      </c>
      <c r="AS130">
        <v>0</v>
      </c>
      <c r="AT130">
        <v>0</v>
      </c>
      <c r="AU130">
        <v>0</v>
      </c>
      <c r="AV130">
        <v>0</v>
      </c>
      <c r="AW130">
        <v>0</v>
      </c>
      <c r="AX130">
        <v>0</v>
      </c>
      <c r="AY130">
        <v>118720000</v>
      </c>
      <c r="AZ130">
        <v>118720000</v>
      </c>
      <c r="BA130">
        <v>0</v>
      </c>
      <c r="BB130">
        <v>0</v>
      </c>
      <c r="BC130">
        <v>0</v>
      </c>
      <c r="BD130">
        <v>0</v>
      </c>
      <c r="BE130">
        <v>0</v>
      </c>
      <c r="BF130">
        <v>0</v>
      </c>
      <c r="BG130">
        <v>0</v>
      </c>
      <c r="BH130">
        <v>0</v>
      </c>
      <c r="BI130">
        <v>0</v>
      </c>
      <c r="BJ130">
        <v>0</v>
      </c>
      <c r="BK130">
        <v>0</v>
      </c>
      <c r="BL130">
        <v>22556810</v>
      </c>
      <c r="BM130">
        <v>2255680</v>
      </c>
      <c r="BN130">
        <v>0</v>
      </c>
      <c r="BO130">
        <v>0</v>
      </c>
      <c r="BP130">
        <v>0</v>
      </c>
      <c r="BQ130">
        <v>0</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c r="DN130">
        <v>0</v>
      </c>
      <c r="DO130">
        <v>0</v>
      </c>
      <c r="DP130">
        <v>0</v>
      </c>
      <c r="DQ130">
        <v>0</v>
      </c>
      <c r="DR130">
        <v>0</v>
      </c>
      <c r="DS130">
        <v>0</v>
      </c>
      <c r="DT130">
        <v>24812490</v>
      </c>
      <c r="DU130">
        <v>93907510</v>
      </c>
      <c r="DV130">
        <v>0</v>
      </c>
    </row>
    <row r="131" spans="1:126" hidden="1">
      <c r="A131" t="s">
        <v>6028</v>
      </c>
      <c r="B131" t="s">
        <v>4868</v>
      </c>
      <c r="C131">
        <v>2020</v>
      </c>
      <c r="D131">
        <v>4</v>
      </c>
      <c r="E131" t="s">
        <v>4892</v>
      </c>
      <c r="F131" t="s">
        <v>4893</v>
      </c>
      <c r="G131" s="2042">
        <v>43924</v>
      </c>
      <c r="H131" t="s">
        <v>4870</v>
      </c>
      <c r="I131" t="s">
        <v>4870</v>
      </c>
      <c r="J131" t="s">
        <v>4871</v>
      </c>
      <c r="K131" t="s">
        <v>4746</v>
      </c>
      <c r="L131" t="s">
        <v>4872</v>
      </c>
      <c r="M131" t="s">
        <v>4872</v>
      </c>
      <c r="N131" t="s">
        <v>4873</v>
      </c>
      <c r="O131" t="s">
        <v>4879</v>
      </c>
      <c r="P131" t="s">
        <v>4743</v>
      </c>
      <c r="Q131" s="2042">
        <v>43191</v>
      </c>
      <c r="R131" s="2042">
        <v>43191</v>
      </c>
      <c r="S131">
        <v>220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270106000</v>
      </c>
      <c r="AQ131">
        <v>0</v>
      </c>
      <c r="AR131">
        <v>0</v>
      </c>
      <c r="AS131">
        <v>0</v>
      </c>
      <c r="AT131">
        <v>0</v>
      </c>
      <c r="AU131">
        <v>0</v>
      </c>
      <c r="AV131">
        <v>0</v>
      </c>
      <c r="AW131">
        <v>0</v>
      </c>
      <c r="AX131">
        <v>0</v>
      </c>
      <c r="AY131">
        <v>270106000</v>
      </c>
      <c r="AZ131">
        <v>270106000</v>
      </c>
      <c r="BA131">
        <v>0</v>
      </c>
      <c r="BB131">
        <v>0</v>
      </c>
      <c r="BC131">
        <v>0</v>
      </c>
      <c r="BD131">
        <v>0</v>
      </c>
      <c r="BE131">
        <v>0</v>
      </c>
      <c r="BF131">
        <v>0</v>
      </c>
      <c r="BG131">
        <v>0</v>
      </c>
      <c r="BH131">
        <v>0</v>
      </c>
      <c r="BI131">
        <v>0</v>
      </c>
      <c r="BJ131">
        <v>0</v>
      </c>
      <c r="BK131">
        <v>0</v>
      </c>
      <c r="BL131">
        <v>113444520</v>
      </c>
      <c r="BM131">
        <v>11344450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c r="DN131">
        <v>0</v>
      </c>
      <c r="DO131">
        <v>0</v>
      </c>
      <c r="DP131">
        <v>0</v>
      </c>
      <c r="DQ131">
        <v>0</v>
      </c>
      <c r="DR131">
        <v>0</v>
      </c>
      <c r="DS131">
        <v>0</v>
      </c>
      <c r="DT131">
        <v>124788970</v>
      </c>
      <c r="DU131">
        <v>145317030</v>
      </c>
      <c r="DV131">
        <v>0</v>
      </c>
    </row>
    <row r="132" spans="1:126" hidden="1">
      <c r="A132" t="s">
        <v>6028</v>
      </c>
      <c r="B132" t="s">
        <v>4868</v>
      </c>
      <c r="C132">
        <v>2020</v>
      </c>
      <c r="D132">
        <v>4</v>
      </c>
      <c r="E132" t="s">
        <v>4894</v>
      </c>
      <c r="F132" t="s">
        <v>4895</v>
      </c>
      <c r="G132" s="2042">
        <v>43924</v>
      </c>
      <c r="H132" t="s">
        <v>4870</v>
      </c>
      <c r="I132" t="s">
        <v>4870</v>
      </c>
      <c r="J132" t="s">
        <v>4871</v>
      </c>
      <c r="K132" t="s">
        <v>4746</v>
      </c>
      <c r="L132" t="s">
        <v>4872</v>
      </c>
      <c r="M132" t="s">
        <v>4872</v>
      </c>
      <c r="N132" t="s">
        <v>4873</v>
      </c>
      <c r="O132" t="s">
        <v>4879</v>
      </c>
      <c r="P132" t="s">
        <v>4743</v>
      </c>
      <c r="Q132" s="2042">
        <v>43191</v>
      </c>
      <c r="R132" s="2042">
        <v>43191</v>
      </c>
      <c r="S132">
        <v>220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2657938000</v>
      </c>
      <c r="AQ132">
        <v>0</v>
      </c>
      <c r="AR132">
        <v>0</v>
      </c>
      <c r="AS132">
        <v>0</v>
      </c>
      <c r="AT132">
        <v>0</v>
      </c>
      <c r="AU132">
        <v>0</v>
      </c>
      <c r="AV132">
        <v>0</v>
      </c>
      <c r="AW132">
        <v>0</v>
      </c>
      <c r="AX132">
        <v>0</v>
      </c>
      <c r="AY132">
        <v>2657938000</v>
      </c>
      <c r="AZ132">
        <v>2657938000</v>
      </c>
      <c r="BA132">
        <v>0</v>
      </c>
      <c r="BB132">
        <v>0</v>
      </c>
      <c r="BC132">
        <v>0</v>
      </c>
      <c r="BD132">
        <v>0</v>
      </c>
      <c r="BE132">
        <v>0</v>
      </c>
      <c r="BF132">
        <v>0</v>
      </c>
      <c r="BG132">
        <v>0</v>
      </c>
      <c r="BH132">
        <v>0</v>
      </c>
      <c r="BI132">
        <v>0</v>
      </c>
      <c r="BJ132">
        <v>0</v>
      </c>
      <c r="BK132">
        <v>0</v>
      </c>
      <c r="BL132">
        <v>1116333960</v>
      </c>
      <c r="BM132">
        <v>111633390</v>
      </c>
      <c r="BN132">
        <v>0</v>
      </c>
      <c r="BO132">
        <v>0</v>
      </c>
      <c r="BP132">
        <v>0</v>
      </c>
      <c r="BQ132">
        <v>0</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c r="DM132">
        <v>0</v>
      </c>
      <c r="DN132">
        <v>0</v>
      </c>
      <c r="DO132">
        <v>0</v>
      </c>
      <c r="DP132">
        <v>0</v>
      </c>
      <c r="DQ132">
        <v>0</v>
      </c>
      <c r="DR132">
        <v>0</v>
      </c>
      <c r="DS132">
        <v>0</v>
      </c>
      <c r="DT132">
        <v>1227967350</v>
      </c>
      <c r="DU132">
        <v>1429970650</v>
      </c>
      <c r="DV132">
        <v>0</v>
      </c>
    </row>
    <row r="133" spans="1:126" hidden="1">
      <c r="A133" t="s">
        <v>6028</v>
      </c>
      <c r="B133" t="s">
        <v>4868</v>
      </c>
      <c r="C133">
        <v>2020</v>
      </c>
      <c r="D133">
        <v>4</v>
      </c>
      <c r="E133" t="s">
        <v>4896</v>
      </c>
      <c r="F133" t="s">
        <v>4897</v>
      </c>
      <c r="G133" s="2042">
        <v>43924</v>
      </c>
      <c r="H133" t="s">
        <v>4870</v>
      </c>
      <c r="I133" t="s">
        <v>4870</v>
      </c>
      <c r="J133" t="s">
        <v>4871</v>
      </c>
      <c r="K133" t="s">
        <v>4746</v>
      </c>
      <c r="L133" t="s">
        <v>4872</v>
      </c>
      <c r="M133" t="s">
        <v>4872</v>
      </c>
      <c r="N133" t="s">
        <v>4873</v>
      </c>
      <c r="O133" t="s">
        <v>4879</v>
      </c>
      <c r="P133" t="s">
        <v>4743</v>
      </c>
      <c r="Q133" s="2042">
        <v>43191</v>
      </c>
      <c r="R133" s="2042">
        <v>43191</v>
      </c>
      <c r="S133">
        <v>220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441502000</v>
      </c>
      <c r="AQ133">
        <v>0</v>
      </c>
      <c r="AR133">
        <v>0</v>
      </c>
      <c r="AS133">
        <v>0</v>
      </c>
      <c r="AT133">
        <v>0</v>
      </c>
      <c r="AU133">
        <v>0</v>
      </c>
      <c r="AV133">
        <v>0</v>
      </c>
      <c r="AW133">
        <v>0</v>
      </c>
      <c r="AX133">
        <v>0</v>
      </c>
      <c r="AY133">
        <v>441502000</v>
      </c>
      <c r="AZ133">
        <v>441502000</v>
      </c>
      <c r="BA133">
        <v>0</v>
      </c>
      <c r="BB133">
        <v>0</v>
      </c>
      <c r="BC133">
        <v>0</v>
      </c>
      <c r="BD133">
        <v>0</v>
      </c>
      <c r="BE133">
        <v>0</v>
      </c>
      <c r="BF133">
        <v>0</v>
      </c>
      <c r="BG133">
        <v>0</v>
      </c>
      <c r="BH133">
        <v>0</v>
      </c>
      <c r="BI133">
        <v>0</v>
      </c>
      <c r="BJ133">
        <v>0</v>
      </c>
      <c r="BK133">
        <v>0</v>
      </c>
      <c r="BL133">
        <v>185430840</v>
      </c>
      <c r="BM133">
        <v>18543080</v>
      </c>
      <c r="BN133">
        <v>0</v>
      </c>
      <c r="BO133">
        <v>0</v>
      </c>
      <c r="BP133">
        <v>0</v>
      </c>
      <c r="BQ133">
        <v>0</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0</v>
      </c>
      <c r="DC133">
        <v>0</v>
      </c>
      <c r="DD133">
        <v>0</v>
      </c>
      <c r="DE133">
        <v>0</v>
      </c>
      <c r="DF133">
        <v>0</v>
      </c>
      <c r="DG133">
        <v>0</v>
      </c>
      <c r="DH133">
        <v>0</v>
      </c>
      <c r="DI133">
        <v>0</v>
      </c>
      <c r="DJ133">
        <v>0</v>
      </c>
      <c r="DK133">
        <v>0</v>
      </c>
      <c r="DL133">
        <v>0</v>
      </c>
      <c r="DM133">
        <v>0</v>
      </c>
      <c r="DN133">
        <v>0</v>
      </c>
      <c r="DO133">
        <v>0</v>
      </c>
      <c r="DP133">
        <v>0</v>
      </c>
      <c r="DQ133">
        <v>0</v>
      </c>
      <c r="DR133">
        <v>0</v>
      </c>
      <c r="DS133">
        <v>0</v>
      </c>
      <c r="DT133">
        <v>203973920</v>
      </c>
      <c r="DU133">
        <v>237528080</v>
      </c>
      <c r="DV133">
        <v>0</v>
      </c>
    </row>
    <row r="134" spans="1:126" hidden="1">
      <c r="A134" t="s">
        <v>6028</v>
      </c>
      <c r="B134" t="s">
        <v>4868</v>
      </c>
      <c r="C134">
        <v>2020</v>
      </c>
      <c r="D134">
        <v>4</v>
      </c>
      <c r="E134" t="s">
        <v>4892</v>
      </c>
      <c r="F134" t="s">
        <v>4893</v>
      </c>
      <c r="G134" s="2042">
        <v>43924</v>
      </c>
      <c r="H134" t="s">
        <v>4880</v>
      </c>
      <c r="I134" t="s">
        <v>4880</v>
      </c>
      <c r="J134" t="s">
        <v>4881</v>
      </c>
      <c r="K134" t="s">
        <v>4746</v>
      </c>
      <c r="L134" t="s">
        <v>4882</v>
      </c>
      <c r="M134" t="s">
        <v>4882</v>
      </c>
      <c r="N134" t="s">
        <v>4883</v>
      </c>
      <c r="O134" t="s">
        <v>4879</v>
      </c>
      <c r="P134" t="s">
        <v>4743</v>
      </c>
      <c r="Q134" s="2042">
        <v>42826</v>
      </c>
      <c r="R134" s="2042">
        <v>42826</v>
      </c>
      <c r="S134">
        <v>220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32619000</v>
      </c>
      <c r="AQ134">
        <v>0</v>
      </c>
      <c r="AR134">
        <v>0</v>
      </c>
      <c r="AS134">
        <v>0</v>
      </c>
      <c r="AT134">
        <v>0</v>
      </c>
      <c r="AU134">
        <v>0</v>
      </c>
      <c r="AV134">
        <v>0</v>
      </c>
      <c r="AW134">
        <v>0</v>
      </c>
      <c r="AX134">
        <v>0</v>
      </c>
      <c r="AY134">
        <v>32619000</v>
      </c>
      <c r="AZ134">
        <v>32619000</v>
      </c>
      <c r="BA134">
        <v>0</v>
      </c>
      <c r="BB134">
        <v>0</v>
      </c>
      <c r="BC134">
        <v>0</v>
      </c>
      <c r="BD134">
        <v>0</v>
      </c>
      <c r="BE134">
        <v>0</v>
      </c>
      <c r="BF134">
        <v>0</v>
      </c>
      <c r="BG134">
        <v>0</v>
      </c>
      <c r="BH134">
        <v>0</v>
      </c>
      <c r="BI134">
        <v>0</v>
      </c>
      <c r="BJ134">
        <v>0</v>
      </c>
      <c r="BK134">
        <v>0</v>
      </c>
      <c r="BL134">
        <v>6197610</v>
      </c>
      <c r="BM134">
        <v>619760</v>
      </c>
      <c r="BN134">
        <v>0</v>
      </c>
      <c r="BO134">
        <v>0</v>
      </c>
      <c r="BP134">
        <v>0</v>
      </c>
      <c r="BQ134">
        <v>0</v>
      </c>
      <c r="BR134">
        <v>0</v>
      </c>
      <c r="BS134">
        <v>0</v>
      </c>
      <c r="BT134">
        <v>0</v>
      </c>
      <c r="BU134">
        <v>0</v>
      </c>
      <c r="BV134">
        <v>0</v>
      </c>
      <c r="BW134">
        <v>0</v>
      </c>
      <c r="BX134">
        <v>0</v>
      </c>
      <c r="BY134">
        <v>0</v>
      </c>
      <c r="BZ134">
        <v>0</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0</v>
      </c>
      <c r="DA134">
        <v>0</v>
      </c>
      <c r="DB134">
        <v>0</v>
      </c>
      <c r="DC134">
        <v>0</v>
      </c>
      <c r="DD134">
        <v>0</v>
      </c>
      <c r="DE134">
        <v>0</v>
      </c>
      <c r="DF134">
        <v>0</v>
      </c>
      <c r="DG134">
        <v>0</v>
      </c>
      <c r="DH134">
        <v>0</v>
      </c>
      <c r="DI134">
        <v>0</v>
      </c>
      <c r="DJ134">
        <v>0</v>
      </c>
      <c r="DK134">
        <v>0</v>
      </c>
      <c r="DL134">
        <v>0</v>
      </c>
      <c r="DM134">
        <v>0</v>
      </c>
      <c r="DN134">
        <v>0</v>
      </c>
      <c r="DO134">
        <v>0</v>
      </c>
      <c r="DP134">
        <v>0</v>
      </c>
      <c r="DQ134">
        <v>0</v>
      </c>
      <c r="DR134">
        <v>0</v>
      </c>
      <c r="DS134">
        <v>0</v>
      </c>
      <c r="DT134">
        <v>6817370</v>
      </c>
      <c r="DU134">
        <v>25801630</v>
      </c>
      <c r="DV134">
        <v>0</v>
      </c>
    </row>
    <row r="135" spans="1:126" hidden="1">
      <c r="A135" t="s">
        <v>6028</v>
      </c>
      <c r="B135" t="s">
        <v>4868</v>
      </c>
      <c r="C135">
        <v>2020</v>
      </c>
      <c r="D135">
        <v>4</v>
      </c>
      <c r="E135" t="s">
        <v>4894</v>
      </c>
      <c r="F135" t="s">
        <v>4895</v>
      </c>
      <c r="G135" s="2042">
        <v>43924</v>
      </c>
      <c r="H135" t="s">
        <v>4880</v>
      </c>
      <c r="I135" t="s">
        <v>4880</v>
      </c>
      <c r="J135" t="s">
        <v>4881</v>
      </c>
      <c r="K135" t="s">
        <v>4746</v>
      </c>
      <c r="L135" t="s">
        <v>4882</v>
      </c>
      <c r="M135" t="s">
        <v>4882</v>
      </c>
      <c r="N135" t="s">
        <v>4883</v>
      </c>
      <c r="O135" t="s">
        <v>4879</v>
      </c>
      <c r="P135" t="s">
        <v>4743</v>
      </c>
      <c r="Q135" s="2042">
        <v>42826</v>
      </c>
      <c r="R135" s="2042">
        <v>42826</v>
      </c>
      <c r="S135">
        <v>220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134348000</v>
      </c>
      <c r="AQ135">
        <v>0</v>
      </c>
      <c r="AR135">
        <v>0</v>
      </c>
      <c r="AS135">
        <v>0</v>
      </c>
      <c r="AT135">
        <v>0</v>
      </c>
      <c r="AU135">
        <v>0</v>
      </c>
      <c r="AV135">
        <v>0</v>
      </c>
      <c r="AW135">
        <v>0</v>
      </c>
      <c r="AX135">
        <v>0</v>
      </c>
      <c r="AY135">
        <v>134348000</v>
      </c>
      <c r="AZ135">
        <v>134348000</v>
      </c>
      <c r="BA135">
        <v>0</v>
      </c>
      <c r="BB135">
        <v>0</v>
      </c>
      <c r="BC135">
        <v>0</v>
      </c>
      <c r="BD135">
        <v>0</v>
      </c>
      <c r="BE135">
        <v>0</v>
      </c>
      <c r="BF135">
        <v>0</v>
      </c>
      <c r="BG135">
        <v>0</v>
      </c>
      <c r="BH135">
        <v>0</v>
      </c>
      <c r="BI135">
        <v>0</v>
      </c>
      <c r="BJ135">
        <v>0</v>
      </c>
      <c r="BK135">
        <v>0</v>
      </c>
      <c r="BL135">
        <v>25526120</v>
      </c>
      <c r="BM135">
        <v>2552610</v>
      </c>
      <c r="BN135">
        <v>0</v>
      </c>
      <c r="BO135">
        <v>0</v>
      </c>
      <c r="BP135">
        <v>0</v>
      </c>
      <c r="BQ135">
        <v>0</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c r="DN135">
        <v>0</v>
      </c>
      <c r="DO135">
        <v>0</v>
      </c>
      <c r="DP135">
        <v>0</v>
      </c>
      <c r="DQ135">
        <v>0</v>
      </c>
      <c r="DR135">
        <v>0</v>
      </c>
      <c r="DS135">
        <v>0</v>
      </c>
      <c r="DT135">
        <v>28078730</v>
      </c>
      <c r="DU135">
        <v>106269270</v>
      </c>
      <c r="DV135">
        <v>0</v>
      </c>
    </row>
    <row r="136" spans="1:126" hidden="1">
      <c r="A136" t="s">
        <v>6028</v>
      </c>
      <c r="B136" t="s">
        <v>4868</v>
      </c>
      <c r="C136">
        <v>2020</v>
      </c>
      <c r="D136">
        <v>4</v>
      </c>
      <c r="E136" t="s">
        <v>4896</v>
      </c>
      <c r="F136" t="s">
        <v>4897</v>
      </c>
      <c r="G136" s="2042">
        <v>43924</v>
      </c>
      <c r="H136" t="s">
        <v>4880</v>
      </c>
      <c r="I136" t="s">
        <v>4880</v>
      </c>
      <c r="J136" t="s">
        <v>4881</v>
      </c>
      <c r="K136" t="s">
        <v>4746</v>
      </c>
      <c r="L136" t="s">
        <v>4882</v>
      </c>
      <c r="M136" t="s">
        <v>4882</v>
      </c>
      <c r="N136" t="s">
        <v>4883</v>
      </c>
      <c r="O136" t="s">
        <v>4879</v>
      </c>
      <c r="P136" t="s">
        <v>4743</v>
      </c>
      <c r="Q136" s="2042">
        <v>42826</v>
      </c>
      <c r="R136" s="2042">
        <v>42826</v>
      </c>
      <c r="S136">
        <v>220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52172000</v>
      </c>
      <c r="AQ136">
        <v>0</v>
      </c>
      <c r="AR136">
        <v>0</v>
      </c>
      <c r="AS136">
        <v>0</v>
      </c>
      <c r="AT136">
        <v>0</v>
      </c>
      <c r="AU136">
        <v>0</v>
      </c>
      <c r="AV136">
        <v>0</v>
      </c>
      <c r="AW136">
        <v>0</v>
      </c>
      <c r="AX136">
        <v>0</v>
      </c>
      <c r="AY136">
        <v>52172000</v>
      </c>
      <c r="AZ136">
        <v>52172000</v>
      </c>
      <c r="BA136">
        <v>0</v>
      </c>
      <c r="BB136">
        <v>0</v>
      </c>
      <c r="BC136">
        <v>0</v>
      </c>
      <c r="BD136">
        <v>0</v>
      </c>
      <c r="BE136">
        <v>0</v>
      </c>
      <c r="BF136">
        <v>0</v>
      </c>
      <c r="BG136">
        <v>0</v>
      </c>
      <c r="BH136">
        <v>0</v>
      </c>
      <c r="BI136">
        <v>0</v>
      </c>
      <c r="BJ136">
        <v>0</v>
      </c>
      <c r="BK136">
        <v>0</v>
      </c>
      <c r="BL136">
        <v>9912680</v>
      </c>
      <c r="BM136">
        <v>991260</v>
      </c>
      <c r="BN136">
        <v>0</v>
      </c>
      <c r="BO136">
        <v>0</v>
      </c>
      <c r="BP136">
        <v>0</v>
      </c>
      <c r="BQ136">
        <v>0</v>
      </c>
      <c r="BR136">
        <v>0</v>
      </c>
      <c r="BS136">
        <v>0</v>
      </c>
      <c r="BT136">
        <v>0</v>
      </c>
      <c r="BU136">
        <v>0</v>
      </c>
      <c r="BV136">
        <v>0</v>
      </c>
      <c r="BW136">
        <v>0</v>
      </c>
      <c r="BX136">
        <v>0</v>
      </c>
      <c r="BY136">
        <v>0</v>
      </c>
      <c r="BZ136">
        <v>0</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0</v>
      </c>
      <c r="DA136">
        <v>0</v>
      </c>
      <c r="DB136">
        <v>0</v>
      </c>
      <c r="DC136">
        <v>0</v>
      </c>
      <c r="DD136">
        <v>0</v>
      </c>
      <c r="DE136">
        <v>0</v>
      </c>
      <c r="DF136">
        <v>0</v>
      </c>
      <c r="DG136">
        <v>0</v>
      </c>
      <c r="DH136">
        <v>0</v>
      </c>
      <c r="DI136">
        <v>0</v>
      </c>
      <c r="DJ136">
        <v>0</v>
      </c>
      <c r="DK136">
        <v>0</v>
      </c>
      <c r="DL136">
        <v>0</v>
      </c>
      <c r="DM136">
        <v>0</v>
      </c>
      <c r="DN136">
        <v>0</v>
      </c>
      <c r="DO136">
        <v>0</v>
      </c>
      <c r="DP136">
        <v>0</v>
      </c>
      <c r="DQ136">
        <v>0</v>
      </c>
      <c r="DR136">
        <v>0</v>
      </c>
      <c r="DS136">
        <v>0</v>
      </c>
      <c r="DT136">
        <v>10903940</v>
      </c>
      <c r="DU136">
        <v>41268060</v>
      </c>
      <c r="DV136">
        <v>0</v>
      </c>
    </row>
    <row r="137" spans="1:126" hidden="1">
      <c r="A137" t="s">
        <v>6028</v>
      </c>
      <c r="B137" t="s">
        <v>4868</v>
      </c>
      <c r="C137">
        <v>2021</v>
      </c>
      <c r="D137">
        <v>4</v>
      </c>
      <c r="E137" t="s">
        <v>4896</v>
      </c>
      <c r="F137" t="s">
        <v>4897</v>
      </c>
      <c r="G137" s="2042">
        <v>44287</v>
      </c>
      <c r="H137" t="s">
        <v>4870</v>
      </c>
      <c r="I137" t="s">
        <v>4870</v>
      </c>
      <c r="J137" t="s">
        <v>4871</v>
      </c>
      <c r="K137" t="s">
        <v>4898</v>
      </c>
      <c r="L137" t="s">
        <v>4872</v>
      </c>
      <c r="M137" t="s">
        <v>4872</v>
      </c>
      <c r="N137" t="s">
        <v>4873</v>
      </c>
      <c r="O137" t="s">
        <v>4879</v>
      </c>
      <c r="P137" t="s">
        <v>4743</v>
      </c>
      <c r="Q137" s="2042">
        <v>43191</v>
      </c>
      <c r="R137" s="2042">
        <v>43191</v>
      </c>
      <c r="S137">
        <v>220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439222000</v>
      </c>
      <c r="AQ137">
        <v>0</v>
      </c>
      <c r="AR137">
        <v>0</v>
      </c>
      <c r="AS137">
        <v>0</v>
      </c>
      <c r="AT137">
        <v>0</v>
      </c>
      <c r="AU137">
        <v>0</v>
      </c>
      <c r="AV137">
        <v>0</v>
      </c>
      <c r="AW137">
        <v>0</v>
      </c>
      <c r="AX137">
        <v>0</v>
      </c>
      <c r="AY137">
        <v>439222000</v>
      </c>
      <c r="AZ137" s="2048">
        <v>439222000</v>
      </c>
      <c r="BA137">
        <v>0</v>
      </c>
      <c r="BB137">
        <v>0</v>
      </c>
      <c r="BC137">
        <v>0</v>
      </c>
      <c r="BD137">
        <v>0</v>
      </c>
      <c r="BE137">
        <v>0</v>
      </c>
      <c r="BF137">
        <v>0</v>
      </c>
      <c r="BG137">
        <v>0</v>
      </c>
      <c r="BH137">
        <v>0</v>
      </c>
      <c r="BI137">
        <v>0</v>
      </c>
      <c r="BJ137">
        <v>0</v>
      </c>
      <c r="BK137">
        <v>0</v>
      </c>
      <c r="BL137">
        <v>204582870</v>
      </c>
      <c r="BM137">
        <v>20458280</v>
      </c>
      <c r="BN137">
        <v>0</v>
      </c>
      <c r="BO137">
        <v>0</v>
      </c>
      <c r="BP137">
        <v>0</v>
      </c>
      <c r="BQ137">
        <v>0</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c r="DM137">
        <v>0</v>
      </c>
      <c r="DN137">
        <v>0</v>
      </c>
      <c r="DO137">
        <v>0</v>
      </c>
      <c r="DP137">
        <v>0</v>
      </c>
      <c r="DQ137">
        <v>0</v>
      </c>
      <c r="DR137">
        <v>0</v>
      </c>
      <c r="DS137">
        <v>0</v>
      </c>
      <c r="DT137" s="2048">
        <v>225041150</v>
      </c>
      <c r="DU137" s="2048">
        <v>214180850</v>
      </c>
      <c r="DV137">
        <v>0</v>
      </c>
    </row>
    <row r="138" spans="1:126" hidden="1">
      <c r="A138" t="s">
        <v>6028</v>
      </c>
      <c r="B138" t="s">
        <v>4868</v>
      </c>
      <c r="C138">
        <v>2021</v>
      </c>
      <c r="D138">
        <v>4</v>
      </c>
      <c r="E138" t="s">
        <v>4894</v>
      </c>
      <c r="F138" t="s">
        <v>4895</v>
      </c>
      <c r="G138" s="2042">
        <v>44287</v>
      </c>
      <c r="H138" t="s">
        <v>4870</v>
      </c>
      <c r="I138" t="s">
        <v>4870</v>
      </c>
      <c r="J138" t="s">
        <v>4871</v>
      </c>
      <c r="K138" t="s">
        <v>4898</v>
      </c>
      <c r="L138" t="s">
        <v>4872</v>
      </c>
      <c r="M138" t="s">
        <v>4872</v>
      </c>
      <c r="N138" t="s">
        <v>4873</v>
      </c>
      <c r="O138" t="s">
        <v>4879</v>
      </c>
      <c r="P138" t="s">
        <v>4743</v>
      </c>
      <c r="Q138" s="2042">
        <v>43191</v>
      </c>
      <c r="R138" s="2042">
        <v>43191</v>
      </c>
      <c r="S138">
        <v>220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715555000</v>
      </c>
      <c r="AQ138">
        <v>0</v>
      </c>
      <c r="AR138">
        <v>0</v>
      </c>
      <c r="AS138">
        <v>0</v>
      </c>
      <c r="AT138">
        <v>0</v>
      </c>
      <c r="AU138">
        <v>0</v>
      </c>
      <c r="AV138">
        <v>0</v>
      </c>
      <c r="AW138">
        <v>0</v>
      </c>
      <c r="AX138">
        <v>0</v>
      </c>
      <c r="AY138">
        <v>715555000</v>
      </c>
      <c r="AZ138" s="2048">
        <v>715555000</v>
      </c>
      <c r="BA138">
        <v>0</v>
      </c>
      <c r="BB138">
        <v>0</v>
      </c>
      <c r="BC138">
        <v>0</v>
      </c>
      <c r="BD138">
        <v>0</v>
      </c>
      <c r="BE138">
        <v>0</v>
      </c>
      <c r="BF138">
        <v>0</v>
      </c>
      <c r="BG138">
        <v>0</v>
      </c>
      <c r="BH138">
        <v>0</v>
      </c>
      <c r="BI138">
        <v>0</v>
      </c>
      <c r="BJ138">
        <v>0</v>
      </c>
      <c r="BK138">
        <v>0</v>
      </c>
      <c r="BL138">
        <v>321999750</v>
      </c>
      <c r="BM138">
        <v>32199970</v>
      </c>
      <c r="BN138">
        <v>0</v>
      </c>
      <c r="BO138">
        <v>0</v>
      </c>
      <c r="BP138">
        <v>0</v>
      </c>
      <c r="BQ138">
        <v>0</v>
      </c>
      <c r="BR138">
        <v>0</v>
      </c>
      <c r="BS138">
        <v>0</v>
      </c>
      <c r="BT138">
        <v>0</v>
      </c>
      <c r="BU138">
        <v>0</v>
      </c>
      <c r="BV138">
        <v>0</v>
      </c>
      <c r="BW138">
        <v>0</v>
      </c>
      <c r="BX138">
        <v>0</v>
      </c>
      <c r="BY138">
        <v>0</v>
      </c>
      <c r="BZ138">
        <v>0</v>
      </c>
      <c r="CA138">
        <v>0</v>
      </c>
      <c r="CB138">
        <v>0</v>
      </c>
      <c r="CC138">
        <v>0</v>
      </c>
      <c r="CD138">
        <v>0</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0</v>
      </c>
      <c r="DA138">
        <v>0</v>
      </c>
      <c r="DB138">
        <v>0</v>
      </c>
      <c r="DC138">
        <v>0</v>
      </c>
      <c r="DD138">
        <v>0</v>
      </c>
      <c r="DE138">
        <v>0</v>
      </c>
      <c r="DF138">
        <v>0</v>
      </c>
      <c r="DG138">
        <v>0</v>
      </c>
      <c r="DH138">
        <v>0</v>
      </c>
      <c r="DI138">
        <v>0</v>
      </c>
      <c r="DJ138">
        <v>0</v>
      </c>
      <c r="DK138">
        <v>0</v>
      </c>
      <c r="DL138">
        <v>0</v>
      </c>
      <c r="DM138">
        <v>0</v>
      </c>
      <c r="DN138">
        <v>0</v>
      </c>
      <c r="DO138">
        <v>0</v>
      </c>
      <c r="DP138">
        <v>0</v>
      </c>
      <c r="DQ138">
        <v>0</v>
      </c>
      <c r="DR138">
        <v>0</v>
      </c>
      <c r="DS138">
        <v>0</v>
      </c>
      <c r="DT138" s="2048">
        <v>354199720</v>
      </c>
      <c r="DU138" s="2048">
        <v>361355280</v>
      </c>
      <c r="DV138">
        <v>0</v>
      </c>
    </row>
    <row r="139" spans="1:126" hidden="1">
      <c r="A139" t="s">
        <v>5352</v>
      </c>
      <c r="C139">
        <v>2021</v>
      </c>
      <c r="D139">
        <f>MONTH(G139)</f>
        <v>9</v>
      </c>
      <c r="F139" t="s">
        <v>4869</v>
      </c>
      <c r="G139" s="2042">
        <v>44463</v>
      </c>
      <c r="H139" t="s">
        <v>4870</v>
      </c>
      <c r="I139" t="s">
        <v>4870</v>
      </c>
      <c r="J139" t="s">
        <v>4871</v>
      </c>
      <c r="K139" t="s">
        <v>4746</v>
      </c>
      <c r="L139" t="s">
        <v>4872</v>
      </c>
      <c r="M139" t="s">
        <v>4872</v>
      </c>
      <c r="N139" t="s">
        <v>4873</v>
      </c>
      <c r="O139" t="s">
        <v>5351</v>
      </c>
      <c r="P139" t="s">
        <v>4742</v>
      </c>
      <c r="Q139" s="2042">
        <v>43191</v>
      </c>
      <c r="R139" s="2042">
        <v>43191</v>
      </c>
      <c r="S139">
        <v>220</v>
      </c>
      <c r="T139">
        <v>0</v>
      </c>
      <c r="U139">
        <v>56160000</v>
      </c>
      <c r="V139">
        <v>11230000</v>
      </c>
      <c r="W139">
        <v>0</v>
      </c>
      <c r="X139">
        <v>43240000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111475000</v>
      </c>
      <c r="AY139">
        <v>110630000</v>
      </c>
      <c r="AZ139" s="2048">
        <v>110630000</v>
      </c>
      <c r="BA139">
        <v>0</v>
      </c>
      <c r="BB139">
        <v>0</v>
      </c>
      <c r="BC139">
        <v>0</v>
      </c>
      <c r="BD139">
        <v>0</v>
      </c>
      <c r="BE139">
        <v>0</v>
      </c>
      <c r="BF139">
        <v>0</v>
      </c>
      <c r="BG139">
        <v>0</v>
      </c>
      <c r="BH139">
        <v>0</v>
      </c>
      <c r="BI139">
        <v>0</v>
      </c>
      <c r="BJ139">
        <v>0</v>
      </c>
      <c r="BK139">
        <v>0</v>
      </c>
      <c r="BL139">
        <v>43119670</v>
      </c>
      <c r="BM139">
        <v>4311960</v>
      </c>
      <c r="BN139">
        <v>0</v>
      </c>
      <c r="BO139">
        <v>0</v>
      </c>
      <c r="BP139">
        <v>3929900</v>
      </c>
      <c r="BQ139">
        <v>0</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c r="DN139">
        <v>0</v>
      </c>
      <c r="DO139">
        <v>0</v>
      </c>
      <c r="DP139">
        <v>0</v>
      </c>
      <c r="DQ139">
        <v>0</v>
      </c>
      <c r="DR139">
        <v>0</v>
      </c>
      <c r="DS139">
        <v>0</v>
      </c>
      <c r="DT139" s="2048">
        <v>51361530</v>
      </c>
      <c r="DU139" s="2048">
        <v>59268470</v>
      </c>
      <c r="DV139">
        <v>0</v>
      </c>
    </row>
    <row r="140" spans="1:126" hidden="1">
      <c r="A140" t="s">
        <v>5352</v>
      </c>
      <c r="C140">
        <v>2021</v>
      </c>
      <c r="D140">
        <f t="shared" ref="D140:D141" si="0">MONTH(G140)</f>
        <v>8</v>
      </c>
      <c r="F140" t="s">
        <v>4869</v>
      </c>
      <c r="G140" s="2042">
        <v>44432</v>
      </c>
      <c r="H140" t="s">
        <v>4870</v>
      </c>
      <c r="I140" t="s">
        <v>4870</v>
      </c>
      <c r="J140" t="s">
        <v>4871</v>
      </c>
      <c r="K140" t="s">
        <v>4746</v>
      </c>
      <c r="L140" t="s">
        <v>4872</v>
      </c>
      <c r="M140" t="s">
        <v>4872</v>
      </c>
      <c r="N140" t="s">
        <v>4873</v>
      </c>
      <c r="O140" t="s">
        <v>5351</v>
      </c>
      <c r="P140" t="s">
        <v>4742</v>
      </c>
      <c r="Q140" s="2042">
        <v>43191</v>
      </c>
      <c r="R140" s="2042">
        <v>43191</v>
      </c>
      <c r="S140">
        <v>220</v>
      </c>
      <c r="T140">
        <v>0</v>
      </c>
      <c r="U140">
        <v>56160000</v>
      </c>
      <c r="V140">
        <v>11230000</v>
      </c>
      <c r="W140">
        <v>0</v>
      </c>
      <c r="X140">
        <v>43240000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111475000</v>
      </c>
      <c r="AY140">
        <v>110630000</v>
      </c>
      <c r="AZ140" s="2048">
        <v>110630000</v>
      </c>
      <c r="BA140">
        <v>0</v>
      </c>
      <c r="BB140">
        <v>0</v>
      </c>
      <c r="BC140">
        <v>0</v>
      </c>
      <c r="BD140">
        <v>0</v>
      </c>
      <c r="BE140">
        <v>0</v>
      </c>
      <c r="BF140">
        <v>0</v>
      </c>
      <c r="BG140">
        <v>0</v>
      </c>
      <c r="BH140">
        <v>0</v>
      </c>
      <c r="BI140">
        <v>0</v>
      </c>
      <c r="BJ140">
        <v>0</v>
      </c>
      <c r="BK140">
        <v>0</v>
      </c>
      <c r="BL140">
        <v>43119670</v>
      </c>
      <c r="BM140">
        <v>4311960</v>
      </c>
      <c r="BN140">
        <v>0</v>
      </c>
      <c r="BO140">
        <v>0</v>
      </c>
      <c r="BP140">
        <v>3929900</v>
      </c>
      <c r="BQ140">
        <v>0</v>
      </c>
      <c r="BR140">
        <v>0</v>
      </c>
      <c r="BS140">
        <v>0</v>
      </c>
      <c r="BT140">
        <v>0</v>
      </c>
      <c r="BU140">
        <v>0</v>
      </c>
      <c r="BV140">
        <v>0</v>
      </c>
      <c r="BW140">
        <v>0</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c r="DM140">
        <v>0</v>
      </c>
      <c r="DN140">
        <v>0</v>
      </c>
      <c r="DO140">
        <v>0</v>
      </c>
      <c r="DP140">
        <v>0</v>
      </c>
      <c r="DQ140">
        <v>0</v>
      </c>
      <c r="DR140">
        <v>0</v>
      </c>
      <c r="DS140">
        <v>0</v>
      </c>
      <c r="DT140" s="2048">
        <v>51361530</v>
      </c>
      <c r="DU140" s="2048">
        <v>59268470</v>
      </c>
      <c r="DV140">
        <v>0</v>
      </c>
    </row>
    <row r="141" spans="1:126" hidden="1">
      <c r="A141" t="s">
        <v>5352</v>
      </c>
      <c r="C141">
        <v>2021</v>
      </c>
      <c r="D141">
        <f t="shared" si="0"/>
        <v>7</v>
      </c>
      <c r="F141" t="s">
        <v>4869</v>
      </c>
      <c r="G141" s="2042">
        <v>44400</v>
      </c>
      <c r="H141" t="s">
        <v>4870</v>
      </c>
      <c r="I141" t="s">
        <v>4870</v>
      </c>
      <c r="J141" t="s">
        <v>4871</v>
      </c>
      <c r="K141" t="s">
        <v>4746</v>
      </c>
      <c r="L141" t="s">
        <v>4872</v>
      </c>
      <c r="M141" t="s">
        <v>4872</v>
      </c>
      <c r="N141" t="s">
        <v>4873</v>
      </c>
      <c r="O141" t="s">
        <v>5351</v>
      </c>
      <c r="P141" t="s">
        <v>4742</v>
      </c>
      <c r="Q141" s="2042">
        <v>43191</v>
      </c>
      <c r="R141" s="2042">
        <v>43191</v>
      </c>
      <c r="S141">
        <v>220</v>
      </c>
      <c r="T141">
        <v>0</v>
      </c>
      <c r="U141">
        <v>56160000</v>
      </c>
      <c r="V141">
        <v>11230000</v>
      </c>
      <c r="W141">
        <v>0</v>
      </c>
      <c r="X141">
        <v>43240000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111475000</v>
      </c>
      <c r="AY141">
        <v>110630000</v>
      </c>
      <c r="AZ141" s="2048">
        <v>110630000</v>
      </c>
      <c r="BA141">
        <v>0</v>
      </c>
      <c r="BB141">
        <v>0</v>
      </c>
      <c r="BC141">
        <v>0</v>
      </c>
      <c r="BD141">
        <v>0</v>
      </c>
      <c r="BE141">
        <v>0</v>
      </c>
      <c r="BF141">
        <v>0</v>
      </c>
      <c r="BG141">
        <v>0</v>
      </c>
      <c r="BH141">
        <v>0</v>
      </c>
      <c r="BI141">
        <v>0</v>
      </c>
      <c r="BJ141">
        <v>0</v>
      </c>
      <c r="BK141">
        <v>0</v>
      </c>
      <c r="BL141">
        <v>43119670</v>
      </c>
      <c r="BM141">
        <v>4311960</v>
      </c>
      <c r="BN141">
        <v>0</v>
      </c>
      <c r="BO141">
        <v>0</v>
      </c>
      <c r="BP141">
        <v>3929900</v>
      </c>
      <c r="BQ141">
        <v>0</v>
      </c>
      <c r="BR141">
        <v>0</v>
      </c>
      <c r="BS141">
        <v>0</v>
      </c>
      <c r="BT141">
        <v>0</v>
      </c>
      <c r="BU141">
        <v>0</v>
      </c>
      <c r="BV141">
        <v>0</v>
      </c>
      <c r="BW141">
        <v>0</v>
      </c>
      <c r="BX141">
        <v>0</v>
      </c>
      <c r="BY141">
        <v>0</v>
      </c>
      <c r="BZ141">
        <v>0</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v>0</v>
      </c>
      <c r="CW141">
        <v>0</v>
      </c>
      <c r="CX141">
        <v>0</v>
      </c>
      <c r="CY141">
        <v>0</v>
      </c>
      <c r="CZ141">
        <v>0</v>
      </c>
      <c r="DA141">
        <v>0</v>
      </c>
      <c r="DB141">
        <v>0</v>
      </c>
      <c r="DC141">
        <v>0</v>
      </c>
      <c r="DD141">
        <v>0</v>
      </c>
      <c r="DE141">
        <v>0</v>
      </c>
      <c r="DF141">
        <v>0</v>
      </c>
      <c r="DG141">
        <v>0</v>
      </c>
      <c r="DH141">
        <v>0</v>
      </c>
      <c r="DI141">
        <v>0</v>
      </c>
      <c r="DJ141">
        <v>0</v>
      </c>
      <c r="DK141">
        <v>0</v>
      </c>
      <c r="DL141">
        <v>0</v>
      </c>
      <c r="DM141">
        <v>0</v>
      </c>
      <c r="DN141">
        <v>0</v>
      </c>
      <c r="DO141">
        <v>0</v>
      </c>
      <c r="DP141">
        <v>0</v>
      </c>
      <c r="DQ141">
        <v>0</v>
      </c>
      <c r="DR141">
        <v>0</v>
      </c>
      <c r="DS141">
        <v>0</v>
      </c>
      <c r="DT141" s="2048">
        <v>51361530</v>
      </c>
      <c r="DU141" s="2048">
        <v>59268470</v>
      </c>
      <c r="DV141">
        <v>0</v>
      </c>
    </row>
    <row r="142" spans="1:126" hidden="1">
      <c r="A142" t="s">
        <v>5352</v>
      </c>
      <c r="C142">
        <v>2021</v>
      </c>
      <c r="D142">
        <f t="shared" ref="D142:D150" si="1">MONTH(G142)</f>
        <v>9</v>
      </c>
      <c r="F142" t="s">
        <v>4869</v>
      </c>
      <c r="G142" s="2042">
        <v>44463</v>
      </c>
      <c r="H142" t="s">
        <v>4880</v>
      </c>
      <c r="I142" t="s">
        <v>4880</v>
      </c>
      <c r="J142" t="s">
        <v>4881</v>
      </c>
      <c r="K142" t="s">
        <v>4746</v>
      </c>
      <c r="L142" t="s">
        <v>4882</v>
      </c>
      <c r="M142" t="s">
        <v>4882</v>
      </c>
      <c r="N142" t="s">
        <v>4883</v>
      </c>
      <c r="O142" t="s">
        <v>5351</v>
      </c>
      <c r="P142" t="s">
        <v>4742</v>
      </c>
      <c r="Q142" s="2042">
        <v>42826</v>
      </c>
      <c r="R142" s="2042">
        <v>42826</v>
      </c>
      <c r="S142">
        <v>220</v>
      </c>
      <c r="T142">
        <v>0</v>
      </c>
      <c r="U142">
        <v>11130000</v>
      </c>
      <c r="V142">
        <v>2230000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17810000</v>
      </c>
      <c r="AY142">
        <v>13360000</v>
      </c>
      <c r="AZ142" s="2048">
        <v>13360000</v>
      </c>
      <c r="BA142">
        <v>0</v>
      </c>
      <c r="BB142">
        <v>0</v>
      </c>
      <c r="BC142">
        <v>0</v>
      </c>
      <c r="BD142">
        <v>0</v>
      </c>
      <c r="BE142">
        <v>0</v>
      </c>
      <c r="BF142">
        <v>0</v>
      </c>
      <c r="BG142">
        <v>0</v>
      </c>
      <c r="BH142">
        <v>0</v>
      </c>
      <c r="BI142">
        <v>0</v>
      </c>
      <c r="BJ142">
        <v>0</v>
      </c>
      <c r="BK142">
        <v>0</v>
      </c>
      <c r="BL142">
        <v>2800340</v>
      </c>
      <c r="BM142">
        <v>280030</v>
      </c>
      <c r="BN142">
        <v>0</v>
      </c>
      <c r="BO142">
        <v>0</v>
      </c>
      <c r="BP142">
        <v>1378660</v>
      </c>
      <c r="BQ142">
        <v>0</v>
      </c>
      <c r="BR142">
        <v>0</v>
      </c>
      <c r="BS142">
        <v>0</v>
      </c>
      <c r="BT142">
        <v>0</v>
      </c>
      <c r="BU142">
        <v>0</v>
      </c>
      <c r="BV142">
        <v>0</v>
      </c>
      <c r="BW142">
        <v>0</v>
      </c>
      <c r="BX142">
        <v>0</v>
      </c>
      <c r="BY142">
        <v>0</v>
      </c>
      <c r="BZ142">
        <v>0</v>
      </c>
      <c r="CA142">
        <v>0</v>
      </c>
      <c r="CB142">
        <v>0</v>
      </c>
      <c r="CC142">
        <v>0</v>
      </c>
      <c r="CD142">
        <v>0</v>
      </c>
      <c r="CE142">
        <v>0</v>
      </c>
      <c r="CF142">
        <v>0</v>
      </c>
      <c r="CG142">
        <v>0</v>
      </c>
      <c r="CH142">
        <v>0</v>
      </c>
      <c r="CI142">
        <v>0</v>
      </c>
      <c r="CJ142">
        <v>0</v>
      </c>
      <c r="CK142">
        <v>0</v>
      </c>
      <c r="CL142">
        <v>0</v>
      </c>
      <c r="CM142">
        <v>0</v>
      </c>
      <c r="CN142">
        <v>0</v>
      </c>
      <c r="CO142">
        <v>0</v>
      </c>
      <c r="CP142">
        <v>0</v>
      </c>
      <c r="CQ142">
        <v>0</v>
      </c>
      <c r="CR142">
        <v>0</v>
      </c>
      <c r="CS142">
        <v>0</v>
      </c>
      <c r="CT142">
        <v>0</v>
      </c>
      <c r="CU142">
        <v>0</v>
      </c>
      <c r="CV142">
        <v>0</v>
      </c>
      <c r="CW142">
        <v>0</v>
      </c>
      <c r="CX142">
        <v>0</v>
      </c>
      <c r="CY142">
        <v>0</v>
      </c>
      <c r="CZ142">
        <v>0</v>
      </c>
      <c r="DA142">
        <v>0</v>
      </c>
      <c r="DB142">
        <v>0</v>
      </c>
      <c r="DC142">
        <v>0</v>
      </c>
      <c r="DD142">
        <v>0</v>
      </c>
      <c r="DE142">
        <v>0</v>
      </c>
      <c r="DF142">
        <v>0</v>
      </c>
      <c r="DG142">
        <v>0</v>
      </c>
      <c r="DH142">
        <v>0</v>
      </c>
      <c r="DI142">
        <v>0</v>
      </c>
      <c r="DJ142">
        <v>0</v>
      </c>
      <c r="DK142">
        <v>0</v>
      </c>
      <c r="DL142">
        <v>0</v>
      </c>
      <c r="DM142">
        <v>0</v>
      </c>
      <c r="DN142">
        <v>0</v>
      </c>
      <c r="DO142">
        <v>0</v>
      </c>
      <c r="DP142">
        <v>0</v>
      </c>
      <c r="DQ142">
        <v>0</v>
      </c>
      <c r="DR142">
        <v>0</v>
      </c>
      <c r="DS142">
        <v>0</v>
      </c>
      <c r="DT142" s="2048">
        <v>4459030</v>
      </c>
      <c r="DU142" s="2048">
        <v>8900970</v>
      </c>
      <c r="DV142">
        <v>0</v>
      </c>
    </row>
    <row r="143" spans="1:126" hidden="1">
      <c r="A143" t="s">
        <v>5352</v>
      </c>
      <c r="C143">
        <v>2021</v>
      </c>
      <c r="D143">
        <f t="shared" si="1"/>
        <v>8</v>
      </c>
      <c r="F143" t="s">
        <v>4869</v>
      </c>
      <c r="G143" s="2042">
        <v>44432</v>
      </c>
      <c r="H143" t="s">
        <v>4880</v>
      </c>
      <c r="I143" t="s">
        <v>4880</v>
      </c>
      <c r="J143" t="s">
        <v>4881</v>
      </c>
      <c r="K143" t="s">
        <v>4746</v>
      </c>
      <c r="L143" t="s">
        <v>4882</v>
      </c>
      <c r="M143" t="s">
        <v>4882</v>
      </c>
      <c r="N143" t="s">
        <v>4883</v>
      </c>
      <c r="O143" t="s">
        <v>5351</v>
      </c>
      <c r="P143" t="s">
        <v>4742</v>
      </c>
      <c r="Q143" s="2042">
        <v>42826</v>
      </c>
      <c r="R143" s="2042">
        <v>42826</v>
      </c>
      <c r="S143">
        <v>220</v>
      </c>
      <c r="T143">
        <v>0</v>
      </c>
      <c r="U143">
        <v>11130000</v>
      </c>
      <c r="V143">
        <v>2230000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17810000</v>
      </c>
      <c r="AY143">
        <v>13360000</v>
      </c>
      <c r="AZ143" s="2048">
        <v>13360000</v>
      </c>
      <c r="BA143">
        <v>0</v>
      </c>
      <c r="BB143">
        <v>0</v>
      </c>
      <c r="BC143">
        <v>0</v>
      </c>
      <c r="BD143">
        <v>0</v>
      </c>
      <c r="BE143">
        <v>0</v>
      </c>
      <c r="BF143">
        <v>0</v>
      </c>
      <c r="BG143">
        <v>0</v>
      </c>
      <c r="BH143">
        <v>0</v>
      </c>
      <c r="BI143">
        <v>0</v>
      </c>
      <c r="BJ143">
        <v>0</v>
      </c>
      <c r="BK143">
        <v>0</v>
      </c>
      <c r="BL143">
        <v>2800340</v>
      </c>
      <c r="BM143">
        <v>280030</v>
      </c>
      <c r="BN143">
        <v>0</v>
      </c>
      <c r="BO143">
        <v>0</v>
      </c>
      <c r="BP143">
        <v>1378660</v>
      </c>
      <c r="BQ143">
        <v>0</v>
      </c>
      <c r="BR143">
        <v>0</v>
      </c>
      <c r="BS143">
        <v>0</v>
      </c>
      <c r="BT143">
        <v>0</v>
      </c>
      <c r="BU143">
        <v>0</v>
      </c>
      <c r="BV143">
        <v>0</v>
      </c>
      <c r="BW143">
        <v>0</v>
      </c>
      <c r="BX143">
        <v>0</v>
      </c>
      <c r="BY143">
        <v>0</v>
      </c>
      <c r="BZ143">
        <v>0</v>
      </c>
      <c r="CA143">
        <v>0</v>
      </c>
      <c r="CB143">
        <v>0</v>
      </c>
      <c r="CC143">
        <v>0</v>
      </c>
      <c r="CD143">
        <v>0</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0</v>
      </c>
      <c r="DA143">
        <v>0</v>
      </c>
      <c r="DB143">
        <v>0</v>
      </c>
      <c r="DC143">
        <v>0</v>
      </c>
      <c r="DD143">
        <v>0</v>
      </c>
      <c r="DE143">
        <v>0</v>
      </c>
      <c r="DF143">
        <v>0</v>
      </c>
      <c r="DG143">
        <v>0</v>
      </c>
      <c r="DH143">
        <v>0</v>
      </c>
      <c r="DI143">
        <v>0</v>
      </c>
      <c r="DJ143">
        <v>0</v>
      </c>
      <c r="DK143">
        <v>0</v>
      </c>
      <c r="DL143">
        <v>0</v>
      </c>
      <c r="DM143">
        <v>0</v>
      </c>
      <c r="DN143">
        <v>0</v>
      </c>
      <c r="DO143">
        <v>0</v>
      </c>
      <c r="DP143">
        <v>0</v>
      </c>
      <c r="DQ143">
        <v>0</v>
      </c>
      <c r="DR143">
        <v>0</v>
      </c>
      <c r="DS143">
        <v>0</v>
      </c>
      <c r="DT143" s="2048">
        <v>4459030</v>
      </c>
      <c r="DU143" s="2048">
        <v>8900970</v>
      </c>
      <c r="DV143">
        <v>0</v>
      </c>
    </row>
    <row r="144" spans="1:126" hidden="1">
      <c r="A144" t="s">
        <v>5352</v>
      </c>
      <c r="C144">
        <v>2021</v>
      </c>
      <c r="D144">
        <f t="shared" si="1"/>
        <v>7</v>
      </c>
      <c r="F144" t="s">
        <v>4869</v>
      </c>
      <c r="G144" s="2042">
        <v>44400</v>
      </c>
      <c r="H144" t="s">
        <v>4880</v>
      </c>
      <c r="I144" t="s">
        <v>4880</v>
      </c>
      <c r="J144" t="s">
        <v>4881</v>
      </c>
      <c r="K144" t="s">
        <v>4746</v>
      </c>
      <c r="L144" t="s">
        <v>4882</v>
      </c>
      <c r="M144" t="s">
        <v>4882</v>
      </c>
      <c r="N144" t="s">
        <v>4883</v>
      </c>
      <c r="O144" t="s">
        <v>5351</v>
      </c>
      <c r="P144" t="s">
        <v>4742</v>
      </c>
      <c r="Q144" s="2042">
        <v>42826</v>
      </c>
      <c r="R144" s="2042">
        <v>42826</v>
      </c>
      <c r="S144">
        <v>220</v>
      </c>
      <c r="T144">
        <v>0</v>
      </c>
      <c r="U144">
        <v>11130000</v>
      </c>
      <c r="V144">
        <v>2230000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17810000</v>
      </c>
      <c r="AY144">
        <v>13360000</v>
      </c>
      <c r="AZ144" s="2048">
        <v>13360000</v>
      </c>
      <c r="BA144">
        <v>0</v>
      </c>
      <c r="BB144">
        <v>0</v>
      </c>
      <c r="BC144">
        <v>0</v>
      </c>
      <c r="BD144">
        <v>0</v>
      </c>
      <c r="BE144">
        <v>0</v>
      </c>
      <c r="BF144">
        <v>0</v>
      </c>
      <c r="BG144">
        <v>0</v>
      </c>
      <c r="BH144">
        <v>0</v>
      </c>
      <c r="BI144">
        <v>0</v>
      </c>
      <c r="BJ144">
        <v>0</v>
      </c>
      <c r="BK144">
        <v>0</v>
      </c>
      <c r="BL144">
        <v>2800340</v>
      </c>
      <c r="BM144">
        <v>280030</v>
      </c>
      <c r="BN144">
        <v>0</v>
      </c>
      <c r="BO144">
        <v>0</v>
      </c>
      <c r="BP144">
        <v>1378660</v>
      </c>
      <c r="BQ144">
        <v>0</v>
      </c>
      <c r="BR144">
        <v>0</v>
      </c>
      <c r="BS144">
        <v>0</v>
      </c>
      <c r="BT144">
        <v>0</v>
      </c>
      <c r="BU144">
        <v>0</v>
      </c>
      <c r="BV144">
        <v>0</v>
      </c>
      <c r="BW144">
        <v>0</v>
      </c>
      <c r="BX144">
        <v>0</v>
      </c>
      <c r="BY144">
        <v>0</v>
      </c>
      <c r="BZ144">
        <v>0</v>
      </c>
      <c r="CA144">
        <v>0</v>
      </c>
      <c r="CB144">
        <v>0</v>
      </c>
      <c r="CC144">
        <v>0</v>
      </c>
      <c r="CD144">
        <v>0</v>
      </c>
      <c r="CE144">
        <v>0</v>
      </c>
      <c r="CF144">
        <v>0</v>
      </c>
      <c r="CG144">
        <v>0</v>
      </c>
      <c r="CH144">
        <v>0</v>
      </c>
      <c r="CI144">
        <v>0</v>
      </c>
      <c r="CJ144">
        <v>0</v>
      </c>
      <c r="CK144">
        <v>0</v>
      </c>
      <c r="CL144">
        <v>0</v>
      </c>
      <c r="CM144">
        <v>0</v>
      </c>
      <c r="CN144">
        <v>0</v>
      </c>
      <c r="CO144">
        <v>0</v>
      </c>
      <c r="CP144">
        <v>0</v>
      </c>
      <c r="CQ144">
        <v>0</v>
      </c>
      <c r="CR144">
        <v>0</v>
      </c>
      <c r="CS144">
        <v>0</v>
      </c>
      <c r="CT144">
        <v>0</v>
      </c>
      <c r="CU144">
        <v>0</v>
      </c>
      <c r="CV144">
        <v>0</v>
      </c>
      <c r="CW144">
        <v>0</v>
      </c>
      <c r="CX144">
        <v>0</v>
      </c>
      <c r="CY144">
        <v>0</v>
      </c>
      <c r="CZ144">
        <v>0</v>
      </c>
      <c r="DA144">
        <v>0</v>
      </c>
      <c r="DB144">
        <v>0</v>
      </c>
      <c r="DC144">
        <v>0</v>
      </c>
      <c r="DD144">
        <v>0</v>
      </c>
      <c r="DE144">
        <v>0</v>
      </c>
      <c r="DF144">
        <v>0</v>
      </c>
      <c r="DG144">
        <v>0</v>
      </c>
      <c r="DH144">
        <v>0</v>
      </c>
      <c r="DI144">
        <v>0</v>
      </c>
      <c r="DJ144">
        <v>0</v>
      </c>
      <c r="DK144">
        <v>0</v>
      </c>
      <c r="DL144">
        <v>0</v>
      </c>
      <c r="DM144">
        <v>0</v>
      </c>
      <c r="DN144">
        <v>0</v>
      </c>
      <c r="DO144">
        <v>0</v>
      </c>
      <c r="DP144">
        <v>0</v>
      </c>
      <c r="DQ144">
        <v>0</v>
      </c>
      <c r="DR144">
        <v>0</v>
      </c>
      <c r="DS144">
        <v>0</v>
      </c>
      <c r="DT144" s="2048">
        <v>4459030</v>
      </c>
      <c r="DU144" s="2048">
        <v>8900970</v>
      </c>
      <c r="DV144">
        <v>0</v>
      </c>
    </row>
    <row r="145" spans="1:126" hidden="1">
      <c r="A145" t="s">
        <v>5353</v>
      </c>
      <c r="C145">
        <v>2021</v>
      </c>
      <c r="D145">
        <f t="shared" si="1"/>
        <v>9</v>
      </c>
      <c r="F145" t="s">
        <v>4885</v>
      </c>
      <c r="G145" s="2042">
        <v>44463</v>
      </c>
      <c r="H145" t="s">
        <v>4880</v>
      </c>
      <c r="I145" t="s">
        <v>4880</v>
      </c>
      <c r="J145" t="s">
        <v>4881</v>
      </c>
      <c r="K145" t="s">
        <v>4746</v>
      </c>
      <c r="L145" t="s">
        <v>4882</v>
      </c>
      <c r="M145" t="s">
        <v>4882</v>
      </c>
      <c r="N145" t="s">
        <v>4883</v>
      </c>
      <c r="O145" t="s">
        <v>5351</v>
      </c>
      <c r="P145" t="s">
        <v>4742</v>
      </c>
      <c r="Q145" s="2042">
        <v>42826</v>
      </c>
      <c r="R145" s="2042">
        <v>42826</v>
      </c>
      <c r="S145">
        <v>220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11140000</v>
      </c>
      <c r="AQ145">
        <v>0</v>
      </c>
      <c r="AR145">
        <v>0</v>
      </c>
      <c r="AS145">
        <v>0</v>
      </c>
      <c r="AT145">
        <v>0</v>
      </c>
      <c r="AU145">
        <v>0</v>
      </c>
      <c r="AV145">
        <v>0</v>
      </c>
      <c r="AW145">
        <v>0</v>
      </c>
      <c r="AX145">
        <v>0</v>
      </c>
      <c r="AY145">
        <v>11140000</v>
      </c>
      <c r="AZ145" s="2048">
        <v>11140000</v>
      </c>
      <c r="BA145">
        <v>0</v>
      </c>
      <c r="BB145">
        <v>0</v>
      </c>
      <c r="BC145">
        <v>0</v>
      </c>
      <c r="BD145">
        <v>0</v>
      </c>
      <c r="BE145">
        <v>0</v>
      </c>
      <c r="BF145">
        <v>0</v>
      </c>
      <c r="BG145">
        <v>0</v>
      </c>
      <c r="BH145">
        <v>0</v>
      </c>
      <c r="BI145">
        <v>0</v>
      </c>
      <c r="BJ145">
        <v>0</v>
      </c>
      <c r="BK145">
        <v>0</v>
      </c>
      <c r="BL145">
        <v>2116600</v>
      </c>
      <c r="BM145">
        <v>211660</v>
      </c>
      <c r="BN145">
        <v>0</v>
      </c>
      <c r="BO145">
        <v>0</v>
      </c>
      <c r="BP145">
        <v>0</v>
      </c>
      <c r="BQ145">
        <v>0</v>
      </c>
      <c r="BR145">
        <v>0</v>
      </c>
      <c r="BS145">
        <v>0</v>
      </c>
      <c r="BT145">
        <v>0</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c r="DL145">
        <v>0</v>
      </c>
      <c r="DM145">
        <v>0</v>
      </c>
      <c r="DN145">
        <v>0</v>
      </c>
      <c r="DO145">
        <v>0</v>
      </c>
      <c r="DP145">
        <v>0</v>
      </c>
      <c r="DQ145">
        <v>0</v>
      </c>
      <c r="DR145">
        <v>0</v>
      </c>
      <c r="DS145">
        <v>0</v>
      </c>
      <c r="DT145" s="2048">
        <v>2328260</v>
      </c>
      <c r="DU145" s="2048">
        <v>8811740</v>
      </c>
      <c r="DV145">
        <v>0</v>
      </c>
    </row>
    <row r="146" spans="1:126" hidden="1">
      <c r="A146" t="s">
        <v>5353</v>
      </c>
      <c r="C146">
        <v>2021</v>
      </c>
      <c r="D146">
        <f t="shared" si="1"/>
        <v>8</v>
      </c>
      <c r="F146" t="s">
        <v>4885</v>
      </c>
      <c r="G146" s="2042">
        <v>44432</v>
      </c>
      <c r="H146" t="s">
        <v>4880</v>
      </c>
      <c r="I146" t="s">
        <v>4880</v>
      </c>
      <c r="J146" t="s">
        <v>4881</v>
      </c>
      <c r="K146" t="s">
        <v>4746</v>
      </c>
      <c r="L146" t="s">
        <v>4882</v>
      </c>
      <c r="M146" t="s">
        <v>4882</v>
      </c>
      <c r="N146" t="s">
        <v>4883</v>
      </c>
      <c r="O146" t="s">
        <v>5351</v>
      </c>
      <c r="P146" t="s">
        <v>4742</v>
      </c>
      <c r="Q146" s="2042">
        <v>42826</v>
      </c>
      <c r="R146" s="2042">
        <v>42826</v>
      </c>
      <c r="S146">
        <v>220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11140000</v>
      </c>
      <c r="AQ146">
        <v>0</v>
      </c>
      <c r="AR146">
        <v>0</v>
      </c>
      <c r="AS146">
        <v>0</v>
      </c>
      <c r="AT146">
        <v>0</v>
      </c>
      <c r="AU146">
        <v>0</v>
      </c>
      <c r="AV146">
        <v>0</v>
      </c>
      <c r="AW146">
        <v>0</v>
      </c>
      <c r="AX146">
        <v>0</v>
      </c>
      <c r="AY146">
        <v>11140000</v>
      </c>
      <c r="AZ146" s="2048">
        <v>11140000</v>
      </c>
      <c r="BA146">
        <v>0</v>
      </c>
      <c r="BB146">
        <v>0</v>
      </c>
      <c r="BC146">
        <v>0</v>
      </c>
      <c r="BD146">
        <v>0</v>
      </c>
      <c r="BE146">
        <v>0</v>
      </c>
      <c r="BF146">
        <v>0</v>
      </c>
      <c r="BG146">
        <v>0</v>
      </c>
      <c r="BH146">
        <v>0</v>
      </c>
      <c r="BI146">
        <v>0</v>
      </c>
      <c r="BJ146">
        <v>0</v>
      </c>
      <c r="BK146">
        <v>0</v>
      </c>
      <c r="BL146">
        <v>2116600</v>
      </c>
      <c r="BM146">
        <v>211660</v>
      </c>
      <c r="BN146">
        <v>0</v>
      </c>
      <c r="BO146">
        <v>0</v>
      </c>
      <c r="BP146">
        <v>0</v>
      </c>
      <c r="BQ146">
        <v>0</v>
      </c>
      <c r="BR146">
        <v>0</v>
      </c>
      <c r="BS146">
        <v>0</v>
      </c>
      <c r="BT146">
        <v>0</v>
      </c>
      <c r="BU146">
        <v>0</v>
      </c>
      <c r="BV146">
        <v>0</v>
      </c>
      <c r="BW146">
        <v>0</v>
      </c>
      <c r="BX146">
        <v>0</v>
      </c>
      <c r="BY146">
        <v>0</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0</v>
      </c>
      <c r="DA146">
        <v>0</v>
      </c>
      <c r="DB146">
        <v>0</v>
      </c>
      <c r="DC146">
        <v>0</v>
      </c>
      <c r="DD146">
        <v>0</v>
      </c>
      <c r="DE146">
        <v>0</v>
      </c>
      <c r="DF146">
        <v>0</v>
      </c>
      <c r="DG146">
        <v>0</v>
      </c>
      <c r="DH146">
        <v>0</v>
      </c>
      <c r="DI146">
        <v>0</v>
      </c>
      <c r="DJ146">
        <v>0</v>
      </c>
      <c r="DK146">
        <v>0</v>
      </c>
      <c r="DL146">
        <v>0</v>
      </c>
      <c r="DM146">
        <v>0</v>
      </c>
      <c r="DN146">
        <v>0</v>
      </c>
      <c r="DO146">
        <v>0</v>
      </c>
      <c r="DP146">
        <v>0</v>
      </c>
      <c r="DQ146">
        <v>0</v>
      </c>
      <c r="DR146">
        <v>0</v>
      </c>
      <c r="DS146">
        <v>0</v>
      </c>
      <c r="DT146" s="2048">
        <v>2328260</v>
      </c>
      <c r="DU146" s="2048">
        <v>8811740</v>
      </c>
      <c r="DV146">
        <v>0</v>
      </c>
    </row>
    <row r="147" spans="1:126" hidden="1">
      <c r="A147" t="s">
        <v>5353</v>
      </c>
      <c r="C147">
        <v>2021</v>
      </c>
      <c r="D147">
        <f t="shared" si="1"/>
        <v>7</v>
      </c>
      <c r="F147" t="s">
        <v>4885</v>
      </c>
      <c r="G147" s="2042">
        <v>44400</v>
      </c>
      <c r="H147" t="s">
        <v>4880</v>
      </c>
      <c r="I147" t="s">
        <v>4880</v>
      </c>
      <c r="J147" t="s">
        <v>4881</v>
      </c>
      <c r="K147" t="s">
        <v>4746</v>
      </c>
      <c r="L147" t="s">
        <v>4882</v>
      </c>
      <c r="M147" t="s">
        <v>4882</v>
      </c>
      <c r="N147" t="s">
        <v>4883</v>
      </c>
      <c r="O147" t="s">
        <v>5351</v>
      </c>
      <c r="P147" t="s">
        <v>4742</v>
      </c>
      <c r="Q147" s="2042">
        <v>42826</v>
      </c>
      <c r="R147" s="2042">
        <v>42826</v>
      </c>
      <c r="S147">
        <v>220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11140000</v>
      </c>
      <c r="AQ147">
        <v>0</v>
      </c>
      <c r="AR147">
        <v>0</v>
      </c>
      <c r="AS147">
        <v>0</v>
      </c>
      <c r="AT147">
        <v>0</v>
      </c>
      <c r="AU147">
        <v>0</v>
      </c>
      <c r="AV147">
        <v>0</v>
      </c>
      <c r="AW147">
        <v>0</v>
      </c>
      <c r="AX147">
        <v>0</v>
      </c>
      <c r="AY147">
        <v>11140000</v>
      </c>
      <c r="AZ147" s="2048">
        <v>11140000</v>
      </c>
      <c r="BA147">
        <v>0</v>
      </c>
      <c r="BB147">
        <v>0</v>
      </c>
      <c r="BC147">
        <v>0</v>
      </c>
      <c r="BD147">
        <v>0</v>
      </c>
      <c r="BE147">
        <v>0</v>
      </c>
      <c r="BF147">
        <v>0</v>
      </c>
      <c r="BG147">
        <v>0</v>
      </c>
      <c r="BH147">
        <v>0</v>
      </c>
      <c r="BI147">
        <v>0</v>
      </c>
      <c r="BJ147">
        <v>0</v>
      </c>
      <c r="BK147">
        <v>0</v>
      </c>
      <c r="BL147">
        <v>2116600</v>
      </c>
      <c r="BM147">
        <v>211660</v>
      </c>
      <c r="BN147">
        <v>0</v>
      </c>
      <c r="BO147">
        <v>0</v>
      </c>
      <c r="BP147">
        <v>0</v>
      </c>
      <c r="BQ147">
        <v>0</v>
      </c>
      <c r="BR147">
        <v>0</v>
      </c>
      <c r="BS147">
        <v>0</v>
      </c>
      <c r="BT147">
        <v>0</v>
      </c>
      <c r="BU147">
        <v>0</v>
      </c>
      <c r="BV147">
        <v>0</v>
      </c>
      <c r="BW147">
        <v>0</v>
      </c>
      <c r="BX147">
        <v>0</v>
      </c>
      <c r="BY147">
        <v>0</v>
      </c>
      <c r="BZ147">
        <v>0</v>
      </c>
      <c r="CA147">
        <v>0</v>
      </c>
      <c r="CB147">
        <v>0</v>
      </c>
      <c r="CC147">
        <v>0</v>
      </c>
      <c r="CD147">
        <v>0</v>
      </c>
      <c r="CE147">
        <v>0</v>
      </c>
      <c r="CF147">
        <v>0</v>
      </c>
      <c r="CG147">
        <v>0</v>
      </c>
      <c r="CH147">
        <v>0</v>
      </c>
      <c r="CI147">
        <v>0</v>
      </c>
      <c r="CJ147">
        <v>0</v>
      </c>
      <c r="CK147">
        <v>0</v>
      </c>
      <c r="CL147">
        <v>0</v>
      </c>
      <c r="CM147">
        <v>0</v>
      </c>
      <c r="CN147">
        <v>0</v>
      </c>
      <c r="CO147">
        <v>0</v>
      </c>
      <c r="CP147">
        <v>0</v>
      </c>
      <c r="CQ147">
        <v>0</v>
      </c>
      <c r="CR147">
        <v>0</v>
      </c>
      <c r="CS147">
        <v>0</v>
      </c>
      <c r="CT147">
        <v>0</v>
      </c>
      <c r="CU147">
        <v>0</v>
      </c>
      <c r="CV147">
        <v>0</v>
      </c>
      <c r="CW147">
        <v>0</v>
      </c>
      <c r="CX147">
        <v>0</v>
      </c>
      <c r="CY147">
        <v>0</v>
      </c>
      <c r="CZ147">
        <v>0</v>
      </c>
      <c r="DA147">
        <v>0</v>
      </c>
      <c r="DB147">
        <v>0</v>
      </c>
      <c r="DC147">
        <v>0</v>
      </c>
      <c r="DD147">
        <v>0</v>
      </c>
      <c r="DE147">
        <v>0</v>
      </c>
      <c r="DF147">
        <v>0</v>
      </c>
      <c r="DG147">
        <v>0</v>
      </c>
      <c r="DH147">
        <v>0</v>
      </c>
      <c r="DI147">
        <v>0</v>
      </c>
      <c r="DJ147">
        <v>0</v>
      </c>
      <c r="DK147">
        <v>0</v>
      </c>
      <c r="DL147">
        <v>0</v>
      </c>
      <c r="DM147">
        <v>0</v>
      </c>
      <c r="DN147">
        <v>0</v>
      </c>
      <c r="DO147">
        <v>0</v>
      </c>
      <c r="DP147">
        <v>0</v>
      </c>
      <c r="DQ147">
        <v>0</v>
      </c>
      <c r="DR147">
        <v>0</v>
      </c>
      <c r="DS147">
        <v>0</v>
      </c>
      <c r="DT147" s="2048">
        <v>2328260</v>
      </c>
      <c r="DU147" s="2048">
        <v>8811740</v>
      </c>
      <c r="DV147">
        <v>0</v>
      </c>
    </row>
    <row r="148" spans="1:126" hidden="1">
      <c r="A148" t="s">
        <v>5353</v>
      </c>
      <c r="C148">
        <v>2021</v>
      </c>
      <c r="D148">
        <f t="shared" si="1"/>
        <v>9</v>
      </c>
      <c r="F148" t="s">
        <v>4885</v>
      </c>
      <c r="G148" s="2042">
        <v>44463</v>
      </c>
      <c r="H148" t="s">
        <v>4870</v>
      </c>
      <c r="I148" t="s">
        <v>4870</v>
      </c>
      <c r="J148" t="s">
        <v>4871</v>
      </c>
      <c r="K148" t="s">
        <v>4746</v>
      </c>
      <c r="L148" t="s">
        <v>4872</v>
      </c>
      <c r="M148" t="s">
        <v>4872</v>
      </c>
      <c r="N148" t="s">
        <v>4873</v>
      </c>
      <c r="O148" t="s">
        <v>5351</v>
      </c>
      <c r="P148" t="s">
        <v>4742</v>
      </c>
      <c r="Q148" s="2042">
        <v>43191</v>
      </c>
      <c r="R148" s="2042">
        <v>43191</v>
      </c>
      <c r="S148">
        <v>220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92200000</v>
      </c>
      <c r="AQ148">
        <v>0</v>
      </c>
      <c r="AR148">
        <v>0</v>
      </c>
      <c r="AS148">
        <v>0</v>
      </c>
      <c r="AT148">
        <v>0</v>
      </c>
      <c r="AU148">
        <v>0</v>
      </c>
      <c r="AV148">
        <v>0</v>
      </c>
      <c r="AW148">
        <v>0</v>
      </c>
      <c r="AX148">
        <v>0</v>
      </c>
      <c r="AY148">
        <v>92200000</v>
      </c>
      <c r="AZ148" s="2048">
        <v>92200000</v>
      </c>
      <c r="BA148">
        <v>0</v>
      </c>
      <c r="BB148">
        <v>0</v>
      </c>
      <c r="BC148">
        <v>0</v>
      </c>
      <c r="BD148">
        <v>0</v>
      </c>
      <c r="BE148">
        <v>0</v>
      </c>
      <c r="BF148">
        <v>0</v>
      </c>
      <c r="BG148">
        <v>0</v>
      </c>
      <c r="BH148">
        <v>0</v>
      </c>
      <c r="BI148">
        <v>0</v>
      </c>
      <c r="BJ148">
        <v>0</v>
      </c>
      <c r="BK148">
        <v>0</v>
      </c>
      <c r="BL148">
        <v>41490000</v>
      </c>
      <c r="BM148">
        <v>4149000</v>
      </c>
      <c r="BN148">
        <v>0</v>
      </c>
      <c r="BO148">
        <v>0</v>
      </c>
      <c r="BP148">
        <v>0</v>
      </c>
      <c r="BQ148">
        <v>0</v>
      </c>
      <c r="BR148">
        <v>0</v>
      </c>
      <c r="BS148">
        <v>0</v>
      </c>
      <c r="BT148">
        <v>0</v>
      </c>
      <c r="BU148">
        <v>0</v>
      </c>
      <c r="BV148">
        <v>0</v>
      </c>
      <c r="BW148">
        <v>0</v>
      </c>
      <c r="BX148">
        <v>0</v>
      </c>
      <c r="BY148">
        <v>0</v>
      </c>
      <c r="BZ148">
        <v>0</v>
      </c>
      <c r="CA148">
        <v>0</v>
      </c>
      <c r="CB148">
        <v>0</v>
      </c>
      <c r="CC148">
        <v>0</v>
      </c>
      <c r="CD148">
        <v>0</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0</v>
      </c>
      <c r="DA148">
        <v>0</v>
      </c>
      <c r="DB148">
        <v>0</v>
      </c>
      <c r="DC148">
        <v>0</v>
      </c>
      <c r="DD148">
        <v>0</v>
      </c>
      <c r="DE148">
        <v>0</v>
      </c>
      <c r="DF148">
        <v>0</v>
      </c>
      <c r="DG148">
        <v>0</v>
      </c>
      <c r="DH148">
        <v>0</v>
      </c>
      <c r="DI148">
        <v>0</v>
      </c>
      <c r="DJ148">
        <v>0</v>
      </c>
      <c r="DK148">
        <v>0</v>
      </c>
      <c r="DL148">
        <v>0</v>
      </c>
      <c r="DM148">
        <v>0</v>
      </c>
      <c r="DN148">
        <v>0</v>
      </c>
      <c r="DO148">
        <v>0</v>
      </c>
      <c r="DP148">
        <v>0</v>
      </c>
      <c r="DQ148">
        <v>0</v>
      </c>
      <c r="DR148">
        <v>0</v>
      </c>
      <c r="DS148">
        <v>0</v>
      </c>
      <c r="DT148" s="2048">
        <v>45639000</v>
      </c>
      <c r="DU148" s="2048">
        <v>46561000</v>
      </c>
      <c r="DV148">
        <v>0</v>
      </c>
    </row>
    <row r="149" spans="1:126" hidden="1">
      <c r="A149" t="s">
        <v>5353</v>
      </c>
      <c r="C149">
        <v>2021</v>
      </c>
      <c r="D149">
        <f t="shared" si="1"/>
        <v>8</v>
      </c>
      <c r="F149" t="s">
        <v>4885</v>
      </c>
      <c r="G149" s="2042">
        <v>44432</v>
      </c>
      <c r="H149" t="s">
        <v>4870</v>
      </c>
      <c r="I149" t="s">
        <v>4870</v>
      </c>
      <c r="J149" t="s">
        <v>4871</v>
      </c>
      <c r="K149" t="s">
        <v>4746</v>
      </c>
      <c r="L149" t="s">
        <v>4872</v>
      </c>
      <c r="M149" t="s">
        <v>4872</v>
      </c>
      <c r="N149" t="s">
        <v>4873</v>
      </c>
      <c r="O149" t="s">
        <v>5351</v>
      </c>
      <c r="P149" t="s">
        <v>4742</v>
      </c>
      <c r="Q149" s="2042">
        <v>43191</v>
      </c>
      <c r="R149" s="2042">
        <v>43191</v>
      </c>
      <c r="S149">
        <v>220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92200000</v>
      </c>
      <c r="AQ149">
        <v>0</v>
      </c>
      <c r="AR149">
        <v>0</v>
      </c>
      <c r="AS149">
        <v>0</v>
      </c>
      <c r="AT149">
        <v>0</v>
      </c>
      <c r="AU149">
        <v>0</v>
      </c>
      <c r="AV149">
        <v>0</v>
      </c>
      <c r="AW149">
        <v>0</v>
      </c>
      <c r="AX149">
        <v>0</v>
      </c>
      <c r="AY149">
        <v>92200000</v>
      </c>
      <c r="AZ149" s="2048">
        <v>92200000</v>
      </c>
      <c r="BA149">
        <v>0</v>
      </c>
      <c r="BB149">
        <v>0</v>
      </c>
      <c r="BC149">
        <v>0</v>
      </c>
      <c r="BD149">
        <v>0</v>
      </c>
      <c r="BE149">
        <v>0</v>
      </c>
      <c r="BF149">
        <v>0</v>
      </c>
      <c r="BG149">
        <v>0</v>
      </c>
      <c r="BH149">
        <v>0</v>
      </c>
      <c r="BI149">
        <v>0</v>
      </c>
      <c r="BJ149">
        <v>0</v>
      </c>
      <c r="BK149">
        <v>0</v>
      </c>
      <c r="BL149">
        <v>41490000</v>
      </c>
      <c r="BM149">
        <v>4149000</v>
      </c>
      <c r="BN149">
        <v>0</v>
      </c>
      <c r="BO149">
        <v>0</v>
      </c>
      <c r="BP149">
        <v>0</v>
      </c>
      <c r="BQ149">
        <v>0</v>
      </c>
      <c r="BR149">
        <v>0</v>
      </c>
      <c r="BS149">
        <v>0</v>
      </c>
      <c r="BT149">
        <v>0</v>
      </c>
      <c r="BU149">
        <v>0</v>
      </c>
      <c r="BV149">
        <v>0</v>
      </c>
      <c r="BW149">
        <v>0</v>
      </c>
      <c r="BX149">
        <v>0</v>
      </c>
      <c r="BY149">
        <v>0</v>
      </c>
      <c r="BZ149">
        <v>0</v>
      </c>
      <c r="CA149">
        <v>0</v>
      </c>
      <c r="CB149">
        <v>0</v>
      </c>
      <c r="CC149">
        <v>0</v>
      </c>
      <c r="CD149">
        <v>0</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0</v>
      </c>
      <c r="DA149">
        <v>0</v>
      </c>
      <c r="DB149">
        <v>0</v>
      </c>
      <c r="DC149">
        <v>0</v>
      </c>
      <c r="DD149">
        <v>0</v>
      </c>
      <c r="DE149">
        <v>0</v>
      </c>
      <c r="DF149">
        <v>0</v>
      </c>
      <c r="DG149">
        <v>0</v>
      </c>
      <c r="DH149">
        <v>0</v>
      </c>
      <c r="DI149">
        <v>0</v>
      </c>
      <c r="DJ149">
        <v>0</v>
      </c>
      <c r="DK149">
        <v>0</v>
      </c>
      <c r="DL149">
        <v>0</v>
      </c>
      <c r="DM149">
        <v>0</v>
      </c>
      <c r="DN149">
        <v>0</v>
      </c>
      <c r="DO149">
        <v>0</v>
      </c>
      <c r="DP149">
        <v>0</v>
      </c>
      <c r="DQ149">
        <v>0</v>
      </c>
      <c r="DR149">
        <v>0</v>
      </c>
      <c r="DS149">
        <v>0</v>
      </c>
      <c r="DT149" s="2048">
        <v>45639000</v>
      </c>
      <c r="DU149" s="2048">
        <v>46561000</v>
      </c>
      <c r="DV149">
        <v>0</v>
      </c>
    </row>
    <row r="150" spans="1:126" hidden="1">
      <c r="A150" t="s">
        <v>5353</v>
      </c>
      <c r="C150">
        <v>2021</v>
      </c>
      <c r="D150">
        <f t="shared" si="1"/>
        <v>7</v>
      </c>
      <c r="F150" t="s">
        <v>4885</v>
      </c>
      <c r="G150" s="2042">
        <v>44400</v>
      </c>
      <c r="H150" t="s">
        <v>4870</v>
      </c>
      <c r="I150" t="s">
        <v>4870</v>
      </c>
      <c r="J150" t="s">
        <v>4871</v>
      </c>
      <c r="K150" t="s">
        <v>4746</v>
      </c>
      <c r="L150" t="s">
        <v>4872</v>
      </c>
      <c r="M150" t="s">
        <v>4872</v>
      </c>
      <c r="N150" t="s">
        <v>4873</v>
      </c>
      <c r="O150" t="s">
        <v>5351</v>
      </c>
      <c r="P150" t="s">
        <v>4742</v>
      </c>
      <c r="Q150" s="2042">
        <v>43191</v>
      </c>
      <c r="R150" s="2042">
        <v>43191</v>
      </c>
      <c r="S150">
        <v>220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92200000</v>
      </c>
      <c r="AQ150">
        <v>0</v>
      </c>
      <c r="AR150">
        <v>0</v>
      </c>
      <c r="AS150">
        <v>0</v>
      </c>
      <c r="AT150">
        <v>0</v>
      </c>
      <c r="AU150">
        <v>0</v>
      </c>
      <c r="AV150">
        <v>0</v>
      </c>
      <c r="AW150">
        <v>0</v>
      </c>
      <c r="AX150">
        <v>0</v>
      </c>
      <c r="AY150">
        <v>92200000</v>
      </c>
      <c r="AZ150" s="2048">
        <v>92200000</v>
      </c>
      <c r="BA150">
        <v>0</v>
      </c>
      <c r="BB150">
        <v>0</v>
      </c>
      <c r="BC150">
        <v>0</v>
      </c>
      <c r="BD150">
        <v>0</v>
      </c>
      <c r="BE150">
        <v>0</v>
      </c>
      <c r="BF150">
        <v>0</v>
      </c>
      <c r="BG150">
        <v>0</v>
      </c>
      <c r="BH150">
        <v>0</v>
      </c>
      <c r="BI150">
        <v>0</v>
      </c>
      <c r="BJ150">
        <v>0</v>
      </c>
      <c r="BK150">
        <v>0</v>
      </c>
      <c r="BL150">
        <v>41490000</v>
      </c>
      <c r="BM150">
        <v>4149000</v>
      </c>
      <c r="BN150">
        <v>0</v>
      </c>
      <c r="BO150">
        <v>0</v>
      </c>
      <c r="BP150">
        <v>0</v>
      </c>
      <c r="BQ150">
        <v>0</v>
      </c>
      <c r="BR150">
        <v>0</v>
      </c>
      <c r="BS150">
        <v>0</v>
      </c>
      <c r="BT150">
        <v>0</v>
      </c>
      <c r="BU150">
        <v>0</v>
      </c>
      <c r="BV150">
        <v>0</v>
      </c>
      <c r="BW150">
        <v>0</v>
      </c>
      <c r="BX150">
        <v>0</v>
      </c>
      <c r="BY150">
        <v>0</v>
      </c>
      <c r="BZ150">
        <v>0</v>
      </c>
      <c r="CA150">
        <v>0</v>
      </c>
      <c r="CB150">
        <v>0</v>
      </c>
      <c r="CC150">
        <v>0</v>
      </c>
      <c r="CD150">
        <v>0</v>
      </c>
      <c r="CE150">
        <v>0</v>
      </c>
      <c r="CF150">
        <v>0</v>
      </c>
      <c r="CG150">
        <v>0</v>
      </c>
      <c r="CH150">
        <v>0</v>
      </c>
      <c r="CI150">
        <v>0</v>
      </c>
      <c r="CJ150">
        <v>0</v>
      </c>
      <c r="CK150">
        <v>0</v>
      </c>
      <c r="CL150">
        <v>0</v>
      </c>
      <c r="CM150">
        <v>0</v>
      </c>
      <c r="CN150">
        <v>0</v>
      </c>
      <c r="CO150">
        <v>0</v>
      </c>
      <c r="CP150">
        <v>0</v>
      </c>
      <c r="CQ150">
        <v>0</v>
      </c>
      <c r="CR150">
        <v>0</v>
      </c>
      <c r="CS150">
        <v>0</v>
      </c>
      <c r="CT150">
        <v>0</v>
      </c>
      <c r="CU150">
        <v>0</v>
      </c>
      <c r="CV150">
        <v>0</v>
      </c>
      <c r="CW150">
        <v>0</v>
      </c>
      <c r="CX150">
        <v>0</v>
      </c>
      <c r="CY150">
        <v>0</v>
      </c>
      <c r="CZ150">
        <v>0</v>
      </c>
      <c r="DA150">
        <v>0</v>
      </c>
      <c r="DB150">
        <v>0</v>
      </c>
      <c r="DC150">
        <v>0</v>
      </c>
      <c r="DD150">
        <v>0</v>
      </c>
      <c r="DE150">
        <v>0</v>
      </c>
      <c r="DF150">
        <v>0</v>
      </c>
      <c r="DG150">
        <v>0</v>
      </c>
      <c r="DH150">
        <v>0</v>
      </c>
      <c r="DI150">
        <v>0</v>
      </c>
      <c r="DJ150">
        <v>0</v>
      </c>
      <c r="DK150">
        <v>0</v>
      </c>
      <c r="DL150">
        <v>0</v>
      </c>
      <c r="DM150">
        <v>0</v>
      </c>
      <c r="DN150">
        <v>0</v>
      </c>
      <c r="DO150">
        <v>0</v>
      </c>
      <c r="DP150">
        <v>0</v>
      </c>
      <c r="DQ150">
        <v>0</v>
      </c>
      <c r="DR150">
        <v>0</v>
      </c>
      <c r="DS150">
        <v>0</v>
      </c>
      <c r="DT150" s="2048">
        <v>45639000</v>
      </c>
      <c r="DU150" s="2048">
        <v>46561000</v>
      </c>
      <c r="DV150">
        <v>0</v>
      </c>
    </row>
  </sheetData>
  <autoFilter ref="B2:DV150" xr:uid="{00000000-0009-0000-0000-000010000000}">
    <filterColumn colId="4">
      <filters>
        <filter val="퇴직금"/>
      </filters>
    </filterColumn>
  </autoFilter>
  <phoneticPr fontId="1"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B1:CP863"/>
  <sheetViews>
    <sheetView workbookViewId="0"/>
  </sheetViews>
  <sheetFormatPr defaultColWidth="9" defaultRowHeight="13.5" outlineLevelCol="1"/>
  <cols>
    <col min="1" max="1" width="1.625" style="699" customWidth="1"/>
    <col min="2" max="2" width="8.5" style="699" bestFit="1" customWidth="1"/>
    <col min="3" max="3" width="36.375" style="699" bestFit="1" customWidth="1"/>
    <col min="4" max="4" width="20.25" style="699" bestFit="1" customWidth="1"/>
    <col min="5" max="5" width="16.5" style="699" bestFit="1" customWidth="1"/>
    <col min="6" max="6" width="17.875" style="699" bestFit="1" customWidth="1"/>
    <col min="7" max="7" width="14.75" style="699" bestFit="1" customWidth="1"/>
    <col min="8" max="8" width="18.5" style="699" bestFit="1" customWidth="1"/>
    <col min="9" max="9" width="15.5" style="699" bestFit="1" customWidth="1"/>
    <col min="10" max="11" width="14.625" style="699" bestFit="1" customWidth="1"/>
    <col min="12" max="12" width="16.125" style="699" customWidth="1"/>
    <col min="13" max="13" width="5" style="699" hidden="1" customWidth="1"/>
    <col min="14" max="14" width="14.75" style="699" hidden="1" customWidth="1"/>
    <col min="15" max="15" width="36.375" style="699" hidden="1" customWidth="1"/>
    <col min="16" max="16" width="20.25" style="699" hidden="1" customWidth="1"/>
    <col min="17" max="17" width="16.5" style="699" hidden="1" customWidth="1"/>
    <col min="18" max="18" width="17.875" style="699" hidden="1" customWidth="1"/>
    <col min="19" max="19" width="14.75" style="699" hidden="1" customWidth="1"/>
    <col min="20" max="20" width="18.5" style="699" hidden="1" customWidth="1"/>
    <col min="21" max="21" width="15.5" style="699" hidden="1" customWidth="1"/>
    <col min="22" max="23" width="14.625" style="699" hidden="1" customWidth="1"/>
    <col min="24" max="24" width="15.5" style="699" hidden="1" customWidth="1"/>
    <col min="25" max="25" width="11.5" style="699" customWidth="1"/>
    <col min="26" max="36" width="17" style="699" customWidth="1"/>
    <col min="37" max="37" width="2.875" style="699" customWidth="1"/>
    <col min="38" max="38" width="9" style="1063"/>
    <col min="39" max="39" width="22.375" style="1063" customWidth="1"/>
    <col min="40" max="40" width="20.625" style="1063" bestFit="1" customWidth="1"/>
    <col min="41" max="41" width="18.625" style="1063" customWidth="1"/>
    <col min="42" max="44" width="19.375" style="1063" customWidth="1"/>
    <col min="45" max="45" width="17.5" style="1063" bestFit="1" customWidth="1"/>
    <col min="46" max="47" width="19.25" style="1063" customWidth="1"/>
    <col min="48" max="48" width="16" style="1063" customWidth="1"/>
    <col min="49" max="49" width="4.125" style="1063" customWidth="1"/>
    <col min="50" max="50" width="16.875" style="1063" customWidth="1"/>
    <col min="51" max="51" width="9" style="699"/>
    <col min="52" max="52" width="9" style="1063"/>
    <col min="53" max="53" width="22.375" style="1063" customWidth="1"/>
    <col min="54" max="54" width="20.625" style="1063" bestFit="1" customWidth="1"/>
    <col min="55" max="55" width="18.625" style="1063" customWidth="1"/>
    <col min="56" max="58" width="19.375" style="1063" customWidth="1"/>
    <col min="59" max="59" width="17.5" style="1063" bestFit="1" customWidth="1"/>
    <col min="60" max="61" width="19.25" style="1063" customWidth="1"/>
    <col min="62" max="62" width="16" style="1063" customWidth="1"/>
    <col min="63" max="63" width="4.125" style="1063" customWidth="1"/>
    <col min="64" max="64" width="16.875" style="1063" customWidth="1"/>
    <col min="65" max="65" width="9" style="699"/>
    <col min="66" max="66" width="9" style="1063"/>
    <col min="67" max="67" width="22.375" style="1063" customWidth="1"/>
    <col min="68" max="68" width="18.75" style="1063" customWidth="1"/>
    <col min="69" max="69" width="18.625" style="1063" customWidth="1"/>
    <col min="70" max="72" width="19.375" style="1063" customWidth="1"/>
    <col min="73" max="73" width="20.625" style="1063" customWidth="1"/>
    <col min="74" max="75" width="19.25" style="1063" customWidth="1"/>
    <col min="76" max="76" width="16" style="1063" customWidth="1"/>
    <col min="77" max="77" width="4.125" style="1063" customWidth="1"/>
    <col min="78" max="78" width="16.875" style="1063" customWidth="1"/>
    <col min="79" max="79" width="9" style="699"/>
    <col min="80" max="80" width="9" style="1063"/>
    <col min="81" max="81" width="22.375" style="1063" customWidth="1"/>
    <col min="82" max="82" width="15.5" style="1063" customWidth="1"/>
    <col min="83" max="83" width="18.625" style="1063" customWidth="1"/>
    <col min="84" max="84" width="21.375" style="1063" hidden="1" customWidth="1" outlineLevel="1"/>
    <col min="85" max="85" width="19.375" style="1063" customWidth="1" collapsed="1"/>
    <col min="86" max="86" width="19.375" style="1063" hidden="1" customWidth="1" outlineLevel="1"/>
    <col min="87" max="87" width="19.375" style="1063" customWidth="1" collapsed="1"/>
    <col min="88" max="88" width="19.375" style="1063" customWidth="1"/>
    <col min="89" max="89" width="15.5" style="1063" customWidth="1"/>
    <col min="90" max="91" width="19.25" style="1063" customWidth="1"/>
    <col min="92" max="92" width="16" style="1063" customWidth="1"/>
    <col min="93" max="93" width="4.125" style="1063" customWidth="1"/>
    <col min="94" max="94" width="16.875" style="1063" customWidth="1"/>
    <col min="95" max="16384" width="9" style="699"/>
  </cols>
  <sheetData>
    <row r="1" spans="2:94" s="709" customFormat="1">
      <c r="B1" s="709" t="s">
        <v>4973</v>
      </c>
      <c r="N1" s="709" t="s">
        <v>3893</v>
      </c>
      <c r="Z1" s="709" t="s">
        <v>3891</v>
      </c>
      <c r="AL1" s="1060" t="s">
        <v>2451</v>
      </c>
      <c r="AM1" s="1060"/>
      <c r="AN1" s="1061"/>
      <c r="AO1" s="1061"/>
      <c r="AP1" s="1061"/>
      <c r="AQ1" s="1062"/>
      <c r="AR1" s="1060"/>
      <c r="AS1" s="1060"/>
      <c r="AT1" s="1060"/>
      <c r="AU1" s="1060"/>
      <c r="AV1" s="1061"/>
      <c r="AW1" s="1061"/>
      <c r="AX1" s="1060"/>
      <c r="AZ1" s="1060" t="s">
        <v>129</v>
      </c>
      <c r="BA1" s="1060"/>
      <c r="BB1" s="1060"/>
      <c r="BC1" s="1060"/>
      <c r="BD1" s="1060"/>
      <c r="BE1" s="1060"/>
      <c r="BF1" s="1060"/>
      <c r="BG1" s="1060"/>
      <c r="BH1" s="1060"/>
      <c r="BI1" s="1060"/>
      <c r="BJ1" s="1060"/>
      <c r="BK1" s="1060"/>
      <c r="BL1" s="1060"/>
      <c r="BN1" s="1060" t="s">
        <v>134</v>
      </c>
      <c r="BO1" s="1060"/>
      <c r="BP1" s="1060"/>
      <c r="BQ1" s="1060"/>
      <c r="BR1" s="1060"/>
      <c r="BS1" s="1060"/>
      <c r="BT1" s="1060"/>
      <c r="BU1" s="1060"/>
      <c r="BV1" s="1060"/>
      <c r="BW1" s="1060"/>
      <c r="BX1" s="1060"/>
      <c r="BY1" s="1060"/>
      <c r="BZ1" s="1060"/>
      <c r="CB1" s="1060" t="s">
        <v>136</v>
      </c>
      <c r="CC1" s="1060"/>
      <c r="CD1" s="1060"/>
      <c r="CE1" s="1060"/>
      <c r="CF1" s="1060"/>
      <c r="CG1" s="1060"/>
      <c r="CH1" s="1060"/>
      <c r="CI1" s="1060"/>
      <c r="CJ1" s="1060"/>
      <c r="CK1" s="1060"/>
      <c r="CL1" s="1060"/>
      <c r="CM1" s="1060"/>
      <c r="CN1" s="1060"/>
      <c r="CO1" s="1060"/>
      <c r="CP1" s="1060"/>
    </row>
    <row r="2" spans="2:94">
      <c r="AN2" s="1064"/>
      <c r="AO2" s="1064"/>
      <c r="AP2" s="1064"/>
      <c r="AQ2" s="1065"/>
      <c r="AV2" s="1065">
        <f>AV28-AS28</f>
        <v>-196322701719</v>
      </c>
      <c r="AW2" s="1064"/>
      <c r="BB2" s="1064"/>
      <c r="BC2" s="1064"/>
      <c r="BD2" s="1064"/>
      <c r="BE2" s="1065"/>
      <c r="BJ2" s="1064"/>
      <c r="BK2" s="1064"/>
      <c r="BP2" s="1064"/>
      <c r="BQ2" s="1064"/>
      <c r="BR2" s="1064"/>
      <c r="BS2" s="1065"/>
      <c r="BX2" s="1064"/>
      <c r="BY2" s="1064"/>
      <c r="CD2" s="1064"/>
      <c r="CE2" s="1064"/>
      <c r="CG2" s="1064"/>
      <c r="CI2" s="1065"/>
      <c r="CN2" s="1064"/>
      <c r="CO2" s="1064"/>
    </row>
    <row r="3" spans="2:94">
      <c r="B3" s="699" t="s">
        <v>3842</v>
      </c>
      <c r="E3" s="699">
        <f>E28/E6</f>
        <v>0.97423467423889176</v>
      </c>
      <c r="F3" s="699">
        <f>F28/F6</f>
        <v>0.91031160309036119</v>
      </c>
      <c r="G3" s="699">
        <f>G28/G6</f>
        <v>0.92299168608260262</v>
      </c>
      <c r="H3" s="699">
        <f>H28/H6</f>
        <v>0.60212111691401682</v>
      </c>
      <c r="J3" s="2693">
        <f>J30-K30+J36-K40</f>
        <v>-284130310796</v>
      </c>
      <c r="N3" s="2167" t="s">
        <v>3842</v>
      </c>
      <c r="O3" s="2167"/>
      <c r="P3" s="2168"/>
      <c r="Q3" s="2167"/>
      <c r="R3" s="2167" t="s">
        <v>3843</v>
      </c>
      <c r="S3" s="2167"/>
      <c r="T3" s="2167"/>
      <c r="U3" s="2167"/>
      <c r="V3" s="2167"/>
      <c r="W3" s="2167"/>
      <c r="X3" s="2168"/>
      <c r="Z3" s="2167" t="s">
        <v>3842</v>
      </c>
      <c r="AA3" s="2167"/>
      <c r="AB3" s="2168"/>
      <c r="AC3" s="2167"/>
      <c r="AD3" s="2167" t="s">
        <v>3843</v>
      </c>
      <c r="AE3" s="2167"/>
      <c r="AF3" s="2167"/>
      <c r="AG3" s="2167"/>
      <c r="AH3" s="2167"/>
      <c r="AI3" s="2167"/>
      <c r="AJ3" s="2168"/>
      <c r="AL3" s="1063" t="s">
        <v>2452</v>
      </c>
      <c r="AN3" s="1064"/>
      <c r="AP3" s="1063" t="s">
        <v>2453</v>
      </c>
      <c r="AV3" s="1064">
        <f>(AV6-AS6)/10^6</f>
        <v>-202439.10055500001</v>
      </c>
      <c r="AW3" s="1064"/>
      <c r="AZ3" s="1063" t="s">
        <v>2452</v>
      </c>
      <c r="BB3" s="1064"/>
      <c r="BD3" s="1063" t="s">
        <v>2453</v>
      </c>
      <c r="BJ3" s="1064"/>
      <c r="BK3" s="1064"/>
      <c r="BN3" s="1063" t="s">
        <v>2452</v>
      </c>
      <c r="BP3" s="1064"/>
      <c r="BR3" s="1063" t="s">
        <v>2453</v>
      </c>
      <c r="BX3" s="1064"/>
      <c r="BY3" s="1064"/>
      <c r="CB3" s="1063" t="s">
        <v>2452</v>
      </c>
      <c r="CD3" s="1064"/>
      <c r="CG3" s="1063" t="s">
        <v>2453</v>
      </c>
      <c r="CH3" s="1064"/>
      <c r="CN3" s="1064"/>
      <c r="CO3" s="1064"/>
    </row>
    <row r="4" spans="2:94">
      <c r="B4" s="5434" t="s">
        <v>2454</v>
      </c>
      <c r="C4" s="5434" t="s">
        <v>2455</v>
      </c>
      <c r="D4" s="1066" t="s">
        <v>2456</v>
      </c>
      <c r="E4" s="1066" t="s">
        <v>2457</v>
      </c>
      <c r="F4" s="1066" t="s">
        <v>2458</v>
      </c>
      <c r="G4" s="1066" t="s">
        <v>2459</v>
      </c>
      <c r="H4" s="1066" t="s">
        <v>2460</v>
      </c>
      <c r="I4" s="5436" t="s">
        <v>2461</v>
      </c>
      <c r="J4" s="5438" t="s">
        <v>2462</v>
      </c>
      <c r="K4" s="5439"/>
      <c r="L4" s="5436" t="s">
        <v>2463</v>
      </c>
      <c r="N4" s="5442" t="s">
        <v>2454</v>
      </c>
      <c r="O4" s="5442" t="s">
        <v>2455</v>
      </c>
      <c r="P4" s="2169" t="s">
        <v>2456</v>
      </c>
      <c r="Q4" s="2169" t="s">
        <v>2457</v>
      </c>
      <c r="R4" s="2169" t="s">
        <v>2458</v>
      </c>
      <c r="S4" s="2169" t="s">
        <v>3844</v>
      </c>
      <c r="T4" s="2169" t="s">
        <v>3845</v>
      </c>
      <c r="U4" s="5444" t="s">
        <v>3846</v>
      </c>
      <c r="V4" s="5446" t="s">
        <v>3847</v>
      </c>
      <c r="W4" s="5447"/>
      <c r="X4" s="5444" t="s">
        <v>3848</v>
      </c>
      <c r="Z4" s="5442" t="s">
        <v>2454</v>
      </c>
      <c r="AA4" s="5442" t="s">
        <v>2455</v>
      </c>
      <c r="AB4" s="2169" t="s">
        <v>2456</v>
      </c>
      <c r="AC4" s="2169" t="s">
        <v>2457</v>
      </c>
      <c r="AD4" s="2169" t="s">
        <v>2458</v>
      </c>
      <c r="AE4" s="2169" t="s">
        <v>3844</v>
      </c>
      <c r="AF4" s="2169" t="s">
        <v>3845</v>
      </c>
      <c r="AG4" s="5444" t="s">
        <v>3846</v>
      </c>
      <c r="AH4" s="5446" t="s">
        <v>3847</v>
      </c>
      <c r="AI4" s="5447"/>
      <c r="AJ4" s="5444" t="s">
        <v>3848</v>
      </c>
      <c r="AL4" s="5434" t="s">
        <v>2454</v>
      </c>
      <c r="AM4" s="5434" t="s">
        <v>2455</v>
      </c>
      <c r="AN4" s="1066" t="s">
        <v>2456</v>
      </c>
      <c r="AO4" s="1066" t="s">
        <v>2457</v>
      </c>
      <c r="AP4" s="1066" t="s">
        <v>2458</v>
      </c>
      <c r="AQ4" s="1066" t="s">
        <v>2459</v>
      </c>
      <c r="AR4" s="1066" t="s">
        <v>2460</v>
      </c>
      <c r="AS4" s="5436" t="s">
        <v>2461</v>
      </c>
      <c r="AT4" s="5438" t="s">
        <v>2462</v>
      </c>
      <c r="AU4" s="5439"/>
      <c r="AV4" s="5436" t="s">
        <v>2463</v>
      </c>
      <c r="AW4" s="1067"/>
      <c r="AX4" s="5440" t="s">
        <v>2464</v>
      </c>
      <c r="AZ4" s="5434" t="s">
        <v>2454</v>
      </c>
      <c r="BA4" s="5434" t="s">
        <v>2455</v>
      </c>
      <c r="BB4" s="1066" t="s">
        <v>2456</v>
      </c>
      <c r="BC4" s="1066" t="s">
        <v>2457</v>
      </c>
      <c r="BD4" s="1066" t="s">
        <v>2458</v>
      </c>
      <c r="BE4" s="1066" t="s">
        <v>2459</v>
      </c>
      <c r="BF4" s="1066" t="s">
        <v>2460</v>
      </c>
      <c r="BG4" s="5436" t="s">
        <v>2461</v>
      </c>
      <c r="BH4" s="5438" t="s">
        <v>2462</v>
      </c>
      <c r="BI4" s="5439"/>
      <c r="BJ4" s="5436" t="s">
        <v>2463</v>
      </c>
      <c r="BK4" s="1067"/>
      <c r="BL4" s="5440" t="s">
        <v>2464</v>
      </c>
      <c r="BN4" s="5434" t="s">
        <v>2454</v>
      </c>
      <c r="BO4" s="5434" t="s">
        <v>2455</v>
      </c>
      <c r="BP4" s="1066" t="s">
        <v>2456</v>
      </c>
      <c r="BQ4" s="1066" t="s">
        <v>2457</v>
      </c>
      <c r="BR4" s="1066" t="s">
        <v>2458</v>
      </c>
      <c r="BS4" s="1066" t="s">
        <v>2459</v>
      </c>
      <c r="BT4" s="1066" t="s">
        <v>2460</v>
      </c>
      <c r="BU4" s="5436" t="s">
        <v>2461</v>
      </c>
      <c r="BV4" s="5438" t="s">
        <v>2462</v>
      </c>
      <c r="BW4" s="5439"/>
      <c r="BX4" s="5436" t="s">
        <v>2463</v>
      </c>
      <c r="BY4" s="1067"/>
      <c r="BZ4" s="5440" t="s">
        <v>2464</v>
      </c>
      <c r="CB4" s="5434" t="s">
        <v>2454</v>
      </c>
      <c r="CC4" s="5434" t="s">
        <v>2455</v>
      </c>
      <c r="CD4" s="1066" t="s">
        <v>2456</v>
      </c>
      <c r="CE4" s="1066" t="s">
        <v>2457</v>
      </c>
      <c r="CF4" s="1066" t="s">
        <v>2465</v>
      </c>
      <c r="CG4" s="1066" t="s">
        <v>2458</v>
      </c>
      <c r="CH4" s="1066" t="s">
        <v>2466</v>
      </c>
      <c r="CI4" s="1066" t="s">
        <v>2459</v>
      </c>
      <c r="CJ4" s="1066" t="s">
        <v>2460</v>
      </c>
      <c r="CK4" s="5436" t="s">
        <v>2461</v>
      </c>
      <c r="CL4" s="5438" t="s">
        <v>2462</v>
      </c>
      <c r="CM4" s="5439"/>
      <c r="CN4" s="5436" t="s">
        <v>2463</v>
      </c>
      <c r="CO4" s="1067"/>
      <c r="CP4" s="5440" t="s">
        <v>2464</v>
      </c>
    </row>
    <row r="5" spans="2:94">
      <c r="B5" s="5435"/>
      <c r="C5" s="5435"/>
      <c r="D5" s="1066" t="s">
        <v>2467</v>
      </c>
      <c r="E5" s="1066" t="s">
        <v>2468</v>
      </c>
      <c r="F5" s="1066" t="s">
        <v>2469</v>
      </c>
      <c r="G5" s="1066" t="s">
        <v>2470</v>
      </c>
      <c r="H5" s="1066" t="s">
        <v>2471</v>
      </c>
      <c r="I5" s="5437"/>
      <c r="J5" s="1068" t="s">
        <v>2472</v>
      </c>
      <c r="K5" s="1068" t="s">
        <v>2473</v>
      </c>
      <c r="L5" s="5437"/>
      <c r="N5" s="5443"/>
      <c r="O5" s="5443"/>
      <c r="P5" s="2169" t="s">
        <v>2467</v>
      </c>
      <c r="Q5" s="2169" t="s">
        <v>2468</v>
      </c>
      <c r="R5" s="2169" t="s">
        <v>2469</v>
      </c>
      <c r="S5" s="2169" t="s">
        <v>3849</v>
      </c>
      <c r="T5" s="2169" t="s">
        <v>3850</v>
      </c>
      <c r="U5" s="5445"/>
      <c r="V5" s="2170" t="s">
        <v>2472</v>
      </c>
      <c r="W5" s="2170" t="s">
        <v>2473</v>
      </c>
      <c r="X5" s="5445"/>
      <c r="Z5" s="5443"/>
      <c r="AA5" s="5443"/>
      <c r="AB5" s="2169" t="s">
        <v>2467</v>
      </c>
      <c r="AC5" s="2169" t="s">
        <v>2468</v>
      </c>
      <c r="AD5" s="2169" t="s">
        <v>2469</v>
      </c>
      <c r="AE5" s="2169" t="s">
        <v>3849</v>
      </c>
      <c r="AF5" s="2169" t="s">
        <v>3850</v>
      </c>
      <c r="AG5" s="5445"/>
      <c r="AH5" s="2170" t="s">
        <v>2472</v>
      </c>
      <c r="AI5" s="2170" t="s">
        <v>2473</v>
      </c>
      <c r="AJ5" s="5445"/>
      <c r="AL5" s="5435"/>
      <c r="AM5" s="5435"/>
      <c r="AN5" s="1066" t="s">
        <v>2467</v>
      </c>
      <c r="AO5" s="1066" t="s">
        <v>2468</v>
      </c>
      <c r="AP5" s="1066" t="s">
        <v>2469</v>
      </c>
      <c r="AQ5" s="1066" t="s">
        <v>2470</v>
      </c>
      <c r="AR5" s="1066" t="s">
        <v>2471</v>
      </c>
      <c r="AS5" s="5437"/>
      <c r="AT5" s="1068" t="s">
        <v>2472</v>
      </c>
      <c r="AU5" s="1068" t="s">
        <v>2473</v>
      </c>
      <c r="AV5" s="5437"/>
      <c r="AW5" s="1069"/>
      <c r="AX5" s="5441"/>
      <c r="AZ5" s="5435"/>
      <c r="BA5" s="5435"/>
      <c r="BB5" s="1066" t="s">
        <v>2467</v>
      </c>
      <c r="BC5" s="1066" t="s">
        <v>2468</v>
      </c>
      <c r="BD5" s="1066" t="s">
        <v>2469</v>
      </c>
      <c r="BE5" s="1066" t="s">
        <v>2470</v>
      </c>
      <c r="BF5" s="1066" t="s">
        <v>2471</v>
      </c>
      <c r="BG5" s="5437"/>
      <c r="BH5" s="1068" t="s">
        <v>2472</v>
      </c>
      <c r="BI5" s="1068" t="s">
        <v>2473</v>
      </c>
      <c r="BJ5" s="5437"/>
      <c r="BK5" s="1069"/>
      <c r="BL5" s="5441"/>
      <c r="BN5" s="5435"/>
      <c r="BO5" s="5435"/>
      <c r="BP5" s="1066" t="s">
        <v>2467</v>
      </c>
      <c r="BQ5" s="1066" t="s">
        <v>2468</v>
      </c>
      <c r="BR5" s="1066" t="s">
        <v>2469</v>
      </c>
      <c r="BS5" s="1066" t="s">
        <v>2470</v>
      </c>
      <c r="BT5" s="1066" t="s">
        <v>2471</v>
      </c>
      <c r="BU5" s="5437"/>
      <c r="BV5" s="1068" t="s">
        <v>2472</v>
      </c>
      <c r="BW5" s="1068" t="s">
        <v>2473</v>
      </c>
      <c r="BX5" s="5437"/>
      <c r="BY5" s="1069"/>
      <c r="BZ5" s="5441"/>
      <c r="CB5" s="5435"/>
      <c r="CC5" s="5435"/>
      <c r="CD5" s="1066" t="s">
        <v>2467</v>
      </c>
      <c r="CE5" s="1066" t="s">
        <v>2468</v>
      </c>
      <c r="CF5" s="1066" t="s">
        <v>2474</v>
      </c>
      <c r="CG5" s="1066" t="s">
        <v>2469</v>
      </c>
      <c r="CH5" s="1066" t="s">
        <v>2475</v>
      </c>
      <c r="CI5" s="1066" t="s">
        <v>2470</v>
      </c>
      <c r="CJ5" s="1066" t="s">
        <v>2471</v>
      </c>
      <c r="CK5" s="5437"/>
      <c r="CL5" s="1068" t="s">
        <v>2472</v>
      </c>
      <c r="CM5" s="1068" t="s">
        <v>2473</v>
      </c>
      <c r="CN5" s="5437"/>
      <c r="CO5" s="1069"/>
      <c r="CP5" s="5441"/>
    </row>
    <row r="6" spans="2:94">
      <c r="B6" s="1070">
        <v>41000000</v>
      </c>
      <c r="C6" s="1071" t="s">
        <v>140</v>
      </c>
      <c r="D6" s="1072">
        <v>7041381860824</v>
      </c>
      <c r="E6" s="1072">
        <v>213598362661</v>
      </c>
      <c r="F6" s="1072">
        <v>229834826179</v>
      </c>
      <c r="G6" s="1072">
        <v>48552445701</v>
      </c>
      <c r="H6" s="1072">
        <v>7381747275</v>
      </c>
      <c r="I6" s="1072">
        <v>7540749242640</v>
      </c>
      <c r="J6" s="1072">
        <v>0</v>
      </c>
      <c r="K6" s="1072">
        <v>0</v>
      </c>
      <c r="L6" s="1072">
        <v>7254338950799</v>
      </c>
      <c r="N6" s="2171">
        <v>41000000</v>
      </c>
      <c r="O6" s="2172" t="s">
        <v>140</v>
      </c>
      <c r="P6" s="2173">
        <v>4514782044054</v>
      </c>
      <c r="Q6" s="2173">
        <v>141535921795</v>
      </c>
      <c r="R6" s="2173">
        <v>143022354379</v>
      </c>
      <c r="S6" s="2173">
        <v>37375279368</v>
      </c>
      <c r="T6" s="2173">
        <v>4364648625</v>
      </c>
      <c r="U6" s="2173">
        <v>4841080248221</v>
      </c>
      <c r="V6" s="2173">
        <v>0</v>
      </c>
      <c r="W6" s="2173">
        <v>0</v>
      </c>
      <c r="X6" s="2173">
        <v>4655983758024</v>
      </c>
      <c r="Z6" s="2171">
        <v>41000000</v>
      </c>
      <c r="AA6" s="2172" t="s">
        <v>140</v>
      </c>
      <c r="AB6" s="2173">
        <v>7672617576452</v>
      </c>
      <c r="AC6" s="2173">
        <v>308139407885</v>
      </c>
      <c r="AD6" s="2173">
        <v>241137594588</v>
      </c>
      <c r="AE6" s="2173">
        <v>39738078681</v>
      </c>
      <c r="AF6" s="2173">
        <v>8487572356</v>
      </c>
      <c r="AG6" s="2173">
        <v>8270120229962</v>
      </c>
      <c r="AH6" s="2173">
        <v>0</v>
      </c>
      <c r="AI6" s="2173">
        <v>0</v>
      </c>
      <c r="AJ6" s="2173">
        <v>7979812466262</v>
      </c>
      <c r="AL6" s="1070">
        <v>41000000</v>
      </c>
      <c r="AM6" s="1071" t="s">
        <v>140</v>
      </c>
      <c r="AN6" s="1072">
        <v>5583142166163</v>
      </c>
      <c r="AO6" s="1072">
        <v>233251014812</v>
      </c>
      <c r="AP6" s="1072">
        <v>168744944247</v>
      </c>
      <c r="AQ6" s="1072">
        <v>27718555753</v>
      </c>
      <c r="AR6" s="1072">
        <v>6923971439</v>
      </c>
      <c r="AS6" s="1072">
        <v>6019780652414</v>
      </c>
      <c r="AT6" s="1072">
        <v>0</v>
      </c>
      <c r="AU6" s="1072">
        <v>0</v>
      </c>
      <c r="AV6" s="1072">
        <v>5817341551859</v>
      </c>
      <c r="AW6" s="1073"/>
      <c r="AX6" s="1074"/>
      <c r="AZ6" s="1070">
        <v>41000000</v>
      </c>
      <c r="BA6" s="1071" t="s">
        <v>140</v>
      </c>
      <c r="BB6" s="1072">
        <v>7642856610554</v>
      </c>
      <c r="BC6" s="1072">
        <v>231687932258</v>
      </c>
      <c r="BD6" s="1072">
        <v>218428860780</v>
      </c>
      <c r="BE6" s="1072">
        <v>47317186511</v>
      </c>
      <c r="BF6" s="1072">
        <v>10163775382</v>
      </c>
      <c r="BG6" s="1072">
        <v>8150454365485</v>
      </c>
      <c r="BH6" s="1072">
        <v>0</v>
      </c>
      <c r="BI6" s="1072">
        <v>0</v>
      </c>
      <c r="BJ6" s="1072">
        <v>7874716817560</v>
      </c>
      <c r="BK6" s="1073"/>
      <c r="BL6" s="1074"/>
      <c r="BN6" s="1070">
        <v>41000000</v>
      </c>
      <c r="BO6" s="1071" t="s">
        <v>140</v>
      </c>
      <c r="BP6" s="1072">
        <v>7224134526872</v>
      </c>
      <c r="BQ6" s="1072">
        <v>224839088866</v>
      </c>
      <c r="BR6" s="1072">
        <v>206730246326</v>
      </c>
      <c r="BS6" s="1072">
        <v>27468885761</v>
      </c>
      <c r="BT6" s="1072">
        <v>14945153696</v>
      </c>
      <c r="BU6" s="1072">
        <v>7698117901521</v>
      </c>
      <c r="BV6" s="1072">
        <v>0</v>
      </c>
      <c r="BW6" s="1072">
        <v>0</v>
      </c>
      <c r="BX6" s="1072">
        <v>7448913712310</v>
      </c>
      <c r="BY6" s="1073"/>
      <c r="BZ6" s="1074"/>
      <c r="CB6" s="1070">
        <v>41000000</v>
      </c>
      <c r="CC6" s="1071" t="s">
        <v>140</v>
      </c>
      <c r="CD6" s="1072">
        <v>7234642755416</v>
      </c>
      <c r="CE6" s="1072">
        <v>222054437474</v>
      </c>
      <c r="CF6" s="1072">
        <v>0</v>
      </c>
      <c r="CG6" s="1072">
        <v>205758677939</v>
      </c>
      <c r="CH6" s="1072">
        <v>0</v>
      </c>
      <c r="CI6" s="1072">
        <v>29894306969</v>
      </c>
      <c r="CJ6" s="1072">
        <v>14222434071</v>
      </c>
      <c r="CK6" s="1072">
        <v>7706572611869</v>
      </c>
      <c r="CL6" s="1072">
        <v>0</v>
      </c>
      <c r="CM6" s="1072">
        <v>0</v>
      </c>
      <c r="CN6" s="1072">
        <v>7440528627249</v>
      </c>
      <c r="CO6" s="1073"/>
      <c r="CP6" s="1074"/>
    </row>
    <row r="7" spans="2:94">
      <c r="B7" s="1075">
        <v>41010000</v>
      </c>
      <c r="C7" s="1076" t="s">
        <v>2476</v>
      </c>
      <c r="D7" s="1077">
        <v>6970074129578</v>
      </c>
      <c r="E7" s="1077">
        <v>213065511886</v>
      </c>
      <c r="F7" s="1077">
        <v>229834826179</v>
      </c>
      <c r="G7" s="1077">
        <v>0</v>
      </c>
      <c r="H7" s="1077">
        <v>0</v>
      </c>
      <c r="I7" s="1077">
        <v>7412974467643</v>
      </c>
      <c r="J7" s="1077">
        <v>0</v>
      </c>
      <c r="K7" s="1077">
        <v>0</v>
      </c>
      <c r="L7" s="1077">
        <v>7179079697831</v>
      </c>
      <c r="N7" s="2174">
        <v>41010000</v>
      </c>
      <c r="O7" s="2175" t="s">
        <v>2476</v>
      </c>
      <c r="P7" s="2176">
        <v>4449158835367</v>
      </c>
      <c r="Q7" s="2176">
        <v>141182848539</v>
      </c>
      <c r="R7" s="2176">
        <v>143022354379</v>
      </c>
      <c r="S7" s="2176">
        <v>0</v>
      </c>
      <c r="T7" s="2176">
        <v>0</v>
      </c>
      <c r="U7" s="2176">
        <v>4733364038285</v>
      </c>
      <c r="V7" s="2176">
        <v>0</v>
      </c>
      <c r="W7" s="2176">
        <v>0</v>
      </c>
      <c r="X7" s="2176">
        <v>4587802742239</v>
      </c>
      <c r="Z7" s="2174">
        <v>41010000</v>
      </c>
      <c r="AA7" s="2175" t="s">
        <v>2476</v>
      </c>
      <c r="AB7" s="2176">
        <v>7552009035954</v>
      </c>
      <c r="AC7" s="2176">
        <v>307185490076</v>
      </c>
      <c r="AD7" s="2176">
        <v>241137594588</v>
      </c>
      <c r="AE7" s="2176">
        <v>0</v>
      </c>
      <c r="AF7" s="2176">
        <v>0</v>
      </c>
      <c r="AG7" s="2176">
        <v>8100332120618</v>
      </c>
      <c r="AH7" s="2176">
        <v>0</v>
      </c>
      <c r="AI7" s="2176">
        <v>0</v>
      </c>
      <c r="AJ7" s="2176">
        <v>7854898065387</v>
      </c>
      <c r="AL7" s="1075">
        <v>41010000</v>
      </c>
      <c r="AM7" s="1076" t="s">
        <v>2476</v>
      </c>
      <c r="AN7" s="1077">
        <v>5520131777235</v>
      </c>
      <c r="AO7" s="1077">
        <v>232551917697</v>
      </c>
      <c r="AP7" s="1077">
        <v>168744944247</v>
      </c>
      <c r="AQ7" s="1077">
        <v>0</v>
      </c>
      <c r="AR7" s="1077">
        <v>0</v>
      </c>
      <c r="AS7" s="1077">
        <v>5921428639179</v>
      </c>
      <c r="AT7" s="1077">
        <v>0</v>
      </c>
      <c r="AU7" s="1077">
        <v>0</v>
      </c>
      <c r="AV7" s="1077">
        <v>5749555718580</v>
      </c>
      <c r="AW7" s="1073"/>
      <c r="AX7" s="1074"/>
      <c r="AZ7" s="1075">
        <v>41010000</v>
      </c>
      <c r="BA7" s="1076" t="s">
        <v>2476</v>
      </c>
      <c r="BB7" s="1077">
        <v>7476955678905</v>
      </c>
      <c r="BC7" s="1077">
        <v>230788409035</v>
      </c>
      <c r="BD7" s="1077">
        <v>218428860780</v>
      </c>
      <c r="BE7" s="1077">
        <v>0</v>
      </c>
      <c r="BF7" s="1077">
        <v>0</v>
      </c>
      <c r="BG7" s="1077">
        <v>7926172948720</v>
      </c>
      <c r="BH7" s="1077">
        <v>0</v>
      </c>
      <c r="BI7" s="1077">
        <v>0</v>
      </c>
      <c r="BJ7" s="1077">
        <v>7702996890234</v>
      </c>
      <c r="BK7" s="1073"/>
      <c r="BL7" s="1074"/>
      <c r="BN7" s="1075">
        <v>41010000</v>
      </c>
      <c r="BO7" s="1076" t="s">
        <v>2476</v>
      </c>
      <c r="BP7" s="1077">
        <v>7033202032368</v>
      </c>
      <c r="BQ7" s="1077">
        <v>224350389540</v>
      </c>
      <c r="BR7" s="1077">
        <v>206730246326</v>
      </c>
      <c r="BS7" s="1077">
        <v>0</v>
      </c>
      <c r="BT7" s="1077">
        <v>0</v>
      </c>
      <c r="BU7" s="1077">
        <v>7464282668234</v>
      </c>
      <c r="BV7" s="1077">
        <v>0</v>
      </c>
      <c r="BW7" s="1077">
        <v>0</v>
      </c>
      <c r="BX7" s="1077">
        <v>7253536029949</v>
      </c>
      <c r="BY7" s="1073"/>
      <c r="BZ7" s="1074"/>
      <c r="CB7" s="1075">
        <v>41010000</v>
      </c>
      <c r="CC7" s="1076" t="s">
        <v>2476</v>
      </c>
      <c r="CD7" s="1077">
        <v>7020251552394</v>
      </c>
      <c r="CE7" s="1077">
        <v>221557465166</v>
      </c>
      <c r="CF7" s="1077">
        <v>0</v>
      </c>
      <c r="CG7" s="1077">
        <v>205758677939</v>
      </c>
      <c r="CH7" s="1077">
        <v>0</v>
      </c>
      <c r="CI7" s="1077">
        <v>0</v>
      </c>
      <c r="CJ7" s="1077">
        <v>0</v>
      </c>
      <c r="CK7" s="1077">
        <v>7447567695499</v>
      </c>
      <c r="CL7" s="1077">
        <v>0</v>
      </c>
      <c r="CM7" s="1077">
        <v>0</v>
      </c>
      <c r="CN7" s="1077">
        <v>7216235625742</v>
      </c>
      <c r="CO7" s="1073"/>
      <c r="CP7" s="1074"/>
    </row>
    <row r="8" spans="2:94">
      <c r="B8" s="1078">
        <v>41010010</v>
      </c>
      <c r="C8" s="1079" t="s">
        <v>2477</v>
      </c>
      <c r="D8" s="1080">
        <v>2974558855690</v>
      </c>
      <c r="E8" s="1080">
        <v>213065511886</v>
      </c>
      <c r="F8" s="1080">
        <v>229834826179</v>
      </c>
      <c r="G8" s="1080">
        <v>0</v>
      </c>
      <c r="H8" s="1080">
        <v>0</v>
      </c>
      <c r="I8" s="1080">
        <v>3417459193755</v>
      </c>
      <c r="J8" s="1080">
        <v>-1038512086</v>
      </c>
      <c r="K8" s="1080">
        <v>-234933281898</v>
      </c>
      <c r="L8" s="1080">
        <v>3183564423943</v>
      </c>
      <c r="N8" s="2177">
        <v>41010010</v>
      </c>
      <c r="O8" s="2178" t="s">
        <v>3851</v>
      </c>
      <c r="P8" s="2179">
        <v>1958294707598</v>
      </c>
      <c r="Q8" s="2179">
        <v>141182848539</v>
      </c>
      <c r="R8" s="2179">
        <v>143022354379</v>
      </c>
      <c r="S8" s="2179">
        <v>0</v>
      </c>
      <c r="T8" s="2179">
        <v>0</v>
      </c>
      <c r="U8" s="2179">
        <v>2242499910516</v>
      </c>
      <c r="V8" s="2179">
        <v>-158804351</v>
      </c>
      <c r="W8" s="2179">
        <v>-145720100397</v>
      </c>
      <c r="X8" s="2179">
        <v>2096938614470</v>
      </c>
      <c r="Z8" s="2177">
        <v>41010010</v>
      </c>
      <c r="AA8" s="2178" t="s">
        <v>3851</v>
      </c>
      <c r="AB8" s="2179">
        <v>4091084878557</v>
      </c>
      <c r="AC8" s="2179">
        <v>307185490076</v>
      </c>
      <c r="AD8" s="2179">
        <v>241137594588</v>
      </c>
      <c r="AE8" s="2179">
        <v>0</v>
      </c>
      <c r="AF8" s="2179">
        <v>0</v>
      </c>
      <c r="AG8" s="2179">
        <v>4639407963221</v>
      </c>
      <c r="AH8" s="2179">
        <v>560812641</v>
      </c>
      <c r="AI8" s="2179">
        <v>-244873242590</v>
      </c>
      <c r="AJ8" s="2179">
        <v>4393973907990</v>
      </c>
      <c r="AL8" s="1078">
        <v>41010010</v>
      </c>
      <c r="AM8" s="1079" t="s">
        <v>2477</v>
      </c>
      <c r="AN8" s="1080">
        <v>2971108542158</v>
      </c>
      <c r="AO8" s="1080">
        <v>232551917697</v>
      </c>
      <c r="AP8" s="1080">
        <v>168744944247</v>
      </c>
      <c r="AQ8" s="1080">
        <v>0</v>
      </c>
      <c r="AR8" s="1080">
        <v>0</v>
      </c>
      <c r="AS8" s="1080">
        <v>3372405404102</v>
      </c>
      <c r="AT8" s="1080">
        <v>421836053</v>
      </c>
      <c r="AU8" s="1080">
        <v>-171451084546</v>
      </c>
      <c r="AV8" s="1080">
        <v>3200532483503</v>
      </c>
      <c r="AW8" s="1073"/>
      <c r="AX8" s="1074">
        <v>-3200532483503</v>
      </c>
      <c r="AZ8" s="1078">
        <v>41010010</v>
      </c>
      <c r="BA8" s="1079" t="s">
        <v>2477</v>
      </c>
      <c r="BB8" s="1080">
        <v>3984797010541</v>
      </c>
      <c r="BC8" s="1080">
        <v>230788409035</v>
      </c>
      <c r="BD8" s="1080">
        <v>218428860780</v>
      </c>
      <c r="BE8" s="1080">
        <v>0</v>
      </c>
      <c r="BF8" s="1080">
        <v>0</v>
      </c>
      <c r="BG8" s="1080">
        <v>4434014280356</v>
      </c>
      <c r="BH8" s="1080">
        <v>526558658</v>
      </c>
      <c r="BI8" s="1080">
        <v>-222649499828</v>
      </c>
      <c r="BJ8" s="1080">
        <v>4210838221870</v>
      </c>
      <c r="BK8" s="1073"/>
      <c r="BL8" s="1074">
        <v>-4210838221870</v>
      </c>
      <c r="BN8" s="1078">
        <v>41010010</v>
      </c>
      <c r="BO8" s="1079" t="s">
        <v>2477</v>
      </c>
      <c r="BP8" s="1080">
        <v>3947973710012</v>
      </c>
      <c r="BQ8" s="1080">
        <v>224350389540</v>
      </c>
      <c r="BR8" s="1080">
        <v>206730246326</v>
      </c>
      <c r="BS8" s="1080">
        <v>0</v>
      </c>
      <c r="BT8" s="1080">
        <v>0</v>
      </c>
      <c r="BU8" s="1080">
        <v>4379054345878</v>
      </c>
      <c r="BV8" s="1080">
        <v>0</v>
      </c>
      <c r="BW8" s="1080">
        <v>-210746638285</v>
      </c>
      <c r="BX8" s="1080">
        <v>4168307707593</v>
      </c>
      <c r="BY8" s="1073"/>
      <c r="BZ8" s="1074">
        <v>-4168307707593</v>
      </c>
      <c r="CB8" s="1078">
        <v>41010010</v>
      </c>
      <c r="CC8" s="1079" t="s">
        <v>2477</v>
      </c>
      <c r="CD8" s="1080">
        <v>3960311046471</v>
      </c>
      <c r="CE8" s="1080">
        <v>221557465166</v>
      </c>
      <c r="CF8" s="1080">
        <v>0</v>
      </c>
      <c r="CG8" s="1080">
        <v>205758677939</v>
      </c>
      <c r="CH8" s="1080">
        <v>0</v>
      </c>
      <c r="CI8" s="1080">
        <v>0</v>
      </c>
      <c r="CJ8" s="1080">
        <v>0</v>
      </c>
      <c r="CK8" s="1080">
        <v>4387627189576</v>
      </c>
      <c r="CL8" s="1080">
        <v>481659873</v>
      </c>
      <c r="CM8" s="1080">
        <v>-228348615034</v>
      </c>
      <c r="CN8" s="1080">
        <v>4158796914669</v>
      </c>
      <c r="CO8" s="1073"/>
      <c r="CP8" s="1074">
        <v>-4158796914669</v>
      </c>
    </row>
    <row r="9" spans="2:94">
      <c r="B9" s="1078">
        <v>41010020</v>
      </c>
      <c r="C9" s="1079" t="s">
        <v>2478</v>
      </c>
      <c r="D9" s="1080">
        <v>3995515273888</v>
      </c>
      <c r="E9" s="1080">
        <v>0</v>
      </c>
      <c r="F9" s="1080">
        <v>0</v>
      </c>
      <c r="G9" s="1080">
        <v>0</v>
      </c>
      <c r="H9" s="1080">
        <v>0</v>
      </c>
      <c r="I9" s="1080">
        <v>3995515273888</v>
      </c>
      <c r="J9" s="1080">
        <v>0</v>
      </c>
      <c r="K9" s="1080">
        <v>0</v>
      </c>
      <c r="L9" s="1080">
        <v>3995515273888</v>
      </c>
      <c r="N9" s="2177">
        <v>41010020</v>
      </c>
      <c r="O9" s="2178" t="s">
        <v>2478</v>
      </c>
      <c r="P9" s="2179">
        <v>2490864127769</v>
      </c>
      <c r="Q9" s="2179">
        <v>0</v>
      </c>
      <c r="R9" s="2179">
        <v>0</v>
      </c>
      <c r="S9" s="2179">
        <v>0</v>
      </c>
      <c r="T9" s="2179">
        <v>0</v>
      </c>
      <c r="U9" s="2179">
        <v>2490864127769</v>
      </c>
      <c r="V9" s="2179">
        <v>0</v>
      </c>
      <c r="W9" s="2179">
        <v>0</v>
      </c>
      <c r="X9" s="2179">
        <v>2490864127769</v>
      </c>
      <c r="Z9" s="2177">
        <v>41010020</v>
      </c>
      <c r="AA9" s="2178" t="s">
        <v>2478</v>
      </c>
      <c r="AB9" s="2179">
        <v>3460924157397</v>
      </c>
      <c r="AC9" s="2179">
        <v>0</v>
      </c>
      <c r="AD9" s="2179">
        <v>0</v>
      </c>
      <c r="AE9" s="2179">
        <v>0</v>
      </c>
      <c r="AF9" s="2179">
        <v>0</v>
      </c>
      <c r="AG9" s="2179">
        <v>3460924157397</v>
      </c>
      <c r="AH9" s="2179">
        <v>0</v>
      </c>
      <c r="AI9" s="2179">
        <v>0</v>
      </c>
      <c r="AJ9" s="2179">
        <v>3460924157397</v>
      </c>
      <c r="AL9" s="1078">
        <v>41010020</v>
      </c>
      <c r="AM9" s="1079" t="s">
        <v>2478</v>
      </c>
      <c r="AN9" s="1080">
        <v>2549023235077</v>
      </c>
      <c r="AO9" s="1080">
        <v>0</v>
      </c>
      <c r="AP9" s="1080">
        <v>0</v>
      </c>
      <c r="AQ9" s="1080">
        <v>0</v>
      </c>
      <c r="AR9" s="1080">
        <v>0</v>
      </c>
      <c r="AS9" s="1080">
        <v>2549023235077</v>
      </c>
      <c r="AT9" s="1080">
        <v>0</v>
      </c>
      <c r="AU9" s="1080">
        <v>0</v>
      </c>
      <c r="AV9" s="1080">
        <v>2549023235077</v>
      </c>
      <c r="AW9" s="1073"/>
      <c r="AX9" s="1074">
        <v>-2549023235077</v>
      </c>
      <c r="AZ9" s="1078">
        <v>41010020</v>
      </c>
      <c r="BA9" s="1079" t="s">
        <v>2478</v>
      </c>
      <c r="BB9" s="1080">
        <v>3492158668364</v>
      </c>
      <c r="BC9" s="1080">
        <v>0</v>
      </c>
      <c r="BD9" s="1080">
        <v>0</v>
      </c>
      <c r="BE9" s="1080">
        <v>0</v>
      </c>
      <c r="BF9" s="1080">
        <v>0</v>
      </c>
      <c r="BG9" s="1080">
        <v>3492158668364</v>
      </c>
      <c r="BH9" s="1080">
        <v>0</v>
      </c>
      <c r="BI9" s="1080">
        <v>0</v>
      </c>
      <c r="BJ9" s="1080">
        <v>3492158668364</v>
      </c>
      <c r="BK9" s="1073"/>
      <c r="BL9" s="1074">
        <v>-3492158668364</v>
      </c>
      <c r="BN9" s="1078">
        <v>41010020</v>
      </c>
      <c r="BO9" s="1079" t="s">
        <v>2478</v>
      </c>
      <c r="BP9" s="1080">
        <v>3085228322356</v>
      </c>
      <c r="BQ9" s="1080">
        <v>0</v>
      </c>
      <c r="BR9" s="1080">
        <v>0</v>
      </c>
      <c r="BS9" s="1080">
        <v>0</v>
      </c>
      <c r="BT9" s="1080">
        <v>0</v>
      </c>
      <c r="BU9" s="1080">
        <v>3085228322356</v>
      </c>
      <c r="BV9" s="1080">
        <v>0</v>
      </c>
      <c r="BW9" s="1080">
        <v>0</v>
      </c>
      <c r="BX9" s="1080">
        <v>3085228322356</v>
      </c>
      <c r="BY9" s="1073"/>
      <c r="BZ9" s="1074">
        <v>-3085228322356</v>
      </c>
      <c r="CB9" s="1078">
        <v>41010020</v>
      </c>
      <c r="CC9" s="1079" t="s">
        <v>2478</v>
      </c>
      <c r="CD9" s="1080">
        <v>3059940505923</v>
      </c>
      <c r="CE9" s="1080">
        <v>0</v>
      </c>
      <c r="CF9" s="1080">
        <v>0</v>
      </c>
      <c r="CG9" s="1080">
        <v>0</v>
      </c>
      <c r="CH9" s="1080">
        <v>0</v>
      </c>
      <c r="CI9" s="1080">
        <v>0</v>
      </c>
      <c r="CJ9" s="1080">
        <v>0</v>
      </c>
      <c r="CK9" s="1080">
        <v>3059940505923</v>
      </c>
      <c r="CL9" s="1080">
        <v>0</v>
      </c>
      <c r="CM9" s="1080">
        <v>-2501794850</v>
      </c>
      <c r="CN9" s="1080">
        <v>3057438711073</v>
      </c>
      <c r="CO9" s="1073"/>
      <c r="CP9" s="1074">
        <v>-3057438711073</v>
      </c>
    </row>
    <row r="10" spans="2:94">
      <c r="B10" s="1078">
        <v>41010030</v>
      </c>
      <c r="C10" s="1079" t="s">
        <v>2478</v>
      </c>
      <c r="D10" s="1080">
        <v>0</v>
      </c>
      <c r="E10" s="1080">
        <v>0</v>
      </c>
      <c r="F10" s="1080">
        <v>0</v>
      </c>
      <c r="G10" s="1080">
        <v>0</v>
      </c>
      <c r="H10" s="1080">
        <v>0</v>
      </c>
      <c r="I10" s="1080">
        <v>0</v>
      </c>
      <c r="J10" s="1080">
        <v>0</v>
      </c>
      <c r="K10" s="1080">
        <v>0</v>
      </c>
      <c r="L10" s="1080">
        <v>0</v>
      </c>
      <c r="N10" s="2177">
        <v>41010030</v>
      </c>
      <c r="O10" s="2178" t="s">
        <v>2478</v>
      </c>
      <c r="P10" s="2179">
        <v>0</v>
      </c>
      <c r="Q10" s="2179">
        <v>0</v>
      </c>
      <c r="R10" s="2179">
        <v>0</v>
      </c>
      <c r="S10" s="2179">
        <v>0</v>
      </c>
      <c r="T10" s="2179">
        <v>0</v>
      </c>
      <c r="U10" s="2179">
        <v>0</v>
      </c>
      <c r="V10" s="2179">
        <v>0</v>
      </c>
      <c r="W10" s="2179">
        <v>0</v>
      </c>
      <c r="X10" s="2179">
        <v>0</v>
      </c>
      <c r="Z10" s="2177">
        <v>41010030</v>
      </c>
      <c r="AA10" s="2178" t="s">
        <v>2478</v>
      </c>
      <c r="AB10" s="2179">
        <v>0</v>
      </c>
      <c r="AC10" s="2179">
        <v>0</v>
      </c>
      <c r="AD10" s="2179">
        <v>0</v>
      </c>
      <c r="AE10" s="2179">
        <v>0</v>
      </c>
      <c r="AF10" s="2179">
        <v>0</v>
      </c>
      <c r="AG10" s="2179">
        <v>0</v>
      </c>
      <c r="AH10" s="2179">
        <v>0</v>
      </c>
      <c r="AI10" s="2179">
        <v>0</v>
      </c>
      <c r="AJ10" s="2179">
        <v>0</v>
      </c>
      <c r="AL10" s="1078">
        <v>41010030</v>
      </c>
      <c r="AM10" s="1079" t="s">
        <v>2478</v>
      </c>
      <c r="AN10" s="1080">
        <v>0</v>
      </c>
      <c r="AO10" s="1080">
        <v>0</v>
      </c>
      <c r="AP10" s="1080">
        <v>0</v>
      </c>
      <c r="AQ10" s="1080">
        <v>0</v>
      </c>
      <c r="AR10" s="1080">
        <v>0</v>
      </c>
      <c r="AS10" s="1080">
        <v>0</v>
      </c>
      <c r="AT10" s="1080">
        <v>0</v>
      </c>
      <c r="AU10" s="1080">
        <v>0</v>
      </c>
      <c r="AV10" s="1080">
        <v>0</v>
      </c>
      <c r="AW10" s="1073"/>
      <c r="AX10" s="1074">
        <v>0</v>
      </c>
      <c r="AZ10" s="1078">
        <v>41010030</v>
      </c>
      <c r="BA10" s="1079" t="s">
        <v>2478</v>
      </c>
      <c r="BB10" s="1080">
        <v>0</v>
      </c>
      <c r="BC10" s="1080">
        <v>0</v>
      </c>
      <c r="BD10" s="1080">
        <v>0</v>
      </c>
      <c r="BE10" s="1080">
        <v>0</v>
      </c>
      <c r="BF10" s="1080">
        <v>0</v>
      </c>
      <c r="BG10" s="1080">
        <v>0</v>
      </c>
      <c r="BH10" s="1080">
        <v>0</v>
      </c>
      <c r="BI10" s="1080">
        <v>0</v>
      </c>
      <c r="BJ10" s="1080">
        <v>0</v>
      </c>
      <c r="BK10" s="1073"/>
      <c r="BL10" s="1074">
        <v>0</v>
      </c>
      <c r="BN10" s="1078">
        <v>41010030</v>
      </c>
      <c r="BO10" s="1079" t="s">
        <v>2478</v>
      </c>
      <c r="BP10" s="1080">
        <v>0</v>
      </c>
      <c r="BQ10" s="1080">
        <v>0</v>
      </c>
      <c r="BR10" s="1080">
        <v>0</v>
      </c>
      <c r="BS10" s="1080">
        <v>0</v>
      </c>
      <c r="BT10" s="1080">
        <v>0</v>
      </c>
      <c r="BU10" s="1080">
        <v>0</v>
      </c>
      <c r="BV10" s="1080">
        <v>0</v>
      </c>
      <c r="BW10" s="1080">
        <v>0</v>
      </c>
      <c r="BX10" s="1080">
        <v>0</v>
      </c>
      <c r="BY10" s="1073"/>
      <c r="BZ10" s="1074">
        <v>0</v>
      </c>
      <c r="CB10" s="1078">
        <v>41010030</v>
      </c>
      <c r="CC10" s="1079" t="s">
        <v>2478</v>
      </c>
      <c r="CD10" s="1080">
        <v>0</v>
      </c>
      <c r="CE10" s="1080">
        <v>0</v>
      </c>
      <c r="CF10" s="1080">
        <v>0</v>
      </c>
      <c r="CG10" s="1080">
        <v>0</v>
      </c>
      <c r="CH10" s="1080">
        <v>0</v>
      </c>
      <c r="CI10" s="1080">
        <v>0</v>
      </c>
      <c r="CJ10" s="1080">
        <v>0</v>
      </c>
      <c r="CK10" s="1080">
        <v>0</v>
      </c>
      <c r="CL10" s="1080">
        <v>0</v>
      </c>
      <c r="CM10" s="1080">
        <v>0</v>
      </c>
      <c r="CN10" s="1080">
        <v>0</v>
      </c>
      <c r="CO10" s="1073"/>
      <c r="CP10" s="1074">
        <v>0</v>
      </c>
    </row>
    <row r="11" spans="2:94">
      <c r="B11" s="1075">
        <v>41011000</v>
      </c>
      <c r="C11" s="1076" t="s">
        <v>2479</v>
      </c>
      <c r="D11" s="1077">
        <v>59851348674</v>
      </c>
      <c r="E11" s="1077">
        <v>950000</v>
      </c>
      <c r="F11" s="1077">
        <v>0</v>
      </c>
      <c r="G11" s="1077">
        <v>1545682887</v>
      </c>
      <c r="H11" s="1077">
        <v>0</v>
      </c>
      <c r="I11" s="1077">
        <v>61397981561</v>
      </c>
      <c r="J11" s="1077">
        <v>0</v>
      </c>
      <c r="K11" s="1077">
        <v>0</v>
      </c>
      <c r="L11" s="1077">
        <v>61397981561</v>
      </c>
      <c r="N11" s="2174">
        <v>41011000</v>
      </c>
      <c r="O11" s="2175" t="s">
        <v>2479</v>
      </c>
      <c r="P11" s="2176">
        <v>58706224374</v>
      </c>
      <c r="Q11" s="2176">
        <v>950000</v>
      </c>
      <c r="R11" s="2176">
        <v>0</v>
      </c>
      <c r="S11" s="2176">
        <v>958343100</v>
      </c>
      <c r="T11" s="2176">
        <v>0</v>
      </c>
      <c r="U11" s="2176">
        <v>59665517474</v>
      </c>
      <c r="V11" s="2176">
        <v>0</v>
      </c>
      <c r="W11" s="2176">
        <v>0</v>
      </c>
      <c r="X11" s="2176">
        <v>59665517474</v>
      </c>
      <c r="Z11" s="2174">
        <v>41011000</v>
      </c>
      <c r="AA11" s="2175" t="s">
        <v>2479</v>
      </c>
      <c r="AB11" s="2176">
        <v>109534110683</v>
      </c>
      <c r="AC11" s="2176">
        <v>2400000</v>
      </c>
      <c r="AD11" s="2176">
        <v>0</v>
      </c>
      <c r="AE11" s="2176">
        <v>1281148204</v>
      </c>
      <c r="AF11" s="2176">
        <v>0</v>
      </c>
      <c r="AG11" s="2176">
        <v>110817658887</v>
      </c>
      <c r="AH11" s="2176">
        <v>0</v>
      </c>
      <c r="AI11" s="2176">
        <v>0</v>
      </c>
      <c r="AJ11" s="2176">
        <v>110817658887</v>
      </c>
      <c r="AL11" s="1075">
        <v>41011000</v>
      </c>
      <c r="AM11" s="1076" t="s">
        <v>2479</v>
      </c>
      <c r="AN11" s="1077">
        <v>54573537006</v>
      </c>
      <c r="AO11" s="1077">
        <v>0</v>
      </c>
      <c r="AP11" s="1077">
        <v>0</v>
      </c>
      <c r="AQ11" s="1077">
        <v>1125203031</v>
      </c>
      <c r="AR11" s="1077">
        <v>0</v>
      </c>
      <c r="AS11" s="1077">
        <v>55698740037</v>
      </c>
      <c r="AT11" s="1077">
        <v>0</v>
      </c>
      <c r="AU11" s="1077">
        <v>0</v>
      </c>
      <c r="AV11" s="1077">
        <v>55698740037</v>
      </c>
      <c r="AW11" s="1073"/>
      <c r="AX11" s="1074"/>
      <c r="AZ11" s="1075">
        <v>41011000</v>
      </c>
      <c r="BA11" s="1076" t="s">
        <v>2479</v>
      </c>
      <c r="BB11" s="1077">
        <v>151279954978</v>
      </c>
      <c r="BC11" s="1077">
        <v>48662000</v>
      </c>
      <c r="BD11" s="1077">
        <v>0</v>
      </c>
      <c r="BE11" s="1077">
        <v>1103510280</v>
      </c>
      <c r="BF11" s="1077">
        <v>0</v>
      </c>
      <c r="BG11" s="1077">
        <v>152432127258</v>
      </c>
      <c r="BH11" s="1077">
        <v>0</v>
      </c>
      <c r="BI11" s="1077">
        <v>0</v>
      </c>
      <c r="BJ11" s="1077">
        <v>152432127258</v>
      </c>
      <c r="BK11" s="1073"/>
      <c r="BL11" s="1074"/>
      <c r="BN11" s="1075">
        <v>41011000</v>
      </c>
      <c r="BO11" s="1076" t="s">
        <v>2479</v>
      </c>
      <c r="BP11" s="1077">
        <v>172114822191</v>
      </c>
      <c r="BQ11" s="1077">
        <v>50745774</v>
      </c>
      <c r="BR11" s="1077">
        <v>0</v>
      </c>
      <c r="BS11" s="1077">
        <v>962637296</v>
      </c>
      <c r="BT11" s="1077">
        <v>0</v>
      </c>
      <c r="BU11" s="1077">
        <v>173128205261</v>
      </c>
      <c r="BV11" s="1077">
        <v>0</v>
      </c>
      <c r="BW11" s="1077">
        <v>0</v>
      </c>
      <c r="BX11" s="1077">
        <v>173128205261</v>
      </c>
      <c r="BY11" s="1073"/>
      <c r="BZ11" s="1074"/>
      <c r="CB11" s="1075">
        <v>41011000</v>
      </c>
      <c r="CC11" s="1076" t="s">
        <v>2479</v>
      </c>
      <c r="CD11" s="1077">
        <v>214391203022</v>
      </c>
      <c r="CE11" s="1077">
        <v>51266000</v>
      </c>
      <c r="CF11" s="1077">
        <v>0</v>
      </c>
      <c r="CG11" s="1077">
        <v>0</v>
      </c>
      <c r="CH11" s="1077">
        <v>0</v>
      </c>
      <c r="CI11" s="1077">
        <v>1390934121</v>
      </c>
      <c r="CJ11" s="1077">
        <v>0</v>
      </c>
      <c r="CK11" s="1077">
        <v>215833403143</v>
      </c>
      <c r="CL11" s="1077">
        <v>0</v>
      </c>
      <c r="CM11" s="1077">
        <v>0</v>
      </c>
      <c r="CN11" s="1077">
        <v>215833403143</v>
      </c>
      <c r="CO11" s="1073"/>
      <c r="CP11" s="1074"/>
    </row>
    <row r="12" spans="2:94">
      <c r="B12" s="1078">
        <v>41011010</v>
      </c>
      <c r="C12" s="1079" t="s">
        <v>2480</v>
      </c>
      <c r="D12" s="1080">
        <v>36300000</v>
      </c>
      <c r="E12" s="1080">
        <v>950000</v>
      </c>
      <c r="F12" s="1080">
        <v>0</v>
      </c>
      <c r="G12" s="1080">
        <v>0</v>
      </c>
      <c r="H12" s="1080">
        <v>0</v>
      </c>
      <c r="I12" s="1080">
        <v>37250000</v>
      </c>
      <c r="J12" s="1080">
        <v>0</v>
      </c>
      <c r="K12" s="1080">
        <v>0</v>
      </c>
      <c r="L12" s="1080">
        <v>37250000</v>
      </c>
      <c r="N12" s="2177">
        <v>41011010</v>
      </c>
      <c r="O12" s="2178" t="s">
        <v>2480</v>
      </c>
      <c r="P12" s="2179">
        <v>0</v>
      </c>
      <c r="Q12" s="2179">
        <v>950000</v>
      </c>
      <c r="R12" s="2179">
        <v>0</v>
      </c>
      <c r="S12" s="2179">
        <v>0</v>
      </c>
      <c r="T12" s="2179">
        <v>0</v>
      </c>
      <c r="U12" s="2179">
        <v>950000</v>
      </c>
      <c r="V12" s="2179">
        <v>0</v>
      </c>
      <c r="W12" s="2179">
        <v>0</v>
      </c>
      <c r="X12" s="2179">
        <v>950000</v>
      </c>
      <c r="Z12" s="2177">
        <v>41011010</v>
      </c>
      <c r="AA12" s="2178" t="s">
        <v>2480</v>
      </c>
      <c r="AB12" s="2179">
        <v>0</v>
      </c>
      <c r="AC12" s="2179">
        <v>2400000</v>
      </c>
      <c r="AD12" s="2179">
        <v>0</v>
      </c>
      <c r="AE12" s="2179">
        <v>0</v>
      </c>
      <c r="AF12" s="2179">
        <v>0</v>
      </c>
      <c r="AG12" s="2179">
        <v>2400000</v>
      </c>
      <c r="AH12" s="2179">
        <v>0</v>
      </c>
      <c r="AI12" s="2179">
        <v>0</v>
      </c>
      <c r="AJ12" s="2179">
        <v>2400000</v>
      </c>
      <c r="AL12" s="1078">
        <v>41011010</v>
      </c>
      <c r="AM12" s="1079" t="s">
        <v>2480</v>
      </c>
      <c r="AN12" s="1080">
        <v>0</v>
      </c>
      <c r="AO12" s="1080">
        <v>0</v>
      </c>
      <c r="AP12" s="1080">
        <v>0</v>
      </c>
      <c r="AQ12" s="1080">
        <v>0</v>
      </c>
      <c r="AR12" s="1080">
        <v>0</v>
      </c>
      <c r="AS12" s="1080">
        <v>0</v>
      </c>
      <c r="AT12" s="1080">
        <v>0</v>
      </c>
      <c r="AU12" s="1080">
        <v>0</v>
      </c>
      <c r="AV12" s="1080">
        <v>0</v>
      </c>
      <c r="AW12" s="1073"/>
      <c r="AX12" s="1074">
        <v>0</v>
      </c>
      <c r="AZ12" s="1078">
        <v>41011010</v>
      </c>
      <c r="BA12" s="1079" t="s">
        <v>2480</v>
      </c>
      <c r="BB12" s="1080">
        <v>325641280</v>
      </c>
      <c r="BC12" s="1080">
        <v>48662000</v>
      </c>
      <c r="BD12" s="1080">
        <v>0</v>
      </c>
      <c r="BE12" s="1080">
        <v>0</v>
      </c>
      <c r="BF12" s="1080">
        <v>0</v>
      </c>
      <c r="BG12" s="1080">
        <v>374303280</v>
      </c>
      <c r="BH12" s="1080">
        <v>0</v>
      </c>
      <c r="BI12" s="1080">
        <v>0</v>
      </c>
      <c r="BJ12" s="1080">
        <v>374303280</v>
      </c>
      <c r="BK12" s="1073"/>
      <c r="BL12" s="1074">
        <v>-374303280</v>
      </c>
      <c r="BN12" s="1078">
        <v>41011010</v>
      </c>
      <c r="BO12" s="1079" t="s">
        <v>2480</v>
      </c>
      <c r="BP12" s="1080">
        <v>0</v>
      </c>
      <c r="BQ12" s="1080">
        <v>50745774</v>
      </c>
      <c r="BR12" s="1080">
        <v>0</v>
      </c>
      <c r="BS12" s="1080">
        <v>0</v>
      </c>
      <c r="BT12" s="1080">
        <v>0</v>
      </c>
      <c r="BU12" s="1080">
        <v>50745774</v>
      </c>
      <c r="BV12" s="1080">
        <v>0</v>
      </c>
      <c r="BW12" s="1080">
        <v>0</v>
      </c>
      <c r="BX12" s="1080">
        <v>50745774</v>
      </c>
      <c r="BY12" s="1073"/>
      <c r="BZ12" s="1074">
        <v>-50745774</v>
      </c>
      <c r="CB12" s="1078">
        <v>41011010</v>
      </c>
      <c r="CC12" s="1079" t="s">
        <v>2480</v>
      </c>
      <c r="CD12" s="1080">
        <v>65352853050</v>
      </c>
      <c r="CE12" s="1080">
        <v>51266000</v>
      </c>
      <c r="CF12" s="1080">
        <v>0</v>
      </c>
      <c r="CG12" s="1080">
        <v>0</v>
      </c>
      <c r="CH12" s="1080">
        <v>0</v>
      </c>
      <c r="CI12" s="1080">
        <v>0</v>
      </c>
      <c r="CJ12" s="1080">
        <v>0</v>
      </c>
      <c r="CK12" s="1080">
        <v>65404119050</v>
      </c>
      <c r="CL12" s="1080">
        <v>0</v>
      </c>
      <c r="CM12" s="1080">
        <v>0</v>
      </c>
      <c r="CN12" s="1080">
        <v>65404119050</v>
      </c>
      <c r="CO12" s="1073"/>
      <c r="CP12" s="1074">
        <v>-65404119050</v>
      </c>
    </row>
    <row r="13" spans="2:94">
      <c r="B13" s="1078">
        <v>41011020</v>
      </c>
      <c r="C13" s="1079" t="s">
        <v>2481</v>
      </c>
      <c r="D13" s="1080">
        <v>59815048674</v>
      </c>
      <c r="E13" s="1080">
        <v>0</v>
      </c>
      <c r="F13" s="1080">
        <v>0</v>
      </c>
      <c r="G13" s="1080">
        <v>1545682887</v>
      </c>
      <c r="H13" s="1080">
        <v>0</v>
      </c>
      <c r="I13" s="1080">
        <v>61360731561</v>
      </c>
      <c r="J13" s="1080">
        <v>0</v>
      </c>
      <c r="K13" s="1080">
        <v>0</v>
      </c>
      <c r="L13" s="1080">
        <v>61360731561</v>
      </c>
      <c r="N13" s="2177">
        <v>41011020</v>
      </c>
      <c r="O13" s="2178" t="s">
        <v>2481</v>
      </c>
      <c r="P13" s="2179">
        <v>58706224374</v>
      </c>
      <c r="Q13" s="2179">
        <v>0</v>
      </c>
      <c r="R13" s="2179">
        <v>0</v>
      </c>
      <c r="S13" s="2179">
        <v>958343100</v>
      </c>
      <c r="T13" s="2179">
        <v>0</v>
      </c>
      <c r="U13" s="2179">
        <v>59664567474</v>
      </c>
      <c r="V13" s="2179">
        <v>0</v>
      </c>
      <c r="W13" s="2179">
        <v>0</v>
      </c>
      <c r="X13" s="2179">
        <v>59664567474</v>
      </c>
      <c r="Z13" s="2177">
        <v>41011020</v>
      </c>
      <c r="AA13" s="2178" t="s">
        <v>2481</v>
      </c>
      <c r="AB13" s="2179">
        <v>109534110683</v>
      </c>
      <c r="AC13" s="2179">
        <v>0</v>
      </c>
      <c r="AD13" s="2179">
        <v>0</v>
      </c>
      <c r="AE13" s="2179">
        <v>1281148204</v>
      </c>
      <c r="AF13" s="2179">
        <v>0</v>
      </c>
      <c r="AG13" s="2179">
        <v>110815258887</v>
      </c>
      <c r="AH13" s="2179">
        <v>0</v>
      </c>
      <c r="AI13" s="2179">
        <v>0</v>
      </c>
      <c r="AJ13" s="2179">
        <v>110815258887</v>
      </c>
      <c r="AL13" s="1078">
        <v>41011020</v>
      </c>
      <c r="AM13" s="1079" t="s">
        <v>2481</v>
      </c>
      <c r="AN13" s="1080">
        <v>54573537006</v>
      </c>
      <c r="AO13" s="1080">
        <v>0</v>
      </c>
      <c r="AP13" s="1080">
        <v>0</v>
      </c>
      <c r="AQ13" s="1080">
        <v>1125203031</v>
      </c>
      <c r="AR13" s="1080">
        <v>0</v>
      </c>
      <c r="AS13" s="1080">
        <v>55698740037</v>
      </c>
      <c r="AT13" s="1080">
        <v>0</v>
      </c>
      <c r="AU13" s="1080">
        <v>0</v>
      </c>
      <c r="AV13" s="1080">
        <v>55698740037</v>
      </c>
      <c r="AW13" s="1073"/>
      <c r="AX13" s="1074">
        <v>-55698740037</v>
      </c>
      <c r="AZ13" s="1078">
        <v>41011020</v>
      </c>
      <c r="BA13" s="1079" t="s">
        <v>2481</v>
      </c>
      <c r="BB13" s="1080">
        <v>150954313698</v>
      </c>
      <c r="BC13" s="1080">
        <v>0</v>
      </c>
      <c r="BD13" s="1080">
        <v>0</v>
      </c>
      <c r="BE13" s="1080">
        <v>1103510280</v>
      </c>
      <c r="BF13" s="1080">
        <v>0</v>
      </c>
      <c r="BG13" s="1080">
        <v>152057823978</v>
      </c>
      <c r="BH13" s="1080">
        <v>0</v>
      </c>
      <c r="BI13" s="1080">
        <v>0</v>
      </c>
      <c r="BJ13" s="1080">
        <v>152057823978</v>
      </c>
      <c r="BK13" s="1073"/>
      <c r="BL13" s="1074">
        <v>-152057823978</v>
      </c>
      <c r="BN13" s="1078">
        <v>41011020</v>
      </c>
      <c r="BO13" s="1079" t="s">
        <v>2481</v>
      </c>
      <c r="BP13" s="1080">
        <v>172114822191</v>
      </c>
      <c r="BQ13" s="1080">
        <v>0</v>
      </c>
      <c r="BR13" s="1080">
        <v>0</v>
      </c>
      <c r="BS13" s="1080">
        <v>962637296</v>
      </c>
      <c r="BT13" s="1080">
        <v>0</v>
      </c>
      <c r="BU13" s="1080">
        <v>173077459487</v>
      </c>
      <c r="BV13" s="1080">
        <v>0</v>
      </c>
      <c r="BW13" s="1080">
        <v>0</v>
      </c>
      <c r="BX13" s="1080">
        <v>173077459487</v>
      </c>
      <c r="BY13" s="1073"/>
      <c r="BZ13" s="1074">
        <v>-173077459487</v>
      </c>
      <c r="CB13" s="1078">
        <v>41011020</v>
      </c>
      <c r="CC13" s="1079" t="s">
        <v>2481</v>
      </c>
      <c r="CD13" s="1080">
        <v>149038349972</v>
      </c>
      <c r="CE13" s="1080">
        <v>0</v>
      </c>
      <c r="CF13" s="1080">
        <v>0</v>
      </c>
      <c r="CG13" s="1080">
        <v>0</v>
      </c>
      <c r="CH13" s="1080">
        <v>0</v>
      </c>
      <c r="CI13" s="1080">
        <v>1390934121</v>
      </c>
      <c r="CJ13" s="1080">
        <v>0</v>
      </c>
      <c r="CK13" s="1080">
        <v>150429284093</v>
      </c>
      <c r="CL13" s="1080">
        <v>0</v>
      </c>
      <c r="CM13" s="1080">
        <v>0</v>
      </c>
      <c r="CN13" s="1080">
        <v>150429284093</v>
      </c>
      <c r="CO13" s="1073"/>
      <c r="CP13" s="1074">
        <v>-150429284093</v>
      </c>
    </row>
    <row r="14" spans="2:94">
      <c r="B14" s="1075">
        <v>41012000</v>
      </c>
      <c r="C14" s="1076" t="s">
        <v>2482</v>
      </c>
      <c r="D14" s="1077">
        <v>0</v>
      </c>
      <c r="E14" s="1077">
        <v>0</v>
      </c>
      <c r="F14" s="1077">
        <v>0</v>
      </c>
      <c r="G14" s="1077">
        <v>46974362814</v>
      </c>
      <c r="H14" s="1077">
        <v>0</v>
      </c>
      <c r="I14" s="1077">
        <v>46974362814</v>
      </c>
      <c r="J14" s="1077">
        <v>0</v>
      </c>
      <c r="K14" s="1077">
        <v>0</v>
      </c>
      <c r="L14" s="1077">
        <v>4700000</v>
      </c>
      <c r="N14" s="2174">
        <v>41012000</v>
      </c>
      <c r="O14" s="2175" t="s">
        <v>2482</v>
      </c>
      <c r="P14" s="2176">
        <v>0</v>
      </c>
      <c r="Q14" s="2176">
        <v>0</v>
      </c>
      <c r="R14" s="2176">
        <v>0</v>
      </c>
      <c r="S14" s="2176">
        <v>36395336268</v>
      </c>
      <c r="T14" s="2176">
        <v>0</v>
      </c>
      <c r="U14" s="2176">
        <v>36395336268</v>
      </c>
      <c r="V14" s="2176">
        <v>0</v>
      </c>
      <c r="W14" s="2176">
        <v>0</v>
      </c>
      <c r="X14" s="2176">
        <v>4400000</v>
      </c>
      <c r="Z14" s="2174">
        <v>41012000</v>
      </c>
      <c r="AA14" s="2175" t="s">
        <v>2482</v>
      </c>
      <c r="AB14" s="2176">
        <v>0</v>
      </c>
      <c r="AC14" s="2176">
        <v>0</v>
      </c>
      <c r="AD14" s="2176">
        <v>0</v>
      </c>
      <c r="AE14" s="2176">
        <v>38413730477</v>
      </c>
      <c r="AF14" s="2176">
        <v>0</v>
      </c>
      <c r="AG14" s="2176">
        <v>38413730477</v>
      </c>
      <c r="AH14" s="2176">
        <v>0</v>
      </c>
      <c r="AI14" s="2176">
        <v>0</v>
      </c>
      <c r="AJ14" s="2176">
        <v>9500000</v>
      </c>
      <c r="AL14" s="1075">
        <v>41012000</v>
      </c>
      <c r="AM14" s="1076" t="s">
        <v>2482</v>
      </c>
      <c r="AN14" s="1077">
        <v>0</v>
      </c>
      <c r="AO14" s="1077">
        <v>0</v>
      </c>
      <c r="AP14" s="1077">
        <v>0</v>
      </c>
      <c r="AQ14" s="1077">
        <v>26560952722</v>
      </c>
      <c r="AR14" s="1077">
        <v>0</v>
      </c>
      <c r="AS14" s="1077">
        <v>26560952722</v>
      </c>
      <c r="AT14" s="1077">
        <v>0</v>
      </c>
      <c r="AU14" s="1077">
        <v>0</v>
      </c>
      <c r="AV14" s="1077">
        <v>1427959811</v>
      </c>
      <c r="AW14" s="1073"/>
      <c r="AX14" s="1074"/>
      <c r="AZ14" s="1075">
        <v>41012000</v>
      </c>
      <c r="BA14" s="1076" t="s">
        <v>2482</v>
      </c>
      <c r="BB14" s="1077">
        <v>0</v>
      </c>
      <c r="BC14" s="1077">
        <v>0</v>
      </c>
      <c r="BD14" s="1077">
        <v>0</v>
      </c>
      <c r="BE14" s="1077">
        <v>46170476231</v>
      </c>
      <c r="BF14" s="1077">
        <v>0</v>
      </c>
      <c r="BG14" s="1077">
        <v>46170476231</v>
      </c>
      <c r="BH14" s="1077">
        <v>0</v>
      </c>
      <c r="BI14" s="1077">
        <v>0</v>
      </c>
      <c r="BJ14" s="1077">
        <v>-139072463</v>
      </c>
      <c r="BK14" s="1073"/>
      <c r="BL14" s="1074"/>
      <c r="BN14" s="1075">
        <v>41012000</v>
      </c>
      <c r="BO14" s="1076" t="s">
        <v>2482</v>
      </c>
      <c r="BP14" s="1077">
        <v>0</v>
      </c>
      <c r="BQ14" s="1077">
        <v>0</v>
      </c>
      <c r="BR14" s="1077">
        <v>0</v>
      </c>
      <c r="BS14" s="1077">
        <v>26463048465</v>
      </c>
      <c r="BT14" s="1077">
        <v>0</v>
      </c>
      <c r="BU14" s="1077">
        <v>26463048465</v>
      </c>
      <c r="BV14" s="1077">
        <v>0</v>
      </c>
      <c r="BW14" s="1077">
        <v>0</v>
      </c>
      <c r="BX14" s="1077">
        <v>-1383167649</v>
      </c>
      <c r="BY14" s="1073"/>
      <c r="BZ14" s="1074"/>
      <c r="CB14" s="1075">
        <v>41012000</v>
      </c>
      <c r="CC14" s="1076" t="s">
        <v>2482</v>
      </c>
      <c r="CD14" s="1077">
        <v>0</v>
      </c>
      <c r="CE14" s="1077">
        <v>0</v>
      </c>
      <c r="CF14" s="1077">
        <v>0</v>
      </c>
      <c r="CG14" s="1077">
        <v>0</v>
      </c>
      <c r="CH14" s="1077">
        <v>0</v>
      </c>
      <c r="CI14" s="1077">
        <v>28453272848</v>
      </c>
      <c r="CJ14" s="1077">
        <v>0</v>
      </c>
      <c r="CK14" s="1077">
        <v>28453272848</v>
      </c>
      <c r="CL14" s="1077">
        <v>0</v>
      </c>
      <c r="CM14" s="1077">
        <v>0</v>
      </c>
      <c r="CN14" s="1077">
        <v>1588149810</v>
      </c>
      <c r="CO14" s="1073"/>
      <c r="CP14" s="1074"/>
    </row>
    <row r="15" spans="2:94">
      <c r="B15" s="1078">
        <v>41012010</v>
      </c>
      <c r="C15" s="1079" t="s">
        <v>2181</v>
      </c>
      <c r="D15" s="1080">
        <v>0</v>
      </c>
      <c r="E15" s="1080">
        <v>0</v>
      </c>
      <c r="F15" s="1080">
        <v>0</v>
      </c>
      <c r="G15" s="1080">
        <v>46974362814</v>
      </c>
      <c r="H15" s="1080">
        <v>0</v>
      </c>
      <c r="I15" s="1080">
        <v>46974362814</v>
      </c>
      <c r="J15" s="1080">
        <v>4832165888</v>
      </c>
      <c r="K15" s="1080">
        <v>-42137496926</v>
      </c>
      <c r="L15" s="1080">
        <v>4700000</v>
      </c>
      <c r="N15" s="2177">
        <v>41012010</v>
      </c>
      <c r="O15" s="2178" t="s">
        <v>2181</v>
      </c>
      <c r="P15" s="2179">
        <v>0</v>
      </c>
      <c r="Q15" s="2179">
        <v>0</v>
      </c>
      <c r="R15" s="2179">
        <v>0</v>
      </c>
      <c r="S15" s="2179">
        <v>36395336268</v>
      </c>
      <c r="T15" s="2179">
        <v>0</v>
      </c>
      <c r="U15" s="2179">
        <v>36395336268</v>
      </c>
      <c r="V15" s="2179">
        <v>2932204473</v>
      </c>
      <c r="W15" s="2179">
        <v>-33458731795</v>
      </c>
      <c r="X15" s="2179">
        <v>4400000</v>
      </c>
      <c r="Z15" s="2177">
        <v>41012010</v>
      </c>
      <c r="AA15" s="2178" t="s">
        <v>2181</v>
      </c>
      <c r="AB15" s="2179">
        <v>0</v>
      </c>
      <c r="AC15" s="2179">
        <v>0</v>
      </c>
      <c r="AD15" s="2179">
        <v>0</v>
      </c>
      <c r="AE15" s="2179">
        <v>38413730477</v>
      </c>
      <c r="AF15" s="2179">
        <v>0</v>
      </c>
      <c r="AG15" s="2179">
        <v>38413730477</v>
      </c>
      <c r="AH15" s="2179">
        <v>-3949956070</v>
      </c>
      <c r="AI15" s="2179">
        <v>-42354186547</v>
      </c>
      <c r="AJ15" s="2179">
        <v>9500000</v>
      </c>
      <c r="AL15" s="1078">
        <v>41012010</v>
      </c>
      <c r="AM15" s="1079" t="s">
        <v>2181</v>
      </c>
      <c r="AN15" s="1080">
        <v>0</v>
      </c>
      <c r="AO15" s="1080">
        <v>0</v>
      </c>
      <c r="AP15" s="1080">
        <v>0</v>
      </c>
      <c r="AQ15" s="1080">
        <v>26560952722</v>
      </c>
      <c r="AR15" s="1080">
        <v>0</v>
      </c>
      <c r="AS15" s="1080">
        <v>26560952722</v>
      </c>
      <c r="AT15" s="1080">
        <v>0</v>
      </c>
      <c r="AU15" s="1080">
        <v>-25132992911</v>
      </c>
      <c r="AV15" s="1080">
        <v>1427959811</v>
      </c>
      <c r="AW15" s="1073"/>
      <c r="AX15" s="1074">
        <v>-1427959811</v>
      </c>
      <c r="AZ15" s="1078">
        <v>41012010</v>
      </c>
      <c r="BA15" s="1079" t="s">
        <v>2181</v>
      </c>
      <c r="BB15" s="1080">
        <v>0</v>
      </c>
      <c r="BC15" s="1080">
        <v>0</v>
      </c>
      <c r="BD15" s="1080">
        <v>0</v>
      </c>
      <c r="BE15" s="1080">
        <v>46170476231</v>
      </c>
      <c r="BF15" s="1080">
        <v>0</v>
      </c>
      <c r="BG15" s="1080">
        <v>46170476231</v>
      </c>
      <c r="BH15" s="1080">
        <v>0</v>
      </c>
      <c r="BI15" s="1080">
        <v>-46309548694</v>
      </c>
      <c r="BJ15" s="1080">
        <v>-139072463</v>
      </c>
      <c r="BK15" s="1073"/>
      <c r="BL15" s="1074">
        <v>139072463</v>
      </c>
      <c r="BN15" s="1078">
        <v>41012010</v>
      </c>
      <c r="BO15" s="1079" t="s">
        <v>2181</v>
      </c>
      <c r="BP15" s="1080">
        <v>0</v>
      </c>
      <c r="BQ15" s="1080">
        <v>0</v>
      </c>
      <c r="BR15" s="1080">
        <v>0</v>
      </c>
      <c r="BS15" s="1080">
        <v>26463048465</v>
      </c>
      <c r="BT15" s="1080">
        <v>0</v>
      </c>
      <c r="BU15" s="1080">
        <v>26463048465</v>
      </c>
      <c r="BV15" s="1080">
        <v>0</v>
      </c>
      <c r="BW15" s="1080">
        <v>-27846216114</v>
      </c>
      <c r="BX15" s="1080">
        <v>-1383167649</v>
      </c>
      <c r="BY15" s="1073"/>
      <c r="BZ15" s="1074">
        <v>1383167649</v>
      </c>
      <c r="CB15" s="1078">
        <v>41012010</v>
      </c>
      <c r="CC15" s="1079" t="s">
        <v>2181</v>
      </c>
      <c r="CD15" s="1080">
        <v>0</v>
      </c>
      <c r="CE15" s="1080">
        <v>0</v>
      </c>
      <c r="CF15" s="1080">
        <v>0</v>
      </c>
      <c r="CG15" s="1080">
        <v>0</v>
      </c>
      <c r="CH15" s="1080">
        <v>0</v>
      </c>
      <c r="CI15" s="1080">
        <v>28453272848</v>
      </c>
      <c r="CJ15" s="1080">
        <v>0</v>
      </c>
      <c r="CK15" s="1080">
        <v>28453272848</v>
      </c>
      <c r="CL15" s="1080">
        <v>0</v>
      </c>
      <c r="CM15" s="1080">
        <v>-26865123038</v>
      </c>
      <c r="CN15" s="1080">
        <v>1588149810</v>
      </c>
      <c r="CO15" s="1073"/>
      <c r="CP15" s="1074">
        <v>-1588149810</v>
      </c>
    </row>
    <row r="16" spans="2:94">
      <c r="B16" s="1078">
        <v>41012020</v>
      </c>
      <c r="C16" s="1079" t="s">
        <v>2483</v>
      </c>
      <c r="D16" s="1080">
        <v>0</v>
      </c>
      <c r="E16" s="1080">
        <v>0</v>
      </c>
      <c r="F16" s="1080">
        <v>0</v>
      </c>
      <c r="G16" s="1080">
        <v>0</v>
      </c>
      <c r="H16" s="1080">
        <v>0</v>
      </c>
      <c r="I16" s="1080">
        <v>0</v>
      </c>
      <c r="J16" s="1080">
        <v>0</v>
      </c>
      <c r="K16" s="1080">
        <v>0</v>
      </c>
      <c r="L16" s="1080">
        <v>0</v>
      </c>
      <c r="N16" s="2177">
        <v>41012020</v>
      </c>
      <c r="O16" s="2178" t="s">
        <v>2483</v>
      </c>
      <c r="P16" s="2179">
        <v>0</v>
      </c>
      <c r="Q16" s="2179">
        <v>0</v>
      </c>
      <c r="R16" s="2179">
        <v>0</v>
      </c>
      <c r="S16" s="2179">
        <v>0</v>
      </c>
      <c r="T16" s="2179">
        <v>0</v>
      </c>
      <c r="U16" s="2179">
        <v>0</v>
      </c>
      <c r="V16" s="2179">
        <v>0</v>
      </c>
      <c r="W16" s="2179">
        <v>0</v>
      </c>
      <c r="X16" s="2179">
        <v>0</v>
      </c>
      <c r="Z16" s="2177">
        <v>41012020</v>
      </c>
      <c r="AA16" s="2178" t="s">
        <v>2483</v>
      </c>
      <c r="AB16" s="2179">
        <v>0</v>
      </c>
      <c r="AC16" s="2179">
        <v>0</v>
      </c>
      <c r="AD16" s="2179">
        <v>0</v>
      </c>
      <c r="AE16" s="2179">
        <v>0</v>
      </c>
      <c r="AF16" s="2179">
        <v>0</v>
      </c>
      <c r="AG16" s="2179">
        <v>0</v>
      </c>
      <c r="AH16" s="2179">
        <v>0</v>
      </c>
      <c r="AI16" s="2179">
        <v>0</v>
      </c>
      <c r="AJ16" s="2179">
        <v>0</v>
      </c>
      <c r="AL16" s="1078">
        <v>41012020</v>
      </c>
      <c r="AM16" s="1079" t="s">
        <v>2483</v>
      </c>
      <c r="AN16" s="1080">
        <v>0</v>
      </c>
      <c r="AO16" s="1080">
        <v>0</v>
      </c>
      <c r="AP16" s="1080">
        <v>0</v>
      </c>
      <c r="AQ16" s="1080">
        <v>0</v>
      </c>
      <c r="AR16" s="1080">
        <v>0</v>
      </c>
      <c r="AS16" s="1080">
        <v>0</v>
      </c>
      <c r="AT16" s="1080">
        <v>0</v>
      </c>
      <c r="AU16" s="1080">
        <v>0</v>
      </c>
      <c r="AV16" s="1080">
        <v>0</v>
      </c>
      <c r="AW16" s="1073"/>
      <c r="AX16" s="1074">
        <v>0</v>
      </c>
      <c r="AZ16" s="1078">
        <v>41012020</v>
      </c>
      <c r="BA16" s="1079" t="s">
        <v>2483</v>
      </c>
      <c r="BB16" s="1080">
        <v>0</v>
      </c>
      <c r="BC16" s="1080">
        <v>0</v>
      </c>
      <c r="BD16" s="1080">
        <v>0</v>
      </c>
      <c r="BE16" s="1080">
        <v>0</v>
      </c>
      <c r="BF16" s="1080">
        <v>0</v>
      </c>
      <c r="BG16" s="1080">
        <v>0</v>
      </c>
      <c r="BH16" s="1080">
        <v>0</v>
      </c>
      <c r="BI16" s="1080">
        <v>0</v>
      </c>
      <c r="BJ16" s="1080">
        <v>0</v>
      </c>
      <c r="BK16" s="1073"/>
      <c r="BL16" s="1074">
        <v>0</v>
      </c>
      <c r="BN16" s="1078">
        <v>41012020</v>
      </c>
      <c r="BO16" s="1079" t="s">
        <v>2483</v>
      </c>
      <c r="BP16" s="1080">
        <v>0</v>
      </c>
      <c r="BQ16" s="1080">
        <v>0</v>
      </c>
      <c r="BR16" s="1080">
        <v>0</v>
      </c>
      <c r="BS16" s="1080">
        <v>0</v>
      </c>
      <c r="BT16" s="1080">
        <v>0</v>
      </c>
      <c r="BU16" s="1080">
        <v>0</v>
      </c>
      <c r="BV16" s="1080">
        <v>0</v>
      </c>
      <c r="BW16" s="1080">
        <v>0</v>
      </c>
      <c r="BX16" s="1080">
        <v>0</v>
      </c>
      <c r="BY16" s="1073"/>
      <c r="BZ16" s="1074">
        <v>0</v>
      </c>
      <c r="CB16" s="1078">
        <v>41012020</v>
      </c>
      <c r="CC16" s="1079" t="s">
        <v>2483</v>
      </c>
      <c r="CD16" s="1080">
        <v>0</v>
      </c>
      <c r="CE16" s="1080">
        <v>0</v>
      </c>
      <c r="CF16" s="1080">
        <v>0</v>
      </c>
      <c r="CG16" s="1080">
        <v>0</v>
      </c>
      <c r="CH16" s="1080">
        <v>0</v>
      </c>
      <c r="CI16" s="1080">
        <v>0</v>
      </c>
      <c r="CJ16" s="1080">
        <v>0</v>
      </c>
      <c r="CK16" s="1080">
        <v>0</v>
      </c>
      <c r="CL16" s="1080">
        <v>0</v>
      </c>
      <c r="CM16" s="1080">
        <v>0</v>
      </c>
      <c r="CN16" s="1080">
        <v>0</v>
      </c>
      <c r="CO16" s="1073"/>
      <c r="CP16" s="1074">
        <v>0</v>
      </c>
    </row>
    <row r="17" spans="2:94">
      <c r="B17" s="1078">
        <v>41012030</v>
      </c>
      <c r="C17" s="1079" t="s">
        <v>2484</v>
      </c>
      <c r="D17" s="1080">
        <v>0</v>
      </c>
      <c r="E17" s="1080">
        <v>0</v>
      </c>
      <c r="F17" s="1080">
        <v>0</v>
      </c>
      <c r="G17" s="1080">
        <v>0</v>
      </c>
      <c r="H17" s="1080">
        <v>0</v>
      </c>
      <c r="I17" s="1080">
        <v>0</v>
      </c>
      <c r="J17" s="1080">
        <v>0</v>
      </c>
      <c r="K17" s="1080">
        <v>0</v>
      </c>
      <c r="L17" s="1080">
        <v>0</v>
      </c>
      <c r="N17" s="2177">
        <v>41012030</v>
      </c>
      <c r="O17" s="2178" t="s">
        <v>2484</v>
      </c>
      <c r="P17" s="2179">
        <v>0</v>
      </c>
      <c r="Q17" s="2179">
        <v>0</v>
      </c>
      <c r="R17" s="2179">
        <v>0</v>
      </c>
      <c r="S17" s="2179">
        <v>0</v>
      </c>
      <c r="T17" s="2179">
        <v>0</v>
      </c>
      <c r="U17" s="2179">
        <v>0</v>
      </c>
      <c r="V17" s="2179">
        <v>0</v>
      </c>
      <c r="W17" s="2179">
        <v>0</v>
      </c>
      <c r="X17" s="2179">
        <v>0</v>
      </c>
      <c r="Z17" s="2177">
        <v>41012030</v>
      </c>
      <c r="AA17" s="2178" t="s">
        <v>2484</v>
      </c>
      <c r="AB17" s="2179">
        <v>0</v>
      </c>
      <c r="AC17" s="2179">
        <v>0</v>
      </c>
      <c r="AD17" s="2179">
        <v>0</v>
      </c>
      <c r="AE17" s="2179">
        <v>0</v>
      </c>
      <c r="AF17" s="2179">
        <v>0</v>
      </c>
      <c r="AG17" s="2179">
        <v>0</v>
      </c>
      <c r="AH17" s="2179">
        <v>0</v>
      </c>
      <c r="AI17" s="2179">
        <v>0</v>
      </c>
      <c r="AJ17" s="2179">
        <v>0</v>
      </c>
      <c r="AL17" s="1078">
        <v>41012030</v>
      </c>
      <c r="AM17" s="1079" t="s">
        <v>2484</v>
      </c>
      <c r="AN17" s="1080">
        <v>0</v>
      </c>
      <c r="AO17" s="1080">
        <v>0</v>
      </c>
      <c r="AP17" s="1080">
        <v>0</v>
      </c>
      <c r="AQ17" s="1080">
        <v>0</v>
      </c>
      <c r="AR17" s="1080">
        <v>0</v>
      </c>
      <c r="AS17" s="1080">
        <v>0</v>
      </c>
      <c r="AT17" s="1080">
        <v>0</v>
      </c>
      <c r="AU17" s="1080">
        <v>0</v>
      </c>
      <c r="AV17" s="1080">
        <v>0</v>
      </c>
      <c r="AW17" s="1073"/>
      <c r="AX17" s="1074">
        <v>0</v>
      </c>
      <c r="AZ17" s="1078">
        <v>41012030</v>
      </c>
      <c r="BA17" s="1079" t="s">
        <v>2484</v>
      </c>
      <c r="BB17" s="1080">
        <v>0</v>
      </c>
      <c r="BC17" s="1080">
        <v>0</v>
      </c>
      <c r="BD17" s="1080">
        <v>0</v>
      </c>
      <c r="BE17" s="1080">
        <v>0</v>
      </c>
      <c r="BF17" s="1080">
        <v>0</v>
      </c>
      <c r="BG17" s="1080">
        <v>0</v>
      </c>
      <c r="BH17" s="1080">
        <v>0</v>
      </c>
      <c r="BI17" s="1080">
        <v>0</v>
      </c>
      <c r="BJ17" s="1080">
        <v>0</v>
      </c>
      <c r="BK17" s="1073"/>
      <c r="BL17" s="1074">
        <v>0</v>
      </c>
      <c r="BN17" s="1078">
        <v>41012030</v>
      </c>
      <c r="BO17" s="1079" t="s">
        <v>2484</v>
      </c>
      <c r="BP17" s="1080">
        <v>0</v>
      </c>
      <c r="BQ17" s="1080">
        <v>0</v>
      </c>
      <c r="BR17" s="1080">
        <v>0</v>
      </c>
      <c r="BS17" s="1080">
        <v>0</v>
      </c>
      <c r="BT17" s="1080">
        <v>0</v>
      </c>
      <c r="BU17" s="1080">
        <v>0</v>
      </c>
      <c r="BV17" s="1080">
        <v>0</v>
      </c>
      <c r="BW17" s="1080">
        <v>0</v>
      </c>
      <c r="BX17" s="1080">
        <v>0</v>
      </c>
      <c r="BY17" s="1073"/>
      <c r="BZ17" s="1074">
        <v>0</v>
      </c>
      <c r="CB17" s="1078">
        <v>41012030</v>
      </c>
      <c r="CC17" s="1079" t="s">
        <v>2484</v>
      </c>
      <c r="CD17" s="1080">
        <v>0</v>
      </c>
      <c r="CE17" s="1080">
        <v>0</v>
      </c>
      <c r="CF17" s="1080">
        <v>0</v>
      </c>
      <c r="CG17" s="1080">
        <v>0</v>
      </c>
      <c r="CH17" s="1080">
        <v>0</v>
      </c>
      <c r="CI17" s="1080">
        <v>0</v>
      </c>
      <c r="CJ17" s="1080">
        <v>0</v>
      </c>
      <c r="CK17" s="1080">
        <v>0</v>
      </c>
      <c r="CL17" s="1080">
        <v>0</v>
      </c>
      <c r="CM17" s="1080">
        <v>0</v>
      </c>
      <c r="CN17" s="1080">
        <v>0</v>
      </c>
      <c r="CO17" s="1073"/>
      <c r="CP17" s="1074">
        <v>0</v>
      </c>
    </row>
    <row r="18" spans="2:94" ht="18.75" customHeight="1">
      <c r="B18" s="1075">
        <v>41013000</v>
      </c>
      <c r="C18" s="1076" t="s">
        <v>2485</v>
      </c>
      <c r="D18" s="1077">
        <v>0</v>
      </c>
      <c r="E18" s="1077">
        <v>0</v>
      </c>
      <c r="F18" s="1077">
        <v>0</v>
      </c>
      <c r="G18" s="1077">
        <v>0</v>
      </c>
      <c r="H18" s="1077">
        <v>0</v>
      </c>
      <c r="I18" s="1077">
        <v>0</v>
      </c>
      <c r="J18" s="1077">
        <v>0</v>
      </c>
      <c r="K18" s="1077">
        <v>0</v>
      </c>
      <c r="L18" s="1077">
        <v>0</v>
      </c>
      <c r="N18" s="2174">
        <v>41013000</v>
      </c>
      <c r="O18" s="2175" t="s">
        <v>2485</v>
      </c>
      <c r="P18" s="2176">
        <v>0</v>
      </c>
      <c r="Q18" s="2176">
        <v>0</v>
      </c>
      <c r="R18" s="2176">
        <v>0</v>
      </c>
      <c r="S18" s="2176">
        <v>0</v>
      </c>
      <c r="T18" s="2176">
        <v>0</v>
      </c>
      <c r="U18" s="2176">
        <v>0</v>
      </c>
      <c r="V18" s="2176">
        <v>0</v>
      </c>
      <c r="W18" s="2176">
        <v>0</v>
      </c>
      <c r="X18" s="2176">
        <v>0</v>
      </c>
      <c r="Z18" s="2174">
        <v>41013000</v>
      </c>
      <c r="AA18" s="2175" t="s">
        <v>2485</v>
      </c>
      <c r="AB18" s="2176">
        <v>0</v>
      </c>
      <c r="AC18" s="2176">
        <v>0</v>
      </c>
      <c r="AD18" s="2176">
        <v>0</v>
      </c>
      <c r="AE18" s="2176">
        <v>0</v>
      </c>
      <c r="AF18" s="2176">
        <v>0</v>
      </c>
      <c r="AG18" s="2176">
        <v>0</v>
      </c>
      <c r="AH18" s="2176">
        <v>0</v>
      </c>
      <c r="AI18" s="2176">
        <v>0</v>
      </c>
      <c r="AJ18" s="2176">
        <v>0</v>
      </c>
      <c r="AL18" s="1075">
        <v>41013000</v>
      </c>
      <c r="AM18" s="1076" t="s">
        <v>2485</v>
      </c>
      <c r="AN18" s="1077">
        <v>0</v>
      </c>
      <c r="AO18" s="1077">
        <v>0</v>
      </c>
      <c r="AP18" s="1077">
        <v>0</v>
      </c>
      <c r="AQ18" s="1077">
        <v>0</v>
      </c>
      <c r="AR18" s="1077">
        <v>0</v>
      </c>
      <c r="AS18" s="1077">
        <v>0</v>
      </c>
      <c r="AT18" s="1077">
        <v>0</v>
      </c>
      <c r="AU18" s="1077">
        <v>0</v>
      </c>
      <c r="AV18" s="1077">
        <v>0</v>
      </c>
      <c r="AW18" s="1073"/>
      <c r="AX18" s="1074"/>
      <c r="AZ18" s="1075">
        <v>41013000</v>
      </c>
      <c r="BA18" s="1076" t="s">
        <v>2485</v>
      </c>
      <c r="BB18" s="1077">
        <v>0</v>
      </c>
      <c r="BC18" s="1077">
        <v>0</v>
      </c>
      <c r="BD18" s="1077">
        <v>0</v>
      </c>
      <c r="BE18" s="1077">
        <v>0</v>
      </c>
      <c r="BF18" s="1077">
        <v>0</v>
      </c>
      <c r="BG18" s="1077">
        <v>0</v>
      </c>
      <c r="BH18" s="1077">
        <v>0</v>
      </c>
      <c r="BI18" s="1077">
        <v>0</v>
      </c>
      <c r="BJ18" s="1077">
        <v>0</v>
      </c>
      <c r="BK18" s="1073"/>
      <c r="BL18" s="1074"/>
      <c r="BN18" s="1075">
        <v>41013000</v>
      </c>
      <c r="BO18" s="1076" t="s">
        <v>2485</v>
      </c>
      <c r="BP18" s="1077">
        <v>0</v>
      </c>
      <c r="BQ18" s="1077">
        <v>0</v>
      </c>
      <c r="BR18" s="1077">
        <v>0</v>
      </c>
      <c r="BS18" s="1077">
        <v>0</v>
      </c>
      <c r="BT18" s="1077">
        <v>0</v>
      </c>
      <c r="BU18" s="1077">
        <v>0</v>
      </c>
      <c r="BV18" s="1077">
        <v>0</v>
      </c>
      <c r="BW18" s="1077">
        <v>0</v>
      </c>
      <c r="BX18" s="1077">
        <v>0</v>
      </c>
      <c r="BY18" s="1073"/>
      <c r="BZ18" s="1074"/>
      <c r="CB18" s="1075">
        <v>41013000</v>
      </c>
      <c r="CC18" s="1076" t="s">
        <v>2485</v>
      </c>
      <c r="CD18" s="1077">
        <v>0</v>
      </c>
      <c r="CE18" s="1077">
        <v>0</v>
      </c>
      <c r="CF18" s="1077">
        <v>0</v>
      </c>
      <c r="CG18" s="1077">
        <v>0</v>
      </c>
      <c r="CH18" s="1077">
        <v>0</v>
      </c>
      <c r="CI18" s="1077">
        <v>0</v>
      </c>
      <c r="CJ18" s="1077">
        <v>0</v>
      </c>
      <c r="CK18" s="1077">
        <v>0</v>
      </c>
      <c r="CL18" s="1077">
        <v>0</v>
      </c>
      <c r="CM18" s="1077">
        <v>0</v>
      </c>
      <c r="CN18" s="1077">
        <v>0</v>
      </c>
      <c r="CO18" s="1073"/>
      <c r="CP18" s="1074"/>
    </row>
    <row r="19" spans="2:94">
      <c r="B19" s="1078">
        <v>41013010</v>
      </c>
      <c r="C19" s="1079" t="s">
        <v>2486</v>
      </c>
      <c r="D19" s="1080">
        <v>0</v>
      </c>
      <c r="E19" s="1080">
        <v>0</v>
      </c>
      <c r="F19" s="1080">
        <v>0</v>
      </c>
      <c r="G19" s="1080">
        <v>0</v>
      </c>
      <c r="H19" s="1080">
        <v>0</v>
      </c>
      <c r="I19" s="1080">
        <v>0</v>
      </c>
      <c r="J19" s="1080">
        <v>0</v>
      </c>
      <c r="K19" s="1080">
        <v>0</v>
      </c>
      <c r="L19" s="1080">
        <v>0</v>
      </c>
      <c r="N19" s="2177">
        <v>41013010</v>
      </c>
      <c r="O19" s="2178" t="s">
        <v>2485</v>
      </c>
      <c r="P19" s="2179">
        <v>0</v>
      </c>
      <c r="Q19" s="2179">
        <v>0</v>
      </c>
      <c r="R19" s="2179">
        <v>0</v>
      </c>
      <c r="S19" s="2179">
        <v>0</v>
      </c>
      <c r="T19" s="2179">
        <v>0</v>
      </c>
      <c r="U19" s="2179">
        <v>0</v>
      </c>
      <c r="V19" s="2179">
        <v>0</v>
      </c>
      <c r="W19" s="2179">
        <v>0</v>
      </c>
      <c r="X19" s="2179">
        <v>0</v>
      </c>
      <c r="Z19" s="2177">
        <v>41013010</v>
      </c>
      <c r="AA19" s="2178" t="s">
        <v>2485</v>
      </c>
      <c r="AB19" s="2179">
        <v>0</v>
      </c>
      <c r="AC19" s="2179">
        <v>0</v>
      </c>
      <c r="AD19" s="2179">
        <v>0</v>
      </c>
      <c r="AE19" s="2179">
        <v>0</v>
      </c>
      <c r="AF19" s="2179">
        <v>0</v>
      </c>
      <c r="AG19" s="2179">
        <v>0</v>
      </c>
      <c r="AH19" s="2179">
        <v>0</v>
      </c>
      <c r="AI19" s="2179">
        <v>0</v>
      </c>
      <c r="AJ19" s="2179">
        <v>0</v>
      </c>
      <c r="AL19" s="1078">
        <v>41013010</v>
      </c>
      <c r="AM19" s="1079" t="s">
        <v>2486</v>
      </c>
      <c r="AN19" s="1080">
        <v>0</v>
      </c>
      <c r="AO19" s="1080">
        <v>0</v>
      </c>
      <c r="AP19" s="1080">
        <v>0</v>
      </c>
      <c r="AQ19" s="1080">
        <v>0</v>
      </c>
      <c r="AR19" s="1080">
        <v>0</v>
      </c>
      <c r="AS19" s="1080">
        <v>0</v>
      </c>
      <c r="AT19" s="1080">
        <v>0</v>
      </c>
      <c r="AU19" s="1080">
        <v>0</v>
      </c>
      <c r="AV19" s="1080">
        <v>0</v>
      </c>
      <c r="AW19" s="1073"/>
      <c r="AX19" s="1074">
        <v>0</v>
      </c>
      <c r="AZ19" s="1078">
        <v>41013010</v>
      </c>
      <c r="BA19" s="1079" t="s">
        <v>2486</v>
      </c>
      <c r="BB19" s="1080">
        <v>0</v>
      </c>
      <c r="BC19" s="1080">
        <v>0</v>
      </c>
      <c r="BD19" s="1080">
        <v>0</v>
      </c>
      <c r="BE19" s="1080">
        <v>0</v>
      </c>
      <c r="BF19" s="1080">
        <v>0</v>
      </c>
      <c r="BG19" s="1080">
        <v>0</v>
      </c>
      <c r="BH19" s="1080">
        <v>0</v>
      </c>
      <c r="BI19" s="1080">
        <v>0</v>
      </c>
      <c r="BJ19" s="1080">
        <v>0</v>
      </c>
      <c r="BK19" s="1073"/>
      <c r="BL19" s="1074">
        <v>0</v>
      </c>
      <c r="BN19" s="1078">
        <v>41013010</v>
      </c>
      <c r="BO19" s="1079" t="s">
        <v>2486</v>
      </c>
      <c r="BP19" s="1080">
        <v>0</v>
      </c>
      <c r="BQ19" s="1080">
        <v>0</v>
      </c>
      <c r="BR19" s="1080">
        <v>0</v>
      </c>
      <c r="BS19" s="1080">
        <v>0</v>
      </c>
      <c r="BT19" s="1080">
        <v>0</v>
      </c>
      <c r="BU19" s="1080">
        <v>0</v>
      </c>
      <c r="BV19" s="1080">
        <v>0</v>
      </c>
      <c r="BW19" s="1080">
        <v>0</v>
      </c>
      <c r="BX19" s="1080">
        <v>0</v>
      </c>
      <c r="BY19" s="1073"/>
      <c r="BZ19" s="1074">
        <v>0</v>
      </c>
      <c r="CB19" s="1078">
        <v>41013010</v>
      </c>
      <c r="CC19" s="1079" t="s">
        <v>2486</v>
      </c>
      <c r="CD19" s="1080">
        <v>0</v>
      </c>
      <c r="CE19" s="1080">
        <v>0</v>
      </c>
      <c r="CF19" s="1080">
        <v>0</v>
      </c>
      <c r="CG19" s="1080">
        <v>0</v>
      </c>
      <c r="CH19" s="1080">
        <v>0</v>
      </c>
      <c r="CI19" s="1080">
        <v>0</v>
      </c>
      <c r="CJ19" s="1080">
        <v>0</v>
      </c>
      <c r="CK19" s="1080">
        <v>0</v>
      </c>
      <c r="CL19" s="1080">
        <v>0</v>
      </c>
      <c r="CM19" s="1080">
        <v>0</v>
      </c>
      <c r="CN19" s="1080">
        <v>0</v>
      </c>
      <c r="CO19" s="1073"/>
      <c r="CP19" s="1074">
        <v>0</v>
      </c>
    </row>
    <row r="20" spans="2:94">
      <c r="B20" s="1075">
        <v>41089000</v>
      </c>
      <c r="C20" s="1076" t="s">
        <v>2189</v>
      </c>
      <c r="D20" s="1077">
        <v>11456382572</v>
      </c>
      <c r="E20" s="1077">
        <v>531900775</v>
      </c>
      <c r="F20" s="1077">
        <v>0</v>
      </c>
      <c r="G20" s="1077">
        <v>32400000</v>
      </c>
      <c r="H20" s="1077">
        <v>7381747275</v>
      </c>
      <c r="I20" s="1077">
        <v>19402430622</v>
      </c>
      <c r="J20" s="1077">
        <v>0</v>
      </c>
      <c r="K20" s="1077">
        <v>0</v>
      </c>
      <c r="L20" s="1077">
        <v>13856571407</v>
      </c>
      <c r="N20" s="2174">
        <v>41089000</v>
      </c>
      <c r="O20" s="2175" t="s">
        <v>2189</v>
      </c>
      <c r="P20" s="2176">
        <v>6916984313</v>
      </c>
      <c r="Q20" s="2176">
        <v>352123256</v>
      </c>
      <c r="R20" s="2176">
        <v>0</v>
      </c>
      <c r="S20" s="2176">
        <v>21600000</v>
      </c>
      <c r="T20" s="2176">
        <v>4364648625</v>
      </c>
      <c r="U20" s="2176">
        <v>11655356194</v>
      </c>
      <c r="V20" s="2176">
        <v>0</v>
      </c>
      <c r="W20" s="2176">
        <v>0</v>
      </c>
      <c r="X20" s="2176">
        <v>8511098311</v>
      </c>
      <c r="Z20" s="2174">
        <v>41089000</v>
      </c>
      <c r="AA20" s="2175" t="s">
        <v>2189</v>
      </c>
      <c r="AB20" s="2176">
        <v>11074429815</v>
      </c>
      <c r="AC20" s="2176">
        <v>951517809</v>
      </c>
      <c r="AD20" s="2176">
        <v>0</v>
      </c>
      <c r="AE20" s="2176">
        <v>43200000</v>
      </c>
      <c r="AF20" s="2176">
        <v>8487572356</v>
      </c>
      <c r="AG20" s="2176">
        <v>20556719980</v>
      </c>
      <c r="AH20" s="2176">
        <v>0</v>
      </c>
      <c r="AI20" s="2176">
        <v>0</v>
      </c>
      <c r="AJ20" s="2176">
        <v>14087241988</v>
      </c>
      <c r="AL20" s="1075">
        <v>41089000</v>
      </c>
      <c r="AM20" s="1076" t="s">
        <v>2189</v>
      </c>
      <c r="AN20" s="1077">
        <v>8436851922</v>
      </c>
      <c r="AO20" s="1077">
        <v>699097115</v>
      </c>
      <c r="AP20" s="1077">
        <v>0</v>
      </c>
      <c r="AQ20" s="1077">
        <v>32400000</v>
      </c>
      <c r="AR20" s="1077">
        <v>6923971439</v>
      </c>
      <c r="AS20" s="1077">
        <v>16092320476</v>
      </c>
      <c r="AT20" s="1077">
        <v>0</v>
      </c>
      <c r="AU20" s="1077">
        <v>0</v>
      </c>
      <c r="AV20" s="1077">
        <v>10659133431</v>
      </c>
      <c r="AW20" s="1073"/>
      <c r="AX20" s="1074"/>
      <c r="AZ20" s="1075">
        <v>41089000</v>
      </c>
      <c r="BA20" s="1076" t="s">
        <v>2189</v>
      </c>
      <c r="BB20" s="1077">
        <v>14620976671</v>
      </c>
      <c r="BC20" s="1077">
        <v>850861223</v>
      </c>
      <c r="BD20" s="1077">
        <v>0</v>
      </c>
      <c r="BE20" s="1077">
        <v>43200000</v>
      </c>
      <c r="BF20" s="1077">
        <v>10163775382</v>
      </c>
      <c r="BG20" s="1077">
        <v>25678813276</v>
      </c>
      <c r="BH20" s="1077">
        <v>0</v>
      </c>
      <c r="BI20" s="1077">
        <v>0</v>
      </c>
      <c r="BJ20" s="1077">
        <v>19426872531</v>
      </c>
      <c r="BK20" s="1073"/>
      <c r="BL20" s="1074"/>
      <c r="BN20" s="1075">
        <v>41089000</v>
      </c>
      <c r="BO20" s="1076" t="s">
        <v>2189</v>
      </c>
      <c r="BP20" s="1077">
        <v>18817672313</v>
      </c>
      <c r="BQ20" s="1077">
        <v>437953552</v>
      </c>
      <c r="BR20" s="1077">
        <v>0</v>
      </c>
      <c r="BS20" s="1077">
        <v>43200000</v>
      </c>
      <c r="BT20" s="1077">
        <v>14945153696</v>
      </c>
      <c r="BU20" s="1077">
        <v>34243979561</v>
      </c>
      <c r="BV20" s="1077">
        <v>0</v>
      </c>
      <c r="BW20" s="1077">
        <v>0</v>
      </c>
      <c r="BX20" s="1077">
        <v>23632644749</v>
      </c>
      <c r="BY20" s="1073"/>
      <c r="BZ20" s="1074"/>
      <c r="CB20" s="1075">
        <v>41089000</v>
      </c>
      <c r="CC20" s="1076" t="s">
        <v>2189</v>
      </c>
      <c r="CD20" s="1077">
        <v>0</v>
      </c>
      <c r="CE20" s="1077">
        <v>445706308</v>
      </c>
      <c r="CF20" s="1077">
        <v>0</v>
      </c>
      <c r="CG20" s="1077">
        <v>0</v>
      </c>
      <c r="CH20" s="1077">
        <v>0</v>
      </c>
      <c r="CI20" s="1077">
        <v>50100000</v>
      </c>
      <c r="CJ20" s="1077">
        <v>14222434071</v>
      </c>
      <c r="CK20" s="1077">
        <v>14718240379</v>
      </c>
      <c r="CL20" s="1077">
        <v>0</v>
      </c>
      <c r="CM20" s="1077">
        <v>0</v>
      </c>
      <c r="CN20" s="1077">
        <v>6871448554</v>
      </c>
      <c r="CO20" s="1073"/>
      <c r="CP20" s="1074"/>
    </row>
    <row r="21" spans="2:94">
      <c r="B21" s="1078">
        <v>41089010</v>
      </c>
      <c r="C21" s="1079" t="s">
        <v>2487</v>
      </c>
      <c r="D21" s="1080">
        <v>0</v>
      </c>
      <c r="E21" s="1080">
        <v>0</v>
      </c>
      <c r="F21" s="1080">
        <v>0</v>
      </c>
      <c r="G21" s="1080">
        <v>0</v>
      </c>
      <c r="H21" s="1080">
        <v>0</v>
      </c>
      <c r="I21" s="1080">
        <v>0</v>
      </c>
      <c r="J21" s="1080">
        <v>0</v>
      </c>
      <c r="K21" s="1080">
        <v>0</v>
      </c>
      <c r="L21" s="1080">
        <v>0</v>
      </c>
      <c r="N21" s="2177">
        <v>41089010</v>
      </c>
      <c r="O21" s="2178" t="s">
        <v>2487</v>
      </c>
      <c r="P21" s="2179">
        <v>0</v>
      </c>
      <c r="Q21" s="2179">
        <v>0</v>
      </c>
      <c r="R21" s="2179">
        <v>0</v>
      </c>
      <c r="S21" s="2179">
        <v>0</v>
      </c>
      <c r="T21" s="2179">
        <v>0</v>
      </c>
      <c r="U21" s="2179">
        <v>0</v>
      </c>
      <c r="V21" s="2179">
        <v>0</v>
      </c>
      <c r="W21" s="2179">
        <v>0</v>
      </c>
      <c r="X21" s="2179">
        <v>0</v>
      </c>
      <c r="Z21" s="2177">
        <v>41089010</v>
      </c>
      <c r="AA21" s="2178" t="s">
        <v>2487</v>
      </c>
      <c r="AB21" s="2179">
        <v>0</v>
      </c>
      <c r="AC21" s="2179">
        <v>0</v>
      </c>
      <c r="AD21" s="2179">
        <v>0</v>
      </c>
      <c r="AE21" s="2179">
        <v>0</v>
      </c>
      <c r="AF21" s="2179">
        <v>0</v>
      </c>
      <c r="AG21" s="2179">
        <v>0</v>
      </c>
      <c r="AH21" s="2179">
        <v>0</v>
      </c>
      <c r="AI21" s="2179">
        <v>0</v>
      </c>
      <c r="AJ21" s="2179">
        <v>0</v>
      </c>
      <c r="AL21" s="1078">
        <v>41089010</v>
      </c>
      <c r="AM21" s="1079" t="s">
        <v>2487</v>
      </c>
      <c r="AN21" s="1080">
        <v>0</v>
      </c>
      <c r="AO21" s="1080">
        <v>0</v>
      </c>
      <c r="AP21" s="1080">
        <v>0</v>
      </c>
      <c r="AQ21" s="1080">
        <v>0</v>
      </c>
      <c r="AR21" s="1080">
        <v>0</v>
      </c>
      <c r="AS21" s="1080">
        <v>0</v>
      </c>
      <c r="AT21" s="1080">
        <v>0</v>
      </c>
      <c r="AU21" s="1080">
        <v>0</v>
      </c>
      <c r="AV21" s="1080">
        <v>0</v>
      </c>
      <c r="AW21" s="1073"/>
      <c r="AX21" s="1074">
        <v>0</v>
      </c>
      <c r="AZ21" s="1078">
        <v>41089010</v>
      </c>
      <c r="BA21" s="1079" t="s">
        <v>2487</v>
      </c>
      <c r="BB21" s="1080">
        <v>0</v>
      </c>
      <c r="BC21" s="1080">
        <v>0</v>
      </c>
      <c r="BD21" s="1080">
        <v>0</v>
      </c>
      <c r="BE21" s="1080">
        <v>0</v>
      </c>
      <c r="BF21" s="1080">
        <v>0</v>
      </c>
      <c r="BG21" s="1080">
        <v>0</v>
      </c>
      <c r="BH21" s="1080">
        <v>0</v>
      </c>
      <c r="BI21" s="1080">
        <v>0</v>
      </c>
      <c r="BJ21" s="1080">
        <v>0</v>
      </c>
      <c r="BK21" s="1073"/>
      <c r="BL21" s="1074">
        <v>0</v>
      </c>
      <c r="BN21" s="1078">
        <v>41089010</v>
      </c>
      <c r="BO21" s="1079" t="s">
        <v>2487</v>
      </c>
      <c r="BP21" s="1080">
        <v>0</v>
      </c>
      <c r="BQ21" s="1080">
        <v>0</v>
      </c>
      <c r="BR21" s="1080">
        <v>0</v>
      </c>
      <c r="BS21" s="1080">
        <v>0</v>
      </c>
      <c r="BT21" s="1080">
        <v>0</v>
      </c>
      <c r="BU21" s="1080">
        <v>0</v>
      </c>
      <c r="BV21" s="1080">
        <v>0</v>
      </c>
      <c r="BW21" s="1080">
        <v>0</v>
      </c>
      <c r="BX21" s="1080">
        <v>0</v>
      </c>
      <c r="BY21" s="1073"/>
      <c r="BZ21" s="1074">
        <v>0</v>
      </c>
      <c r="CB21" s="1078">
        <v>41089010</v>
      </c>
      <c r="CC21" s="1079" t="s">
        <v>2487</v>
      </c>
      <c r="CD21" s="1080">
        <v>0</v>
      </c>
      <c r="CE21" s="1080">
        <v>0</v>
      </c>
      <c r="CF21" s="1080">
        <v>0</v>
      </c>
      <c r="CG21" s="1080">
        <v>0</v>
      </c>
      <c r="CH21" s="1080">
        <v>0</v>
      </c>
      <c r="CI21" s="1080">
        <v>0</v>
      </c>
      <c r="CJ21" s="1080">
        <v>0</v>
      </c>
      <c r="CK21" s="1080">
        <v>0</v>
      </c>
      <c r="CL21" s="1080">
        <v>0</v>
      </c>
      <c r="CM21" s="1080">
        <v>0</v>
      </c>
      <c r="CN21" s="1080">
        <v>0</v>
      </c>
      <c r="CO21" s="1073"/>
      <c r="CP21" s="1074">
        <v>0</v>
      </c>
    </row>
    <row r="22" spans="2:94">
      <c r="B22" s="1078">
        <v>41089020</v>
      </c>
      <c r="C22" s="1079" t="s">
        <v>2488</v>
      </c>
      <c r="D22" s="1080">
        <v>0</v>
      </c>
      <c r="E22" s="1080">
        <v>0</v>
      </c>
      <c r="F22" s="1080">
        <v>0</v>
      </c>
      <c r="G22" s="1080">
        <v>0</v>
      </c>
      <c r="H22" s="1080">
        <v>0</v>
      </c>
      <c r="I22" s="1080">
        <v>0</v>
      </c>
      <c r="J22" s="1080">
        <v>0</v>
      </c>
      <c r="K22" s="1080">
        <v>0</v>
      </c>
      <c r="L22" s="1080">
        <v>0</v>
      </c>
      <c r="N22" s="2177">
        <v>41089020</v>
      </c>
      <c r="O22" s="2178" t="s">
        <v>2488</v>
      </c>
      <c r="P22" s="2179">
        <v>0</v>
      </c>
      <c r="Q22" s="2179">
        <v>0</v>
      </c>
      <c r="R22" s="2179">
        <v>0</v>
      </c>
      <c r="S22" s="2179">
        <v>0</v>
      </c>
      <c r="T22" s="2179">
        <v>0</v>
      </c>
      <c r="U22" s="2179">
        <v>0</v>
      </c>
      <c r="V22" s="2179">
        <v>0</v>
      </c>
      <c r="W22" s="2179">
        <v>0</v>
      </c>
      <c r="X22" s="2179">
        <v>0</v>
      </c>
      <c r="Z22" s="2177">
        <v>41089020</v>
      </c>
      <c r="AA22" s="2178" t="s">
        <v>2488</v>
      </c>
      <c r="AB22" s="2179">
        <v>0</v>
      </c>
      <c r="AC22" s="2179">
        <v>0</v>
      </c>
      <c r="AD22" s="2179">
        <v>0</v>
      </c>
      <c r="AE22" s="2179">
        <v>0</v>
      </c>
      <c r="AF22" s="2179">
        <v>0</v>
      </c>
      <c r="AG22" s="2179">
        <v>0</v>
      </c>
      <c r="AH22" s="2179">
        <v>0</v>
      </c>
      <c r="AI22" s="2179">
        <v>0</v>
      </c>
      <c r="AJ22" s="2179">
        <v>0</v>
      </c>
      <c r="AL22" s="1078">
        <v>41089020</v>
      </c>
      <c r="AM22" s="1079" t="s">
        <v>2488</v>
      </c>
      <c r="AN22" s="1080">
        <v>0</v>
      </c>
      <c r="AO22" s="1080">
        <v>0</v>
      </c>
      <c r="AP22" s="1080">
        <v>0</v>
      </c>
      <c r="AQ22" s="1080">
        <v>0</v>
      </c>
      <c r="AR22" s="1080">
        <v>0</v>
      </c>
      <c r="AS22" s="1080">
        <v>0</v>
      </c>
      <c r="AT22" s="1080">
        <v>0</v>
      </c>
      <c r="AU22" s="1080">
        <v>0</v>
      </c>
      <c r="AV22" s="1080">
        <v>0</v>
      </c>
      <c r="AW22" s="1073"/>
      <c r="AX22" s="1074">
        <v>0</v>
      </c>
      <c r="AZ22" s="1078">
        <v>41089020</v>
      </c>
      <c r="BA22" s="1079" t="s">
        <v>2488</v>
      </c>
      <c r="BB22" s="1080">
        <v>0</v>
      </c>
      <c r="BC22" s="1080">
        <v>0</v>
      </c>
      <c r="BD22" s="1080">
        <v>0</v>
      </c>
      <c r="BE22" s="1080">
        <v>0</v>
      </c>
      <c r="BF22" s="1080">
        <v>0</v>
      </c>
      <c r="BG22" s="1080">
        <v>0</v>
      </c>
      <c r="BH22" s="1080">
        <v>0</v>
      </c>
      <c r="BI22" s="1080">
        <v>0</v>
      </c>
      <c r="BJ22" s="1080">
        <v>0</v>
      </c>
      <c r="BK22" s="1073"/>
      <c r="BL22" s="1074">
        <v>0</v>
      </c>
      <c r="BN22" s="1078">
        <v>41089020</v>
      </c>
      <c r="BO22" s="1079" t="s">
        <v>2488</v>
      </c>
      <c r="BP22" s="1080">
        <v>0</v>
      </c>
      <c r="BQ22" s="1080">
        <v>0</v>
      </c>
      <c r="BR22" s="1080">
        <v>0</v>
      </c>
      <c r="BS22" s="1080">
        <v>0</v>
      </c>
      <c r="BT22" s="1080">
        <v>0</v>
      </c>
      <c r="BU22" s="1080">
        <v>0</v>
      </c>
      <c r="BV22" s="1080">
        <v>0</v>
      </c>
      <c r="BW22" s="1080">
        <v>0</v>
      </c>
      <c r="BX22" s="1080">
        <v>0</v>
      </c>
      <c r="BY22" s="1073"/>
      <c r="BZ22" s="1074">
        <v>0</v>
      </c>
      <c r="CB22" s="1078">
        <v>41089020</v>
      </c>
      <c r="CC22" s="1079" t="s">
        <v>2488</v>
      </c>
      <c r="CD22" s="1080">
        <v>0</v>
      </c>
      <c r="CE22" s="1080">
        <v>0</v>
      </c>
      <c r="CF22" s="1080">
        <v>0</v>
      </c>
      <c r="CG22" s="1080">
        <v>0</v>
      </c>
      <c r="CH22" s="1080">
        <v>0</v>
      </c>
      <c r="CI22" s="1080">
        <v>0</v>
      </c>
      <c r="CJ22" s="1080">
        <v>0</v>
      </c>
      <c r="CK22" s="1080">
        <v>0</v>
      </c>
      <c r="CL22" s="1080">
        <v>0</v>
      </c>
      <c r="CM22" s="1080">
        <v>0</v>
      </c>
      <c r="CN22" s="1080">
        <v>0</v>
      </c>
      <c r="CO22" s="1073"/>
      <c r="CP22" s="1074">
        <v>0</v>
      </c>
    </row>
    <row r="23" spans="2:94">
      <c r="B23" s="1078">
        <v>41089030</v>
      </c>
      <c r="C23" s="1079" t="s">
        <v>2489</v>
      </c>
      <c r="D23" s="1080">
        <v>0</v>
      </c>
      <c r="E23" s="1080">
        <v>0</v>
      </c>
      <c r="F23" s="1080">
        <v>0</v>
      </c>
      <c r="G23" s="1080">
        <v>0</v>
      </c>
      <c r="H23" s="1080">
        <v>0</v>
      </c>
      <c r="I23" s="1080">
        <v>0</v>
      </c>
      <c r="J23" s="1080">
        <v>0</v>
      </c>
      <c r="K23" s="1080">
        <v>0</v>
      </c>
      <c r="L23" s="1080">
        <v>0</v>
      </c>
      <c r="N23" s="2177">
        <v>41089030</v>
      </c>
      <c r="O23" s="2178" t="s">
        <v>3852</v>
      </c>
      <c r="P23" s="2179">
        <v>0</v>
      </c>
      <c r="Q23" s="2179">
        <v>0</v>
      </c>
      <c r="R23" s="2179">
        <v>0</v>
      </c>
      <c r="S23" s="2179">
        <v>0</v>
      </c>
      <c r="T23" s="2179">
        <v>0</v>
      </c>
      <c r="U23" s="2179">
        <v>0</v>
      </c>
      <c r="V23" s="2179">
        <v>0</v>
      </c>
      <c r="W23" s="2179">
        <v>0</v>
      </c>
      <c r="X23" s="2179">
        <v>0</v>
      </c>
      <c r="Z23" s="2177">
        <v>41089030</v>
      </c>
      <c r="AA23" s="2178" t="s">
        <v>3852</v>
      </c>
      <c r="AB23" s="2179">
        <v>0</v>
      </c>
      <c r="AC23" s="2179">
        <v>0</v>
      </c>
      <c r="AD23" s="2179">
        <v>0</v>
      </c>
      <c r="AE23" s="2179">
        <v>0</v>
      </c>
      <c r="AF23" s="2179">
        <v>0</v>
      </c>
      <c r="AG23" s="2179">
        <v>0</v>
      </c>
      <c r="AH23" s="2179">
        <v>0</v>
      </c>
      <c r="AI23" s="2179">
        <v>0</v>
      </c>
      <c r="AJ23" s="2179">
        <v>0</v>
      </c>
      <c r="AL23" s="1078">
        <v>41089030</v>
      </c>
      <c r="AM23" s="1079" t="s">
        <v>2489</v>
      </c>
      <c r="AN23" s="1080">
        <v>0</v>
      </c>
      <c r="AO23" s="1080">
        <v>0</v>
      </c>
      <c r="AP23" s="1080">
        <v>0</v>
      </c>
      <c r="AQ23" s="1080">
        <v>0</v>
      </c>
      <c r="AR23" s="1080">
        <v>0</v>
      </c>
      <c r="AS23" s="1080">
        <v>0</v>
      </c>
      <c r="AT23" s="1080">
        <v>0</v>
      </c>
      <c r="AU23" s="1080">
        <v>0</v>
      </c>
      <c r="AV23" s="1080">
        <v>0</v>
      </c>
      <c r="AW23" s="1073"/>
      <c r="AX23" s="1074">
        <v>0</v>
      </c>
      <c r="AZ23" s="1078">
        <v>41089030</v>
      </c>
      <c r="BA23" s="1079" t="s">
        <v>2489</v>
      </c>
      <c r="BB23" s="1080">
        <v>0</v>
      </c>
      <c r="BC23" s="1080">
        <v>0</v>
      </c>
      <c r="BD23" s="1080">
        <v>0</v>
      </c>
      <c r="BE23" s="1080">
        <v>0</v>
      </c>
      <c r="BF23" s="1080">
        <v>0</v>
      </c>
      <c r="BG23" s="1080">
        <v>0</v>
      </c>
      <c r="BH23" s="1080">
        <v>0</v>
      </c>
      <c r="BI23" s="1080">
        <v>0</v>
      </c>
      <c r="BJ23" s="1080">
        <v>0</v>
      </c>
      <c r="BK23" s="1073"/>
      <c r="BL23" s="1074">
        <v>0</v>
      </c>
      <c r="BN23" s="1078">
        <v>41089030</v>
      </c>
      <c r="BO23" s="1079" t="s">
        <v>2489</v>
      </c>
      <c r="BP23" s="1080">
        <v>0</v>
      </c>
      <c r="BQ23" s="1080">
        <v>0</v>
      </c>
      <c r="BR23" s="1080">
        <v>0</v>
      </c>
      <c r="BS23" s="1080">
        <v>0</v>
      </c>
      <c r="BT23" s="1080">
        <v>0</v>
      </c>
      <c r="BU23" s="1080">
        <v>0</v>
      </c>
      <c r="BV23" s="1080">
        <v>0</v>
      </c>
      <c r="BW23" s="1080">
        <v>0</v>
      </c>
      <c r="BX23" s="1080">
        <v>0</v>
      </c>
      <c r="BY23" s="1073"/>
      <c r="BZ23" s="1074">
        <v>0</v>
      </c>
      <c r="CB23" s="1078">
        <v>41089030</v>
      </c>
      <c r="CC23" s="1079" t="s">
        <v>2489</v>
      </c>
      <c r="CD23" s="1080">
        <v>0</v>
      </c>
      <c r="CE23" s="1080">
        <v>0</v>
      </c>
      <c r="CF23" s="1080">
        <v>0</v>
      </c>
      <c r="CG23" s="1080">
        <v>0</v>
      </c>
      <c r="CH23" s="1080">
        <v>0</v>
      </c>
      <c r="CI23" s="1080">
        <v>0</v>
      </c>
      <c r="CJ23" s="1080">
        <v>0</v>
      </c>
      <c r="CK23" s="1080">
        <v>0</v>
      </c>
      <c r="CL23" s="1080">
        <v>0</v>
      </c>
      <c r="CM23" s="1080">
        <v>0</v>
      </c>
      <c r="CN23" s="1080">
        <v>0</v>
      </c>
      <c r="CO23" s="1073"/>
      <c r="CP23" s="1074">
        <v>0</v>
      </c>
    </row>
    <row r="24" spans="2:94">
      <c r="B24" s="1078">
        <v>41089040</v>
      </c>
      <c r="C24" s="1079" t="s">
        <v>2490</v>
      </c>
      <c r="D24" s="1080">
        <v>0</v>
      </c>
      <c r="E24" s="1080">
        <v>0</v>
      </c>
      <c r="F24" s="1080">
        <v>0</v>
      </c>
      <c r="G24" s="1080">
        <v>32400000</v>
      </c>
      <c r="H24" s="1080">
        <v>0</v>
      </c>
      <c r="I24" s="1080">
        <v>32400000</v>
      </c>
      <c r="J24" s="1080">
        <v>0</v>
      </c>
      <c r="K24" s="1080">
        <v>0</v>
      </c>
      <c r="L24" s="1080">
        <v>32400000</v>
      </c>
      <c r="N24" s="2177">
        <v>41089040</v>
      </c>
      <c r="O24" s="2178" t="s">
        <v>3853</v>
      </c>
      <c r="P24" s="2179">
        <v>0</v>
      </c>
      <c r="Q24" s="2179">
        <v>0</v>
      </c>
      <c r="R24" s="2179">
        <v>0</v>
      </c>
      <c r="S24" s="2179">
        <v>21600000</v>
      </c>
      <c r="T24" s="2179">
        <v>0</v>
      </c>
      <c r="U24" s="2179">
        <v>21600000</v>
      </c>
      <c r="V24" s="2179">
        <v>0</v>
      </c>
      <c r="W24" s="2179">
        <v>0</v>
      </c>
      <c r="X24" s="2179">
        <v>21600000</v>
      </c>
      <c r="Z24" s="2177">
        <v>41089040</v>
      </c>
      <c r="AA24" s="2178" t="s">
        <v>3853</v>
      </c>
      <c r="AB24" s="2179">
        <v>0</v>
      </c>
      <c r="AC24" s="2179">
        <v>0</v>
      </c>
      <c r="AD24" s="2179">
        <v>0</v>
      </c>
      <c r="AE24" s="2179">
        <v>43200000</v>
      </c>
      <c r="AF24" s="2179">
        <v>0</v>
      </c>
      <c r="AG24" s="2179">
        <v>43200000</v>
      </c>
      <c r="AH24" s="2179">
        <v>0</v>
      </c>
      <c r="AI24" s="2179">
        <v>0</v>
      </c>
      <c r="AJ24" s="2179">
        <v>43200000</v>
      </c>
      <c r="AL24" s="1078">
        <v>41089040</v>
      </c>
      <c r="AM24" s="1079" t="s">
        <v>2490</v>
      </c>
      <c r="AN24" s="1080">
        <v>0</v>
      </c>
      <c r="AO24" s="1080">
        <v>0</v>
      </c>
      <c r="AP24" s="1080">
        <v>0</v>
      </c>
      <c r="AQ24" s="1080">
        <v>32400000</v>
      </c>
      <c r="AR24" s="1080">
        <v>0</v>
      </c>
      <c r="AS24" s="1080">
        <v>32400000</v>
      </c>
      <c r="AT24" s="1080">
        <v>0</v>
      </c>
      <c r="AU24" s="1080">
        <v>0</v>
      </c>
      <c r="AV24" s="1080">
        <v>32400000</v>
      </c>
      <c r="AW24" s="1073"/>
      <c r="AX24" s="1074">
        <v>-32400000</v>
      </c>
      <c r="AZ24" s="1078">
        <v>41089040</v>
      </c>
      <c r="BA24" s="1079" t="s">
        <v>2490</v>
      </c>
      <c r="BB24" s="1080">
        <v>0</v>
      </c>
      <c r="BC24" s="1080">
        <v>0</v>
      </c>
      <c r="BD24" s="1080">
        <v>0</v>
      </c>
      <c r="BE24" s="1080">
        <v>43200000</v>
      </c>
      <c r="BF24" s="1080">
        <v>0</v>
      </c>
      <c r="BG24" s="1080">
        <v>43200000</v>
      </c>
      <c r="BH24" s="1080">
        <v>0</v>
      </c>
      <c r="BI24" s="1080">
        <v>0</v>
      </c>
      <c r="BJ24" s="1080">
        <v>43200000</v>
      </c>
      <c r="BK24" s="1073"/>
      <c r="BL24" s="1074">
        <v>-43200000</v>
      </c>
      <c r="BN24" s="1078">
        <v>41089040</v>
      </c>
      <c r="BO24" s="1079" t="s">
        <v>2490</v>
      </c>
      <c r="BP24" s="1080">
        <v>0</v>
      </c>
      <c r="BQ24" s="1080">
        <v>0</v>
      </c>
      <c r="BR24" s="1080">
        <v>0</v>
      </c>
      <c r="BS24" s="1080">
        <v>43200000</v>
      </c>
      <c r="BT24" s="1080">
        <v>0</v>
      </c>
      <c r="BU24" s="1080">
        <v>43200000</v>
      </c>
      <c r="BV24" s="1080">
        <v>0</v>
      </c>
      <c r="BW24" s="1080">
        <v>0</v>
      </c>
      <c r="BX24" s="1080">
        <v>43200000</v>
      </c>
      <c r="BY24" s="1073"/>
      <c r="BZ24" s="1074">
        <v>-43200000</v>
      </c>
      <c r="CB24" s="1078">
        <v>41089040</v>
      </c>
      <c r="CC24" s="1079" t="s">
        <v>2490</v>
      </c>
      <c r="CD24" s="1080">
        <v>0</v>
      </c>
      <c r="CE24" s="1080">
        <v>0</v>
      </c>
      <c r="CF24" s="1080">
        <v>0</v>
      </c>
      <c r="CG24" s="1080">
        <v>0</v>
      </c>
      <c r="CH24" s="1080">
        <v>0</v>
      </c>
      <c r="CI24" s="1080">
        <v>50100000</v>
      </c>
      <c r="CJ24" s="1080">
        <v>0</v>
      </c>
      <c r="CK24" s="1080">
        <v>50100000</v>
      </c>
      <c r="CL24" s="1080">
        <v>0</v>
      </c>
      <c r="CM24" s="1080">
        <v>0</v>
      </c>
      <c r="CN24" s="1080">
        <v>50100000</v>
      </c>
      <c r="CO24" s="1073"/>
      <c r="CP24" s="1074">
        <v>-50100000</v>
      </c>
    </row>
    <row r="25" spans="2:94">
      <c r="B25" s="1078">
        <v>41089990</v>
      </c>
      <c r="C25" s="1079" t="s">
        <v>2491</v>
      </c>
      <c r="D25" s="1080">
        <v>11456382572</v>
      </c>
      <c r="E25" s="1080">
        <v>531900775</v>
      </c>
      <c r="F25" s="1080">
        <v>0</v>
      </c>
      <c r="G25" s="1080">
        <v>0</v>
      </c>
      <c r="H25" s="1080">
        <v>7381747275</v>
      </c>
      <c r="I25" s="1080">
        <v>19370030622</v>
      </c>
      <c r="J25" s="1080">
        <v>1230958530</v>
      </c>
      <c r="K25" s="1080">
        <v>-4314900685</v>
      </c>
      <c r="L25" s="1080">
        <v>13824171407</v>
      </c>
      <c r="N25" s="2177">
        <v>41089990</v>
      </c>
      <c r="O25" s="2178" t="s">
        <v>2189</v>
      </c>
      <c r="P25" s="2179">
        <v>6916984313</v>
      </c>
      <c r="Q25" s="2179">
        <v>352123256</v>
      </c>
      <c r="R25" s="2179">
        <v>0</v>
      </c>
      <c r="S25" s="2179">
        <v>0</v>
      </c>
      <c r="T25" s="2179">
        <v>4364648625</v>
      </c>
      <c r="U25" s="2179">
        <v>11633756194</v>
      </c>
      <c r="V25" s="2179">
        <v>1230958530</v>
      </c>
      <c r="W25" s="2179">
        <v>-1913299353</v>
      </c>
      <c r="X25" s="2179">
        <v>8489498311</v>
      </c>
      <c r="Z25" s="2177">
        <v>41089990</v>
      </c>
      <c r="AA25" s="2178" t="s">
        <v>2189</v>
      </c>
      <c r="AB25" s="2179">
        <v>11074429815</v>
      </c>
      <c r="AC25" s="2179">
        <v>951517809</v>
      </c>
      <c r="AD25" s="2179">
        <v>0</v>
      </c>
      <c r="AE25" s="2179">
        <v>0</v>
      </c>
      <c r="AF25" s="2179">
        <v>8487572356</v>
      </c>
      <c r="AG25" s="2179">
        <v>20513519980</v>
      </c>
      <c r="AH25" s="2179">
        <v>0</v>
      </c>
      <c r="AI25" s="2179">
        <v>-6469477992</v>
      </c>
      <c r="AJ25" s="2179">
        <v>14044041988</v>
      </c>
      <c r="AL25" s="1078">
        <v>41089990</v>
      </c>
      <c r="AM25" s="1079" t="s">
        <v>2491</v>
      </c>
      <c r="AN25" s="1080">
        <v>8436851922</v>
      </c>
      <c r="AO25" s="1080">
        <v>699097115</v>
      </c>
      <c r="AP25" s="1080">
        <v>0</v>
      </c>
      <c r="AQ25" s="1080">
        <v>0</v>
      </c>
      <c r="AR25" s="1080">
        <v>6923971439</v>
      </c>
      <c r="AS25" s="1080">
        <v>16059920476</v>
      </c>
      <c r="AT25" s="1080">
        <v>0</v>
      </c>
      <c r="AU25" s="1080">
        <v>-5433187045</v>
      </c>
      <c r="AV25" s="1080">
        <v>10626733431</v>
      </c>
      <c r="AW25" s="1073"/>
      <c r="AX25" s="1074">
        <v>-10626733431</v>
      </c>
      <c r="AZ25" s="1078">
        <v>41089990</v>
      </c>
      <c r="BA25" s="1079" t="s">
        <v>2491</v>
      </c>
      <c r="BB25" s="1080">
        <v>14620976671</v>
      </c>
      <c r="BC25" s="1080">
        <v>850861223</v>
      </c>
      <c r="BD25" s="1080">
        <v>0</v>
      </c>
      <c r="BE25" s="1080">
        <v>0</v>
      </c>
      <c r="BF25" s="1080">
        <v>10163775382</v>
      </c>
      <c r="BG25" s="1080">
        <v>25635613276</v>
      </c>
      <c r="BH25" s="1080">
        <v>0</v>
      </c>
      <c r="BI25" s="1080">
        <v>-6251940745</v>
      </c>
      <c r="BJ25" s="1080">
        <v>19383672531</v>
      </c>
      <c r="BK25" s="1073"/>
      <c r="BL25" s="1074">
        <v>-19383672531</v>
      </c>
      <c r="BN25" s="1078">
        <v>41089990</v>
      </c>
      <c r="BO25" s="1079" t="s">
        <v>2491</v>
      </c>
      <c r="BP25" s="1080">
        <v>18817672313</v>
      </c>
      <c r="BQ25" s="1080">
        <v>437953552</v>
      </c>
      <c r="BR25" s="1080">
        <v>0</v>
      </c>
      <c r="BS25" s="1080">
        <v>0</v>
      </c>
      <c r="BT25" s="1080">
        <v>14945153696</v>
      </c>
      <c r="BU25" s="1080">
        <v>34200779561</v>
      </c>
      <c r="BV25" s="1080">
        <v>0</v>
      </c>
      <c r="BW25" s="1080">
        <v>-10611334812</v>
      </c>
      <c r="BX25" s="1080">
        <v>23589444749</v>
      </c>
      <c r="BY25" s="1073"/>
      <c r="BZ25" s="1074">
        <v>-23589444749</v>
      </c>
      <c r="CB25" s="1078">
        <v>41089990</v>
      </c>
      <c r="CC25" s="1079" t="s">
        <v>2491</v>
      </c>
      <c r="CD25" s="1080">
        <v>0</v>
      </c>
      <c r="CE25" s="1080">
        <v>445706308</v>
      </c>
      <c r="CF25" s="1080">
        <v>0</v>
      </c>
      <c r="CG25" s="1080">
        <v>0</v>
      </c>
      <c r="CH25" s="1080">
        <v>0</v>
      </c>
      <c r="CI25" s="1080">
        <v>0</v>
      </c>
      <c r="CJ25" s="1080">
        <v>14222434071</v>
      </c>
      <c r="CK25" s="1080">
        <v>14668140379</v>
      </c>
      <c r="CL25" s="1080">
        <v>0</v>
      </c>
      <c r="CM25" s="1080">
        <v>-7846791825</v>
      </c>
      <c r="CN25" s="1080">
        <v>6821348554</v>
      </c>
      <c r="CO25" s="1073"/>
      <c r="CP25" s="1074">
        <v>-6821348554</v>
      </c>
    </row>
    <row r="26" spans="2:94">
      <c r="B26" s="1075">
        <v>41099000</v>
      </c>
      <c r="C26" s="1076" t="s">
        <v>2492</v>
      </c>
      <c r="D26" s="1077">
        <v>0</v>
      </c>
      <c r="E26" s="1077">
        <v>0</v>
      </c>
      <c r="F26" s="1077">
        <v>0</v>
      </c>
      <c r="G26" s="1077">
        <v>0</v>
      </c>
      <c r="H26" s="1077">
        <v>0</v>
      </c>
      <c r="I26" s="1077">
        <v>0</v>
      </c>
      <c r="J26" s="1077">
        <v>0</v>
      </c>
      <c r="K26" s="1077">
        <v>0</v>
      </c>
      <c r="L26" s="1077">
        <v>0</v>
      </c>
      <c r="N26" s="2174">
        <v>41099000</v>
      </c>
      <c r="O26" s="2175" t="s">
        <v>2492</v>
      </c>
      <c r="P26" s="2176">
        <v>0</v>
      </c>
      <c r="Q26" s="2176">
        <v>0</v>
      </c>
      <c r="R26" s="2176">
        <v>0</v>
      </c>
      <c r="S26" s="2176">
        <v>0</v>
      </c>
      <c r="T26" s="2176">
        <v>0</v>
      </c>
      <c r="U26" s="2176">
        <v>0</v>
      </c>
      <c r="V26" s="2176">
        <v>0</v>
      </c>
      <c r="W26" s="2176">
        <v>0</v>
      </c>
      <c r="X26" s="2176">
        <v>0</v>
      </c>
      <c r="Z26" s="2174">
        <v>41099000</v>
      </c>
      <c r="AA26" s="2175" t="s">
        <v>2492</v>
      </c>
      <c r="AB26" s="2176">
        <v>0</v>
      </c>
      <c r="AC26" s="2176">
        <v>0</v>
      </c>
      <c r="AD26" s="2176">
        <v>0</v>
      </c>
      <c r="AE26" s="2176">
        <v>0</v>
      </c>
      <c r="AF26" s="2176">
        <v>0</v>
      </c>
      <c r="AG26" s="2176">
        <v>0</v>
      </c>
      <c r="AH26" s="2176">
        <v>0</v>
      </c>
      <c r="AI26" s="2176">
        <v>0</v>
      </c>
      <c r="AJ26" s="2176">
        <v>0</v>
      </c>
      <c r="AL26" s="1075">
        <v>41099000</v>
      </c>
      <c r="AM26" s="1076" t="s">
        <v>2492</v>
      </c>
      <c r="AN26" s="1077">
        <v>0</v>
      </c>
      <c r="AO26" s="1077">
        <v>0</v>
      </c>
      <c r="AP26" s="1077">
        <v>0</v>
      </c>
      <c r="AQ26" s="1077">
        <v>0</v>
      </c>
      <c r="AR26" s="1077">
        <v>0</v>
      </c>
      <c r="AS26" s="1077">
        <v>0</v>
      </c>
      <c r="AT26" s="1077">
        <v>0</v>
      </c>
      <c r="AU26" s="1077">
        <v>0</v>
      </c>
      <c r="AV26" s="1077">
        <v>0</v>
      </c>
      <c r="AW26" s="1073"/>
      <c r="AX26" s="1074"/>
      <c r="AZ26" s="1075">
        <v>41099000</v>
      </c>
      <c r="BA26" s="1076" t="s">
        <v>2492</v>
      </c>
      <c r="BB26" s="1077">
        <v>0</v>
      </c>
      <c r="BC26" s="1077">
        <v>0</v>
      </c>
      <c r="BD26" s="1077">
        <v>0</v>
      </c>
      <c r="BE26" s="1077">
        <v>0</v>
      </c>
      <c r="BF26" s="1077">
        <v>0</v>
      </c>
      <c r="BG26" s="1077">
        <v>0</v>
      </c>
      <c r="BH26" s="1077">
        <v>0</v>
      </c>
      <c r="BI26" s="1077">
        <v>0</v>
      </c>
      <c r="BJ26" s="1077">
        <v>0</v>
      </c>
      <c r="BK26" s="1073"/>
      <c r="BL26" s="1074"/>
      <c r="BN26" s="1075">
        <v>41099000</v>
      </c>
      <c r="BO26" s="1076" t="s">
        <v>2492</v>
      </c>
      <c r="BP26" s="1077">
        <v>0</v>
      </c>
      <c r="BQ26" s="1077">
        <v>0</v>
      </c>
      <c r="BR26" s="1077">
        <v>0</v>
      </c>
      <c r="BS26" s="1077">
        <v>0</v>
      </c>
      <c r="BT26" s="1077">
        <v>0</v>
      </c>
      <c r="BU26" s="1077">
        <v>0</v>
      </c>
      <c r="BV26" s="1077">
        <v>0</v>
      </c>
      <c r="BW26" s="1077">
        <v>0</v>
      </c>
      <c r="BX26" s="1077">
        <v>0</v>
      </c>
      <c r="BY26" s="1073"/>
      <c r="BZ26" s="1074"/>
      <c r="CB26" s="1075">
        <v>41099000</v>
      </c>
      <c r="CC26" s="1076" t="s">
        <v>2492</v>
      </c>
      <c r="CD26" s="1077">
        <v>0</v>
      </c>
      <c r="CE26" s="1077">
        <v>0</v>
      </c>
      <c r="CF26" s="1077">
        <v>0</v>
      </c>
      <c r="CG26" s="1077">
        <v>0</v>
      </c>
      <c r="CH26" s="1077">
        <v>0</v>
      </c>
      <c r="CI26" s="1077">
        <v>0</v>
      </c>
      <c r="CJ26" s="1077">
        <v>0</v>
      </c>
      <c r="CK26" s="1077">
        <v>0</v>
      </c>
      <c r="CL26" s="1077">
        <v>0</v>
      </c>
      <c r="CM26" s="1077">
        <v>0</v>
      </c>
      <c r="CN26" s="1077">
        <v>0</v>
      </c>
      <c r="CO26" s="1073"/>
      <c r="CP26" s="1074"/>
    </row>
    <row r="27" spans="2:94">
      <c r="B27" s="1078">
        <v>41099010</v>
      </c>
      <c r="C27" s="1079" t="s">
        <v>2493</v>
      </c>
      <c r="D27" s="1080">
        <v>0</v>
      </c>
      <c r="E27" s="1080">
        <v>0</v>
      </c>
      <c r="F27" s="1080">
        <v>0</v>
      </c>
      <c r="G27" s="1080">
        <v>0</v>
      </c>
      <c r="H27" s="1080">
        <v>0</v>
      </c>
      <c r="I27" s="1080">
        <v>0</v>
      </c>
      <c r="J27" s="1080">
        <v>0</v>
      </c>
      <c r="K27" s="1080">
        <v>0</v>
      </c>
      <c r="L27" s="1080">
        <v>0</v>
      </c>
      <c r="N27" s="2177">
        <v>41099010</v>
      </c>
      <c r="O27" s="2178" t="s">
        <v>2492</v>
      </c>
      <c r="P27" s="2179">
        <v>0</v>
      </c>
      <c r="Q27" s="2179">
        <v>0</v>
      </c>
      <c r="R27" s="2179">
        <v>0</v>
      </c>
      <c r="S27" s="2179">
        <v>0</v>
      </c>
      <c r="T27" s="2179">
        <v>0</v>
      </c>
      <c r="U27" s="2179">
        <v>0</v>
      </c>
      <c r="V27" s="2179">
        <v>0</v>
      </c>
      <c r="W27" s="2179">
        <v>0</v>
      </c>
      <c r="X27" s="2179">
        <v>0</v>
      </c>
      <c r="Z27" s="2177">
        <v>41099010</v>
      </c>
      <c r="AA27" s="2178" t="s">
        <v>2492</v>
      </c>
      <c r="AB27" s="2179">
        <v>0</v>
      </c>
      <c r="AC27" s="2179">
        <v>0</v>
      </c>
      <c r="AD27" s="2179">
        <v>0</v>
      </c>
      <c r="AE27" s="2179">
        <v>0</v>
      </c>
      <c r="AF27" s="2179">
        <v>0</v>
      </c>
      <c r="AG27" s="2179">
        <v>0</v>
      </c>
      <c r="AH27" s="2179">
        <v>0</v>
      </c>
      <c r="AI27" s="2179">
        <v>0</v>
      </c>
      <c r="AJ27" s="2179">
        <v>0</v>
      </c>
      <c r="AL27" s="1078">
        <v>41099010</v>
      </c>
      <c r="AM27" s="1079" t="s">
        <v>2493</v>
      </c>
      <c r="AN27" s="1080">
        <v>0</v>
      </c>
      <c r="AO27" s="1080">
        <v>0</v>
      </c>
      <c r="AP27" s="1080">
        <v>0</v>
      </c>
      <c r="AQ27" s="1080">
        <v>0</v>
      </c>
      <c r="AR27" s="1080">
        <v>0</v>
      </c>
      <c r="AS27" s="1080">
        <v>0</v>
      </c>
      <c r="AT27" s="1080">
        <v>0</v>
      </c>
      <c r="AU27" s="1080">
        <v>0</v>
      </c>
      <c r="AV27" s="1080">
        <v>0</v>
      </c>
      <c r="AW27" s="1073"/>
      <c r="AX27" s="1074">
        <v>0</v>
      </c>
      <c r="AZ27" s="1078">
        <v>41099010</v>
      </c>
      <c r="BA27" s="1079" t="s">
        <v>2493</v>
      </c>
      <c r="BB27" s="1080">
        <v>0</v>
      </c>
      <c r="BC27" s="1080">
        <v>0</v>
      </c>
      <c r="BD27" s="1080">
        <v>0</v>
      </c>
      <c r="BE27" s="1080">
        <v>0</v>
      </c>
      <c r="BF27" s="1080">
        <v>0</v>
      </c>
      <c r="BG27" s="1080">
        <v>0</v>
      </c>
      <c r="BH27" s="1080">
        <v>0</v>
      </c>
      <c r="BI27" s="1080">
        <v>0</v>
      </c>
      <c r="BJ27" s="1080">
        <v>0</v>
      </c>
      <c r="BK27" s="1073"/>
      <c r="BL27" s="1074">
        <v>0</v>
      </c>
      <c r="BN27" s="1078">
        <v>41099010</v>
      </c>
      <c r="BO27" s="1079" t="s">
        <v>2493</v>
      </c>
      <c r="BP27" s="1080">
        <v>0</v>
      </c>
      <c r="BQ27" s="1080">
        <v>0</v>
      </c>
      <c r="BR27" s="1080">
        <v>0</v>
      </c>
      <c r="BS27" s="1080">
        <v>0</v>
      </c>
      <c r="BT27" s="1080">
        <v>0</v>
      </c>
      <c r="BU27" s="1080">
        <v>0</v>
      </c>
      <c r="BV27" s="1080">
        <v>0</v>
      </c>
      <c r="BW27" s="1080">
        <v>0</v>
      </c>
      <c r="BX27" s="1080">
        <v>0</v>
      </c>
      <c r="BY27" s="1073"/>
      <c r="BZ27" s="1074">
        <v>0</v>
      </c>
      <c r="CB27" s="1078">
        <v>41099010</v>
      </c>
      <c r="CC27" s="1079" t="s">
        <v>2493</v>
      </c>
      <c r="CD27" s="1080">
        <v>0</v>
      </c>
      <c r="CE27" s="1080">
        <v>0</v>
      </c>
      <c r="CF27" s="1080">
        <v>0</v>
      </c>
      <c r="CG27" s="1080">
        <v>0</v>
      </c>
      <c r="CH27" s="1080">
        <v>0</v>
      </c>
      <c r="CI27" s="1080">
        <v>0</v>
      </c>
      <c r="CJ27" s="1080">
        <v>0</v>
      </c>
      <c r="CK27" s="1080">
        <v>0</v>
      </c>
      <c r="CL27" s="1080">
        <v>0</v>
      </c>
      <c r="CM27" s="1080">
        <v>0</v>
      </c>
      <c r="CN27" s="1080">
        <v>0</v>
      </c>
      <c r="CO27" s="1073"/>
      <c r="CP27" s="1074">
        <v>0</v>
      </c>
    </row>
    <row r="28" spans="2:94">
      <c r="B28" s="1070">
        <v>42100000</v>
      </c>
      <c r="C28" s="1071" t="s">
        <v>141</v>
      </c>
      <c r="D28" s="1072">
        <v>6738826749355</v>
      </c>
      <c r="E28" s="1072">
        <v>208094931265</v>
      </c>
      <c r="F28" s="1072">
        <v>209221309065</v>
      </c>
      <c r="G28" s="1072">
        <v>44813503721</v>
      </c>
      <c r="H28" s="1072">
        <v>4444705914</v>
      </c>
      <c r="I28" s="1072">
        <v>7205401199320</v>
      </c>
      <c r="J28" s="1072">
        <v>0</v>
      </c>
      <c r="K28" s="1072">
        <v>0</v>
      </c>
      <c r="L28" s="1072">
        <v>6921270888524</v>
      </c>
      <c r="N28" s="2171">
        <v>42100000</v>
      </c>
      <c r="O28" s="2172" t="s">
        <v>141</v>
      </c>
      <c r="P28" s="2173">
        <v>4342775589092</v>
      </c>
      <c r="Q28" s="2173">
        <v>137752859157</v>
      </c>
      <c r="R28" s="2173">
        <v>127667540299</v>
      </c>
      <c r="S28" s="2173">
        <v>34738401366</v>
      </c>
      <c r="T28" s="2173">
        <v>2825526530</v>
      </c>
      <c r="U28" s="2173">
        <v>4645759916444</v>
      </c>
      <c r="V28" s="2173">
        <v>0</v>
      </c>
      <c r="W28" s="2173">
        <v>0</v>
      </c>
      <c r="X28" s="2173">
        <v>4463551745401</v>
      </c>
      <c r="Z28" s="2171">
        <v>42100000</v>
      </c>
      <c r="AA28" s="2172" t="s">
        <v>141</v>
      </c>
      <c r="AB28" s="2173">
        <v>7397477842707</v>
      </c>
      <c r="AC28" s="2173">
        <v>298381611076</v>
      </c>
      <c r="AD28" s="2173">
        <v>208026184597</v>
      </c>
      <c r="AE28" s="2173">
        <v>35791933279</v>
      </c>
      <c r="AF28" s="2173">
        <v>6735424971</v>
      </c>
      <c r="AG28" s="2173">
        <v>7946412996630</v>
      </c>
      <c r="AH28" s="2173">
        <v>0</v>
      </c>
      <c r="AI28" s="2173">
        <v>0</v>
      </c>
      <c r="AJ28" s="2173">
        <v>7656346202509</v>
      </c>
      <c r="AL28" s="1070">
        <v>42100000</v>
      </c>
      <c r="AM28" s="1071" t="s">
        <v>141</v>
      </c>
      <c r="AN28" s="1072">
        <v>5350880603517</v>
      </c>
      <c r="AO28" s="1072">
        <v>225673278013</v>
      </c>
      <c r="AP28" s="1072">
        <v>147188760436</v>
      </c>
      <c r="AQ28" s="1072">
        <v>24691439347</v>
      </c>
      <c r="AR28" s="1072">
        <v>5375773089</v>
      </c>
      <c r="AS28" s="1072">
        <v>5753809854402</v>
      </c>
      <c r="AT28" s="1072">
        <v>0</v>
      </c>
      <c r="AU28" s="1072">
        <v>0</v>
      </c>
      <c r="AV28" s="1072">
        <v>5557487152683</v>
      </c>
      <c r="AW28" s="1073"/>
      <c r="AX28" s="1074"/>
      <c r="AZ28" s="1070">
        <v>42100000</v>
      </c>
      <c r="BA28" s="1071" t="s">
        <v>141</v>
      </c>
      <c r="BB28" s="1072">
        <v>7270011476753</v>
      </c>
      <c r="BC28" s="1072">
        <v>221412739752</v>
      </c>
      <c r="BD28" s="1072">
        <v>194522496609</v>
      </c>
      <c r="BE28" s="1072">
        <v>43391732210</v>
      </c>
      <c r="BF28" s="1072">
        <v>6733078562</v>
      </c>
      <c r="BG28" s="1072">
        <v>7736071523886</v>
      </c>
      <c r="BH28" s="1072">
        <v>0</v>
      </c>
      <c r="BI28" s="1072">
        <v>0</v>
      </c>
      <c r="BJ28" s="1072">
        <v>7463355757518</v>
      </c>
      <c r="BK28" s="1073"/>
      <c r="BL28" s="1074"/>
      <c r="BN28" s="1070">
        <v>42100000</v>
      </c>
      <c r="BO28" s="1071" t="s">
        <v>141</v>
      </c>
      <c r="BP28" s="1072">
        <v>6897247359997</v>
      </c>
      <c r="BQ28" s="1072">
        <v>218323519928</v>
      </c>
      <c r="BR28" s="1072">
        <v>187441497802</v>
      </c>
      <c r="BS28" s="1072">
        <v>24975176019</v>
      </c>
      <c r="BT28" s="1072">
        <v>11564478491</v>
      </c>
      <c r="BU28" s="1072">
        <v>7339552032237</v>
      </c>
      <c r="BV28" s="1072">
        <v>0</v>
      </c>
      <c r="BW28" s="1072">
        <v>0</v>
      </c>
      <c r="BX28" s="1072">
        <v>7100110913868</v>
      </c>
      <c r="BY28" s="1073"/>
      <c r="BZ28" s="1074"/>
      <c r="CB28" s="1070">
        <v>42100000</v>
      </c>
      <c r="CC28" s="1071" t="s">
        <v>141</v>
      </c>
      <c r="CD28" s="1072">
        <v>6956501179744</v>
      </c>
      <c r="CE28" s="1072">
        <v>215947994943</v>
      </c>
      <c r="CF28" s="1072">
        <v>0</v>
      </c>
      <c r="CG28" s="1072">
        <v>188669584402</v>
      </c>
      <c r="CH28" s="1072">
        <v>0</v>
      </c>
      <c r="CI28" s="1072">
        <v>27432504106</v>
      </c>
      <c r="CJ28" s="1072">
        <v>11808286849</v>
      </c>
      <c r="CK28" s="1072">
        <v>7400359550044</v>
      </c>
      <c r="CL28" s="1072">
        <v>0</v>
      </c>
      <c r="CM28" s="1072">
        <v>0</v>
      </c>
      <c r="CN28" s="1072">
        <v>7144512248154</v>
      </c>
      <c r="CO28" s="1073"/>
      <c r="CP28" s="1074"/>
    </row>
    <row r="29" spans="2:94">
      <c r="B29" s="1075">
        <v>42010000</v>
      </c>
      <c r="C29" s="1076" t="s">
        <v>2165</v>
      </c>
      <c r="D29" s="1077">
        <v>6668075438779</v>
      </c>
      <c r="E29" s="1077">
        <v>208094091265</v>
      </c>
      <c r="F29" s="1077">
        <v>209221309065</v>
      </c>
      <c r="G29" s="1077">
        <v>0</v>
      </c>
      <c r="H29" s="1077">
        <v>0</v>
      </c>
      <c r="I29" s="1077">
        <v>7085390839109</v>
      </c>
      <c r="J29" s="1077">
        <v>0</v>
      </c>
      <c r="K29" s="1077">
        <v>0</v>
      </c>
      <c r="L29" s="1077">
        <v>6837018358510</v>
      </c>
      <c r="N29" s="2174">
        <v>42010000</v>
      </c>
      <c r="O29" s="2175" t="s">
        <v>2165</v>
      </c>
      <c r="P29" s="2176">
        <v>4277390675931</v>
      </c>
      <c r="Q29" s="2176">
        <v>137752019157</v>
      </c>
      <c r="R29" s="2176">
        <v>127667540299</v>
      </c>
      <c r="S29" s="2176">
        <v>0</v>
      </c>
      <c r="T29" s="2176">
        <v>0</v>
      </c>
      <c r="U29" s="2176">
        <v>4542810235387</v>
      </c>
      <c r="V29" s="2176">
        <v>0</v>
      </c>
      <c r="W29" s="2176">
        <v>0</v>
      </c>
      <c r="X29" s="2176">
        <v>4388491092333</v>
      </c>
      <c r="Z29" s="2174">
        <v>42010000</v>
      </c>
      <c r="AA29" s="2175" t="s">
        <v>2165</v>
      </c>
      <c r="AB29" s="2176">
        <v>7278828044541</v>
      </c>
      <c r="AC29" s="2176">
        <v>298379931076</v>
      </c>
      <c r="AD29" s="2176">
        <v>208026184597</v>
      </c>
      <c r="AE29" s="2176">
        <v>0</v>
      </c>
      <c r="AF29" s="2176">
        <v>0</v>
      </c>
      <c r="AG29" s="2176">
        <v>7785234160214</v>
      </c>
      <c r="AH29" s="2176">
        <v>0</v>
      </c>
      <c r="AI29" s="2176">
        <v>0</v>
      </c>
      <c r="AJ29" s="2176">
        <v>7526543580400</v>
      </c>
      <c r="AL29" s="1075">
        <v>42010000</v>
      </c>
      <c r="AM29" s="1076" t="s">
        <v>2165</v>
      </c>
      <c r="AN29" s="1077">
        <v>5289404633727</v>
      </c>
      <c r="AO29" s="1077">
        <v>225673278013</v>
      </c>
      <c r="AP29" s="1077">
        <v>147188760436</v>
      </c>
      <c r="AQ29" s="1077">
        <v>0</v>
      </c>
      <c r="AR29" s="1077">
        <v>0</v>
      </c>
      <c r="AS29" s="1077">
        <v>5662266672176</v>
      </c>
      <c r="AT29" s="1077">
        <v>0</v>
      </c>
      <c r="AU29" s="1077">
        <v>0</v>
      </c>
      <c r="AV29" s="1077">
        <v>5483667287576</v>
      </c>
      <c r="AW29" s="1073"/>
      <c r="AX29" s="1074"/>
      <c r="AZ29" s="1075">
        <v>42010000</v>
      </c>
      <c r="BA29" s="1076" t="s">
        <v>2165</v>
      </c>
      <c r="BB29" s="1077">
        <v>7106294374813</v>
      </c>
      <c r="BC29" s="1077">
        <v>221373440252</v>
      </c>
      <c r="BD29" s="1077">
        <v>194522496609</v>
      </c>
      <c r="BE29" s="1077">
        <v>0</v>
      </c>
      <c r="BF29" s="1077">
        <v>0</v>
      </c>
      <c r="BG29" s="1077">
        <v>7522190311674</v>
      </c>
      <c r="BH29" s="1077">
        <v>0</v>
      </c>
      <c r="BI29" s="1077">
        <v>0</v>
      </c>
      <c r="BJ29" s="1077">
        <v>7287857258732</v>
      </c>
      <c r="BK29" s="1073"/>
      <c r="BL29" s="1074"/>
      <c r="BN29" s="1075">
        <v>42010000</v>
      </c>
      <c r="BO29" s="1076" t="s">
        <v>2165</v>
      </c>
      <c r="BP29" s="1077">
        <v>6709254315439</v>
      </c>
      <c r="BQ29" s="1077">
        <v>218284090928</v>
      </c>
      <c r="BR29" s="1077">
        <v>187441497802</v>
      </c>
      <c r="BS29" s="1077">
        <v>0</v>
      </c>
      <c r="BT29" s="1077">
        <v>0</v>
      </c>
      <c r="BU29" s="1077">
        <v>7114979904169</v>
      </c>
      <c r="BV29" s="1077">
        <v>0</v>
      </c>
      <c r="BW29" s="1077">
        <v>0</v>
      </c>
      <c r="BX29" s="1077">
        <v>6889645904449</v>
      </c>
      <c r="BY29" s="1073"/>
      <c r="BZ29" s="1074"/>
      <c r="CB29" s="1075">
        <v>42010000</v>
      </c>
      <c r="CC29" s="1076" t="s">
        <v>2165</v>
      </c>
      <c r="CD29" s="1077">
        <v>6744228328663</v>
      </c>
      <c r="CE29" s="1077">
        <v>215908844943</v>
      </c>
      <c r="CF29" s="1077">
        <v>0</v>
      </c>
      <c r="CG29" s="1077">
        <v>188669584402</v>
      </c>
      <c r="CH29" s="1077">
        <v>0</v>
      </c>
      <c r="CI29" s="1077">
        <v>0</v>
      </c>
      <c r="CJ29" s="1077">
        <v>0</v>
      </c>
      <c r="CK29" s="1077">
        <v>7148806758008</v>
      </c>
      <c r="CL29" s="1077">
        <v>0</v>
      </c>
      <c r="CM29" s="1077">
        <v>0</v>
      </c>
      <c r="CN29" s="1077">
        <v>6907776814388</v>
      </c>
      <c r="CO29" s="1073"/>
      <c r="CP29" s="1074"/>
    </row>
    <row r="30" spans="2:94">
      <c r="B30" s="1078">
        <v>42010010</v>
      </c>
      <c r="C30" s="1079" t="s">
        <v>2165</v>
      </c>
      <c r="D30" s="1080">
        <v>6668075438779</v>
      </c>
      <c r="E30" s="1080">
        <v>208094091265</v>
      </c>
      <c r="F30" s="1080">
        <v>209221309065</v>
      </c>
      <c r="G30" s="1080">
        <v>0</v>
      </c>
      <c r="H30" s="1080">
        <v>0</v>
      </c>
      <c r="I30" s="1080">
        <v>7085390839109</v>
      </c>
      <c r="J30" s="1080">
        <v>-284624907220</v>
      </c>
      <c r="K30" s="1080">
        <v>-36252426621</v>
      </c>
      <c r="L30" s="1080">
        <v>6837018358510</v>
      </c>
      <c r="N30" s="2177">
        <v>42010010</v>
      </c>
      <c r="O30" s="2178" t="s">
        <v>2165</v>
      </c>
      <c r="P30" s="2179">
        <v>4277390675931</v>
      </c>
      <c r="Q30" s="2179">
        <v>137752019157</v>
      </c>
      <c r="R30" s="2179">
        <v>127667540299</v>
      </c>
      <c r="S30" s="2179">
        <v>0</v>
      </c>
      <c r="T30" s="2179">
        <v>0</v>
      </c>
      <c r="U30" s="2179">
        <v>4542810235387</v>
      </c>
      <c r="V30" s="2179">
        <v>-182671938183</v>
      </c>
      <c r="W30" s="2179">
        <v>-28352795129</v>
      </c>
      <c r="X30" s="2179">
        <v>4388491092333</v>
      </c>
      <c r="Z30" s="2177">
        <v>42010010</v>
      </c>
      <c r="AA30" s="2178" t="s">
        <v>2165</v>
      </c>
      <c r="AB30" s="2179">
        <v>7278828044541</v>
      </c>
      <c r="AC30" s="2179">
        <v>298664027517</v>
      </c>
      <c r="AD30" s="2179">
        <v>208026184597</v>
      </c>
      <c r="AE30" s="2179">
        <v>0</v>
      </c>
      <c r="AF30" s="2179">
        <v>0</v>
      </c>
      <c r="AG30" s="2179">
        <v>7785518256655</v>
      </c>
      <c r="AH30" s="2179">
        <v>-296166445852</v>
      </c>
      <c r="AI30" s="2179">
        <v>-37475866038</v>
      </c>
      <c r="AJ30" s="2179">
        <v>7526827676841</v>
      </c>
      <c r="AL30" s="1078">
        <v>42010010</v>
      </c>
      <c r="AM30" s="1079" t="s">
        <v>2165</v>
      </c>
      <c r="AN30" s="1080">
        <v>5289404633727</v>
      </c>
      <c r="AO30" s="1080">
        <v>225957374454</v>
      </c>
      <c r="AP30" s="1080">
        <v>147188760436</v>
      </c>
      <c r="AQ30" s="1080">
        <v>0</v>
      </c>
      <c r="AR30" s="1080">
        <v>0</v>
      </c>
      <c r="AS30" s="1080">
        <v>5662550768617</v>
      </c>
      <c r="AT30" s="1080">
        <v>-197205732641</v>
      </c>
      <c r="AU30" s="1080">
        <v>-18606348041</v>
      </c>
      <c r="AV30" s="1080">
        <v>5483951384017</v>
      </c>
      <c r="AW30" s="1073"/>
      <c r="AX30" s="1074">
        <v>5483951384017</v>
      </c>
      <c r="AZ30" s="1078">
        <v>42010010</v>
      </c>
      <c r="BA30" s="1079" t="s">
        <v>2165</v>
      </c>
      <c r="BB30" s="1080">
        <v>7106294374813</v>
      </c>
      <c r="BC30" s="1080">
        <v>221383718690</v>
      </c>
      <c r="BD30" s="1080">
        <v>194522496609</v>
      </c>
      <c r="BE30" s="1080">
        <v>0</v>
      </c>
      <c r="BF30" s="1080">
        <v>0</v>
      </c>
      <c r="BG30" s="1080">
        <v>7522200590112</v>
      </c>
      <c r="BH30" s="1080">
        <v>-278034237753</v>
      </c>
      <c r="BI30" s="1080">
        <v>-43701184811</v>
      </c>
      <c r="BJ30" s="1080">
        <v>7287867537170</v>
      </c>
      <c r="BK30" s="1073"/>
      <c r="BL30" s="1074">
        <v>7287867537170</v>
      </c>
      <c r="BN30" s="1078">
        <v>42010010</v>
      </c>
      <c r="BO30" s="1079" t="s">
        <v>2165</v>
      </c>
      <c r="BP30" s="1080">
        <v>6709219269693</v>
      </c>
      <c r="BQ30" s="1080">
        <v>218406076750</v>
      </c>
      <c r="BR30" s="1080">
        <v>187441497802</v>
      </c>
      <c r="BS30" s="1080">
        <v>0</v>
      </c>
      <c r="BT30" s="1080">
        <v>0</v>
      </c>
      <c r="BU30" s="1080">
        <v>7115066844245</v>
      </c>
      <c r="BV30" s="1080">
        <v>-248642583262</v>
      </c>
      <c r="BW30" s="1080">
        <v>-23308583542</v>
      </c>
      <c r="BX30" s="1080">
        <v>6889732844525</v>
      </c>
      <c r="BY30" s="1073"/>
      <c r="BZ30" s="1074">
        <v>6889732844525</v>
      </c>
      <c r="CB30" s="1078">
        <v>42010010</v>
      </c>
      <c r="CC30" s="1079" t="s">
        <v>2165</v>
      </c>
      <c r="CD30" s="1080">
        <v>6745245732610</v>
      </c>
      <c r="CE30" s="1080">
        <v>221331765346</v>
      </c>
      <c r="CF30" s="1080">
        <v>0</v>
      </c>
      <c r="CG30" s="1080">
        <v>188669584402</v>
      </c>
      <c r="CH30" s="1080">
        <v>0</v>
      </c>
      <c r="CI30" s="1080">
        <v>0</v>
      </c>
      <c r="CJ30" s="1080">
        <v>0</v>
      </c>
      <c r="CK30" s="1080">
        <v>7155247082358</v>
      </c>
      <c r="CL30" s="1080">
        <v>-264706453058</v>
      </c>
      <c r="CM30" s="1080">
        <v>-23676509438</v>
      </c>
      <c r="CN30" s="1080">
        <v>6914217138738</v>
      </c>
      <c r="CO30" s="1073"/>
      <c r="CP30" s="1074">
        <v>6914217138738</v>
      </c>
    </row>
    <row r="31" spans="2:94">
      <c r="B31" s="1078">
        <v>42010020</v>
      </c>
      <c r="C31" s="1079" t="s">
        <v>2494</v>
      </c>
      <c r="D31" s="1080">
        <v>0</v>
      </c>
      <c r="E31" s="1080">
        <v>0</v>
      </c>
      <c r="F31" s="1080">
        <v>0</v>
      </c>
      <c r="G31" s="1080">
        <v>0</v>
      </c>
      <c r="H31" s="1080">
        <v>0</v>
      </c>
      <c r="I31" s="1080">
        <v>0</v>
      </c>
      <c r="J31" s="1080">
        <v>0</v>
      </c>
      <c r="K31" s="1080">
        <v>0</v>
      </c>
      <c r="L31" s="1080">
        <v>0</v>
      </c>
      <c r="N31" s="2177">
        <v>42010020</v>
      </c>
      <c r="O31" s="2178" t="s">
        <v>2494</v>
      </c>
      <c r="P31" s="2179">
        <v>0</v>
      </c>
      <c r="Q31" s="2179">
        <v>0</v>
      </c>
      <c r="R31" s="2179">
        <v>0</v>
      </c>
      <c r="S31" s="2179">
        <v>0</v>
      </c>
      <c r="T31" s="2179">
        <v>0</v>
      </c>
      <c r="U31" s="2179">
        <v>0</v>
      </c>
      <c r="V31" s="2179">
        <v>0</v>
      </c>
      <c r="W31" s="2179">
        <v>0</v>
      </c>
      <c r="X31" s="2179">
        <v>0</v>
      </c>
      <c r="Z31" s="2177">
        <v>42010020</v>
      </c>
      <c r="AA31" s="2178" t="s">
        <v>2494</v>
      </c>
      <c r="AB31" s="2179">
        <v>0</v>
      </c>
      <c r="AC31" s="2179">
        <v>0</v>
      </c>
      <c r="AD31" s="2179">
        <v>0</v>
      </c>
      <c r="AE31" s="2179">
        <v>0</v>
      </c>
      <c r="AF31" s="2179">
        <v>0</v>
      </c>
      <c r="AG31" s="2179">
        <v>0</v>
      </c>
      <c r="AH31" s="2179">
        <v>0</v>
      </c>
      <c r="AI31" s="2179">
        <v>0</v>
      </c>
      <c r="AJ31" s="2179">
        <v>0</v>
      </c>
      <c r="AL31" s="1078">
        <v>42010020</v>
      </c>
      <c r="AM31" s="1079" t="s">
        <v>2494</v>
      </c>
      <c r="AN31" s="1080">
        <v>0</v>
      </c>
      <c r="AO31" s="1080">
        <v>0</v>
      </c>
      <c r="AP31" s="1080">
        <v>0</v>
      </c>
      <c r="AQ31" s="1080">
        <v>0</v>
      </c>
      <c r="AR31" s="1080">
        <v>0</v>
      </c>
      <c r="AS31" s="1080">
        <v>0</v>
      </c>
      <c r="AT31" s="1080">
        <v>0</v>
      </c>
      <c r="AU31" s="1080">
        <v>0</v>
      </c>
      <c r="AV31" s="1080">
        <v>0</v>
      </c>
      <c r="AW31" s="1073"/>
      <c r="AX31" s="1074">
        <v>0</v>
      </c>
      <c r="AZ31" s="1078">
        <v>42010020</v>
      </c>
      <c r="BA31" s="1079" t="s">
        <v>2494</v>
      </c>
      <c r="BB31" s="1080">
        <v>0</v>
      </c>
      <c r="BC31" s="1080">
        <v>0</v>
      </c>
      <c r="BD31" s="1080">
        <v>0</v>
      </c>
      <c r="BE31" s="1080">
        <v>0</v>
      </c>
      <c r="BF31" s="1080">
        <v>0</v>
      </c>
      <c r="BG31" s="1080">
        <v>0</v>
      </c>
      <c r="BH31" s="1080">
        <v>0</v>
      </c>
      <c r="BI31" s="1080">
        <v>0</v>
      </c>
      <c r="BJ31" s="1080">
        <v>0</v>
      </c>
      <c r="BK31" s="1073"/>
      <c r="BL31" s="1074">
        <v>0</v>
      </c>
      <c r="BN31" s="1078">
        <v>42010020</v>
      </c>
      <c r="BO31" s="1079" t="s">
        <v>2494</v>
      </c>
      <c r="BP31" s="1080">
        <v>0</v>
      </c>
      <c r="BQ31" s="1080">
        <v>0</v>
      </c>
      <c r="BR31" s="1080">
        <v>0</v>
      </c>
      <c r="BS31" s="1080">
        <v>0</v>
      </c>
      <c r="BT31" s="1080">
        <v>0</v>
      </c>
      <c r="BU31" s="1080">
        <v>0</v>
      </c>
      <c r="BV31" s="1080">
        <v>0</v>
      </c>
      <c r="BW31" s="1080">
        <v>0</v>
      </c>
      <c r="BX31" s="1080">
        <v>0</v>
      </c>
      <c r="BY31" s="1073"/>
      <c r="BZ31" s="1074">
        <v>0</v>
      </c>
      <c r="CB31" s="1078">
        <v>42010020</v>
      </c>
      <c r="CC31" s="1079" t="s">
        <v>2494</v>
      </c>
      <c r="CD31" s="1080">
        <v>0</v>
      </c>
      <c r="CE31" s="1080">
        <v>0</v>
      </c>
      <c r="CF31" s="1080">
        <v>0</v>
      </c>
      <c r="CG31" s="1080">
        <v>0</v>
      </c>
      <c r="CH31" s="1080">
        <v>0</v>
      </c>
      <c r="CI31" s="1080">
        <v>0</v>
      </c>
      <c r="CJ31" s="1080">
        <v>0</v>
      </c>
      <c r="CK31" s="1080">
        <v>0</v>
      </c>
      <c r="CL31" s="1080">
        <v>0</v>
      </c>
      <c r="CM31" s="1080">
        <v>0</v>
      </c>
      <c r="CN31" s="1080">
        <v>0</v>
      </c>
      <c r="CO31" s="1073"/>
      <c r="CP31" s="1074">
        <v>0</v>
      </c>
    </row>
    <row r="32" spans="2:94">
      <c r="B32" s="1078">
        <v>42010030</v>
      </c>
      <c r="C32" s="1079" t="s">
        <v>2495</v>
      </c>
      <c r="D32" s="1080">
        <v>0</v>
      </c>
      <c r="E32" s="1080">
        <v>0</v>
      </c>
      <c r="F32" s="1080">
        <v>0</v>
      </c>
      <c r="G32" s="1080">
        <v>0</v>
      </c>
      <c r="H32" s="1080">
        <v>0</v>
      </c>
      <c r="I32" s="1080">
        <v>0</v>
      </c>
      <c r="J32" s="1080">
        <v>0</v>
      </c>
      <c r="K32" s="1080">
        <v>0</v>
      </c>
      <c r="L32" s="1080">
        <v>0</v>
      </c>
      <c r="N32" s="2177">
        <v>42010030</v>
      </c>
      <c r="O32" s="2178" t="s">
        <v>2495</v>
      </c>
      <c r="P32" s="2179">
        <v>0</v>
      </c>
      <c r="Q32" s="2179">
        <v>0</v>
      </c>
      <c r="R32" s="2179">
        <v>0</v>
      </c>
      <c r="S32" s="2179">
        <v>0</v>
      </c>
      <c r="T32" s="2179">
        <v>0</v>
      </c>
      <c r="U32" s="2179">
        <v>0</v>
      </c>
      <c r="V32" s="2179">
        <v>0</v>
      </c>
      <c r="W32" s="2179">
        <v>0</v>
      </c>
      <c r="X32" s="2179">
        <v>0</v>
      </c>
      <c r="Z32" s="2177">
        <v>42010030</v>
      </c>
      <c r="AA32" s="2178" t="s">
        <v>2495</v>
      </c>
      <c r="AB32" s="2179">
        <v>0</v>
      </c>
      <c r="AC32" s="2179">
        <v>-284096441</v>
      </c>
      <c r="AD32" s="2179">
        <v>0</v>
      </c>
      <c r="AE32" s="2179">
        <v>0</v>
      </c>
      <c r="AF32" s="2179">
        <v>0</v>
      </c>
      <c r="AG32" s="2179">
        <v>-284096441</v>
      </c>
      <c r="AH32" s="2179">
        <v>0</v>
      </c>
      <c r="AI32" s="2179">
        <v>0</v>
      </c>
      <c r="AJ32" s="2179">
        <v>-284096441</v>
      </c>
      <c r="AL32" s="1078">
        <v>42010030</v>
      </c>
      <c r="AM32" s="1079" t="s">
        <v>2495</v>
      </c>
      <c r="AN32" s="1080">
        <v>0</v>
      </c>
      <c r="AO32" s="1080">
        <v>-284096441</v>
      </c>
      <c r="AP32" s="1080">
        <v>0</v>
      </c>
      <c r="AQ32" s="1080">
        <v>0</v>
      </c>
      <c r="AR32" s="1080">
        <v>0</v>
      </c>
      <c r="AS32" s="1080">
        <v>-284096441</v>
      </c>
      <c r="AT32" s="1080">
        <v>0</v>
      </c>
      <c r="AU32" s="1080">
        <v>0</v>
      </c>
      <c r="AV32" s="1080">
        <v>-284096441</v>
      </c>
      <c r="AW32" s="1073"/>
      <c r="AX32" s="1074">
        <v>-284096441</v>
      </c>
      <c r="AZ32" s="1078">
        <v>42010030</v>
      </c>
      <c r="BA32" s="1079" t="s">
        <v>2495</v>
      </c>
      <c r="BB32" s="1080">
        <v>0</v>
      </c>
      <c r="BC32" s="1080">
        <v>-10278438</v>
      </c>
      <c r="BD32" s="1080">
        <v>0</v>
      </c>
      <c r="BE32" s="1080">
        <v>0</v>
      </c>
      <c r="BF32" s="1080">
        <v>0</v>
      </c>
      <c r="BG32" s="1080">
        <v>-10278438</v>
      </c>
      <c r="BH32" s="1080">
        <v>0</v>
      </c>
      <c r="BI32" s="1080">
        <v>0</v>
      </c>
      <c r="BJ32" s="1080">
        <v>-10278438</v>
      </c>
      <c r="BK32" s="1073"/>
      <c r="BL32" s="1074">
        <v>-10278438</v>
      </c>
      <c r="BN32" s="1078">
        <v>42010030</v>
      </c>
      <c r="BO32" s="1079" t="s">
        <v>2495</v>
      </c>
      <c r="BP32" s="1080">
        <v>35045746</v>
      </c>
      <c r="BQ32" s="1080">
        <v>-121985822</v>
      </c>
      <c r="BR32" s="1080">
        <v>0</v>
      </c>
      <c r="BS32" s="1080">
        <v>0</v>
      </c>
      <c r="BT32" s="1080">
        <v>0</v>
      </c>
      <c r="BU32" s="1080">
        <v>-86940076</v>
      </c>
      <c r="BV32" s="1080">
        <v>0</v>
      </c>
      <c r="BW32" s="1080">
        <v>0</v>
      </c>
      <c r="BX32" s="1080">
        <v>-86940076</v>
      </c>
      <c r="BY32" s="1073"/>
      <c r="BZ32" s="1074">
        <v>-86940076</v>
      </c>
      <c r="CB32" s="1078">
        <v>42010030</v>
      </c>
      <c r="CC32" s="1079" t="s">
        <v>2495</v>
      </c>
      <c r="CD32" s="1080">
        <v>-1017403947</v>
      </c>
      <c r="CE32" s="1080">
        <v>-5422920403</v>
      </c>
      <c r="CF32" s="1080">
        <v>0</v>
      </c>
      <c r="CG32" s="1080">
        <v>0</v>
      </c>
      <c r="CH32" s="1080">
        <v>0</v>
      </c>
      <c r="CI32" s="1080">
        <v>0</v>
      </c>
      <c r="CJ32" s="1080">
        <v>0</v>
      </c>
      <c r="CK32" s="1080">
        <v>-6440324350</v>
      </c>
      <c r="CL32" s="1080">
        <v>0</v>
      </c>
      <c r="CM32" s="1080">
        <v>0</v>
      </c>
      <c r="CN32" s="1080">
        <v>-6440324350</v>
      </c>
      <c r="CO32" s="1073"/>
      <c r="CP32" s="1074">
        <v>-6440324350</v>
      </c>
    </row>
    <row r="33" spans="2:94">
      <c r="B33" s="1075">
        <v>42011000</v>
      </c>
      <c r="C33" s="1076" t="s">
        <v>2496</v>
      </c>
      <c r="D33" s="1077">
        <v>59294928004</v>
      </c>
      <c r="E33" s="1077">
        <v>840000</v>
      </c>
      <c r="F33" s="1077">
        <v>0</v>
      </c>
      <c r="G33" s="1077">
        <v>1341935449</v>
      </c>
      <c r="H33" s="1077">
        <v>0</v>
      </c>
      <c r="I33" s="1077">
        <v>60637703453</v>
      </c>
      <c r="J33" s="1077">
        <v>0</v>
      </c>
      <c r="K33" s="1077">
        <v>0</v>
      </c>
      <c r="L33" s="1077">
        <v>60637703453</v>
      </c>
      <c r="N33" s="2174">
        <v>42011000</v>
      </c>
      <c r="O33" s="2175" t="s">
        <v>2496</v>
      </c>
      <c r="P33" s="2176">
        <v>58467928848</v>
      </c>
      <c r="Q33" s="2176">
        <v>840000</v>
      </c>
      <c r="R33" s="2176">
        <v>0</v>
      </c>
      <c r="S33" s="2176">
        <v>876164618</v>
      </c>
      <c r="T33" s="2176">
        <v>0</v>
      </c>
      <c r="U33" s="2176">
        <v>59344933466</v>
      </c>
      <c r="V33" s="2176">
        <v>0</v>
      </c>
      <c r="W33" s="2176">
        <v>0</v>
      </c>
      <c r="X33" s="2176">
        <v>59344933466</v>
      </c>
      <c r="Z33" s="2174">
        <v>42011000</v>
      </c>
      <c r="AA33" s="2175" t="s">
        <v>2496</v>
      </c>
      <c r="AB33" s="2176">
        <v>107575368351</v>
      </c>
      <c r="AC33" s="2176">
        <v>1680000</v>
      </c>
      <c r="AD33" s="2176">
        <v>0</v>
      </c>
      <c r="AE33" s="2176">
        <v>1104153489</v>
      </c>
      <c r="AF33" s="2176">
        <v>0</v>
      </c>
      <c r="AG33" s="2176">
        <v>108681201840</v>
      </c>
      <c r="AH33" s="2176">
        <v>0</v>
      </c>
      <c r="AI33" s="2176">
        <v>0</v>
      </c>
      <c r="AJ33" s="2176">
        <v>108681201840</v>
      </c>
      <c r="AL33" s="1075">
        <v>42011000</v>
      </c>
      <c r="AM33" s="1076" t="s">
        <v>2496</v>
      </c>
      <c r="AN33" s="1077">
        <v>53039117868</v>
      </c>
      <c r="AO33" s="1077">
        <v>0</v>
      </c>
      <c r="AP33" s="1077">
        <v>0</v>
      </c>
      <c r="AQ33" s="1077">
        <v>951320475</v>
      </c>
      <c r="AR33" s="1077">
        <v>0</v>
      </c>
      <c r="AS33" s="1077">
        <v>53990438343</v>
      </c>
      <c r="AT33" s="1077">
        <v>0</v>
      </c>
      <c r="AU33" s="1077">
        <v>0</v>
      </c>
      <c r="AV33" s="1077">
        <v>53990438343</v>
      </c>
      <c r="AW33" s="1073"/>
      <c r="AX33" s="1074"/>
      <c r="AZ33" s="1075">
        <v>42011000</v>
      </c>
      <c r="BA33" s="1076" t="s">
        <v>2496</v>
      </c>
      <c r="BB33" s="1077">
        <v>149096125269</v>
      </c>
      <c r="BC33" s="1077">
        <v>39299500</v>
      </c>
      <c r="BD33" s="1077">
        <v>0</v>
      </c>
      <c r="BE33" s="1077">
        <v>936435428</v>
      </c>
      <c r="BF33" s="1077">
        <v>0</v>
      </c>
      <c r="BG33" s="1077">
        <v>150071860197</v>
      </c>
      <c r="BH33" s="1077">
        <v>0</v>
      </c>
      <c r="BI33" s="1077">
        <v>0</v>
      </c>
      <c r="BJ33" s="1077">
        <v>150071860197</v>
      </c>
      <c r="BK33" s="1073"/>
      <c r="BL33" s="1074"/>
      <c r="BN33" s="1075">
        <v>42011000</v>
      </c>
      <c r="BO33" s="1076" t="s">
        <v>2496</v>
      </c>
      <c r="BP33" s="1077">
        <v>169175372245</v>
      </c>
      <c r="BQ33" s="1077">
        <v>39429000</v>
      </c>
      <c r="BR33" s="1077">
        <v>0</v>
      </c>
      <c r="BS33" s="1077">
        <v>801198956</v>
      </c>
      <c r="BT33" s="1077">
        <v>0</v>
      </c>
      <c r="BU33" s="1077">
        <v>170016000201</v>
      </c>
      <c r="BV33" s="1077">
        <v>0</v>
      </c>
      <c r="BW33" s="1077">
        <v>0</v>
      </c>
      <c r="BX33" s="1077">
        <v>170016000201</v>
      </c>
      <c r="BY33" s="1073"/>
      <c r="BZ33" s="1074"/>
      <c r="CB33" s="1075">
        <v>42011000</v>
      </c>
      <c r="CC33" s="1076" t="s">
        <v>2496</v>
      </c>
      <c r="CD33" s="1077">
        <v>212272851081</v>
      </c>
      <c r="CE33" s="1077">
        <v>39150000</v>
      </c>
      <c r="CF33" s="1077">
        <v>0</v>
      </c>
      <c r="CG33" s="1077">
        <v>0</v>
      </c>
      <c r="CH33" s="1077">
        <v>0</v>
      </c>
      <c r="CI33" s="1077">
        <v>1142591606</v>
      </c>
      <c r="CJ33" s="1077">
        <v>0</v>
      </c>
      <c r="CK33" s="1077">
        <v>213454592687</v>
      </c>
      <c r="CL33" s="1077">
        <v>0</v>
      </c>
      <c r="CM33" s="1077">
        <v>0</v>
      </c>
      <c r="CN33" s="1077">
        <v>213454592687</v>
      </c>
      <c r="CO33" s="1073"/>
      <c r="CP33" s="1074"/>
    </row>
    <row r="34" spans="2:94">
      <c r="B34" s="1078">
        <v>42011010</v>
      </c>
      <c r="C34" s="1079" t="s">
        <v>2496</v>
      </c>
      <c r="D34" s="1080">
        <v>59294928004</v>
      </c>
      <c r="E34" s="1080">
        <v>840000</v>
      </c>
      <c r="F34" s="1080">
        <v>0</v>
      </c>
      <c r="G34" s="1080">
        <v>1341935449</v>
      </c>
      <c r="H34" s="1080">
        <v>0</v>
      </c>
      <c r="I34" s="1080">
        <v>60637703453</v>
      </c>
      <c r="J34" s="1080">
        <v>0</v>
      </c>
      <c r="K34" s="1080">
        <v>0</v>
      </c>
      <c r="L34" s="1080">
        <v>60637703453</v>
      </c>
      <c r="N34" s="2177">
        <v>42011010</v>
      </c>
      <c r="O34" s="2178" t="s">
        <v>2496</v>
      </c>
      <c r="P34" s="2179">
        <v>58467928848</v>
      </c>
      <c r="Q34" s="2179">
        <v>840000</v>
      </c>
      <c r="R34" s="2179">
        <v>0</v>
      </c>
      <c r="S34" s="2179">
        <v>876164618</v>
      </c>
      <c r="T34" s="2179">
        <v>0</v>
      </c>
      <c r="U34" s="2179">
        <v>59344933466</v>
      </c>
      <c r="V34" s="2179">
        <v>0</v>
      </c>
      <c r="W34" s="2179">
        <v>0</v>
      </c>
      <c r="X34" s="2179">
        <v>59344933466</v>
      </c>
      <c r="Z34" s="2177">
        <v>42011010</v>
      </c>
      <c r="AA34" s="2178" t="s">
        <v>2496</v>
      </c>
      <c r="AB34" s="2179">
        <v>107575368351</v>
      </c>
      <c r="AC34" s="2179">
        <v>1680000</v>
      </c>
      <c r="AD34" s="2179">
        <v>0</v>
      </c>
      <c r="AE34" s="2179">
        <v>1104153489</v>
      </c>
      <c r="AF34" s="2179">
        <v>0</v>
      </c>
      <c r="AG34" s="2179">
        <v>108681201840</v>
      </c>
      <c r="AH34" s="2179">
        <v>0</v>
      </c>
      <c r="AI34" s="2179">
        <v>0</v>
      </c>
      <c r="AJ34" s="2179">
        <v>108681201840</v>
      </c>
      <c r="AL34" s="1078">
        <v>42011010</v>
      </c>
      <c r="AM34" s="1079" t="s">
        <v>2496</v>
      </c>
      <c r="AN34" s="1080">
        <v>53039117868</v>
      </c>
      <c r="AO34" s="1080">
        <v>0</v>
      </c>
      <c r="AP34" s="1080">
        <v>0</v>
      </c>
      <c r="AQ34" s="1080">
        <v>951320475</v>
      </c>
      <c r="AR34" s="1080">
        <v>0</v>
      </c>
      <c r="AS34" s="1080">
        <v>53990438343</v>
      </c>
      <c r="AT34" s="1080">
        <v>0</v>
      </c>
      <c r="AU34" s="1080">
        <v>0</v>
      </c>
      <c r="AV34" s="1080">
        <v>53990438343</v>
      </c>
      <c r="AW34" s="1073"/>
      <c r="AX34" s="1074">
        <v>53990438343</v>
      </c>
      <c r="AZ34" s="1078">
        <v>42011010</v>
      </c>
      <c r="BA34" s="1079" t="s">
        <v>2496</v>
      </c>
      <c r="BB34" s="1080">
        <v>149096125269</v>
      </c>
      <c r="BC34" s="1080">
        <v>39299500</v>
      </c>
      <c r="BD34" s="1080">
        <v>0</v>
      </c>
      <c r="BE34" s="1080">
        <v>936435428</v>
      </c>
      <c r="BF34" s="1080">
        <v>0</v>
      </c>
      <c r="BG34" s="1080">
        <v>150071860197</v>
      </c>
      <c r="BH34" s="1080">
        <v>0</v>
      </c>
      <c r="BI34" s="1080">
        <v>0</v>
      </c>
      <c r="BJ34" s="1080">
        <v>150071860197</v>
      </c>
      <c r="BK34" s="1073"/>
      <c r="BL34" s="1074">
        <v>150071860197</v>
      </c>
      <c r="BN34" s="1078">
        <v>42011010</v>
      </c>
      <c r="BO34" s="1079" t="s">
        <v>2496</v>
      </c>
      <c r="BP34" s="1080">
        <v>169175372245</v>
      </c>
      <c r="BQ34" s="1080">
        <v>39429000</v>
      </c>
      <c r="BR34" s="1080">
        <v>0</v>
      </c>
      <c r="BS34" s="1080">
        <v>801198956</v>
      </c>
      <c r="BT34" s="1080">
        <v>0</v>
      </c>
      <c r="BU34" s="1080">
        <v>170016000201</v>
      </c>
      <c r="BV34" s="1080">
        <v>0</v>
      </c>
      <c r="BW34" s="1080">
        <v>0</v>
      </c>
      <c r="BX34" s="1080">
        <v>170016000201</v>
      </c>
      <c r="BY34" s="1073"/>
      <c r="BZ34" s="1074">
        <v>170016000201</v>
      </c>
      <c r="CB34" s="1078">
        <v>42011010</v>
      </c>
      <c r="CC34" s="1079" t="s">
        <v>2496</v>
      </c>
      <c r="CD34" s="1080">
        <v>212272851081</v>
      </c>
      <c r="CE34" s="1080">
        <v>39150000</v>
      </c>
      <c r="CF34" s="1080">
        <v>0</v>
      </c>
      <c r="CG34" s="1080">
        <v>0</v>
      </c>
      <c r="CH34" s="1080">
        <v>0</v>
      </c>
      <c r="CI34" s="1080">
        <v>1142591606</v>
      </c>
      <c r="CJ34" s="1080">
        <v>0</v>
      </c>
      <c r="CK34" s="1080">
        <v>213454592687</v>
      </c>
      <c r="CL34" s="1080">
        <v>0</v>
      </c>
      <c r="CM34" s="1080">
        <v>0</v>
      </c>
      <c r="CN34" s="1080">
        <v>213454592687</v>
      </c>
      <c r="CO34" s="1073"/>
      <c r="CP34" s="1074">
        <v>213454592687</v>
      </c>
    </row>
    <row r="35" spans="2:94">
      <c r="B35" s="1075">
        <v>42012000</v>
      </c>
      <c r="C35" s="1076" t="s">
        <v>2497</v>
      </c>
      <c r="D35" s="1077">
        <v>0</v>
      </c>
      <c r="E35" s="1077">
        <v>0</v>
      </c>
      <c r="F35" s="1077">
        <v>0</v>
      </c>
      <c r="G35" s="1077">
        <v>43451759112</v>
      </c>
      <c r="H35" s="1077">
        <v>0</v>
      </c>
      <c r="I35" s="1077">
        <v>43451759112</v>
      </c>
      <c r="J35" s="1077">
        <v>0</v>
      </c>
      <c r="K35" s="1077">
        <v>0</v>
      </c>
      <c r="L35" s="1077">
        <v>13247990765</v>
      </c>
      <c r="N35" s="2174">
        <v>42012000</v>
      </c>
      <c r="O35" s="2175" t="s">
        <v>2497</v>
      </c>
      <c r="P35" s="2176">
        <v>0</v>
      </c>
      <c r="Q35" s="2176">
        <v>0</v>
      </c>
      <c r="R35" s="2176">
        <v>0</v>
      </c>
      <c r="S35" s="2176">
        <v>33852639148</v>
      </c>
      <c r="T35" s="2176">
        <v>0</v>
      </c>
      <c r="U35" s="2176">
        <v>33852639148</v>
      </c>
      <c r="V35" s="2176">
        <v>0</v>
      </c>
      <c r="W35" s="2176">
        <v>0</v>
      </c>
      <c r="X35" s="2176">
        <v>9114512087</v>
      </c>
      <c r="Z35" s="2174">
        <v>42012000</v>
      </c>
      <c r="AA35" s="2175" t="s">
        <v>2497</v>
      </c>
      <c r="AB35" s="2176">
        <v>0</v>
      </c>
      <c r="AC35" s="2176">
        <v>0</v>
      </c>
      <c r="AD35" s="2176">
        <v>0</v>
      </c>
      <c r="AE35" s="2176">
        <v>34648026372</v>
      </c>
      <c r="AF35" s="2176">
        <v>0</v>
      </c>
      <c r="AG35" s="2176">
        <v>34648026372</v>
      </c>
      <c r="AH35" s="2176">
        <v>0</v>
      </c>
      <c r="AI35" s="2176">
        <v>0</v>
      </c>
      <c r="AJ35" s="2176">
        <v>9439323947</v>
      </c>
      <c r="AL35" s="1075">
        <v>42012000</v>
      </c>
      <c r="AM35" s="1076" t="s">
        <v>2497</v>
      </c>
      <c r="AN35" s="1077">
        <v>0</v>
      </c>
      <c r="AO35" s="1077">
        <v>0</v>
      </c>
      <c r="AP35" s="1077">
        <v>0</v>
      </c>
      <c r="AQ35" s="1077">
        <v>23722718714</v>
      </c>
      <c r="AR35" s="1077">
        <v>0</v>
      </c>
      <c r="AS35" s="1077">
        <v>23722718714</v>
      </c>
      <c r="AT35" s="1077">
        <v>0</v>
      </c>
      <c r="AU35" s="1077">
        <v>0</v>
      </c>
      <c r="AV35" s="1077">
        <v>10981802594</v>
      </c>
      <c r="AW35" s="1073"/>
      <c r="AX35" s="1074"/>
      <c r="AZ35" s="1075">
        <v>42012000</v>
      </c>
      <c r="BA35" s="1076" t="s">
        <v>2497</v>
      </c>
      <c r="BB35" s="1077">
        <v>0</v>
      </c>
      <c r="BC35" s="1077">
        <v>0</v>
      </c>
      <c r="BD35" s="1077">
        <v>0</v>
      </c>
      <c r="BE35" s="1077">
        <v>42429382467</v>
      </c>
      <c r="BF35" s="1077">
        <v>0</v>
      </c>
      <c r="BG35" s="1077">
        <v>42429382467</v>
      </c>
      <c r="BH35" s="1077">
        <v>0</v>
      </c>
      <c r="BI35" s="1077">
        <v>0</v>
      </c>
      <c r="BJ35" s="1077">
        <v>10010324105</v>
      </c>
      <c r="BK35" s="1073"/>
      <c r="BL35" s="1074"/>
      <c r="BN35" s="1075">
        <v>42012000</v>
      </c>
      <c r="BO35" s="1076" t="s">
        <v>2497</v>
      </c>
      <c r="BP35" s="1077">
        <v>0</v>
      </c>
      <c r="BQ35" s="1077">
        <v>0</v>
      </c>
      <c r="BR35" s="1077">
        <v>0</v>
      </c>
      <c r="BS35" s="1077">
        <v>24145049776</v>
      </c>
      <c r="BT35" s="1077">
        <v>0</v>
      </c>
      <c r="BU35" s="1077">
        <v>24145049776</v>
      </c>
      <c r="BV35" s="1077">
        <v>0</v>
      </c>
      <c r="BW35" s="1077">
        <v>0</v>
      </c>
      <c r="BX35" s="1077">
        <v>10039423327</v>
      </c>
      <c r="BY35" s="1073"/>
      <c r="BZ35" s="1074"/>
      <c r="CB35" s="1075">
        <v>42012000</v>
      </c>
      <c r="CC35" s="1076" t="s">
        <v>2497</v>
      </c>
      <c r="CD35" s="1077">
        <v>0</v>
      </c>
      <c r="CE35" s="1077">
        <v>0</v>
      </c>
      <c r="CF35" s="1077">
        <v>0</v>
      </c>
      <c r="CG35" s="1077">
        <v>0</v>
      </c>
      <c r="CH35" s="1077">
        <v>0</v>
      </c>
      <c r="CI35" s="1077">
        <v>26262000452</v>
      </c>
      <c r="CJ35" s="1077">
        <v>0</v>
      </c>
      <c r="CK35" s="1077">
        <v>26262000452</v>
      </c>
      <c r="CL35" s="1077">
        <v>0</v>
      </c>
      <c r="CM35" s="1077">
        <v>0</v>
      </c>
      <c r="CN35" s="1077">
        <v>11444642182</v>
      </c>
      <c r="CO35" s="1073"/>
      <c r="CP35" s="1074"/>
    </row>
    <row r="36" spans="2:94">
      <c r="B36" s="1078">
        <v>42012010</v>
      </c>
      <c r="C36" s="1079" t="s">
        <v>2497</v>
      </c>
      <c r="D36" s="1080">
        <v>0</v>
      </c>
      <c r="E36" s="1080">
        <v>0</v>
      </c>
      <c r="F36" s="1080">
        <v>0</v>
      </c>
      <c r="G36" s="1080">
        <v>43451759112</v>
      </c>
      <c r="H36" s="1080">
        <v>0</v>
      </c>
      <c r="I36" s="1080">
        <v>43451759112</v>
      </c>
      <c r="J36" s="1080">
        <v>-30203768347</v>
      </c>
      <c r="K36" s="1080">
        <v>0</v>
      </c>
      <c r="L36" s="1080">
        <v>13247990765</v>
      </c>
      <c r="N36" s="2177">
        <v>42012010</v>
      </c>
      <c r="O36" s="2178" t="s">
        <v>2497</v>
      </c>
      <c r="P36" s="2179">
        <v>0</v>
      </c>
      <c r="Q36" s="2179">
        <v>0</v>
      </c>
      <c r="R36" s="2179">
        <v>0</v>
      </c>
      <c r="S36" s="2179">
        <v>33852639148</v>
      </c>
      <c r="T36" s="2179">
        <v>0</v>
      </c>
      <c r="U36" s="2179">
        <v>33852639148</v>
      </c>
      <c r="V36" s="2179">
        <v>-24738127061</v>
      </c>
      <c r="W36" s="2179">
        <v>0</v>
      </c>
      <c r="X36" s="2179">
        <v>9114512087</v>
      </c>
      <c r="Z36" s="2177">
        <v>42012010</v>
      </c>
      <c r="AA36" s="2178" t="s">
        <v>2497</v>
      </c>
      <c r="AB36" s="2179">
        <v>0</v>
      </c>
      <c r="AC36" s="2179">
        <v>0</v>
      </c>
      <c r="AD36" s="2179">
        <v>0</v>
      </c>
      <c r="AE36" s="2179">
        <v>34648026372</v>
      </c>
      <c r="AF36" s="2179">
        <v>0</v>
      </c>
      <c r="AG36" s="2179">
        <v>34648026372</v>
      </c>
      <c r="AH36" s="2179">
        <v>-25208702425</v>
      </c>
      <c r="AI36" s="2179">
        <v>0</v>
      </c>
      <c r="AJ36" s="2179">
        <v>9439323947</v>
      </c>
      <c r="AL36" s="1078">
        <v>42012010</v>
      </c>
      <c r="AM36" s="1079" t="s">
        <v>2497</v>
      </c>
      <c r="AN36" s="1080">
        <v>0</v>
      </c>
      <c r="AO36" s="1080">
        <v>0</v>
      </c>
      <c r="AP36" s="1080">
        <v>0</v>
      </c>
      <c r="AQ36" s="1080">
        <v>23722718714</v>
      </c>
      <c r="AR36" s="1080">
        <v>0</v>
      </c>
      <c r="AS36" s="1080">
        <v>23722718714</v>
      </c>
      <c r="AT36" s="1080">
        <v>-12740916120</v>
      </c>
      <c r="AU36" s="1080">
        <v>0</v>
      </c>
      <c r="AV36" s="1080">
        <v>10981802594</v>
      </c>
      <c r="AW36" s="1073"/>
      <c r="AX36" s="1074">
        <v>10981802594</v>
      </c>
      <c r="AZ36" s="1078">
        <v>42012010</v>
      </c>
      <c r="BA36" s="1079" t="s">
        <v>2497</v>
      </c>
      <c r="BB36" s="1080">
        <v>0</v>
      </c>
      <c r="BC36" s="1080">
        <v>0</v>
      </c>
      <c r="BD36" s="1080">
        <v>0</v>
      </c>
      <c r="BE36" s="1080">
        <v>42429382467</v>
      </c>
      <c r="BF36" s="1080">
        <v>0</v>
      </c>
      <c r="BG36" s="1080">
        <v>42429382467</v>
      </c>
      <c r="BH36" s="1080">
        <v>-32419058362</v>
      </c>
      <c r="BI36" s="1080">
        <v>0</v>
      </c>
      <c r="BJ36" s="1080">
        <v>10010324105</v>
      </c>
      <c r="BK36" s="1073"/>
      <c r="BL36" s="1074">
        <v>10010324105</v>
      </c>
      <c r="BN36" s="1078">
        <v>42012010</v>
      </c>
      <c r="BO36" s="1079" t="s">
        <v>2497</v>
      </c>
      <c r="BP36" s="1080">
        <v>0</v>
      </c>
      <c r="BQ36" s="1080">
        <v>0</v>
      </c>
      <c r="BR36" s="1080">
        <v>0</v>
      </c>
      <c r="BS36" s="1080">
        <v>24145049776</v>
      </c>
      <c r="BT36" s="1080">
        <v>0</v>
      </c>
      <c r="BU36" s="1080">
        <v>24145049776</v>
      </c>
      <c r="BV36" s="1080">
        <v>-14105626449</v>
      </c>
      <c r="BW36" s="1080">
        <v>0</v>
      </c>
      <c r="BX36" s="1080">
        <v>10039423327</v>
      </c>
      <c r="BY36" s="1073"/>
      <c r="BZ36" s="1074">
        <v>10039423327</v>
      </c>
      <c r="CB36" s="1078">
        <v>42012010</v>
      </c>
      <c r="CC36" s="1079" t="s">
        <v>2497</v>
      </c>
      <c r="CD36" s="1080">
        <v>0</v>
      </c>
      <c r="CE36" s="1080">
        <v>0</v>
      </c>
      <c r="CF36" s="1080">
        <v>0</v>
      </c>
      <c r="CG36" s="1080">
        <v>0</v>
      </c>
      <c r="CH36" s="1080">
        <v>0</v>
      </c>
      <c r="CI36" s="1080">
        <v>26262000452</v>
      </c>
      <c r="CJ36" s="1080">
        <v>0</v>
      </c>
      <c r="CK36" s="1080">
        <v>26262000452</v>
      </c>
      <c r="CL36" s="1080">
        <v>-14817358270</v>
      </c>
      <c r="CM36" s="1080">
        <v>0</v>
      </c>
      <c r="CN36" s="1080">
        <v>11444642182</v>
      </c>
      <c r="CO36" s="1073"/>
      <c r="CP36" s="1074">
        <v>11444642182</v>
      </c>
    </row>
    <row r="37" spans="2:94">
      <c r="B37" s="1075">
        <v>42013000</v>
      </c>
      <c r="C37" s="1076" t="s">
        <v>2498</v>
      </c>
      <c r="D37" s="1077">
        <v>0</v>
      </c>
      <c r="E37" s="1077">
        <v>0</v>
      </c>
      <c r="F37" s="1077">
        <v>0</v>
      </c>
      <c r="G37" s="1077">
        <v>0</v>
      </c>
      <c r="H37" s="1077">
        <v>0</v>
      </c>
      <c r="I37" s="1077">
        <v>0</v>
      </c>
      <c r="J37" s="1077">
        <v>0</v>
      </c>
      <c r="K37" s="1077">
        <v>0</v>
      </c>
      <c r="L37" s="1077">
        <v>0</v>
      </c>
      <c r="N37" s="2174">
        <v>42013000</v>
      </c>
      <c r="O37" s="2175" t="s">
        <v>2498</v>
      </c>
      <c r="P37" s="2176">
        <v>0</v>
      </c>
      <c r="Q37" s="2176">
        <v>0</v>
      </c>
      <c r="R37" s="2176">
        <v>0</v>
      </c>
      <c r="S37" s="2176">
        <v>0</v>
      </c>
      <c r="T37" s="2176">
        <v>0</v>
      </c>
      <c r="U37" s="2176">
        <v>0</v>
      </c>
      <c r="V37" s="2176">
        <v>0</v>
      </c>
      <c r="W37" s="2176">
        <v>0</v>
      </c>
      <c r="X37" s="2176">
        <v>0</v>
      </c>
      <c r="Z37" s="2174">
        <v>42013000</v>
      </c>
      <c r="AA37" s="2175" t="s">
        <v>2498</v>
      </c>
      <c r="AB37" s="2176">
        <v>0</v>
      </c>
      <c r="AC37" s="2176">
        <v>0</v>
      </c>
      <c r="AD37" s="2176">
        <v>0</v>
      </c>
      <c r="AE37" s="2176">
        <v>0</v>
      </c>
      <c r="AF37" s="2176">
        <v>0</v>
      </c>
      <c r="AG37" s="2176">
        <v>0</v>
      </c>
      <c r="AH37" s="2176">
        <v>0</v>
      </c>
      <c r="AI37" s="2176">
        <v>0</v>
      </c>
      <c r="AJ37" s="2176">
        <v>0</v>
      </c>
      <c r="AL37" s="1075">
        <v>42013000</v>
      </c>
      <c r="AM37" s="1076" t="s">
        <v>2498</v>
      </c>
      <c r="AN37" s="1077">
        <v>0</v>
      </c>
      <c r="AO37" s="1077">
        <v>0</v>
      </c>
      <c r="AP37" s="1077">
        <v>0</v>
      </c>
      <c r="AQ37" s="1077">
        <v>0</v>
      </c>
      <c r="AR37" s="1077">
        <v>0</v>
      </c>
      <c r="AS37" s="1077">
        <v>0</v>
      </c>
      <c r="AT37" s="1077">
        <v>0</v>
      </c>
      <c r="AU37" s="1077">
        <v>0</v>
      </c>
      <c r="AV37" s="1077">
        <v>0</v>
      </c>
      <c r="AW37" s="1073"/>
      <c r="AX37" s="1074"/>
      <c r="AZ37" s="1075">
        <v>42013000</v>
      </c>
      <c r="BA37" s="1076" t="s">
        <v>2498</v>
      </c>
      <c r="BB37" s="1077">
        <v>0</v>
      </c>
      <c r="BC37" s="1077">
        <v>0</v>
      </c>
      <c r="BD37" s="1077">
        <v>0</v>
      </c>
      <c r="BE37" s="1077">
        <v>0</v>
      </c>
      <c r="BF37" s="1077">
        <v>0</v>
      </c>
      <c r="BG37" s="1077">
        <v>0</v>
      </c>
      <c r="BH37" s="1077">
        <v>0</v>
      </c>
      <c r="BI37" s="1077">
        <v>0</v>
      </c>
      <c r="BJ37" s="1077">
        <v>0</v>
      </c>
      <c r="BK37" s="1073"/>
      <c r="BL37" s="1074"/>
      <c r="BN37" s="1075">
        <v>42013000</v>
      </c>
      <c r="BO37" s="1076" t="s">
        <v>2498</v>
      </c>
      <c r="BP37" s="1077">
        <v>0</v>
      </c>
      <c r="BQ37" s="1077">
        <v>0</v>
      </c>
      <c r="BR37" s="1077">
        <v>0</v>
      </c>
      <c r="BS37" s="1077">
        <v>0</v>
      </c>
      <c r="BT37" s="1077">
        <v>0</v>
      </c>
      <c r="BU37" s="1077">
        <v>0</v>
      </c>
      <c r="BV37" s="1077">
        <v>0</v>
      </c>
      <c r="BW37" s="1077">
        <v>0</v>
      </c>
      <c r="BX37" s="1077">
        <v>0</v>
      </c>
      <c r="BY37" s="1073"/>
      <c r="BZ37" s="1074"/>
      <c r="CB37" s="1075">
        <v>42013000</v>
      </c>
      <c r="CC37" s="1076" t="s">
        <v>2498</v>
      </c>
      <c r="CD37" s="1077">
        <v>0</v>
      </c>
      <c r="CE37" s="1077">
        <v>0</v>
      </c>
      <c r="CF37" s="1077">
        <v>0</v>
      </c>
      <c r="CG37" s="1077">
        <v>0</v>
      </c>
      <c r="CH37" s="1077">
        <v>0</v>
      </c>
      <c r="CI37" s="1077">
        <v>0</v>
      </c>
      <c r="CJ37" s="1077">
        <v>0</v>
      </c>
      <c r="CK37" s="1077">
        <v>0</v>
      </c>
      <c r="CL37" s="1077">
        <v>0</v>
      </c>
      <c r="CM37" s="1077">
        <v>0</v>
      </c>
      <c r="CN37" s="1077">
        <v>0</v>
      </c>
      <c r="CO37" s="1073"/>
      <c r="CP37" s="1074"/>
    </row>
    <row r="38" spans="2:94">
      <c r="B38" s="1078">
        <v>42013010</v>
      </c>
      <c r="C38" s="1079" t="s">
        <v>2499</v>
      </c>
      <c r="D38" s="1080">
        <v>0</v>
      </c>
      <c r="E38" s="1080">
        <v>0</v>
      </c>
      <c r="F38" s="1080">
        <v>0</v>
      </c>
      <c r="G38" s="1080">
        <v>0</v>
      </c>
      <c r="H38" s="1080">
        <v>0</v>
      </c>
      <c r="I38" s="1080">
        <v>0</v>
      </c>
      <c r="J38" s="1080">
        <v>0</v>
      </c>
      <c r="K38" s="1080">
        <v>0</v>
      </c>
      <c r="L38" s="1080">
        <v>0</v>
      </c>
      <c r="N38" s="2177">
        <v>42013010</v>
      </c>
      <c r="O38" s="2178" t="s">
        <v>2498</v>
      </c>
      <c r="P38" s="2179">
        <v>0</v>
      </c>
      <c r="Q38" s="2179">
        <v>0</v>
      </c>
      <c r="R38" s="2179">
        <v>0</v>
      </c>
      <c r="S38" s="2179">
        <v>0</v>
      </c>
      <c r="T38" s="2179">
        <v>0</v>
      </c>
      <c r="U38" s="2179">
        <v>0</v>
      </c>
      <c r="V38" s="2179">
        <v>0</v>
      </c>
      <c r="W38" s="2179">
        <v>0</v>
      </c>
      <c r="X38" s="2179">
        <v>0</v>
      </c>
      <c r="Z38" s="2177">
        <v>42013010</v>
      </c>
      <c r="AA38" s="2178" t="s">
        <v>2498</v>
      </c>
      <c r="AB38" s="2179">
        <v>0</v>
      </c>
      <c r="AC38" s="2179">
        <v>0</v>
      </c>
      <c r="AD38" s="2179">
        <v>0</v>
      </c>
      <c r="AE38" s="2179">
        <v>0</v>
      </c>
      <c r="AF38" s="2179">
        <v>0</v>
      </c>
      <c r="AG38" s="2179">
        <v>0</v>
      </c>
      <c r="AH38" s="2179">
        <v>0</v>
      </c>
      <c r="AI38" s="2179">
        <v>0</v>
      </c>
      <c r="AJ38" s="2179">
        <v>0</v>
      </c>
      <c r="AL38" s="1078">
        <v>42013010</v>
      </c>
      <c r="AM38" s="1079" t="s">
        <v>2499</v>
      </c>
      <c r="AN38" s="1080">
        <v>0</v>
      </c>
      <c r="AO38" s="1080">
        <v>0</v>
      </c>
      <c r="AP38" s="1080">
        <v>0</v>
      </c>
      <c r="AQ38" s="1080">
        <v>0</v>
      </c>
      <c r="AR38" s="1080">
        <v>0</v>
      </c>
      <c r="AS38" s="1080">
        <v>0</v>
      </c>
      <c r="AT38" s="1080">
        <v>0</v>
      </c>
      <c r="AU38" s="1080">
        <v>0</v>
      </c>
      <c r="AV38" s="1080">
        <v>0</v>
      </c>
      <c r="AW38" s="1073"/>
      <c r="AX38" s="1074">
        <v>0</v>
      </c>
      <c r="AZ38" s="1078">
        <v>42013010</v>
      </c>
      <c r="BA38" s="1079" t="s">
        <v>2499</v>
      </c>
      <c r="BB38" s="1080">
        <v>0</v>
      </c>
      <c r="BC38" s="1080">
        <v>0</v>
      </c>
      <c r="BD38" s="1080">
        <v>0</v>
      </c>
      <c r="BE38" s="1080">
        <v>0</v>
      </c>
      <c r="BF38" s="1080">
        <v>0</v>
      </c>
      <c r="BG38" s="1080">
        <v>0</v>
      </c>
      <c r="BH38" s="1080">
        <v>0</v>
      </c>
      <c r="BI38" s="1080">
        <v>0</v>
      </c>
      <c r="BJ38" s="1080">
        <v>0</v>
      </c>
      <c r="BK38" s="1073"/>
      <c r="BL38" s="1074">
        <v>0</v>
      </c>
      <c r="BN38" s="1078">
        <v>42013010</v>
      </c>
      <c r="BO38" s="1079" t="s">
        <v>2499</v>
      </c>
      <c r="BP38" s="1080">
        <v>0</v>
      </c>
      <c r="BQ38" s="1080">
        <v>0</v>
      </c>
      <c r="BR38" s="1080">
        <v>0</v>
      </c>
      <c r="BS38" s="1080">
        <v>0</v>
      </c>
      <c r="BT38" s="1080">
        <v>0</v>
      </c>
      <c r="BU38" s="1080">
        <v>0</v>
      </c>
      <c r="BV38" s="1080">
        <v>0</v>
      </c>
      <c r="BW38" s="1080">
        <v>0</v>
      </c>
      <c r="BX38" s="1080">
        <v>0</v>
      </c>
      <c r="BY38" s="1073"/>
      <c r="BZ38" s="1074">
        <v>0</v>
      </c>
      <c r="CB38" s="1078">
        <v>42013010</v>
      </c>
      <c r="CC38" s="1079" t="s">
        <v>2499</v>
      </c>
      <c r="CD38" s="1080">
        <v>0</v>
      </c>
      <c r="CE38" s="1080">
        <v>0</v>
      </c>
      <c r="CF38" s="1080">
        <v>0</v>
      </c>
      <c r="CG38" s="1080">
        <v>0</v>
      </c>
      <c r="CH38" s="1080">
        <v>0</v>
      </c>
      <c r="CI38" s="1080">
        <v>0</v>
      </c>
      <c r="CJ38" s="1080">
        <v>0</v>
      </c>
      <c r="CK38" s="1080">
        <v>0</v>
      </c>
      <c r="CL38" s="1080">
        <v>0</v>
      </c>
      <c r="CM38" s="1080">
        <v>0</v>
      </c>
      <c r="CN38" s="1080">
        <v>0</v>
      </c>
      <c r="CO38" s="1073"/>
      <c r="CP38" s="1074">
        <v>0</v>
      </c>
    </row>
    <row r="39" spans="2:94">
      <c r="B39" s="1075">
        <v>42089000</v>
      </c>
      <c r="C39" s="1076" t="s">
        <v>2185</v>
      </c>
      <c r="D39" s="1077">
        <v>11456382572</v>
      </c>
      <c r="E39" s="1077">
        <v>0</v>
      </c>
      <c r="F39" s="1077">
        <v>0</v>
      </c>
      <c r="G39" s="1077">
        <v>19809160</v>
      </c>
      <c r="H39" s="1077">
        <v>4444705914</v>
      </c>
      <c r="I39" s="1077">
        <v>15920897646</v>
      </c>
      <c r="J39" s="1077">
        <v>0</v>
      </c>
      <c r="K39" s="1077">
        <v>0</v>
      </c>
      <c r="L39" s="1077">
        <v>10366835796</v>
      </c>
      <c r="N39" s="2174">
        <v>42089000</v>
      </c>
      <c r="O39" s="2175" t="s">
        <v>2185</v>
      </c>
      <c r="P39" s="2176">
        <v>6916984313</v>
      </c>
      <c r="Q39" s="2176">
        <v>0</v>
      </c>
      <c r="R39" s="2176">
        <v>0</v>
      </c>
      <c r="S39" s="2176">
        <v>9597600</v>
      </c>
      <c r="T39" s="2176">
        <v>2825526530</v>
      </c>
      <c r="U39" s="2176">
        <v>9752108443</v>
      </c>
      <c r="V39" s="2176">
        <v>0</v>
      </c>
      <c r="W39" s="2176">
        <v>0</v>
      </c>
      <c r="X39" s="2176">
        <v>6601207515</v>
      </c>
      <c r="Z39" s="2174">
        <v>42089000</v>
      </c>
      <c r="AA39" s="2175" t="s">
        <v>2185</v>
      </c>
      <c r="AB39" s="2176">
        <v>11074429815</v>
      </c>
      <c r="AC39" s="2176">
        <v>0</v>
      </c>
      <c r="AD39" s="2176">
        <v>0</v>
      </c>
      <c r="AE39" s="2176">
        <v>39753418</v>
      </c>
      <c r="AF39" s="2176">
        <v>6735424971</v>
      </c>
      <c r="AG39" s="2176">
        <v>17849608204</v>
      </c>
      <c r="AH39" s="2176">
        <v>0</v>
      </c>
      <c r="AI39" s="2176">
        <v>0</v>
      </c>
      <c r="AJ39" s="2176">
        <v>11682096322</v>
      </c>
      <c r="AL39" s="1075">
        <v>42089000</v>
      </c>
      <c r="AM39" s="1076" t="s">
        <v>2185</v>
      </c>
      <c r="AN39" s="1077">
        <v>8436851922</v>
      </c>
      <c r="AO39" s="1077">
        <v>0</v>
      </c>
      <c r="AP39" s="1077">
        <v>0</v>
      </c>
      <c r="AQ39" s="1077">
        <v>17400158</v>
      </c>
      <c r="AR39" s="1077">
        <v>5375773089</v>
      </c>
      <c r="AS39" s="1077">
        <v>13830025169</v>
      </c>
      <c r="AT39" s="1077">
        <v>0</v>
      </c>
      <c r="AU39" s="1077">
        <v>0</v>
      </c>
      <c r="AV39" s="1077">
        <v>8847624170</v>
      </c>
      <c r="AW39" s="1073"/>
      <c r="AX39" s="1074"/>
      <c r="AZ39" s="1075">
        <v>42089000</v>
      </c>
      <c r="BA39" s="1076" t="s">
        <v>2185</v>
      </c>
      <c r="BB39" s="1077">
        <v>14620976671</v>
      </c>
      <c r="BC39" s="1077">
        <v>0</v>
      </c>
      <c r="BD39" s="1077">
        <v>0</v>
      </c>
      <c r="BE39" s="1077">
        <v>25914315</v>
      </c>
      <c r="BF39" s="1077">
        <v>6733078562</v>
      </c>
      <c r="BG39" s="1077">
        <v>21379969548</v>
      </c>
      <c r="BH39" s="1077">
        <v>0</v>
      </c>
      <c r="BI39" s="1077">
        <v>0</v>
      </c>
      <c r="BJ39" s="1077">
        <v>15416314484</v>
      </c>
      <c r="BK39" s="1073"/>
      <c r="BL39" s="1074"/>
      <c r="BN39" s="1075">
        <v>42089000</v>
      </c>
      <c r="BO39" s="1076" t="s">
        <v>2185</v>
      </c>
      <c r="BP39" s="1077">
        <v>18817672313</v>
      </c>
      <c r="BQ39" s="1077">
        <v>0</v>
      </c>
      <c r="BR39" s="1077">
        <v>0</v>
      </c>
      <c r="BS39" s="1077">
        <v>28927287</v>
      </c>
      <c r="BT39" s="1077">
        <v>11564478491</v>
      </c>
      <c r="BU39" s="1077">
        <v>30411078091</v>
      </c>
      <c r="BV39" s="1077">
        <v>0</v>
      </c>
      <c r="BW39" s="1077">
        <v>0</v>
      </c>
      <c r="BX39" s="1077">
        <v>30409585891</v>
      </c>
      <c r="BY39" s="1073"/>
      <c r="BZ39" s="1074"/>
      <c r="CB39" s="1075">
        <v>42089000</v>
      </c>
      <c r="CC39" s="1076" t="s">
        <v>2185</v>
      </c>
      <c r="CD39" s="1077">
        <v>0</v>
      </c>
      <c r="CE39" s="1077">
        <v>0</v>
      </c>
      <c r="CF39" s="1077">
        <v>0</v>
      </c>
      <c r="CG39" s="1077">
        <v>0</v>
      </c>
      <c r="CH39" s="1077">
        <v>0</v>
      </c>
      <c r="CI39" s="1077">
        <v>27912048</v>
      </c>
      <c r="CJ39" s="1077">
        <v>11808286849</v>
      </c>
      <c r="CK39" s="1077">
        <v>11836198897</v>
      </c>
      <c r="CL39" s="1077">
        <v>0</v>
      </c>
      <c r="CM39" s="1077">
        <v>0</v>
      </c>
      <c r="CN39" s="1077">
        <v>11836198897</v>
      </c>
      <c r="CO39" s="1073"/>
      <c r="CP39" s="1074"/>
    </row>
    <row r="40" spans="2:94">
      <c r="B40" s="1078">
        <v>42089990</v>
      </c>
      <c r="C40" s="1079" t="s">
        <v>2185</v>
      </c>
      <c r="D40" s="1080">
        <v>11456382572</v>
      </c>
      <c r="E40" s="1080">
        <v>0</v>
      </c>
      <c r="F40" s="1080">
        <v>0</v>
      </c>
      <c r="G40" s="1080">
        <v>19809160</v>
      </c>
      <c r="H40" s="1080">
        <v>4444705914</v>
      </c>
      <c r="I40" s="1080">
        <v>15920897646</v>
      </c>
      <c r="J40" s="1080">
        <v>0</v>
      </c>
      <c r="K40" s="1080">
        <v>5554061850</v>
      </c>
      <c r="L40" s="1080">
        <v>10366835796</v>
      </c>
      <c r="N40" s="2177">
        <v>42089990</v>
      </c>
      <c r="O40" s="2178" t="s">
        <v>2185</v>
      </c>
      <c r="P40" s="2179">
        <v>6916984313</v>
      </c>
      <c r="Q40" s="2179">
        <v>0</v>
      </c>
      <c r="R40" s="2179">
        <v>0</v>
      </c>
      <c r="S40" s="2179">
        <v>9597600</v>
      </c>
      <c r="T40" s="2179">
        <v>2825526530</v>
      </c>
      <c r="U40" s="2179">
        <v>9752108443</v>
      </c>
      <c r="V40" s="2179">
        <v>0</v>
      </c>
      <c r="W40" s="2179">
        <v>3150900928</v>
      </c>
      <c r="X40" s="2179">
        <v>6601207515</v>
      </c>
      <c r="Z40" s="2177">
        <v>42089990</v>
      </c>
      <c r="AA40" s="2178" t="s">
        <v>2185</v>
      </c>
      <c r="AB40" s="2179">
        <v>11074429815</v>
      </c>
      <c r="AC40" s="2179">
        <v>0</v>
      </c>
      <c r="AD40" s="2179">
        <v>0</v>
      </c>
      <c r="AE40" s="2179">
        <v>39753418</v>
      </c>
      <c r="AF40" s="2179">
        <v>6735424971</v>
      </c>
      <c r="AG40" s="2179">
        <v>17849608204</v>
      </c>
      <c r="AH40" s="2179">
        <v>0</v>
      </c>
      <c r="AI40" s="2179">
        <v>6167511882</v>
      </c>
      <c r="AJ40" s="2179">
        <v>11682096322</v>
      </c>
      <c r="AL40" s="1078">
        <v>42089990</v>
      </c>
      <c r="AM40" s="1079" t="s">
        <v>2185</v>
      </c>
      <c r="AN40" s="1080">
        <v>8436851922</v>
      </c>
      <c r="AO40" s="1080">
        <v>0</v>
      </c>
      <c r="AP40" s="1080">
        <v>0</v>
      </c>
      <c r="AQ40" s="1080">
        <v>17400158</v>
      </c>
      <c r="AR40" s="1080">
        <v>5375773089</v>
      </c>
      <c r="AS40" s="1080">
        <v>13830025169</v>
      </c>
      <c r="AT40" s="1080">
        <v>0</v>
      </c>
      <c r="AU40" s="1080">
        <v>4982400999</v>
      </c>
      <c r="AV40" s="1080">
        <v>8847624170</v>
      </c>
      <c r="AW40" s="1073"/>
      <c r="AX40" s="1074">
        <v>8847624170</v>
      </c>
      <c r="AZ40" s="1078">
        <v>42089990</v>
      </c>
      <c r="BA40" s="1079" t="s">
        <v>2185</v>
      </c>
      <c r="BB40" s="1080">
        <v>14620976671</v>
      </c>
      <c r="BC40" s="1080">
        <v>0</v>
      </c>
      <c r="BD40" s="1080">
        <v>0</v>
      </c>
      <c r="BE40" s="1080">
        <v>25914315</v>
      </c>
      <c r="BF40" s="1080">
        <v>6733078562</v>
      </c>
      <c r="BG40" s="1080">
        <v>21379969548</v>
      </c>
      <c r="BH40" s="1080">
        <v>0</v>
      </c>
      <c r="BI40" s="1080">
        <v>5963655064</v>
      </c>
      <c r="BJ40" s="1080">
        <v>15416314484</v>
      </c>
      <c r="BK40" s="1073"/>
      <c r="BL40" s="1074">
        <v>15416314484</v>
      </c>
      <c r="BN40" s="1078">
        <v>42089990</v>
      </c>
      <c r="BO40" s="1079" t="s">
        <v>2185</v>
      </c>
      <c r="BP40" s="1080">
        <v>18817672313</v>
      </c>
      <c r="BQ40" s="1080">
        <v>0</v>
      </c>
      <c r="BR40" s="1080">
        <v>0</v>
      </c>
      <c r="BS40" s="1080">
        <v>28927287</v>
      </c>
      <c r="BT40" s="1080">
        <v>11564478491</v>
      </c>
      <c r="BU40" s="1080">
        <v>30411078091</v>
      </c>
      <c r="BV40" s="1080">
        <v>-1492200</v>
      </c>
      <c r="BW40" s="1080">
        <v>0</v>
      </c>
      <c r="BX40" s="1080">
        <v>30409585891</v>
      </c>
      <c r="BY40" s="1073"/>
      <c r="BZ40" s="1074">
        <v>30409585891</v>
      </c>
      <c r="CB40" s="1078">
        <v>42089990</v>
      </c>
      <c r="CC40" s="1079" t="s">
        <v>2185</v>
      </c>
      <c r="CD40" s="1080">
        <v>0</v>
      </c>
      <c r="CE40" s="1080">
        <v>0</v>
      </c>
      <c r="CF40" s="1080">
        <v>0</v>
      </c>
      <c r="CG40" s="1080">
        <v>0</v>
      </c>
      <c r="CH40" s="1080">
        <v>0</v>
      </c>
      <c r="CI40" s="1080">
        <v>27912048</v>
      </c>
      <c r="CJ40" s="1080">
        <v>11808286849</v>
      </c>
      <c r="CK40" s="1080">
        <v>11836198897</v>
      </c>
      <c r="CL40" s="1080">
        <v>0</v>
      </c>
      <c r="CM40" s="1080">
        <v>0</v>
      </c>
      <c r="CN40" s="1080">
        <v>11836198897</v>
      </c>
      <c r="CO40" s="1073"/>
      <c r="CP40" s="1074">
        <v>11836198897</v>
      </c>
    </row>
    <row r="41" spans="2:94">
      <c r="B41" s="1075">
        <v>42099000</v>
      </c>
      <c r="C41" s="1076" t="s">
        <v>2500</v>
      </c>
      <c r="D41" s="1077">
        <v>0</v>
      </c>
      <c r="E41" s="1077">
        <v>0</v>
      </c>
      <c r="F41" s="1077">
        <v>0</v>
      </c>
      <c r="G41" s="1077">
        <v>0</v>
      </c>
      <c r="H41" s="1077">
        <v>0</v>
      </c>
      <c r="I41" s="1077">
        <v>0</v>
      </c>
      <c r="J41" s="1077">
        <v>0</v>
      </c>
      <c r="K41" s="1077">
        <v>0</v>
      </c>
      <c r="L41" s="1077">
        <v>0</v>
      </c>
      <c r="N41" s="2174">
        <v>42099000</v>
      </c>
      <c r="O41" s="2175" t="s">
        <v>2500</v>
      </c>
      <c r="P41" s="2176">
        <v>0</v>
      </c>
      <c r="Q41" s="2176">
        <v>0</v>
      </c>
      <c r="R41" s="2176">
        <v>0</v>
      </c>
      <c r="S41" s="2176">
        <v>0</v>
      </c>
      <c r="T41" s="2176">
        <v>0</v>
      </c>
      <c r="U41" s="2176">
        <v>0</v>
      </c>
      <c r="V41" s="2176">
        <v>0</v>
      </c>
      <c r="W41" s="2176">
        <v>0</v>
      </c>
      <c r="X41" s="2176">
        <v>0</v>
      </c>
      <c r="Z41" s="2174">
        <v>42099000</v>
      </c>
      <c r="AA41" s="2175" t="s">
        <v>2500</v>
      </c>
      <c r="AB41" s="2176">
        <v>0</v>
      </c>
      <c r="AC41" s="2176">
        <v>0</v>
      </c>
      <c r="AD41" s="2176">
        <v>0</v>
      </c>
      <c r="AE41" s="2176">
        <v>0</v>
      </c>
      <c r="AF41" s="2176">
        <v>0</v>
      </c>
      <c r="AG41" s="2176">
        <v>0</v>
      </c>
      <c r="AH41" s="2176">
        <v>0</v>
      </c>
      <c r="AI41" s="2176">
        <v>0</v>
      </c>
      <c r="AJ41" s="2176">
        <v>0</v>
      </c>
      <c r="AL41" s="1075">
        <v>42099000</v>
      </c>
      <c r="AM41" s="1076" t="s">
        <v>2500</v>
      </c>
      <c r="AN41" s="1077">
        <v>0</v>
      </c>
      <c r="AO41" s="1077">
        <v>0</v>
      </c>
      <c r="AP41" s="1077">
        <v>0</v>
      </c>
      <c r="AQ41" s="1077">
        <v>0</v>
      </c>
      <c r="AR41" s="1077">
        <v>0</v>
      </c>
      <c r="AS41" s="1077">
        <v>0</v>
      </c>
      <c r="AT41" s="1077">
        <v>0</v>
      </c>
      <c r="AU41" s="1077">
        <v>0</v>
      </c>
      <c r="AV41" s="1077">
        <v>0</v>
      </c>
      <c r="AW41" s="1073"/>
      <c r="AX41" s="1074"/>
      <c r="AZ41" s="1075">
        <v>42099000</v>
      </c>
      <c r="BA41" s="1076" t="s">
        <v>2500</v>
      </c>
      <c r="BB41" s="1077">
        <v>0</v>
      </c>
      <c r="BC41" s="1077">
        <v>0</v>
      </c>
      <c r="BD41" s="1077">
        <v>0</v>
      </c>
      <c r="BE41" s="1077">
        <v>0</v>
      </c>
      <c r="BF41" s="1077">
        <v>0</v>
      </c>
      <c r="BG41" s="1077">
        <v>0</v>
      </c>
      <c r="BH41" s="1077">
        <v>0</v>
      </c>
      <c r="BI41" s="1077">
        <v>0</v>
      </c>
      <c r="BJ41" s="1077">
        <v>0</v>
      </c>
      <c r="BK41" s="1073"/>
      <c r="BL41" s="1074"/>
      <c r="BN41" s="1075">
        <v>42099000</v>
      </c>
      <c r="BO41" s="1076" t="s">
        <v>2500</v>
      </c>
      <c r="BP41" s="1077">
        <v>0</v>
      </c>
      <c r="BQ41" s="1077">
        <v>0</v>
      </c>
      <c r="BR41" s="1077">
        <v>0</v>
      </c>
      <c r="BS41" s="1077">
        <v>0</v>
      </c>
      <c r="BT41" s="1077">
        <v>0</v>
      </c>
      <c r="BU41" s="1077">
        <v>0</v>
      </c>
      <c r="BV41" s="1077">
        <v>0</v>
      </c>
      <c r="BW41" s="1077">
        <v>0</v>
      </c>
      <c r="BX41" s="1077">
        <v>0</v>
      </c>
      <c r="BY41" s="1073"/>
      <c r="BZ41" s="1074"/>
      <c r="CB41" s="1075">
        <v>42099000</v>
      </c>
      <c r="CC41" s="1076" t="s">
        <v>2500</v>
      </c>
      <c r="CD41" s="1077">
        <v>0</v>
      </c>
      <c r="CE41" s="1077">
        <v>0</v>
      </c>
      <c r="CF41" s="1077">
        <v>0</v>
      </c>
      <c r="CG41" s="1077">
        <v>0</v>
      </c>
      <c r="CH41" s="1077">
        <v>0</v>
      </c>
      <c r="CI41" s="1077">
        <v>0</v>
      </c>
      <c r="CJ41" s="1077">
        <v>0</v>
      </c>
      <c r="CK41" s="1077">
        <v>0</v>
      </c>
      <c r="CL41" s="1077">
        <v>0</v>
      </c>
      <c r="CM41" s="1077">
        <v>0</v>
      </c>
      <c r="CN41" s="1077">
        <v>0</v>
      </c>
      <c r="CO41" s="1073"/>
      <c r="CP41" s="1074"/>
    </row>
    <row r="42" spans="2:94">
      <c r="B42" s="1078">
        <v>42099010</v>
      </c>
      <c r="C42" s="1079" t="s">
        <v>2501</v>
      </c>
      <c r="D42" s="1080">
        <v>0</v>
      </c>
      <c r="E42" s="1080">
        <v>0</v>
      </c>
      <c r="F42" s="1080">
        <v>0</v>
      </c>
      <c r="G42" s="1080">
        <v>0</v>
      </c>
      <c r="H42" s="1080">
        <v>0</v>
      </c>
      <c r="I42" s="1080">
        <v>0</v>
      </c>
      <c r="J42" s="1080">
        <v>0</v>
      </c>
      <c r="K42" s="1080">
        <v>0</v>
      </c>
      <c r="L42" s="1080">
        <v>0</v>
      </c>
      <c r="N42" s="2177">
        <v>42099010</v>
      </c>
      <c r="O42" s="2178" t="s">
        <v>2500</v>
      </c>
      <c r="P42" s="2179">
        <v>0</v>
      </c>
      <c r="Q42" s="2179">
        <v>0</v>
      </c>
      <c r="R42" s="2179">
        <v>0</v>
      </c>
      <c r="S42" s="2179">
        <v>0</v>
      </c>
      <c r="T42" s="2179">
        <v>0</v>
      </c>
      <c r="U42" s="2179">
        <v>0</v>
      </c>
      <c r="V42" s="2179">
        <v>0</v>
      </c>
      <c r="W42" s="2179">
        <v>0</v>
      </c>
      <c r="X42" s="2179">
        <v>0</v>
      </c>
      <c r="Z42" s="2177">
        <v>42099010</v>
      </c>
      <c r="AA42" s="2178" t="s">
        <v>2500</v>
      </c>
      <c r="AB42" s="2179">
        <v>0</v>
      </c>
      <c r="AC42" s="2179">
        <v>0</v>
      </c>
      <c r="AD42" s="2179">
        <v>0</v>
      </c>
      <c r="AE42" s="2179">
        <v>0</v>
      </c>
      <c r="AF42" s="2179">
        <v>0</v>
      </c>
      <c r="AG42" s="2179">
        <v>0</v>
      </c>
      <c r="AH42" s="2179">
        <v>0</v>
      </c>
      <c r="AI42" s="2179">
        <v>0</v>
      </c>
      <c r="AJ42" s="2179">
        <v>0</v>
      </c>
      <c r="AL42" s="1078">
        <v>42099010</v>
      </c>
      <c r="AM42" s="1079" t="s">
        <v>2501</v>
      </c>
      <c r="AN42" s="1080">
        <v>0</v>
      </c>
      <c r="AO42" s="1080">
        <v>0</v>
      </c>
      <c r="AP42" s="1080">
        <v>0</v>
      </c>
      <c r="AQ42" s="1080">
        <v>0</v>
      </c>
      <c r="AR42" s="1080">
        <v>0</v>
      </c>
      <c r="AS42" s="1080">
        <v>0</v>
      </c>
      <c r="AT42" s="1080">
        <v>0</v>
      </c>
      <c r="AU42" s="1080">
        <v>0</v>
      </c>
      <c r="AV42" s="1080">
        <v>0</v>
      </c>
      <c r="AW42" s="1073"/>
      <c r="AX42" s="1074">
        <v>0</v>
      </c>
      <c r="AZ42" s="1078">
        <v>42099010</v>
      </c>
      <c r="BA42" s="1079" t="s">
        <v>2501</v>
      </c>
      <c r="BB42" s="1080">
        <v>0</v>
      </c>
      <c r="BC42" s="1080">
        <v>0</v>
      </c>
      <c r="BD42" s="1080">
        <v>0</v>
      </c>
      <c r="BE42" s="1080">
        <v>0</v>
      </c>
      <c r="BF42" s="1080">
        <v>0</v>
      </c>
      <c r="BG42" s="1080">
        <v>0</v>
      </c>
      <c r="BH42" s="1080">
        <v>0</v>
      </c>
      <c r="BI42" s="1080">
        <v>0</v>
      </c>
      <c r="BJ42" s="1080">
        <v>0</v>
      </c>
      <c r="BK42" s="1073"/>
      <c r="BL42" s="1074">
        <v>0</v>
      </c>
      <c r="BN42" s="1078">
        <v>42099010</v>
      </c>
      <c r="BO42" s="1079" t="s">
        <v>2501</v>
      </c>
      <c r="BP42" s="1080">
        <v>0</v>
      </c>
      <c r="BQ42" s="1080">
        <v>0</v>
      </c>
      <c r="BR42" s="1080">
        <v>0</v>
      </c>
      <c r="BS42" s="1080">
        <v>0</v>
      </c>
      <c r="BT42" s="1080">
        <v>0</v>
      </c>
      <c r="BU42" s="1080">
        <v>0</v>
      </c>
      <c r="BV42" s="1080">
        <v>0</v>
      </c>
      <c r="BW42" s="1080">
        <v>0</v>
      </c>
      <c r="BX42" s="1080">
        <v>0</v>
      </c>
      <c r="BY42" s="1073"/>
      <c r="BZ42" s="1074">
        <v>0</v>
      </c>
      <c r="CB42" s="1078">
        <v>42099010</v>
      </c>
      <c r="CC42" s="1079" t="s">
        <v>2501</v>
      </c>
      <c r="CD42" s="1080">
        <v>0</v>
      </c>
      <c r="CE42" s="1080">
        <v>0</v>
      </c>
      <c r="CF42" s="1080">
        <v>0</v>
      </c>
      <c r="CG42" s="1080">
        <v>0</v>
      </c>
      <c r="CH42" s="1080">
        <v>0</v>
      </c>
      <c r="CI42" s="1080">
        <v>0</v>
      </c>
      <c r="CJ42" s="1080">
        <v>0</v>
      </c>
      <c r="CK42" s="1080">
        <v>0</v>
      </c>
      <c r="CL42" s="1080">
        <v>0</v>
      </c>
      <c r="CM42" s="1080">
        <v>0</v>
      </c>
      <c r="CN42" s="1080">
        <v>0</v>
      </c>
      <c r="CO42" s="1073"/>
      <c r="CP42" s="1074">
        <v>0</v>
      </c>
    </row>
    <row r="43" spans="2:94">
      <c r="B43" s="1070">
        <v>49000000</v>
      </c>
      <c r="C43" s="1071" t="s">
        <v>142</v>
      </c>
      <c r="D43" s="1072">
        <v>302555111469</v>
      </c>
      <c r="E43" s="1072">
        <v>5503431396</v>
      </c>
      <c r="F43" s="1072">
        <v>20613517114</v>
      </c>
      <c r="G43" s="1072">
        <v>3738941980</v>
      </c>
      <c r="H43" s="1072">
        <v>2937041361</v>
      </c>
      <c r="I43" s="1072">
        <v>335348043320</v>
      </c>
      <c r="J43" s="1072">
        <v>0</v>
      </c>
      <c r="K43" s="1072">
        <v>0</v>
      </c>
      <c r="L43" s="1072">
        <v>333068062275</v>
      </c>
      <c r="N43" s="2171">
        <v>49000000</v>
      </c>
      <c r="O43" s="2172" t="s">
        <v>142</v>
      </c>
      <c r="P43" s="2173">
        <v>172006454962</v>
      </c>
      <c r="Q43" s="2173">
        <v>3783062638</v>
      </c>
      <c r="R43" s="2173">
        <v>15354814080</v>
      </c>
      <c r="S43" s="2173">
        <v>2636878002</v>
      </c>
      <c r="T43" s="2173">
        <v>1539122095</v>
      </c>
      <c r="U43" s="2173">
        <v>195320331777</v>
      </c>
      <c r="V43" s="2173">
        <v>0</v>
      </c>
      <c r="W43" s="2173">
        <v>0</v>
      </c>
      <c r="X43" s="2173">
        <v>192432012623</v>
      </c>
      <c r="Z43" s="2171">
        <v>49000000</v>
      </c>
      <c r="AA43" s="2172" t="s">
        <v>142</v>
      </c>
      <c r="AB43" s="2173">
        <v>275139733745</v>
      </c>
      <c r="AC43" s="2173">
        <v>9757796809</v>
      </c>
      <c r="AD43" s="2173">
        <v>33111409991</v>
      </c>
      <c r="AE43" s="2173">
        <v>3946145402</v>
      </c>
      <c r="AF43" s="2173">
        <v>1752147385</v>
      </c>
      <c r="AG43" s="2173">
        <v>323707233332</v>
      </c>
      <c r="AH43" s="2173">
        <v>0</v>
      </c>
      <c r="AI43" s="2173">
        <v>0</v>
      </c>
      <c r="AJ43" s="2173">
        <v>323466263753</v>
      </c>
      <c r="AL43" s="1070">
        <v>49000000</v>
      </c>
      <c r="AM43" s="1071" t="s">
        <v>142</v>
      </c>
      <c r="AN43" s="1072">
        <v>232261562646</v>
      </c>
      <c r="AO43" s="1072">
        <v>7577736799</v>
      </c>
      <c r="AP43" s="1072">
        <v>21556183811</v>
      </c>
      <c r="AQ43" s="1072">
        <v>3027116406</v>
      </c>
      <c r="AR43" s="1072">
        <v>1548198350</v>
      </c>
      <c r="AS43" s="1072">
        <v>265970798012</v>
      </c>
      <c r="AT43" s="1072">
        <v>0</v>
      </c>
      <c r="AU43" s="1072">
        <v>0</v>
      </c>
      <c r="AV43" s="1072">
        <v>259854399176</v>
      </c>
      <c r="AW43" s="1073"/>
      <c r="AX43" s="1074"/>
      <c r="AZ43" s="1070">
        <v>49000000</v>
      </c>
      <c r="BA43" s="1071" t="s">
        <v>142</v>
      </c>
      <c r="BB43" s="1072">
        <v>372845133801</v>
      </c>
      <c r="BC43" s="1072">
        <v>10275192506</v>
      </c>
      <c r="BD43" s="1072">
        <v>23906364171</v>
      </c>
      <c r="BE43" s="1072">
        <v>3925454301</v>
      </c>
      <c r="BF43" s="1072">
        <v>3430696820</v>
      </c>
      <c r="BG43" s="1072">
        <v>414382841599</v>
      </c>
      <c r="BH43" s="1072">
        <v>0</v>
      </c>
      <c r="BI43" s="1072">
        <v>0</v>
      </c>
      <c r="BJ43" s="1072">
        <v>411361060042</v>
      </c>
      <c r="BK43" s="1073"/>
      <c r="BL43" s="1074"/>
      <c r="BN43" s="1070">
        <v>49000000</v>
      </c>
      <c r="BO43" s="1071" t="s">
        <v>142</v>
      </c>
      <c r="BP43" s="1072">
        <v>326887166875</v>
      </c>
      <c r="BQ43" s="1072">
        <v>6515568938</v>
      </c>
      <c r="BR43" s="1072">
        <v>19288748524</v>
      </c>
      <c r="BS43" s="1072">
        <v>2493709742</v>
      </c>
      <c r="BT43" s="1072">
        <v>3380675205</v>
      </c>
      <c r="BU43" s="1072">
        <v>358565869284</v>
      </c>
      <c r="BV43" s="1072">
        <v>0</v>
      </c>
      <c r="BW43" s="1072">
        <v>0</v>
      </c>
      <c r="BX43" s="1072">
        <v>348802798442</v>
      </c>
      <c r="BY43" s="1073"/>
      <c r="BZ43" s="1074"/>
      <c r="CB43" s="1070">
        <v>49000000</v>
      </c>
      <c r="CC43" s="1071" t="s">
        <v>142</v>
      </c>
      <c r="CD43" s="1072">
        <v>278141575672</v>
      </c>
      <c r="CE43" s="1072">
        <v>6106442531</v>
      </c>
      <c r="CF43" s="1072">
        <v>0</v>
      </c>
      <c r="CG43" s="1072">
        <v>17089093537</v>
      </c>
      <c r="CH43" s="1072">
        <v>0</v>
      </c>
      <c r="CI43" s="1072">
        <v>2461802863</v>
      </c>
      <c r="CJ43" s="1072">
        <v>2414147222</v>
      </c>
      <c r="CK43" s="1072">
        <v>306213061825</v>
      </c>
      <c r="CL43" s="1072">
        <v>0</v>
      </c>
      <c r="CM43" s="1072">
        <v>0</v>
      </c>
      <c r="CN43" s="1072">
        <v>296016379095</v>
      </c>
      <c r="CO43" s="1073"/>
      <c r="CP43" s="1074"/>
    </row>
    <row r="44" spans="2:94">
      <c r="B44" s="1070">
        <v>60000000</v>
      </c>
      <c r="C44" s="1071" t="s">
        <v>143</v>
      </c>
      <c r="D44" s="1072">
        <v>62738936356</v>
      </c>
      <c r="E44" s="1072">
        <v>2123959648</v>
      </c>
      <c r="F44" s="1072">
        <v>1997398961</v>
      </c>
      <c r="G44" s="1072">
        <v>1698970180</v>
      </c>
      <c r="H44" s="1072">
        <v>382059547</v>
      </c>
      <c r="I44" s="1072">
        <v>68941324692</v>
      </c>
      <c r="J44" s="1072">
        <v>0</v>
      </c>
      <c r="K44" s="1072">
        <v>0</v>
      </c>
      <c r="L44" s="1072">
        <v>68903419282</v>
      </c>
      <c r="N44" s="2171">
        <v>60000000</v>
      </c>
      <c r="O44" s="2172" t="s">
        <v>143</v>
      </c>
      <c r="P44" s="2173">
        <v>40104589583</v>
      </c>
      <c r="Q44" s="2173">
        <v>1397179916</v>
      </c>
      <c r="R44" s="2173">
        <v>1369349893</v>
      </c>
      <c r="S44" s="2173">
        <v>1138220585</v>
      </c>
      <c r="T44" s="2173">
        <v>250716078</v>
      </c>
      <c r="U44" s="2173">
        <v>44260056055</v>
      </c>
      <c r="V44" s="2173">
        <v>0</v>
      </c>
      <c r="W44" s="2173">
        <v>0</v>
      </c>
      <c r="X44" s="2173">
        <v>44233926055</v>
      </c>
      <c r="Z44" s="2171">
        <v>60000000</v>
      </c>
      <c r="AA44" s="2172" t="s">
        <v>143</v>
      </c>
      <c r="AB44" s="2173">
        <v>86285928556</v>
      </c>
      <c r="AC44" s="2173">
        <v>3272573641</v>
      </c>
      <c r="AD44" s="2173">
        <v>2736445326</v>
      </c>
      <c r="AE44" s="2173">
        <v>2154721165</v>
      </c>
      <c r="AF44" s="2173">
        <v>536693502</v>
      </c>
      <c r="AG44" s="2173">
        <v>94986362190</v>
      </c>
      <c r="AH44" s="2173">
        <v>0</v>
      </c>
      <c r="AI44" s="2173">
        <v>0</v>
      </c>
      <c r="AJ44" s="2173">
        <v>94880853171</v>
      </c>
      <c r="AL44" s="1070">
        <v>60000000</v>
      </c>
      <c r="AM44" s="1071" t="s">
        <v>143</v>
      </c>
      <c r="AN44" s="1072">
        <v>62043343494</v>
      </c>
      <c r="AO44" s="1072">
        <v>2221029572</v>
      </c>
      <c r="AP44" s="1072">
        <v>1965582932</v>
      </c>
      <c r="AQ44" s="1072">
        <v>1619857608</v>
      </c>
      <c r="AR44" s="1072">
        <v>395742567</v>
      </c>
      <c r="AS44" s="1072">
        <v>68245556173</v>
      </c>
      <c r="AT44" s="1072">
        <v>0</v>
      </c>
      <c r="AU44" s="1072">
        <v>0</v>
      </c>
      <c r="AV44" s="1072">
        <v>68151668364</v>
      </c>
      <c r="AW44" s="1073"/>
      <c r="AX44" s="1074"/>
      <c r="AZ44" s="1070">
        <v>60000000</v>
      </c>
      <c r="BA44" s="1071" t="s">
        <v>143</v>
      </c>
      <c r="BB44" s="1072">
        <v>88063900545</v>
      </c>
      <c r="BC44" s="1072">
        <v>2400191734</v>
      </c>
      <c r="BD44" s="1072">
        <v>2778489520</v>
      </c>
      <c r="BE44" s="1072">
        <v>2066248754</v>
      </c>
      <c r="BF44" s="1072">
        <v>602043724</v>
      </c>
      <c r="BG44" s="1072">
        <v>95910874277</v>
      </c>
      <c r="BH44" s="1072">
        <v>0</v>
      </c>
      <c r="BI44" s="1072">
        <v>0</v>
      </c>
      <c r="BJ44" s="1072">
        <v>95923831160</v>
      </c>
      <c r="BK44" s="1073"/>
      <c r="BL44" s="1074"/>
      <c r="BN44" s="1070">
        <v>60000000</v>
      </c>
      <c r="BO44" s="1071" t="s">
        <v>143</v>
      </c>
      <c r="BP44" s="1072">
        <v>88383691806</v>
      </c>
      <c r="BQ44" s="1072">
        <v>2424553445</v>
      </c>
      <c r="BR44" s="1072">
        <v>-2162889277</v>
      </c>
      <c r="BS44" s="1072">
        <v>1934155838</v>
      </c>
      <c r="BT44" s="1072">
        <v>597696493</v>
      </c>
      <c r="BU44" s="1072">
        <v>91177208305</v>
      </c>
      <c r="BV44" s="1072">
        <v>0</v>
      </c>
      <c r="BW44" s="1072">
        <v>0</v>
      </c>
      <c r="BX44" s="1072">
        <v>80621196294</v>
      </c>
      <c r="BY44" s="1073"/>
      <c r="BZ44" s="1074"/>
      <c r="CB44" s="1070">
        <v>60000000</v>
      </c>
      <c r="CC44" s="1071" t="s">
        <v>143</v>
      </c>
      <c r="CD44" s="1072">
        <v>103021112473</v>
      </c>
      <c r="CE44" s="1072">
        <v>2275052507</v>
      </c>
      <c r="CF44" s="1072">
        <v>0</v>
      </c>
      <c r="CG44" s="1072">
        <v>-14162509101</v>
      </c>
      <c r="CH44" s="1072">
        <v>0</v>
      </c>
      <c r="CI44" s="1072">
        <v>1830187475</v>
      </c>
      <c r="CJ44" s="1072">
        <v>542560385</v>
      </c>
      <c r="CK44" s="1072">
        <v>93506403739</v>
      </c>
      <c r="CL44" s="1072">
        <v>0</v>
      </c>
      <c r="CM44" s="1072">
        <v>0</v>
      </c>
      <c r="CN44" s="1072">
        <v>86289186329</v>
      </c>
      <c r="CO44" s="1073"/>
      <c r="CP44" s="1074"/>
    </row>
    <row r="45" spans="2:94">
      <c r="B45" s="1075">
        <v>61000000</v>
      </c>
      <c r="C45" s="1076" t="s">
        <v>143</v>
      </c>
      <c r="D45" s="1077">
        <v>62738936356</v>
      </c>
      <c r="E45" s="1077">
        <v>2123959648</v>
      </c>
      <c r="F45" s="1077">
        <v>1997398961</v>
      </c>
      <c r="G45" s="1077">
        <v>1698970180</v>
      </c>
      <c r="H45" s="1077">
        <v>382059547</v>
      </c>
      <c r="I45" s="1077">
        <v>68941324692</v>
      </c>
      <c r="J45" s="1077">
        <v>0</v>
      </c>
      <c r="K45" s="1077">
        <v>0</v>
      </c>
      <c r="L45" s="1077">
        <v>68903419282</v>
      </c>
      <c r="N45" s="2174">
        <v>61000000</v>
      </c>
      <c r="O45" s="2175" t="s">
        <v>143</v>
      </c>
      <c r="P45" s="2176">
        <v>40104589583</v>
      </c>
      <c r="Q45" s="2176">
        <v>1397179916</v>
      </c>
      <c r="R45" s="2176">
        <v>1369349893</v>
      </c>
      <c r="S45" s="2176">
        <v>1138220585</v>
      </c>
      <c r="T45" s="2176">
        <v>250716078</v>
      </c>
      <c r="U45" s="2176">
        <v>44260056055</v>
      </c>
      <c r="V45" s="2176">
        <v>0</v>
      </c>
      <c r="W45" s="2176">
        <v>0</v>
      </c>
      <c r="X45" s="2176">
        <v>44233926055</v>
      </c>
      <c r="Z45" s="2174">
        <v>61000000</v>
      </c>
      <c r="AA45" s="2175" t="s">
        <v>143</v>
      </c>
      <c r="AB45" s="2176">
        <v>86285928556</v>
      </c>
      <c r="AC45" s="2176">
        <v>3272573641</v>
      </c>
      <c r="AD45" s="2176">
        <v>2736445326</v>
      </c>
      <c r="AE45" s="2176">
        <v>2154721165</v>
      </c>
      <c r="AF45" s="2176">
        <v>536693502</v>
      </c>
      <c r="AG45" s="2176">
        <v>94986362190</v>
      </c>
      <c r="AH45" s="2176">
        <v>0</v>
      </c>
      <c r="AI45" s="2176">
        <v>0</v>
      </c>
      <c r="AJ45" s="2176">
        <v>94880853171</v>
      </c>
      <c r="AL45" s="1075">
        <v>61000000</v>
      </c>
      <c r="AM45" s="1076" t="s">
        <v>143</v>
      </c>
      <c r="AN45" s="1077">
        <v>62043343494</v>
      </c>
      <c r="AO45" s="1077">
        <v>2221029572</v>
      </c>
      <c r="AP45" s="1077">
        <v>1965582932</v>
      </c>
      <c r="AQ45" s="1077">
        <v>1619857608</v>
      </c>
      <c r="AR45" s="1077">
        <v>395742567</v>
      </c>
      <c r="AS45" s="1077">
        <v>68245556173</v>
      </c>
      <c r="AT45" s="1077">
        <v>0</v>
      </c>
      <c r="AU45" s="1077">
        <v>0</v>
      </c>
      <c r="AV45" s="1077">
        <v>68151668364</v>
      </c>
      <c r="AW45" s="1073"/>
      <c r="AX45" s="1074"/>
      <c r="AZ45" s="1075">
        <v>61000000</v>
      </c>
      <c r="BA45" s="1076" t="s">
        <v>143</v>
      </c>
      <c r="BB45" s="1077">
        <v>88063900545</v>
      </c>
      <c r="BC45" s="1077">
        <v>2400191734</v>
      </c>
      <c r="BD45" s="1077">
        <v>2778489520</v>
      </c>
      <c r="BE45" s="1077">
        <v>2066248754</v>
      </c>
      <c r="BF45" s="1077">
        <v>602043724</v>
      </c>
      <c r="BG45" s="1077">
        <v>95910874277</v>
      </c>
      <c r="BH45" s="1077">
        <v>0</v>
      </c>
      <c r="BI45" s="1077">
        <v>0</v>
      </c>
      <c r="BJ45" s="1077">
        <v>95923831160</v>
      </c>
      <c r="BK45" s="1073"/>
      <c r="BL45" s="1074"/>
      <c r="BN45" s="1075">
        <v>61000000</v>
      </c>
      <c r="BO45" s="1076" t="s">
        <v>143</v>
      </c>
      <c r="BP45" s="1077">
        <v>88383691806</v>
      </c>
      <c r="BQ45" s="1077">
        <v>2424553445</v>
      </c>
      <c r="BR45" s="1077">
        <v>-2162889277</v>
      </c>
      <c r="BS45" s="1077">
        <v>1934155838</v>
      </c>
      <c r="BT45" s="1077">
        <v>597696493</v>
      </c>
      <c r="BU45" s="1077">
        <v>91177208305</v>
      </c>
      <c r="BV45" s="1077">
        <v>0</v>
      </c>
      <c r="BW45" s="1077">
        <v>0</v>
      </c>
      <c r="BX45" s="1077">
        <v>80621196294</v>
      </c>
      <c r="BY45" s="1073"/>
      <c r="BZ45" s="1074"/>
      <c r="CB45" s="1075">
        <v>61000000</v>
      </c>
      <c r="CC45" s="1076" t="s">
        <v>143</v>
      </c>
      <c r="CD45" s="1077">
        <v>103021112473</v>
      </c>
      <c r="CE45" s="1077">
        <v>2275052507</v>
      </c>
      <c r="CF45" s="1077">
        <v>0</v>
      </c>
      <c r="CG45" s="1077">
        <v>-14162509101</v>
      </c>
      <c r="CH45" s="1077">
        <v>0</v>
      </c>
      <c r="CI45" s="1077">
        <v>1830187475</v>
      </c>
      <c r="CJ45" s="1077">
        <v>542560385</v>
      </c>
      <c r="CK45" s="1077">
        <v>93506403739</v>
      </c>
      <c r="CL45" s="1077">
        <v>0</v>
      </c>
      <c r="CM45" s="1077">
        <v>0</v>
      </c>
      <c r="CN45" s="1077">
        <v>86289186329</v>
      </c>
      <c r="CO45" s="1073"/>
      <c r="CP45" s="1074"/>
    </row>
    <row r="46" spans="2:94">
      <c r="B46" s="1078">
        <v>61000100</v>
      </c>
      <c r="C46" s="1079" t="s">
        <v>2502</v>
      </c>
      <c r="D46" s="1080">
        <v>7484740730</v>
      </c>
      <c r="E46" s="1080">
        <v>947696447</v>
      </c>
      <c r="F46" s="1080">
        <v>796192540</v>
      </c>
      <c r="G46" s="1080">
        <v>842861487</v>
      </c>
      <c r="H46" s="1080">
        <v>120932262</v>
      </c>
      <c r="I46" s="1080">
        <v>10192423466</v>
      </c>
      <c r="J46" s="1080">
        <v>0</v>
      </c>
      <c r="K46" s="1080">
        <v>0</v>
      </c>
      <c r="L46" s="1080">
        <v>10192423466</v>
      </c>
      <c r="N46" s="2177">
        <v>61000100</v>
      </c>
      <c r="O46" s="2178" t="s">
        <v>1376</v>
      </c>
      <c r="P46" s="2179">
        <v>4867398418</v>
      </c>
      <c r="Q46" s="2179">
        <v>616554906</v>
      </c>
      <c r="R46" s="2179">
        <v>534288350</v>
      </c>
      <c r="S46" s="2179">
        <v>554133898</v>
      </c>
      <c r="T46" s="2179">
        <v>77562578</v>
      </c>
      <c r="U46" s="2179">
        <v>6649938150</v>
      </c>
      <c r="V46" s="2179">
        <v>0</v>
      </c>
      <c r="W46" s="2179">
        <v>0</v>
      </c>
      <c r="X46" s="2179">
        <v>6649938150</v>
      </c>
      <c r="Z46" s="2177">
        <v>61000100</v>
      </c>
      <c r="AA46" s="2178" t="s">
        <v>1376</v>
      </c>
      <c r="AB46" s="2179">
        <v>9765731365</v>
      </c>
      <c r="AC46" s="2179">
        <v>1377889803</v>
      </c>
      <c r="AD46" s="2179">
        <v>974127950</v>
      </c>
      <c r="AE46" s="2179">
        <v>966489117</v>
      </c>
      <c r="AF46" s="2179">
        <v>155124216</v>
      </c>
      <c r="AG46" s="2179">
        <v>13239362451</v>
      </c>
      <c r="AH46" s="2179">
        <v>0</v>
      </c>
      <c r="AI46" s="2179">
        <v>0</v>
      </c>
      <c r="AJ46" s="2179">
        <v>13239362451</v>
      </c>
      <c r="AL46" s="1078">
        <v>61000100</v>
      </c>
      <c r="AM46" s="1079" t="s">
        <v>2502</v>
      </c>
      <c r="AN46" s="1080">
        <v>7411791715</v>
      </c>
      <c r="AO46" s="1080">
        <v>931075470</v>
      </c>
      <c r="AP46" s="1080">
        <v>719040430</v>
      </c>
      <c r="AQ46" s="1080">
        <v>720540843</v>
      </c>
      <c r="AR46" s="1080">
        <v>115060418</v>
      </c>
      <c r="AS46" s="1080">
        <v>9897508876</v>
      </c>
      <c r="AT46" s="1080">
        <v>0</v>
      </c>
      <c r="AU46" s="1080">
        <v>0</v>
      </c>
      <c r="AV46" s="1080">
        <v>9897508876</v>
      </c>
      <c r="AW46" s="1073"/>
      <c r="AX46" s="1074">
        <v>9897508876</v>
      </c>
      <c r="AZ46" s="1078">
        <v>61000100</v>
      </c>
      <c r="BA46" s="1079" t="s">
        <v>2502</v>
      </c>
      <c r="BB46" s="1080">
        <v>10185235468</v>
      </c>
      <c r="BC46" s="1080">
        <v>1097278123</v>
      </c>
      <c r="BD46" s="1080">
        <v>972818450</v>
      </c>
      <c r="BE46" s="1080">
        <v>931350248</v>
      </c>
      <c r="BF46" s="1080">
        <v>170061784</v>
      </c>
      <c r="BG46" s="1080">
        <v>13356744073</v>
      </c>
      <c r="BH46" s="1080">
        <v>0</v>
      </c>
      <c r="BI46" s="1080">
        <v>0</v>
      </c>
      <c r="BJ46" s="1080">
        <v>13356744073</v>
      </c>
      <c r="BK46" s="1073"/>
      <c r="BL46" s="1074">
        <v>13356744073</v>
      </c>
      <c r="BN46" s="1078">
        <v>61000100</v>
      </c>
      <c r="BO46" s="1079" t="s">
        <v>2502</v>
      </c>
      <c r="BP46" s="1080">
        <v>9813284622</v>
      </c>
      <c r="BQ46" s="1080">
        <v>1078055237</v>
      </c>
      <c r="BR46" s="1080">
        <v>894027148</v>
      </c>
      <c r="BS46" s="1080">
        <v>899808664</v>
      </c>
      <c r="BT46" s="1080">
        <v>217668069</v>
      </c>
      <c r="BU46" s="1080">
        <v>12902843740</v>
      </c>
      <c r="BV46" s="1080">
        <v>0</v>
      </c>
      <c r="BW46" s="1080">
        <v>0</v>
      </c>
      <c r="BX46" s="1080">
        <v>12902843740</v>
      </c>
      <c r="BY46" s="1073"/>
      <c r="BZ46" s="1074">
        <v>12902843740</v>
      </c>
      <c r="CB46" s="1078">
        <v>61000100</v>
      </c>
      <c r="CC46" s="1079" t="s">
        <v>2502</v>
      </c>
      <c r="CD46" s="1080">
        <v>9763482257</v>
      </c>
      <c r="CE46" s="1080">
        <v>875350420</v>
      </c>
      <c r="CF46" s="1080">
        <v>0</v>
      </c>
      <c r="CG46" s="1080">
        <v>745614020</v>
      </c>
      <c r="CH46" s="1080">
        <v>0</v>
      </c>
      <c r="CI46" s="1080">
        <v>806796453</v>
      </c>
      <c r="CJ46" s="1080">
        <v>159209946</v>
      </c>
      <c r="CK46" s="1080">
        <v>12350453096</v>
      </c>
      <c r="CL46" s="1080">
        <v>0</v>
      </c>
      <c r="CM46" s="1080">
        <v>0</v>
      </c>
      <c r="CN46" s="1080">
        <v>12350453096</v>
      </c>
      <c r="CO46" s="1073"/>
      <c r="CP46" s="1074">
        <v>12350453096</v>
      </c>
    </row>
    <row r="47" spans="2:94">
      <c r="B47" s="1078">
        <v>61000200</v>
      </c>
      <c r="C47" s="1079" t="s">
        <v>1377</v>
      </c>
      <c r="D47" s="1080">
        <v>7274784647</v>
      </c>
      <c r="E47" s="1080">
        <v>232557143</v>
      </c>
      <c r="F47" s="1080">
        <v>116514640</v>
      </c>
      <c r="G47" s="1080">
        <v>256285449</v>
      </c>
      <c r="H47" s="1080">
        <v>86906233</v>
      </c>
      <c r="I47" s="1080">
        <v>7967048112</v>
      </c>
      <c r="J47" s="1080">
        <v>0</v>
      </c>
      <c r="K47" s="1080">
        <v>0</v>
      </c>
      <c r="L47" s="1080">
        <v>7967048112</v>
      </c>
      <c r="N47" s="2177">
        <v>61000200</v>
      </c>
      <c r="O47" s="2178" t="s">
        <v>1377</v>
      </c>
      <c r="P47" s="2179">
        <v>4781611568</v>
      </c>
      <c r="Q47" s="2179">
        <v>144476642</v>
      </c>
      <c r="R47" s="2179">
        <v>77221040</v>
      </c>
      <c r="S47" s="2179">
        <v>167026319</v>
      </c>
      <c r="T47" s="2179">
        <v>53218517</v>
      </c>
      <c r="U47" s="2179">
        <v>5223554086</v>
      </c>
      <c r="V47" s="2179">
        <v>0</v>
      </c>
      <c r="W47" s="2179">
        <v>0</v>
      </c>
      <c r="X47" s="2179">
        <v>5223554086</v>
      </c>
      <c r="Z47" s="2177">
        <v>61000200</v>
      </c>
      <c r="AA47" s="2178" t="s">
        <v>1377</v>
      </c>
      <c r="AB47" s="2179">
        <v>14078115438</v>
      </c>
      <c r="AC47" s="2179">
        <v>351410292</v>
      </c>
      <c r="AD47" s="2179">
        <v>355361300</v>
      </c>
      <c r="AE47" s="2179">
        <v>391559467</v>
      </c>
      <c r="AF47" s="2179">
        <v>134432499</v>
      </c>
      <c r="AG47" s="2179">
        <v>15310878996</v>
      </c>
      <c r="AH47" s="2179">
        <v>0</v>
      </c>
      <c r="AI47" s="2179">
        <v>0</v>
      </c>
      <c r="AJ47" s="2179">
        <v>15310878996</v>
      </c>
      <c r="AL47" s="1078">
        <v>61000200</v>
      </c>
      <c r="AM47" s="1079" t="s">
        <v>1377</v>
      </c>
      <c r="AN47" s="1080">
        <v>10310415612</v>
      </c>
      <c r="AO47" s="1080">
        <v>194019526</v>
      </c>
      <c r="AP47" s="1080">
        <v>205540730</v>
      </c>
      <c r="AQ47" s="1080">
        <v>261027686</v>
      </c>
      <c r="AR47" s="1080">
        <v>104471139</v>
      </c>
      <c r="AS47" s="1080">
        <v>11075474693</v>
      </c>
      <c r="AT47" s="1080">
        <v>0</v>
      </c>
      <c r="AU47" s="1080">
        <v>0</v>
      </c>
      <c r="AV47" s="1080">
        <v>11075474693</v>
      </c>
      <c r="AW47" s="1073"/>
      <c r="AX47" s="1074">
        <v>11075474693</v>
      </c>
      <c r="AZ47" s="1078">
        <v>61000200</v>
      </c>
      <c r="BA47" s="1079" t="s">
        <v>1377</v>
      </c>
      <c r="BB47" s="1080">
        <v>15007730159</v>
      </c>
      <c r="BC47" s="1080">
        <v>328071838</v>
      </c>
      <c r="BD47" s="1080">
        <v>271234200</v>
      </c>
      <c r="BE47" s="1080">
        <v>348232124</v>
      </c>
      <c r="BF47" s="1080">
        <v>174634780</v>
      </c>
      <c r="BG47" s="1080">
        <v>16129903101</v>
      </c>
      <c r="BH47" s="1080">
        <v>0</v>
      </c>
      <c r="BI47" s="1080">
        <v>0</v>
      </c>
      <c r="BJ47" s="1080">
        <v>16129903101</v>
      </c>
      <c r="BK47" s="1073"/>
      <c r="BL47" s="1074">
        <v>16129903101</v>
      </c>
      <c r="BN47" s="1078">
        <v>61000200</v>
      </c>
      <c r="BO47" s="1079" t="s">
        <v>1377</v>
      </c>
      <c r="BP47" s="1080">
        <v>13220783230</v>
      </c>
      <c r="BQ47" s="1080">
        <v>236102903</v>
      </c>
      <c r="BR47" s="1080">
        <v>356743230</v>
      </c>
      <c r="BS47" s="1080">
        <v>313477597</v>
      </c>
      <c r="BT47" s="1080">
        <v>98426654</v>
      </c>
      <c r="BU47" s="1080">
        <v>14225533614</v>
      </c>
      <c r="BV47" s="1080">
        <v>0</v>
      </c>
      <c r="BW47" s="1080">
        <v>0</v>
      </c>
      <c r="BX47" s="1080">
        <v>14225533614</v>
      </c>
      <c r="BY47" s="1073"/>
      <c r="BZ47" s="1074">
        <v>14225533614</v>
      </c>
      <c r="CB47" s="1078">
        <v>61000200</v>
      </c>
      <c r="CC47" s="1079" t="s">
        <v>1377</v>
      </c>
      <c r="CD47" s="1080">
        <v>9551014450</v>
      </c>
      <c r="CE47" s="1080">
        <v>329557864</v>
      </c>
      <c r="CF47" s="1080">
        <v>0</v>
      </c>
      <c r="CG47" s="1080">
        <v>395658120</v>
      </c>
      <c r="CH47" s="1080">
        <v>0</v>
      </c>
      <c r="CI47" s="1080">
        <v>306958830</v>
      </c>
      <c r="CJ47" s="1080">
        <v>111314812</v>
      </c>
      <c r="CK47" s="1080">
        <v>10694504076</v>
      </c>
      <c r="CL47" s="1080">
        <v>0</v>
      </c>
      <c r="CM47" s="1080">
        <v>0</v>
      </c>
      <c r="CN47" s="1080">
        <v>10694504076</v>
      </c>
      <c r="CO47" s="1073"/>
      <c r="CP47" s="1074">
        <v>10694504076</v>
      </c>
    </row>
    <row r="48" spans="2:94">
      <c r="B48" s="1078">
        <v>61000300</v>
      </c>
      <c r="C48" s="1079" t="s">
        <v>1378</v>
      </c>
      <c r="D48" s="1080">
        <v>1503217088</v>
      </c>
      <c r="E48" s="1080">
        <v>109047483</v>
      </c>
      <c r="F48" s="1080">
        <v>115926435</v>
      </c>
      <c r="G48" s="1080">
        <v>74034000</v>
      </c>
      <c r="H48" s="1080">
        <v>18045801</v>
      </c>
      <c r="I48" s="1080">
        <v>1820270807</v>
      </c>
      <c r="J48" s="1080">
        <v>0</v>
      </c>
      <c r="K48" s="1080">
        <v>0</v>
      </c>
      <c r="L48" s="1080">
        <v>1820270807</v>
      </c>
      <c r="N48" s="2177">
        <v>61000300</v>
      </c>
      <c r="O48" s="2178" t="s">
        <v>1378</v>
      </c>
      <c r="P48" s="2179">
        <v>993393625</v>
      </c>
      <c r="Q48" s="2179">
        <v>72698322</v>
      </c>
      <c r="R48" s="2179">
        <v>77284290</v>
      </c>
      <c r="S48" s="2179">
        <v>49356000</v>
      </c>
      <c r="T48" s="2179">
        <v>12051627</v>
      </c>
      <c r="U48" s="2179">
        <v>1204783864</v>
      </c>
      <c r="V48" s="2179">
        <v>0</v>
      </c>
      <c r="W48" s="2179">
        <v>0</v>
      </c>
      <c r="X48" s="2179">
        <v>1204783864</v>
      </c>
      <c r="Z48" s="2177">
        <v>61000300</v>
      </c>
      <c r="AA48" s="2178" t="s">
        <v>1378</v>
      </c>
      <c r="AB48" s="2179">
        <v>1912622621</v>
      </c>
      <c r="AC48" s="2179">
        <v>137393219</v>
      </c>
      <c r="AD48" s="2179">
        <v>140005125</v>
      </c>
      <c r="AE48" s="2179">
        <v>82743538</v>
      </c>
      <c r="AF48" s="2179">
        <v>27487790</v>
      </c>
      <c r="AG48" s="2179">
        <v>2300252293</v>
      </c>
      <c r="AH48" s="2179">
        <v>0</v>
      </c>
      <c r="AI48" s="2179">
        <v>0</v>
      </c>
      <c r="AJ48" s="2179">
        <v>2300252293</v>
      </c>
      <c r="AL48" s="1078">
        <v>61000300</v>
      </c>
      <c r="AM48" s="1079" t="s">
        <v>1378</v>
      </c>
      <c r="AN48" s="1080">
        <v>1435499812</v>
      </c>
      <c r="AO48" s="1080">
        <v>103044906</v>
      </c>
      <c r="AP48" s="1080">
        <v>126604485</v>
      </c>
      <c r="AQ48" s="1080">
        <v>74034000</v>
      </c>
      <c r="AR48" s="1080">
        <v>20534995</v>
      </c>
      <c r="AS48" s="1080">
        <v>1759718198</v>
      </c>
      <c r="AT48" s="1080">
        <v>0</v>
      </c>
      <c r="AU48" s="1080">
        <v>0</v>
      </c>
      <c r="AV48" s="1080">
        <v>1759718198</v>
      </c>
      <c r="AW48" s="1073"/>
      <c r="AX48" s="1074">
        <v>1759718198</v>
      </c>
      <c r="AZ48" s="1078">
        <v>61000300</v>
      </c>
      <c r="BA48" s="1079" t="s">
        <v>1378</v>
      </c>
      <c r="BB48" s="1080">
        <v>2045474266</v>
      </c>
      <c r="BC48" s="1080">
        <v>145583247</v>
      </c>
      <c r="BD48" s="1080">
        <v>133892858</v>
      </c>
      <c r="BE48" s="1080">
        <v>92729000</v>
      </c>
      <c r="BF48" s="1080">
        <v>26203999</v>
      </c>
      <c r="BG48" s="1080">
        <v>2443883370</v>
      </c>
      <c r="BH48" s="1080">
        <v>0</v>
      </c>
      <c r="BI48" s="1080">
        <v>0</v>
      </c>
      <c r="BJ48" s="1080">
        <v>2443883370</v>
      </c>
      <c r="BK48" s="1073"/>
      <c r="BL48" s="1074">
        <v>2443883370</v>
      </c>
      <c r="BN48" s="1078">
        <v>61000300</v>
      </c>
      <c r="BO48" s="1079" t="s">
        <v>1378</v>
      </c>
      <c r="BP48" s="1080">
        <v>1988292790</v>
      </c>
      <c r="BQ48" s="1080">
        <v>131052959</v>
      </c>
      <c r="BR48" s="1080">
        <v>114700209</v>
      </c>
      <c r="BS48" s="1080">
        <v>119069833</v>
      </c>
      <c r="BT48" s="1080">
        <v>26058141</v>
      </c>
      <c r="BU48" s="1080">
        <v>2379173932</v>
      </c>
      <c r="BV48" s="1080">
        <v>0</v>
      </c>
      <c r="BW48" s="1080">
        <v>0</v>
      </c>
      <c r="BX48" s="1080">
        <v>2379173932</v>
      </c>
      <c r="BY48" s="1073"/>
      <c r="BZ48" s="1074">
        <v>2379173932</v>
      </c>
      <c r="CB48" s="1078">
        <v>61000300</v>
      </c>
      <c r="CC48" s="1079" t="s">
        <v>1378</v>
      </c>
      <c r="CD48" s="1080">
        <v>2453525715</v>
      </c>
      <c r="CE48" s="1080">
        <v>108080514</v>
      </c>
      <c r="CF48" s="1080">
        <v>0</v>
      </c>
      <c r="CG48" s="1080">
        <v>105818802</v>
      </c>
      <c r="CH48" s="1080">
        <v>0</v>
      </c>
      <c r="CI48" s="1080">
        <v>99961703</v>
      </c>
      <c r="CJ48" s="1080">
        <v>22000345</v>
      </c>
      <c r="CK48" s="1080">
        <v>2789387079</v>
      </c>
      <c r="CL48" s="1080">
        <v>0</v>
      </c>
      <c r="CM48" s="1080">
        <v>0</v>
      </c>
      <c r="CN48" s="1080">
        <v>2789387079</v>
      </c>
      <c r="CO48" s="1073"/>
      <c r="CP48" s="1074">
        <v>2789387079</v>
      </c>
    </row>
    <row r="49" spans="2:94">
      <c r="B49" s="1078">
        <v>61000400</v>
      </c>
      <c r="C49" s="1079" t="s">
        <v>2503</v>
      </c>
      <c r="D49" s="1080">
        <v>0</v>
      </c>
      <c r="E49" s="1080">
        <v>0</v>
      </c>
      <c r="F49" s="1080">
        <v>0</v>
      </c>
      <c r="G49" s="1080">
        <v>0</v>
      </c>
      <c r="H49" s="1080">
        <v>0</v>
      </c>
      <c r="I49" s="1080">
        <v>0</v>
      </c>
      <c r="J49" s="1080">
        <v>0</v>
      </c>
      <c r="K49" s="1080">
        <v>0</v>
      </c>
      <c r="L49" s="1080">
        <v>0</v>
      </c>
      <c r="N49" s="2177">
        <v>61000400</v>
      </c>
      <c r="O49" s="2178" t="s">
        <v>2503</v>
      </c>
      <c r="P49" s="2179">
        <v>0</v>
      </c>
      <c r="Q49" s="2179">
        <v>0</v>
      </c>
      <c r="R49" s="2179">
        <v>0</v>
      </c>
      <c r="S49" s="2179">
        <v>0</v>
      </c>
      <c r="T49" s="2179">
        <v>0</v>
      </c>
      <c r="U49" s="2179">
        <v>0</v>
      </c>
      <c r="V49" s="2179">
        <v>0</v>
      </c>
      <c r="W49" s="2179">
        <v>0</v>
      </c>
      <c r="X49" s="2179">
        <v>0</v>
      </c>
      <c r="Z49" s="2177">
        <v>61000400</v>
      </c>
      <c r="AA49" s="2178" t="s">
        <v>2503</v>
      </c>
      <c r="AB49" s="2179">
        <v>0</v>
      </c>
      <c r="AC49" s="2179">
        <v>0</v>
      </c>
      <c r="AD49" s="2179">
        <v>0</v>
      </c>
      <c r="AE49" s="2179">
        <v>0</v>
      </c>
      <c r="AF49" s="2179">
        <v>0</v>
      </c>
      <c r="AG49" s="2179">
        <v>0</v>
      </c>
      <c r="AH49" s="2179">
        <v>0</v>
      </c>
      <c r="AI49" s="2179">
        <v>0</v>
      </c>
      <c r="AJ49" s="2179">
        <v>0</v>
      </c>
      <c r="AL49" s="1078">
        <v>61000400</v>
      </c>
      <c r="AM49" s="1079" t="s">
        <v>2503</v>
      </c>
      <c r="AN49" s="1080">
        <v>0</v>
      </c>
      <c r="AO49" s="1080">
        <v>0</v>
      </c>
      <c r="AP49" s="1080">
        <v>0</v>
      </c>
      <c r="AQ49" s="1080">
        <v>0</v>
      </c>
      <c r="AR49" s="1080">
        <v>0</v>
      </c>
      <c r="AS49" s="1080">
        <v>0</v>
      </c>
      <c r="AT49" s="1080">
        <v>0</v>
      </c>
      <c r="AU49" s="1080">
        <v>0</v>
      </c>
      <c r="AV49" s="1080">
        <v>0</v>
      </c>
      <c r="AW49" s="1073"/>
      <c r="AX49" s="1074">
        <v>0</v>
      </c>
      <c r="AZ49" s="1078">
        <v>61000400</v>
      </c>
      <c r="BA49" s="1079" t="s">
        <v>2503</v>
      </c>
      <c r="BB49" s="1080">
        <v>0</v>
      </c>
      <c r="BC49" s="1080">
        <v>0</v>
      </c>
      <c r="BD49" s="1080">
        <v>0</v>
      </c>
      <c r="BE49" s="1080">
        <v>0</v>
      </c>
      <c r="BF49" s="1080">
        <v>0</v>
      </c>
      <c r="BG49" s="1080">
        <v>0</v>
      </c>
      <c r="BH49" s="1080">
        <v>0</v>
      </c>
      <c r="BI49" s="1080">
        <v>0</v>
      </c>
      <c r="BJ49" s="1080">
        <v>0</v>
      </c>
      <c r="BK49" s="1073"/>
      <c r="BL49" s="1074">
        <v>0</v>
      </c>
      <c r="BN49" s="1078">
        <v>61000400</v>
      </c>
      <c r="BO49" s="1079" t="s">
        <v>2503</v>
      </c>
      <c r="BP49" s="1080">
        <v>0</v>
      </c>
      <c r="BQ49" s="1080">
        <v>0</v>
      </c>
      <c r="BR49" s="1080">
        <v>0</v>
      </c>
      <c r="BS49" s="1080">
        <v>0</v>
      </c>
      <c r="BT49" s="1080">
        <v>0</v>
      </c>
      <c r="BU49" s="1080">
        <v>0</v>
      </c>
      <c r="BV49" s="1080">
        <v>0</v>
      </c>
      <c r="BW49" s="1080">
        <v>0</v>
      </c>
      <c r="BX49" s="1080">
        <v>0</v>
      </c>
      <c r="BY49" s="1073"/>
      <c r="BZ49" s="1074">
        <v>0</v>
      </c>
      <c r="CB49" s="1078">
        <v>61000400</v>
      </c>
      <c r="CC49" s="1079" t="s">
        <v>2503</v>
      </c>
      <c r="CD49" s="1080">
        <v>0</v>
      </c>
      <c r="CE49" s="1080">
        <v>0</v>
      </c>
      <c r="CF49" s="1080">
        <v>0</v>
      </c>
      <c r="CG49" s="1080">
        <v>0</v>
      </c>
      <c r="CH49" s="1080">
        <v>0</v>
      </c>
      <c r="CI49" s="1080">
        <v>0</v>
      </c>
      <c r="CJ49" s="1080">
        <v>0</v>
      </c>
      <c r="CK49" s="1080">
        <v>0</v>
      </c>
      <c r="CL49" s="1080">
        <v>0</v>
      </c>
      <c r="CM49" s="1080">
        <v>0</v>
      </c>
      <c r="CN49" s="1080">
        <v>0</v>
      </c>
      <c r="CO49" s="1073"/>
      <c r="CP49" s="1074">
        <v>0</v>
      </c>
    </row>
    <row r="50" spans="2:94">
      <c r="B50" s="1078">
        <v>61000500</v>
      </c>
      <c r="C50" s="1079" t="s">
        <v>1379</v>
      </c>
      <c r="D50" s="1080">
        <v>583017435</v>
      </c>
      <c r="E50" s="1080">
        <v>0</v>
      </c>
      <c r="F50" s="1080">
        <v>0</v>
      </c>
      <c r="G50" s="1080">
        <v>8619371</v>
      </c>
      <c r="H50" s="1080">
        <v>0</v>
      </c>
      <c r="I50" s="1080">
        <v>591636806</v>
      </c>
      <c r="J50" s="1080">
        <v>0</v>
      </c>
      <c r="K50" s="1080">
        <v>0</v>
      </c>
      <c r="L50" s="1080">
        <v>591636806</v>
      </c>
      <c r="N50" s="2177">
        <v>61000500</v>
      </c>
      <c r="O50" s="2178" t="s">
        <v>1379</v>
      </c>
      <c r="P50" s="2179">
        <v>387856957</v>
      </c>
      <c r="Q50" s="2179">
        <v>0</v>
      </c>
      <c r="R50" s="2179">
        <v>0</v>
      </c>
      <c r="S50" s="2179">
        <v>5465635</v>
      </c>
      <c r="T50" s="2179">
        <v>0</v>
      </c>
      <c r="U50" s="2179">
        <v>393322592</v>
      </c>
      <c r="V50" s="2179">
        <v>0</v>
      </c>
      <c r="W50" s="2179">
        <v>0</v>
      </c>
      <c r="X50" s="2179">
        <v>393322592</v>
      </c>
      <c r="Z50" s="2177">
        <v>61000500</v>
      </c>
      <c r="AA50" s="2178" t="s">
        <v>1379</v>
      </c>
      <c r="AB50" s="2179">
        <v>752296273</v>
      </c>
      <c r="AC50" s="2179">
        <v>0</v>
      </c>
      <c r="AD50" s="2179">
        <v>0</v>
      </c>
      <c r="AE50" s="2179">
        <v>10862427</v>
      </c>
      <c r="AF50" s="2179">
        <v>0</v>
      </c>
      <c r="AG50" s="2179">
        <v>763158700</v>
      </c>
      <c r="AH50" s="2179">
        <v>0</v>
      </c>
      <c r="AI50" s="2179">
        <v>0</v>
      </c>
      <c r="AJ50" s="2179">
        <v>763158700</v>
      </c>
      <c r="AL50" s="1078">
        <v>61000500</v>
      </c>
      <c r="AM50" s="1079" t="s">
        <v>1379</v>
      </c>
      <c r="AN50" s="1080">
        <v>562916310</v>
      </c>
      <c r="AO50" s="1080">
        <v>0</v>
      </c>
      <c r="AP50" s="1080">
        <v>0</v>
      </c>
      <c r="AQ50" s="1080">
        <v>8702311</v>
      </c>
      <c r="AR50" s="1080">
        <v>0</v>
      </c>
      <c r="AS50" s="1080">
        <v>571618621</v>
      </c>
      <c r="AT50" s="1080">
        <v>0</v>
      </c>
      <c r="AU50" s="1080">
        <v>0</v>
      </c>
      <c r="AV50" s="1080">
        <v>571618621</v>
      </c>
      <c r="AW50" s="1073"/>
      <c r="AX50" s="1074">
        <v>571618621</v>
      </c>
      <c r="AZ50" s="1078">
        <v>61000500</v>
      </c>
      <c r="BA50" s="1079" t="s">
        <v>1379</v>
      </c>
      <c r="BB50" s="1080">
        <v>750435831</v>
      </c>
      <c r="BC50" s="1080">
        <v>0</v>
      </c>
      <c r="BD50" s="1080">
        <v>0</v>
      </c>
      <c r="BE50" s="1080">
        <v>9909527</v>
      </c>
      <c r="BF50" s="1080">
        <v>0</v>
      </c>
      <c r="BG50" s="1080">
        <v>760345358</v>
      </c>
      <c r="BH50" s="1080">
        <v>0</v>
      </c>
      <c r="BI50" s="1080">
        <v>0</v>
      </c>
      <c r="BJ50" s="1080">
        <v>760345358</v>
      </c>
      <c r="BK50" s="1073"/>
      <c r="BL50" s="1074">
        <v>760345358</v>
      </c>
      <c r="BN50" s="1078">
        <v>61000500</v>
      </c>
      <c r="BO50" s="1079" t="s">
        <v>1379</v>
      </c>
      <c r="BP50" s="1080">
        <v>813400690</v>
      </c>
      <c r="BQ50" s="1080">
        <v>0</v>
      </c>
      <c r="BR50" s="1080">
        <v>0</v>
      </c>
      <c r="BS50" s="1080">
        <v>11948010</v>
      </c>
      <c r="BT50" s="1080">
        <v>0</v>
      </c>
      <c r="BU50" s="1080">
        <v>825348700</v>
      </c>
      <c r="BV50" s="1080">
        <v>0</v>
      </c>
      <c r="BW50" s="1080">
        <v>0</v>
      </c>
      <c r="BX50" s="1080">
        <v>825348700</v>
      </c>
      <c r="BY50" s="1073"/>
      <c r="BZ50" s="1074">
        <v>825348700</v>
      </c>
      <c r="CB50" s="1078">
        <v>61000500</v>
      </c>
      <c r="CC50" s="1079" t="s">
        <v>1379</v>
      </c>
      <c r="CD50" s="1080">
        <v>765927568</v>
      </c>
      <c r="CE50" s="1080">
        <v>0</v>
      </c>
      <c r="CF50" s="1080">
        <v>0</v>
      </c>
      <c r="CG50" s="1080">
        <v>0</v>
      </c>
      <c r="CH50" s="1080">
        <v>0</v>
      </c>
      <c r="CI50" s="1080">
        <v>8118114</v>
      </c>
      <c r="CJ50" s="1080">
        <v>0</v>
      </c>
      <c r="CK50" s="1080">
        <v>774045682</v>
      </c>
      <c r="CL50" s="1080">
        <v>0</v>
      </c>
      <c r="CM50" s="1080">
        <v>0</v>
      </c>
      <c r="CN50" s="1080">
        <v>774045682</v>
      </c>
      <c r="CO50" s="1073"/>
      <c r="CP50" s="1074">
        <v>774045682</v>
      </c>
    </row>
    <row r="51" spans="2:94">
      <c r="B51" s="1078">
        <v>61000600</v>
      </c>
      <c r="C51" s="1079" t="s">
        <v>1380</v>
      </c>
      <c r="D51" s="1080">
        <v>10891443967</v>
      </c>
      <c r="E51" s="1080">
        <v>70606584</v>
      </c>
      <c r="F51" s="1080">
        <v>603413353</v>
      </c>
      <c r="G51" s="1080">
        <v>0</v>
      </c>
      <c r="H51" s="1080">
        <v>0</v>
      </c>
      <c r="I51" s="1080">
        <v>11565463904</v>
      </c>
      <c r="J51" s="1080">
        <v>1859590</v>
      </c>
      <c r="K51" s="1080">
        <v>0</v>
      </c>
      <c r="L51" s="1080">
        <v>11567323494</v>
      </c>
      <c r="N51" s="2177">
        <v>61000600</v>
      </c>
      <c r="O51" s="2178" t="s">
        <v>1380</v>
      </c>
      <c r="P51" s="2179">
        <v>6758416113</v>
      </c>
      <c r="Q51" s="2179">
        <v>40683665</v>
      </c>
      <c r="R51" s="2179">
        <v>398991767</v>
      </c>
      <c r="S51" s="2179">
        <v>0</v>
      </c>
      <c r="T51" s="2179">
        <v>0</v>
      </c>
      <c r="U51" s="2179">
        <v>7198091545</v>
      </c>
      <c r="V51" s="2179">
        <v>300000</v>
      </c>
      <c r="W51" s="2179">
        <v>0</v>
      </c>
      <c r="X51" s="2179">
        <v>7198391545</v>
      </c>
      <c r="Z51" s="2177">
        <v>61000600</v>
      </c>
      <c r="AA51" s="2178" t="s">
        <v>1380</v>
      </c>
      <c r="AB51" s="2179">
        <v>16429719738</v>
      </c>
      <c r="AC51" s="2179">
        <v>79462380</v>
      </c>
      <c r="AD51" s="2179">
        <v>768841401</v>
      </c>
      <c r="AE51" s="2179">
        <v>0</v>
      </c>
      <c r="AF51" s="2179">
        <v>0</v>
      </c>
      <c r="AG51" s="2179">
        <v>17278023519</v>
      </c>
      <c r="AH51" s="2179">
        <v>-53409819</v>
      </c>
      <c r="AI51" s="2179">
        <v>0</v>
      </c>
      <c r="AJ51" s="2179">
        <v>17224613700</v>
      </c>
      <c r="AL51" s="1078">
        <v>61000600</v>
      </c>
      <c r="AM51" s="1079" t="s">
        <v>1380</v>
      </c>
      <c r="AN51" s="1080">
        <v>11350660097</v>
      </c>
      <c r="AO51" s="1080">
        <v>63686550</v>
      </c>
      <c r="AP51" s="1080">
        <v>561256376</v>
      </c>
      <c r="AQ51" s="1080">
        <v>0</v>
      </c>
      <c r="AR51" s="1080">
        <v>0</v>
      </c>
      <c r="AS51" s="1080">
        <v>11975603023</v>
      </c>
      <c r="AT51" s="1080">
        <v>-54669409</v>
      </c>
      <c r="AU51" s="1080">
        <v>0</v>
      </c>
      <c r="AV51" s="1080">
        <v>11920933614</v>
      </c>
      <c r="AW51" s="1073"/>
      <c r="AX51" s="1074">
        <v>11920933614</v>
      </c>
      <c r="AZ51" s="1078">
        <v>61000600</v>
      </c>
      <c r="BA51" s="1079" t="s">
        <v>1380</v>
      </c>
      <c r="BB51" s="1080">
        <v>16707113994</v>
      </c>
      <c r="BC51" s="1080">
        <v>52939173</v>
      </c>
      <c r="BD51" s="1080">
        <v>798276973</v>
      </c>
      <c r="BE51" s="1080">
        <v>0</v>
      </c>
      <c r="BF51" s="1080">
        <v>0</v>
      </c>
      <c r="BG51" s="1080">
        <v>17558330140</v>
      </c>
      <c r="BH51" s="1080">
        <v>67055827</v>
      </c>
      <c r="BI51" s="1080">
        <v>0</v>
      </c>
      <c r="BJ51" s="1080">
        <v>17625385967</v>
      </c>
      <c r="BK51" s="1073"/>
      <c r="BL51" s="1074">
        <v>17625385967</v>
      </c>
      <c r="BN51" s="1078">
        <v>61000600</v>
      </c>
      <c r="BO51" s="1079" t="s">
        <v>1380</v>
      </c>
      <c r="BP51" s="1080">
        <v>17687900951</v>
      </c>
      <c r="BQ51" s="1080">
        <v>64913595</v>
      </c>
      <c r="BR51" s="1080">
        <v>757993489</v>
      </c>
      <c r="BS51" s="1080">
        <v>0</v>
      </c>
      <c r="BT51" s="1080">
        <v>0</v>
      </c>
      <c r="BU51" s="1080">
        <v>18510808035</v>
      </c>
      <c r="BV51" s="1080">
        <v>-10435527994</v>
      </c>
      <c r="BW51" s="1080">
        <v>63536867</v>
      </c>
      <c r="BX51" s="1080">
        <v>8011743174</v>
      </c>
      <c r="BY51" s="1073"/>
      <c r="BZ51" s="1074">
        <v>8011743174</v>
      </c>
      <c r="CB51" s="1078">
        <v>61000600</v>
      </c>
      <c r="CC51" s="1079" t="s">
        <v>1380</v>
      </c>
      <c r="CD51" s="1080">
        <v>35312450190</v>
      </c>
      <c r="CE51" s="1080">
        <v>67352990</v>
      </c>
      <c r="CF51" s="1080">
        <v>0</v>
      </c>
      <c r="CG51" s="1080">
        <v>714278698</v>
      </c>
      <c r="CH51" s="1080">
        <v>0</v>
      </c>
      <c r="CI51" s="1080">
        <v>0</v>
      </c>
      <c r="CJ51" s="1080">
        <v>0</v>
      </c>
      <c r="CK51" s="1080">
        <v>36094081878</v>
      </c>
      <c r="CL51" s="1080">
        <v>-6986850644</v>
      </c>
      <c r="CM51" s="1080">
        <v>0</v>
      </c>
      <c r="CN51" s="1080">
        <v>29107231234</v>
      </c>
      <c r="CO51" s="1073"/>
      <c r="CP51" s="1074">
        <v>29107231234</v>
      </c>
    </row>
    <row r="52" spans="2:94">
      <c r="B52" s="1078">
        <v>61000700</v>
      </c>
      <c r="C52" s="1079" t="s">
        <v>1381</v>
      </c>
      <c r="D52" s="1080">
        <v>740901231</v>
      </c>
      <c r="E52" s="1080">
        <v>7424830</v>
      </c>
      <c r="F52" s="1080">
        <v>1400130</v>
      </c>
      <c r="G52" s="1080">
        <v>22539357</v>
      </c>
      <c r="H52" s="1080">
        <v>0</v>
      </c>
      <c r="I52" s="1080">
        <v>772265548</v>
      </c>
      <c r="J52" s="1080">
        <v>0</v>
      </c>
      <c r="K52" s="1080">
        <v>0</v>
      </c>
      <c r="L52" s="1080">
        <v>772265548</v>
      </c>
      <c r="N52" s="2177">
        <v>61000700</v>
      </c>
      <c r="O52" s="2178" t="s">
        <v>1381</v>
      </c>
      <c r="P52" s="2179">
        <v>492386847</v>
      </c>
      <c r="Q52" s="2179">
        <v>5172817</v>
      </c>
      <c r="R52" s="2179">
        <v>933420</v>
      </c>
      <c r="S52" s="2179">
        <v>15026238</v>
      </c>
      <c r="T52" s="2179">
        <v>0</v>
      </c>
      <c r="U52" s="2179">
        <v>513519322</v>
      </c>
      <c r="V52" s="2179">
        <v>0</v>
      </c>
      <c r="W52" s="2179">
        <v>0</v>
      </c>
      <c r="X52" s="2179">
        <v>513519322</v>
      </c>
      <c r="Z52" s="2177">
        <v>61000700</v>
      </c>
      <c r="AA52" s="2178" t="s">
        <v>1381</v>
      </c>
      <c r="AB52" s="2179">
        <v>984681497</v>
      </c>
      <c r="AC52" s="2179">
        <v>11957691</v>
      </c>
      <c r="AD52" s="2179">
        <v>1963417</v>
      </c>
      <c r="AE52" s="2179">
        <v>22226037</v>
      </c>
      <c r="AF52" s="2179">
        <v>0</v>
      </c>
      <c r="AG52" s="2179">
        <v>1020828642</v>
      </c>
      <c r="AH52" s="2179">
        <v>0</v>
      </c>
      <c r="AI52" s="2179">
        <v>0</v>
      </c>
      <c r="AJ52" s="2179">
        <v>1020828642</v>
      </c>
      <c r="AL52" s="1078">
        <v>61000700</v>
      </c>
      <c r="AM52" s="1079" t="s">
        <v>1381</v>
      </c>
      <c r="AN52" s="1080">
        <v>711296631</v>
      </c>
      <c r="AO52" s="1080">
        <v>8930143</v>
      </c>
      <c r="AP52" s="1080">
        <v>1496687</v>
      </c>
      <c r="AQ52" s="1080">
        <v>22539357</v>
      </c>
      <c r="AR52" s="1080">
        <v>0</v>
      </c>
      <c r="AS52" s="1080">
        <v>744262818</v>
      </c>
      <c r="AT52" s="1080">
        <v>0</v>
      </c>
      <c r="AU52" s="1080">
        <v>0</v>
      </c>
      <c r="AV52" s="1080">
        <v>744262818</v>
      </c>
      <c r="AW52" s="1073"/>
      <c r="AX52" s="1074">
        <v>744262818</v>
      </c>
      <c r="AZ52" s="1078">
        <v>61000700</v>
      </c>
      <c r="BA52" s="1079" t="s">
        <v>1381</v>
      </c>
      <c r="BB52" s="1080">
        <v>892465364</v>
      </c>
      <c r="BC52" s="1080">
        <v>11000248</v>
      </c>
      <c r="BD52" s="1080">
        <v>1771530</v>
      </c>
      <c r="BE52" s="1080">
        <v>27388301</v>
      </c>
      <c r="BF52" s="1080">
        <v>0</v>
      </c>
      <c r="BG52" s="1080">
        <v>932625443</v>
      </c>
      <c r="BH52" s="1080">
        <v>0</v>
      </c>
      <c r="BI52" s="1080">
        <v>0</v>
      </c>
      <c r="BJ52" s="1080">
        <v>932625443</v>
      </c>
      <c r="BK52" s="1073"/>
      <c r="BL52" s="1074">
        <v>932625443</v>
      </c>
      <c r="BN52" s="1078">
        <v>61000700</v>
      </c>
      <c r="BO52" s="1079" t="s">
        <v>1381</v>
      </c>
      <c r="BP52" s="1080">
        <v>322993628</v>
      </c>
      <c r="BQ52" s="1080">
        <v>10904400</v>
      </c>
      <c r="BR52" s="1080">
        <v>1043956</v>
      </c>
      <c r="BS52" s="1080">
        <v>21636354</v>
      </c>
      <c r="BT52" s="1080">
        <v>0</v>
      </c>
      <c r="BU52" s="1080">
        <v>356578338</v>
      </c>
      <c r="BV52" s="1080">
        <v>0</v>
      </c>
      <c r="BW52" s="1080">
        <v>0</v>
      </c>
      <c r="BX52" s="1080">
        <v>356578338</v>
      </c>
      <c r="BY52" s="1073"/>
      <c r="BZ52" s="1074">
        <v>356578338</v>
      </c>
      <c r="CB52" s="1078">
        <v>61000700</v>
      </c>
      <c r="CC52" s="1079" t="s">
        <v>1381</v>
      </c>
      <c r="CD52" s="1080">
        <v>308363774</v>
      </c>
      <c r="CE52" s="1080">
        <v>8325234</v>
      </c>
      <c r="CF52" s="1080">
        <v>0</v>
      </c>
      <c r="CG52" s="1080">
        <v>1072951</v>
      </c>
      <c r="CH52" s="1080">
        <v>0</v>
      </c>
      <c r="CI52" s="1080">
        <v>16108558</v>
      </c>
      <c r="CJ52" s="1080">
        <v>0</v>
      </c>
      <c r="CK52" s="1080">
        <v>333870517</v>
      </c>
      <c r="CL52" s="1080">
        <v>0</v>
      </c>
      <c r="CM52" s="1080">
        <v>0</v>
      </c>
      <c r="CN52" s="1080">
        <v>333870517</v>
      </c>
      <c r="CO52" s="1073"/>
      <c r="CP52" s="1074">
        <v>333870517</v>
      </c>
    </row>
    <row r="53" spans="2:94">
      <c r="B53" s="1078">
        <v>61000750</v>
      </c>
      <c r="C53" s="1079" t="s">
        <v>1382</v>
      </c>
      <c r="D53" s="1080">
        <v>1232660026</v>
      </c>
      <c r="E53" s="1080">
        <v>44487085</v>
      </c>
      <c r="F53" s="1080">
        <v>29862309</v>
      </c>
      <c r="G53" s="1080">
        <v>18999270</v>
      </c>
      <c r="H53" s="1080">
        <v>8024773</v>
      </c>
      <c r="I53" s="1080">
        <v>1334033463</v>
      </c>
      <c r="J53" s="1080">
        <v>0</v>
      </c>
      <c r="K53" s="1080">
        <v>0</v>
      </c>
      <c r="L53" s="1080">
        <v>1334033463</v>
      </c>
      <c r="N53" s="2177">
        <v>61000750</v>
      </c>
      <c r="O53" s="2178" t="s">
        <v>1382</v>
      </c>
      <c r="P53" s="2179">
        <v>823783318</v>
      </c>
      <c r="Q53" s="2179">
        <v>29470660</v>
      </c>
      <c r="R53" s="2179">
        <v>19466373</v>
      </c>
      <c r="S53" s="2179">
        <v>12666180</v>
      </c>
      <c r="T53" s="2179">
        <v>5323041</v>
      </c>
      <c r="U53" s="2179">
        <v>890709572</v>
      </c>
      <c r="V53" s="2179">
        <v>0</v>
      </c>
      <c r="W53" s="2179">
        <v>0</v>
      </c>
      <c r="X53" s="2179">
        <v>890709572</v>
      </c>
      <c r="Z53" s="2177">
        <v>61000750</v>
      </c>
      <c r="AA53" s="2178" t="s">
        <v>1382</v>
      </c>
      <c r="AB53" s="2179">
        <v>1651158638</v>
      </c>
      <c r="AC53" s="2179">
        <v>55395095</v>
      </c>
      <c r="AD53" s="2179">
        <v>32101884</v>
      </c>
      <c r="AE53" s="2179">
        <v>25451139</v>
      </c>
      <c r="AF53" s="2179">
        <v>11074781</v>
      </c>
      <c r="AG53" s="2179">
        <v>1775181537</v>
      </c>
      <c r="AH53" s="2179">
        <v>0</v>
      </c>
      <c r="AI53" s="2179">
        <v>0</v>
      </c>
      <c r="AJ53" s="2179">
        <v>1775181537</v>
      </c>
      <c r="AL53" s="1078">
        <v>61000750</v>
      </c>
      <c r="AM53" s="1079" t="s">
        <v>1382</v>
      </c>
      <c r="AN53" s="1080">
        <v>1238896337</v>
      </c>
      <c r="AO53" s="1080">
        <v>40541807</v>
      </c>
      <c r="AP53" s="1080">
        <v>24490242</v>
      </c>
      <c r="AQ53" s="1080">
        <v>19117717</v>
      </c>
      <c r="AR53" s="1080">
        <v>8303850</v>
      </c>
      <c r="AS53" s="1080">
        <v>1331349953</v>
      </c>
      <c r="AT53" s="1080">
        <v>0</v>
      </c>
      <c r="AU53" s="1080">
        <v>0</v>
      </c>
      <c r="AV53" s="1080">
        <v>1331349953</v>
      </c>
      <c r="AW53" s="1073"/>
      <c r="AX53" s="1074">
        <v>1331349953</v>
      </c>
      <c r="AZ53" s="1078">
        <v>61000750</v>
      </c>
      <c r="BA53" s="1079" t="s">
        <v>1382</v>
      </c>
      <c r="BB53" s="1080">
        <v>1670977095</v>
      </c>
      <c r="BC53" s="1080">
        <v>39508559</v>
      </c>
      <c r="BD53" s="1080">
        <v>28005348</v>
      </c>
      <c r="BE53" s="1080">
        <v>20959862</v>
      </c>
      <c r="BF53" s="1080">
        <v>10577598</v>
      </c>
      <c r="BG53" s="1080">
        <v>1770028462</v>
      </c>
      <c r="BH53" s="1080">
        <v>0</v>
      </c>
      <c r="BI53" s="1080">
        <v>0</v>
      </c>
      <c r="BJ53" s="1080">
        <v>1770028462</v>
      </c>
      <c r="BK53" s="1073"/>
      <c r="BL53" s="1074">
        <v>1770028462</v>
      </c>
      <c r="BN53" s="1078">
        <v>61000800</v>
      </c>
      <c r="BO53" s="1079" t="s">
        <v>1383</v>
      </c>
      <c r="BP53" s="1080">
        <v>399816641</v>
      </c>
      <c r="BQ53" s="1080">
        <v>2979259</v>
      </c>
      <c r="BR53" s="1080">
        <v>0</v>
      </c>
      <c r="BS53" s="1080">
        <v>0</v>
      </c>
      <c r="BT53" s="1080">
        <v>0</v>
      </c>
      <c r="BU53" s="1080">
        <v>402795900</v>
      </c>
      <c r="BV53" s="1080">
        <v>0</v>
      </c>
      <c r="BW53" s="1080">
        <v>0</v>
      </c>
      <c r="BX53" s="1080">
        <v>402795900</v>
      </c>
      <c r="BY53" s="1073"/>
      <c r="BZ53" s="1074">
        <v>402795900</v>
      </c>
      <c r="CB53" s="1078">
        <v>61000800</v>
      </c>
      <c r="CC53" s="1079" t="s">
        <v>1383</v>
      </c>
      <c r="CD53" s="1080">
        <v>539696365</v>
      </c>
      <c r="CE53" s="1080">
        <v>1197387</v>
      </c>
      <c r="CF53" s="1080">
        <v>0</v>
      </c>
      <c r="CG53" s="1080">
        <v>93636</v>
      </c>
      <c r="CH53" s="1080">
        <v>0</v>
      </c>
      <c r="CI53" s="1080">
        <v>0</v>
      </c>
      <c r="CJ53" s="1080">
        <v>0</v>
      </c>
      <c r="CK53" s="1080">
        <v>540987388</v>
      </c>
      <c r="CL53" s="1080">
        <v>0</v>
      </c>
      <c r="CM53" s="1080">
        <v>0</v>
      </c>
      <c r="CN53" s="1080">
        <v>540987388</v>
      </c>
      <c r="CO53" s="1073"/>
      <c r="CP53" s="1074">
        <v>540987388</v>
      </c>
    </row>
    <row r="54" spans="2:94">
      <c r="B54" s="1078">
        <v>61000800</v>
      </c>
      <c r="C54" s="1079" t="s">
        <v>1383</v>
      </c>
      <c r="D54" s="1080">
        <v>37636000</v>
      </c>
      <c r="E54" s="1080">
        <v>1036364</v>
      </c>
      <c r="F54" s="1080">
        <v>0</v>
      </c>
      <c r="G54" s="1080">
        <v>0</v>
      </c>
      <c r="H54" s="1080">
        <v>0</v>
      </c>
      <c r="I54" s="1080">
        <v>38672364</v>
      </c>
      <c r="J54" s="1080">
        <v>0</v>
      </c>
      <c r="K54" s="1080">
        <v>0</v>
      </c>
      <c r="L54" s="1080">
        <v>38672364</v>
      </c>
      <c r="N54" s="2177">
        <v>61000800</v>
      </c>
      <c r="O54" s="2178" t="s">
        <v>1383</v>
      </c>
      <c r="P54" s="2179">
        <v>17280000</v>
      </c>
      <c r="Q54" s="2179">
        <v>900000</v>
      </c>
      <c r="R54" s="2179">
        <v>0</v>
      </c>
      <c r="S54" s="2179">
        <v>0</v>
      </c>
      <c r="T54" s="2179">
        <v>0</v>
      </c>
      <c r="U54" s="2179">
        <v>18180000</v>
      </c>
      <c r="V54" s="2179">
        <v>0</v>
      </c>
      <c r="W54" s="2179">
        <v>0</v>
      </c>
      <c r="X54" s="2179">
        <v>18180000</v>
      </c>
      <c r="Z54" s="2177">
        <v>61000800</v>
      </c>
      <c r="AA54" s="2178" t="s">
        <v>1383</v>
      </c>
      <c r="AB54" s="2179">
        <v>94507400</v>
      </c>
      <c r="AC54" s="2179">
        <v>1337590</v>
      </c>
      <c r="AD54" s="2179">
        <v>0</v>
      </c>
      <c r="AE54" s="2179">
        <v>0</v>
      </c>
      <c r="AF54" s="2179">
        <v>0</v>
      </c>
      <c r="AG54" s="2179">
        <v>95844990</v>
      </c>
      <c r="AH54" s="2179">
        <v>0</v>
      </c>
      <c r="AI54" s="2179">
        <v>0</v>
      </c>
      <c r="AJ54" s="2179">
        <v>95844990</v>
      </c>
      <c r="AL54" s="1078">
        <v>61000800</v>
      </c>
      <c r="AM54" s="1079" t="s">
        <v>1383</v>
      </c>
      <c r="AN54" s="1080">
        <v>42367400</v>
      </c>
      <c r="AO54" s="1080">
        <v>437590</v>
      </c>
      <c r="AP54" s="1080">
        <v>0</v>
      </c>
      <c r="AQ54" s="1080">
        <v>0</v>
      </c>
      <c r="AR54" s="1080">
        <v>0</v>
      </c>
      <c r="AS54" s="1080">
        <v>42804990</v>
      </c>
      <c r="AT54" s="1080">
        <v>0</v>
      </c>
      <c r="AU54" s="1080">
        <v>0</v>
      </c>
      <c r="AV54" s="1080">
        <v>42804990</v>
      </c>
      <c r="AW54" s="1073"/>
      <c r="AX54" s="1074">
        <v>42804990</v>
      </c>
      <c r="AZ54" s="1078">
        <v>61000800</v>
      </c>
      <c r="BA54" s="1079" t="s">
        <v>1383</v>
      </c>
      <c r="BB54" s="1080">
        <v>29574500</v>
      </c>
      <c r="BC54" s="1080">
        <v>0</v>
      </c>
      <c r="BD54" s="1080">
        <v>0</v>
      </c>
      <c r="BE54" s="1080">
        <v>0</v>
      </c>
      <c r="BF54" s="1080">
        <v>0</v>
      </c>
      <c r="BG54" s="1080">
        <v>29574500</v>
      </c>
      <c r="BH54" s="1080">
        <v>0</v>
      </c>
      <c r="BI54" s="1080">
        <v>0</v>
      </c>
      <c r="BJ54" s="1080">
        <v>29574500</v>
      </c>
      <c r="BK54" s="1073"/>
      <c r="BL54" s="1074">
        <v>29574500</v>
      </c>
      <c r="BN54" s="1078">
        <v>61000900</v>
      </c>
      <c r="BO54" s="1079" t="s">
        <v>1384</v>
      </c>
      <c r="BP54" s="1080">
        <v>50128488</v>
      </c>
      <c r="BQ54" s="1080">
        <v>45491964</v>
      </c>
      <c r="BR54" s="1080">
        <v>3724578</v>
      </c>
      <c r="BS54" s="1080">
        <v>6904915</v>
      </c>
      <c r="BT54" s="1080">
        <v>5417701</v>
      </c>
      <c r="BU54" s="1080">
        <v>111667646</v>
      </c>
      <c r="BV54" s="1080">
        <v>0</v>
      </c>
      <c r="BW54" s="1080">
        <v>0</v>
      </c>
      <c r="BX54" s="1080">
        <v>111667646</v>
      </c>
      <c r="BY54" s="1073"/>
      <c r="BZ54" s="1074">
        <v>111667646</v>
      </c>
      <c r="CB54" s="1078">
        <v>61000900</v>
      </c>
      <c r="CC54" s="1079" t="s">
        <v>1384</v>
      </c>
      <c r="CD54" s="1080">
        <v>58882515</v>
      </c>
      <c r="CE54" s="1080">
        <v>64430871</v>
      </c>
      <c r="CF54" s="1080">
        <v>0</v>
      </c>
      <c r="CG54" s="1080">
        <v>2791239</v>
      </c>
      <c r="CH54" s="1080">
        <v>0</v>
      </c>
      <c r="CI54" s="1080">
        <v>14545066</v>
      </c>
      <c r="CJ54" s="1080">
        <v>4495711</v>
      </c>
      <c r="CK54" s="1080">
        <v>145145402</v>
      </c>
      <c r="CL54" s="1080">
        <v>0</v>
      </c>
      <c r="CM54" s="1080">
        <v>0</v>
      </c>
      <c r="CN54" s="1080">
        <v>145145402</v>
      </c>
      <c r="CO54" s="1073"/>
      <c r="CP54" s="1074">
        <v>145145402</v>
      </c>
    </row>
    <row r="55" spans="2:94">
      <c r="B55" s="1078">
        <v>61000900</v>
      </c>
      <c r="C55" s="1079" t="s">
        <v>1384</v>
      </c>
      <c r="D55" s="1080">
        <v>16530528</v>
      </c>
      <c r="E55" s="1080">
        <v>31716218</v>
      </c>
      <c r="F55" s="1080">
        <v>0</v>
      </c>
      <c r="G55" s="1080">
        <v>14281237</v>
      </c>
      <c r="H55" s="1080">
        <v>3322051</v>
      </c>
      <c r="I55" s="1080">
        <v>65850034</v>
      </c>
      <c r="J55" s="1080">
        <v>0</v>
      </c>
      <c r="K55" s="1080">
        <v>0</v>
      </c>
      <c r="L55" s="1080">
        <v>65850034</v>
      </c>
      <c r="N55" s="2177">
        <v>61000900</v>
      </c>
      <c r="O55" s="2178" t="s">
        <v>1384</v>
      </c>
      <c r="P55" s="2179">
        <v>15357208</v>
      </c>
      <c r="Q55" s="2179">
        <v>25457566</v>
      </c>
      <c r="R55" s="2179">
        <v>0</v>
      </c>
      <c r="S55" s="2179">
        <v>12797653</v>
      </c>
      <c r="T55" s="2179">
        <v>867385</v>
      </c>
      <c r="U55" s="2179">
        <v>54479812</v>
      </c>
      <c r="V55" s="2179">
        <v>0</v>
      </c>
      <c r="W55" s="2179">
        <v>0</v>
      </c>
      <c r="X55" s="2179">
        <v>54479812</v>
      </c>
      <c r="Z55" s="2177">
        <v>61000900</v>
      </c>
      <c r="AA55" s="2178" t="s">
        <v>1384</v>
      </c>
      <c r="AB55" s="2179">
        <v>42223847</v>
      </c>
      <c r="AC55" s="2179">
        <v>48075118</v>
      </c>
      <c r="AD55" s="2179">
        <v>1219091</v>
      </c>
      <c r="AE55" s="2179">
        <v>14589717</v>
      </c>
      <c r="AF55" s="2179">
        <v>2026276</v>
      </c>
      <c r="AG55" s="2179">
        <v>108134049</v>
      </c>
      <c r="AH55" s="2179">
        <v>0</v>
      </c>
      <c r="AI55" s="2179">
        <v>0</v>
      </c>
      <c r="AJ55" s="2179">
        <v>108134049</v>
      </c>
      <c r="AL55" s="1078">
        <v>61000900</v>
      </c>
      <c r="AM55" s="1079" t="s">
        <v>1384</v>
      </c>
      <c r="AN55" s="1080">
        <v>36466816</v>
      </c>
      <c r="AO55" s="1080">
        <v>33991615</v>
      </c>
      <c r="AP55" s="1080">
        <v>1219091</v>
      </c>
      <c r="AQ55" s="1080">
        <v>9109577</v>
      </c>
      <c r="AR55" s="1080">
        <v>1407207</v>
      </c>
      <c r="AS55" s="1080">
        <v>82194306</v>
      </c>
      <c r="AT55" s="1080">
        <v>0</v>
      </c>
      <c r="AU55" s="1080">
        <v>0</v>
      </c>
      <c r="AV55" s="1080">
        <v>82194306</v>
      </c>
      <c r="AW55" s="1073"/>
      <c r="AX55" s="1074">
        <v>82194306</v>
      </c>
      <c r="AZ55" s="1078">
        <v>61000900</v>
      </c>
      <c r="BA55" s="1079" t="s">
        <v>1384</v>
      </c>
      <c r="BB55" s="1080">
        <v>13448788</v>
      </c>
      <c r="BC55" s="1080">
        <v>12293013</v>
      </c>
      <c r="BD55" s="1080">
        <v>127819</v>
      </c>
      <c r="BE55" s="1080">
        <v>8682949</v>
      </c>
      <c r="BF55" s="1080">
        <v>1997423</v>
      </c>
      <c r="BG55" s="1080">
        <v>36549992</v>
      </c>
      <c r="BH55" s="1080">
        <v>0</v>
      </c>
      <c r="BI55" s="1080">
        <v>0</v>
      </c>
      <c r="BJ55" s="1080">
        <v>36549992</v>
      </c>
      <c r="BK55" s="1073"/>
      <c r="BL55" s="1074">
        <v>36549992</v>
      </c>
      <c r="BN55" s="1078">
        <v>61001000</v>
      </c>
      <c r="BO55" s="1079" t="s">
        <v>1385</v>
      </c>
      <c r="BP55" s="1080">
        <v>650856843</v>
      </c>
      <c r="BQ55" s="1080">
        <v>525000</v>
      </c>
      <c r="BR55" s="1080">
        <v>-5360428460</v>
      </c>
      <c r="BS55" s="1080">
        <v>28313570</v>
      </c>
      <c r="BT55" s="1080">
        <v>20178094</v>
      </c>
      <c r="BU55" s="1080">
        <v>-4660554953</v>
      </c>
      <c r="BV55" s="1080">
        <v>0</v>
      </c>
      <c r="BW55" s="1080">
        <v>0</v>
      </c>
      <c r="BX55" s="1080">
        <v>-4660554953</v>
      </c>
      <c r="BY55" s="1073"/>
      <c r="BZ55" s="1074">
        <v>-4660554953</v>
      </c>
      <c r="CB55" s="1078">
        <v>61001000</v>
      </c>
      <c r="CC55" s="1079" t="s">
        <v>1385</v>
      </c>
      <c r="CD55" s="1080">
        <v>718410633</v>
      </c>
      <c r="CE55" s="1080">
        <v>5980</v>
      </c>
      <c r="CF55" s="1080">
        <v>0</v>
      </c>
      <c r="CG55" s="1080">
        <v>-16983350300</v>
      </c>
      <c r="CH55" s="1080">
        <v>0</v>
      </c>
      <c r="CI55" s="1080">
        <v>39150220</v>
      </c>
      <c r="CJ55" s="1080">
        <v>14086659</v>
      </c>
      <c r="CK55" s="1080">
        <v>-16211696808</v>
      </c>
      <c r="CL55" s="1080">
        <v>0</v>
      </c>
      <c r="CM55" s="1080">
        <v>0</v>
      </c>
      <c r="CN55" s="1080">
        <v>-16211696808</v>
      </c>
      <c r="CO55" s="1073"/>
      <c r="CP55" s="1074">
        <v>-16211696808</v>
      </c>
    </row>
    <row r="56" spans="2:94">
      <c r="B56" s="1078">
        <v>61001000</v>
      </c>
      <c r="C56" s="1079" t="s">
        <v>1385</v>
      </c>
      <c r="D56" s="1080">
        <v>537905190</v>
      </c>
      <c r="E56" s="1080">
        <v>757600</v>
      </c>
      <c r="F56" s="1080">
        <v>40389070</v>
      </c>
      <c r="G56" s="1080">
        <v>40060940</v>
      </c>
      <c r="H56" s="1080">
        <v>10715814</v>
      </c>
      <c r="I56" s="1080">
        <v>629828614</v>
      </c>
      <c r="J56" s="1080">
        <v>0</v>
      </c>
      <c r="K56" s="1080">
        <v>0</v>
      </c>
      <c r="L56" s="1080">
        <v>629828614</v>
      </c>
      <c r="N56" s="2177">
        <v>61001000</v>
      </c>
      <c r="O56" s="2178" t="s">
        <v>1385</v>
      </c>
      <c r="P56" s="2179">
        <v>313854237</v>
      </c>
      <c r="Q56" s="2179">
        <v>582600</v>
      </c>
      <c r="R56" s="2179">
        <v>30939070</v>
      </c>
      <c r="S56" s="2179">
        <v>28560330</v>
      </c>
      <c r="T56" s="2179">
        <v>5989121</v>
      </c>
      <c r="U56" s="2179">
        <v>379925358</v>
      </c>
      <c r="V56" s="2179">
        <v>0</v>
      </c>
      <c r="W56" s="2179">
        <v>0</v>
      </c>
      <c r="X56" s="2179">
        <v>379925358</v>
      </c>
      <c r="Z56" s="2177">
        <v>61001000</v>
      </c>
      <c r="AA56" s="2178" t="s">
        <v>1385</v>
      </c>
      <c r="AB56" s="2179">
        <v>953984624</v>
      </c>
      <c r="AC56" s="2179">
        <v>350000</v>
      </c>
      <c r="AD56" s="2179">
        <v>10130600</v>
      </c>
      <c r="AE56" s="2179">
        <v>37070340</v>
      </c>
      <c r="AF56" s="2179">
        <v>12003056</v>
      </c>
      <c r="AG56" s="2179">
        <v>1013538620</v>
      </c>
      <c r="AH56" s="2179">
        <v>0</v>
      </c>
      <c r="AI56" s="2179">
        <v>0</v>
      </c>
      <c r="AJ56" s="2179">
        <v>1013538620</v>
      </c>
      <c r="AL56" s="1078">
        <v>61001000</v>
      </c>
      <c r="AM56" s="1079" t="s">
        <v>1385</v>
      </c>
      <c r="AN56" s="1080">
        <v>816091284</v>
      </c>
      <c r="AO56" s="1080">
        <v>350000</v>
      </c>
      <c r="AP56" s="1080">
        <v>10130600</v>
      </c>
      <c r="AQ56" s="1080">
        <v>27640240</v>
      </c>
      <c r="AR56" s="1080">
        <v>10707539</v>
      </c>
      <c r="AS56" s="1080">
        <v>864919663</v>
      </c>
      <c r="AT56" s="1080">
        <v>0</v>
      </c>
      <c r="AU56" s="1080">
        <v>0</v>
      </c>
      <c r="AV56" s="1080">
        <v>864919663</v>
      </c>
      <c r="AW56" s="1073"/>
      <c r="AX56" s="1074">
        <v>864919663</v>
      </c>
      <c r="AZ56" s="1078">
        <v>61001000</v>
      </c>
      <c r="BA56" s="1079" t="s">
        <v>1385</v>
      </c>
      <c r="BB56" s="1080">
        <v>728626919</v>
      </c>
      <c r="BC56" s="1080">
        <v>350000</v>
      </c>
      <c r="BD56" s="1080">
        <v>61890570</v>
      </c>
      <c r="BE56" s="1080">
        <v>32618410</v>
      </c>
      <c r="BF56" s="1080">
        <v>12316864</v>
      </c>
      <c r="BG56" s="1080">
        <v>835802763</v>
      </c>
      <c r="BH56" s="1080">
        <v>0</v>
      </c>
      <c r="BI56" s="1080">
        <v>0</v>
      </c>
      <c r="BJ56" s="1080">
        <v>835802763</v>
      </c>
      <c r="BK56" s="1073"/>
      <c r="BL56" s="1074">
        <v>835802763</v>
      </c>
      <c r="BN56" s="1078">
        <v>61001100</v>
      </c>
      <c r="BO56" s="1079" t="s">
        <v>2504</v>
      </c>
      <c r="BP56" s="1080">
        <v>0</v>
      </c>
      <c r="BQ56" s="1080">
        <v>0</v>
      </c>
      <c r="BR56" s="1080">
        <v>0</v>
      </c>
      <c r="BS56" s="1080">
        <v>0</v>
      </c>
      <c r="BT56" s="1080">
        <v>0</v>
      </c>
      <c r="BU56" s="1080">
        <v>0</v>
      </c>
      <c r="BV56" s="1080">
        <v>0</v>
      </c>
      <c r="BW56" s="1080">
        <v>0</v>
      </c>
      <c r="BX56" s="1080">
        <v>0</v>
      </c>
      <c r="BY56" s="1073"/>
      <c r="BZ56" s="1074">
        <v>0</v>
      </c>
      <c r="CB56" s="1078">
        <v>61001100</v>
      </c>
      <c r="CC56" s="1079" t="s">
        <v>2504</v>
      </c>
      <c r="CD56" s="1080">
        <v>0</v>
      </c>
      <c r="CE56" s="1080">
        <v>0</v>
      </c>
      <c r="CF56" s="1080">
        <v>0</v>
      </c>
      <c r="CG56" s="1080">
        <v>0</v>
      </c>
      <c r="CH56" s="1080">
        <v>0</v>
      </c>
      <c r="CI56" s="1080">
        <v>0</v>
      </c>
      <c r="CJ56" s="1080">
        <v>0</v>
      </c>
      <c r="CK56" s="1080">
        <v>0</v>
      </c>
      <c r="CL56" s="1080">
        <v>0</v>
      </c>
      <c r="CM56" s="1080">
        <v>0</v>
      </c>
      <c r="CN56" s="1080">
        <v>0</v>
      </c>
      <c r="CO56" s="1073"/>
      <c r="CP56" s="1074">
        <v>0</v>
      </c>
    </row>
    <row r="57" spans="2:94">
      <c r="B57" s="1078">
        <v>61001100</v>
      </c>
      <c r="C57" s="1079" t="s">
        <v>2504</v>
      </c>
      <c r="D57" s="1080">
        <v>0</v>
      </c>
      <c r="E57" s="1080">
        <v>0</v>
      </c>
      <c r="F57" s="1080">
        <v>0</v>
      </c>
      <c r="G57" s="1080">
        <v>0</v>
      </c>
      <c r="H57" s="1080">
        <v>0</v>
      </c>
      <c r="I57" s="1080">
        <v>0</v>
      </c>
      <c r="J57" s="1080">
        <v>0</v>
      </c>
      <c r="K57" s="1080">
        <v>0</v>
      </c>
      <c r="L57" s="1080">
        <v>0</v>
      </c>
      <c r="N57" s="2177">
        <v>61001100</v>
      </c>
      <c r="O57" s="2178" t="s">
        <v>2504</v>
      </c>
      <c r="P57" s="2179">
        <v>0</v>
      </c>
      <c r="Q57" s="2179">
        <v>0</v>
      </c>
      <c r="R57" s="2179">
        <v>0</v>
      </c>
      <c r="S57" s="2179">
        <v>0</v>
      </c>
      <c r="T57" s="2179">
        <v>0</v>
      </c>
      <c r="U57" s="2179">
        <v>0</v>
      </c>
      <c r="V57" s="2179">
        <v>0</v>
      </c>
      <c r="W57" s="2179">
        <v>0</v>
      </c>
      <c r="X57" s="2179">
        <v>0</v>
      </c>
      <c r="Z57" s="2177">
        <v>61001100</v>
      </c>
      <c r="AA57" s="2178" t="s">
        <v>2504</v>
      </c>
      <c r="AB57" s="2179">
        <v>0</v>
      </c>
      <c r="AC57" s="2179">
        <v>0</v>
      </c>
      <c r="AD57" s="2179">
        <v>0</v>
      </c>
      <c r="AE57" s="2179">
        <v>0</v>
      </c>
      <c r="AF57" s="2179">
        <v>0</v>
      </c>
      <c r="AG57" s="2179">
        <v>0</v>
      </c>
      <c r="AH57" s="2179">
        <v>0</v>
      </c>
      <c r="AI57" s="2179">
        <v>0</v>
      </c>
      <c r="AJ57" s="2179">
        <v>0</v>
      </c>
      <c r="AL57" s="1078">
        <v>61001100</v>
      </c>
      <c r="AM57" s="1079" t="s">
        <v>2504</v>
      </c>
      <c r="AN57" s="1080">
        <v>0</v>
      </c>
      <c r="AO57" s="1080">
        <v>0</v>
      </c>
      <c r="AP57" s="1080">
        <v>0</v>
      </c>
      <c r="AQ57" s="1080">
        <v>0</v>
      </c>
      <c r="AR57" s="1080">
        <v>0</v>
      </c>
      <c r="AS57" s="1080">
        <v>0</v>
      </c>
      <c r="AT57" s="1080">
        <v>0</v>
      </c>
      <c r="AU57" s="1080">
        <v>0</v>
      </c>
      <c r="AV57" s="1080">
        <v>0</v>
      </c>
      <c r="AW57" s="1073"/>
      <c r="AX57" s="1074">
        <v>0</v>
      </c>
      <c r="AZ57" s="1078">
        <v>61001100</v>
      </c>
      <c r="BA57" s="1079" t="s">
        <v>2504</v>
      </c>
      <c r="BB57" s="1080">
        <v>0</v>
      </c>
      <c r="BC57" s="1080">
        <v>0</v>
      </c>
      <c r="BD57" s="1080">
        <v>0</v>
      </c>
      <c r="BE57" s="1080">
        <v>0</v>
      </c>
      <c r="BF57" s="1080">
        <v>0</v>
      </c>
      <c r="BG57" s="1080">
        <v>0</v>
      </c>
      <c r="BH57" s="1080">
        <v>0</v>
      </c>
      <c r="BI57" s="1080">
        <v>0</v>
      </c>
      <c r="BJ57" s="1080">
        <v>0</v>
      </c>
      <c r="BK57" s="1073"/>
      <c r="BL57" s="1074">
        <v>0</v>
      </c>
      <c r="BN57" s="1078">
        <v>61001200</v>
      </c>
      <c r="BO57" s="1079" t="s">
        <v>1386</v>
      </c>
      <c r="BP57" s="1080">
        <v>2223132856</v>
      </c>
      <c r="BQ57" s="1080">
        <v>97186539</v>
      </c>
      <c r="BR57" s="1080">
        <v>70324127</v>
      </c>
      <c r="BS57" s="1080">
        <v>35389005</v>
      </c>
      <c r="BT57" s="1080">
        <v>57476987</v>
      </c>
      <c r="BU57" s="1080">
        <v>2483509514</v>
      </c>
      <c r="BV57" s="1080">
        <v>-51275516</v>
      </c>
      <c r="BW57" s="1080">
        <v>0</v>
      </c>
      <c r="BX57" s="1080">
        <v>2432233998</v>
      </c>
      <c r="BY57" s="1073"/>
      <c r="BZ57" s="1074">
        <v>2432233998</v>
      </c>
      <c r="CB57" s="1078">
        <v>61001200</v>
      </c>
      <c r="CC57" s="1079" t="s">
        <v>1386</v>
      </c>
      <c r="CD57" s="1080">
        <v>2139349413</v>
      </c>
      <c r="CE57" s="1080">
        <v>86039136</v>
      </c>
      <c r="CF57" s="1080">
        <v>0</v>
      </c>
      <c r="CG57" s="1080">
        <v>74817000</v>
      </c>
      <c r="CH57" s="1080">
        <v>0</v>
      </c>
      <c r="CI57" s="1080">
        <v>52874496</v>
      </c>
      <c r="CJ57" s="1080">
        <v>50721012</v>
      </c>
      <c r="CK57" s="1080">
        <v>2403801057</v>
      </c>
      <c r="CL57" s="1080">
        <v>-45241542</v>
      </c>
      <c r="CM57" s="1080">
        <v>0</v>
      </c>
      <c r="CN57" s="1080">
        <v>2358559515</v>
      </c>
      <c r="CO57" s="1073"/>
      <c r="CP57" s="1074">
        <v>2358559515</v>
      </c>
    </row>
    <row r="58" spans="2:94">
      <c r="B58" s="1078">
        <v>61001200</v>
      </c>
      <c r="C58" s="1079" t="s">
        <v>1386</v>
      </c>
      <c r="D58" s="1080">
        <v>30904396</v>
      </c>
      <c r="E58" s="1080">
        <v>3306487</v>
      </c>
      <c r="F58" s="1080">
        <v>19747173</v>
      </c>
      <c r="G58" s="1080">
        <v>10690000</v>
      </c>
      <c r="H58" s="1080">
        <v>35285764</v>
      </c>
      <c r="I58" s="1080">
        <v>99933820</v>
      </c>
      <c r="J58" s="1080">
        <v>-39765000</v>
      </c>
      <c r="K58" s="1080">
        <v>0</v>
      </c>
      <c r="L58" s="1080">
        <v>60168820</v>
      </c>
      <c r="N58" s="2177">
        <v>61001200</v>
      </c>
      <c r="O58" s="2178" t="s">
        <v>1386</v>
      </c>
      <c r="P58" s="2179">
        <v>18980597</v>
      </c>
      <c r="Q58" s="2179">
        <v>2348122</v>
      </c>
      <c r="R58" s="2179">
        <v>13164358</v>
      </c>
      <c r="S58" s="2179">
        <v>7240000</v>
      </c>
      <c r="T58" s="2179">
        <v>23521175</v>
      </c>
      <c r="U58" s="2179">
        <v>65254252</v>
      </c>
      <c r="V58" s="2179">
        <v>-26430000</v>
      </c>
      <c r="W58" s="2179">
        <v>0</v>
      </c>
      <c r="X58" s="2179">
        <v>38824252</v>
      </c>
      <c r="Z58" s="2177">
        <v>61001200</v>
      </c>
      <c r="AA58" s="2178" t="s">
        <v>1386</v>
      </c>
      <c r="AB58" s="2179">
        <v>29643539</v>
      </c>
      <c r="AC58" s="2179">
        <v>4180200</v>
      </c>
      <c r="AD58" s="2179">
        <v>39153819</v>
      </c>
      <c r="AE58" s="2179">
        <v>11880000</v>
      </c>
      <c r="AF58" s="2179">
        <v>45913905</v>
      </c>
      <c r="AG58" s="2179">
        <v>130771463</v>
      </c>
      <c r="AH58" s="2179">
        <v>-52099200</v>
      </c>
      <c r="AI58" s="2179">
        <v>0</v>
      </c>
      <c r="AJ58" s="2179">
        <v>78672263</v>
      </c>
      <c r="AL58" s="1078">
        <v>61001200</v>
      </c>
      <c r="AM58" s="1079" t="s">
        <v>1386</v>
      </c>
      <c r="AN58" s="1080">
        <v>14947739</v>
      </c>
      <c r="AO58" s="1080">
        <v>3271839</v>
      </c>
      <c r="AP58" s="1080">
        <v>30802092</v>
      </c>
      <c r="AQ58" s="1080">
        <v>8800000</v>
      </c>
      <c r="AR58" s="1080">
        <v>34491281</v>
      </c>
      <c r="AS58" s="1080">
        <v>92312951</v>
      </c>
      <c r="AT58" s="1080">
        <v>-39218400</v>
      </c>
      <c r="AU58" s="1080">
        <v>0</v>
      </c>
      <c r="AV58" s="1080">
        <v>53094551</v>
      </c>
      <c r="AW58" s="1073"/>
      <c r="AX58" s="1074">
        <v>53094551</v>
      </c>
      <c r="AZ58" s="1078">
        <v>61001200</v>
      </c>
      <c r="BA58" s="1079" t="s">
        <v>1386</v>
      </c>
      <c r="BB58" s="1080">
        <v>102131920</v>
      </c>
      <c r="BC58" s="1080">
        <v>18801963</v>
      </c>
      <c r="BD58" s="1080">
        <v>44475000</v>
      </c>
      <c r="BE58" s="1080">
        <v>15794000</v>
      </c>
      <c r="BF58" s="1080">
        <v>45996059</v>
      </c>
      <c r="BG58" s="1080">
        <v>227198942</v>
      </c>
      <c r="BH58" s="1080">
        <v>-53851200</v>
      </c>
      <c r="BI58" s="1080">
        <v>0</v>
      </c>
      <c r="BJ58" s="1080">
        <v>173347742</v>
      </c>
      <c r="BK58" s="1073"/>
      <c r="BL58" s="1074">
        <v>173347742</v>
      </c>
      <c r="BN58" s="1078">
        <v>61001300</v>
      </c>
      <c r="BO58" s="1079" t="s">
        <v>1387</v>
      </c>
      <c r="BP58" s="1080">
        <v>47170864</v>
      </c>
      <c r="BQ58" s="1080">
        <v>0</v>
      </c>
      <c r="BR58" s="1080">
        <v>6153554</v>
      </c>
      <c r="BS58" s="1080">
        <v>5005933</v>
      </c>
      <c r="BT58" s="1080">
        <v>968484</v>
      </c>
      <c r="BU58" s="1080">
        <v>59298835</v>
      </c>
      <c r="BV58" s="1080">
        <v>0</v>
      </c>
      <c r="BW58" s="1080">
        <v>0</v>
      </c>
      <c r="BX58" s="1080">
        <v>59298835</v>
      </c>
      <c r="BY58" s="1073"/>
      <c r="BZ58" s="1074">
        <v>59298835</v>
      </c>
      <c r="CB58" s="1078">
        <v>61001300</v>
      </c>
      <c r="CC58" s="1079" t="s">
        <v>1387</v>
      </c>
      <c r="CD58" s="1080">
        <v>54808225</v>
      </c>
      <c r="CE58" s="1080">
        <v>31909</v>
      </c>
      <c r="CF58" s="1080">
        <v>0</v>
      </c>
      <c r="CG58" s="1080">
        <v>5333888</v>
      </c>
      <c r="CH58" s="1080">
        <v>0</v>
      </c>
      <c r="CI58" s="1080">
        <v>4375179</v>
      </c>
      <c r="CJ58" s="1080">
        <v>850991</v>
      </c>
      <c r="CK58" s="1080">
        <v>65400192</v>
      </c>
      <c r="CL58" s="1080">
        <v>0</v>
      </c>
      <c r="CM58" s="1080">
        <v>0</v>
      </c>
      <c r="CN58" s="1080">
        <v>65400192</v>
      </c>
      <c r="CO58" s="1073"/>
      <c r="CP58" s="1074">
        <v>65400192</v>
      </c>
    </row>
    <row r="59" spans="2:94">
      <c r="B59" s="1078">
        <v>61001300</v>
      </c>
      <c r="C59" s="1079" t="s">
        <v>1387</v>
      </c>
      <c r="D59" s="1080">
        <v>45983912</v>
      </c>
      <c r="E59" s="1080">
        <v>1732771</v>
      </c>
      <c r="F59" s="1080">
        <v>4817280</v>
      </c>
      <c r="G59" s="1080">
        <v>3553394</v>
      </c>
      <c r="H59" s="1080">
        <v>1243112</v>
      </c>
      <c r="I59" s="1080">
        <v>57330469</v>
      </c>
      <c r="J59" s="1080">
        <v>0</v>
      </c>
      <c r="K59" s="1080">
        <v>0</v>
      </c>
      <c r="L59" s="1080">
        <v>57330469</v>
      </c>
      <c r="N59" s="2177">
        <v>61001300</v>
      </c>
      <c r="O59" s="2178" t="s">
        <v>1387</v>
      </c>
      <c r="P59" s="2179">
        <v>42035106</v>
      </c>
      <c r="Q59" s="2179">
        <v>1092549</v>
      </c>
      <c r="R59" s="2179">
        <v>3861474</v>
      </c>
      <c r="S59" s="2179">
        <v>2525225</v>
      </c>
      <c r="T59" s="2179">
        <v>1228501</v>
      </c>
      <c r="U59" s="2179">
        <v>50742855</v>
      </c>
      <c r="V59" s="2179">
        <v>0</v>
      </c>
      <c r="W59" s="2179">
        <v>0</v>
      </c>
      <c r="X59" s="2179">
        <v>50742855</v>
      </c>
      <c r="Z59" s="2177">
        <v>61001300</v>
      </c>
      <c r="AA59" s="2178" t="s">
        <v>1387</v>
      </c>
      <c r="AB59" s="2179">
        <v>47983829</v>
      </c>
      <c r="AC59" s="2179">
        <v>0</v>
      </c>
      <c r="AD59" s="2179">
        <v>4979691</v>
      </c>
      <c r="AE59" s="2179">
        <v>4130356</v>
      </c>
      <c r="AF59" s="2179">
        <v>1095452</v>
      </c>
      <c r="AG59" s="2179">
        <v>58189328</v>
      </c>
      <c r="AH59" s="2179">
        <v>0</v>
      </c>
      <c r="AI59" s="2179">
        <v>0</v>
      </c>
      <c r="AJ59" s="2179">
        <v>58189328</v>
      </c>
      <c r="AL59" s="1078">
        <v>61001300</v>
      </c>
      <c r="AM59" s="1079" t="s">
        <v>1387</v>
      </c>
      <c r="AN59" s="1080">
        <v>43802330</v>
      </c>
      <c r="AO59" s="1080">
        <v>0</v>
      </c>
      <c r="AP59" s="1080">
        <v>3843139</v>
      </c>
      <c r="AQ59" s="1080">
        <v>2734860</v>
      </c>
      <c r="AR59" s="1080">
        <v>1114659</v>
      </c>
      <c r="AS59" s="1080">
        <v>51494988</v>
      </c>
      <c r="AT59" s="1080">
        <v>0</v>
      </c>
      <c r="AU59" s="1080">
        <v>0</v>
      </c>
      <c r="AV59" s="1080">
        <v>51494988</v>
      </c>
      <c r="AW59" s="1073"/>
      <c r="AX59" s="1074">
        <v>51494988</v>
      </c>
      <c r="AZ59" s="1078">
        <v>61001300</v>
      </c>
      <c r="BA59" s="1079" t="s">
        <v>1387</v>
      </c>
      <c r="BB59" s="1080">
        <v>46124244</v>
      </c>
      <c r="BC59" s="1080">
        <v>0</v>
      </c>
      <c r="BD59" s="1080">
        <v>6141296</v>
      </c>
      <c r="BE59" s="1080">
        <v>4323055</v>
      </c>
      <c r="BF59" s="1080">
        <v>1244203</v>
      </c>
      <c r="BG59" s="1080">
        <v>57832798</v>
      </c>
      <c r="BH59" s="1080">
        <v>0</v>
      </c>
      <c r="BI59" s="1080">
        <v>0</v>
      </c>
      <c r="BJ59" s="1080">
        <v>57832798</v>
      </c>
      <c r="BK59" s="1073"/>
      <c r="BL59" s="1074">
        <v>57832798</v>
      </c>
      <c r="BN59" s="1078">
        <v>61001400</v>
      </c>
      <c r="BO59" s="1079" t="s">
        <v>1388</v>
      </c>
      <c r="BP59" s="1080">
        <v>3060338559</v>
      </c>
      <c r="BQ59" s="1080">
        <v>259413359</v>
      </c>
      <c r="BR59" s="1080">
        <v>114369447</v>
      </c>
      <c r="BS59" s="1080">
        <v>256424646</v>
      </c>
      <c r="BT59" s="1080">
        <v>54087843</v>
      </c>
      <c r="BU59" s="1080">
        <v>3744633854</v>
      </c>
      <c r="BV59" s="1080">
        <v>0</v>
      </c>
      <c r="BW59" s="1080">
        <v>0</v>
      </c>
      <c r="BX59" s="1080">
        <v>3744633854</v>
      </c>
      <c r="BY59" s="1073"/>
      <c r="BZ59" s="1074">
        <v>3744633854</v>
      </c>
      <c r="CB59" s="1078">
        <v>61001400</v>
      </c>
      <c r="CC59" s="1079" t="s">
        <v>1388</v>
      </c>
      <c r="CD59" s="1080">
        <v>3062831035</v>
      </c>
      <c r="CE59" s="1080">
        <v>229415023</v>
      </c>
      <c r="CF59" s="1080">
        <v>0</v>
      </c>
      <c r="CG59" s="1080">
        <v>141474953</v>
      </c>
      <c r="CH59" s="1080">
        <v>0</v>
      </c>
      <c r="CI59" s="1080">
        <v>260020102</v>
      </c>
      <c r="CJ59" s="1080">
        <v>52979730</v>
      </c>
      <c r="CK59" s="1080">
        <v>3746720843</v>
      </c>
      <c r="CL59" s="1080">
        <v>0</v>
      </c>
      <c r="CM59" s="1080">
        <v>0</v>
      </c>
      <c r="CN59" s="1080">
        <v>3746720843</v>
      </c>
      <c r="CO59" s="1073"/>
      <c r="CP59" s="1074">
        <v>3746720843</v>
      </c>
    </row>
    <row r="60" spans="2:94">
      <c r="B60" s="1078">
        <v>61001400</v>
      </c>
      <c r="C60" s="1079" t="s">
        <v>1388</v>
      </c>
      <c r="D60" s="1080">
        <v>1986742211</v>
      </c>
      <c r="E60" s="1080">
        <v>250444703</v>
      </c>
      <c r="F60" s="1080">
        <v>60385453</v>
      </c>
      <c r="G60" s="1080">
        <v>231940860</v>
      </c>
      <c r="H60" s="1080">
        <v>33010940</v>
      </c>
      <c r="I60" s="1080">
        <v>2562524167</v>
      </c>
      <c r="J60" s="1080">
        <v>0</v>
      </c>
      <c r="K60" s="1080">
        <v>0</v>
      </c>
      <c r="L60" s="1080">
        <v>2562524167</v>
      </c>
      <c r="N60" s="2177">
        <v>61001400</v>
      </c>
      <c r="O60" s="2178" t="s">
        <v>1388</v>
      </c>
      <c r="P60" s="2179">
        <v>1279448549</v>
      </c>
      <c r="Q60" s="2179">
        <v>153533806</v>
      </c>
      <c r="R60" s="2179">
        <v>43399021</v>
      </c>
      <c r="S60" s="2179">
        <v>152602713</v>
      </c>
      <c r="T60" s="2179">
        <v>20968169</v>
      </c>
      <c r="U60" s="2179">
        <v>1649952258</v>
      </c>
      <c r="V60" s="2179">
        <v>0</v>
      </c>
      <c r="W60" s="2179">
        <v>0</v>
      </c>
      <c r="X60" s="2179">
        <v>1649952258</v>
      </c>
      <c r="Z60" s="2177">
        <v>61001400</v>
      </c>
      <c r="AA60" s="2178" t="s">
        <v>1388</v>
      </c>
      <c r="AB60" s="2179">
        <v>3384834160</v>
      </c>
      <c r="AC60" s="2179">
        <v>348837997</v>
      </c>
      <c r="AD60" s="2179">
        <v>118022408</v>
      </c>
      <c r="AE60" s="2179">
        <v>339088519</v>
      </c>
      <c r="AF60" s="2179">
        <v>51526978</v>
      </c>
      <c r="AG60" s="2179">
        <v>4242310062</v>
      </c>
      <c r="AH60" s="2179">
        <v>0</v>
      </c>
      <c r="AI60" s="2179">
        <v>0</v>
      </c>
      <c r="AJ60" s="2179">
        <v>4242310062</v>
      </c>
      <c r="AL60" s="1078">
        <v>61001400</v>
      </c>
      <c r="AM60" s="1079" t="s">
        <v>1388</v>
      </c>
      <c r="AN60" s="1080">
        <v>2072487618</v>
      </c>
      <c r="AO60" s="1080">
        <v>238627846</v>
      </c>
      <c r="AP60" s="1080">
        <v>64933272</v>
      </c>
      <c r="AQ60" s="1080">
        <v>273014477</v>
      </c>
      <c r="AR60" s="1080">
        <v>33628225</v>
      </c>
      <c r="AS60" s="1080">
        <v>2682691438</v>
      </c>
      <c r="AT60" s="1080">
        <v>0</v>
      </c>
      <c r="AU60" s="1080">
        <v>0</v>
      </c>
      <c r="AV60" s="1080">
        <v>2682691438</v>
      </c>
      <c r="AW60" s="1073"/>
      <c r="AX60" s="1074">
        <v>2682691438</v>
      </c>
      <c r="AZ60" s="1078">
        <v>61001400</v>
      </c>
      <c r="BA60" s="1079" t="s">
        <v>1388</v>
      </c>
      <c r="BB60" s="1080">
        <v>2994299357</v>
      </c>
      <c r="BC60" s="1080">
        <v>260651051</v>
      </c>
      <c r="BD60" s="1080">
        <v>132046195</v>
      </c>
      <c r="BE60" s="1080">
        <v>311207240</v>
      </c>
      <c r="BF60" s="1080">
        <v>45317698</v>
      </c>
      <c r="BG60" s="1080">
        <v>3743521541</v>
      </c>
      <c r="BH60" s="1080">
        <v>0</v>
      </c>
      <c r="BI60" s="1080">
        <v>0</v>
      </c>
      <c r="BJ60" s="1080">
        <v>3743521541</v>
      </c>
      <c r="BK60" s="1073"/>
      <c r="BL60" s="1074">
        <v>3743521541</v>
      </c>
      <c r="BN60" s="1078">
        <v>61001500</v>
      </c>
      <c r="BO60" s="1079" t="s">
        <v>1389</v>
      </c>
      <c r="BP60" s="1080">
        <v>1120606961</v>
      </c>
      <c r="BQ60" s="1080">
        <v>99632442</v>
      </c>
      <c r="BR60" s="1080">
        <v>59015696</v>
      </c>
      <c r="BS60" s="1080">
        <v>19140740</v>
      </c>
      <c r="BT60" s="1080">
        <v>13149685</v>
      </c>
      <c r="BU60" s="1080">
        <v>1311545524</v>
      </c>
      <c r="BV60" s="1080">
        <v>0</v>
      </c>
      <c r="BW60" s="1080">
        <v>0</v>
      </c>
      <c r="BX60" s="1080">
        <v>1311545524</v>
      </c>
      <c r="BY60" s="1073"/>
      <c r="BZ60" s="1074">
        <v>1311545524</v>
      </c>
      <c r="CB60" s="1078">
        <v>61001500</v>
      </c>
      <c r="CC60" s="1079" t="s">
        <v>1389</v>
      </c>
      <c r="CD60" s="1080">
        <v>1195735021</v>
      </c>
      <c r="CE60" s="1080">
        <v>83144099</v>
      </c>
      <c r="CF60" s="1080">
        <v>0</v>
      </c>
      <c r="CG60" s="1080">
        <v>69754046</v>
      </c>
      <c r="CH60" s="1080">
        <v>0</v>
      </c>
      <c r="CI60" s="1080">
        <v>13753242</v>
      </c>
      <c r="CJ60" s="1080">
        <v>19703259</v>
      </c>
      <c r="CK60" s="1080">
        <v>1382089667</v>
      </c>
      <c r="CL60" s="1080">
        <v>0</v>
      </c>
      <c r="CM60" s="1080">
        <v>0</v>
      </c>
      <c r="CN60" s="1080">
        <v>1382089667</v>
      </c>
      <c r="CO60" s="1073"/>
      <c r="CP60" s="1074">
        <v>1382089667</v>
      </c>
    </row>
    <row r="61" spans="2:94">
      <c r="B61" s="1078">
        <v>61001500</v>
      </c>
      <c r="C61" s="1079" t="s">
        <v>1389</v>
      </c>
      <c r="D61" s="1080">
        <v>79826701</v>
      </c>
      <c r="E61" s="1080">
        <v>59298567</v>
      </c>
      <c r="F61" s="1080">
        <v>5757795</v>
      </c>
      <c r="G61" s="1080">
        <v>1269076</v>
      </c>
      <c r="H61" s="1080">
        <v>3669822</v>
      </c>
      <c r="I61" s="1080">
        <v>149821961</v>
      </c>
      <c r="J61" s="1080">
        <v>0</v>
      </c>
      <c r="K61" s="1080">
        <v>0</v>
      </c>
      <c r="L61" s="1080">
        <v>149821961</v>
      </c>
      <c r="N61" s="2177">
        <v>61001500</v>
      </c>
      <c r="O61" s="2178" t="s">
        <v>1389</v>
      </c>
      <c r="P61" s="2179">
        <v>61246220</v>
      </c>
      <c r="Q61" s="2179">
        <v>38953610</v>
      </c>
      <c r="R61" s="2179">
        <v>3244169</v>
      </c>
      <c r="S61" s="2179">
        <v>1097276</v>
      </c>
      <c r="T61" s="2179">
        <v>2678076</v>
      </c>
      <c r="U61" s="2179">
        <v>107219351</v>
      </c>
      <c r="V61" s="2179">
        <v>0</v>
      </c>
      <c r="W61" s="2179">
        <v>0</v>
      </c>
      <c r="X61" s="2179">
        <v>107219351</v>
      </c>
      <c r="Z61" s="2177">
        <v>61001500</v>
      </c>
      <c r="AA61" s="2178" t="s">
        <v>1389</v>
      </c>
      <c r="AB61" s="2179">
        <v>136096322</v>
      </c>
      <c r="AC61" s="2179">
        <v>75820110</v>
      </c>
      <c r="AD61" s="2179">
        <v>6026736</v>
      </c>
      <c r="AE61" s="2179">
        <v>9588297</v>
      </c>
      <c r="AF61" s="2179">
        <v>4461627</v>
      </c>
      <c r="AG61" s="2179">
        <v>231993092</v>
      </c>
      <c r="AH61" s="2179">
        <v>0</v>
      </c>
      <c r="AI61" s="2179">
        <v>0</v>
      </c>
      <c r="AJ61" s="2179">
        <v>231993092</v>
      </c>
      <c r="AL61" s="1078">
        <v>61001500</v>
      </c>
      <c r="AM61" s="1079" t="s">
        <v>1389</v>
      </c>
      <c r="AN61" s="1080">
        <v>96714417</v>
      </c>
      <c r="AO61" s="1080">
        <v>57286499</v>
      </c>
      <c r="AP61" s="1080">
        <v>4531173</v>
      </c>
      <c r="AQ61" s="1080">
        <v>8753297</v>
      </c>
      <c r="AR61" s="1080">
        <v>2343208</v>
      </c>
      <c r="AS61" s="1080">
        <v>169628594</v>
      </c>
      <c r="AT61" s="1080">
        <v>0</v>
      </c>
      <c r="AU61" s="1080">
        <v>0</v>
      </c>
      <c r="AV61" s="1080">
        <v>169628594</v>
      </c>
      <c r="AW61" s="1073"/>
      <c r="AX61" s="1074">
        <v>169628594</v>
      </c>
      <c r="AZ61" s="1078">
        <v>61001500</v>
      </c>
      <c r="BA61" s="1079" t="s">
        <v>1389</v>
      </c>
      <c r="BB61" s="1080">
        <v>1050167695</v>
      </c>
      <c r="BC61" s="1080">
        <v>78146945</v>
      </c>
      <c r="BD61" s="1080">
        <v>54930337</v>
      </c>
      <c r="BE61" s="1080">
        <v>18224135</v>
      </c>
      <c r="BF61" s="1080">
        <v>17039285</v>
      </c>
      <c r="BG61" s="1080">
        <v>1218508397</v>
      </c>
      <c r="BH61" s="1080">
        <v>0</v>
      </c>
      <c r="BI61" s="1080">
        <v>0</v>
      </c>
      <c r="BJ61" s="1080">
        <v>1218508397</v>
      </c>
      <c r="BK61" s="1073"/>
      <c r="BL61" s="1074">
        <v>1218508397</v>
      </c>
      <c r="BN61" s="1078">
        <v>61001600</v>
      </c>
      <c r="BO61" s="1079" t="s">
        <v>1390</v>
      </c>
      <c r="BP61" s="1080">
        <v>295698030</v>
      </c>
      <c r="BQ61" s="1080">
        <v>14548943</v>
      </c>
      <c r="BR61" s="1080">
        <v>5649739</v>
      </c>
      <c r="BS61" s="1080">
        <v>13649585</v>
      </c>
      <c r="BT61" s="1080">
        <v>2531625</v>
      </c>
      <c r="BU61" s="1080">
        <v>332077922</v>
      </c>
      <c r="BV61" s="1080">
        <v>0</v>
      </c>
      <c r="BW61" s="1080">
        <v>0</v>
      </c>
      <c r="BX61" s="1080">
        <v>332077922</v>
      </c>
      <c r="BY61" s="1073"/>
      <c r="BZ61" s="1074">
        <v>332077922</v>
      </c>
      <c r="CB61" s="1078">
        <v>61001600</v>
      </c>
      <c r="CC61" s="1079" t="s">
        <v>1390</v>
      </c>
      <c r="CD61" s="1080">
        <v>319175535</v>
      </c>
      <c r="CE61" s="1080">
        <v>14045840</v>
      </c>
      <c r="CF61" s="1080">
        <v>0</v>
      </c>
      <c r="CG61" s="1080">
        <v>8471654</v>
      </c>
      <c r="CH61" s="1080">
        <v>0</v>
      </c>
      <c r="CI61" s="1080">
        <v>13730103</v>
      </c>
      <c r="CJ61" s="1080">
        <v>2136439</v>
      </c>
      <c r="CK61" s="1080">
        <v>357559571</v>
      </c>
      <c r="CL61" s="1080">
        <v>0</v>
      </c>
      <c r="CM61" s="1080">
        <v>0</v>
      </c>
      <c r="CN61" s="1080">
        <v>357559571</v>
      </c>
      <c r="CO61" s="1073"/>
      <c r="CP61" s="1074">
        <v>357559571</v>
      </c>
    </row>
    <row r="62" spans="2:94">
      <c r="B62" s="1078">
        <v>61001600</v>
      </c>
      <c r="C62" s="1079" t="s">
        <v>1390</v>
      </c>
      <c r="D62" s="1080">
        <v>210906901</v>
      </c>
      <c r="E62" s="1080">
        <v>12204630</v>
      </c>
      <c r="F62" s="1080">
        <v>6818070</v>
      </c>
      <c r="G62" s="1080">
        <v>14813823</v>
      </c>
      <c r="H62" s="1080">
        <v>1147583</v>
      </c>
      <c r="I62" s="1080">
        <v>245891007</v>
      </c>
      <c r="J62" s="1080">
        <v>0</v>
      </c>
      <c r="K62" s="1080">
        <v>0</v>
      </c>
      <c r="L62" s="1080">
        <v>245891007</v>
      </c>
      <c r="N62" s="2177">
        <v>61001600</v>
      </c>
      <c r="O62" s="2178" t="s">
        <v>1390</v>
      </c>
      <c r="P62" s="2179">
        <v>129380487</v>
      </c>
      <c r="Q62" s="2179">
        <v>8133680</v>
      </c>
      <c r="R62" s="2179">
        <v>4569280</v>
      </c>
      <c r="S62" s="2179">
        <v>10167061</v>
      </c>
      <c r="T62" s="2179">
        <v>851572</v>
      </c>
      <c r="U62" s="2179">
        <v>153102080</v>
      </c>
      <c r="V62" s="2179">
        <v>0</v>
      </c>
      <c r="W62" s="2179">
        <v>0</v>
      </c>
      <c r="X62" s="2179">
        <v>153102080</v>
      </c>
      <c r="Z62" s="2177">
        <v>61001600</v>
      </c>
      <c r="AA62" s="2178" t="s">
        <v>1390</v>
      </c>
      <c r="AB62" s="2179">
        <v>265980160</v>
      </c>
      <c r="AC62" s="2179">
        <v>15673330</v>
      </c>
      <c r="AD62" s="2179">
        <v>8626230</v>
      </c>
      <c r="AE62" s="2179">
        <v>14483132</v>
      </c>
      <c r="AF62" s="2179">
        <v>1628292</v>
      </c>
      <c r="AG62" s="2179">
        <v>306391144</v>
      </c>
      <c r="AH62" s="2179">
        <v>0</v>
      </c>
      <c r="AI62" s="2179">
        <v>0</v>
      </c>
      <c r="AJ62" s="2179">
        <v>306391144</v>
      </c>
      <c r="AL62" s="1078">
        <v>61001600</v>
      </c>
      <c r="AM62" s="1079" t="s">
        <v>1390</v>
      </c>
      <c r="AN62" s="1080">
        <v>192166883</v>
      </c>
      <c r="AO62" s="1080">
        <v>11788890</v>
      </c>
      <c r="AP62" s="1080">
        <v>6561630</v>
      </c>
      <c r="AQ62" s="1080">
        <v>10490583</v>
      </c>
      <c r="AR62" s="1080">
        <v>1285933</v>
      </c>
      <c r="AS62" s="1080">
        <v>222293919</v>
      </c>
      <c r="AT62" s="1080">
        <v>0</v>
      </c>
      <c r="AU62" s="1080">
        <v>0</v>
      </c>
      <c r="AV62" s="1080">
        <v>222293919</v>
      </c>
      <c r="AW62" s="1073"/>
      <c r="AX62" s="1074">
        <v>222293919</v>
      </c>
      <c r="AZ62" s="1078">
        <v>61001600</v>
      </c>
      <c r="BA62" s="1079" t="s">
        <v>1390</v>
      </c>
      <c r="BB62" s="1080">
        <v>279541414</v>
      </c>
      <c r="BC62" s="1080">
        <v>15242491</v>
      </c>
      <c r="BD62" s="1080">
        <v>8912962</v>
      </c>
      <c r="BE62" s="1080">
        <v>12737101</v>
      </c>
      <c r="BF62" s="1080">
        <v>1288801</v>
      </c>
      <c r="BG62" s="1080">
        <v>317722769</v>
      </c>
      <c r="BH62" s="1080">
        <v>0</v>
      </c>
      <c r="BI62" s="1080">
        <v>0</v>
      </c>
      <c r="BJ62" s="1080">
        <v>317722769</v>
      </c>
      <c r="BK62" s="1073"/>
      <c r="BL62" s="1074">
        <v>317722769</v>
      </c>
      <c r="BN62" s="1078">
        <v>61001700</v>
      </c>
      <c r="BO62" s="1079" t="s">
        <v>2505</v>
      </c>
      <c r="BP62" s="1080">
        <v>0</v>
      </c>
      <c r="BQ62" s="1080">
        <v>0</v>
      </c>
      <c r="BR62" s="1080">
        <v>0</v>
      </c>
      <c r="BS62" s="1080">
        <v>0</v>
      </c>
      <c r="BT62" s="1080">
        <v>0</v>
      </c>
      <c r="BU62" s="1080">
        <v>0</v>
      </c>
      <c r="BV62" s="1080">
        <v>0</v>
      </c>
      <c r="BW62" s="1080">
        <v>0</v>
      </c>
      <c r="BX62" s="1080">
        <v>0</v>
      </c>
      <c r="BY62" s="1073"/>
      <c r="BZ62" s="1074">
        <v>0</v>
      </c>
      <c r="CB62" s="1078">
        <v>61001700</v>
      </c>
      <c r="CC62" s="1079" t="s">
        <v>2505</v>
      </c>
      <c r="CD62" s="1080">
        <v>0</v>
      </c>
      <c r="CE62" s="1080">
        <v>0</v>
      </c>
      <c r="CF62" s="1080">
        <v>0</v>
      </c>
      <c r="CG62" s="1080">
        <v>0</v>
      </c>
      <c r="CH62" s="1080">
        <v>0</v>
      </c>
      <c r="CI62" s="1080">
        <v>0</v>
      </c>
      <c r="CJ62" s="1080">
        <v>0</v>
      </c>
      <c r="CK62" s="1080">
        <v>0</v>
      </c>
      <c r="CL62" s="1080">
        <v>0</v>
      </c>
      <c r="CM62" s="1080">
        <v>0</v>
      </c>
      <c r="CN62" s="1080">
        <v>0</v>
      </c>
      <c r="CO62" s="1073"/>
      <c r="CP62" s="1074">
        <v>0</v>
      </c>
    </row>
    <row r="63" spans="2:94">
      <c r="B63" s="1078">
        <v>61001700</v>
      </c>
      <c r="C63" s="1079" t="s">
        <v>2505</v>
      </c>
      <c r="D63" s="1080">
        <v>0</v>
      </c>
      <c r="E63" s="1080">
        <v>0</v>
      </c>
      <c r="F63" s="1080">
        <v>0</v>
      </c>
      <c r="G63" s="1080">
        <v>0</v>
      </c>
      <c r="H63" s="1080">
        <v>0</v>
      </c>
      <c r="I63" s="1080">
        <v>0</v>
      </c>
      <c r="J63" s="1080">
        <v>0</v>
      </c>
      <c r="K63" s="1080">
        <v>0</v>
      </c>
      <c r="L63" s="1080">
        <v>0</v>
      </c>
      <c r="N63" s="2177">
        <v>61001700</v>
      </c>
      <c r="O63" s="2178" t="s">
        <v>2505</v>
      </c>
      <c r="P63" s="2179">
        <v>0</v>
      </c>
      <c r="Q63" s="2179">
        <v>0</v>
      </c>
      <c r="R63" s="2179">
        <v>0</v>
      </c>
      <c r="S63" s="2179">
        <v>0</v>
      </c>
      <c r="T63" s="2179">
        <v>0</v>
      </c>
      <c r="U63" s="2179">
        <v>0</v>
      </c>
      <c r="V63" s="2179">
        <v>0</v>
      </c>
      <c r="W63" s="2179">
        <v>0</v>
      </c>
      <c r="X63" s="2179">
        <v>0</v>
      </c>
      <c r="Z63" s="2177">
        <v>61001700</v>
      </c>
      <c r="AA63" s="2178" t="s">
        <v>2505</v>
      </c>
      <c r="AB63" s="2179">
        <v>0</v>
      </c>
      <c r="AC63" s="2179">
        <v>0</v>
      </c>
      <c r="AD63" s="2179">
        <v>0</v>
      </c>
      <c r="AE63" s="2179">
        <v>0</v>
      </c>
      <c r="AF63" s="2179">
        <v>0</v>
      </c>
      <c r="AG63" s="2179">
        <v>0</v>
      </c>
      <c r="AH63" s="2179">
        <v>0</v>
      </c>
      <c r="AI63" s="2179">
        <v>0</v>
      </c>
      <c r="AJ63" s="2179">
        <v>0</v>
      </c>
      <c r="AL63" s="1078">
        <v>61001700</v>
      </c>
      <c r="AM63" s="1079" t="s">
        <v>2505</v>
      </c>
      <c r="AN63" s="1080">
        <v>0</v>
      </c>
      <c r="AO63" s="1080">
        <v>0</v>
      </c>
      <c r="AP63" s="1080">
        <v>0</v>
      </c>
      <c r="AQ63" s="1080">
        <v>0</v>
      </c>
      <c r="AR63" s="1080">
        <v>0</v>
      </c>
      <c r="AS63" s="1080">
        <v>0</v>
      </c>
      <c r="AT63" s="1080">
        <v>0</v>
      </c>
      <c r="AU63" s="1080">
        <v>0</v>
      </c>
      <c r="AV63" s="1080">
        <v>0</v>
      </c>
      <c r="AW63" s="1073"/>
      <c r="AX63" s="1074">
        <v>0</v>
      </c>
      <c r="AZ63" s="1078">
        <v>61001700</v>
      </c>
      <c r="BA63" s="1079" t="s">
        <v>2505</v>
      </c>
      <c r="BB63" s="1080">
        <v>0</v>
      </c>
      <c r="BC63" s="1080">
        <v>0</v>
      </c>
      <c r="BD63" s="1080">
        <v>0</v>
      </c>
      <c r="BE63" s="1080">
        <v>0</v>
      </c>
      <c r="BF63" s="1080">
        <v>0</v>
      </c>
      <c r="BG63" s="1080">
        <v>0</v>
      </c>
      <c r="BH63" s="1080">
        <v>0</v>
      </c>
      <c r="BI63" s="1080">
        <v>0</v>
      </c>
      <c r="BJ63" s="1080">
        <v>0</v>
      </c>
      <c r="BK63" s="1073"/>
      <c r="BL63" s="1074">
        <v>0</v>
      </c>
      <c r="BN63" s="1078">
        <v>61001800</v>
      </c>
      <c r="BO63" s="1079" t="s">
        <v>2506</v>
      </c>
      <c r="BP63" s="1080">
        <v>0</v>
      </c>
      <c r="BQ63" s="1080">
        <v>0</v>
      </c>
      <c r="BR63" s="1080">
        <v>0</v>
      </c>
      <c r="BS63" s="1080">
        <v>0</v>
      </c>
      <c r="BT63" s="1080">
        <v>0</v>
      </c>
      <c r="BU63" s="1080">
        <v>0</v>
      </c>
      <c r="BV63" s="1080">
        <v>0</v>
      </c>
      <c r="BW63" s="1080">
        <v>0</v>
      </c>
      <c r="BX63" s="1080">
        <v>0</v>
      </c>
      <c r="BY63" s="1073"/>
      <c r="BZ63" s="1074">
        <v>0</v>
      </c>
      <c r="CB63" s="1078">
        <v>61001800</v>
      </c>
      <c r="CC63" s="1079" t="s">
        <v>2506</v>
      </c>
      <c r="CD63" s="1080">
        <v>0</v>
      </c>
      <c r="CE63" s="1080">
        <v>0</v>
      </c>
      <c r="CF63" s="1080">
        <v>0</v>
      </c>
      <c r="CG63" s="1080">
        <v>0</v>
      </c>
      <c r="CH63" s="1080">
        <v>0</v>
      </c>
      <c r="CI63" s="1080">
        <v>0</v>
      </c>
      <c r="CJ63" s="1080">
        <v>0</v>
      </c>
      <c r="CK63" s="1080">
        <v>0</v>
      </c>
      <c r="CL63" s="1080">
        <v>0</v>
      </c>
      <c r="CM63" s="1080">
        <v>0</v>
      </c>
      <c r="CN63" s="1080">
        <v>0</v>
      </c>
      <c r="CO63" s="1073"/>
      <c r="CP63" s="1074">
        <v>0</v>
      </c>
    </row>
    <row r="64" spans="2:94">
      <c r="B64" s="1078">
        <v>61001800</v>
      </c>
      <c r="C64" s="1079" t="s">
        <v>2506</v>
      </c>
      <c r="D64" s="1080">
        <v>0</v>
      </c>
      <c r="E64" s="1080">
        <v>0</v>
      </c>
      <c r="F64" s="1080">
        <v>0</v>
      </c>
      <c r="G64" s="1080">
        <v>0</v>
      </c>
      <c r="H64" s="1080">
        <v>0</v>
      </c>
      <c r="I64" s="1080">
        <v>0</v>
      </c>
      <c r="J64" s="1080">
        <v>0</v>
      </c>
      <c r="K64" s="1080">
        <v>0</v>
      </c>
      <c r="L64" s="1080">
        <v>0</v>
      </c>
      <c r="N64" s="2177">
        <v>61001800</v>
      </c>
      <c r="O64" s="2178" t="s">
        <v>2506</v>
      </c>
      <c r="P64" s="2179">
        <v>0</v>
      </c>
      <c r="Q64" s="2179">
        <v>0</v>
      </c>
      <c r="R64" s="2179">
        <v>0</v>
      </c>
      <c r="S64" s="2179">
        <v>0</v>
      </c>
      <c r="T64" s="2179">
        <v>0</v>
      </c>
      <c r="U64" s="2179">
        <v>0</v>
      </c>
      <c r="V64" s="2179">
        <v>0</v>
      </c>
      <c r="W64" s="2179">
        <v>0</v>
      </c>
      <c r="X64" s="2179">
        <v>0</v>
      </c>
      <c r="Z64" s="2177">
        <v>61001800</v>
      </c>
      <c r="AA64" s="2178" t="s">
        <v>2506</v>
      </c>
      <c r="AB64" s="2179">
        <v>0</v>
      </c>
      <c r="AC64" s="2179">
        <v>0</v>
      </c>
      <c r="AD64" s="2179">
        <v>0</v>
      </c>
      <c r="AE64" s="2179">
        <v>0</v>
      </c>
      <c r="AF64" s="2179">
        <v>0</v>
      </c>
      <c r="AG64" s="2179">
        <v>0</v>
      </c>
      <c r="AH64" s="2179">
        <v>0</v>
      </c>
      <c r="AI64" s="2179">
        <v>0</v>
      </c>
      <c r="AJ64" s="2179">
        <v>0</v>
      </c>
      <c r="AL64" s="1078">
        <v>61001800</v>
      </c>
      <c r="AM64" s="1079" t="s">
        <v>2506</v>
      </c>
      <c r="AN64" s="1080">
        <v>0</v>
      </c>
      <c r="AO64" s="1080">
        <v>0</v>
      </c>
      <c r="AP64" s="1080">
        <v>0</v>
      </c>
      <c r="AQ64" s="1080">
        <v>0</v>
      </c>
      <c r="AR64" s="1080">
        <v>0</v>
      </c>
      <c r="AS64" s="1080">
        <v>0</v>
      </c>
      <c r="AT64" s="1080">
        <v>0</v>
      </c>
      <c r="AU64" s="1080">
        <v>0</v>
      </c>
      <c r="AV64" s="1080">
        <v>0</v>
      </c>
      <c r="AW64" s="1073"/>
      <c r="AX64" s="1074">
        <v>0</v>
      </c>
      <c r="AZ64" s="1078">
        <v>61001800</v>
      </c>
      <c r="BA64" s="1079" t="s">
        <v>2506</v>
      </c>
      <c r="BB64" s="1080">
        <v>0</v>
      </c>
      <c r="BC64" s="1080">
        <v>0</v>
      </c>
      <c r="BD64" s="1080">
        <v>0</v>
      </c>
      <c r="BE64" s="1080">
        <v>0</v>
      </c>
      <c r="BF64" s="1080">
        <v>0</v>
      </c>
      <c r="BG64" s="1080">
        <v>0</v>
      </c>
      <c r="BH64" s="1080">
        <v>0</v>
      </c>
      <c r="BI64" s="1080">
        <v>0</v>
      </c>
      <c r="BJ64" s="1080">
        <v>0</v>
      </c>
      <c r="BK64" s="1073"/>
      <c r="BL64" s="1074">
        <v>0</v>
      </c>
      <c r="BN64" s="1078">
        <v>61001900</v>
      </c>
      <c r="BO64" s="1079" t="s">
        <v>1391</v>
      </c>
      <c r="BP64" s="1080">
        <v>22071162924</v>
      </c>
      <c r="BQ64" s="1080">
        <v>106781068</v>
      </c>
      <c r="BR64" s="1080">
        <v>663113920</v>
      </c>
      <c r="BS64" s="1080">
        <v>107303057</v>
      </c>
      <c r="BT64" s="1080">
        <v>56485386</v>
      </c>
      <c r="BU64" s="1080">
        <v>23004846355</v>
      </c>
      <c r="BV64" s="1080">
        <v>-5671634</v>
      </c>
      <c r="BW64" s="1080">
        <v>0</v>
      </c>
      <c r="BX64" s="1080">
        <v>22999174721</v>
      </c>
      <c r="BY64" s="1073"/>
      <c r="BZ64" s="1074">
        <v>22999174721</v>
      </c>
      <c r="CB64" s="1078">
        <v>61001900</v>
      </c>
      <c r="CC64" s="1079" t="s">
        <v>1391</v>
      </c>
      <c r="CD64" s="1080">
        <v>21967963557</v>
      </c>
      <c r="CE64" s="1080">
        <v>143649842</v>
      </c>
      <c r="CF64" s="1080">
        <v>0</v>
      </c>
      <c r="CG64" s="1080">
        <v>356046581</v>
      </c>
      <c r="CH64" s="1080">
        <v>0</v>
      </c>
      <c r="CI64" s="1080">
        <v>88898169</v>
      </c>
      <c r="CJ64" s="1080">
        <v>62784508</v>
      </c>
      <c r="CK64" s="1080">
        <v>22619342657</v>
      </c>
      <c r="CL64" s="1080">
        <v>-185125224</v>
      </c>
      <c r="CM64" s="1080">
        <v>0</v>
      </c>
      <c r="CN64" s="1080">
        <v>22434217433</v>
      </c>
      <c r="CO64" s="1073"/>
      <c r="CP64" s="1074">
        <v>22434217433</v>
      </c>
    </row>
    <row r="65" spans="2:94">
      <c r="B65" s="1078">
        <v>61001900</v>
      </c>
      <c r="C65" s="1079" t="s">
        <v>1391</v>
      </c>
      <c r="D65" s="1080">
        <v>19392486056</v>
      </c>
      <c r="E65" s="1080">
        <v>101091444</v>
      </c>
      <c r="F65" s="1080">
        <v>120204127</v>
      </c>
      <c r="G65" s="1080">
        <v>102565089</v>
      </c>
      <c r="H65" s="1080">
        <v>38748959</v>
      </c>
      <c r="I65" s="1080">
        <v>19755095675</v>
      </c>
      <c r="J65" s="1080">
        <v>0</v>
      </c>
      <c r="K65" s="1080">
        <v>0</v>
      </c>
      <c r="L65" s="1080">
        <v>19755095675</v>
      </c>
      <c r="N65" s="2177">
        <v>61001900</v>
      </c>
      <c r="O65" s="2178" t="s">
        <v>1391</v>
      </c>
      <c r="P65" s="2179">
        <v>12228781057</v>
      </c>
      <c r="Q65" s="2179">
        <v>87422238</v>
      </c>
      <c r="R65" s="2179">
        <v>106048439</v>
      </c>
      <c r="S65" s="2179">
        <v>79466329</v>
      </c>
      <c r="T65" s="2179">
        <v>32800231</v>
      </c>
      <c r="U65" s="2179">
        <v>12534518294</v>
      </c>
      <c r="V65" s="2179">
        <v>0</v>
      </c>
      <c r="W65" s="2179">
        <v>0</v>
      </c>
      <c r="X65" s="2179">
        <v>12534518294</v>
      </c>
      <c r="Z65" s="2177">
        <v>61001900</v>
      </c>
      <c r="AA65" s="2178" t="s">
        <v>1391</v>
      </c>
      <c r="AB65" s="2179">
        <v>21728913801</v>
      </c>
      <c r="AC65" s="2179">
        <v>460546731</v>
      </c>
      <c r="AD65" s="2179">
        <v>162188786</v>
      </c>
      <c r="AE65" s="2179">
        <v>125463437</v>
      </c>
      <c r="AF65" s="2179">
        <v>51336848</v>
      </c>
      <c r="AG65" s="2179">
        <v>22528449603</v>
      </c>
      <c r="AH65" s="2179">
        <v>0</v>
      </c>
      <c r="AI65" s="2179">
        <v>0</v>
      </c>
      <c r="AJ65" s="2179">
        <v>22528449603</v>
      </c>
      <c r="AL65" s="1078">
        <v>61001900</v>
      </c>
      <c r="AM65" s="1079" t="s">
        <v>1391</v>
      </c>
      <c r="AN65" s="1080">
        <v>15685230642</v>
      </c>
      <c r="AO65" s="1080">
        <v>308434538</v>
      </c>
      <c r="AP65" s="1080">
        <v>119995068</v>
      </c>
      <c r="AQ65" s="1080">
        <v>95371385</v>
      </c>
      <c r="AR65" s="1080">
        <v>39841394</v>
      </c>
      <c r="AS65" s="1080">
        <v>16248873027</v>
      </c>
      <c r="AT65" s="1080">
        <v>0</v>
      </c>
      <c r="AU65" s="1080">
        <v>0</v>
      </c>
      <c r="AV65" s="1080">
        <v>16248873027</v>
      </c>
      <c r="AW65" s="1073"/>
      <c r="AX65" s="1074">
        <v>16248873027</v>
      </c>
      <c r="AZ65" s="1078">
        <v>61001900</v>
      </c>
      <c r="BA65" s="1079" t="s">
        <v>1391</v>
      </c>
      <c r="BB65" s="1080">
        <v>21624497748</v>
      </c>
      <c r="BC65" s="1080">
        <v>86657998</v>
      </c>
      <c r="BD65" s="1080">
        <v>127618240</v>
      </c>
      <c r="BE65" s="1080">
        <v>135326424</v>
      </c>
      <c r="BF65" s="1080">
        <v>48176886</v>
      </c>
      <c r="BG65" s="1080">
        <v>22022277296</v>
      </c>
      <c r="BH65" s="1080">
        <v>-247744</v>
      </c>
      <c r="BI65" s="1080">
        <v>0</v>
      </c>
      <c r="BJ65" s="1080">
        <v>22022029552</v>
      </c>
      <c r="BK65" s="1073"/>
      <c r="BL65" s="1074">
        <v>22022029552</v>
      </c>
      <c r="BN65" s="1078">
        <v>61002000</v>
      </c>
      <c r="BO65" s="1079" t="s">
        <v>1392</v>
      </c>
      <c r="BP65" s="1080">
        <v>896494759</v>
      </c>
      <c r="BQ65" s="1080">
        <v>118602102</v>
      </c>
      <c r="BR65" s="1080">
        <v>46409015</v>
      </c>
      <c r="BS65" s="1080">
        <v>12117000</v>
      </c>
      <c r="BT65" s="1080">
        <v>12983276</v>
      </c>
      <c r="BU65" s="1080">
        <v>1086606152</v>
      </c>
      <c r="BV65" s="1080">
        <v>0</v>
      </c>
      <c r="BW65" s="1080">
        <v>0</v>
      </c>
      <c r="BX65" s="1080">
        <v>1086606152</v>
      </c>
      <c r="BY65" s="1073"/>
      <c r="BZ65" s="1074">
        <v>1086606152</v>
      </c>
      <c r="CB65" s="1078">
        <v>61002000</v>
      </c>
      <c r="CC65" s="1079" t="s">
        <v>1392</v>
      </c>
      <c r="CD65" s="1080">
        <v>848934661</v>
      </c>
      <c r="CE65" s="1080">
        <v>140753275</v>
      </c>
      <c r="CF65" s="1080">
        <v>0</v>
      </c>
      <c r="CG65" s="1080">
        <v>47773237</v>
      </c>
      <c r="CH65" s="1080">
        <v>0</v>
      </c>
      <c r="CI65" s="1080">
        <v>13875812</v>
      </c>
      <c r="CJ65" s="1080">
        <v>16670696</v>
      </c>
      <c r="CK65" s="1080">
        <v>1068007681</v>
      </c>
      <c r="CL65" s="1080">
        <v>0</v>
      </c>
      <c r="CM65" s="1080">
        <v>0</v>
      </c>
      <c r="CN65" s="1080">
        <v>1068007681</v>
      </c>
      <c r="CO65" s="1073"/>
      <c r="CP65" s="1074">
        <v>1068007681</v>
      </c>
    </row>
    <row r="66" spans="2:94">
      <c r="B66" s="1078">
        <v>61002000</v>
      </c>
      <c r="C66" s="1079" t="s">
        <v>1392</v>
      </c>
      <c r="D66" s="1080">
        <v>546962066</v>
      </c>
      <c r="E66" s="1080">
        <v>116678090</v>
      </c>
      <c r="F66" s="1080">
        <v>18755580</v>
      </c>
      <c r="G66" s="1080">
        <v>5050000</v>
      </c>
      <c r="H66" s="1080">
        <v>9876719</v>
      </c>
      <c r="I66" s="1080">
        <v>697322455</v>
      </c>
      <c r="J66" s="1080">
        <v>0</v>
      </c>
      <c r="K66" s="1080">
        <v>0</v>
      </c>
      <c r="L66" s="1080">
        <v>697322455</v>
      </c>
      <c r="N66" s="2177">
        <v>61002000</v>
      </c>
      <c r="O66" s="2178" t="s">
        <v>1392</v>
      </c>
      <c r="P66" s="2179">
        <v>408174505</v>
      </c>
      <c r="Q66" s="2179">
        <v>68683990</v>
      </c>
      <c r="R66" s="2179">
        <v>11823220</v>
      </c>
      <c r="S66" s="2179">
        <v>3650000</v>
      </c>
      <c r="T66" s="2179">
        <v>6730575</v>
      </c>
      <c r="U66" s="2179">
        <v>499062290</v>
      </c>
      <c r="V66" s="2179">
        <v>0</v>
      </c>
      <c r="W66" s="2179">
        <v>0</v>
      </c>
      <c r="X66" s="2179">
        <v>499062290</v>
      </c>
      <c r="Z66" s="2177">
        <v>61002000</v>
      </c>
      <c r="AA66" s="2178" t="s">
        <v>1392</v>
      </c>
      <c r="AB66" s="2179">
        <v>721703441</v>
      </c>
      <c r="AC66" s="2179">
        <v>154585327</v>
      </c>
      <c r="AD66" s="2179">
        <v>32103040</v>
      </c>
      <c r="AE66" s="2179">
        <v>7755050</v>
      </c>
      <c r="AF66" s="2179">
        <v>9898377</v>
      </c>
      <c r="AG66" s="2179">
        <v>926045235</v>
      </c>
      <c r="AH66" s="2179">
        <v>0</v>
      </c>
      <c r="AI66" s="2179">
        <v>0</v>
      </c>
      <c r="AJ66" s="2179">
        <v>926045235</v>
      </c>
      <c r="AL66" s="1078">
        <v>61002000</v>
      </c>
      <c r="AM66" s="1079" t="s">
        <v>1392</v>
      </c>
      <c r="AN66" s="1080">
        <v>548956142</v>
      </c>
      <c r="AO66" s="1080">
        <v>119294122</v>
      </c>
      <c r="AP66" s="1080">
        <v>21175580</v>
      </c>
      <c r="AQ66" s="1080">
        <v>4805050</v>
      </c>
      <c r="AR66" s="1080">
        <v>6497012</v>
      </c>
      <c r="AS66" s="1080">
        <v>700727906</v>
      </c>
      <c r="AT66" s="1080">
        <v>0</v>
      </c>
      <c r="AU66" s="1080">
        <v>0</v>
      </c>
      <c r="AV66" s="1080">
        <v>700727906</v>
      </c>
      <c r="AW66" s="1073"/>
      <c r="AX66" s="1074">
        <v>700727906</v>
      </c>
      <c r="AZ66" s="1078">
        <v>61002000</v>
      </c>
      <c r="BA66" s="1079" t="s">
        <v>1392</v>
      </c>
      <c r="BB66" s="1080">
        <v>798581827</v>
      </c>
      <c r="BC66" s="1080">
        <v>103611582</v>
      </c>
      <c r="BD66" s="1080">
        <v>44162764</v>
      </c>
      <c r="BE66" s="1080">
        <v>10781000</v>
      </c>
      <c r="BF66" s="1080">
        <v>14663061</v>
      </c>
      <c r="BG66" s="1080">
        <v>971800234</v>
      </c>
      <c r="BH66" s="1080">
        <v>0</v>
      </c>
      <c r="BI66" s="1080">
        <v>0</v>
      </c>
      <c r="BJ66" s="1080">
        <v>971800234</v>
      </c>
      <c r="BK66" s="1073"/>
      <c r="BL66" s="1074">
        <v>971800234</v>
      </c>
      <c r="BN66" s="1078">
        <v>61002100</v>
      </c>
      <c r="BO66" s="1079" t="s">
        <v>2507</v>
      </c>
      <c r="BP66" s="1080">
        <v>422697195</v>
      </c>
      <c r="BQ66" s="1080">
        <v>3613439</v>
      </c>
      <c r="BR66" s="1080">
        <v>3247674</v>
      </c>
      <c r="BS66" s="1080">
        <v>4185400</v>
      </c>
      <c r="BT66" s="1080">
        <v>9060354</v>
      </c>
      <c r="BU66" s="1080">
        <v>442804062</v>
      </c>
      <c r="BV66" s="1080">
        <v>0</v>
      </c>
      <c r="BW66" s="1080">
        <v>0</v>
      </c>
      <c r="BX66" s="1080">
        <v>442804062</v>
      </c>
      <c r="BY66" s="1073"/>
      <c r="BZ66" s="1074">
        <v>442804062</v>
      </c>
      <c r="CB66" s="1078">
        <v>61002100</v>
      </c>
      <c r="CC66" s="1079" t="s">
        <v>2507</v>
      </c>
      <c r="CD66" s="1080">
        <v>357472913</v>
      </c>
      <c r="CE66" s="1080">
        <v>4223176</v>
      </c>
      <c r="CF66" s="1080">
        <v>0</v>
      </c>
      <c r="CG66" s="1080">
        <v>2952106</v>
      </c>
      <c r="CH66" s="1080">
        <v>0</v>
      </c>
      <c r="CI66" s="1080">
        <v>3713455</v>
      </c>
      <c r="CJ66" s="1080">
        <v>602636</v>
      </c>
      <c r="CK66" s="1080">
        <v>368964286</v>
      </c>
      <c r="CL66" s="1080">
        <v>0</v>
      </c>
      <c r="CM66" s="1080">
        <v>0</v>
      </c>
      <c r="CN66" s="1080">
        <v>368964286</v>
      </c>
      <c r="CO66" s="1073"/>
      <c r="CP66" s="1074">
        <v>368964286</v>
      </c>
    </row>
    <row r="67" spans="2:94">
      <c r="B67" s="1078">
        <v>61002100</v>
      </c>
      <c r="C67" s="1079" t="s">
        <v>2507</v>
      </c>
      <c r="D67" s="1080">
        <v>334497549</v>
      </c>
      <c r="E67" s="1080">
        <v>1901964</v>
      </c>
      <c r="F67" s="1080">
        <v>350255</v>
      </c>
      <c r="G67" s="1080">
        <v>1727303</v>
      </c>
      <c r="H67" s="1080">
        <v>1088738</v>
      </c>
      <c r="I67" s="1080">
        <v>339565809</v>
      </c>
      <c r="J67" s="1080">
        <v>0</v>
      </c>
      <c r="K67" s="1080">
        <v>0</v>
      </c>
      <c r="L67" s="1080">
        <v>339565809</v>
      </c>
      <c r="N67" s="2177">
        <v>61002100</v>
      </c>
      <c r="O67" s="2178" t="s">
        <v>1393</v>
      </c>
      <c r="P67" s="2179">
        <v>237812992</v>
      </c>
      <c r="Q67" s="2179">
        <v>1520464</v>
      </c>
      <c r="R67" s="2179">
        <v>316955</v>
      </c>
      <c r="S67" s="2179">
        <v>1155483</v>
      </c>
      <c r="T67" s="2179">
        <v>219922</v>
      </c>
      <c r="U67" s="2179">
        <v>241025816</v>
      </c>
      <c r="V67" s="2179">
        <v>0</v>
      </c>
      <c r="W67" s="2179">
        <v>0</v>
      </c>
      <c r="X67" s="2179">
        <v>241025816</v>
      </c>
      <c r="Z67" s="2177">
        <v>61002100</v>
      </c>
      <c r="AA67" s="2178" t="s">
        <v>1393</v>
      </c>
      <c r="AB67" s="2179">
        <v>351831944</v>
      </c>
      <c r="AC67" s="2179">
        <v>2439440</v>
      </c>
      <c r="AD67" s="2179">
        <v>3361855</v>
      </c>
      <c r="AE67" s="2179">
        <v>5023591</v>
      </c>
      <c r="AF67" s="2179">
        <v>10679972</v>
      </c>
      <c r="AG67" s="2179">
        <v>373336802</v>
      </c>
      <c r="AH67" s="2179">
        <v>0</v>
      </c>
      <c r="AI67" s="2179">
        <v>0</v>
      </c>
      <c r="AJ67" s="2179">
        <v>373336802</v>
      </c>
      <c r="AL67" s="1078">
        <v>61002100</v>
      </c>
      <c r="AM67" s="1079" t="s">
        <v>2507</v>
      </c>
      <c r="AN67" s="1080">
        <v>281259005</v>
      </c>
      <c r="AO67" s="1080">
        <v>1971440</v>
      </c>
      <c r="AP67" s="1080">
        <v>2115855</v>
      </c>
      <c r="AQ67" s="1080">
        <v>2792091</v>
      </c>
      <c r="AR67" s="1080">
        <v>1120927</v>
      </c>
      <c r="AS67" s="1080">
        <v>289259318</v>
      </c>
      <c r="AT67" s="1080">
        <v>0</v>
      </c>
      <c r="AU67" s="1080">
        <v>0</v>
      </c>
      <c r="AV67" s="1080">
        <v>289259318</v>
      </c>
      <c r="AW67" s="1073"/>
      <c r="AX67" s="1074">
        <v>289259318</v>
      </c>
      <c r="AZ67" s="1078">
        <v>61002100</v>
      </c>
      <c r="BA67" s="1079" t="s">
        <v>2507</v>
      </c>
      <c r="BB67" s="1080">
        <v>463079734</v>
      </c>
      <c r="BC67" s="1080">
        <v>3384520</v>
      </c>
      <c r="BD67" s="1080">
        <v>2267226</v>
      </c>
      <c r="BE67" s="1080">
        <v>6974200</v>
      </c>
      <c r="BF67" s="1080">
        <v>9783545</v>
      </c>
      <c r="BG67" s="1080">
        <v>485489225</v>
      </c>
      <c r="BH67" s="1080">
        <v>0</v>
      </c>
      <c r="BI67" s="1080">
        <v>0</v>
      </c>
      <c r="BJ67" s="1080">
        <v>485489225</v>
      </c>
      <c r="BK67" s="1073"/>
      <c r="BL67" s="1074">
        <v>485489225</v>
      </c>
      <c r="BN67" s="1078">
        <v>61002200</v>
      </c>
      <c r="BO67" s="1079" t="s">
        <v>1394</v>
      </c>
      <c r="BP67" s="1080">
        <v>637503708</v>
      </c>
      <c r="BQ67" s="1080">
        <v>8329670</v>
      </c>
      <c r="BR67" s="1080">
        <v>30804856</v>
      </c>
      <c r="BS67" s="1080">
        <v>3585840</v>
      </c>
      <c r="BT67" s="1080">
        <v>1018889</v>
      </c>
      <c r="BU67" s="1080">
        <v>681242963</v>
      </c>
      <c r="BV67" s="1080">
        <v>0</v>
      </c>
      <c r="BW67" s="1080">
        <v>0</v>
      </c>
      <c r="BX67" s="1080">
        <v>681242963</v>
      </c>
      <c r="BY67" s="1073"/>
      <c r="BZ67" s="1074">
        <v>681242963</v>
      </c>
      <c r="CB67" s="1078">
        <v>61002200</v>
      </c>
      <c r="CC67" s="1079" t="s">
        <v>1394</v>
      </c>
      <c r="CD67" s="1080">
        <v>696981638</v>
      </c>
      <c r="CE67" s="1080">
        <v>15055242</v>
      </c>
      <c r="CF67" s="1080">
        <v>0</v>
      </c>
      <c r="CG67" s="1080">
        <v>67061002</v>
      </c>
      <c r="CH67" s="1080">
        <v>0</v>
      </c>
      <c r="CI67" s="1080">
        <v>560000</v>
      </c>
      <c r="CJ67" s="1080">
        <v>566087</v>
      </c>
      <c r="CK67" s="1080">
        <v>780223969</v>
      </c>
      <c r="CL67" s="1080">
        <v>0</v>
      </c>
      <c r="CM67" s="1080">
        <v>0</v>
      </c>
      <c r="CN67" s="1080">
        <v>780223969</v>
      </c>
      <c r="CO67" s="1073"/>
      <c r="CP67" s="1074">
        <v>780223969</v>
      </c>
    </row>
    <row r="68" spans="2:94">
      <c r="B68" s="1078">
        <v>61002200</v>
      </c>
      <c r="C68" s="1079" t="s">
        <v>1394</v>
      </c>
      <c r="D68" s="1080">
        <v>405082787</v>
      </c>
      <c r="E68" s="1080">
        <v>23106602</v>
      </c>
      <c r="F68" s="1080">
        <v>12747364</v>
      </c>
      <c r="G68" s="1080">
        <v>803000</v>
      </c>
      <c r="H68" s="1080">
        <v>0</v>
      </c>
      <c r="I68" s="1080">
        <v>441739753</v>
      </c>
      <c r="J68" s="1080">
        <v>0</v>
      </c>
      <c r="K68" s="1080">
        <v>0</v>
      </c>
      <c r="L68" s="1080">
        <v>441739753</v>
      </c>
      <c r="N68" s="2177">
        <v>61002200</v>
      </c>
      <c r="O68" s="2178" t="s">
        <v>1394</v>
      </c>
      <c r="P68" s="2179">
        <v>251008646</v>
      </c>
      <c r="Q68" s="2179">
        <v>22306602</v>
      </c>
      <c r="R68" s="2179">
        <v>10808890</v>
      </c>
      <c r="S68" s="2179">
        <v>0</v>
      </c>
      <c r="T68" s="2179">
        <v>0</v>
      </c>
      <c r="U68" s="2179">
        <v>284124138</v>
      </c>
      <c r="V68" s="2179">
        <v>0</v>
      </c>
      <c r="W68" s="2179">
        <v>0</v>
      </c>
      <c r="X68" s="2179">
        <v>284124138</v>
      </c>
      <c r="Z68" s="2177">
        <v>61002200</v>
      </c>
      <c r="AA68" s="2178" t="s">
        <v>1394</v>
      </c>
      <c r="AB68" s="2179">
        <v>592763485</v>
      </c>
      <c r="AC68" s="2179">
        <v>2978917</v>
      </c>
      <c r="AD68" s="2179">
        <v>26581757</v>
      </c>
      <c r="AE68" s="2179">
        <v>5349279</v>
      </c>
      <c r="AF68" s="2179">
        <v>244105</v>
      </c>
      <c r="AG68" s="2179">
        <v>627917543</v>
      </c>
      <c r="AH68" s="2179">
        <v>0</v>
      </c>
      <c r="AI68" s="2179">
        <v>0</v>
      </c>
      <c r="AJ68" s="2179">
        <v>627917543</v>
      </c>
      <c r="AL68" s="1078">
        <v>61002200</v>
      </c>
      <c r="AM68" s="1079" t="s">
        <v>1394</v>
      </c>
      <c r="AN68" s="1080">
        <v>417060452</v>
      </c>
      <c r="AO68" s="1080">
        <v>1088329</v>
      </c>
      <c r="AP68" s="1080">
        <v>24146032</v>
      </c>
      <c r="AQ68" s="1080">
        <v>4393279</v>
      </c>
      <c r="AR68" s="1080">
        <v>209469</v>
      </c>
      <c r="AS68" s="1080">
        <v>446897561</v>
      </c>
      <c r="AT68" s="1080">
        <v>0</v>
      </c>
      <c r="AU68" s="1080">
        <v>0</v>
      </c>
      <c r="AV68" s="1080">
        <v>446897561</v>
      </c>
      <c r="AW68" s="1073"/>
      <c r="AX68" s="1074">
        <v>446897561</v>
      </c>
      <c r="AZ68" s="1078">
        <v>61002200</v>
      </c>
      <c r="BA68" s="1079" t="s">
        <v>1394</v>
      </c>
      <c r="BB68" s="1080">
        <v>645352010</v>
      </c>
      <c r="BC68" s="1080">
        <v>4020797</v>
      </c>
      <c r="BD68" s="1080">
        <v>43770738</v>
      </c>
      <c r="BE68" s="1080">
        <v>2563160</v>
      </c>
      <c r="BF68" s="1080">
        <v>694867</v>
      </c>
      <c r="BG68" s="1080">
        <v>696401572</v>
      </c>
      <c r="BH68" s="1080">
        <v>0</v>
      </c>
      <c r="BI68" s="1080">
        <v>0</v>
      </c>
      <c r="BJ68" s="1080">
        <v>696401572</v>
      </c>
      <c r="BK68" s="1073"/>
      <c r="BL68" s="1074">
        <v>696401572</v>
      </c>
      <c r="BN68" s="1078">
        <v>61002300</v>
      </c>
      <c r="BO68" s="1079" t="s">
        <v>1395</v>
      </c>
      <c r="BP68" s="1080">
        <v>196010883</v>
      </c>
      <c r="BQ68" s="1080">
        <v>107967525</v>
      </c>
      <c r="BR68" s="1080">
        <v>23939640</v>
      </c>
      <c r="BS68" s="1080">
        <v>27757316</v>
      </c>
      <c r="BT68" s="1080">
        <v>4727747</v>
      </c>
      <c r="BU68" s="1080">
        <v>360403111</v>
      </c>
      <c r="BV68" s="1080">
        <v>0</v>
      </c>
      <c r="BW68" s="1080">
        <v>0</v>
      </c>
      <c r="BX68" s="1080">
        <v>360403111</v>
      </c>
      <c r="BY68" s="1073"/>
      <c r="BZ68" s="1074">
        <v>360403111</v>
      </c>
      <c r="CB68" s="1078">
        <v>61002300</v>
      </c>
      <c r="CC68" s="1079" t="s">
        <v>1395</v>
      </c>
      <c r="CD68" s="1080">
        <v>213154740</v>
      </c>
      <c r="CE68" s="1080">
        <v>70068015</v>
      </c>
      <c r="CF68" s="1080">
        <v>0</v>
      </c>
      <c r="CG68" s="1080">
        <v>26671870</v>
      </c>
      <c r="CH68" s="1080">
        <v>0</v>
      </c>
      <c r="CI68" s="1080">
        <v>25929422</v>
      </c>
      <c r="CJ68" s="1080">
        <v>7555300</v>
      </c>
      <c r="CK68" s="1080">
        <v>343379347</v>
      </c>
      <c r="CL68" s="1080">
        <v>0</v>
      </c>
      <c r="CM68" s="1080">
        <v>0</v>
      </c>
      <c r="CN68" s="1080">
        <v>343379347</v>
      </c>
      <c r="CO68" s="1073"/>
      <c r="CP68" s="1074">
        <v>343379347</v>
      </c>
    </row>
    <row r="69" spans="2:94">
      <c r="B69" s="1078">
        <v>61002300</v>
      </c>
      <c r="C69" s="1079" t="s">
        <v>1395</v>
      </c>
      <c r="D69" s="1080">
        <v>100976930</v>
      </c>
      <c r="E69" s="1080">
        <v>70958058</v>
      </c>
      <c r="F69" s="1080">
        <v>12251014</v>
      </c>
      <c r="G69" s="1080">
        <v>18731824</v>
      </c>
      <c r="H69" s="1080">
        <v>4093220</v>
      </c>
      <c r="I69" s="1080">
        <v>207011046</v>
      </c>
      <c r="J69" s="1080">
        <v>0</v>
      </c>
      <c r="K69" s="1080">
        <v>0</v>
      </c>
      <c r="L69" s="1080">
        <v>207011046</v>
      </c>
      <c r="N69" s="2177">
        <v>61002300</v>
      </c>
      <c r="O69" s="2178" t="s">
        <v>1395</v>
      </c>
      <c r="P69" s="2179">
        <v>66100373</v>
      </c>
      <c r="Q69" s="2179">
        <v>48618089</v>
      </c>
      <c r="R69" s="2179">
        <v>8280930</v>
      </c>
      <c r="S69" s="2179">
        <v>12335525</v>
      </c>
      <c r="T69" s="2179">
        <v>2787020</v>
      </c>
      <c r="U69" s="2179">
        <v>138121937</v>
      </c>
      <c r="V69" s="2179">
        <v>0</v>
      </c>
      <c r="W69" s="2179">
        <v>0</v>
      </c>
      <c r="X69" s="2179">
        <v>138121937</v>
      </c>
      <c r="Z69" s="2177">
        <v>61002300</v>
      </c>
      <c r="AA69" s="2178" t="s">
        <v>1395</v>
      </c>
      <c r="AB69" s="2179">
        <v>127373793</v>
      </c>
      <c r="AC69" s="2179">
        <v>95077626</v>
      </c>
      <c r="AD69" s="2179">
        <v>16676174</v>
      </c>
      <c r="AE69" s="2179">
        <v>21363487</v>
      </c>
      <c r="AF69" s="2179">
        <v>4764027</v>
      </c>
      <c r="AG69" s="2179">
        <v>265255107</v>
      </c>
      <c r="AH69" s="2179">
        <v>0</v>
      </c>
      <c r="AI69" s="2179">
        <v>0</v>
      </c>
      <c r="AJ69" s="2179">
        <v>265255107</v>
      </c>
      <c r="AL69" s="1078">
        <v>61002300</v>
      </c>
      <c r="AM69" s="1079" t="s">
        <v>1395</v>
      </c>
      <c r="AN69" s="1080">
        <v>92406135</v>
      </c>
      <c r="AO69" s="1080">
        <v>66028899</v>
      </c>
      <c r="AP69" s="1080">
        <v>11931997</v>
      </c>
      <c r="AQ69" s="1080">
        <v>15907426</v>
      </c>
      <c r="AR69" s="1080">
        <v>3607407</v>
      </c>
      <c r="AS69" s="1080">
        <v>189881864</v>
      </c>
      <c r="AT69" s="1080">
        <v>0</v>
      </c>
      <c r="AU69" s="1080">
        <v>0</v>
      </c>
      <c r="AV69" s="1080">
        <v>189881864</v>
      </c>
      <c r="AW69" s="1073"/>
      <c r="AX69" s="1074">
        <v>189881864</v>
      </c>
      <c r="AZ69" s="1078">
        <v>61002300</v>
      </c>
      <c r="BA69" s="1079" t="s">
        <v>1395</v>
      </c>
      <c r="BB69" s="1080">
        <v>180856804</v>
      </c>
      <c r="BC69" s="1080">
        <v>111499300</v>
      </c>
      <c r="BD69" s="1080">
        <v>21799293</v>
      </c>
      <c r="BE69" s="1080">
        <v>23490803</v>
      </c>
      <c r="BF69" s="1080">
        <v>4852997</v>
      </c>
      <c r="BG69" s="1080">
        <v>342499197</v>
      </c>
      <c r="BH69" s="1080">
        <v>0</v>
      </c>
      <c r="BI69" s="1080">
        <v>0</v>
      </c>
      <c r="BJ69" s="1080">
        <v>342499197</v>
      </c>
      <c r="BK69" s="1073"/>
      <c r="BL69" s="1074">
        <v>342499197</v>
      </c>
      <c r="BN69" s="1078">
        <v>61002400</v>
      </c>
      <c r="BO69" s="1079" t="s">
        <v>1396</v>
      </c>
      <c r="BP69" s="1080">
        <v>8441401</v>
      </c>
      <c r="BQ69" s="1080">
        <v>6547241</v>
      </c>
      <c r="BR69" s="1080">
        <v>0</v>
      </c>
      <c r="BS69" s="1080">
        <v>0</v>
      </c>
      <c r="BT69" s="1080">
        <v>0</v>
      </c>
      <c r="BU69" s="1080">
        <v>14988642</v>
      </c>
      <c r="BV69" s="1080">
        <v>0</v>
      </c>
      <c r="BW69" s="1080">
        <v>0</v>
      </c>
      <c r="BX69" s="1080">
        <v>14988642</v>
      </c>
      <c r="BY69" s="1073"/>
      <c r="BZ69" s="1074">
        <v>14988642</v>
      </c>
      <c r="CB69" s="1078">
        <v>61002400</v>
      </c>
      <c r="CC69" s="1079" t="s">
        <v>1396</v>
      </c>
      <c r="CD69" s="1080">
        <v>15671895</v>
      </c>
      <c r="CE69" s="1080">
        <v>8037225</v>
      </c>
      <c r="CF69" s="1080">
        <v>0</v>
      </c>
      <c r="CG69" s="1080">
        <v>0</v>
      </c>
      <c r="CH69" s="1080">
        <v>0</v>
      </c>
      <c r="CI69" s="1080">
        <v>0</v>
      </c>
      <c r="CJ69" s="1080">
        <v>0</v>
      </c>
      <c r="CK69" s="1080">
        <v>23709120</v>
      </c>
      <c r="CL69" s="1080">
        <v>0</v>
      </c>
      <c r="CM69" s="1080">
        <v>0</v>
      </c>
      <c r="CN69" s="1080">
        <v>23709120</v>
      </c>
      <c r="CO69" s="1073"/>
      <c r="CP69" s="1074">
        <v>23709120</v>
      </c>
    </row>
    <row r="70" spans="2:94">
      <c r="B70" s="1078">
        <v>61002400</v>
      </c>
      <c r="C70" s="1079" t="s">
        <v>1396</v>
      </c>
      <c r="D70" s="1080">
        <v>15240708</v>
      </c>
      <c r="E70" s="1080">
        <v>4837013</v>
      </c>
      <c r="F70" s="1080">
        <v>0</v>
      </c>
      <c r="G70" s="1080">
        <v>0</v>
      </c>
      <c r="H70" s="1080">
        <v>0</v>
      </c>
      <c r="I70" s="1080">
        <v>20077721</v>
      </c>
      <c r="J70" s="1080">
        <v>0</v>
      </c>
      <c r="K70" s="1080">
        <v>0</v>
      </c>
      <c r="L70" s="1080">
        <v>20077721</v>
      </c>
      <c r="N70" s="2177">
        <v>61002400</v>
      </c>
      <c r="O70" s="2178" t="s">
        <v>1396</v>
      </c>
      <c r="P70" s="2179">
        <v>10541480</v>
      </c>
      <c r="Q70" s="2179">
        <v>3785599</v>
      </c>
      <c r="R70" s="2179">
        <v>0</v>
      </c>
      <c r="S70" s="2179">
        <v>0</v>
      </c>
      <c r="T70" s="2179">
        <v>0</v>
      </c>
      <c r="U70" s="2179">
        <v>14327079</v>
      </c>
      <c r="V70" s="2179">
        <v>0</v>
      </c>
      <c r="W70" s="2179">
        <v>0</v>
      </c>
      <c r="X70" s="2179">
        <v>14327079</v>
      </c>
      <c r="Z70" s="2177">
        <v>61002400</v>
      </c>
      <c r="AA70" s="2178" t="s">
        <v>1396</v>
      </c>
      <c r="AB70" s="2179">
        <v>35997266</v>
      </c>
      <c r="AC70" s="2179">
        <v>8758070</v>
      </c>
      <c r="AD70" s="2179">
        <v>0</v>
      </c>
      <c r="AE70" s="2179">
        <v>0</v>
      </c>
      <c r="AF70" s="2179">
        <v>0</v>
      </c>
      <c r="AG70" s="2179">
        <v>44755336</v>
      </c>
      <c r="AH70" s="2179">
        <v>0</v>
      </c>
      <c r="AI70" s="2179">
        <v>0</v>
      </c>
      <c r="AJ70" s="2179">
        <v>44755336</v>
      </c>
      <c r="AL70" s="1078">
        <v>61002400</v>
      </c>
      <c r="AM70" s="1079" t="s">
        <v>1396</v>
      </c>
      <c r="AN70" s="1080">
        <v>23805440</v>
      </c>
      <c r="AO70" s="1080">
        <v>6303347</v>
      </c>
      <c r="AP70" s="1080">
        <v>0</v>
      </c>
      <c r="AQ70" s="1080">
        <v>0</v>
      </c>
      <c r="AR70" s="1080">
        <v>0</v>
      </c>
      <c r="AS70" s="1080">
        <v>30108787</v>
      </c>
      <c r="AT70" s="1080">
        <v>0</v>
      </c>
      <c r="AU70" s="1080">
        <v>0</v>
      </c>
      <c r="AV70" s="1080">
        <v>30108787</v>
      </c>
      <c r="AW70" s="1073"/>
      <c r="AX70" s="1074">
        <v>30108787</v>
      </c>
      <c r="AZ70" s="1078">
        <v>61002400</v>
      </c>
      <c r="BA70" s="1079" t="s">
        <v>1396</v>
      </c>
      <c r="BB70" s="1080">
        <v>27932075</v>
      </c>
      <c r="BC70" s="1080">
        <v>8963140</v>
      </c>
      <c r="BD70" s="1080">
        <v>0</v>
      </c>
      <c r="BE70" s="1080">
        <v>0</v>
      </c>
      <c r="BF70" s="1080">
        <v>0</v>
      </c>
      <c r="BG70" s="1080">
        <v>36895215</v>
      </c>
      <c r="BH70" s="1080">
        <v>0</v>
      </c>
      <c r="BI70" s="1080">
        <v>0</v>
      </c>
      <c r="BJ70" s="1080">
        <v>36895215</v>
      </c>
      <c r="BK70" s="1073"/>
      <c r="BL70" s="1074">
        <v>36895215</v>
      </c>
      <c r="BN70" s="1078">
        <v>61002500</v>
      </c>
      <c r="BO70" s="1079" t="s">
        <v>1397</v>
      </c>
      <c r="BP70" s="1080">
        <v>9557464114</v>
      </c>
      <c r="BQ70" s="1080">
        <v>0</v>
      </c>
      <c r="BR70" s="1080">
        <v>0</v>
      </c>
      <c r="BS70" s="1080">
        <v>0</v>
      </c>
      <c r="BT70" s="1080">
        <v>0</v>
      </c>
      <c r="BU70" s="1080">
        <v>9557464114</v>
      </c>
      <c r="BV70" s="1080">
        <v>0</v>
      </c>
      <c r="BW70" s="1080">
        <v>0</v>
      </c>
      <c r="BX70" s="1080">
        <v>9557464114</v>
      </c>
      <c r="BY70" s="1073"/>
      <c r="BZ70" s="1074">
        <v>9557464114</v>
      </c>
      <c r="CB70" s="1078">
        <v>61002500</v>
      </c>
      <c r="CC70" s="1079" t="s">
        <v>1397</v>
      </c>
      <c r="CD70" s="1080">
        <v>10176868680</v>
      </c>
      <c r="CE70" s="1080">
        <v>0</v>
      </c>
      <c r="CF70" s="1080">
        <v>0</v>
      </c>
      <c r="CG70" s="1080">
        <v>0</v>
      </c>
      <c r="CH70" s="1080">
        <v>0</v>
      </c>
      <c r="CI70" s="1080">
        <v>0</v>
      </c>
      <c r="CJ70" s="1080">
        <v>0</v>
      </c>
      <c r="CK70" s="1080">
        <v>10176868680</v>
      </c>
      <c r="CL70" s="1080">
        <v>0</v>
      </c>
      <c r="CM70" s="1080">
        <v>0</v>
      </c>
      <c r="CN70" s="1080">
        <v>10176868680</v>
      </c>
      <c r="CO70" s="1073"/>
      <c r="CP70" s="1074">
        <v>10176868680</v>
      </c>
    </row>
    <row r="71" spans="2:94">
      <c r="B71" s="1078">
        <v>61002500</v>
      </c>
      <c r="C71" s="1079" t="s">
        <v>1397</v>
      </c>
      <c r="D71" s="1080">
        <v>6494751656</v>
      </c>
      <c r="E71" s="1080">
        <v>0</v>
      </c>
      <c r="F71" s="1080">
        <v>0</v>
      </c>
      <c r="G71" s="1080">
        <v>0</v>
      </c>
      <c r="H71" s="1080">
        <v>0</v>
      </c>
      <c r="I71" s="1080">
        <v>6494751656</v>
      </c>
      <c r="J71" s="1080">
        <v>0</v>
      </c>
      <c r="K71" s="1080">
        <v>0</v>
      </c>
      <c r="L71" s="1080">
        <v>6494751656</v>
      </c>
      <c r="N71" s="2177">
        <v>61002500</v>
      </c>
      <c r="O71" s="2178" t="s">
        <v>1397</v>
      </c>
      <c r="P71" s="2179">
        <v>4272074603</v>
      </c>
      <c r="Q71" s="2179">
        <v>0</v>
      </c>
      <c r="R71" s="2179">
        <v>0</v>
      </c>
      <c r="S71" s="2179">
        <v>0</v>
      </c>
      <c r="T71" s="2179">
        <v>0</v>
      </c>
      <c r="U71" s="2179">
        <v>4272074603</v>
      </c>
      <c r="V71" s="2179">
        <v>0</v>
      </c>
      <c r="W71" s="2179">
        <v>0</v>
      </c>
      <c r="X71" s="2179">
        <v>4272074603</v>
      </c>
      <c r="Z71" s="2177">
        <v>61002500</v>
      </c>
      <c r="AA71" s="2178" t="s">
        <v>1397</v>
      </c>
      <c r="AB71" s="2179">
        <v>9039765455</v>
      </c>
      <c r="AC71" s="2179">
        <v>0</v>
      </c>
      <c r="AD71" s="2179">
        <v>0</v>
      </c>
      <c r="AE71" s="2179">
        <v>0</v>
      </c>
      <c r="AF71" s="2179">
        <v>0</v>
      </c>
      <c r="AG71" s="2179">
        <v>9039765455</v>
      </c>
      <c r="AH71" s="2179">
        <v>0</v>
      </c>
      <c r="AI71" s="2179">
        <v>0</v>
      </c>
      <c r="AJ71" s="2179">
        <v>9039765455</v>
      </c>
      <c r="AL71" s="1078">
        <v>61002500</v>
      </c>
      <c r="AM71" s="1079" t="s">
        <v>1397</v>
      </c>
      <c r="AN71" s="1080">
        <v>6377956318</v>
      </c>
      <c r="AO71" s="1080">
        <v>0</v>
      </c>
      <c r="AP71" s="1080">
        <v>0</v>
      </c>
      <c r="AQ71" s="1080">
        <v>0</v>
      </c>
      <c r="AR71" s="1080">
        <v>0</v>
      </c>
      <c r="AS71" s="1080">
        <v>6377956318</v>
      </c>
      <c r="AT71" s="1080">
        <v>0</v>
      </c>
      <c r="AU71" s="1080">
        <v>0</v>
      </c>
      <c r="AV71" s="1080">
        <v>6377956318</v>
      </c>
      <c r="AW71" s="1073"/>
      <c r="AX71" s="1074">
        <v>6377956318</v>
      </c>
      <c r="AZ71" s="1078">
        <v>61002500</v>
      </c>
      <c r="BA71" s="1079" t="s">
        <v>1397</v>
      </c>
      <c r="BB71" s="1080">
        <v>8697115426</v>
      </c>
      <c r="BC71" s="1080">
        <v>0</v>
      </c>
      <c r="BD71" s="1080">
        <v>0</v>
      </c>
      <c r="BE71" s="1080">
        <v>0</v>
      </c>
      <c r="BF71" s="1080">
        <v>0</v>
      </c>
      <c r="BG71" s="1080">
        <v>8697115426</v>
      </c>
      <c r="BH71" s="1080">
        <v>0</v>
      </c>
      <c r="BI71" s="1080">
        <v>0</v>
      </c>
      <c r="BJ71" s="1080">
        <v>8697115426</v>
      </c>
      <c r="BK71" s="1073"/>
      <c r="BL71" s="1074">
        <v>8697115426</v>
      </c>
      <c r="BN71" s="1078">
        <v>61002600</v>
      </c>
      <c r="BO71" s="1079" t="s">
        <v>2508</v>
      </c>
      <c r="BP71" s="1080">
        <v>0</v>
      </c>
      <c r="BQ71" s="1080">
        <v>0</v>
      </c>
      <c r="BR71" s="1080">
        <v>0</v>
      </c>
      <c r="BS71" s="1080">
        <v>0</v>
      </c>
      <c r="BT71" s="1080">
        <v>0</v>
      </c>
      <c r="BU71" s="1080">
        <v>0</v>
      </c>
      <c r="BV71" s="1080">
        <v>0</v>
      </c>
      <c r="BW71" s="1080">
        <v>0</v>
      </c>
      <c r="BX71" s="1080">
        <v>0</v>
      </c>
      <c r="BY71" s="1073"/>
      <c r="BZ71" s="1074">
        <v>0</v>
      </c>
      <c r="CB71" s="1078">
        <v>61002600</v>
      </c>
      <c r="CC71" s="1079" t="s">
        <v>2508</v>
      </c>
      <c r="CD71" s="1080">
        <v>0</v>
      </c>
      <c r="CE71" s="1080">
        <v>0</v>
      </c>
      <c r="CF71" s="1080">
        <v>0</v>
      </c>
      <c r="CG71" s="1080">
        <v>0</v>
      </c>
      <c r="CH71" s="1080">
        <v>0</v>
      </c>
      <c r="CI71" s="1080">
        <v>0</v>
      </c>
      <c r="CJ71" s="1080">
        <v>0</v>
      </c>
      <c r="CK71" s="1080">
        <v>0</v>
      </c>
      <c r="CL71" s="1080">
        <v>0</v>
      </c>
      <c r="CM71" s="1080">
        <v>0</v>
      </c>
      <c r="CN71" s="1080">
        <v>0</v>
      </c>
      <c r="CO71" s="1073"/>
      <c r="CP71" s="1074">
        <v>0</v>
      </c>
    </row>
    <row r="72" spans="2:94">
      <c r="B72" s="1078">
        <v>61002600</v>
      </c>
      <c r="C72" s="1079" t="s">
        <v>2508</v>
      </c>
      <c r="D72" s="1080">
        <v>0</v>
      </c>
      <c r="E72" s="1080">
        <v>0</v>
      </c>
      <c r="F72" s="1080">
        <v>0</v>
      </c>
      <c r="G72" s="1080">
        <v>0</v>
      </c>
      <c r="H72" s="1080">
        <v>0</v>
      </c>
      <c r="I72" s="1080">
        <v>0</v>
      </c>
      <c r="J72" s="1080">
        <v>0</v>
      </c>
      <c r="K72" s="1080">
        <v>0</v>
      </c>
      <c r="L72" s="1080">
        <v>0</v>
      </c>
      <c r="N72" s="2177">
        <v>61002600</v>
      </c>
      <c r="O72" s="2178" t="s">
        <v>2508</v>
      </c>
      <c r="P72" s="2179">
        <v>0</v>
      </c>
      <c r="Q72" s="2179">
        <v>0</v>
      </c>
      <c r="R72" s="2179">
        <v>0</v>
      </c>
      <c r="S72" s="2179">
        <v>0</v>
      </c>
      <c r="T72" s="2179">
        <v>0</v>
      </c>
      <c r="U72" s="2179">
        <v>0</v>
      </c>
      <c r="V72" s="2179">
        <v>0</v>
      </c>
      <c r="W72" s="2179">
        <v>0</v>
      </c>
      <c r="X72" s="2179">
        <v>0</v>
      </c>
      <c r="Z72" s="2177">
        <v>61002600</v>
      </c>
      <c r="AA72" s="2178" t="s">
        <v>2508</v>
      </c>
      <c r="AB72" s="2179">
        <v>0</v>
      </c>
      <c r="AC72" s="2179">
        <v>0</v>
      </c>
      <c r="AD72" s="2179">
        <v>0</v>
      </c>
      <c r="AE72" s="2179">
        <v>0</v>
      </c>
      <c r="AF72" s="2179">
        <v>0</v>
      </c>
      <c r="AG72" s="2179">
        <v>0</v>
      </c>
      <c r="AH72" s="2179">
        <v>0</v>
      </c>
      <c r="AI72" s="2179">
        <v>0</v>
      </c>
      <c r="AJ72" s="2179">
        <v>0</v>
      </c>
      <c r="AL72" s="1078">
        <v>61002600</v>
      </c>
      <c r="AM72" s="1079" t="s">
        <v>2508</v>
      </c>
      <c r="AN72" s="1080">
        <v>0</v>
      </c>
      <c r="AO72" s="1080">
        <v>0</v>
      </c>
      <c r="AP72" s="1080">
        <v>0</v>
      </c>
      <c r="AQ72" s="1080">
        <v>0</v>
      </c>
      <c r="AR72" s="1080">
        <v>0</v>
      </c>
      <c r="AS72" s="1080">
        <v>0</v>
      </c>
      <c r="AT72" s="1080">
        <v>0</v>
      </c>
      <c r="AU72" s="1080">
        <v>0</v>
      </c>
      <c r="AV72" s="1080">
        <v>0</v>
      </c>
      <c r="AW72" s="1073"/>
      <c r="AX72" s="1074">
        <v>0</v>
      </c>
      <c r="AZ72" s="1078">
        <v>61002600</v>
      </c>
      <c r="BA72" s="1079" t="s">
        <v>2508</v>
      </c>
      <c r="BB72" s="1080">
        <v>0</v>
      </c>
      <c r="BC72" s="1080">
        <v>0</v>
      </c>
      <c r="BD72" s="1080">
        <v>0</v>
      </c>
      <c r="BE72" s="1080">
        <v>0</v>
      </c>
      <c r="BF72" s="1080">
        <v>0</v>
      </c>
      <c r="BG72" s="1080">
        <v>0</v>
      </c>
      <c r="BH72" s="1080">
        <v>0</v>
      </c>
      <c r="BI72" s="1080">
        <v>0</v>
      </c>
      <c r="BJ72" s="1080">
        <v>0</v>
      </c>
      <c r="BK72" s="1073"/>
      <c r="BL72" s="1074">
        <v>0</v>
      </c>
      <c r="BN72" s="1078">
        <v>61002700</v>
      </c>
      <c r="BO72" s="1079" t="s">
        <v>1398</v>
      </c>
      <c r="BP72" s="1080">
        <v>854623200</v>
      </c>
      <c r="BQ72" s="1080">
        <v>9577155</v>
      </c>
      <c r="BR72" s="1080">
        <v>10019007</v>
      </c>
      <c r="BS72" s="1080">
        <v>0</v>
      </c>
      <c r="BT72" s="1080">
        <v>1515267</v>
      </c>
      <c r="BU72" s="1080">
        <v>875734629</v>
      </c>
      <c r="BV72" s="1080">
        <v>0</v>
      </c>
      <c r="BW72" s="1080">
        <v>0</v>
      </c>
      <c r="BX72" s="1080">
        <v>875734629</v>
      </c>
      <c r="BY72" s="1073"/>
      <c r="BZ72" s="1074">
        <v>875734629</v>
      </c>
      <c r="CB72" s="1078">
        <v>61002700</v>
      </c>
      <c r="CC72" s="1079" t="s">
        <v>1398</v>
      </c>
      <c r="CD72" s="1080">
        <v>918076314</v>
      </c>
      <c r="CE72" s="1080">
        <v>8753464</v>
      </c>
      <c r="CF72" s="1080">
        <v>0</v>
      </c>
      <c r="CG72" s="1080">
        <v>3277272</v>
      </c>
      <c r="CH72" s="1080">
        <v>0</v>
      </c>
      <c r="CI72" s="1080">
        <v>0</v>
      </c>
      <c r="CJ72" s="1080">
        <v>497468</v>
      </c>
      <c r="CK72" s="1080">
        <v>930604518</v>
      </c>
      <c r="CL72" s="1080">
        <v>0</v>
      </c>
      <c r="CM72" s="1080">
        <v>0</v>
      </c>
      <c r="CN72" s="1080">
        <v>930604518</v>
      </c>
      <c r="CO72" s="1073"/>
      <c r="CP72" s="1074">
        <v>930604518</v>
      </c>
    </row>
    <row r="73" spans="2:94">
      <c r="B73" s="1078">
        <v>61002700</v>
      </c>
      <c r="C73" s="1079" t="s">
        <v>1398</v>
      </c>
      <c r="D73" s="1080">
        <v>731484800</v>
      </c>
      <c r="E73" s="1080">
        <v>5181500</v>
      </c>
      <c r="F73" s="1080">
        <v>18356365</v>
      </c>
      <c r="G73" s="1080">
        <v>0</v>
      </c>
      <c r="H73" s="1080">
        <v>0</v>
      </c>
      <c r="I73" s="1080">
        <v>755022665</v>
      </c>
      <c r="J73" s="1080">
        <v>0</v>
      </c>
      <c r="K73" s="1080">
        <v>0</v>
      </c>
      <c r="L73" s="1080">
        <v>755022665</v>
      </c>
      <c r="N73" s="2177">
        <v>61002700</v>
      </c>
      <c r="O73" s="2178" t="s">
        <v>1398</v>
      </c>
      <c r="P73" s="2179">
        <v>367108800</v>
      </c>
      <c r="Q73" s="2179">
        <v>5181500</v>
      </c>
      <c r="R73" s="2179">
        <v>16192729</v>
      </c>
      <c r="S73" s="2179">
        <v>0</v>
      </c>
      <c r="T73" s="2179">
        <v>0</v>
      </c>
      <c r="U73" s="2179">
        <v>388483029</v>
      </c>
      <c r="V73" s="2179">
        <v>0</v>
      </c>
      <c r="W73" s="2179">
        <v>0</v>
      </c>
      <c r="X73" s="2179">
        <v>388483029</v>
      </c>
      <c r="Z73" s="2177">
        <v>61002700</v>
      </c>
      <c r="AA73" s="2178" t="s">
        <v>1398</v>
      </c>
      <c r="AB73" s="2179">
        <v>889102573</v>
      </c>
      <c r="AC73" s="2179">
        <v>9187032</v>
      </c>
      <c r="AD73" s="2179">
        <v>15768729</v>
      </c>
      <c r="AE73" s="2179">
        <v>0</v>
      </c>
      <c r="AF73" s="2179">
        <v>0</v>
      </c>
      <c r="AG73" s="2179">
        <v>914058334</v>
      </c>
      <c r="AH73" s="2179">
        <v>0</v>
      </c>
      <c r="AI73" s="2179">
        <v>0</v>
      </c>
      <c r="AJ73" s="2179">
        <v>914058334</v>
      </c>
      <c r="AL73" s="1078">
        <v>61002700</v>
      </c>
      <c r="AM73" s="1079" t="s">
        <v>1398</v>
      </c>
      <c r="AN73" s="1080">
        <v>640252573</v>
      </c>
      <c r="AO73" s="1080">
        <v>7255665</v>
      </c>
      <c r="AP73" s="1080">
        <v>10821457</v>
      </c>
      <c r="AQ73" s="1080">
        <v>0</v>
      </c>
      <c r="AR73" s="1080">
        <v>0</v>
      </c>
      <c r="AS73" s="1080">
        <v>658329695</v>
      </c>
      <c r="AT73" s="1080">
        <v>0</v>
      </c>
      <c r="AU73" s="1080">
        <v>0</v>
      </c>
      <c r="AV73" s="1080">
        <v>658329695</v>
      </c>
      <c r="AW73" s="1073"/>
      <c r="AX73" s="1074">
        <v>658329695</v>
      </c>
      <c r="AZ73" s="1078">
        <v>61002700</v>
      </c>
      <c r="BA73" s="1079" t="s">
        <v>1398</v>
      </c>
      <c r="BB73" s="1080">
        <v>874133295</v>
      </c>
      <c r="BC73" s="1080">
        <v>3231545</v>
      </c>
      <c r="BD73" s="1080">
        <v>17508183</v>
      </c>
      <c r="BE73" s="1080">
        <v>0</v>
      </c>
      <c r="BF73" s="1080">
        <v>0</v>
      </c>
      <c r="BG73" s="1080">
        <v>894873023</v>
      </c>
      <c r="BH73" s="1080">
        <v>0</v>
      </c>
      <c r="BI73" s="1080">
        <v>0</v>
      </c>
      <c r="BJ73" s="1080">
        <v>894873023</v>
      </c>
      <c r="BK73" s="1073"/>
      <c r="BL73" s="1074">
        <v>894873023</v>
      </c>
      <c r="BN73" s="1078">
        <v>61002800</v>
      </c>
      <c r="BO73" s="1079" t="s">
        <v>1399</v>
      </c>
      <c r="BP73" s="1080">
        <v>26277993</v>
      </c>
      <c r="BQ73" s="1080">
        <v>9539604</v>
      </c>
      <c r="BR73" s="1080">
        <v>0</v>
      </c>
      <c r="BS73" s="1080">
        <v>0</v>
      </c>
      <c r="BT73" s="1080">
        <v>0</v>
      </c>
      <c r="BU73" s="1080">
        <v>35817597</v>
      </c>
      <c r="BV73" s="1080">
        <v>0</v>
      </c>
      <c r="BW73" s="1080">
        <v>0</v>
      </c>
      <c r="BX73" s="1080">
        <v>35817597</v>
      </c>
      <c r="BY73" s="1073"/>
      <c r="BZ73" s="1074">
        <v>35817597</v>
      </c>
      <c r="CB73" s="1078">
        <v>61002800</v>
      </c>
      <c r="CC73" s="1079" t="s">
        <v>1399</v>
      </c>
      <c r="CD73" s="1080">
        <v>11492255</v>
      </c>
      <c r="CE73" s="1080">
        <v>6865082</v>
      </c>
      <c r="CF73" s="1080">
        <v>0</v>
      </c>
      <c r="CG73" s="1080">
        <v>0</v>
      </c>
      <c r="CH73" s="1080">
        <v>0</v>
      </c>
      <c r="CI73" s="1080">
        <v>0</v>
      </c>
      <c r="CJ73" s="1080">
        <v>0</v>
      </c>
      <c r="CK73" s="1080">
        <v>18357337</v>
      </c>
      <c r="CL73" s="1080">
        <v>0</v>
      </c>
      <c r="CM73" s="1080">
        <v>0</v>
      </c>
      <c r="CN73" s="1080">
        <v>18357337</v>
      </c>
      <c r="CO73" s="1073"/>
      <c r="CP73" s="1074">
        <v>18357337</v>
      </c>
    </row>
    <row r="74" spans="2:94">
      <c r="B74" s="1078">
        <v>61002800</v>
      </c>
      <c r="C74" s="1079" t="s">
        <v>1399</v>
      </c>
      <c r="D74" s="1080">
        <v>94798983</v>
      </c>
      <c r="E74" s="1080">
        <v>9013905</v>
      </c>
      <c r="F74" s="1080">
        <v>0</v>
      </c>
      <c r="G74" s="1080">
        <v>0</v>
      </c>
      <c r="H74" s="1080">
        <v>0</v>
      </c>
      <c r="I74" s="1080">
        <v>103812888</v>
      </c>
      <c r="J74" s="1080">
        <v>0</v>
      </c>
      <c r="K74" s="1080">
        <v>0</v>
      </c>
      <c r="L74" s="1080">
        <v>103812888</v>
      </c>
      <c r="N74" s="2177">
        <v>61002800</v>
      </c>
      <c r="O74" s="2178" t="s">
        <v>1399</v>
      </c>
      <c r="P74" s="2179">
        <v>77389</v>
      </c>
      <c r="Q74" s="2179">
        <v>7854993</v>
      </c>
      <c r="R74" s="2179">
        <v>0</v>
      </c>
      <c r="S74" s="2179">
        <v>0</v>
      </c>
      <c r="T74" s="2179">
        <v>0</v>
      </c>
      <c r="U74" s="2179">
        <v>7932382</v>
      </c>
      <c r="V74" s="2179">
        <v>0</v>
      </c>
      <c r="W74" s="2179">
        <v>0</v>
      </c>
      <c r="X74" s="2179">
        <v>7932382</v>
      </c>
      <c r="Z74" s="2177">
        <v>61002800</v>
      </c>
      <c r="AA74" s="2178" t="s">
        <v>1399</v>
      </c>
      <c r="AB74" s="2179">
        <v>1832435</v>
      </c>
      <c r="AC74" s="2179">
        <v>12074572</v>
      </c>
      <c r="AD74" s="2179">
        <v>0</v>
      </c>
      <c r="AE74" s="2179">
        <v>0</v>
      </c>
      <c r="AF74" s="2179">
        <v>0</v>
      </c>
      <c r="AG74" s="2179">
        <v>13907007</v>
      </c>
      <c r="AH74" s="2179">
        <v>0</v>
      </c>
      <c r="AI74" s="2179">
        <v>0</v>
      </c>
      <c r="AJ74" s="2179">
        <v>13907007</v>
      </c>
      <c r="AL74" s="1078">
        <v>61002800</v>
      </c>
      <c r="AM74" s="1079" t="s">
        <v>1399</v>
      </c>
      <c r="AN74" s="1080">
        <v>979168</v>
      </c>
      <c r="AO74" s="1080">
        <v>10279457</v>
      </c>
      <c r="AP74" s="1080">
        <v>0</v>
      </c>
      <c r="AQ74" s="1080">
        <v>0</v>
      </c>
      <c r="AR74" s="1080">
        <v>0</v>
      </c>
      <c r="AS74" s="1080">
        <v>11258625</v>
      </c>
      <c r="AT74" s="1080">
        <v>0</v>
      </c>
      <c r="AU74" s="1080">
        <v>0</v>
      </c>
      <c r="AV74" s="1080">
        <v>11258625</v>
      </c>
      <c r="AW74" s="1073"/>
      <c r="AX74" s="1074">
        <v>11258625</v>
      </c>
      <c r="AZ74" s="1078">
        <v>61002800</v>
      </c>
      <c r="BA74" s="1079" t="s">
        <v>1399</v>
      </c>
      <c r="BB74" s="1080">
        <v>698302</v>
      </c>
      <c r="BC74" s="1080">
        <v>5508461</v>
      </c>
      <c r="BD74" s="1080">
        <v>0</v>
      </c>
      <c r="BE74" s="1080">
        <v>0</v>
      </c>
      <c r="BF74" s="1080">
        <v>0</v>
      </c>
      <c r="BG74" s="1080">
        <v>6206763</v>
      </c>
      <c r="BH74" s="1080">
        <v>0</v>
      </c>
      <c r="BI74" s="1080">
        <v>0</v>
      </c>
      <c r="BJ74" s="1080">
        <v>6206763</v>
      </c>
      <c r="BK74" s="1073"/>
      <c r="BL74" s="1074">
        <v>6206763</v>
      </c>
      <c r="BN74" s="1078">
        <v>61002900</v>
      </c>
      <c r="BO74" s="1079" t="s">
        <v>1400</v>
      </c>
      <c r="BP74" s="1080">
        <v>0</v>
      </c>
      <c r="BQ74" s="1080">
        <v>0</v>
      </c>
      <c r="BR74" s="1080">
        <v>0</v>
      </c>
      <c r="BS74" s="1080">
        <v>0</v>
      </c>
      <c r="BT74" s="1080">
        <v>0</v>
      </c>
      <c r="BU74" s="1080">
        <v>0</v>
      </c>
      <c r="BV74" s="1080">
        <v>0</v>
      </c>
      <c r="BW74" s="1080">
        <v>0</v>
      </c>
      <c r="BX74" s="1080">
        <v>0</v>
      </c>
      <c r="BY74" s="1073"/>
      <c r="BZ74" s="1074">
        <v>0</v>
      </c>
      <c r="CB74" s="1078">
        <v>61002900</v>
      </c>
      <c r="CC74" s="1079" t="s">
        <v>1400</v>
      </c>
      <c r="CD74" s="1080">
        <v>32502739</v>
      </c>
      <c r="CE74" s="1080">
        <v>0</v>
      </c>
      <c r="CF74" s="1080">
        <v>0</v>
      </c>
      <c r="CG74" s="1080">
        <v>0</v>
      </c>
      <c r="CH74" s="1080">
        <v>0</v>
      </c>
      <c r="CI74" s="1080">
        <v>0</v>
      </c>
      <c r="CJ74" s="1080">
        <v>0</v>
      </c>
      <c r="CK74" s="1080">
        <v>32502739</v>
      </c>
      <c r="CL74" s="1080">
        <v>0</v>
      </c>
      <c r="CM74" s="1080">
        <v>0</v>
      </c>
      <c r="CN74" s="1080">
        <v>32502739</v>
      </c>
      <c r="CO74" s="1073"/>
      <c r="CP74" s="1074">
        <v>32502739</v>
      </c>
    </row>
    <row r="75" spans="2:94">
      <c r="B75" s="1078">
        <v>61002900</v>
      </c>
      <c r="C75" s="1079" t="s">
        <v>1400</v>
      </c>
      <c r="D75" s="1080">
        <v>0</v>
      </c>
      <c r="E75" s="1080">
        <v>0</v>
      </c>
      <c r="F75" s="1080">
        <v>0</v>
      </c>
      <c r="G75" s="1080">
        <v>0</v>
      </c>
      <c r="H75" s="1080">
        <v>0</v>
      </c>
      <c r="I75" s="1080">
        <v>0</v>
      </c>
      <c r="J75" s="1080">
        <v>0</v>
      </c>
      <c r="K75" s="1080">
        <v>0</v>
      </c>
      <c r="L75" s="1080">
        <v>0</v>
      </c>
      <c r="N75" s="2177">
        <v>61002900</v>
      </c>
      <c r="O75" s="2178" t="s">
        <v>1400</v>
      </c>
      <c r="P75" s="2179">
        <v>0</v>
      </c>
      <c r="Q75" s="2179">
        <v>0</v>
      </c>
      <c r="R75" s="2179">
        <v>0</v>
      </c>
      <c r="S75" s="2179">
        <v>0</v>
      </c>
      <c r="T75" s="2179">
        <v>0</v>
      </c>
      <c r="U75" s="2179">
        <v>0</v>
      </c>
      <c r="V75" s="2179">
        <v>0</v>
      </c>
      <c r="W75" s="2179">
        <v>0</v>
      </c>
      <c r="X75" s="2179">
        <v>0</v>
      </c>
      <c r="Z75" s="2177">
        <v>61002900</v>
      </c>
      <c r="AA75" s="2178" t="s">
        <v>1400</v>
      </c>
      <c r="AB75" s="2179">
        <v>0</v>
      </c>
      <c r="AC75" s="2179">
        <v>0</v>
      </c>
      <c r="AD75" s="2179">
        <v>0</v>
      </c>
      <c r="AE75" s="2179">
        <v>0</v>
      </c>
      <c r="AF75" s="2179">
        <v>0</v>
      </c>
      <c r="AG75" s="2179">
        <v>0</v>
      </c>
      <c r="AH75" s="2179">
        <v>0</v>
      </c>
      <c r="AI75" s="2179">
        <v>0</v>
      </c>
      <c r="AJ75" s="2179">
        <v>0</v>
      </c>
      <c r="AL75" s="1078">
        <v>61002900</v>
      </c>
      <c r="AM75" s="1079" t="s">
        <v>1400</v>
      </c>
      <c r="AN75" s="1080">
        <v>0</v>
      </c>
      <c r="AO75" s="1080">
        <v>0</v>
      </c>
      <c r="AP75" s="1080">
        <v>0</v>
      </c>
      <c r="AQ75" s="1080">
        <v>0</v>
      </c>
      <c r="AR75" s="1080">
        <v>0</v>
      </c>
      <c r="AS75" s="1080">
        <v>0</v>
      </c>
      <c r="AT75" s="1080">
        <v>0</v>
      </c>
      <c r="AU75" s="1080">
        <v>0</v>
      </c>
      <c r="AV75" s="1080">
        <v>0</v>
      </c>
      <c r="AW75" s="1073"/>
      <c r="AX75" s="1074">
        <v>0</v>
      </c>
      <c r="AZ75" s="1078">
        <v>61002900</v>
      </c>
      <c r="BA75" s="1079" t="s">
        <v>1400</v>
      </c>
      <c r="BB75" s="1080">
        <v>0</v>
      </c>
      <c r="BC75" s="1080">
        <v>0</v>
      </c>
      <c r="BD75" s="1080">
        <v>0</v>
      </c>
      <c r="BE75" s="1080">
        <v>0</v>
      </c>
      <c r="BF75" s="1080">
        <v>0</v>
      </c>
      <c r="BG75" s="1080">
        <v>0</v>
      </c>
      <c r="BH75" s="1080">
        <v>0</v>
      </c>
      <c r="BI75" s="1080">
        <v>0</v>
      </c>
      <c r="BJ75" s="1080">
        <v>0</v>
      </c>
      <c r="BK75" s="1073"/>
      <c r="BL75" s="1074">
        <v>0</v>
      </c>
      <c r="BN75" s="1078">
        <v>61003000</v>
      </c>
      <c r="BO75" s="1079" t="s">
        <v>1401</v>
      </c>
      <c r="BP75" s="1080">
        <v>492897696</v>
      </c>
      <c r="BQ75" s="1080">
        <v>12789041</v>
      </c>
      <c r="BR75" s="1080">
        <v>36259898</v>
      </c>
      <c r="BS75" s="1080">
        <v>25172573</v>
      </c>
      <c r="BT75" s="1080">
        <v>15942291</v>
      </c>
      <c r="BU75" s="1080">
        <v>583061499</v>
      </c>
      <c r="BV75" s="1080">
        <v>0</v>
      </c>
      <c r="BW75" s="1080">
        <v>0</v>
      </c>
      <c r="BX75" s="1080">
        <v>583061499</v>
      </c>
      <c r="BY75" s="1073"/>
      <c r="BZ75" s="1074">
        <v>583061499</v>
      </c>
      <c r="CB75" s="1078">
        <v>61003000</v>
      </c>
      <c r="CC75" s="1079" t="s">
        <v>1401</v>
      </c>
      <c r="CD75" s="1080">
        <v>30946321</v>
      </c>
      <c r="CE75" s="1080">
        <v>10669919</v>
      </c>
      <c r="CF75" s="1080">
        <v>0</v>
      </c>
      <c r="CG75" s="1080">
        <v>67680124</v>
      </c>
      <c r="CH75" s="1080">
        <v>0</v>
      </c>
      <c r="CI75" s="1080">
        <v>32804741</v>
      </c>
      <c r="CJ75" s="1080">
        <v>16384786</v>
      </c>
      <c r="CK75" s="1080">
        <v>158485891</v>
      </c>
      <c r="CL75" s="1080">
        <v>0</v>
      </c>
      <c r="CM75" s="1080">
        <v>0</v>
      </c>
      <c r="CN75" s="1080">
        <v>158485891</v>
      </c>
      <c r="CO75" s="1073"/>
      <c r="CP75" s="1074">
        <v>158485891</v>
      </c>
    </row>
    <row r="76" spans="2:94">
      <c r="B76" s="1078">
        <v>61003000</v>
      </c>
      <c r="C76" s="1079" t="s">
        <v>1401</v>
      </c>
      <c r="D76" s="1080">
        <v>755319055</v>
      </c>
      <c r="E76" s="1080">
        <v>18874160</v>
      </c>
      <c r="F76" s="1080">
        <v>13510008</v>
      </c>
      <c r="G76" s="1080">
        <v>6944940</v>
      </c>
      <c r="H76" s="1080">
        <v>5947756</v>
      </c>
      <c r="I76" s="1080">
        <v>800595919</v>
      </c>
      <c r="J76" s="1080">
        <v>0</v>
      </c>
      <c r="K76" s="1080">
        <v>0</v>
      </c>
      <c r="L76" s="1080">
        <v>800595919</v>
      </c>
      <c r="N76" s="2177">
        <v>61003000</v>
      </c>
      <c r="O76" s="2178" t="s">
        <v>1401</v>
      </c>
      <c r="P76" s="2179">
        <v>497309071</v>
      </c>
      <c r="Q76" s="2179">
        <v>11747496</v>
      </c>
      <c r="R76" s="2179">
        <v>8516118</v>
      </c>
      <c r="S76" s="2179">
        <v>4629960</v>
      </c>
      <c r="T76" s="2179">
        <v>3918568</v>
      </c>
      <c r="U76" s="2179">
        <v>526121213</v>
      </c>
      <c r="V76" s="2179">
        <v>0</v>
      </c>
      <c r="W76" s="2179">
        <v>0</v>
      </c>
      <c r="X76" s="2179">
        <v>526121213</v>
      </c>
      <c r="Z76" s="2177">
        <v>61003000</v>
      </c>
      <c r="AA76" s="2178" t="s">
        <v>1401</v>
      </c>
      <c r="AB76" s="2179">
        <v>804283063</v>
      </c>
      <c r="AC76" s="2179">
        <v>19143101</v>
      </c>
      <c r="AD76" s="2179">
        <v>17033333</v>
      </c>
      <c r="AE76" s="2179">
        <v>20948935</v>
      </c>
      <c r="AF76" s="2179">
        <v>12995301</v>
      </c>
      <c r="AG76" s="2179">
        <v>874403733</v>
      </c>
      <c r="AH76" s="2179">
        <v>0</v>
      </c>
      <c r="AI76" s="2179">
        <v>0</v>
      </c>
      <c r="AJ76" s="2179">
        <v>874403733</v>
      </c>
      <c r="AL76" s="1078">
        <v>61003000</v>
      </c>
      <c r="AM76" s="1079" t="s">
        <v>1401</v>
      </c>
      <c r="AN76" s="1080">
        <v>572303237</v>
      </c>
      <c r="AO76" s="1080">
        <v>13321094</v>
      </c>
      <c r="AP76" s="1080">
        <v>12774996</v>
      </c>
      <c r="AQ76" s="1080">
        <v>16459129</v>
      </c>
      <c r="AR76" s="1080">
        <v>11117904</v>
      </c>
      <c r="AS76" s="1080">
        <v>625976360</v>
      </c>
      <c r="AT76" s="1080">
        <v>0</v>
      </c>
      <c r="AU76" s="1080">
        <v>0</v>
      </c>
      <c r="AV76" s="1080">
        <v>625976360</v>
      </c>
      <c r="AW76" s="1073"/>
      <c r="AX76" s="1074">
        <v>625976360</v>
      </c>
      <c r="AZ76" s="1078">
        <v>61003000</v>
      </c>
      <c r="BA76" s="1079" t="s">
        <v>1401</v>
      </c>
      <c r="BB76" s="1080">
        <v>668354368</v>
      </c>
      <c r="BC76" s="1080">
        <v>13447740</v>
      </c>
      <c r="BD76" s="1080">
        <v>6839538</v>
      </c>
      <c r="BE76" s="1080">
        <v>27335015</v>
      </c>
      <c r="BF76" s="1080">
        <v>17193874</v>
      </c>
      <c r="BG76" s="1080">
        <v>733170535</v>
      </c>
      <c r="BH76" s="1080">
        <v>0</v>
      </c>
      <c r="BI76" s="1080">
        <v>0</v>
      </c>
      <c r="BJ76" s="1080">
        <v>733170535</v>
      </c>
      <c r="BK76" s="1073"/>
      <c r="BL76" s="1074">
        <v>733170535</v>
      </c>
      <c r="BN76" s="1078">
        <v>61003100</v>
      </c>
      <c r="BO76" s="1079" t="s">
        <v>2509</v>
      </c>
      <c r="BP76" s="1080">
        <v>0</v>
      </c>
      <c r="BQ76" s="1080">
        <v>0</v>
      </c>
      <c r="BR76" s="1080">
        <v>0</v>
      </c>
      <c r="BS76" s="1080">
        <v>0</v>
      </c>
      <c r="BT76" s="1080">
        <v>0</v>
      </c>
      <c r="BU76" s="1080">
        <v>0</v>
      </c>
      <c r="BV76" s="1080">
        <v>0</v>
      </c>
      <c r="BW76" s="1080">
        <v>0</v>
      </c>
      <c r="BX76" s="1080">
        <v>0</v>
      </c>
      <c r="BY76" s="1073"/>
      <c r="BZ76" s="1074">
        <v>0</v>
      </c>
      <c r="CB76" s="1078">
        <v>61003100</v>
      </c>
      <c r="CC76" s="1079" t="s">
        <v>2509</v>
      </c>
      <c r="CD76" s="1080">
        <v>0</v>
      </c>
      <c r="CE76" s="1080">
        <v>0</v>
      </c>
      <c r="CF76" s="1080">
        <v>0</v>
      </c>
      <c r="CG76" s="1080">
        <v>0</v>
      </c>
      <c r="CH76" s="1080">
        <v>0</v>
      </c>
      <c r="CI76" s="1080">
        <v>0</v>
      </c>
      <c r="CJ76" s="1080">
        <v>0</v>
      </c>
      <c r="CK76" s="1080">
        <v>0</v>
      </c>
      <c r="CL76" s="1080">
        <v>0</v>
      </c>
      <c r="CM76" s="1080">
        <v>0</v>
      </c>
      <c r="CN76" s="1080">
        <v>0</v>
      </c>
      <c r="CO76" s="1073"/>
      <c r="CP76" s="1074">
        <v>0</v>
      </c>
    </row>
    <row r="77" spans="2:94">
      <c r="B77" s="1078">
        <v>61003100</v>
      </c>
      <c r="C77" s="1079" t="s">
        <v>2509</v>
      </c>
      <c r="D77" s="1080">
        <v>0</v>
      </c>
      <c r="E77" s="1080">
        <v>0</v>
      </c>
      <c r="F77" s="1080">
        <v>0</v>
      </c>
      <c r="G77" s="1080">
        <v>0</v>
      </c>
      <c r="H77" s="1080">
        <v>0</v>
      </c>
      <c r="I77" s="1080">
        <v>0</v>
      </c>
      <c r="J77" s="1080">
        <v>0</v>
      </c>
      <c r="K77" s="1080">
        <v>0</v>
      </c>
      <c r="L77" s="1080">
        <v>0</v>
      </c>
      <c r="N77" s="2177">
        <v>61003100</v>
      </c>
      <c r="O77" s="2178" t="s">
        <v>2509</v>
      </c>
      <c r="P77" s="2179">
        <v>0</v>
      </c>
      <c r="Q77" s="2179">
        <v>0</v>
      </c>
      <c r="R77" s="2179">
        <v>0</v>
      </c>
      <c r="S77" s="2179">
        <v>0</v>
      </c>
      <c r="T77" s="2179">
        <v>0</v>
      </c>
      <c r="U77" s="2179">
        <v>0</v>
      </c>
      <c r="V77" s="2179">
        <v>0</v>
      </c>
      <c r="W77" s="2179">
        <v>0</v>
      </c>
      <c r="X77" s="2179">
        <v>0</v>
      </c>
      <c r="Z77" s="2177">
        <v>61003100</v>
      </c>
      <c r="AA77" s="2178" t="s">
        <v>2509</v>
      </c>
      <c r="AB77" s="2179">
        <v>0</v>
      </c>
      <c r="AC77" s="2179">
        <v>0</v>
      </c>
      <c r="AD77" s="2179">
        <v>0</v>
      </c>
      <c r="AE77" s="2179">
        <v>0</v>
      </c>
      <c r="AF77" s="2179">
        <v>0</v>
      </c>
      <c r="AG77" s="2179">
        <v>0</v>
      </c>
      <c r="AH77" s="2179">
        <v>0</v>
      </c>
      <c r="AI77" s="2179">
        <v>0</v>
      </c>
      <c r="AJ77" s="2179">
        <v>0</v>
      </c>
      <c r="AL77" s="1078">
        <v>61003100</v>
      </c>
      <c r="AM77" s="1079" t="s">
        <v>2509</v>
      </c>
      <c r="AN77" s="1080">
        <v>0</v>
      </c>
      <c r="AO77" s="1080">
        <v>0</v>
      </c>
      <c r="AP77" s="1080">
        <v>0</v>
      </c>
      <c r="AQ77" s="1080">
        <v>0</v>
      </c>
      <c r="AR77" s="1080">
        <v>0</v>
      </c>
      <c r="AS77" s="1080">
        <v>0</v>
      </c>
      <c r="AT77" s="1080">
        <v>0</v>
      </c>
      <c r="AU77" s="1080">
        <v>0</v>
      </c>
      <c r="AV77" s="1080">
        <v>0</v>
      </c>
      <c r="AW77" s="1073"/>
      <c r="AX77" s="1074">
        <v>0</v>
      </c>
      <c r="AZ77" s="1078">
        <v>61003100</v>
      </c>
      <c r="BA77" s="1079" t="s">
        <v>2509</v>
      </c>
      <c r="BB77" s="1080">
        <v>0</v>
      </c>
      <c r="BC77" s="1080">
        <v>0</v>
      </c>
      <c r="BD77" s="1080">
        <v>0</v>
      </c>
      <c r="BE77" s="1080">
        <v>0</v>
      </c>
      <c r="BF77" s="1080">
        <v>0</v>
      </c>
      <c r="BG77" s="1080">
        <v>0</v>
      </c>
      <c r="BH77" s="1080">
        <v>0</v>
      </c>
      <c r="BI77" s="1080">
        <v>0</v>
      </c>
      <c r="BJ77" s="1080">
        <v>0</v>
      </c>
      <c r="BK77" s="1073"/>
      <c r="BL77" s="1074">
        <v>0</v>
      </c>
      <c r="BN77" s="1078">
        <v>61003200</v>
      </c>
      <c r="BO77" s="1079" t="s">
        <v>1402</v>
      </c>
      <c r="BP77" s="1080">
        <v>257719315</v>
      </c>
      <c r="BQ77" s="1080">
        <v>0</v>
      </c>
      <c r="BR77" s="1080">
        <v>0</v>
      </c>
      <c r="BS77" s="1080">
        <v>0</v>
      </c>
      <c r="BT77" s="1080">
        <v>0</v>
      </c>
      <c r="BU77" s="1080">
        <v>257719315</v>
      </c>
      <c r="BV77" s="1080">
        <v>0</v>
      </c>
      <c r="BW77" s="1080">
        <v>0</v>
      </c>
      <c r="BX77" s="1080">
        <v>257719315</v>
      </c>
      <c r="BY77" s="1073"/>
      <c r="BZ77" s="1074">
        <v>257719315</v>
      </c>
      <c r="CB77" s="1078">
        <v>61003200</v>
      </c>
      <c r="CC77" s="1079" t="s">
        <v>1402</v>
      </c>
      <c r="CD77" s="1080">
        <v>322592371</v>
      </c>
      <c r="CE77" s="1080">
        <v>0</v>
      </c>
      <c r="CF77" s="1080">
        <v>0</v>
      </c>
      <c r="CG77" s="1080">
        <v>0</v>
      </c>
      <c r="CH77" s="1080">
        <v>0</v>
      </c>
      <c r="CI77" s="1080">
        <v>0</v>
      </c>
      <c r="CJ77" s="1080">
        <v>0</v>
      </c>
      <c r="CK77" s="1080">
        <v>322592371</v>
      </c>
      <c r="CL77" s="1080">
        <v>0</v>
      </c>
      <c r="CM77" s="1080">
        <v>0</v>
      </c>
      <c r="CN77" s="1080">
        <v>322592371</v>
      </c>
      <c r="CO77" s="1073"/>
      <c r="CP77" s="1074">
        <v>322592371</v>
      </c>
    </row>
    <row r="78" spans="2:94">
      <c r="B78" s="1078">
        <v>61003200</v>
      </c>
      <c r="C78" s="1079" t="s">
        <v>1402</v>
      </c>
      <c r="D78" s="1080">
        <v>220322833</v>
      </c>
      <c r="E78" s="1080">
        <v>0</v>
      </c>
      <c r="F78" s="1080">
        <v>0</v>
      </c>
      <c r="G78" s="1080">
        <v>0</v>
      </c>
      <c r="H78" s="1080">
        <v>0</v>
      </c>
      <c r="I78" s="1080">
        <v>220322833</v>
      </c>
      <c r="J78" s="1080">
        <v>0</v>
      </c>
      <c r="K78" s="1080">
        <v>0</v>
      </c>
      <c r="L78" s="1080">
        <v>220322833</v>
      </c>
      <c r="N78" s="2177">
        <v>61003200</v>
      </c>
      <c r="O78" s="2178" t="s">
        <v>1402</v>
      </c>
      <c r="P78" s="2179">
        <v>143246337</v>
      </c>
      <c r="Q78" s="2179">
        <v>0</v>
      </c>
      <c r="R78" s="2179">
        <v>0</v>
      </c>
      <c r="S78" s="2179">
        <v>0</v>
      </c>
      <c r="T78" s="2179">
        <v>0</v>
      </c>
      <c r="U78" s="2179">
        <v>143246337</v>
      </c>
      <c r="V78" s="2179">
        <v>0</v>
      </c>
      <c r="W78" s="2179">
        <v>0</v>
      </c>
      <c r="X78" s="2179">
        <v>143246337</v>
      </c>
      <c r="Z78" s="2177">
        <v>61003200</v>
      </c>
      <c r="AA78" s="2178" t="s">
        <v>1402</v>
      </c>
      <c r="AB78" s="2179">
        <v>201837792</v>
      </c>
      <c r="AC78" s="2179">
        <v>0</v>
      </c>
      <c r="AD78" s="2179">
        <v>0</v>
      </c>
      <c r="AE78" s="2179">
        <v>0</v>
      </c>
      <c r="AF78" s="2179">
        <v>0</v>
      </c>
      <c r="AG78" s="2179">
        <v>201837792</v>
      </c>
      <c r="AH78" s="2179">
        <v>0</v>
      </c>
      <c r="AI78" s="2179">
        <v>0</v>
      </c>
      <c r="AJ78" s="2179">
        <v>201837792</v>
      </c>
      <c r="AL78" s="1078">
        <v>61003200</v>
      </c>
      <c r="AM78" s="1079" t="s">
        <v>1402</v>
      </c>
      <c r="AN78" s="1080">
        <v>136280766</v>
      </c>
      <c r="AO78" s="1080">
        <v>0</v>
      </c>
      <c r="AP78" s="1080">
        <v>0</v>
      </c>
      <c r="AQ78" s="1080">
        <v>0</v>
      </c>
      <c r="AR78" s="1080">
        <v>0</v>
      </c>
      <c r="AS78" s="1080">
        <v>136280766</v>
      </c>
      <c r="AT78" s="1080">
        <v>0</v>
      </c>
      <c r="AU78" s="1080">
        <v>0</v>
      </c>
      <c r="AV78" s="1080">
        <v>136280766</v>
      </c>
      <c r="AW78" s="1073"/>
      <c r="AX78" s="1074">
        <v>136280766</v>
      </c>
      <c r="AZ78" s="1078">
        <v>61003200</v>
      </c>
      <c r="BA78" s="1079" t="s">
        <v>1402</v>
      </c>
      <c r="BB78" s="1080">
        <v>228982434</v>
      </c>
      <c r="BC78" s="1080">
        <v>0</v>
      </c>
      <c r="BD78" s="1080">
        <v>0</v>
      </c>
      <c r="BE78" s="1080">
        <v>0</v>
      </c>
      <c r="BF78" s="1080">
        <v>0</v>
      </c>
      <c r="BG78" s="1080">
        <v>228982434</v>
      </c>
      <c r="BH78" s="1080">
        <v>0</v>
      </c>
      <c r="BI78" s="1080">
        <v>0</v>
      </c>
      <c r="BJ78" s="1080">
        <v>228982434</v>
      </c>
      <c r="BK78" s="1073"/>
      <c r="BL78" s="1074">
        <v>228982434</v>
      </c>
      <c r="BN78" s="1078">
        <v>61003300</v>
      </c>
      <c r="BO78" s="1079" t="s">
        <v>1403</v>
      </c>
      <c r="BP78" s="1080">
        <v>1269147486</v>
      </c>
      <c r="BQ78" s="1080">
        <v>0</v>
      </c>
      <c r="BR78" s="1080">
        <v>0</v>
      </c>
      <c r="BS78" s="1080">
        <v>0</v>
      </c>
      <c r="BT78" s="1080">
        <v>0</v>
      </c>
      <c r="BU78" s="1080">
        <v>1269147486</v>
      </c>
      <c r="BV78" s="1080">
        <v>0</v>
      </c>
      <c r="BW78" s="1080">
        <v>0</v>
      </c>
      <c r="BX78" s="1080">
        <v>1269147486</v>
      </c>
      <c r="BY78" s="1073"/>
      <c r="BZ78" s="1074">
        <v>1269147486</v>
      </c>
      <c r="CB78" s="1078">
        <v>61003300</v>
      </c>
      <c r="CC78" s="1079" t="s">
        <v>1403</v>
      </c>
      <c r="CD78" s="1080">
        <v>1185148533</v>
      </c>
      <c r="CE78" s="1080">
        <v>0</v>
      </c>
      <c r="CF78" s="1080">
        <v>0</v>
      </c>
      <c r="CG78" s="1080">
        <v>0</v>
      </c>
      <c r="CH78" s="1080">
        <v>0</v>
      </c>
      <c r="CI78" s="1080">
        <v>0</v>
      </c>
      <c r="CJ78" s="1080">
        <v>0</v>
      </c>
      <c r="CK78" s="1080">
        <v>1185148533</v>
      </c>
      <c r="CL78" s="1080">
        <v>0</v>
      </c>
      <c r="CM78" s="1080">
        <v>0</v>
      </c>
      <c r="CN78" s="1080">
        <v>1185148533</v>
      </c>
      <c r="CO78" s="1073"/>
      <c r="CP78" s="1074">
        <v>1185148533</v>
      </c>
    </row>
    <row r="79" spans="2:94">
      <c r="B79" s="1078">
        <v>61003300</v>
      </c>
      <c r="C79" s="1079" t="s">
        <v>1403</v>
      </c>
      <c r="D79" s="1080">
        <v>989811970</v>
      </c>
      <c r="E79" s="1080">
        <v>0</v>
      </c>
      <c r="F79" s="1080">
        <v>0</v>
      </c>
      <c r="G79" s="1080">
        <v>0</v>
      </c>
      <c r="H79" s="1080">
        <v>0</v>
      </c>
      <c r="I79" s="1080">
        <v>989811970</v>
      </c>
      <c r="J79" s="1080">
        <v>0</v>
      </c>
      <c r="K79" s="1080">
        <v>0</v>
      </c>
      <c r="L79" s="1080">
        <v>989811970</v>
      </c>
      <c r="N79" s="2177">
        <v>61003300</v>
      </c>
      <c r="O79" s="2178" t="s">
        <v>1403</v>
      </c>
      <c r="P79" s="2179">
        <v>639925080</v>
      </c>
      <c r="Q79" s="2179">
        <v>0</v>
      </c>
      <c r="R79" s="2179">
        <v>0</v>
      </c>
      <c r="S79" s="2179">
        <v>0</v>
      </c>
      <c r="T79" s="2179">
        <v>0</v>
      </c>
      <c r="U79" s="2179">
        <v>639925080</v>
      </c>
      <c r="V79" s="2179">
        <v>0</v>
      </c>
      <c r="W79" s="2179">
        <v>0</v>
      </c>
      <c r="X79" s="2179">
        <v>639925080</v>
      </c>
      <c r="Z79" s="2177">
        <v>61003300</v>
      </c>
      <c r="AA79" s="2178" t="s">
        <v>1403</v>
      </c>
      <c r="AB79" s="2179">
        <v>1260944057</v>
      </c>
      <c r="AC79" s="2179">
        <v>0</v>
      </c>
      <c r="AD79" s="2179">
        <v>0</v>
      </c>
      <c r="AE79" s="2179">
        <v>0</v>
      </c>
      <c r="AF79" s="2179">
        <v>0</v>
      </c>
      <c r="AG79" s="2179">
        <v>1260944057</v>
      </c>
      <c r="AH79" s="2179">
        <v>0</v>
      </c>
      <c r="AI79" s="2179">
        <v>0</v>
      </c>
      <c r="AJ79" s="2179">
        <v>1260944057</v>
      </c>
      <c r="AL79" s="1078">
        <v>61003300</v>
      </c>
      <c r="AM79" s="1079" t="s">
        <v>1403</v>
      </c>
      <c r="AN79" s="1080">
        <v>930332615</v>
      </c>
      <c r="AO79" s="1080">
        <v>0</v>
      </c>
      <c r="AP79" s="1080">
        <v>0</v>
      </c>
      <c r="AQ79" s="1080">
        <v>0</v>
      </c>
      <c r="AR79" s="1080">
        <v>0</v>
      </c>
      <c r="AS79" s="1080">
        <v>930332615</v>
      </c>
      <c r="AT79" s="1080">
        <v>0</v>
      </c>
      <c r="AU79" s="1080">
        <v>0</v>
      </c>
      <c r="AV79" s="1080">
        <v>930332615</v>
      </c>
      <c r="AW79" s="1073"/>
      <c r="AX79" s="1074">
        <v>930332615</v>
      </c>
      <c r="AZ79" s="1078">
        <v>61003300</v>
      </c>
      <c r="BA79" s="1079" t="s">
        <v>1403</v>
      </c>
      <c r="BB79" s="1080">
        <v>1350969508</v>
      </c>
      <c r="BC79" s="1080">
        <v>0</v>
      </c>
      <c r="BD79" s="1080">
        <v>0</v>
      </c>
      <c r="BE79" s="1080">
        <v>0</v>
      </c>
      <c r="BF79" s="1080">
        <v>0</v>
      </c>
      <c r="BG79" s="1080">
        <v>1350969508</v>
      </c>
      <c r="BH79" s="1080">
        <v>0</v>
      </c>
      <c r="BI79" s="1080">
        <v>0</v>
      </c>
      <c r="BJ79" s="1080">
        <v>1350969508</v>
      </c>
      <c r="BK79" s="1073"/>
      <c r="BL79" s="1074">
        <v>1350969508</v>
      </c>
      <c r="BN79" s="1078">
        <v>61003400</v>
      </c>
      <c r="BO79" s="1079" t="s">
        <v>2510</v>
      </c>
      <c r="BP79" s="1080">
        <v>0</v>
      </c>
      <c r="BQ79" s="1080">
        <v>0</v>
      </c>
      <c r="BR79" s="1080">
        <v>0</v>
      </c>
      <c r="BS79" s="1080">
        <v>0</v>
      </c>
      <c r="BT79" s="1080">
        <v>0</v>
      </c>
      <c r="BU79" s="1080">
        <v>0</v>
      </c>
      <c r="BV79" s="1080">
        <v>0</v>
      </c>
      <c r="BW79" s="1080">
        <v>0</v>
      </c>
      <c r="BX79" s="1080">
        <v>0</v>
      </c>
      <c r="BY79" s="1073"/>
      <c r="BZ79" s="1074">
        <v>0</v>
      </c>
      <c r="CB79" s="1078">
        <v>61003400</v>
      </c>
      <c r="CC79" s="1079" t="s">
        <v>2510</v>
      </c>
      <c r="CD79" s="1080">
        <v>0</v>
      </c>
      <c r="CE79" s="1080">
        <v>0</v>
      </c>
      <c r="CF79" s="1080">
        <v>0</v>
      </c>
      <c r="CG79" s="1080">
        <v>0</v>
      </c>
      <c r="CH79" s="1080">
        <v>0</v>
      </c>
      <c r="CI79" s="1080">
        <v>0</v>
      </c>
      <c r="CJ79" s="1080">
        <v>0</v>
      </c>
      <c r="CK79" s="1080">
        <v>0</v>
      </c>
      <c r="CL79" s="1080">
        <v>0</v>
      </c>
      <c r="CM79" s="1080">
        <v>0</v>
      </c>
      <c r="CN79" s="1080">
        <v>0</v>
      </c>
      <c r="CO79" s="1073"/>
      <c r="CP79" s="1074">
        <v>0</v>
      </c>
    </row>
    <row r="80" spans="2:94">
      <c r="B80" s="1078">
        <v>61003400</v>
      </c>
      <c r="C80" s="1079" t="s">
        <v>2510</v>
      </c>
      <c r="D80" s="1080">
        <v>0</v>
      </c>
      <c r="E80" s="1080">
        <v>0</v>
      </c>
      <c r="F80" s="1080">
        <v>0</v>
      </c>
      <c r="G80" s="1080">
        <v>0</v>
      </c>
      <c r="H80" s="1080">
        <v>0</v>
      </c>
      <c r="I80" s="1080">
        <v>0</v>
      </c>
      <c r="J80" s="1080">
        <v>0</v>
      </c>
      <c r="K80" s="1080">
        <v>0</v>
      </c>
      <c r="L80" s="1080">
        <v>0</v>
      </c>
      <c r="N80" s="2177">
        <v>61003400</v>
      </c>
      <c r="O80" s="2178" t="s">
        <v>2510</v>
      </c>
      <c r="P80" s="2179">
        <v>0</v>
      </c>
      <c r="Q80" s="2179">
        <v>0</v>
      </c>
      <c r="R80" s="2179">
        <v>0</v>
      </c>
      <c r="S80" s="2179">
        <v>0</v>
      </c>
      <c r="T80" s="2179">
        <v>0</v>
      </c>
      <c r="U80" s="2179">
        <v>0</v>
      </c>
      <c r="V80" s="2179">
        <v>0</v>
      </c>
      <c r="W80" s="2179">
        <v>0</v>
      </c>
      <c r="X80" s="2179">
        <v>0</v>
      </c>
      <c r="Z80" s="2177">
        <v>61003400</v>
      </c>
      <c r="AA80" s="2178" t="s">
        <v>2510</v>
      </c>
      <c r="AB80" s="2179">
        <v>0</v>
      </c>
      <c r="AC80" s="2179">
        <v>0</v>
      </c>
      <c r="AD80" s="2179">
        <v>0</v>
      </c>
      <c r="AE80" s="2179">
        <v>0</v>
      </c>
      <c r="AF80" s="2179">
        <v>0</v>
      </c>
      <c r="AG80" s="2179">
        <v>0</v>
      </c>
      <c r="AH80" s="2179">
        <v>0</v>
      </c>
      <c r="AI80" s="2179">
        <v>0</v>
      </c>
      <c r="AJ80" s="2179">
        <v>0</v>
      </c>
      <c r="AL80" s="1078">
        <v>61003400</v>
      </c>
      <c r="AM80" s="1079" t="s">
        <v>2510</v>
      </c>
      <c r="AN80" s="1080">
        <v>0</v>
      </c>
      <c r="AO80" s="1080">
        <v>0</v>
      </c>
      <c r="AP80" s="1080">
        <v>0</v>
      </c>
      <c r="AQ80" s="1080">
        <v>0</v>
      </c>
      <c r="AR80" s="1080">
        <v>0</v>
      </c>
      <c r="AS80" s="1080">
        <v>0</v>
      </c>
      <c r="AT80" s="1080">
        <v>0</v>
      </c>
      <c r="AU80" s="1080">
        <v>0</v>
      </c>
      <c r="AV80" s="1080">
        <v>0</v>
      </c>
      <c r="AW80" s="1073"/>
      <c r="AX80" s="1074">
        <v>0</v>
      </c>
      <c r="AZ80" s="1078">
        <v>61003400</v>
      </c>
      <c r="BA80" s="1079" t="s">
        <v>2510</v>
      </c>
      <c r="BB80" s="1080">
        <v>0</v>
      </c>
      <c r="BC80" s="1080">
        <v>0</v>
      </c>
      <c r="BD80" s="1080">
        <v>0</v>
      </c>
      <c r="BE80" s="1080">
        <v>0</v>
      </c>
      <c r="BF80" s="1080">
        <v>0</v>
      </c>
      <c r="BG80" s="1080">
        <v>0</v>
      </c>
      <c r="BH80" s="1080">
        <v>0</v>
      </c>
      <c r="BI80" s="1080">
        <v>0</v>
      </c>
      <c r="BJ80" s="1080">
        <v>0</v>
      </c>
      <c r="BK80" s="1073"/>
      <c r="BL80" s="1074">
        <v>0</v>
      </c>
      <c r="BN80" s="1078">
        <v>71101800</v>
      </c>
      <c r="BO80" s="1079" t="s">
        <v>1404</v>
      </c>
      <c r="BP80" s="1080">
        <v>-1154021</v>
      </c>
      <c r="BQ80" s="1080">
        <v>0</v>
      </c>
      <c r="BR80" s="1080">
        <v>0</v>
      </c>
      <c r="BS80" s="1080">
        <v>0</v>
      </c>
      <c r="BT80" s="1080">
        <v>0</v>
      </c>
      <c r="BU80" s="1080">
        <v>-1154021</v>
      </c>
      <c r="BV80" s="1080">
        <v>0</v>
      </c>
      <c r="BW80" s="1080">
        <v>0</v>
      </c>
      <c r="BX80" s="1080">
        <v>-1154021</v>
      </c>
      <c r="BY80" s="1073"/>
      <c r="BZ80" s="1074">
        <v>-1154021</v>
      </c>
      <c r="CB80" s="1078">
        <v>71101800</v>
      </c>
      <c r="CC80" s="1079" t="s">
        <v>1404</v>
      </c>
      <c r="CD80" s="1080">
        <v>-346840</v>
      </c>
      <c r="CE80" s="1080">
        <v>0</v>
      </c>
      <c r="CF80" s="1080">
        <v>0</v>
      </c>
      <c r="CG80" s="1080">
        <v>-15800000</v>
      </c>
      <c r="CH80" s="1080">
        <v>0</v>
      </c>
      <c r="CI80" s="1080">
        <v>0</v>
      </c>
      <c r="CJ80" s="1080">
        <v>0</v>
      </c>
      <c r="CK80" s="1080">
        <v>-16146840</v>
      </c>
      <c r="CL80" s="1080">
        <v>0</v>
      </c>
      <c r="CM80" s="1080">
        <v>0</v>
      </c>
      <c r="CN80" s="1080">
        <v>-16146840</v>
      </c>
      <c r="CO80" s="1073"/>
      <c r="CP80" s="1074">
        <v>-16146840</v>
      </c>
    </row>
    <row r="81" spans="2:94">
      <c r="B81" s="1078">
        <v>71101800</v>
      </c>
      <c r="C81" s="1079" t="s">
        <v>1404</v>
      </c>
      <c r="D81" s="1080">
        <v>0</v>
      </c>
      <c r="E81" s="1080">
        <v>0</v>
      </c>
      <c r="F81" s="1080">
        <v>0</v>
      </c>
      <c r="G81" s="1080">
        <v>0</v>
      </c>
      <c r="H81" s="1080">
        <v>0</v>
      </c>
      <c r="I81" s="1080">
        <v>0</v>
      </c>
      <c r="J81" s="1080">
        <v>0</v>
      </c>
      <c r="K81" s="1080">
        <v>0</v>
      </c>
      <c r="L81" s="1080">
        <v>0</v>
      </c>
      <c r="N81" s="2177">
        <v>71101800</v>
      </c>
      <c r="O81" s="2178" t="s">
        <v>1404</v>
      </c>
      <c r="P81" s="2179">
        <v>0</v>
      </c>
      <c r="Q81" s="2179">
        <v>0</v>
      </c>
      <c r="R81" s="2179">
        <v>0</v>
      </c>
      <c r="S81" s="2179">
        <v>0</v>
      </c>
      <c r="T81" s="2179">
        <v>0</v>
      </c>
      <c r="U81" s="2179">
        <v>0</v>
      </c>
      <c r="V81" s="2179">
        <v>0</v>
      </c>
      <c r="W81" s="2179">
        <v>0</v>
      </c>
      <c r="X81" s="2179">
        <v>0</v>
      </c>
      <c r="Z81" s="2177">
        <v>71101800</v>
      </c>
      <c r="AA81" s="2178" t="s">
        <v>1404</v>
      </c>
      <c r="AB81" s="2179">
        <v>0</v>
      </c>
      <c r="AC81" s="2179">
        <v>0</v>
      </c>
      <c r="AD81" s="2179">
        <v>0</v>
      </c>
      <c r="AE81" s="2179">
        <v>0</v>
      </c>
      <c r="AF81" s="2179">
        <v>0</v>
      </c>
      <c r="AG81" s="2179">
        <v>0</v>
      </c>
      <c r="AH81" s="2179">
        <v>0</v>
      </c>
      <c r="AI81" s="2179">
        <v>0</v>
      </c>
      <c r="AJ81" s="2179">
        <v>0</v>
      </c>
      <c r="AL81" s="1078">
        <v>71101800</v>
      </c>
      <c r="AM81" s="1079" t="s">
        <v>1404</v>
      </c>
      <c r="AN81" s="1080">
        <v>0</v>
      </c>
      <c r="AO81" s="1080">
        <v>0</v>
      </c>
      <c r="AP81" s="1080">
        <v>0</v>
      </c>
      <c r="AQ81" s="1080">
        <v>0</v>
      </c>
      <c r="AR81" s="1080">
        <v>0</v>
      </c>
      <c r="AS81" s="1080">
        <v>0</v>
      </c>
      <c r="AT81" s="1080">
        <v>0</v>
      </c>
      <c r="AU81" s="1080">
        <v>0</v>
      </c>
      <c r="AV81" s="1080">
        <v>0</v>
      </c>
      <c r="AW81" s="1073"/>
      <c r="AX81" s="1074">
        <v>0</v>
      </c>
      <c r="AZ81" s="1078">
        <v>71101800</v>
      </c>
      <c r="BA81" s="1079" t="s">
        <v>1404</v>
      </c>
      <c r="BB81" s="1080">
        <v>0</v>
      </c>
      <c r="BC81" s="1080">
        <v>0</v>
      </c>
      <c r="BD81" s="1080">
        <v>0</v>
      </c>
      <c r="BE81" s="1080">
        <v>0</v>
      </c>
      <c r="BF81" s="1080">
        <v>0</v>
      </c>
      <c r="BG81" s="1080">
        <v>0</v>
      </c>
      <c r="BH81" s="1080">
        <v>0</v>
      </c>
      <c r="BI81" s="1080">
        <v>0</v>
      </c>
      <c r="BJ81" s="1080">
        <v>0</v>
      </c>
      <c r="BK81" s="1073"/>
      <c r="BL81" s="1074">
        <v>0</v>
      </c>
      <c r="BN81" s="1078">
        <v>61003500</v>
      </c>
      <c r="BO81" s="1079" t="s">
        <v>2511</v>
      </c>
      <c r="BP81" s="1080">
        <v>0</v>
      </c>
      <c r="BQ81" s="1080">
        <v>0</v>
      </c>
      <c r="BR81" s="1080">
        <v>0</v>
      </c>
      <c r="BS81" s="1080">
        <v>0</v>
      </c>
      <c r="BT81" s="1080">
        <v>0</v>
      </c>
      <c r="BU81" s="1080">
        <v>0</v>
      </c>
      <c r="BV81" s="1080">
        <v>0</v>
      </c>
      <c r="BW81" s="1080">
        <v>0</v>
      </c>
      <c r="BX81" s="1080">
        <v>0</v>
      </c>
      <c r="BY81" s="1073"/>
      <c r="BZ81" s="1074">
        <v>0</v>
      </c>
      <c r="CB81" s="1078">
        <v>61003500</v>
      </c>
      <c r="CC81" s="1079" t="s">
        <v>2511</v>
      </c>
      <c r="CD81" s="1080">
        <v>0</v>
      </c>
      <c r="CE81" s="1080">
        <v>0</v>
      </c>
      <c r="CF81" s="1080">
        <v>0</v>
      </c>
      <c r="CG81" s="1080">
        <v>0</v>
      </c>
      <c r="CH81" s="1080">
        <v>0</v>
      </c>
      <c r="CI81" s="1080">
        <v>0</v>
      </c>
      <c r="CJ81" s="1080">
        <v>0</v>
      </c>
      <c r="CK81" s="1080">
        <v>0</v>
      </c>
      <c r="CL81" s="1080">
        <v>0</v>
      </c>
      <c r="CM81" s="1080">
        <v>0</v>
      </c>
      <c r="CN81" s="1080">
        <v>0</v>
      </c>
      <c r="CO81" s="1073"/>
      <c r="CP81" s="1074">
        <v>0</v>
      </c>
    </row>
    <row r="82" spans="2:94">
      <c r="B82" s="1078">
        <v>61003500</v>
      </c>
      <c r="C82" s="1079" t="s">
        <v>2511</v>
      </c>
      <c r="D82" s="1080">
        <v>0</v>
      </c>
      <c r="E82" s="1080">
        <v>0</v>
      </c>
      <c r="F82" s="1080">
        <v>0</v>
      </c>
      <c r="G82" s="1080">
        <v>0</v>
      </c>
      <c r="H82" s="1080">
        <v>0</v>
      </c>
      <c r="I82" s="1080">
        <v>0</v>
      </c>
      <c r="J82" s="1080">
        <v>0</v>
      </c>
      <c r="K82" s="1080">
        <v>0</v>
      </c>
      <c r="L82" s="1080">
        <v>0</v>
      </c>
      <c r="N82" s="2177">
        <v>61003500</v>
      </c>
      <c r="O82" s="2178" t="s">
        <v>2511</v>
      </c>
      <c r="P82" s="2179">
        <v>0</v>
      </c>
      <c r="Q82" s="2179">
        <v>0</v>
      </c>
      <c r="R82" s="2179">
        <v>0</v>
      </c>
      <c r="S82" s="2179">
        <v>0</v>
      </c>
      <c r="T82" s="2179">
        <v>0</v>
      </c>
      <c r="U82" s="2179">
        <v>0</v>
      </c>
      <c r="V82" s="2179">
        <v>0</v>
      </c>
      <c r="W82" s="2179">
        <v>0</v>
      </c>
      <c r="X82" s="2179">
        <v>0</v>
      </c>
      <c r="Z82" s="2177">
        <v>61003500</v>
      </c>
      <c r="AA82" s="2178" t="s">
        <v>2511</v>
      </c>
      <c r="AB82" s="2179">
        <v>0</v>
      </c>
      <c r="AC82" s="2179">
        <v>0</v>
      </c>
      <c r="AD82" s="2179">
        <v>0</v>
      </c>
      <c r="AE82" s="2179">
        <v>0</v>
      </c>
      <c r="AF82" s="2179">
        <v>0</v>
      </c>
      <c r="AG82" s="2179">
        <v>0</v>
      </c>
      <c r="AH82" s="2179">
        <v>0</v>
      </c>
      <c r="AI82" s="2179">
        <v>0</v>
      </c>
      <c r="AJ82" s="2179">
        <v>0</v>
      </c>
      <c r="AL82" s="1078">
        <v>61003500</v>
      </c>
      <c r="AM82" s="1079" t="s">
        <v>2511</v>
      </c>
      <c r="AN82" s="1080">
        <v>0</v>
      </c>
      <c r="AO82" s="1080">
        <v>0</v>
      </c>
      <c r="AP82" s="1080">
        <v>0</v>
      </c>
      <c r="AQ82" s="1080">
        <v>0</v>
      </c>
      <c r="AR82" s="1080">
        <v>0</v>
      </c>
      <c r="AS82" s="1080">
        <v>0</v>
      </c>
      <c r="AT82" s="1080">
        <v>0</v>
      </c>
      <c r="AU82" s="1080">
        <v>0</v>
      </c>
      <c r="AV82" s="1080">
        <v>0</v>
      </c>
      <c r="AW82" s="1073"/>
      <c r="AX82" s="1074">
        <v>0</v>
      </c>
      <c r="AZ82" s="1078">
        <v>61003500</v>
      </c>
      <c r="BA82" s="1079" t="s">
        <v>2511</v>
      </c>
      <c r="BB82" s="1080">
        <v>0</v>
      </c>
      <c r="BC82" s="1080">
        <v>0</v>
      </c>
      <c r="BD82" s="1080">
        <v>0</v>
      </c>
      <c r="BE82" s="1080">
        <v>0</v>
      </c>
      <c r="BF82" s="1080">
        <v>0</v>
      </c>
      <c r="BG82" s="1080">
        <v>0</v>
      </c>
      <c r="BH82" s="1080">
        <v>0</v>
      </c>
      <c r="BI82" s="1080">
        <v>0</v>
      </c>
      <c r="BJ82" s="1080">
        <v>0</v>
      </c>
      <c r="BK82" s="1073"/>
      <c r="BL82" s="1074">
        <v>0</v>
      </c>
      <c r="BN82" s="1078">
        <v>61003600</v>
      </c>
      <c r="BO82" s="1079" t="s">
        <v>2512</v>
      </c>
      <c r="BP82" s="1080">
        <v>0</v>
      </c>
      <c r="BQ82" s="1080">
        <v>0</v>
      </c>
      <c r="BR82" s="1080">
        <v>0</v>
      </c>
      <c r="BS82" s="1080">
        <v>0</v>
      </c>
      <c r="BT82" s="1080">
        <v>0</v>
      </c>
      <c r="BU82" s="1080">
        <v>0</v>
      </c>
      <c r="BV82" s="1080">
        <v>0</v>
      </c>
      <c r="BW82" s="1080">
        <v>0</v>
      </c>
      <c r="BX82" s="1080">
        <v>0</v>
      </c>
      <c r="BY82" s="1073"/>
      <c r="BZ82" s="1074">
        <v>0</v>
      </c>
      <c r="CB82" s="1078">
        <v>61003600</v>
      </c>
      <c r="CC82" s="1079" t="s">
        <v>2512</v>
      </c>
      <c r="CD82" s="1080">
        <v>0</v>
      </c>
      <c r="CE82" s="1080">
        <v>0</v>
      </c>
      <c r="CF82" s="1080">
        <v>0</v>
      </c>
      <c r="CG82" s="1080">
        <v>0</v>
      </c>
      <c r="CH82" s="1080">
        <v>0</v>
      </c>
      <c r="CI82" s="1080">
        <v>0</v>
      </c>
      <c r="CJ82" s="1080">
        <v>0</v>
      </c>
      <c r="CK82" s="1080">
        <v>0</v>
      </c>
      <c r="CL82" s="1080">
        <v>0</v>
      </c>
      <c r="CM82" s="1080">
        <v>0</v>
      </c>
      <c r="CN82" s="1080">
        <v>0</v>
      </c>
      <c r="CO82" s="1073"/>
      <c r="CP82" s="1074">
        <v>0</v>
      </c>
    </row>
    <row r="83" spans="2:94">
      <c r="B83" s="1078">
        <v>61003600</v>
      </c>
      <c r="C83" s="1079" t="s">
        <v>2512</v>
      </c>
      <c r="D83" s="1080">
        <v>0</v>
      </c>
      <c r="E83" s="1080">
        <v>0</v>
      </c>
      <c r="F83" s="1080">
        <v>0</v>
      </c>
      <c r="G83" s="1080">
        <v>0</v>
      </c>
      <c r="H83" s="1080">
        <v>0</v>
      </c>
      <c r="I83" s="1080">
        <v>0</v>
      </c>
      <c r="J83" s="1080">
        <v>0</v>
      </c>
      <c r="K83" s="1080">
        <v>0</v>
      </c>
      <c r="L83" s="1080">
        <v>0</v>
      </c>
      <c r="N83" s="2177">
        <v>61003600</v>
      </c>
      <c r="O83" s="2178" t="s">
        <v>2512</v>
      </c>
      <c r="P83" s="2179">
        <v>0</v>
      </c>
      <c r="Q83" s="2179">
        <v>0</v>
      </c>
      <c r="R83" s="2179">
        <v>0</v>
      </c>
      <c r="S83" s="2179">
        <v>0</v>
      </c>
      <c r="T83" s="2179">
        <v>0</v>
      </c>
      <c r="U83" s="2179">
        <v>0</v>
      </c>
      <c r="V83" s="2179">
        <v>0</v>
      </c>
      <c r="W83" s="2179">
        <v>0</v>
      </c>
      <c r="X83" s="2179">
        <v>0</v>
      </c>
      <c r="Z83" s="2177">
        <v>61003600</v>
      </c>
      <c r="AA83" s="2178" t="s">
        <v>2512</v>
      </c>
      <c r="AB83" s="2179">
        <v>0</v>
      </c>
      <c r="AC83" s="2179">
        <v>0</v>
      </c>
      <c r="AD83" s="2179">
        <v>0</v>
      </c>
      <c r="AE83" s="2179">
        <v>0</v>
      </c>
      <c r="AF83" s="2179">
        <v>0</v>
      </c>
      <c r="AG83" s="2179">
        <v>0</v>
      </c>
      <c r="AH83" s="2179">
        <v>0</v>
      </c>
      <c r="AI83" s="2179">
        <v>0</v>
      </c>
      <c r="AJ83" s="2179">
        <v>0</v>
      </c>
      <c r="AL83" s="1078">
        <v>61003600</v>
      </c>
      <c r="AM83" s="1079" t="s">
        <v>2512</v>
      </c>
      <c r="AN83" s="1080">
        <v>0</v>
      </c>
      <c r="AO83" s="1080">
        <v>0</v>
      </c>
      <c r="AP83" s="1080">
        <v>0</v>
      </c>
      <c r="AQ83" s="1080">
        <v>0</v>
      </c>
      <c r="AR83" s="1080">
        <v>0</v>
      </c>
      <c r="AS83" s="1080">
        <v>0</v>
      </c>
      <c r="AT83" s="1080">
        <v>0</v>
      </c>
      <c r="AU83" s="1080">
        <v>0</v>
      </c>
      <c r="AV83" s="1080">
        <v>0</v>
      </c>
      <c r="AW83" s="1073"/>
      <c r="AX83" s="1074">
        <v>0</v>
      </c>
      <c r="AZ83" s="1078">
        <v>61003600</v>
      </c>
      <c r="BA83" s="1079" t="s">
        <v>2512</v>
      </c>
      <c r="BB83" s="1080">
        <v>0</v>
      </c>
      <c r="BC83" s="1080">
        <v>0</v>
      </c>
      <c r="BD83" s="1080">
        <v>0</v>
      </c>
      <c r="BE83" s="1080">
        <v>0</v>
      </c>
      <c r="BF83" s="1080">
        <v>0</v>
      </c>
      <c r="BG83" s="1080">
        <v>0</v>
      </c>
      <c r="BH83" s="1080">
        <v>0</v>
      </c>
      <c r="BI83" s="1080">
        <v>0</v>
      </c>
      <c r="BJ83" s="1080">
        <v>0</v>
      </c>
      <c r="BK83" s="1073"/>
      <c r="BL83" s="1074">
        <v>0</v>
      </c>
      <c r="BN83" s="1078">
        <v>61003700</v>
      </c>
      <c r="BO83" s="1079" t="s">
        <v>2513</v>
      </c>
      <c r="BP83" s="1080">
        <v>0</v>
      </c>
      <c r="BQ83" s="1080">
        <v>0</v>
      </c>
      <c r="BR83" s="1080">
        <v>0</v>
      </c>
      <c r="BS83" s="1080">
        <v>0</v>
      </c>
      <c r="BT83" s="1080">
        <v>0</v>
      </c>
      <c r="BU83" s="1080">
        <v>0</v>
      </c>
      <c r="BV83" s="1080">
        <v>0</v>
      </c>
      <c r="BW83" s="1080">
        <v>0</v>
      </c>
      <c r="BX83" s="1080">
        <v>0</v>
      </c>
      <c r="BY83" s="1073"/>
      <c r="BZ83" s="1074">
        <v>0</v>
      </c>
      <c r="CB83" s="1078">
        <v>61003700</v>
      </c>
      <c r="CC83" s="1079" t="s">
        <v>2513</v>
      </c>
      <c r="CD83" s="1080">
        <v>0</v>
      </c>
      <c r="CE83" s="1080">
        <v>0</v>
      </c>
      <c r="CF83" s="1080">
        <v>0</v>
      </c>
      <c r="CG83" s="1080">
        <v>0</v>
      </c>
      <c r="CH83" s="1080">
        <v>0</v>
      </c>
      <c r="CI83" s="1080">
        <v>0</v>
      </c>
      <c r="CJ83" s="1080">
        <v>0</v>
      </c>
      <c r="CK83" s="1080">
        <v>0</v>
      </c>
      <c r="CL83" s="1080">
        <v>0</v>
      </c>
      <c r="CM83" s="1080">
        <v>0</v>
      </c>
      <c r="CN83" s="1080">
        <v>0</v>
      </c>
      <c r="CO83" s="1073"/>
      <c r="CP83" s="1074">
        <v>0</v>
      </c>
    </row>
    <row r="84" spans="2:94">
      <c r="B84" s="1078">
        <v>61003700</v>
      </c>
      <c r="C84" s="1079" t="s">
        <v>2513</v>
      </c>
      <c r="D84" s="1080">
        <v>0</v>
      </c>
      <c r="E84" s="1080">
        <v>0</v>
      </c>
      <c r="F84" s="1080">
        <v>0</v>
      </c>
      <c r="G84" s="1080">
        <v>0</v>
      </c>
      <c r="H84" s="1080">
        <v>0</v>
      </c>
      <c r="I84" s="1080">
        <v>0</v>
      </c>
      <c r="J84" s="1080">
        <v>0</v>
      </c>
      <c r="K84" s="1080">
        <v>0</v>
      </c>
      <c r="L84" s="1080">
        <v>0</v>
      </c>
      <c r="N84" s="2177">
        <v>61003700</v>
      </c>
      <c r="O84" s="2178" t="s">
        <v>2513</v>
      </c>
      <c r="P84" s="2179">
        <v>0</v>
      </c>
      <c r="Q84" s="2179">
        <v>0</v>
      </c>
      <c r="R84" s="2179">
        <v>0</v>
      </c>
      <c r="S84" s="2179">
        <v>0</v>
      </c>
      <c r="T84" s="2179">
        <v>0</v>
      </c>
      <c r="U84" s="2179">
        <v>0</v>
      </c>
      <c r="V84" s="2179">
        <v>0</v>
      </c>
      <c r="W84" s="2179">
        <v>0</v>
      </c>
      <c r="X84" s="2179">
        <v>0</v>
      </c>
      <c r="Z84" s="2177">
        <v>61003700</v>
      </c>
      <c r="AA84" s="2178" t="s">
        <v>2513</v>
      </c>
      <c r="AB84" s="2179">
        <v>0</v>
      </c>
      <c r="AC84" s="2179">
        <v>0</v>
      </c>
      <c r="AD84" s="2179">
        <v>0</v>
      </c>
      <c r="AE84" s="2179">
        <v>0</v>
      </c>
      <c r="AF84" s="2179">
        <v>0</v>
      </c>
      <c r="AG84" s="2179">
        <v>0</v>
      </c>
      <c r="AH84" s="2179">
        <v>0</v>
      </c>
      <c r="AI84" s="2179">
        <v>0</v>
      </c>
      <c r="AJ84" s="2179">
        <v>0</v>
      </c>
      <c r="AL84" s="1078">
        <v>61003700</v>
      </c>
      <c r="AM84" s="1079" t="s">
        <v>2513</v>
      </c>
      <c r="AN84" s="1080">
        <v>0</v>
      </c>
      <c r="AO84" s="1080">
        <v>0</v>
      </c>
      <c r="AP84" s="1080">
        <v>0</v>
      </c>
      <c r="AQ84" s="1080">
        <v>0</v>
      </c>
      <c r="AR84" s="1080">
        <v>0</v>
      </c>
      <c r="AS84" s="1080">
        <v>0</v>
      </c>
      <c r="AT84" s="1080">
        <v>0</v>
      </c>
      <c r="AU84" s="1080">
        <v>0</v>
      </c>
      <c r="AV84" s="1080">
        <v>0</v>
      </c>
      <c r="AW84" s="1073"/>
      <c r="AX84" s="1074">
        <v>0</v>
      </c>
      <c r="AZ84" s="1078">
        <v>61003700</v>
      </c>
      <c r="BA84" s="1079" t="s">
        <v>2513</v>
      </c>
      <c r="BB84" s="1080">
        <v>0</v>
      </c>
      <c r="BC84" s="1080">
        <v>0</v>
      </c>
      <c r="BD84" s="1080">
        <v>0</v>
      </c>
      <c r="BE84" s="1080">
        <v>0</v>
      </c>
      <c r="BF84" s="1080">
        <v>0</v>
      </c>
      <c r="BG84" s="1080">
        <v>0</v>
      </c>
      <c r="BH84" s="1080">
        <v>0</v>
      </c>
      <c r="BI84" s="1080">
        <v>0</v>
      </c>
      <c r="BJ84" s="1080">
        <v>0</v>
      </c>
      <c r="BK84" s="1073"/>
      <c r="BL84" s="1074">
        <v>0</v>
      </c>
      <c r="BN84" s="1078">
        <v>61003800</v>
      </c>
      <c r="BO84" s="1079" t="s">
        <v>2514</v>
      </c>
      <c r="BP84" s="1080">
        <v>0</v>
      </c>
      <c r="BQ84" s="1080">
        <v>0</v>
      </c>
      <c r="BR84" s="1080">
        <v>0</v>
      </c>
      <c r="BS84" s="1080">
        <v>0</v>
      </c>
      <c r="BT84" s="1080">
        <v>0</v>
      </c>
      <c r="BU84" s="1080">
        <v>0</v>
      </c>
      <c r="BV84" s="1080">
        <v>0</v>
      </c>
      <c r="BW84" s="1080">
        <v>0</v>
      </c>
      <c r="BX84" s="1080">
        <v>0</v>
      </c>
      <c r="BY84" s="1073"/>
      <c r="BZ84" s="1074">
        <v>0</v>
      </c>
      <c r="CB84" s="1078">
        <v>61003800</v>
      </c>
      <c r="CC84" s="1079" t="s">
        <v>2514</v>
      </c>
      <c r="CD84" s="1080">
        <v>0</v>
      </c>
      <c r="CE84" s="1080">
        <v>0</v>
      </c>
      <c r="CF84" s="1080">
        <v>0</v>
      </c>
      <c r="CG84" s="1080">
        <v>0</v>
      </c>
      <c r="CH84" s="1080">
        <v>0</v>
      </c>
      <c r="CI84" s="1080">
        <v>0</v>
      </c>
      <c r="CJ84" s="1080">
        <v>0</v>
      </c>
      <c r="CK84" s="1080">
        <v>0</v>
      </c>
      <c r="CL84" s="1080">
        <v>0</v>
      </c>
      <c r="CM84" s="1080">
        <v>0</v>
      </c>
      <c r="CN84" s="1080">
        <v>0</v>
      </c>
      <c r="CO84" s="1073"/>
      <c r="CP84" s="1074">
        <v>0</v>
      </c>
    </row>
    <row r="85" spans="2:94">
      <c r="B85" s="1078">
        <v>61003800</v>
      </c>
      <c r="C85" s="1079" t="s">
        <v>2514</v>
      </c>
      <c r="D85" s="1080">
        <v>0</v>
      </c>
      <c r="E85" s="1080">
        <v>0</v>
      </c>
      <c r="F85" s="1080">
        <v>0</v>
      </c>
      <c r="G85" s="1080">
        <v>0</v>
      </c>
      <c r="H85" s="1080">
        <v>0</v>
      </c>
      <c r="I85" s="1080">
        <v>0</v>
      </c>
      <c r="J85" s="1080">
        <v>0</v>
      </c>
      <c r="K85" s="1080">
        <v>0</v>
      </c>
      <c r="L85" s="1080">
        <v>0</v>
      </c>
      <c r="N85" s="2177">
        <v>61003800</v>
      </c>
      <c r="O85" s="2178" t="s">
        <v>2514</v>
      </c>
      <c r="P85" s="2179">
        <v>0</v>
      </c>
      <c r="Q85" s="2179">
        <v>0</v>
      </c>
      <c r="R85" s="2179">
        <v>0</v>
      </c>
      <c r="S85" s="2179">
        <v>0</v>
      </c>
      <c r="T85" s="2179">
        <v>0</v>
      </c>
      <c r="U85" s="2179">
        <v>0</v>
      </c>
      <c r="V85" s="2179">
        <v>0</v>
      </c>
      <c r="W85" s="2179">
        <v>0</v>
      </c>
      <c r="X85" s="2179">
        <v>0</v>
      </c>
      <c r="Z85" s="2177">
        <v>61003800</v>
      </c>
      <c r="AA85" s="2178" t="s">
        <v>2514</v>
      </c>
      <c r="AB85" s="2179">
        <v>0</v>
      </c>
      <c r="AC85" s="2179">
        <v>0</v>
      </c>
      <c r="AD85" s="2179">
        <v>0</v>
      </c>
      <c r="AE85" s="2179">
        <v>0</v>
      </c>
      <c r="AF85" s="2179">
        <v>0</v>
      </c>
      <c r="AG85" s="2179">
        <v>0</v>
      </c>
      <c r="AH85" s="2179">
        <v>0</v>
      </c>
      <c r="AI85" s="2179">
        <v>0</v>
      </c>
      <c r="AJ85" s="2179">
        <v>0</v>
      </c>
      <c r="AL85" s="1078">
        <v>61003800</v>
      </c>
      <c r="AM85" s="1079" t="s">
        <v>2514</v>
      </c>
      <c r="AN85" s="1080">
        <v>0</v>
      </c>
      <c r="AO85" s="1080">
        <v>0</v>
      </c>
      <c r="AP85" s="1080">
        <v>0</v>
      </c>
      <c r="AQ85" s="1080">
        <v>0</v>
      </c>
      <c r="AR85" s="1080">
        <v>0</v>
      </c>
      <c r="AS85" s="1080">
        <v>0</v>
      </c>
      <c r="AT85" s="1080">
        <v>0</v>
      </c>
      <c r="AU85" s="1080">
        <v>0</v>
      </c>
      <c r="AV85" s="1080">
        <v>0</v>
      </c>
      <c r="AW85" s="1073"/>
      <c r="AX85" s="1074">
        <v>0</v>
      </c>
      <c r="AZ85" s="1078">
        <v>61003800</v>
      </c>
      <c r="BA85" s="1079" t="s">
        <v>2514</v>
      </c>
      <c r="BB85" s="1080">
        <v>0</v>
      </c>
      <c r="BC85" s="1080">
        <v>0</v>
      </c>
      <c r="BD85" s="1080">
        <v>0</v>
      </c>
      <c r="BE85" s="1080">
        <v>0</v>
      </c>
      <c r="BF85" s="1080">
        <v>0</v>
      </c>
      <c r="BG85" s="1080">
        <v>0</v>
      </c>
      <c r="BH85" s="1080">
        <v>0</v>
      </c>
      <c r="BI85" s="1080">
        <v>0</v>
      </c>
      <c r="BJ85" s="1080">
        <v>0</v>
      </c>
      <c r="BK85" s="1073"/>
      <c r="BL85" s="1074">
        <v>0</v>
      </c>
      <c r="BN85" s="1078">
        <v>61004100</v>
      </c>
      <c r="BO85" s="1079" t="s">
        <v>2515</v>
      </c>
      <c r="BP85" s="1080">
        <v>0</v>
      </c>
      <c r="BQ85" s="1080">
        <v>0</v>
      </c>
      <c r="BR85" s="1080">
        <v>0</v>
      </c>
      <c r="BS85" s="1080">
        <v>23265800</v>
      </c>
      <c r="BT85" s="1080">
        <v>0</v>
      </c>
      <c r="BU85" s="1080">
        <v>23265800</v>
      </c>
      <c r="BV85" s="1080">
        <v>0</v>
      </c>
      <c r="BW85" s="1080">
        <v>0</v>
      </c>
      <c r="BX85" s="1080">
        <v>23265800</v>
      </c>
      <c r="BY85" s="1073"/>
      <c r="BZ85" s="1074">
        <v>23265800</v>
      </c>
      <c r="CB85" s="1078">
        <v>61004100</v>
      </c>
      <c r="CC85" s="1079" t="s">
        <v>2515</v>
      </c>
      <c r="CD85" s="1080">
        <v>0</v>
      </c>
      <c r="CE85" s="1080">
        <v>0</v>
      </c>
      <c r="CF85" s="1080">
        <v>0</v>
      </c>
      <c r="CG85" s="1080">
        <v>0</v>
      </c>
      <c r="CH85" s="1080">
        <v>0</v>
      </c>
      <c r="CI85" s="1080">
        <v>28013810</v>
      </c>
      <c r="CJ85" s="1080">
        <v>0</v>
      </c>
      <c r="CK85" s="1080">
        <v>28013810</v>
      </c>
      <c r="CL85" s="1080">
        <v>0</v>
      </c>
      <c r="CM85" s="1080">
        <v>0</v>
      </c>
      <c r="CN85" s="1080">
        <v>28013810</v>
      </c>
      <c r="CO85" s="1073"/>
      <c r="CP85" s="1074">
        <v>28013810</v>
      </c>
    </row>
    <row r="86" spans="2:94">
      <c r="B86" s="1078">
        <v>61004100</v>
      </c>
      <c r="C86" s="1079" t="s">
        <v>2515</v>
      </c>
      <c r="D86" s="1080">
        <v>0</v>
      </c>
      <c r="E86" s="1080">
        <v>0</v>
      </c>
      <c r="F86" s="1080">
        <v>0</v>
      </c>
      <c r="G86" s="1080">
        <v>23199760</v>
      </c>
      <c r="H86" s="1080">
        <v>0</v>
      </c>
      <c r="I86" s="1080">
        <v>23199760</v>
      </c>
      <c r="J86" s="1080">
        <v>0</v>
      </c>
      <c r="K86" s="1080">
        <v>0</v>
      </c>
      <c r="L86" s="1080">
        <v>23199760</v>
      </c>
      <c r="N86" s="2177">
        <v>61004100</v>
      </c>
      <c r="O86" s="2178" t="s">
        <v>1412</v>
      </c>
      <c r="P86" s="2179">
        <v>0</v>
      </c>
      <c r="Q86" s="2179">
        <v>0</v>
      </c>
      <c r="R86" s="2179">
        <v>0</v>
      </c>
      <c r="S86" s="2179">
        <v>18318760</v>
      </c>
      <c r="T86" s="2179">
        <v>0</v>
      </c>
      <c r="U86" s="2179">
        <v>18318760</v>
      </c>
      <c r="V86" s="2179">
        <v>0</v>
      </c>
      <c r="W86" s="2179">
        <v>0</v>
      </c>
      <c r="X86" s="2179">
        <v>18318760</v>
      </c>
      <c r="Z86" s="2177">
        <v>61004100</v>
      </c>
      <c r="AA86" s="2178" t="s">
        <v>1412</v>
      </c>
      <c r="AB86" s="2179">
        <v>0</v>
      </c>
      <c r="AC86" s="2179">
        <v>0</v>
      </c>
      <c r="AD86" s="2179">
        <v>2172000</v>
      </c>
      <c r="AE86" s="2179">
        <v>38655300</v>
      </c>
      <c r="AF86" s="2179">
        <v>0</v>
      </c>
      <c r="AG86" s="2179">
        <v>40827300</v>
      </c>
      <c r="AH86" s="2179">
        <v>0</v>
      </c>
      <c r="AI86" s="2179">
        <v>0</v>
      </c>
      <c r="AJ86" s="2179">
        <v>40827300</v>
      </c>
      <c r="AL86" s="1078">
        <v>61004100</v>
      </c>
      <c r="AM86" s="1079" t="s">
        <v>2515</v>
      </c>
      <c r="AN86" s="1080">
        <v>0</v>
      </c>
      <c r="AO86" s="1080">
        <v>0</v>
      </c>
      <c r="AP86" s="1080">
        <v>2172000</v>
      </c>
      <c r="AQ86" s="1080">
        <v>33624300</v>
      </c>
      <c r="AR86" s="1080">
        <v>0</v>
      </c>
      <c r="AS86" s="1080">
        <v>35796300</v>
      </c>
      <c r="AT86" s="1080">
        <v>0</v>
      </c>
      <c r="AU86" s="1080">
        <v>0</v>
      </c>
      <c r="AV86" s="1080">
        <v>35796300</v>
      </c>
      <c r="AW86" s="1073"/>
      <c r="AX86" s="1074">
        <v>35796300</v>
      </c>
      <c r="AZ86" s="1078">
        <v>61004100</v>
      </c>
      <c r="BA86" s="1079" t="s">
        <v>2515</v>
      </c>
      <c r="BB86" s="1080">
        <v>0</v>
      </c>
      <c r="BC86" s="1080">
        <v>0</v>
      </c>
      <c r="BD86" s="1080">
        <v>0</v>
      </c>
      <c r="BE86" s="1080">
        <v>25622200</v>
      </c>
      <c r="BF86" s="1080">
        <v>0</v>
      </c>
      <c r="BG86" s="1080">
        <v>25622200</v>
      </c>
      <c r="BH86" s="1080">
        <v>0</v>
      </c>
      <c r="BI86" s="1080">
        <v>0</v>
      </c>
      <c r="BJ86" s="1080">
        <v>25622200</v>
      </c>
      <c r="BK86" s="1073"/>
      <c r="BL86" s="1074">
        <v>25622200</v>
      </c>
      <c r="BN86" s="1070">
        <v>70000000</v>
      </c>
      <c r="BO86" s="1071" t="s">
        <v>2516</v>
      </c>
      <c r="BP86" s="1072">
        <v>238503475069</v>
      </c>
      <c r="BQ86" s="1072">
        <v>4091015493</v>
      </c>
      <c r="BR86" s="1072">
        <v>21451637801</v>
      </c>
      <c r="BS86" s="1072">
        <v>559553904</v>
      </c>
      <c r="BT86" s="1072">
        <v>2782978712</v>
      </c>
      <c r="BU86" s="1072">
        <v>267388660979</v>
      </c>
      <c r="BV86" s="1072">
        <v>0</v>
      </c>
      <c r="BW86" s="1072">
        <v>0</v>
      </c>
      <c r="BX86" s="1072">
        <v>268181602148</v>
      </c>
      <c r="BY86" s="1073"/>
      <c r="BZ86" s="1074"/>
      <c r="CB86" s="1081">
        <v>70000000</v>
      </c>
      <c r="CC86" s="1082" t="s">
        <v>2516</v>
      </c>
      <c r="CD86" s="1083">
        <v>175120463199</v>
      </c>
      <c r="CE86" s="1083">
        <v>3831390024</v>
      </c>
      <c r="CF86" s="1083">
        <v>0</v>
      </c>
      <c r="CG86" s="1083">
        <v>31251602638</v>
      </c>
      <c r="CH86" s="1083">
        <v>0</v>
      </c>
      <c r="CI86" s="1083">
        <v>631615388</v>
      </c>
      <c r="CJ86" s="1083">
        <v>1871586837</v>
      </c>
      <c r="CK86" s="1083">
        <v>212706658086</v>
      </c>
      <c r="CL86" s="1083">
        <v>0</v>
      </c>
      <c r="CM86" s="1083">
        <v>0</v>
      </c>
      <c r="CN86" s="1083">
        <v>209727192766</v>
      </c>
      <c r="CO86" s="1073"/>
      <c r="CP86" s="1074"/>
    </row>
    <row r="87" spans="2:94">
      <c r="B87" s="1070">
        <v>70000000</v>
      </c>
      <c r="C87" s="1071" t="s">
        <v>2516</v>
      </c>
      <c r="D87" s="1072">
        <v>239816175113</v>
      </c>
      <c r="E87" s="1072">
        <v>3379471748</v>
      </c>
      <c r="F87" s="1072">
        <v>18616118153</v>
      </c>
      <c r="G87" s="1072">
        <v>2039971800</v>
      </c>
      <c r="H87" s="1072">
        <v>2554981814</v>
      </c>
      <c r="I87" s="1072">
        <v>266406718628</v>
      </c>
      <c r="J87" s="1072">
        <v>0</v>
      </c>
      <c r="K87" s="1072">
        <v>0</v>
      </c>
      <c r="L87" s="1072">
        <v>264164642993</v>
      </c>
      <c r="N87" s="2171">
        <v>70000000</v>
      </c>
      <c r="O87" s="2172" t="s">
        <v>144</v>
      </c>
      <c r="P87" s="2173">
        <v>131901865379</v>
      </c>
      <c r="Q87" s="2173">
        <v>2385882722</v>
      </c>
      <c r="R87" s="2173">
        <v>13985464187</v>
      </c>
      <c r="S87" s="2173">
        <v>1498657417</v>
      </c>
      <c r="T87" s="2173">
        <v>1288406017</v>
      </c>
      <c r="U87" s="2173">
        <v>151060275722</v>
      </c>
      <c r="V87" s="2173">
        <v>0</v>
      </c>
      <c r="W87" s="2173">
        <v>0</v>
      </c>
      <c r="X87" s="2173">
        <v>148198086568</v>
      </c>
      <c r="Z87" s="2171">
        <v>70000000</v>
      </c>
      <c r="AA87" s="2172" t="s">
        <v>144</v>
      </c>
      <c r="AB87" s="2173">
        <v>188853805189</v>
      </c>
      <c r="AC87" s="2173">
        <v>6485223168</v>
      </c>
      <c r="AD87" s="2173">
        <v>30374964665</v>
      </c>
      <c r="AE87" s="2173">
        <v>1791424237</v>
      </c>
      <c r="AF87" s="2173">
        <v>1215453883</v>
      </c>
      <c r="AG87" s="2173">
        <v>228720871142</v>
      </c>
      <c r="AH87" s="2173">
        <v>0</v>
      </c>
      <c r="AI87" s="2173">
        <v>0</v>
      </c>
      <c r="AJ87" s="2173">
        <v>228585410582</v>
      </c>
      <c r="AL87" s="1070">
        <v>70000000</v>
      </c>
      <c r="AM87" s="1071" t="s">
        <v>2516</v>
      </c>
      <c r="AN87" s="1072">
        <v>170218219152</v>
      </c>
      <c r="AO87" s="1072">
        <v>5356707227</v>
      </c>
      <c r="AP87" s="1072">
        <v>19590600879</v>
      </c>
      <c r="AQ87" s="1072">
        <v>1407258798</v>
      </c>
      <c r="AR87" s="1072">
        <v>1152455783</v>
      </c>
      <c r="AS87" s="1072">
        <v>197725241839</v>
      </c>
      <c r="AT87" s="1072">
        <v>0</v>
      </c>
      <c r="AU87" s="1072">
        <v>0</v>
      </c>
      <c r="AV87" s="1072">
        <v>191702730812</v>
      </c>
      <c r="AW87" s="1073"/>
      <c r="AX87" s="1074"/>
      <c r="AZ87" s="1070">
        <v>70000000</v>
      </c>
      <c r="BA87" s="1071" t="s">
        <v>2516</v>
      </c>
      <c r="BB87" s="1072">
        <v>284781233256</v>
      </c>
      <c r="BC87" s="1072">
        <v>7875000772</v>
      </c>
      <c r="BD87" s="1072">
        <v>21127874651</v>
      </c>
      <c r="BE87" s="1072">
        <v>1859205547</v>
      </c>
      <c r="BF87" s="1072">
        <v>2828653096</v>
      </c>
      <c r="BG87" s="1072">
        <v>318471967322</v>
      </c>
      <c r="BH87" s="1072">
        <v>0</v>
      </c>
      <c r="BI87" s="1072">
        <v>0</v>
      </c>
      <c r="BJ87" s="1072">
        <v>315437228882</v>
      </c>
      <c r="BK87" s="1073"/>
      <c r="BL87" s="1074"/>
      <c r="BN87" s="1070">
        <v>71000000</v>
      </c>
      <c r="BO87" s="1071" t="s">
        <v>223</v>
      </c>
      <c r="BP87" s="1072">
        <v>52629353944</v>
      </c>
      <c r="BQ87" s="1072">
        <v>3127405576</v>
      </c>
      <c r="BR87" s="1072">
        <v>15757217800</v>
      </c>
      <c r="BS87" s="1072">
        <v>34158421</v>
      </c>
      <c r="BT87" s="1072">
        <v>15040100</v>
      </c>
      <c r="BU87" s="1072">
        <v>71563175841</v>
      </c>
      <c r="BV87" s="1072">
        <v>0</v>
      </c>
      <c r="BW87" s="1072">
        <v>0</v>
      </c>
      <c r="BX87" s="1072">
        <v>71504697789</v>
      </c>
      <c r="BY87" s="1073"/>
      <c r="BZ87" s="1074"/>
      <c r="CB87" s="1070">
        <v>71000000</v>
      </c>
      <c r="CC87" s="1071" t="s">
        <v>223</v>
      </c>
      <c r="CD87" s="1072">
        <v>124512264545</v>
      </c>
      <c r="CE87" s="1072">
        <v>5374841293</v>
      </c>
      <c r="CF87" s="1072">
        <v>0</v>
      </c>
      <c r="CG87" s="1072">
        <v>1267867171</v>
      </c>
      <c r="CH87" s="1072">
        <v>0</v>
      </c>
      <c r="CI87" s="1072">
        <v>36172158</v>
      </c>
      <c r="CJ87" s="1072">
        <v>6643923</v>
      </c>
      <c r="CK87" s="1072">
        <v>131197789090</v>
      </c>
      <c r="CL87" s="1072">
        <v>0</v>
      </c>
      <c r="CM87" s="1072">
        <v>0</v>
      </c>
      <c r="CN87" s="1072">
        <v>130961422324</v>
      </c>
      <c r="CO87" s="1073"/>
      <c r="CP87" s="1074"/>
    </row>
    <row r="88" spans="2:94">
      <c r="B88" s="1070">
        <v>71000000</v>
      </c>
      <c r="C88" s="1071" t="s">
        <v>223</v>
      </c>
      <c r="D88" s="1072">
        <v>53785671649</v>
      </c>
      <c r="E88" s="1072">
        <v>602261958</v>
      </c>
      <c r="F88" s="1072">
        <v>308373016</v>
      </c>
      <c r="G88" s="1072">
        <v>44046156</v>
      </c>
      <c r="H88" s="1072">
        <v>23114285</v>
      </c>
      <c r="I88" s="1072">
        <v>54763467064</v>
      </c>
      <c r="J88" s="1072">
        <v>0</v>
      </c>
      <c r="K88" s="1072">
        <v>0</v>
      </c>
      <c r="L88" s="1072">
        <v>54723702064</v>
      </c>
      <c r="N88" s="2171">
        <v>71000000</v>
      </c>
      <c r="O88" s="2172" t="s">
        <v>223</v>
      </c>
      <c r="P88" s="2173">
        <v>38359378348</v>
      </c>
      <c r="Q88" s="2173">
        <v>301703666</v>
      </c>
      <c r="R88" s="2173">
        <v>212356996</v>
      </c>
      <c r="S88" s="2173">
        <v>32845803</v>
      </c>
      <c r="T88" s="2173">
        <v>14142697</v>
      </c>
      <c r="U88" s="2173">
        <v>38920427510</v>
      </c>
      <c r="V88" s="2173">
        <v>0</v>
      </c>
      <c r="W88" s="2173">
        <v>0</v>
      </c>
      <c r="X88" s="2173">
        <v>38893997510</v>
      </c>
      <c r="Z88" s="2171">
        <v>71000000</v>
      </c>
      <c r="AA88" s="2172" t="s">
        <v>223</v>
      </c>
      <c r="AB88" s="2173">
        <v>136622324635</v>
      </c>
      <c r="AC88" s="2173">
        <v>2230585375</v>
      </c>
      <c r="AD88" s="2173">
        <v>1307740553</v>
      </c>
      <c r="AE88" s="2173">
        <v>45870237</v>
      </c>
      <c r="AF88" s="2173">
        <v>12858037</v>
      </c>
      <c r="AG88" s="2173">
        <v>140219378837</v>
      </c>
      <c r="AH88" s="2173">
        <v>0</v>
      </c>
      <c r="AI88" s="2173">
        <v>0</v>
      </c>
      <c r="AJ88" s="2173">
        <v>140148825092</v>
      </c>
      <c r="AL88" s="1070">
        <v>71000000</v>
      </c>
      <c r="AM88" s="1071" t="s">
        <v>223</v>
      </c>
      <c r="AN88" s="1072">
        <v>73309430206</v>
      </c>
      <c r="AO88" s="1072">
        <v>510112146</v>
      </c>
      <c r="AP88" s="1072">
        <v>1126338317</v>
      </c>
      <c r="AQ88" s="1072">
        <v>20682738</v>
      </c>
      <c r="AR88" s="1072">
        <v>11702112</v>
      </c>
      <c r="AS88" s="1072">
        <v>74978265519</v>
      </c>
      <c r="AT88" s="1072">
        <v>0</v>
      </c>
      <c r="AU88" s="1072">
        <v>0</v>
      </c>
      <c r="AV88" s="1072">
        <v>74934047119</v>
      </c>
      <c r="AW88" s="1073"/>
      <c r="AX88" s="1074"/>
      <c r="AZ88" s="1070">
        <v>71000000</v>
      </c>
      <c r="BA88" s="1071" t="s">
        <v>223</v>
      </c>
      <c r="BB88" s="1072">
        <v>67894113479</v>
      </c>
      <c r="BC88" s="1072">
        <v>3609095325</v>
      </c>
      <c r="BD88" s="1072">
        <v>459289578</v>
      </c>
      <c r="BE88" s="1072">
        <v>37108085</v>
      </c>
      <c r="BF88" s="1072">
        <v>8250191</v>
      </c>
      <c r="BG88" s="1072">
        <v>72007856658</v>
      </c>
      <c r="BH88" s="1072">
        <v>0</v>
      </c>
      <c r="BI88" s="1072">
        <v>0</v>
      </c>
      <c r="BJ88" s="1072">
        <v>71936876441</v>
      </c>
      <c r="BK88" s="1073"/>
      <c r="BL88" s="1074"/>
      <c r="BN88" s="1075">
        <v>71100000</v>
      </c>
      <c r="BO88" s="1076" t="s">
        <v>223</v>
      </c>
      <c r="BP88" s="1077">
        <v>52629353944</v>
      </c>
      <c r="BQ88" s="1077">
        <v>3127405576</v>
      </c>
      <c r="BR88" s="1077">
        <v>15757217800</v>
      </c>
      <c r="BS88" s="1077">
        <v>34158421</v>
      </c>
      <c r="BT88" s="1077">
        <v>15040100</v>
      </c>
      <c r="BU88" s="1077">
        <v>71563175841</v>
      </c>
      <c r="BV88" s="1077">
        <v>0</v>
      </c>
      <c r="BW88" s="1077">
        <v>0</v>
      </c>
      <c r="BX88" s="1077">
        <v>71504697789</v>
      </c>
      <c r="BY88" s="1073"/>
      <c r="BZ88" s="1074"/>
      <c r="CB88" s="1075">
        <v>71100000</v>
      </c>
      <c r="CC88" s="1076" t="s">
        <v>223</v>
      </c>
      <c r="CD88" s="1077">
        <v>124512264545</v>
      </c>
      <c r="CE88" s="1077">
        <v>5374841293</v>
      </c>
      <c r="CF88" s="1077">
        <v>0</v>
      </c>
      <c r="CG88" s="1077">
        <v>1267867171</v>
      </c>
      <c r="CH88" s="1077">
        <v>0</v>
      </c>
      <c r="CI88" s="1077">
        <v>36172158</v>
      </c>
      <c r="CJ88" s="1077">
        <v>6643923</v>
      </c>
      <c r="CK88" s="1077">
        <v>131197789090</v>
      </c>
      <c r="CL88" s="1077">
        <v>0</v>
      </c>
      <c r="CM88" s="1077">
        <v>0</v>
      </c>
      <c r="CN88" s="1077">
        <v>130961422324</v>
      </c>
      <c r="CO88" s="1073"/>
      <c r="CP88" s="1074"/>
    </row>
    <row r="89" spans="2:94">
      <c r="B89" s="1075">
        <v>71100000</v>
      </c>
      <c r="C89" s="1076" t="s">
        <v>223</v>
      </c>
      <c r="D89" s="1077">
        <v>53785671649</v>
      </c>
      <c r="E89" s="1077">
        <v>602261958</v>
      </c>
      <c r="F89" s="1077">
        <v>308373016</v>
      </c>
      <c r="G89" s="1077">
        <v>44046156</v>
      </c>
      <c r="H89" s="1077">
        <v>23114285</v>
      </c>
      <c r="I89" s="1077">
        <v>54763467064</v>
      </c>
      <c r="J89" s="1077">
        <v>0</v>
      </c>
      <c r="K89" s="1077">
        <v>0</v>
      </c>
      <c r="L89" s="1077">
        <v>54723702064</v>
      </c>
      <c r="N89" s="2174">
        <v>71100000</v>
      </c>
      <c r="O89" s="2175" t="s">
        <v>223</v>
      </c>
      <c r="P89" s="2176">
        <v>38359378348</v>
      </c>
      <c r="Q89" s="2176">
        <v>301703666</v>
      </c>
      <c r="R89" s="2176">
        <v>212356996</v>
      </c>
      <c r="S89" s="2176">
        <v>32845803</v>
      </c>
      <c r="T89" s="2176">
        <v>14142697</v>
      </c>
      <c r="U89" s="2176">
        <v>38920427510</v>
      </c>
      <c r="V89" s="2176">
        <v>0</v>
      </c>
      <c r="W89" s="2176">
        <v>0</v>
      </c>
      <c r="X89" s="2176">
        <v>38893997510</v>
      </c>
      <c r="Z89" s="2174">
        <v>71100000</v>
      </c>
      <c r="AA89" s="2175" t="s">
        <v>223</v>
      </c>
      <c r="AB89" s="2176">
        <v>136622324635</v>
      </c>
      <c r="AC89" s="2176">
        <v>2230585375</v>
      </c>
      <c r="AD89" s="2176">
        <v>1307740553</v>
      </c>
      <c r="AE89" s="2176">
        <v>45870237</v>
      </c>
      <c r="AF89" s="2176">
        <v>12858037</v>
      </c>
      <c r="AG89" s="2176">
        <v>140219378837</v>
      </c>
      <c r="AH89" s="2176">
        <v>0</v>
      </c>
      <c r="AI89" s="2176">
        <v>0</v>
      </c>
      <c r="AJ89" s="2176">
        <v>140148825092</v>
      </c>
      <c r="AL89" s="1075">
        <v>71100000</v>
      </c>
      <c r="AM89" s="1076" t="s">
        <v>223</v>
      </c>
      <c r="AN89" s="1077">
        <v>73309430206</v>
      </c>
      <c r="AO89" s="1077">
        <v>510112146</v>
      </c>
      <c r="AP89" s="1077">
        <v>1126338317</v>
      </c>
      <c r="AQ89" s="1077">
        <v>20682738</v>
      </c>
      <c r="AR89" s="1077">
        <v>11702112</v>
      </c>
      <c r="AS89" s="1077">
        <v>74978265519</v>
      </c>
      <c r="AT89" s="1077">
        <v>0</v>
      </c>
      <c r="AU89" s="1077">
        <v>0</v>
      </c>
      <c r="AV89" s="1077">
        <v>74934047119</v>
      </c>
      <c r="AW89" s="1073"/>
      <c r="AX89" s="1074"/>
      <c r="AZ89" s="1075">
        <v>71100000</v>
      </c>
      <c r="BA89" s="1076" t="s">
        <v>223</v>
      </c>
      <c r="BB89" s="1077">
        <v>67894113479</v>
      </c>
      <c r="BC89" s="1077">
        <v>3609095325</v>
      </c>
      <c r="BD89" s="1077">
        <v>459289578</v>
      </c>
      <c r="BE89" s="1077">
        <v>37108085</v>
      </c>
      <c r="BF89" s="1077">
        <v>8250191</v>
      </c>
      <c r="BG89" s="1077">
        <v>72007856658</v>
      </c>
      <c r="BH89" s="1077">
        <v>0</v>
      </c>
      <c r="BI89" s="1077">
        <v>0</v>
      </c>
      <c r="BJ89" s="1077">
        <v>71936876441</v>
      </c>
      <c r="BK89" s="1073"/>
      <c r="BL89" s="1074"/>
      <c r="BN89" s="1078">
        <v>71100100</v>
      </c>
      <c r="BO89" s="1079" t="s">
        <v>2517</v>
      </c>
      <c r="BP89" s="1080">
        <v>0</v>
      </c>
      <c r="BQ89" s="1080">
        <v>13810000</v>
      </c>
      <c r="BR89" s="1080">
        <v>0</v>
      </c>
      <c r="BS89" s="1080">
        <v>0</v>
      </c>
      <c r="BT89" s="1080">
        <v>0</v>
      </c>
      <c r="BU89" s="1080">
        <v>13810000</v>
      </c>
      <c r="BV89" s="1080">
        <v>0</v>
      </c>
      <c r="BW89" s="1080">
        <v>0</v>
      </c>
      <c r="BX89" s="1080">
        <v>13810000</v>
      </c>
      <c r="BY89" s="1073"/>
      <c r="BZ89" s="1074">
        <v>-13810000</v>
      </c>
      <c r="CB89" s="1078">
        <v>71100100</v>
      </c>
      <c r="CC89" s="1079" t="s">
        <v>2517</v>
      </c>
      <c r="CD89" s="1080">
        <v>0</v>
      </c>
      <c r="CE89" s="1080">
        <v>1730000</v>
      </c>
      <c r="CF89" s="1080">
        <v>0</v>
      </c>
      <c r="CG89" s="1080">
        <v>0</v>
      </c>
      <c r="CH89" s="1080">
        <v>0</v>
      </c>
      <c r="CI89" s="1080">
        <v>0</v>
      </c>
      <c r="CJ89" s="1080">
        <v>0</v>
      </c>
      <c r="CK89" s="1080">
        <v>1730000</v>
      </c>
      <c r="CL89" s="1080">
        <v>0</v>
      </c>
      <c r="CM89" s="1080">
        <v>0</v>
      </c>
      <c r="CN89" s="1080">
        <v>1730000</v>
      </c>
      <c r="CO89" s="1073"/>
      <c r="CP89" s="1074">
        <v>-1730000</v>
      </c>
    </row>
    <row r="90" spans="2:94">
      <c r="B90" s="1078">
        <v>71100100</v>
      </c>
      <c r="C90" s="1079" t="s">
        <v>2517</v>
      </c>
      <c r="D90" s="1080">
        <v>0</v>
      </c>
      <c r="E90" s="1080">
        <v>4550000</v>
      </c>
      <c r="F90" s="1080">
        <v>0</v>
      </c>
      <c r="G90" s="1080">
        <v>0</v>
      </c>
      <c r="H90" s="1080">
        <v>0</v>
      </c>
      <c r="I90" s="1080">
        <v>4550000</v>
      </c>
      <c r="J90" s="1080">
        <v>0</v>
      </c>
      <c r="K90" s="1080">
        <v>0</v>
      </c>
      <c r="L90" s="1080">
        <v>4550000</v>
      </c>
      <c r="N90" s="2177">
        <v>71100100</v>
      </c>
      <c r="O90" s="2178" t="s">
        <v>3854</v>
      </c>
      <c r="P90" s="2179">
        <v>0</v>
      </c>
      <c r="Q90" s="2179">
        <v>4550000</v>
      </c>
      <c r="R90" s="2179">
        <v>0</v>
      </c>
      <c r="S90" s="2179">
        <v>0</v>
      </c>
      <c r="T90" s="2179">
        <v>0</v>
      </c>
      <c r="U90" s="2179">
        <v>4550000</v>
      </c>
      <c r="V90" s="2179">
        <v>0</v>
      </c>
      <c r="W90" s="2179">
        <v>0</v>
      </c>
      <c r="X90" s="2179">
        <v>4550000</v>
      </c>
      <c r="Z90" s="2177">
        <v>71100100</v>
      </c>
      <c r="AA90" s="2178" t="s">
        <v>3854</v>
      </c>
      <c r="AB90" s="2179">
        <v>0</v>
      </c>
      <c r="AC90" s="2179">
        <v>8960000</v>
      </c>
      <c r="AD90" s="2179">
        <v>0</v>
      </c>
      <c r="AE90" s="2179">
        <v>0</v>
      </c>
      <c r="AF90" s="2179">
        <v>0</v>
      </c>
      <c r="AG90" s="2179">
        <v>8960000</v>
      </c>
      <c r="AH90" s="2179">
        <v>0</v>
      </c>
      <c r="AI90" s="2179">
        <v>0</v>
      </c>
      <c r="AJ90" s="2179">
        <v>8960000</v>
      </c>
      <c r="AL90" s="1078">
        <v>71100100</v>
      </c>
      <c r="AM90" s="1079" t="s">
        <v>2517</v>
      </c>
      <c r="AN90" s="1080">
        <v>0</v>
      </c>
      <c r="AO90" s="1080">
        <v>5400000</v>
      </c>
      <c r="AP90" s="1080">
        <v>0</v>
      </c>
      <c r="AQ90" s="1080">
        <v>0</v>
      </c>
      <c r="AR90" s="1080">
        <v>0</v>
      </c>
      <c r="AS90" s="1080">
        <v>5400000</v>
      </c>
      <c r="AT90" s="1080">
        <v>0</v>
      </c>
      <c r="AU90" s="1080">
        <v>0</v>
      </c>
      <c r="AV90" s="1080">
        <v>5400000</v>
      </c>
      <c r="AW90" s="1073"/>
      <c r="AX90" s="1074">
        <v>-5400000</v>
      </c>
      <c r="AZ90" s="1078">
        <v>71100100</v>
      </c>
      <c r="BA90" s="1079" t="s">
        <v>2517</v>
      </c>
      <c r="BB90" s="1080">
        <v>0</v>
      </c>
      <c r="BC90" s="1080">
        <v>5080000</v>
      </c>
      <c r="BD90" s="1080">
        <v>0</v>
      </c>
      <c r="BE90" s="1080">
        <v>0</v>
      </c>
      <c r="BF90" s="1080">
        <v>0</v>
      </c>
      <c r="BG90" s="1080">
        <v>5080000</v>
      </c>
      <c r="BH90" s="1080">
        <v>0</v>
      </c>
      <c r="BI90" s="1080">
        <v>0</v>
      </c>
      <c r="BJ90" s="1080">
        <v>5080000</v>
      </c>
      <c r="BK90" s="1073"/>
      <c r="BL90" s="1074">
        <v>-5080000</v>
      </c>
      <c r="BN90" s="1078">
        <v>71100200</v>
      </c>
      <c r="BO90" s="1079" t="s">
        <v>2518</v>
      </c>
      <c r="BP90" s="1080">
        <v>0</v>
      </c>
      <c r="BQ90" s="1080">
        <v>0</v>
      </c>
      <c r="BR90" s="1080">
        <v>0</v>
      </c>
      <c r="BS90" s="1080">
        <v>0</v>
      </c>
      <c r="BT90" s="1080">
        <v>0</v>
      </c>
      <c r="BU90" s="1080">
        <v>0</v>
      </c>
      <c r="BV90" s="1080">
        <v>0</v>
      </c>
      <c r="BW90" s="1080">
        <v>0</v>
      </c>
      <c r="BX90" s="1080">
        <v>0</v>
      </c>
      <c r="BY90" s="1073"/>
      <c r="BZ90" s="1074">
        <v>0</v>
      </c>
      <c r="CB90" s="1078">
        <v>71100200</v>
      </c>
      <c r="CC90" s="1079" t="s">
        <v>2518</v>
      </c>
      <c r="CD90" s="1080">
        <v>0</v>
      </c>
      <c r="CE90" s="1080">
        <v>0</v>
      </c>
      <c r="CF90" s="1080">
        <v>0</v>
      </c>
      <c r="CG90" s="1080">
        <v>0</v>
      </c>
      <c r="CH90" s="1080">
        <v>0</v>
      </c>
      <c r="CI90" s="1080">
        <v>0</v>
      </c>
      <c r="CJ90" s="1080">
        <v>0</v>
      </c>
      <c r="CK90" s="1080">
        <v>0</v>
      </c>
      <c r="CL90" s="1080">
        <v>0</v>
      </c>
      <c r="CM90" s="1080">
        <v>0</v>
      </c>
      <c r="CN90" s="1080">
        <v>0</v>
      </c>
      <c r="CO90" s="1073"/>
      <c r="CP90" s="1074">
        <v>0</v>
      </c>
    </row>
    <row r="91" spans="2:94">
      <c r="B91" s="1078">
        <v>71100200</v>
      </c>
      <c r="C91" s="1079" t="s">
        <v>2518</v>
      </c>
      <c r="D91" s="1080">
        <v>0</v>
      </c>
      <c r="E91" s="1080">
        <v>0</v>
      </c>
      <c r="F91" s="1080">
        <v>0</v>
      </c>
      <c r="G91" s="1080">
        <v>0</v>
      </c>
      <c r="H91" s="1080">
        <v>0</v>
      </c>
      <c r="I91" s="1080">
        <v>0</v>
      </c>
      <c r="J91" s="1080">
        <v>0</v>
      </c>
      <c r="K91" s="1080">
        <v>0</v>
      </c>
      <c r="L91" s="1080">
        <v>0</v>
      </c>
      <c r="N91" s="2177">
        <v>71100200</v>
      </c>
      <c r="O91" s="2178" t="s">
        <v>2518</v>
      </c>
      <c r="P91" s="2179">
        <v>0</v>
      </c>
      <c r="Q91" s="2179">
        <v>0</v>
      </c>
      <c r="R91" s="2179">
        <v>0</v>
      </c>
      <c r="S91" s="2179">
        <v>0</v>
      </c>
      <c r="T91" s="2179">
        <v>0</v>
      </c>
      <c r="U91" s="2179">
        <v>0</v>
      </c>
      <c r="V91" s="2179">
        <v>0</v>
      </c>
      <c r="W91" s="2179">
        <v>0</v>
      </c>
      <c r="X91" s="2179">
        <v>0</v>
      </c>
      <c r="Z91" s="2177">
        <v>71100200</v>
      </c>
      <c r="AA91" s="2178" t="s">
        <v>2518</v>
      </c>
      <c r="AB91" s="2179">
        <v>0</v>
      </c>
      <c r="AC91" s="2179">
        <v>0</v>
      </c>
      <c r="AD91" s="2179">
        <v>0</v>
      </c>
      <c r="AE91" s="2179">
        <v>0</v>
      </c>
      <c r="AF91" s="2179">
        <v>0</v>
      </c>
      <c r="AG91" s="2179">
        <v>0</v>
      </c>
      <c r="AH91" s="2179">
        <v>0</v>
      </c>
      <c r="AI91" s="2179">
        <v>0</v>
      </c>
      <c r="AJ91" s="2179">
        <v>0</v>
      </c>
      <c r="AL91" s="1078">
        <v>71100200</v>
      </c>
      <c r="AM91" s="1079" t="s">
        <v>2518</v>
      </c>
      <c r="AN91" s="1080">
        <v>0</v>
      </c>
      <c r="AO91" s="1080">
        <v>0</v>
      </c>
      <c r="AP91" s="1080">
        <v>0</v>
      </c>
      <c r="AQ91" s="1080">
        <v>0</v>
      </c>
      <c r="AR91" s="1080">
        <v>0</v>
      </c>
      <c r="AS91" s="1080">
        <v>0</v>
      </c>
      <c r="AT91" s="1080">
        <v>0</v>
      </c>
      <c r="AU91" s="1080">
        <v>0</v>
      </c>
      <c r="AV91" s="1080">
        <v>0</v>
      </c>
      <c r="AW91" s="1073"/>
      <c r="AX91" s="1074">
        <v>0</v>
      </c>
      <c r="AZ91" s="1078">
        <v>71100200</v>
      </c>
      <c r="BA91" s="1079" t="s">
        <v>2518</v>
      </c>
      <c r="BB91" s="1080">
        <v>0</v>
      </c>
      <c r="BC91" s="1080">
        <v>0</v>
      </c>
      <c r="BD91" s="1080">
        <v>0</v>
      </c>
      <c r="BE91" s="1080">
        <v>0</v>
      </c>
      <c r="BF91" s="1080">
        <v>0</v>
      </c>
      <c r="BG91" s="1080">
        <v>0</v>
      </c>
      <c r="BH91" s="1080">
        <v>0</v>
      </c>
      <c r="BI91" s="1080">
        <v>0</v>
      </c>
      <c r="BJ91" s="1080">
        <v>0</v>
      </c>
      <c r="BK91" s="1073"/>
      <c r="BL91" s="1074">
        <v>0</v>
      </c>
      <c r="BN91" s="1078">
        <v>71100300</v>
      </c>
      <c r="BO91" s="1079" t="s">
        <v>2519</v>
      </c>
      <c r="BP91" s="1080">
        <v>36627027403</v>
      </c>
      <c r="BQ91" s="1080">
        <v>428851261</v>
      </c>
      <c r="BR91" s="1080">
        <v>21518335</v>
      </c>
      <c r="BS91" s="1080">
        <v>9832146</v>
      </c>
      <c r="BT91" s="1080">
        <v>13677180</v>
      </c>
      <c r="BU91" s="1080">
        <v>37100906325</v>
      </c>
      <c r="BV91" s="1080">
        <v>0</v>
      </c>
      <c r="BW91" s="1080">
        <v>0</v>
      </c>
      <c r="BX91" s="1080">
        <v>37100906325</v>
      </c>
      <c r="BY91" s="1073"/>
      <c r="BZ91" s="1074">
        <v>-37100906325</v>
      </c>
      <c r="CB91" s="1078">
        <v>71100300</v>
      </c>
      <c r="CC91" s="1079" t="s">
        <v>2519</v>
      </c>
      <c r="CD91" s="1080">
        <v>87938485544</v>
      </c>
      <c r="CE91" s="1080">
        <v>286428720</v>
      </c>
      <c r="CF91" s="1080">
        <v>0</v>
      </c>
      <c r="CG91" s="1080">
        <v>267084402</v>
      </c>
      <c r="CH91" s="1080">
        <v>0</v>
      </c>
      <c r="CI91" s="1080">
        <v>1200019</v>
      </c>
      <c r="CJ91" s="1080">
        <v>5678129</v>
      </c>
      <c r="CK91" s="1080">
        <v>88498876814</v>
      </c>
      <c r="CL91" s="1080">
        <v>0</v>
      </c>
      <c r="CM91" s="1080">
        <v>0</v>
      </c>
      <c r="CN91" s="1080">
        <v>88498876814</v>
      </c>
      <c r="CO91" s="1073"/>
      <c r="CP91" s="1074">
        <v>-88498876814</v>
      </c>
    </row>
    <row r="92" spans="2:94">
      <c r="B92" s="1078">
        <v>71100300</v>
      </c>
      <c r="C92" s="1079" t="s">
        <v>2519</v>
      </c>
      <c r="D92" s="1080">
        <v>35928089520</v>
      </c>
      <c r="E92" s="1080">
        <v>491662350</v>
      </c>
      <c r="F92" s="1080">
        <v>214687470</v>
      </c>
      <c r="G92" s="1080">
        <v>14164752</v>
      </c>
      <c r="H92" s="1080">
        <v>17165693</v>
      </c>
      <c r="I92" s="1080">
        <v>36665769785</v>
      </c>
      <c r="J92" s="1080">
        <v>0</v>
      </c>
      <c r="K92" s="1080">
        <v>0</v>
      </c>
      <c r="L92" s="1080">
        <v>36665769785</v>
      </c>
      <c r="N92" s="2177">
        <v>71100300</v>
      </c>
      <c r="O92" s="2178" t="s">
        <v>3855</v>
      </c>
      <c r="P92" s="2179">
        <v>23996763204</v>
      </c>
      <c r="Q92" s="2179">
        <v>264247170</v>
      </c>
      <c r="R92" s="2179">
        <v>132306261</v>
      </c>
      <c r="S92" s="2179">
        <v>5320499</v>
      </c>
      <c r="T92" s="2179">
        <v>9791537</v>
      </c>
      <c r="U92" s="2179">
        <v>24408428671</v>
      </c>
      <c r="V92" s="2179">
        <v>0</v>
      </c>
      <c r="W92" s="2179">
        <v>0</v>
      </c>
      <c r="X92" s="2179">
        <v>24408428671</v>
      </c>
      <c r="Z92" s="2177">
        <v>71100300</v>
      </c>
      <c r="AA92" s="2178" t="s">
        <v>3855</v>
      </c>
      <c r="AB92" s="2179">
        <v>95537953451</v>
      </c>
      <c r="AC92" s="2179">
        <v>526728709</v>
      </c>
      <c r="AD92" s="2179">
        <v>392445731</v>
      </c>
      <c r="AE92" s="2179">
        <v>6995427</v>
      </c>
      <c r="AF92" s="2179">
        <v>7599876</v>
      </c>
      <c r="AG92" s="2179">
        <v>96471723194</v>
      </c>
      <c r="AH92" s="2179">
        <v>0</v>
      </c>
      <c r="AI92" s="2179">
        <v>0</v>
      </c>
      <c r="AJ92" s="2179">
        <v>96471723194</v>
      </c>
      <c r="AL92" s="1078">
        <v>71100300</v>
      </c>
      <c r="AM92" s="1079" t="s">
        <v>2519</v>
      </c>
      <c r="AN92" s="1080">
        <v>51318485040</v>
      </c>
      <c r="AO92" s="1080">
        <v>465169941</v>
      </c>
      <c r="AP92" s="1080">
        <v>203150239</v>
      </c>
      <c r="AQ92" s="1080">
        <v>6995427</v>
      </c>
      <c r="AR92" s="1080">
        <v>6573103</v>
      </c>
      <c r="AS92" s="1080">
        <v>52000373750</v>
      </c>
      <c r="AT92" s="1080">
        <v>0</v>
      </c>
      <c r="AU92" s="1080">
        <v>0</v>
      </c>
      <c r="AV92" s="1080">
        <v>52000373750</v>
      </c>
      <c r="AW92" s="1073"/>
      <c r="AX92" s="1074">
        <v>-52000373750</v>
      </c>
      <c r="AZ92" s="1078">
        <v>71100300</v>
      </c>
      <c r="BA92" s="1079" t="s">
        <v>2519</v>
      </c>
      <c r="BB92" s="1080">
        <v>46290624074</v>
      </c>
      <c r="BC92" s="1080">
        <v>572776820</v>
      </c>
      <c r="BD92" s="1080">
        <v>98003185</v>
      </c>
      <c r="BE92" s="1080">
        <v>14166316</v>
      </c>
      <c r="BF92" s="1080">
        <v>6436684</v>
      </c>
      <c r="BG92" s="1080">
        <v>46982007079</v>
      </c>
      <c r="BH92" s="1080">
        <v>0</v>
      </c>
      <c r="BI92" s="1080">
        <v>0</v>
      </c>
      <c r="BJ92" s="1080">
        <v>46982007079</v>
      </c>
      <c r="BK92" s="1073"/>
      <c r="BL92" s="1074">
        <v>-46982007079</v>
      </c>
      <c r="BN92" s="1078">
        <v>71100400</v>
      </c>
      <c r="BO92" s="1079" t="s">
        <v>2520</v>
      </c>
      <c r="BP92" s="1080">
        <v>2340780850</v>
      </c>
      <c r="BQ92" s="1080">
        <v>1534673</v>
      </c>
      <c r="BR92" s="1080">
        <v>2655014</v>
      </c>
      <c r="BS92" s="1080">
        <v>90927</v>
      </c>
      <c r="BT92" s="1080">
        <v>1324277</v>
      </c>
      <c r="BU92" s="1080">
        <v>2346385741</v>
      </c>
      <c r="BV92" s="1080">
        <v>0</v>
      </c>
      <c r="BW92" s="1080">
        <v>0</v>
      </c>
      <c r="BX92" s="1080">
        <v>2346385741</v>
      </c>
      <c r="BY92" s="1073"/>
      <c r="BZ92" s="1074">
        <v>-2346385741</v>
      </c>
      <c r="CB92" s="1078">
        <v>71100400</v>
      </c>
      <c r="CC92" s="1079" t="s">
        <v>2520</v>
      </c>
      <c r="CD92" s="1080">
        <v>11756123875</v>
      </c>
      <c r="CE92" s="1080">
        <v>754456</v>
      </c>
      <c r="CF92" s="1080">
        <v>0</v>
      </c>
      <c r="CG92" s="1080">
        <v>391244918</v>
      </c>
      <c r="CH92" s="1080">
        <v>0</v>
      </c>
      <c r="CI92" s="1080">
        <v>0</v>
      </c>
      <c r="CJ92" s="1080">
        <v>948797</v>
      </c>
      <c r="CK92" s="1080">
        <v>12149072046</v>
      </c>
      <c r="CL92" s="1080">
        <v>0</v>
      </c>
      <c r="CM92" s="1080">
        <v>0</v>
      </c>
      <c r="CN92" s="1080">
        <v>12149072046</v>
      </c>
      <c r="CO92" s="1073"/>
      <c r="CP92" s="1074">
        <v>-12149072046</v>
      </c>
    </row>
    <row r="93" spans="2:94">
      <c r="B93" s="1078">
        <v>71100400</v>
      </c>
      <c r="C93" s="1079" t="s">
        <v>2520</v>
      </c>
      <c r="D93" s="1080">
        <v>3577287795</v>
      </c>
      <c r="E93" s="1080">
        <v>103599547</v>
      </c>
      <c r="F93" s="1080">
        <v>33112085</v>
      </c>
      <c r="G93" s="1080">
        <v>4155842</v>
      </c>
      <c r="H93" s="1080">
        <v>5911740</v>
      </c>
      <c r="I93" s="1080">
        <v>3724067009</v>
      </c>
      <c r="J93" s="1080">
        <v>0</v>
      </c>
      <c r="K93" s="1080">
        <v>0</v>
      </c>
      <c r="L93" s="1080">
        <v>3724067009</v>
      </c>
      <c r="N93" s="2177">
        <v>71100400</v>
      </c>
      <c r="O93" s="2178" t="s">
        <v>3856</v>
      </c>
      <c r="P93" s="2179">
        <v>958399312</v>
      </c>
      <c r="Q93" s="2179">
        <v>30473403</v>
      </c>
      <c r="R93" s="2179">
        <v>24205693</v>
      </c>
      <c r="S93" s="2179">
        <v>1800081</v>
      </c>
      <c r="T93" s="2179">
        <v>4326653</v>
      </c>
      <c r="U93" s="2179">
        <v>1019205142</v>
      </c>
      <c r="V93" s="2179">
        <v>0</v>
      </c>
      <c r="W93" s="2179">
        <v>0</v>
      </c>
      <c r="X93" s="2179">
        <v>1019205142</v>
      </c>
      <c r="Z93" s="2177">
        <v>71100400</v>
      </c>
      <c r="AA93" s="2178" t="s">
        <v>3856</v>
      </c>
      <c r="AB93" s="2179">
        <v>15983708362</v>
      </c>
      <c r="AC93" s="2179">
        <v>2924844</v>
      </c>
      <c r="AD93" s="2179">
        <v>118926811</v>
      </c>
      <c r="AE93" s="2179">
        <v>431377</v>
      </c>
      <c r="AF93" s="2179">
        <v>0</v>
      </c>
      <c r="AG93" s="2179">
        <v>16105991394</v>
      </c>
      <c r="AH93" s="2179">
        <v>0</v>
      </c>
      <c r="AI93" s="2179">
        <v>0</v>
      </c>
      <c r="AJ93" s="2179">
        <v>16105991394</v>
      </c>
      <c r="AL93" s="1078">
        <v>71100400</v>
      </c>
      <c r="AM93" s="1079" t="s">
        <v>2520</v>
      </c>
      <c r="AN93" s="1080">
        <v>8183298203</v>
      </c>
      <c r="AO93" s="1080">
        <v>14627813</v>
      </c>
      <c r="AP93" s="1080">
        <v>131082843</v>
      </c>
      <c r="AQ93" s="1080">
        <v>305538</v>
      </c>
      <c r="AR93" s="1080">
        <v>0</v>
      </c>
      <c r="AS93" s="1080">
        <v>8329314397</v>
      </c>
      <c r="AT93" s="1080">
        <v>0</v>
      </c>
      <c r="AU93" s="1080">
        <v>0</v>
      </c>
      <c r="AV93" s="1080">
        <v>8329314397</v>
      </c>
      <c r="AW93" s="1073"/>
      <c r="AX93" s="1074">
        <v>-8329314397</v>
      </c>
      <c r="AZ93" s="1078">
        <v>71100400</v>
      </c>
      <c r="BA93" s="1079" t="s">
        <v>2520</v>
      </c>
      <c r="BB93" s="1080">
        <v>4560577471</v>
      </c>
      <c r="BC93" s="1080">
        <v>1460656</v>
      </c>
      <c r="BD93" s="1080">
        <v>34421196</v>
      </c>
      <c r="BE93" s="1080">
        <v>1925050</v>
      </c>
      <c r="BF93" s="1080">
        <v>1727179</v>
      </c>
      <c r="BG93" s="1080">
        <v>4600111552</v>
      </c>
      <c r="BH93" s="1080">
        <v>0</v>
      </c>
      <c r="BI93" s="1080">
        <v>0</v>
      </c>
      <c r="BJ93" s="1080">
        <v>4600111552</v>
      </c>
      <c r="BK93" s="1073"/>
      <c r="BL93" s="1074">
        <v>-4600111552</v>
      </c>
      <c r="BN93" s="1078">
        <v>71100500</v>
      </c>
      <c r="BO93" s="1079" t="s">
        <v>2521</v>
      </c>
      <c r="BP93" s="1080">
        <v>22344051</v>
      </c>
      <c r="BQ93" s="1080">
        <v>0</v>
      </c>
      <c r="BR93" s="1080">
        <v>663822</v>
      </c>
      <c r="BS93" s="1080">
        <v>2961386</v>
      </c>
      <c r="BT93" s="1080">
        <v>0</v>
      </c>
      <c r="BU93" s="1080">
        <v>25969259</v>
      </c>
      <c r="BV93" s="1080">
        <v>0</v>
      </c>
      <c r="BW93" s="1080">
        <v>0</v>
      </c>
      <c r="BX93" s="1080">
        <v>25969259</v>
      </c>
      <c r="BY93" s="1073"/>
      <c r="BZ93" s="1074">
        <v>-25969259</v>
      </c>
      <c r="CB93" s="1078">
        <v>71100500</v>
      </c>
      <c r="CC93" s="1079" t="s">
        <v>2521</v>
      </c>
      <c r="CD93" s="1080">
        <v>24303336</v>
      </c>
      <c r="CE93" s="1080">
        <v>3269727</v>
      </c>
      <c r="CF93" s="1080">
        <v>0</v>
      </c>
      <c r="CG93" s="1080">
        <v>13310197</v>
      </c>
      <c r="CH93" s="1080">
        <v>0</v>
      </c>
      <c r="CI93" s="1080">
        <v>544000</v>
      </c>
      <c r="CJ93" s="1080">
        <v>0</v>
      </c>
      <c r="CK93" s="1080">
        <v>41427260</v>
      </c>
      <c r="CL93" s="1080">
        <v>0</v>
      </c>
      <c r="CM93" s="1080">
        <v>0</v>
      </c>
      <c r="CN93" s="1080">
        <v>41427260</v>
      </c>
      <c r="CO93" s="1073"/>
      <c r="CP93" s="1074">
        <v>-41427260</v>
      </c>
    </row>
    <row r="94" spans="2:94">
      <c r="B94" s="1078">
        <v>71100450</v>
      </c>
      <c r="C94" s="1079" t="s">
        <v>3892</v>
      </c>
      <c r="D94" s="1080">
        <v>0</v>
      </c>
      <c r="E94" s="1080">
        <v>0</v>
      </c>
      <c r="F94" s="1080">
        <v>355484</v>
      </c>
      <c r="G94" s="1080">
        <v>0</v>
      </c>
      <c r="H94" s="1080">
        <v>0</v>
      </c>
      <c r="I94" s="1080">
        <v>355484</v>
      </c>
      <c r="J94" s="1080">
        <v>0</v>
      </c>
      <c r="K94" s="1080">
        <v>0</v>
      </c>
      <c r="L94" s="1080">
        <v>355484</v>
      </c>
      <c r="N94" s="2177">
        <v>71100450</v>
      </c>
      <c r="O94" s="2178" t="s">
        <v>3892</v>
      </c>
      <c r="P94" s="2179">
        <v>0</v>
      </c>
      <c r="Q94" s="2179">
        <v>0</v>
      </c>
      <c r="R94" s="2179">
        <v>355484</v>
      </c>
      <c r="S94" s="2179">
        <v>0</v>
      </c>
      <c r="T94" s="2179">
        <v>0</v>
      </c>
      <c r="U94" s="2179">
        <v>355484</v>
      </c>
      <c r="V94" s="2179">
        <v>0</v>
      </c>
      <c r="W94" s="2179">
        <v>0</v>
      </c>
      <c r="X94" s="2179">
        <v>355484</v>
      </c>
      <c r="Z94" s="2177">
        <v>71100500</v>
      </c>
      <c r="AA94" s="2178" t="s">
        <v>2521</v>
      </c>
      <c r="AB94" s="2179">
        <v>7416097</v>
      </c>
      <c r="AC94" s="2179">
        <v>21753609</v>
      </c>
      <c r="AD94" s="2179">
        <v>0</v>
      </c>
      <c r="AE94" s="2179">
        <v>0</v>
      </c>
      <c r="AF94" s="2179">
        <v>0</v>
      </c>
      <c r="AG94" s="2179">
        <v>29169706</v>
      </c>
      <c r="AH94" s="2179">
        <v>0</v>
      </c>
      <c r="AI94" s="2179">
        <v>0</v>
      </c>
      <c r="AJ94" s="2179">
        <v>29169706</v>
      </c>
      <c r="AL94" s="1078">
        <v>71100500</v>
      </c>
      <c r="AM94" s="1079" t="s">
        <v>2521</v>
      </c>
      <c r="AN94" s="1080">
        <v>7416097</v>
      </c>
      <c r="AO94" s="1080">
        <v>19513409</v>
      </c>
      <c r="AP94" s="1080">
        <v>0</v>
      </c>
      <c r="AQ94" s="1080">
        <v>0</v>
      </c>
      <c r="AR94" s="1080">
        <v>0</v>
      </c>
      <c r="AS94" s="1080">
        <v>26929506</v>
      </c>
      <c r="AT94" s="1080">
        <v>0</v>
      </c>
      <c r="AU94" s="1080">
        <v>0</v>
      </c>
      <c r="AV94" s="1080">
        <v>26929506</v>
      </c>
      <c r="AW94" s="1073"/>
      <c r="AX94" s="1074">
        <v>-26929506</v>
      </c>
      <c r="AZ94" s="1078">
        <v>71100500</v>
      </c>
      <c r="BA94" s="1079" t="s">
        <v>2521</v>
      </c>
      <c r="BB94" s="1080">
        <v>119651223</v>
      </c>
      <c r="BC94" s="1080">
        <v>3493205</v>
      </c>
      <c r="BD94" s="1080">
        <v>33070400</v>
      </c>
      <c r="BE94" s="1080">
        <v>6135349</v>
      </c>
      <c r="BF94" s="1080">
        <v>0</v>
      </c>
      <c r="BG94" s="1080">
        <v>162350177</v>
      </c>
      <c r="BH94" s="1080">
        <v>0</v>
      </c>
      <c r="BI94" s="1080">
        <v>0</v>
      </c>
      <c r="BJ94" s="1080">
        <v>162350177</v>
      </c>
      <c r="BK94" s="1073"/>
      <c r="BL94" s="1074">
        <v>-162350177</v>
      </c>
      <c r="BN94" s="1078">
        <v>71100600</v>
      </c>
      <c r="BO94" s="1079" t="s">
        <v>2522</v>
      </c>
      <c r="BP94" s="1080">
        <v>0</v>
      </c>
      <c r="BQ94" s="1080">
        <v>0</v>
      </c>
      <c r="BR94" s="1080">
        <v>15215229589</v>
      </c>
      <c r="BS94" s="1080">
        <v>0</v>
      </c>
      <c r="BT94" s="1080">
        <v>0</v>
      </c>
      <c r="BU94" s="1080">
        <v>15215229589</v>
      </c>
      <c r="BV94" s="1080">
        <v>0</v>
      </c>
      <c r="BW94" s="1080">
        <v>0</v>
      </c>
      <c r="BX94" s="1080">
        <v>15215229589</v>
      </c>
      <c r="BY94" s="1073"/>
      <c r="BZ94" s="1074">
        <v>-15215229589</v>
      </c>
      <c r="CB94" s="1078">
        <v>71100600</v>
      </c>
      <c r="CC94" s="1079" t="s">
        <v>2522</v>
      </c>
      <c r="CD94" s="1080">
        <v>0</v>
      </c>
      <c r="CE94" s="1080">
        <v>0</v>
      </c>
      <c r="CF94" s="1080">
        <v>0</v>
      </c>
      <c r="CG94" s="1080">
        <v>0</v>
      </c>
      <c r="CH94" s="1080">
        <v>0</v>
      </c>
      <c r="CI94" s="1080">
        <v>0</v>
      </c>
      <c r="CJ94" s="1080">
        <v>0</v>
      </c>
      <c r="CK94" s="1080">
        <v>0</v>
      </c>
      <c r="CL94" s="1080">
        <v>0</v>
      </c>
      <c r="CM94" s="1080">
        <v>0</v>
      </c>
      <c r="CN94" s="1080">
        <v>0</v>
      </c>
      <c r="CO94" s="1073"/>
      <c r="CP94" s="1074">
        <v>0</v>
      </c>
    </row>
    <row r="95" spans="2:94">
      <c r="B95" s="1078">
        <v>71100500</v>
      </c>
      <c r="C95" s="1079" t="s">
        <v>2521</v>
      </c>
      <c r="D95" s="1080">
        <v>244611709</v>
      </c>
      <c r="E95" s="1080">
        <v>0</v>
      </c>
      <c r="F95" s="1080">
        <v>10175600</v>
      </c>
      <c r="G95" s="1080">
        <v>518715</v>
      </c>
      <c r="H95" s="1080">
        <v>0</v>
      </c>
      <c r="I95" s="1080">
        <v>255306024</v>
      </c>
      <c r="J95" s="1080">
        <v>0</v>
      </c>
      <c r="K95" s="1080">
        <v>0</v>
      </c>
      <c r="L95" s="1080">
        <v>255306024</v>
      </c>
      <c r="N95" s="2177">
        <v>71100500</v>
      </c>
      <c r="O95" s="2178" t="s">
        <v>2521</v>
      </c>
      <c r="P95" s="2179">
        <v>39119131</v>
      </c>
      <c r="Q95" s="2179">
        <v>0</v>
      </c>
      <c r="R95" s="2179">
        <v>9676600</v>
      </c>
      <c r="S95" s="2179">
        <v>518715</v>
      </c>
      <c r="T95" s="2179">
        <v>0</v>
      </c>
      <c r="U95" s="2179">
        <v>49314446</v>
      </c>
      <c r="V95" s="2179">
        <v>0</v>
      </c>
      <c r="W95" s="2179">
        <v>0</v>
      </c>
      <c r="X95" s="2179">
        <v>49314446</v>
      </c>
      <c r="Z95" s="2177">
        <v>71100600</v>
      </c>
      <c r="AA95" s="2178" t="s">
        <v>2522</v>
      </c>
      <c r="AB95" s="2179">
        <v>0</v>
      </c>
      <c r="AC95" s="2179">
        <v>0</v>
      </c>
      <c r="AD95" s="2179">
        <v>0</v>
      </c>
      <c r="AE95" s="2179">
        <v>0</v>
      </c>
      <c r="AF95" s="2179">
        <v>0</v>
      </c>
      <c r="AG95" s="2179">
        <v>0</v>
      </c>
      <c r="AH95" s="2179">
        <v>0</v>
      </c>
      <c r="AI95" s="2179">
        <v>0</v>
      </c>
      <c r="AJ95" s="2179">
        <v>0</v>
      </c>
      <c r="AL95" s="1078">
        <v>71100600</v>
      </c>
      <c r="AM95" s="1079" t="s">
        <v>2522</v>
      </c>
      <c r="AN95" s="1080">
        <v>0</v>
      </c>
      <c r="AO95" s="1080">
        <v>0</v>
      </c>
      <c r="AP95" s="1080">
        <v>0</v>
      </c>
      <c r="AQ95" s="1080">
        <v>0</v>
      </c>
      <c r="AR95" s="1080">
        <v>0</v>
      </c>
      <c r="AS95" s="1080">
        <v>0</v>
      </c>
      <c r="AT95" s="1080">
        <v>0</v>
      </c>
      <c r="AU95" s="1080">
        <v>0</v>
      </c>
      <c r="AV95" s="1080">
        <v>0</v>
      </c>
      <c r="AW95" s="1073"/>
      <c r="AX95" s="1074">
        <v>0</v>
      </c>
      <c r="AZ95" s="1078">
        <v>71100600</v>
      </c>
      <c r="BA95" s="1079" t="s">
        <v>2522</v>
      </c>
      <c r="BB95" s="1080">
        <v>0</v>
      </c>
      <c r="BC95" s="1080">
        <v>0</v>
      </c>
      <c r="BD95" s="1080">
        <v>0</v>
      </c>
      <c r="BE95" s="1080">
        <v>0</v>
      </c>
      <c r="BF95" s="1080">
        <v>0</v>
      </c>
      <c r="BG95" s="1080">
        <v>0</v>
      </c>
      <c r="BH95" s="1080">
        <v>0</v>
      </c>
      <c r="BI95" s="1080">
        <v>0</v>
      </c>
      <c r="BJ95" s="1080">
        <v>0</v>
      </c>
      <c r="BK95" s="1073"/>
      <c r="BL95" s="1074">
        <v>0</v>
      </c>
      <c r="BN95" s="1078">
        <v>71100700</v>
      </c>
      <c r="BO95" s="1079" t="s">
        <v>2523</v>
      </c>
      <c r="BP95" s="1080">
        <v>0</v>
      </c>
      <c r="BQ95" s="1080">
        <v>0</v>
      </c>
      <c r="BR95" s="1080">
        <v>0</v>
      </c>
      <c r="BS95" s="1080">
        <v>0</v>
      </c>
      <c r="BT95" s="1080">
        <v>0</v>
      </c>
      <c r="BU95" s="1080">
        <v>0</v>
      </c>
      <c r="BV95" s="1080">
        <v>0</v>
      </c>
      <c r="BW95" s="1080">
        <v>0</v>
      </c>
      <c r="BX95" s="1080">
        <v>0</v>
      </c>
      <c r="BY95" s="1073"/>
      <c r="BZ95" s="1074">
        <v>0</v>
      </c>
      <c r="CB95" s="1078">
        <v>71100700</v>
      </c>
      <c r="CC95" s="1079" t="s">
        <v>2523</v>
      </c>
      <c r="CD95" s="1080">
        <v>0</v>
      </c>
      <c r="CE95" s="1080">
        <v>0</v>
      </c>
      <c r="CF95" s="1080">
        <v>0</v>
      </c>
      <c r="CG95" s="1080">
        <v>0</v>
      </c>
      <c r="CH95" s="1080">
        <v>0</v>
      </c>
      <c r="CI95" s="1080">
        <v>0</v>
      </c>
      <c r="CJ95" s="1080">
        <v>0</v>
      </c>
      <c r="CK95" s="1080">
        <v>0</v>
      </c>
      <c r="CL95" s="1080">
        <v>0</v>
      </c>
      <c r="CM95" s="1080">
        <v>0</v>
      </c>
      <c r="CN95" s="1080">
        <v>0</v>
      </c>
      <c r="CO95" s="1073"/>
      <c r="CP95" s="1074">
        <v>0</v>
      </c>
    </row>
    <row r="96" spans="2:94">
      <c r="B96" s="1078">
        <v>71100600</v>
      </c>
      <c r="C96" s="1079" t="s">
        <v>2522</v>
      </c>
      <c r="D96" s="1080">
        <v>0</v>
      </c>
      <c r="E96" s="1080">
        <v>0</v>
      </c>
      <c r="F96" s="1080">
        <v>0</v>
      </c>
      <c r="G96" s="1080">
        <v>0</v>
      </c>
      <c r="H96" s="1080">
        <v>0</v>
      </c>
      <c r="I96" s="1080">
        <v>0</v>
      </c>
      <c r="J96" s="1080">
        <v>0</v>
      </c>
      <c r="K96" s="1080">
        <v>0</v>
      </c>
      <c r="L96" s="1080">
        <v>0</v>
      </c>
      <c r="N96" s="2177">
        <v>71100600</v>
      </c>
      <c r="O96" s="2178" t="s">
        <v>2522</v>
      </c>
      <c r="P96" s="2179">
        <v>0</v>
      </c>
      <c r="Q96" s="2179">
        <v>0</v>
      </c>
      <c r="R96" s="2179">
        <v>0</v>
      </c>
      <c r="S96" s="2179">
        <v>0</v>
      </c>
      <c r="T96" s="2179">
        <v>0</v>
      </c>
      <c r="U96" s="2179">
        <v>0</v>
      </c>
      <c r="V96" s="2179">
        <v>0</v>
      </c>
      <c r="W96" s="2179">
        <v>0</v>
      </c>
      <c r="X96" s="2179">
        <v>0</v>
      </c>
      <c r="Z96" s="2177">
        <v>71100700</v>
      </c>
      <c r="AA96" s="2178" t="s">
        <v>2523</v>
      </c>
      <c r="AB96" s="2179">
        <v>0</v>
      </c>
      <c r="AC96" s="2179">
        <v>0</v>
      </c>
      <c r="AD96" s="2179">
        <v>0</v>
      </c>
      <c r="AE96" s="2179">
        <v>0</v>
      </c>
      <c r="AF96" s="2179">
        <v>0</v>
      </c>
      <c r="AG96" s="2179">
        <v>0</v>
      </c>
      <c r="AH96" s="2179">
        <v>0</v>
      </c>
      <c r="AI96" s="2179">
        <v>0</v>
      </c>
      <c r="AJ96" s="2179">
        <v>0</v>
      </c>
      <c r="AL96" s="1078">
        <v>71100700</v>
      </c>
      <c r="AM96" s="1079" t="s">
        <v>2523</v>
      </c>
      <c r="AN96" s="1080">
        <v>0</v>
      </c>
      <c r="AO96" s="1080">
        <v>0</v>
      </c>
      <c r="AP96" s="1080">
        <v>0</v>
      </c>
      <c r="AQ96" s="1080">
        <v>0</v>
      </c>
      <c r="AR96" s="1080">
        <v>0</v>
      </c>
      <c r="AS96" s="1080">
        <v>0</v>
      </c>
      <c r="AT96" s="1080">
        <v>0</v>
      </c>
      <c r="AU96" s="1080">
        <v>0</v>
      </c>
      <c r="AV96" s="1080">
        <v>0</v>
      </c>
      <c r="AW96" s="1073"/>
      <c r="AX96" s="1074">
        <v>0</v>
      </c>
      <c r="AZ96" s="1078">
        <v>71100700</v>
      </c>
      <c r="BA96" s="1079" t="s">
        <v>2523</v>
      </c>
      <c r="BB96" s="1080">
        <v>0</v>
      </c>
      <c r="BC96" s="1080">
        <v>0</v>
      </c>
      <c r="BD96" s="1080">
        <v>0</v>
      </c>
      <c r="BE96" s="1080">
        <v>0</v>
      </c>
      <c r="BF96" s="1080">
        <v>0</v>
      </c>
      <c r="BG96" s="1080">
        <v>0</v>
      </c>
      <c r="BH96" s="1080">
        <v>0</v>
      </c>
      <c r="BI96" s="1080">
        <v>0</v>
      </c>
      <c r="BJ96" s="1080">
        <v>0</v>
      </c>
      <c r="BK96" s="1073"/>
      <c r="BL96" s="1074">
        <v>0</v>
      </c>
      <c r="BN96" s="1078">
        <v>71100800</v>
      </c>
      <c r="BO96" s="1079" t="s">
        <v>2524</v>
      </c>
      <c r="BP96" s="1080">
        <v>0</v>
      </c>
      <c r="BQ96" s="1080">
        <v>0</v>
      </c>
      <c r="BR96" s="1080">
        <v>0</v>
      </c>
      <c r="BS96" s="1080">
        <v>0</v>
      </c>
      <c r="BT96" s="1080">
        <v>0</v>
      </c>
      <c r="BU96" s="1080">
        <v>0</v>
      </c>
      <c r="BV96" s="1080">
        <v>0</v>
      </c>
      <c r="BW96" s="1080">
        <v>0</v>
      </c>
      <c r="BX96" s="1080">
        <v>0</v>
      </c>
      <c r="BY96" s="1073"/>
      <c r="BZ96" s="1074">
        <v>0</v>
      </c>
      <c r="CB96" s="1078">
        <v>71100800</v>
      </c>
      <c r="CC96" s="1079" t="s">
        <v>2524</v>
      </c>
      <c r="CD96" s="1080">
        <v>0</v>
      </c>
      <c r="CE96" s="1080">
        <v>0</v>
      </c>
      <c r="CF96" s="1080">
        <v>0</v>
      </c>
      <c r="CG96" s="1080">
        <v>0</v>
      </c>
      <c r="CH96" s="1080">
        <v>0</v>
      </c>
      <c r="CI96" s="1080">
        <v>0</v>
      </c>
      <c r="CJ96" s="1080">
        <v>0</v>
      </c>
      <c r="CK96" s="1080">
        <v>0</v>
      </c>
      <c r="CL96" s="1080">
        <v>0</v>
      </c>
      <c r="CM96" s="1080">
        <v>0</v>
      </c>
      <c r="CN96" s="1080">
        <v>0</v>
      </c>
      <c r="CO96" s="1073"/>
      <c r="CP96" s="1074">
        <v>0</v>
      </c>
    </row>
    <row r="97" spans="2:94">
      <c r="B97" s="1078">
        <v>71100700</v>
      </c>
      <c r="C97" s="1079" t="s">
        <v>2523</v>
      </c>
      <c r="D97" s="1080">
        <v>0</v>
      </c>
      <c r="E97" s="1080">
        <v>0</v>
      </c>
      <c r="F97" s="1080">
        <v>0</v>
      </c>
      <c r="G97" s="1080">
        <v>0</v>
      </c>
      <c r="H97" s="1080">
        <v>0</v>
      </c>
      <c r="I97" s="1080">
        <v>0</v>
      </c>
      <c r="J97" s="1080">
        <v>0</v>
      </c>
      <c r="K97" s="1080">
        <v>0</v>
      </c>
      <c r="L97" s="1080">
        <v>0</v>
      </c>
      <c r="N97" s="2177">
        <v>71100700</v>
      </c>
      <c r="O97" s="2178" t="s">
        <v>2523</v>
      </c>
      <c r="P97" s="2179">
        <v>0</v>
      </c>
      <c r="Q97" s="2179">
        <v>0</v>
      </c>
      <c r="R97" s="2179">
        <v>0</v>
      </c>
      <c r="S97" s="2179">
        <v>0</v>
      </c>
      <c r="T97" s="2179">
        <v>0</v>
      </c>
      <c r="U97" s="2179">
        <v>0</v>
      </c>
      <c r="V97" s="2179">
        <v>0</v>
      </c>
      <c r="W97" s="2179">
        <v>0</v>
      </c>
      <c r="X97" s="2179">
        <v>0</v>
      </c>
      <c r="Z97" s="2177">
        <v>71100800</v>
      </c>
      <c r="AA97" s="2178" t="s">
        <v>2524</v>
      </c>
      <c r="AB97" s="2179">
        <v>0</v>
      </c>
      <c r="AC97" s="2179">
        <v>0</v>
      </c>
      <c r="AD97" s="2179">
        <v>0</v>
      </c>
      <c r="AE97" s="2179">
        <v>0</v>
      </c>
      <c r="AF97" s="2179">
        <v>0</v>
      </c>
      <c r="AG97" s="2179">
        <v>0</v>
      </c>
      <c r="AH97" s="2179">
        <v>0</v>
      </c>
      <c r="AI97" s="2179">
        <v>0</v>
      </c>
      <c r="AJ97" s="2179">
        <v>0</v>
      </c>
      <c r="AL97" s="1078">
        <v>71100800</v>
      </c>
      <c r="AM97" s="1079" t="s">
        <v>2524</v>
      </c>
      <c r="AN97" s="1080">
        <v>0</v>
      </c>
      <c r="AO97" s="1080">
        <v>0</v>
      </c>
      <c r="AP97" s="1080">
        <v>0</v>
      </c>
      <c r="AQ97" s="1080">
        <v>0</v>
      </c>
      <c r="AR97" s="1080">
        <v>0</v>
      </c>
      <c r="AS97" s="1080">
        <v>0</v>
      </c>
      <c r="AT97" s="1080">
        <v>0</v>
      </c>
      <c r="AU97" s="1080">
        <v>0</v>
      </c>
      <c r="AV97" s="1080">
        <v>0</v>
      </c>
      <c r="AW97" s="1073"/>
      <c r="AX97" s="1074">
        <v>0</v>
      </c>
      <c r="AZ97" s="1078">
        <v>71100800</v>
      </c>
      <c r="BA97" s="1079" t="s">
        <v>2524</v>
      </c>
      <c r="BB97" s="1080">
        <v>0</v>
      </c>
      <c r="BC97" s="1080">
        <v>0</v>
      </c>
      <c r="BD97" s="1080">
        <v>0</v>
      </c>
      <c r="BE97" s="1080">
        <v>0</v>
      </c>
      <c r="BF97" s="1080">
        <v>0</v>
      </c>
      <c r="BG97" s="1080">
        <v>0</v>
      </c>
      <c r="BH97" s="1080">
        <v>0</v>
      </c>
      <c r="BI97" s="1080">
        <v>0</v>
      </c>
      <c r="BJ97" s="1080">
        <v>0</v>
      </c>
      <c r="BK97" s="1073"/>
      <c r="BL97" s="1074">
        <v>0</v>
      </c>
      <c r="BN97" s="1078">
        <v>71100900</v>
      </c>
      <c r="BO97" s="1079" t="s">
        <v>2525</v>
      </c>
      <c r="BP97" s="1080">
        <v>0</v>
      </c>
      <c r="BQ97" s="1080">
        <v>0</v>
      </c>
      <c r="BR97" s="1080">
        <v>0</v>
      </c>
      <c r="BS97" s="1080">
        <v>0</v>
      </c>
      <c r="BT97" s="1080">
        <v>0</v>
      </c>
      <c r="BU97" s="1080">
        <v>0</v>
      </c>
      <c r="BV97" s="1080">
        <v>0</v>
      </c>
      <c r="BW97" s="1080">
        <v>0</v>
      </c>
      <c r="BX97" s="1080">
        <v>0</v>
      </c>
      <c r="BY97" s="1073"/>
      <c r="BZ97" s="1074">
        <v>0</v>
      </c>
      <c r="CB97" s="1078">
        <v>71100900</v>
      </c>
      <c r="CC97" s="1079" t="s">
        <v>2525</v>
      </c>
      <c r="CD97" s="1080">
        <v>0</v>
      </c>
      <c r="CE97" s="1080">
        <v>0</v>
      </c>
      <c r="CF97" s="1080">
        <v>0</v>
      </c>
      <c r="CG97" s="1080">
        <v>0</v>
      </c>
      <c r="CH97" s="1080">
        <v>0</v>
      </c>
      <c r="CI97" s="1080">
        <v>0</v>
      </c>
      <c r="CJ97" s="1080">
        <v>0</v>
      </c>
      <c r="CK97" s="1080">
        <v>0</v>
      </c>
      <c r="CL97" s="1080">
        <v>0</v>
      </c>
      <c r="CM97" s="1080">
        <v>0</v>
      </c>
      <c r="CN97" s="1080">
        <v>0</v>
      </c>
      <c r="CO97" s="1073"/>
      <c r="CP97" s="1074">
        <v>0</v>
      </c>
    </row>
    <row r="98" spans="2:94">
      <c r="B98" s="1078">
        <v>71100800</v>
      </c>
      <c r="C98" s="1079" t="s">
        <v>2524</v>
      </c>
      <c r="D98" s="1080">
        <v>0</v>
      </c>
      <c r="E98" s="1080">
        <v>0</v>
      </c>
      <c r="F98" s="1080">
        <v>0</v>
      </c>
      <c r="G98" s="1080">
        <v>0</v>
      </c>
      <c r="H98" s="1080">
        <v>0</v>
      </c>
      <c r="I98" s="1080">
        <v>0</v>
      </c>
      <c r="J98" s="1080">
        <v>0</v>
      </c>
      <c r="K98" s="1080">
        <v>0</v>
      </c>
      <c r="L98" s="1080">
        <v>0</v>
      </c>
      <c r="N98" s="2177">
        <v>71100800</v>
      </c>
      <c r="O98" s="2178" t="s">
        <v>2524</v>
      </c>
      <c r="P98" s="2179">
        <v>0</v>
      </c>
      <c r="Q98" s="2179">
        <v>0</v>
      </c>
      <c r="R98" s="2179">
        <v>0</v>
      </c>
      <c r="S98" s="2179">
        <v>0</v>
      </c>
      <c r="T98" s="2179">
        <v>0</v>
      </c>
      <c r="U98" s="2179">
        <v>0</v>
      </c>
      <c r="V98" s="2179">
        <v>0</v>
      </c>
      <c r="W98" s="2179">
        <v>0</v>
      </c>
      <c r="X98" s="2179">
        <v>0</v>
      </c>
      <c r="Z98" s="2177">
        <v>71100900</v>
      </c>
      <c r="AA98" s="2178" t="s">
        <v>2525</v>
      </c>
      <c r="AB98" s="2179">
        <v>0</v>
      </c>
      <c r="AC98" s="2179">
        <v>0</v>
      </c>
      <c r="AD98" s="2179">
        <v>0</v>
      </c>
      <c r="AE98" s="2179">
        <v>0</v>
      </c>
      <c r="AF98" s="2179">
        <v>0</v>
      </c>
      <c r="AG98" s="2179">
        <v>0</v>
      </c>
      <c r="AH98" s="2179">
        <v>0</v>
      </c>
      <c r="AI98" s="2179">
        <v>0</v>
      </c>
      <c r="AJ98" s="2179">
        <v>0</v>
      </c>
      <c r="AL98" s="1078">
        <v>71100900</v>
      </c>
      <c r="AM98" s="1079" t="s">
        <v>2525</v>
      </c>
      <c r="AN98" s="1080">
        <v>0</v>
      </c>
      <c r="AO98" s="1080">
        <v>0</v>
      </c>
      <c r="AP98" s="1080">
        <v>0</v>
      </c>
      <c r="AQ98" s="1080">
        <v>0</v>
      </c>
      <c r="AR98" s="1080">
        <v>0</v>
      </c>
      <c r="AS98" s="1080">
        <v>0</v>
      </c>
      <c r="AT98" s="1080">
        <v>0</v>
      </c>
      <c r="AU98" s="1080">
        <v>0</v>
      </c>
      <c r="AV98" s="1080">
        <v>0</v>
      </c>
      <c r="AW98" s="1073"/>
      <c r="AX98" s="1074">
        <v>0</v>
      </c>
      <c r="AZ98" s="1078">
        <v>71100900</v>
      </c>
      <c r="BA98" s="1079" t="s">
        <v>2525</v>
      </c>
      <c r="BB98" s="1080">
        <v>0</v>
      </c>
      <c r="BC98" s="1080">
        <v>0</v>
      </c>
      <c r="BD98" s="1080">
        <v>0</v>
      </c>
      <c r="BE98" s="1080">
        <v>0</v>
      </c>
      <c r="BF98" s="1080">
        <v>0</v>
      </c>
      <c r="BG98" s="1080">
        <v>0</v>
      </c>
      <c r="BH98" s="1080">
        <v>0</v>
      </c>
      <c r="BI98" s="1080">
        <v>0</v>
      </c>
      <c r="BJ98" s="1080">
        <v>0</v>
      </c>
      <c r="BK98" s="1073"/>
      <c r="BL98" s="1074">
        <v>0</v>
      </c>
      <c r="BN98" s="1078">
        <v>71101000</v>
      </c>
      <c r="BO98" s="1079" t="s">
        <v>2526</v>
      </c>
      <c r="BP98" s="1080">
        <v>0</v>
      </c>
      <c r="BQ98" s="1080">
        <v>0</v>
      </c>
      <c r="BR98" s="1080">
        <v>0</v>
      </c>
      <c r="BS98" s="1080">
        <v>0</v>
      </c>
      <c r="BT98" s="1080">
        <v>0</v>
      </c>
      <c r="BU98" s="1080">
        <v>0</v>
      </c>
      <c r="BV98" s="1080">
        <v>0</v>
      </c>
      <c r="BW98" s="1080">
        <v>0</v>
      </c>
      <c r="BX98" s="1080">
        <v>0</v>
      </c>
      <c r="BY98" s="1073"/>
      <c r="BZ98" s="1074">
        <v>0</v>
      </c>
      <c r="CB98" s="1078">
        <v>71101000</v>
      </c>
      <c r="CC98" s="1079" t="s">
        <v>2526</v>
      </c>
      <c r="CD98" s="1080">
        <v>0</v>
      </c>
      <c r="CE98" s="1080">
        <v>0</v>
      </c>
      <c r="CF98" s="1080">
        <v>0</v>
      </c>
      <c r="CG98" s="1080">
        <v>0</v>
      </c>
      <c r="CH98" s="1080">
        <v>0</v>
      </c>
      <c r="CI98" s="1080">
        <v>0</v>
      </c>
      <c r="CJ98" s="1080">
        <v>0</v>
      </c>
      <c r="CK98" s="1080">
        <v>0</v>
      </c>
      <c r="CL98" s="1080">
        <v>0</v>
      </c>
      <c r="CM98" s="1080">
        <v>0</v>
      </c>
      <c r="CN98" s="1080">
        <v>0</v>
      </c>
      <c r="CO98" s="1073"/>
      <c r="CP98" s="1074">
        <v>0</v>
      </c>
    </row>
    <row r="99" spans="2:94">
      <c r="B99" s="1078">
        <v>71100900</v>
      </c>
      <c r="C99" s="1079" t="s">
        <v>2525</v>
      </c>
      <c r="D99" s="1080">
        <v>0</v>
      </c>
      <c r="E99" s="1080">
        <v>0</v>
      </c>
      <c r="F99" s="1080">
        <v>0</v>
      </c>
      <c r="G99" s="1080">
        <v>0</v>
      </c>
      <c r="H99" s="1080">
        <v>0</v>
      </c>
      <c r="I99" s="1080">
        <v>0</v>
      </c>
      <c r="J99" s="1080">
        <v>0</v>
      </c>
      <c r="K99" s="1080">
        <v>0</v>
      </c>
      <c r="L99" s="1080">
        <v>0</v>
      </c>
      <c r="N99" s="2177">
        <v>71100900</v>
      </c>
      <c r="O99" s="2178" t="s">
        <v>2525</v>
      </c>
      <c r="P99" s="2179">
        <v>0</v>
      </c>
      <c r="Q99" s="2179">
        <v>0</v>
      </c>
      <c r="R99" s="2179">
        <v>0</v>
      </c>
      <c r="S99" s="2179">
        <v>0</v>
      </c>
      <c r="T99" s="2179">
        <v>0</v>
      </c>
      <c r="U99" s="2179">
        <v>0</v>
      </c>
      <c r="V99" s="2179">
        <v>0</v>
      </c>
      <c r="W99" s="2179">
        <v>0</v>
      </c>
      <c r="X99" s="2179">
        <v>0</v>
      </c>
      <c r="Z99" s="2177">
        <v>71101000</v>
      </c>
      <c r="AA99" s="2178" t="s">
        <v>2526</v>
      </c>
      <c r="AB99" s="2179">
        <v>0</v>
      </c>
      <c r="AC99" s="2179">
        <v>0</v>
      </c>
      <c r="AD99" s="2179">
        <v>0</v>
      </c>
      <c r="AE99" s="2179">
        <v>0</v>
      </c>
      <c r="AF99" s="2179">
        <v>0</v>
      </c>
      <c r="AG99" s="2179">
        <v>0</v>
      </c>
      <c r="AH99" s="2179">
        <v>0</v>
      </c>
      <c r="AI99" s="2179">
        <v>0</v>
      </c>
      <c r="AJ99" s="2179">
        <v>0</v>
      </c>
      <c r="AL99" s="1078">
        <v>71101000</v>
      </c>
      <c r="AM99" s="1079" t="s">
        <v>2526</v>
      </c>
      <c r="AN99" s="1080">
        <v>0</v>
      </c>
      <c r="AO99" s="1080">
        <v>0</v>
      </c>
      <c r="AP99" s="1080">
        <v>0</v>
      </c>
      <c r="AQ99" s="1080">
        <v>0</v>
      </c>
      <c r="AR99" s="1080">
        <v>0</v>
      </c>
      <c r="AS99" s="1080">
        <v>0</v>
      </c>
      <c r="AT99" s="1080">
        <v>0</v>
      </c>
      <c r="AU99" s="1080">
        <v>0</v>
      </c>
      <c r="AV99" s="1080">
        <v>0</v>
      </c>
      <c r="AW99" s="1073"/>
      <c r="AX99" s="1074">
        <v>0</v>
      </c>
      <c r="AZ99" s="1078">
        <v>71101000</v>
      </c>
      <c r="BA99" s="1079" t="s">
        <v>2526</v>
      </c>
      <c r="BB99" s="1080">
        <v>0</v>
      </c>
      <c r="BC99" s="1080">
        <v>0</v>
      </c>
      <c r="BD99" s="1080">
        <v>0</v>
      </c>
      <c r="BE99" s="1080">
        <v>0</v>
      </c>
      <c r="BF99" s="1080">
        <v>0</v>
      </c>
      <c r="BG99" s="1080">
        <v>0</v>
      </c>
      <c r="BH99" s="1080">
        <v>0</v>
      </c>
      <c r="BI99" s="1080">
        <v>0</v>
      </c>
      <c r="BJ99" s="1080">
        <v>0</v>
      </c>
      <c r="BK99" s="1073"/>
      <c r="BL99" s="1074">
        <v>0</v>
      </c>
      <c r="BN99" s="1078">
        <v>71101400</v>
      </c>
      <c r="BO99" s="1079" t="s">
        <v>2527</v>
      </c>
      <c r="BP99" s="1080">
        <v>1823140526</v>
      </c>
      <c r="BQ99" s="1080">
        <v>136421539</v>
      </c>
      <c r="BR99" s="1080">
        <v>0</v>
      </c>
      <c r="BS99" s="1080">
        <v>3565172</v>
      </c>
      <c r="BT99" s="1080">
        <v>0</v>
      </c>
      <c r="BU99" s="1080">
        <v>1963127237</v>
      </c>
      <c r="BV99" s="1080">
        <v>0</v>
      </c>
      <c r="BW99" s="1080">
        <v>0</v>
      </c>
      <c r="BX99" s="1080">
        <v>1963127237</v>
      </c>
      <c r="BY99" s="1073"/>
      <c r="BZ99" s="1074">
        <v>-1963127237</v>
      </c>
      <c r="CB99" s="1078">
        <v>71101400</v>
      </c>
      <c r="CC99" s="1079" t="s">
        <v>2527</v>
      </c>
      <c r="CD99" s="1080">
        <v>4541242748</v>
      </c>
      <c r="CE99" s="1080">
        <v>271917135</v>
      </c>
      <c r="CF99" s="1080">
        <v>0</v>
      </c>
      <c r="CG99" s="1080">
        <v>0</v>
      </c>
      <c r="CH99" s="1080">
        <v>0</v>
      </c>
      <c r="CI99" s="1080">
        <v>0</v>
      </c>
      <c r="CJ99" s="1080">
        <v>0</v>
      </c>
      <c r="CK99" s="1080">
        <v>4813159883</v>
      </c>
      <c r="CL99" s="1080">
        <v>0</v>
      </c>
      <c r="CM99" s="1080">
        <v>0</v>
      </c>
      <c r="CN99" s="1080">
        <v>4813159883</v>
      </c>
      <c r="CO99" s="1073"/>
      <c r="CP99" s="1074">
        <v>-4813159883</v>
      </c>
    </row>
    <row r="100" spans="2:94">
      <c r="B100" s="1078">
        <v>71101000</v>
      </c>
      <c r="C100" s="1079" t="s">
        <v>2526</v>
      </c>
      <c r="D100" s="1080">
        <v>0</v>
      </c>
      <c r="E100" s="1080">
        <v>0</v>
      </c>
      <c r="F100" s="1080">
        <v>0</v>
      </c>
      <c r="G100" s="1080">
        <v>0</v>
      </c>
      <c r="H100" s="1080">
        <v>0</v>
      </c>
      <c r="I100" s="1080">
        <v>0</v>
      </c>
      <c r="J100" s="1080">
        <v>0</v>
      </c>
      <c r="K100" s="1080">
        <v>0</v>
      </c>
      <c r="L100" s="1080">
        <v>0</v>
      </c>
      <c r="N100" s="2177">
        <v>71101000</v>
      </c>
      <c r="O100" s="2178" t="s">
        <v>2526</v>
      </c>
      <c r="P100" s="2179">
        <v>0</v>
      </c>
      <c r="Q100" s="2179">
        <v>0</v>
      </c>
      <c r="R100" s="2179">
        <v>0</v>
      </c>
      <c r="S100" s="2179">
        <v>0</v>
      </c>
      <c r="T100" s="2179">
        <v>0</v>
      </c>
      <c r="U100" s="2179">
        <v>0</v>
      </c>
      <c r="V100" s="2179">
        <v>0</v>
      </c>
      <c r="W100" s="2179">
        <v>0</v>
      </c>
      <c r="X100" s="2179">
        <v>0</v>
      </c>
      <c r="Z100" s="2177">
        <v>71101400</v>
      </c>
      <c r="AA100" s="2178" t="s">
        <v>3857</v>
      </c>
      <c r="AB100" s="2179">
        <v>5795889735</v>
      </c>
      <c r="AC100" s="2179">
        <v>0</v>
      </c>
      <c r="AD100" s="2179">
        <v>0</v>
      </c>
      <c r="AE100" s="2179">
        <v>9722839</v>
      </c>
      <c r="AF100" s="2179">
        <v>0</v>
      </c>
      <c r="AG100" s="2179">
        <v>5805612574</v>
      </c>
      <c r="AH100" s="2179">
        <v>0</v>
      </c>
      <c r="AI100" s="2179">
        <v>0</v>
      </c>
      <c r="AJ100" s="2179">
        <v>5805612574</v>
      </c>
      <c r="AL100" s="1078">
        <v>71101400</v>
      </c>
      <c r="AM100" s="1079" t="s">
        <v>2527</v>
      </c>
      <c r="AN100" s="1080">
        <v>5431463130</v>
      </c>
      <c r="AO100" s="1080">
        <v>0</v>
      </c>
      <c r="AP100" s="1080">
        <v>0</v>
      </c>
      <c r="AQ100" s="1080">
        <v>710807</v>
      </c>
      <c r="AR100" s="1080">
        <v>0</v>
      </c>
      <c r="AS100" s="1080">
        <v>5432173937</v>
      </c>
      <c r="AT100" s="1080">
        <v>0</v>
      </c>
      <c r="AU100" s="1080">
        <v>0</v>
      </c>
      <c r="AV100" s="1080">
        <v>5432173937</v>
      </c>
      <c r="AW100" s="1073"/>
      <c r="AX100" s="1074">
        <v>-5432173937</v>
      </c>
      <c r="AZ100" s="1078">
        <v>71101400</v>
      </c>
      <c r="BA100" s="1079" t="s">
        <v>2527</v>
      </c>
      <c r="BB100" s="1080">
        <v>2966683562</v>
      </c>
      <c r="BC100" s="1080">
        <v>227003380</v>
      </c>
      <c r="BD100" s="1080">
        <v>0</v>
      </c>
      <c r="BE100" s="1080">
        <v>-3180236</v>
      </c>
      <c r="BF100" s="1080">
        <v>0</v>
      </c>
      <c r="BG100" s="1080">
        <v>3190506706</v>
      </c>
      <c r="BH100" s="1080">
        <v>0</v>
      </c>
      <c r="BI100" s="1080">
        <v>0</v>
      </c>
      <c r="BJ100" s="1080">
        <v>3190506706</v>
      </c>
      <c r="BK100" s="1073"/>
      <c r="BL100" s="1074">
        <v>-3190506706</v>
      </c>
      <c r="BN100" s="1078">
        <v>71101500</v>
      </c>
      <c r="BO100" s="1079" t="s">
        <v>2528</v>
      </c>
      <c r="BP100" s="1080">
        <v>4403503939</v>
      </c>
      <c r="BQ100" s="1080">
        <v>2505764840</v>
      </c>
      <c r="BR100" s="1080">
        <v>0</v>
      </c>
      <c r="BS100" s="1080">
        <v>0</v>
      </c>
      <c r="BT100" s="1080">
        <v>0</v>
      </c>
      <c r="BU100" s="1080">
        <v>6909268779</v>
      </c>
      <c r="BV100" s="1080">
        <v>0</v>
      </c>
      <c r="BW100" s="1080">
        <v>0</v>
      </c>
      <c r="BX100" s="1080">
        <v>6909268779</v>
      </c>
      <c r="BY100" s="1073"/>
      <c r="BZ100" s="1074">
        <v>-6909268779</v>
      </c>
      <c r="CB100" s="1078">
        <v>71101500</v>
      </c>
      <c r="CC100" s="1079" t="s">
        <v>2528</v>
      </c>
      <c r="CD100" s="1080">
        <v>14705676844</v>
      </c>
      <c r="CE100" s="1080">
        <v>4806130121</v>
      </c>
      <c r="CF100" s="1080">
        <v>0</v>
      </c>
      <c r="CG100" s="1080">
        <v>0</v>
      </c>
      <c r="CH100" s="1080">
        <v>0</v>
      </c>
      <c r="CI100" s="1080">
        <v>20160354</v>
      </c>
      <c r="CJ100" s="1080">
        <v>0</v>
      </c>
      <c r="CK100" s="1080">
        <v>19531967319</v>
      </c>
      <c r="CL100" s="1080">
        <v>0</v>
      </c>
      <c r="CM100" s="1080">
        <v>0</v>
      </c>
      <c r="CN100" s="1080">
        <v>19531967319</v>
      </c>
      <c r="CO100" s="1073"/>
      <c r="CP100" s="1074">
        <v>-19531967319</v>
      </c>
    </row>
    <row r="101" spans="2:94">
      <c r="B101" s="1078">
        <v>71101400</v>
      </c>
      <c r="C101" s="1079" t="s">
        <v>2527</v>
      </c>
      <c r="D101" s="1080">
        <v>3791451907</v>
      </c>
      <c r="E101" s="1080">
        <v>0</v>
      </c>
      <c r="F101" s="1080">
        <v>0</v>
      </c>
      <c r="G101" s="1080">
        <v>0</v>
      </c>
      <c r="H101" s="1080">
        <v>0</v>
      </c>
      <c r="I101" s="1080">
        <v>3791451907</v>
      </c>
      <c r="J101" s="1080">
        <v>0</v>
      </c>
      <c r="K101" s="1080">
        <v>0</v>
      </c>
      <c r="L101" s="1080">
        <v>3791451907</v>
      </c>
      <c r="N101" s="2177">
        <v>71101400</v>
      </c>
      <c r="O101" s="2178" t="s">
        <v>3857</v>
      </c>
      <c r="P101" s="2179">
        <v>8063506509</v>
      </c>
      <c r="Q101" s="2179">
        <v>0</v>
      </c>
      <c r="R101" s="2179">
        <v>0</v>
      </c>
      <c r="S101" s="2179">
        <v>0</v>
      </c>
      <c r="T101" s="2179">
        <v>0</v>
      </c>
      <c r="U101" s="2179">
        <v>8063506509</v>
      </c>
      <c r="V101" s="2179">
        <v>0</v>
      </c>
      <c r="W101" s="2179">
        <v>0</v>
      </c>
      <c r="X101" s="2179">
        <v>8063506509</v>
      </c>
      <c r="Z101" s="2177">
        <v>71101500</v>
      </c>
      <c r="AA101" s="2178" t="s">
        <v>3858</v>
      </c>
      <c r="AB101" s="2179">
        <v>14153005969</v>
      </c>
      <c r="AC101" s="2179">
        <v>1659931855</v>
      </c>
      <c r="AD101" s="2179">
        <v>0</v>
      </c>
      <c r="AE101" s="2179">
        <v>16639066</v>
      </c>
      <c r="AF101" s="2179">
        <v>0</v>
      </c>
      <c r="AG101" s="2179">
        <v>15829576890</v>
      </c>
      <c r="AH101" s="2179">
        <v>0</v>
      </c>
      <c r="AI101" s="2179">
        <v>0</v>
      </c>
      <c r="AJ101" s="2179">
        <v>15829576890</v>
      </c>
      <c r="AL101" s="1078">
        <v>71101500</v>
      </c>
      <c r="AM101" s="1079" t="s">
        <v>2528</v>
      </c>
      <c r="AN101" s="1080">
        <v>4588464918</v>
      </c>
      <c r="AO101" s="1080">
        <v>0</v>
      </c>
      <c r="AP101" s="1080">
        <v>0</v>
      </c>
      <c r="AQ101" s="1080">
        <v>12670715</v>
      </c>
      <c r="AR101" s="1080">
        <v>0</v>
      </c>
      <c r="AS101" s="1080">
        <v>4601135633</v>
      </c>
      <c r="AT101" s="1080">
        <v>0</v>
      </c>
      <c r="AU101" s="1080">
        <v>0</v>
      </c>
      <c r="AV101" s="1080">
        <v>4601135633</v>
      </c>
      <c r="AW101" s="1073"/>
      <c r="AX101" s="1074">
        <v>-4601135633</v>
      </c>
      <c r="AZ101" s="1078">
        <v>71101500</v>
      </c>
      <c r="BA101" s="1079" t="s">
        <v>2528</v>
      </c>
      <c r="BB101" s="1080">
        <v>7337992042</v>
      </c>
      <c r="BC101" s="1080">
        <v>2792149992</v>
      </c>
      <c r="BD101" s="1080">
        <v>0</v>
      </c>
      <c r="BE101" s="1080">
        <v>4273243</v>
      </c>
      <c r="BF101" s="1080">
        <v>0</v>
      </c>
      <c r="BG101" s="1080">
        <v>10134415277</v>
      </c>
      <c r="BH101" s="1080">
        <v>0</v>
      </c>
      <c r="BI101" s="1080">
        <v>0</v>
      </c>
      <c r="BJ101" s="1080">
        <v>10134415277</v>
      </c>
      <c r="BK101" s="1073"/>
      <c r="BL101" s="1074">
        <v>-10134415277</v>
      </c>
      <c r="BN101" s="1078">
        <v>71101600</v>
      </c>
      <c r="BO101" s="1079" t="s">
        <v>2529</v>
      </c>
      <c r="BP101" s="1080">
        <v>0</v>
      </c>
      <c r="BQ101" s="1080">
        <v>0</v>
      </c>
      <c r="BR101" s="1080">
        <v>0</v>
      </c>
      <c r="BS101" s="1080">
        <v>0</v>
      </c>
      <c r="BT101" s="1080">
        <v>0</v>
      </c>
      <c r="BU101" s="1080">
        <v>0</v>
      </c>
      <c r="BV101" s="1080">
        <v>0</v>
      </c>
      <c r="BW101" s="1080">
        <v>0</v>
      </c>
      <c r="BX101" s="1080">
        <v>0</v>
      </c>
      <c r="BY101" s="1073"/>
      <c r="BZ101" s="1074">
        <v>0</v>
      </c>
      <c r="CB101" s="1078">
        <v>71101600</v>
      </c>
      <c r="CC101" s="1079" t="s">
        <v>2529</v>
      </c>
      <c r="CD101" s="1080">
        <v>0</v>
      </c>
      <c r="CE101" s="1080">
        <v>0</v>
      </c>
      <c r="CF101" s="1080">
        <v>0</v>
      </c>
      <c r="CG101" s="1080">
        <v>0</v>
      </c>
      <c r="CH101" s="1080">
        <v>0</v>
      </c>
      <c r="CI101" s="1080">
        <v>0</v>
      </c>
      <c r="CJ101" s="1080">
        <v>0</v>
      </c>
      <c r="CK101" s="1080">
        <v>0</v>
      </c>
      <c r="CL101" s="1080">
        <v>0</v>
      </c>
      <c r="CM101" s="1080">
        <v>0</v>
      </c>
      <c r="CN101" s="1080">
        <v>0</v>
      </c>
      <c r="CO101" s="1073"/>
      <c r="CP101" s="1074">
        <v>0</v>
      </c>
    </row>
    <row r="102" spans="2:94">
      <c r="B102" s="1078">
        <v>71101500</v>
      </c>
      <c r="C102" s="1079" t="s">
        <v>2528</v>
      </c>
      <c r="D102" s="1080">
        <v>3962744772</v>
      </c>
      <c r="E102" s="1080">
        <v>0</v>
      </c>
      <c r="F102" s="1080">
        <v>0</v>
      </c>
      <c r="G102" s="1080">
        <v>4009307</v>
      </c>
      <c r="H102" s="1080">
        <v>0</v>
      </c>
      <c r="I102" s="1080">
        <v>3966754079</v>
      </c>
      <c r="J102" s="1080">
        <v>0</v>
      </c>
      <c r="K102" s="1080">
        <v>0</v>
      </c>
      <c r="L102" s="1080">
        <v>3966754079</v>
      </c>
      <c r="N102" s="2177">
        <v>71101500</v>
      </c>
      <c r="O102" s="2178" t="s">
        <v>3858</v>
      </c>
      <c r="P102" s="2179">
        <v>2320772016</v>
      </c>
      <c r="Q102" s="2179">
        <v>0</v>
      </c>
      <c r="R102" s="2179">
        <v>0</v>
      </c>
      <c r="S102" s="2179">
        <v>4009307</v>
      </c>
      <c r="T102" s="2179">
        <v>0</v>
      </c>
      <c r="U102" s="2179">
        <v>2324781323</v>
      </c>
      <c r="V102" s="2179">
        <v>0</v>
      </c>
      <c r="W102" s="2179">
        <v>0</v>
      </c>
      <c r="X102" s="2179">
        <v>2324781323</v>
      </c>
      <c r="Z102" s="2177">
        <v>71101600</v>
      </c>
      <c r="AA102" s="2178" t="s">
        <v>3859</v>
      </c>
      <c r="AB102" s="2179">
        <v>0</v>
      </c>
      <c r="AC102" s="2179">
        <v>0</v>
      </c>
      <c r="AD102" s="2179">
        <v>0</v>
      </c>
      <c r="AE102" s="2179">
        <v>0</v>
      </c>
      <c r="AF102" s="2179">
        <v>0</v>
      </c>
      <c r="AG102" s="2179">
        <v>0</v>
      </c>
      <c r="AH102" s="2179">
        <v>0</v>
      </c>
      <c r="AI102" s="2179">
        <v>0</v>
      </c>
      <c r="AJ102" s="2179">
        <v>0</v>
      </c>
      <c r="AL102" s="1078">
        <v>71101600</v>
      </c>
      <c r="AM102" s="1079" t="s">
        <v>2529</v>
      </c>
      <c r="AN102" s="1080">
        <v>0</v>
      </c>
      <c r="AO102" s="1080">
        <v>0</v>
      </c>
      <c r="AP102" s="1080">
        <v>0</v>
      </c>
      <c r="AQ102" s="1080">
        <v>0</v>
      </c>
      <c r="AR102" s="1080">
        <v>0</v>
      </c>
      <c r="AS102" s="1080">
        <v>0</v>
      </c>
      <c r="AT102" s="1080">
        <v>0</v>
      </c>
      <c r="AU102" s="1080">
        <v>0</v>
      </c>
      <c r="AV102" s="1080">
        <v>0</v>
      </c>
      <c r="AW102" s="1073"/>
      <c r="AX102" s="1074">
        <v>0</v>
      </c>
      <c r="AZ102" s="1078">
        <v>71101600</v>
      </c>
      <c r="BA102" s="1079" t="s">
        <v>2529</v>
      </c>
      <c r="BB102" s="1080">
        <v>0</v>
      </c>
      <c r="BC102" s="1080">
        <v>0</v>
      </c>
      <c r="BD102" s="1080">
        <v>0</v>
      </c>
      <c r="BE102" s="1080">
        <v>0</v>
      </c>
      <c r="BF102" s="1080">
        <v>0</v>
      </c>
      <c r="BG102" s="1080">
        <v>0</v>
      </c>
      <c r="BH102" s="1080">
        <v>0</v>
      </c>
      <c r="BI102" s="1080">
        <v>0</v>
      </c>
      <c r="BJ102" s="1080">
        <v>0</v>
      </c>
      <c r="BK102" s="1073"/>
      <c r="BL102" s="1074">
        <v>0</v>
      </c>
      <c r="BN102" s="1078">
        <v>71101700</v>
      </c>
      <c r="BO102" s="1079" t="s">
        <v>2530</v>
      </c>
      <c r="BP102" s="1080">
        <v>0</v>
      </c>
      <c r="BQ102" s="1080">
        <v>0</v>
      </c>
      <c r="BR102" s="1080">
        <v>0</v>
      </c>
      <c r="BS102" s="1080">
        <v>0</v>
      </c>
      <c r="BT102" s="1080">
        <v>0</v>
      </c>
      <c r="BU102" s="1080">
        <v>0</v>
      </c>
      <c r="BV102" s="1080">
        <v>0</v>
      </c>
      <c r="BW102" s="1080">
        <v>0</v>
      </c>
      <c r="BX102" s="1080">
        <v>0</v>
      </c>
      <c r="BY102" s="1073"/>
      <c r="BZ102" s="1074">
        <v>0</v>
      </c>
      <c r="CB102" s="1078">
        <v>71101700</v>
      </c>
      <c r="CC102" s="1079" t="s">
        <v>2530</v>
      </c>
      <c r="CD102" s="1080">
        <v>0</v>
      </c>
      <c r="CE102" s="1080">
        <v>0</v>
      </c>
      <c r="CF102" s="1080">
        <v>0</v>
      </c>
      <c r="CG102" s="1080">
        <v>0</v>
      </c>
      <c r="CH102" s="1080">
        <v>0</v>
      </c>
      <c r="CI102" s="1080">
        <v>0</v>
      </c>
      <c r="CJ102" s="1080">
        <v>0</v>
      </c>
      <c r="CK102" s="1080">
        <v>0</v>
      </c>
      <c r="CL102" s="1080">
        <v>0</v>
      </c>
      <c r="CM102" s="1080">
        <v>0</v>
      </c>
      <c r="CN102" s="1080">
        <v>0</v>
      </c>
      <c r="CO102" s="1073"/>
      <c r="CP102" s="1074">
        <v>0</v>
      </c>
    </row>
    <row r="103" spans="2:94">
      <c r="B103" s="1078">
        <v>71101600</v>
      </c>
      <c r="C103" s="1079" t="s">
        <v>2529</v>
      </c>
      <c r="D103" s="1080">
        <v>0</v>
      </c>
      <c r="E103" s="1080">
        <v>0</v>
      </c>
      <c r="F103" s="1080">
        <v>0</v>
      </c>
      <c r="G103" s="1080">
        <v>0</v>
      </c>
      <c r="H103" s="1080">
        <v>0</v>
      </c>
      <c r="I103" s="1080">
        <v>0</v>
      </c>
      <c r="J103" s="1080">
        <v>0</v>
      </c>
      <c r="K103" s="1080">
        <v>0</v>
      </c>
      <c r="L103" s="1080">
        <v>0</v>
      </c>
      <c r="N103" s="2177">
        <v>71101600</v>
      </c>
      <c r="O103" s="2178" t="s">
        <v>3859</v>
      </c>
      <c r="P103" s="2179">
        <v>0</v>
      </c>
      <c r="Q103" s="2179">
        <v>0</v>
      </c>
      <c r="R103" s="2179">
        <v>0</v>
      </c>
      <c r="S103" s="2179">
        <v>0</v>
      </c>
      <c r="T103" s="2179">
        <v>0</v>
      </c>
      <c r="U103" s="2179">
        <v>0</v>
      </c>
      <c r="V103" s="2179">
        <v>0</v>
      </c>
      <c r="W103" s="2179">
        <v>0</v>
      </c>
      <c r="X103" s="2179">
        <v>0</v>
      </c>
      <c r="Z103" s="2177">
        <v>71101700</v>
      </c>
      <c r="AA103" s="2178" t="s">
        <v>2530</v>
      </c>
      <c r="AB103" s="2179">
        <v>0</v>
      </c>
      <c r="AC103" s="2179">
        <v>0</v>
      </c>
      <c r="AD103" s="2179">
        <v>0</v>
      </c>
      <c r="AE103" s="2179">
        <v>0</v>
      </c>
      <c r="AF103" s="2179">
        <v>0</v>
      </c>
      <c r="AG103" s="2179">
        <v>0</v>
      </c>
      <c r="AH103" s="2179">
        <v>0</v>
      </c>
      <c r="AI103" s="2179">
        <v>0</v>
      </c>
      <c r="AJ103" s="2179">
        <v>0</v>
      </c>
      <c r="AL103" s="1078">
        <v>71101700</v>
      </c>
      <c r="AM103" s="1079" t="s">
        <v>2530</v>
      </c>
      <c r="AN103" s="1080">
        <v>0</v>
      </c>
      <c r="AO103" s="1080">
        <v>0</v>
      </c>
      <c r="AP103" s="1080">
        <v>0</v>
      </c>
      <c r="AQ103" s="1080">
        <v>0</v>
      </c>
      <c r="AR103" s="1080">
        <v>0</v>
      </c>
      <c r="AS103" s="1080">
        <v>0</v>
      </c>
      <c r="AT103" s="1080">
        <v>0</v>
      </c>
      <c r="AU103" s="1080">
        <v>0</v>
      </c>
      <c r="AV103" s="1080">
        <v>0</v>
      </c>
      <c r="AW103" s="1073"/>
      <c r="AX103" s="1074">
        <v>0</v>
      </c>
      <c r="AZ103" s="1078">
        <v>71101700</v>
      </c>
      <c r="BA103" s="1079" t="s">
        <v>2530</v>
      </c>
      <c r="BB103" s="1080">
        <v>0</v>
      </c>
      <c r="BC103" s="1080">
        <v>0</v>
      </c>
      <c r="BD103" s="1080">
        <v>0</v>
      </c>
      <c r="BE103" s="1080">
        <v>0</v>
      </c>
      <c r="BF103" s="1080">
        <v>0</v>
      </c>
      <c r="BG103" s="1080">
        <v>0</v>
      </c>
      <c r="BH103" s="1080">
        <v>0</v>
      </c>
      <c r="BI103" s="1080">
        <v>0</v>
      </c>
      <c r="BJ103" s="1080">
        <v>0</v>
      </c>
      <c r="BK103" s="1073"/>
      <c r="BL103" s="1074">
        <v>0</v>
      </c>
      <c r="BN103" s="1078">
        <v>71101900</v>
      </c>
      <c r="BO103" s="1079" t="s">
        <v>2531</v>
      </c>
      <c r="BP103" s="1080">
        <v>0</v>
      </c>
      <c r="BQ103" s="1080">
        <v>0</v>
      </c>
      <c r="BR103" s="1080">
        <v>0</v>
      </c>
      <c r="BS103" s="1080">
        <v>0</v>
      </c>
      <c r="BT103" s="1080">
        <v>0</v>
      </c>
      <c r="BU103" s="1080">
        <v>0</v>
      </c>
      <c r="BV103" s="1080">
        <v>0</v>
      </c>
      <c r="BW103" s="1080">
        <v>0</v>
      </c>
      <c r="BX103" s="1080">
        <v>0</v>
      </c>
      <c r="BY103" s="1073"/>
      <c r="BZ103" s="1074">
        <v>0</v>
      </c>
      <c r="CB103" s="1078">
        <v>71101900</v>
      </c>
      <c r="CC103" s="1079" t="s">
        <v>2531</v>
      </c>
      <c r="CD103" s="1080">
        <v>0</v>
      </c>
      <c r="CE103" s="1080">
        <v>0</v>
      </c>
      <c r="CF103" s="1080">
        <v>0</v>
      </c>
      <c r="CG103" s="1080">
        <v>0</v>
      </c>
      <c r="CH103" s="1080">
        <v>0</v>
      </c>
      <c r="CI103" s="1080">
        <v>0</v>
      </c>
      <c r="CJ103" s="1080">
        <v>0</v>
      </c>
      <c r="CK103" s="1080">
        <v>0</v>
      </c>
      <c r="CL103" s="1080">
        <v>0</v>
      </c>
      <c r="CM103" s="1080">
        <v>0</v>
      </c>
      <c r="CN103" s="1080">
        <v>0</v>
      </c>
      <c r="CO103" s="1073"/>
      <c r="CP103" s="1074">
        <v>0</v>
      </c>
    </row>
    <row r="104" spans="2:94">
      <c r="B104" s="1078">
        <v>71101700</v>
      </c>
      <c r="C104" s="1079" t="s">
        <v>2530</v>
      </c>
      <c r="D104" s="1080">
        <v>0</v>
      </c>
      <c r="E104" s="1080">
        <v>0</v>
      </c>
      <c r="F104" s="1080">
        <v>0</v>
      </c>
      <c r="G104" s="1080">
        <v>0</v>
      </c>
      <c r="H104" s="1080">
        <v>0</v>
      </c>
      <c r="I104" s="1080">
        <v>0</v>
      </c>
      <c r="J104" s="1080">
        <v>0</v>
      </c>
      <c r="K104" s="1080">
        <v>0</v>
      </c>
      <c r="L104" s="1080">
        <v>0</v>
      </c>
      <c r="N104" s="2177">
        <v>71101700</v>
      </c>
      <c r="O104" s="2178" t="s">
        <v>2530</v>
      </c>
      <c r="P104" s="2179">
        <v>0</v>
      </c>
      <c r="Q104" s="2179">
        <v>0</v>
      </c>
      <c r="R104" s="2179">
        <v>0</v>
      </c>
      <c r="S104" s="2179">
        <v>0</v>
      </c>
      <c r="T104" s="2179">
        <v>0</v>
      </c>
      <c r="U104" s="2179">
        <v>0</v>
      </c>
      <c r="V104" s="2179">
        <v>0</v>
      </c>
      <c r="W104" s="2179">
        <v>0</v>
      </c>
      <c r="X104" s="2179">
        <v>0</v>
      </c>
      <c r="Z104" s="2177">
        <v>71101900</v>
      </c>
      <c r="AA104" s="2178" t="s">
        <v>3860</v>
      </c>
      <c r="AB104" s="2179">
        <v>0</v>
      </c>
      <c r="AC104" s="2179">
        <v>0</v>
      </c>
      <c r="AD104" s="2179">
        <v>0</v>
      </c>
      <c r="AE104" s="2179">
        <v>0</v>
      </c>
      <c r="AF104" s="2179">
        <v>0</v>
      </c>
      <c r="AG104" s="2179">
        <v>0</v>
      </c>
      <c r="AH104" s="2179">
        <v>0</v>
      </c>
      <c r="AI104" s="2179">
        <v>0</v>
      </c>
      <c r="AJ104" s="2179">
        <v>0</v>
      </c>
      <c r="AL104" s="1078">
        <v>71101900</v>
      </c>
      <c r="AM104" s="1079" t="s">
        <v>2531</v>
      </c>
      <c r="AN104" s="1080">
        <v>0</v>
      </c>
      <c r="AO104" s="1080">
        <v>0</v>
      </c>
      <c r="AP104" s="1080">
        <v>0</v>
      </c>
      <c r="AQ104" s="1080">
        <v>0</v>
      </c>
      <c r="AR104" s="1080">
        <v>0</v>
      </c>
      <c r="AS104" s="1080">
        <v>0</v>
      </c>
      <c r="AT104" s="1080">
        <v>0</v>
      </c>
      <c r="AU104" s="1080">
        <v>0</v>
      </c>
      <c r="AV104" s="1080">
        <v>0</v>
      </c>
      <c r="AW104" s="1073"/>
      <c r="AX104" s="1074">
        <v>0</v>
      </c>
      <c r="AZ104" s="1078">
        <v>71101900</v>
      </c>
      <c r="BA104" s="1079" t="s">
        <v>2531</v>
      </c>
      <c r="BB104" s="1080">
        <v>0</v>
      </c>
      <c r="BC104" s="1080">
        <v>0</v>
      </c>
      <c r="BD104" s="1080">
        <v>0</v>
      </c>
      <c r="BE104" s="1080">
        <v>0</v>
      </c>
      <c r="BF104" s="1080">
        <v>0</v>
      </c>
      <c r="BG104" s="1080">
        <v>0</v>
      </c>
      <c r="BH104" s="1080">
        <v>0</v>
      </c>
      <c r="BI104" s="1080">
        <v>0</v>
      </c>
      <c r="BJ104" s="1080">
        <v>0</v>
      </c>
      <c r="BK104" s="1073"/>
      <c r="BL104" s="1074">
        <v>0</v>
      </c>
      <c r="BN104" s="1078">
        <v>71102200</v>
      </c>
      <c r="BO104" s="1079" t="s">
        <v>223</v>
      </c>
      <c r="BP104" s="1080">
        <v>7412557175</v>
      </c>
      <c r="BQ104" s="1080">
        <v>41023263</v>
      </c>
      <c r="BR104" s="1080">
        <v>517151040</v>
      </c>
      <c r="BS104" s="1080">
        <v>17708790</v>
      </c>
      <c r="BT104" s="1080">
        <v>38643</v>
      </c>
      <c r="BU104" s="1080">
        <v>7988478911</v>
      </c>
      <c r="BV104" s="1080">
        <v>0</v>
      </c>
      <c r="BW104" s="1080">
        <v>-58478052</v>
      </c>
      <c r="BX104" s="1080">
        <v>7930000859</v>
      </c>
      <c r="BY104" s="1073"/>
      <c r="BZ104" s="1074">
        <v>-7930000859</v>
      </c>
      <c r="CB104" s="1078">
        <v>71102200</v>
      </c>
      <c r="CC104" s="1079" t="s">
        <v>223</v>
      </c>
      <c r="CD104" s="1080">
        <v>5546432198</v>
      </c>
      <c r="CE104" s="1080">
        <v>4611134</v>
      </c>
      <c r="CF104" s="1080">
        <v>0</v>
      </c>
      <c r="CG104" s="1080">
        <v>596227654</v>
      </c>
      <c r="CH104" s="1080">
        <v>0</v>
      </c>
      <c r="CI104" s="1080">
        <v>14267785</v>
      </c>
      <c r="CJ104" s="1080">
        <v>16997</v>
      </c>
      <c r="CK104" s="1080">
        <v>6161555768</v>
      </c>
      <c r="CL104" s="1080">
        <v>0</v>
      </c>
      <c r="CM104" s="1080">
        <v>-236366766</v>
      </c>
      <c r="CN104" s="1080">
        <v>5925189002</v>
      </c>
      <c r="CO104" s="1073"/>
      <c r="CP104" s="1074">
        <v>-5925189002</v>
      </c>
    </row>
    <row r="105" spans="2:94">
      <c r="B105" s="1078">
        <v>71101900</v>
      </c>
      <c r="C105" s="1079" t="s">
        <v>2531</v>
      </c>
      <c r="D105" s="1080">
        <v>0</v>
      </c>
      <c r="E105" s="1080">
        <v>0</v>
      </c>
      <c r="F105" s="1080">
        <v>0</v>
      </c>
      <c r="G105" s="1080">
        <v>0</v>
      </c>
      <c r="H105" s="1080">
        <v>0</v>
      </c>
      <c r="I105" s="1080">
        <v>0</v>
      </c>
      <c r="J105" s="1080">
        <v>0</v>
      </c>
      <c r="K105" s="1080">
        <v>0</v>
      </c>
      <c r="L105" s="1080">
        <v>0</v>
      </c>
      <c r="N105" s="2177">
        <v>71101900</v>
      </c>
      <c r="O105" s="2178" t="s">
        <v>3860</v>
      </c>
      <c r="P105" s="2179">
        <v>0</v>
      </c>
      <c r="Q105" s="2179">
        <v>0</v>
      </c>
      <c r="R105" s="2179">
        <v>0</v>
      </c>
      <c r="S105" s="2179">
        <v>0</v>
      </c>
      <c r="T105" s="2179">
        <v>0</v>
      </c>
      <c r="U105" s="2179">
        <v>0</v>
      </c>
      <c r="V105" s="2179">
        <v>0</v>
      </c>
      <c r="W105" s="2179">
        <v>0</v>
      </c>
      <c r="X105" s="2179">
        <v>0</v>
      </c>
      <c r="Z105" s="2177">
        <v>71102200</v>
      </c>
      <c r="AA105" s="2178" t="s">
        <v>223</v>
      </c>
      <c r="AB105" s="2179">
        <v>5144351021</v>
      </c>
      <c r="AC105" s="2179">
        <v>10286358</v>
      </c>
      <c r="AD105" s="2179">
        <v>796368011</v>
      </c>
      <c r="AE105" s="2179">
        <v>12081528</v>
      </c>
      <c r="AF105" s="2179">
        <v>5258161</v>
      </c>
      <c r="AG105" s="2179">
        <v>5968345079</v>
      </c>
      <c r="AH105" s="2179">
        <v>0</v>
      </c>
      <c r="AI105" s="2179">
        <v>-70553745</v>
      </c>
      <c r="AJ105" s="2179">
        <v>5897791334</v>
      </c>
      <c r="AL105" s="1078">
        <v>71102200</v>
      </c>
      <c r="AM105" s="1079" t="s">
        <v>223</v>
      </c>
      <c r="AN105" s="1080">
        <v>3780302818</v>
      </c>
      <c r="AO105" s="1080">
        <v>5400983</v>
      </c>
      <c r="AP105" s="1080">
        <v>792105235</v>
      </c>
      <c r="AQ105" s="1080">
        <v>251</v>
      </c>
      <c r="AR105" s="1080">
        <v>5129009</v>
      </c>
      <c r="AS105" s="1080">
        <v>4582938296</v>
      </c>
      <c r="AT105" s="1080">
        <v>0</v>
      </c>
      <c r="AU105" s="1080">
        <v>-44218400</v>
      </c>
      <c r="AV105" s="1080">
        <v>4538719896</v>
      </c>
      <c r="AW105" s="1073"/>
      <c r="AX105" s="1074">
        <v>-4538719896</v>
      </c>
      <c r="AZ105" s="1078">
        <v>71102200</v>
      </c>
      <c r="BA105" s="1079" t="s">
        <v>223</v>
      </c>
      <c r="BB105" s="1080">
        <v>6618585107</v>
      </c>
      <c r="BC105" s="1080">
        <v>7131272</v>
      </c>
      <c r="BD105" s="1080">
        <v>293794797</v>
      </c>
      <c r="BE105" s="1080">
        <v>13788363</v>
      </c>
      <c r="BF105" s="1080">
        <v>86328</v>
      </c>
      <c r="BG105" s="1080">
        <v>6933385867</v>
      </c>
      <c r="BH105" s="1080">
        <v>0</v>
      </c>
      <c r="BI105" s="1080">
        <v>-70980217</v>
      </c>
      <c r="BJ105" s="1080">
        <v>6862405650</v>
      </c>
      <c r="BK105" s="1073"/>
      <c r="BL105" s="1074">
        <v>-6862405650</v>
      </c>
      <c r="BN105" s="1070">
        <v>72000000</v>
      </c>
      <c r="BO105" s="1071" t="s">
        <v>231</v>
      </c>
      <c r="BP105" s="1072">
        <v>75375279052</v>
      </c>
      <c r="BQ105" s="1072">
        <v>4472058471</v>
      </c>
      <c r="BR105" s="1072">
        <v>2202555865</v>
      </c>
      <c r="BS105" s="1072">
        <v>30301001</v>
      </c>
      <c r="BT105" s="1072">
        <v>5048661</v>
      </c>
      <c r="BU105" s="1072">
        <v>82085243050</v>
      </c>
      <c r="BV105" s="1072">
        <v>0</v>
      </c>
      <c r="BW105" s="1072">
        <v>0</v>
      </c>
      <c r="BX105" s="1072">
        <v>81909436232</v>
      </c>
      <c r="BY105" s="1073"/>
      <c r="BZ105" s="1074"/>
      <c r="CB105" s="1070">
        <v>72000000</v>
      </c>
      <c r="CC105" s="1071" t="s">
        <v>231</v>
      </c>
      <c r="CD105" s="1072">
        <v>61822933965</v>
      </c>
      <c r="CE105" s="1072">
        <v>6078393462</v>
      </c>
      <c r="CF105" s="1072">
        <v>0</v>
      </c>
      <c r="CG105" s="1072">
        <v>656037631</v>
      </c>
      <c r="CH105" s="1072">
        <v>0</v>
      </c>
      <c r="CI105" s="1072">
        <v>169926515</v>
      </c>
      <c r="CJ105" s="1072">
        <v>33385609</v>
      </c>
      <c r="CK105" s="1072">
        <v>68760677182</v>
      </c>
      <c r="CL105" s="1072">
        <v>0</v>
      </c>
      <c r="CM105" s="1072">
        <v>0</v>
      </c>
      <c r="CN105" s="1072">
        <v>68673499959</v>
      </c>
      <c r="CO105" s="1073"/>
      <c r="CP105" s="1074"/>
    </row>
    <row r="106" spans="2:94">
      <c r="B106" s="1078">
        <v>71102200</v>
      </c>
      <c r="C106" s="1079" t="s">
        <v>223</v>
      </c>
      <c r="D106" s="1080">
        <v>6281485946</v>
      </c>
      <c r="E106" s="1080">
        <v>2450061</v>
      </c>
      <c r="F106" s="1080">
        <v>50042377</v>
      </c>
      <c r="G106" s="1080">
        <v>21197540</v>
      </c>
      <c r="H106" s="1080">
        <v>36852</v>
      </c>
      <c r="I106" s="1080">
        <v>6355212776</v>
      </c>
      <c r="J106" s="1080">
        <v>0</v>
      </c>
      <c r="K106" s="1080">
        <v>-39765000</v>
      </c>
      <c r="L106" s="1080">
        <v>6315447776</v>
      </c>
      <c r="N106" s="2177">
        <v>71102200</v>
      </c>
      <c r="O106" s="2178" t="s">
        <v>223</v>
      </c>
      <c r="P106" s="2179">
        <v>2980818176</v>
      </c>
      <c r="Q106" s="2179">
        <v>2433093</v>
      </c>
      <c r="R106" s="2179">
        <v>45812958</v>
      </c>
      <c r="S106" s="2179">
        <v>21197201</v>
      </c>
      <c r="T106" s="2179">
        <v>24507</v>
      </c>
      <c r="U106" s="2179">
        <v>3050285935</v>
      </c>
      <c r="V106" s="2179">
        <v>0</v>
      </c>
      <c r="W106" s="2179">
        <v>-26430000</v>
      </c>
      <c r="X106" s="2179">
        <v>3023855935</v>
      </c>
      <c r="Z106" s="2171">
        <v>72000000</v>
      </c>
      <c r="AA106" s="2172" t="s">
        <v>231</v>
      </c>
      <c r="AB106" s="2173">
        <v>89873841436</v>
      </c>
      <c r="AC106" s="2173">
        <v>3201291104</v>
      </c>
      <c r="AD106" s="2173">
        <v>1793813434</v>
      </c>
      <c r="AE106" s="2173">
        <v>61565532</v>
      </c>
      <c r="AF106" s="2173">
        <v>31047646</v>
      </c>
      <c r="AG106" s="2173">
        <v>94961559152</v>
      </c>
      <c r="AH106" s="2173">
        <v>0</v>
      </c>
      <c r="AI106" s="2173">
        <v>0</v>
      </c>
      <c r="AJ106" s="2173">
        <v>94655113832</v>
      </c>
      <c r="AL106" s="1070">
        <v>72000000</v>
      </c>
      <c r="AM106" s="1071" t="s">
        <v>231</v>
      </c>
      <c r="AN106" s="1072">
        <v>73229592535</v>
      </c>
      <c r="AO106" s="1072">
        <v>815548356</v>
      </c>
      <c r="AP106" s="1072">
        <v>1580243795</v>
      </c>
      <c r="AQ106" s="1072">
        <v>34499928</v>
      </c>
      <c r="AR106" s="1072">
        <v>4763828</v>
      </c>
      <c r="AS106" s="1072">
        <v>75664648442</v>
      </c>
      <c r="AT106" s="1072">
        <v>0</v>
      </c>
      <c r="AU106" s="1072">
        <v>0</v>
      </c>
      <c r="AV106" s="1072">
        <v>75358203122</v>
      </c>
      <c r="AW106" s="1073"/>
      <c r="AX106" s="1074"/>
      <c r="AZ106" s="1070">
        <v>72000000</v>
      </c>
      <c r="BA106" s="1071" t="s">
        <v>231</v>
      </c>
      <c r="BB106" s="1072">
        <v>87394561846</v>
      </c>
      <c r="BC106" s="1072">
        <v>9681361675</v>
      </c>
      <c r="BD106" s="1072">
        <v>1444545260</v>
      </c>
      <c r="BE106" s="1072">
        <v>29053095</v>
      </c>
      <c r="BF106" s="1072">
        <v>16047935</v>
      </c>
      <c r="BG106" s="1072">
        <v>98565569811</v>
      </c>
      <c r="BH106" s="1072">
        <v>0</v>
      </c>
      <c r="BI106" s="1072">
        <v>0</v>
      </c>
      <c r="BJ106" s="1072">
        <v>98332913789</v>
      </c>
      <c r="BK106" s="1073"/>
      <c r="BL106" s="1074"/>
      <c r="BN106" s="1075">
        <v>72100000</v>
      </c>
      <c r="BO106" s="1076" t="s">
        <v>231</v>
      </c>
      <c r="BP106" s="1077">
        <v>75375279052</v>
      </c>
      <c r="BQ106" s="1077">
        <v>4472058471</v>
      </c>
      <c r="BR106" s="1077">
        <v>2202555865</v>
      </c>
      <c r="BS106" s="1077">
        <v>30301001</v>
      </c>
      <c r="BT106" s="1077">
        <v>5048661</v>
      </c>
      <c r="BU106" s="1077">
        <v>82085243050</v>
      </c>
      <c r="BV106" s="1077">
        <v>0</v>
      </c>
      <c r="BW106" s="1077">
        <v>0</v>
      </c>
      <c r="BX106" s="1077">
        <v>81909436232</v>
      </c>
      <c r="BY106" s="1073"/>
      <c r="BZ106" s="1074"/>
      <c r="CB106" s="1075">
        <v>72100000</v>
      </c>
      <c r="CC106" s="1076" t="s">
        <v>231</v>
      </c>
      <c r="CD106" s="1077">
        <v>61822933965</v>
      </c>
      <c r="CE106" s="1077">
        <v>6078393462</v>
      </c>
      <c r="CF106" s="1077">
        <v>0</v>
      </c>
      <c r="CG106" s="1077">
        <v>656037631</v>
      </c>
      <c r="CH106" s="1077">
        <v>0</v>
      </c>
      <c r="CI106" s="1077">
        <v>169926515</v>
      </c>
      <c r="CJ106" s="1077">
        <v>33385609</v>
      </c>
      <c r="CK106" s="1077">
        <v>68760677182</v>
      </c>
      <c r="CL106" s="1077">
        <v>0</v>
      </c>
      <c r="CM106" s="1077">
        <v>0</v>
      </c>
      <c r="CN106" s="1077">
        <v>68673499959</v>
      </c>
      <c r="CO106" s="1073"/>
      <c r="CP106" s="1074"/>
    </row>
    <row r="107" spans="2:94">
      <c r="B107" s="1070">
        <v>72000000</v>
      </c>
      <c r="C107" s="1071" t="s">
        <v>231</v>
      </c>
      <c r="D107" s="1072">
        <v>118373438549</v>
      </c>
      <c r="E107" s="1072">
        <v>360810459</v>
      </c>
      <c r="F107" s="1072">
        <v>1300595095</v>
      </c>
      <c r="G107" s="1072">
        <v>71133389</v>
      </c>
      <c r="H107" s="1072">
        <v>6736099</v>
      </c>
      <c r="I107" s="1072">
        <v>120112713591</v>
      </c>
      <c r="J107" s="1072">
        <v>0</v>
      </c>
      <c r="K107" s="1072">
        <v>0</v>
      </c>
      <c r="L107" s="1072">
        <v>120094596547</v>
      </c>
      <c r="N107" s="2171">
        <v>72000000</v>
      </c>
      <c r="O107" s="2172" t="s">
        <v>231</v>
      </c>
      <c r="P107" s="2173">
        <v>73609842901</v>
      </c>
      <c r="Q107" s="2173">
        <v>319006777</v>
      </c>
      <c r="R107" s="2173">
        <v>942216504</v>
      </c>
      <c r="S107" s="2173">
        <v>36359205</v>
      </c>
      <c r="T107" s="2173">
        <v>4618085</v>
      </c>
      <c r="U107" s="2173">
        <v>74912043472</v>
      </c>
      <c r="V107" s="2173">
        <v>0</v>
      </c>
      <c r="W107" s="2173">
        <v>0</v>
      </c>
      <c r="X107" s="2173">
        <v>74893926428</v>
      </c>
      <c r="Z107" s="2174">
        <v>72100000</v>
      </c>
      <c r="AA107" s="2175" t="s">
        <v>231</v>
      </c>
      <c r="AB107" s="2176">
        <v>89873841436</v>
      </c>
      <c r="AC107" s="2176">
        <v>3201291104</v>
      </c>
      <c r="AD107" s="2176">
        <v>1793813434</v>
      </c>
      <c r="AE107" s="2176">
        <v>61565532</v>
      </c>
      <c r="AF107" s="2176">
        <v>31047646</v>
      </c>
      <c r="AG107" s="2176">
        <v>94961559152</v>
      </c>
      <c r="AH107" s="2176">
        <v>0</v>
      </c>
      <c r="AI107" s="2176">
        <v>0</v>
      </c>
      <c r="AJ107" s="2176">
        <v>94655113832</v>
      </c>
      <c r="AL107" s="1075">
        <v>72100000</v>
      </c>
      <c r="AM107" s="1076" t="s">
        <v>231</v>
      </c>
      <c r="AN107" s="1077">
        <v>73229592535</v>
      </c>
      <c r="AO107" s="1077">
        <v>815548356</v>
      </c>
      <c r="AP107" s="1077">
        <v>1580243795</v>
      </c>
      <c r="AQ107" s="1077">
        <v>34499928</v>
      </c>
      <c r="AR107" s="1077">
        <v>4763828</v>
      </c>
      <c r="AS107" s="1077">
        <v>75664648442</v>
      </c>
      <c r="AT107" s="1077">
        <v>0</v>
      </c>
      <c r="AU107" s="1077">
        <v>0</v>
      </c>
      <c r="AV107" s="1077">
        <v>75358203122</v>
      </c>
      <c r="AW107" s="1073"/>
      <c r="AX107" s="1074"/>
      <c r="AZ107" s="1075">
        <v>72100000</v>
      </c>
      <c r="BA107" s="1076" t="s">
        <v>231</v>
      </c>
      <c r="BB107" s="1077">
        <v>87394561846</v>
      </c>
      <c r="BC107" s="1077">
        <v>9681361675</v>
      </c>
      <c r="BD107" s="1077">
        <v>1444545260</v>
      </c>
      <c r="BE107" s="1077">
        <v>29053095</v>
      </c>
      <c r="BF107" s="1077">
        <v>16047935</v>
      </c>
      <c r="BG107" s="1077">
        <v>98565569811</v>
      </c>
      <c r="BH107" s="1077">
        <v>0</v>
      </c>
      <c r="BI107" s="1077">
        <v>0</v>
      </c>
      <c r="BJ107" s="1077">
        <v>98332913789</v>
      </c>
      <c r="BK107" s="1073"/>
      <c r="BL107" s="1074"/>
      <c r="BN107" s="1078">
        <v>72100100</v>
      </c>
      <c r="BO107" s="1079" t="s">
        <v>2532</v>
      </c>
      <c r="BP107" s="1080">
        <v>56374394029</v>
      </c>
      <c r="BQ107" s="1080">
        <v>324777402</v>
      </c>
      <c r="BR107" s="1080">
        <v>361787376</v>
      </c>
      <c r="BS107" s="1080">
        <v>1997485</v>
      </c>
      <c r="BT107" s="1080">
        <v>4678586</v>
      </c>
      <c r="BU107" s="1080">
        <v>57067634878</v>
      </c>
      <c r="BV107" s="1080">
        <v>0</v>
      </c>
      <c r="BW107" s="1080">
        <v>0</v>
      </c>
      <c r="BX107" s="1080">
        <v>57067634878</v>
      </c>
      <c r="BY107" s="1073"/>
      <c r="BZ107" s="1074">
        <v>57067634878</v>
      </c>
      <c r="CB107" s="1078">
        <v>72100100</v>
      </c>
      <c r="CC107" s="1079" t="s">
        <v>2532</v>
      </c>
      <c r="CD107" s="1080">
        <v>42950248890</v>
      </c>
      <c r="CE107" s="1080">
        <v>503868617</v>
      </c>
      <c r="CF107" s="1080">
        <v>0</v>
      </c>
      <c r="CG107" s="1080">
        <v>159365712</v>
      </c>
      <c r="CH107" s="1080">
        <v>0</v>
      </c>
      <c r="CI107" s="1080">
        <v>163963589</v>
      </c>
      <c r="CJ107" s="1080">
        <v>19830252</v>
      </c>
      <c r="CK107" s="1080">
        <v>43797277060</v>
      </c>
      <c r="CL107" s="1080">
        <v>0</v>
      </c>
      <c r="CM107" s="1080">
        <v>0</v>
      </c>
      <c r="CN107" s="1080">
        <v>43797277060</v>
      </c>
      <c r="CO107" s="1073"/>
      <c r="CP107" s="1074">
        <v>43797277060</v>
      </c>
    </row>
    <row r="108" spans="2:94">
      <c r="B108" s="1075">
        <v>72100000</v>
      </c>
      <c r="C108" s="1076" t="s">
        <v>231</v>
      </c>
      <c r="D108" s="1077">
        <v>118373438549</v>
      </c>
      <c r="E108" s="1077">
        <v>360810459</v>
      </c>
      <c r="F108" s="1077">
        <v>1300595095</v>
      </c>
      <c r="G108" s="1077">
        <v>71133389</v>
      </c>
      <c r="H108" s="1077">
        <v>6736099</v>
      </c>
      <c r="I108" s="1077">
        <v>120112713591</v>
      </c>
      <c r="J108" s="1077">
        <v>0</v>
      </c>
      <c r="K108" s="1077">
        <v>0</v>
      </c>
      <c r="L108" s="1077">
        <v>120094596547</v>
      </c>
      <c r="N108" s="2174">
        <v>72100000</v>
      </c>
      <c r="O108" s="2175" t="s">
        <v>231</v>
      </c>
      <c r="P108" s="2176">
        <v>73609842901</v>
      </c>
      <c r="Q108" s="2176">
        <v>319006777</v>
      </c>
      <c r="R108" s="2176">
        <v>942216504</v>
      </c>
      <c r="S108" s="2176">
        <v>36359205</v>
      </c>
      <c r="T108" s="2176">
        <v>4618085</v>
      </c>
      <c r="U108" s="2176">
        <v>74912043472</v>
      </c>
      <c r="V108" s="2176">
        <v>0</v>
      </c>
      <c r="W108" s="2176">
        <v>0</v>
      </c>
      <c r="X108" s="2176">
        <v>74893926428</v>
      </c>
      <c r="Z108" s="2177">
        <v>72100100</v>
      </c>
      <c r="AA108" s="2178" t="s">
        <v>3861</v>
      </c>
      <c r="AB108" s="2179">
        <v>67516970028</v>
      </c>
      <c r="AC108" s="2179">
        <v>1210895703</v>
      </c>
      <c r="AD108" s="2179">
        <v>698458362</v>
      </c>
      <c r="AE108" s="2179">
        <v>17723765</v>
      </c>
      <c r="AF108" s="2179">
        <v>13001519</v>
      </c>
      <c r="AG108" s="2179">
        <v>69457049377</v>
      </c>
      <c r="AH108" s="2179">
        <v>0</v>
      </c>
      <c r="AI108" s="2179">
        <v>0</v>
      </c>
      <c r="AJ108" s="2179">
        <v>69457049377</v>
      </c>
      <c r="AL108" s="1078">
        <v>72100100</v>
      </c>
      <c r="AM108" s="1079" t="s">
        <v>2532</v>
      </c>
      <c r="AN108" s="1080">
        <v>55017605380</v>
      </c>
      <c r="AO108" s="1080">
        <v>744514779</v>
      </c>
      <c r="AP108" s="1080">
        <v>548799375</v>
      </c>
      <c r="AQ108" s="1080">
        <v>15592071</v>
      </c>
      <c r="AR108" s="1080">
        <v>4866299</v>
      </c>
      <c r="AS108" s="1080">
        <v>56331377904</v>
      </c>
      <c r="AT108" s="1080">
        <v>0</v>
      </c>
      <c r="AU108" s="1080">
        <v>0</v>
      </c>
      <c r="AV108" s="1080">
        <v>56331377904</v>
      </c>
      <c r="AW108" s="1073"/>
      <c r="AX108" s="1074">
        <v>56331377904</v>
      </c>
      <c r="AZ108" s="1078">
        <v>72100100</v>
      </c>
      <c r="BA108" s="1079" t="s">
        <v>2532</v>
      </c>
      <c r="BB108" s="1080">
        <v>61397496926</v>
      </c>
      <c r="BC108" s="1080">
        <v>287116361</v>
      </c>
      <c r="BD108" s="1080">
        <v>873962737</v>
      </c>
      <c r="BE108" s="1080">
        <v>5392128</v>
      </c>
      <c r="BF108" s="1080">
        <v>11776795</v>
      </c>
      <c r="BG108" s="1080">
        <v>62575744947</v>
      </c>
      <c r="BH108" s="1080">
        <v>0</v>
      </c>
      <c r="BI108" s="1080">
        <v>0</v>
      </c>
      <c r="BJ108" s="1080">
        <v>62575744947</v>
      </c>
      <c r="BK108" s="1073"/>
      <c r="BL108" s="1074">
        <v>62575744947</v>
      </c>
      <c r="BN108" s="1078">
        <v>72100200</v>
      </c>
      <c r="BO108" s="1079" t="s">
        <v>2533</v>
      </c>
      <c r="BP108" s="1080">
        <v>547333573</v>
      </c>
      <c r="BQ108" s="1080">
        <v>22891603</v>
      </c>
      <c r="BR108" s="1080">
        <v>4676841</v>
      </c>
      <c r="BS108" s="1080">
        <v>1340746</v>
      </c>
      <c r="BT108" s="1080">
        <v>315038</v>
      </c>
      <c r="BU108" s="1080">
        <v>576557801</v>
      </c>
      <c r="BV108" s="1080">
        <v>0</v>
      </c>
      <c r="BW108" s="1080">
        <v>0</v>
      </c>
      <c r="BX108" s="1080">
        <v>576557801</v>
      </c>
      <c r="BY108" s="1073"/>
      <c r="BZ108" s="1074">
        <v>576557801</v>
      </c>
      <c r="CB108" s="1078">
        <v>72100200</v>
      </c>
      <c r="CC108" s="1079" t="s">
        <v>2533</v>
      </c>
      <c r="CD108" s="1080">
        <v>2631772076</v>
      </c>
      <c r="CE108" s="1080">
        <v>34355267</v>
      </c>
      <c r="CF108" s="1080">
        <v>0</v>
      </c>
      <c r="CG108" s="1080">
        <v>185180056</v>
      </c>
      <c r="CH108" s="1080">
        <v>0</v>
      </c>
      <c r="CI108" s="1080">
        <v>0</v>
      </c>
      <c r="CJ108" s="1080">
        <v>6158600</v>
      </c>
      <c r="CK108" s="1080">
        <v>2857465999</v>
      </c>
      <c r="CL108" s="1080">
        <v>0</v>
      </c>
      <c r="CM108" s="1080">
        <v>0</v>
      </c>
      <c r="CN108" s="1080">
        <v>2857465999</v>
      </c>
      <c r="CO108" s="1073"/>
      <c r="CP108" s="1074">
        <v>2857465999</v>
      </c>
    </row>
    <row r="109" spans="2:94">
      <c r="B109" s="1078">
        <v>72100100</v>
      </c>
      <c r="C109" s="1079" t="s">
        <v>2532</v>
      </c>
      <c r="D109" s="1080">
        <v>86945767831</v>
      </c>
      <c r="E109" s="1080">
        <v>221754379</v>
      </c>
      <c r="F109" s="1080">
        <v>852962730</v>
      </c>
      <c r="G109" s="1080">
        <v>4849328</v>
      </c>
      <c r="H109" s="1080">
        <v>4278826</v>
      </c>
      <c r="I109" s="1080">
        <v>88029613094</v>
      </c>
      <c r="J109" s="1080">
        <v>0</v>
      </c>
      <c r="K109" s="1080">
        <v>0</v>
      </c>
      <c r="L109" s="1080">
        <v>88029613094</v>
      </c>
      <c r="N109" s="2177">
        <v>72100100</v>
      </c>
      <c r="O109" s="2178" t="s">
        <v>3861</v>
      </c>
      <c r="P109" s="2179">
        <v>53303122491</v>
      </c>
      <c r="Q109" s="2179">
        <v>175327446</v>
      </c>
      <c r="R109" s="2179">
        <v>597451801</v>
      </c>
      <c r="S109" s="2179">
        <v>4486531</v>
      </c>
      <c r="T109" s="2179">
        <v>3988881</v>
      </c>
      <c r="U109" s="2179">
        <v>54084377150</v>
      </c>
      <c r="V109" s="2179">
        <v>0</v>
      </c>
      <c r="W109" s="2179">
        <v>0</v>
      </c>
      <c r="X109" s="2179">
        <v>54084377150</v>
      </c>
      <c r="Z109" s="2177">
        <v>72100200</v>
      </c>
      <c r="AA109" s="2178" t="s">
        <v>3862</v>
      </c>
      <c r="AB109" s="2179">
        <v>3933233320</v>
      </c>
      <c r="AC109" s="2179">
        <v>72446948</v>
      </c>
      <c r="AD109" s="2179">
        <v>57376888</v>
      </c>
      <c r="AE109" s="2179">
        <v>943342</v>
      </c>
      <c r="AF109" s="2179">
        <v>18046127</v>
      </c>
      <c r="AG109" s="2179">
        <v>4082046625</v>
      </c>
      <c r="AH109" s="2179">
        <v>0</v>
      </c>
      <c r="AI109" s="2179">
        <v>0</v>
      </c>
      <c r="AJ109" s="2179">
        <v>4082046625</v>
      </c>
      <c r="AL109" s="1078">
        <v>72100200</v>
      </c>
      <c r="AM109" s="1079" t="s">
        <v>2533</v>
      </c>
      <c r="AN109" s="1080">
        <v>2138300924</v>
      </c>
      <c r="AO109" s="1080">
        <v>50689671</v>
      </c>
      <c r="AP109" s="1080">
        <v>129492289</v>
      </c>
      <c r="AQ109" s="1080">
        <v>-385091</v>
      </c>
      <c r="AR109" s="1080">
        <v>-102471</v>
      </c>
      <c r="AS109" s="1080">
        <v>2317995322</v>
      </c>
      <c r="AT109" s="1080">
        <v>0</v>
      </c>
      <c r="AU109" s="1080">
        <v>0</v>
      </c>
      <c r="AV109" s="1080">
        <v>2317995322</v>
      </c>
      <c r="AW109" s="1073"/>
      <c r="AX109" s="1074">
        <v>2317995322</v>
      </c>
      <c r="AZ109" s="1078">
        <v>72100200</v>
      </c>
      <c r="BA109" s="1079" t="s">
        <v>2533</v>
      </c>
      <c r="BB109" s="1080">
        <v>1109401993</v>
      </c>
      <c r="BC109" s="1080">
        <v>20255638</v>
      </c>
      <c r="BD109" s="1080">
        <v>2353100</v>
      </c>
      <c r="BE109" s="1080">
        <v>726031</v>
      </c>
      <c r="BF109" s="1080">
        <v>4217928</v>
      </c>
      <c r="BG109" s="1080">
        <v>1136954690</v>
      </c>
      <c r="BH109" s="1080">
        <v>0</v>
      </c>
      <c r="BI109" s="1080">
        <v>0</v>
      </c>
      <c r="BJ109" s="1080">
        <v>1136954690</v>
      </c>
      <c r="BK109" s="1073"/>
      <c r="BL109" s="1074">
        <v>1136954690</v>
      </c>
      <c r="BN109" s="1078">
        <v>72100300</v>
      </c>
      <c r="BO109" s="1079" t="s">
        <v>2534</v>
      </c>
      <c r="BP109" s="1080">
        <v>4027872789</v>
      </c>
      <c r="BQ109" s="1080">
        <v>18819357</v>
      </c>
      <c r="BR109" s="1080">
        <v>1780797238</v>
      </c>
      <c r="BS109" s="1080">
        <v>0</v>
      </c>
      <c r="BT109" s="1080">
        <v>0</v>
      </c>
      <c r="BU109" s="1080">
        <v>5827489384</v>
      </c>
      <c r="BV109" s="1080">
        <v>0</v>
      </c>
      <c r="BW109" s="1080">
        <v>0</v>
      </c>
      <c r="BX109" s="1080">
        <v>5827489384</v>
      </c>
      <c r="BY109" s="1073"/>
      <c r="BZ109" s="1074">
        <v>5827489384</v>
      </c>
      <c r="CB109" s="1078">
        <v>72100300</v>
      </c>
      <c r="CC109" s="1079" t="s">
        <v>2534</v>
      </c>
      <c r="CD109" s="1080">
        <v>10482912783</v>
      </c>
      <c r="CE109" s="1080">
        <v>10493213</v>
      </c>
      <c r="CF109" s="1080">
        <v>0</v>
      </c>
      <c r="CG109" s="1080">
        <v>253106833</v>
      </c>
      <c r="CH109" s="1080">
        <v>0</v>
      </c>
      <c r="CI109" s="1080">
        <v>3501829</v>
      </c>
      <c r="CJ109" s="1080">
        <v>0</v>
      </c>
      <c r="CK109" s="1080">
        <v>10750014658</v>
      </c>
      <c r="CL109" s="1080">
        <v>0</v>
      </c>
      <c r="CM109" s="1080">
        <v>0</v>
      </c>
      <c r="CN109" s="1080">
        <v>10750014658</v>
      </c>
      <c r="CO109" s="1073"/>
      <c r="CP109" s="1074">
        <v>10750014658</v>
      </c>
    </row>
    <row r="110" spans="2:94">
      <c r="B110" s="1078">
        <v>72100200</v>
      </c>
      <c r="C110" s="1079" t="s">
        <v>2533</v>
      </c>
      <c r="D110" s="1080">
        <v>12138084612</v>
      </c>
      <c r="E110" s="1080">
        <v>1556894</v>
      </c>
      <c r="F110" s="1080">
        <v>246280461</v>
      </c>
      <c r="G110" s="1080">
        <v>202427</v>
      </c>
      <c r="H110" s="1080">
        <v>2457239</v>
      </c>
      <c r="I110" s="1080">
        <v>12388581633</v>
      </c>
      <c r="J110" s="1080">
        <v>0</v>
      </c>
      <c r="K110" s="1080">
        <v>0</v>
      </c>
      <c r="L110" s="1080">
        <v>12388581633</v>
      </c>
      <c r="N110" s="2177">
        <v>72100200</v>
      </c>
      <c r="O110" s="2178" t="s">
        <v>3862</v>
      </c>
      <c r="P110" s="2179">
        <v>3666281975</v>
      </c>
      <c r="Q110" s="2179">
        <v>7162898</v>
      </c>
      <c r="R110" s="2179">
        <v>176869490</v>
      </c>
      <c r="S110" s="2179">
        <v>117340</v>
      </c>
      <c r="T110" s="2179">
        <v>629170</v>
      </c>
      <c r="U110" s="2179">
        <v>3851060873</v>
      </c>
      <c r="V110" s="2179">
        <v>0</v>
      </c>
      <c r="W110" s="2179">
        <v>0</v>
      </c>
      <c r="X110" s="2179">
        <v>3851060873</v>
      </c>
      <c r="Z110" s="2177">
        <v>72100300</v>
      </c>
      <c r="AA110" s="2178" t="s">
        <v>2534</v>
      </c>
      <c r="AB110" s="2179">
        <v>3044060832</v>
      </c>
      <c r="AC110" s="2179">
        <v>1151786</v>
      </c>
      <c r="AD110" s="2179">
        <v>1032364100</v>
      </c>
      <c r="AE110" s="2179">
        <v>7006707</v>
      </c>
      <c r="AF110" s="2179">
        <v>0</v>
      </c>
      <c r="AG110" s="2179">
        <v>4084583425</v>
      </c>
      <c r="AH110" s="2179">
        <v>0</v>
      </c>
      <c r="AI110" s="2179">
        <v>0</v>
      </c>
      <c r="AJ110" s="2179">
        <v>4084583425</v>
      </c>
      <c r="AL110" s="1078">
        <v>72100300</v>
      </c>
      <c r="AM110" s="1079" t="s">
        <v>2534</v>
      </c>
      <c r="AN110" s="1080">
        <v>2084496204</v>
      </c>
      <c r="AO110" s="1080">
        <v>1149786</v>
      </c>
      <c r="AP110" s="1080">
        <v>896338078</v>
      </c>
      <c r="AQ110" s="1080">
        <v>6314688</v>
      </c>
      <c r="AR110" s="1080">
        <v>0</v>
      </c>
      <c r="AS110" s="1080">
        <v>2988298756</v>
      </c>
      <c r="AT110" s="1080">
        <v>0</v>
      </c>
      <c r="AU110" s="1080">
        <v>0</v>
      </c>
      <c r="AV110" s="1080">
        <v>2988298756</v>
      </c>
      <c r="AW110" s="1073"/>
      <c r="AX110" s="1074">
        <v>2988298756</v>
      </c>
      <c r="AZ110" s="1078">
        <v>72100300</v>
      </c>
      <c r="BA110" s="1079" t="s">
        <v>2534</v>
      </c>
      <c r="BB110" s="1080">
        <v>5818546347</v>
      </c>
      <c r="BC110" s="1080">
        <v>32724383</v>
      </c>
      <c r="BD110" s="1080">
        <v>545058015</v>
      </c>
      <c r="BE110" s="1080">
        <v>1160488</v>
      </c>
      <c r="BF110" s="1080">
        <v>0</v>
      </c>
      <c r="BG110" s="1080">
        <v>6397489233</v>
      </c>
      <c r="BH110" s="1080">
        <v>0</v>
      </c>
      <c r="BI110" s="1080">
        <v>0</v>
      </c>
      <c r="BJ110" s="1080">
        <v>6397489233</v>
      </c>
      <c r="BK110" s="1073"/>
      <c r="BL110" s="1074">
        <v>6397489233</v>
      </c>
      <c r="BN110" s="1078">
        <v>72100400</v>
      </c>
      <c r="BO110" s="1079" t="s">
        <v>2535</v>
      </c>
      <c r="BP110" s="1080">
        <v>0</v>
      </c>
      <c r="BQ110" s="1080">
        <v>0</v>
      </c>
      <c r="BR110" s="1080">
        <v>0</v>
      </c>
      <c r="BS110" s="1080">
        <v>0</v>
      </c>
      <c r="BT110" s="1080">
        <v>0</v>
      </c>
      <c r="BU110" s="1080">
        <v>0</v>
      </c>
      <c r="BV110" s="1080">
        <v>0</v>
      </c>
      <c r="BW110" s="1080">
        <v>0</v>
      </c>
      <c r="BX110" s="1080">
        <v>0</v>
      </c>
      <c r="BY110" s="1073"/>
      <c r="BZ110" s="1074">
        <v>0</v>
      </c>
      <c r="CB110" s="1078">
        <v>72100400</v>
      </c>
      <c r="CC110" s="1079" t="s">
        <v>2535</v>
      </c>
      <c r="CD110" s="1080">
        <v>0</v>
      </c>
      <c r="CE110" s="1080">
        <v>0</v>
      </c>
      <c r="CF110" s="1080">
        <v>0</v>
      </c>
      <c r="CG110" s="1080">
        <v>0</v>
      </c>
      <c r="CH110" s="1080">
        <v>0</v>
      </c>
      <c r="CI110" s="1080">
        <v>0</v>
      </c>
      <c r="CJ110" s="1080">
        <v>0</v>
      </c>
      <c r="CK110" s="1080">
        <v>0</v>
      </c>
      <c r="CL110" s="1080">
        <v>0</v>
      </c>
      <c r="CM110" s="1080">
        <v>0</v>
      </c>
      <c r="CN110" s="1080">
        <v>0</v>
      </c>
      <c r="CO110" s="1073"/>
      <c r="CP110" s="1074">
        <v>0</v>
      </c>
    </row>
    <row r="111" spans="2:94">
      <c r="B111" s="1078">
        <v>72100300</v>
      </c>
      <c r="C111" s="1079" t="s">
        <v>2534</v>
      </c>
      <c r="D111" s="1080">
        <v>3527762171</v>
      </c>
      <c r="E111" s="1080">
        <v>132247380</v>
      </c>
      <c r="F111" s="1080">
        <v>136304907</v>
      </c>
      <c r="G111" s="1080">
        <v>12600000</v>
      </c>
      <c r="H111" s="1080">
        <v>0</v>
      </c>
      <c r="I111" s="1080">
        <v>3808914458</v>
      </c>
      <c r="J111" s="1080">
        <v>0</v>
      </c>
      <c r="K111" s="1080">
        <v>0</v>
      </c>
      <c r="L111" s="1080">
        <v>3808914458</v>
      </c>
      <c r="N111" s="2177">
        <v>72100300</v>
      </c>
      <c r="O111" s="2178" t="s">
        <v>2534</v>
      </c>
      <c r="P111" s="2179">
        <v>2764897561</v>
      </c>
      <c r="Q111" s="2179">
        <v>132247380</v>
      </c>
      <c r="R111" s="2179">
        <v>136304907</v>
      </c>
      <c r="S111" s="2179">
        <v>12600000</v>
      </c>
      <c r="T111" s="2179">
        <v>0</v>
      </c>
      <c r="U111" s="2179">
        <v>3046049848</v>
      </c>
      <c r="V111" s="2179">
        <v>0</v>
      </c>
      <c r="W111" s="2179">
        <v>0</v>
      </c>
      <c r="X111" s="2179">
        <v>3046049848</v>
      </c>
      <c r="Z111" s="2177">
        <v>72100400</v>
      </c>
      <c r="AA111" s="2178" t="s">
        <v>2535</v>
      </c>
      <c r="AB111" s="2179">
        <v>0</v>
      </c>
      <c r="AC111" s="2179">
        <v>0</v>
      </c>
      <c r="AD111" s="2179">
        <v>0</v>
      </c>
      <c r="AE111" s="2179">
        <v>0</v>
      </c>
      <c r="AF111" s="2179">
        <v>0</v>
      </c>
      <c r="AG111" s="2179">
        <v>0</v>
      </c>
      <c r="AH111" s="2179">
        <v>0</v>
      </c>
      <c r="AI111" s="2179">
        <v>0</v>
      </c>
      <c r="AJ111" s="2179">
        <v>0</v>
      </c>
      <c r="AL111" s="1078">
        <v>72100400</v>
      </c>
      <c r="AM111" s="1079" t="s">
        <v>2535</v>
      </c>
      <c r="AN111" s="1080">
        <v>0</v>
      </c>
      <c r="AO111" s="1080">
        <v>0</v>
      </c>
      <c r="AP111" s="1080">
        <v>0</v>
      </c>
      <c r="AQ111" s="1080">
        <v>0</v>
      </c>
      <c r="AR111" s="1080">
        <v>0</v>
      </c>
      <c r="AS111" s="1080">
        <v>0</v>
      </c>
      <c r="AT111" s="1080">
        <v>0</v>
      </c>
      <c r="AU111" s="1080">
        <v>0</v>
      </c>
      <c r="AV111" s="1080">
        <v>0</v>
      </c>
      <c r="AW111" s="1073"/>
      <c r="AX111" s="1074">
        <v>0</v>
      </c>
      <c r="AZ111" s="1078">
        <v>72100400</v>
      </c>
      <c r="BA111" s="1079" t="s">
        <v>2535</v>
      </c>
      <c r="BB111" s="1080">
        <v>0</v>
      </c>
      <c r="BC111" s="1080">
        <v>0</v>
      </c>
      <c r="BD111" s="1080">
        <v>0</v>
      </c>
      <c r="BE111" s="1080">
        <v>0</v>
      </c>
      <c r="BF111" s="1080">
        <v>0</v>
      </c>
      <c r="BG111" s="1080">
        <v>0</v>
      </c>
      <c r="BH111" s="1080">
        <v>0</v>
      </c>
      <c r="BI111" s="1080">
        <v>0</v>
      </c>
      <c r="BJ111" s="1080">
        <v>0</v>
      </c>
      <c r="BK111" s="1073"/>
      <c r="BL111" s="1074">
        <v>0</v>
      </c>
      <c r="BN111" s="1078">
        <v>72100500</v>
      </c>
      <c r="BO111" s="1079" t="s">
        <v>2536</v>
      </c>
      <c r="BP111" s="1080">
        <v>0</v>
      </c>
      <c r="BQ111" s="1080">
        <v>0</v>
      </c>
      <c r="BR111" s="1080">
        <v>17847931</v>
      </c>
      <c r="BS111" s="1080">
        <v>0</v>
      </c>
      <c r="BT111" s="1080">
        <v>0</v>
      </c>
      <c r="BU111" s="1080">
        <v>17847931</v>
      </c>
      <c r="BV111" s="1080">
        <v>0</v>
      </c>
      <c r="BW111" s="1080">
        <v>0</v>
      </c>
      <c r="BX111" s="1080">
        <v>17847931</v>
      </c>
      <c r="BY111" s="1073"/>
      <c r="BZ111" s="1074">
        <v>17847931</v>
      </c>
      <c r="CB111" s="1078">
        <v>72100500</v>
      </c>
      <c r="CC111" s="1079" t="s">
        <v>2536</v>
      </c>
      <c r="CD111" s="1080">
        <v>0</v>
      </c>
      <c r="CE111" s="1080">
        <v>235093327</v>
      </c>
      <c r="CF111" s="1080">
        <v>0</v>
      </c>
      <c r="CG111" s="1080">
        <v>42864667</v>
      </c>
      <c r="CH111" s="1080">
        <v>0</v>
      </c>
      <c r="CI111" s="1080">
        <v>0</v>
      </c>
      <c r="CJ111" s="1080">
        <v>0</v>
      </c>
      <c r="CK111" s="1080">
        <v>277957994</v>
      </c>
      <c r="CL111" s="1080">
        <v>0</v>
      </c>
      <c r="CM111" s="1080">
        <v>0</v>
      </c>
      <c r="CN111" s="1080">
        <v>277957994</v>
      </c>
      <c r="CO111" s="1073"/>
      <c r="CP111" s="1074">
        <v>277957994</v>
      </c>
    </row>
    <row r="112" spans="2:94">
      <c r="B112" s="1078">
        <v>72100400</v>
      </c>
      <c r="C112" s="1079" t="s">
        <v>2535</v>
      </c>
      <c r="D112" s="1080">
        <v>0</v>
      </c>
      <c r="E112" s="1080">
        <v>0</v>
      </c>
      <c r="F112" s="1080">
        <v>0</v>
      </c>
      <c r="G112" s="1080">
        <v>0</v>
      </c>
      <c r="H112" s="1080">
        <v>0</v>
      </c>
      <c r="I112" s="1080">
        <v>0</v>
      </c>
      <c r="J112" s="1080">
        <v>0</v>
      </c>
      <c r="K112" s="1080">
        <v>0</v>
      </c>
      <c r="L112" s="1080">
        <v>0</v>
      </c>
      <c r="N112" s="2177">
        <v>72100400</v>
      </c>
      <c r="O112" s="2178" t="s">
        <v>2535</v>
      </c>
      <c r="P112" s="2179">
        <v>0</v>
      </c>
      <c r="Q112" s="2179">
        <v>0</v>
      </c>
      <c r="R112" s="2179">
        <v>0</v>
      </c>
      <c r="S112" s="2179">
        <v>0</v>
      </c>
      <c r="T112" s="2179">
        <v>0</v>
      </c>
      <c r="U112" s="2179">
        <v>0</v>
      </c>
      <c r="V112" s="2179">
        <v>0</v>
      </c>
      <c r="W112" s="2179">
        <v>0</v>
      </c>
      <c r="X112" s="2179">
        <v>0</v>
      </c>
      <c r="Z112" s="2177">
        <v>72100500</v>
      </c>
      <c r="AA112" s="2178" t="s">
        <v>2536</v>
      </c>
      <c r="AB112" s="2179">
        <v>0</v>
      </c>
      <c r="AC112" s="2179">
        <v>12876849</v>
      </c>
      <c r="AD112" s="2179">
        <v>-30</v>
      </c>
      <c r="AE112" s="2179">
        <v>0</v>
      </c>
      <c r="AF112" s="2179">
        <v>0</v>
      </c>
      <c r="AG112" s="2179">
        <v>12876819</v>
      </c>
      <c r="AH112" s="2179">
        <v>0</v>
      </c>
      <c r="AI112" s="2179">
        <v>0</v>
      </c>
      <c r="AJ112" s="2179">
        <v>12876819</v>
      </c>
      <c r="AL112" s="1078">
        <v>72100500</v>
      </c>
      <c r="AM112" s="1079" t="s">
        <v>2536</v>
      </c>
      <c r="AN112" s="1080">
        <v>0</v>
      </c>
      <c r="AO112" s="1080">
        <v>0</v>
      </c>
      <c r="AP112" s="1080">
        <v>-30</v>
      </c>
      <c r="AQ112" s="1080">
        <v>0</v>
      </c>
      <c r="AR112" s="1080">
        <v>0</v>
      </c>
      <c r="AS112" s="1080">
        <v>-30</v>
      </c>
      <c r="AT112" s="1080">
        <v>0</v>
      </c>
      <c r="AU112" s="1080">
        <v>0</v>
      </c>
      <c r="AV112" s="1080">
        <v>-30</v>
      </c>
      <c r="AW112" s="1073"/>
      <c r="AX112" s="1074">
        <v>-30</v>
      </c>
      <c r="AZ112" s="1078">
        <v>72100500</v>
      </c>
      <c r="BA112" s="1079" t="s">
        <v>2536</v>
      </c>
      <c r="BB112" s="1080">
        <v>0</v>
      </c>
      <c r="BC112" s="1080">
        <v>2371652179</v>
      </c>
      <c r="BD112" s="1080">
        <v>-11</v>
      </c>
      <c r="BE112" s="1080">
        <v>0</v>
      </c>
      <c r="BF112" s="1080">
        <v>0</v>
      </c>
      <c r="BG112" s="1080">
        <v>2371652168</v>
      </c>
      <c r="BH112" s="1080">
        <v>0</v>
      </c>
      <c r="BI112" s="1080">
        <v>0</v>
      </c>
      <c r="BJ112" s="1080">
        <v>2371652168</v>
      </c>
      <c r="BK112" s="1073"/>
      <c r="BL112" s="1074">
        <v>2371652168</v>
      </c>
      <c r="BN112" s="1078">
        <v>72100600</v>
      </c>
      <c r="BO112" s="1079" t="s">
        <v>2537</v>
      </c>
      <c r="BP112" s="1080">
        <v>0</v>
      </c>
      <c r="BQ112" s="1080">
        <v>0</v>
      </c>
      <c r="BR112" s="1080">
        <v>0</v>
      </c>
      <c r="BS112" s="1080">
        <v>0</v>
      </c>
      <c r="BT112" s="1080">
        <v>0</v>
      </c>
      <c r="BU112" s="1080">
        <v>0</v>
      </c>
      <c r="BV112" s="1080">
        <v>0</v>
      </c>
      <c r="BW112" s="1080">
        <v>0</v>
      </c>
      <c r="BX112" s="1080">
        <v>0</v>
      </c>
      <c r="BY112" s="1073"/>
      <c r="BZ112" s="1074">
        <v>0</v>
      </c>
      <c r="CB112" s="1078">
        <v>72100600</v>
      </c>
      <c r="CC112" s="1079" t="s">
        <v>2537</v>
      </c>
      <c r="CD112" s="1080">
        <v>0</v>
      </c>
      <c r="CE112" s="1080">
        <v>0</v>
      </c>
      <c r="CF112" s="1080">
        <v>0</v>
      </c>
      <c r="CG112" s="1080">
        <v>1154903</v>
      </c>
      <c r="CH112" s="1080">
        <v>0</v>
      </c>
      <c r="CI112" s="1080">
        <v>0</v>
      </c>
      <c r="CJ112" s="1080">
        <v>7385980</v>
      </c>
      <c r="CK112" s="1080">
        <v>8540883</v>
      </c>
      <c r="CL112" s="1080">
        <v>0</v>
      </c>
      <c r="CM112" s="1080">
        <v>0</v>
      </c>
      <c r="CN112" s="1080">
        <v>8540883</v>
      </c>
      <c r="CO112" s="1073"/>
      <c r="CP112" s="1074">
        <v>8540883</v>
      </c>
    </row>
    <row r="113" spans="2:94">
      <c r="B113" s="1078">
        <v>72100500</v>
      </c>
      <c r="C113" s="1079" t="s">
        <v>2536</v>
      </c>
      <c r="D113" s="1080">
        <v>0</v>
      </c>
      <c r="E113" s="1080">
        <v>0</v>
      </c>
      <c r="F113" s="1080">
        <v>0</v>
      </c>
      <c r="G113" s="1080">
        <v>0</v>
      </c>
      <c r="H113" s="1080">
        <v>0</v>
      </c>
      <c r="I113" s="1080">
        <v>0</v>
      </c>
      <c r="J113" s="1080">
        <v>0</v>
      </c>
      <c r="K113" s="1080">
        <v>0</v>
      </c>
      <c r="L113" s="1080">
        <v>0</v>
      </c>
      <c r="N113" s="2177">
        <v>72100500</v>
      </c>
      <c r="O113" s="2178" t="s">
        <v>2536</v>
      </c>
      <c r="P113" s="2179">
        <v>0</v>
      </c>
      <c r="Q113" s="2179">
        <v>0</v>
      </c>
      <c r="R113" s="2179">
        <v>0</v>
      </c>
      <c r="S113" s="2179">
        <v>0</v>
      </c>
      <c r="T113" s="2179">
        <v>0</v>
      </c>
      <c r="U113" s="2179">
        <v>0</v>
      </c>
      <c r="V113" s="2179">
        <v>0</v>
      </c>
      <c r="W113" s="2179">
        <v>0</v>
      </c>
      <c r="X113" s="2179">
        <v>0</v>
      </c>
      <c r="Z113" s="2177">
        <v>72100600</v>
      </c>
      <c r="AA113" s="2178" t="s">
        <v>2537</v>
      </c>
      <c r="AB113" s="2179">
        <v>0</v>
      </c>
      <c r="AC113" s="2179">
        <v>0</v>
      </c>
      <c r="AD113" s="2179">
        <v>0</v>
      </c>
      <c r="AE113" s="2179">
        <v>0</v>
      </c>
      <c r="AF113" s="2179">
        <v>0</v>
      </c>
      <c r="AG113" s="2179">
        <v>0</v>
      </c>
      <c r="AH113" s="2179">
        <v>0</v>
      </c>
      <c r="AI113" s="2179">
        <v>0</v>
      </c>
      <c r="AJ113" s="2179">
        <v>0</v>
      </c>
      <c r="AL113" s="1078">
        <v>72100600</v>
      </c>
      <c r="AM113" s="1079" t="s">
        <v>2537</v>
      </c>
      <c r="AN113" s="1080">
        <v>0</v>
      </c>
      <c r="AO113" s="1080">
        <v>0</v>
      </c>
      <c r="AP113" s="1080">
        <v>0</v>
      </c>
      <c r="AQ113" s="1080">
        <v>0</v>
      </c>
      <c r="AR113" s="1080">
        <v>0</v>
      </c>
      <c r="AS113" s="1080">
        <v>0</v>
      </c>
      <c r="AT113" s="1080">
        <v>0</v>
      </c>
      <c r="AU113" s="1080">
        <v>0</v>
      </c>
      <c r="AV113" s="1080">
        <v>0</v>
      </c>
      <c r="AW113" s="1073"/>
      <c r="AX113" s="1074">
        <v>0</v>
      </c>
      <c r="AZ113" s="1078">
        <v>72100600</v>
      </c>
      <c r="BA113" s="1079" t="s">
        <v>2537</v>
      </c>
      <c r="BB113" s="1080">
        <v>0</v>
      </c>
      <c r="BC113" s="1080">
        <v>0</v>
      </c>
      <c r="BD113" s="1080">
        <v>0</v>
      </c>
      <c r="BE113" s="1080">
        <v>0</v>
      </c>
      <c r="BF113" s="1080">
        <v>0</v>
      </c>
      <c r="BG113" s="1080">
        <v>0</v>
      </c>
      <c r="BH113" s="1080">
        <v>0</v>
      </c>
      <c r="BI113" s="1080">
        <v>0</v>
      </c>
      <c r="BJ113" s="1080">
        <v>0</v>
      </c>
      <c r="BK113" s="1073"/>
      <c r="BL113" s="1074">
        <v>0</v>
      </c>
      <c r="BN113" s="1078">
        <v>72100700</v>
      </c>
      <c r="BO113" s="1079" t="s">
        <v>2538</v>
      </c>
      <c r="BP113" s="1080">
        <v>0</v>
      </c>
      <c r="BQ113" s="1080">
        <v>0</v>
      </c>
      <c r="BR113" s="1080">
        <v>0</v>
      </c>
      <c r="BS113" s="1080">
        <v>0</v>
      </c>
      <c r="BT113" s="1080">
        <v>0</v>
      </c>
      <c r="BU113" s="1080">
        <v>0</v>
      </c>
      <c r="BV113" s="1080">
        <v>0</v>
      </c>
      <c r="BW113" s="1080">
        <v>0</v>
      </c>
      <c r="BX113" s="1080">
        <v>0</v>
      </c>
      <c r="BY113" s="1073"/>
      <c r="BZ113" s="1074">
        <v>0</v>
      </c>
      <c r="CB113" s="1078">
        <v>72100700</v>
      </c>
      <c r="CC113" s="1079" t="s">
        <v>2538</v>
      </c>
      <c r="CD113" s="1080">
        <v>0</v>
      </c>
      <c r="CE113" s="1080">
        <v>0</v>
      </c>
      <c r="CF113" s="1080">
        <v>0</v>
      </c>
      <c r="CG113" s="1080">
        <v>0</v>
      </c>
      <c r="CH113" s="1080">
        <v>0</v>
      </c>
      <c r="CI113" s="1080">
        <v>0</v>
      </c>
      <c r="CJ113" s="1080">
        <v>0</v>
      </c>
      <c r="CK113" s="1080">
        <v>0</v>
      </c>
      <c r="CL113" s="1080">
        <v>0</v>
      </c>
      <c r="CM113" s="1080">
        <v>0</v>
      </c>
      <c r="CN113" s="1080">
        <v>0</v>
      </c>
      <c r="CO113" s="1073"/>
      <c r="CP113" s="1074">
        <v>0</v>
      </c>
    </row>
    <row r="114" spans="2:94">
      <c r="B114" s="1078">
        <v>72100600</v>
      </c>
      <c r="C114" s="1079" t="s">
        <v>2537</v>
      </c>
      <c r="D114" s="1080">
        <v>0</v>
      </c>
      <c r="E114" s="1080">
        <v>0</v>
      </c>
      <c r="F114" s="1080">
        <v>0</v>
      </c>
      <c r="G114" s="1080">
        <v>0</v>
      </c>
      <c r="H114" s="1080">
        <v>0</v>
      </c>
      <c r="I114" s="1080">
        <v>0</v>
      </c>
      <c r="J114" s="1080">
        <v>0</v>
      </c>
      <c r="K114" s="1080">
        <v>0</v>
      </c>
      <c r="L114" s="1080">
        <v>0</v>
      </c>
      <c r="N114" s="2177">
        <v>72100600</v>
      </c>
      <c r="O114" s="2178" t="s">
        <v>2537</v>
      </c>
      <c r="P114" s="2179">
        <v>0</v>
      </c>
      <c r="Q114" s="2179">
        <v>0</v>
      </c>
      <c r="R114" s="2179">
        <v>0</v>
      </c>
      <c r="S114" s="2179">
        <v>0</v>
      </c>
      <c r="T114" s="2179">
        <v>0</v>
      </c>
      <c r="U114" s="2179">
        <v>0</v>
      </c>
      <c r="V114" s="2179">
        <v>0</v>
      </c>
      <c r="W114" s="2179">
        <v>0</v>
      </c>
      <c r="X114" s="2179">
        <v>0</v>
      </c>
      <c r="Z114" s="2177">
        <v>72100700</v>
      </c>
      <c r="AA114" s="2178" t="s">
        <v>2538</v>
      </c>
      <c r="AB114" s="2179">
        <v>0</v>
      </c>
      <c r="AC114" s="2179">
        <v>0</v>
      </c>
      <c r="AD114" s="2179">
        <v>0</v>
      </c>
      <c r="AE114" s="2179">
        <v>0</v>
      </c>
      <c r="AF114" s="2179">
        <v>0</v>
      </c>
      <c r="AG114" s="2179">
        <v>0</v>
      </c>
      <c r="AH114" s="2179">
        <v>0</v>
      </c>
      <c r="AI114" s="2179">
        <v>0</v>
      </c>
      <c r="AJ114" s="2179">
        <v>0</v>
      </c>
      <c r="AL114" s="1078">
        <v>72100700</v>
      </c>
      <c r="AM114" s="1079" t="s">
        <v>2538</v>
      </c>
      <c r="AN114" s="1080">
        <v>0</v>
      </c>
      <c r="AO114" s="1080">
        <v>0</v>
      </c>
      <c r="AP114" s="1080">
        <v>0</v>
      </c>
      <c r="AQ114" s="1080">
        <v>0</v>
      </c>
      <c r="AR114" s="1080">
        <v>0</v>
      </c>
      <c r="AS114" s="1080">
        <v>0</v>
      </c>
      <c r="AT114" s="1080">
        <v>0</v>
      </c>
      <c r="AU114" s="1080">
        <v>0</v>
      </c>
      <c r="AV114" s="1080">
        <v>0</v>
      </c>
      <c r="AW114" s="1073"/>
      <c r="AX114" s="1074">
        <v>0</v>
      </c>
      <c r="AZ114" s="1078">
        <v>72100700</v>
      </c>
      <c r="BA114" s="1079" t="s">
        <v>2538</v>
      </c>
      <c r="BB114" s="1080">
        <v>0</v>
      </c>
      <c r="BC114" s="1080">
        <v>0</v>
      </c>
      <c r="BD114" s="1080">
        <v>0</v>
      </c>
      <c r="BE114" s="1080">
        <v>0</v>
      </c>
      <c r="BF114" s="1080">
        <v>0</v>
      </c>
      <c r="BG114" s="1080">
        <v>0</v>
      </c>
      <c r="BH114" s="1080">
        <v>0</v>
      </c>
      <c r="BI114" s="1080">
        <v>0</v>
      </c>
      <c r="BJ114" s="1080">
        <v>0</v>
      </c>
      <c r="BK114" s="1073"/>
      <c r="BL114" s="1074">
        <v>0</v>
      </c>
      <c r="BN114" s="1078">
        <v>72100800</v>
      </c>
      <c r="BO114" s="1079" t="s">
        <v>2539</v>
      </c>
      <c r="BP114" s="1080">
        <v>0</v>
      </c>
      <c r="BQ114" s="1080">
        <v>0</v>
      </c>
      <c r="BR114" s="1080">
        <v>23574694</v>
      </c>
      <c r="BS114" s="1080">
        <v>0</v>
      </c>
      <c r="BT114" s="1080">
        <v>0</v>
      </c>
      <c r="BU114" s="1080">
        <v>23574694</v>
      </c>
      <c r="BV114" s="1080">
        <v>0</v>
      </c>
      <c r="BW114" s="1080">
        <v>0</v>
      </c>
      <c r="BX114" s="1080">
        <v>23574694</v>
      </c>
      <c r="BY114" s="1073"/>
      <c r="BZ114" s="1074">
        <v>23574694</v>
      </c>
      <c r="CB114" s="1078">
        <v>72100800</v>
      </c>
      <c r="CC114" s="1079" t="s">
        <v>2539</v>
      </c>
      <c r="CD114" s="1080">
        <v>0</v>
      </c>
      <c r="CE114" s="1080">
        <v>0</v>
      </c>
      <c r="CF114" s="1080">
        <v>0</v>
      </c>
      <c r="CG114" s="1080">
        <v>13947520</v>
      </c>
      <c r="CH114" s="1080">
        <v>0</v>
      </c>
      <c r="CI114" s="1080">
        <v>0</v>
      </c>
      <c r="CJ114" s="1080">
        <v>0</v>
      </c>
      <c r="CK114" s="1080">
        <v>13947520</v>
      </c>
      <c r="CL114" s="1080">
        <v>0</v>
      </c>
      <c r="CM114" s="1080">
        <v>0</v>
      </c>
      <c r="CN114" s="1080">
        <v>13947520</v>
      </c>
      <c r="CO114" s="1073"/>
      <c r="CP114" s="1074">
        <v>13947520</v>
      </c>
    </row>
    <row r="115" spans="2:94">
      <c r="B115" s="1078">
        <v>72100700</v>
      </c>
      <c r="C115" s="1079" t="s">
        <v>2538</v>
      </c>
      <c r="D115" s="1080">
        <v>0</v>
      </c>
      <c r="E115" s="1080">
        <v>0</v>
      </c>
      <c r="F115" s="1080">
        <v>0</v>
      </c>
      <c r="G115" s="1080">
        <v>0</v>
      </c>
      <c r="H115" s="1080">
        <v>0</v>
      </c>
      <c r="I115" s="1080">
        <v>0</v>
      </c>
      <c r="J115" s="1080">
        <v>0</v>
      </c>
      <c r="K115" s="1080">
        <v>0</v>
      </c>
      <c r="L115" s="1080">
        <v>0</v>
      </c>
      <c r="N115" s="2177">
        <v>72100700</v>
      </c>
      <c r="O115" s="2178" t="s">
        <v>2538</v>
      </c>
      <c r="P115" s="2179">
        <v>0</v>
      </c>
      <c r="Q115" s="2179">
        <v>0</v>
      </c>
      <c r="R115" s="2179">
        <v>0</v>
      </c>
      <c r="S115" s="2179">
        <v>0</v>
      </c>
      <c r="T115" s="2179">
        <v>0</v>
      </c>
      <c r="U115" s="2179">
        <v>0</v>
      </c>
      <c r="V115" s="2179">
        <v>0</v>
      </c>
      <c r="W115" s="2179">
        <v>0</v>
      </c>
      <c r="X115" s="2179">
        <v>0</v>
      </c>
      <c r="Z115" s="2177">
        <v>72100800</v>
      </c>
      <c r="AA115" s="2178" t="s">
        <v>2539</v>
      </c>
      <c r="AB115" s="2179">
        <v>0</v>
      </c>
      <c r="AC115" s="2179">
        <v>0</v>
      </c>
      <c r="AD115" s="2179">
        <v>0</v>
      </c>
      <c r="AE115" s="2179">
        <v>0</v>
      </c>
      <c r="AF115" s="2179">
        <v>0</v>
      </c>
      <c r="AG115" s="2179">
        <v>0</v>
      </c>
      <c r="AH115" s="2179">
        <v>0</v>
      </c>
      <c r="AI115" s="2179">
        <v>0</v>
      </c>
      <c r="AJ115" s="2179">
        <v>0</v>
      </c>
      <c r="AL115" s="1078">
        <v>72100800</v>
      </c>
      <c r="AM115" s="1079" t="s">
        <v>2539</v>
      </c>
      <c r="AN115" s="1080">
        <v>0</v>
      </c>
      <c r="AO115" s="1080">
        <v>0</v>
      </c>
      <c r="AP115" s="1080">
        <v>0</v>
      </c>
      <c r="AQ115" s="1080">
        <v>0</v>
      </c>
      <c r="AR115" s="1080">
        <v>0</v>
      </c>
      <c r="AS115" s="1080">
        <v>0</v>
      </c>
      <c r="AT115" s="1080">
        <v>0</v>
      </c>
      <c r="AU115" s="1080">
        <v>0</v>
      </c>
      <c r="AV115" s="1080">
        <v>0</v>
      </c>
      <c r="AW115" s="1073"/>
      <c r="AX115" s="1074">
        <v>0</v>
      </c>
      <c r="AZ115" s="1078">
        <v>72100800</v>
      </c>
      <c r="BA115" s="1079" t="s">
        <v>2539</v>
      </c>
      <c r="BB115" s="1080">
        <v>0</v>
      </c>
      <c r="BC115" s="1080">
        <v>0</v>
      </c>
      <c r="BD115" s="1080">
        <v>0</v>
      </c>
      <c r="BE115" s="1080">
        <v>0</v>
      </c>
      <c r="BF115" s="1080">
        <v>0</v>
      </c>
      <c r="BG115" s="1080">
        <v>0</v>
      </c>
      <c r="BH115" s="1080">
        <v>0</v>
      </c>
      <c r="BI115" s="1080">
        <v>0</v>
      </c>
      <c r="BJ115" s="1080">
        <v>0</v>
      </c>
      <c r="BK115" s="1073"/>
      <c r="BL115" s="1074">
        <v>0</v>
      </c>
      <c r="BN115" s="1078">
        <v>72100900</v>
      </c>
      <c r="BO115" s="1079" t="s">
        <v>2540</v>
      </c>
      <c r="BP115" s="1080">
        <v>51673641</v>
      </c>
      <c r="BQ115" s="1080">
        <v>0</v>
      </c>
      <c r="BR115" s="1080">
        <v>0</v>
      </c>
      <c r="BS115" s="1080">
        <v>0</v>
      </c>
      <c r="BT115" s="1080">
        <v>0</v>
      </c>
      <c r="BU115" s="1080">
        <v>51673641</v>
      </c>
      <c r="BV115" s="1080">
        <v>0</v>
      </c>
      <c r="BW115" s="1080">
        <v>0</v>
      </c>
      <c r="BX115" s="1080">
        <v>51673641</v>
      </c>
      <c r="BY115" s="1073"/>
      <c r="BZ115" s="1074">
        <v>51673641</v>
      </c>
      <c r="CB115" s="1078">
        <v>72100900</v>
      </c>
      <c r="CC115" s="1079" t="s">
        <v>2540</v>
      </c>
      <c r="CD115" s="1080">
        <v>0</v>
      </c>
      <c r="CE115" s="1080">
        <v>0</v>
      </c>
      <c r="CF115" s="1080">
        <v>0</v>
      </c>
      <c r="CG115" s="1080">
        <v>0</v>
      </c>
      <c r="CH115" s="1080">
        <v>0</v>
      </c>
      <c r="CI115" s="1080">
        <v>0</v>
      </c>
      <c r="CJ115" s="1080">
        <v>0</v>
      </c>
      <c r="CK115" s="1080">
        <v>0</v>
      </c>
      <c r="CL115" s="1080">
        <v>0</v>
      </c>
      <c r="CM115" s="1080">
        <v>0</v>
      </c>
      <c r="CN115" s="1080">
        <v>0</v>
      </c>
      <c r="CO115" s="1073"/>
      <c r="CP115" s="1074">
        <v>0</v>
      </c>
    </row>
    <row r="116" spans="2:94">
      <c r="B116" s="1078">
        <v>72100800</v>
      </c>
      <c r="C116" s="1079" t="s">
        <v>2539</v>
      </c>
      <c r="D116" s="1080">
        <v>0</v>
      </c>
      <c r="E116" s="1080">
        <v>0</v>
      </c>
      <c r="F116" s="1080">
        <v>31590300</v>
      </c>
      <c r="G116" s="1080">
        <v>0</v>
      </c>
      <c r="H116" s="1080">
        <v>0</v>
      </c>
      <c r="I116" s="1080">
        <v>31590300</v>
      </c>
      <c r="J116" s="1080">
        <v>0</v>
      </c>
      <c r="K116" s="1080">
        <v>0</v>
      </c>
      <c r="L116" s="1080">
        <v>31590300</v>
      </c>
      <c r="N116" s="2177">
        <v>72100800</v>
      </c>
      <c r="O116" s="2178" t="s">
        <v>2539</v>
      </c>
      <c r="P116" s="2179">
        <v>0</v>
      </c>
      <c r="Q116" s="2179">
        <v>0</v>
      </c>
      <c r="R116" s="2179">
        <v>31590300</v>
      </c>
      <c r="S116" s="2179">
        <v>0</v>
      </c>
      <c r="T116" s="2179">
        <v>0</v>
      </c>
      <c r="U116" s="2179">
        <v>31590300</v>
      </c>
      <c r="V116" s="2179">
        <v>0</v>
      </c>
      <c r="W116" s="2179">
        <v>0</v>
      </c>
      <c r="X116" s="2179">
        <v>31590300</v>
      </c>
      <c r="Z116" s="2177">
        <v>72100900</v>
      </c>
      <c r="AA116" s="2178" t="s">
        <v>3863</v>
      </c>
      <c r="AB116" s="2179">
        <v>59604154</v>
      </c>
      <c r="AC116" s="2179">
        <v>0</v>
      </c>
      <c r="AD116" s="2179">
        <v>0</v>
      </c>
      <c r="AE116" s="2179">
        <v>0</v>
      </c>
      <c r="AF116" s="2179">
        <v>0</v>
      </c>
      <c r="AG116" s="2179">
        <v>59604154</v>
      </c>
      <c r="AH116" s="2179">
        <v>0</v>
      </c>
      <c r="AI116" s="2179">
        <v>0</v>
      </c>
      <c r="AJ116" s="2179">
        <v>59604154</v>
      </c>
      <c r="AL116" s="1078">
        <v>72100900</v>
      </c>
      <c r="AM116" s="1079" t="s">
        <v>2540</v>
      </c>
      <c r="AN116" s="1080">
        <v>59604154</v>
      </c>
      <c r="AO116" s="1080">
        <v>0</v>
      </c>
      <c r="AP116" s="1080">
        <v>0</v>
      </c>
      <c r="AQ116" s="1080">
        <v>0</v>
      </c>
      <c r="AR116" s="1080">
        <v>0</v>
      </c>
      <c r="AS116" s="1080">
        <v>59604154</v>
      </c>
      <c r="AT116" s="1080">
        <v>0</v>
      </c>
      <c r="AU116" s="1080">
        <v>0</v>
      </c>
      <c r="AV116" s="1080">
        <v>59604154</v>
      </c>
      <c r="AW116" s="1073"/>
      <c r="AX116" s="1074">
        <v>59604154</v>
      </c>
      <c r="AZ116" s="1078">
        <v>72100900</v>
      </c>
      <c r="BA116" s="1079" t="s">
        <v>2540</v>
      </c>
      <c r="BB116" s="1080">
        <v>0</v>
      </c>
      <c r="BC116" s="1080">
        <v>0</v>
      </c>
      <c r="BD116" s="1080">
        <v>0</v>
      </c>
      <c r="BE116" s="1080">
        <v>0</v>
      </c>
      <c r="BF116" s="1080">
        <v>0</v>
      </c>
      <c r="BG116" s="1080">
        <v>0</v>
      </c>
      <c r="BH116" s="1080">
        <v>0</v>
      </c>
      <c r="BI116" s="1080">
        <v>0</v>
      </c>
      <c r="BJ116" s="1080">
        <v>0</v>
      </c>
      <c r="BK116" s="1073"/>
      <c r="BL116" s="1074">
        <v>0</v>
      </c>
      <c r="BN116" s="1078">
        <v>72101000</v>
      </c>
      <c r="BO116" s="1079" t="s">
        <v>2541</v>
      </c>
      <c r="BP116" s="1080">
        <v>0</v>
      </c>
      <c r="BQ116" s="1080">
        <v>0</v>
      </c>
      <c r="BR116" s="1080">
        <v>0</v>
      </c>
      <c r="BS116" s="1080">
        <v>0</v>
      </c>
      <c r="BT116" s="1080">
        <v>0</v>
      </c>
      <c r="BU116" s="1080">
        <v>0</v>
      </c>
      <c r="BV116" s="1080">
        <v>0</v>
      </c>
      <c r="BW116" s="1080">
        <v>0</v>
      </c>
      <c r="BX116" s="1080">
        <v>0</v>
      </c>
      <c r="BY116" s="1073"/>
      <c r="BZ116" s="1074">
        <v>0</v>
      </c>
      <c r="CB116" s="1078">
        <v>72101000</v>
      </c>
      <c r="CC116" s="1079" t="s">
        <v>2541</v>
      </c>
      <c r="CD116" s="1080">
        <v>0</v>
      </c>
      <c r="CE116" s="1080">
        <v>0</v>
      </c>
      <c r="CF116" s="1080">
        <v>0</v>
      </c>
      <c r="CG116" s="1080">
        <v>0</v>
      </c>
      <c r="CH116" s="1080">
        <v>0</v>
      </c>
      <c r="CI116" s="1080">
        <v>0</v>
      </c>
      <c r="CJ116" s="1080">
        <v>0</v>
      </c>
      <c r="CK116" s="1080">
        <v>0</v>
      </c>
      <c r="CL116" s="1080">
        <v>0</v>
      </c>
      <c r="CM116" s="1080">
        <v>0</v>
      </c>
      <c r="CN116" s="1080">
        <v>0</v>
      </c>
      <c r="CO116" s="1073"/>
      <c r="CP116" s="1074">
        <v>0</v>
      </c>
    </row>
    <row r="117" spans="2:94">
      <c r="B117" s="1078">
        <v>72100900</v>
      </c>
      <c r="C117" s="1079" t="s">
        <v>2540</v>
      </c>
      <c r="D117" s="1080">
        <v>0</v>
      </c>
      <c r="E117" s="1080">
        <v>0</v>
      </c>
      <c r="F117" s="1080">
        <v>0</v>
      </c>
      <c r="G117" s="1080">
        <v>0</v>
      </c>
      <c r="H117" s="1080">
        <v>0</v>
      </c>
      <c r="I117" s="1080">
        <v>0</v>
      </c>
      <c r="J117" s="1080">
        <v>0</v>
      </c>
      <c r="K117" s="1080">
        <v>0</v>
      </c>
      <c r="L117" s="1080">
        <v>0</v>
      </c>
      <c r="N117" s="2177">
        <v>72100900</v>
      </c>
      <c r="O117" s="2178" t="s">
        <v>3863</v>
      </c>
      <c r="P117" s="2179">
        <v>0</v>
      </c>
      <c r="Q117" s="2179">
        <v>0</v>
      </c>
      <c r="R117" s="2179">
        <v>0</v>
      </c>
      <c r="S117" s="2179">
        <v>0</v>
      </c>
      <c r="T117" s="2179">
        <v>0</v>
      </c>
      <c r="U117" s="2179">
        <v>0</v>
      </c>
      <c r="V117" s="2179">
        <v>0</v>
      </c>
      <c r="W117" s="2179">
        <v>0</v>
      </c>
      <c r="X117" s="2179">
        <v>0</v>
      </c>
      <c r="Z117" s="2177">
        <v>72101000</v>
      </c>
      <c r="AA117" s="2178" t="s">
        <v>2495</v>
      </c>
      <c r="AB117" s="2179">
        <v>0</v>
      </c>
      <c r="AC117" s="2179">
        <v>0</v>
      </c>
      <c r="AD117" s="2179">
        <v>0</v>
      </c>
      <c r="AE117" s="2179">
        <v>0</v>
      </c>
      <c r="AF117" s="2179">
        <v>0</v>
      </c>
      <c r="AG117" s="2179">
        <v>0</v>
      </c>
      <c r="AH117" s="2179">
        <v>0</v>
      </c>
      <c r="AI117" s="2179">
        <v>0</v>
      </c>
      <c r="AJ117" s="2179">
        <v>0</v>
      </c>
      <c r="AL117" s="1078">
        <v>72101000</v>
      </c>
      <c r="AM117" s="1079" t="s">
        <v>2541</v>
      </c>
      <c r="AN117" s="1080">
        <v>0</v>
      </c>
      <c r="AO117" s="1080">
        <v>0</v>
      </c>
      <c r="AP117" s="1080">
        <v>0</v>
      </c>
      <c r="AQ117" s="1080">
        <v>0</v>
      </c>
      <c r="AR117" s="1080">
        <v>0</v>
      </c>
      <c r="AS117" s="1080">
        <v>0</v>
      </c>
      <c r="AT117" s="1080">
        <v>0</v>
      </c>
      <c r="AU117" s="1080">
        <v>0</v>
      </c>
      <c r="AV117" s="1080">
        <v>0</v>
      </c>
      <c r="AW117" s="1073"/>
      <c r="AX117" s="1074">
        <v>0</v>
      </c>
      <c r="AZ117" s="1078">
        <v>72101000</v>
      </c>
      <c r="BA117" s="1079" t="s">
        <v>2541</v>
      </c>
      <c r="BB117" s="1080">
        <v>0</v>
      </c>
      <c r="BC117" s="1080">
        <v>0</v>
      </c>
      <c r="BD117" s="1080">
        <v>0</v>
      </c>
      <c r="BE117" s="1080">
        <v>0</v>
      </c>
      <c r="BF117" s="1080">
        <v>0</v>
      </c>
      <c r="BG117" s="1080">
        <v>0</v>
      </c>
      <c r="BH117" s="1080">
        <v>0</v>
      </c>
      <c r="BI117" s="1080">
        <v>0</v>
      </c>
      <c r="BJ117" s="1080">
        <v>0</v>
      </c>
      <c r="BK117" s="1073"/>
      <c r="BL117" s="1074">
        <v>0</v>
      </c>
      <c r="BN117" s="1078">
        <v>72101100</v>
      </c>
      <c r="BO117" s="1079" t="s">
        <v>2542</v>
      </c>
      <c r="BP117" s="1080">
        <v>0</v>
      </c>
      <c r="BQ117" s="1080">
        <v>0</v>
      </c>
      <c r="BR117" s="1080">
        <v>0</v>
      </c>
      <c r="BS117" s="1080">
        <v>0</v>
      </c>
      <c r="BT117" s="1080">
        <v>0</v>
      </c>
      <c r="BU117" s="1080">
        <v>0</v>
      </c>
      <c r="BV117" s="1080">
        <v>0</v>
      </c>
      <c r="BW117" s="1080">
        <v>0</v>
      </c>
      <c r="BX117" s="1080">
        <v>0</v>
      </c>
      <c r="BY117" s="1073"/>
      <c r="BZ117" s="1074">
        <v>0</v>
      </c>
      <c r="CB117" s="1078">
        <v>72101100</v>
      </c>
      <c r="CC117" s="1079" t="s">
        <v>2542</v>
      </c>
      <c r="CD117" s="1080">
        <v>0</v>
      </c>
      <c r="CE117" s="1080">
        <v>0</v>
      </c>
      <c r="CF117" s="1080">
        <v>0</v>
      </c>
      <c r="CG117" s="1080">
        <v>0</v>
      </c>
      <c r="CH117" s="1080">
        <v>0</v>
      </c>
      <c r="CI117" s="1080">
        <v>0</v>
      </c>
      <c r="CJ117" s="1080">
        <v>0</v>
      </c>
      <c r="CK117" s="1080">
        <v>0</v>
      </c>
      <c r="CL117" s="1080">
        <v>0</v>
      </c>
      <c r="CM117" s="1080">
        <v>0</v>
      </c>
      <c r="CN117" s="1080">
        <v>0</v>
      </c>
      <c r="CO117" s="1073"/>
      <c r="CP117" s="1074">
        <v>0</v>
      </c>
    </row>
    <row r="118" spans="2:94">
      <c r="B118" s="1078">
        <v>72101000</v>
      </c>
      <c r="C118" s="1079" t="s">
        <v>2541</v>
      </c>
      <c r="D118" s="1080">
        <v>0</v>
      </c>
      <c r="E118" s="1080">
        <v>0</v>
      </c>
      <c r="F118" s="1080">
        <v>0</v>
      </c>
      <c r="G118" s="1080">
        <v>0</v>
      </c>
      <c r="H118" s="1080">
        <v>0</v>
      </c>
      <c r="I118" s="1080">
        <v>0</v>
      </c>
      <c r="J118" s="1080">
        <v>0</v>
      </c>
      <c r="K118" s="1080">
        <v>0</v>
      </c>
      <c r="L118" s="1080">
        <v>0</v>
      </c>
      <c r="N118" s="2177">
        <v>72101000</v>
      </c>
      <c r="O118" s="2178" t="s">
        <v>2495</v>
      </c>
      <c r="P118" s="2179">
        <v>0</v>
      </c>
      <c r="Q118" s="2179">
        <v>0</v>
      </c>
      <c r="R118" s="2179">
        <v>0</v>
      </c>
      <c r="S118" s="2179">
        <v>0</v>
      </c>
      <c r="T118" s="2179">
        <v>0</v>
      </c>
      <c r="U118" s="2179">
        <v>0</v>
      </c>
      <c r="V118" s="2179">
        <v>0</v>
      </c>
      <c r="W118" s="2179">
        <v>0</v>
      </c>
      <c r="X118" s="2179">
        <v>0</v>
      </c>
      <c r="Z118" s="2177">
        <v>72101100</v>
      </c>
      <c r="AA118" s="2178" t="s">
        <v>3864</v>
      </c>
      <c r="AB118" s="2179">
        <v>0</v>
      </c>
      <c r="AC118" s="2179">
        <v>0</v>
      </c>
      <c r="AD118" s="2179">
        <v>0</v>
      </c>
      <c r="AE118" s="2179">
        <v>0</v>
      </c>
      <c r="AF118" s="2179">
        <v>0</v>
      </c>
      <c r="AG118" s="2179">
        <v>0</v>
      </c>
      <c r="AH118" s="2179">
        <v>0</v>
      </c>
      <c r="AI118" s="2179">
        <v>0</v>
      </c>
      <c r="AJ118" s="2179">
        <v>0</v>
      </c>
      <c r="AL118" s="1078">
        <v>72101100</v>
      </c>
      <c r="AM118" s="1079" t="s">
        <v>2542</v>
      </c>
      <c r="AN118" s="1080">
        <v>0</v>
      </c>
      <c r="AO118" s="1080">
        <v>0</v>
      </c>
      <c r="AP118" s="1080">
        <v>0</v>
      </c>
      <c r="AQ118" s="1080">
        <v>0</v>
      </c>
      <c r="AR118" s="1080">
        <v>0</v>
      </c>
      <c r="AS118" s="1080">
        <v>0</v>
      </c>
      <c r="AT118" s="1080">
        <v>0</v>
      </c>
      <c r="AU118" s="1080">
        <v>0</v>
      </c>
      <c r="AV118" s="1080">
        <v>0</v>
      </c>
      <c r="AW118" s="1073"/>
      <c r="AX118" s="1074">
        <v>0</v>
      </c>
      <c r="AZ118" s="1078">
        <v>72101100</v>
      </c>
      <c r="BA118" s="1079" t="s">
        <v>2542</v>
      </c>
      <c r="BB118" s="1080">
        <v>0</v>
      </c>
      <c r="BC118" s="1080">
        <v>0</v>
      </c>
      <c r="BD118" s="1080">
        <v>0</v>
      </c>
      <c r="BE118" s="1080">
        <v>0</v>
      </c>
      <c r="BF118" s="1080">
        <v>0</v>
      </c>
      <c r="BG118" s="1080">
        <v>0</v>
      </c>
      <c r="BH118" s="1080">
        <v>0</v>
      </c>
      <c r="BI118" s="1080">
        <v>0</v>
      </c>
      <c r="BJ118" s="1080">
        <v>0</v>
      </c>
      <c r="BK118" s="1073"/>
      <c r="BL118" s="1074">
        <v>0</v>
      </c>
      <c r="BN118" s="1078">
        <v>72101200</v>
      </c>
      <c r="BO118" s="1079" t="s">
        <v>2543</v>
      </c>
      <c r="BP118" s="1080">
        <v>0</v>
      </c>
      <c r="BQ118" s="1080">
        <v>0</v>
      </c>
      <c r="BR118" s="1080">
        <v>0</v>
      </c>
      <c r="BS118" s="1080">
        <v>0</v>
      </c>
      <c r="BT118" s="1080">
        <v>0</v>
      </c>
      <c r="BU118" s="1080">
        <v>0</v>
      </c>
      <c r="BV118" s="1080">
        <v>0</v>
      </c>
      <c r="BW118" s="1080">
        <v>0</v>
      </c>
      <c r="BX118" s="1080">
        <v>0</v>
      </c>
      <c r="BY118" s="1073"/>
      <c r="BZ118" s="1074">
        <v>0</v>
      </c>
      <c r="CB118" s="1078">
        <v>72101200</v>
      </c>
      <c r="CC118" s="1079" t="s">
        <v>2543</v>
      </c>
      <c r="CD118" s="1080">
        <v>0</v>
      </c>
      <c r="CE118" s="1080">
        <v>0</v>
      </c>
      <c r="CF118" s="1080">
        <v>0</v>
      </c>
      <c r="CG118" s="1080">
        <v>0</v>
      </c>
      <c r="CH118" s="1080">
        <v>0</v>
      </c>
      <c r="CI118" s="1080">
        <v>0</v>
      </c>
      <c r="CJ118" s="1080">
        <v>0</v>
      </c>
      <c r="CK118" s="1080">
        <v>0</v>
      </c>
      <c r="CL118" s="1080">
        <v>0</v>
      </c>
      <c r="CM118" s="1080">
        <v>0</v>
      </c>
      <c r="CN118" s="1080">
        <v>0</v>
      </c>
      <c r="CO118" s="1073"/>
      <c r="CP118" s="1074">
        <v>0</v>
      </c>
    </row>
    <row r="119" spans="2:94">
      <c r="B119" s="1078">
        <v>72101100</v>
      </c>
      <c r="C119" s="1079" t="s">
        <v>2542</v>
      </c>
      <c r="D119" s="1080">
        <v>0</v>
      </c>
      <c r="E119" s="1080">
        <v>0</v>
      </c>
      <c r="F119" s="1080">
        <v>0</v>
      </c>
      <c r="G119" s="1080">
        <v>0</v>
      </c>
      <c r="H119" s="1080">
        <v>0</v>
      </c>
      <c r="I119" s="1080">
        <v>0</v>
      </c>
      <c r="J119" s="1080">
        <v>0</v>
      </c>
      <c r="K119" s="1080">
        <v>0</v>
      </c>
      <c r="L119" s="1080">
        <v>0</v>
      </c>
      <c r="N119" s="2177">
        <v>72101100</v>
      </c>
      <c r="O119" s="2178" t="s">
        <v>3864</v>
      </c>
      <c r="P119" s="2179">
        <v>0</v>
      </c>
      <c r="Q119" s="2179">
        <v>0</v>
      </c>
      <c r="R119" s="2179">
        <v>0</v>
      </c>
      <c r="S119" s="2179">
        <v>0</v>
      </c>
      <c r="T119" s="2179">
        <v>0</v>
      </c>
      <c r="U119" s="2179">
        <v>0</v>
      </c>
      <c r="V119" s="2179">
        <v>0</v>
      </c>
      <c r="W119" s="2179">
        <v>0</v>
      </c>
      <c r="X119" s="2179">
        <v>0</v>
      </c>
      <c r="Z119" s="2177">
        <v>72101200</v>
      </c>
      <c r="AA119" s="2178" t="s">
        <v>3865</v>
      </c>
      <c r="AB119" s="2179">
        <v>0</v>
      </c>
      <c r="AC119" s="2179">
        <v>0</v>
      </c>
      <c r="AD119" s="2179">
        <v>0</v>
      </c>
      <c r="AE119" s="2179">
        <v>0</v>
      </c>
      <c r="AF119" s="2179">
        <v>0</v>
      </c>
      <c r="AG119" s="2179">
        <v>0</v>
      </c>
      <c r="AH119" s="2179">
        <v>0</v>
      </c>
      <c r="AI119" s="2179">
        <v>0</v>
      </c>
      <c r="AJ119" s="2179">
        <v>0</v>
      </c>
      <c r="AL119" s="1078">
        <v>72101200</v>
      </c>
      <c r="AM119" s="1079" t="s">
        <v>2543</v>
      </c>
      <c r="AN119" s="1080">
        <v>0</v>
      </c>
      <c r="AO119" s="1080">
        <v>0</v>
      </c>
      <c r="AP119" s="1080">
        <v>0</v>
      </c>
      <c r="AQ119" s="1080">
        <v>0</v>
      </c>
      <c r="AR119" s="1080">
        <v>0</v>
      </c>
      <c r="AS119" s="1080">
        <v>0</v>
      </c>
      <c r="AT119" s="1080">
        <v>0</v>
      </c>
      <c r="AU119" s="1080">
        <v>0</v>
      </c>
      <c r="AV119" s="1080">
        <v>0</v>
      </c>
      <c r="AW119" s="1073"/>
      <c r="AX119" s="1074">
        <v>0</v>
      </c>
      <c r="AZ119" s="1078">
        <v>72101200</v>
      </c>
      <c r="BA119" s="1079" t="s">
        <v>2543</v>
      </c>
      <c r="BB119" s="1080">
        <v>0</v>
      </c>
      <c r="BC119" s="1080">
        <v>0</v>
      </c>
      <c r="BD119" s="1080">
        <v>3593852</v>
      </c>
      <c r="BE119" s="1080">
        <v>0</v>
      </c>
      <c r="BF119" s="1080">
        <v>0</v>
      </c>
      <c r="BG119" s="1080">
        <v>3593852</v>
      </c>
      <c r="BH119" s="1080">
        <v>0</v>
      </c>
      <c r="BI119" s="1080">
        <v>0</v>
      </c>
      <c r="BJ119" s="1080">
        <v>3593852</v>
      </c>
      <c r="BK119" s="1073"/>
      <c r="BL119" s="1074">
        <v>3593852</v>
      </c>
      <c r="BN119" s="1078">
        <v>72101300</v>
      </c>
      <c r="BO119" s="1079" t="s">
        <v>2544</v>
      </c>
      <c r="BP119" s="1080">
        <v>0</v>
      </c>
      <c r="BQ119" s="1080">
        <v>0</v>
      </c>
      <c r="BR119" s="1080">
        <v>0</v>
      </c>
      <c r="BS119" s="1080">
        <v>0</v>
      </c>
      <c r="BT119" s="1080">
        <v>0</v>
      </c>
      <c r="BU119" s="1080">
        <v>0</v>
      </c>
      <c r="BV119" s="1080">
        <v>0</v>
      </c>
      <c r="BW119" s="1080">
        <v>0</v>
      </c>
      <c r="BX119" s="1080">
        <v>0</v>
      </c>
      <c r="BY119" s="1073"/>
      <c r="BZ119" s="1074">
        <v>0</v>
      </c>
      <c r="CB119" s="1078">
        <v>72101300</v>
      </c>
      <c r="CC119" s="1079" t="s">
        <v>2544</v>
      </c>
      <c r="CD119" s="1080">
        <v>0</v>
      </c>
      <c r="CE119" s="1080">
        <v>0</v>
      </c>
      <c r="CF119" s="1080">
        <v>0</v>
      </c>
      <c r="CG119" s="1080">
        <v>0</v>
      </c>
      <c r="CH119" s="1080">
        <v>0</v>
      </c>
      <c r="CI119" s="1080">
        <v>0</v>
      </c>
      <c r="CJ119" s="1080">
        <v>0</v>
      </c>
      <c r="CK119" s="1080">
        <v>0</v>
      </c>
      <c r="CL119" s="1080">
        <v>0</v>
      </c>
      <c r="CM119" s="1080">
        <v>0</v>
      </c>
      <c r="CN119" s="1080">
        <v>0</v>
      </c>
      <c r="CO119" s="1073"/>
      <c r="CP119" s="1074">
        <v>0</v>
      </c>
    </row>
    <row r="120" spans="2:94">
      <c r="B120" s="1078">
        <v>72101200</v>
      </c>
      <c r="C120" s="1079" t="s">
        <v>2543</v>
      </c>
      <c r="D120" s="1080">
        <v>0</v>
      </c>
      <c r="E120" s="1080">
        <v>0</v>
      </c>
      <c r="F120" s="1080">
        <v>0</v>
      </c>
      <c r="G120" s="1080">
        <v>0</v>
      </c>
      <c r="H120" s="1080">
        <v>0</v>
      </c>
      <c r="I120" s="1080">
        <v>0</v>
      </c>
      <c r="J120" s="1080">
        <v>0</v>
      </c>
      <c r="K120" s="1080">
        <v>0</v>
      </c>
      <c r="L120" s="1080">
        <v>0</v>
      </c>
      <c r="N120" s="2177">
        <v>72101200</v>
      </c>
      <c r="O120" s="2178" t="s">
        <v>3865</v>
      </c>
      <c r="P120" s="2179">
        <v>0</v>
      </c>
      <c r="Q120" s="2179">
        <v>0</v>
      </c>
      <c r="R120" s="2179">
        <v>0</v>
      </c>
      <c r="S120" s="2179">
        <v>0</v>
      </c>
      <c r="T120" s="2179">
        <v>0</v>
      </c>
      <c r="U120" s="2179">
        <v>0</v>
      </c>
      <c r="V120" s="2179">
        <v>0</v>
      </c>
      <c r="W120" s="2179">
        <v>0</v>
      </c>
      <c r="X120" s="2179">
        <v>0</v>
      </c>
      <c r="Z120" s="2177">
        <v>72101300</v>
      </c>
      <c r="AA120" s="2178" t="s">
        <v>2544</v>
      </c>
      <c r="AB120" s="2179">
        <v>0</v>
      </c>
      <c r="AC120" s="2179">
        <v>0</v>
      </c>
      <c r="AD120" s="2179">
        <v>0</v>
      </c>
      <c r="AE120" s="2179">
        <v>0</v>
      </c>
      <c r="AF120" s="2179">
        <v>0</v>
      </c>
      <c r="AG120" s="2179">
        <v>0</v>
      </c>
      <c r="AH120" s="2179">
        <v>0</v>
      </c>
      <c r="AI120" s="2179">
        <v>0</v>
      </c>
      <c r="AJ120" s="2179">
        <v>0</v>
      </c>
      <c r="AL120" s="1078">
        <v>72101300</v>
      </c>
      <c r="AM120" s="1079" t="s">
        <v>2544</v>
      </c>
      <c r="AN120" s="1080">
        <v>0</v>
      </c>
      <c r="AO120" s="1080">
        <v>0</v>
      </c>
      <c r="AP120" s="1080">
        <v>0</v>
      </c>
      <c r="AQ120" s="1080">
        <v>0</v>
      </c>
      <c r="AR120" s="1080">
        <v>0</v>
      </c>
      <c r="AS120" s="1080">
        <v>0</v>
      </c>
      <c r="AT120" s="1080">
        <v>0</v>
      </c>
      <c r="AU120" s="1080">
        <v>0</v>
      </c>
      <c r="AV120" s="1080">
        <v>0</v>
      </c>
      <c r="AW120" s="1073"/>
      <c r="AX120" s="1074">
        <v>0</v>
      </c>
      <c r="AZ120" s="1078">
        <v>72101300</v>
      </c>
      <c r="BA120" s="1079" t="s">
        <v>2544</v>
      </c>
      <c r="BB120" s="1080">
        <v>0</v>
      </c>
      <c r="BC120" s="1080">
        <v>0</v>
      </c>
      <c r="BD120" s="1080">
        <v>0</v>
      </c>
      <c r="BE120" s="1080">
        <v>0</v>
      </c>
      <c r="BF120" s="1080">
        <v>0</v>
      </c>
      <c r="BG120" s="1080">
        <v>0</v>
      </c>
      <c r="BH120" s="1080">
        <v>0</v>
      </c>
      <c r="BI120" s="1080">
        <v>0</v>
      </c>
      <c r="BJ120" s="1080">
        <v>0</v>
      </c>
      <c r="BK120" s="1073"/>
      <c r="BL120" s="1074">
        <v>0</v>
      </c>
      <c r="BN120" s="1078">
        <v>72101400</v>
      </c>
      <c r="BO120" s="1079" t="s">
        <v>2545</v>
      </c>
      <c r="BP120" s="1080">
        <v>0</v>
      </c>
      <c r="BQ120" s="1080">
        <v>0</v>
      </c>
      <c r="BR120" s="1080">
        <v>0</v>
      </c>
      <c r="BS120" s="1080">
        <v>0</v>
      </c>
      <c r="BT120" s="1080">
        <v>0</v>
      </c>
      <c r="BU120" s="1080">
        <v>0</v>
      </c>
      <c r="BV120" s="1080">
        <v>0</v>
      </c>
      <c r="BW120" s="1080">
        <v>0</v>
      </c>
      <c r="BX120" s="1080">
        <v>0</v>
      </c>
      <c r="BY120" s="1073"/>
      <c r="BZ120" s="1074">
        <v>0</v>
      </c>
      <c r="CB120" s="1078">
        <v>72101400</v>
      </c>
      <c r="CC120" s="1079" t="s">
        <v>2545</v>
      </c>
      <c r="CD120" s="1080">
        <v>0</v>
      </c>
      <c r="CE120" s="1080">
        <v>0</v>
      </c>
      <c r="CF120" s="1080">
        <v>0</v>
      </c>
      <c r="CG120" s="1080">
        <v>0</v>
      </c>
      <c r="CH120" s="1080">
        <v>0</v>
      </c>
      <c r="CI120" s="1080">
        <v>0</v>
      </c>
      <c r="CJ120" s="1080">
        <v>0</v>
      </c>
      <c r="CK120" s="1080">
        <v>0</v>
      </c>
      <c r="CL120" s="1080">
        <v>0</v>
      </c>
      <c r="CM120" s="1080">
        <v>0</v>
      </c>
      <c r="CN120" s="1080">
        <v>0</v>
      </c>
      <c r="CO120" s="1073"/>
      <c r="CP120" s="1074">
        <v>0</v>
      </c>
    </row>
    <row r="121" spans="2:94">
      <c r="B121" s="1078">
        <v>72101300</v>
      </c>
      <c r="C121" s="1079" t="s">
        <v>2544</v>
      </c>
      <c r="D121" s="1080">
        <v>0</v>
      </c>
      <c r="E121" s="1080">
        <v>0</v>
      </c>
      <c r="F121" s="1080">
        <v>0</v>
      </c>
      <c r="G121" s="1080">
        <v>0</v>
      </c>
      <c r="H121" s="1080">
        <v>0</v>
      </c>
      <c r="I121" s="1080">
        <v>0</v>
      </c>
      <c r="J121" s="1080">
        <v>0</v>
      </c>
      <c r="K121" s="1080">
        <v>0</v>
      </c>
      <c r="L121" s="1080">
        <v>0</v>
      </c>
      <c r="N121" s="2177">
        <v>72101300</v>
      </c>
      <c r="O121" s="2178" t="s">
        <v>2544</v>
      </c>
      <c r="P121" s="2179">
        <v>0</v>
      </c>
      <c r="Q121" s="2179">
        <v>0</v>
      </c>
      <c r="R121" s="2179">
        <v>0</v>
      </c>
      <c r="S121" s="2179">
        <v>0</v>
      </c>
      <c r="T121" s="2179">
        <v>0</v>
      </c>
      <c r="U121" s="2179">
        <v>0</v>
      </c>
      <c r="V121" s="2179">
        <v>0</v>
      </c>
      <c r="W121" s="2179">
        <v>0</v>
      </c>
      <c r="X121" s="2179">
        <v>0</v>
      </c>
      <c r="Z121" s="2177">
        <v>72101400</v>
      </c>
      <c r="AA121" s="2178" t="s">
        <v>2545</v>
      </c>
      <c r="AB121" s="2179">
        <v>0</v>
      </c>
      <c r="AC121" s="2179">
        <v>0</v>
      </c>
      <c r="AD121" s="2179">
        <v>0</v>
      </c>
      <c r="AE121" s="2179">
        <v>0</v>
      </c>
      <c r="AF121" s="2179">
        <v>0</v>
      </c>
      <c r="AG121" s="2179">
        <v>0</v>
      </c>
      <c r="AH121" s="2179">
        <v>0</v>
      </c>
      <c r="AI121" s="2179">
        <v>0</v>
      </c>
      <c r="AJ121" s="2179">
        <v>0</v>
      </c>
      <c r="AL121" s="1078">
        <v>72101400</v>
      </c>
      <c r="AM121" s="1079" t="s">
        <v>2545</v>
      </c>
      <c r="AN121" s="1080">
        <v>0</v>
      </c>
      <c r="AO121" s="1080">
        <v>0</v>
      </c>
      <c r="AP121" s="1080">
        <v>0</v>
      </c>
      <c r="AQ121" s="1080">
        <v>0</v>
      </c>
      <c r="AR121" s="1080">
        <v>0</v>
      </c>
      <c r="AS121" s="1080">
        <v>0</v>
      </c>
      <c r="AT121" s="1080">
        <v>0</v>
      </c>
      <c r="AU121" s="1080">
        <v>0</v>
      </c>
      <c r="AV121" s="1080">
        <v>0</v>
      </c>
      <c r="AW121" s="1073"/>
      <c r="AX121" s="1074">
        <v>0</v>
      </c>
      <c r="AZ121" s="1078">
        <v>72101400</v>
      </c>
      <c r="BA121" s="1079" t="s">
        <v>2545</v>
      </c>
      <c r="BB121" s="1080">
        <v>0</v>
      </c>
      <c r="BC121" s="1080">
        <v>0</v>
      </c>
      <c r="BD121" s="1080">
        <v>0</v>
      </c>
      <c r="BE121" s="1080">
        <v>0</v>
      </c>
      <c r="BF121" s="1080">
        <v>0</v>
      </c>
      <c r="BG121" s="1080">
        <v>0</v>
      </c>
      <c r="BH121" s="1080">
        <v>0</v>
      </c>
      <c r="BI121" s="1080">
        <v>0</v>
      </c>
      <c r="BJ121" s="1080">
        <v>0</v>
      </c>
      <c r="BK121" s="1073"/>
      <c r="BL121" s="1074">
        <v>0</v>
      </c>
      <c r="BN121" s="1078">
        <v>72101800</v>
      </c>
      <c r="BO121" s="1079" t="s">
        <v>2546</v>
      </c>
      <c r="BP121" s="1080">
        <v>1329785274</v>
      </c>
      <c r="BQ121" s="1080">
        <v>668472455</v>
      </c>
      <c r="BR121" s="1080">
        <v>0</v>
      </c>
      <c r="BS121" s="1080">
        <v>0</v>
      </c>
      <c r="BT121" s="1080">
        <v>0</v>
      </c>
      <c r="BU121" s="1080">
        <v>1998257729</v>
      </c>
      <c r="BV121" s="1080">
        <v>0</v>
      </c>
      <c r="BW121" s="1080">
        <v>0</v>
      </c>
      <c r="BX121" s="1080">
        <v>1998257729</v>
      </c>
      <c r="BY121" s="1073"/>
      <c r="BZ121" s="1074">
        <v>1998257729</v>
      </c>
      <c r="CB121" s="1078">
        <v>72101800</v>
      </c>
      <c r="CC121" s="1079" t="s">
        <v>2546</v>
      </c>
      <c r="CD121" s="1080">
        <v>2194877288</v>
      </c>
      <c r="CE121" s="1080">
        <v>422049047</v>
      </c>
      <c r="CF121" s="1080">
        <v>0</v>
      </c>
      <c r="CG121" s="1080">
        <v>0</v>
      </c>
      <c r="CH121" s="1080">
        <v>0</v>
      </c>
      <c r="CI121" s="1080">
        <v>0</v>
      </c>
      <c r="CJ121" s="1080">
        <v>0</v>
      </c>
      <c r="CK121" s="1080">
        <v>2616926335</v>
      </c>
      <c r="CL121" s="1080">
        <v>0</v>
      </c>
      <c r="CM121" s="1080">
        <v>0</v>
      </c>
      <c r="CN121" s="1080">
        <v>2616926335</v>
      </c>
      <c r="CO121" s="1073"/>
      <c r="CP121" s="1074">
        <v>2616926335</v>
      </c>
    </row>
    <row r="122" spans="2:94">
      <c r="B122" s="1078">
        <v>72101400</v>
      </c>
      <c r="C122" s="1079" t="s">
        <v>2545</v>
      </c>
      <c r="D122" s="1080">
        <v>0</v>
      </c>
      <c r="E122" s="1080">
        <v>0</v>
      </c>
      <c r="F122" s="1080">
        <v>0</v>
      </c>
      <c r="G122" s="1080">
        <v>0</v>
      </c>
      <c r="H122" s="1080">
        <v>0</v>
      </c>
      <c r="I122" s="1080">
        <v>0</v>
      </c>
      <c r="J122" s="1080">
        <v>0</v>
      </c>
      <c r="K122" s="1080">
        <v>0</v>
      </c>
      <c r="L122" s="1080">
        <v>0</v>
      </c>
      <c r="N122" s="2177">
        <v>72101400</v>
      </c>
      <c r="O122" s="2178" t="s">
        <v>2545</v>
      </c>
      <c r="P122" s="2179">
        <v>0</v>
      </c>
      <c r="Q122" s="2179">
        <v>0</v>
      </c>
      <c r="R122" s="2179">
        <v>0</v>
      </c>
      <c r="S122" s="2179">
        <v>0</v>
      </c>
      <c r="T122" s="2179">
        <v>0</v>
      </c>
      <c r="U122" s="2179">
        <v>0</v>
      </c>
      <c r="V122" s="2179">
        <v>0</v>
      </c>
      <c r="W122" s="2179">
        <v>0</v>
      </c>
      <c r="X122" s="2179">
        <v>0</v>
      </c>
      <c r="Z122" s="2177">
        <v>72101800</v>
      </c>
      <c r="AA122" s="2178" t="s">
        <v>3866</v>
      </c>
      <c r="AB122" s="2179">
        <v>3619070665</v>
      </c>
      <c r="AC122" s="2179">
        <v>0</v>
      </c>
      <c r="AD122" s="2179">
        <v>0</v>
      </c>
      <c r="AE122" s="2179">
        <v>0</v>
      </c>
      <c r="AF122" s="2179">
        <v>0</v>
      </c>
      <c r="AG122" s="2179">
        <v>3619070665</v>
      </c>
      <c r="AH122" s="2179">
        <v>0</v>
      </c>
      <c r="AI122" s="2179">
        <v>0</v>
      </c>
      <c r="AJ122" s="2179">
        <v>3619070665</v>
      </c>
      <c r="AL122" s="1078">
        <v>72101800</v>
      </c>
      <c r="AM122" s="1079" t="s">
        <v>2546</v>
      </c>
      <c r="AN122" s="1080">
        <v>4136659863</v>
      </c>
      <c r="AO122" s="1080">
        <v>0</v>
      </c>
      <c r="AP122" s="1080">
        <v>0</v>
      </c>
      <c r="AQ122" s="1080">
        <v>0</v>
      </c>
      <c r="AR122" s="1080">
        <v>0</v>
      </c>
      <c r="AS122" s="1080">
        <v>4136659863</v>
      </c>
      <c r="AT122" s="1080">
        <v>0</v>
      </c>
      <c r="AU122" s="1080">
        <v>0</v>
      </c>
      <c r="AV122" s="1080">
        <v>4136659863</v>
      </c>
      <c r="AW122" s="1073"/>
      <c r="AX122" s="1074">
        <v>4136659863</v>
      </c>
      <c r="AZ122" s="1078">
        <v>72101800</v>
      </c>
      <c r="BA122" s="1079" t="s">
        <v>2546</v>
      </c>
      <c r="BB122" s="1080">
        <v>1698655957</v>
      </c>
      <c r="BC122" s="1080">
        <v>699313268</v>
      </c>
      <c r="BD122" s="1080">
        <v>0</v>
      </c>
      <c r="BE122" s="1080">
        <v>0</v>
      </c>
      <c r="BF122" s="1080">
        <v>0</v>
      </c>
      <c r="BG122" s="1080">
        <v>2397969225</v>
      </c>
      <c r="BH122" s="1080">
        <v>0</v>
      </c>
      <c r="BI122" s="1080">
        <v>0</v>
      </c>
      <c r="BJ122" s="1080">
        <v>2397969225</v>
      </c>
      <c r="BK122" s="1073"/>
      <c r="BL122" s="1074">
        <v>2397969225</v>
      </c>
      <c r="BN122" s="1078">
        <v>72101900</v>
      </c>
      <c r="BO122" s="1079" t="s">
        <v>2547</v>
      </c>
      <c r="BP122" s="1080">
        <v>11418308912</v>
      </c>
      <c r="BQ122" s="1080">
        <v>3399779804</v>
      </c>
      <c r="BR122" s="1080">
        <v>0</v>
      </c>
      <c r="BS122" s="1080">
        <v>24833101</v>
      </c>
      <c r="BT122" s="1080">
        <v>0</v>
      </c>
      <c r="BU122" s="1080">
        <v>14842921817</v>
      </c>
      <c r="BV122" s="1080">
        <v>0</v>
      </c>
      <c r="BW122" s="1080">
        <v>0</v>
      </c>
      <c r="BX122" s="1080">
        <v>14842921817</v>
      </c>
      <c r="BY122" s="1073"/>
      <c r="BZ122" s="1074">
        <v>14842921817</v>
      </c>
      <c r="CB122" s="1078">
        <v>72101900</v>
      </c>
      <c r="CC122" s="1079" t="s">
        <v>2547</v>
      </c>
      <c r="CD122" s="1080">
        <v>3065268317</v>
      </c>
      <c r="CE122" s="1080">
        <v>4868194479</v>
      </c>
      <c r="CF122" s="1080">
        <v>0</v>
      </c>
      <c r="CG122" s="1080">
        <v>0</v>
      </c>
      <c r="CH122" s="1080">
        <v>0</v>
      </c>
      <c r="CI122" s="1080">
        <v>1993828</v>
      </c>
      <c r="CJ122" s="1080">
        <v>0</v>
      </c>
      <c r="CK122" s="1080">
        <v>7935456624</v>
      </c>
      <c r="CL122" s="1080">
        <v>0</v>
      </c>
      <c r="CM122" s="1080">
        <v>0</v>
      </c>
      <c r="CN122" s="1080">
        <v>7935456624</v>
      </c>
      <c r="CO122" s="1073"/>
      <c r="CP122" s="1074">
        <v>7935456624</v>
      </c>
    </row>
    <row r="123" spans="2:94">
      <c r="B123" s="1078">
        <v>72101800</v>
      </c>
      <c r="C123" s="1079" t="s">
        <v>2546</v>
      </c>
      <c r="D123" s="1080">
        <v>5467828455</v>
      </c>
      <c r="E123" s="1080">
        <v>0</v>
      </c>
      <c r="F123" s="1080">
        <v>0</v>
      </c>
      <c r="G123" s="1080">
        <v>23041000</v>
      </c>
      <c r="H123" s="1080">
        <v>0</v>
      </c>
      <c r="I123" s="1080">
        <v>5490869455</v>
      </c>
      <c r="J123" s="1080">
        <v>0</v>
      </c>
      <c r="K123" s="1080">
        <v>0</v>
      </c>
      <c r="L123" s="1080">
        <v>5490869455</v>
      </c>
      <c r="N123" s="2177">
        <v>72101800</v>
      </c>
      <c r="O123" s="2178" t="s">
        <v>3866</v>
      </c>
      <c r="P123" s="2179">
        <v>8283196871</v>
      </c>
      <c r="Q123" s="2179">
        <v>0</v>
      </c>
      <c r="R123" s="2179">
        <v>0</v>
      </c>
      <c r="S123" s="2179">
        <v>9511009</v>
      </c>
      <c r="T123" s="2179">
        <v>0</v>
      </c>
      <c r="U123" s="2179">
        <v>8292707880</v>
      </c>
      <c r="V123" s="2179">
        <v>0</v>
      </c>
      <c r="W123" s="2179">
        <v>0</v>
      </c>
      <c r="X123" s="2179">
        <v>8292707880</v>
      </c>
      <c r="Z123" s="2177">
        <v>72101900</v>
      </c>
      <c r="AA123" s="2178" t="s">
        <v>3867</v>
      </c>
      <c r="AB123" s="2179">
        <v>10484828700</v>
      </c>
      <c r="AC123" s="2179">
        <v>1881430109</v>
      </c>
      <c r="AD123" s="2179">
        <v>0</v>
      </c>
      <c r="AE123" s="2179">
        <v>12939321</v>
      </c>
      <c r="AF123" s="2179">
        <v>0</v>
      </c>
      <c r="AG123" s="2179">
        <v>12379198130</v>
      </c>
      <c r="AH123" s="2179">
        <v>0</v>
      </c>
      <c r="AI123" s="2179">
        <v>0</v>
      </c>
      <c r="AJ123" s="2179">
        <v>12379198130</v>
      </c>
      <c r="AL123" s="1078">
        <v>72101900</v>
      </c>
      <c r="AM123" s="1079" t="s">
        <v>2547</v>
      </c>
      <c r="AN123" s="1080">
        <v>9155779548</v>
      </c>
      <c r="AO123" s="1080">
        <v>0</v>
      </c>
      <c r="AP123" s="1080">
        <v>0</v>
      </c>
      <c r="AQ123" s="1080">
        <v>12978251</v>
      </c>
      <c r="AR123" s="1080">
        <v>0</v>
      </c>
      <c r="AS123" s="1080">
        <v>9168757799</v>
      </c>
      <c r="AT123" s="1080">
        <v>0</v>
      </c>
      <c r="AU123" s="1080">
        <v>0</v>
      </c>
      <c r="AV123" s="1080">
        <v>9168757799</v>
      </c>
      <c r="AW123" s="1073"/>
      <c r="AX123" s="1074">
        <v>9168757799</v>
      </c>
      <c r="AZ123" s="1078">
        <v>72101900</v>
      </c>
      <c r="BA123" s="1079" t="s">
        <v>2547</v>
      </c>
      <c r="BB123" s="1080">
        <v>16402774282</v>
      </c>
      <c r="BC123" s="1080">
        <v>6258564658</v>
      </c>
      <c r="BD123" s="1080">
        <v>0</v>
      </c>
      <c r="BE123" s="1080">
        <v>19824440</v>
      </c>
      <c r="BF123" s="1080">
        <v>0</v>
      </c>
      <c r="BG123" s="1080">
        <v>22681163380</v>
      </c>
      <c r="BH123" s="1080">
        <v>0</v>
      </c>
      <c r="BI123" s="1080">
        <v>0</v>
      </c>
      <c r="BJ123" s="1080">
        <v>22681163380</v>
      </c>
      <c r="BK123" s="1073"/>
      <c r="BL123" s="1074">
        <v>22681163380</v>
      </c>
      <c r="BN123" s="1078">
        <v>72102000</v>
      </c>
      <c r="BO123" s="1079" t="s">
        <v>2548</v>
      </c>
      <c r="BP123" s="1080">
        <v>0</v>
      </c>
      <c r="BQ123" s="1080">
        <v>30000000</v>
      </c>
      <c r="BR123" s="1080">
        <v>8743973</v>
      </c>
      <c r="BS123" s="1080">
        <v>0</v>
      </c>
      <c r="BT123" s="1080">
        <v>0</v>
      </c>
      <c r="BU123" s="1080">
        <v>38743973</v>
      </c>
      <c r="BV123" s="1080">
        <v>0</v>
      </c>
      <c r="BW123" s="1080">
        <v>0</v>
      </c>
      <c r="BX123" s="1080">
        <v>38743973</v>
      </c>
      <c r="BY123" s="1073"/>
      <c r="BZ123" s="1074">
        <v>38743973</v>
      </c>
      <c r="CB123" s="1078">
        <v>72102000</v>
      </c>
      <c r="CC123" s="1079" t="s">
        <v>2548</v>
      </c>
      <c r="CD123" s="1080">
        <v>0</v>
      </c>
      <c r="CE123" s="1080">
        <v>0</v>
      </c>
      <c r="CF123" s="1080">
        <v>0</v>
      </c>
      <c r="CG123" s="1080">
        <v>0</v>
      </c>
      <c r="CH123" s="1080">
        <v>0</v>
      </c>
      <c r="CI123" s="1080">
        <v>0</v>
      </c>
      <c r="CJ123" s="1080">
        <v>0</v>
      </c>
      <c r="CK123" s="1080">
        <v>0</v>
      </c>
      <c r="CL123" s="1080">
        <v>0</v>
      </c>
      <c r="CM123" s="1080">
        <v>0</v>
      </c>
      <c r="CN123" s="1080">
        <v>0</v>
      </c>
      <c r="CO123" s="1073"/>
      <c r="CP123" s="1074">
        <v>0</v>
      </c>
    </row>
    <row r="124" spans="2:94">
      <c r="B124" s="1078">
        <v>72101900</v>
      </c>
      <c r="C124" s="1079" t="s">
        <v>2547</v>
      </c>
      <c r="D124" s="1080">
        <v>10053071181</v>
      </c>
      <c r="E124" s="1080">
        <v>0</v>
      </c>
      <c r="F124" s="1080">
        <v>0</v>
      </c>
      <c r="G124" s="1080">
        <v>29384634</v>
      </c>
      <c r="H124" s="1080">
        <v>0</v>
      </c>
      <c r="I124" s="1080">
        <v>10082455815</v>
      </c>
      <c r="J124" s="1080">
        <v>0</v>
      </c>
      <c r="K124" s="1080">
        <v>0</v>
      </c>
      <c r="L124" s="1080">
        <v>10082455815</v>
      </c>
      <c r="N124" s="2177">
        <v>72101900</v>
      </c>
      <c r="O124" s="2178" t="s">
        <v>3867</v>
      </c>
      <c r="P124" s="2179">
        <v>5513248995</v>
      </c>
      <c r="Q124" s="2179">
        <v>0</v>
      </c>
      <c r="R124" s="2179">
        <v>0</v>
      </c>
      <c r="S124" s="2179">
        <v>9388325</v>
      </c>
      <c r="T124" s="2179">
        <v>0</v>
      </c>
      <c r="U124" s="2179">
        <v>5522637320</v>
      </c>
      <c r="V124" s="2179">
        <v>0</v>
      </c>
      <c r="W124" s="2179">
        <v>0</v>
      </c>
      <c r="X124" s="2179">
        <v>5522637320</v>
      </c>
      <c r="Z124" s="2177">
        <v>72102000</v>
      </c>
      <c r="AA124" s="2178" t="s">
        <v>2548</v>
      </c>
      <c r="AB124" s="2179">
        <v>0</v>
      </c>
      <c r="AC124" s="2179">
        <v>0</v>
      </c>
      <c r="AD124" s="2179">
        <v>0</v>
      </c>
      <c r="AE124" s="2179">
        <v>0</v>
      </c>
      <c r="AF124" s="2179">
        <v>0</v>
      </c>
      <c r="AG124" s="2179">
        <v>0</v>
      </c>
      <c r="AH124" s="2179">
        <v>0</v>
      </c>
      <c r="AI124" s="2179">
        <v>0</v>
      </c>
      <c r="AJ124" s="2179">
        <v>0</v>
      </c>
      <c r="AL124" s="1078">
        <v>72102000</v>
      </c>
      <c r="AM124" s="1079" t="s">
        <v>2548</v>
      </c>
      <c r="AN124" s="1080">
        <v>0</v>
      </c>
      <c r="AO124" s="1080">
        <v>0</v>
      </c>
      <c r="AP124" s="1080">
        <v>0</v>
      </c>
      <c r="AQ124" s="1080">
        <v>0</v>
      </c>
      <c r="AR124" s="1080">
        <v>0</v>
      </c>
      <c r="AS124" s="1080">
        <v>0</v>
      </c>
      <c r="AT124" s="1080">
        <v>0</v>
      </c>
      <c r="AU124" s="1080">
        <v>0</v>
      </c>
      <c r="AV124" s="1080">
        <v>0</v>
      </c>
      <c r="AW124" s="1073"/>
      <c r="AX124" s="1074">
        <v>0</v>
      </c>
      <c r="AZ124" s="1078">
        <v>72102000</v>
      </c>
      <c r="BA124" s="1079" t="s">
        <v>2548</v>
      </c>
      <c r="BB124" s="1080">
        <v>0</v>
      </c>
      <c r="BC124" s="1080">
        <v>-14000000</v>
      </c>
      <c r="BD124" s="1080">
        <v>0</v>
      </c>
      <c r="BE124" s="1080">
        <v>0</v>
      </c>
      <c r="BF124" s="1080">
        <v>0</v>
      </c>
      <c r="BG124" s="1080">
        <v>-14000000</v>
      </c>
      <c r="BH124" s="1080">
        <v>0</v>
      </c>
      <c r="BI124" s="1080">
        <v>0</v>
      </c>
      <c r="BJ124" s="1080">
        <v>-14000000</v>
      </c>
      <c r="BK124" s="1073"/>
      <c r="BL124" s="1074">
        <v>-14000000</v>
      </c>
      <c r="BN124" s="1078">
        <v>72102100</v>
      </c>
      <c r="BO124" s="1079" t="s">
        <v>2549</v>
      </c>
      <c r="BP124" s="1080">
        <v>0</v>
      </c>
      <c r="BQ124" s="1080">
        <v>0</v>
      </c>
      <c r="BR124" s="1080">
        <v>0</v>
      </c>
      <c r="BS124" s="1080">
        <v>0</v>
      </c>
      <c r="BT124" s="1080">
        <v>0</v>
      </c>
      <c r="BU124" s="1080">
        <v>0</v>
      </c>
      <c r="BV124" s="1080">
        <v>0</v>
      </c>
      <c r="BW124" s="1080">
        <v>0</v>
      </c>
      <c r="BX124" s="1080">
        <v>0</v>
      </c>
      <c r="BY124" s="1073"/>
      <c r="BZ124" s="1074">
        <v>0</v>
      </c>
      <c r="CB124" s="1078">
        <v>72102100</v>
      </c>
      <c r="CC124" s="1079" t="s">
        <v>2549</v>
      </c>
      <c r="CD124" s="1080">
        <v>0</v>
      </c>
      <c r="CE124" s="1080">
        <v>0</v>
      </c>
      <c r="CF124" s="1080">
        <v>0</v>
      </c>
      <c r="CG124" s="1080">
        <v>0</v>
      </c>
      <c r="CH124" s="1080">
        <v>0</v>
      </c>
      <c r="CI124" s="1080">
        <v>0</v>
      </c>
      <c r="CJ124" s="1080">
        <v>0</v>
      </c>
      <c r="CK124" s="1080">
        <v>0</v>
      </c>
      <c r="CL124" s="1080">
        <v>0</v>
      </c>
      <c r="CM124" s="1080">
        <v>0</v>
      </c>
      <c r="CN124" s="1080">
        <v>0</v>
      </c>
      <c r="CO124" s="1073"/>
      <c r="CP124" s="1074">
        <v>0</v>
      </c>
    </row>
    <row r="125" spans="2:94">
      <c r="B125" s="1078">
        <v>72102000</v>
      </c>
      <c r="C125" s="1079" t="s">
        <v>2548</v>
      </c>
      <c r="D125" s="1080">
        <v>0</v>
      </c>
      <c r="E125" s="1080">
        <v>0</v>
      </c>
      <c r="F125" s="1080">
        <v>0</v>
      </c>
      <c r="G125" s="1080">
        <v>0</v>
      </c>
      <c r="H125" s="1080">
        <v>0</v>
      </c>
      <c r="I125" s="1080">
        <v>0</v>
      </c>
      <c r="J125" s="1080">
        <v>0</v>
      </c>
      <c r="K125" s="1080">
        <v>0</v>
      </c>
      <c r="L125" s="1080">
        <v>0</v>
      </c>
      <c r="N125" s="2177">
        <v>72102000</v>
      </c>
      <c r="O125" s="2178" t="s">
        <v>2548</v>
      </c>
      <c r="P125" s="2179">
        <v>0</v>
      </c>
      <c r="Q125" s="2179">
        <v>0</v>
      </c>
      <c r="R125" s="2179">
        <v>0</v>
      </c>
      <c r="S125" s="2179">
        <v>0</v>
      </c>
      <c r="T125" s="2179">
        <v>0</v>
      </c>
      <c r="U125" s="2179">
        <v>0</v>
      </c>
      <c r="V125" s="2179">
        <v>0</v>
      </c>
      <c r="W125" s="2179">
        <v>0</v>
      </c>
      <c r="X125" s="2179">
        <v>0</v>
      </c>
      <c r="Z125" s="2177">
        <v>72102100</v>
      </c>
      <c r="AA125" s="2178" t="s">
        <v>2549</v>
      </c>
      <c r="AB125" s="2179">
        <v>0</v>
      </c>
      <c r="AC125" s="2179">
        <v>0</v>
      </c>
      <c r="AD125" s="2179">
        <v>0</v>
      </c>
      <c r="AE125" s="2179">
        <v>0</v>
      </c>
      <c r="AF125" s="2179">
        <v>0</v>
      </c>
      <c r="AG125" s="2179">
        <v>0</v>
      </c>
      <c r="AH125" s="2179">
        <v>0</v>
      </c>
      <c r="AI125" s="2179">
        <v>0</v>
      </c>
      <c r="AJ125" s="2179">
        <v>0</v>
      </c>
      <c r="AL125" s="1078">
        <v>72102100</v>
      </c>
      <c r="AM125" s="1079" t="s">
        <v>2549</v>
      </c>
      <c r="AN125" s="1080">
        <v>0</v>
      </c>
      <c r="AO125" s="1080">
        <v>0</v>
      </c>
      <c r="AP125" s="1080">
        <v>0</v>
      </c>
      <c r="AQ125" s="1080">
        <v>0</v>
      </c>
      <c r="AR125" s="1080">
        <v>0</v>
      </c>
      <c r="AS125" s="1080">
        <v>0</v>
      </c>
      <c r="AT125" s="1080">
        <v>0</v>
      </c>
      <c r="AU125" s="1080">
        <v>0</v>
      </c>
      <c r="AV125" s="1080">
        <v>0</v>
      </c>
      <c r="AW125" s="1073"/>
      <c r="AX125" s="1074">
        <v>0</v>
      </c>
      <c r="AZ125" s="1078">
        <v>72102100</v>
      </c>
      <c r="BA125" s="1079" t="s">
        <v>2549</v>
      </c>
      <c r="BB125" s="1080">
        <v>0</v>
      </c>
      <c r="BC125" s="1080">
        <v>0</v>
      </c>
      <c r="BD125" s="1080">
        <v>0</v>
      </c>
      <c r="BE125" s="1080">
        <v>0</v>
      </c>
      <c r="BF125" s="1080">
        <v>0</v>
      </c>
      <c r="BG125" s="1080">
        <v>0</v>
      </c>
      <c r="BH125" s="1080">
        <v>0</v>
      </c>
      <c r="BI125" s="1080">
        <v>0</v>
      </c>
      <c r="BJ125" s="1080">
        <v>0</v>
      </c>
      <c r="BK125" s="1073"/>
      <c r="BL125" s="1074">
        <v>0</v>
      </c>
      <c r="BN125" s="1078">
        <v>72102200</v>
      </c>
      <c r="BO125" s="1079" t="s">
        <v>2550</v>
      </c>
      <c r="BP125" s="1080">
        <v>0</v>
      </c>
      <c r="BQ125" s="1080">
        <v>0</v>
      </c>
      <c r="BR125" s="1080">
        <v>0</v>
      </c>
      <c r="BS125" s="1080">
        <v>0</v>
      </c>
      <c r="BT125" s="1080">
        <v>0</v>
      </c>
      <c r="BU125" s="1080">
        <v>0</v>
      </c>
      <c r="BV125" s="1080">
        <v>0</v>
      </c>
      <c r="BW125" s="1080">
        <v>0</v>
      </c>
      <c r="BX125" s="1080">
        <v>0</v>
      </c>
      <c r="BY125" s="1073"/>
      <c r="BZ125" s="1074">
        <v>0</v>
      </c>
      <c r="CB125" s="1078">
        <v>72102200</v>
      </c>
      <c r="CC125" s="1079" t="s">
        <v>2550</v>
      </c>
      <c r="CD125" s="1080">
        <v>0</v>
      </c>
      <c r="CE125" s="1080">
        <v>0</v>
      </c>
      <c r="CF125" s="1080">
        <v>0</v>
      </c>
      <c r="CG125" s="1080">
        <v>0</v>
      </c>
      <c r="CH125" s="1080">
        <v>0</v>
      </c>
      <c r="CI125" s="1080">
        <v>0</v>
      </c>
      <c r="CJ125" s="1080">
        <v>0</v>
      </c>
      <c r="CK125" s="1080">
        <v>0</v>
      </c>
      <c r="CL125" s="1080">
        <v>0</v>
      </c>
      <c r="CM125" s="1080">
        <v>0</v>
      </c>
      <c r="CN125" s="1080">
        <v>0</v>
      </c>
      <c r="CO125" s="1073"/>
      <c r="CP125" s="1074">
        <v>0</v>
      </c>
    </row>
    <row r="126" spans="2:94">
      <c r="B126" s="1078">
        <v>72102100</v>
      </c>
      <c r="C126" s="1079" t="s">
        <v>2549</v>
      </c>
      <c r="D126" s="1080">
        <v>0</v>
      </c>
      <c r="E126" s="1080">
        <v>0</v>
      </c>
      <c r="F126" s="1080">
        <v>0</v>
      </c>
      <c r="G126" s="1080">
        <v>0</v>
      </c>
      <c r="H126" s="1080">
        <v>0</v>
      </c>
      <c r="I126" s="1080">
        <v>0</v>
      </c>
      <c r="J126" s="1080">
        <v>0</v>
      </c>
      <c r="K126" s="1080">
        <v>0</v>
      </c>
      <c r="L126" s="1080">
        <v>0</v>
      </c>
      <c r="N126" s="2177">
        <v>72102100</v>
      </c>
      <c r="O126" s="2178" t="s">
        <v>2549</v>
      </c>
      <c r="P126" s="2179">
        <v>0</v>
      </c>
      <c r="Q126" s="2179">
        <v>0</v>
      </c>
      <c r="R126" s="2179">
        <v>0</v>
      </c>
      <c r="S126" s="2179">
        <v>0</v>
      </c>
      <c r="T126" s="2179">
        <v>0</v>
      </c>
      <c r="U126" s="2179">
        <v>0</v>
      </c>
      <c r="V126" s="2179">
        <v>0</v>
      </c>
      <c r="W126" s="2179">
        <v>0</v>
      </c>
      <c r="X126" s="2179">
        <v>0</v>
      </c>
      <c r="Z126" s="2177">
        <v>72102200</v>
      </c>
      <c r="AA126" s="2178" t="s">
        <v>2550</v>
      </c>
      <c r="AB126" s="2179">
        <v>0</v>
      </c>
      <c r="AC126" s="2179">
        <v>0</v>
      </c>
      <c r="AD126" s="2179">
        <v>0</v>
      </c>
      <c r="AE126" s="2179">
        <v>0</v>
      </c>
      <c r="AF126" s="2179">
        <v>0</v>
      </c>
      <c r="AG126" s="2179">
        <v>0</v>
      </c>
      <c r="AH126" s="2179">
        <v>0</v>
      </c>
      <c r="AI126" s="2179">
        <v>0</v>
      </c>
      <c r="AJ126" s="2179">
        <v>0</v>
      </c>
      <c r="AL126" s="1078">
        <v>72102200</v>
      </c>
      <c r="AM126" s="1079" t="s">
        <v>2550</v>
      </c>
      <c r="AN126" s="1080">
        <v>0</v>
      </c>
      <c r="AO126" s="1080">
        <v>0</v>
      </c>
      <c r="AP126" s="1080">
        <v>0</v>
      </c>
      <c r="AQ126" s="1080">
        <v>0</v>
      </c>
      <c r="AR126" s="1080">
        <v>0</v>
      </c>
      <c r="AS126" s="1080">
        <v>0</v>
      </c>
      <c r="AT126" s="1080">
        <v>0</v>
      </c>
      <c r="AU126" s="1080">
        <v>0</v>
      </c>
      <c r="AV126" s="1080">
        <v>0</v>
      </c>
      <c r="AW126" s="1073"/>
      <c r="AX126" s="1074">
        <v>0</v>
      </c>
      <c r="AZ126" s="1078">
        <v>72102200</v>
      </c>
      <c r="BA126" s="1079" t="s">
        <v>2550</v>
      </c>
      <c r="BB126" s="1080">
        <v>0</v>
      </c>
      <c r="BC126" s="1080">
        <v>0</v>
      </c>
      <c r="BD126" s="1080">
        <v>0</v>
      </c>
      <c r="BE126" s="1080">
        <v>0</v>
      </c>
      <c r="BF126" s="1080">
        <v>0</v>
      </c>
      <c r="BG126" s="1080">
        <v>0</v>
      </c>
      <c r="BH126" s="1080">
        <v>0</v>
      </c>
      <c r="BI126" s="1080">
        <v>0</v>
      </c>
      <c r="BJ126" s="1080">
        <v>0</v>
      </c>
      <c r="BK126" s="1073"/>
      <c r="BL126" s="1074">
        <v>0</v>
      </c>
      <c r="BN126" s="1078">
        <v>72102300</v>
      </c>
      <c r="BO126" s="1079" t="s">
        <v>2551</v>
      </c>
      <c r="BP126" s="1080">
        <v>0</v>
      </c>
      <c r="BQ126" s="1080">
        <v>0</v>
      </c>
      <c r="BR126" s="1080">
        <v>0</v>
      </c>
      <c r="BS126" s="1080">
        <v>0</v>
      </c>
      <c r="BT126" s="1080">
        <v>0</v>
      </c>
      <c r="BU126" s="1080">
        <v>0</v>
      </c>
      <c r="BV126" s="1080">
        <v>0</v>
      </c>
      <c r="BW126" s="1080">
        <v>0</v>
      </c>
      <c r="BX126" s="1080">
        <v>0</v>
      </c>
      <c r="BY126" s="1073"/>
      <c r="BZ126" s="1074">
        <v>0</v>
      </c>
      <c r="CB126" s="1078">
        <v>72102300</v>
      </c>
      <c r="CC126" s="1079" t="s">
        <v>2551</v>
      </c>
      <c r="CD126" s="1080">
        <v>0</v>
      </c>
      <c r="CE126" s="1080">
        <v>0</v>
      </c>
      <c r="CF126" s="1080">
        <v>0</v>
      </c>
      <c r="CG126" s="1080">
        <v>0</v>
      </c>
      <c r="CH126" s="1080">
        <v>0</v>
      </c>
      <c r="CI126" s="1080">
        <v>0</v>
      </c>
      <c r="CJ126" s="1080">
        <v>0</v>
      </c>
      <c r="CK126" s="1080">
        <v>0</v>
      </c>
      <c r="CL126" s="1080">
        <v>0</v>
      </c>
      <c r="CM126" s="1080">
        <v>0</v>
      </c>
      <c r="CN126" s="1080">
        <v>0</v>
      </c>
      <c r="CO126" s="1073"/>
      <c r="CP126" s="1074">
        <v>0</v>
      </c>
    </row>
    <row r="127" spans="2:94">
      <c r="B127" s="1078">
        <v>72102200</v>
      </c>
      <c r="C127" s="1079" t="s">
        <v>2550</v>
      </c>
      <c r="D127" s="1080">
        <v>0</v>
      </c>
      <c r="E127" s="1080">
        <v>0</v>
      </c>
      <c r="F127" s="1080">
        <v>0</v>
      </c>
      <c r="G127" s="1080">
        <v>0</v>
      </c>
      <c r="H127" s="1080">
        <v>0</v>
      </c>
      <c r="I127" s="1080">
        <v>0</v>
      </c>
      <c r="J127" s="1080">
        <v>0</v>
      </c>
      <c r="K127" s="1080">
        <v>0</v>
      </c>
      <c r="L127" s="1080">
        <v>0</v>
      </c>
      <c r="N127" s="2177">
        <v>72102200</v>
      </c>
      <c r="O127" s="2178" t="s">
        <v>2550</v>
      </c>
      <c r="P127" s="2179">
        <v>0</v>
      </c>
      <c r="Q127" s="2179">
        <v>0</v>
      </c>
      <c r="R127" s="2179">
        <v>0</v>
      </c>
      <c r="S127" s="2179">
        <v>0</v>
      </c>
      <c r="T127" s="2179">
        <v>0</v>
      </c>
      <c r="U127" s="2179">
        <v>0</v>
      </c>
      <c r="V127" s="2179">
        <v>0</v>
      </c>
      <c r="W127" s="2179">
        <v>0</v>
      </c>
      <c r="X127" s="2179">
        <v>0</v>
      </c>
      <c r="Z127" s="2177">
        <v>72102300</v>
      </c>
      <c r="AA127" s="2178" t="s">
        <v>2551</v>
      </c>
      <c r="AB127" s="2179">
        <v>0</v>
      </c>
      <c r="AC127" s="2179">
        <v>0</v>
      </c>
      <c r="AD127" s="2179">
        <v>0</v>
      </c>
      <c r="AE127" s="2179">
        <v>0</v>
      </c>
      <c r="AF127" s="2179">
        <v>0</v>
      </c>
      <c r="AG127" s="2179">
        <v>0</v>
      </c>
      <c r="AH127" s="2179">
        <v>0</v>
      </c>
      <c r="AI127" s="2179">
        <v>0</v>
      </c>
      <c r="AJ127" s="2179">
        <v>0</v>
      </c>
      <c r="AL127" s="1078">
        <v>72102300</v>
      </c>
      <c r="AM127" s="1079" t="s">
        <v>2551</v>
      </c>
      <c r="AN127" s="1080">
        <v>0</v>
      </c>
      <c r="AO127" s="1080">
        <v>0</v>
      </c>
      <c r="AP127" s="1080">
        <v>0</v>
      </c>
      <c r="AQ127" s="1080">
        <v>0</v>
      </c>
      <c r="AR127" s="1080">
        <v>0</v>
      </c>
      <c r="AS127" s="1080">
        <v>0</v>
      </c>
      <c r="AT127" s="1080">
        <v>0</v>
      </c>
      <c r="AU127" s="1080">
        <v>0</v>
      </c>
      <c r="AV127" s="1080">
        <v>0</v>
      </c>
      <c r="AW127" s="1073"/>
      <c r="AX127" s="1074">
        <v>0</v>
      </c>
      <c r="AZ127" s="1078">
        <v>72102300</v>
      </c>
      <c r="BA127" s="1079" t="s">
        <v>2551</v>
      </c>
      <c r="BB127" s="1080">
        <v>0</v>
      </c>
      <c r="BC127" s="1080">
        <v>0</v>
      </c>
      <c r="BD127" s="1080">
        <v>0</v>
      </c>
      <c r="BE127" s="1080">
        <v>0</v>
      </c>
      <c r="BF127" s="1080">
        <v>0</v>
      </c>
      <c r="BG127" s="1080">
        <v>0</v>
      </c>
      <c r="BH127" s="1080">
        <v>0</v>
      </c>
      <c r="BI127" s="1080">
        <v>0</v>
      </c>
      <c r="BJ127" s="1080">
        <v>0</v>
      </c>
      <c r="BK127" s="1073"/>
      <c r="BL127" s="1074">
        <v>0</v>
      </c>
      <c r="BN127" s="1078">
        <v>72102600</v>
      </c>
      <c r="BO127" s="1079" t="s">
        <v>231</v>
      </c>
      <c r="BP127" s="1080">
        <v>1625910834</v>
      </c>
      <c r="BQ127" s="1080">
        <v>7317850</v>
      </c>
      <c r="BR127" s="1080">
        <v>5127812</v>
      </c>
      <c r="BS127" s="1080">
        <v>2129669</v>
      </c>
      <c r="BT127" s="1080">
        <v>55037</v>
      </c>
      <c r="BU127" s="1080">
        <v>1640541202</v>
      </c>
      <c r="BV127" s="1080">
        <v>-175806818</v>
      </c>
      <c r="BW127" s="1080">
        <v>0</v>
      </c>
      <c r="BX127" s="1080">
        <v>1464734384</v>
      </c>
      <c r="BY127" s="1073"/>
      <c r="BZ127" s="1074">
        <v>1464734384</v>
      </c>
      <c r="CB127" s="1078">
        <v>72102600</v>
      </c>
      <c r="CC127" s="1079" t="s">
        <v>231</v>
      </c>
      <c r="CD127" s="1080">
        <v>497854611</v>
      </c>
      <c r="CE127" s="1080">
        <v>4339512</v>
      </c>
      <c r="CF127" s="1080">
        <v>0</v>
      </c>
      <c r="CG127" s="1080">
        <v>417940</v>
      </c>
      <c r="CH127" s="1080">
        <v>0</v>
      </c>
      <c r="CI127" s="1080">
        <v>467269</v>
      </c>
      <c r="CJ127" s="1080">
        <v>10777</v>
      </c>
      <c r="CK127" s="1080">
        <v>503090109</v>
      </c>
      <c r="CL127" s="1080">
        <v>-87177223</v>
      </c>
      <c r="CM127" s="1080">
        <v>0</v>
      </c>
      <c r="CN127" s="1080">
        <v>415912886</v>
      </c>
      <c r="CO127" s="1073"/>
      <c r="CP127" s="1074">
        <v>415912886</v>
      </c>
    </row>
    <row r="128" spans="2:94">
      <c r="B128" s="1078">
        <v>72102300</v>
      </c>
      <c r="C128" s="1079" t="s">
        <v>2551</v>
      </c>
      <c r="D128" s="1080">
        <v>0</v>
      </c>
      <c r="E128" s="1080">
        <v>0</v>
      </c>
      <c r="F128" s="1080">
        <v>0</v>
      </c>
      <c r="G128" s="1080">
        <v>0</v>
      </c>
      <c r="H128" s="1080">
        <v>0</v>
      </c>
      <c r="I128" s="1080">
        <v>0</v>
      </c>
      <c r="J128" s="1080">
        <v>0</v>
      </c>
      <c r="K128" s="1080">
        <v>0</v>
      </c>
      <c r="L128" s="1080">
        <v>0</v>
      </c>
      <c r="N128" s="2177">
        <v>72102300</v>
      </c>
      <c r="O128" s="2178" t="s">
        <v>2551</v>
      </c>
      <c r="P128" s="2179">
        <v>0</v>
      </c>
      <c r="Q128" s="2179">
        <v>0</v>
      </c>
      <c r="R128" s="2179">
        <v>0</v>
      </c>
      <c r="S128" s="2179">
        <v>0</v>
      </c>
      <c r="T128" s="2179">
        <v>0</v>
      </c>
      <c r="U128" s="2179">
        <v>0</v>
      </c>
      <c r="V128" s="2179">
        <v>0</v>
      </c>
      <c r="W128" s="2179">
        <v>0</v>
      </c>
      <c r="X128" s="2179">
        <v>0</v>
      </c>
      <c r="Z128" s="2177">
        <v>72102600</v>
      </c>
      <c r="AA128" s="2178" t="s">
        <v>231</v>
      </c>
      <c r="AB128" s="2179">
        <v>1216073737</v>
      </c>
      <c r="AC128" s="2179">
        <v>22489709</v>
      </c>
      <c r="AD128" s="2179">
        <v>5614114</v>
      </c>
      <c r="AE128" s="2179">
        <v>22952397</v>
      </c>
      <c r="AF128" s="2179">
        <v>0</v>
      </c>
      <c r="AG128" s="2179">
        <v>1267129957</v>
      </c>
      <c r="AH128" s="2179">
        <v>-306445320</v>
      </c>
      <c r="AI128" s="2179">
        <v>0</v>
      </c>
      <c r="AJ128" s="2179">
        <v>960684637</v>
      </c>
      <c r="AL128" s="1078">
        <v>72102600</v>
      </c>
      <c r="AM128" s="1079" t="s">
        <v>231</v>
      </c>
      <c r="AN128" s="1080">
        <v>637146462</v>
      </c>
      <c r="AO128" s="1080">
        <v>19194120</v>
      </c>
      <c r="AP128" s="1080">
        <v>5614083</v>
      </c>
      <c r="AQ128" s="1080">
        <v>9</v>
      </c>
      <c r="AR128" s="1080">
        <v>0</v>
      </c>
      <c r="AS128" s="1080">
        <v>661954674</v>
      </c>
      <c r="AT128" s="1080">
        <v>-306445320</v>
      </c>
      <c r="AU128" s="1080">
        <v>0</v>
      </c>
      <c r="AV128" s="1080">
        <v>355509354</v>
      </c>
      <c r="AW128" s="1073"/>
      <c r="AX128" s="1074">
        <v>355509354</v>
      </c>
      <c r="AZ128" s="1078">
        <v>72102600</v>
      </c>
      <c r="BA128" s="1079" t="s">
        <v>231</v>
      </c>
      <c r="BB128" s="1080">
        <v>967686341</v>
      </c>
      <c r="BC128" s="1080">
        <v>25735188</v>
      </c>
      <c r="BD128" s="1080">
        <v>19577567</v>
      </c>
      <c r="BE128" s="1080">
        <v>1950008</v>
      </c>
      <c r="BF128" s="1080">
        <v>53212</v>
      </c>
      <c r="BG128" s="1080">
        <v>1015002316</v>
      </c>
      <c r="BH128" s="1080">
        <v>-232656022</v>
      </c>
      <c r="BI128" s="1080">
        <v>0</v>
      </c>
      <c r="BJ128" s="1080">
        <v>782346294</v>
      </c>
      <c r="BK128" s="1073"/>
      <c r="BL128" s="1074">
        <v>782346294</v>
      </c>
      <c r="BN128" s="1070">
        <v>72900000</v>
      </c>
      <c r="BO128" s="1071" t="s">
        <v>2552</v>
      </c>
      <c r="BP128" s="1072">
        <v>215757549961</v>
      </c>
      <c r="BQ128" s="1072">
        <v>2746362598</v>
      </c>
      <c r="BR128" s="1072">
        <v>35006299736</v>
      </c>
      <c r="BS128" s="1072">
        <v>563411324</v>
      </c>
      <c r="BT128" s="1072">
        <v>2792970151</v>
      </c>
      <c r="BU128" s="1072">
        <v>256866593770</v>
      </c>
      <c r="BV128" s="1072">
        <v>0</v>
      </c>
      <c r="BW128" s="1072">
        <v>0</v>
      </c>
      <c r="BX128" s="1072">
        <v>257776863705</v>
      </c>
      <c r="BY128" s="1073"/>
      <c r="BZ128" s="1074"/>
      <c r="CB128" s="1070">
        <v>72900000</v>
      </c>
      <c r="CC128" s="1071" t="s">
        <v>2552</v>
      </c>
      <c r="CD128" s="1072">
        <v>237809793779</v>
      </c>
      <c r="CE128" s="1072">
        <v>3127837855</v>
      </c>
      <c r="CF128" s="1072">
        <v>0</v>
      </c>
      <c r="CG128" s="1072">
        <v>31863432178</v>
      </c>
      <c r="CH128" s="1072">
        <v>0</v>
      </c>
      <c r="CI128" s="1072">
        <v>497861031</v>
      </c>
      <c r="CJ128" s="1072">
        <v>1844845151</v>
      </c>
      <c r="CK128" s="1072">
        <v>275143769994</v>
      </c>
      <c r="CL128" s="1072">
        <v>0</v>
      </c>
      <c r="CM128" s="1072">
        <v>0</v>
      </c>
      <c r="CN128" s="1072">
        <v>272015115131</v>
      </c>
      <c r="CO128" s="1073"/>
      <c r="CP128" s="1074"/>
    </row>
    <row r="129" spans="2:94">
      <c r="B129" s="1078">
        <v>72102600</v>
      </c>
      <c r="C129" s="1079" t="s">
        <v>231</v>
      </c>
      <c r="D129" s="1080">
        <v>240924299</v>
      </c>
      <c r="E129" s="1080">
        <v>5251806</v>
      </c>
      <c r="F129" s="1080">
        <v>33456697</v>
      </c>
      <c r="G129" s="1080">
        <v>1056000</v>
      </c>
      <c r="H129" s="1080">
        <v>34</v>
      </c>
      <c r="I129" s="1080">
        <v>280688836</v>
      </c>
      <c r="J129" s="1080">
        <v>-18117044</v>
      </c>
      <c r="K129" s="1080">
        <v>0</v>
      </c>
      <c r="L129" s="1080">
        <v>262571792</v>
      </c>
      <c r="N129" s="2177">
        <v>72102600</v>
      </c>
      <c r="O129" s="2178" t="s">
        <v>231</v>
      </c>
      <c r="P129" s="2179">
        <v>79095008</v>
      </c>
      <c r="Q129" s="2179">
        <v>4269053</v>
      </c>
      <c r="R129" s="2179">
        <v>6</v>
      </c>
      <c r="S129" s="2179">
        <v>256000</v>
      </c>
      <c r="T129" s="2179">
        <v>34</v>
      </c>
      <c r="U129" s="2179">
        <v>83620101</v>
      </c>
      <c r="V129" s="2179">
        <v>-18117044</v>
      </c>
      <c r="W129" s="2179">
        <v>0</v>
      </c>
      <c r="X129" s="2179">
        <v>65503057</v>
      </c>
      <c r="Z129" s="2171">
        <v>72900000</v>
      </c>
      <c r="AA129" s="2172" t="s">
        <v>3868</v>
      </c>
      <c r="AB129" s="2173">
        <v>235602288388</v>
      </c>
      <c r="AC129" s="2173">
        <v>5514517439</v>
      </c>
      <c r="AD129" s="2173">
        <v>29888891784</v>
      </c>
      <c r="AE129" s="2173">
        <v>1775728942</v>
      </c>
      <c r="AF129" s="2173">
        <v>1197264274</v>
      </c>
      <c r="AG129" s="2173">
        <v>273978690827</v>
      </c>
      <c r="AH129" s="2173">
        <v>0</v>
      </c>
      <c r="AI129" s="2173">
        <v>0</v>
      </c>
      <c r="AJ129" s="2173">
        <v>274079121842</v>
      </c>
      <c r="AL129" s="1070">
        <v>72900000</v>
      </c>
      <c r="AM129" s="1071" t="s">
        <v>2552</v>
      </c>
      <c r="AN129" s="1072">
        <v>170298056823</v>
      </c>
      <c r="AO129" s="1072">
        <v>5051271017</v>
      </c>
      <c r="AP129" s="1072">
        <v>19136695401</v>
      </c>
      <c r="AQ129" s="1072">
        <v>1393441608</v>
      </c>
      <c r="AR129" s="1072">
        <v>1159394067</v>
      </c>
      <c r="AS129" s="1072">
        <v>197038858916</v>
      </c>
      <c r="AT129" s="1072">
        <v>0</v>
      </c>
      <c r="AU129" s="1072">
        <v>0</v>
      </c>
      <c r="AV129" s="1072">
        <v>191278574809</v>
      </c>
      <c r="AW129" s="1073"/>
      <c r="AX129" s="1074"/>
      <c r="AZ129" s="1070">
        <v>72900000</v>
      </c>
      <c r="BA129" s="1071" t="s">
        <v>2552</v>
      </c>
      <c r="BB129" s="1072">
        <v>265280784889</v>
      </c>
      <c r="BC129" s="1072">
        <v>1802734422</v>
      </c>
      <c r="BD129" s="1072">
        <v>20142618969</v>
      </c>
      <c r="BE129" s="1072">
        <v>1867260537</v>
      </c>
      <c r="BF129" s="1072">
        <v>2820855352</v>
      </c>
      <c r="BG129" s="1072">
        <v>291914254169</v>
      </c>
      <c r="BH129" s="1072">
        <v>0</v>
      </c>
      <c r="BI129" s="1072">
        <v>0</v>
      </c>
      <c r="BJ129" s="1072">
        <v>289041191534</v>
      </c>
      <c r="BK129" s="1073"/>
      <c r="BL129" s="1074"/>
      <c r="BN129" s="1070">
        <v>73000000</v>
      </c>
      <c r="BO129" s="1071" t="s">
        <v>2553</v>
      </c>
      <c r="BP129" s="1072">
        <v>67458070729</v>
      </c>
      <c r="BQ129" s="1072">
        <v>28643462</v>
      </c>
      <c r="BR129" s="1072">
        <v>3455368</v>
      </c>
      <c r="BS129" s="1072">
        <v>121656224</v>
      </c>
      <c r="BT129" s="1072">
        <v>3843359</v>
      </c>
      <c r="BU129" s="1072">
        <v>67615669142</v>
      </c>
      <c r="BV129" s="1072">
        <v>0</v>
      </c>
      <c r="BW129" s="1072">
        <v>0</v>
      </c>
      <c r="BX129" s="1072">
        <v>45347823661</v>
      </c>
      <c r="BY129" s="1073"/>
      <c r="BZ129" s="1074"/>
      <c r="CB129" s="1070">
        <v>73000000</v>
      </c>
      <c r="CC129" s="1071" t="s">
        <v>2553</v>
      </c>
      <c r="CD129" s="1072">
        <v>109065508741</v>
      </c>
      <c r="CE129" s="1072">
        <v>19548439</v>
      </c>
      <c r="CF129" s="1072">
        <v>0</v>
      </c>
      <c r="CG129" s="1072">
        <v>3937006</v>
      </c>
      <c r="CH129" s="1072">
        <v>0</v>
      </c>
      <c r="CI129" s="1072">
        <v>81764826</v>
      </c>
      <c r="CJ129" s="1072">
        <v>10435199</v>
      </c>
      <c r="CK129" s="1072">
        <v>109181194211</v>
      </c>
      <c r="CL129" s="1072">
        <v>0</v>
      </c>
      <c r="CM129" s="1072">
        <v>0</v>
      </c>
      <c r="CN129" s="1072">
        <v>110490554752</v>
      </c>
      <c r="CO129" s="1073"/>
      <c r="CP129" s="1074"/>
    </row>
    <row r="130" spans="2:94">
      <c r="B130" s="1070">
        <v>72900000</v>
      </c>
      <c r="C130" s="1071" t="s">
        <v>2552</v>
      </c>
      <c r="D130" s="1072">
        <v>175228408213</v>
      </c>
      <c r="E130" s="1072">
        <v>3620923247</v>
      </c>
      <c r="F130" s="1072">
        <v>17623896074</v>
      </c>
      <c r="G130" s="1072">
        <v>2012884567</v>
      </c>
      <c r="H130" s="1072">
        <v>2571360000</v>
      </c>
      <c r="I130" s="1072">
        <v>201057472101</v>
      </c>
      <c r="J130" s="1072">
        <v>0</v>
      </c>
      <c r="K130" s="1072">
        <v>0</v>
      </c>
      <c r="L130" s="1072">
        <v>198793748510</v>
      </c>
      <c r="N130" s="2171">
        <v>72900000</v>
      </c>
      <c r="O130" s="2172" t="s">
        <v>3868</v>
      </c>
      <c r="P130" s="2173">
        <v>96651400826</v>
      </c>
      <c r="Q130" s="2173">
        <v>2368579611</v>
      </c>
      <c r="R130" s="2173">
        <v>13255604679</v>
      </c>
      <c r="S130" s="2173">
        <v>1495144015</v>
      </c>
      <c r="T130" s="2173">
        <v>1297930629</v>
      </c>
      <c r="U130" s="2173">
        <v>115068659760</v>
      </c>
      <c r="V130" s="2173">
        <v>0</v>
      </c>
      <c r="W130" s="2173">
        <v>0</v>
      </c>
      <c r="X130" s="2173">
        <v>112198157650</v>
      </c>
      <c r="Z130" s="2171">
        <v>73000000</v>
      </c>
      <c r="AA130" s="2172" t="s">
        <v>2553</v>
      </c>
      <c r="AB130" s="2173">
        <v>33374477899</v>
      </c>
      <c r="AC130" s="2173">
        <v>62126748</v>
      </c>
      <c r="AD130" s="2173">
        <v>50737042</v>
      </c>
      <c r="AE130" s="2173">
        <v>69972396</v>
      </c>
      <c r="AF130" s="2173">
        <v>133051</v>
      </c>
      <c r="AG130" s="2173">
        <v>33557447136</v>
      </c>
      <c r="AH130" s="2173">
        <v>0</v>
      </c>
      <c r="AI130" s="2173">
        <v>0</v>
      </c>
      <c r="AJ130" s="2173">
        <v>32134106101</v>
      </c>
      <c r="AL130" s="1070">
        <v>73000000</v>
      </c>
      <c r="AM130" s="1071" t="s">
        <v>2553</v>
      </c>
      <c r="AN130" s="1072">
        <v>27100635260</v>
      </c>
      <c r="AO130" s="1072">
        <v>362292</v>
      </c>
      <c r="AP130" s="1072">
        <v>18284625</v>
      </c>
      <c r="AQ130" s="1072">
        <v>59176052</v>
      </c>
      <c r="AR130" s="1072">
        <v>134159</v>
      </c>
      <c r="AS130" s="1072">
        <v>27178592388</v>
      </c>
      <c r="AT130" s="1072">
        <v>0</v>
      </c>
      <c r="AU130" s="1072">
        <v>0</v>
      </c>
      <c r="AV130" s="1072">
        <v>24097953389</v>
      </c>
      <c r="AW130" s="1073"/>
      <c r="AX130" s="1074"/>
      <c r="AZ130" s="1070">
        <v>73000000</v>
      </c>
      <c r="BA130" s="1071" t="s">
        <v>2553</v>
      </c>
      <c r="BB130" s="1072">
        <v>42173550165</v>
      </c>
      <c r="BC130" s="1072">
        <v>1403370</v>
      </c>
      <c r="BD130" s="1072">
        <v>87912610</v>
      </c>
      <c r="BE130" s="1072">
        <v>109388679</v>
      </c>
      <c r="BF130" s="1072">
        <v>11783020</v>
      </c>
      <c r="BG130" s="1072">
        <v>42384037844</v>
      </c>
      <c r="BH130" s="1072">
        <v>0</v>
      </c>
      <c r="BI130" s="1072">
        <v>0</v>
      </c>
      <c r="BJ130" s="1072">
        <v>41493484590</v>
      </c>
      <c r="BK130" s="1073"/>
      <c r="BL130" s="1074"/>
      <c r="BN130" s="1075">
        <v>73100000</v>
      </c>
      <c r="BO130" s="1076" t="s">
        <v>147</v>
      </c>
      <c r="BP130" s="1077">
        <v>24088467153</v>
      </c>
      <c r="BQ130" s="1077">
        <v>28643462</v>
      </c>
      <c r="BR130" s="1077">
        <v>3455368</v>
      </c>
      <c r="BS130" s="1077">
        <v>121656224</v>
      </c>
      <c r="BT130" s="1077">
        <v>3843359</v>
      </c>
      <c r="BU130" s="1077">
        <v>24246065566</v>
      </c>
      <c r="BV130" s="1077">
        <v>0</v>
      </c>
      <c r="BW130" s="1077">
        <v>0</v>
      </c>
      <c r="BX130" s="1077">
        <v>24246065566</v>
      </c>
      <c r="BY130" s="1073"/>
      <c r="BZ130" s="1074"/>
      <c r="CB130" s="1075">
        <v>73100000</v>
      </c>
      <c r="CC130" s="1076" t="s">
        <v>147</v>
      </c>
      <c r="CD130" s="1077">
        <v>62130954247</v>
      </c>
      <c r="CE130" s="1077">
        <v>19548439</v>
      </c>
      <c r="CF130" s="1077">
        <v>0</v>
      </c>
      <c r="CG130" s="1077">
        <v>3937006</v>
      </c>
      <c r="CH130" s="1077">
        <v>0</v>
      </c>
      <c r="CI130" s="1077">
        <v>81764826</v>
      </c>
      <c r="CJ130" s="1077">
        <v>10435199</v>
      </c>
      <c r="CK130" s="1077">
        <v>62246639717</v>
      </c>
      <c r="CL130" s="1077">
        <v>0</v>
      </c>
      <c r="CM130" s="1077">
        <v>0</v>
      </c>
      <c r="CN130" s="1077">
        <v>62246639717</v>
      </c>
      <c r="CO130" s="1073"/>
      <c r="CP130" s="1074"/>
    </row>
    <row r="131" spans="2:94">
      <c r="B131" s="1070">
        <v>73000000</v>
      </c>
      <c r="C131" s="1071" t="s">
        <v>2553</v>
      </c>
      <c r="D131" s="1072">
        <v>27662899719</v>
      </c>
      <c r="E131" s="1072">
        <v>55006167</v>
      </c>
      <c r="F131" s="1072">
        <v>59146710</v>
      </c>
      <c r="G131" s="1072">
        <v>37765296</v>
      </c>
      <c r="H131" s="1072">
        <v>3958</v>
      </c>
      <c r="I131" s="1072">
        <v>27814821850</v>
      </c>
      <c r="J131" s="1072">
        <v>0</v>
      </c>
      <c r="K131" s="1072">
        <v>0</v>
      </c>
      <c r="L131" s="1072">
        <v>25488357477</v>
      </c>
      <c r="N131" s="2171">
        <v>73000000</v>
      </c>
      <c r="O131" s="2172" t="s">
        <v>2553</v>
      </c>
      <c r="P131" s="2173">
        <v>16852215067</v>
      </c>
      <c r="Q131" s="2173">
        <v>36005665</v>
      </c>
      <c r="R131" s="2173">
        <v>31632012</v>
      </c>
      <c r="S131" s="2173">
        <v>25868183</v>
      </c>
      <c r="T131" s="2173">
        <v>2716</v>
      </c>
      <c r="U131" s="2173">
        <v>16945723643</v>
      </c>
      <c r="V131" s="2173">
        <v>0</v>
      </c>
      <c r="W131" s="2173">
        <v>0</v>
      </c>
      <c r="X131" s="2173">
        <v>13981254711</v>
      </c>
      <c r="Z131" s="2174">
        <v>73100000</v>
      </c>
      <c r="AA131" s="2175" t="s">
        <v>147</v>
      </c>
      <c r="AB131" s="2176">
        <v>22443270723</v>
      </c>
      <c r="AC131" s="2176">
        <v>62126748</v>
      </c>
      <c r="AD131" s="2176">
        <v>50737042</v>
      </c>
      <c r="AE131" s="2176">
        <v>69972396</v>
      </c>
      <c r="AF131" s="2176">
        <v>133051</v>
      </c>
      <c r="AG131" s="2176">
        <v>22626239960</v>
      </c>
      <c r="AH131" s="2176">
        <v>0</v>
      </c>
      <c r="AI131" s="2176">
        <v>0</v>
      </c>
      <c r="AJ131" s="2176">
        <v>17626239960</v>
      </c>
      <c r="AL131" s="1075">
        <v>73100000</v>
      </c>
      <c r="AM131" s="1076" t="s">
        <v>147</v>
      </c>
      <c r="AN131" s="1077">
        <v>18986407939</v>
      </c>
      <c r="AO131" s="1077">
        <v>362292</v>
      </c>
      <c r="AP131" s="1077">
        <v>18284625</v>
      </c>
      <c r="AQ131" s="1077">
        <v>59176052</v>
      </c>
      <c r="AR131" s="1077">
        <v>134159</v>
      </c>
      <c r="AS131" s="1077">
        <v>19064365067</v>
      </c>
      <c r="AT131" s="1077">
        <v>0</v>
      </c>
      <c r="AU131" s="1077">
        <v>0</v>
      </c>
      <c r="AV131" s="1077">
        <v>14064365067</v>
      </c>
      <c r="AW131" s="1073"/>
      <c r="AX131" s="1074"/>
      <c r="AZ131" s="1075">
        <v>73100000</v>
      </c>
      <c r="BA131" s="1076" t="s">
        <v>147</v>
      </c>
      <c r="BB131" s="1077">
        <v>24998232223</v>
      </c>
      <c r="BC131" s="1077">
        <v>1403370</v>
      </c>
      <c r="BD131" s="1077">
        <v>87912610</v>
      </c>
      <c r="BE131" s="1077">
        <v>109388679</v>
      </c>
      <c r="BF131" s="1077">
        <v>11783020</v>
      </c>
      <c r="BG131" s="1077">
        <v>25208719902</v>
      </c>
      <c r="BH131" s="1077">
        <v>0</v>
      </c>
      <c r="BI131" s="1077">
        <v>0</v>
      </c>
      <c r="BJ131" s="1077">
        <v>22208719902</v>
      </c>
      <c r="BK131" s="1073"/>
      <c r="BL131" s="1074"/>
      <c r="BN131" s="1078">
        <v>73100100</v>
      </c>
      <c r="BO131" s="1079" t="s">
        <v>2224</v>
      </c>
      <c r="BP131" s="1080">
        <v>24088467153</v>
      </c>
      <c r="BQ131" s="1080">
        <v>28643462</v>
      </c>
      <c r="BR131" s="1080">
        <v>3455368</v>
      </c>
      <c r="BS131" s="1080">
        <v>117538426</v>
      </c>
      <c r="BT131" s="1080">
        <v>3843359</v>
      </c>
      <c r="BU131" s="1080">
        <v>24241947768</v>
      </c>
      <c r="BV131" s="1080">
        <v>0</v>
      </c>
      <c r="BW131" s="1080">
        <v>0</v>
      </c>
      <c r="BX131" s="1080">
        <v>24241947768</v>
      </c>
      <c r="BY131" s="1073"/>
      <c r="BZ131" s="1074">
        <v>-24241947768</v>
      </c>
      <c r="CB131" s="1078">
        <v>73100100</v>
      </c>
      <c r="CC131" s="1079" t="s">
        <v>2224</v>
      </c>
      <c r="CD131" s="1080">
        <v>62130954247</v>
      </c>
      <c r="CE131" s="1080">
        <v>19548439</v>
      </c>
      <c r="CF131" s="1080">
        <v>0</v>
      </c>
      <c r="CG131" s="1080">
        <v>3937006</v>
      </c>
      <c r="CH131" s="1080">
        <v>0</v>
      </c>
      <c r="CI131" s="1080">
        <v>81304826</v>
      </c>
      <c r="CJ131" s="1080">
        <v>10435199</v>
      </c>
      <c r="CK131" s="1080">
        <v>62246179717</v>
      </c>
      <c r="CL131" s="1080">
        <v>0</v>
      </c>
      <c r="CM131" s="1080">
        <v>0</v>
      </c>
      <c r="CN131" s="1080">
        <v>62246179717</v>
      </c>
      <c r="CO131" s="1073"/>
      <c r="CP131" s="1074">
        <v>-62246179717</v>
      </c>
    </row>
    <row r="132" spans="2:94">
      <c r="B132" s="1075">
        <v>73100000</v>
      </c>
      <c r="C132" s="1076" t="s">
        <v>147</v>
      </c>
      <c r="D132" s="1077">
        <v>14041901144</v>
      </c>
      <c r="E132" s="1077">
        <v>55006167</v>
      </c>
      <c r="F132" s="1077">
        <v>59146710</v>
      </c>
      <c r="G132" s="1077">
        <v>37765296</v>
      </c>
      <c r="H132" s="1077">
        <v>3958</v>
      </c>
      <c r="I132" s="1077">
        <v>14193823275</v>
      </c>
      <c r="J132" s="1077">
        <v>0</v>
      </c>
      <c r="K132" s="1077">
        <v>0</v>
      </c>
      <c r="L132" s="1077">
        <v>9189316939</v>
      </c>
      <c r="N132" s="2174">
        <v>73100000</v>
      </c>
      <c r="O132" s="2175" t="s">
        <v>147</v>
      </c>
      <c r="P132" s="2176">
        <v>10833078738</v>
      </c>
      <c r="Q132" s="2176">
        <v>36005665</v>
      </c>
      <c r="R132" s="2176">
        <v>31632012</v>
      </c>
      <c r="S132" s="2176">
        <v>25868183</v>
      </c>
      <c r="T132" s="2176">
        <v>2716</v>
      </c>
      <c r="U132" s="2176">
        <v>10926587314</v>
      </c>
      <c r="V132" s="2176">
        <v>0</v>
      </c>
      <c r="W132" s="2176">
        <v>0</v>
      </c>
      <c r="X132" s="2176">
        <v>5922080978</v>
      </c>
      <c r="Z132" s="2177">
        <v>73100100</v>
      </c>
      <c r="AA132" s="2178" t="s">
        <v>2224</v>
      </c>
      <c r="AB132" s="2179">
        <v>17125861476</v>
      </c>
      <c r="AC132" s="2179">
        <v>664762</v>
      </c>
      <c r="AD132" s="2179">
        <v>50737042</v>
      </c>
      <c r="AE132" s="2179">
        <v>63997424</v>
      </c>
      <c r="AF132" s="2179">
        <v>133051</v>
      </c>
      <c r="AG132" s="2179">
        <v>17241393755</v>
      </c>
      <c r="AH132" s="2179">
        <v>0</v>
      </c>
      <c r="AI132" s="2179">
        <v>0</v>
      </c>
      <c r="AJ132" s="2179">
        <v>17241393755</v>
      </c>
      <c r="AL132" s="1078">
        <v>73100100</v>
      </c>
      <c r="AM132" s="1079" t="s">
        <v>2224</v>
      </c>
      <c r="AN132" s="1080">
        <v>13986407939</v>
      </c>
      <c r="AO132" s="1080">
        <v>362292</v>
      </c>
      <c r="AP132" s="1080">
        <v>18284625</v>
      </c>
      <c r="AQ132" s="1080">
        <v>58026052</v>
      </c>
      <c r="AR132" s="1080">
        <v>134159</v>
      </c>
      <c r="AS132" s="1080">
        <v>14063215067</v>
      </c>
      <c r="AT132" s="1080">
        <v>0</v>
      </c>
      <c r="AU132" s="1080">
        <v>0</v>
      </c>
      <c r="AV132" s="1080">
        <v>14063215067</v>
      </c>
      <c r="AW132" s="1073"/>
      <c r="AX132" s="1074">
        <v>-14063215067</v>
      </c>
      <c r="AZ132" s="1078">
        <v>73100100</v>
      </c>
      <c r="BA132" s="1079" t="s">
        <v>2224</v>
      </c>
      <c r="BB132" s="1080">
        <v>21998232223</v>
      </c>
      <c r="BC132" s="1080">
        <v>1403370</v>
      </c>
      <c r="BD132" s="1080">
        <v>38527610</v>
      </c>
      <c r="BE132" s="1080">
        <v>103898255</v>
      </c>
      <c r="BF132" s="1080">
        <v>11783020</v>
      </c>
      <c r="BG132" s="1080">
        <v>22153844478</v>
      </c>
      <c r="BH132" s="1080">
        <v>0</v>
      </c>
      <c r="BI132" s="1080">
        <v>0</v>
      </c>
      <c r="BJ132" s="1080">
        <v>22153844478</v>
      </c>
      <c r="BK132" s="1073"/>
      <c r="BL132" s="1074">
        <v>-22153844478</v>
      </c>
      <c r="BN132" s="1078">
        <v>73100200</v>
      </c>
      <c r="BO132" s="1079" t="s">
        <v>2554</v>
      </c>
      <c r="BP132" s="1080">
        <v>0</v>
      </c>
      <c r="BQ132" s="1080">
        <v>0</v>
      </c>
      <c r="BR132" s="1080">
        <v>0</v>
      </c>
      <c r="BS132" s="1080">
        <v>460000</v>
      </c>
      <c r="BT132" s="1080">
        <v>0</v>
      </c>
      <c r="BU132" s="1080">
        <v>460000</v>
      </c>
      <c r="BV132" s="1080">
        <v>0</v>
      </c>
      <c r="BW132" s="1080">
        <v>0</v>
      </c>
      <c r="BX132" s="1080">
        <v>460000</v>
      </c>
      <c r="BY132" s="1073"/>
      <c r="BZ132" s="1074">
        <v>-460000</v>
      </c>
      <c r="CB132" s="1078">
        <v>73100200</v>
      </c>
      <c r="CC132" s="1079" t="s">
        <v>2554</v>
      </c>
      <c r="CD132" s="1080">
        <v>0</v>
      </c>
      <c r="CE132" s="1080">
        <v>0</v>
      </c>
      <c r="CF132" s="1080">
        <v>0</v>
      </c>
      <c r="CG132" s="1080">
        <v>0</v>
      </c>
      <c r="CH132" s="1080">
        <v>0</v>
      </c>
      <c r="CI132" s="1080">
        <v>460000</v>
      </c>
      <c r="CJ132" s="1080">
        <v>0</v>
      </c>
      <c r="CK132" s="1080">
        <v>460000</v>
      </c>
      <c r="CL132" s="1080">
        <v>0</v>
      </c>
      <c r="CM132" s="1080">
        <v>0</v>
      </c>
      <c r="CN132" s="1080">
        <v>460000</v>
      </c>
      <c r="CO132" s="1073"/>
      <c r="CP132" s="1074">
        <v>-460000</v>
      </c>
    </row>
    <row r="133" spans="2:94">
      <c r="B133" s="1078">
        <v>73100100</v>
      </c>
      <c r="C133" s="1079" t="s">
        <v>2224</v>
      </c>
      <c r="D133" s="1080">
        <v>9037394808</v>
      </c>
      <c r="E133" s="1080">
        <v>107890</v>
      </c>
      <c r="F133" s="1080">
        <v>59146710</v>
      </c>
      <c r="G133" s="1080">
        <v>37075296</v>
      </c>
      <c r="H133" s="1080">
        <v>3958</v>
      </c>
      <c r="I133" s="1080">
        <v>9133728662</v>
      </c>
      <c r="J133" s="1080">
        <v>0</v>
      </c>
      <c r="K133" s="1080">
        <v>0</v>
      </c>
      <c r="L133" s="1080">
        <v>9133728662</v>
      </c>
      <c r="N133" s="2177">
        <v>73100100</v>
      </c>
      <c r="O133" s="2178" t="s">
        <v>2224</v>
      </c>
      <c r="P133" s="2179">
        <v>5828572402</v>
      </c>
      <c r="Q133" s="2179">
        <v>39965</v>
      </c>
      <c r="R133" s="2179">
        <v>31632012</v>
      </c>
      <c r="S133" s="2179">
        <v>25178183</v>
      </c>
      <c r="T133" s="2179">
        <v>2716</v>
      </c>
      <c r="U133" s="2179">
        <v>5885425278</v>
      </c>
      <c r="V133" s="2179">
        <v>0</v>
      </c>
      <c r="W133" s="2179">
        <v>0</v>
      </c>
      <c r="X133" s="2179">
        <v>5885425278</v>
      </c>
      <c r="Z133" s="2177">
        <v>73100200</v>
      </c>
      <c r="AA133" s="2178" t="s">
        <v>3869</v>
      </c>
      <c r="AB133" s="2179">
        <v>5317409247</v>
      </c>
      <c r="AC133" s="2179">
        <v>0</v>
      </c>
      <c r="AD133" s="2179">
        <v>0</v>
      </c>
      <c r="AE133" s="2179">
        <v>1150000</v>
      </c>
      <c r="AF133" s="2179">
        <v>0</v>
      </c>
      <c r="AG133" s="2179">
        <v>5318559247</v>
      </c>
      <c r="AH133" s="2179">
        <v>5000000000</v>
      </c>
      <c r="AI133" s="2179">
        <v>0</v>
      </c>
      <c r="AJ133" s="2179">
        <v>318559247</v>
      </c>
      <c r="AL133" s="1078">
        <v>73100200</v>
      </c>
      <c r="AM133" s="1079" t="s">
        <v>2554</v>
      </c>
      <c r="AN133" s="1080">
        <v>5000000000</v>
      </c>
      <c r="AO133" s="1080">
        <v>0</v>
      </c>
      <c r="AP133" s="1080">
        <v>0</v>
      </c>
      <c r="AQ133" s="1080">
        <v>1150000</v>
      </c>
      <c r="AR133" s="1080">
        <v>0</v>
      </c>
      <c r="AS133" s="1080">
        <v>5001150000</v>
      </c>
      <c r="AT133" s="1080">
        <v>5000000000</v>
      </c>
      <c r="AU133" s="1080">
        <v>0</v>
      </c>
      <c r="AV133" s="1080">
        <v>1150000</v>
      </c>
      <c r="AW133" s="1073"/>
      <c r="AX133" s="1074">
        <v>-1150000</v>
      </c>
      <c r="AZ133" s="1078">
        <v>73100200</v>
      </c>
      <c r="BA133" s="1079" t="s">
        <v>2554</v>
      </c>
      <c r="BB133" s="1080">
        <v>3000000000</v>
      </c>
      <c r="BC133" s="1080">
        <v>0</v>
      </c>
      <c r="BD133" s="1080">
        <v>0</v>
      </c>
      <c r="BE133" s="1080">
        <v>460000</v>
      </c>
      <c r="BF133" s="1080">
        <v>0</v>
      </c>
      <c r="BG133" s="1080">
        <v>3000460000</v>
      </c>
      <c r="BH133" s="1080">
        <v>3000000000</v>
      </c>
      <c r="BI133" s="1080">
        <v>0</v>
      </c>
      <c r="BJ133" s="1080">
        <v>460000</v>
      </c>
      <c r="BK133" s="1073"/>
      <c r="BL133" s="1074">
        <v>-460000</v>
      </c>
      <c r="BN133" s="1078">
        <v>73100300</v>
      </c>
      <c r="BO133" s="1079" t="s">
        <v>2555</v>
      </c>
      <c r="BP133" s="1080">
        <v>0</v>
      </c>
      <c r="BQ133" s="1080">
        <v>0</v>
      </c>
      <c r="BR133" s="1080">
        <v>0</v>
      </c>
      <c r="BS133" s="1080">
        <v>0</v>
      </c>
      <c r="BT133" s="1080">
        <v>0</v>
      </c>
      <c r="BU133" s="1080">
        <v>0</v>
      </c>
      <c r="BV133" s="1080">
        <v>0</v>
      </c>
      <c r="BW133" s="1080">
        <v>0</v>
      </c>
      <c r="BX133" s="1080">
        <v>0</v>
      </c>
      <c r="BY133" s="1073"/>
      <c r="BZ133" s="1074">
        <v>0</v>
      </c>
      <c r="CB133" s="1078">
        <v>73100300</v>
      </c>
      <c r="CC133" s="1079" t="s">
        <v>2555</v>
      </c>
      <c r="CD133" s="1080">
        <v>0</v>
      </c>
      <c r="CE133" s="1080">
        <v>0</v>
      </c>
      <c r="CF133" s="1080">
        <v>0</v>
      </c>
      <c r="CG133" s="1080">
        <v>0</v>
      </c>
      <c r="CH133" s="1080">
        <v>0</v>
      </c>
      <c r="CI133" s="1080">
        <v>0</v>
      </c>
      <c r="CJ133" s="1080">
        <v>0</v>
      </c>
      <c r="CK133" s="1080">
        <v>0</v>
      </c>
      <c r="CL133" s="1080">
        <v>0</v>
      </c>
      <c r="CM133" s="1080">
        <v>0</v>
      </c>
      <c r="CN133" s="1080">
        <v>0</v>
      </c>
      <c r="CO133" s="1073"/>
      <c r="CP133" s="1074">
        <v>0</v>
      </c>
    </row>
    <row r="134" spans="2:94">
      <c r="B134" s="1078">
        <v>73100200</v>
      </c>
      <c r="C134" s="1079" t="s">
        <v>2554</v>
      </c>
      <c r="D134" s="1080">
        <v>5004506336</v>
      </c>
      <c r="E134" s="1080">
        <v>0</v>
      </c>
      <c r="F134" s="1080">
        <v>0</v>
      </c>
      <c r="G134" s="1080">
        <v>690000</v>
      </c>
      <c r="H134" s="1080">
        <v>0</v>
      </c>
      <c r="I134" s="1080">
        <v>5005196336</v>
      </c>
      <c r="J134" s="1080">
        <v>5004506336</v>
      </c>
      <c r="K134" s="1080">
        <v>0</v>
      </c>
      <c r="L134" s="1080">
        <v>690000</v>
      </c>
      <c r="N134" s="2177">
        <v>73100200</v>
      </c>
      <c r="O134" s="2178" t="s">
        <v>3869</v>
      </c>
      <c r="P134" s="2179">
        <v>5004506336</v>
      </c>
      <c r="Q134" s="2179">
        <v>0</v>
      </c>
      <c r="R134" s="2179">
        <v>0</v>
      </c>
      <c r="S134" s="2179">
        <v>690000</v>
      </c>
      <c r="T134" s="2179">
        <v>0</v>
      </c>
      <c r="U134" s="2179">
        <v>5005196336</v>
      </c>
      <c r="V134" s="2179">
        <v>5004506336</v>
      </c>
      <c r="W134" s="2179">
        <v>0</v>
      </c>
      <c r="X134" s="2179">
        <v>690000</v>
      </c>
      <c r="Z134" s="2177">
        <v>73100300</v>
      </c>
      <c r="AA134" s="2178" t="s">
        <v>2555</v>
      </c>
      <c r="AB134" s="2179">
        <v>0</v>
      </c>
      <c r="AC134" s="2179">
        <v>0</v>
      </c>
      <c r="AD134" s="2179">
        <v>0</v>
      </c>
      <c r="AE134" s="2179">
        <v>0</v>
      </c>
      <c r="AF134" s="2179">
        <v>0</v>
      </c>
      <c r="AG134" s="2179">
        <v>0</v>
      </c>
      <c r="AH134" s="2179">
        <v>0</v>
      </c>
      <c r="AI134" s="2179">
        <v>0</v>
      </c>
      <c r="AJ134" s="2179">
        <v>0</v>
      </c>
      <c r="AL134" s="1078">
        <v>73100300</v>
      </c>
      <c r="AM134" s="1079" t="s">
        <v>2555</v>
      </c>
      <c r="AN134" s="1080">
        <v>0</v>
      </c>
      <c r="AO134" s="1080">
        <v>0</v>
      </c>
      <c r="AP134" s="1080">
        <v>0</v>
      </c>
      <c r="AQ134" s="1080">
        <v>0</v>
      </c>
      <c r="AR134" s="1080">
        <v>0</v>
      </c>
      <c r="AS134" s="1080">
        <v>0</v>
      </c>
      <c r="AT134" s="1080">
        <v>0</v>
      </c>
      <c r="AU134" s="1080">
        <v>0</v>
      </c>
      <c r="AV134" s="1080">
        <v>0</v>
      </c>
      <c r="AW134" s="1073"/>
      <c r="AX134" s="1074">
        <v>0</v>
      </c>
      <c r="AZ134" s="1078">
        <v>73100300</v>
      </c>
      <c r="BA134" s="1079" t="s">
        <v>2555</v>
      </c>
      <c r="BB134" s="1080">
        <v>0</v>
      </c>
      <c r="BC134" s="1080">
        <v>0</v>
      </c>
      <c r="BD134" s="1080">
        <v>0</v>
      </c>
      <c r="BE134" s="1080">
        <v>0</v>
      </c>
      <c r="BF134" s="1080">
        <v>0</v>
      </c>
      <c r="BG134" s="1080">
        <v>0</v>
      </c>
      <c r="BH134" s="1080">
        <v>0</v>
      </c>
      <c r="BI134" s="1080">
        <v>0</v>
      </c>
      <c r="BJ134" s="1080">
        <v>0</v>
      </c>
      <c r="BK134" s="1073"/>
      <c r="BL134" s="1074">
        <v>0</v>
      </c>
      <c r="BN134" s="1078">
        <v>73100400</v>
      </c>
      <c r="BO134" s="1079" t="s">
        <v>2556</v>
      </c>
      <c r="BP134" s="1080">
        <v>0</v>
      </c>
      <c r="BQ134" s="1080">
        <v>0</v>
      </c>
      <c r="BR134" s="1080">
        <v>0</v>
      </c>
      <c r="BS134" s="1080">
        <v>0</v>
      </c>
      <c r="BT134" s="1080">
        <v>0</v>
      </c>
      <c r="BU134" s="1080">
        <v>0</v>
      </c>
      <c r="BV134" s="1080">
        <v>0</v>
      </c>
      <c r="BW134" s="1080">
        <v>0</v>
      </c>
      <c r="BX134" s="1080">
        <v>0</v>
      </c>
      <c r="BY134" s="1073"/>
      <c r="BZ134" s="1074">
        <v>0</v>
      </c>
      <c r="CB134" s="1078">
        <v>73100400</v>
      </c>
      <c r="CC134" s="1079" t="s">
        <v>2556</v>
      </c>
      <c r="CD134" s="1080">
        <v>0</v>
      </c>
      <c r="CE134" s="1080">
        <v>0</v>
      </c>
      <c r="CF134" s="1080">
        <v>0</v>
      </c>
      <c r="CG134" s="1080">
        <v>0</v>
      </c>
      <c r="CH134" s="1080">
        <v>0</v>
      </c>
      <c r="CI134" s="1080">
        <v>0</v>
      </c>
      <c r="CJ134" s="1080">
        <v>0</v>
      </c>
      <c r="CK134" s="1080">
        <v>0</v>
      </c>
      <c r="CL134" s="1080">
        <v>0</v>
      </c>
      <c r="CM134" s="1080">
        <v>0</v>
      </c>
      <c r="CN134" s="1080">
        <v>0</v>
      </c>
      <c r="CO134" s="1073"/>
      <c r="CP134" s="1074">
        <v>0</v>
      </c>
    </row>
    <row r="135" spans="2:94">
      <c r="B135" s="1078">
        <v>73100300</v>
      </c>
      <c r="C135" s="1079" t="s">
        <v>2555</v>
      </c>
      <c r="D135" s="1080">
        <v>0</v>
      </c>
      <c r="E135" s="1080">
        <v>0</v>
      </c>
      <c r="F135" s="1080">
        <v>0</v>
      </c>
      <c r="G135" s="1080">
        <v>0</v>
      </c>
      <c r="H135" s="1080">
        <v>0</v>
      </c>
      <c r="I135" s="1080">
        <v>0</v>
      </c>
      <c r="J135" s="1080">
        <v>0</v>
      </c>
      <c r="K135" s="1080">
        <v>0</v>
      </c>
      <c r="L135" s="1080">
        <v>0</v>
      </c>
      <c r="N135" s="2177">
        <v>73100300</v>
      </c>
      <c r="O135" s="2178" t="s">
        <v>2555</v>
      </c>
      <c r="P135" s="2179">
        <v>0</v>
      </c>
      <c r="Q135" s="2179">
        <v>0</v>
      </c>
      <c r="R135" s="2179">
        <v>0</v>
      </c>
      <c r="S135" s="2179">
        <v>0</v>
      </c>
      <c r="T135" s="2179">
        <v>0</v>
      </c>
      <c r="U135" s="2179">
        <v>0</v>
      </c>
      <c r="V135" s="2179">
        <v>0</v>
      </c>
      <c r="W135" s="2179">
        <v>0</v>
      </c>
      <c r="X135" s="2179">
        <v>0</v>
      </c>
      <c r="Z135" s="2177">
        <v>73100400</v>
      </c>
      <c r="AA135" s="2178" t="s">
        <v>2556</v>
      </c>
      <c r="AB135" s="2179">
        <v>0</v>
      </c>
      <c r="AC135" s="2179">
        <v>0</v>
      </c>
      <c r="AD135" s="2179">
        <v>0</v>
      </c>
      <c r="AE135" s="2179">
        <v>0</v>
      </c>
      <c r="AF135" s="2179">
        <v>0</v>
      </c>
      <c r="AG135" s="2179">
        <v>0</v>
      </c>
      <c r="AH135" s="2179">
        <v>0</v>
      </c>
      <c r="AI135" s="2179">
        <v>0</v>
      </c>
      <c r="AJ135" s="2179">
        <v>0</v>
      </c>
      <c r="AL135" s="1078">
        <v>73100400</v>
      </c>
      <c r="AM135" s="1079" t="s">
        <v>2556</v>
      </c>
      <c r="AN135" s="1080">
        <v>0</v>
      </c>
      <c r="AO135" s="1080">
        <v>0</v>
      </c>
      <c r="AP135" s="1080">
        <v>0</v>
      </c>
      <c r="AQ135" s="1080">
        <v>0</v>
      </c>
      <c r="AR135" s="1080">
        <v>0</v>
      </c>
      <c r="AS135" s="1080">
        <v>0</v>
      </c>
      <c r="AT135" s="1080">
        <v>0</v>
      </c>
      <c r="AU135" s="1080">
        <v>0</v>
      </c>
      <c r="AV135" s="1080">
        <v>0</v>
      </c>
      <c r="AW135" s="1073"/>
      <c r="AX135" s="1074">
        <v>0</v>
      </c>
      <c r="AZ135" s="1078">
        <v>73100400</v>
      </c>
      <c r="BA135" s="1079" t="s">
        <v>2556</v>
      </c>
      <c r="BB135" s="1080">
        <v>0</v>
      </c>
      <c r="BC135" s="1080">
        <v>0</v>
      </c>
      <c r="BD135" s="1080">
        <v>0</v>
      </c>
      <c r="BE135" s="1080">
        <v>0</v>
      </c>
      <c r="BF135" s="1080">
        <v>0</v>
      </c>
      <c r="BG135" s="1080">
        <v>0</v>
      </c>
      <c r="BH135" s="1080">
        <v>0</v>
      </c>
      <c r="BI135" s="1080">
        <v>0</v>
      </c>
      <c r="BJ135" s="1080">
        <v>0</v>
      </c>
      <c r="BK135" s="1073"/>
      <c r="BL135" s="1074">
        <v>0</v>
      </c>
      <c r="BN135" s="1078">
        <v>73100800</v>
      </c>
      <c r="BO135" s="1079" t="s">
        <v>2557</v>
      </c>
      <c r="BP135" s="1080">
        <v>0</v>
      </c>
      <c r="BQ135" s="1080">
        <v>0</v>
      </c>
      <c r="BR135" s="1080">
        <v>0</v>
      </c>
      <c r="BS135" s="1080">
        <v>0</v>
      </c>
      <c r="BT135" s="1080">
        <v>0</v>
      </c>
      <c r="BU135" s="1080">
        <v>0</v>
      </c>
      <c r="BV135" s="1080">
        <v>0</v>
      </c>
      <c r="BW135" s="1080">
        <v>0</v>
      </c>
      <c r="BX135" s="1080">
        <v>0</v>
      </c>
      <c r="BY135" s="1073"/>
      <c r="BZ135" s="1074">
        <v>0</v>
      </c>
      <c r="CB135" s="1078">
        <v>73100800</v>
      </c>
      <c r="CC135" s="1079" t="s">
        <v>2557</v>
      </c>
      <c r="CD135" s="1080">
        <v>0</v>
      </c>
      <c r="CE135" s="1080">
        <v>0</v>
      </c>
      <c r="CF135" s="1080">
        <v>0</v>
      </c>
      <c r="CG135" s="1080">
        <v>0</v>
      </c>
      <c r="CH135" s="1080">
        <v>0</v>
      </c>
      <c r="CI135" s="1080">
        <v>0</v>
      </c>
      <c r="CJ135" s="1080">
        <v>0</v>
      </c>
      <c r="CK135" s="1080">
        <v>0</v>
      </c>
      <c r="CL135" s="1080">
        <v>0</v>
      </c>
      <c r="CM135" s="1080">
        <v>0</v>
      </c>
      <c r="CN135" s="1080">
        <v>0</v>
      </c>
      <c r="CO135" s="1073"/>
      <c r="CP135" s="1074">
        <v>0</v>
      </c>
    </row>
    <row r="136" spans="2:94">
      <c r="B136" s="1078">
        <v>73100400</v>
      </c>
      <c r="C136" s="1079" t="s">
        <v>2556</v>
      </c>
      <c r="D136" s="1080">
        <v>0</v>
      </c>
      <c r="E136" s="1080">
        <v>0</v>
      </c>
      <c r="F136" s="1080">
        <v>0</v>
      </c>
      <c r="G136" s="1080">
        <v>0</v>
      </c>
      <c r="H136" s="1080">
        <v>0</v>
      </c>
      <c r="I136" s="1080">
        <v>0</v>
      </c>
      <c r="J136" s="1080">
        <v>0</v>
      </c>
      <c r="K136" s="1080">
        <v>0</v>
      </c>
      <c r="L136" s="1080">
        <v>0</v>
      </c>
      <c r="N136" s="2177">
        <v>73100400</v>
      </c>
      <c r="O136" s="2178" t="s">
        <v>2556</v>
      </c>
      <c r="P136" s="2179">
        <v>0</v>
      </c>
      <c r="Q136" s="2179">
        <v>0</v>
      </c>
      <c r="R136" s="2179">
        <v>0</v>
      </c>
      <c r="S136" s="2179">
        <v>0</v>
      </c>
      <c r="T136" s="2179">
        <v>0</v>
      </c>
      <c r="U136" s="2179">
        <v>0</v>
      </c>
      <c r="V136" s="2179">
        <v>0</v>
      </c>
      <c r="W136" s="2179">
        <v>0</v>
      </c>
      <c r="X136" s="2179">
        <v>0</v>
      </c>
      <c r="Z136" s="2177">
        <v>73100800</v>
      </c>
      <c r="AA136" s="2178" t="s">
        <v>3870</v>
      </c>
      <c r="AB136" s="2179">
        <v>0</v>
      </c>
      <c r="AC136" s="2179">
        <v>0</v>
      </c>
      <c r="AD136" s="2179">
        <v>0</v>
      </c>
      <c r="AE136" s="2179">
        <v>0</v>
      </c>
      <c r="AF136" s="2179">
        <v>0</v>
      </c>
      <c r="AG136" s="2179">
        <v>0</v>
      </c>
      <c r="AH136" s="2179">
        <v>0</v>
      </c>
      <c r="AI136" s="2179">
        <v>0</v>
      </c>
      <c r="AJ136" s="2179">
        <v>0</v>
      </c>
      <c r="AL136" s="1078">
        <v>73100800</v>
      </c>
      <c r="AM136" s="1079" t="s">
        <v>2557</v>
      </c>
      <c r="AN136" s="1080">
        <v>0</v>
      </c>
      <c r="AO136" s="1080">
        <v>0</v>
      </c>
      <c r="AP136" s="1080">
        <v>0</v>
      </c>
      <c r="AQ136" s="1080">
        <v>0</v>
      </c>
      <c r="AR136" s="1080">
        <v>0</v>
      </c>
      <c r="AS136" s="1080">
        <v>0</v>
      </c>
      <c r="AT136" s="1080">
        <v>0</v>
      </c>
      <c r="AU136" s="1080">
        <v>0</v>
      </c>
      <c r="AV136" s="1080">
        <v>0</v>
      </c>
      <c r="AW136" s="1073"/>
      <c r="AX136" s="1074">
        <v>0</v>
      </c>
      <c r="AZ136" s="1078">
        <v>73100800</v>
      </c>
      <c r="BA136" s="1079" t="s">
        <v>2557</v>
      </c>
      <c r="BB136" s="1080">
        <v>0</v>
      </c>
      <c r="BC136" s="1080">
        <v>0</v>
      </c>
      <c r="BD136" s="1080">
        <v>0</v>
      </c>
      <c r="BE136" s="1080">
        <v>0</v>
      </c>
      <c r="BF136" s="1080">
        <v>0</v>
      </c>
      <c r="BG136" s="1080">
        <v>0</v>
      </c>
      <c r="BH136" s="1080">
        <v>0</v>
      </c>
      <c r="BI136" s="1080">
        <v>0</v>
      </c>
      <c r="BJ136" s="1080">
        <v>0</v>
      </c>
      <c r="BK136" s="1073"/>
      <c r="BL136" s="1074">
        <v>0</v>
      </c>
      <c r="BN136" s="1078">
        <v>73100900</v>
      </c>
      <c r="BO136" s="1079" t="s">
        <v>2558</v>
      </c>
      <c r="BP136" s="1080">
        <v>0</v>
      </c>
      <c r="BQ136" s="1080">
        <v>0</v>
      </c>
      <c r="BR136" s="1080">
        <v>0</v>
      </c>
      <c r="BS136" s="1080">
        <v>0</v>
      </c>
      <c r="BT136" s="1080">
        <v>0</v>
      </c>
      <c r="BU136" s="1080">
        <v>0</v>
      </c>
      <c r="BV136" s="1080">
        <v>0</v>
      </c>
      <c r="BW136" s="1080">
        <v>0</v>
      </c>
      <c r="BX136" s="1080">
        <v>0</v>
      </c>
      <c r="BY136" s="1073"/>
      <c r="BZ136" s="1074">
        <v>0</v>
      </c>
      <c r="CB136" s="1078">
        <v>73100900</v>
      </c>
      <c r="CC136" s="1079" t="s">
        <v>2558</v>
      </c>
      <c r="CD136" s="1080">
        <v>0</v>
      </c>
      <c r="CE136" s="1080">
        <v>0</v>
      </c>
      <c r="CF136" s="1080">
        <v>0</v>
      </c>
      <c r="CG136" s="1080">
        <v>0</v>
      </c>
      <c r="CH136" s="1080">
        <v>0</v>
      </c>
      <c r="CI136" s="1080">
        <v>0</v>
      </c>
      <c r="CJ136" s="1080">
        <v>0</v>
      </c>
      <c r="CK136" s="1080">
        <v>0</v>
      </c>
      <c r="CL136" s="1080">
        <v>0</v>
      </c>
      <c r="CM136" s="1080">
        <v>0</v>
      </c>
      <c r="CN136" s="1080">
        <v>0</v>
      </c>
      <c r="CO136" s="1073"/>
      <c r="CP136" s="1074">
        <v>0</v>
      </c>
    </row>
    <row r="137" spans="2:94">
      <c r="B137" s="1078">
        <v>73100800</v>
      </c>
      <c r="C137" s="1079" t="s">
        <v>2557</v>
      </c>
      <c r="D137" s="1080">
        <v>0</v>
      </c>
      <c r="E137" s="1080">
        <v>0</v>
      </c>
      <c r="F137" s="1080">
        <v>0</v>
      </c>
      <c r="G137" s="1080">
        <v>0</v>
      </c>
      <c r="H137" s="1080">
        <v>0</v>
      </c>
      <c r="I137" s="1080">
        <v>0</v>
      </c>
      <c r="J137" s="1080">
        <v>0</v>
      </c>
      <c r="K137" s="1080">
        <v>0</v>
      </c>
      <c r="L137" s="1080">
        <v>0</v>
      </c>
      <c r="N137" s="2177">
        <v>73100800</v>
      </c>
      <c r="O137" s="2178" t="s">
        <v>3870</v>
      </c>
      <c r="P137" s="2179">
        <v>0</v>
      </c>
      <c r="Q137" s="2179">
        <v>0</v>
      </c>
      <c r="R137" s="2179">
        <v>0</v>
      </c>
      <c r="S137" s="2179">
        <v>0</v>
      </c>
      <c r="T137" s="2179">
        <v>0</v>
      </c>
      <c r="U137" s="2179">
        <v>0</v>
      </c>
      <c r="V137" s="2179">
        <v>0</v>
      </c>
      <c r="W137" s="2179">
        <v>0</v>
      </c>
      <c r="X137" s="2179">
        <v>0</v>
      </c>
      <c r="Z137" s="2177">
        <v>73100900</v>
      </c>
      <c r="AA137" s="2178" t="s">
        <v>3871</v>
      </c>
      <c r="AB137" s="2179">
        <v>0</v>
      </c>
      <c r="AC137" s="2179">
        <v>0</v>
      </c>
      <c r="AD137" s="2179">
        <v>0</v>
      </c>
      <c r="AE137" s="2179">
        <v>0</v>
      </c>
      <c r="AF137" s="2179">
        <v>0</v>
      </c>
      <c r="AG137" s="2179">
        <v>0</v>
      </c>
      <c r="AH137" s="2179">
        <v>0</v>
      </c>
      <c r="AI137" s="2179">
        <v>0</v>
      </c>
      <c r="AJ137" s="2179">
        <v>0</v>
      </c>
      <c r="AL137" s="1078">
        <v>73100900</v>
      </c>
      <c r="AM137" s="1079" t="s">
        <v>2558</v>
      </c>
      <c r="AN137" s="1080">
        <v>0</v>
      </c>
      <c r="AO137" s="1080">
        <v>0</v>
      </c>
      <c r="AP137" s="1080">
        <v>0</v>
      </c>
      <c r="AQ137" s="1080">
        <v>0</v>
      </c>
      <c r="AR137" s="1080">
        <v>0</v>
      </c>
      <c r="AS137" s="1080">
        <v>0</v>
      </c>
      <c r="AT137" s="1080">
        <v>0</v>
      </c>
      <c r="AU137" s="1080">
        <v>0</v>
      </c>
      <c r="AV137" s="1080">
        <v>0</v>
      </c>
      <c r="AW137" s="1073"/>
      <c r="AX137" s="1074">
        <v>0</v>
      </c>
      <c r="AZ137" s="1078">
        <v>73100900</v>
      </c>
      <c r="BA137" s="1079" t="s">
        <v>2558</v>
      </c>
      <c r="BB137" s="1080">
        <v>0</v>
      </c>
      <c r="BC137" s="1080">
        <v>0</v>
      </c>
      <c r="BD137" s="1080">
        <v>49385000</v>
      </c>
      <c r="BE137" s="1080">
        <v>0</v>
      </c>
      <c r="BF137" s="1080">
        <v>0</v>
      </c>
      <c r="BG137" s="1080">
        <v>49385000</v>
      </c>
      <c r="BH137" s="1080">
        <v>0</v>
      </c>
      <c r="BI137" s="1080">
        <v>0</v>
      </c>
      <c r="BJ137" s="1080">
        <v>49385000</v>
      </c>
      <c r="BK137" s="1073"/>
      <c r="BL137" s="1074">
        <v>-49385000</v>
      </c>
      <c r="BN137" s="1078">
        <v>73100310</v>
      </c>
      <c r="BO137" s="1079" t="s">
        <v>2559</v>
      </c>
      <c r="BP137" s="1080">
        <v>0</v>
      </c>
      <c r="BQ137" s="1080">
        <v>0</v>
      </c>
      <c r="BR137" s="1080">
        <v>0</v>
      </c>
      <c r="BS137" s="1080">
        <v>3657798</v>
      </c>
      <c r="BT137" s="1080">
        <v>0</v>
      </c>
      <c r="BU137" s="1080">
        <v>3657798</v>
      </c>
      <c r="BV137" s="1080">
        <v>0</v>
      </c>
      <c r="BW137" s="1080">
        <v>0</v>
      </c>
      <c r="BX137" s="1080">
        <v>3657798</v>
      </c>
      <c r="BY137" s="1073"/>
      <c r="BZ137" s="1074">
        <v>-3657798</v>
      </c>
      <c r="CB137" s="1078">
        <v>73101000</v>
      </c>
      <c r="CC137" s="1079" t="s">
        <v>2560</v>
      </c>
      <c r="CD137" s="1080">
        <v>0</v>
      </c>
      <c r="CE137" s="1080">
        <v>0</v>
      </c>
      <c r="CF137" s="1080">
        <v>0</v>
      </c>
      <c r="CG137" s="1080">
        <v>0</v>
      </c>
      <c r="CH137" s="1080">
        <v>0</v>
      </c>
      <c r="CI137" s="1080">
        <v>0</v>
      </c>
      <c r="CJ137" s="1080">
        <v>0</v>
      </c>
      <c r="CK137" s="1080">
        <v>0</v>
      </c>
      <c r="CL137" s="1080">
        <v>0</v>
      </c>
      <c r="CM137" s="1080">
        <v>0</v>
      </c>
      <c r="CN137" s="1080">
        <v>0</v>
      </c>
      <c r="CO137" s="1073"/>
      <c r="CP137" s="1074">
        <v>0</v>
      </c>
    </row>
    <row r="138" spans="2:94">
      <c r="B138" s="1078">
        <v>73100900</v>
      </c>
      <c r="C138" s="1079" t="s">
        <v>2558</v>
      </c>
      <c r="D138" s="1080">
        <v>0</v>
      </c>
      <c r="E138" s="1080">
        <v>0</v>
      </c>
      <c r="F138" s="1080">
        <v>0</v>
      </c>
      <c r="G138" s="1080">
        <v>0</v>
      </c>
      <c r="H138" s="1080">
        <v>0</v>
      </c>
      <c r="I138" s="1080">
        <v>0</v>
      </c>
      <c r="J138" s="1080">
        <v>0</v>
      </c>
      <c r="K138" s="1080">
        <v>0</v>
      </c>
      <c r="L138" s="1080">
        <v>0</v>
      </c>
      <c r="N138" s="2177">
        <v>73100900</v>
      </c>
      <c r="O138" s="2178" t="s">
        <v>3871</v>
      </c>
      <c r="P138" s="2179">
        <v>0</v>
      </c>
      <c r="Q138" s="2179">
        <v>0</v>
      </c>
      <c r="R138" s="2179">
        <v>0</v>
      </c>
      <c r="S138" s="2179">
        <v>0</v>
      </c>
      <c r="T138" s="2179">
        <v>0</v>
      </c>
      <c r="U138" s="2179">
        <v>0</v>
      </c>
      <c r="V138" s="2179">
        <v>0</v>
      </c>
      <c r="W138" s="2179">
        <v>0</v>
      </c>
      <c r="X138" s="2179">
        <v>0</v>
      </c>
      <c r="Z138" s="2177">
        <v>73100310</v>
      </c>
      <c r="AA138" s="2178" t="s">
        <v>2559</v>
      </c>
      <c r="AB138" s="2179">
        <v>0</v>
      </c>
      <c r="AC138" s="2179">
        <v>0</v>
      </c>
      <c r="AD138" s="2179">
        <v>0</v>
      </c>
      <c r="AE138" s="2179">
        <v>4824972</v>
      </c>
      <c r="AF138" s="2179">
        <v>0</v>
      </c>
      <c r="AG138" s="2179">
        <v>4824972</v>
      </c>
      <c r="AH138" s="2179">
        <v>0</v>
      </c>
      <c r="AI138" s="2179">
        <v>0</v>
      </c>
      <c r="AJ138" s="2179">
        <v>4824972</v>
      </c>
      <c r="AL138" s="1078">
        <v>73100310</v>
      </c>
      <c r="AM138" s="1079" t="s">
        <v>2559</v>
      </c>
      <c r="AN138" s="1080">
        <v>0</v>
      </c>
      <c r="AO138" s="1080">
        <v>0</v>
      </c>
      <c r="AP138" s="1080">
        <v>0</v>
      </c>
      <c r="AQ138" s="1080">
        <v>0</v>
      </c>
      <c r="AR138" s="1080">
        <v>0</v>
      </c>
      <c r="AS138" s="1080">
        <v>0</v>
      </c>
      <c r="AT138" s="1080">
        <v>0</v>
      </c>
      <c r="AU138" s="1080">
        <v>0</v>
      </c>
      <c r="AV138" s="1080">
        <v>0</v>
      </c>
      <c r="AW138" s="1073"/>
      <c r="AX138" s="1074">
        <v>0</v>
      </c>
      <c r="AZ138" s="1078">
        <v>73100310</v>
      </c>
      <c r="BA138" s="1079" t="s">
        <v>2559</v>
      </c>
      <c r="BB138" s="1080">
        <v>0</v>
      </c>
      <c r="BC138" s="1080">
        <v>0</v>
      </c>
      <c r="BD138" s="1080">
        <v>0</v>
      </c>
      <c r="BE138" s="1080">
        <v>5030424</v>
      </c>
      <c r="BF138" s="1080">
        <v>0</v>
      </c>
      <c r="BG138" s="1080">
        <v>5030424</v>
      </c>
      <c r="BH138" s="1080">
        <v>0</v>
      </c>
      <c r="BI138" s="1080">
        <v>0</v>
      </c>
      <c r="BJ138" s="1080">
        <v>5030424</v>
      </c>
      <c r="BK138" s="1073"/>
      <c r="BL138" s="1074">
        <v>-5030424</v>
      </c>
      <c r="BN138" s="1078">
        <v>73101100</v>
      </c>
      <c r="BO138" s="1079" t="s">
        <v>2561</v>
      </c>
      <c r="BP138" s="1080">
        <v>0</v>
      </c>
      <c r="BQ138" s="1080">
        <v>0</v>
      </c>
      <c r="BR138" s="1080">
        <v>0</v>
      </c>
      <c r="BS138" s="1080">
        <v>0</v>
      </c>
      <c r="BT138" s="1080">
        <v>0</v>
      </c>
      <c r="BU138" s="1080">
        <v>0</v>
      </c>
      <c r="BV138" s="1080">
        <v>0</v>
      </c>
      <c r="BW138" s="1080">
        <v>0</v>
      </c>
      <c r="BX138" s="1080">
        <v>0</v>
      </c>
      <c r="BY138" s="1073"/>
      <c r="BZ138" s="1074">
        <v>0</v>
      </c>
      <c r="CB138" s="1078">
        <v>73101100</v>
      </c>
      <c r="CC138" s="1079" t="s">
        <v>2561</v>
      </c>
      <c r="CD138" s="1080">
        <v>0</v>
      </c>
      <c r="CE138" s="1080">
        <v>0</v>
      </c>
      <c r="CF138" s="1080">
        <v>0</v>
      </c>
      <c r="CG138" s="1080">
        <v>0</v>
      </c>
      <c r="CH138" s="1080">
        <v>0</v>
      </c>
      <c r="CI138" s="1080">
        <v>0</v>
      </c>
      <c r="CJ138" s="1080">
        <v>0</v>
      </c>
      <c r="CK138" s="1080">
        <v>0</v>
      </c>
      <c r="CL138" s="1080">
        <v>0</v>
      </c>
      <c r="CM138" s="1080">
        <v>0</v>
      </c>
      <c r="CN138" s="1080">
        <v>0</v>
      </c>
      <c r="CO138" s="1073"/>
      <c r="CP138" s="1074">
        <v>0</v>
      </c>
    </row>
    <row r="139" spans="2:94">
      <c r="B139" s="1078">
        <v>73100310</v>
      </c>
      <c r="C139" s="1079" t="s">
        <v>2559</v>
      </c>
      <c r="D139" s="1080">
        <v>0</v>
      </c>
      <c r="E139" s="1080">
        <v>0</v>
      </c>
      <c r="F139" s="1080">
        <v>0</v>
      </c>
      <c r="G139" s="1080">
        <v>0</v>
      </c>
      <c r="H139" s="1080">
        <v>0</v>
      </c>
      <c r="I139" s="1080">
        <v>0</v>
      </c>
      <c r="J139" s="1080">
        <v>0</v>
      </c>
      <c r="K139" s="1080">
        <v>0</v>
      </c>
      <c r="L139" s="1080">
        <v>0</v>
      </c>
      <c r="N139" s="2177">
        <v>73100310</v>
      </c>
      <c r="O139" s="2178" t="s">
        <v>2559</v>
      </c>
      <c r="P139" s="2179">
        <v>0</v>
      </c>
      <c r="Q139" s="2179">
        <v>0</v>
      </c>
      <c r="R139" s="2179">
        <v>0</v>
      </c>
      <c r="S139" s="2179">
        <v>0</v>
      </c>
      <c r="T139" s="2179">
        <v>0</v>
      </c>
      <c r="U139" s="2179">
        <v>0</v>
      </c>
      <c r="V139" s="2179">
        <v>0</v>
      </c>
      <c r="W139" s="2179">
        <v>0</v>
      </c>
      <c r="X139" s="2179">
        <v>0</v>
      </c>
      <c r="Z139" s="2177">
        <v>73101100</v>
      </c>
      <c r="AA139" s="2178" t="s">
        <v>2561</v>
      </c>
      <c r="AB139" s="2179">
        <v>0</v>
      </c>
      <c r="AC139" s="2179">
        <v>0</v>
      </c>
      <c r="AD139" s="2179">
        <v>0</v>
      </c>
      <c r="AE139" s="2179">
        <v>0</v>
      </c>
      <c r="AF139" s="2179">
        <v>0</v>
      </c>
      <c r="AG139" s="2179">
        <v>0</v>
      </c>
      <c r="AH139" s="2179">
        <v>0</v>
      </c>
      <c r="AI139" s="2179">
        <v>0</v>
      </c>
      <c r="AJ139" s="2179">
        <v>0</v>
      </c>
      <c r="AL139" s="1078">
        <v>73101100</v>
      </c>
      <c r="AM139" s="1079" t="s">
        <v>2561</v>
      </c>
      <c r="AN139" s="1080">
        <v>0</v>
      </c>
      <c r="AO139" s="1080">
        <v>0</v>
      </c>
      <c r="AP139" s="1080">
        <v>0</v>
      </c>
      <c r="AQ139" s="1080">
        <v>0</v>
      </c>
      <c r="AR139" s="1080">
        <v>0</v>
      </c>
      <c r="AS139" s="1080">
        <v>0</v>
      </c>
      <c r="AT139" s="1080">
        <v>0</v>
      </c>
      <c r="AU139" s="1080">
        <v>0</v>
      </c>
      <c r="AV139" s="1080">
        <v>0</v>
      </c>
      <c r="AW139" s="1073"/>
      <c r="AX139" s="1074">
        <v>0</v>
      </c>
      <c r="AZ139" s="1078">
        <v>73101100</v>
      </c>
      <c r="BA139" s="1079" t="s">
        <v>2561</v>
      </c>
      <c r="BB139" s="1080">
        <v>0</v>
      </c>
      <c r="BC139" s="1080">
        <v>0</v>
      </c>
      <c r="BD139" s="1080">
        <v>0</v>
      </c>
      <c r="BE139" s="1080">
        <v>0</v>
      </c>
      <c r="BF139" s="1080">
        <v>0</v>
      </c>
      <c r="BG139" s="1080">
        <v>0</v>
      </c>
      <c r="BH139" s="1080">
        <v>0</v>
      </c>
      <c r="BI139" s="1080">
        <v>0</v>
      </c>
      <c r="BJ139" s="1080">
        <v>0</v>
      </c>
      <c r="BK139" s="1073"/>
      <c r="BL139" s="1074">
        <v>0</v>
      </c>
      <c r="BN139" s="1078">
        <v>73101200</v>
      </c>
      <c r="BO139" s="1079" t="s">
        <v>2562</v>
      </c>
      <c r="BP139" s="1080">
        <v>0</v>
      </c>
      <c r="BQ139" s="1080">
        <v>0</v>
      </c>
      <c r="BR139" s="1080">
        <v>0</v>
      </c>
      <c r="BS139" s="1080">
        <v>0</v>
      </c>
      <c r="BT139" s="1080">
        <v>0</v>
      </c>
      <c r="BU139" s="1080">
        <v>0</v>
      </c>
      <c r="BV139" s="1080">
        <v>0</v>
      </c>
      <c r="BW139" s="1080">
        <v>0</v>
      </c>
      <c r="BX139" s="1080">
        <v>0</v>
      </c>
      <c r="BY139" s="1073"/>
      <c r="BZ139" s="1074">
        <v>0</v>
      </c>
      <c r="CB139" s="1078">
        <v>73101200</v>
      </c>
      <c r="CC139" s="1079" t="s">
        <v>2562</v>
      </c>
      <c r="CD139" s="1080">
        <v>0</v>
      </c>
      <c r="CE139" s="1080">
        <v>0</v>
      </c>
      <c r="CF139" s="1080">
        <v>0</v>
      </c>
      <c r="CG139" s="1080">
        <v>0</v>
      </c>
      <c r="CH139" s="1080">
        <v>0</v>
      </c>
      <c r="CI139" s="1080">
        <v>0</v>
      </c>
      <c r="CJ139" s="1080">
        <v>0</v>
      </c>
      <c r="CK139" s="1080">
        <v>0</v>
      </c>
      <c r="CL139" s="1080">
        <v>0</v>
      </c>
      <c r="CM139" s="1080">
        <v>0</v>
      </c>
      <c r="CN139" s="1080">
        <v>0</v>
      </c>
      <c r="CO139" s="1073"/>
      <c r="CP139" s="1074">
        <v>0</v>
      </c>
    </row>
    <row r="140" spans="2:94">
      <c r="B140" s="1078">
        <v>73101100</v>
      </c>
      <c r="C140" s="1079" t="s">
        <v>2561</v>
      </c>
      <c r="D140" s="1080">
        <v>0</v>
      </c>
      <c r="E140" s="1080">
        <v>0</v>
      </c>
      <c r="F140" s="1080">
        <v>0</v>
      </c>
      <c r="G140" s="1080">
        <v>0</v>
      </c>
      <c r="H140" s="1080">
        <v>0</v>
      </c>
      <c r="I140" s="1080">
        <v>0</v>
      </c>
      <c r="J140" s="1080">
        <v>0</v>
      </c>
      <c r="K140" s="1080">
        <v>0</v>
      </c>
      <c r="L140" s="1080">
        <v>0</v>
      </c>
      <c r="N140" s="2177">
        <v>73101100</v>
      </c>
      <c r="O140" s="2178" t="s">
        <v>2561</v>
      </c>
      <c r="P140" s="2179">
        <v>0</v>
      </c>
      <c r="Q140" s="2179">
        <v>0</v>
      </c>
      <c r="R140" s="2179">
        <v>0</v>
      </c>
      <c r="S140" s="2179">
        <v>0</v>
      </c>
      <c r="T140" s="2179">
        <v>0</v>
      </c>
      <c r="U140" s="2179">
        <v>0</v>
      </c>
      <c r="V140" s="2179">
        <v>0</v>
      </c>
      <c r="W140" s="2179">
        <v>0</v>
      </c>
      <c r="X140" s="2179">
        <v>0</v>
      </c>
      <c r="Z140" s="2177">
        <v>73101200</v>
      </c>
      <c r="AA140" s="2178" t="s">
        <v>2562</v>
      </c>
      <c r="AB140" s="2179">
        <v>0</v>
      </c>
      <c r="AC140" s="2179">
        <v>0</v>
      </c>
      <c r="AD140" s="2179">
        <v>0</v>
      </c>
      <c r="AE140" s="2179">
        <v>0</v>
      </c>
      <c r="AF140" s="2179">
        <v>0</v>
      </c>
      <c r="AG140" s="2179">
        <v>0</v>
      </c>
      <c r="AH140" s="2179">
        <v>0</v>
      </c>
      <c r="AI140" s="2179">
        <v>0</v>
      </c>
      <c r="AJ140" s="2179">
        <v>0</v>
      </c>
      <c r="AL140" s="1078">
        <v>73101200</v>
      </c>
      <c r="AM140" s="1079" t="s">
        <v>2562</v>
      </c>
      <c r="AN140" s="1080">
        <v>0</v>
      </c>
      <c r="AO140" s="1080">
        <v>0</v>
      </c>
      <c r="AP140" s="1080">
        <v>0</v>
      </c>
      <c r="AQ140" s="1080">
        <v>0</v>
      </c>
      <c r="AR140" s="1080">
        <v>0</v>
      </c>
      <c r="AS140" s="1080">
        <v>0</v>
      </c>
      <c r="AT140" s="1080">
        <v>0</v>
      </c>
      <c r="AU140" s="1080">
        <v>0</v>
      </c>
      <c r="AV140" s="1080">
        <v>0</v>
      </c>
      <c r="AW140" s="1073"/>
      <c r="AX140" s="1074">
        <v>0</v>
      </c>
      <c r="AZ140" s="1078">
        <v>73101200</v>
      </c>
      <c r="BA140" s="1079" t="s">
        <v>2562</v>
      </c>
      <c r="BB140" s="1080">
        <v>0</v>
      </c>
      <c r="BC140" s="1080">
        <v>0</v>
      </c>
      <c r="BD140" s="1080">
        <v>0</v>
      </c>
      <c r="BE140" s="1080">
        <v>0</v>
      </c>
      <c r="BF140" s="1080">
        <v>0</v>
      </c>
      <c r="BG140" s="1080">
        <v>0</v>
      </c>
      <c r="BH140" s="1080">
        <v>0</v>
      </c>
      <c r="BI140" s="1080">
        <v>0</v>
      </c>
      <c r="BJ140" s="1080">
        <v>0</v>
      </c>
      <c r="BK140" s="1073"/>
      <c r="BL140" s="1074">
        <v>0</v>
      </c>
      <c r="BN140" s="1078">
        <v>73101300</v>
      </c>
      <c r="BO140" s="1079" t="s">
        <v>2563</v>
      </c>
      <c r="BP140" s="1080">
        <v>0</v>
      </c>
      <c r="BQ140" s="1080">
        <v>0</v>
      </c>
      <c r="BR140" s="1080">
        <v>0</v>
      </c>
      <c r="BS140" s="1080">
        <v>0</v>
      </c>
      <c r="BT140" s="1080">
        <v>0</v>
      </c>
      <c r="BU140" s="1080">
        <v>0</v>
      </c>
      <c r="BV140" s="1080">
        <v>0</v>
      </c>
      <c r="BW140" s="1080">
        <v>0</v>
      </c>
      <c r="BX140" s="1080">
        <v>0</v>
      </c>
      <c r="BY140" s="1073"/>
      <c r="BZ140" s="1074">
        <v>0</v>
      </c>
      <c r="CB140" s="1078">
        <v>73101300</v>
      </c>
      <c r="CC140" s="1079" t="s">
        <v>2563</v>
      </c>
      <c r="CD140" s="1080">
        <v>0</v>
      </c>
      <c r="CE140" s="1080">
        <v>0</v>
      </c>
      <c r="CF140" s="1080">
        <v>0</v>
      </c>
      <c r="CG140" s="1080">
        <v>0</v>
      </c>
      <c r="CH140" s="1080">
        <v>0</v>
      </c>
      <c r="CI140" s="1080">
        <v>0</v>
      </c>
      <c r="CJ140" s="1080">
        <v>0</v>
      </c>
      <c r="CK140" s="1080">
        <v>0</v>
      </c>
      <c r="CL140" s="1080">
        <v>0</v>
      </c>
      <c r="CM140" s="1080">
        <v>0</v>
      </c>
      <c r="CN140" s="1080">
        <v>0</v>
      </c>
      <c r="CO140" s="1073"/>
      <c r="CP140" s="1074">
        <v>0</v>
      </c>
    </row>
    <row r="141" spans="2:94">
      <c r="B141" s="1078">
        <v>73101200</v>
      </c>
      <c r="C141" s="1079" t="s">
        <v>2562</v>
      </c>
      <c r="D141" s="1080">
        <v>0</v>
      </c>
      <c r="E141" s="1080">
        <v>0</v>
      </c>
      <c r="F141" s="1080">
        <v>0</v>
      </c>
      <c r="G141" s="1080">
        <v>0</v>
      </c>
      <c r="H141" s="1080">
        <v>0</v>
      </c>
      <c r="I141" s="1080">
        <v>0</v>
      </c>
      <c r="J141" s="1080">
        <v>0</v>
      </c>
      <c r="K141" s="1080">
        <v>0</v>
      </c>
      <c r="L141" s="1080">
        <v>0</v>
      </c>
      <c r="N141" s="2177">
        <v>73101200</v>
      </c>
      <c r="O141" s="2178" t="s">
        <v>2562</v>
      </c>
      <c r="P141" s="2179">
        <v>0</v>
      </c>
      <c r="Q141" s="2179">
        <v>0</v>
      </c>
      <c r="R141" s="2179">
        <v>0</v>
      </c>
      <c r="S141" s="2179">
        <v>0</v>
      </c>
      <c r="T141" s="2179">
        <v>0</v>
      </c>
      <c r="U141" s="2179">
        <v>0</v>
      </c>
      <c r="V141" s="2179">
        <v>0</v>
      </c>
      <c r="W141" s="2179">
        <v>0</v>
      </c>
      <c r="X141" s="2179">
        <v>0</v>
      </c>
      <c r="Z141" s="2177">
        <v>73101300</v>
      </c>
      <c r="AA141" s="2178" t="s">
        <v>3872</v>
      </c>
      <c r="AB141" s="2179">
        <v>0</v>
      </c>
      <c r="AC141" s="2179">
        <v>0</v>
      </c>
      <c r="AD141" s="2179">
        <v>0</v>
      </c>
      <c r="AE141" s="2179">
        <v>0</v>
      </c>
      <c r="AF141" s="2179">
        <v>0</v>
      </c>
      <c r="AG141" s="2179">
        <v>0</v>
      </c>
      <c r="AH141" s="2179">
        <v>0</v>
      </c>
      <c r="AI141" s="2179">
        <v>0</v>
      </c>
      <c r="AJ141" s="2179">
        <v>0</v>
      </c>
      <c r="AL141" s="1078">
        <v>73101300</v>
      </c>
      <c r="AM141" s="1079" t="s">
        <v>2563</v>
      </c>
      <c r="AN141" s="1080">
        <v>0</v>
      </c>
      <c r="AO141" s="1080">
        <v>0</v>
      </c>
      <c r="AP141" s="1080">
        <v>0</v>
      </c>
      <c r="AQ141" s="1080">
        <v>0</v>
      </c>
      <c r="AR141" s="1080">
        <v>0</v>
      </c>
      <c r="AS141" s="1080">
        <v>0</v>
      </c>
      <c r="AT141" s="1080">
        <v>0</v>
      </c>
      <c r="AU141" s="1080">
        <v>0</v>
      </c>
      <c r="AV141" s="1080">
        <v>0</v>
      </c>
      <c r="AW141" s="1073"/>
      <c r="AX141" s="1074">
        <v>0</v>
      </c>
      <c r="AZ141" s="1078">
        <v>73101300</v>
      </c>
      <c r="BA141" s="1079" t="s">
        <v>2563</v>
      </c>
      <c r="BB141" s="1080">
        <v>0</v>
      </c>
      <c r="BC141" s="1080">
        <v>0</v>
      </c>
      <c r="BD141" s="1080">
        <v>0</v>
      </c>
      <c r="BE141" s="1080">
        <v>0</v>
      </c>
      <c r="BF141" s="1080">
        <v>0</v>
      </c>
      <c r="BG141" s="1080">
        <v>0</v>
      </c>
      <c r="BH141" s="1080">
        <v>0</v>
      </c>
      <c r="BI141" s="1080">
        <v>0</v>
      </c>
      <c r="BJ141" s="1080">
        <v>0</v>
      </c>
      <c r="BK141" s="1073"/>
      <c r="BL141" s="1074">
        <v>0</v>
      </c>
      <c r="BN141" s="1078">
        <v>73101400</v>
      </c>
      <c r="BO141" s="1079" t="s">
        <v>2564</v>
      </c>
      <c r="BP141" s="1080">
        <v>0</v>
      </c>
      <c r="BQ141" s="1080">
        <v>0</v>
      </c>
      <c r="BR141" s="1080">
        <v>0</v>
      </c>
      <c r="BS141" s="1080">
        <v>0</v>
      </c>
      <c r="BT141" s="1080">
        <v>0</v>
      </c>
      <c r="BU141" s="1080">
        <v>0</v>
      </c>
      <c r="BV141" s="1080">
        <v>0</v>
      </c>
      <c r="BW141" s="1080">
        <v>0</v>
      </c>
      <c r="BX141" s="1080">
        <v>0</v>
      </c>
      <c r="BY141" s="1073"/>
      <c r="BZ141" s="1074">
        <v>0</v>
      </c>
      <c r="CB141" s="1078">
        <v>73101400</v>
      </c>
      <c r="CC141" s="1079" t="s">
        <v>2564</v>
      </c>
      <c r="CD141" s="1080">
        <v>0</v>
      </c>
      <c r="CE141" s="1080">
        <v>0</v>
      </c>
      <c r="CF141" s="1080">
        <v>0</v>
      </c>
      <c r="CG141" s="1080">
        <v>0</v>
      </c>
      <c r="CH141" s="1080">
        <v>0</v>
      </c>
      <c r="CI141" s="1080">
        <v>0</v>
      </c>
      <c r="CJ141" s="1080">
        <v>0</v>
      </c>
      <c r="CK141" s="1080">
        <v>0</v>
      </c>
      <c r="CL141" s="1080">
        <v>0</v>
      </c>
      <c r="CM141" s="1080">
        <v>0</v>
      </c>
      <c r="CN141" s="1080">
        <v>0</v>
      </c>
      <c r="CO141" s="1073"/>
      <c r="CP141" s="1074">
        <v>0</v>
      </c>
    </row>
    <row r="142" spans="2:94">
      <c r="B142" s="1078">
        <v>73101300</v>
      </c>
      <c r="C142" s="1079" t="s">
        <v>2563</v>
      </c>
      <c r="D142" s="1080">
        <v>0</v>
      </c>
      <c r="E142" s="1080">
        <v>0</v>
      </c>
      <c r="F142" s="1080">
        <v>0</v>
      </c>
      <c r="G142" s="1080">
        <v>0</v>
      </c>
      <c r="H142" s="1080">
        <v>0</v>
      </c>
      <c r="I142" s="1080">
        <v>0</v>
      </c>
      <c r="J142" s="1080">
        <v>0</v>
      </c>
      <c r="K142" s="1080">
        <v>0</v>
      </c>
      <c r="L142" s="1080">
        <v>0</v>
      </c>
      <c r="N142" s="2177">
        <v>73101300</v>
      </c>
      <c r="O142" s="2178" t="s">
        <v>3872</v>
      </c>
      <c r="P142" s="2179">
        <v>0</v>
      </c>
      <c r="Q142" s="2179">
        <v>0</v>
      </c>
      <c r="R142" s="2179">
        <v>0</v>
      </c>
      <c r="S142" s="2179">
        <v>0</v>
      </c>
      <c r="T142" s="2179">
        <v>0</v>
      </c>
      <c r="U142" s="2179">
        <v>0</v>
      </c>
      <c r="V142" s="2179">
        <v>0</v>
      </c>
      <c r="W142" s="2179">
        <v>0</v>
      </c>
      <c r="X142" s="2179">
        <v>0</v>
      </c>
      <c r="Z142" s="2177">
        <v>73101400</v>
      </c>
      <c r="AA142" s="2178" t="s">
        <v>3873</v>
      </c>
      <c r="AB142" s="2179">
        <v>0</v>
      </c>
      <c r="AC142" s="2179">
        <v>0</v>
      </c>
      <c r="AD142" s="2179">
        <v>0</v>
      </c>
      <c r="AE142" s="2179">
        <v>0</v>
      </c>
      <c r="AF142" s="2179">
        <v>0</v>
      </c>
      <c r="AG142" s="2179">
        <v>0</v>
      </c>
      <c r="AH142" s="2179">
        <v>0</v>
      </c>
      <c r="AI142" s="2179">
        <v>0</v>
      </c>
      <c r="AJ142" s="2179">
        <v>0</v>
      </c>
      <c r="AL142" s="1078">
        <v>73101400</v>
      </c>
      <c r="AM142" s="1079" t="s">
        <v>2564</v>
      </c>
      <c r="AN142" s="1080">
        <v>0</v>
      </c>
      <c r="AO142" s="1080">
        <v>0</v>
      </c>
      <c r="AP142" s="1080">
        <v>0</v>
      </c>
      <c r="AQ142" s="1080">
        <v>0</v>
      </c>
      <c r="AR142" s="1080">
        <v>0</v>
      </c>
      <c r="AS142" s="1080">
        <v>0</v>
      </c>
      <c r="AT142" s="1080">
        <v>0</v>
      </c>
      <c r="AU142" s="1080">
        <v>0</v>
      </c>
      <c r="AV142" s="1080">
        <v>0</v>
      </c>
      <c r="AW142" s="1073"/>
      <c r="AX142" s="1074">
        <v>0</v>
      </c>
      <c r="AZ142" s="1078">
        <v>73101400</v>
      </c>
      <c r="BA142" s="1079" t="s">
        <v>2564</v>
      </c>
      <c r="BB142" s="1080">
        <v>0</v>
      </c>
      <c r="BC142" s="1080">
        <v>0</v>
      </c>
      <c r="BD142" s="1080">
        <v>0</v>
      </c>
      <c r="BE142" s="1080">
        <v>0</v>
      </c>
      <c r="BF142" s="1080">
        <v>0</v>
      </c>
      <c r="BG142" s="1080">
        <v>0</v>
      </c>
      <c r="BH142" s="1080">
        <v>0</v>
      </c>
      <c r="BI142" s="1080">
        <v>0</v>
      </c>
      <c r="BJ142" s="1080">
        <v>0</v>
      </c>
      <c r="BK142" s="1073"/>
      <c r="BL142" s="1074">
        <v>0</v>
      </c>
      <c r="BN142" s="1078">
        <v>73101500</v>
      </c>
      <c r="BO142" s="1079" t="s">
        <v>2565</v>
      </c>
      <c r="BP142" s="1080">
        <v>0</v>
      </c>
      <c r="BQ142" s="1080">
        <v>0</v>
      </c>
      <c r="BR142" s="1080">
        <v>0</v>
      </c>
      <c r="BS142" s="1080">
        <v>0</v>
      </c>
      <c r="BT142" s="1080">
        <v>0</v>
      </c>
      <c r="BU142" s="1080">
        <v>0</v>
      </c>
      <c r="BV142" s="1080">
        <v>0</v>
      </c>
      <c r="BW142" s="1080">
        <v>0</v>
      </c>
      <c r="BX142" s="1080">
        <v>0</v>
      </c>
      <c r="BY142" s="1073"/>
      <c r="BZ142" s="1074">
        <v>0</v>
      </c>
      <c r="CB142" s="1078">
        <v>73101500</v>
      </c>
      <c r="CC142" s="1079" t="s">
        <v>2565</v>
      </c>
      <c r="CD142" s="1080">
        <v>0</v>
      </c>
      <c r="CE142" s="1080">
        <v>0</v>
      </c>
      <c r="CF142" s="1080">
        <v>0</v>
      </c>
      <c r="CG142" s="1080">
        <v>0</v>
      </c>
      <c r="CH142" s="1080">
        <v>0</v>
      </c>
      <c r="CI142" s="1080">
        <v>0</v>
      </c>
      <c r="CJ142" s="1080">
        <v>0</v>
      </c>
      <c r="CK142" s="1080">
        <v>0</v>
      </c>
      <c r="CL142" s="1080">
        <v>0</v>
      </c>
      <c r="CM142" s="1080">
        <v>0</v>
      </c>
      <c r="CN142" s="1080">
        <v>0</v>
      </c>
      <c r="CO142" s="1073"/>
      <c r="CP142" s="1074">
        <v>0</v>
      </c>
    </row>
    <row r="143" spans="2:94">
      <c r="B143" s="1078">
        <v>73101400</v>
      </c>
      <c r="C143" s="1079" t="s">
        <v>2564</v>
      </c>
      <c r="D143" s="1080">
        <v>0</v>
      </c>
      <c r="E143" s="1080">
        <v>0</v>
      </c>
      <c r="F143" s="1080">
        <v>0</v>
      </c>
      <c r="G143" s="1080">
        <v>0</v>
      </c>
      <c r="H143" s="1080">
        <v>0</v>
      </c>
      <c r="I143" s="1080">
        <v>0</v>
      </c>
      <c r="J143" s="1080">
        <v>0</v>
      </c>
      <c r="K143" s="1080">
        <v>0</v>
      </c>
      <c r="L143" s="1080">
        <v>0</v>
      </c>
      <c r="N143" s="2177">
        <v>73101400</v>
      </c>
      <c r="O143" s="2178" t="s">
        <v>3873</v>
      </c>
      <c r="P143" s="2179">
        <v>0</v>
      </c>
      <c r="Q143" s="2179">
        <v>0</v>
      </c>
      <c r="R143" s="2179">
        <v>0</v>
      </c>
      <c r="S143" s="2179">
        <v>0</v>
      </c>
      <c r="T143" s="2179">
        <v>0</v>
      </c>
      <c r="U143" s="2179">
        <v>0</v>
      </c>
      <c r="V143" s="2179">
        <v>0</v>
      </c>
      <c r="W143" s="2179">
        <v>0</v>
      </c>
      <c r="X143" s="2179">
        <v>0</v>
      </c>
      <c r="Z143" s="2177">
        <v>73101500</v>
      </c>
      <c r="AA143" s="2178" t="s">
        <v>3874</v>
      </c>
      <c r="AB143" s="2179">
        <v>0</v>
      </c>
      <c r="AC143" s="2179">
        <v>0</v>
      </c>
      <c r="AD143" s="2179">
        <v>0</v>
      </c>
      <c r="AE143" s="2179">
        <v>0</v>
      </c>
      <c r="AF143" s="2179">
        <v>0</v>
      </c>
      <c r="AG143" s="2179">
        <v>0</v>
      </c>
      <c r="AH143" s="2179">
        <v>0</v>
      </c>
      <c r="AI143" s="2179">
        <v>0</v>
      </c>
      <c r="AJ143" s="2179">
        <v>0</v>
      </c>
      <c r="AL143" s="1078">
        <v>73101500</v>
      </c>
      <c r="AM143" s="1079" t="s">
        <v>2565</v>
      </c>
      <c r="AN143" s="1080">
        <v>0</v>
      </c>
      <c r="AO143" s="1080">
        <v>0</v>
      </c>
      <c r="AP143" s="1080">
        <v>0</v>
      </c>
      <c r="AQ143" s="1080">
        <v>0</v>
      </c>
      <c r="AR143" s="1080">
        <v>0</v>
      </c>
      <c r="AS143" s="1080">
        <v>0</v>
      </c>
      <c r="AT143" s="1080">
        <v>0</v>
      </c>
      <c r="AU143" s="1080">
        <v>0</v>
      </c>
      <c r="AV143" s="1080">
        <v>0</v>
      </c>
      <c r="AW143" s="1073"/>
      <c r="AX143" s="1074">
        <v>0</v>
      </c>
      <c r="AZ143" s="1078">
        <v>73101500</v>
      </c>
      <c r="BA143" s="1079" t="s">
        <v>2565</v>
      </c>
      <c r="BB143" s="1080">
        <v>0</v>
      </c>
      <c r="BC143" s="1080">
        <v>0</v>
      </c>
      <c r="BD143" s="1080">
        <v>0</v>
      </c>
      <c r="BE143" s="1080">
        <v>0</v>
      </c>
      <c r="BF143" s="1080">
        <v>0</v>
      </c>
      <c r="BG143" s="1080">
        <v>0</v>
      </c>
      <c r="BH143" s="1080">
        <v>0</v>
      </c>
      <c r="BI143" s="1080">
        <v>0</v>
      </c>
      <c r="BJ143" s="1080">
        <v>0</v>
      </c>
      <c r="BK143" s="1073"/>
      <c r="BL143" s="1074">
        <v>0</v>
      </c>
      <c r="BN143" s="1078">
        <v>73101600</v>
      </c>
      <c r="BO143" s="1079" t="s">
        <v>2566</v>
      </c>
      <c r="BP143" s="1080">
        <v>0</v>
      </c>
      <c r="BQ143" s="1080">
        <v>0</v>
      </c>
      <c r="BR143" s="1080">
        <v>0</v>
      </c>
      <c r="BS143" s="1080">
        <v>0</v>
      </c>
      <c r="BT143" s="1080">
        <v>0</v>
      </c>
      <c r="BU143" s="1080">
        <v>0</v>
      </c>
      <c r="BV143" s="1080">
        <v>0</v>
      </c>
      <c r="BW143" s="1080">
        <v>0</v>
      </c>
      <c r="BX143" s="1080">
        <v>0</v>
      </c>
      <c r="BY143" s="1073"/>
      <c r="BZ143" s="1074">
        <v>0</v>
      </c>
      <c r="CB143" s="1078">
        <v>73101600</v>
      </c>
      <c r="CC143" s="1079" t="s">
        <v>2566</v>
      </c>
      <c r="CD143" s="1080">
        <v>0</v>
      </c>
      <c r="CE143" s="1080">
        <v>0</v>
      </c>
      <c r="CF143" s="1080">
        <v>0</v>
      </c>
      <c r="CG143" s="1080">
        <v>0</v>
      </c>
      <c r="CH143" s="1080">
        <v>0</v>
      </c>
      <c r="CI143" s="1080">
        <v>0</v>
      </c>
      <c r="CJ143" s="1080">
        <v>0</v>
      </c>
      <c r="CK143" s="1080">
        <v>0</v>
      </c>
      <c r="CL143" s="1080">
        <v>0</v>
      </c>
      <c r="CM143" s="1080">
        <v>0</v>
      </c>
      <c r="CN143" s="1080">
        <v>0</v>
      </c>
      <c r="CO143" s="1073"/>
      <c r="CP143" s="1074">
        <v>0</v>
      </c>
    </row>
    <row r="144" spans="2:94">
      <c r="B144" s="1078">
        <v>73101500</v>
      </c>
      <c r="C144" s="1079" t="s">
        <v>2565</v>
      </c>
      <c r="D144" s="1080">
        <v>0</v>
      </c>
      <c r="E144" s="1080">
        <v>0</v>
      </c>
      <c r="F144" s="1080">
        <v>0</v>
      </c>
      <c r="G144" s="1080">
        <v>0</v>
      </c>
      <c r="H144" s="1080">
        <v>0</v>
      </c>
      <c r="I144" s="1080">
        <v>0</v>
      </c>
      <c r="J144" s="1080">
        <v>0</v>
      </c>
      <c r="K144" s="1080">
        <v>0</v>
      </c>
      <c r="L144" s="1080">
        <v>0</v>
      </c>
      <c r="N144" s="2177">
        <v>73101500</v>
      </c>
      <c r="O144" s="2178" t="s">
        <v>3874</v>
      </c>
      <c r="P144" s="2179">
        <v>0</v>
      </c>
      <c r="Q144" s="2179">
        <v>0</v>
      </c>
      <c r="R144" s="2179">
        <v>0</v>
      </c>
      <c r="S144" s="2179">
        <v>0</v>
      </c>
      <c r="T144" s="2179">
        <v>0</v>
      </c>
      <c r="U144" s="2179">
        <v>0</v>
      </c>
      <c r="V144" s="2179">
        <v>0</v>
      </c>
      <c r="W144" s="2179">
        <v>0</v>
      </c>
      <c r="X144" s="2179">
        <v>0</v>
      </c>
      <c r="Z144" s="2177">
        <v>73101600</v>
      </c>
      <c r="AA144" s="2178" t="s">
        <v>2566</v>
      </c>
      <c r="AB144" s="2179">
        <v>0</v>
      </c>
      <c r="AC144" s="2179">
        <v>0</v>
      </c>
      <c r="AD144" s="2179">
        <v>0</v>
      </c>
      <c r="AE144" s="2179">
        <v>0</v>
      </c>
      <c r="AF144" s="2179">
        <v>0</v>
      </c>
      <c r="AG144" s="2179">
        <v>0</v>
      </c>
      <c r="AH144" s="2179">
        <v>0</v>
      </c>
      <c r="AI144" s="2179">
        <v>0</v>
      </c>
      <c r="AJ144" s="2179">
        <v>0</v>
      </c>
      <c r="AL144" s="1078">
        <v>73101600</v>
      </c>
      <c r="AM144" s="1079" t="s">
        <v>2566</v>
      </c>
      <c r="AN144" s="1080">
        <v>0</v>
      </c>
      <c r="AO144" s="1080">
        <v>0</v>
      </c>
      <c r="AP144" s="1080">
        <v>0</v>
      </c>
      <c r="AQ144" s="1080">
        <v>0</v>
      </c>
      <c r="AR144" s="1080">
        <v>0</v>
      </c>
      <c r="AS144" s="1080">
        <v>0</v>
      </c>
      <c r="AT144" s="1080">
        <v>0</v>
      </c>
      <c r="AU144" s="1080">
        <v>0</v>
      </c>
      <c r="AV144" s="1080">
        <v>0</v>
      </c>
      <c r="AW144" s="1073"/>
      <c r="AX144" s="1074">
        <v>0</v>
      </c>
      <c r="AZ144" s="1078">
        <v>73101600</v>
      </c>
      <c r="BA144" s="1079" t="s">
        <v>2566</v>
      </c>
      <c r="BB144" s="1080">
        <v>0</v>
      </c>
      <c r="BC144" s="1080">
        <v>0</v>
      </c>
      <c r="BD144" s="1080">
        <v>0</v>
      </c>
      <c r="BE144" s="1080">
        <v>0</v>
      </c>
      <c r="BF144" s="1080">
        <v>0</v>
      </c>
      <c r="BG144" s="1080">
        <v>0</v>
      </c>
      <c r="BH144" s="1080">
        <v>0</v>
      </c>
      <c r="BI144" s="1080">
        <v>0</v>
      </c>
      <c r="BJ144" s="1080">
        <v>0</v>
      </c>
      <c r="BK144" s="1073"/>
      <c r="BL144" s="1074">
        <v>0</v>
      </c>
      <c r="BN144" s="1078">
        <v>73101700</v>
      </c>
      <c r="BO144" s="1079" t="s">
        <v>2567</v>
      </c>
      <c r="BP144" s="1080">
        <v>0</v>
      </c>
      <c r="BQ144" s="1080">
        <v>0</v>
      </c>
      <c r="BR144" s="1080">
        <v>0</v>
      </c>
      <c r="BS144" s="1080">
        <v>0</v>
      </c>
      <c r="BT144" s="1080">
        <v>0</v>
      </c>
      <c r="BU144" s="1080">
        <v>0</v>
      </c>
      <c r="BV144" s="1080">
        <v>0</v>
      </c>
      <c r="BW144" s="1080">
        <v>0</v>
      </c>
      <c r="BX144" s="1080">
        <v>0</v>
      </c>
      <c r="BY144" s="1073"/>
      <c r="BZ144" s="1074">
        <v>0</v>
      </c>
      <c r="CB144" s="1078">
        <v>73101700</v>
      </c>
      <c r="CC144" s="1079" t="s">
        <v>2567</v>
      </c>
      <c r="CD144" s="1080">
        <v>0</v>
      </c>
      <c r="CE144" s="1080">
        <v>0</v>
      </c>
      <c r="CF144" s="1080">
        <v>0</v>
      </c>
      <c r="CG144" s="1080">
        <v>0</v>
      </c>
      <c r="CH144" s="1080">
        <v>0</v>
      </c>
      <c r="CI144" s="1080">
        <v>0</v>
      </c>
      <c r="CJ144" s="1080">
        <v>0</v>
      </c>
      <c r="CK144" s="1080">
        <v>0</v>
      </c>
      <c r="CL144" s="1080">
        <v>0</v>
      </c>
      <c r="CM144" s="1080">
        <v>0</v>
      </c>
      <c r="CN144" s="1080">
        <v>0</v>
      </c>
      <c r="CO144" s="1073"/>
      <c r="CP144" s="1074">
        <v>0</v>
      </c>
    </row>
    <row r="145" spans="2:94">
      <c r="B145" s="1078">
        <v>73101600</v>
      </c>
      <c r="C145" s="1079" t="s">
        <v>2566</v>
      </c>
      <c r="D145" s="1080">
        <v>0</v>
      </c>
      <c r="E145" s="1080">
        <v>0</v>
      </c>
      <c r="F145" s="1080">
        <v>0</v>
      </c>
      <c r="G145" s="1080">
        <v>0</v>
      </c>
      <c r="H145" s="1080">
        <v>0</v>
      </c>
      <c r="I145" s="1080">
        <v>0</v>
      </c>
      <c r="J145" s="1080">
        <v>0</v>
      </c>
      <c r="K145" s="1080">
        <v>0</v>
      </c>
      <c r="L145" s="1080">
        <v>0</v>
      </c>
      <c r="N145" s="2177">
        <v>73101600</v>
      </c>
      <c r="O145" s="2178" t="s">
        <v>2566</v>
      </c>
      <c r="P145" s="2179">
        <v>0</v>
      </c>
      <c r="Q145" s="2179">
        <v>0</v>
      </c>
      <c r="R145" s="2179">
        <v>0</v>
      </c>
      <c r="S145" s="2179">
        <v>0</v>
      </c>
      <c r="T145" s="2179">
        <v>0</v>
      </c>
      <c r="U145" s="2179">
        <v>0</v>
      </c>
      <c r="V145" s="2179">
        <v>0</v>
      </c>
      <c r="W145" s="2179">
        <v>0</v>
      </c>
      <c r="X145" s="2179">
        <v>0</v>
      </c>
      <c r="Z145" s="2177">
        <v>73101700</v>
      </c>
      <c r="AA145" s="2178" t="s">
        <v>2567</v>
      </c>
      <c r="AB145" s="2179">
        <v>0</v>
      </c>
      <c r="AC145" s="2179">
        <v>0</v>
      </c>
      <c r="AD145" s="2179">
        <v>0</v>
      </c>
      <c r="AE145" s="2179">
        <v>0</v>
      </c>
      <c r="AF145" s="2179">
        <v>0</v>
      </c>
      <c r="AG145" s="2179">
        <v>0</v>
      </c>
      <c r="AH145" s="2179">
        <v>0</v>
      </c>
      <c r="AI145" s="2179">
        <v>0</v>
      </c>
      <c r="AJ145" s="2179">
        <v>0</v>
      </c>
      <c r="AL145" s="1078">
        <v>73101700</v>
      </c>
      <c r="AM145" s="1079" t="s">
        <v>2567</v>
      </c>
      <c r="AN145" s="1080">
        <v>0</v>
      </c>
      <c r="AO145" s="1080">
        <v>0</v>
      </c>
      <c r="AP145" s="1080">
        <v>0</v>
      </c>
      <c r="AQ145" s="1080">
        <v>0</v>
      </c>
      <c r="AR145" s="1080">
        <v>0</v>
      </c>
      <c r="AS145" s="1080">
        <v>0</v>
      </c>
      <c r="AT145" s="1080">
        <v>0</v>
      </c>
      <c r="AU145" s="1080">
        <v>0</v>
      </c>
      <c r="AV145" s="1080">
        <v>0</v>
      </c>
      <c r="AW145" s="1073"/>
      <c r="AX145" s="1074">
        <v>0</v>
      </c>
      <c r="AZ145" s="1078">
        <v>73101700</v>
      </c>
      <c r="BA145" s="1079" t="s">
        <v>2567</v>
      </c>
      <c r="BB145" s="1080">
        <v>0</v>
      </c>
      <c r="BC145" s="1080">
        <v>0</v>
      </c>
      <c r="BD145" s="1080">
        <v>0</v>
      </c>
      <c r="BE145" s="1080">
        <v>0</v>
      </c>
      <c r="BF145" s="1080">
        <v>0</v>
      </c>
      <c r="BG145" s="1080">
        <v>0</v>
      </c>
      <c r="BH145" s="1080">
        <v>0</v>
      </c>
      <c r="BI145" s="1080">
        <v>0</v>
      </c>
      <c r="BJ145" s="1080">
        <v>0</v>
      </c>
      <c r="BK145" s="1073"/>
      <c r="BL145" s="1074">
        <v>0</v>
      </c>
      <c r="BN145" s="1078">
        <v>73101800</v>
      </c>
      <c r="BO145" s="1079" t="s">
        <v>2568</v>
      </c>
      <c r="BP145" s="1080">
        <v>0</v>
      </c>
      <c r="BQ145" s="1080">
        <v>0</v>
      </c>
      <c r="BR145" s="1080">
        <v>0</v>
      </c>
      <c r="BS145" s="1080">
        <v>0</v>
      </c>
      <c r="BT145" s="1080">
        <v>0</v>
      </c>
      <c r="BU145" s="1080">
        <v>0</v>
      </c>
      <c r="BV145" s="1080">
        <v>0</v>
      </c>
      <c r="BW145" s="1080">
        <v>0</v>
      </c>
      <c r="BX145" s="1080">
        <v>0</v>
      </c>
      <c r="BY145" s="1073"/>
      <c r="BZ145" s="1074">
        <v>0</v>
      </c>
      <c r="CB145" s="1078">
        <v>73101800</v>
      </c>
      <c r="CC145" s="1079" t="s">
        <v>2568</v>
      </c>
      <c r="CD145" s="1080">
        <v>0</v>
      </c>
      <c r="CE145" s="1080">
        <v>0</v>
      </c>
      <c r="CF145" s="1080">
        <v>0</v>
      </c>
      <c r="CG145" s="1080">
        <v>0</v>
      </c>
      <c r="CH145" s="1080">
        <v>0</v>
      </c>
      <c r="CI145" s="1080">
        <v>0</v>
      </c>
      <c r="CJ145" s="1080">
        <v>0</v>
      </c>
      <c r="CK145" s="1080">
        <v>0</v>
      </c>
      <c r="CL145" s="1080">
        <v>0</v>
      </c>
      <c r="CM145" s="1080">
        <v>0</v>
      </c>
      <c r="CN145" s="1080">
        <v>0</v>
      </c>
      <c r="CO145" s="1073"/>
      <c r="CP145" s="1074">
        <v>0</v>
      </c>
    </row>
    <row r="146" spans="2:94">
      <c r="B146" s="1078">
        <v>73101700</v>
      </c>
      <c r="C146" s="1079" t="s">
        <v>2567</v>
      </c>
      <c r="D146" s="1080">
        <v>0</v>
      </c>
      <c r="E146" s="1080">
        <v>0</v>
      </c>
      <c r="F146" s="1080">
        <v>0</v>
      </c>
      <c r="G146" s="1080">
        <v>0</v>
      </c>
      <c r="H146" s="1080">
        <v>0</v>
      </c>
      <c r="I146" s="1080">
        <v>0</v>
      </c>
      <c r="J146" s="1080">
        <v>0</v>
      </c>
      <c r="K146" s="1080">
        <v>0</v>
      </c>
      <c r="L146" s="1080">
        <v>0</v>
      </c>
      <c r="N146" s="2177">
        <v>73101700</v>
      </c>
      <c r="O146" s="2178" t="s">
        <v>2567</v>
      </c>
      <c r="P146" s="2179">
        <v>0</v>
      </c>
      <c r="Q146" s="2179">
        <v>0</v>
      </c>
      <c r="R146" s="2179">
        <v>0</v>
      </c>
      <c r="S146" s="2179">
        <v>0</v>
      </c>
      <c r="T146" s="2179">
        <v>0</v>
      </c>
      <c r="U146" s="2179">
        <v>0</v>
      </c>
      <c r="V146" s="2179">
        <v>0</v>
      </c>
      <c r="W146" s="2179">
        <v>0</v>
      </c>
      <c r="X146" s="2179">
        <v>0</v>
      </c>
      <c r="Z146" s="2177">
        <v>73101800</v>
      </c>
      <c r="AA146" s="2178" t="s">
        <v>2568</v>
      </c>
      <c r="AB146" s="2179">
        <v>0</v>
      </c>
      <c r="AC146" s="2179">
        <v>61461986</v>
      </c>
      <c r="AD146" s="2179">
        <v>0</v>
      </c>
      <c r="AE146" s="2179">
        <v>0</v>
      </c>
      <c r="AF146" s="2179">
        <v>0</v>
      </c>
      <c r="AG146" s="2179">
        <v>61461986</v>
      </c>
      <c r="AH146" s="2179">
        <v>0</v>
      </c>
      <c r="AI146" s="2179">
        <v>0</v>
      </c>
      <c r="AJ146" s="2179">
        <v>61461986</v>
      </c>
      <c r="AL146" s="1078">
        <v>73101800</v>
      </c>
      <c r="AM146" s="1079" t="s">
        <v>2568</v>
      </c>
      <c r="AN146" s="1080">
        <v>0</v>
      </c>
      <c r="AO146" s="1080">
        <v>0</v>
      </c>
      <c r="AP146" s="1080">
        <v>0</v>
      </c>
      <c r="AQ146" s="1080">
        <v>0</v>
      </c>
      <c r="AR146" s="1080">
        <v>0</v>
      </c>
      <c r="AS146" s="1080">
        <v>0</v>
      </c>
      <c r="AT146" s="1080">
        <v>0</v>
      </c>
      <c r="AU146" s="1080">
        <v>0</v>
      </c>
      <c r="AV146" s="1080">
        <v>0</v>
      </c>
      <c r="AW146" s="1073"/>
      <c r="AX146" s="1074">
        <v>0</v>
      </c>
      <c r="AZ146" s="1078">
        <v>73101800</v>
      </c>
      <c r="BA146" s="1079" t="s">
        <v>2568</v>
      </c>
      <c r="BB146" s="1080">
        <v>0</v>
      </c>
      <c r="BC146" s="1080">
        <v>0</v>
      </c>
      <c r="BD146" s="1080">
        <v>0</v>
      </c>
      <c r="BE146" s="1080">
        <v>0</v>
      </c>
      <c r="BF146" s="1080">
        <v>0</v>
      </c>
      <c r="BG146" s="1080">
        <v>0</v>
      </c>
      <c r="BH146" s="1080">
        <v>0</v>
      </c>
      <c r="BI146" s="1080">
        <v>0</v>
      </c>
      <c r="BJ146" s="1080">
        <v>0</v>
      </c>
      <c r="BK146" s="1073"/>
      <c r="BL146" s="1074">
        <v>0</v>
      </c>
      <c r="BN146" s="1078">
        <v>73101900</v>
      </c>
      <c r="BO146" s="1084" t="s">
        <v>2569</v>
      </c>
      <c r="BP146" s="1080">
        <v>0</v>
      </c>
      <c r="BQ146" s="1080">
        <v>0</v>
      </c>
      <c r="BR146" s="1080">
        <v>0</v>
      </c>
      <c r="BS146" s="1080">
        <v>0</v>
      </c>
      <c r="BT146" s="1080">
        <v>0</v>
      </c>
      <c r="BU146" s="1080">
        <v>0</v>
      </c>
      <c r="BV146" s="1080">
        <v>0</v>
      </c>
      <c r="BW146" s="1080">
        <v>0</v>
      </c>
      <c r="BX146" s="1080">
        <v>0</v>
      </c>
      <c r="BY146" s="1073"/>
      <c r="BZ146" s="1074">
        <v>0</v>
      </c>
      <c r="CB146" s="1078">
        <v>73101900</v>
      </c>
      <c r="CC146" s="1084" t="s">
        <v>2569</v>
      </c>
      <c r="CD146" s="1080">
        <v>0</v>
      </c>
      <c r="CE146" s="1080">
        <v>0</v>
      </c>
      <c r="CF146" s="1080">
        <v>0</v>
      </c>
      <c r="CG146" s="1080">
        <v>0</v>
      </c>
      <c r="CH146" s="1080">
        <v>0</v>
      </c>
      <c r="CI146" s="1080">
        <v>0</v>
      </c>
      <c r="CJ146" s="1080">
        <v>0</v>
      </c>
      <c r="CK146" s="1080">
        <v>0</v>
      </c>
      <c r="CL146" s="1080">
        <v>0</v>
      </c>
      <c r="CM146" s="1080">
        <v>0</v>
      </c>
      <c r="CN146" s="1080">
        <v>0</v>
      </c>
      <c r="CO146" s="1073"/>
      <c r="CP146" s="1074">
        <v>0</v>
      </c>
    </row>
    <row r="147" spans="2:94">
      <c r="B147" s="1078">
        <v>73101800</v>
      </c>
      <c r="C147" s="1079" t="s">
        <v>2568</v>
      </c>
      <c r="D147" s="1080">
        <v>0</v>
      </c>
      <c r="E147" s="1080">
        <v>54898277</v>
      </c>
      <c r="F147" s="1080">
        <v>0</v>
      </c>
      <c r="G147" s="1080">
        <v>0</v>
      </c>
      <c r="H147" s="1080">
        <v>0</v>
      </c>
      <c r="I147" s="1080">
        <v>54898277</v>
      </c>
      <c r="J147" s="1080">
        <v>0</v>
      </c>
      <c r="K147" s="1080">
        <v>0</v>
      </c>
      <c r="L147" s="1080">
        <v>54898277</v>
      </c>
      <c r="N147" s="2177">
        <v>73101800</v>
      </c>
      <c r="O147" s="2178" t="s">
        <v>2568</v>
      </c>
      <c r="P147" s="2179">
        <v>0</v>
      </c>
      <c r="Q147" s="2179">
        <v>35965700</v>
      </c>
      <c r="R147" s="2179">
        <v>0</v>
      </c>
      <c r="S147" s="2179">
        <v>0</v>
      </c>
      <c r="T147" s="2179">
        <v>0</v>
      </c>
      <c r="U147" s="2179">
        <v>35965700</v>
      </c>
      <c r="V147" s="2179">
        <v>0</v>
      </c>
      <c r="W147" s="2179">
        <v>0</v>
      </c>
      <c r="X147" s="2179">
        <v>35965700</v>
      </c>
      <c r="Z147" s="2177">
        <v>73101900</v>
      </c>
      <c r="AA147" s="2180" t="s">
        <v>2569</v>
      </c>
      <c r="AB147" s="2179">
        <v>0</v>
      </c>
      <c r="AC147" s="2179">
        <v>0</v>
      </c>
      <c r="AD147" s="2179">
        <v>0</v>
      </c>
      <c r="AE147" s="2179">
        <v>0</v>
      </c>
      <c r="AF147" s="2179">
        <v>0</v>
      </c>
      <c r="AG147" s="2179">
        <v>0</v>
      </c>
      <c r="AH147" s="2179">
        <v>0</v>
      </c>
      <c r="AI147" s="2179">
        <v>0</v>
      </c>
      <c r="AJ147" s="2179">
        <v>0</v>
      </c>
      <c r="AL147" s="1078">
        <v>73101900</v>
      </c>
      <c r="AM147" s="1084" t="s">
        <v>2569</v>
      </c>
      <c r="AN147" s="1080">
        <v>0</v>
      </c>
      <c r="AO147" s="1080">
        <v>0</v>
      </c>
      <c r="AP147" s="1080">
        <v>0</v>
      </c>
      <c r="AQ147" s="1080">
        <v>0</v>
      </c>
      <c r="AR147" s="1080">
        <v>0</v>
      </c>
      <c r="AS147" s="1080">
        <v>0</v>
      </c>
      <c r="AT147" s="1080">
        <v>0</v>
      </c>
      <c r="AU147" s="1080">
        <v>0</v>
      </c>
      <c r="AV147" s="1080">
        <v>0</v>
      </c>
      <c r="AW147" s="1073"/>
      <c r="AX147" s="1074">
        <v>0</v>
      </c>
      <c r="AZ147" s="1078">
        <v>73101900</v>
      </c>
      <c r="BA147" s="1084" t="s">
        <v>2569</v>
      </c>
      <c r="BB147" s="1080">
        <v>0</v>
      </c>
      <c r="BC147" s="1080">
        <v>0</v>
      </c>
      <c r="BD147" s="1080">
        <v>0</v>
      </c>
      <c r="BE147" s="1080">
        <v>0</v>
      </c>
      <c r="BF147" s="1080">
        <v>0</v>
      </c>
      <c r="BG147" s="1080">
        <v>0</v>
      </c>
      <c r="BH147" s="1080">
        <v>0</v>
      </c>
      <c r="BI147" s="1080">
        <v>0</v>
      </c>
      <c r="BJ147" s="1080">
        <v>0</v>
      </c>
      <c r="BK147" s="1073"/>
      <c r="BL147" s="1074">
        <v>0</v>
      </c>
      <c r="BN147" s="1075">
        <v>73110000</v>
      </c>
      <c r="BO147" s="1076" t="s">
        <v>2570</v>
      </c>
      <c r="BP147" s="1077">
        <v>43369603576</v>
      </c>
      <c r="BQ147" s="1077">
        <v>0</v>
      </c>
      <c r="BR147" s="1077">
        <v>0</v>
      </c>
      <c r="BS147" s="1077">
        <v>0</v>
      </c>
      <c r="BT147" s="1077">
        <v>0</v>
      </c>
      <c r="BU147" s="1077">
        <v>43369603576</v>
      </c>
      <c r="BV147" s="1077">
        <v>0</v>
      </c>
      <c r="BW147" s="1077">
        <v>0</v>
      </c>
      <c r="BX147" s="1077">
        <v>21101758095</v>
      </c>
      <c r="BY147" s="1073"/>
      <c r="BZ147" s="1074"/>
      <c r="CB147" s="1075">
        <v>73110000</v>
      </c>
      <c r="CC147" s="1076" t="s">
        <v>2570</v>
      </c>
      <c r="CD147" s="1077">
        <v>46934554494</v>
      </c>
      <c r="CE147" s="1077">
        <v>0</v>
      </c>
      <c r="CF147" s="1077">
        <v>0</v>
      </c>
      <c r="CG147" s="1077">
        <v>0</v>
      </c>
      <c r="CH147" s="1077">
        <v>0</v>
      </c>
      <c r="CI147" s="1077">
        <v>0</v>
      </c>
      <c r="CJ147" s="1077">
        <v>0</v>
      </c>
      <c r="CK147" s="1077">
        <v>46934554494</v>
      </c>
      <c r="CL147" s="1077">
        <v>0</v>
      </c>
      <c r="CM147" s="1077">
        <v>0</v>
      </c>
      <c r="CN147" s="1077">
        <v>48243915035</v>
      </c>
      <c r="CO147" s="1073"/>
      <c r="CP147" s="1074"/>
    </row>
    <row r="148" spans="2:94">
      <c r="B148" s="1078">
        <v>73101900</v>
      </c>
      <c r="C148" s="1084" t="s">
        <v>2569</v>
      </c>
      <c r="D148" s="1080">
        <v>0</v>
      </c>
      <c r="E148" s="1080">
        <v>0</v>
      </c>
      <c r="F148" s="1080">
        <v>0</v>
      </c>
      <c r="G148" s="1080">
        <v>0</v>
      </c>
      <c r="H148" s="1080">
        <v>0</v>
      </c>
      <c r="I148" s="1080">
        <v>0</v>
      </c>
      <c r="J148" s="1080">
        <v>0</v>
      </c>
      <c r="K148" s="1080">
        <v>0</v>
      </c>
      <c r="L148" s="1080">
        <v>0</v>
      </c>
      <c r="N148" s="2177">
        <v>73101900</v>
      </c>
      <c r="O148" s="2180" t="s">
        <v>2569</v>
      </c>
      <c r="P148" s="2179">
        <v>0</v>
      </c>
      <c r="Q148" s="2179">
        <v>0</v>
      </c>
      <c r="R148" s="2179">
        <v>0</v>
      </c>
      <c r="S148" s="2179">
        <v>0</v>
      </c>
      <c r="T148" s="2179">
        <v>0</v>
      </c>
      <c r="U148" s="2179">
        <v>0</v>
      </c>
      <c r="V148" s="2179">
        <v>0</v>
      </c>
      <c r="W148" s="2179">
        <v>0</v>
      </c>
      <c r="X148" s="2179">
        <v>0</v>
      </c>
      <c r="Z148" s="2174">
        <v>73110000</v>
      </c>
      <c r="AA148" s="2175" t="s">
        <v>2570</v>
      </c>
      <c r="AB148" s="2176">
        <v>10931207176</v>
      </c>
      <c r="AC148" s="2176">
        <v>0</v>
      </c>
      <c r="AD148" s="2176">
        <v>0</v>
      </c>
      <c r="AE148" s="2176">
        <v>0</v>
      </c>
      <c r="AF148" s="2176">
        <v>0</v>
      </c>
      <c r="AG148" s="2176">
        <v>10931207176</v>
      </c>
      <c r="AH148" s="2176">
        <v>0</v>
      </c>
      <c r="AI148" s="2176">
        <v>0</v>
      </c>
      <c r="AJ148" s="2176">
        <v>14507866141</v>
      </c>
      <c r="AL148" s="1075">
        <v>73110000</v>
      </c>
      <c r="AM148" s="1076" t="s">
        <v>2570</v>
      </c>
      <c r="AN148" s="1077">
        <v>8114227321</v>
      </c>
      <c r="AO148" s="1077">
        <v>0</v>
      </c>
      <c r="AP148" s="1077">
        <v>0</v>
      </c>
      <c r="AQ148" s="1077">
        <v>0</v>
      </c>
      <c r="AR148" s="1077">
        <v>0</v>
      </c>
      <c r="AS148" s="1077">
        <v>8114227321</v>
      </c>
      <c r="AT148" s="1077">
        <v>0</v>
      </c>
      <c r="AU148" s="1077">
        <v>0</v>
      </c>
      <c r="AV148" s="1077">
        <v>10033588322</v>
      </c>
      <c r="AW148" s="1073"/>
      <c r="AX148" s="1074"/>
      <c r="AZ148" s="1075">
        <v>73110000</v>
      </c>
      <c r="BA148" s="1076" t="s">
        <v>2570</v>
      </c>
      <c r="BB148" s="1077">
        <v>17175317942</v>
      </c>
      <c r="BC148" s="1077">
        <v>0</v>
      </c>
      <c r="BD148" s="1077">
        <v>0</v>
      </c>
      <c r="BE148" s="1077">
        <v>0</v>
      </c>
      <c r="BF148" s="1077">
        <v>0</v>
      </c>
      <c r="BG148" s="1077">
        <v>17175317942</v>
      </c>
      <c r="BH148" s="1077">
        <v>0</v>
      </c>
      <c r="BI148" s="1077">
        <v>0</v>
      </c>
      <c r="BJ148" s="1077">
        <v>19284764688</v>
      </c>
      <c r="BK148" s="1073"/>
      <c r="BL148" s="1074"/>
      <c r="BN148" s="1078">
        <v>73110100</v>
      </c>
      <c r="BO148" s="1079" t="s">
        <v>2571</v>
      </c>
      <c r="BP148" s="1080">
        <v>0</v>
      </c>
      <c r="BQ148" s="1080">
        <v>0</v>
      </c>
      <c r="BR148" s="1080">
        <v>0</v>
      </c>
      <c r="BS148" s="1080">
        <v>0</v>
      </c>
      <c r="BT148" s="1080">
        <v>0</v>
      </c>
      <c r="BU148" s="1080">
        <v>0</v>
      </c>
      <c r="BV148" s="1080">
        <v>0</v>
      </c>
      <c r="BW148" s="1080">
        <v>0</v>
      </c>
      <c r="BX148" s="1080">
        <v>0</v>
      </c>
      <c r="BY148" s="1073"/>
      <c r="BZ148" s="1074">
        <v>0</v>
      </c>
      <c r="CB148" s="1078">
        <v>73110100</v>
      </c>
      <c r="CC148" s="1079" t="s">
        <v>2571</v>
      </c>
      <c r="CD148" s="1080">
        <v>0</v>
      </c>
      <c r="CE148" s="1080">
        <v>0</v>
      </c>
      <c r="CF148" s="1080">
        <v>0</v>
      </c>
      <c r="CG148" s="1080">
        <v>0</v>
      </c>
      <c r="CH148" s="1080">
        <v>0</v>
      </c>
      <c r="CI148" s="1080">
        <v>0</v>
      </c>
      <c r="CJ148" s="1080">
        <v>0</v>
      </c>
      <c r="CK148" s="1080">
        <v>0</v>
      </c>
      <c r="CL148" s="1080">
        <v>0</v>
      </c>
      <c r="CM148" s="1080">
        <v>0</v>
      </c>
      <c r="CN148" s="1080">
        <v>0</v>
      </c>
      <c r="CO148" s="1073"/>
      <c r="CP148" s="1074">
        <v>0</v>
      </c>
    </row>
    <row r="149" spans="2:94">
      <c r="B149" s="1075">
        <v>73110000</v>
      </c>
      <c r="C149" s="1076" t="s">
        <v>2570</v>
      </c>
      <c r="D149" s="1077">
        <v>13620998575</v>
      </c>
      <c r="E149" s="1077">
        <v>0</v>
      </c>
      <c r="F149" s="1077">
        <v>0</v>
      </c>
      <c r="G149" s="1077">
        <v>0</v>
      </c>
      <c r="H149" s="1077">
        <v>0</v>
      </c>
      <c r="I149" s="1077">
        <v>13620998575</v>
      </c>
      <c r="J149" s="1077">
        <v>0</v>
      </c>
      <c r="K149" s="1077">
        <v>0</v>
      </c>
      <c r="L149" s="1077">
        <v>16299040538</v>
      </c>
      <c r="N149" s="2174">
        <v>73110000</v>
      </c>
      <c r="O149" s="2175" t="s">
        <v>2570</v>
      </c>
      <c r="P149" s="2176">
        <v>6019136329</v>
      </c>
      <c r="Q149" s="2176">
        <v>0</v>
      </c>
      <c r="R149" s="2176">
        <v>0</v>
      </c>
      <c r="S149" s="2176">
        <v>0</v>
      </c>
      <c r="T149" s="2176">
        <v>0</v>
      </c>
      <c r="U149" s="2176">
        <v>6019136329</v>
      </c>
      <c r="V149" s="2176">
        <v>0</v>
      </c>
      <c r="W149" s="2176">
        <v>0</v>
      </c>
      <c r="X149" s="2176">
        <v>8059173733</v>
      </c>
      <c r="Z149" s="2177">
        <v>73110100</v>
      </c>
      <c r="AA149" s="2178" t="s">
        <v>2571</v>
      </c>
      <c r="AB149" s="2179">
        <v>0</v>
      </c>
      <c r="AC149" s="2179">
        <v>0</v>
      </c>
      <c r="AD149" s="2179">
        <v>0</v>
      </c>
      <c r="AE149" s="2179">
        <v>0</v>
      </c>
      <c r="AF149" s="2179">
        <v>0</v>
      </c>
      <c r="AG149" s="2179">
        <v>0</v>
      </c>
      <c r="AH149" s="2179">
        <v>0</v>
      </c>
      <c r="AI149" s="2179">
        <v>0</v>
      </c>
      <c r="AJ149" s="2179">
        <v>0</v>
      </c>
      <c r="AL149" s="1078">
        <v>73110100</v>
      </c>
      <c r="AM149" s="1079" t="s">
        <v>2571</v>
      </c>
      <c r="AN149" s="1080">
        <v>0</v>
      </c>
      <c r="AO149" s="1080">
        <v>0</v>
      </c>
      <c r="AP149" s="1080">
        <v>0</v>
      </c>
      <c r="AQ149" s="1080">
        <v>0</v>
      </c>
      <c r="AR149" s="1080">
        <v>0</v>
      </c>
      <c r="AS149" s="1080">
        <v>0</v>
      </c>
      <c r="AT149" s="1080">
        <v>0</v>
      </c>
      <c r="AU149" s="1080">
        <v>0</v>
      </c>
      <c r="AV149" s="1080">
        <v>0</v>
      </c>
      <c r="AW149" s="1073"/>
      <c r="AX149" s="1074">
        <v>0</v>
      </c>
      <c r="AZ149" s="1078">
        <v>73110100</v>
      </c>
      <c r="BA149" s="1079" t="s">
        <v>2571</v>
      </c>
      <c r="BB149" s="1080">
        <v>0</v>
      </c>
      <c r="BC149" s="1080">
        <v>0</v>
      </c>
      <c r="BD149" s="1080">
        <v>0</v>
      </c>
      <c r="BE149" s="1080">
        <v>0</v>
      </c>
      <c r="BF149" s="1080">
        <v>0</v>
      </c>
      <c r="BG149" s="1080">
        <v>0</v>
      </c>
      <c r="BH149" s="1080">
        <v>0</v>
      </c>
      <c r="BI149" s="1080">
        <v>0</v>
      </c>
      <c r="BJ149" s="1080">
        <v>0</v>
      </c>
      <c r="BK149" s="1073"/>
      <c r="BL149" s="1074">
        <v>0</v>
      </c>
      <c r="BN149" s="1078">
        <v>73110200</v>
      </c>
      <c r="BO149" s="1079" t="s">
        <v>2572</v>
      </c>
      <c r="BP149" s="1080">
        <v>4675349491</v>
      </c>
      <c r="BQ149" s="1080">
        <v>0</v>
      </c>
      <c r="BR149" s="1080">
        <v>0</v>
      </c>
      <c r="BS149" s="1080">
        <v>0</v>
      </c>
      <c r="BT149" s="1080">
        <v>0</v>
      </c>
      <c r="BU149" s="1080">
        <v>4675349491</v>
      </c>
      <c r="BV149" s="1080">
        <v>0</v>
      </c>
      <c r="BW149" s="1080">
        <v>0</v>
      </c>
      <c r="BX149" s="1080">
        <v>4675349491</v>
      </c>
      <c r="BY149" s="1073"/>
      <c r="BZ149" s="1074">
        <v>-4675349491</v>
      </c>
      <c r="CB149" s="1078">
        <v>73110200</v>
      </c>
      <c r="CC149" s="1079" t="s">
        <v>2572</v>
      </c>
      <c r="CD149" s="1080">
        <v>25456799496</v>
      </c>
      <c r="CE149" s="1080">
        <v>0</v>
      </c>
      <c r="CF149" s="1080">
        <v>0</v>
      </c>
      <c r="CG149" s="1080">
        <v>0</v>
      </c>
      <c r="CH149" s="1080">
        <v>0</v>
      </c>
      <c r="CI149" s="1080">
        <v>0</v>
      </c>
      <c r="CJ149" s="1080">
        <v>0</v>
      </c>
      <c r="CK149" s="1080">
        <v>25456799496</v>
      </c>
      <c r="CL149" s="1080">
        <v>0</v>
      </c>
      <c r="CM149" s="1080">
        <v>0</v>
      </c>
      <c r="CN149" s="1080">
        <v>25456799496</v>
      </c>
      <c r="CO149" s="1073"/>
      <c r="CP149" s="1074">
        <v>-25456799496</v>
      </c>
    </row>
    <row r="150" spans="2:94">
      <c r="B150" s="1078">
        <v>73110100</v>
      </c>
      <c r="C150" s="1079" t="s">
        <v>2571</v>
      </c>
      <c r="D150" s="1080">
        <v>0</v>
      </c>
      <c r="E150" s="1080">
        <v>0</v>
      </c>
      <c r="F150" s="1080">
        <v>0</v>
      </c>
      <c r="G150" s="1080">
        <v>0</v>
      </c>
      <c r="H150" s="1080">
        <v>0</v>
      </c>
      <c r="I150" s="1080">
        <v>0</v>
      </c>
      <c r="J150" s="1080">
        <v>0</v>
      </c>
      <c r="K150" s="1080">
        <v>0</v>
      </c>
      <c r="L150" s="1080">
        <v>0</v>
      </c>
      <c r="N150" s="2177">
        <v>73110100</v>
      </c>
      <c r="O150" s="2178" t="s">
        <v>2571</v>
      </c>
      <c r="P150" s="2179">
        <v>0</v>
      </c>
      <c r="Q150" s="2179">
        <v>0</v>
      </c>
      <c r="R150" s="2179">
        <v>0</v>
      </c>
      <c r="S150" s="2179">
        <v>0</v>
      </c>
      <c r="T150" s="2179">
        <v>0</v>
      </c>
      <c r="U150" s="2179">
        <v>0</v>
      </c>
      <c r="V150" s="2179">
        <v>0</v>
      </c>
      <c r="W150" s="2179">
        <v>0</v>
      </c>
      <c r="X150" s="2179">
        <v>0</v>
      </c>
      <c r="Z150" s="2177">
        <v>73110200</v>
      </c>
      <c r="AA150" s="2178" t="s">
        <v>3875</v>
      </c>
      <c r="AB150" s="2179">
        <v>0</v>
      </c>
      <c r="AC150" s="2179">
        <v>0</v>
      </c>
      <c r="AD150" s="2179">
        <v>0</v>
      </c>
      <c r="AE150" s="2179">
        <v>0</v>
      </c>
      <c r="AF150" s="2179">
        <v>0</v>
      </c>
      <c r="AG150" s="2179">
        <v>0</v>
      </c>
      <c r="AH150" s="2179">
        <v>0</v>
      </c>
      <c r="AI150" s="2179">
        <v>0</v>
      </c>
      <c r="AJ150" s="2179">
        <v>0</v>
      </c>
      <c r="AL150" s="1078">
        <v>73110200</v>
      </c>
      <c r="AM150" s="1079" t="s">
        <v>2572</v>
      </c>
      <c r="AN150" s="1080">
        <v>0</v>
      </c>
      <c r="AO150" s="1080">
        <v>0</v>
      </c>
      <c r="AP150" s="1080">
        <v>0</v>
      </c>
      <c r="AQ150" s="1080">
        <v>0</v>
      </c>
      <c r="AR150" s="1080">
        <v>0</v>
      </c>
      <c r="AS150" s="1080">
        <v>0</v>
      </c>
      <c r="AT150" s="1080">
        <v>0</v>
      </c>
      <c r="AU150" s="1080">
        <v>0</v>
      </c>
      <c r="AV150" s="1080">
        <v>0</v>
      </c>
      <c r="AW150" s="1073"/>
      <c r="AX150" s="1074">
        <v>0</v>
      </c>
      <c r="AZ150" s="1078">
        <v>73110200</v>
      </c>
      <c r="BA150" s="1079" t="s">
        <v>2572</v>
      </c>
      <c r="BB150" s="1080">
        <v>4078593219</v>
      </c>
      <c r="BC150" s="1080">
        <v>0</v>
      </c>
      <c r="BD150" s="1080">
        <v>0</v>
      </c>
      <c r="BE150" s="1080">
        <v>0</v>
      </c>
      <c r="BF150" s="1080">
        <v>0</v>
      </c>
      <c r="BG150" s="1080">
        <v>4078593219</v>
      </c>
      <c r="BH150" s="1080">
        <v>0</v>
      </c>
      <c r="BI150" s="1080">
        <v>0</v>
      </c>
      <c r="BJ150" s="1080">
        <v>4078593219</v>
      </c>
      <c r="BK150" s="1073"/>
      <c r="BL150" s="1074">
        <v>-4078593219</v>
      </c>
      <c r="BN150" s="1078">
        <v>73110300</v>
      </c>
      <c r="BO150" s="1079" t="s">
        <v>2573</v>
      </c>
      <c r="BP150" s="1080">
        <v>15002823269</v>
      </c>
      <c r="BQ150" s="1080">
        <v>0</v>
      </c>
      <c r="BR150" s="1080">
        <v>0</v>
      </c>
      <c r="BS150" s="1080">
        <v>0</v>
      </c>
      <c r="BT150" s="1080">
        <v>0</v>
      </c>
      <c r="BU150" s="1080">
        <v>15002823269</v>
      </c>
      <c r="BV150" s="1080">
        <v>0</v>
      </c>
      <c r="BW150" s="1080">
        <v>0</v>
      </c>
      <c r="BX150" s="1080">
        <v>15002823269</v>
      </c>
      <c r="BY150" s="1073"/>
      <c r="BZ150" s="1074">
        <v>-15002823269</v>
      </c>
      <c r="CB150" s="1078">
        <v>73110300</v>
      </c>
      <c r="CC150" s="1079" t="s">
        <v>2573</v>
      </c>
      <c r="CD150" s="1080">
        <v>5939058802</v>
      </c>
      <c r="CE150" s="1080">
        <v>0</v>
      </c>
      <c r="CF150" s="1080">
        <v>0</v>
      </c>
      <c r="CG150" s="1080">
        <v>0</v>
      </c>
      <c r="CH150" s="1080">
        <v>0</v>
      </c>
      <c r="CI150" s="1080">
        <v>0</v>
      </c>
      <c r="CJ150" s="1080">
        <v>0</v>
      </c>
      <c r="CK150" s="1080">
        <v>5939058802</v>
      </c>
      <c r="CL150" s="1080">
        <v>0</v>
      </c>
      <c r="CM150" s="1080">
        <v>0</v>
      </c>
      <c r="CN150" s="1080">
        <v>5939058802</v>
      </c>
      <c r="CO150" s="1073"/>
      <c r="CP150" s="1074">
        <v>-5939058802</v>
      </c>
    </row>
    <row r="151" spans="2:94">
      <c r="B151" s="1078">
        <v>73110200</v>
      </c>
      <c r="C151" s="1079" t="s">
        <v>2572</v>
      </c>
      <c r="D151" s="1080">
        <v>7585147</v>
      </c>
      <c r="E151" s="1080">
        <v>0</v>
      </c>
      <c r="F151" s="1080">
        <v>0</v>
      </c>
      <c r="G151" s="1080">
        <v>0</v>
      </c>
      <c r="H151" s="1080">
        <v>0</v>
      </c>
      <c r="I151" s="1080">
        <v>7585147</v>
      </c>
      <c r="J151" s="1080">
        <v>0</v>
      </c>
      <c r="K151" s="1080">
        <v>0</v>
      </c>
      <c r="L151" s="1080">
        <v>7585147</v>
      </c>
      <c r="N151" s="2177">
        <v>73110200</v>
      </c>
      <c r="O151" s="2178" t="s">
        <v>3875</v>
      </c>
      <c r="P151" s="2179">
        <v>7585147</v>
      </c>
      <c r="Q151" s="2179">
        <v>0</v>
      </c>
      <c r="R151" s="2179">
        <v>0</v>
      </c>
      <c r="S151" s="2179">
        <v>0</v>
      </c>
      <c r="T151" s="2179">
        <v>0</v>
      </c>
      <c r="U151" s="2179">
        <v>7585147</v>
      </c>
      <c r="V151" s="2179">
        <v>0</v>
      </c>
      <c r="W151" s="2179">
        <v>0</v>
      </c>
      <c r="X151" s="2179">
        <v>7585147</v>
      </c>
      <c r="Z151" s="2177">
        <v>73110300</v>
      </c>
      <c r="AA151" s="2178" t="s">
        <v>3876</v>
      </c>
      <c r="AB151" s="2179">
        <v>1854957</v>
      </c>
      <c r="AC151" s="2179">
        <v>0</v>
      </c>
      <c r="AD151" s="2179">
        <v>0</v>
      </c>
      <c r="AE151" s="2179">
        <v>0</v>
      </c>
      <c r="AF151" s="2179">
        <v>0</v>
      </c>
      <c r="AG151" s="2179">
        <v>1854957</v>
      </c>
      <c r="AH151" s="2179">
        <v>0</v>
      </c>
      <c r="AI151" s="2179">
        <v>0</v>
      </c>
      <c r="AJ151" s="2179">
        <v>1854957</v>
      </c>
      <c r="AL151" s="1078">
        <v>73110300</v>
      </c>
      <c r="AM151" s="1079" t="s">
        <v>2573</v>
      </c>
      <c r="AN151" s="1080">
        <v>3388999839</v>
      </c>
      <c r="AO151" s="1080">
        <v>0</v>
      </c>
      <c r="AP151" s="1080">
        <v>0</v>
      </c>
      <c r="AQ151" s="1080">
        <v>0</v>
      </c>
      <c r="AR151" s="1080">
        <v>0</v>
      </c>
      <c r="AS151" s="1080">
        <v>3388999839</v>
      </c>
      <c r="AT151" s="1080">
        <v>0</v>
      </c>
      <c r="AU151" s="1080">
        <v>0</v>
      </c>
      <c r="AV151" s="1080">
        <v>3388999839</v>
      </c>
      <c r="AW151" s="1073"/>
      <c r="AX151" s="1074">
        <v>-3388999839</v>
      </c>
      <c r="AZ151" s="1078">
        <v>73110300</v>
      </c>
      <c r="BA151" s="1079" t="s">
        <v>2573</v>
      </c>
      <c r="BB151" s="1080">
        <v>8621237667</v>
      </c>
      <c r="BC151" s="1080">
        <v>0</v>
      </c>
      <c r="BD151" s="1080">
        <v>0</v>
      </c>
      <c r="BE151" s="1080">
        <v>0</v>
      </c>
      <c r="BF151" s="1080">
        <v>0</v>
      </c>
      <c r="BG151" s="1080">
        <v>8621237667</v>
      </c>
      <c r="BH151" s="1080">
        <v>0</v>
      </c>
      <c r="BI151" s="1080">
        <v>0</v>
      </c>
      <c r="BJ151" s="1080">
        <v>8621237667</v>
      </c>
      <c r="BK151" s="1073"/>
      <c r="BL151" s="1074">
        <v>-8621237667</v>
      </c>
      <c r="BN151" s="1078">
        <v>73110400</v>
      </c>
      <c r="BO151" s="1079" t="s">
        <v>2574</v>
      </c>
      <c r="BP151" s="1080">
        <v>0</v>
      </c>
      <c r="BQ151" s="1080">
        <v>0</v>
      </c>
      <c r="BR151" s="1080">
        <v>0</v>
      </c>
      <c r="BS151" s="1080">
        <v>0</v>
      </c>
      <c r="BT151" s="1080">
        <v>0</v>
      </c>
      <c r="BU151" s="1080">
        <v>0</v>
      </c>
      <c r="BV151" s="1080">
        <v>0</v>
      </c>
      <c r="BW151" s="1080">
        <v>533645501</v>
      </c>
      <c r="BX151" s="1080">
        <v>533645501</v>
      </c>
      <c r="BY151" s="1073"/>
      <c r="BZ151" s="1074">
        <v>-533645501</v>
      </c>
      <c r="CB151" s="1078">
        <v>73110400</v>
      </c>
      <c r="CC151" s="1079" t="s">
        <v>2574</v>
      </c>
      <c r="CD151" s="1080">
        <v>0</v>
      </c>
      <c r="CE151" s="1080">
        <v>0</v>
      </c>
      <c r="CF151" s="1080">
        <v>0</v>
      </c>
      <c r="CG151" s="1080">
        <v>0</v>
      </c>
      <c r="CH151" s="1080">
        <v>0</v>
      </c>
      <c r="CI151" s="1080">
        <v>0</v>
      </c>
      <c r="CJ151" s="1080">
        <v>0</v>
      </c>
      <c r="CK151" s="1080">
        <v>0</v>
      </c>
      <c r="CL151" s="1080">
        <v>0</v>
      </c>
      <c r="CM151" s="1080">
        <v>852866664</v>
      </c>
      <c r="CN151" s="1080">
        <v>852866664</v>
      </c>
      <c r="CO151" s="1073"/>
      <c r="CP151" s="1074">
        <v>-852866664</v>
      </c>
    </row>
    <row r="152" spans="2:94">
      <c r="B152" s="1078">
        <v>73110300</v>
      </c>
      <c r="C152" s="1079" t="s">
        <v>2573</v>
      </c>
      <c r="D152" s="1080">
        <v>13325117858</v>
      </c>
      <c r="E152" s="1080">
        <v>0</v>
      </c>
      <c r="F152" s="1080">
        <v>0</v>
      </c>
      <c r="G152" s="1080">
        <v>0</v>
      </c>
      <c r="H152" s="1080">
        <v>0</v>
      </c>
      <c r="I152" s="1080">
        <v>13325117858</v>
      </c>
      <c r="J152" s="1080">
        <v>0</v>
      </c>
      <c r="K152" s="1080">
        <v>0</v>
      </c>
      <c r="L152" s="1080">
        <v>13325117858</v>
      </c>
      <c r="N152" s="2177">
        <v>73110300</v>
      </c>
      <c r="O152" s="2178" t="s">
        <v>3876</v>
      </c>
      <c r="P152" s="2179">
        <v>5723255612</v>
      </c>
      <c r="Q152" s="2179">
        <v>0</v>
      </c>
      <c r="R152" s="2179">
        <v>0</v>
      </c>
      <c r="S152" s="2179">
        <v>0</v>
      </c>
      <c r="T152" s="2179">
        <v>0</v>
      </c>
      <c r="U152" s="2179">
        <v>5723255612</v>
      </c>
      <c r="V152" s="2179">
        <v>0</v>
      </c>
      <c r="W152" s="2179">
        <v>0</v>
      </c>
      <c r="X152" s="2179">
        <v>5723255612</v>
      </c>
      <c r="Z152" s="2177">
        <v>73110400</v>
      </c>
      <c r="AA152" s="2178" t="s">
        <v>3877</v>
      </c>
      <c r="AB152" s="2179">
        <v>0</v>
      </c>
      <c r="AC152" s="2179">
        <v>0</v>
      </c>
      <c r="AD152" s="2179">
        <v>0</v>
      </c>
      <c r="AE152" s="2179">
        <v>0</v>
      </c>
      <c r="AF152" s="2179">
        <v>0</v>
      </c>
      <c r="AG152" s="2179">
        <v>0</v>
      </c>
      <c r="AH152" s="2179">
        <v>0</v>
      </c>
      <c r="AI152" s="2179">
        <v>3576658965</v>
      </c>
      <c r="AJ152" s="2179">
        <v>3576658965</v>
      </c>
      <c r="AL152" s="1078">
        <v>73110400</v>
      </c>
      <c r="AM152" s="1079" t="s">
        <v>2574</v>
      </c>
      <c r="AN152" s="1080">
        <v>0</v>
      </c>
      <c r="AO152" s="1080">
        <v>0</v>
      </c>
      <c r="AP152" s="1080">
        <v>0</v>
      </c>
      <c r="AQ152" s="1080">
        <v>0</v>
      </c>
      <c r="AR152" s="1080">
        <v>0</v>
      </c>
      <c r="AS152" s="1080">
        <v>0</v>
      </c>
      <c r="AT152" s="1080">
        <v>0</v>
      </c>
      <c r="AU152" s="1080">
        <v>1919361001</v>
      </c>
      <c r="AV152" s="1080">
        <v>1919361001</v>
      </c>
      <c r="AW152" s="1073"/>
      <c r="AX152" s="1074">
        <v>-1919361001</v>
      </c>
      <c r="AZ152" s="1078">
        <v>73110400</v>
      </c>
      <c r="BA152" s="1079" t="s">
        <v>2574</v>
      </c>
      <c r="BB152" s="1080">
        <v>0</v>
      </c>
      <c r="BC152" s="1080">
        <v>0</v>
      </c>
      <c r="BD152" s="1080">
        <v>0</v>
      </c>
      <c r="BE152" s="1080">
        <v>0</v>
      </c>
      <c r="BF152" s="1080">
        <v>0</v>
      </c>
      <c r="BG152" s="1080">
        <v>0</v>
      </c>
      <c r="BH152" s="1080">
        <v>0</v>
      </c>
      <c r="BI152" s="1080">
        <v>2109446746</v>
      </c>
      <c r="BJ152" s="1080">
        <v>2109446746</v>
      </c>
      <c r="BK152" s="1073"/>
      <c r="BL152" s="1074">
        <v>-2109446746</v>
      </c>
      <c r="BN152" s="1078">
        <v>73110800</v>
      </c>
      <c r="BO152" s="1079" t="s">
        <v>2575</v>
      </c>
      <c r="BP152" s="1080">
        <v>539035319</v>
      </c>
      <c r="BQ152" s="1080">
        <v>0</v>
      </c>
      <c r="BR152" s="1080">
        <v>0</v>
      </c>
      <c r="BS152" s="1080">
        <v>0</v>
      </c>
      <c r="BT152" s="1080">
        <v>0</v>
      </c>
      <c r="BU152" s="1080">
        <v>539035319</v>
      </c>
      <c r="BV152" s="1080">
        <v>0</v>
      </c>
      <c r="BW152" s="1080">
        <v>0</v>
      </c>
      <c r="BX152" s="1080">
        <v>539035319</v>
      </c>
      <c r="BY152" s="1073"/>
      <c r="BZ152" s="1074">
        <v>-539035319</v>
      </c>
      <c r="CB152" s="1078">
        <v>73110800</v>
      </c>
      <c r="CC152" s="1079" t="s">
        <v>2575</v>
      </c>
      <c r="CD152" s="1080">
        <v>0</v>
      </c>
      <c r="CE152" s="1080">
        <v>0</v>
      </c>
      <c r="CF152" s="1080">
        <v>0</v>
      </c>
      <c r="CG152" s="1080">
        <v>0</v>
      </c>
      <c r="CH152" s="1080">
        <v>0</v>
      </c>
      <c r="CI152" s="1080">
        <v>0</v>
      </c>
      <c r="CJ152" s="1080">
        <v>0</v>
      </c>
      <c r="CK152" s="1080">
        <v>0</v>
      </c>
      <c r="CL152" s="1080">
        <v>0</v>
      </c>
      <c r="CM152" s="1080">
        <v>0</v>
      </c>
      <c r="CN152" s="1080">
        <v>0</v>
      </c>
      <c r="CO152" s="1073"/>
      <c r="CP152" s="1074">
        <v>0</v>
      </c>
    </row>
    <row r="153" spans="2:94">
      <c r="B153" s="1078">
        <v>73110400</v>
      </c>
      <c r="C153" s="1079" t="s">
        <v>2574</v>
      </c>
      <c r="D153" s="1080">
        <v>0</v>
      </c>
      <c r="E153" s="1080">
        <v>0</v>
      </c>
      <c r="F153" s="1080">
        <v>0</v>
      </c>
      <c r="G153" s="1080">
        <v>0</v>
      </c>
      <c r="H153" s="1080">
        <v>0</v>
      </c>
      <c r="I153" s="1080">
        <v>0</v>
      </c>
      <c r="J153" s="1080">
        <v>0</v>
      </c>
      <c r="K153" s="1080">
        <v>2678041963</v>
      </c>
      <c r="L153" s="1080">
        <v>2678041963</v>
      </c>
      <c r="N153" s="2177">
        <v>73110400</v>
      </c>
      <c r="O153" s="2178" t="s">
        <v>3877</v>
      </c>
      <c r="P153" s="2179">
        <v>0</v>
      </c>
      <c r="Q153" s="2179">
        <v>0</v>
      </c>
      <c r="R153" s="2179">
        <v>0</v>
      </c>
      <c r="S153" s="2179">
        <v>0</v>
      </c>
      <c r="T153" s="2179">
        <v>0</v>
      </c>
      <c r="U153" s="2179">
        <v>0</v>
      </c>
      <c r="V153" s="2179">
        <v>0</v>
      </c>
      <c r="W153" s="2179">
        <v>2040037404</v>
      </c>
      <c r="X153" s="2179">
        <v>2040037404</v>
      </c>
      <c r="Z153" s="2177">
        <v>73110800</v>
      </c>
      <c r="AA153" s="2178" t="s">
        <v>3878</v>
      </c>
      <c r="AB153" s="2179">
        <v>1919351822</v>
      </c>
      <c r="AC153" s="2179">
        <v>0</v>
      </c>
      <c r="AD153" s="2179">
        <v>0</v>
      </c>
      <c r="AE153" s="2179">
        <v>0</v>
      </c>
      <c r="AF153" s="2179">
        <v>0</v>
      </c>
      <c r="AG153" s="2179">
        <v>1919351822</v>
      </c>
      <c r="AH153" s="2179">
        <v>0</v>
      </c>
      <c r="AI153" s="2179">
        <v>0</v>
      </c>
      <c r="AJ153" s="2179">
        <v>1919351822</v>
      </c>
      <c r="AL153" s="1078">
        <v>73110800</v>
      </c>
      <c r="AM153" s="1079" t="s">
        <v>2575</v>
      </c>
      <c r="AN153" s="1080">
        <v>1903706616</v>
      </c>
      <c r="AO153" s="1080">
        <v>0</v>
      </c>
      <c r="AP153" s="1080">
        <v>0</v>
      </c>
      <c r="AQ153" s="1080">
        <v>0</v>
      </c>
      <c r="AR153" s="1080">
        <v>0</v>
      </c>
      <c r="AS153" s="1080">
        <v>1903706616</v>
      </c>
      <c r="AT153" s="1080">
        <v>0</v>
      </c>
      <c r="AU153" s="1080">
        <v>0</v>
      </c>
      <c r="AV153" s="1080">
        <v>1903706616</v>
      </c>
      <c r="AW153" s="1073"/>
      <c r="AX153" s="1074">
        <v>-1903706616</v>
      </c>
      <c r="AZ153" s="1078">
        <v>73110800</v>
      </c>
      <c r="BA153" s="1079" t="s">
        <v>2575</v>
      </c>
      <c r="BB153" s="1080">
        <v>1034943342</v>
      </c>
      <c r="BC153" s="1080">
        <v>0</v>
      </c>
      <c r="BD153" s="1080">
        <v>0</v>
      </c>
      <c r="BE153" s="1080">
        <v>0</v>
      </c>
      <c r="BF153" s="1080">
        <v>0</v>
      </c>
      <c r="BG153" s="1080">
        <v>1034943342</v>
      </c>
      <c r="BH153" s="1080">
        <v>0</v>
      </c>
      <c r="BI153" s="1080">
        <v>0</v>
      </c>
      <c r="BJ153" s="1080">
        <v>1034943342</v>
      </c>
      <c r="BK153" s="1073"/>
      <c r="BL153" s="1074">
        <v>-1034943342</v>
      </c>
      <c r="BN153" s="1078">
        <v>73110900</v>
      </c>
      <c r="BO153" s="1079" t="s">
        <v>2576</v>
      </c>
      <c r="BP153" s="1080">
        <v>288000000</v>
      </c>
      <c r="BQ153" s="1080">
        <v>0</v>
      </c>
      <c r="BR153" s="1080">
        <v>0</v>
      </c>
      <c r="BS153" s="1080">
        <v>0</v>
      </c>
      <c r="BT153" s="1080">
        <v>0</v>
      </c>
      <c r="BU153" s="1080">
        <v>288000000</v>
      </c>
      <c r="BV153" s="1080">
        <v>0</v>
      </c>
      <c r="BW153" s="1080">
        <v>0</v>
      </c>
      <c r="BX153" s="1080">
        <v>288000000</v>
      </c>
      <c r="BY153" s="1073"/>
      <c r="BZ153" s="1074">
        <v>-288000000</v>
      </c>
      <c r="CB153" s="1078">
        <v>73110900</v>
      </c>
      <c r="CC153" s="1079" t="s">
        <v>2576</v>
      </c>
      <c r="CD153" s="1080">
        <v>13848534140</v>
      </c>
      <c r="CE153" s="1080">
        <v>0</v>
      </c>
      <c r="CF153" s="1080">
        <v>0</v>
      </c>
      <c r="CG153" s="1080">
        <v>0</v>
      </c>
      <c r="CH153" s="1080">
        <v>0</v>
      </c>
      <c r="CI153" s="1080">
        <v>0</v>
      </c>
      <c r="CJ153" s="1080">
        <v>0</v>
      </c>
      <c r="CK153" s="1080">
        <v>13848534140</v>
      </c>
      <c r="CL153" s="1080">
        <v>0</v>
      </c>
      <c r="CM153" s="1080">
        <v>0</v>
      </c>
      <c r="CN153" s="1080">
        <v>13848534140</v>
      </c>
      <c r="CO153" s="1073"/>
      <c r="CP153" s="1074">
        <v>-13848534140</v>
      </c>
    </row>
    <row r="154" spans="2:94">
      <c r="B154" s="1078">
        <v>73110800</v>
      </c>
      <c r="C154" s="1079" t="s">
        <v>2575</v>
      </c>
      <c r="D154" s="1080">
        <v>0</v>
      </c>
      <c r="E154" s="1080">
        <v>0</v>
      </c>
      <c r="F154" s="1080">
        <v>0</v>
      </c>
      <c r="G154" s="1080">
        <v>0</v>
      </c>
      <c r="H154" s="1080">
        <v>0</v>
      </c>
      <c r="I154" s="1080">
        <v>0</v>
      </c>
      <c r="J154" s="1080">
        <v>0</v>
      </c>
      <c r="K154" s="1080">
        <v>0</v>
      </c>
      <c r="L154" s="1080">
        <v>0</v>
      </c>
      <c r="N154" s="2177">
        <v>73110800</v>
      </c>
      <c r="O154" s="2178" t="s">
        <v>3878</v>
      </c>
      <c r="P154" s="2179">
        <v>-54873280</v>
      </c>
      <c r="Q154" s="2179">
        <v>0</v>
      </c>
      <c r="R154" s="2179">
        <v>0</v>
      </c>
      <c r="S154" s="2179">
        <v>0</v>
      </c>
      <c r="T154" s="2179">
        <v>0</v>
      </c>
      <c r="U154" s="2179">
        <v>-54873280</v>
      </c>
      <c r="V154" s="2179">
        <v>0</v>
      </c>
      <c r="W154" s="2179">
        <v>0</v>
      </c>
      <c r="X154" s="2179">
        <v>-54873280</v>
      </c>
      <c r="Z154" s="2177">
        <v>73110900</v>
      </c>
      <c r="AA154" s="2178" t="s">
        <v>3879</v>
      </c>
      <c r="AB154" s="2179">
        <v>9010000397</v>
      </c>
      <c r="AC154" s="2179">
        <v>0</v>
      </c>
      <c r="AD154" s="2179">
        <v>0</v>
      </c>
      <c r="AE154" s="2179">
        <v>0</v>
      </c>
      <c r="AF154" s="2179">
        <v>0</v>
      </c>
      <c r="AG154" s="2179">
        <v>9010000397</v>
      </c>
      <c r="AH154" s="2179">
        <v>0</v>
      </c>
      <c r="AI154" s="2179">
        <v>0</v>
      </c>
      <c r="AJ154" s="2179">
        <v>9010000397</v>
      </c>
      <c r="AL154" s="1078">
        <v>73110900</v>
      </c>
      <c r="AM154" s="1079" t="s">
        <v>2576</v>
      </c>
      <c r="AN154" s="1080">
        <v>2821520866</v>
      </c>
      <c r="AO154" s="1080">
        <v>0</v>
      </c>
      <c r="AP154" s="1080">
        <v>0</v>
      </c>
      <c r="AQ154" s="1080">
        <v>0</v>
      </c>
      <c r="AR154" s="1080">
        <v>0</v>
      </c>
      <c r="AS154" s="1080">
        <v>2821520866</v>
      </c>
      <c r="AT154" s="1080">
        <v>0</v>
      </c>
      <c r="AU154" s="1080">
        <v>0</v>
      </c>
      <c r="AV154" s="1080">
        <v>2821520866</v>
      </c>
      <c r="AW154" s="1073"/>
      <c r="AX154" s="1074">
        <v>-2821520866</v>
      </c>
      <c r="AZ154" s="1078">
        <v>73110900</v>
      </c>
      <c r="BA154" s="1079" t="s">
        <v>2576</v>
      </c>
      <c r="BB154" s="1080">
        <v>2653336243</v>
      </c>
      <c r="BC154" s="1080">
        <v>0</v>
      </c>
      <c r="BD154" s="1080">
        <v>0</v>
      </c>
      <c r="BE154" s="1080">
        <v>0</v>
      </c>
      <c r="BF154" s="1080">
        <v>0</v>
      </c>
      <c r="BG154" s="1080">
        <v>2653336243</v>
      </c>
      <c r="BH154" s="1080">
        <v>0</v>
      </c>
      <c r="BI154" s="1080">
        <v>0</v>
      </c>
      <c r="BJ154" s="1080">
        <v>2653336243</v>
      </c>
      <c r="BK154" s="1073"/>
      <c r="BL154" s="1074">
        <v>-2653336243</v>
      </c>
      <c r="BN154" s="1078">
        <v>73111000</v>
      </c>
      <c r="BO154" s="1079" t="s">
        <v>2577</v>
      </c>
      <c r="BP154" s="1080">
        <v>0</v>
      </c>
      <c r="BQ154" s="1080">
        <v>0</v>
      </c>
      <c r="BR154" s="1080">
        <v>0</v>
      </c>
      <c r="BS154" s="1080">
        <v>0</v>
      </c>
      <c r="BT154" s="1080">
        <v>0</v>
      </c>
      <c r="BU154" s="1080">
        <v>0</v>
      </c>
      <c r="BV154" s="1080">
        <v>0</v>
      </c>
      <c r="BW154" s="1080">
        <v>0</v>
      </c>
      <c r="BX154" s="1080">
        <v>0</v>
      </c>
      <c r="BY154" s="1073"/>
      <c r="BZ154" s="1074">
        <v>0</v>
      </c>
      <c r="CB154" s="1078">
        <v>73111000</v>
      </c>
      <c r="CC154" s="1079" t="s">
        <v>2577</v>
      </c>
      <c r="CD154" s="1080">
        <v>0</v>
      </c>
      <c r="CE154" s="1080">
        <v>0</v>
      </c>
      <c r="CF154" s="1080">
        <v>0</v>
      </c>
      <c r="CG154" s="1080">
        <v>0</v>
      </c>
      <c r="CH154" s="1080">
        <v>0</v>
      </c>
      <c r="CI154" s="1080">
        <v>0</v>
      </c>
      <c r="CJ154" s="1080">
        <v>0</v>
      </c>
      <c r="CK154" s="1080">
        <v>0</v>
      </c>
      <c r="CL154" s="1080">
        <v>0</v>
      </c>
      <c r="CM154" s="1080">
        <v>0</v>
      </c>
      <c r="CN154" s="1080">
        <v>0</v>
      </c>
      <c r="CO154" s="1073"/>
      <c r="CP154" s="1074">
        <v>0</v>
      </c>
    </row>
    <row r="155" spans="2:94">
      <c r="B155" s="1078">
        <v>73110900</v>
      </c>
      <c r="C155" s="1079" t="s">
        <v>2576</v>
      </c>
      <c r="D155" s="1080">
        <v>288295570</v>
      </c>
      <c r="E155" s="1080">
        <v>0</v>
      </c>
      <c r="F155" s="1080">
        <v>0</v>
      </c>
      <c r="G155" s="1080">
        <v>0</v>
      </c>
      <c r="H155" s="1080">
        <v>0</v>
      </c>
      <c r="I155" s="1080">
        <v>288295570</v>
      </c>
      <c r="J155" s="1080">
        <v>0</v>
      </c>
      <c r="K155" s="1080">
        <v>0</v>
      </c>
      <c r="L155" s="1080">
        <v>288295570</v>
      </c>
      <c r="N155" s="2177">
        <v>73110900</v>
      </c>
      <c r="O155" s="2178" t="s">
        <v>3879</v>
      </c>
      <c r="P155" s="2179">
        <v>343168850</v>
      </c>
      <c r="Q155" s="2179">
        <v>0</v>
      </c>
      <c r="R155" s="2179">
        <v>0</v>
      </c>
      <c r="S155" s="2179">
        <v>0</v>
      </c>
      <c r="T155" s="2179">
        <v>0</v>
      </c>
      <c r="U155" s="2179">
        <v>343168850</v>
      </c>
      <c r="V155" s="2179">
        <v>0</v>
      </c>
      <c r="W155" s="2179">
        <v>0</v>
      </c>
      <c r="X155" s="2179">
        <v>343168850</v>
      </c>
      <c r="Z155" s="2177">
        <v>73111000</v>
      </c>
      <c r="AA155" s="2178" t="s">
        <v>2577</v>
      </c>
      <c r="AB155" s="2179">
        <v>0</v>
      </c>
      <c r="AC155" s="2179">
        <v>0</v>
      </c>
      <c r="AD155" s="2179">
        <v>0</v>
      </c>
      <c r="AE155" s="2179">
        <v>0</v>
      </c>
      <c r="AF155" s="2179">
        <v>0</v>
      </c>
      <c r="AG155" s="2179">
        <v>0</v>
      </c>
      <c r="AH155" s="2179">
        <v>0</v>
      </c>
      <c r="AI155" s="2179">
        <v>0</v>
      </c>
      <c r="AJ155" s="2179">
        <v>0</v>
      </c>
      <c r="AL155" s="1078">
        <v>73111000</v>
      </c>
      <c r="AM155" s="1079" t="s">
        <v>2577</v>
      </c>
      <c r="AN155" s="1080">
        <v>0</v>
      </c>
      <c r="AO155" s="1080">
        <v>0</v>
      </c>
      <c r="AP155" s="1080">
        <v>0</v>
      </c>
      <c r="AQ155" s="1080">
        <v>0</v>
      </c>
      <c r="AR155" s="1080">
        <v>0</v>
      </c>
      <c r="AS155" s="1080">
        <v>0</v>
      </c>
      <c r="AT155" s="1080">
        <v>0</v>
      </c>
      <c r="AU155" s="1080">
        <v>0</v>
      </c>
      <c r="AV155" s="1080">
        <v>0</v>
      </c>
      <c r="AW155" s="1073"/>
      <c r="AX155" s="1074">
        <v>0</v>
      </c>
      <c r="AZ155" s="1078">
        <v>73111000</v>
      </c>
      <c r="BA155" s="1079" t="s">
        <v>2577</v>
      </c>
      <c r="BB155" s="1080">
        <v>0</v>
      </c>
      <c r="BC155" s="1080">
        <v>0</v>
      </c>
      <c r="BD155" s="1080">
        <v>0</v>
      </c>
      <c r="BE155" s="1080">
        <v>0</v>
      </c>
      <c r="BF155" s="1080">
        <v>0</v>
      </c>
      <c r="BG155" s="1080">
        <v>0</v>
      </c>
      <c r="BH155" s="1080">
        <v>0</v>
      </c>
      <c r="BI155" s="1080">
        <v>0</v>
      </c>
      <c r="BJ155" s="1080">
        <v>0</v>
      </c>
      <c r="BK155" s="1073"/>
      <c r="BL155" s="1074">
        <v>0</v>
      </c>
      <c r="BN155" s="1078">
        <v>73111100</v>
      </c>
      <c r="BO155" s="1079" t="s">
        <v>2578</v>
      </c>
      <c r="BP155" s="1080">
        <v>0</v>
      </c>
      <c r="BQ155" s="1080">
        <v>0</v>
      </c>
      <c r="BR155" s="1080">
        <v>0</v>
      </c>
      <c r="BS155" s="1080">
        <v>0</v>
      </c>
      <c r="BT155" s="1080">
        <v>0</v>
      </c>
      <c r="BU155" s="1080">
        <v>0</v>
      </c>
      <c r="BV155" s="1080">
        <v>0</v>
      </c>
      <c r="BW155" s="1080">
        <v>0</v>
      </c>
      <c r="BX155" s="1080">
        <v>0</v>
      </c>
      <c r="BY155" s="1073"/>
      <c r="BZ155" s="1074">
        <v>0</v>
      </c>
      <c r="CB155" s="1078">
        <v>73111100</v>
      </c>
      <c r="CC155" s="1079" t="s">
        <v>2578</v>
      </c>
      <c r="CD155" s="1080">
        <v>0</v>
      </c>
      <c r="CE155" s="1080">
        <v>0</v>
      </c>
      <c r="CF155" s="1080">
        <v>0</v>
      </c>
      <c r="CG155" s="1080">
        <v>0</v>
      </c>
      <c r="CH155" s="1080">
        <v>0</v>
      </c>
      <c r="CI155" s="1080">
        <v>0</v>
      </c>
      <c r="CJ155" s="1080">
        <v>0</v>
      </c>
      <c r="CK155" s="1080">
        <v>0</v>
      </c>
      <c r="CL155" s="1080">
        <v>0</v>
      </c>
      <c r="CM155" s="1080">
        <v>0</v>
      </c>
      <c r="CN155" s="1080">
        <v>0</v>
      </c>
      <c r="CO155" s="1073"/>
      <c r="CP155" s="1074">
        <v>0</v>
      </c>
    </row>
    <row r="156" spans="2:94">
      <c r="B156" s="1078">
        <v>73111000</v>
      </c>
      <c r="C156" s="1079" t="s">
        <v>2577</v>
      </c>
      <c r="D156" s="1080">
        <v>0</v>
      </c>
      <c r="E156" s="1080">
        <v>0</v>
      </c>
      <c r="F156" s="1080">
        <v>0</v>
      </c>
      <c r="G156" s="1080">
        <v>0</v>
      </c>
      <c r="H156" s="1080">
        <v>0</v>
      </c>
      <c r="I156" s="1080">
        <v>0</v>
      </c>
      <c r="J156" s="1080">
        <v>0</v>
      </c>
      <c r="K156" s="1080">
        <v>0</v>
      </c>
      <c r="L156" s="1080">
        <v>0</v>
      </c>
      <c r="N156" s="2177">
        <v>73111000</v>
      </c>
      <c r="O156" s="2178" t="s">
        <v>2577</v>
      </c>
      <c r="P156" s="2179">
        <v>0</v>
      </c>
      <c r="Q156" s="2179">
        <v>0</v>
      </c>
      <c r="R156" s="2179">
        <v>0</v>
      </c>
      <c r="S156" s="2179">
        <v>0</v>
      </c>
      <c r="T156" s="2179">
        <v>0</v>
      </c>
      <c r="U156" s="2179">
        <v>0</v>
      </c>
      <c r="V156" s="2179">
        <v>0</v>
      </c>
      <c r="W156" s="2179">
        <v>0</v>
      </c>
      <c r="X156" s="2179">
        <v>0</v>
      </c>
      <c r="Z156" s="2177">
        <v>73111100</v>
      </c>
      <c r="AA156" s="2178" t="s">
        <v>3880</v>
      </c>
      <c r="AB156" s="2179">
        <v>0</v>
      </c>
      <c r="AC156" s="2179">
        <v>0</v>
      </c>
      <c r="AD156" s="2179">
        <v>0</v>
      </c>
      <c r="AE156" s="2179">
        <v>0</v>
      </c>
      <c r="AF156" s="2179">
        <v>0</v>
      </c>
      <c r="AG156" s="2179">
        <v>0</v>
      </c>
      <c r="AH156" s="2179">
        <v>0</v>
      </c>
      <c r="AI156" s="2179">
        <v>0</v>
      </c>
      <c r="AJ156" s="2179">
        <v>0</v>
      </c>
      <c r="AL156" s="1078">
        <v>73111100</v>
      </c>
      <c r="AM156" s="1079" t="s">
        <v>2578</v>
      </c>
      <c r="AN156" s="1080">
        <v>0</v>
      </c>
      <c r="AO156" s="1080">
        <v>0</v>
      </c>
      <c r="AP156" s="1080">
        <v>0</v>
      </c>
      <c r="AQ156" s="1080">
        <v>0</v>
      </c>
      <c r="AR156" s="1080">
        <v>0</v>
      </c>
      <c r="AS156" s="1080">
        <v>0</v>
      </c>
      <c r="AT156" s="1080">
        <v>0</v>
      </c>
      <c r="AU156" s="1080">
        <v>0</v>
      </c>
      <c r="AV156" s="1080">
        <v>0</v>
      </c>
      <c r="AW156" s="1073"/>
      <c r="AX156" s="1074">
        <v>0</v>
      </c>
      <c r="AZ156" s="1078">
        <v>73111100</v>
      </c>
      <c r="BA156" s="1079" t="s">
        <v>2578</v>
      </c>
      <c r="BB156" s="1080">
        <v>0</v>
      </c>
      <c r="BC156" s="1080">
        <v>0</v>
      </c>
      <c r="BD156" s="1080">
        <v>0</v>
      </c>
      <c r="BE156" s="1080">
        <v>0</v>
      </c>
      <c r="BF156" s="1080">
        <v>0</v>
      </c>
      <c r="BG156" s="1080">
        <v>0</v>
      </c>
      <c r="BH156" s="1080">
        <v>0</v>
      </c>
      <c r="BI156" s="1080">
        <v>0</v>
      </c>
      <c r="BJ156" s="1080">
        <v>0</v>
      </c>
      <c r="BK156" s="1073"/>
      <c r="BL156" s="1074">
        <v>0</v>
      </c>
      <c r="BN156" s="1078">
        <v>73111200</v>
      </c>
      <c r="BO156" s="1079" t="s">
        <v>2579</v>
      </c>
      <c r="BP156" s="1080">
        <v>0</v>
      </c>
      <c r="BQ156" s="1080">
        <v>0</v>
      </c>
      <c r="BR156" s="1080">
        <v>0</v>
      </c>
      <c r="BS156" s="1080">
        <v>0</v>
      </c>
      <c r="BT156" s="1080">
        <v>0</v>
      </c>
      <c r="BU156" s="1080">
        <v>0</v>
      </c>
      <c r="BV156" s="1080">
        <v>0</v>
      </c>
      <c r="BW156" s="1080">
        <v>0</v>
      </c>
      <c r="BX156" s="1080">
        <v>0</v>
      </c>
      <c r="BY156" s="1073"/>
      <c r="BZ156" s="1074">
        <v>0</v>
      </c>
      <c r="CB156" s="1078">
        <v>73111200</v>
      </c>
      <c r="CC156" s="1079" t="s">
        <v>2579</v>
      </c>
      <c r="CD156" s="1080">
        <v>1660435387</v>
      </c>
      <c r="CE156" s="1080">
        <v>0</v>
      </c>
      <c r="CF156" s="1080">
        <v>0</v>
      </c>
      <c r="CG156" s="1080">
        <v>0</v>
      </c>
      <c r="CH156" s="1080">
        <v>0</v>
      </c>
      <c r="CI156" s="1080">
        <v>0</v>
      </c>
      <c r="CJ156" s="1080">
        <v>0</v>
      </c>
      <c r="CK156" s="1080">
        <v>1660435387</v>
      </c>
      <c r="CL156" s="1080">
        <v>0</v>
      </c>
      <c r="CM156" s="1080">
        <v>456493877</v>
      </c>
      <c r="CN156" s="1080">
        <v>2116929264</v>
      </c>
      <c r="CO156" s="1073"/>
      <c r="CP156" s="1074">
        <v>-2116929264</v>
      </c>
    </row>
    <row r="157" spans="2:94">
      <c r="B157" s="1078">
        <v>73111100</v>
      </c>
      <c r="C157" s="1079" t="s">
        <v>2578</v>
      </c>
      <c r="D157" s="1080">
        <v>0</v>
      </c>
      <c r="E157" s="1080">
        <v>0</v>
      </c>
      <c r="F157" s="1080">
        <v>0</v>
      </c>
      <c r="G157" s="1080">
        <v>0</v>
      </c>
      <c r="H157" s="1080">
        <v>0</v>
      </c>
      <c r="I157" s="1080">
        <v>0</v>
      </c>
      <c r="J157" s="1080">
        <v>0</v>
      </c>
      <c r="K157" s="1080">
        <v>0</v>
      </c>
      <c r="L157" s="1080">
        <v>0</v>
      </c>
      <c r="N157" s="2177">
        <v>73111100</v>
      </c>
      <c r="O157" s="2178" t="s">
        <v>3880</v>
      </c>
      <c r="P157" s="2179">
        <v>0</v>
      </c>
      <c r="Q157" s="2179">
        <v>0</v>
      </c>
      <c r="R157" s="2179">
        <v>0</v>
      </c>
      <c r="S157" s="2179">
        <v>0</v>
      </c>
      <c r="T157" s="2179">
        <v>0</v>
      </c>
      <c r="U157" s="2179">
        <v>0</v>
      </c>
      <c r="V157" s="2179">
        <v>0</v>
      </c>
      <c r="W157" s="2179">
        <v>0</v>
      </c>
      <c r="X157" s="2179">
        <v>0</v>
      </c>
      <c r="Z157" s="2177">
        <v>73111200</v>
      </c>
      <c r="AA157" s="2178" t="s">
        <v>2579</v>
      </c>
      <c r="AB157" s="2179">
        <v>0</v>
      </c>
      <c r="AC157" s="2179">
        <v>0</v>
      </c>
      <c r="AD157" s="2179">
        <v>0</v>
      </c>
      <c r="AE157" s="2179">
        <v>0</v>
      </c>
      <c r="AF157" s="2179">
        <v>0</v>
      </c>
      <c r="AG157" s="2179">
        <v>0</v>
      </c>
      <c r="AH157" s="2179">
        <v>0</v>
      </c>
      <c r="AI157" s="2179">
        <v>0</v>
      </c>
      <c r="AJ157" s="2179">
        <v>0</v>
      </c>
      <c r="AL157" s="1078">
        <v>73111200</v>
      </c>
      <c r="AM157" s="1079" t="s">
        <v>2579</v>
      </c>
      <c r="AN157" s="1080">
        <v>0</v>
      </c>
      <c r="AO157" s="1080">
        <v>0</v>
      </c>
      <c r="AP157" s="1080">
        <v>0</v>
      </c>
      <c r="AQ157" s="1080">
        <v>0</v>
      </c>
      <c r="AR157" s="1080">
        <v>0</v>
      </c>
      <c r="AS157" s="1080">
        <v>0</v>
      </c>
      <c r="AT157" s="1080">
        <v>0</v>
      </c>
      <c r="AU157" s="1080">
        <v>0</v>
      </c>
      <c r="AV157" s="1080">
        <v>0</v>
      </c>
      <c r="AW157" s="1073"/>
      <c r="AX157" s="1074">
        <v>0</v>
      </c>
      <c r="AZ157" s="1078">
        <v>73111200</v>
      </c>
      <c r="BA157" s="1079" t="s">
        <v>2579</v>
      </c>
      <c r="BB157" s="1080">
        <v>0</v>
      </c>
      <c r="BC157" s="1080">
        <v>0</v>
      </c>
      <c r="BD157" s="1080">
        <v>0</v>
      </c>
      <c r="BE157" s="1080">
        <v>0</v>
      </c>
      <c r="BF157" s="1080">
        <v>0</v>
      </c>
      <c r="BG157" s="1080">
        <v>0</v>
      </c>
      <c r="BH157" s="1080">
        <v>0</v>
      </c>
      <c r="BI157" s="1080">
        <v>0</v>
      </c>
      <c r="BJ157" s="1080">
        <v>0</v>
      </c>
      <c r="BK157" s="1073"/>
      <c r="BL157" s="1074">
        <v>0</v>
      </c>
      <c r="BN157" s="1078">
        <v>73111300</v>
      </c>
      <c r="BO157" s="1079" t="s">
        <v>2580</v>
      </c>
      <c r="BP157" s="1080">
        <v>22801490982</v>
      </c>
      <c r="BQ157" s="1080">
        <v>0</v>
      </c>
      <c r="BR157" s="1080">
        <v>0</v>
      </c>
      <c r="BS157" s="1080">
        <v>0</v>
      </c>
      <c r="BT157" s="1080">
        <v>0</v>
      </c>
      <c r="BU157" s="1080">
        <v>22801490982</v>
      </c>
      <c r="BV157" s="1080">
        <v>22801490982</v>
      </c>
      <c r="BW157" s="1080">
        <v>0</v>
      </c>
      <c r="BX157" s="1080">
        <v>0</v>
      </c>
      <c r="BY157" s="1073"/>
      <c r="BZ157" s="1074">
        <v>0</v>
      </c>
      <c r="CB157" s="1078">
        <v>73119900</v>
      </c>
      <c r="CC157" s="1079" t="s">
        <v>2581</v>
      </c>
      <c r="CD157" s="1080">
        <v>29726669</v>
      </c>
      <c r="CE157" s="1080">
        <v>0</v>
      </c>
      <c r="CF157" s="1080">
        <v>0</v>
      </c>
      <c r="CG157" s="1080">
        <v>0</v>
      </c>
      <c r="CH157" s="1080">
        <v>0</v>
      </c>
      <c r="CI157" s="1080">
        <v>0</v>
      </c>
      <c r="CJ157" s="1080">
        <v>0</v>
      </c>
      <c r="CK157" s="1080">
        <v>29726669</v>
      </c>
      <c r="CL157" s="1080">
        <v>0</v>
      </c>
      <c r="CM157" s="1080">
        <v>0</v>
      </c>
      <c r="CN157" s="1080">
        <v>29726669</v>
      </c>
      <c r="CO157" s="1073"/>
      <c r="CP157" s="1074">
        <v>-29726669</v>
      </c>
    </row>
    <row r="158" spans="2:94">
      <c r="B158" s="1078">
        <v>73111200</v>
      </c>
      <c r="C158" s="1079" t="s">
        <v>2579</v>
      </c>
      <c r="D158" s="1080">
        <v>0</v>
      </c>
      <c r="E158" s="1080">
        <v>0</v>
      </c>
      <c r="F158" s="1080">
        <v>0</v>
      </c>
      <c r="G158" s="1080">
        <v>0</v>
      </c>
      <c r="H158" s="1080">
        <v>0</v>
      </c>
      <c r="I158" s="1080">
        <v>0</v>
      </c>
      <c r="J158" s="1080">
        <v>0</v>
      </c>
      <c r="K158" s="1080">
        <v>0</v>
      </c>
      <c r="L158" s="1080">
        <v>0</v>
      </c>
      <c r="N158" s="2177">
        <v>73111200</v>
      </c>
      <c r="O158" s="2178" t="s">
        <v>2579</v>
      </c>
      <c r="P158" s="2179">
        <v>0</v>
      </c>
      <c r="Q158" s="2179">
        <v>0</v>
      </c>
      <c r="R158" s="2179">
        <v>0</v>
      </c>
      <c r="S158" s="2179">
        <v>0</v>
      </c>
      <c r="T158" s="2179">
        <v>0</v>
      </c>
      <c r="U158" s="2179">
        <v>0</v>
      </c>
      <c r="V158" s="2179">
        <v>0</v>
      </c>
      <c r="W158" s="2179">
        <v>0</v>
      </c>
      <c r="X158" s="2179">
        <v>0</v>
      </c>
      <c r="Z158" s="2177">
        <v>73111300</v>
      </c>
      <c r="AA158" s="2178" t="s">
        <v>2580</v>
      </c>
      <c r="AB158" s="2179">
        <v>0</v>
      </c>
      <c r="AC158" s="2179">
        <v>0</v>
      </c>
      <c r="AD158" s="2179">
        <v>0</v>
      </c>
      <c r="AE158" s="2179">
        <v>0</v>
      </c>
      <c r="AF158" s="2179">
        <v>0</v>
      </c>
      <c r="AG158" s="2179">
        <v>0</v>
      </c>
      <c r="AH158" s="2179">
        <v>0</v>
      </c>
      <c r="AI158" s="2179">
        <v>0</v>
      </c>
      <c r="AJ158" s="2179">
        <v>0</v>
      </c>
      <c r="AL158" s="1078">
        <v>73111300</v>
      </c>
      <c r="AM158" s="1079" t="s">
        <v>2580</v>
      </c>
      <c r="AN158" s="1080">
        <v>0</v>
      </c>
      <c r="AO158" s="1080">
        <v>0</v>
      </c>
      <c r="AP158" s="1080">
        <v>0</v>
      </c>
      <c r="AQ158" s="1080">
        <v>0</v>
      </c>
      <c r="AR158" s="1080">
        <v>0</v>
      </c>
      <c r="AS158" s="1080">
        <v>0</v>
      </c>
      <c r="AT158" s="1080">
        <v>0</v>
      </c>
      <c r="AU158" s="1080">
        <v>0</v>
      </c>
      <c r="AV158" s="1080">
        <v>0</v>
      </c>
      <c r="AW158" s="1073"/>
      <c r="AX158" s="1074">
        <v>0</v>
      </c>
      <c r="AZ158" s="1078">
        <v>73111300</v>
      </c>
      <c r="BA158" s="1079" t="s">
        <v>2580</v>
      </c>
      <c r="BB158" s="1080">
        <v>0</v>
      </c>
      <c r="BC158" s="1080">
        <v>0</v>
      </c>
      <c r="BD158" s="1080">
        <v>0</v>
      </c>
      <c r="BE158" s="1080">
        <v>0</v>
      </c>
      <c r="BF158" s="1080">
        <v>0</v>
      </c>
      <c r="BG158" s="1080">
        <v>0</v>
      </c>
      <c r="BH158" s="1080">
        <v>0</v>
      </c>
      <c r="BI158" s="1080">
        <v>0</v>
      </c>
      <c r="BJ158" s="1080">
        <v>0</v>
      </c>
      <c r="BK158" s="1073"/>
      <c r="BL158" s="1074">
        <v>0</v>
      </c>
      <c r="BN158" s="1078">
        <v>73119900</v>
      </c>
      <c r="BO158" s="1079" t="s">
        <v>2581</v>
      </c>
      <c r="BP158" s="1080">
        <v>62904515</v>
      </c>
      <c r="BQ158" s="1080">
        <v>0</v>
      </c>
      <c r="BR158" s="1080">
        <v>0</v>
      </c>
      <c r="BS158" s="1080">
        <v>0</v>
      </c>
      <c r="BT158" s="1080">
        <v>0</v>
      </c>
      <c r="BU158" s="1080">
        <v>62904515</v>
      </c>
      <c r="BV158" s="1080">
        <v>0</v>
      </c>
      <c r="BW158" s="1080">
        <v>0</v>
      </c>
      <c r="BX158" s="1080">
        <v>62904515</v>
      </c>
      <c r="BY158" s="1073"/>
      <c r="BZ158" s="1074">
        <v>-62904515</v>
      </c>
      <c r="CB158" s="1075">
        <v>73990000</v>
      </c>
      <c r="CC158" s="1076" t="s">
        <v>2582</v>
      </c>
      <c r="CD158" s="1077">
        <v>0</v>
      </c>
      <c r="CE158" s="1077">
        <v>0</v>
      </c>
      <c r="CF158" s="1077">
        <v>0</v>
      </c>
      <c r="CG158" s="1077">
        <v>0</v>
      </c>
      <c r="CH158" s="1077">
        <v>0</v>
      </c>
      <c r="CI158" s="1077">
        <v>0</v>
      </c>
      <c r="CJ158" s="1077">
        <v>0</v>
      </c>
      <c r="CK158" s="1077">
        <v>0</v>
      </c>
      <c r="CL158" s="1077">
        <v>0</v>
      </c>
      <c r="CM158" s="1077">
        <v>0</v>
      </c>
      <c r="CN158" s="1077">
        <v>0</v>
      </c>
      <c r="CO158" s="1073"/>
      <c r="CP158" s="1074"/>
    </row>
    <row r="159" spans="2:94">
      <c r="B159" s="1078">
        <v>73111300</v>
      </c>
      <c r="C159" s="1079" t="s">
        <v>2580</v>
      </c>
      <c r="D159" s="1080">
        <v>0</v>
      </c>
      <c r="E159" s="1080">
        <v>0</v>
      </c>
      <c r="F159" s="1080">
        <v>0</v>
      </c>
      <c r="G159" s="1080">
        <v>0</v>
      </c>
      <c r="H159" s="1080">
        <v>0</v>
      </c>
      <c r="I159" s="1080">
        <v>0</v>
      </c>
      <c r="J159" s="1080">
        <v>0</v>
      </c>
      <c r="K159" s="1080">
        <v>0</v>
      </c>
      <c r="L159" s="1080">
        <v>0</v>
      </c>
      <c r="N159" s="2177">
        <v>73111300</v>
      </c>
      <c r="O159" s="2178" t="s">
        <v>2580</v>
      </c>
      <c r="P159" s="2179">
        <v>0</v>
      </c>
      <c r="Q159" s="2179">
        <v>0</v>
      </c>
      <c r="R159" s="2179">
        <v>0</v>
      </c>
      <c r="S159" s="2179">
        <v>0</v>
      </c>
      <c r="T159" s="2179">
        <v>0</v>
      </c>
      <c r="U159" s="2179">
        <v>0</v>
      </c>
      <c r="V159" s="2179">
        <v>0</v>
      </c>
      <c r="W159" s="2179">
        <v>0</v>
      </c>
      <c r="X159" s="2179">
        <v>0</v>
      </c>
      <c r="Z159" s="2177">
        <v>73119900</v>
      </c>
      <c r="AA159" s="2178" t="s">
        <v>2581</v>
      </c>
      <c r="AB159" s="2179">
        <v>0</v>
      </c>
      <c r="AC159" s="2179">
        <v>0</v>
      </c>
      <c r="AD159" s="2179">
        <v>0</v>
      </c>
      <c r="AE159" s="2179">
        <v>0</v>
      </c>
      <c r="AF159" s="2179">
        <v>0</v>
      </c>
      <c r="AG159" s="2179">
        <v>0</v>
      </c>
      <c r="AH159" s="2179">
        <v>0</v>
      </c>
      <c r="AI159" s="2179">
        <v>0</v>
      </c>
      <c r="AJ159" s="2179">
        <v>0</v>
      </c>
      <c r="AL159" s="1078">
        <v>73119900</v>
      </c>
      <c r="AM159" s="1079" t="s">
        <v>2581</v>
      </c>
      <c r="AN159" s="1080">
        <v>0</v>
      </c>
      <c r="AO159" s="1080">
        <v>0</v>
      </c>
      <c r="AP159" s="1080">
        <v>0</v>
      </c>
      <c r="AQ159" s="1080">
        <v>0</v>
      </c>
      <c r="AR159" s="1080">
        <v>0</v>
      </c>
      <c r="AS159" s="1080">
        <v>0</v>
      </c>
      <c r="AT159" s="1080">
        <v>0</v>
      </c>
      <c r="AU159" s="1080">
        <v>0</v>
      </c>
      <c r="AV159" s="1080">
        <v>0</v>
      </c>
      <c r="AW159" s="1073"/>
      <c r="AX159" s="1074">
        <v>0</v>
      </c>
      <c r="AZ159" s="1078">
        <v>73119900</v>
      </c>
      <c r="BA159" s="1079" t="s">
        <v>2581</v>
      </c>
      <c r="BB159" s="1080">
        <v>787207471</v>
      </c>
      <c r="BC159" s="1080">
        <v>0</v>
      </c>
      <c r="BD159" s="1080">
        <v>0</v>
      </c>
      <c r="BE159" s="1080">
        <v>0</v>
      </c>
      <c r="BF159" s="1080">
        <v>0</v>
      </c>
      <c r="BG159" s="1080">
        <v>787207471</v>
      </c>
      <c r="BH159" s="1080">
        <v>0</v>
      </c>
      <c r="BI159" s="1080">
        <v>0</v>
      </c>
      <c r="BJ159" s="1080">
        <v>787207471</v>
      </c>
      <c r="BK159" s="1073"/>
      <c r="BL159" s="1074">
        <v>-787207471</v>
      </c>
      <c r="BN159" s="1075">
        <v>73990000</v>
      </c>
      <c r="BO159" s="1076" t="s">
        <v>2582</v>
      </c>
      <c r="BP159" s="1077">
        <v>0</v>
      </c>
      <c r="BQ159" s="1077">
        <v>0</v>
      </c>
      <c r="BR159" s="1077">
        <v>0</v>
      </c>
      <c r="BS159" s="1077">
        <v>0</v>
      </c>
      <c r="BT159" s="1077">
        <v>0</v>
      </c>
      <c r="BU159" s="1077">
        <v>0</v>
      </c>
      <c r="BV159" s="1077">
        <v>0</v>
      </c>
      <c r="BW159" s="1077">
        <v>0</v>
      </c>
      <c r="BX159" s="1077">
        <v>0</v>
      </c>
      <c r="BY159" s="1073"/>
      <c r="BZ159" s="1074"/>
      <c r="CB159" s="1078">
        <v>73990100</v>
      </c>
      <c r="CC159" s="1079" t="s">
        <v>2582</v>
      </c>
      <c r="CD159" s="1080">
        <v>0</v>
      </c>
      <c r="CE159" s="1080">
        <v>0</v>
      </c>
      <c r="CF159" s="1080">
        <v>0</v>
      </c>
      <c r="CG159" s="1080">
        <v>0</v>
      </c>
      <c r="CH159" s="1080">
        <v>0</v>
      </c>
      <c r="CI159" s="1080">
        <v>0</v>
      </c>
      <c r="CJ159" s="1080">
        <v>0</v>
      </c>
      <c r="CK159" s="1080">
        <v>0</v>
      </c>
      <c r="CL159" s="1080">
        <v>0</v>
      </c>
      <c r="CM159" s="1080">
        <v>0</v>
      </c>
      <c r="CN159" s="1080">
        <v>0</v>
      </c>
      <c r="CO159" s="1073"/>
      <c r="CP159" s="1074">
        <v>0</v>
      </c>
    </row>
    <row r="160" spans="2:94">
      <c r="B160" s="1078">
        <v>73119900</v>
      </c>
      <c r="C160" s="1079" t="s">
        <v>2581</v>
      </c>
      <c r="D160" s="1080">
        <v>0</v>
      </c>
      <c r="E160" s="1080">
        <v>0</v>
      </c>
      <c r="F160" s="1080">
        <v>0</v>
      </c>
      <c r="G160" s="1080">
        <v>0</v>
      </c>
      <c r="H160" s="1080">
        <v>0</v>
      </c>
      <c r="I160" s="1080">
        <v>0</v>
      </c>
      <c r="J160" s="1080">
        <v>0</v>
      </c>
      <c r="K160" s="1080">
        <v>0</v>
      </c>
      <c r="L160" s="1080">
        <v>0</v>
      </c>
      <c r="N160" s="2177">
        <v>73119900</v>
      </c>
      <c r="O160" s="2178" t="s">
        <v>2581</v>
      </c>
      <c r="P160" s="2179">
        <v>0</v>
      </c>
      <c r="Q160" s="2179">
        <v>0</v>
      </c>
      <c r="R160" s="2179">
        <v>0</v>
      </c>
      <c r="S160" s="2179">
        <v>0</v>
      </c>
      <c r="T160" s="2179">
        <v>0</v>
      </c>
      <c r="U160" s="2179">
        <v>0</v>
      </c>
      <c r="V160" s="2179">
        <v>0</v>
      </c>
      <c r="W160" s="2179">
        <v>0</v>
      </c>
      <c r="X160" s="2179">
        <v>0</v>
      </c>
      <c r="Z160" s="2174">
        <v>73990000</v>
      </c>
      <c r="AA160" s="2175" t="s">
        <v>2582</v>
      </c>
      <c r="AB160" s="2176">
        <v>0</v>
      </c>
      <c r="AC160" s="2176">
        <v>0</v>
      </c>
      <c r="AD160" s="2176">
        <v>0</v>
      </c>
      <c r="AE160" s="2176">
        <v>0</v>
      </c>
      <c r="AF160" s="2176">
        <v>0</v>
      </c>
      <c r="AG160" s="2176">
        <v>0</v>
      </c>
      <c r="AH160" s="2176">
        <v>0</v>
      </c>
      <c r="AI160" s="2176">
        <v>0</v>
      </c>
      <c r="AJ160" s="2176">
        <v>0</v>
      </c>
      <c r="AL160" s="1075">
        <v>73990000</v>
      </c>
      <c r="AM160" s="1076" t="s">
        <v>2582</v>
      </c>
      <c r="AN160" s="1077">
        <v>0</v>
      </c>
      <c r="AO160" s="1077">
        <v>0</v>
      </c>
      <c r="AP160" s="1077">
        <v>0</v>
      </c>
      <c r="AQ160" s="1077">
        <v>0</v>
      </c>
      <c r="AR160" s="1077">
        <v>0</v>
      </c>
      <c r="AS160" s="1077">
        <v>0</v>
      </c>
      <c r="AT160" s="1077">
        <v>0</v>
      </c>
      <c r="AU160" s="1077">
        <v>0</v>
      </c>
      <c r="AV160" s="1077">
        <v>0</v>
      </c>
      <c r="AW160" s="1073"/>
      <c r="AX160" s="1074"/>
      <c r="AZ160" s="1075">
        <v>73990000</v>
      </c>
      <c r="BA160" s="1076" t="s">
        <v>2582</v>
      </c>
      <c r="BB160" s="1077">
        <v>0</v>
      </c>
      <c r="BC160" s="1077">
        <v>0</v>
      </c>
      <c r="BD160" s="1077">
        <v>0</v>
      </c>
      <c r="BE160" s="1077">
        <v>0</v>
      </c>
      <c r="BF160" s="1077">
        <v>0</v>
      </c>
      <c r="BG160" s="1077">
        <v>0</v>
      </c>
      <c r="BH160" s="1077">
        <v>0</v>
      </c>
      <c r="BI160" s="1077">
        <v>0</v>
      </c>
      <c r="BJ160" s="1077">
        <v>0</v>
      </c>
      <c r="BK160" s="1073"/>
      <c r="BL160" s="1074"/>
      <c r="BN160" s="1078">
        <v>73990100</v>
      </c>
      <c r="BO160" s="1079" t="s">
        <v>2582</v>
      </c>
      <c r="BP160" s="1080">
        <v>0</v>
      </c>
      <c r="BQ160" s="1080">
        <v>0</v>
      </c>
      <c r="BR160" s="1080">
        <v>0</v>
      </c>
      <c r="BS160" s="1080">
        <v>0</v>
      </c>
      <c r="BT160" s="1080">
        <v>0</v>
      </c>
      <c r="BU160" s="1080">
        <v>0</v>
      </c>
      <c r="BV160" s="1080">
        <v>0</v>
      </c>
      <c r="BW160" s="1080">
        <v>0</v>
      </c>
      <c r="BX160" s="1080">
        <v>0</v>
      </c>
      <c r="BY160" s="1073"/>
      <c r="BZ160" s="1074">
        <v>0</v>
      </c>
      <c r="CB160" s="1070">
        <v>74000000</v>
      </c>
      <c r="CC160" s="1071" t="s">
        <v>2583</v>
      </c>
      <c r="CD160" s="1072">
        <v>53541522185</v>
      </c>
      <c r="CE160" s="1072">
        <v>722460028</v>
      </c>
      <c r="CF160" s="1072">
        <v>0</v>
      </c>
      <c r="CG160" s="1072">
        <v>1160791030</v>
      </c>
      <c r="CH160" s="1072">
        <v>0</v>
      </c>
      <c r="CI160" s="1072">
        <v>185801</v>
      </c>
      <c r="CJ160" s="1072">
        <v>419137998</v>
      </c>
      <c r="CK160" s="1072">
        <v>55844097042</v>
      </c>
      <c r="CL160" s="1072">
        <v>0</v>
      </c>
      <c r="CM160" s="1072">
        <v>0</v>
      </c>
      <c r="CN160" s="1072">
        <v>54633543276</v>
      </c>
      <c r="CO160" s="1073"/>
      <c r="CP160" s="1074"/>
    </row>
    <row r="161" spans="2:94">
      <c r="B161" s="1075">
        <v>73990000</v>
      </c>
      <c r="C161" s="1076" t="s">
        <v>2582</v>
      </c>
      <c r="D161" s="1077">
        <v>0</v>
      </c>
      <c r="E161" s="1077">
        <v>0</v>
      </c>
      <c r="F161" s="1077">
        <v>0</v>
      </c>
      <c r="G161" s="1077">
        <v>0</v>
      </c>
      <c r="H161" s="1077">
        <v>0</v>
      </c>
      <c r="I161" s="1077">
        <v>0</v>
      </c>
      <c r="J161" s="1077">
        <v>0</v>
      </c>
      <c r="K161" s="1077">
        <v>0</v>
      </c>
      <c r="L161" s="1077">
        <v>0</v>
      </c>
      <c r="N161" s="2174">
        <v>73990000</v>
      </c>
      <c r="O161" s="2175" t="s">
        <v>2582</v>
      </c>
      <c r="P161" s="2176">
        <v>0</v>
      </c>
      <c r="Q161" s="2176">
        <v>0</v>
      </c>
      <c r="R161" s="2176">
        <v>0</v>
      </c>
      <c r="S161" s="2176">
        <v>0</v>
      </c>
      <c r="T161" s="2176">
        <v>0</v>
      </c>
      <c r="U161" s="2176">
        <v>0</v>
      </c>
      <c r="V161" s="2176">
        <v>0</v>
      </c>
      <c r="W161" s="2176">
        <v>0</v>
      </c>
      <c r="X161" s="2176">
        <v>0</v>
      </c>
      <c r="Z161" s="2177">
        <v>73990100</v>
      </c>
      <c r="AA161" s="2178" t="s">
        <v>2582</v>
      </c>
      <c r="AB161" s="2179">
        <v>0</v>
      </c>
      <c r="AC161" s="2179">
        <v>0</v>
      </c>
      <c r="AD161" s="2179">
        <v>0</v>
      </c>
      <c r="AE161" s="2179">
        <v>0</v>
      </c>
      <c r="AF161" s="2179">
        <v>0</v>
      </c>
      <c r="AG161" s="2179">
        <v>0</v>
      </c>
      <c r="AH161" s="2179">
        <v>0</v>
      </c>
      <c r="AI161" s="2179">
        <v>0</v>
      </c>
      <c r="AJ161" s="2179">
        <v>0</v>
      </c>
      <c r="AL161" s="1078">
        <v>73990100</v>
      </c>
      <c r="AM161" s="1079" t="s">
        <v>2582</v>
      </c>
      <c r="AN161" s="1080">
        <v>0</v>
      </c>
      <c r="AO161" s="1080">
        <v>0</v>
      </c>
      <c r="AP161" s="1080">
        <v>0</v>
      </c>
      <c r="AQ161" s="1080">
        <v>0</v>
      </c>
      <c r="AR161" s="1080">
        <v>0</v>
      </c>
      <c r="AS161" s="1080">
        <v>0</v>
      </c>
      <c r="AT161" s="1080">
        <v>0</v>
      </c>
      <c r="AU161" s="1080">
        <v>0</v>
      </c>
      <c r="AV161" s="1080">
        <v>0</v>
      </c>
      <c r="AW161" s="1073"/>
      <c r="AX161" s="1074">
        <v>0</v>
      </c>
      <c r="AZ161" s="1078">
        <v>73990100</v>
      </c>
      <c r="BA161" s="1079" t="s">
        <v>2582</v>
      </c>
      <c r="BB161" s="1080">
        <v>0</v>
      </c>
      <c r="BC161" s="1080">
        <v>0</v>
      </c>
      <c r="BD161" s="1080">
        <v>0</v>
      </c>
      <c r="BE161" s="1080">
        <v>0</v>
      </c>
      <c r="BF161" s="1080">
        <v>0</v>
      </c>
      <c r="BG161" s="1080">
        <v>0</v>
      </c>
      <c r="BH161" s="1080">
        <v>0</v>
      </c>
      <c r="BI161" s="1080">
        <v>0</v>
      </c>
      <c r="BJ161" s="1080">
        <v>0</v>
      </c>
      <c r="BK161" s="1073"/>
      <c r="BL161" s="1074">
        <v>0</v>
      </c>
      <c r="BN161" s="1070">
        <v>74000000</v>
      </c>
      <c r="BO161" s="1071" t="s">
        <v>2583</v>
      </c>
      <c r="BP161" s="1072">
        <v>51562704805</v>
      </c>
      <c r="BQ161" s="1072">
        <v>502253691</v>
      </c>
      <c r="BR161" s="1072">
        <v>451222831</v>
      </c>
      <c r="BS161" s="1072">
        <v>0</v>
      </c>
      <c r="BT161" s="1072">
        <v>184287476</v>
      </c>
      <c r="BU161" s="1072">
        <v>52700468803</v>
      </c>
      <c r="BV161" s="1072">
        <v>0</v>
      </c>
      <c r="BW161" s="1072">
        <v>0</v>
      </c>
      <c r="BX161" s="1072">
        <v>54265828606</v>
      </c>
      <c r="BY161" s="1073"/>
      <c r="BZ161" s="1074"/>
      <c r="CB161" s="1075">
        <v>74100000</v>
      </c>
      <c r="CC161" s="1076" t="s">
        <v>148</v>
      </c>
      <c r="CD161" s="1077">
        <v>22839248586</v>
      </c>
      <c r="CE161" s="1077">
        <v>722460028</v>
      </c>
      <c r="CF161" s="1077">
        <v>0</v>
      </c>
      <c r="CG161" s="1077">
        <v>842820185</v>
      </c>
      <c r="CH161" s="1077">
        <v>0</v>
      </c>
      <c r="CI161" s="1077">
        <v>0</v>
      </c>
      <c r="CJ161" s="1077">
        <v>419137998</v>
      </c>
      <c r="CK161" s="1077">
        <v>24823666797</v>
      </c>
      <c r="CL161" s="1077">
        <v>0</v>
      </c>
      <c r="CM161" s="1077">
        <v>0</v>
      </c>
      <c r="CN161" s="1077">
        <v>24823666797</v>
      </c>
      <c r="CO161" s="1073"/>
      <c r="CP161" s="1074"/>
    </row>
    <row r="162" spans="2:94">
      <c r="B162" s="1078">
        <v>73990100</v>
      </c>
      <c r="C162" s="1079" t="s">
        <v>2582</v>
      </c>
      <c r="D162" s="1080">
        <v>0</v>
      </c>
      <c r="E162" s="1080">
        <v>0</v>
      </c>
      <c r="F162" s="1080">
        <v>0</v>
      </c>
      <c r="G162" s="1080">
        <v>0</v>
      </c>
      <c r="H162" s="1080">
        <v>0</v>
      </c>
      <c r="I162" s="1080">
        <v>0</v>
      </c>
      <c r="J162" s="1080">
        <v>0</v>
      </c>
      <c r="K162" s="1080">
        <v>0</v>
      </c>
      <c r="L162" s="1080">
        <v>0</v>
      </c>
      <c r="N162" s="2177">
        <v>73990100</v>
      </c>
      <c r="O162" s="2178" t="s">
        <v>2582</v>
      </c>
      <c r="P162" s="2179">
        <v>0</v>
      </c>
      <c r="Q162" s="2179">
        <v>0</v>
      </c>
      <c r="R162" s="2179">
        <v>0</v>
      </c>
      <c r="S162" s="2179">
        <v>0</v>
      </c>
      <c r="T162" s="2179">
        <v>0</v>
      </c>
      <c r="U162" s="2179">
        <v>0</v>
      </c>
      <c r="V162" s="2179">
        <v>0</v>
      </c>
      <c r="W162" s="2179">
        <v>0</v>
      </c>
      <c r="X162" s="2179">
        <v>0</v>
      </c>
      <c r="Z162" s="2171">
        <v>74000000</v>
      </c>
      <c r="AA162" s="2172" t="s">
        <v>2583</v>
      </c>
      <c r="AB162" s="2173">
        <v>34214156238</v>
      </c>
      <c r="AC162" s="2173">
        <v>308844297</v>
      </c>
      <c r="AD162" s="2173">
        <v>60746317</v>
      </c>
      <c r="AE162" s="2173">
        <v>1932164</v>
      </c>
      <c r="AF162" s="2173">
        <v>830838</v>
      </c>
      <c r="AG162" s="2173">
        <v>34586509854</v>
      </c>
      <c r="AH162" s="2173">
        <v>0</v>
      </c>
      <c r="AI162" s="2173">
        <v>0</v>
      </c>
      <c r="AJ162" s="2173">
        <v>34586509854</v>
      </c>
      <c r="AL162" s="1070">
        <v>74000000</v>
      </c>
      <c r="AM162" s="1071" t="s">
        <v>2583</v>
      </c>
      <c r="AN162" s="1072">
        <v>18287285754</v>
      </c>
      <c r="AO162" s="1072">
        <v>253808328</v>
      </c>
      <c r="AP162" s="1072">
        <v>44617802</v>
      </c>
      <c r="AQ162" s="1072">
        <v>1283076</v>
      </c>
      <c r="AR162" s="1072">
        <v>622956</v>
      </c>
      <c r="AS162" s="1072">
        <v>18587617916</v>
      </c>
      <c r="AT162" s="1072">
        <v>0</v>
      </c>
      <c r="AU162" s="1072">
        <v>0</v>
      </c>
      <c r="AV162" s="1072">
        <v>18587617916</v>
      </c>
      <c r="AW162" s="1073"/>
      <c r="AX162" s="1074"/>
      <c r="AZ162" s="1070">
        <v>74000000</v>
      </c>
      <c r="BA162" s="1071" t="s">
        <v>2583</v>
      </c>
      <c r="BB162" s="1072">
        <v>39159743444</v>
      </c>
      <c r="BC162" s="1072">
        <v>363393602</v>
      </c>
      <c r="BD162" s="1072">
        <v>291645499</v>
      </c>
      <c r="BE162" s="1072">
        <v>2312249</v>
      </c>
      <c r="BF162" s="1072">
        <v>43386006</v>
      </c>
      <c r="BG162" s="1072">
        <v>39860480800</v>
      </c>
      <c r="BH162" s="1072">
        <v>0</v>
      </c>
      <c r="BI162" s="1072">
        <v>0</v>
      </c>
      <c r="BJ162" s="1072">
        <v>39860480800</v>
      </c>
      <c r="BK162" s="1073"/>
      <c r="BL162" s="1074"/>
      <c r="BN162" s="1075">
        <v>74100000</v>
      </c>
      <c r="BO162" s="1076" t="s">
        <v>148</v>
      </c>
      <c r="BP162" s="1077">
        <v>27969391036</v>
      </c>
      <c r="BQ162" s="1077">
        <v>502253691</v>
      </c>
      <c r="BR162" s="1077">
        <v>388824831</v>
      </c>
      <c r="BS162" s="1077">
        <v>0</v>
      </c>
      <c r="BT162" s="1077">
        <v>182150627</v>
      </c>
      <c r="BU162" s="1077">
        <v>29042620185</v>
      </c>
      <c r="BV162" s="1077">
        <v>0</v>
      </c>
      <c r="BW162" s="1077">
        <v>0</v>
      </c>
      <c r="BX162" s="1077">
        <v>29042620185</v>
      </c>
      <c r="BY162" s="1073"/>
      <c r="BZ162" s="1074"/>
      <c r="CB162" s="1078">
        <v>74100100</v>
      </c>
      <c r="CC162" s="1079" t="s">
        <v>2584</v>
      </c>
      <c r="CD162" s="1080">
        <v>20085993398</v>
      </c>
      <c r="CE162" s="1080">
        <v>722460028</v>
      </c>
      <c r="CF162" s="1080">
        <v>0</v>
      </c>
      <c r="CG162" s="1080">
        <v>842820185</v>
      </c>
      <c r="CH162" s="1080">
        <v>0</v>
      </c>
      <c r="CI162" s="1080">
        <v>0</v>
      </c>
      <c r="CJ162" s="1080">
        <v>419137998</v>
      </c>
      <c r="CK162" s="1080">
        <v>22070411609</v>
      </c>
      <c r="CL162" s="1080">
        <v>0</v>
      </c>
      <c r="CM162" s="1080">
        <v>0</v>
      </c>
      <c r="CN162" s="1080">
        <v>22070411609</v>
      </c>
      <c r="CO162" s="1073"/>
      <c r="CP162" s="1074">
        <v>22070411609</v>
      </c>
    </row>
    <row r="163" spans="2:94">
      <c r="B163" s="1070">
        <v>74000000</v>
      </c>
      <c r="C163" s="1071" t="s">
        <v>2583</v>
      </c>
      <c r="D163" s="1072">
        <v>9146257123</v>
      </c>
      <c r="E163" s="1072">
        <v>210624063</v>
      </c>
      <c r="F163" s="1072">
        <v>64406166</v>
      </c>
      <c r="G163" s="1072">
        <v>1885546</v>
      </c>
      <c r="H163" s="1072">
        <v>222696</v>
      </c>
      <c r="I163" s="1072">
        <v>9423395594</v>
      </c>
      <c r="J163" s="1072">
        <v>0</v>
      </c>
      <c r="K163" s="1072">
        <v>0</v>
      </c>
      <c r="L163" s="1072">
        <v>9423395594</v>
      </c>
      <c r="N163" s="2171">
        <v>74000000</v>
      </c>
      <c r="O163" s="2172" t="s">
        <v>2583</v>
      </c>
      <c r="P163" s="2173">
        <v>4451180902</v>
      </c>
      <c r="Q163" s="2173">
        <v>135266127</v>
      </c>
      <c r="R163" s="2173">
        <v>42936137</v>
      </c>
      <c r="S163" s="2173">
        <v>1268865</v>
      </c>
      <c r="T163" s="2173">
        <v>148526</v>
      </c>
      <c r="U163" s="2173">
        <v>4630800557</v>
      </c>
      <c r="V163" s="2173">
        <v>0</v>
      </c>
      <c r="W163" s="2173">
        <v>0</v>
      </c>
      <c r="X163" s="2173">
        <v>4630800557</v>
      </c>
      <c r="Z163" s="2174">
        <v>74100000</v>
      </c>
      <c r="AA163" s="2175" t="s">
        <v>148</v>
      </c>
      <c r="AB163" s="2176">
        <v>12911129892</v>
      </c>
      <c r="AC163" s="2176">
        <v>308844297</v>
      </c>
      <c r="AD163" s="2176">
        <v>7873417</v>
      </c>
      <c r="AE163" s="2176">
        <v>1932164</v>
      </c>
      <c r="AF163" s="2176">
        <v>830838</v>
      </c>
      <c r="AG163" s="2176">
        <v>13230610608</v>
      </c>
      <c r="AH163" s="2176">
        <v>0</v>
      </c>
      <c r="AI163" s="2176">
        <v>0</v>
      </c>
      <c r="AJ163" s="2176">
        <v>13230610608</v>
      </c>
      <c r="AL163" s="1075">
        <v>74100000</v>
      </c>
      <c r="AM163" s="1076" t="s">
        <v>148</v>
      </c>
      <c r="AN163" s="1077">
        <v>10968696586</v>
      </c>
      <c r="AO163" s="1077">
        <v>253808328</v>
      </c>
      <c r="AP163" s="1077">
        <v>7267802</v>
      </c>
      <c r="AQ163" s="1077">
        <v>1283076</v>
      </c>
      <c r="AR163" s="1077">
        <v>622956</v>
      </c>
      <c r="AS163" s="1077">
        <v>11231678748</v>
      </c>
      <c r="AT163" s="1077">
        <v>0</v>
      </c>
      <c r="AU163" s="1077">
        <v>0</v>
      </c>
      <c r="AV163" s="1077">
        <v>11231678748</v>
      </c>
      <c r="AW163" s="1073"/>
      <c r="AX163" s="1074"/>
      <c r="AZ163" s="1075">
        <v>74100000</v>
      </c>
      <c r="BA163" s="1076" t="s">
        <v>148</v>
      </c>
      <c r="BB163" s="1077">
        <v>25937671811</v>
      </c>
      <c r="BC163" s="1077">
        <v>363393602</v>
      </c>
      <c r="BD163" s="1077">
        <v>220871499</v>
      </c>
      <c r="BE163" s="1077">
        <v>2312249</v>
      </c>
      <c r="BF163" s="1077">
        <v>43386006</v>
      </c>
      <c r="BG163" s="1077">
        <v>26567635167</v>
      </c>
      <c r="BH163" s="1077">
        <v>0</v>
      </c>
      <c r="BI163" s="1077">
        <v>0</v>
      </c>
      <c r="BJ163" s="1077">
        <v>26567635167</v>
      </c>
      <c r="BK163" s="1073"/>
      <c r="BL163" s="1074"/>
      <c r="BN163" s="1078">
        <v>74100100</v>
      </c>
      <c r="BO163" s="1079" t="s">
        <v>2584</v>
      </c>
      <c r="BP163" s="1080">
        <v>25210818669</v>
      </c>
      <c r="BQ163" s="1080">
        <v>502253691</v>
      </c>
      <c r="BR163" s="1080">
        <v>388824831</v>
      </c>
      <c r="BS163" s="1080">
        <v>0</v>
      </c>
      <c r="BT163" s="1080">
        <v>177995135</v>
      </c>
      <c r="BU163" s="1080">
        <v>26279892326</v>
      </c>
      <c r="BV163" s="1080">
        <v>0</v>
      </c>
      <c r="BW163" s="1080">
        <v>0</v>
      </c>
      <c r="BX163" s="1080">
        <v>26279892326</v>
      </c>
      <c r="BY163" s="1073"/>
      <c r="BZ163" s="1074">
        <v>26279892326</v>
      </c>
      <c r="CB163" s="1078">
        <v>74100200</v>
      </c>
      <c r="CC163" s="1079" t="s">
        <v>2585</v>
      </c>
      <c r="CD163" s="1080">
        <v>2753255188</v>
      </c>
      <c r="CE163" s="1080">
        <v>0</v>
      </c>
      <c r="CF163" s="1080">
        <v>0</v>
      </c>
      <c r="CG163" s="1080">
        <v>0</v>
      </c>
      <c r="CH163" s="1080">
        <v>0</v>
      </c>
      <c r="CI163" s="1080">
        <v>0</v>
      </c>
      <c r="CJ163" s="1080">
        <v>0</v>
      </c>
      <c r="CK163" s="1080">
        <v>2753255188</v>
      </c>
      <c r="CL163" s="1080">
        <v>0</v>
      </c>
      <c r="CM163" s="1080">
        <v>0</v>
      </c>
      <c r="CN163" s="1080">
        <v>2753255188</v>
      </c>
      <c r="CO163" s="1073"/>
      <c r="CP163" s="1074">
        <v>2753255188</v>
      </c>
    </row>
    <row r="164" spans="2:94">
      <c r="B164" s="1075">
        <v>74100000</v>
      </c>
      <c r="C164" s="1076" t="s">
        <v>148</v>
      </c>
      <c r="D164" s="1077">
        <v>3832102400</v>
      </c>
      <c r="E164" s="1077">
        <v>210624063</v>
      </c>
      <c r="F164" s="1077">
        <v>16136166</v>
      </c>
      <c r="G164" s="1077">
        <v>1885546</v>
      </c>
      <c r="H164" s="1077">
        <v>222696</v>
      </c>
      <c r="I164" s="1077">
        <v>4060970871</v>
      </c>
      <c r="J164" s="1077">
        <v>0</v>
      </c>
      <c r="K164" s="1077">
        <v>0</v>
      </c>
      <c r="L164" s="1077">
        <v>4060970871</v>
      </c>
      <c r="N164" s="2174">
        <v>74100000</v>
      </c>
      <c r="O164" s="2175" t="s">
        <v>148</v>
      </c>
      <c r="P164" s="2176">
        <v>2526697086</v>
      </c>
      <c r="Q164" s="2176">
        <v>135266127</v>
      </c>
      <c r="R164" s="2176">
        <v>15616137</v>
      </c>
      <c r="S164" s="2176">
        <v>1268865</v>
      </c>
      <c r="T164" s="2176">
        <v>148526</v>
      </c>
      <c r="U164" s="2176">
        <v>2678996741</v>
      </c>
      <c r="V164" s="2176">
        <v>0</v>
      </c>
      <c r="W164" s="2176">
        <v>0</v>
      </c>
      <c r="X164" s="2176">
        <v>2678996741</v>
      </c>
      <c r="Z164" s="2177">
        <v>74100100</v>
      </c>
      <c r="AA164" s="2178" t="s">
        <v>2584</v>
      </c>
      <c r="AB164" s="2179">
        <v>11691126215</v>
      </c>
      <c r="AC164" s="2179">
        <v>305166565</v>
      </c>
      <c r="AD164" s="2179">
        <v>7873417</v>
      </c>
      <c r="AE164" s="2179">
        <v>0</v>
      </c>
      <c r="AF164" s="2179">
        <v>0</v>
      </c>
      <c r="AG164" s="2179">
        <v>12004166197</v>
      </c>
      <c r="AH164" s="2179">
        <v>0</v>
      </c>
      <c r="AI164" s="2179">
        <v>0</v>
      </c>
      <c r="AJ164" s="2179">
        <v>12004166197</v>
      </c>
      <c r="AL164" s="1078">
        <v>74100100</v>
      </c>
      <c r="AM164" s="1079" t="s">
        <v>2584</v>
      </c>
      <c r="AN164" s="1080">
        <v>10080766554</v>
      </c>
      <c r="AO164" s="1080">
        <v>251432735</v>
      </c>
      <c r="AP164" s="1080">
        <v>7267802</v>
      </c>
      <c r="AQ164" s="1080">
        <v>0</v>
      </c>
      <c r="AR164" s="1080">
        <v>0</v>
      </c>
      <c r="AS164" s="1080">
        <v>10339467091</v>
      </c>
      <c r="AT164" s="1080">
        <v>0</v>
      </c>
      <c r="AU164" s="1080">
        <v>0</v>
      </c>
      <c r="AV164" s="1080">
        <v>10339467091</v>
      </c>
      <c r="AW164" s="1073"/>
      <c r="AX164" s="1074">
        <v>10339467091</v>
      </c>
      <c r="AZ164" s="1078">
        <v>74100100</v>
      </c>
      <c r="BA164" s="1079" t="s">
        <v>2584</v>
      </c>
      <c r="BB164" s="1080">
        <v>24871743261</v>
      </c>
      <c r="BC164" s="1080">
        <v>359977255</v>
      </c>
      <c r="BD164" s="1080">
        <v>220871499</v>
      </c>
      <c r="BE164" s="1080">
        <v>0</v>
      </c>
      <c r="BF164" s="1080">
        <v>42058179</v>
      </c>
      <c r="BG164" s="1080">
        <v>25494650194</v>
      </c>
      <c r="BH164" s="1080">
        <v>0</v>
      </c>
      <c r="BI164" s="1080">
        <v>0</v>
      </c>
      <c r="BJ164" s="1080">
        <v>25494650194</v>
      </c>
      <c r="BK164" s="1073"/>
      <c r="BL164" s="1074">
        <v>25494650194</v>
      </c>
      <c r="BN164" s="1078">
        <v>74100200</v>
      </c>
      <c r="BO164" s="1079" t="s">
        <v>2585</v>
      </c>
      <c r="BP164" s="1080">
        <v>2758572367</v>
      </c>
      <c r="BQ164" s="1080">
        <v>0</v>
      </c>
      <c r="BR164" s="1080">
        <v>0</v>
      </c>
      <c r="BS164" s="1080">
        <v>0</v>
      </c>
      <c r="BT164" s="1080">
        <v>0</v>
      </c>
      <c r="BU164" s="1080">
        <v>2758572367</v>
      </c>
      <c r="BV164" s="1080">
        <v>0</v>
      </c>
      <c r="BW164" s="1080">
        <v>0</v>
      </c>
      <c r="BX164" s="1080">
        <v>2758572367</v>
      </c>
      <c r="BY164" s="1073"/>
      <c r="BZ164" s="1074">
        <v>2758572367</v>
      </c>
      <c r="CB164" s="1078">
        <v>74100300</v>
      </c>
      <c r="CC164" s="1079" t="s">
        <v>2586</v>
      </c>
      <c r="CD164" s="1080">
        <v>0</v>
      </c>
      <c r="CE164" s="1080">
        <v>0</v>
      </c>
      <c r="CF164" s="1080">
        <v>0</v>
      </c>
      <c r="CG164" s="1080">
        <v>0</v>
      </c>
      <c r="CH164" s="1080">
        <v>0</v>
      </c>
      <c r="CI164" s="1080">
        <v>0</v>
      </c>
      <c r="CJ164" s="1080">
        <v>0</v>
      </c>
      <c r="CK164" s="1080">
        <v>0</v>
      </c>
      <c r="CL164" s="1080">
        <v>0</v>
      </c>
      <c r="CM164" s="1080">
        <v>0</v>
      </c>
      <c r="CN164" s="1080">
        <v>0</v>
      </c>
      <c r="CO164" s="1073"/>
      <c r="CP164" s="1074">
        <v>0</v>
      </c>
    </row>
    <row r="165" spans="2:94">
      <c r="B165" s="1078">
        <v>74100100</v>
      </c>
      <c r="C165" s="1079" t="s">
        <v>2584</v>
      </c>
      <c r="D165" s="1080">
        <v>3346956221</v>
      </c>
      <c r="E165" s="1080">
        <v>205856291</v>
      </c>
      <c r="F165" s="1080">
        <v>16136166</v>
      </c>
      <c r="G165" s="1080">
        <v>0</v>
      </c>
      <c r="H165" s="1080">
        <v>0</v>
      </c>
      <c r="I165" s="1080">
        <v>3568948678</v>
      </c>
      <c r="J165" s="1080">
        <v>0</v>
      </c>
      <c r="K165" s="1080">
        <v>0</v>
      </c>
      <c r="L165" s="1080">
        <v>3568948678</v>
      </c>
      <c r="N165" s="2177">
        <v>74100100</v>
      </c>
      <c r="O165" s="2178" t="s">
        <v>2584</v>
      </c>
      <c r="P165" s="2179">
        <v>2260999763</v>
      </c>
      <c r="Q165" s="2179">
        <v>132983231</v>
      </c>
      <c r="R165" s="2179">
        <v>15616137</v>
      </c>
      <c r="S165" s="2179">
        <v>0</v>
      </c>
      <c r="T165" s="2179">
        <v>0</v>
      </c>
      <c r="U165" s="2179">
        <v>2409599131</v>
      </c>
      <c r="V165" s="2179">
        <v>0</v>
      </c>
      <c r="W165" s="2179">
        <v>0</v>
      </c>
      <c r="X165" s="2179">
        <v>2409599131</v>
      </c>
      <c r="Z165" s="2177">
        <v>74100150</v>
      </c>
      <c r="AA165" s="2178" t="s">
        <v>2587</v>
      </c>
      <c r="AB165" s="2179">
        <v>130307363</v>
      </c>
      <c r="AC165" s="2179">
        <v>3677732</v>
      </c>
      <c r="AD165" s="2179">
        <v>0</v>
      </c>
      <c r="AE165" s="2179">
        <v>1893234</v>
      </c>
      <c r="AF165" s="2179">
        <v>830838</v>
      </c>
      <c r="AG165" s="2179">
        <v>136709167</v>
      </c>
      <c r="AH165" s="2179">
        <v>0</v>
      </c>
      <c r="AI165" s="2179">
        <v>0</v>
      </c>
      <c r="AJ165" s="2179">
        <v>136709167</v>
      </c>
      <c r="AL165" s="1078">
        <v>74100150</v>
      </c>
      <c r="AM165" s="1079" t="s">
        <v>2587</v>
      </c>
      <c r="AN165" s="1080">
        <v>100970624</v>
      </c>
      <c r="AO165" s="1080">
        <v>2375593</v>
      </c>
      <c r="AP165" s="1080">
        <v>0</v>
      </c>
      <c r="AQ165" s="1080">
        <v>1283076</v>
      </c>
      <c r="AR165" s="1080">
        <v>622956</v>
      </c>
      <c r="AS165" s="1080">
        <v>105252249</v>
      </c>
      <c r="AT165" s="1080">
        <v>0</v>
      </c>
      <c r="AU165" s="1080">
        <v>0</v>
      </c>
      <c r="AV165" s="1080">
        <v>105252249</v>
      </c>
      <c r="AW165" s="1073"/>
      <c r="AX165" s="1074">
        <v>105252249</v>
      </c>
      <c r="AZ165" s="1078">
        <v>74100150</v>
      </c>
      <c r="BA165" s="1079" t="s">
        <v>2587</v>
      </c>
      <c r="BB165" s="1080">
        <v>167214504</v>
      </c>
      <c r="BC165" s="1080">
        <v>3416347</v>
      </c>
      <c r="BD165" s="1080">
        <v>0</v>
      </c>
      <c r="BE165" s="1080">
        <v>2312249</v>
      </c>
      <c r="BF165" s="1080">
        <v>1327827</v>
      </c>
      <c r="BG165" s="1080">
        <v>174270927</v>
      </c>
      <c r="BH165" s="1080">
        <v>0</v>
      </c>
      <c r="BI165" s="1080">
        <v>0</v>
      </c>
      <c r="BJ165" s="1080">
        <v>174270927</v>
      </c>
      <c r="BK165" s="1073"/>
      <c r="BL165" s="1074">
        <v>174270927</v>
      </c>
      <c r="BN165" s="1078">
        <v>74100300</v>
      </c>
      <c r="BO165" s="1079" t="s">
        <v>2586</v>
      </c>
      <c r="BP165" s="1080">
        <v>0</v>
      </c>
      <c r="BQ165" s="1080">
        <v>0</v>
      </c>
      <c r="BR165" s="1080">
        <v>0</v>
      </c>
      <c r="BS165" s="1080">
        <v>0</v>
      </c>
      <c r="BT165" s="1080">
        <v>0</v>
      </c>
      <c r="BU165" s="1080">
        <v>0</v>
      </c>
      <c r="BV165" s="1080">
        <v>0</v>
      </c>
      <c r="BW165" s="1080">
        <v>0</v>
      </c>
      <c r="BX165" s="1080">
        <v>0</v>
      </c>
      <c r="BY165" s="1073"/>
      <c r="BZ165" s="1074">
        <v>0</v>
      </c>
      <c r="CB165" s="1078">
        <v>74100400</v>
      </c>
      <c r="CC165" s="1079" t="s">
        <v>2588</v>
      </c>
      <c r="CD165" s="1080">
        <v>0</v>
      </c>
      <c r="CE165" s="1080">
        <v>0</v>
      </c>
      <c r="CF165" s="1080">
        <v>0</v>
      </c>
      <c r="CG165" s="1080">
        <v>0</v>
      </c>
      <c r="CH165" s="1080">
        <v>0</v>
      </c>
      <c r="CI165" s="1080">
        <v>0</v>
      </c>
      <c r="CJ165" s="1080">
        <v>0</v>
      </c>
      <c r="CK165" s="1080">
        <v>0</v>
      </c>
      <c r="CL165" s="1080">
        <v>0</v>
      </c>
      <c r="CM165" s="1080">
        <v>0</v>
      </c>
      <c r="CN165" s="1080">
        <v>0</v>
      </c>
      <c r="CO165" s="1073"/>
      <c r="CP165" s="1074">
        <v>0</v>
      </c>
    </row>
    <row r="166" spans="2:94">
      <c r="B166" s="1078">
        <v>74100150</v>
      </c>
      <c r="C166" s="1079" t="s">
        <v>2587</v>
      </c>
      <c r="D166" s="1080">
        <v>76090619</v>
      </c>
      <c r="E166" s="1080">
        <v>4767772</v>
      </c>
      <c r="F166" s="1080">
        <v>0</v>
      </c>
      <c r="G166" s="1080">
        <v>1885546</v>
      </c>
      <c r="H166" s="1080">
        <v>222696</v>
      </c>
      <c r="I166" s="1080">
        <v>82966633</v>
      </c>
      <c r="J166" s="1080">
        <v>0</v>
      </c>
      <c r="K166" s="1080">
        <v>0</v>
      </c>
      <c r="L166" s="1080">
        <v>82966633</v>
      </c>
      <c r="N166" s="2177">
        <v>74100150</v>
      </c>
      <c r="O166" s="2178" t="s">
        <v>2587</v>
      </c>
      <c r="P166" s="2179">
        <v>53147687</v>
      </c>
      <c r="Q166" s="2179">
        <v>2282896</v>
      </c>
      <c r="R166" s="2179">
        <v>0</v>
      </c>
      <c r="S166" s="2179">
        <v>1268865</v>
      </c>
      <c r="T166" s="2179">
        <v>148526</v>
      </c>
      <c r="U166" s="2179">
        <v>56847974</v>
      </c>
      <c r="V166" s="2179">
        <v>0</v>
      </c>
      <c r="W166" s="2179">
        <v>0</v>
      </c>
      <c r="X166" s="2179">
        <v>56847974</v>
      </c>
      <c r="Z166" s="2177">
        <v>74100200</v>
      </c>
      <c r="AA166" s="2178" t="s">
        <v>2585</v>
      </c>
      <c r="AB166" s="2179">
        <v>1089696314</v>
      </c>
      <c r="AC166" s="2179">
        <v>0</v>
      </c>
      <c r="AD166" s="2179">
        <v>0</v>
      </c>
      <c r="AE166" s="2179">
        <v>0</v>
      </c>
      <c r="AF166" s="2179">
        <v>0</v>
      </c>
      <c r="AG166" s="2179">
        <v>1089696314</v>
      </c>
      <c r="AH166" s="2179">
        <v>0</v>
      </c>
      <c r="AI166" s="2179">
        <v>0</v>
      </c>
      <c r="AJ166" s="2179">
        <v>1089696314</v>
      </c>
      <c r="AL166" s="1078">
        <v>74100200</v>
      </c>
      <c r="AM166" s="1079" t="s">
        <v>2585</v>
      </c>
      <c r="AN166" s="1080">
        <v>786959408</v>
      </c>
      <c r="AO166" s="1080">
        <v>0</v>
      </c>
      <c r="AP166" s="1080">
        <v>0</v>
      </c>
      <c r="AQ166" s="1080">
        <v>0</v>
      </c>
      <c r="AR166" s="1080">
        <v>0</v>
      </c>
      <c r="AS166" s="1080">
        <v>786959408</v>
      </c>
      <c r="AT166" s="1080">
        <v>0</v>
      </c>
      <c r="AU166" s="1080">
        <v>0</v>
      </c>
      <c r="AV166" s="1080">
        <v>786959408</v>
      </c>
      <c r="AW166" s="1073"/>
      <c r="AX166" s="1074">
        <v>786959408</v>
      </c>
      <c r="AZ166" s="1078">
        <v>74100200</v>
      </c>
      <c r="BA166" s="1079" t="s">
        <v>2585</v>
      </c>
      <c r="BB166" s="1080">
        <v>898714046</v>
      </c>
      <c r="BC166" s="1080">
        <v>0</v>
      </c>
      <c r="BD166" s="1080">
        <v>0</v>
      </c>
      <c r="BE166" s="1080">
        <v>0</v>
      </c>
      <c r="BF166" s="1080">
        <v>0</v>
      </c>
      <c r="BG166" s="1080">
        <v>898714046</v>
      </c>
      <c r="BH166" s="1080">
        <v>0</v>
      </c>
      <c r="BI166" s="1080">
        <v>0</v>
      </c>
      <c r="BJ166" s="1080">
        <v>898714046</v>
      </c>
      <c r="BK166" s="1073"/>
      <c r="BL166" s="1074">
        <v>898714046</v>
      </c>
      <c r="BN166" s="1078">
        <v>74100400</v>
      </c>
      <c r="BO166" s="1079" t="s">
        <v>2588</v>
      </c>
      <c r="BP166" s="1080">
        <v>0</v>
      </c>
      <c r="BQ166" s="1080">
        <v>0</v>
      </c>
      <c r="BR166" s="1080">
        <v>0</v>
      </c>
      <c r="BS166" s="1080">
        <v>0</v>
      </c>
      <c r="BT166" s="1080">
        <v>0</v>
      </c>
      <c r="BU166" s="1080">
        <v>0</v>
      </c>
      <c r="BV166" s="1080">
        <v>0</v>
      </c>
      <c r="BW166" s="1080">
        <v>0</v>
      </c>
      <c r="BX166" s="1080">
        <v>0</v>
      </c>
      <c r="BY166" s="1073"/>
      <c r="BZ166" s="1074">
        <v>0</v>
      </c>
      <c r="CB166" s="1078">
        <v>74100800</v>
      </c>
      <c r="CC166" s="1079" t="s">
        <v>2589</v>
      </c>
      <c r="CD166" s="1080">
        <v>0</v>
      </c>
      <c r="CE166" s="1080">
        <v>0</v>
      </c>
      <c r="CF166" s="1080">
        <v>0</v>
      </c>
      <c r="CG166" s="1080">
        <v>0</v>
      </c>
      <c r="CH166" s="1080">
        <v>0</v>
      </c>
      <c r="CI166" s="1080">
        <v>0</v>
      </c>
      <c r="CJ166" s="1080">
        <v>0</v>
      </c>
      <c r="CK166" s="1080">
        <v>0</v>
      </c>
      <c r="CL166" s="1080">
        <v>0</v>
      </c>
      <c r="CM166" s="1080">
        <v>0</v>
      </c>
      <c r="CN166" s="1080">
        <v>0</v>
      </c>
      <c r="CO166" s="1073"/>
      <c r="CP166" s="1074">
        <v>0</v>
      </c>
    </row>
    <row r="167" spans="2:94">
      <c r="B167" s="1078">
        <v>74100200</v>
      </c>
      <c r="C167" s="1079" t="s">
        <v>2585</v>
      </c>
      <c r="D167" s="1080">
        <v>409055560</v>
      </c>
      <c r="E167" s="1080">
        <v>0</v>
      </c>
      <c r="F167" s="1080">
        <v>0</v>
      </c>
      <c r="G167" s="1080">
        <v>0</v>
      </c>
      <c r="H167" s="1080">
        <v>0</v>
      </c>
      <c r="I167" s="1080">
        <v>409055560</v>
      </c>
      <c r="J167" s="1080">
        <v>0</v>
      </c>
      <c r="K167" s="1080">
        <v>0</v>
      </c>
      <c r="L167" s="1080">
        <v>409055560</v>
      </c>
      <c r="N167" s="2177">
        <v>74100200</v>
      </c>
      <c r="O167" s="2178" t="s">
        <v>2585</v>
      </c>
      <c r="P167" s="2179">
        <v>212549636</v>
      </c>
      <c r="Q167" s="2179">
        <v>0</v>
      </c>
      <c r="R167" s="2179">
        <v>0</v>
      </c>
      <c r="S167" s="2179">
        <v>0</v>
      </c>
      <c r="T167" s="2179">
        <v>0</v>
      </c>
      <c r="U167" s="2179">
        <v>212549636</v>
      </c>
      <c r="V167" s="2179">
        <v>0</v>
      </c>
      <c r="W167" s="2179">
        <v>0</v>
      </c>
      <c r="X167" s="2179">
        <v>212549636</v>
      </c>
      <c r="Z167" s="2177">
        <v>74100300</v>
      </c>
      <c r="AA167" s="2178" t="s">
        <v>2586</v>
      </c>
      <c r="AB167" s="2179">
        <v>0</v>
      </c>
      <c r="AC167" s="2179">
        <v>0</v>
      </c>
      <c r="AD167" s="2179">
        <v>0</v>
      </c>
      <c r="AE167" s="2179">
        <v>0</v>
      </c>
      <c r="AF167" s="2179">
        <v>0</v>
      </c>
      <c r="AG167" s="2179">
        <v>0</v>
      </c>
      <c r="AH167" s="2179">
        <v>0</v>
      </c>
      <c r="AI167" s="2179">
        <v>0</v>
      </c>
      <c r="AJ167" s="2179">
        <v>0</v>
      </c>
      <c r="AL167" s="1078">
        <v>74100300</v>
      </c>
      <c r="AM167" s="1079" t="s">
        <v>2586</v>
      </c>
      <c r="AN167" s="1080">
        <v>0</v>
      </c>
      <c r="AO167" s="1080">
        <v>0</v>
      </c>
      <c r="AP167" s="1080">
        <v>0</v>
      </c>
      <c r="AQ167" s="1080">
        <v>0</v>
      </c>
      <c r="AR167" s="1080">
        <v>0</v>
      </c>
      <c r="AS167" s="1080">
        <v>0</v>
      </c>
      <c r="AT167" s="1080">
        <v>0</v>
      </c>
      <c r="AU167" s="1080">
        <v>0</v>
      </c>
      <c r="AV167" s="1080">
        <v>0</v>
      </c>
      <c r="AW167" s="1073"/>
      <c r="AX167" s="1074">
        <v>0</v>
      </c>
      <c r="AZ167" s="1078">
        <v>74100300</v>
      </c>
      <c r="BA167" s="1079" t="s">
        <v>2586</v>
      </c>
      <c r="BB167" s="1080">
        <v>0</v>
      </c>
      <c r="BC167" s="1080">
        <v>0</v>
      </c>
      <c r="BD167" s="1080">
        <v>0</v>
      </c>
      <c r="BE167" s="1080">
        <v>0</v>
      </c>
      <c r="BF167" s="1080">
        <v>0</v>
      </c>
      <c r="BG167" s="1080">
        <v>0</v>
      </c>
      <c r="BH167" s="1080">
        <v>0</v>
      </c>
      <c r="BI167" s="1080">
        <v>0</v>
      </c>
      <c r="BJ167" s="1080">
        <v>0</v>
      </c>
      <c r="BK167" s="1073"/>
      <c r="BL167" s="1074">
        <v>0</v>
      </c>
      <c r="BN167" s="1078">
        <v>74100800</v>
      </c>
      <c r="BO167" s="1079" t="s">
        <v>2589</v>
      </c>
      <c r="BP167" s="1080">
        <v>0</v>
      </c>
      <c r="BQ167" s="1080">
        <v>0</v>
      </c>
      <c r="BR167" s="1080">
        <v>0</v>
      </c>
      <c r="BS167" s="1080">
        <v>0</v>
      </c>
      <c r="BT167" s="1080">
        <v>0</v>
      </c>
      <c r="BU167" s="1080">
        <v>0</v>
      </c>
      <c r="BV167" s="1080">
        <v>0</v>
      </c>
      <c r="BW167" s="1080">
        <v>0</v>
      </c>
      <c r="BX167" s="1080">
        <v>0</v>
      </c>
      <c r="BY167" s="1073"/>
      <c r="BZ167" s="1074">
        <v>0</v>
      </c>
      <c r="CB167" s="1078">
        <v>74100900</v>
      </c>
      <c r="CC167" s="1079" t="s">
        <v>2590</v>
      </c>
      <c r="CD167" s="1080">
        <v>0</v>
      </c>
      <c r="CE167" s="1080">
        <v>0</v>
      </c>
      <c r="CF167" s="1080">
        <v>0</v>
      </c>
      <c r="CG167" s="1080">
        <v>0</v>
      </c>
      <c r="CH167" s="1080">
        <v>0</v>
      </c>
      <c r="CI167" s="1080">
        <v>0</v>
      </c>
      <c r="CJ167" s="1080">
        <v>0</v>
      </c>
      <c r="CK167" s="1080">
        <v>0</v>
      </c>
      <c r="CL167" s="1080">
        <v>0</v>
      </c>
      <c r="CM167" s="1080">
        <v>0</v>
      </c>
      <c r="CN167" s="1080">
        <v>0</v>
      </c>
      <c r="CO167" s="1073"/>
      <c r="CP167" s="1074">
        <v>0</v>
      </c>
    </row>
    <row r="168" spans="2:94">
      <c r="B168" s="1078">
        <v>74100300</v>
      </c>
      <c r="C168" s="1079" t="s">
        <v>2586</v>
      </c>
      <c r="D168" s="1080">
        <v>0</v>
      </c>
      <c r="E168" s="1080">
        <v>0</v>
      </c>
      <c r="F168" s="1080">
        <v>0</v>
      </c>
      <c r="G168" s="1080">
        <v>0</v>
      </c>
      <c r="H168" s="1080">
        <v>0</v>
      </c>
      <c r="I168" s="1080">
        <v>0</v>
      </c>
      <c r="J168" s="1080">
        <v>0</v>
      </c>
      <c r="K168" s="1080">
        <v>0</v>
      </c>
      <c r="L168" s="1080">
        <v>0</v>
      </c>
      <c r="N168" s="2177">
        <v>74100300</v>
      </c>
      <c r="O168" s="2178" t="s">
        <v>2586</v>
      </c>
      <c r="P168" s="2179">
        <v>0</v>
      </c>
      <c r="Q168" s="2179">
        <v>0</v>
      </c>
      <c r="R168" s="2179">
        <v>0</v>
      </c>
      <c r="S168" s="2179">
        <v>0</v>
      </c>
      <c r="T168" s="2179">
        <v>0</v>
      </c>
      <c r="U168" s="2179">
        <v>0</v>
      </c>
      <c r="V168" s="2179">
        <v>0</v>
      </c>
      <c r="W168" s="2179">
        <v>0</v>
      </c>
      <c r="X168" s="2179">
        <v>0</v>
      </c>
      <c r="Z168" s="2177">
        <v>74100400</v>
      </c>
      <c r="AA168" s="2178" t="s">
        <v>2588</v>
      </c>
      <c r="AB168" s="2179">
        <v>0</v>
      </c>
      <c r="AC168" s="2179">
        <v>0</v>
      </c>
      <c r="AD168" s="2179">
        <v>0</v>
      </c>
      <c r="AE168" s="2179">
        <v>38930</v>
      </c>
      <c r="AF168" s="2179">
        <v>0</v>
      </c>
      <c r="AG168" s="2179">
        <v>38930</v>
      </c>
      <c r="AH168" s="2179">
        <v>0</v>
      </c>
      <c r="AI168" s="2179">
        <v>0</v>
      </c>
      <c r="AJ168" s="2179">
        <v>38930</v>
      </c>
      <c r="AL168" s="1078">
        <v>74100400</v>
      </c>
      <c r="AM168" s="1079" t="s">
        <v>2588</v>
      </c>
      <c r="AN168" s="1080">
        <v>0</v>
      </c>
      <c r="AO168" s="1080">
        <v>0</v>
      </c>
      <c r="AP168" s="1080">
        <v>0</v>
      </c>
      <c r="AQ168" s="1080">
        <v>0</v>
      </c>
      <c r="AR168" s="1080">
        <v>0</v>
      </c>
      <c r="AS168" s="1080">
        <v>0</v>
      </c>
      <c r="AT168" s="1080">
        <v>0</v>
      </c>
      <c r="AU168" s="1080">
        <v>0</v>
      </c>
      <c r="AV168" s="1080">
        <v>0</v>
      </c>
      <c r="AW168" s="1073"/>
      <c r="AX168" s="1074">
        <v>0</v>
      </c>
      <c r="AZ168" s="1078">
        <v>74100400</v>
      </c>
      <c r="BA168" s="1079" t="s">
        <v>2588</v>
      </c>
      <c r="BB168" s="1080">
        <v>0</v>
      </c>
      <c r="BC168" s="1080">
        <v>0</v>
      </c>
      <c r="BD168" s="1080">
        <v>0</v>
      </c>
      <c r="BE168" s="1080">
        <v>0</v>
      </c>
      <c r="BF168" s="1080">
        <v>0</v>
      </c>
      <c r="BG168" s="1080">
        <v>0</v>
      </c>
      <c r="BH168" s="1080">
        <v>0</v>
      </c>
      <c r="BI168" s="1080">
        <v>0</v>
      </c>
      <c r="BJ168" s="1080">
        <v>0</v>
      </c>
      <c r="BK168" s="1073"/>
      <c r="BL168" s="1074">
        <v>0</v>
      </c>
      <c r="BN168" s="1078">
        <v>74100900</v>
      </c>
      <c r="BO168" s="1079" t="s">
        <v>2590</v>
      </c>
      <c r="BP168" s="1080">
        <v>0</v>
      </c>
      <c r="BQ168" s="1080">
        <v>0</v>
      </c>
      <c r="BR168" s="1080">
        <v>0</v>
      </c>
      <c r="BS168" s="1080">
        <v>0</v>
      </c>
      <c r="BT168" s="1080">
        <v>0</v>
      </c>
      <c r="BU168" s="1080">
        <v>0</v>
      </c>
      <c r="BV168" s="1080">
        <v>0</v>
      </c>
      <c r="BW168" s="1080">
        <v>0</v>
      </c>
      <c r="BX168" s="1080">
        <v>0</v>
      </c>
      <c r="BY168" s="1073"/>
      <c r="BZ168" s="1074">
        <v>0</v>
      </c>
      <c r="CB168" s="1078">
        <v>74101000</v>
      </c>
      <c r="CC168" s="1079" t="s">
        <v>2591</v>
      </c>
      <c r="CD168" s="1080">
        <v>0</v>
      </c>
      <c r="CE168" s="1080">
        <v>0</v>
      </c>
      <c r="CF168" s="1080">
        <v>0</v>
      </c>
      <c r="CG168" s="1080">
        <v>0</v>
      </c>
      <c r="CH168" s="1080">
        <v>0</v>
      </c>
      <c r="CI168" s="1080">
        <v>0</v>
      </c>
      <c r="CJ168" s="1080">
        <v>0</v>
      </c>
      <c r="CK168" s="1080">
        <v>0</v>
      </c>
      <c r="CL168" s="1080">
        <v>0</v>
      </c>
      <c r="CM168" s="1080">
        <v>0</v>
      </c>
      <c r="CN168" s="1080">
        <v>0</v>
      </c>
      <c r="CO168" s="1073"/>
      <c r="CP168" s="1074">
        <v>0</v>
      </c>
    </row>
    <row r="169" spans="2:94">
      <c r="B169" s="1078">
        <v>74100400</v>
      </c>
      <c r="C169" s="1079" t="s">
        <v>2588</v>
      </c>
      <c r="D169" s="1080">
        <v>0</v>
      </c>
      <c r="E169" s="1080">
        <v>0</v>
      </c>
      <c r="F169" s="1080">
        <v>0</v>
      </c>
      <c r="G169" s="1080">
        <v>0</v>
      </c>
      <c r="H169" s="1080">
        <v>0</v>
      </c>
      <c r="I169" s="1080">
        <v>0</v>
      </c>
      <c r="J169" s="1080">
        <v>0</v>
      </c>
      <c r="K169" s="1080">
        <v>0</v>
      </c>
      <c r="L169" s="1080">
        <v>0</v>
      </c>
      <c r="N169" s="2177">
        <v>74100400</v>
      </c>
      <c r="O169" s="2178" t="s">
        <v>2588</v>
      </c>
      <c r="P169" s="2179">
        <v>0</v>
      </c>
      <c r="Q169" s="2179">
        <v>0</v>
      </c>
      <c r="R169" s="2179">
        <v>0</v>
      </c>
      <c r="S169" s="2179">
        <v>0</v>
      </c>
      <c r="T169" s="2179">
        <v>0</v>
      </c>
      <c r="U169" s="2179">
        <v>0</v>
      </c>
      <c r="V169" s="2179">
        <v>0</v>
      </c>
      <c r="W169" s="2179">
        <v>0</v>
      </c>
      <c r="X169" s="2179">
        <v>0</v>
      </c>
      <c r="Z169" s="2177">
        <v>74100800</v>
      </c>
      <c r="AA169" s="2178" t="s">
        <v>3881</v>
      </c>
      <c r="AB169" s="2179">
        <v>0</v>
      </c>
      <c r="AC169" s="2179">
        <v>0</v>
      </c>
      <c r="AD169" s="2179">
        <v>0</v>
      </c>
      <c r="AE169" s="2179">
        <v>0</v>
      </c>
      <c r="AF169" s="2179">
        <v>0</v>
      </c>
      <c r="AG169" s="2179">
        <v>0</v>
      </c>
      <c r="AH169" s="2179">
        <v>0</v>
      </c>
      <c r="AI169" s="2179">
        <v>0</v>
      </c>
      <c r="AJ169" s="2179">
        <v>0</v>
      </c>
      <c r="AL169" s="1078">
        <v>74100800</v>
      </c>
      <c r="AM169" s="1079" t="s">
        <v>2589</v>
      </c>
      <c r="AN169" s="1080">
        <v>0</v>
      </c>
      <c r="AO169" s="1080">
        <v>0</v>
      </c>
      <c r="AP169" s="1080">
        <v>0</v>
      </c>
      <c r="AQ169" s="1080">
        <v>0</v>
      </c>
      <c r="AR169" s="1080">
        <v>0</v>
      </c>
      <c r="AS169" s="1080">
        <v>0</v>
      </c>
      <c r="AT169" s="1080">
        <v>0</v>
      </c>
      <c r="AU169" s="1080">
        <v>0</v>
      </c>
      <c r="AV169" s="1080">
        <v>0</v>
      </c>
      <c r="AW169" s="1073"/>
      <c r="AX169" s="1074">
        <v>0</v>
      </c>
      <c r="AZ169" s="1078">
        <v>74100800</v>
      </c>
      <c r="BA169" s="1079" t="s">
        <v>2589</v>
      </c>
      <c r="BB169" s="1080">
        <v>0</v>
      </c>
      <c r="BC169" s="1080">
        <v>0</v>
      </c>
      <c r="BD169" s="1080">
        <v>0</v>
      </c>
      <c r="BE169" s="1080">
        <v>0</v>
      </c>
      <c r="BF169" s="1080">
        <v>0</v>
      </c>
      <c r="BG169" s="1080">
        <v>0</v>
      </c>
      <c r="BH169" s="1080">
        <v>0</v>
      </c>
      <c r="BI169" s="1080">
        <v>0</v>
      </c>
      <c r="BJ169" s="1080">
        <v>0</v>
      </c>
      <c r="BK169" s="1073"/>
      <c r="BL169" s="1074">
        <v>0</v>
      </c>
      <c r="BN169" s="1078">
        <v>74101000</v>
      </c>
      <c r="BO169" s="1079" t="s">
        <v>2591</v>
      </c>
      <c r="BP169" s="1080">
        <v>0</v>
      </c>
      <c r="BQ169" s="1080">
        <v>0</v>
      </c>
      <c r="BR169" s="1080">
        <v>0</v>
      </c>
      <c r="BS169" s="1080">
        <v>0</v>
      </c>
      <c r="BT169" s="1080">
        <v>0</v>
      </c>
      <c r="BU169" s="1080">
        <v>0</v>
      </c>
      <c r="BV169" s="1080">
        <v>0</v>
      </c>
      <c r="BW169" s="1080">
        <v>0</v>
      </c>
      <c r="BX169" s="1080">
        <v>0</v>
      </c>
      <c r="BY169" s="1073"/>
      <c r="BZ169" s="1074">
        <v>0</v>
      </c>
      <c r="CB169" s="1078">
        <v>74101100</v>
      </c>
      <c r="CC169" s="1079" t="s">
        <v>2592</v>
      </c>
      <c r="CD169" s="1080">
        <v>0</v>
      </c>
      <c r="CE169" s="1080">
        <v>0</v>
      </c>
      <c r="CF169" s="1080">
        <v>0</v>
      </c>
      <c r="CG169" s="1080">
        <v>0</v>
      </c>
      <c r="CH169" s="1080">
        <v>0</v>
      </c>
      <c r="CI169" s="1080">
        <v>0</v>
      </c>
      <c r="CJ169" s="1080">
        <v>0</v>
      </c>
      <c r="CK169" s="1080">
        <v>0</v>
      </c>
      <c r="CL169" s="1080">
        <v>0</v>
      </c>
      <c r="CM169" s="1080">
        <v>0</v>
      </c>
      <c r="CN169" s="1080">
        <v>0</v>
      </c>
      <c r="CO169" s="1073"/>
      <c r="CP169" s="1074">
        <v>0</v>
      </c>
    </row>
    <row r="170" spans="2:94">
      <c r="B170" s="1078">
        <v>74100800</v>
      </c>
      <c r="C170" s="1079" t="s">
        <v>2589</v>
      </c>
      <c r="D170" s="1080">
        <v>0</v>
      </c>
      <c r="E170" s="1080">
        <v>0</v>
      </c>
      <c r="F170" s="1080">
        <v>0</v>
      </c>
      <c r="G170" s="1080">
        <v>0</v>
      </c>
      <c r="H170" s="1080">
        <v>0</v>
      </c>
      <c r="I170" s="1080">
        <v>0</v>
      </c>
      <c r="J170" s="1080">
        <v>0</v>
      </c>
      <c r="K170" s="1080">
        <v>0</v>
      </c>
      <c r="L170" s="1080">
        <v>0</v>
      </c>
      <c r="N170" s="2177">
        <v>74100800</v>
      </c>
      <c r="O170" s="2178" t="s">
        <v>3881</v>
      </c>
      <c r="P170" s="2179">
        <v>0</v>
      </c>
      <c r="Q170" s="2179">
        <v>0</v>
      </c>
      <c r="R170" s="2179">
        <v>0</v>
      </c>
      <c r="S170" s="2179">
        <v>0</v>
      </c>
      <c r="T170" s="2179">
        <v>0</v>
      </c>
      <c r="U170" s="2179">
        <v>0</v>
      </c>
      <c r="V170" s="2179">
        <v>0</v>
      </c>
      <c r="W170" s="2179">
        <v>0</v>
      </c>
      <c r="X170" s="2179">
        <v>0</v>
      </c>
      <c r="Z170" s="2177">
        <v>74100900</v>
      </c>
      <c r="AA170" s="2178" t="s">
        <v>2590</v>
      </c>
      <c r="AB170" s="2179">
        <v>0</v>
      </c>
      <c r="AC170" s="2179">
        <v>0</v>
      </c>
      <c r="AD170" s="2179">
        <v>0</v>
      </c>
      <c r="AE170" s="2179">
        <v>0</v>
      </c>
      <c r="AF170" s="2179">
        <v>0</v>
      </c>
      <c r="AG170" s="2179">
        <v>0</v>
      </c>
      <c r="AH170" s="2179">
        <v>0</v>
      </c>
      <c r="AI170" s="2179">
        <v>0</v>
      </c>
      <c r="AJ170" s="2179">
        <v>0</v>
      </c>
      <c r="AL170" s="1078">
        <v>74100900</v>
      </c>
      <c r="AM170" s="1079" t="s">
        <v>2590</v>
      </c>
      <c r="AN170" s="1080">
        <v>0</v>
      </c>
      <c r="AO170" s="1080">
        <v>0</v>
      </c>
      <c r="AP170" s="1080">
        <v>0</v>
      </c>
      <c r="AQ170" s="1080">
        <v>0</v>
      </c>
      <c r="AR170" s="1080">
        <v>0</v>
      </c>
      <c r="AS170" s="1080">
        <v>0</v>
      </c>
      <c r="AT170" s="1080">
        <v>0</v>
      </c>
      <c r="AU170" s="1080">
        <v>0</v>
      </c>
      <c r="AV170" s="1080">
        <v>0</v>
      </c>
      <c r="AW170" s="1073"/>
      <c r="AX170" s="1074">
        <v>0</v>
      </c>
      <c r="AZ170" s="1078">
        <v>74100900</v>
      </c>
      <c r="BA170" s="1079" t="s">
        <v>2590</v>
      </c>
      <c r="BB170" s="1080">
        <v>0</v>
      </c>
      <c r="BC170" s="1080">
        <v>0</v>
      </c>
      <c r="BD170" s="1080">
        <v>0</v>
      </c>
      <c r="BE170" s="1080">
        <v>0</v>
      </c>
      <c r="BF170" s="1080">
        <v>0</v>
      </c>
      <c r="BG170" s="1080">
        <v>0</v>
      </c>
      <c r="BH170" s="1080">
        <v>0</v>
      </c>
      <c r="BI170" s="1080">
        <v>0</v>
      </c>
      <c r="BJ170" s="1080">
        <v>0</v>
      </c>
      <c r="BK170" s="1073"/>
      <c r="BL170" s="1074">
        <v>0</v>
      </c>
      <c r="BN170" s="1078">
        <v>74100500</v>
      </c>
      <c r="BO170" s="1079" t="s">
        <v>2593</v>
      </c>
      <c r="BP170" s="1080">
        <v>0</v>
      </c>
      <c r="BQ170" s="1080">
        <v>0</v>
      </c>
      <c r="BR170" s="1080">
        <v>0</v>
      </c>
      <c r="BS170" s="1080">
        <v>0</v>
      </c>
      <c r="BT170" s="1080">
        <v>4155492</v>
      </c>
      <c r="BU170" s="1080">
        <v>4155492</v>
      </c>
      <c r="BV170" s="1080">
        <v>0</v>
      </c>
      <c r="BW170" s="1080">
        <v>0</v>
      </c>
      <c r="BX170" s="1080">
        <v>4155492</v>
      </c>
      <c r="BY170" s="1073"/>
      <c r="BZ170" s="1074">
        <v>4155492</v>
      </c>
      <c r="CB170" s="1078">
        <v>74101200</v>
      </c>
      <c r="CC170" s="1079" t="s">
        <v>2594</v>
      </c>
      <c r="CD170" s="1080">
        <v>0</v>
      </c>
      <c r="CE170" s="1080">
        <v>0</v>
      </c>
      <c r="CF170" s="1080">
        <v>0</v>
      </c>
      <c r="CG170" s="1080">
        <v>0</v>
      </c>
      <c r="CH170" s="1080">
        <v>0</v>
      </c>
      <c r="CI170" s="1080">
        <v>0</v>
      </c>
      <c r="CJ170" s="1080">
        <v>0</v>
      </c>
      <c r="CK170" s="1080">
        <v>0</v>
      </c>
      <c r="CL170" s="1080">
        <v>0</v>
      </c>
      <c r="CM170" s="1080">
        <v>0</v>
      </c>
      <c r="CN170" s="1080">
        <v>0</v>
      </c>
      <c r="CO170" s="1073"/>
      <c r="CP170" s="1074">
        <v>0</v>
      </c>
    </row>
    <row r="171" spans="2:94">
      <c r="B171" s="1078">
        <v>74100900</v>
      </c>
      <c r="C171" s="1079" t="s">
        <v>2590</v>
      </c>
      <c r="D171" s="1080">
        <v>0</v>
      </c>
      <c r="E171" s="1080">
        <v>0</v>
      </c>
      <c r="F171" s="1080">
        <v>0</v>
      </c>
      <c r="G171" s="1080">
        <v>0</v>
      </c>
      <c r="H171" s="1080">
        <v>0</v>
      </c>
      <c r="I171" s="1080">
        <v>0</v>
      </c>
      <c r="J171" s="1080">
        <v>0</v>
      </c>
      <c r="K171" s="1080">
        <v>0</v>
      </c>
      <c r="L171" s="1080">
        <v>0</v>
      </c>
      <c r="N171" s="2177">
        <v>74100900</v>
      </c>
      <c r="O171" s="2178" t="s">
        <v>2590</v>
      </c>
      <c r="P171" s="2179">
        <v>0</v>
      </c>
      <c r="Q171" s="2179">
        <v>0</v>
      </c>
      <c r="R171" s="2179">
        <v>0</v>
      </c>
      <c r="S171" s="2179">
        <v>0</v>
      </c>
      <c r="T171" s="2179">
        <v>0</v>
      </c>
      <c r="U171" s="2179">
        <v>0</v>
      </c>
      <c r="V171" s="2179">
        <v>0</v>
      </c>
      <c r="W171" s="2179">
        <v>0</v>
      </c>
      <c r="X171" s="2179">
        <v>0</v>
      </c>
      <c r="Z171" s="2177">
        <v>74101000</v>
      </c>
      <c r="AA171" s="2178" t="s">
        <v>2591</v>
      </c>
      <c r="AB171" s="2179">
        <v>0</v>
      </c>
      <c r="AC171" s="2179">
        <v>0</v>
      </c>
      <c r="AD171" s="2179">
        <v>0</v>
      </c>
      <c r="AE171" s="2179">
        <v>0</v>
      </c>
      <c r="AF171" s="2179">
        <v>0</v>
      </c>
      <c r="AG171" s="2179">
        <v>0</v>
      </c>
      <c r="AH171" s="2179">
        <v>0</v>
      </c>
      <c r="AI171" s="2179">
        <v>0</v>
      </c>
      <c r="AJ171" s="2179">
        <v>0</v>
      </c>
      <c r="AL171" s="1078">
        <v>74101000</v>
      </c>
      <c r="AM171" s="1079" t="s">
        <v>2591</v>
      </c>
      <c r="AN171" s="1080">
        <v>0</v>
      </c>
      <c r="AO171" s="1080">
        <v>0</v>
      </c>
      <c r="AP171" s="1080">
        <v>0</v>
      </c>
      <c r="AQ171" s="1080">
        <v>0</v>
      </c>
      <c r="AR171" s="1080">
        <v>0</v>
      </c>
      <c r="AS171" s="1080">
        <v>0</v>
      </c>
      <c r="AT171" s="1080">
        <v>0</v>
      </c>
      <c r="AU171" s="1080">
        <v>0</v>
      </c>
      <c r="AV171" s="1080">
        <v>0</v>
      </c>
      <c r="AW171" s="1073"/>
      <c r="AX171" s="1074">
        <v>0</v>
      </c>
      <c r="AZ171" s="1078">
        <v>74101000</v>
      </c>
      <c r="BA171" s="1079" t="s">
        <v>2591</v>
      </c>
      <c r="BB171" s="1080">
        <v>0</v>
      </c>
      <c r="BC171" s="1080">
        <v>0</v>
      </c>
      <c r="BD171" s="1080">
        <v>0</v>
      </c>
      <c r="BE171" s="1080">
        <v>0</v>
      </c>
      <c r="BF171" s="1080">
        <v>0</v>
      </c>
      <c r="BG171" s="1080">
        <v>0</v>
      </c>
      <c r="BH171" s="1080">
        <v>0</v>
      </c>
      <c r="BI171" s="1080">
        <v>0</v>
      </c>
      <c r="BJ171" s="1080">
        <v>0</v>
      </c>
      <c r="BK171" s="1073"/>
      <c r="BL171" s="1074">
        <v>0</v>
      </c>
      <c r="BN171" s="1078">
        <v>74101200</v>
      </c>
      <c r="BO171" s="1079" t="s">
        <v>2594</v>
      </c>
      <c r="BP171" s="1080">
        <v>0</v>
      </c>
      <c r="BQ171" s="1080">
        <v>0</v>
      </c>
      <c r="BR171" s="1080">
        <v>0</v>
      </c>
      <c r="BS171" s="1080">
        <v>0</v>
      </c>
      <c r="BT171" s="1080">
        <v>0</v>
      </c>
      <c r="BU171" s="1080">
        <v>0</v>
      </c>
      <c r="BV171" s="1080">
        <v>0</v>
      </c>
      <c r="BW171" s="1080">
        <v>0</v>
      </c>
      <c r="BX171" s="1080">
        <v>0</v>
      </c>
      <c r="BY171" s="1073"/>
      <c r="BZ171" s="1074">
        <v>0</v>
      </c>
      <c r="CB171" s="1078">
        <v>74101300</v>
      </c>
      <c r="CC171" s="1079" t="s">
        <v>2595</v>
      </c>
      <c r="CD171" s="1080">
        <v>0</v>
      </c>
      <c r="CE171" s="1080">
        <v>0</v>
      </c>
      <c r="CF171" s="1080">
        <v>0</v>
      </c>
      <c r="CG171" s="1080">
        <v>0</v>
      </c>
      <c r="CH171" s="1080">
        <v>0</v>
      </c>
      <c r="CI171" s="1080">
        <v>0</v>
      </c>
      <c r="CJ171" s="1080">
        <v>0</v>
      </c>
      <c r="CK171" s="1080">
        <v>0</v>
      </c>
      <c r="CL171" s="1080">
        <v>0</v>
      </c>
      <c r="CM171" s="1080">
        <v>0</v>
      </c>
      <c r="CN171" s="1080">
        <v>0</v>
      </c>
      <c r="CO171" s="1073"/>
      <c r="CP171" s="1074">
        <v>0</v>
      </c>
    </row>
    <row r="172" spans="2:94">
      <c r="B172" s="1078">
        <v>74101000</v>
      </c>
      <c r="C172" s="1079" t="s">
        <v>2591</v>
      </c>
      <c r="D172" s="1080">
        <v>0</v>
      </c>
      <c r="E172" s="1080">
        <v>0</v>
      </c>
      <c r="F172" s="1080">
        <v>0</v>
      </c>
      <c r="G172" s="1080">
        <v>0</v>
      </c>
      <c r="H172" s="1080">
        <v>0</v>
      </c>
      <c r="I172" s="1080">
        <v>0</v>
      </c>
      <c r="J172" s="1080">
        <v>0</v>
      </c>
      <c r="K172" s="1080">
        <v>0</v>
      </c>
      <c r="L172" s="1080">
        <v>0</v>
      </c>
      <c r="N172" s="2177">
        <v>74101000</v>
      </c>
      <c r="O172" s="2178" t="s">
        <v>2591</v>
      </c>
      <c r="P172" s="2179">
        <v>0</v>
      </c>
      <c r="Q172" s="2179">
        <v>0</v>
      </c>
      <c r="R172" s="2179">
        <v>0</v>
      </c>
      <c r="S172" s="2179">
        <v>0</v>
      </c>
      <c r="T172" s="2179">
        <v>0</v>
      </c>
      <c r="U172" s="2179">
        <v>0</v>
      </c>
      <c r="V172" s="2179">
        <v>0</v>
      </c>
      <c r="W172" s="2179">
        <v>0</v>
      </c>
      <c r="X172" s="2179">
        <v>0</v>
      </c>
      <c r="Z172" s="2177">
        <v>74100500</v>
      </c>
      <c r="AA172" s="2178" t="s">
        <v>2593</v>
      </c>
      <c r="AB172" s="2179">
        <v>0</v>
      </c>
      <c r="AC172" s="2179">
        <v>0</v>
      </c>
      <c r="AD172" s="2179">
        <v>0</v>
      </c>
      <c r="AE172" s="2179">
        <v>0</v>
      </c>
      <c r="AF172" s="2179">
        <v>0</v>
      </c>
      <c r="AG172" s="2179">
        <v>0</v>
      </c>
      <c r="AH172" s="2179">
        <v>0</v>
      </c>
      <c r="AI172" s="2179">
        <v>0</v>
      </c>
      <c r="AJ172" s="2179">
        <v>0</v>
      </c>
      <c r="AL172" s="1078">
        <v>74100500</v>
      </c>
      <c r="AM172" s="1079" t="s">
        <v>2593</v>
      </c>
      <c r="AN172" s="1080">
        <v>0</v>
      </c>
      <c r="AO172" s="1080">
        <v>0</v>
      </c>
      <c r="AP172" s="1080">
        <v>0</v>
      </c>
      <c r="AQ172" s="1080">
        <v>0</v>
      </c>
      <c r="AR172" s="1080">
        <v>0</v>
      </c>
      <c r="AS172" s="1080">
        <v>0</v>
      </c>
      <c r="AT172" s="1080">
        <v>0</v>
      </c>
      <c r="AU172" s="1080">
        <v>0</v>
      </c>
      <c r="AV172" s="1080">
        <v>0</v>
      </c>
      <c r="AW172" s="1073"/>
      <c r="AX172" s="1074">
        <v>0</v>
      </c>
      <c r="AZ172" s="1078">
        <v>74100500</v>
      </c>
      <c r="BA172" s="1079" t="s">
        <v>2593</v>
      </c>
      <c r="BB172" s="1080">
        <v>0</v>
      </c>
      <c r="BC172" s="1080">
        <v>0</v>
      </c>
      <c r="BD172" s="1080">
        <v>0</v>
      </c>
      <c r="BE172" s="1080">
        <v>0</v>
      </c>
      <c r="BF172" s="1080">
        <v>0</v>
      </c>
      <c r="BG172" s="1080">
        <v>0</v>
      </c>
      <c r="BH172" s="1080">
        <v>0</v>
      </c>
      <c r="BI172" s="1080">
        <v>0</v>
      </c>
      <c r="BJ172" s="1080">
        <v>0</v>
      </c>
      <c r="BK172" s="1073"/>
      <c r="BL172" s="1074">
        <v>0</v>
      </c>
      <c r="BN172" s="1078">
        <v>74101300</v>
      </c>
      <c r="BO172" s="1079" t="s">
        <v>2595</v>
      </c>
      <c r="BP172" s="1080">
        <v>0</v>
      </c>
      <c r="BQ172" s="1080">
        <v>0</v>
      </c>
      <c r="BR172" s="1080">
        <v>0</v>
      </c>
      <c r="BS172" s="1080">
        <v>0</v>
      </c>
      <c r="BT172" s="1080">
        <v>0</v>
      </c>
      <c r="BU172" s="1080">
        <v>0</v>
      </c>
      <c r="BV172" s="1080">
        <v>0</v>
      </c>
      <c r="BW172" s="1080">
        <v>0</v>
      </c>
      <c r="BX172" s="1080">
        <v>0</v>
      </c>
      <c r="BY172" s="1073"/>
      <c r="BZ172" s="1074">
        <v>0</v>
      </c>
      <c r="CB172" s="1078">
        <v>74101400</v>
      </c>
      <c r="CC172" s="1079" t="s">
        <v>2596</v>
      </c>
      <c r="CD172" s="1080">
        <v>0</v>
      </c>
      <c r="CE172" s="1080">
        <v>0</v>
      </c>
      <c r="CF172" s="1080">
        <v>0</v>
      </c>
      <c r="CG172" s="1080">
        <v>0</v>
      </c>
      <c r="CH172" s="1080">
        <v>0</v>
      </c>
      <c r="CI172" s="1080">
        <v>0</v>
      </c>
      <c r="CJ172" s="1080">
        <v>0</v>
      </c>
      <c r="CK172" s="1080">
        <v>0</v>
      </c>
      <c r="CL172" s="1080">
        <v>0</v>
      </c>
      <c r="CM172" s="1080">
        <v>0</v>
      </c>
      <c r="CN172" s="1080">
        <v>0</v>
      </c>
      <c r="CO172" s="1073"/>
      <c r="CP172" s="1074">
        <v>0</v>
      </c>
    </row>
    <row r="173" spans="2:94">
      <c r="B173" s="1078">
        <v>74100500</v>
      </c>
      <c r="C173" s="1079" t="s">
        <v>2593</v>
      </c>
      <c r="D173" s="1080">
        <v>0</v>
      </c>
      <c r="E173" s="1080">
        <v>0</v>
      </c>
      <c r="F173" s="1080">
        <v>0</v>
      </c>
      <c r="G173" s="1080">
        <v>0</v>
      </c>
      <c r="H173" s="1080">
        <v>0</v>
      </c>
      <c r="I173" s="1080">
        <v>0</v>
      </c>
      <c r="J173" s="1080">
        <v>0</v>
      </c>
      <c r="K173" s="1080">
        <v>0</v>
      </c>
      <c r="L173" s="1080">
        <v>0</v>
      </c>
      <c r="N173" s="2177">
        <v>74100500</v>
      </c>
      <c r="O173" s="2178" t="s">
        <v>2593</v>
      </c>
      <c r="P173" s="2179">
        <v>0</v>
      </c>
      <c r="Q173" s="2179">
        <v>0</v>
      </c>
      <c r="R173" s="2179">
        <v>0</v>
      </c>
      <c r="S173" s="2179">
        <v>0</v>
      </c>
      <c r="T173" s="2179">
        <v>0</v>
      </c>
      <c r="U173" s="2179">
        <v>0</v>
      </c>
      <c r="V173" s="2179">
        <v>0</v>
      </c>
      <c r="W173" s="2179">
        <v>0</v>
      </c>
      <c r="X173" s="2179">
        <v>0</v>
      </c>
      <c r="Z173" s="2177">
        <v>74101200</v>
      </c>
      <c r="AA173" s="2178" t="s">
        <v>2594</v>
      </c>
      <c r="AB173" s="2179">
        <v>0</v>
      </c>
      <c r="AC173" s="2179">
        <v>0</v>
      </c>
      <c r="AD173" s="2179">
        <v>0</v>
      </c>
      <c r="AE173" s="2179">
        <v>0</v>
      </c>
      <c r="AF173" s="2179">
        <v>0</v>
      </c>
      <c r="AG173" s="2179">
        <v>0</v>
      </c>
      <c r="AH173" s="2179">
        <v>0</v>
      </c>
      <c r="AI173" s="2179">
        <v>0</v>
      </c>
      <c r="AJ173" s="2179">
        <v>0</v>
      </c>
      <c r="AL173" s="1078">
        <v>74101200</v>
      </c>
      <c r="AM173" s="1079" t="s">
        <v>2594</v>
      </c>
      <c r="AN173" s="1080">
        <v>0</v>
      </c>
      <c r="AO173" s="1080">
        <v>0</v>
      </c>
      <c r="AP173" s="1080">
        <v>0</v>
      </c>
      <c r="AQ173" s="1080">
        <v>0</v>
      </c>
      <c r="AR173" s="1080">
        <v>0</v>
      </c>
      <c r="AS173" s="1080">
        <v>0</v>
      </c>
      <c r="AT173" s="1080">
        <v>0</v>
      </c>
      <c r="AU173" s="1080">
        <v>0</v>
      </c>
      <c r="AV173" s="1080">
        <v>0</v>
      </c>
      <c r="AW173" s="1073"/>
      <c r="AX173" s="1074">
        <v>0</v>
      </c>
      <c r="AZ173" s="1078">
        <v>74101200</v>
      </c>
      <c r="BA173" s="1079" t="s">
        <v>2594</v>
      </c>
      <c r="BB173" s="1080">
        <v>0</v>
      </c>
      <c r="BC173" s="1080">
        <v>0</v>
      </c>
      <c r="BD173" s="1080">
        <v>0</v>
      </c>
      <c r="BE173" s="1080">
        <v>0</v>
      </c>
      <c r="BF173" s="1080">
        <v>0</v>
      </c>
      <c r="BG173" s="1080">
        <v>0</v>
      </c>
      <c r="BH173" s="1080">
        <v>0</v>
      </c>
      <c r="BI173" s="1080">
        <v>0</v>
      </c>
      <c r="BJ173" s="1080">
        <v>0</v>
      </c>
      <c r="BK173" s="1073"/>
      <c r="BL173" s="1074">
        <v>0</v>
      </c>
      <c r="BN173" s="1078">
        <v>74101400</v>
      </c>
      <c r="BO173" s="1079" t="s">
        <v>2596</v>
      </c>
      <c r="BP173" s="1080">
        <v>0</v>
      </c>
      <c r="BQ173" s="1080">
        <v>0</v>
      </c>
      <c r="BR173" s="1080">
        <v>0</v>
      </c>
      <c r="BS173" s="1080">
        <v>0</v>
      </c>
      <c r="BT173" s="1080">
        <v>0</v>
      </c>
      <c r="BU173" s="1080">
        <v>0</v>
      </c>
      <c r="BV173" s="1080">
        <v>0</v>
      </c>
      <c r="BW173" s="1080">
        <v>0</v>
      </c>
      <c r="BX173" s="1080">
        <v>0</v>
      </c>
      <c r="BY173" s="1073"/>
      <c r="BZ173" s="1074">
        <v>0</v>
      </c>
      <c r="CB173" s="1078">
        <v>74101500</v>
      </c>
      <c r="CC173" s="1079" t="s">
        <v>2597</v>
      </c>
      <c r="CD173" s="1080">
        <v>0</v>
      </c>
      <c r="CE173" s="1080">
        <v>0</v>
      </c>
      <c r="CF173" s="1080">
        <v>0</v>
      </c>
      <c r="CG173" s="1080">
        <v>0</v>
      </c>
      <c r="CH173" s="1080">
        <v>0</v>
      </c>
      <c r="CI173" s="1080">
        <v>0</v>
      </c>
      <c r="CJ173" s="1080">
        <v>0</v>
      </c>
      <c r="CK173" s="1080">
        <v>0</v>
      </c>
      <c r="CL173" s="1080">
        <v>0</v>
      </c>
      <c r="CM173" s="1080">
        <v>0</v>
      </c>
      <c r="CN173" s="1080">
        <v>0</v>
      </c>
      <c r="CO173" s="1073"/>
      <c r="CP173" s="1074">
        <v>0</v>
      </c>
    </row>
    <row r="174" spans="2:94">
      <c r="B174" s="1078">
        <v>74101200</v>
      </c>
      <c r="C174" s="1079" t="s">
        <v>2594</v>
      </c>
      <c r="D174" s="1080">
        <v>0</v>
      </c>
      <c r="E174" s="1080">
        <v>0</v>
      </c>
      <c r="F174" s="1080">
        <v>0</v>
      </c>
      <c r="G174" s="1080">
        <v>0</v>
      </c>
      <c r="H174" s="1080">
        <v>0</v>
      </c>
      <c r="I174" s="1080">
        <v>0</v>
      </c>
      <c r="J174" s="1080">
        <v>0</v>
      </c>
      <c r="K174" s="1080">
        <v>0</v>
      </c>
      <c r="L174" s="1080">
        <v>0</v>
      </c>
      <c r="N174" s="2177">
        <v>74101200</v>
      </c>
      <c r="O174" s="2178" t="s">
        <v>2594</v>
      </c>
      <c r="P174" s="2179">
        <v>0</v>
      </c>
      <c r="Q174" s="2179">
        <v>0</v>
      </c>
      <c r="R174" s="2179">
        <v>0</v>
      </c>
      <c r="S174" s="2179">
        <v>0</v>
      </c>
      <c r="T174" s="2179">
        <v>0</v>
      </c>
      <c r="U174" s="2179">
        <v>0</v>
      </c>
      <c r="V174" s="2179">
        <v>0</v>
      </c>
      <c r="W174" s="2179">
        <v>0</v>
      </c>
      <c r="X174" s="2179">
        <v>0</v>
      </c>
      <c r="Z174" s="2177">
        <v>74101300</v>
      </c>
      <c r="AA174" s="2178" t="s">
        <v>2595</v>
      </c>
      <c r="AB174" s="2179">
        <v>0</v>
      </c>
      <c r="AC174" s="2179">
        <v>0</v>
      </c>
      <c r="AD174" s="2179">
        <v>0</v>
      </c>
      <c r="AE174" s="2179">
        <v>0</v>
      </c>
      <c r="AF174" s="2179">
        <v>0</v>
      </c>
      <c r="AG174" s="2179">
        <v>0</v>
      </c>
      <c r="AH174" s="2179">
        <v>0</v>
      </c>
      <c r="AI174" s="2179">
        <v>0</v>
      </c>
      <c r="AJ174" s="2179">
        <v>0</v>
      </c>
      <c r="AL174" s="1078">
        <v>74101300</v>
      </c>
      <c r="AM174" s="1079" t="s">
        <v>2595</v>
      </c>
      <c r="AN174" s="1080">
        <v>0</v>
      </c>
      <c r="AO174" s="1080">
        <v>0</v>
      </c>
      <c r="AP174" s="1080">
        <v>0</v>
      </c>
      <c r="AQ174" s="1080">
        <v>0</v>
      </c>
      <c r="AR174" s="1080">
        <v>0</v>
      </c>
      <c r="AS174" s="1080">
        <v>0</v>
      </c>
      <c r="AT174" s="1080">
        <v>0</v>
      </c>
      <c r="AU174" s="1080">
        <v>0</v>
      </c>
      <c r="AV174" s="1080">
        <v>0</v>
      </c>
      <c r="AW174" s="1073"/>
      <c r="AX174" s="1074">
        <v>0</v>
      </c>
      <c r="AZ174" s="1078">
        <v>74101300</v>
      </c>
      <c r="BA174" s="1079" t="s">
        <v>2595</v>
      </c>
      <c r="BB174" s="1080">
        <v>0</v>
      </c>
      <c r="BC174" s="1080">
        <v>0</v>
      </c>
      <c r="BD174" s="1080">
        <v>0</v>
      </c>
      <c r="BE174" s="1080">
        <v>0</v>
      </c>
      <c r="BF174" s="1080">
        <v>0</v>
      </c>
      <c r="BG174" s="1080">
        <v>0</v>
      </c>
      <c r="BH174" s="1080">
        <v>0</v>
      </c>
      <c r="BI174" s="1080">
        <v>0</v>
      </c>
      <c r="BJ174" s="1080">
        <v>0</v>
      </c>
      <c r="BK174" s="1073"/>
      <c r="BL174" s="1074">
        <v>0</v>
      </c>
      <c r="BN174" s="1078">
        <v>74101500</v>
      </c>
      <c r="BO174" s="1079" t="s">
        <v>2597</v>
      </c>
      <c r="BP174" s="1080">
        <v>0</v>
      </c>
      <c r="BQ174" s="1080">
        <v>0</v>
      </c>
      <c r="BR174" s="1080">
        <v>0</v>
      </c>
      <c r="BS174" s="1080">
        <v>0</v>
      </c>
      <c r="BT174" s="1080">
        <v>0</v>
      </c>
      <c r="BU174" s="1080">
        <v>0</v>
      </c>
      <c r="BV174" s="1080">
        <v>0</v>
      </c>
      <c r="BW174" s="1080">
        <v>0</v>
      </c>
      <c r="BX174" s="1080">
        <v>0</v>
      </c>
      <c r="BY174" s="1073"/>
      <c r="BZ174" s="1074">
        <v>0</v>
      </c>
      <c r="CB174" s="1078">
        <v>74101600</v>
      </c>
      <c r="CC174" s="1079" t="s">
        <v>2598</v>
      </c>
      <c r="CD174" s="1080">
        <v>0</v>
      </c>
      <c r="CE174" s="1080">
        <v>0</v>
      </c>
      <c r="CF174" s="1080">
        <v>0</v>
      </c>
      <c r="CG174" s="1080">
        <v>0</v>
      </c>
      <c r="CH174" s="1080">
        <v>0</v>
      </c>
      <c r="CI174" s="1080">
        <v>0</v>
      </c>
      <c r="CJ174" s="1080">
        <v>0</v>
      </c>
      <c r="CK174" s="1080">
        <v>0</v>
      </c>
      <c r="CL174" s="1080">
        <v>0</v>
      </c>
      <c r="CM174" s="1080">
        <v>0</v>
      </c>
      <c r="CN174" s="1080">
        <v>0</v>
      </c>
      <c r="CO174" s="1073"/>
      <c r="CP174" s="1074">
        <v>0</v>
      </c>
    </row>
    <row r="175" spans="2:94">
      <c r="B175" s="1078">
        <v>74101300</v>
      </c>
      <c r="C175" s="1079" t="s">
        <v>2595</v>
      </c>
      <c r="D175" s="1080">
        <v>0</v>
      </c>
      <c r="E175" s="1080">
        <v>0</v>
      </c>
      <c r="F175" s="1080">
        <v>0</v>
      </c>
      <c r="G175" s="1080">
        <v>0</v>
      </c>
      <c r="H175" s="1080">
        <v>0</v>
      </c>
      <c r="I175" s="1080">
        <v>0</v>
      </c>
      <c r="J175" s="1080">
        <v>0</v>
      </c>
      <c r="K175" s="1080">
        <v>0</v>
      </c>
      <c r="L175" s="1080">
        <v>0</v>
      </c>
      <c r="N175" s="2177">
        <v>74101300</v>
      </c>
      <c r="O175" s="2178" t="s">
        <v>2595</v>
      </c>
      <c r="P175" s="2179">
        <v>0</v>
      </c>
      <c r="Q175" s="2179">
        <v>0</v>
      </c>
      <c r="R175" s="2179">
        <v>0</v>
      </c>
      <c r="S175" s="2179">
        <v>0</v>
      </c>
      <c r="T175" s="2179">
        <v>0</v>
      </c>
      <c r="U175" s="2179">
        <v>0</v>
      </c>
      <c r="V175" s="2179">
        <v>0</v>
      </c>
      <c r="W175" s="2179">
        <v>0</v>
      </c>
      <c r="X175" s="2179">
        <v>0</v>
      </c>
      <c r="Z175" s="2177">
        <v>74101400</v>
      </c>
      <c r="AA175" s="2178" t="s">
        <v>2596</v>
      </c>
      <c r="AB175" s="2179">
        <v>0</v>
      </c>
      <c r="AC175" s="2179">
        <v>0</v>
      </c>
      <c r="AD175" s="2179">
        <v>0</v>
      </c>
      <c r="AE175" s="2179">
        <v>0</v>
      </c>
      <c r="AF175" s="2179">
        <v>0</v>
      </c>
      <c r="AG175" s="2179">
        <v>0</v>
      </c>
      <c r="AH175" s="2179">
        <v>0</v>
      </c>
      <c r="AI175" s="2179">
        <v>0</v>
      </c>
      <c r="AJ175" s="2179">
        <v>0</v>
      </c>
      <c r="AL175" s="1078">
        <v>74101400</v>
      </c>
      <c r="AM175" s="1079" t="s">
        <v>2596</v>
      </c>
      <c r="AN175" s="1080">
        <v>0</v>
      </c>
      <c r="AO175" s="1080">
        <v>0</v>
      </c>
      <c r="AP175" s="1080">
        <v>0</v>
      </c>
      <c r="AQ175" s="1080">
        <v>0</v>
      </c>
      <c r="AR175" s="1080">
        <v>0</v>
      </c>
      <c r="AS175" s="1080">
        <v>0</v>
      </c>
      <c r="AT175" s="1080">
        <v>0</v>
      </c>
      <c r="AU175" s="1080">
        <v>0</v>
      </c>
      <c r="AV175" s="1080">
        <v>0</v>
      </c>
      <c r="AW175" s="1073"/>
      <c r="AX175" s="1074">
        <v>0</v>
      </c>
      <c r="AZ175" s="1078">
        <v>74101400</v>
      </c>
      <c r="BA175" s="1079" t="s">
        <v>2596</v>
      </c>
      <c r="BB175" s="1080">
        <v>0</v>
      </c>
      <c r="BC175" s="1080">
        <v>0</v>
      </c>
      <c r="BD175" s="1080">
        <v>0</v>
      </c>
      <c r="BE175" s="1080">
        <v>0</v>
      </c>
      <c r="BF175" s="1080">
        <v>0</v>
      </c>
      <c r="BG175" s="1080">
        <v>0</v>
      </c>
      <c r="BH175" s="1080">
        <v>0</v>
      </c>
      <c r="BI175" s="1080">
        <v>0</v>
      </c>
      <c r="BJ175" s="1080">
        <v>0</v>
      </c>
      <c r="BK175" s="1073"/>
      <c r="BL175" s="1074">
        <v>0</v>
      </c>
      <c r="BN175" s="1078">
        <v>74101600</v>
      </c>
      <c r="BO175" s="1079" t="s">
        <v>2598</v>
      </c>
      <c r="BP175" s="1080">
        <v>0</v>
      </c>
      <c r="BQ175" s="1080">
        <v>0</v>
      </c>
      <c r="BR175" s="1080">
        <v>0</v>
      </c>
      <c r="BS175" s="1080">
        <v>0</v>
      </c>
      <c r="BT175" s="1080">
        <v>0</v>
      </c>
      <c r="BU175" s="1080">
        <v>0</v>
      </c>
      <c r="BV175" s="1080">
        <v>0</v>
      </c>
      <c r="BW175" s="1080">
        <v>0</v>
      </c>
      <c r="BX175" s="1080">
        <v>0</v>
      </c>
      <c r="BY175" s="1073"/>
      <c r="BZ175" s="1074">
        <v>0</v>
      </c>
      <c r="CB175" s="1078">
        <v>74101700</v>
      </c>
      <c r="CC175" s="1079" t="s">
        <v>2599</v>
      </c>
      <c r="CD175" s="1080">
        <v>0</v>
      </c>
      <c r="CE175" s="1080">
        <v>0</v>
      </c>
      <c r="CF175" s="1080">
        <v>0</v>
      </c>
      <c r="CG175" s="1080">
        <v>0</v>
      </c>
      <c r="CH175" s="1080">
        <v>0</v>
      </c>
      <c r="CI175" s="1080">
        <v>0</v>
      </c>
      <c r="CJ175" s="1080">
        <v>0</v>
      </c>
      <c r="CK175" s="1080">
        <v>0</v>
      </c>
      <c r="CL175" s="1080">
        <v>0</v>
      </c>
      <c r="CM175" s="1080">
        <v>0</v>
      </c>
      <c r="CN175" s="1080">
        <v>0</v>
      </c>
      <c r="CO175" s="1073"/>
      <c r="CP175" s="1074">
        <v>0</v>
      </c>
    </row>
    <row r="176" spans="2:94">
      <c r="B176" s="1078">
        <v>74101400</v>
      </c>
      <c r="C176" s="1079" t="s">
        <v>2596</v>
      </c>
      <c r="D176" s="1080">
        <v>0</v>
      </c>
      <c r="E176" s="1080">
        <v>0</v>
      </c>
      <c r="F176" s="1080">
        <v>0</v>
      </c>
      <c r="G176" s="1080">
        <v>0</v>
      </c>
      <c r="H176" s="1080">
        <v>0</v>
      </c>
      <c r="I176" s="1080">
        <v>0</v>
      </c>
      <c r="J176" s="1080">
        <v>0</v>
      </c>
      <c r="K176" s="1080">
        <v>0</v>
      </c>
      <c r="L176" s="1080">
        <v>0</v>
      </c>
      <c r="N176" s="2177">
        <v>74101400</v>
      </c>
      <c r="O176" s="2178" t="s">
        <v>2596</v>
      </c>
      <c r="P176" s="2179">
        <v>0</v>
      </c>
      <c r="Q176" s="2179">
        <v>0</v>
      </c>
      <c r="R176" s="2179">
        <v>0</v>
      </c>
      <c r="S176" s="2179">
        <v>0</v>
      </c>
      <c r="T176" s="2179">
        <v>0</v>
      </c>
      <c r="U176" s="2179">
        <v>0</v>
      </c>
      <c r="V176" s="2179">
        <v>0</v>
      </c>
      <c r="W176" s="2179">
        <v>0</v>
      </c>
      <c r="X176" s="2179">
        <v>0</v>
      </c>
      <c r="Z176" s="2177">
        <v>74101500</v>
      </c>
      <c r="AA176" s="2178" t="s">
        <v>2597</v>
      </c>
      <c r="AB176" s="2179">
        <v>0</v>
      </c>
      <c r="AC176" s="2179">
        <v>0</v>
      </c>
      <c r="AD176" s="2179">
        <v>0</v>
      </c>
      <c r="AE176" s="2179">
        <v>0</v>
      </c>
      <c r="AF176" s="2179">
        <v>0</v>
      </c>
      <c r="AG176" s="2179">
        <v>0</v>
      </c>
      <c r="AH176" s="2179">
        <v>0</v>
      </c>
      <c r="AI176" s="2179">
        <v>0</v>
      </c>
      <c r="AJ176" s="2179">
        <v>0</v>
      </c>
      <c r="AL176" s="1078">
        <v>74101500</v>
      </c>
      <c r="AM176" s="1079" t="s">
        <v>2597</v>
      </c>
      <c r="AN176" s="1080">
        <v>0</v>
      </c>
      <c r="AO176" s="1080">
        <v>0</v>
      </c>
      <c r="AP176" s="1080">
        <v>0</v>
      </c>
      <c r="AQ176" s="1080">
        <v>0</v>
      </c>
      <c r="AR176" s="1080">
        <v>0</v>
      </c>
      <c r="AS176" s="1080">
        <v>0</v>
      </c>
      <c r="AT176" s="1080">
        <v>0</v>
      </c>
      <c r="AU176" s="1080">
        <v>0</v>
      </c>
      <c r="AV176" s="1080">
        <v>0</v>
      </c>
      <c r="AW176" s="1073"/>
      <c r="AX176" s="1074">
        <v>0</v>
      </c>
      <c r="AZ176" s="1078">
        <v>74101500</v>
      </c>
      <c r="BA176" s="1079" t="s">
        <v>2597</v>
      </c>
      <c r="BB176" s="1080">
        <v>0</v>
      </c>
      <c r="BC176" s="1080">
        <v>0</v>
      </c>
      <c r="BD176" s="1080">
        <v>0</v>
      </c>
      <c r="BE176" s="1080">
        <v>0</v>
      </c>
      <c r="BF176" s="1080">
        <v>0</v>
      </c>
      <c r="BG176" s="1080">
        <v>0</v>
      </c>
      <c r="BH176" s="1080">
        <v>0</v>
      </c>
      <c r="BI176" s="1080">
        <v>0</v>
      </c>
      <c r="BJ176" s="1080">
        <v>0</v>
      </c>
      <c r="BK176" s="1073"/>
      <c r="BL176" s="1074">
        <v>0</v>
      </c>
      <c r="BN176" s="1078">
        <v>74101700</v>
      </c>
      <c r="BO176" s="1079" t="s">
        <v>2599</v>
      </c>
      <c r="BP176" s="1080">
        <v>0</v>
      </c>
      <c r="BQ176" s="1080">
        <v>0</v>
      </c>
      <c r="BR176" s="1080">
        <v>0</v>
      </c>
      <c r="BS176" s="1080">
        <v>0</v>
      </c>
      <c r="BT176" s="1080">
        <v>0</v>
      </c>
      <c r="BU176" s="1080">
        <v>0</v>
      </c>
      <c r="BV176" s="1080">
        <v>0</v>
      </c>
      <c r="BW176" s="1080">
        <v>0</v>
      </c>
      <c r="BX176" s="1080">
        <v>0</v>
      </c>
      <c r="BY176" s="1073"/>
      <c r="BZ176" s="1074">
        <v>0</v>
      </c>
      <c r="CB176" s="1075">
        <v>74110000</v>
      </c>
      <c r="CC176" s="1076" t="s">
        <v>2600</v>
      </c>
      <c r="CD176" s="1077">
        <v>30702273599</v>
      </c>
      <c r="CE176" s="1077">
        <v>0</v>
      </c>
      <c r="CF176" s="1077">
        <v>0</v>
      </c>
      <c r="CG176" s="1077">
        <v>317970845</v>
      </c>
      <c r="CH176" s="1077">
        <v>0</v>
      </c>
      <c r="CI176" s="1077">
        <v>185801</v>
      </c>
      <c r="CJ176" s="1077">
        <v>0</v>
      </c>
      <c r="CK176" s="1077">
        <v>31020430245</v>
      </c>
      <c r="CL176" s="1077">
        <v>0</v>
      </c>
      <c r="CM176" s="1077">
        <v>0</v>
      </c>
      <c r="CN176" s="1077">
        <v>29809876479</v>
      </c>
      <c r="CO176" s="1073"/>
      <c r="CP176" s="1074"/>
    </row>
    <row r="177" spans="2:94">
      <c r="B177" s="1078">
        <v>74101500</v>
      </c>
      <c r="C177" s="1079" t="s">
        <v>2597</v>
      </c>
      <c r="D177" s="1080">
        <v>0</v>
      </c>
      <c r="E177" s="1080">
        <v>0</v>
      </c>
      <c r="F177" s="1080">
        <v>0</v>
      </c>
      <c r="G177" s="1080">
        <v>0</v>
      </c>
      <c r="H177" s="1080">
        <v>0</v>
      </c>
      <c r="I177" s="1080">
        <v>0</v>
      </c>
      <c r="J177" s="1080">
        <v>0</v>
      </c>
      <c r="K177" s="1080">
        <v>0</v>
      </c>
      <c r="L177" s="1080">
        <v>0</v>
      </c>
      <c r="N177" s="2177">
        <v>74101500</v>
      </c>
      <c r="O177" s="2178" t="s">
        <v>2597</v>
      </c>
      <c r="P177" s="2179">
        <v>0</v>
      </c>
      <c r="Q177" s="2179">
        <v>0</v>
      </c>
      <c r="R177" s="2179">
        <v>0</v>
      </c>
      <c r="S177" s="2179">
        <v>0</v>
      </c>
      <c r="T177" s="2179">
        <v>0</v>
      </c>
      <c r="U177" s="2179">
        <v>0</v>
      </c>
      <c r="V177" s="2179">
        <v>0</v>
      </c>
      <c r="W177" s="2179">
        <v>0</v>
      </c>
      <c r="X177" s="2179">
        <v>0</v>
      </c>
      <c r="Z177" s="2177">
        <v>74101600</v>
      </c>
      <c r="AA177" s="2178" t="s">
        <v>3882</v>
      </c>
      <c r="AB177" s="2179">
        <v>0</v>
      </c>
      <c r="AC177" s="2179">
        <v>0</v>
      </c>
      <c r="AD177" s="2179">
        <v>0</v>
      </c>
      <c r="AE177" s="2179">
        <v>0</v>
      </c>
      <c r="AF177" s="2179">
        <v>0</v>
      </c>
      <c r="AG177" s="2179">
        <v>0</v>
      </c>
      <c r="AH177" s="2179">
        <v>0</v>
      </c>
      <c r="AI177" s="2179">
        <v>0</v>
      </c>
      <c r="AJ177" s="2179">
        <v>0</v>
      </c>
      <c r="AL177" s="1078">
        <v>74101600</v>
      </c>
      <c r="AM177" s="1079" t="s">
        <v>2598</v>
      </c>
      <c r="AN177" s="1080">
        <v>0</v>
      </c>
      <c r="AO177" s="1080">
        <v>0</v>
      </c>
      <c r="AP177" s="1080">
        <v>0</v>
      </c>
      <c r="AQ177" s="1080">
        <v>0</v>
      </c>
      <c r="AR177" s="1080">
        <v>0</v>
      </c>
      <c r="AS177" s="1080">
        <v>0</v>
      </c>
      <c r="AT177" s="1080">
        <v>0</v>
      </c>
      <c r="AU177" s="1080">
        <v>0</v>
      </c>
      <c r="AV177" s="1080">
        <v>0</v>
      </c>
      <c r="AW177" s="1073"/>
      <c r="AX177" s="1074">
        <v>0</v>
      </c>
      <c r="AZ177" s="1078">
        <v>74101600</v>
      </c>
      <c r="BA177" s="1079" t="s">
        <v>2598</v>
      </c>
      <c r="BB177" s="1080">
        <v>0</v>
      </c>
      <c r="BC177" s="1080">
        <v>0</v>
      </c>
      <c r="BD177" s="1080">
        <v>0</v>
      </c>
      <c r="BE177" s="1080">
        <v>0</v>
      </c>
      <c r="BF177" s="1080">
        <v>0</v>
      </c>
      <c r="BG177" s="1080">
        <v>0</v>
      </c>
      <c r="BH177" s="1080">
        <v>0</v>
      </c>
      <c r="BI177" s="1080">
        <v>0</v>
      </c>
      <c r="BJ177" s="1080">
        <v>0</v>
      </c>
      <c r="BK177" s="1073"/>
      <c r="BL177" s="1074">
        <v>0</v>
      </c>
      <c r="BN177" s="1075">
        <v>74110000</v>
      </c>
      <c r="BO177" s="1076" t="s">
        <v>2600</v>
      </c>
      <c r="BP177" s="1077">
        <v>23593313769</v>
      </c>
      <c r="BQ177" s="1077">
        <v>0</v>
      </c>
      <c r="BR177" s="1077">
        <v>62398000</v>
      </c>
      <c r="BS177" s="1077">
        <v>0</v>
      </c>
      <c r="BT177" s="1077">
        <v>2136849</v>
      </c>
      <c r="BU177" s="1077">
        <v>23657848618</v>
      </c>
      <c r="BV177" s="1077">
        <v>0</v>
      </c>
      <c r="BW177" s="1077">
        <v>0</v>
      </c>
      <c r="BX177" s="1077">
        <v>25223208421</v>
      </c>
      <c r="BY177" s="1073"/>
      <c r="BZ177" s="1074"/>
      <c r="CB177" s="1078">
        <v>74110100</v>
      </c>
      <c r="CC177" s="1079" t="s">
        <v>2601</v>
      </c>
      <c r="CD177" s="1080">
        <v>1639605000</v>
      </c>
      <c r="CE177" s="1080">
        <v>0</v>
      </c>
      <c r="CF177" s="1080">
        <v>0</v>
      </c>
      <c r="CG177" s="1080">
        <v>259850000</v>
      </c>
      <c r="CH177" s="1080">
        <v>0</v>
      </c>
      <c r="CI177" s="1080">
        <v>0</v>
      </c>
      <c r="CJ177" s="1080">
        <v>0</v>
      </c>
      <c r="CK177" s="1080">
        <v>1899455000</v>
      </c>
      <c r="CL177" s="1080">
        <v>0</v>
      </c>
      <c r="CM177" s="1080">
        <v>0</v>
      </c>
      <c r="CN177" s="1080">
        <v>1899455000</v>
      </c>
      <c r="CO177" s="1073"/>
      <c r="CP177" s="1074">
        <v>1899455000</v>
      </c>
    </row>
    <row r="178" spans="2:94">
      <c r="B178" s="1078">
        <v>74101600</v>
      </c>
      <c r="C178" s="1079" t="s">
        <v>2598</v>
      </c>
      <c r="D178" s="1080">
        <v>0</v>
      </c>
      <c r="E178" s="1080">
        <v>0</v>
      </c>
      <c r="F178" s="1080">
        <v>0</v>
      </c>
      <c r="G178" s="1080">
        <v>0</v>
      </c>
      <c r="H178" s="1080">
        <v>0</v>
      </c>
      <c r="I178" s="1080">
        <v>0</v>
      </c>
      <c r="J178" s="1080">
        <v>0</v>
      </c>
      <c r="K178" s="1080">
        <v>0</v>
      </c>
      <c r="L178" s="1080">
        <v>0</v>
      </c>
      <c r="N178" s="2177">
        <v>74101600</v>
      </c>
      <c r="O178" s="2178" t="s">
        <v>3882</v>
      </c>
      <c r="P178" s="2179">
        <v>0</v>
      </c>
      <c r="Q178" s="2179">
        <v>0</v>
      </c>
      <c r="R178" s="2179">
        <v>0</v>
      </c>
      <c r="S178" s="2179">
        <v>0</v>
      </c>
      <c r="T178" s="2179">
        <v>0</v>
      </c>
      <c r="U178" s="2179">
        <v>0</v>
      </c>
      <c r="V178" s="2179">
        <v>0</v>
      </c>
      <c r="W178" s="2179">
        <v>0</v>
      </c>
      <c r="X178" s="2179">
        <v>0</v>
      </c>
      <c r="Z178" s="2177">
        <v>74101700</v>
      </c>
      <c r="AA178" s="2178" t="s">
        <v>3883</v>
      </c>
      <c r="AB178" s="2179">
        <v>0</v>
      </c>
      <c r="AC178" s="2179">
        <v>0</v>
      </c>
      <c r="AD178" s="2179">
        <v>0</v>
      </c>
      <c r="AE178" s="2179">
        <v>0</v>
      </c>
      <c r="AF178" s="2179">
        <v>0</v>
      </c>
      <c r="AG178" s="2179">
        <v>0</v>
      </c>
      <c r="AH178" s="2179">
        <v>0</v>
      </c>
      <c r="AI178" s="2179">
        <v>0</v>
      </c>
      <c r="AJ178" s="2179">
        <v>0</v>
      </c>
      <c r="AL178" s="1078">
        <v>74101700</v>
      </c>
      <c r="AM178" s="1079" t="s">
        <v>2599</v>
      </c>
      <c r="AN178" s="1080">
        <v>0</v>
      </c>
      <c r="AO178" s="1080">
        <v>0</v>
      </c>
      <c r="AP178" s="1080">
        <v>0</v>
      </c>
      <c r="AQ178" s="1080">
        <v>0</v>
      </c>
      <c r="AR178" s="1080">
        <v>0</v>
      </c>
      <c r="AS178" s="1080">
        <v>0</v>
      </c>
      <c r="AT178" s="1080">
        <v>0</v>
      </c>
      <c r="AU178" s="1080">
        <v>0</v>
      </c>
      <c r="AV178" s="1080">
        <v>0</v>
      </c>
      <c r="AW178" s="1073"/>
      <c r="AX178" s="1074">
        <v>0</v>
      </c>
      <c r="AZ178" s="1078">
        <v>74101700</v>
      </c>
      <c r="BA178" s="1079" t="s">
        <v>2599</v>
      </c>
      <c r="BB178" s="1080">
        <v>0</v>
      </c>
      <c r="BC178" s="1080">
        <v>0</v>
      </c>
      <c r="BD178" s="1080">
        <v>0</v>
      </c>
      <c r="BE178" s="1080">
        <v>0</v>
      </c>
      <c r="BF178" s="1080">
        <v>0</v>
      </c>
      <c r="BG178" s="1080">
        <v>0</v>
      </c>
      <c r="BH178" s="1080">
        <v>0</v>
      </c>
      <c r="BI178" s="1080">
        <v>0</v>
      </c>
      <c r="BJ178" s="1080">
        <v>0</v>
      </c>
      <c r="BK178" s="1073"/>
      <c r="BL178" s="1074">
        <v>0</v>
      </c>
      <c r="BN178" s="1078">
        <v>74110100</v>
      </c>
      <c r="BO178" s="1079" t="s">
        <v>2601</v>
      </c>
      <c r="BP178" s="1080">
        <v>781200000</v>
      </c>
      <c r="BQ178" s="1080">
        <v>0</v>
      </c>
      <c r="BR178" s="1080">
        <v>62398000</v>
      </c>
      <c r="BS178" s="1080">
        <v>0</v>
      </c>
      <c r="BT178" s="1080">
        <v>0</v>
      </c>
      <c r="BU178" s="1080">
        <v>843598000</v>
      </c>
      <c r="BV178" s="1080">
        <v>0</v>
      </c>
      <c r="BW178" s="1080">
        <v>0</v>
      </c>
      <c r="BX178" s="1080">
        <v>843598000</v>
      </c>
      <c r="BY178" s="1073"/>
      <c r="BZ178" s="1074">
        <v>843598000</v>
      </c>
      <c r="CB178" s="1078">
        <v>74110200</v>
      </c>
      <c r="CC178" s="1079" t="s">
        <v>2602</v>
      </c>
      <c r="CD178" s="1080">
        <v>28548920648</v>
      </c>
      <c r="CE178" s="1080">
        <v>0</v>
      </c>
      <c r="CF178" s="1080">
        <v>0</v>
      </c>
      <c r="CG178" s="1080">
        <v>0</v>
      </c>
      <c r="CH178" s="1080">
        <v>0</v>
      </c>
      <c r="CI178" s="1080">
        <v>0</v>
      </c>
      <c r="CJ178" s="1080">
        <v>0</v>
      </c>
      <c r="CK178" s="1080">
        <v>28548920648</v>
      </c>
      <c r="CL178" s="1080">
        <v>0</v>
      </c>
      <c r="CM178" s="1080">
        <v>2629870654</v>
      </c>
      <c r="CN178" s="1080">
        <v>25919049994</v>
      </c>
      <c r="CO178" s="1073"/>
      <c r="CP178" s="1074">
        <v>25919049994</v>
      </c>
    </row>
    <row r="179" spans="2:94">
      <c r="B179" s="1078">
        <v>74101700</v>
      </c>
      <c r="C179" s="1079" t="s">
        <v>2599</v>
      </c>
      <c r="D179" s="1080">
        <v>0</v>
      </c>
      <c r="E179" s="1080">
        <v>0</v>
      </c>
      <c r="F179" s="1080">
        <v>0</v>
      </c>
      <c r="G179" s="1080">
        <v>0</v>
      </c>
      <c r="H179" s="1080">
        <v>0</v>
      </c>
      <c r="I179" s="1080">
        <v>0</v>
      </c>
      <c r="J179" s="1080">
        <v>0</v>
      </c>
      <c r="K179" s="1080">
        <v>0</v>
      </c>
      <c r="L179" s="1080">
        <v>0</v>
      </c>
      <c r="N179" s="2177">
        <v>74101700</v>
      </c>
      <c r="O179" s="2178" t="s">
        <v>3883</v>
      </c>
      <c r="P179" s="2179">
        <v>0</v>
      </c>
      <c r="Q179" s="2179">
        <v>0</v>
      </c>
      <c r="R179" s="2179">
        <v>0</v>
      </c>
      <c r="S179" s="2179">
        <v>0</v>
      </c>
      <c r="T179" s="2179">
        <v>0</v>
      </c>
      <c r="U179" s="2179">
        <v>0</v>
      </c>
      <c r="V179" s="2179">
        <v>0</v>
      </c>
      <c r="W179" s="2179">
        <v>0</v>
      </c>
      <c r="X179" s="2179">
        <v>0</v>
      </c>
      <c r="Z179" s="2174">
        <v>74110000</v>
      </c>
      <c r="AA179" s="2175" t="s">
        <v>2600</v>
      </c>
      <c r="AB179" s="2176">
        <v>21303026346</v>
      </c>
      <c r="AC179" s="2176">
        <v>0</v>
      </c>
      <c r="AD179" s="2176">
        <v>52872900</v>
      </c>
      <c r="AE179" s="2176">
        <v>0</v>
      </c>
      <c r="AF179" s="2176">
        <v>0</v>
      </c>
      <c r="AG179" s="2176">
        <v>21355899246</v>
      </c>
      <c r="AH179" s="2176">
        <v>0</v>
      </c>
      <c r="AI179" s="2176">
        <v>0</v>
      </c>
      <c r="AJ179" s="2176">
        <v>21355899246</v>
      </c>
      <c r="AL179" s="1075">
        <v>74110000</v>
      </c>
      <c r="AM179" s="1076" t="s">
        <v>2600</v>
      </c>
      <c r="AN179" s="1077">
        <v>7318589168</v>
      </c>
      <c r="AO179" s="1077">
        <v>0</v>
      </c>
      <c r="AP179" s="1077">
        <v>37350000</v>
      </c>
      <c r="AQ179" s="1077">
        <v>0</v>
      </c>
      <c r="AR179" s="1077">
        <v>0</v>
      </c>
      <c r="AS179" s="1077">
        <v>7355939168</v>
      </c>
      <c r="AT179" s="1077">
        <v>0</v>
      </c>
      <c r="AU179" s="1077">
        <v>0</v>
      </c>
      <c r="AV179" s="1077">
        <v>7355939168</v>
      </c>
      <c r="AW179" s="1073"/>
      <c r="AX179" s="1074"/>
      <c r="AZ179" s="1075">
        <v>74110000</v>
      </c>
      <c r="BA179" s="1076" t="s">
        <v>2600</v>
      </c>
      <c r="BB179" s="1077">
        <v>13222071633</v>
      </c>
      <c r="BC179" s="1077">
        <v>0</v>
      </c>
      <c r="BD179" s="1077">
        <v>70774000</v>
      </c>
      <c r="BE179" s="1077">
        <v>0</v>
      </c>
      <c r="BF179" s="1077">
        <v>0</v>
      </c>
      <c r="BG179" s="1077">
        <v>13292845633</v>
      </c>
      <c r="BH179" s="1077">
        <v>0</v>
      </c>
      <c r="BI179" s="1077">
        <v>0</v>
      </c>
      <c r="BJ179" s="1077">
        <v>13292845633</v>
      </c>
      <c r="BK179" s="1073"/>
      <c r="BL179" s="1074"/>
      <c r="BN179" s="1078">
        <v>74110200</v>
      </c>
      <c r="BO179" s="1079" t="s">
        <v>2602</v>
      </c>
      <c r="BP179" s="1080">
        <v>2201079792</v>
      </c>
      <c r="BQ179" s="1080">
        <v>0</v>
      </c>
      <c r="BR179" s="1080">
        <v>0</v>
      </c>
      <c r="BS179" s="1080">
        <v>0</v>
      </c>
      <c r="BT179" s="1080">
        <v>0</v>
      </c>
      <c r="BU179" s="1080">
        <v>2201079792</v>
      </c>
      <c r="BV179" s="1080">
        <v>0</v>
      </c>
      <c r="BW179" s="1080">
        <v>0</v>
      </c>
      <c r="BX179" s="1080">
        <v>2201079792</v>
      </c>
      <c r="BY179" s="1073"/>
      <c r="BZ179" s="1074">
        <v>2201079792</v>
      </c>
      <c r="CB179" s="1078">
        <v>74110300</v>
      </c>
      <c r="CC179" s="1079" t="s">
        <v>2603</v>
      </c>
      <c r="CD179" s="1080">
        <v>24714042149</v>
      </c>
      <c r="CE179" s="1080">
        <v>0</v>
      </c>
      <c r="CF179" s="1080">
        <v>0</v>
      </c>
      <c r="CG179" s="1080">
        <v>0</v>
      </c>
      <c r="CH179" s="1080">
        <v>0</v>
      </c>
      <c r="CI179" s="1080">
        <v>185801</v>
      </c>
      <c r="CJ179" s="1080">
        <v>0</v>
      </c>
      <c r="CK179" s="1080">
        <v>24714227950</v>
      </c>
      <c r="CL179" s="1080">
        <v>0</v>
      </c>
      <c r="CM179" s="1080">
        <v>0</v>
      </c>
      <c r="CN179" s="1080">
        <v>24714227950</v>
      </c>
      <c r="CO179" s="1073"/>
      <c r="CP179" s="1074">
        <v>24714227950</v>
      </c>
    </row>
    <row r="180" spans="2:94">
      <c r="B180" s="1075">
        <v>74110000</v>
      </c>
      <c r="C180" s="1076" t="s">
        <v>2600</v>
      </c>
      <c r="D180" s="1077">
        <v>5314154723</v>
      </c>
      <c r="E180" s="1077">
        <v>0</v>
      </c>
      <c r="F180" s="1077">
        <v>48270000</v>
      </c>
      <c r="G180" s="1077">
        <v>0</v>
      </c>
      <c r="H180" s="1077">
        <v>0</v>
      </c>
      <c r="I180" s="1077">
        <v>5362424723</v>
      </c>
      <c r="J180" s="1077">
        <v>0</v>
      </c>
      <c r="K180" s="1077">
        <v>0</v>
      </c>
      <c r="L180" s="1077">
        <v>5362424723</v>
      </c>
      <c r="N180" s="2174">
        <v>74110000</v>
      </c>
      <c r="O180" s="2175" t="s">
        <v>2600</v>
      </c>
      <c r="P180" s="2176">
        <v>1924483816</v>
      </c>
      <c r="Q180" s="2176">
        <v>0</v>
      </c>
      <c r="R180" s="2176">
        <v>27320000</v>
      </c>
      <c r="S180" s="2176">
        <v>0</v>
      </c>
      <c r="T180" s="2176">
        <v>0</v>
      </c>
      <c r="U180" s="2176">
        <v>1951803816</v>
      </c>
      <c r="V180" s="2176">
        <v>0</v>
      </c>
      <c r="W180" s="2176">
        <v>0</v>
      </c>
      <c r="X180" s="2176">
        <v>1951803816</v>
      </c>
      <c r="Z180" s="2177">
        <v>74110100</v>
      </c>
      <c r="AA180" s="2178" t="s">
        <v>2601</v>
      </c>
      <c r="AB180" s="2179">
        <v>2106678000</v>
      </c>
      <c r="AC180" s="2179">
        <v>0</v>
      </c>
      <c r="AD180" s="2179">
        <v>52872900</v>
      </c>
      <c r="AE180" s="2179">
        <v>0</v>
      </c>
      <c r="AF180" s="2179">
        <v>0</v>
      </c>
      <c r="AG180" s="2179">
        <v>2159550900</v>
      </c>
      <c r="AH180" s="2179">
        <v>0</v>
      </c>
      <c r="AI180" s="2179">
        <v>0</v>
      </c>
      <c r="AJ180" s="2179">
        <v>2159550900</v>
      </c>
      <c r="AL180" s="1078">
        <v>74110100</v>
      </c>
      <c r="AM180" s="1079" t="s">
        <v>2601</v>
      </c>
      <c r="AN180" s="1080">
        <v>2047258000</v>
      </c>
      <c r="AO180" s="1080">
        <v>0</v>
      </c>
      <c r="AP180" s="1080">
        <v>37350000</v>
      </c>
      <c r="AQ180" s="1080">
        <v>0</v>
      </c>
      <c r="AR180" s="1080">
        <v>0</v>
      </c>
      <c r="AS180" s="1080">
        <v>2084608000</v>
      </c>
      <c r="AT180" s="1080">
        <v>0</v>
      </c>
      <c r="AU180" s="1080">
        <v>0</v>
      </c>
      <c r="AV180" s="1080">
        <v>2084608000</v>
      </c>
      <c r="AW180" s="1073"/>
      <c r="AX180" s="1074">
        <v>2084608000</v>
      </c>
      <c r="AZ180" s="1078">
        <v>74110100</v>
      </c>
      <c r="BA180" s="1079" t="s">
        <v>2601</v>
      </c>
      <c r="BB180" s="1080">
        <v>859132063</v>
      </c>
      <c r="BC180" s="1080">
        <v>0</v>
      </c>
      <c r="BD180" s="1080">
        <v>70774000</v>
      </c>
      <c r="BE180" s="1080">
        <v>0</v>
      </c>
      <c r="BF180" s="1080">
        <v>0</v>
      </c>
      <c r="BG180" s="1080">
        <v>929906063</v>
      </c>
      <c r="BH180" s="1080">
        <v>0</v>
      </c>
      <c r="BI180" s="1080">
        <v>0</v>
      </c>
      <c r="BJ180" s="1080">
        <v>929906063</v>
      </c>
      <c r="BK180" s="1073"/>
      <c r="BL180" s="1074">
        <v>929906063</v>
      </c>
      <c r="BN180" s="1078">
        <v>74110300</v>
      </c>
      <c r="BO180" s="1079" t="s">
        <v>2603</v>
      </c>
      <c r="BP180" s="1080">
        <v>283568938</v>
      </c>
      <c r="BQ180" s="1080">
        <v>0</v>
      </c>
      <c r="BR180" s="1080">
        <v>0</v>
      </c>
      <c r="BS180" s="1080">
        <v>0</v>
      </c>
      <c r="BT180" s="1080">
        <v>2136849</v>
      </c>
      <c r="BU180" s="1080">
        <v>285705787</v>
      </c>
      <c r="BV180" s="1080">
        <v>0</v>
      </c>
      <c r="BW180" s="1080">
        <v>0</v>
      </c>
      <c r="BX180" s="1080">
        <v>285705787</v>
      </c>
      <c r="BY180" s="1073"/>
      <c r="BZ180" s="1074">
        <v>285705787</v>
      </c>
      <c r="CB180" s="1078">
        <v>74110400</v>
      </c>
      <c r="CC180" s="1079" t="s">
        <v>2604</v>
      </c>
      <c r="CD180" s="1080">
        <v>0</v>
      </c>
      <c r="CE180" s="1080">
        <v>0</v>
      </c>
      <c r="CF180" s="1080">
        <v>0</v>
      </c>
      <c r="CG180" s="1080">
        <v>0</v>
      </c>
      <c r="CH180" s="1080">
        <v>0</v>
      </c>
      <c r="CI180" s="1080">
        <v>0</v>
      </c>
      <c r="CJ180" s="1080">
        <v>0</v>
      </c>
      <c r="CK180" s="1080">
        <v>0</v>
      </c>
      <c r="CL180" s="1080">
        <v>4777235474</v>
      </c>
      <c r="CM180" s="1080">
        <v>3357918586</v>
      </c>
      <c r="CN180" s="1080">
        <v>1419316888</v>
      </c>
      <c r="CO180" s="1073"/>
      <c r="CP180" s="1074">
        <v>1419316888</v>
      </c>
    </row>
    <row r="181" spans="2:94">
      <c r="B181" s="1078">
        <v>74110100</v>
      </c>
      <c r="C181" s="1079" t="s">
        <v>2601</v>
      </c>
      <c r="D181" s="1080">
        <v>86801000</v>
      </c>
      <c r="E181" s="1080">
        <v>0</v>
      </c>
      <c r="F181" s="1080">
        <v>48270000</v>
      </c>
      <c r="G181" s="1080">
        <v>0</v>
      </c>
      <c r="H181" s="1080">
        <v>0</v>
      </c>
      <c r="I181" s="1080">
        <v>135071000</v>
      </c>
      <c r="J181" s="1080">
        <v>0</v>
      </c>
      <c r="K181" s="1080">
        <v>0</v>
      </c>
      <c r="L181" s="1080">
        <v>135071000</v>
      </c>
      <c r="N181" s="2177">
        <v>74110100</v>
      </c>
      <c r="O181" s="2178" t="s">
        <v>2601</v>
      </c>
      <c r="P181" s="2179">
        <v>36701000</v>
      </c>
      <c r="Q181" s="2179">
        <v>0</v>
      </c>
      <c r="R181" s="2179">
        <v>27320000</v>
      </c>
      <c r="S181" s="2179">
        <v>0</v>
      </c>
      <c r="T181" s="2179">
        <v>0</v>
      </c>
      <c r="U181" s="2179">
        <v>64021000</v>
      </c>
      <c r="V181" s="2179">
        <v>0</v>
      </c>
      <c r="W181" s="2179">
        <v>0</v>
      </c>
      <c r="X181" s="2179">
        <v>64021000</v>
      </c>
      <c r="Z181" s="2177">
        <v>74110200</v>
      </c>
      <c r="AA181" s="2178" t="s">
        <v>3884</v>
      </c>
      <c r="AB181" s="2179">
        <v>4364931463</v>
      </c>
      <c r="AC181" s="2179">
        <v>0</v>
      </c>
      <c r="AD181" s="2179">
        <v>0</v>
      </c>
      <c r="AE181" s="2179">
        <v>0</v>
      </c>
      <c r="AF181" s="2179">
        <v>0</v>
      </c>
      <c r="AG181" s="2179">
        <v>4364931463</v>
      </c>
      <c r="AH181" s="2179">
        <v>0</v>
      </c>
      <c r="AI181" s="2179">
        <v>0</v>
      </c>
      <c r="AJ181" s="2179">
        <v>4364931463</v>
      </c>
      <c r="AL181" s="1078">
        <v>74110200</v>
      </c>
      <c r="AM181" s="1079" t="s">
        <v>2602</v>
      </c>
      <c r="AN181" s="1080">
        <v>0</v>
      </c>
      <c r="AO181" s="1080">
        <v>0</v>
      </c>
      <c r="AP181" s="1080">
        <v>0</v>
      </c>
      <c r="AQ181" s="1080">
        <v>0</v>
      </c>
      <c r="AR181" s="1080">
        <v>0</v>
      </c>
      <c r="AS181" s="1080">
        <v>0</v>
      </c>
      <c r="AT181" s="1080">
        <v>0</v>
      </c>
      <c r="AU181" s="1080">
        <v>0</v>
      </c>
      <c r="AV181" s="1080">
        <v>0</v>
      </c>
      <c r="AW181" s="1073"/>
      <c r="AX181" s="1074">
        <v>0</v>
      </c>
      <c r="AZ181" s="1078">
        <v>74110200</v>
      </c>
      <c r="BA181" s="1079" t="s">
        <v>2602</v>
      </c>
      <c r="BB181" s="1080">
        <v>536477778</v>
      </c>
      <c r="BC181" s="1080">
        <v>0</v>
      </c>
      <c r="BD181" s="1080">
        <v>0</v>
      </c>
      <c r="BE181" s="1080">
        <v>0</v>
      </c>
      <c r="BF181" s="1080">
        <v>0</v>
      </c>
      <c r="BG181" s="1080">
        <v>536477778</v>
      </c>
      <c r="BH181" s="1080">
        <v>0</v>
      </c>
      <c r="BI181" s="1080">
        <v>0</v>
      </c>
      <c r="BJ181" s="1080">
        <v>536477778</v>
      </c>
      <c r="BK181" s="1073"/>
      <c r="BL181" s="1074">
        <v>536477778</v>
      </c>
      <c r="BN181" s="1078">
        <v>74110400</v>
      </c>
      <c r="BO181" s="1079" t="s">
        <v>2604</v>
      </c>
      <c r="BP181" s="1080">
        <v>0</v>
      </c>
      <c r="BQ181" s="1080">
        <v>0</v>
      </c>
      <c r="BR181" s="1080">
        <v>0</v>
      </c>
      <c r="BS181" s="1080">
        <v>0</v>
      </c>
      <c r="BT181" s="1080">
        <v>0</v>
      </c>
      <c r="BU181" s="1080">
        <v>0</v>
      </c>
      <c r="BV181" s="1080">
        <v>0</v>
      </c>
      <c r="BW181" s="1080">
        <v>-1565359803</v>
      </c>
      <c r="BX181" s="1080">
        <v>1565359803</v>
      </c>
      <c r="BY181" s="1073"/>
      <c r="BZ181" s="1074">
        <v>1565359803</v>
      </c>
      <c r="CB181" s="1078">
        <v>74110800</v>
      </c>
      <c r="CC181" s="1079" t="s">
        <v>2605</v>
      </c>
      <c r="CD181" s="1080">
        <v>121196119</v>
      </c>
      <c r="CE181" s="1080">
        <v>0</v>
      </c>
      <c r="CF181" s="1080">
        <v>0</v>
      </c>
      <c r="CG181" s="1080">
        <v>0</v>
      </c>
      <c r="CH181" s="1080">
        <v>0</v>
      </c>
      <c r="CI181" s="1080">
        <v>0</v>
      </c>
      <c r="CJ181" s="1080">
        <v>0</v>
      </c>
      <c r="CK181" s="1080">
        <v>121196119</v>
      </c>
      <c r="CL181" s="1080">
        <v>0</v>
      </c>
      <c r="CM181" s="1080">
        <v>0</v>
      </c>
      <c r="CN181" s="1080">
        <v>121196119</v>
      </c>
      <c r="CO181" s="1073"/>
      <c r="CP181" s="1074">
        <v>121196119</v>
      </c>
    </row>
    <row r="182" spans="2:94">
      <c r="B182" s="1078">
        <v>74110200</v>
      </c>
      <c r="C182" s="1079" t="s">
        <v>2602</v>
      </c>
      <c r="D182" s="1080">
        <v>0</v>
      </c>
      <c r="E182" s="1080">
        <v>0</v>
      </c>
      <c r="F182" s="1080">
        <v>0</v>
      </c>
      <c r="G182" s="1080">
        <v>0</v>
      </c>
      <c r="H182" s="1080">
        <v>0</v>
      </c>
      <c r="I182" s="1080">
        <v>0</v>
      </c>
      <c r="J182" s="1080">
        <v>0</v>
      </c>
      <c r="K182" s="1080">
        <v>0</v>
      </c>
      <c r="L182" s="1080">
        <v>0</v>
      </c>
      <c r="N182" s="2177">
        <v>74110200</v>
      </c>
      <c r="O182" s="2178" t="s">
        <v>3884</v>
      </c>
      <c r="P182" s="2179">
        <v>0</v>
      </c>
      <c r="Q182" s="2179">
        <v>0</v>
      </c>
      <c r="R182" s="2179">
        <v>0</v>
      </c>
      <c r="S182" s="2179">
        <v>0</v>
      </c>
      <c r="T182" s="2179">
        <v>0</v>
      </c>
      <c r="U182" s="2179">
        <v>0</v>
      </c>
      <c r="V182" s="2179">
        <v>0</v>
      </c>
      <c r="W182" s="2179">
        <v>0</v>
      </c>
      <c r="X182" s="2179">
        <v>0</v>
      </c>
      <c r="Z182" s="2177">
        <v>74110300</v>
      </c>
      <c r="AA182" s="2178" t="s">
        <v>3885</v>
      </c>
      <c r="AB182" s="2179">
        <v>9561602616</v>
      </c>
      <c r="AC182" s="2179">
        <v>0</v>
      </c>
      <c r="AD182" s="2179">
        <v>0</v>
      </c>
      <c r="AE182" s="2179">
        <v>0</v>
      </c>
      <c r="AF182" s="2179">
        <v>0</v>
      </c>
      <c r="AG182" s="2179">
        <v>9561602616</v>
      </c>
      <c r="AH182" s="2179">
        <v>0</v>
      </c>
      <c r="AI182" s="2179">
        <v>0</v>
      </c>
      <c r="AJ182" s="2179">
        <v>9561602616</v>
      </c>
      <c r="AL182" s="1078">
        <v>74110300</v>
      </c>
      <c r="AM182" s="1079" t="s">
        <v>2603</v>
      </c>
      <c r="AN182" s="1080">
        <v>1516901</v>
      </c>
      <c r="AO182" s="1080">
        <v>0</v>
      </c>
      <c r="AP182" s="1080">
        <v>0</v>
      </c>
      <c r="AQ182" s="1080">
        <v>0</v>
      </c>
      <c r="AR182" s="1080">
        <v>0</v>
      </c>
      <c r="AS182" s="1080">
        <v>1516901</v>
      </c>
      <c r="AT182" s="1080">
        <v>0</v>
      </c>
      <c r="AU182" s="1080">
        <v>0</v>
      </c>
      <c r="AV182" s="1080">
        <v>1516901</v>
      </c>
      <c r="AW182" s="1073"/>
      <c r="AX182" s="1074">
        <v>1516901</v>
      </c>
      <c r="AZ182" s="1078">
        <v>74110300</v>
      </c>
      <c r="BA182" s="1079" t="s">
        <v>2603</v>
      </c>
      <c r="BB182" s="1080">
        <v>0</v>
      </c>
      <c r="BC182" s="1080">
        <v>0</v>
      </c>
      <c r="BD182" s="1080">
        <v>0</v>
      </c>
      <c r="BE182" s="1080">
        <v>0</v>
      </c>
      <c r="BF182" s="1080">
        <v>0</v>
      </c>
      <c r="BG182" s="1080">
        <v>0</v>
      </c>
      <c r="BH182" s="1080">
        <v>0</v>
      </c>
      <c r="BI182" s="1080">
        <v>0</v>
      </c>
      <c r="BJ182" s="1080">
        <v>0</v>
      </c>
      <c r="BK182" s="1073"/>
      <c r="BL182" s="1074">
        <v>0</v>
      </c>
      <c r="BN182" s="1078">
        <v>74110800</v>
      </c>
      <c r="BO182" s="1079" t="s">
        <v>2605</v>
      </c>
      <c r="BP182" s="1080">
        <v>0</v>
      </c>
      <c r="BQ182" s="1080">
        <v>0</v>
      </c>
      <c r="BR182" s="1080">
        <v>0</v>
      </c>
      <c r="BS182" s="1080">
        <v>0</v>
      </c>
      <c r="BT182" s="1080">
        <v>0</v>
      </c>
      <c r="BU182" s="1080">
        <v>0</v>
      </c>
      <c r="BV182" s="1080">
        <v>0</v>
      </c>
      <c r="BW182" s="1080">
        <v>0</v>
      </c>
      <c r="BX182" s="1080">
        <v>0</v>
      </c>
      <c r="BY182" s="1073"/>
      <c r="BZ182" s="1074">
        <v>0</v>
      </c>
      <c r="CB182" s="1078">
        <v>74110900</v>
      </c>
      <c r="CC182" s="1079" t="s">
        <v>2606</v>
      </c>
      <c r="CD182" s="1080">
        <v>3111271544</v>
      </c>
      <c r="CE182" s="1080">
        <v>0</v>
      </c>
      <c r="CF182" s="1080">
        <v>0</v>
      </c>
      <c r="CG182" s="1080">
        <v>58120845</v>
      </c>
      <c r="CH182" s="1080">
        <v>0</v>
      </c>
      <c r="CI182" s="1080">
        <v>0</v>
      </c>
      <c r="CJ182" s="1080">
        <v>0</v>
      </c>
      <c r="CK182" s="1080">
        <v>3169392389</v>
      </c>
      <c r="CL182" s="1080">
        <v>0</v>
      </c>
      <c r="CM182" s="1080">
        <v>0</v>
      </c>
      <c r="CN182" s="1080">
        <v>3169392389</v>
      </c>
      <c r="CO182" s="1073"/>
      <c r="CP182" s="1074">
        <v>3169392389</v>
      </c>
    </row>
    <row r="183" spans="2:94">
      <c r="B183" s="1078">
        <v>74110300</v>
      </c>
      <c r="C183" s="1079" t="s">
        <v>2603</v>
      </c>
      <c r="D183" s="1080">
        <v>632701</v>
      </c>
      <c r="E183" s="1080">
        <v>0</v>
      </c>
      <c r="F183" s="1080">
        <v>0</v>
      </c>
      <c r="G183" s="1080">
        <v>0</v>
      </c>
      <c r="H183" s="1080">
        <v>0</v>
      </c>
      <c r="I183" s="1080">
        <v>632701</v>
      </c>
      <c r="J183" s="1080">
        <v>0</v>
      </c>
      <c r="K183" s="1080">
        <v>0</v>
      </c>
      <c r="L183" s="1080">
        <v>632701</v>
      </c>
      <c r="N183" s="2177">
        <v>74110300</v>
      </c>
      <c r="O183" s="2178" t="s">
        <v>3885</v>
      </c>
      <c r="P183" s="2179">
        <v>504391</v>
      </c>
      <c r="Q183" s="2179">
        <v>0</v>
      </c>
      <c r="R183" s="2179">
        <v>0</v>
      </c>
      <c r="S183" s="2179">
        <v>0</v>
      </c>
      <c r="T183" s="2179">
        <v>0</v>
      </c>
      <c r="U183" s="2179">
        <v>504391</v>
      </c>
      <c r="V183" s="2179">
        <v>0</v>
      </c>
      <c r="W183" s="2179">
        <v>0</v>
      </c>
      <c r="X183" s="2179">
        <v>504391</v>
      </c>
      <c r="Z183" s="2177">
        <v>74110400</v>
      </c>
      <c r="AA183" s="2178" t="s">
        <v>3886</v>
      </c>
      <c r="AB183" s="2179">
        <v>0</v>
      </c>
      <c r="AC183" s="2179">
        <v>0</v>
      </c>
      <c r="AD183" s="2179">
        <v>0</v>
      </c>
      <c r="AE183" s="2179">
        <v>0</v>
      </c>
      <c r="AF183" s="2179">
        <v>0</v>
      </c>
      <c r="AG183" s="2179">
        <v>0</v>
      </c>
      <c r="AH183" s="2179">
        <v>0</v>
      </c>
      <c r="AI183" s="2179">
        <v>0</v>
      </c>
      <c r="AJ183" s="2179">
        <v>0</v>
      </c>
      <c r="AL183" s="1078">
        <v>74110400</v>
      </c>
      <c r="AM183" s="1079" t="s">
        <v>2604</v>
      </c>
      <c r="AN183" s="1080">
        <v>0</v>
      </c>
      <c r="AO183" s="1080">
        <v>0</v>
      </c>
      <c r="AP183" s="1080">
        <v>0</v>
      </c>
      <c r="AQ183" s="1080">
        <v>0</v>
      </c>
      <c r="AR183" s="1080">
        <v>0</v>
      </c>
      <c r="AS183" s="1080">
        <v>0</v>
      </c>
      <c r="AT183" s="1080">
        <v>0</v>
      </c>
      <c r="AU183" s="1080">
        <v>0</v>
      </c>
      <c r="AV183" s="1080">
        <v>0</v>
      </c>
      <c r="AW183" s="1073"/>
      <c r="AX183" s="1074">
        <v>0</v>
      </c>
      <c r="AZ183" s="1078">
        <v>74110400</v>
      </c>
      <c r="BA183" s="1079" t="s">
        <v>2604</v>
      </c>
      <c r="BB183" s="1080">
        <v>0</v>
      </c>
      <c r="BC183" s="1080">
        <v>0</v>
      </c>
      <c r="BD183" s="1080">
        <v>0</v>
      </c>
      <c r="BE183" s="1080">
        <v>0</v>
      </c>
      <c r="BF183" s="1080">
        <v>0</v>
      </c>
      <c r="BG183" s="1080">
        <v>0</v>
      </c>
      <c r="BH183" s="1080">
        <v>0</v>
      </c>
      <c r="BI183" s="1080">
        <v>0</v>
      </c>
      <c r="BJ183" s="1080">
        <v>0</v>
      </c>
      <c r="BK183" s="1073"/>
      <c r="BL183" s="1074">
        <v>0</v>
      </c>
      <c r="BN183" s="1078">
        <v>74110900</v>
      </c>
      <c r="BO183" s="1079" t="s">
        <v>2606</v>
      </c>
      <c r="BP183" s="1080">
        <v>5026967312</v>
      </c>
      <c r="BQ183" s="1080">
        <v>0</v>
      </c>
      <c r="BR183" s="1080">
        <v>0</v>
      </c>
      <c r="BS183" s="1080">
        <v>0</v>
      </c>
      <c r="BT183" s="1080">
        <v>0</v>
      </c>
      <c r="BU183" s="1080">
        <v>5026967312</v>
      </c>
      <c r="BV183" s="1080">
        <v>0</v>
      </c>
      <c r="BW183" s="1080">
        <v>0</v>
      </c>
      <c r="BX183" s="1080">
        <v>5026967312</v>
      </c>
      <c r="BY183" s="1073"/>
      <c r="BZ183" s="1074">
        <v>5026967312</v>
      </c>
      <c r="CB183" s="1078">
        <v>74111000</v>
      </c>
      <c r="CC183" s="1079" t="s">
        <v>2607</v>
      </c>
      <c r="CD183" s="1080">
        <v>0</v>
      </c>
      <c r="CE183" s="1080">
        <v>0</v>
      </c>
      <c r="CF183" s="1080">
        <v>0</v>
      </c>
      <c r="CG183" s="1080">
        <v>0</v>
      </c>
      <c r="CH183" s="1080">
        <v>0</v>
      </c>
      <c r="CI183" s="1080">
        <v>0</v>
      </c>
      <c r="CJ183" s="1080">
        <v>0</v>
      </c>
      <c r="CK183" s="1080">
        <v>0</v>
      </c>
      <c r="CL183" s="1080">
        <v>0</v>
      </c>
      <c r="CM183" s="1080">
        <v>0</v>
      </c>
      <c r="CN183" s="1080">
        <v>0</v>
      </c>
      <c r="CO183" s="1073"/>
      <c r="CP183" s="1074">
        <v>0</v>
      </c>
    </row>
    <row r="184" spans="2:94">
      <c r="B184" s="1078">
        <v>74110400</v>
      </c>
      <c r="C184" s="1079" t="s">
        <v>2604</v>
      </c>
      <c r="D184" s="1080">
        <v>0</v>
      </c>
      <c r="E184" s="1080">
        <v>0</v>
      </c>
      <c r="F184" s="1080">
        <v>0</v>
      </c>
      <c r="G184" s="1080">
        <v>0</v>
      </c>
      <c r="H184" s="1080">
        <v>0</v>
      </c>
      <c r="I184" s="1080">
        <v>0</v>
      </c>
      <c r="J184" s="1080">
        <v>0</v>
      </c>
      <c r="K184" s="1080">
        <v>0</v>
      </c>
      <c r="L184" s="1080">
        <v>0</v>
      </c>
      <c r="N184" s="2177">
        <v>74110400</v>
      </c>
      <c r="O184" s="2178" t="s">
        <v>3886</v>
      </c>
      <c r="P184" s="2179">
        <v>0</v>
      </c>
      <c r="Q184" s="2179">
        <v>0</v>
      </c>
      <c r="R184" s="2179">
        <v>0</v>
      </c>
      <c r="S184" s="2179">
        <v>0</v>
      </c>
      <c r="T184" s="2179">
        <v>0</v>
      </c>
      <c r="U184" s="2179">
        <v>0</v>
      </c>
      <c r="V184" s="2179">
        <v>0</v>
      </c>
      <c r="W184" s="2179">
        <v>0</v>
      </c>
      <c r="X184" s="2179">
        <v>0</v>
      </c>
      <c r="Z184" s="2177">
        <v>74110800</v>
      </c>
      <c r="AA184" s="2178" t="s">
        <v>3887</v>
      </c>
      <c r="AB184" s="2179">
        <v>0</v>
      </c>
      <c r="AC184" s="2179">
        <v>0</v>
      </c>
      <c r="AD184" s="2179">
        <v>0</v>
      </c>
      <c r="AE184" s="2179">
        <v>0</v>
      </c>
      <c r="AF184" s="2179">
        <v>0</v>
      </c>
      <c r="AG184" s="2179">
        <v>0</v>
      </c>
      <c r="AH184" s="2179">
        <v>0</v>
      </c>
      <c r="AI184" s="2179">
        <v>0</v>
      </c>
      <c r="AJ184" s="2179">
        <v>0</v>
      </c>
      <c r="AL184" s="1078">
        <v>74110800</v>
      </c>
      <c r="AM184" s="1079" t="s">
        <v>2605</v>
      </c>
      <c r="AN184" s="1080">
        <v>0</v>
      </c>
      <c r="AO184" s="1080">
        <v>0</v>
      </c>
      <c r="AP184" s="1080">
        <v>0</v>
      </c>
      <c r="AQ184" s="1080">
        <v>0</v>
      </c>
      <c r="AR184" s="1080">
        <v>0</v>
      </c>
      <c r="AS184" s="1080">
        <v>0</v>
      </c>
      <c r="AT184" s="1080">
        <v>0</v>
      </c>
      <c r="AU184" s="1080">
        <v>0</v>
      </c>
      <c r="AV184" s="1080">
        <v>0</v>
      </c>
      <c r="AW184" s="1073"/>
      <c r="AX184" s="1074">
        <v>0</v>
      </c>
      <c r="AZ184" s="1078">
        <v>74110800</v>
      </c>
      <c r="BA184" s="1079" t="s">
        <v>2605</v>
      </c>
      <c r="BB184" s="1080">
        <v>0</v>
      </c>
      <c r="BC184" s="1080">
        <v>0</v>
      </c>
      <c r="BD184" s="1080">
        <v>0</v>
      </c>
      <c r="BE184" s="1080">
        <v>0</v>
      </c>
      <c r="BF184" s="1080">
        <v>0</v>
      </c>
      <c r="BG184" s="1080">
        <v>0</v>
      </c>
      <c r="BH184" s="1080">
        <v>0</v>
      </c>
      <c r="BI184" s="1080">
        <v>0</v>
      </c>
      <c r="BJ184" s="1080">
        <v>0</v>
      </c>
      <c r="BK184" s="1073"/>
      <c r="BL184" s="1074">
        <v>0</v>
      </c>
      <c r="BN184" s="1078">
        <v>74111000</v>
      </c>
      <c r="BO184" s="1079" t="s">
        <v>2607</v>
      </c>
      <c r="BP184" s="1080">
        <v>0</v>
      </c>
      <c r="BQ184" s="1080">
        <v>0</v>
      </c>
      <c r="BR184" s="1080">
        <v>0</v>
      </c>
      <c r="BS184" s="1080">
        <v>0</v>
      </c>
      <c r="BT184" s="1080">
        <v>0</v>
      </c>
      <c r="BU184" s="1080">
        <v>0</v>
      </c>
      <c r="BV184" s="1080">
        <v>0</v>
      </c>
      <c r="BW184" s="1080">
        <v>0</v>
      </c>
      <c r="BX184" s="1080">
        <v>0</v>
      </c>
      <c r="BY184" s="1073"/>
      <c r="BZ184" s="1074">
        <v>0</v>
      </c>
      <c r="CB184" s="1078">
        <v>74111100</v>
      </c>
      <c r="CC184" s="1079" t="s">
        <v>2608</v>
      </c>
      <c r="CD184" s="1080">
        <v>0</v>
      </c>
      <c r="CE184" s="1080">
        <v>0</v>
      </c>
      <c r="CF184" s="1080">
        <v>0</v>
      </c>
      <c r="CG184" s="1080">
        <v>0</v>
      </c>
      <c r="CH184" s="1080">
        <v>0</v>
      </c>
      <c r="CI184" s="1080">
        <v>0</v>
      </c>
      <c r="CJ184" s="1080">
        <v>0</v>
      </c>
      <c r="CK184" s="1080">
        <v>0</v>
      </c>
      <c r="CL184" s="1080">
        <v>0</v>
      </c>
      <c r="CM184" s="1080">
        <v>0</v>
      </c>
      <c r="CN184" s="1080">
        <v>0</v>
      </c>
      <c r="CO184" s="1073"/>
      <c r="CP184" s="1074">
        <v>0</v>
      </c>
    </row>
    <row r="185" spans="2:94">
      <c r="B185" s="1078">
        <v>74110800</v>
      </c>
      <c r="C185" s="1079" t="s">
        <v>2605</v>
      </c>
      <c r="D185" s="1080">
        <v>2507719611</v>
      </c>
      <c r="E185" s="1080">
        <v>0</v>
      </c>
      <c r="F185" s="1080">
        <v>0</v>
      </c>
      <c r="G185" s="1080">
        <v>0</v>
      </c>
      <c r="H185" s="1080">
        <v>0</v>
      </c>
      <c r="I185" s="1080">
        <v>2507719611</v>
      </c>
      <c r="J185" s="1080">
        <v>0</v>
      </c>
      <c r="K185" s="1080">
        <v>0</v>
      </c>
      <c r="L185" s="1080">
        <v>2507719611</v>
      </c>
      <c r="N185" s="2177">
        <v>74110800</v>
      </c>
      <c r="O185" s="2178" t="s">
        <v>3887</v>
      </c>
      <c r="P185" s="2179">
        <v>754857592</v>
      </c>
      <c r="Q185" s="2179">
        <v>0</v>
      </c>
      <c r="R185" s="2179">
        <v>0</v>
      </c>
      <c r="S185" s="2179">
        <v>0</v>
      </c>
      <c r="T185" s="2179">
        <v>0</v>
      </c>
      <c r="U185" s="2179">
        <v>754857592</v>
      </c>
      <c r="V185" s="2179">
        <v>0</v>
      </c>
      <c r="W185" s="2179">
        <v>0</v>
      </c>
      <c r="X185" s="2179">
        <v>754857592</v>
      </c>
      <c r="Z185" s="2177">
        <v>74110900</v>
      </c>
      <c r="AA185" s="2178" t="s">
        <v>3888</v>
      </c>
      <c r="AB185" s="2179">
        <v>5455673047</v>
      </c>
      <c r="AC185" s="2179">
        <v>0</v>
      </c>
      <c r="AD185" s="2179">
        <v>0</v>
      </c>
      <c r="AE185" s="2179">
        <v>0</v>
      </c>
      <c r="AF185" s="2179">
        <v>0</v>
      </c>
      <c r="AG185" s="2179">
        <v>5455673047</v>
      </c>
      <c r="AH185" s="2179">
        <v>0</v>
      </c>
      <c r="AI185" s="2179">
        <v>0</v>
      </c>
      <c r="AJ185" s="2179">
        <v>5455673047</v>
      </c>
      <c r="AL185" s="1078">
        <v>74110900</v>
      </c>
      <c r="AM185" s="1079" t="s">
        <v>2606</v>
      </c>
      <c r="AN185" s="1080">
        <v>5455673047</v>
      </c>
      <c r="AO185" s="1080">
        <v>0</v>
      </c>
      <c r="AP185" s="1080">
        <v>0</v>
      </c>
      <c r="AQ185" s="1080">
        <v>0</v>
      </c>
      <c r="AR185" s="1080">
        <v>0</v>
      </c>
      <c r="AS185" s="1080">
        <v>5455673047</v>
      </c>
      <c r="AT185" s="1080">
        <v>0</v>
      </c>
      <c r="AU185" s="1080">
        <v>0</v>
      </c>
      <c r="AV185" s="1080">
        <v>5455673047</v>
      </c>
      <c r="AW185" s="1073"/>
      <c r="AX185" s="1074">
        <v>5455673047</v>
      </c>
      <c r="AZ185" s="1078">
        <v>74110900</v>
      </c>
      <c r="BA185" s="1079" t="s">
        <v>2606</v>
      </c>
      <c r="BB185" s="1080">
        <v>11414536967</v>
      </c>
      <c r="BC185" s="1080">
        <v>0</v>
      </c>
      <c r="BD185" s="1080">
        <v>0</v>
      </c>
      <c r="BE185" s="1080">
        <v>0</v>
      </c>
      <c r="BF185" s="1080">
        <v>0</v>
      </c>
      <c r="BG185" s="1080">
        <v>11414536967</v>
      </c>
      <c r="BH185" s="1080">
        <v>0</v>
      </c>
      <c r="BI185" s="1080">
        <v>0</v>
      </c>
      <c r="BJ185" s="1080">
        <v>11414536967</v>
      </c>
      <c r="BK185" s="1073"/>
      <c r="BL185" s="1074">
        <v>11414536967</v>
      </c>
      <c r="BN185" s="1078">
        <v>74111100</v>
      </c>
      <c r="BO185" s="1079" t="s">
        <v>2608</v>
      </c>
      <c r="BP185" s="1080">
        <v>0</v>
      </c>
      <c r="BQ185" s="1080">
        <v>0</v>
      </c>
      <c r="BR185" s="1080">
        <v>0</v>
      </c>
      <c r="BS185" s="1080">
        <v>0</v>
      </c>
      <c r="BT185" s="1080">
        <v>0</v>
      </c>
      <c r="BU185" s="1080">
        <v>0</v>
      </c>
      <c r="BV185" s="1080">
        <v>0</v>
      </c>
      <c r="BW185" s="1080">
        <v>0</v>
      </c>
      <c r="BX185" s="1080">
        <v>0</v>
      </c>
      <c r="BY185" s="1073"/>
      <c r="BZ185" s="1074">
        <v>0</v>
      </c>
      <c r="CB185" s="1078">
        <v>74111300</v>
      </c>
      <c r="CC185" s="1079" t="s">
        <v>2609</v>
      </c>
      <c r="CD185" s="1080">
        <v>0</v>
      </c>
      <c r="CE185" s="1080">
        <v>0</v>
      </c>
      <c r="CF185" s="1080">
        <v>0</v>
      </c>
      <c r="CG185" s="1080">
        <v>0</v>
      </c>
      <c r="CH185" s="1080">
        <v>0</v>
      </c>
      <c r="CI185" s="1080">
        <v>0</v>
      </c>
      <c r="CJ185" s="1080">
        <v>0</v>
      </c>
      <c r="CK185" s="1080">
        <v>0</v>
      </c>
      <c r="CL185" s="1080">
        <v>0</v>
      </c>
      <c r="CM185" s="1080">
        <v>0</v>
      </c>
      <c r="CN185" s="1080">
        <v>0</v>
      </c>
      <c r="CO185" s="1073"/>
      <c r="CP185" s="1074">
        <v>0</v>
      </c>
    </row>
    <row r="186" spans="2:94">
      <c r="B186" s="1078">
        <v>74110900</v>
      </c>
      <c r="C186" s="1079" t="s">
        <v>2606</v>
      </c>
      <c r="D186" s="1080">
        <v>2717881511</v>
      </c>
      <c r="E186" s="1080">
        <v>0</v>
      </c>
      <c r="F186" s="1080">
        <v>0</v>
      </c>
      <c r="G186" s="1080">
        <v>0</v>
      </c>
      <c r="H186" s="1080">
        <v>0</v>
      </c>
      <c r="I186" s="1080">
        <v>2717881511</v>
      </c>
      <c r="J186" s="1080">
        <v>0</v>
      </c>
      <c r="K186" s="1080">
        <v>0</v>
      </c>
      <c r="L186" s="1080">
        <v>2717881511</v>
      </c>
      <c r="N186" s="2177">
        <v>74110900</v>
      </c>
      <c r="O186" s="2178" t="s">
        <v>3888</v>
      </c>
      <c r="P186" s="2179">
        <v>1131300933</v>
      </c>
      <c r="Q186" s="2179">
        <v>0</v>
      </c>
      <c r="R186" s="2179">
        <v>0</v>
      </c>
      <c r="S186" s="2179">
        <v>0</v>
      </c>
      <c r="T186" s="2179">
        <v>0</v>
      </c>
      <c r="U186" s="2179">
        <v>1131300933</v>
      </c>
      <c r="V186" s="2179">
        <v>0</v>
      </c>
      <c r="W186" s="2179">
        <v>0</v>
      </c>
      <c r="X186" s="2179">
        <v>1131300933</v>
      </c>
      <c r="Z186" s="2177">
        <v>74111000</v>
      </c>
      <c r="AA186" s="2178" t="s">
        <v>2607</v>
      </c>
      <c r="AB186" s="2179">
        <v>0</v>
      </c>
      <c r="AC186" s="2179">
        <v>0</v>
      </c>
      <c r="AD186" s="2179">
        <v>0</v>
      </c>
      <c r="AE186" s="2179">
        <v>0</v>
      </c>
      <c r="AF186" s="2179">
        <v>0</v>
      </c>
      <c r="AG186" s="2179">
        <v>0</v>
      </c>
      <c r="AH186" s="2179">
        <v>0</v>
      </c>
      <c r="AI186" s="2179">
        <v>0</v>
      </c>
      <c r="AJ186" s="2179">
        <v>0</v>
      </c>
      <c r="AL186" s="1078">
        <v>74111000</v>
      </c>
      <c r="AM186" s="1079" t="s">
        <v>2607</v>
      </c>
      <c r="AN186" s="1080">
        <v>0</v>
      </c>
      <c r="AO186" s="1080">
        <v>0</v>
      </c>
      <c r="AP186" s="1080">
        <v>0</v>
      </c>
      <c r="AQ186" s="1080">
        <v>0</v>
      </c>
      <c r="AR186" s="1080">
        <v>0</v>
      </c>
      <c r="AS186" s="1080">
        <v>0</v>
      </c>
      <c r="AT186" s="1080">
        <v>0</v>
      </c>
      <c r="AU186" s="1080">
        <v>0</v>
      </c>
      <c r="AV186" s="1080">
        <v>0</v>
      </c>
      <c r="AW186" s="1073"/>
      <c r="AX186" s="1074">
        <v>0</v>
      </c>
      <c r="AZ186" s="1078">
        <v>74111000</v>
      </c>
      <c r="BA186" s="1079" t="s">
        <v>2607</v>
      </c>
      <c r="BB186" s="1080">
        <v>0</v>
      </c>
      <c r="BC186" s="1080">
        <v>0</v>
      </c>
      <c r="BD186" s="1080">
        <v>0</v>
      </c>
      <c r="BE186" s="1080">
        <v>0</v>
      </c>
      <c r="BF186" s="1080">
        <v>0</v>
      </c>
      <c r="BG186" s="1080">
        <v>0</v>
      </c>
      <c r="BH186" s="1080">
        <v>0</v>
      </c>
      <c r="BI186" s="1080">
        <v>0</v>
      </c>
      <c r="BJ186" s="1080">
        <v>0</v>
      </c>
      <c r="BK186" s="1073"/>
      <c r="BL186" s="1074">
        <v>0</v>
      </c>
      <c r="BN186" s="1078">
        <v>74111300</v>
      </c>
      <c r="BO186" s="1079" t="s">
        <v>2609</v>
      </c>
      <c r="BP186" s="1080">
        <v>0</v>
      </c>
      <c r="BQ186" s="1080">
        <v>0</v>
      </c>
      <c r="BR186" s="1080">
        <v>0</v>
      </c>
      <c r="BS186" s="1080">
        <v>0</v>
      </c>
      <c r="BT186" s="1080">
        <v>0</v>
      </c>
      <c r="BU186" s="1080">
        <v>0</v>
      </c>
      <c r="BV186" s="1080">
        <v>0</v>
      </c>
      <c r="BW186" s="1080">
        <v>0</v>
      </c>
      <c r="BX186" s="1080">
        <v>0</v>
      </c>
      <c r="BY186" s="1073"/>
      <c r="BZ186" s="1074">
        <v>0</v>
      </c>
      <c r="CB186" s="1078">
        <v>74119900</v>
      </c>
      <c r="CC186" s="1079" t="s">
        <v>2610</v>
      </c>
      <c r="CD186" s="1080">
        <v>-27432761861</v>
      </c>
      <c r="CE186" s="1080">
        <v>0</v>
      </c>
      <c r="CF186" s="1080">
        <v>0</v>
      </c>
      <c r="CG186" s="1080">
        <v>0</v>
      </c>
      <c r="CH186" s="1080">
        <v>0</v>
      </c>
      <c r="CI186" s="1080">
        <v>0</v>
      </c>
      <c r="CJ186" s="1080">
        <v>0</v>
      </c>
      <c r="CK186" s="1080">
        <v>-27432761861</v>
      </c>
      <c r="CL186" s="1080">
        <v>0</v>
      </c>
      <c r="CM186" s="1080">
        <v>0</v>
      </c>
      <c r="CN186" s="1080">
        <v>-27432761861</v>
      </c>
      <c r="CO186" s="1073"/>
      <c r="CP186" s="1074">
        <v>-27432761861</v>
      </c>
    </row>
    <row r="187" spans="2:94">
      <c r="B187" s="1078">
        <v>74111000</v>
      </c>
      <c r="C187" s="1079" t="s">
        <v>2607</v>
      </c>
      <c r="D187" s="1080">
        <v>0</v>
      </c>
      <c r="E187" s="1080">
        <v>0</v>
      </c>
      <c r="F187" s="1080">
        <v>0</v>
      </c>
      <c r="G187" s="1080">
        <v>0</v>
      </c>
      <c r="H187" s="1080">
        <v>0</v>
      </c>
      <c r="I187" s="1080">
        <v>0</v>
      </c>
      <c r="J187" s="1080">
        <v>0</v>
      </c>
      <c r="K187" s="1080">
        <v>0</v>
      </c>
      <c r="L187" s="1080">
        <v>0</v>
      </c>
      <c r="N187" s="2177">
        <v>74111000</v>
      </c>
      <c r="O187" s="2178" t="s">
        <v>2607</v>
      </c>
      <c r="P187" s="2179">
        <v>0</v>
      </c>
      <c r="Q187" s="2179">
        <v>0</v>
      </c>
      <c r="R187" s="2179">
        <v>0</v>
      </c>
      <c r="S187" s="2179">
        <v>0</v>
      </c>
      <c r="T187" s="2179">
        <v>0</v>
      </c>
      <c r="U187" s="2179">
        <v>0</v>
      </c>
      <c r="V187" s="2179">
        <v>0</v>
      </c>
      <c r="W187" s="2179">
        <v>0</v>
      </c>
      <c r="X187" s="2179">
        <v>0</v>
      </c>
      <c r="Z187" s="2177">
        <v>74111100</v>
      </c>
      <c r="AA187" s="2178" t="s">
        <v>2608</v>
      </c>
      <c r="AB187" s="2179">
        <v>0</v>
      </c>
      <c r="AC187" s="2179">
        <v>0</v>
      </c>
      <c r="AD187" s="2179">
        <v>0</v>
      </c>
      <c r="AE187" s="2179">
        <v>0</v>
      </c>
      <c r="AF187" s="2179">
        <v>0</v>
      </c>
      <c r="AG187" s="2179">
        <v>0</v>
      </c>
      <c r="AH187" s="2179">
        <v>0</v>
      </c>
      <c r="AI187" s="2179">
        <v>0</v>
      </c>
      <c r="AJ187" s="2179">
        <v>0</v>
      </c>
      <c r="AL187" s="1078">
        <v>74111100</v>
      </c>
      <c r="AM187" s="1079" t="s">
        <v>2608</v>
      </c>
      <c r="AN187" s="1080">
        <v>0</v>
      </c>
      <c r="AO187" s="1080">
        <v>0</v>
      </c>
      <c r="AP187" s="1080">
        <v>0</v>
      </c>
      <c r="AQ187" s="1080">
        <v>0</v>
      </c>
      <c r="AR187" s="1080">
        <v>0</v>
      </c>
      <c r="AS187" s="1080">
        <v>0</v>
      </c>
      <c r="AT187" s="1080">
        <v>0</v>
      </c>
      <c r="AU187" s="1080">
        <v>0</v>
      </c>
      <c r="AV187" s="1080">
        <v>0</v>
      </c>
      <c r="AW187" s="1073"/>
      <c r="AX187" s="1074">
        <v>0</v>
      </c>
      <c r="AZ187" s="1078">
        <v>74111100</v>
      </c>
      <c r="BA187" s="1079" t="s">
        <v>2608</v>
      </c>
      <c r="BB187" s="1080">
        <v>0</v>
      </c>
      <c r="BC187" s="1080">
        <v>0</v>
      </c>
      <c r="BD187" s="1080">
        <v>0</v>
      </c>
      <c r="BE187" s="1080">
        <v>0</v>
      </c>
      <c r="BF187" s="1080">
        <v>0</v>
      </c>
      <c r="BG187" s="1080">
        <v>0</v>
      </c>
      <c r="BH187" s="1080">
        <v>0</v>
      </c>
      <c r="BI187" s="1080">
        <v>0</v>
      </c>
      <c r="BJ187" s="1080">
        <v>0</v>
      </c>
      <c r="BK187" s="1073"/>
      <c r="BL187" s="1074">
        <v>0</v>
      </c>
      <c r="BN187" s="1078">
        <v>74119900</v>
      </c>
      <c r="BO187" s="1079" t="s">
        <v>2610</v>
      </c>
      <c r="BP187" s="1080">
        <v>15300497727</v>
      </c>
      <c r="BQ187" s="1080">
        <v>0</v>
      </c>
      <c r="BR187" s="1080">
        <v>0</v>
      </c>
      <c r="BS187" s="1080">
        <v>0</v>
      </c>
      <c r="BT187" s="1080">
        <v>0</v>
      </c>
      <c r="BU187" s="1080">
        <v>15300497727</v>
      </c>
      <c r="BV187" s="1080">
        <v>0</v>
      </c>
      <c r="BW187" s="1080">
        <v>0</v>
      </c>
      <c r="BX187" s="1080">
        <v>15300497727</v>
      </c>
      <c r="BY187" s="1073"/>
      <c r="BZ187" s="1074">
        <v>15300497727</v>
      </c>
      <c r="CB187" s="1075">
        <v>74990000</v>
      </c>
      <c r="CC187" s="1076" t="s">
        <v>2611</v>
      </c>
      <c r="CD187" s="1077">
        <v>0</v>
      </c>
      <c r="CE187" s="1077">
        <v>0</v>
      </c>
      <c r="CF187" s="1077">
        <v>0</v>
      </c>
      <c r="CG187" s="1077">
        <v>0</v>
      </c>
      <c r="CH187" s="1077">
        <v>0</v>
      </c>
      <c r="CI187" s="1077">
        <v>0</v>
      </c>
      <c r="CJ187" s="1077">
        <v>0</v>
      </c>
      <c r="CK187" s="1077">
        <v>0</v>
      </c>
      <c r="CL187" s="1077">
        <v>0</v>
      </c>
      <c r="CM187" s="1077">
        <v>0</v>
      </c>
      <c r="CN187" s="1077">
        <v>0</v>
      </c>
      <c r="CO187" s="1073"/>
      <c r="CP187" s="1074"/>
    </row>
    <row r="188" spans="2:94">
      <c r="B188" s="1078">
        <v>74111100</v>
      </c>
      <c r="C188" s="1079" t="s">
        <v>2608</v>
      </c>
      <c r="D188" s="1080">
        <v>0</v>
      </c>
      <c r="E188" s="1080">
        <v>0</v>
      </c>
      <c r="F188" s="1080">
        <v>0</v>
      </c>
      <c r="G188" s="1080">
        <v>0</v>
      </c>
      <c r="H188" s="1080">
        <v>0</v>
      </c>
      <c r="I188" s="1080">
        <v>0</v>
      </c>
      <c r="J188" s="1080">
        <v>0</v>
      </c>
      <c r="K188" s="1080">
        <v>0</v>
      </c>
      <c r="L188" s="1080">
        <v>0</v>
      </c>
      <c r="N188" s="2177">
        <v>74111100</v>
      </c>
      <c r="O188" s="2178" t="s">
        <v>2608</v>
      </c>
      <c r="P188" s="2179">
        <v>0</v>
      </c>
      <c r="Q188" s="2179">
        <v>0</v>
      </c>
      <c r="R188" s="2179">
        <v>0</v>
      </c>
      <c r="S188" s="2179">
        <v>0</v>
      </c>
      <c r="T188" s="2179">
        <v>0</v>
      </c>
      <c r="U188" s="2179">
        <v>0</v>
      </c>
      <c r="V188" s="2179">
        <v>0</v>
      </c>
      <c r="W188" s="2179">
        <v>0</v>
      </c>
      <c r="X188" s="2179">
        <v>0</v>
      </c>
      <c r="Z188" s="2177">
        <v>74111300</v>
      </c>
      <c r="AA188" s="2178" t="s">
        <v>2609</v>
      </c>
      <c r="AB188" s="2179">
        <v>0</v>
      </c>
      <c r="AC188" s="2179">
        <v>0</v>
      </c>
      <c r="AD188" s="2179">
        <v>0</v>
      </c>
      <c r="AE188" s="2179">
        <v>0</v>
      </c>
      <c r="AF188" s="2179">
        <v>0</v>
      </c>
      <c r="AG188" s="2179">
        <v>0</v>
      </c>
      <c r="AH188" s="2179">
        <v>0</v>
      </c>
      <c r="AI188" s="2179">
        <v>0</v>
      </c>
      <c r="AJ188" s="2179">
        <v>0</v>
      </c>
      <c r="AL188" s="1078">
        <v>74111300</v>
      </c>
      <c r="AM188" s="1079" t="s">
        <v>2609</v>
      </c>
      <c r="AN188" s="1080">
        <v>0</v>
      </c>
      <c r="AO188" s="1080">
        <v>0</v>
      </c>
      <c r="AP188" s="1080">
        <v>0</v>
      </c>
      <c r="AQ188" s="1080">
        <v>0</v>
      </c>
      <c r="AR188" s="1080">
        <v>0</v>
      </c>
      <c r="AS188" s="1080">
        <v>0</v>
      </c>
      <c r="AT188" s="1080">
        <v>0</v>
      </c>
      <c r="AU188" s="1080">
        <v>0</v>
      </c>
      <c r="AV188" s="1080">
        <v>0</v>
      </c>
      <c r="AW188" s="1073"/>
      <c r="AX188" s="1074">
        <v>0</v>
      </c>
      <c r="AZ188" s="1078">
        <v>74111300</v>
      </c>
      <c r="BA188" s="1079" t="s">
        <v>2609</v>
      </c>
      <c r="BB188" s="1080">
        <v>0</v>
      </c>
      <c r="BC188" s="1080">
        <v>0</v>
      </c>
      <c r="BD188" s="1080">
        <v>0</v>
      </c>
      <c r="BE188" s="1080">
        <v>0</v>
      </c>
      <c r="BF188" s="1080">
        <v>0</v>
      </c>
      <c r="BG188" s="1080">
        <v>0</v>
      </c>
      <c r="BH188" s="1080">
        <v>0</v>
      </c>
      <c r="BI188" s="1080">
        <v>0</v>
      </c>
      <c r="BJ188" s="1080">
        <v>0</v>
      </c>
      <c r="BK188" s="1073"/>
      <c r="BL188" s="1074">
        <v>0</v>
      </c>
      <c r="BN188" s="1075">
        <v>74990000</v>
      </c>
      <c r="BO188" s="1076" t="s">
        <v>2611</v>
      </c>
      <c r="BP188" s="1077">
        <v>0</v>
      </c>
      <c r="BQ188" s="1077">
        <v>0</v>
      </c>
      <c r="BR188" s="1077">
        <v>0</v>
      </c>
      <c r="BS188" s="1077">
        <v>0</v>
      </c>
      <c r="BT188" s="1077">
        <v>0</v>
      </c>
      <c r="BU188" s="1077">
        <v>0</v>
      </c>
      <c r="BV188" s="1077">
        <v>0</v>
      </c>
      <c r="BW188" s="1077">
        <v>0</v>
      </c>
      <c r="BX188" s="1077">
        <v>0</v>
      </c>
      <c r="BY188" s="1073"/>
      <c r="BZ188" s="1074"/>
      <c r="CB188" s="1078">
        <v>74990100</v>
      </c>
      <c r="CC188" s="1079" t="s">
        <v>2612</v>
      </c>
      <c r="CD188" s="1080">
        <v>0</v>
      </c>
      <c r="CE188" s="1080">
        <v>0</v>
      </c>
      <c r="CF188" s="1080">
        <v>0</v>
      </c>
      <c r="CG188" s="1080">
        <v>0</v>
      </c>
      <c r="CH188" s="1080">
        <v>0</v>
      </c>
      <c r="CI188" s="1080">
        <v>0</v>
      </c>
      <c r="CJ188" s="1080">
        <v>0</v>
      </c>
      <c r="CK188" s="1080">
        <v>0</v>
      </c>
      <c r="CL188" s="1080">
        <v>0</v>
      </c>
      <c r="CM188" s="1080">
        <v>0</v>
      </c>
      <c r="CN188" s="1080">
        <v>0</v>
      </c>
      <c r="CO188" s="1073"/>
      <c r="CP188" s="1074">
        <v>0</v>
      </c>
    </row>
    <row r="189" spans="2:94">
      <c r="B189" s="1078">
        <v>74111300</v>
      </c>
      <c r="C189" s="1079" t="s">
        <v>2609</v>
      </c>
      <c r="D189" s="1080">
        <v>0</v>
      </c>
      <c r="E189" s="1080">
        <v>0</v>
      </c>
      <c r="F189" s="1080">
        <v>0</v>
      </c>
      <c r="G189" s="1080">
        <v>0</v>
      </c>
      <c r="H189" s="1080">
        <v>0</v>
      </c>
      <c r="I189" s="1080">
        <v>0</v>
      </c>
      <c r="J189" s="1080">
        <v>0</v>
      </c>
      <c r="K189" s="1080">
        <v>0</v>
      </c>
      <c r="L189" s="1080">
        <v>0</v>
      </c>
      <c r="N189" s="2177">
        <v>74111300</v>
      </c>
      <c r="O189" s="2178" t="s">
        <v>2609</v>
      </c>
      <c r="P189" s="2179">
        <v>0</v>
      </c>
      <c r="Q189" s="2179">
        <v>0</v>
      </c>
      <c r="R189" s="2179">
        <v>0</v>
      </c>
      <c r="S189" s="2179">
        <v>0</v>
      </c>
      <c r="T189" s="2179">
        <v>0</v>
      </c>
      <c r="U189" s="2179">
        <v>0</v>
      </c>
      <c r="V189" s="2179">
        <v>0</v>
      </c>
      <c r="W189" s="2179">
        <v>0</v>
      </c>
      <c r="X189" s="2179">
        <v>0</v>
      </c>
      <c r="Z189" s="2177">
        <v>74119900</v>
      </c>
      <c r="AA189" s="2178" t="s">
        <v>2610</v>
      </c>
      <c r="AB189" s="2179">
        <v>-185858780</v>
      </c>
      <c r="AC189" s="2179">
        <v>0</v>
      </c>
      <c r="AD189" s="2179">
        <v>0</v>
      </c>
      <c r="AE189" s="2179">
        <v>0</v>
      </c>
      <c r="AF189" s="2179">
        <v>0</v>
      </c>
      <c r="AG189" s="2179">
        <v>-185858780</v>
      </c>
      <c r="AH189" s="2179">
        <v>0</v>
      </c>
      <c r="AI189" s="2179">
        <v>0</v>
      </c>
      <c r="AJ189" s="2179">
        <v>-185858780</v>
      </c>
      <c r="AL189" s="1078">
        <v>74119900</v>
      </c>
      <c r="AM189" s="1079" t="s">
        <v>2610</v>
      </c>
      <c r="AN189" s="1080">
        <v>-185858780</v>
      </c>
      <c r="AO189" s="1080">
        <v>0</v>
      </c>
      <c r="AP189" s="1080">
        <v>0</v>
      </c>
      <c r="AQ189" s="1080">
        <v>0</v>
      </c>
      <c r="AR189" s="1080">
        <v>0</v>
      </c>
      <c r="AS189" s="1080">
        <v>-185858780</v>
      </c>
      <c r="AT189" s="1080">
        <v>0</v>
      </c>
      <c r="AU189" s="1080">
        <v>0</v>
      </c>
      <c r="AV189" s="1080">
        <v>-185858780</v>
      </c>
      <c r="AW189" s="1073"/>
      <c r="AX189" s="1074">
        <v>-185858780</v>
      </c>
      <c r="AZ189" s="1078">
        <v>74119900</v>
      </c>
      <c r="BA189" s="1079" t="s">
        <v>2610</v>
      </c>
      <c r="BB189" s="1080">
        <v>411924825</v>
      </c>
      <c r="BC189" s="1080">
        <v>0</v>
      </c>
      <c r="BD189" s="1080">
        <v>0</v>
      </c>
      <c r="BE189" s="1080">
        <v>0</v>
      </c>
      <c r="BF189" s="1080">
        <v>0</v>
      </c>
      <c r="BG189" s="1080">
        <v>411924825</v>
      </c>
      <c r="BH189" s="1080">
        <v>0</v>
      </c>
      <c r="BI189" s="1080">
        <v>0</v>
      </c>
      <c r="BJ189" s="1080">
        <v>411924825</v>
      </c>
      <c r="BK189" s="1073"/>
      <c r="BL189" s="1074">
        <v>411924825</v>
      </c>
      <c r="BN189" s="1078">
        <v>74990100</v>
      </c>
      <c r="BO189" s="1079" t="s">
        <v>2612</v>
      </c>
      <c r="BP189" s="1080">
        <v>0</v>
      </c>
      <c r="BQ189" s="1080">
        <v>0</v>
      </c>
      <c r="BR189" s="1080">
        <v>0</v>
      </c>
      <c r="BS189" s="1080">
        <v>0</v>
      </c>
      <c r="BT189" s="1080">
        <v>0</v>
      </c>
      <c r="BU189" s="1080">
        <v>0</v>
      </c>
      <c r="BV189" s="1080">
        <v>0</v>
      </c>
      <c r="BW189" s="1080">
        <v>0</v>
      </c>
      <c r="BX189" s="1080">
        <v>0</v>
      </c>
      <c r="BY189" s="1073"/>
      <c r="BZ189" s="1074">
        <v>0</v>
      </c>
      <c r="CB189" s="1070">
        <v>75000000</v>
      </c>
      <c r="CC189" s="1071" t="s">
        <v>2613</v>
      </c>
      <c r="CD189" s="1072">
        <v>293333780335</v>
      </c>
      <c r="CE189" s="1072">
        <v>2424926266</v>
      </c>
      <c r="CF189" s="1072">
        <v>0</v>
      </c>
      <c r="CG189" s="1072">
        <v>30706578154</v>
      </c>
      <c r="CH189" s="1072">
        <v>0</v>
      </c>
      <c r="CI189" s="1072">
        <v>579440056</v>
      </c>
      <c r="CJ189" s="1072">
        <v>1436142352</v>
      </c>
      <c r="CK189" s="1072">
        <v>328480867163</v>
      </c>
      <c r="CL189" s="1072">
        <v>0</v>
      </c>
      <c r="CM189" s="1072">
        <v>0</v>
      </c>
      <c r="CN189" s="1072">
        <v>327872126607</v>
      </c>
      <c r="CO189" s="1073"/>
      <c r="CP189" s="1074"/>
    </row>
    <row r="190" spans="2:94">
      <c r="B190" s="1078">
        <v>74119900</v>
      </c>
      <c r="C190" s="1079" t="s">
        <v>2610</v>
      </c>
      <c r="D190" s="1080">
        <v>1119900</v>
      </c>
      <c r="E190" s="1080">
        <v>0</v>
      </c>
      <c r="F190" s="1080">
        <v>0</v>
      </c>
      <c r="G190" s="1080">
        <v>0</v>
      </c>
      <c r="H190" s="1080">
        <v>0</v>
      </c>
      <c r="I190" s="1080">
        <v>1119900</v>
      </c>
      <c r="J190" s="1080">
        <v>0</v>
      </c>
      <c r="K190" s="1080">
        <v>0</v>
      </c>
      <c r="L190" s="1080">
        <v>1119900</v>
      </c>
      <c r="N190" s="2177">
        <v>74119900</v>
      </c>
      <c r="O190" s="2178" t="s">
        <v>2610</v>
      </c>
      <c r="P190" s="2179">
        <v>1119900</v>
      </c>
      <c r="Q190" s="2179">
        <v>0</v>
      </c>
      <c r="R190" s="2179">
        <v>0</v>
      </c>
      <c r="S190" s="2179">
        <v>0</v>
      </c>
      <c r="T190" s="2179">
        <v>0</v>
      </c>
      <c r="U190" s="2179">
        <v>1119900</v>
      </c>
      <c r="V190" s="2179">
        <v>0</v>
      </c>
      <c r="W190" s="2179">
        <v>0</v>
      </c>
      <c r="X190" s="2179">
        <v>1119900</v>
      </c>
      <c r="Z190" s="2174">
        <v>74990000</v>
      </c>
      <c r="AA190" s="2175" t="s">
        <v>2611</v>
      </c>
      <c r="AB190" s="2176">
        <v>0</v>
      </c>
      <c r="AC190" s="2176">
        <v>0</v>
      </c>
      <c r="AD190" s="2176">
        <v>0</v>
      </c>
      <c r="AE190" s="2176">
        <v>0</v>
      </c>
      <c r="AF190" s="2176">
        <v>0</v>
      </c>
      <c r="AG190" s="2176">
        <v>0</v>
      </c>
      <c r="AH190" s="2176">
        <v>0</v>
      </c>
      <c r="AI190" s="2176">
        <v>0</v>
      </c>
      <c r="AJ190" s="2176">
        <v>0</v>
      </c>
      <c r="AL190" s="1075">
        <v>74990000</v>
      </c>
      <c r="AM190" s="1076" t="s">
        <v>2611</v>
      </c>
      <c r="AN190" s="1077">
        <v>0</v>
      </c>
      <c r="AO190" s="1077">
        <v>0</v>
      </c>
      <c r="AP190" s="1077">
        <v>0</v>
      </c>
      <c r="AQ190" s="1077">
        <v>0</v>
      </c>
      <c r="AR190" s="1077">
        <v>0</v>
      </c>
      <c r="AS190" s="1077">
        <v>0</v>
      </c>
      <c r="AT190" s="1077">
        <v>0</v>
      </c>
      <c r="AU190" s="1077">
        <v>0</v>
      </c>
      <c r="AV190" s="1077">
        <v>0</v>
      </c>
      <c r="AW190" s="1073"/>
      <c r="AX190" s="1074"/>
      <c r="AZ190" s="1075">
        <v>74990000</v>
      </c>
      <c r="BA190" s="1076" t="s">
        <v>2611</v>
      </c>
      <c r="BB190" s="1077">
        <v>0</v>
      </c>
      <c r="BC190" s="1077">
        <v>0</v>
      </c>
      <c r="BD190" s="1077">
        <v>0</v>
      </c>
      <c r="BE190" s="1077">
        <v>0</v>
      </c>
      <c r="BF190" s="1077">
        <v>0</v>
      </c>
      <c r="BG190" s="1077">
        <v>0</v>
      </c>
      <c r="BH190" s="1077">
        <v>0</v>
      </c>
      <c r="BI190" s="1077">
        <v>0</v>
      </c>
      <c r="BJ190" s="1077">
        <v>0</v>
      </c>
      <c r="BK190" s="1073"/>
      <c r="BL190" s="1074"/>
      <c r="BN190" s="1070">
        <v>75000000</v>
      </c>
      <c r="BO190" s="1071" t="s">
        <v>2613</v>
      </c>
      <c r="BP190" s="1072">
        <v>231652915885</v>
      </c>
      <c r="BQ190" s="1072">
        <v>2272752369</v>
      </c>
      <c r="BR190" s="1072">
        <v>34558532273</v>
      </c>
      <c r="BS190" s="1072">
        <v>685067548</v>
      </c>
      <c r="BT190" s="1072">
        <v>2612526034</v>
      </c>
      <c r="BU190" s="1072">
        <v>271781794109</v>
      </c>
      <c r="BV190" s="1072">
        <v>0</v>
      </c>
      <c r="BW190" s="1072">
        <v>0</v>
      </c>
      <c r="BX190" s="1072">
        <v>248858858760</v>
      </c>
      <c r="BY190" s="1073"/>
      <c r="BZ190" s="1074"/>
      <c r="CB190" s="1070">
        <v>76000000</v>
      </c>
      <c r="CC190" s="1071" t="s">
        <v>2614</v>
      </c>
      <c r="CD190" s="1072">
        <v>76548091678</v>
      </c>
      <c r="CE190" s="1072">
        <v>129343059</v>
      </c>
      <c r="CF190" s="1072">
        <v>0</v>
      </c>
      <c r="CG190" s="1072">
        <v>1319541406</v>
      </c>
      <c r="CH190" s="1072">
        <v>0</v>
      </c>
      <c r="CI190" s="1072">
        <v>31832474</v>
      </c>
      <c r="CJ190" s="1072">
        <v>6929742</v>
      </c>
      <c r="CK190" s="1072">
        <v>78035738359</v>
      </c>
      <c r="CL190" s="1072">
        <v>0</v>
      </c>
      <c r="CM190" s="1072">
        <v>0</v>
      </c>
      <c r="CN190" s="1072">
        <v>77562513420</v>
      </c>
      <c r="CO190" s="1073"/>
      <c r="CP190" s="1074"/>
    </row>
    <row r="191" spans="2:94">
      <c r="B191" s="1075">
        <v>74990000</v>
      </c>
      <c r="C191" s="1076" t="s">
        <v>2611</v>
      </c>
      <c r="D191" s="1077">
        <v>0</v>
      </c>
      <c r="E191" s="1077">
        <v>0</v>
      </c>
      <c r="F191" s="1077">
        <v>0</v>
      </c>
      <c r="G191" s="1077">
        <v>0</v>
      </c>
      <c r="H191" s="1077">
        <v>0</v>
      </c>
      <c r="I191" s="1077">
        <v>0</v>
      </c>
      <c r="J191" s="1077">
        <v>0</v>
      </c>
      <c r="K191" s="1077">
        <v>0</v>
      </c>
      <c r="L191" s="1077">
        <v>0</v>
      </c>
      <c r="N191" s="2174">
        <v>74990000</v>
      </c>
      <c r="O191" s="2175" t="s">
        <v>2611</v>
      </c>
      <c r="P191" s="2176">
        <v>0</v>
      </c>
      <c r="Q191" s="2176">
        <v>0</v>
      </c>
      <c r="R191" s="2176">
        <v>0</v>
      </c>
      <c r="S191" s="2176">
        <v>0</v>
      </c>
      <c r="T191" s="2176">
        <v>0</v>
      </c>
      <c r="U191" s="2176">
        <v>0</v>
      </c>
      <c r="V191" s="2176">
        <v>0</v>
      </c>
      <c r="W191" s="2176">
        <v>0</v>
      </c>
      <c r="X191" s="2176">
        <v>0</v>
      </c>
      <c r="Z191" s="2177">
        <v>74990100</v>
      </c>
      <c r="AA191" s="2178" t="s">
        <v>2611</v>
      </c>
      <c r="AB191" s="2179">
        <v>0</v>
      </c>
      <c r="AC191" s="2179">
        <v>0</v>
      </c>
      <c r="AD191" s="2179">
        <v>0</v>
      </c>
      <c r="AE191" s="2179">
        <v>0</v>
      </c>
      <c r="AF191" s="2179">
        <v>0</v>
      </c>
      <c r="AG191" s="2179">
        <v>0</v>
      </c>
      <c r="AH191" s="2179">
        <v>0</v>
      </c>
      <c r="AI191" s="2179">
        <v>0</v>
      </c>
      <c r="AJ191" s="2179">
        <v>0</v>
      </c>
      <c r="AL191" s="1078">
        <v>74990100</v>
      </c>
      <c r="AM191" s="1079" t="s">
        <v>2612</v>
      </c>
      <c r="AN191" s="1080">
        <v>0</v>
      </c>
      <c r="AO191" s="1080">
        <v>0</v>
      </c>
      <c r="AP191" s="1080">
        <v>0</v>
      </c>
      <c r="AQ191" s="1080">
        <v>0</v>
      </c>
      <c r="AR191" s="1080">
        <v>0</v>
      </c>
      <c r="AS191" s="1080">
        <v>0</v>
      </c>
      <c r="AT191" s="1080">
        <v>0</v>
      </c>
      <c r="AU191" s="1080">
        <v>0</v>
      </c>
      <c r="AV191" s="1080">
        <v>0</v>
      </c>
      <c r="AW191" s="1073"/>
      <c r="AX191" s="1074">
        <v>0</v>
      </c>
      <c r="AZ191" s="1078">
        <v>74990100</v>
      </c>
      <c r="BA191" s="1079" t="s">
        <v>2612</v>
      </c>
      <c r="BB191" s="1080">
        <v>0</v>
      </c>
      <c r="BC191" s="1080">
        <v>0</v>
      </c>
      <c r="BD191" s="1080">
        <v>0</v>
      </c>
      <c r="BE191" s="1080">
        <v>0</v>
      </c>
      <c r="BF191" s="1080">
        <v>0</v>
      </c>
      <c r="BG191" s="1080">
        <v>0</v>
      </c>
      <c r="BH191" s="1080">
        <v>0</v>
      </c>
      <c r="BI191" s="1080">
        <v>0</v>
      </c>
      <c r="BJ191" s="1080">
        <v>0</v>
      </c>
      <c r="BK191" s="1073"/>
      <c r="BL191" s="1074">
        <v>0</v>
      </c>
      <c r="BN191" s="1070">
        <v>76000000</v>
      </c>
      <c r="BO191" s="1071" t="s">
        <v>2614</v>
      </c>
      <c r="BP191" s="1072">
        <v>52401096343</v>
      </c>
      <c r="BQ191" s="1072">
        <v>-343066391</v>
      </c>
      <c r="BR191" s="1072">
        <v>5412490862</v>
      </c>
      <c r="BS191" s="1072">
        <v>130785961</v>
      </c>
      <c r="BT191" s="1072">
        <v>5857920</v>
      </c>
      <c r="BU191" s="1072">
        <v>57607164695</v>
      </c>
      <c r="BV191" s="1072">
        <v>0</v>
      </c>
      <c r="BW191" s="1072">
        <v>0</v>
      </c>
      <c r="BX191" s="1072">
        <v>58164543256</v>
      </c>
      <c r="BY191" s="1073"/>
      <c r="BZ191" s="1074"/>
      <c r="CB191" s="1078">
        <v>76100000</v>
      </c>
      <c r="CC191" s="1079" t="s">
        <v>1786</v>
      </c>
      <c r="CD191" s="1080">
        <v>76548091678</v>
      </c>
      <c r="CE191" s="1080">
        <v>129343059</v>
      </c>
      <c r="CF191" s="1080">
        <v>0</v>
      </c>
      <c r="CG191" s="1080">
        <v>1319541406</v>
      </c>
      <c r="CH191" s="1080">
        <v>0</v>
      </c>
      <c r="CI191" s="1080">
        <v>31832474</v>
      </c>
      <c r="CJ191" s="1080">
        <v>6929742</v>
      </c>
      <c r="CK191" s="1080">
        <v>78035738359</v>
      </c>
      <c r="CL191" s="1080">
        <v>258485854</v>
      </c>
      <c r="CM191" s="1080">
        <v>731710793</v>
      </c>
      <c r="CN191" s="1080">
        <v>77562513420</v>
      </c>
      <c r="CO191" s="1073"/>
      <c r="CP191" s="1074">
        <v>77562513420</v>
      </c>
    </row>
    <row r="192" spans="2:94">
      <c r="B192" s="1078">
        <v>74990100</v>
      </c>
      <c r="C192" s="1079" t="s">
        <v>2612</v>
      </c>
      <c r="D192" s="1080">
        <v>0</v>
      </c>
      <c r="E192" s="1080">
        <v>0</v>
      </c>
      <c r="F192" s="1080">
        <v>0</v>
      </c>
      <c r="G192" s="1080">
        <v>0</v>
      </c>
      <c r="H192" s="1080">
        <v>0</v>
      </c>
      <c r="I192" s="1080">
        <v>0</v>
      </c>
      <c r="J192" s="1080">
        <v>0</v>
      </c>
      <c r="K192" s="1080">
        <v>0</v>
      </c>
      <c r="L192" s="1080">
        <v>0</v>
      </c>
      <c r="N192" s="2177">
        <v>74990100</v>
      </c>
      <c r="O192" s="2178" t="s">
        <v>2611</v>
      </c>
      <c r="P192" s="2179">
        <v>0</v>
      </c>
      <c r="Q192" s="2179">
        <v>0</v>
      </c>
      <c r="R192" s="2179">
        <v>0</v>
      </c>
      <c r="S192" s="2179">
        <v>0</v>
      </c>
      <c r="T192" s="2179">
        <v>0</v>
      </c>
      <c r="U192" s="2179">
        <v>0</v>
      </c>
      <c r="V192" s="2179">
        <v>0</v>
      </c>
      <c r="W192" s="2179">
        <v>0</v>
      </c>
      <c r="X192" s="2179">
        <v>0</v>
      </c>
      <c r="Z192" s="2171">
        <v>75000000</v>
      </c>
      <c r="AA192" s="2172" t="s">
        <v>2613</v>
      </c>
      <c r="AB192" s="2173">
        <v>234762610049</v>
      </c>
      <c r="AC192" s="2173">
        <v>5267799890</v>
      </c>
      <c r="AD192" s="2173">
        <v>29878882509</v>
      </c>
      <c r="AE192" s="2173">
        <v>1843769174</v>
      </c>
      <c r="AF192" s="2173">
        <v>1196566487</v>
      </c>
      <c r="AG192" s="2173">
        <v>272949628109</v>
      </c>
      <c r="AH192" s="2173">
        <v>0</v>
      </c>
      <c r="AI192" s="2173">
        <v>0</v>
      </c>
      <c r="AJ192" s="2173">
        <v>271626718089</v>
      </c>
      <c r="AL192" s="1070">
        <v>75000000</v>
      </c>
      <c r="AM192" s="1071" t="s">
        <v>2613</v>
      </c>
      <c r="AN192" s="1072">
        <v>179111406329</v>
      </c>
      <c r="AO192" s="1072">
        <v>4797824981</v>
      </c>
      <c r="AP192" s="1072">
        <v>19110362224</v>
      </c>
      <c r="AQ192" s="1072">
        <v>1451334584</v>
      </c>
      <c r="AR192" s="1072">
        <v>1158905270</v>
      </c>
      <c r="AS192" s="1072">
        <v>205629833388</v>
      </c>
      <c r="AT192" s="1072">
        <v>0</v>
      </c>
      <c r="AU192" s="1072">
        <v>0</v>
      </c>
      <c r="AV192" s="1072">
        <v>196788910282</v>
      </c>
      <c r="AW192" s="1073"/>
      <c r="AX192" s="1074"/>
      <c r="AZ192" s="1070">
        <v>75000000</v>
      </c>
      <c r="BA192" s="1071" t="s">
        <v>2613</v>
      </c>
      <c r="BB192" s="1072">
        <v>268294591610</v>
      </c>
      <c r="BC192" s="1072">
        <v>1440744190</v>
      </c>
      <c r="BD192" s="1072">
        <v>19938886080</v>
      </c>
      <c r="BE192" s="1072">
        <v>1974336967</v>
      </c>
      <c r="BF192" s="1072">
        <v>2789252366</v>
      </c>
      <c r="BG192" s="1072">
        <v>294437811213</v>
      </c>
      <c r="BH192" s="1072">
        <v>0</v>
      </c>
      <c r="BI192" s="1072">
        <v>0</v>
      </c>
      <c r="BJ192" s="1072">
        <v>290674195324</v>
      </c>
      <c r="BK192" s="1073"/>
      <c r="BL192" s="1074"/>
      <c r="BN192" s="1078">
        <v>76100000</v>
      </c>
      <c r="BO192" s="1079" t="s">
        <v>1786</v>
      </c>
      <c r="BP192" s="1080">
        <v>52401096343</v>
      </c>
      <c r="BQ192" s="1080">
        <v>-343066391</v>
      </c>
      <c r="BR192" s="1080">
        <v>5412490862</v>
      </c>
      <c r="BS192" s="1080">
        <v>130785961</v>
      </c>
      <c r="BT192" s="1080">
        <v>5857920</v>
      </c>
      <c r="BU192" s="1080">
        <v>57607164695</v>
      </c>
      <c r="BV192" s="1080">
        <v>-93804823</v>
      </c>
      <c r="BW192" s="1080">
        <v>-651183384</v>
      </c>
      <c r="BX192" s="1080">
        <v>58164543256</v>
      </c>
      <c r="BY192" s="1073"/>
      <c r="BZ192" s="1074">
        <v>58164543256</v>
      </c>
      <c r="CB192" s="1078">
        <v>76200000</v>
      </c>
      <c r="CC192" s="1079" t="s">
        <v>2615</v>
      </c>
      <c r="CD192" s="1080">
        <v>0</v>
      </c>
      <c r="CE192" s="1080">
        <v>0</v>
      </c>
      <c r="CF192" s="1080">
        <v>0</v>
      </c>
      <c r="CG192" s="1080">
        <v>0</v>
      </c>
      <c r="CH192" s="1080">
        <v>0</v>
      </c>
      <c r="CI192" s="1080">
        <v>0</v>
      </c>
      <c r="CJ192" s="1080">
        <v>0</v>
      </c>
      <c r="CK192" s="1080">
        <v>0</v>
      </c>
      <c r="CL192" s="1080">
        <v>0</v>
      </c>
      <c r="CM192" s="1080">
        <v>0</v>
      </c>
      <c r="CN192" s="1080">
        <v>0</v>
      </c>
      <c r="CO192" s="1073"/>
      <c r="CP192" s="1074">
        <v>0</v>
      </c>
    </row>
    <row r="193" spans="2:94">
      <c r="B193" s="1070">
        <v>75000000</v>
      </c>
      <c r="C193" s="1071" t="s">
        <v>2613</v>
      </c>
      <c r="D193" s="1072">
        <v>193745050809</v>
      </c>
      <c r="E193" s="1072">
        <v>3465305351</v>
      </c>
      <c r="F193" s="1072">
        <v>17618636618</v>
      </c>
      <c r="G193" s="1072">
        <v>2048764317</v>
      </c>
      <c r="H193" s="1072">
        <v>2571141262</v>
      </c>
      <c r="I193" s="1072">
        <v>219448898357</v>
      </c>
      <c r="J193" s="1072">
        <v>0</v>
      </c>
      <c r="K193" s="1072">
        <v>0</v>
      </c>
      <c r="L193" s="1072">
        <v>214858710393</v>
      </c>
      <c r="N193" s="2171">
        <v>75000000</v>
      </c>
      <c r="O193" s="2172" t="s">
        <v>2613</v>
      </c>
      <c r="P193" s="2173">
        <v>109052434991</v>
      </c>
      <c r="Q193" s="2173">
        <v>2269319149</v>
      </c>
      <c r="R193" s="2173">
        <v>13244300554</v>
      </c>
      <c r="S193" s="2173">
        <v>1519743333</v>
      </c>
      <c r="T193" s="2173">
        <v>1297784819</v>
      </c>
      <c r="U193" s="2173">
        <v>127383582846</v>
      </c>
      <c r="V193" s="2173">
        <v>0</v>
      </c>
      <c r="W193" s="2173">
        <v>0</v>
      </c>
      <c r="X193" s="2173">
        <v>121548611804</v>
      </c>
      <c r="Z193" s="2171">
        <v>76000000</v>
      </c>
      <c r="AA193" s="2172" t="s">
        <v>2614</v>
      </c>
      <c r="AB193" s="2173">
        <v>63830682338</v>
      </c>
      <c r="AC193" s="2173">
        <v>1170415969</v>
      </c>
      <c r="AD193" s="2173">
        <v>6520495861</v>
      </c>
      <c r="AE193" s="2173">
        <v>367982556</v>
      </c>
      <c r="AF193" s="2173">
        <v>4604118</v>
      </c>
      <c r="AG193" s="2173">
        <v>71894180842</v>
      </c>
      <c r="AH193" s="2173">
        <v>0</v>
      </c>
      <c r="AI193" s="2173">
        <v>0</v>
      </c>
      <c r="AJ193" s="2173">
        <v>72375920426</v>
      </c>
      <c r="AL193" s="1070">
        <v>76000000</v>
      </c>
      <c r="AM193" s="1071" t="s">
        <v>2614</v>
      </c>
      <c r="AN193" s="1072">
        <v>48044884928</v>
      </c>
      <c r="AO193" s="1072">
        <v>1049165310</v>
      </c>
      <c r="AP193" s="1072">
        <v>4204279688</v>
      </c>
      <c r="AQ193" s="1072">
        <v>320131274</v>
      </c>
      <c r="AR193" s="1072">
        <v>3476082</v>
      </c>
      <c r="AS193" s="1072">
        <v>53621937282</v>
      </c>
      <c r="AT193" s="1072">
        <v>0</v>
      </c>
      <c r="AU193" s="1072">
        <v>0</v>
      </c>
      <c r="AV193" s="1072">
        <v>52537223837</v>
      </c>
      <c r="AW193" s="1073"/>
      <c r="AX193" s="1074"/>
      <c r="AZ193" s="1070">
        <v>76000000</v>
      </c>
      <c r="BA193" s="1071" t="s">
        <v>2614</v>
      </c>
      <c r="BB193" s="1072">
        <v>63630739429</v>
      </c>
      <c r="BC193" s="1072">
        <v>258380802</v>
      </c>
      <c r="BD193" s="1072">
        <v>5603637037</v>
      </c>
      <c r="BE193" s="1072">
        <v>419077314</v>
      </c>
      <c r="BF193" s="1072">
        <v>6223196</v>
      </c>
      <c r="BG193" s="1072">
        <v>69918057778</v>
      </c>
      <c r="BH193" s="1072">
        <v>0</v>
      </c>
      <c r="BI193" s="1072">
        <v>0</v>
      </c>
      <c r="BJ193" s="1072">
        <v>69364403956</v>
      </c>
      <c r="BK193" s="1073"/>
      <c r="BL193" s="1074"/>
      <c r="BN193" s="1078">
        <v>76200000</v>
      </c>
      <c r="BO193" s="1079" t="s">
        <v>2615</v>
      </c>
      <c r="BP193" s="1080">
        <v>0</v>
      </c>
      <c r="BQ193" s="1080">
        <v>0</v>
      </c>
      <c r="BR193" s="1080">
        <v>0</v>
      </c>
      <c r="BS193" s="1080">
        <v>0</v>
      </c>
      <c r="BT193" s="1080">
        <v>0</v>
      </c>
      <c r="BU193" s="1080">
        <v>0</v>
      </c>
      <c r="BV193" s="1080">
        <v>0</v>
      </c>
      <c r="BW193" s="1080">
        <v>0</v>
      </c>
      <c r="BX193" s="1080">
        <v>0</v>
      </c>
      <c r="BY193" s="1073"/>
      <c r="BZ193" s="1074">
        <v>0</v>
      </c>
      <c r="CB193" s="1078">
        <v>76300000</v>
      </c>
      <c r="CC193" s="1079" t="s">
        <v>2616</v>
      </c>
      <c r="CD193" s="1080">
        <v>0</v>
      </c>
      <c r="CE193" s="1080">
        <v>0</v>
      </c>
      <c r="CF193" s="1080">
        <v>0</v>
      </c>
      <c r="CG193" s="1080">
        <v>0</v>
      </c>
      <c r="CH193" s="1080">
        <v>0</v>
      </c>
      <c r="CI193" s="1080">
        <v>0</v>
      </c>
      <c r="CJ193" s="1080">
        <v>0</v>
      </c>
      <c r="CK193" s="1080">
        <v>0</v>
      </c>
      <c r="CL193" s="1080">
        <v>0</v>
      </c>
      <c r="CM193" s="1080">
        <v>0</v>
      </c>
      <c r="CN193" s="1080">
        <v>0</v>
      </c>
      <c r="CO193" s="1073"/>
      <c r="CP193" s="1074">
        <v>0</v>
      </c>
    </row>
    <row r="194" spans="2:94">
      <c r="B194" s="1070">
        <v>76000000</v>
      </c>
      <c r="C194" s="1071" t="s">
        <v>2614</v>
      </c>
      <c r="D194" s="1072">
        <v>45778006680</v>
      </c>
      <c r="E194" s="1072">
        <v>638254721</v>
      </c>
      <c r="F194" s="1072">
        <v>4197406732</v>
      </c>
      <c r="G194" s="1072">
        <v>450336546</v>
      </c>
      <c r="H194" s="1072">
        <v>3456647</v>
      </c>
      <c r="I194" s="1072">
        <v>51067461326</v>
      </c>
      <c r="J194" s="1072">
        <v>0</v>
      </c>
      <c r="K194" s="1072">
        <v>0</v>
      </c>
      <c r="L194" s="1072">
        <v>50347699691</v>
      </c>
      <c r="N194" s="2171">
        <v>76000000</v>
      </c>
      <c r="O194" s="2172" t="s">
        <v>2614</v>
      </c>
      <c r="P194" s="2173">
        <v>25191877048</v>
      </c>
      <c r="Q194" s="2173">
        <v>375137757</v>
      </c>
      <c r="R194" s="2173">
        <v>3235049185</v>
      </c>
      <c r="S194" s="2173">
        <v>333951930</v>
      </c>
      <c r="T194" s="2173">
        <v>2308477</v>
      </c>
      <c r="U194" s="2173">
        <v>29138324397</v>
      </c>
      <c r="V194" s="2173">
        <v>0</v>
      </c>
      <c r="W194" s="2173">
        <v>0</v>
      </c>
      <c r="X194" s="2173">
        <v>28226849024</v>
      </c>
      <c r="Z194" s="2177">
        <v>76100000</v>
      </c>
      <c r="AA194" s="2178" t="s">
        <v>152</v>
      </c>
      <c r="AB194" s="2179">
        <v>63830682338</v>
      </c>
      <c r="AC194" s="2179">
        <v>1170415969</v>
      </c>
      <c r="AD194" s="2179">
        <v>6520495861</v>
      </c>
      <c r="AE194" s="2179">
        <v>367982556</v>
      </c>
      <c r="AF194" s="2179">
        <v>4604118</v>
      </c>
      <c r="AG194" s="2179">
        <v>71894180842</v>
      </c>
      <c r="AH194" s="2179">
        <v>454053538</v>
      </c>
      <c r="AI194" s="2179">
        <v>-27686046</v>
      </c>
      <c r="AJ194" s="2179">
        <v>72375920426</v>
      </c>
      <c r="AL194" s="1078">
        <v>76100000</v>
      </c>
      <c r="AM194" s="1079" t="s">
        <v>1786</v>
      </c>
      <c r="AN194" s="1080">
        <v>48044884928</v>
      </c>
      <c r="AO194" s="1080">
        <v>1049165310</v>
      </c>
      <c r="AP194" s="1080">
        <v>4204279688</v>
      </c>
      <c r="AQ194" s="1080">
        <v>320131274</v>
      </c>
      <c r="AR194" s="1080">
        <v>3476082</v>
      </c>
      <c r="AS194" s="1080">
        <v>53621937282</v>
      </c>
      <c r="AT194" s="1080">
        <v>-1146031825</v>
      </c>
      <c r="AU194" s="1080">
        <v>-61318380</v>
      </c>
      <c r="AV194" s="1080">
        <v>52537223837</v>
      </c>
      <c r="AW194" s="1073"/>
      <c r="AX194" s="1074">
        <v>52537223837</v>
      </c>
      <c r="AZ194" s="1078">
        <v>76100000</v>
      </c>
      <c r="BA194" s="1079" t="s">
        <v>1786</v>
      </c>
      <c r="BB194" s="1080">
        <v>63630739429</v>
      </c>
      <c r="BC194" s="1080">
        <v>258380802</v>
      </c>
      <c r="BD194" s="1080">
        <v>5603637037</v>
      </c>
      <c r="BE194" s="1080">
        <v>419077314</v>
      </c>
      <c r="BF194" s="1080">
        <v>6223196</v>
      </c>
      <c r="BG194" s="1080">
        <v>69918057778</v>
      </c>
      <c r="BH194" s="1080">
        <v>-541065655</v>
      </c>
      <c r="BI194" s="1080">
        <v>12588167</v>
      </c>
      <c r="BJ194" s="1080">
        <v>69364403956</v>
      </c>
      <c r="BK194" s="1073"/>
      <c r="BL194" s="1074">
        <v>69364403956</v>
      </c>
      <c r="BN194" s="1078">
        <v>76300000</v>
      </c>
      <c r="BO194" s="1079" t="s">
        <v>2616</v>
      </c>
      <c r="BP194" s="1080">
        <v>0</v>
      </c>
      <c r="BQ194" s="1080">
        <v>0</v>
      </c>
      <c r="BR194" s="1080">
        <v>0</v>
      </c>
      <c r="BS194" s="1080">
        <v>0</v>
      </c>
      <c r="BT194" s="1080">
        <v>0</v>
      </c>
      <c r="BU194" s="1080">
        <v>0</v>
      </c>
      <c r="BV194" s="1080">
        <v>0</v>
      </c>
      <c r="BW194" s="1080">
        <v>0</v>
      </c>
      <c r="BX194" s="1080">
        <v>0</v>
      </c>
      <c r="BY194" s="1073"/>
      <c r="BZ194" s="1074">
        <v>0</v>
      </c>
      <c r="CB194" s="1070">
        <v>81000000</v>
      </c>
      <c r="CC194" s="1071" t="s">
        <v>2617</v>
      </c>
      <c r="CD194" s="1072">
        <v>0</v>
      </c>
      <c r="CE194" s="1072">
        <v>0</v>
      </c>
      <c r="CF194" s="1072">
        <v>0</v>
      </c>
      <c r="CG194" s="1072">
        <v>0</v>
      </c>
      <c r="CH194" s="1072">
        <v>0</v>
      </c>
      <c r="CI194" s="1072">
        <v>0</v>
      </c>
      <c r="CJ194" s="1072">
        <v>0</v>
      </c>
      <c r="CK194" s="1072">
        <v>0</v>
      </c>
      <c r="CL194" s="1072">
        <v>0</v>
      </c>
      <c r="CM194" s="1072">
        <v>0</v>
      </c>
      <c r="CN194" s="1072">
        <v>0</v>
      </c>
      <c r="CO194" s="1073"/>
      <c r="CP194" s="1074"/>
    </row>
    <row r="195" spans="2:94">
      <c r="B195" s="1078">
        <v>76100000</v>
      </c>
      <c r="C195" s="1079" t="s">
        <v>1786</v>
      </c>
      <c r="D195" s="1080">
        <v>45778006680</v>
      </c>
      <c r="E195" s="1080">
        <v>638254721</v>
      </c>
      <c r="F195" s="1080">
        <v>4197406732</v>
      </c>
      <c r="G195" s="1080">
        <v>450336546</v>
      </c>
      <c r="H195" s="1080">
        <v>3456647</v>
      </c>
      <c r="I195" s="1080">
        <v>51067461326</v>
      </c>
      <c r="J195" s="1080">
        <v>-402604317</v>
      </c>
      <c r="K195" s="1080">
        <v>317157318</v>
      </c>
      <c r="L195" s="1080">
        <v>50347699691</v>
      </c>
      <c r="N195" s="2177">
        <v>76100000</v>
      </c>
      <c r="O195" s="2178" t="s">
        <v>152</v>
      </c>
      <c r="P195" s="2179">
        <v>25191877048</v>
      </c>
      <c r="Q195" s="2179">
        <v>375137757</v>
      </c>
      <c r="R195" s="2179">
        <v>3235049185</v>
      </c>
      <c r="S195" s="2179">
        <v>333951930</v>
      </c>
      <c r="T195" s="2179">
        <v>2308477</v>
      </c>
      <c r="U195" s="2179">
        <v>29138324397</v>
      </c>
      <c r="V195" s="2179">
        <v>-381428783</v>
      </c>
      <c r="W195" s="2179">
        <v>530046590</v>
      </c>
      <c r="X195" s="2179">
        <v>28226849024</v>
      </c>
      <c r="Z195" s="2177">
        <v>76200000</v>
      </c>
      <c r="AA195" s="2178" t="s">
        <v>2615</v>
      </c>
      <c r="AB195" s="2179">
        <v>0</v>
      </c>
      <c r="AC195" s="2179">
        <v>0</v>
      </c>
      <c r="AD195" s="2179">
        <v>0</v>
      </c>
      <c r="AE195" s="2179">
        <v>0</v>
      </c>
      <c r="AF195" s="2179">
        <v>0</v>
      </c>
      <c r="AG195" s="2179">
        <v>0</v>
      </c>
      <c r="AH195" s="2179">
        <v>0</v>
      </c>
      <c r="AI195" s="2179">
        <v>0</v>
      </c>
      <c r="AJ195" s="2179">
        <v>0</v>
      </c>
      <c r="AL195" s="1078">
        <v>76200000</v>
      </c>
      <c r="AM195" s="1079" t="s">
        <v>2615</v>
      </c>
      <c r="AN195" s="1080">
        <v>0</v>
      </c>
      <c r="AO195" s="1080">
        <v>0</v>
      </c>
      <c r="AP195" s="1080">
        <v>0</v>
      </c>
      <c r="AQ195" s="1080">
        <v>0</v>
      </c>
      <c r="AR195" s="1080">
        <v>0</v>
      </c>
      <c r="AS195" s="1080">
        <v>0</v>
      </c>
      <c r="AT195" s="1080">
        <v>0</v>
      </c>
      <c r="AU195" s="1080">
        <v>0</v>
      </c>
      <c r="AV195" s="1080">
        <v>0</v>
      </c>
      <c r="AW195" s="1073"/>
      <c r="AX195" s="1074">
        <v>0</v>
      </c>
      <c r="AZ195" s="1078">
        <v>76200000</v>
      </c>
      <c r="BA195" s="1079" t="s">
        <v>2615</v>
      </c>
      <c r="BB195" s="1080">
        <v>0</v>
      </c>
      <c r="BC195" s="1080">
        <v>0</v>
      </c>
      <c r="BD195" s="1080">
        <v>0</v>
      </c>
      <c r="BE195" s="1080">
        <v>0</v>
      </c>
      <c r="BF195" s="1080">
        <v>0</v>
      </c>
      <c r="BG195" s="1080">
        <v>0</v>
      </c>
      <c r="BH195" s="1080">
        <v>0</v>
      </c>
      <c r="BI195" s="1080">
        <v>0</v>
      </c>
      <c r="BJ195" s="1080">
        <v>0</v>
      </c>
      <c r="BK195" s="1073"/>
      <c r="BL195" s="1074">
        <v>0</v>
      </c>
      <c r="BN195" s="1070">
        <v>81000000</v>
      </c>
      <c r="BO195" s="1071" t="s">
        <v>2617</v>
      </c>
      <c r="BP195" s="1072">
        <v>0</v>
      </c>
      <c r="BQ195" s="1072">
        <v>0</v>
      </c>
      <c r="BR195" s="1072">
        <v>0</v>
      </c>
      <c r="BS195" s="1072">
        <v>0</v>
      </c>
      <c r="BT195" s="1072">
        <v>0</v>
      </c>
      <c r="BU195" s="1072">
        <v>0</v>
      </c>
      <c r="BV195" s="1072">
        <v>0</v>
      </c>
      <c r="BW195" s="1072">
        <v>0</v>
      </c>
      <c r="BX195" s="1072">
        <v>0</v>
      </c>
      <c r="BY195" s="1073"/>
      <c r="BZ195" s="1074"/>
      <c r="CB195" s="1078">
        <v>81100000</v>
      </c>
      <c r="CC195" s="1079" t="s">
        <v>2618</v>
      </c>
      <c r="CD195" s="1080">
        <v>0</v>
      </c>
      <c r="CE195" s="1080">
        <v>0</v>
      </c>
      <c r="CF195" s="1080">
        <v>0</v>
      </c>
      <c r="CG195" s="1080">
        <v>0</v>
      </c>
      <c r="CH195" s="1080">
        <v>0</v>
      </c>
      <c r="CI195" s="1080">
        <v>0</v>
      </c>
      <c r="CJ195" s="1080">
        <v>0</v>
      </c>
      <c r="CK195" s="1080">
        <v>0</v>
      </c>
      <c r="CL195" s="1080">
        <v>0</v>
      </c>
      <c r="CM195" s="1080">
        <v>0</v>
      </c>
      <c r="CN195" s="1080">
        <v>0</v>
      </c>
      <c r="CO195" s="1073"/>
      <c r="CP195" s="1074">
        <v>0</v>
      </c>
    </row>
    <row r="196" spans="2:94">
      <c r="B196" s="1078">
        <v>76200000</v>
      </c>
      <c r="C196" s="1079" t="s">
        <v>2615</v>
      </c>
      <c r="D196" s="1080">
        <v>0</v>
      </c>
      <c r="E196" s="1080">
        <v>0</v>
      </c>
      <c r="F196" s="1080">
        <v>0</v>
      </c>
      <c r="G196" s="1080">
        <v>0</v>
      </c>
      <c r="H196" s="1080">
        <v>0</v>
      </c>
      <c r="I196" s="1080">
        <v>0</v>
      </c>
      <c r="J196" s="1080">
        <v>0</v>
      </c>
      <c r="K196" s="1080">
        <v>0</v>
      </c>
      <c r="L196" s="1080">
        <v>0</v>
      </c>
      <c r="N196" s="2177">
        <v>76200000</v>
      </c>
      <c r="O196" s="2178" t="s">
        <v>2615</v>
      </c>
      <c r="P196" s="2179">
        <v>0</v>
      </c>
      <c r="Q196" s="2179">
        <v>0</v>
      </c>
      <c r="R196" s="2179">
        <v>0</v>
      </c>
      <c r="S196" s="2179">
        <v>0</v>
      </c>
      <c r="T196" s="2179">
        <v>0</v>
      </c>
      <c r="U196" s="2179">
        <v>0</v>
      </c>
      <c r="V196" s="2179">
        <v>0</v>
      </c>
      <c r="W196" s="2179">
        <v>0</v>
      </c>
      <c r="X196" s="2179">
        <v>0</v>
      </c>
      <c r="Z196" s="2177">
        <v>76300000</v>
      </c>
      <c r="AA196" s="2178" t="s">
        <v>2616</v>
      </c>
      <c r="AB196" s="2179">
        <v>0</v>
      </c>
      <c r="AC196" s="2179">
        <v>0</v>
      </c>
      <c r="AD196" s="2179">
        <v>0</v>
      </c>
      <c r="AE196" s="2179">
        <v>0</v>
      </c>
      <c r="AF196" s="2179">
        <v>0</v>
      </c>
      <c r="AG196" s="2179">
        <v>0</v>
      </c>
      <c r="AH196" s="2179">
        <v>0</v>
      </c>
      <c r="AI196" s="2179">
        <v>0</v>
      </c>
      <c r="AJ196" s="2179">
        <v>0</v>
      </c>
      <c r="AL196" s="1078">
        <v>76300000</v>
      </c>
      <c r="AM196" s="1079" t="s">
        <v>2616</v>
      </c>
      <c r="AN196" s="1080">
        <v>0</v>
      </c>
      <c r="AO196" s="1080">
        <v>0</v>
      </c>
      <c r="AP196" s="1080">
        <v>0</v>
      </c>
      <c r="AQ196" s="1080">
        <v>0</v>
      </c>
      <c r="AR196" s="1080">
        <v>0</v>
      </c>
      <c r="AS196" s="1080">
        <v>0</v>
      </c>
      <c r="AT196" s="1080">
        <v>0</v>
      </c>
      <c r="AU196" s="1080">
        <v>0</v>
      </c>
      <c r="AV196" s="1080">
        <v>0</v>
      </c>
      <c r="AW196" s="1073"/>
      <c r="AX196" s="1074">
        <v>0</v>
      </c>
      <c r="AZ196" s="1078">
        <v>76300000</v>
      </c>
      <c r="BA196" s="1079" t="s">
        <v>2616</v>
      </c>
      <c r="BB196" s="1080">
        <v>0</v>
      </c>
      <c r="BC196" s="1080">
        <v>0</v>
      </c>
      <c r="BD196" s="1080">
        <v>0</v>
      </c>
      <c r="BE196" s="1080">
        <v>0</v>
      </c>
      <c r="BF196" s="1080">
        <v>0</v>
      </c>
      <c r="BG196" s="1080">
        <v>0</v>
      </c>
      <c r="BH196" s="1080">
        <v>0</v>
      </c>
      <c r="BI196" s="1080">
        <v>0</v>
      </c>
      <c r="BJ196" s="1080">
        <v>0</v>
      </c>
      <c r="BK196" s="1073"/>
      <c r="BL196" s="1074">
        <v>0</v>
      </c>
      <c r="BN196" s="1078">
        <v>81100000</v>
      </c>
      <c r="BO196" s="1079" t="s">
        <v>2618</v>
      </c>
      <c r="BP196" s="1080">
        <v>0</v>
      </c>
      <c r="BQ196" s="1080">
        <v>0</v>
      </c>
      <c r="BR196" s="1080">
        <v>0</v>
      </c>
      <c r="BS196" s="1080">
        <v>0</v>
      </c>
      <c r="BT196" s="1080">
        <v>0</v>
      </c>
      <c r="BU196" s="1080">
        <v>0</v>
      </c>
      <c r="BV196" s="1080">
        <v>0</v>
      </c>
      <c r="BW196" s="1080">
        <v>0</v>
      </c>
      <c r="BX196" s="1080">
        <v>0</v>
      </c>
      <c r="BY196" s="1073"/>
      <c r="BZ196" s="1074">
        <v>0</v>
      </c>
      <c r="CB196" s="1078">
        <v>81200000</v>
      </c>
      <c r="CC196" s="1079" t="s">
        <v>2619</v>
      </c>
      <c r="CD196" s="1080">
        <v>0</v>
      </c>
      <c r="CE196" s="1080">
        <v>0</v>
      </c>
      <c r="CF196" s="1080">
        <v>0</v>
      </c>
      <c r="CG196" s="1080">
        <v>0</v>
      </c>
      <c r="CH196" s="1080">
        <v>0</v>
      </c>
      <c r="CI196" s="1080">
        <v>0</v>
      </c>
      <c r="CJ196" s="1080">
        <v>0</v>
      </c>
      <c r="CK196" s="1080">
        <v>0</v>
      </c>
      <c r="CL196" s="1080">
        <v>0</v>
      </c>
      <c r="CM196" s="1080"/>
      <c r="CN196" s="1080">
        <v>0</v>
      </c>
      <c r="CO196" s="1073"/>
      <c r="CP196" s="1074">
        <v>0</v>
      </c>
    </row>
    <row r="197" spans="2:94">
      <c r="B197" s="1078">
        <v>76300000</v>
      </c>
      <c r="C197" s="1079" t="s">
        <v>2616</v>
      </c>
      <c r="D197" s="1080">
        <v>0</v>
      </c>
      <c r="E197" s="1080">
        <v>0</v>
      </c>
      <c r="F197" s="1080">
        <v>0</v>
      </c>
      <c r="G197" s="1080">
        <v>0</v>
      </c>
      <c r="H197" s="1080">
        <v>0</v>
      </c>
      <c r="I197" s="1080">
        <v>0</v>
      </c>
      <c r="J197" s="1080">
        <v>0</v>
      </c>
      <c r="K197" s="1080">
        <v>0</v>
      </c>
      <c r="L197" s="1080">
        <v>0</v>
      </c>
      <c r="N197" s="2177">
        <v>76300000</v>
      </c>
      <c r="O197" s="2178" t="s">
        <v>2616</v>
      </c>
      <c r="P197" s="2179">
        <v>0</v>
      </c>
      <c r="Q197" s="2179">
        <v>0</v>
      </c>
      <c r="R197" s="2179">
        <v>0</v>
      </c>
      <c r="S197" s="2179">
        <v>0</v>
      </c>
      <c r="T197" s="2179">
        <v>0</v>
      </c>
      <c r="U197" s="2179">
        <v>0</v>
      </c>
      <c r="V197" s="2179">
        <v>0</v>
      </c>
      <c r="W197" s="2179">
        <v>0</v>
      </c>
      <c r="X197" s="2179">
        <v>0</v>
      </c>
      <c r="Z197" s="2171">
        <v>81000000</v>
      </c>
      <c r="AA197" s="2172" t="s">
        <v>2617</v>
      </c>
      <c r="AB197" s="2173">
        <v>0</v>
      </c>
      <c r="AC197" s="2173">
        <v>0</v>
      </c>
      <c r="AD197" s="2173">
        <v>0</v>
      </c>
      <c r="AE197" s="2173">
        <v>0</v>
      </c>
      <c r="AF197" s="2173">
        <v>0</v>
      </c>
      <c r="AG197" s="2173">
        <v>0</v>
      </c>
      <c r="AH197" s="2173">
        <v>0</v>
      </c>
      <c r="AI197" s="2173">
        <v>0</v>
      </c>
      <c r="AJ197" s="2173">
        <v>0</v>
      </c>
      <c r="AL197" s="1070">
        <v>81000000</v>
      </c>
      <c r="AM197" s="1071" t="s">
        <v>2617</v>
      </c>
      <c r="AN197" s="1072">
        <v>0</v>
      </c>
      <c r="AO197" s="1072">
        <v>0</v>
      </c>
      <c r="AP197" s="1072">
        <v>0</v>
      </c>
      <c r="AQ197" s="1072">
        <v>0</v>
      </c>
      <c r="AR197" s="1072">
        <v>0</v>
      </c>
      <c r="AS197" s="1072">
        <v>0</v>
      </c>
      <c r="AT197" s="1072">
        <v>0</v>
      </c>
      <c r="AU197" s="1072">
        <v>0</v>
      </c>
      <c r="AV197" s="1072">
        <v>0</v>
      </c>
      <c r="AW197" s="1073"/>
      <c r="AX197" s="1074"/>
      <c r="AZ197" s="1070">
        <v>81000000</v>
      </c>
      <c r="BA197" s="1071" t="s">
        <v>2617</v>
      </c>
      <c r="BB197" s="1072">
        <v>0</v>
      </c>
      <c r="BC197" s="1072">
        <v>0</v>
      </c>
      <c r="BD197" s="1072">
        <v>0</v>
      </c>
      <c r="BE197" s="1072">
        <v>0</v>
      </c>
      <c r="BF197" s="1072">
        <v>0</v>
      </c>
      <c r="BG197" s="1072">
        <v>0</v>
      </c>
      <c r="BH197" s="1072">
        <v>0</v>
      </c>
      <c r="BI197" s="1072">
        <v>0</v>
      </c>
      <c r="BJ197" s="1072">
        <v>0</v>
      </c>
      <c r="BK197" s="1073"/>
      <c r="BL197" s="1074"/>
      <c r="BN197" s="1078">
        <v>81200000</v>
      </c>
      <c r="BO197" s="1079" t="s">
        <v>2619</v>
      </c>
      <c r="BP197" s="1080">
        <v>0</v>
      </c>
      <c r="BQ197" s="1080">
        <v>0</v>
      </c>
      <c r="BR197" s="1080">
        <v>0</v>
      </c>
      <c r="BS197" s="1080">
        <v>0</v>
      </c>
      <c r="BT197" s="1080">
        <v>0</v>
      </c>
      <c r="BU197" s="1080">
        <v>0</v>
      </c>
      <c r="BV197" s="1080">
        <v>0</v>
      </c>
      <c r="BW197" s="1080"/>
      <c r="BX197" s="1080">
        <v>0</v>
      </c>
      <c r="BY197" s="1073"/>
      <c r="BZ197" s="1074">
        <v>0</v>
      </c>
      <c r="CB197" s="1078">
        <v>81300000</v>
      </c>
      <c r="CC197" s="1079" t="s">
        <v>2620</v>
      </c>
      <c r="CD197" s="1080">
        <v>0</v>
      </c>
      <c r="CE197" s="1080">
        <v>0</v>
      </c>
      <c r="CF197" s="1080">
        <v>0</v>
      </c>
      <c r="CG197" s="1080">
        <v>0</v>
      </c>
      <c r="CH197" s="1080">
        <v>0</v>
      </c>
      <c r="CI197" s="1080">
        <v>0</v>
      </c>
      <c r="CJ197" s="1080">
        <v>0</v>
      </c>
      <c r="CK197" s="1080">
        <v>0</v>
      </c>
      <c r="CL197" s="1080">
        <v>0</v>
      </c>
      <c r="CM197" s="1080">
        <v>0</v>
      </c>
      <c r="CN197" s="1080">
        <v>0</v>
      </c>
      <c r="CO197" s="1073"/>
      <c r="CP197" s="1074">
        <v>0</v>
      </c>
    </row>
    <row r="198" spans="2:94">
      <c r="B198" s="1070">
        <v>81000000</v>
      </c>
      <c r="C198" s="1071" t="s">
        <v>2617</v>
      </c>
      <c r="D198" s="1072">
        <v>0</v>
      </c>
      <c r="E198" s="1072">
        <v>0</v>
      </c>
      <c r="F198" s="1072">
        <v>0</v>
      </c>
      <c r="G198" s="1072">
        <v>0</v>
      </c>
      <c r="H198" s="1072">
        <v>0</v>
      </c>
      <c r="I198" s="1072">
        <v>0</v>
      </c>
      <c r="J198" s="1072">
        <v>0</v>
      </c>
      <c r="K198" s="1072">
        <v>0</v>
      </c>
      <c r="L198" s="1072">
        <v>0</v>
      </c>
      <c r="N198" s="2171">
        <v>81000000</v>
      </c>
      <c r="O198" s="2172" t="s">
        <v>2617</v>
      </c>
      <c r="P198" s="2173">
        <v>0</v>
      </c>
      <c r="Q198" s="2173">
        <v>0</v>
      </c>
      <c r="R198" s="2173">
        <v>0</v>
      </c>
      <c r="S198" s="2173">
        <v>0</v>
      </c>
      <c r="T198" s="2173">
        <v>0</v>
      </c>
      <c r="U198" s="2173">
        <v>0</v>
      </c>
      <c r="V198" s="2173">
        <v>0</v>
      </c>
      <c r="W198" s="2173">
        <v>0</v>
      </c>
      <c r="X198" s="2173">
        <v>0</v>
      </c>
      <c r="Z198" s="2177">
        <v>81100000</v>
      </c>
      <c r="AA198" s="2178" t="s">
        <v>2618</v>
      </c>
      <c r="AB198" s="2179">
        <v>0</v>
      </c>
      <c r="AC198" s="2179">
        <v>0</v>
      </c>
      <c r="AD198" s="2179">
        <v>0</v>
      </c>
      <c r="AE198" s="2179">
        <v>0</v>
      </c>
      <c r="AF198" s="2179">
        <v>0</v>
      </c>
      <c r="AG198" s="2179">
        <v>0</v>
      </c>
      <c r="AH198" s="2179">
        <v>0</v>
      </c>
      <c r="AI198" s="2179">
        <v>0</v>
      </c>
      <c r="AJ198" s="2179">
        <v>0</v>
      </c>
      <c r="AL198" s="1078">
        <v>81100000</v>
      </c>
      <c r="AM198" s="1079" t="s">
        <v>2618</v>
      </c>
      <c r="AN198" s="1080">
        <v>0</v>
      </c>
      <c r="AO198" s="1080">
        <v>0</v>
      </c>
      <c r="AP198" s="1080">
        <v>0</v>
      </c>
      <c r="AQ198" s="1080">
        <v>0</v>
      </c>
      <c r="AR198" s="1080">
        <v>0</v>
      </c>
      <c r="AS198" s="1080">
        <v>0</v>
      </c>
      <c r="AT198" s="1080">
        <v>0</v>
      </c>
      <c r="AU198" s="1080">
        <v>0</v>
      </c>
      <c r="AV198" s="1080">
        <v>0</v>
      </c>
      <c r="AW198" s="1073"/>
      <c r="AX198" s="1074">
        <v>0</v>
      </c>
      <c r="AZ198" s="1078">
        <v>81100000</v>
      </c>
      <c r="BA198" s="1079" t="s">
        <v>2618</v>
      </c>
      <c r="BB198" s="1080">
        <v>0</v>
      </c>
      <c r="BC198" s="1080">
        <v>0</v>
      </c>
      <c r="BD198" s="1080">
        <v>0</v>
      </c>
      <c r="BE198" s="1080">
        <v>0</v>
      </c>
      <c r="BF198" s="1080">
        <v>0</v>
      </c>
      <c r="BG198" s="1080">
        <v>0</v>
      </c>
      <c r="BH198" s="1080">
        <v>0</v>
      </c>
      <c r="BI198" s="1080">
        <v>0</v>
      </c>
      <c r="BJ198" s="1080">
        <v>0</v>
      </c>
      <c r="BK198" s="1073"/>
      <c r="BL198" s="1074">
        <v>0</v>
      </c>
      <c r="BN198" s="1078">
        <v>81300000</v>
      </c>
      <c r="BO198" s="1079" t="s">
        <v>2620</v>
      </c>
      <c r="BP198" s="1080">
        <v>0</v>
      </c>
      <c r="BQ198" s="1080">
        <v>0</v>
      </c>
      <c r="BR198" s="1080">
        <v>0</v>
      </c>
      <c r="BS198" s="1080">
        <v>0</v>
      </c>
      <c r="BT198" s="1080">
        <v>0</v>
      </c>
      <c r="BU198" s="1080">
        <v>0</v>
      </c>
      <c r="BV198" s="1080">
        <v>0</v>
      </c>
      <c r="BW198" s="1080">
        <v>0</v>
      </c>
      <c r="BX198" s="1080">
        <v>0</v>
      </c>
      <c r="BY198" s="1073"/>
      <c r="BZ198" s="1074">
        <v>0</v>
      </c>
      <c r="CB198" s="1070">
        <v>82000000</v>
      </c>
      <c r="CC198" s="1071" t="s">
        <v>2621</v>
      </c>
      <c r="CD198" s="1072">
        <v>0</v>
      </c>
      <c r="CE198" s="1072">
        <v>0</v>
      </c>
      <c r="CF198" s="1072">
        <v>0</v>
      </c>
      <c r="CG198" s="1072">
        <v>0</v>
      </c>
      <c r="CH198" s="1072">
        <v>0</v>
      </c>
      <c r="CI198" s="1072">
        <v>0</v>
      </c>
      <c r="CJ198" s="1072">
        <v>0</v>
      </c>
      <c r="CK198" s="1072">
        <v>0</v>
      </c>
      <c r="CL198" s="1072">
        <v>0</v>
      </c>
      <c r="CM198" s="1072">
        <v>0</v>
      </c>
      <c r="CN198" s="1072">
        <v>0</v>
      </c>
      <c r="CO198" s="1073"/>
      <c r="CP198" s="1074"/>
    </row>
    <row r="199" spans="2:94">
      <c r="B199" s="1078">
        <v>81100000</v>
      </c>
      <c r="C199" s="1079" t="s">
        <v>2618</v>
      </c>
      <c r="D199" s="1080">
        <v>0</v>
      </c>
      <c r="E199" s="1080">
        <v>0</v>
      </c>
      <c r="F199" s="1080">
        <v>0</v>
      </c>
      <c r="G199" s="1080">
        <v>0</v>
      </c>
      <c r="H199" s="1080">
        <v>0</v>
      </c>
      <c r="I199" s="1080">
        <v>0</v>
      </c>
      <c r="J199" s="1080">
        <v>0</v>
      </c>
      <c r="K199" s="1080">
        <v>0</v>
      </c>
      <c r="L199" s="1080">
        <v>0</v>
      </c>
      <c r="N199" s="2177">
        <v>81100000</v>
      </c>
      <c r="O199" s="2178" t="s">
        <v>2618</v>
      </c>
      <c r="P199" s="2179">
        <v>0</v>
      </c>
      <c r="Q199" s="2179">
        <v>0</v>
      </c>
      <c r="R199" s="2179">
        <v>0</v>
      </c>
      <c r="S199" s="2179">
        <v>0</v>
      </c>
      <c r="T199" s="2179">
        <v>0</v>
      </c>
      <c r="U199" s="2179">
        <v>0</v>
      </c>
      <c r="V199" s="2179">
        <v>0</v>
      </c>
      <c r="W199" s="2179">
        <v>0</v>
      </c>
      <c r="X199" s="2179">
        <v>0</v>
      </c>
      <c r="Z199" s="2177">
        <v>81200000</v>
      </c>
      <c r="AA199" s="2178" t="s">
        <v>2619</v>
      </c>
      <c r="AB199" s="2179">
        <v>0</v>
      </c>
      <c r="AC199" s="2179">
        <v>0</v>
      </c>
      <c r="AD199" s="2179">
        <v>0</v>
      </c>
      <c r="AE199" s="2179">
        <v>0</v>
      </c>
      <c r="AF199" s="2179">
        <v>0</v>
      </c>
      <c r="AG199" s="2179">
        <v>0</v>
      </c>
      <c r="AH199" s="2179">
        <v>0</v>
      </c>
      <c r="AI199" s="2179"/>
      <c r="AJ199" s="2179">
        <v>0</v>
      </c>
      <c r="AL199" s="1078">
        <v>81200000</v>
      </c>
      <c r="AM199" s="1079" t="s">
        <v>2619</v>
      </c>
      <c r="AN199" s="1080">
        <v>0</v>
      </c>
      <c r="AO199" s="1080">
        <v>0</v>
      </c>
      <c r="AP199" s="1080">
        <v>0</v>
      </c>
      <c r="AQ199" s="1080">
        <v>0</v>
      </c>
      <c r="AR199" s="1080">
        <v>0</v>
      </c>
      <c r="AS199" s="1080">
        <v>0</v>
      </c>
      <c r="AT199" s="1080">
        <v>0</v>
      </c>
      <c r="AU199" s="1080"/>
      <c r="AV199" s="1080">
        <v>0</v>
      </c>
      <c r="AW199" s="1073"/>
      <c r="AX199" s="1074">
        <v>0</v>
      </c>
      <c r="AZ199" s="1078">
        <v>81200000</v>
      </c>
      <c r="BA199" s="1079" t="s">
        <v>2619</v>
      </c>
      <c r="BB199" s="1080">
        <v>0</v>
      </c>
      <c r="BC199" s="1080">
        <v>0</v>
      </c>
      <c r="BD199" s="1080">
        <v>0</v>
      </c>
      <c r="BE199" s="1080">
        <v>0</v>
      </c>
      <c r="BF199" s="1080">
        <v>0</v>
      </c>
      <c r="BG199" s="1080">
        <v>0</v>
      </c>
      <c r="BH199" s="1080">
        <v>0</v>
      </c>
      <c r="BI199" s="1080"/>
      <c r="BJ199" s="1080">
        <v>0</v>
      </c>
      <c r="BK199" s="1073"/>
      <c r="BL199" s="1074">
        <v>0</v>
      </c>
      <c r="BN199" s="1070">
        <v>82000000</v>
      </c>
      <c r="BO199" s="1071" t="s">
        <v>2621</v>
      </c>
      <c r="BP199" s="1072">
        <v>0</v>
      </c>
      <c r="BQ199" s="1072">
        <v>0</v>
      </c>
      <c r="BR199" s="1072">
        <v>0</v>
      </c>
      <c r="BS199" s="1072">
        <v>0</v>
      </c>
      <c r="BT199" s="1072">
        <v>0</v>
      </c>
      <c r="BU199" s="1072">
        <v>0</v>
      </c>
      <c r="BV199" s="1072">
        <v>0</v>
      </c>
      <c r="BW199" s="1072">
        <v>0</v>
      </c>
      <c r="BX199" s="1072">
        <v>0</v>
      </c>
      <c r="BY199" s="1073"/>
      <c r="BZ199" s="1074"/>
      <c r="CB199" s="1078">
        <v>82100000</v>
      </c>
      <c r="CC199" s="1079" t="s">
        <v>2621</v>
      </c>
      <c r="CD199" s="1080">
        <v>0</v>
      </c>
      <c r="CE199" s="1080">
        <v>0</v>
      </c>
      <c r="CF199" s="1080">
        <v>0</v>
      </c>
      <c r="CG199" s="1080">
        <v>0</v>
      </c>
      <c r="CH199" s="1080">
        <v>0</v>
      </c>
      <c r="CI199" s="1080">
        <v>0</v>
      </c>
      <c r="CJ199" s="1080">
        <v>0</v>
      </c>
      <c r="CK199" s="1080">
        <v>0</v>
      </c>
      <c r="CL199" s="1080">
        <v>0</v>
      </c>
      <c r="CM199" s="1080">
        <v>0</v>
      </c>
      <c r="CN199" s="1080">
        <v>0</v>
      </c>
      <c r="CO199" s="1073"/>
      <c r="CP199" s="1074">
        <v>0</v>
      </c>
    </row>
    <row r="200" spans="2:94">
      <c r="B200" s="1078">
        <v>81200000</v>
      </c>
      <c r="C200" s="1079" t="s">
        <v>2619</v>
      </c>
      <c r="D200" s="1080">
        <v>0</v>
      </c>
      <c r="E200" s="1080">
        <v>0</v>
      </c>
      <c r="F200" s="1080">
        <v>0</v>
      </c>
      <c r="G200" s="1080">
        <v>0</v>
      </c>
      <c r="H200" s="1080">
        <v>0</v>
      </c>
      <c r="I200" s="1080">
        <v>0</v>
      </c>
      <c r="J200" s="1080">
        <v>0</v>
      </c>
      <c r="K200" s="1080"/>
      <c r="L200" s="1080">
        <v>0</v>
      </c>
      <c r="N200" s="2177">
        <v>81200000</v>
      </c>
      <c r="O200" s="2178" t="s">
        <v>2619</v>
      </c>
      <c r="P200" s="2179">
        <v>0</v>
      </c>
      <c r="Q200" s="2179">
        <v>0</v>
      </c>
      <c r="R200" s="2179">
        <v>0</v>
      </c>
      <c r="S200" s="2179">
        <v>0</v>
      </c>
      <c r="T200" s="2179">
        <v>0</v>
      </c>
      <c r="U200" s="2179">
        <v>0</v>
      </c>
      <c r="V200" s="2179">
        <v>0</v>
      </c>
      <c r="W200" s="2179"/>
      <c r="X200" s="2179">
        <v>0</v>
      </c>
      <c r="Z200" s="2177">
        <v>81300000</v>
      </c>
      <c r="AA200" s="2178" t="s">
        <v>2620</v>
      </c>
      <c r="AB200" s="2179">
        <v>0</v>
      </c>
      <c r="AC200" s="2179">
        <v>0</v>
      </c>
      <c r="AD200" s="2179">
        <v>0</v>
      </c>
      <c r="AE200" s="2179">
        <v>0</v>
      </c>
      <c r="AF200" s="2179">
        <v>0</v>
      </c>
      <c r="AG200" s="2179">
        <v>0</v>
      </c>
      <c r="AH200" s="2179">
        <v>0</v>
      </c>
      <c r="AI200" s="2179">
        <v>0</v>
      </c>
      <c r="AJ200" s="2179">
        <v>0</v>
      </c>
      <c r="AL200" s="1078">
        <v>81300000</v>
      </c>
      <c r="AM200" s="1079" t="s">
        <v>2620</v>
      </c>
      <c r="AN200" s="1080">
        <v>0</v>
      </c>
      <c r="AO200" s="1080">
        <v>0</v>
      </c>
      <c r="AP200" s="1080">
        <v>0</v>
      </c>
      <c r="AQ200" s="1080">
        <v>0</v>
      </c>
      <c r="AR200" s="1080">
        <v>0</v>
      </c>
      <c r="AS200" s="1080">
        <v>0</v>
      </c>
      <c r="AT200" s="1080">
        <v>0</v>
      </c>
      <c r="AU200" s="1080">
        <v>0</v>
      </c>
      <c r="AV200" s="1080">
        <v>0</v>
      </c>
      <c r="AW200" s="1073"/>
      <c r="AX200" s="1074">
        <v>0</v>
      </c>
      <c r="AZ200" s="1078">
        <v>81300000</v>
      </c>
      <c r="BA200" s="1079" t="s">
        <v>2620</v>
      </c>
      <c r="BB200" s="1080">
        <v>0</v>
      </c>
      <c r="BC200" s="1080">
        <v>0</v>
      </c>
      <c r="BD200" s="1080">
        <v>0</v>
      </c>
      <c r="BE200" s="1080">
        <v>0</v>
      </c>
      <c r="BF200" s="1080">
        <v>0</v>
      </c>
      <c r="BG200" s="1080">
        <v>0</v>
      </c>
      <c r="BH200" s="1080">
        <v>0</v>
      </c>
      <c r="BI200" s="1080">
        <v>0</v>
      </c>
      <c r="BJ200" s="1080">
        <v>0</v>
      </c>
      <c r="BK200" s="1073"/>
      <c r="BL200" s="1074">
        <v>0</v>
      </c>
      <c r="BN200" s="1078">
        <v>82100000</v>
      </c>
      <c r="BO200" s="1079" t="s">
        <v>2621</v>
      </c>
      <c r="BP200" s="1080">
        <v>0</v>
      </c>
      <c r="BQ200" s="1080">
        <v>0</v>
      </c>
      <c r="BR200" s="1080">
        <v>0</v>
      </c>
      <c r="BS200" s="1080">
        <v>0</v>
      </c>
      <c r="BT200" s="1080">
        <v>0</v>
      </c>
      <c r="BU200" s="1080">
        <v>0</v>
      </c>
      <c r="BV200" s="1080">
        <v>0</v>
      </c>
      <c r="BW200" s="1080">
        <v>0</v>
      </c>
      <c r="BX200" s="1080">
        <v>0</v>
      </c>
      <c r="BY200" s="1073"/>
      <c r="BZ200" s="1074">
        <v>0</v>
      </c>
      <c r="CB200" s="1070">
        <v>88000000</v>
      </c>
      <c r="CC200" s="1071" t="s">
        <v>2622</v>
      </c>
      <c r="CD200" s="1072">
        <v>216785688657</v>
      </c>
      <c r="CE200" s="1072">
        <v>2295583207</v>
      </c>
      <c r="CF200" s="1072">
        <v>0</v>
      </c>
      <c r="CG200" s="1072">
        <v>29387036748</v>
      </c>
      <c r="CH200" s="1072">
        <v>0</v>
      </c>
      <c r="CI200" s="1072">
        <v>547607582</v>
      </c>
      <c r="CJ200" s="1072">
        <v>1429212610</v>
      </c>
      <c r="CK200" s="1072">
        <v>250445128804</v>
      </c>
      <c r="CL200" s="1072">
        <v>0</v>
      </c>
      <c r="CM200" s="1072">
        <v>0</v>
      </c>
      <c r="CN200" s="1072">
        <v>250309613187</v>
      </c>
      <c r="CO200" s="1073"/>
      <c r="CP200" s="1074"/>
    </row>
    <row r="201" spans="2:94">
      <c r="B201" s="1078">
        <v>81300000</v>
      </c>
      <c r="C201" s="1079" t="s">
        <v>2620</v>
      </c>
      <c r="D201" s="1080">
        <v>0</v>
      </c>
      <c r="E201" s="1080">
        <v>0</v>
      </c>
      <c r="F201" s="1080">
        <v>0</v>
      </c>
      <c r="G201" s="1080">
        <v>0</v>
      </c>
      <c r="H201" s="1080">
        <v>0</v>
      </c>
      <c r="I201" s="1080">
        <v>0</v>
      </c>
      <c r="J201" s="1080">
        <v>0</v>
      </c>
      <c r="K201" s="1080">
        <v>0</v>
      </c>
      <c r="L201" s="1080">
        <v>0</v>
      </c>
      <c r="N201" s="2177">
        <v>81300000</v>
      </c>
      <c r="O201" s="2178" t="s">
        <v>2620</v>
      </c>
      <c r="P201" s="2179">
        <v>0</v>
      </c>
      <c r="Q201" s="2179">
        <v>0</v>
      </c>
      <c r="R201" s="2179">
        <v>0</v>
      </c>
      <c r="S201" s="2179">
        <v>0</v>
      </c>
      <c r="T201" s="2179">
        <v>0</v>
      </c>
      <c r="U201" s="2179">
        <v>0</v>
      </c>
      <c r="V201" s="2179">
        <v>0</v>
      </c>
      <c r="W201" s="2179">
        <v>0</v>
      </c>
      <c r="X201" s="2179">
        <v>0</v>
      </c>
      <c r="Z201" s="2171">
        <v>82000000</v>
      </c>
      <c r="AA201" s="2172" t="s">
        <v>2621</v>
      </c>
      <c r="AB201" s="2173">
        <v>0</v>
      </c>
      <c r="AC201" s="2173">
        <v>0</v>
      </c>
      <c r="AD201" s="2173">
        <v>0</v>
      </c>
      <c r="AE201" s="2173">
        <v>0</v>
      </c>
      <c r="AF201" s="2173">
        <v>0</v>
      </c>
      <c r="AG201" s="2173">
        <v>0</v>
      </c>
      <c r="AH201" s="2173">
        <v>0</v>
      </c>
      <c r="AI201" s="2173">
        <v>0</v>
      </c>
      <c r="AJ201" s="2173">
        <v>0</v>
      </c>
      <c r="AL201" s="1070">
        <v>82000000</v>
      </c>
      <c r="AM201" s="1071" t="s">
        <v>2621</v>
      </c>
      <c r="AN201" s="1072">
        <v>0</v>
      </c>
      <c r="AO201" s="1072">
        <v>0</v>
      </c>
      <c r="AP201" s="1072">
        <v>0</v>
      </c>
      <c r="AQ201" s="1072">
        <v>0</v>
      </c>
      <c r="AR201" s="1072">
        <v>0</v>
      </c>
      <c r="AS201" s="1072">
        <v>0</v>
      </c>
      <c r="AT201" s="1072">
        <v>0</v>
      </c>
      <c r="AU201" s="1072">
        <v>0</v>
      </c>
      <c r="AV201" s="1072">
        <v>0</v>
      </c>
      <c r="AW201" s="1073"/>
      <c r="AX201" s="1074"/>
      <c r="AZ201" s="1070">
        <v>82000000</v>
      </c>
      <c r="BA201" s="1071" t="s">
        <v>2621</v>
      </c>
      <c r="BB201" s="1072">
        <v>0</v>
      </c>
      <c r="BC201" s="1072">
        <v>0</v>
      </c>
      <c r="BD201" s="1072">
        <v>0</v>
      </c>
      <c r="BE201" s="1072">
        <v>0</v>
      </c>
      <c r="BF201" s="1072">
        <v>0</v>
      </c>
      <c r="BG201" s="1072">
        <v>0</v>
      </c>
      <c r="BH201" s="1072">
        <v>0</v>
      </c>
      <c r="BI201" s="1072">
        <v>0</v>
      </c>
      <c r="BJ201" s="1072">
        <v>0</v>
      </c>
      <c r="BK201" s="1073"/>
      <c r="BL201" s="1074"/>
      <c r="BN201" s="1070">
        <v>88000000</v>
      </c>
      <c r="BO201" s="1071" t="s">
        <v>2622</v>
      </c>
      <c r="BP201" s="1072">
        <v>179251819542</v>
      </c>
      <c r="BQ201" s="1072">
        <v>2615818760</v>
      </c>
      <c r="BR201" s="1072">
        <v>29146041411</v>
      </c>
      <c r="BS201" s="1072">
        <v>554281587</v>
      </c>
      <c r="BT201" s="1072">
        <v>2606668114</v>
      </c>
      <c r="BU201" s="1072">
        <v>214174629414</v>
      </c>
      <c r="BV201" s="1072">
        <v>0</v>
      </c>
      <c r="BW201" s="1072">
        <v>0</v>
      </c>
      <c r="BX201" s="1072">
        <v>190694315504</v>
      </c>
      <c r="BY201" s="1073"/>
      <c r="BZ201" s="1074"/>
      <c r="CB201" s="1078">
        <v>88100000</v>
      </c>
      <c r="CC201" s="1079" t="s">
        <v>2623</v>
      </c>
      <c r="CD201" s="1080">
        <v>0</v>
      </c>
      <c r="CE201" s="1080">
        <v>0</v>
      </c>
      <c r="CF201" s="1080">
        <v>0</v>
      </c>
      <c r="CG201" s="1080">
        <v>0</v>
      </c>
      <c r="CH201" s="1080">
        <v>0</v>
      </c>
      <c r="CI201" s="1080">
        <v>0</v>
      </c>
      <c r="CJ201" s="1080">
        <v>0</v>
      </c>
      <c r="CK201" s="1080">
        <v>0</v>
      </c>
      <c r="CL201" s="1080">
        <v>0</v>
      </c>
      <c r="CM201" s="1080">
        <v>0</v>
      </c>
      <c r="CN201" s="1080">
        <v>0</v>
      </c>
      <c r="CO201" s="1073"/>
      <c r="CP201" s="1085">
        <v>0</v>
      </c>
    </row>
    <row r="202" spans="2:94">
      <c r="B202" s="1070">
        <v>82000000</v>
      </c>
      <c r="C202" s="1071" t="s">
        <v>2621</v>
      </c>
      <c r="D202" s="1072">
        <v>0</v>
      </c>
      <c r="E202" s="1072">
        <v>0</v>
      </c>
      <c r="F202" s="1072">
        <v>0</v>
      </c>
      <c r="G202" s="1072">
        <v>0</v>
      </c>
      <c r="H202" s="1072">
        <v>0</v>
      </c>
      <c r="I202" s="1072">
        <v>0</v>
      </c>
      <c r="J202" s="1072">
        <v>0</v>
      </c>
      <c r="K202" s="1072">
        <v>0</v>
      </c>
      <c r="L202" s="1072">
        <v>0</v>
      </c>
      <c r="N202" s="2171">
        <v>82000000</v>
      </c>
      <c r="O202" s="2172" t="s">
        <v>2621</v>
      </c>
      <c r="P202" s="2173">
        <v>0</v>
      </c>
      <c r="Q202" s="2173">
        <v>0</v>
      </c>
      <c r="R202" s="2173">
        <v>0</v>
      </c>
      <c r="S202" s="2173">
        <v>0</v>
      </c>
      <c r="T202" s="2173">
        <v>0</v>
      </c>
      <c r="U202" s="2173">
        <v>0</v>
      </c>
      <c r="V202" s="2173">
        <v>0</v>
      </c>
      <c r="W202" s="2173">
        <v>0</v>
      </c>
      <c r="X202" s="2173">
        <v>0</v>
      </c>
      <c r="Z202" s="2177">
        <v>82100000</v>
      </c>
      <c r="AA202" s="2178" t="s">
        <v>2621</v>
      </c>
      <c r="AB202" s="2179">
        <v>0</v>
      </c>
      <c r="AC202" s="2179">
        <v>0</v>
      </c>
      <c r="AD202" s="2179">
        <v>0</v>
      </c>
      <c r="AE202" s="2179">
        <v>0</v>
      </c>
      <c r="AF202" s="2179">
        <v>0</v>
      </c>
      <c r="AG202" s="2179">
        <v>0</v>
      </c>
      <c r="AH202" s="2179">
        <v>0</v>
      </c>
      <c r="AI202" s="2179">
        <v>0</v>
      </c>
      <c r="AJ202" s="2179">
        <v>0</v>
      </c>
      <c r="AL202" s="1078">
        <v>82100000</v>
      </c>
      <c r="AM202" s="1079" t="s">
        <v>2621</v>
      </c>
      <c r="AN202" s="1080">
        <v>0</v>
      </c>
      <c r="AO202" s="1080">
        <v>0</v>
      </c>
      <c r="AP202" s="1080">
        <v>0</v>
      </c>
      <c r="AQ202" s="1080">
        <v>0</v>
      </c>
      <c r="AR202" s="1080">
        <v>0</v>
      </c>
      <c r="AS202" s="1080">
        <v>0</v>
      </c>
      <c r="AT202" s="1080">
        <v>0</v>
      </c>
      <c r="AU202" s="1080">
        <v>0</v>
      </c>
      <c r="AV202" s="1080">
        <v>0</v>
      </c>
      <c r="AW202" s="1073"/>
      <c r="AX202" s="1074">
        <v>0</v>
      </c>
      <c r="AZ202" s="1078">
        <v>82100000</v>
      </c>
      <c r="BA202" s="1079" t="s">
        <v>2621</v>
      </c>
      <c r="BB202" s="1080">
        <v>0</v>
      </c>
      <c r="BC202" s="1080">
        <v>0</v>
      </c>
      <c r="BD202" s="1080">
        <v>0</v>
      </c>
      <c r="BE202" s="1080">
        <v>0</v>
      </c>
      <c r="BF202" s="1080">
        <v>0</v>
      </c>
      <c r="BG202" s="1080">
        <v>0</v>
      </c>
      <c r="BH202" s="1080">
        <v>0</v>
      </c>
      <c r="BI202" s="1080">
        <v>0</v>
      </c>
      <c r="BJ202" s="1080">
        <v>0</v>
      </c>
      <c r="BK202" s="1073"/>
      <c r="BL202" s="1074">
        <v>0</v>
      </c>
      <c r="BN202" s="1078">
        <v>88100000</v>
      </c>
      <c r="BO202" s="1079" t="s">
        <v>2623</v>
      </c>
      <c r="BP202" s="1080">
        <v>0</v>
      </c>
      <c r="BQ202" s="1080">
        <v>0</v>
      </c>
      <c r="BR202" s="1080">
        <v>0</v>
      </c>
      <c r="BS202" s="1080">
        <v>0</v>
      </c>
      <c r="BT202" s="1080">
        <v>0</v>
      </c>
      <c r="BU202" s="1080">
        <v>0</v>
      </c>
      <c r="BV202" s="1080">
        <v>0</v>
      </c>
      <c r="BW202" s="1080">
        <v>0</v>
      </c>
      <c r="BX202" s="1080">
        <v>0</v>
      </c>
      <c r="BY202" s="1073"/>
      <c r="BZ202" s="1085">
        <v>0</v>
      </c>
      <c r="CB202" s="1086">
        <v>88900000</v>
      </c>
      <c r="CC202" s="1087" t="s">
        <v>2624</v>
      </c>
      <c r="CD202" s="1088">
        <v>-216785688657</v>
      </c>
      <c r="CE202" s="1088">
        <v>-2295583207</v>
      </c>
      <c r="CF202" s="1088">
        <v>0</v>
      </c>
      <c r="CG202" s="1088">
        <v>-29387036748</v>
      </c>
      <c r="CH202" s="1088">
        <v>0</v>
      </c>
      <c r="CI202" s="1088">
        <v>-547607582</v>
      </c>
      <c r="CJ202" s="1088">
        <v>-1429212610</v>
      </c>
      <c r="CK202" s="1088">
        <v>-250445128804</v>
      </c>
      <c r="CL202" s="1088">
        <v>0</v>
      </c>
      <c r="CM202" s="1088">
        <v>135515617</v>
      </c>
      <c r="CN202" s="1088">
        <v>250309613187</v>
      </c>
      <c r="CO202" s="1073"/>
    </row>
    <row r="203" spans="2:94" ht="14.25" thickBot="1">
      <c r="B203" s="1078">
        <v>82100000</v>
      </c>
      <c r="C203" s="1079" t="s">
        <v>2621</v>
      </c>
      <c r="D203" s="1080">
        <v>0</v>
      </c>
      <c r="E203" s="1080">
        <v>0</v>
      </c>
      <c r="F203" s="1080">
        <v>0</v>
      </c>
      <c r="G203" s="1080">
        <v>0</v>
      </c>
      <c r="H203" s="1080">
        <v>0</v>
      </c>
      <c r="I203" s="1080">
        <v>0</v>
      </c>
      <c r="J203" s="1080">
        <v>0</v>
      </c>
      <c r="K203" s="1080">
        <v>0</v>
      </c>
      <c r="L203" s="1080">
        <v>0</v>
      </c>
      <c r="N203" s="2177">
        <v>82100000</v>
      </c>
      <c r="O203" s="2178" t="s">
        <v>2621</v>
      </c>
      <c r="P203" s="2179">
        <v>0</v>
      </c>
      <c r="Q203" s="2179">
        <v>0</v>
      </c>
      <c r="R203" s="2179">
        <v>0</v>
      </c>
      <c r="S203" s="2179">
        <v>0</v>
      </c>
      <c r="T203" s="2179">
        <v>0</v>
      </c>
      <c r="U203" s="2179">
        <v>0</v>
      </c>
      <c r="V203" s="2179">
        <v>0</v>
      </c>
      <c r="W203" s="2179">
        <v>0</v>
      </c>
      <c r="X203" s="2179">
        <v>0</v>
      </c>
      <c r="Z203" s="2171">
        <v>88000000</v>
      </c>
      <c r="AA203" s="2172" t="s">
        <v>2622</v>
      </c>
      <c r="AB203" s="2173">
        <v>170931927711</v>
      </c>
      <c r="AC203" s="2173">
        <v>4097383921</v>
      </c>
      <c r="AD203" s="2173">
        <v>23358386648</v>
      </c>
      <c r="AE203" s="2173">
        <v>1475786618</v>
      </c>
      <c r="AF203" s="2173">
        <v>1191962369</v>
      </c>
      <c r="AG203" s="2173">
        <v>201055447267</v>
      </c>
      <c r="AH203" s="2173">
        <v>0</v>
      </c>
      <c r="AI203" s="2173">
        <v>0</v>
      </c>
      <c r="AJ203" s="2173">
        <v>199250797663</v>
      </c>
      <c r="AL203" s="1070">
        <v>88000000</v>
      </c>
      <c r="AM203" s="1071" t="s">
        <v>2622</v>
      </c>
      <c r="AN203" s="1072">
        <v>131066521401</v>
      </c>
      <c r="AO203" s="1072">
        <v>3748659671</v>
      </c>
      <c r="AP203" s="1072">
        <v>14906082536</v>
      </c>
      <c r="AQ203" s="1072">
        <v>1131203310</v>
      </c>
      <c r="AR203" s="1072">
        <v>1155429188</v>
      </c>
      <c r="AS203" s="1072">
        <v>152007896106</v>
      </c>
      <c r="AT203" s="1072">
        <v>0</v>
      </c>
      <c r="AU203" s="1072">
        <v>0</v>
      </c>
      <c r="AV203" s="1072">
        <v>144251686445</v>
      </c>
      <c r="AW203" s="1073"/>
      <c r="AX203" s="1074"/>
      <c r="AZ203" s="1070">
        <v>88000000</v>
      </c>
      <c r="BA203" s="1071" t="s">
        <v>2622</v>
      </c>
      <c r="BB203" s="1072">
        <v>204663852181</v>
      </c>
      <c r="BC203" s="1072">
        <v>1182363388</v>
      </c>
      <c r="BD203" s="1072">
        <v>14335249043</v>
      </c>
      <c r="BE203" s="1072">
        <v>1555259653</v>
      </c>
      <c r="BF203" s="1072">
        <v>2783029170</v>
      </c>
      <c r="BG203" s="1072">
        <v>224519753435</v>
      </c>
      <c r="BH203" s="1072">
        <v>0</v>
      </c>
      <c r="BI203" s="1072">
        <v>0</v>
      </c>
      <c r="BJ203" s="1072">
        <v>221309791368</v>
      </c>
      <c r="BK203" s="1073"/>
      <c r="BL203" s="1074"/>
      <c r="BN203" s="1086">
        <v>88900000</v>
      </c>
      <c r="BO203" s="1087" t="s">
        <v>2624</v>
      </c>
      <c r="BP203" s="1088">
        <v>-179251819542</v>
      </c>
      <c r="BQ203" s="1088">
        <v>-2615818760</v>
      </c>
      <c r="BR203" s="1088">
        <v>-29146041411</v>
      </c>
      <c r="BS203" s="1088">
        <v>-554281587</v>
      </c>
      <c r="BT203" s="1088">
        <v>-2606668114</v>
      </c>
      <c r="BU203" s="1088">
        <v>-214174629414</v>
      </c>
      <c r="BV203" s="1088">
        <v>0</v>
      </c>
      <c r="BW203" s="1088">
        <v>23480313910</v>
      </c>
      <c r="BX203" s="1088">
        <v>190694315504</v>
      </c>
      <c r="BY203" s="1073"/>
      <c r="CD203" s="1089"/>
      <c r="CE203" s="1090"/>
      <c r="CF203" s="1090"/>
      <c r="CG203" s="1090"/>
      <c r="CH203" s="1090"/>
      <c r="CI203" s="1091"/>
      <c r="CJ203" s="1090"/>
      <c r="CK203" s="1090"/>
      <c r="CL203" s="1090">
        <v>-281310824760</v>
      </c>
      <c r="CM203" s="1090">
        <v>-281446340377</v>
      </c>
      <c r="CN203" s="1090"/>
      <c r="CO203" s="1090"/>
    </row>
    <row r="204" spans="2:94" ht="14.25" thickBot="1">
      <c r="B204" s="1070">
        <v>88000000</v>
      </c>
      <c r="C204" s="1071" t="s">
        <v>2622</v>
      </c>
      <c r="D204" s="1072">
        <v>147967044129</v>
      </c>
      <c r="E204" s="1072">
        <v>2827050630</v>
      </c>
      <c r="F204" s="1072">
        <v>13421229886</v>
      </c>
      <c r="G204" s="1072">
        <v>1598427771</v>
      </c>
      <c r="H204" s="1072">
        <v>2567684615</v>
      </c>
      <c r="I204" s="1072">
        <v>168381437031</v>
      </c>
      <c r="J204" s="1072">
        <v>0</v>
      </c>
      <c r="K204" s="1072">
        <v>0</v>
      </c>
      <c r="L204" s="1072">
        <v>164511010702</v>
      </c>
      <c r="N204" s="2171">
        <v>88000000</v>
      </c>
      <c r="O204" s="2172" t="s">
        <v>2622</v>
      </c>
      <c r="P204" s="2173">
        <v>83860557943</v>
      </c>
      <c r="Q204" s="2173">
        <v>1894181392</v>
      </c>
      <c r="R204" s="2173">
        <v>10009251369</v>
      </c>
      <c r="S204" s="2173">
        <v>1185791403</v>
      </c>
      <c r="T204" s="2173">
        <v>1295476342</v>
      </c>
      <c r="U204" s="2173">
        <v>98245258449</v>
      </c>
      <c r="V204" s="2173">
        <v>0</v>
      </c>
      <c r="W204" s="2173">
        <v>0</v>
      </c>
      <c r="X204" s="2173">
        <v>93321762780</v>
      </c>
      <c r="Z204" s="2177">
        <v>88100000</v>
      </c>
      <c r="AA204" s="2178" t="s">
        <v>3889</v>
      </c>
      <c r="AB204" s="2179">
        <v>0</v>
      </c>
      <c r="AC204" s="2179">
        <v>0</v>
      </c>
      <c r="AD204" s="2179">
        <v>0</v>
      </c>
      <c r="AE204" s="2179">
        <v>0</v>
      </c>
      <c r="AF204" s="2179">
        <v>0</v>
      </c>
      <c r="AG204" s="2179">
        <v>0</v>
      </c>
      <c r="AH204" s="2179">
        <v>0</v>
      </c>
      <c r="AI204" s="2179">
        <v>0</v>
      </c>
      <c r="AJ204" s="2179">
        <v>0</v>
      </c>
      <c r="AL204" s="1078">
        <v>88100000</v>
      </c>
      <c r="AM204" s="1079" t="s">
        <v>2623</v>
      </c>
      <c r="AN204" s="1080">
        <v>0</v>
      </c>
      <c r="AO204" s="1080">
        <v>0</v>
      </c>
      <c r="AP204" s="1080">
        <v>0</v>
      </c>
      <c r="AQ204" s="1080">
        <v>0</v>
      </c>
      <c r="AR204" s="1080">
        <v>0</v>
      </c>
      <c r="AS204" s="1080">
        <v>0</v>
      </c>
      <c r="AT204" s="1080">
        <v>0</v>
      </c>
      <c r="AU204" s="1080">
        <v>0</v>
      </c>
      <c r="AV204" s="1080">
        <v>0</v>
      </c>
      <c r="AW204" s="1073"/>
      <c r="AX204" s="1085">
        <v>0</v>
      </c>
      <c r="AZ204" s="1078">
        <v>88100000</v>
      </c>
      <c r="BA204" s="1079" t="s">
        <v>2623</v>
      </c>
      <c r="BB204" s="1080">
        <v>0</v>
      </c>
      <c r="BC204" s="1080">
        <v>0</v>
      </c>
      <c r="BD204" s="1080">
        <v>0</v>
      </c>
      <c r="BE204" s="1080">
        <v>0</v>
      </c>
      <c r="BF204" s="1080">
        <v>0</v>
      </c>
      <c r="BG204" s="1080">
        <v>0</v>
      </c>
      <c r="BH204" s="1080">
        <v>0</v>
      </c>
      <c r="BI204" s="1080">
        <v>0</v>
      </c>
      <c r="BJ204" s="1080">
        <v>0</v>
      </c>
      <c r="BK204" s="1073"/>
      <c r="BL204" s="1085">
        <v>0</v>
      </c>
      <c r="BP204" s="1089"/>
      <c r="BQ204" s="1090"/>
      <c r="BR204" s="1090"/>
      <c r="BS204" s="1091"/>
      <c r="BT204" s="1090"/>
      <c r="BU204" s="1090"/>
      <c r="BV204" s="1090">
        <v>-250710297714</v>
      </c>
      <c r="BW204" s="1090">
        <v>-274190611624</v>
      </c>
      <c r="BX204" s="1090"/>
      <c r="BY204" s="1090"/>
      <c r="CG204" s="1064"/>
      <c r="CK204" s="1092"/>
      <c r="CM204" s="1093">
        <v>-135515617</v>
      </c>
      <c r="CN204" s="1065"/>
      <c r="CO204" s="1065"/>
    </row>
    <row r="205" spans="2:94" ht="14.25" thickBot="1">
      <c r="B205" s="1078">
        <v>88100000</v>
      </c>
      <c r="C205" s="1079" t="s">
        <v>2623</v>
      </c>
      <c r="D205" s="1080">
        <v>0</v>
      </c>
      <c r="E205" s="1080">
        <v>0</v>
      </c>
      <c r="F205" s="1080">
        <v>0</v>
      </c>
      <c r="G205" s="1080">
        <v>0</v>
      </c>
      <c r="H205" s="1080">
        <v>0</v>
      </c>
      <c r="I205" s="1080">
        <v>0</v>
      </c>
      <c r="J205" s="1080">
        <v>0</v>
      </c>
      <c r="K205" s="1080">
        <v>0</v>
      </c>
      <c r="L205" s="1080">
        <v>0</v>
      </c>
      <c r="N205" s="2177">
        <v>88100000</v>
      </c>
      <c r="O205" s="2178" t="s">
        <v>3889</v>
      </c>
      <c r="P205" s="2179">
        <v>0</v>
      </c>
      <c r="Q205" s="2179">
        <v>0</v>
      </c>
      <c r="R205" s="2179">
        <v>0</v>
      </c>
      <c r="S205" s="2179">
        <v>0</v>
      </c>
      <c r="T205" s="2179">
        <v>0</v>
      </c>
      <c r="U205" s="2179">
        <v>0</v>
      </c>
      <c r="V205" s="2179">
        <v>0</v>
      </c>
      <c r="W205" s="2179">
        <v>0</v>
      </c>
      <c r="X205" s="2179">
        <v>0</v>
      </c>
      <c r="Z205" s="2181">
        <v>88900000</v>
      </c>
      <c r="AA205" s="2182" t="s">
        <v>3890</v>
      </c>
      <c r="AB205" s="2183">
        <v>-170931927711</v>
      </c>
      <c r="AC205" s="2183">
        <v>-4097383921</v>
      </c>
      <c r="AD205" s="2183">
        <v>-23358386648</v>
      </c>
      <c r="AE205" s="2183">
        <v>-1475786618</v>
      </c>
      <c r="AF205" s="2183">
        <v>-1191962369</v>
      </c>
      <c r="AG205" s="2183">
        <v>-201055447267</v>
      </c>
      <c r="AH205" s="2183">
        <v>0</v>
      </c>
      <c r="AI205" s="2183">
        <v>1804649604</v>
      </c>
      <c r="AJ205" s="2183">
        <v>199250797663</v>
      </c>
      <c r="AL205" s="1086">
        <v>88900000</v>
      </c>
      <c r="AM205" s="1087" t="s">
        <v>2624</v>
      </c>
      <c r="AN205" s="1088">
        <v>-131066521401</v>
      </c>
      <c r="AO205" s="1088">
        <v>-3748659671</v>
      </c>
      <c r="AP205" s="1088">
        <v>-14906082536</v>
      </c>
      <c r="AQ205" s="1088">
        <v>-1131203310</v>
      </c>
      <c r="AR205" s="1088">
        <v>-1155429188</v>
      </c>
      <c r="AS205" s="1088">
        <v>-152007896106</v>
      </c>
      <c r="AT205" s="1088">
        <v>0</v>
      </c>
      <c r="AU205" s="1088">
        <v>7756209661</v>
      </c>
      <c r="AV205" s="1088">
        <v>144251686445</v>
      </c>
      <c r="AW205" s="1073"/>
      <c r="AZ205" s="1086">
        <v>88900000</v>
      </c>
      <c r="BA205" s="1087" t="s">
        <v>2624</v>
      </c>
      <c r="BB205" s="1088">
        <v>-204663852181</v>
      </c>
      <c r="BC205" s="1088">
        <v>-1182363388</v>
      </c>
      <c r="BD205" s="1088">
        <v>-14335249043</v>
      </c>
      <c r="BE205" s="1088">
        <v>-1555259653</v>
      </c>
      <c r="BF205" s="1088">
        <v>-2783029170</v>
      </c>
      <c r="BG205" s="1088">
        <v>-224519753435</v>
      </c>
      <c r="BH205" s="1088">
        <v>0</v>
      </c>
      <c r="BI205" s="1088">
        <v>3209962067</v>
      </c>
      <c r="BJ205" s="1088">
        <v>221309791368</v>
      </c>
      <c r="BK205" s="1073"/>
      <c r="BR205" s="1064"/>
      <c r="BU205" s="1092"/>
      <c r="BW205" s="1093">
        <v>-23480313910</v>
      </c>
      <c r="BX205" s="1065"/>
      <c r="BY205" s="1065"/>
      <c r="CC205" s="1094" t="s">
        <v>2625</v>
      </c>
      <c r="CD205" s="1095">
        <v>216785688657</v>
      </c>
      <c r="CE205" s="1095">
        <v>2295583207</v>
      </c>
      <c r="CF205" s="1095">
        <v>0</v>
      </c>
      <c r="CG205" s="1095">
        <v>29387036748</v>
      </c>
      <c r="CH205" s="1095">
        <v>0</v>
      </c>
      <c r="CI205" s="1095">
        <v>547607582</v>
      </c>
      <c r="CJ205" s="1096">
        <v>1429212610</v>
      </c>
      <c r="CK205" s="1092"/>
      <c r="CL205" s="1092"/>
      <c r="CM205" s="1065"/>
      <c r="CN205" s="1065"/>
      <c r="CO205" s="1091"/>
    </row>
    <row r="206" spans="2:94" ht="14.25" thickBot="1">
      <c r="B206" s="1086">
        <v>88900000</v>
      </c>
      <c r="C206" s="1087" t="s">
        <v>2624</v>
      </c>
      <c r="D206" s="1088">
        <v>-147967044129</v>
      </c>
      <c r="E206" s="1088">
        <v>-2827050630</v>
      </c>
      <c r="F206" s="1088">
        <v>-13421229886</v>
      </c>
      <c r="G206" s="1088">
        <v>-1598427771</v>
      </c>
      <c r="H206" s="1088">
        <v>-2567684615</v>
      </c>
      <c r="I206" s="1088">
        <v>-168381437031</v>
      </c>
      <c r="J206" s="1088">
        <v>0</v>
      </c>
      <c r="K206" s="1088">
        <v>3870426329</v>
      </c>
      <c r="L206" s="1088">
        <v>164511010702</v>
      </c>
      <c r="N206" s="2181">
        <v>88900000</v>
      </c>
      <c r="O206" s="2182" t="s">
        <v>3890</v>
      </c>
      <c r="P206" s="2183">
        <v>-83860557943</v>
      </c>
      <c r="Q206" s="2183">
        <v>-1894181392</v>
      </c>
      <c r="R206" s="2183">
        <v>-10009251369</v>
      </c>
      <c r="S206" s="2183">
        <v>-1185791403</v>
      </c>
      <c r="T206" s="2183">
        <v>-1295476342</v>
      </c>
      <c r="U206" s="2183">
        <v>-98245258449</v>
      </c>
      <c r="V206" s="2183">
        <v>0</v>
      </c>
      <c r="W206" s="2183">
        <v>4923495669</v>
      </c>
      <c r="X206" s="2183">
        <v>93321762780</v>
      </c>
      <c r="AN206" s="1089"/>
      <c r="AO206" s="1090"/>
      <c r="AP206" s="1090"/>
      <c r="AQ206" s="1091"/>
      <c r="AR206" s="1090"/>
      <c r="AS206" s="1090"/>
      <c r="AT206" s="1090">
        <v>-206071177662</v>
      </c>
      <c r="AU206" s="1090">
        <v>-213827387323</v>
      </c>
      <c r="AV206" s="1090"/>
      <c r="AW206" s="1090"/>
      <c r="BB206" s="1089"/>
      <c r="BC206" s="1090"/>
      <c r="BD206" s="1090"/>
      <c r="BE206" s="1091"/>
      <c r="BF206" s="1090"/>
      <c r="BG206" s="1090"/>
      <c r="BH206" s="1090">
        <v>-307687502251</v>
      </c>
      <c r="BI206" s="1090">
        <v>-310897464318</v>
      </c>
      <c r="BJ206" s="1090"/>
      <c r="BK206" s="1090"/>
      <c r="BO206" s="1094" t="s">
        <v>2625</v>
      </c>
      <c r="BP206" s="1095">
        <v>179251819542</v>
      </c>
      <c r="BQ206" s="1095">
        <v>2615818760</v>
      </c>
      <c r="BR206" s="1095">
        <v>29146041411</v>
      </c>
      <c r="BS206" s="1095">
        <v>554281587</v>
      </c>
      <c r="BT206" s="1096">
        <v>2606668114</v>
      </c>
      <c r="BU206" s="1092"/>
      <c r="BV206" s="1092"/>
      <c r="BW206" s="1065"/>
      <c r="BX206" s="1065"/>
      <c r="BY206" s="1091"/>
      <c r="CC206" s="1097" t="s">
        <v>2626</v>
      </c>
      <c r="CD206" s="1098">
        <v>0</v>
      </c>
      <c r="CE206" s="1098">
        <v>0</v>
      </c>
      <c r="CF206" s="1098">
        <v>0</v>
      </c>
      <c r="CG206" s="1098">
        <v>0</v>
      </c>
      <c r="CH206" s="1098">
        <v>0</v>
      </c>
      <c r="CI206" s="1098">
        <v>0</v>
      </c>
      <c r="CJ206" s="1099">
        <v>0</v>
      </c>
      <c r="CL206" s="1064"/>
      <c r="CM206" s="1100" t="b">
        <v>1</v>
      </c>
      <c r="CN206" s="1064"/>
      <c r="CO206" s="1064"/>
    </row>
    <row r="207" spans="2:94" ht="14.25" thickBot="1">
      <c r="AP207" s="1064"/>
      <c r="AS207" s="1092"/>
      <c r="AU207" s="1093">
        <v>-7756209661</v>
      </c>
      <c r="AV207" s="1065"/>
      <c r="AW207" s="1065"/>
      <c r="BD207" s="1064"/>
      <c r="BG207" s="1092"/>
      <c r="BI207" s="1093">
        <v>-3209962067</v>
      </c>
      <c r="BJ207" s="1065"/>
      <c r="BK207" s="1065"/>
      <c r="BO207" s="1097" t="s">
        <v>2626</v>
      </c>
      <c r="BP207" s="1098">
        <v>0</v>
      </c>
      <c r="BQ207" s="1098">
        <v>0</v>
      </c>
      <c r="BR207" s="1098">
        <v>0</v>
      </c>
      <c r="BS207" s="1098">
        <v>0</v>
      </c>
      <c r="BT207" s="1099">
        <v>0</v>
      </c>
      <c r="BV207" s="1064"/>
      <c r="BW207" s="1100" t="b">
        <v>1</v>
      </c>
      <c r="BX207" s="1064"/>
      <c r="BY207" s="1064"/>
      <c r="CD207" s="1064"/>
      <c r="CE207" s="1064"/>
      <c r="CF207" s="1060"/>
      <c r="CG207" s="1101"/>
      <c r="CH207" s="1101"/>
      <c r="CM207" s="1064"/>
      <c r="CN207" s="1064"/>
    </row>
    <row r="208" spans="2:94" ht="14.25" thickBot="1">
      <c r="AM208" s="1094" t="s">
        <v>2625</v>
      </c>
      <c r="AN208" s="1095">
        <v>131066521401</v>
      </c>
      <c r="AO208" s="1095">
        <v>3748659671</v>
      </c>
      <c r="AP208" s="1095">
        <v>14906082536</v>
      </c>
      <c r="AQ208" s="1095">
        <v>1131203310</v>
      </c>
      <c r="AR208" s="1096">
        <v>1155429188</v>
      </c>
      <c r="AS208" s="1092"/>
      <c r="AT208" s="1092"/>
      <c r="AU208" s="1065"/>
      <c r="AV208" s="1065"/>
      <c r="AW208" s="1091"/>
      <c r="BA208" s="1094" t="s">
        <v>2625</v>
      </c>
      <c r="BB208" s="1095">
        <v>204663852181</v>
      </c>
      <c r="BC208" s="1095">
        <v>1182363388</v>
      </c>
      <c r="BD208" s="1095">
        <v>14335249043</v>
      </c>
      <c r="BE208" s="1095">
        <v>1555259653</v>
      </c>
      <c r="BF208" s="1096">
        <v>2783029170</v>
      </c>
      <c r="BG208" s="1092"/>
      <c r="BH208" s="1092"/>
      <c r="BI208" s="1065"/>
      <c r="BJ208" s="1065"/>
      <c r="BK208" s="1091"/>
      <c r="BP208" s="1064"/>
      <c r="BQ208" s="1064"/>
      <c r="BR208" s="1101"/>
      <c r="BW208" s="1064"/>
      <c r="BX208" s="1064"/>
      <c r="CD208" s="1065"/>
    </row>
    <row r="209" spans="2:93" ht="14.25" thickBot="1">
      <c r="Z209" s="709" t="s">
        <v>3891</v>
      </c>
      <c r="AM209" s="1097" t="s">
        <v>2626</v>
      </c>
      <c r="AN209" s="1098">
        <v>0</v>
      </c>
      <c r="AO209" s="1098">
        <v>0</v>
      </c>
      <c r="AP209" s="1098">
        <v>0</v>
      </c>
      <c r="AQ209" s="1098">
        <v>0</v>
      </c>
      <c r="AR209" s="1099">
        <v>0</v>
      </c>
      <c r="AT209" s="1064"/>
      <c r="AU209" s="4355" t="b">
        <v>1</v>
      </c>
      <c r="AV209" s="1064"/>
      <c r="AW209" s="1064"/>
      <c r="BA209" s="1097" t="s">
        <v>2626</v>
      </c>
      <c r="BB209" s="1098">
        <v>0</v>
      </c>
      <c r="BC209" s="1098">
        <v>0</v>
      </c>
      <c r="BD209" s="1098">
        <v>0</v>
      </c>
      <c r="BE209" s="1098">
        <v>0</v>
      </c>
      <c r="BF209" s="1099">
        <v>0</v>
      </c>
      <c r="BH209" s="1064"/>
      <c r="BI209" s="4355" t="b">
        <v>1</v>
      </c>
      <c r="BJ209" s="1064"/>
      <c r="BK209" s="1064"/>
      <c r="BN209" s="1060" t="s">
        <v>134</v>
      </c>
      <c r="BP209" s="1065"/>
      <c r="BU209" s="1065"/>
      <c r="CD209" s="1065"/>
      <c r="CJ209" s="1102"/>
      <c r="CK209" s="1103"/>
      <c r="CL209" s="1104"/>
      <c r="CM209" s="1104"/>
      <c r="CN209" s="1104"/>
    </row>
    <row r="210" spans="2:93">
      <c r="B210" s="2360" t="s">
        <v>5101</v>
      </c>
      <c r="N210" s="2360" t="s">
        <v>3815</v>
      </c>
      <c r="O210" s="2361">
        <v>2</v>
      </c>
      <c r="P210" s="2360">
        <v>3</v>
      </c>
      <c r="Q210" s="2361">
        <v>4</v>
      </c>
      <c r="R210" s="2361">
        <v>6</v>
      </c>
      <c r="S210" s="2361">
        <v>8</v>
      </c>
      <c r="T210" s="2360">
        <v>9</v>
      </c>
      <c r="U210" s="5448"/>
      <c r="V210" s="2362"/>
      <c r="W210" s="2362"/>
      <c r="X210" s="2363"/>
      <c r="Z210" s="2360">
        <v>1</v>
      </c>
      <c r="AA210" s="2361">
        <v>2</v>
      </c>
      <c r="AB210" s="2360">
        <v>3</v>
      </c>
      <c r="AC210" s="2361">
        <v>4</v>
      </c>
      <c r="AD210" s="2361">
        <v>6</v>
      </c>
      <c r="AE210" s="2361">
        <v>8</v>
      </c>
      <c r="AF210" s="2360">
        <v>9</v>
      </c>
      <c r="AG210" s="4341"/>
      <c r="AH210" s="2362"/>
      <c r="AI210" s="2362"/>
      <c r="AJ210" s="2363"/>
      <c r="AN210" s="1064"/>
      <c r="AO210" s="1064"/>
      <c r="AP210" s="1101"/>
      <c r="AU210" s="1064"/>
      <c r="AV210" s="1064"/>
      <c r="AY210" s="709" t="s">
        <v>129</v>
      </c>
      <c r="AZ210" s="2360">
        <v>1</v>
      </c>
      <c r="BA210" s="2361">
        <v>2</v>
      </c>
      <c r="BB210" s="2360">
        <v>3</v>
      </c>
      <c r="BC210" s="2361">
        <v>4</v>
      </c>
      <c r="BD210" s="2361">
        <v>6</v>
      </c>
      <c r="BE210" s="2361">
        <v>8</v>
      </c>
      <c r="BF210" s="2360">
        <v>9</v>
      </c>
      <c r="BG210" s="4341"/>
      <c r="BH210" s="2362"/>
      <c r="BI210" s="2362"/>
      <c r="BJ210" s="2363"/>
      <c r="BN210" s="2360">
        <v>1</v>
      </c>
      <c r="BO210" s="2361">
        <v>2</v>
      </c>
      <c r="BP210" s="2360">
        <v>3</v>
      </c>
      <c r="BQ210" s="2361">
        <v>4</v>
      </c>
      <c r="BR210" s="2361">
        <v>6</v>
      </c>
      <c r="BS210" s="2361">
        <v>8</v>
      </c>
      <c r="BT210" s="2360">
        <v>9</v>
      </c>
      <c r="BU210" s="4341"/>
      <c r="BV210" s="2362"/>
      <c r="BW210" s="2362"/>
      <c r="BX210" s="2363"/>
      <c r="CD210" s="1065"/>
      <c r="CE210" s="1065"/>
      <c r="CG210" s="1065"/>
      <c r="CJ210" s="1092"/>
      <c r="CK210" s="1090"/>
      <c r="CL210" s="1090"/>
      <c r="CM210" s="1090"/>
      <c r="CN210" s="1090"/>
    </row>
    <row r="211" spans="2:93">
      <c r="B211" s="2360" t="s">
        <v>3985</v>
      </c>
      <c r="N211" s="2360" t="s">
        <v>3985</v>
      </c>
      <c r="O211" s="2361"/>
      <c r="P211" s="2364" t="s">
        <v>2467</v>
      </c>
      <c r="Q211" s="2365" t="s">
        <v>2468</v>
      </c>
      <c r="R211" s="2366" t="s">
        <v>2469</v>
      </c>
      <c r="S211" s="2367" t="s">
        <v>3849</v>
      </c>
      <c r="T211" s="2368" t="s">
        <v>3986</v>
      </c>
      <c r="U211" s="5449"/>
      <c r="V211" s="2362"/>
      <c r="W211" s="2362"/>
      <c r="X211" s="2363"/>
      <c r="Z211" s="2360" t="s">
        <v>3985</v>
      </c>
      <c r="AA211" s="2361"/>
      <c r="AB211" s="2364" t="s">
        <v>2467</v>
      </c>
      <c r="AC211" s="2365" t="s">
        <v>2468</v>
      </c>
      <c r="AD211" s="2366" t="s">
        <v>2469</v>
      </c>
      <c r="AE211" s="2367" t="s">
        <v>3849</v>
      </c>
      <c r="AF211" s="2368" t="s">
        <v>3986</v>
      </c>
      <c r="AG211" s="4342"/>
      <c r="AH211" s="2362"/>
      <c r="AI211" s="2362"/>
      <c r="AJ211" s="2363"/>
      <c r="AN211" s="1065"/>
      <c r="AS211" s="1065"/>
      <c r="AV211" s="1090">
        <v>-144251686445</v>
      </c>
      <c r="AZ211" s="2360" t="s">
        <v>3985</v>
      </c>
      <c r="BA211" s="2361"/>
      <c r="BB211" s="2364" t="s">
        <v>2467</v>
      </c>
      <c r="BC211" s="2365" t="s">
        <v>2468</v>
      </c>
      <c r="BD211" s="2366" t="s">
        <v>2469</v>
      </c>
      <c r="BE211" s="2367" t="s">
        <v>3849</v>
      </c>
      <c r="BF211" s="2368" t="s">
        <v>3986</v>
      </c>
      <c r="BG211" s="4342"/>
      <c r="BH211" s="2362"/>
      <c r="BI211" s="2362"/>
      <c r="BJ211" s="2363"/>
      <c r="BN211" s="2360" t="s">
        <v>3985</v>
      </c>
      <c r="BO211" s="2361"/>
      <c r="BP211" s="2364" t="s">
        <v>2467</v>
      </c>
      <c r="BQ211" s="2365" t="s">
        <v>2468</v>
      </c>
      <c r="BR211" s="2366" t="s">
        <v>2469</v>
      </c>
      <c r="BS211" s="2367" t="s">
        <v>3849</v>
      </c>
      <c r="BT211" s="2368" t="s">
        <v>3986</v>
      </c>
      <c r="BU211" s="4342"/>
      <c r="BV211" s="2362"/>
      <c r="BW211" s="2362"/>
      <c r="BX211" s="2363"/>
      <c r="CD211" s="1065"/>
      <c r="CJ211" s="1064"/>
      <c r="CK211" s="1090"/>
      <c r="CL211" s="1090"/>
      <c r="CM211" s="1090"/>
    </row>
    <row r="212" spans="2:93">
      <c r="B212" s="2532" t="s">
        <v>2454</v>
      </c>
      <c r="C212" s="5426" t="s">
        <v>2455</v>
      </c>
      <c r="D212" s="2533" t="s">
        <v>2456</v>
      </c>
      <c r="E212" s="2534" t="s">
        <v>2457</v>
      </c>
      <c r="F212" s="2535" t="s">
        <v>2458</v>
      </c>
      <c r="G212" s="2536" t="s">
        <v>2459</v>
      </c>
      <c r="H212" s="2537" t="s">
        <v>2460</v>
      </c>
      <c r="I212" s="5428" t="s">
        <v>2461</v>
      </c>
      <c r="J212" s="5430" t="s">
        <v>2462</v>
      </c>
      <c r="K212" s="5431"/>
      <c r="L212" s="5432" t="s">
        <v>4974</v>
      </c>
      <c r="N212" s="2369" t="s">
        <v>2454</v>
      </c>
      <c r="O212" s="5450" t="s">
        <v>2455</v>
      </c>
      <c r="P212" s="2364" t="s">
        <v>2456</v>
      </c>
      <c r="Q212" s="2365" t="s">
        <v>2457</v>
      </c>
      <c r="R212" s="2366" t="s">
        <v>2458</v>
      </c>
      <c r="S212" s="2367" t="s">
        <v>3844</v>
      </c>
      <c r="T212" s="2368" t="s">
        <v>3845</v>
      </c>
      <c r="U212" s="5452" t="s">
        <v>3846</v>
      </c>
      <c r="V212" s="5454" t="s">
        <v>3847</v>
      </c>
      <c r="W212" s="5455"/>
      <c r="X212" s="5456" t="s">
        <v>3987</v>
      </c>
      <c r="Z212" s="4356" t="s">
        <v>2454</v>
      </c>
      <c r="AA212" s="4357" t="s">
        <v>2455</v>
      </c>
      <c r="AB212" s="2364" t="s">
        <v>2456</v>
      </c>
      <c r="AC212" s="2365" t="s">
        <v>2457</v>
      </c>
      <c r="AD212" s="2366" t="s">
        <v>2458</v>
      </c>
      <c r="AE212" s="2367" t="s">
        <v>3844</v>
      </c>
      <c r="AF212" s="2368" t="s">
        <v>3845</v>
      </c>
      <c r="AG212" s="4358" t="s">
        <v>3846</v>
      </c>
      <c r="AH212" s="4359" t="s">
        <v>3847</v>
      </c>
      <c r="AI212" s="4360"/>
      <c r="AJ212" s="4361" t="s">
        <v>3987</v>
      </c>
      <c r="AN212" s="1065"/>
      <c r="AO212" s="1065"/>
      <c r="AP212" s="1065"/>
      <c r="AQ212" s="1065"/>
      <c r="AR212" s="1065"/>
      <c r="AS212" s="1091"/>
      <c r="AT212" s="1104"/>
      <c r="AU212" s="1105">
        <v>7756209661</v>
      </c>
      <c r="AV212" s="1091"/>
      <c r="AZ212" s="4356" t="s">
        <v>2454</v>
      </c>
      <c r="BA212" s="4357" t="s">
        <v>2455</v>
      </c>
      <c r="BB212" s="2364" t="s">
        <v>2456</v>
      </c>
      <c r="BC212" s="2365" t="s">
        <v>2457</v>
      </c>
      <c r="BD212" s="2366" t="s">
        <v>2458</v>
      </c>
      <c r="BE212" s="2367" t="s">
        <v>3844</v>
      </c>
      <c r="BF212" s="2368" t="s">
        <v>3845</v>
      </c>
      <c r="BG212" s="4358" t="s">
        <v>3846</v>
      </c>
      <c r="BH212" s="4359" t="s">
        <v>3847</v>
      </c>
      <c r="BI212" s="4360"/>
      <c r="BJ212" s="4361" t="s">
        <v>3987</v>
      </c>
      <c r="BN212" s="4356" t="s">
        <v>2454</v>
      </c>
      <c r="BO212" s="4357" t="s">
        <v>2455</v>
      </c>
      <c r="BP212" s="2364" t="s">
        <v>2456</v>
      </c>
      <c r="BQ212" s="2365" t="s">
        <v>2457</v>
      </c>
      <c r="BR212" s="2366" t="s">
        <v>2458</v>
      </c>
      <c r="BS212" s="2367" t="s">
        <v>3844</v>
      </c>
      <c r="BT212" s="2368" t="s">
        <v>3845</v>
      </c>
      <c r="BU212" s="4358" t="s">
        <v>3846</v>
      </c>
      <c r="BV212" s="4359" t="s">
        <v>3847</v>
      </c>
      <c r="BW212" s="4360"/>
      <c r="BX212" s="4361" t="s">
        <v>3987</v>
      </c>
      <c r="CD212" s="1065"/>
      <c r="CJ212" s="1106"/>
      <c r="CK212" s="1090"/>
      <c r="CL212" s="1090"/>
      <c r="CM212" s="1090"/>
      <c r="CN212" s="1090"/>
    </row>
    <row r="213" spans="2:93">
      <c r="B213" s="2538"/>
      <c r="C213" s="5427"/>
      <c r="D213" s="2533" t="s">
        <v>4975</v>
      </c>
      <c r="E213" s="2534" t="s">
        <v>4976</v>
      </c>
      <c r="F213" s="2535" t="s">
        <v>2469</v>
      </c>
      <c r="G213" s="2536" t="s">
        <v>2470</v>
      </c>
      <c r="H213" s="2537" t="s">
        <v>4977</v>
      </c>
      <c r="I213" s="5429"/>
      <c r="J213" s="2539" t="s">
        <v>2472</v>
      </c>
      <c r="K213" s="2539" t="s">
        <v>2473</v>
      </c>
      <c r="L213" s="5433"/>
      <c r="N213" s="2370"/>
      <c r="O213" s="5451"/>
      <c r="P213" s="2364" t="s">
        <v>2467</v>
      </c>
      <c r="Q213" s="2365" t="s">
        <v>2468</v>
      </c>
      <c r="R213" s="2366" t="s">
        <v>2469</v>
      </c>
      <c r="S213" s="2367" t="s">
        <v>3849</v>
      </c>
      <c r="T213" s="2368" t="s">
        <v>3986</v>
      </c>
      <c r="U213" s="5453"/>
      <c r="V213" s="2371" t="s">
        <v>2472</v>
      </c>
      <c r="W213" s="2371" t="s">
        <v>2473</v>
      </c>
      <c r="X213" s="5457"/>
      <c r="Z213" s="2370"/>
      <c r="AA213" s="4362"/>
      <c r="AB213" s="2364" t="s">
        <v>2467</v>
      </c>
      <c r="AC213" s="2365" t="s">
        <v>2468</v>
      </c>
      <c r="AD213" s="2366" t="s">
        <v>2469</v>
      </c>
      <c r="AE213" s="2367" t="s">
        <v>3849</v>
      </c>
      <c r="AF213" s="2368" t="s">
        <v>3986</v>
      </c>
      <c r="AG213" s="4363"/>
      <c r="AH213" s="2371" t="s">
        <v>2472</v>
      </c>
      <c r="AI213" s="2371" t="s">
        <v>2473</v>
      </c>
      <c r="AJ213" s="4364"/>
      <c r="AN213" s="1065"/>
      <c r="AO213" s="1065"/>
      <c r="AP213" s="1065"/>
      <c r="AR213" s="1092"/>
      <c r="AS213" s="1090"/>
      <c r="AT213" s="1090"/>
      <c r="AU213" s="1090"/>
      <c r="AV213" s="1090"/>
      <c r="AZ213" s="2370"/>
      <c r="BA213" s="4362"/>
      <c r="BB213" s="2364" t="s">
        <v>2467</v>
      </c>
      <c r="BC213" s="2365" t="s">
        <v>2468</v>
      </c>
      <c r="BD213" s="2366" t="s">
        <v>2469</v>
      </c>
      <c r="BE213" s="2367" t="s">
        <v>3849</v>
      </c>
      <c r="BF213" s="2368" t="s">
        <v>3986</v>
      </c>
      <c r="BG213" s="4363"/>
      <c r="BH213" s="2371" t="s">
        <v>2472</v>
      </c>
      <c r="BI213" s="2371" t="s">
        <v>2473</v>
      </c>
      <c r="BJ213" s="4364"/>
      <c r="BN213" s="2370"/>
      <c r="BO213" s="4362"/>
      <c r="BP213" s="2364" t="s">
        <v>2467</v>
      </c>
      <c r="BQ213" s="2365" t="s">
        <v>2468</v>
      </c>
      <c r="BR213" s="2366" t="s">
        <v>2469</v>
      </c>
      <c r="BS213" s="2367" t="s">
        <v>3849</v>
      </c>
      <c r="BT213" s="2368" t="s">
        <v>3986</v>
      </c>
      <c r="BU213" s="4363"/>
      <c r="BV213" s="2371" t="s">
        <v>2472</v>
      </c>
      <c r="BW213" s="2371" t="s">
        <v>2473</v>
      </c>
      <c r="BX213" s="4364"/>
      <c r="CF213" s="1090"/>
      <c r="CG213" s="1090"/>
      <c r="CH213" s="1090"/>
      <c r="CI213" s="1064"/>
    </row>
    <row r="214" spans="2:93">
      <c r="B214" s="2540">
        <v>10000000</v>
      </c>
      <c r="C214" s="2541" t="s">
        <v>4978</v>
      </c>
      <c r="D214" s="2542">
        <v>3713291783313</v>
      </c>
      <c r="E214" s="2542">
        <v>52360399992</v>
      </c>
      <c r="F214" s="2543">
        <v>144984470242</v>
      </c>
      <c r="G214" s="2544">
        <v>19466509958</v>
      </c>
      <c r="H214" s="2542">
        <v>37790709483</v>
      </c>
      <c r="I214" s="2542">
        <v>3967893872988</v>
      </c>
      <c r="J214" s="2545">
        <v>0</v>
      </c>
      <c r="K214" s="2545">
        <v>0</v>
      </c>
      <c r="L214" s="2542">
        <v>3875005832032.2266</v>
      </c>
      <c r="N214" s="2372">
        <v>10000000</v>
      </c>
      <c r="O214" s="2373" t="s">
        <v>82</v>
      </c>
      <c r="P214" s="2374">
        <v>3699281884373</v>
      </c>
      <c r="Q214" s="2374">
        <v>51781048550</v>
      </c>
      <c r="R214" s="2375">
        <v>141825372496</v>
      </c>
      <c r="S214" s="2376">
        <v>26756065855</v>
      </c>
      <c r="T214" s="2374">
        <v>35007043123</v>
      </c>
      <c r="U214" s="2374">
        <v>3954651414397</v>
      </c>
      <c r="V214" s="2377">
        <v>0</v>
      </c>
      <c r="W214" s="2377">
        <v>0</v>
      </c>
      <c r="X214" s="2374">
        <v>3847268842990.2266</v>
      </c>
      <c r="Z214" s="2372">
        <v>10000000</v>
      </c>
      <c r="AA214" s="2373" t="s">
        <v>82</v>
      </c>
      <c r="AB214" s="2374">
        <v>3781670085138</v>
      </c>
      <c r="AC214" s="2374">
        <v>44469271805</v>
      </c>
      <c r="AD214" s="2375">
        <v>136047109847</v>
      </c>
      <c r="AE214" s="2376">
        <v>25420289217</v>
      </c>
      <c r="AF214" s="2374">
        <v>34253558007</v>
      </c>
      <c r="AG214" s="2374">
        <v>4021860314014</v>
      </c>
      <c r="AH214" s="2377">
        <v>0</v>
      </c>
      <c r="AI214" s="2377">
        <v>0</v>
      </c>
      <c r="AJ214" s="2374">
        <v>3909308749448.2266</v>
      </c>
      <c r="AN214" s="1065"/>
      <c r="AO214" s="1065"/>
      <c r="AP214" s="1065"/>
      <c r="AQ214" s="1065"/>
      <c r="AR214" s="1065"/>
      <c r="AS214" s="1065"/>
      <c r="AT214" s="1065"/>
      <c r="AU214" s="1065"/>
      <c r="AV214" s="1065"/>
      <c r="AZ214" s="2372">
        <v>10000000</v>
      </c>
      <c r="BA214" s="2373" t="s">
        <v>82</v>
      </c>
      <c r="BB214" s="2374">
        <v>3230214807200</v>
      </c>
      <c r="BC214" s="2374">
        <v>45271837758</v>
      </c>
      <c r="BD214" s="2375">
        <v>111485363080</v>
      </c>
      <c r="BE214" s="2376">
        <v>20351612557</v>
      </c>
      <c r="BF214" s="2374">
        <v>35374274122</v>
      </c>
      <c r="BG214" s="2374">
        <v>3442697894717</v>
      </c>
      <c r="BH214" s="2377">
        <v>0</v>
      </c>
      <c r="BI214" s="2377">
        <v>0</v>
      </c>
      <c r="BJ214" s="2374">
        <v>3341578715698.2266</v>
      </c>
      <c r="BN214" s="2372">
        <v>10000000</v>
      </c>
      <c r="BO214" s="2373" t="s">
        <v>82</v>
      </c>
      <c r="BP214" s="2374">
        <v>3452824855303</v>
      </c>
      <c r="BQ214" s="2374">
        <v>40871531121</v>
      </c>
      <c r="BR214" s="2375">
        <v>114308661730</v>
      </c>
      <c r="BS214" s="2376">
        <v>17829153010</v>
      </c>
      <c r="BT214" s="2374">
        <v>33727872816</v>
      </c>
      <c r="BU214" s="2374">
        <v>3659562073980</v>
      </c>
      <c r="BV214" s="2377">
        <v>0</v>
      </c>
      <c r="BW214" s="2377">
        <v>0</v>
      </c>
      <c r="BX214" s="2374">
        <v>3540377572742</v>
      </c>
      <c r="CF214" s="1090"/>
      <c r="CG214" s="1090"/>
      <c r="CH214" s="1090"/>
      <c r="CI214" s="1101"/>
      <c r="CJ214" s="1064"/>
    </row>
    <row r="215" spans="2:93">
      <c r="B215" s="2546">
        <v>11000000</v>
      </c>
      <c r="C215" s="2547" t="s">
        <v>4979</v>
      </c>
      <c r="D215" s="2548">
        <v>2814987978228</v>
      </c>
      <c r="E215" s="2548">
        <v>35107677383</v>
      </c>
      <c r="F215" s="2549">
        <v>65645691964</v>
      </c>
      <c r="G215" s="2550">
        <v>16067593613</v>
      </c>
      <c r="H215" s="2548">
        <v>10792018189</v>
      </c>
      <c r="I215" s="2548">
        <v>2942600959377</v>
      </c>
      <c r="J215" s="2551">
        <v>0</v>
      </c>
      <c r="K215" s="2551">
        <v>0</v>
      </c>
      <c r="L215" s="2548">
        <v>2934132903971</v>
      </c>
      <c r="N215" s="2378">
        <v>11000000</v>
      </c>
      <c r="O215" s="2379" t="s">
        <v>3988</v>
      </c>
      <c r="P215" s="2380">
        <v>2800810292932</v>
      </c>
      <c r="Q215" s="2380">
        <v>35867777531</v>
      </c>
      <c r="R215" s="2381">
        <v>61259663756</v>
      </c>
      <c r="S215" s="2382">
        <v>23343119102</v>
      </c>
      <c r="T215" s="2380">
        <v>8665357280</v>
      </c>
      <c r="U215" s="2380">
        <v>2929946210601</v>
      </c>
      <c r="V215" s="2383">
        <v>0</v>
      </c>
      <c r="W215" s="2383">
        <v>0</v>
      </c>
      <c r="X215" s="2380">
        <v>2909702039161</v>
      </c>
      <c r="Z215" s="2378">
        <v>11000000</v>
      </c>
      <c r="AA215" s="2379" t="s">
        <v>3988</v>
      </c>
      <c r="AB215" s="2380">
        <v>2907902947733</v>
      </c>
      <c r="AC215" s="2380">
        <v>29247109151</v>
      </c>
      <c r="AD215" s="2381">
        <v>51945125217</v>
      </c>
      <c r="AE215" s="2382">
        <v>22254472363</v>
      </c>
      <c r="AF215" s="2380">
        <v>7747242775</v>
      </c>
      <c r="AG215" s="2380">
        <v>3019096897239</v>
      </c>
      <c r="AH215" s="2383">
        <v>0</v>
      </c>
      <c r="AI215" s="2383">
        <v>0</v>
      </c>
      <c r="AJ215" s="2380">
        <v>2996885740879</v>
      </c>
      <c r="AN215" s="1065"/>
      <c r="AR215" s="1106"/>
      <c r="AS215" s="1090"/>
      <c r="AT215" s="1090"/>
      <c r="AU215" s="1090"/>
      <c r="AV215" s="1090"/>
      <c r="AZ215" s="2378">
        <v>11000000</v>
      </c>
      <c r="BA215" s="2379" t="s">
        <v>3988</v>
      </c>
      <c r="BB215" s="2380">
        <v>2285556932124</v>
      </c>
      <c r="BC215" s="2380">
        <v>30134352185</v>
      </c>
      <c r="BD215" s="2381">
        <v>27637432114</v>
      </c>
      <c r="BE215" s="2382">
        <v>17083373585</v>
      </c>
      <c r="BF215" s="2380">
        <v>5306088717</v>
      </c>
      <c r="BG215" s="2380">
        <v>2365718178725</v>
      </c>
      <c r="BH215" s="2383">
        <v>0</v>
      </c>
      <c r="BI215" s="2383">
        <v>0</v>
      </c>
      <c r="BJ215" s="2380">
        <v>2353925815466</v>
      </c>
      <c r="BN215" s="2378">
        <v>11000000</v>
      </c>
      <c r="BO215" s="2379" t="s">
        <v>3988</v>
      </c>
      <c r="BP215" s="2380">
        <v>2420903939489</v>
      </c>
      <c r="BQ215" s="2380">
        <v>23176034554</v>
      </c>
      <c r="BR215" s="2381">
        <v>24708401324</v>
      </c>
      <c r="BS215" s="2382">
        <v>14659615676</v>
      </c>
      <c r="BT215" s="2380">
        <v>2405352476</v>
      </c>
      <c r="BU215" s="2380">
        <v>2485853343519</v>
      </c>
      <c r="BV215" s="2383">
        <v>0</v>
      </c>
      <c r="BW215" s="2383">
        <v>0</v>
      </c>
      <c r="BX215" s="2380">
        <v>2477921237043</v>
      </c>
      <c r="CE215" s="1107"/>
      <c r="CF215" s="1107"/>
      <c r="CG215" s="1107"/>
      <c r="CI215" s="1101"/>
      <c r="CJ215" s="1101"/>
    </row>
    <row r="216" spans="2:93">
      <c r="B216" s="2552">
        <v>11100000</v>
      </c>
      <c r="C216" s="2553" t="s">
        <v>4980</v>
      </c>
      <c r="D216" s="2554">
        <v>480428945779</v>
      </c>
      <c r="E216" s="2554">
        <v>1634262682</v>
      </c>
      <c r="F216" s="2555">
        <v>30711782539</v>
      </c>
      <c r="G216" s="2556">
        <v>6213856502</v>
      </c>
      <c r="H216" s="2554">
        <v>9884446642</v>
      </c>
      <c r="I216" s="2554">
        <v>528873294144</v>
      </c>
      <c r="J216" s="2557">
        <v>0</v>
      </c>
      <c r="K216" s="2557">
        <v>0</v>
      </c>
      <c r="L216" s="2554">
        <v>528873294144</v>
      </c>
      <c r="N216" s="2384">
        <v>11100000</v>
      </c>
      <c r="O216" s="2385" t="s">
        <v>3989</v>
      </c>
      <c r="P216" s="2386">
        <v>464614671608</v>
      </c>
      <c r="Q216" s="2386">
        <v>542370303</v>
      </c>
      <c r="R216" s="2387">
        <v>9607649145</v>
      </c>
      <c r="S216" s="2388">
        <v>6677664365</v>
      </c>
      <c r="T216" s="2386">
        <v>7746961204</v>
      </c>
      <c r="U216" s="2386">
        <v>489189316625</v>
      </c>
      <c r="V216" s="2389">
        <v>0</v>
      </c>
      <c r="W216" s="2389">
        <v>0</v>
      </c>
      <c r="X216" s="2386">
        <v>489189316625</v>
      </c>
      <c r="Z216" s="2384">
        <v>11100000</v>
      </c>
      <c r="AA216" s="2385" t="s">
        <v>3989</v>
      </c>
      <c r="AB216" s="2386">
        <v>421695790379</v>
      </c>
      <c r="AC216" s="2386">
        <v>417447</v>
      </c>
      <c r="AD216" s="2387">
        <v>15781763370</v>
      </c>
      <c r="AE216" s="2388">
        <v>3255425408</v>
      </c>
      <c r="AF216" s="2386">
        <v>6911654444</v>
      </c>
      <c r="AG216" s="2386">
        <v>447645051048</v>
      </c>
      <c r="AH216" s="2389">
        <v>0</v>
      </c>
      <c r="AI216" s="2389">
        <v>0</v>
      </c>
      <c r="AJ216" s="2386">
        <v>447645051048</v>
      </c>
      <c r="AP216" s="1090"/>
      <c r="AQ216" s="1064"/>
      <c r="AZ216" s="2384">
        <v>11100000</v>
      </c>
      <c r="BA216" s="2385" t="s">
        <v>3989</v>
      </c>
      <c r="BB216" s="2386">
        <v>314010007153</v>
      </c>
      <c r="BC216" s="2386">
        <v>315398</v>
      </c>
      <c r="BD216" s="2387">
        <v>425695255</v>
      </c>
      <c r="BE216" s="2388">
        <v>5361465516</v>
      </c>
      <c r="BF216" s="2386">
        <v>4462100647</v>
      </c>
      <c r="BG216" s="2386">
        <v>324259583969</v>
      </c>
      <c r="BH216" s="2389">
        <v>0</v>
      </c>
      <c r="BI216" s="2389">
        <v>0</v>
      </c>
      <c r="BJ216" s="2386">
        <v>324259583969</v>
      </c>
      <c r="BN216" s="2384">
        <v>11100000</v>
      </c>
      <c r="BO216" s="2385" t="s">
        <v>3989</v>
      </c>
      <c r="BP216" s="2386">
        <v>279408858984</v>
      </c>
      <c r="BQ216" s="2386">
        <v>1313570874</v>
      </c>
      <c r="BR216" s="2387">
        <v>219280611</v>
      </c>
      <c r="BS216" s="2388">
        <v>4339984136</v>
      </c>
      <c r="BT216" s="2386">
        <v>1554382945</v>
      </c>
      <c r="BU216" s="2386">
        <v>286836077550</v>
      </c>
      <c r="BV216" s="2389">
        <v>0</v>
      </c>
      <c r="BW216" s="2389">
        <v>0</v>
      </c>
      <c r="BX216" s="2386">
        <v>286836077550</v>
      </c>
      <c r="CD216" s="1064"/>
      <c r="CE216" s="1108"/>
      <c r="CF216" s="1108"/>
      <c r="CG216" s="1108"/>
      <c r="CH216" s="1090"/>
      <c r="CI216" s="1090"/>
      <c r="CJ216" s="1090"/>
    </row>
    <row r="217" spans="2:93">
      <c r="B217" s="2558">
        <v>11101000</v>
      </c>
      <c r="C217" s="2559" t="s">
        <v>4980</v>
      </c>
      <c r="D217" s="2560">
        <v>480428945779</v>
      </c>
      <c r="E217" s="2560">
        <v>1634262682</v>
      </c>
      <c r="F217" s="2561">
        <v>30711782539</v>
      </c>
      <c r="G217" s="2562">
        <v>6213856502</v>
      </c>
      <c r="H217" s="2560">
        <v>9884446642</v>
      </c>
      <c r="I217" s="2560">
        <v>528873294144</v>
      </c>
      <c r="J217" s="2563">
        <v>0</v>
      </c>
      <c r="K217" s="2563">
        <v>0</v>
      </c>
      <c r="L217" s="2560">
        <v>528873294144</v>
      </c>
      <c r="N217" s="2390">
        <v>11101000</v>
      </c>
      <c r="O217" s="2391" t="s">
        <v>3989</v>
      </c>
      <c r="P217" s="2392">
        <v>464614671608</v>
      </c>
      <c r="Q217" s="2392">
        <v>542370303</v>
      </c>
      <c r="R217" s="2393">
        <v>9607649145</v>
      </c>
      <c r="S217" s="2394">
        <v>6677664365</v>
      </c>
      <c r="T217" s="2392">
        <v>7746961204</v>
      </c>
      <c r="U217" s="2392">
        <v>489189316625</v>
      </c>
      <c r="V217" s="2395">
        <v>0</v>
      </c>
      <c r="W217" s="2395">
        <v>0</v>
      </c>
      <c r="X217" s="2392">
        <v>489189316625</v>
      </c>
      <c r="Z217" s="2390">
        <v>11101000</v>
      </c>
      <c r="AA217" s="2391" t="s">
        <v>3989</v>
      </c>
      <c r="AB217" s="2392">
        <v>421695790379</v>
      </c>
      <c r="AC217" s="2392">
        <v>417447</v>
      </c>
      <c r="AD217" s="2393">
        <v>15781763370</v>
      </c>
      <c r="AE217" s="2394">
        <v>3255425408</v>
      </c>
      <c r="AF217" s="2392">
        <v>6911654444</v>
      </c>
      <c r="AG217" s="2392">
        <v>447645051048</v>
      </c>
      <c r="AH217" s="2395">
        <v>0</v>
      </c>
      <c r="AI217" s="2395">
        <v>0</v>
      </c>
      <c r="AJ217" s="2392">
        <v>447645051048</v>
      </c>
      <c r="AP217" s="1090"/>
      <c r="AQ217" s="1101"/>
      <c r="AR217" s="1064"/>
      <c r="AZ217" s="2390">
        <v>11101000</v>
      </c>
      <c r="BA217" s="2391" t="s">
        <v>3989</v>
      </c>
      <c r="BB217" s="2392">
        <v>314010007153</v>
      </c>
      <c r="BC217" s="2392">
        <v>315398</v>
      </c>
      <c r="BD217" s="2393">
        <v>425695255</v>
      </c>
      <c r="BE217" s="2394">
        <v>5361465516</v>
      </c>
      <c r="BF217" s="2392">
        <v>4462100647</v>
      </c>
      <c r="BG217" s="2392">
        <v>324259583969</v>
      </c>
      <c r="BH217" s="2395">
        <v>0</v>
      </c>
      <c r="BI217" s="2395">
        <v>0</v>
      </c>
      <c r="BJ217" s="2392">
        <v>324259583969</v>
      </c>
      <c r="BN217" s="2390">
        <v>11101000</v>
      </c>
      <c r="BO217" s="2391" t="s">
        <v>3989</v>
      </c>
      <c r="BP217" s="2392">
        <v>279408858984</v>
      </c>
      <c r="BQ217" s="2392">
        <v>1313570874</v>
      </c>
      <c r="BR217" s="2393">
        <v>219280611</v>
      </c>
      <c r="BS217" s="2394">
        <v>4339984136</v>
      </c>
      <c r="BT217" s="2392">
        <v>1554382945</v>
      </c>
      <c r="BU217" s="2392">
        <v>286836077550</v>
      </c>
      <c r="BV217" s="2395">
        <v>0</v>
      </c>
      <c r="BW217" s="2395">
        <v>0</v>
      </c>
      <c r="BX217" s="2392">
        <v>286836077550</v>
      </c>
      <c r="CD217" s="1064"/>
      <c r="CE217" s="1108"/>
      <c r="CF217" s="1108"/>
      <c r="CG217" s="1108"/>
      <c r="CH217" s="1108"/>
      <c r="CI217" s="1108"/>
      <c r="CJ217" s="1108"/>
      <c r="CL217" s="1065"/>
      <c r="CM217" s="1064"/>
      <c r="CN217" s="1064"/>
      <c r="CO217" s="1064"/>
    </row>
    <row r="218" spans="2:93">
      <c r="B218" s="2564">
        <v>11101001</v>
      </c>
      <c r="C218" s="2565" t="s">
        <v>3990</v>
      </c>
      <c r="D218" s="2566">
        <v>0</v>
      </c>
      <c r="E218" s="1080">
        <v>0</v>
      </c>
      <c r="F218" s="2567">
        <v>0</v>
      </c>
      <c r="G218" s="2568">
        <v>0</v>
      </c>
      <c r="H218" s="2566">
        <v>0</v>
      </c>
      <c r="I218" s="2566">
        <v>0</v>
      </c>
      <c r="J218" s="2569">
        <v>0</v>
      </c>
      <c r="K218" s="2569">
        <v>0</v>
      </c>
      <c r="L218" s="2566">
        <v>0</v>
      </c>
      <c r="N218" s="2396">
        <v>11101001</v>
      </c>
      <c r="O218" s="2397" t="s">
        <v>3990</v>
      </c>
      <c r="P218" s="2398">
        <v>0</v>
      </c>
      <c r="Q218" s="2179">
        <v>0</v>
      </c>
      <c r="R218" s="2399">
        <v>0</v>
      </c>
      <c r="S218" s="2400">
        <v>0</v>
      </c>
      <c r="T218" s="2398">
        <v>0</v>
      </c>
      <c r="U218" s="2398">
        <v>0</v>
      </c>
      <c r="V218" s="2401">
        <v>0</v>
      </c>
      <c r="W218" s="2401">
        <v>0</v>
      </c>
      <c r="X218" s="2398">
        <v>0</v>
      </c>
      <c r="Z218" s="2396">
        <v>11101001</v>
      </c>
      <c r="AA218" s="2397" t="s">
        <v>3990</v>
      </c>
      <c r="AB218" s="2398">
        <v>0</v>
      </c>
      <c r="AC218" s="2179">
        <v>0</v>
      </c>
      <c r="AD218" s="2399">
        <v>0</v>
      </c>
      <c r="AE218" s="2400">
        <v>0</v>
      </c>
      <c r="AF218" s="2398">
        <v>0</v>
      </c>
      <c r="AG218" s="2398">
        <v>0</v>
      </c>
      <c r="AH218" s="2401">
        <v>0</v>
      </c>
      <c r="AI218" s="2401">
        <v>0</v>
      </c>
      <c r="AJ218" s="2398">
        <v>0</v>
      </c>
      <c r="AO218" s="1107"/>
      <c r="AP218" s="1107"/>
      <c r="AQ218" s="1101"/>
      <c r="AR218" s="1101"/>
      <c r="AZ218" s="2396">
        <v>11101001</v>
      </c>
      <c r="BA218" s="2397" t="s">
        <v>3990</v>
      </c>
      <c r="BB218" s="2398">
        <v>0</v>
      </c>
      <c r="BC218" s="2179">
        <v>0</v>
      </c>
      <c r="BD218" s="2399">
        <v>0</v>
      </c>
      <c r="BE218" s="2400">
        <v>0</v>
      </c>
      <c r="BF218" s="2398">
        <v>0</v>
      </c>
      <c r="BG218" s="2398">
        <v>0</v>
      </c>
      <c r="BH218" s="2401">
        <v>0</v>
      </c>
      <c r="BI218" s="2401">
        <v>0</v>
      </c>
      <c r="BJ218" s="2398">
        <v>0</v>
      </c>
      <c r="BN218" s="2396">
        <v>11101001</v>
      </c>
      <c r="BO218" s="2397" t="s">
        <v>3990</v>
      </c>
      <c r="BP218" s="2398">
        <v>0</v>
      </c>
      <c r="BQ218" s="2179">
        <v>0</v>
      </c>
      <c r="BR218" s="2399">
        <v>0</v>
      </c>
      <c r="BS218" s="2400">
        <v>0</v>
      </c>
      <c r="BT218" s="2398">
        <v>0</v>
      </c>
      <c r="BU218" s="2398">
        <v>0</v>
      </c>
      <c r="BV218" s="2401">
        <v>0</v>
      </c>
      <c r="BW218" s="2401">
        <v>0</v>
      </c>
      <c r="BX218" s="2398">
        <v>0</v>
      </c>
      <c r="BY218" s="1064"/>
      <c r="CD218" s="1064"/>
      <c r="CE218" s="1108"/>
      <c r="CF218" s="1108"/>
      <c r="CG218" s="1108"/>
      <c r="CH218" s="1108"/>
      <c r="CI218" s="1108"/>
      <c r="CJ218" s="1108"/>
      <c r="CL218" s="1065"/>
      <c r="CM218" s="1064"/>
      <c r="CN218" s="1064"/>
      <c r="CO218" s="1064"/>
    </row>
    <row r="219" spans="2:93">
      <c r="B219" s="2564">
        <v>11101002</v>
      </c>
      <c r="C219" s="2565" t="s">
        <v>3991</v>
      </c>
      <c r="D219" s="2566">
        <v>3961795</v>
      </c>
      <c r="E219" s="1080">
        <v>0</v>
      </c>
      <c r="F219" s="2567">
        <v>0</v>
      </c>
      <c r="G219" s="2568">
        <v>0</v>
      </c>
      <c r="H219" s="2566">
        <v>0</v>
      </c>
      <c r="I219" s="2566">
        <v>3961795</v>
      </c>
      <c r="J219" s="2569">
        <v>0</v>
      </c>
      <c r="K219" s="2569">
        <v>0</v>
      </c>
      <c r="L219" s="2566">
        <v>3961795</v>
      </c>
      <c r="N219" s="2396">
        <v>11101002</v>
      </c>
      <c r="O219" s="2397" t="s">
        <v>3991</v>
      </c>
      <c r="P219" s="2398">
        <v>15509844</v>
      </c>
      <c r="Q219" s="2179">
        <v>0</v>
      </c>
      <c r="R219" s="2399">
        <v>0</v>
      </c>
      <c r="S219" s="2400">
        <v>0</v>
      </c>
      <c r="T219" s="2398">
        <v>0</v>
      </c>
      <c r="U219" s="2398">
        <v>15509844</v>
      </c>
      <c r="V219" s="2401">
        <v>0</v>
      </c>
      <c r="W219" s="2401">
        <v>0</v>
      </c>
      <c r="X219" s="2398">
        <v>15509844</v>
      </c>
      <c r="Z219" s="2396">
        <v>11101002</v>
      </c>
      <c r="AA219" s="2397" t="s">
        <v>3991</v>
      </c>
      <c r="AB219" s="2398">
        <v>9720141</v>
      </c>
      <c r="AC219" s="2179">
        <v>0</v>
      </c>
      <c r="AD219" s="2399">
        <v>0</v>
      </c>
      <c r="AE219" s="2400">
        <v>0</v>
      </c>
      <c r="AF219" s="2398">
        <v>0</v>
      </c>
      <c r="AG219" s="2398">
        <v>9720141</v>
      </c>
      <c r="AH219" s="2401">
        <v>0</v>
      </c>
      <c r="AI219" s="2401">
        <v>0</v>
      </c>
      <c r="AJ219" s="2398">
        <v>9720141</v>
      </c>
      <c r="AN219" s="1064"/>
      <c r="AO219" s="1108"/>
      <c r="AP219" s="1108"/>
      <c r="AQ219" s="1090"/>
      <c r="AR219" s="1090"/>
      <c r="AZ219" s="2396">
        <v>11101002</v>
      </c>
      <c r="BA219" s="2397" t="s">
        <v>3991</v>
      </c>
      <c r="BB219" s="2398">
        <v>2116628</v>
      </c>
      <c r="BC219" s="2179">
        <v>0</v>
      </c>
      <c r="BD219" s="2399">
        <v>0</v>
      </c>
      <c r="BE219" s="2400">
        <v>0</v>
      </c>
      <c r="BF219" s="2398">
        <v>0</v>
      </c>
      <c r="BG219" s="2398">
        <v>2116628</v>
      </c>
      <c r="BH219" s="2401">
        <v>0</v>
      </c>
      <c r="BI219" s="2401">
        <v>0</v>
      </c>
      <c r="BJ219" s="2398">
        <v>2116628</v>
      </c>
      <c r="BN219" s="2396">
        <v>11101002</v>
      </c>
      <c r="BO219" s="2397" t="s">
        <v>3991</v>
      </c>
      <c r="BP219" s="2398">
        <v>12421483</v>
      </c>
      <c r="BQ219" s="2179">
        <v>0</v>
      </c>
      <c r="BR219" s="2399">
        <v>0</v>
      </c>
      <c r="BS219" s="2400">
        <v>0</v>
      </c>
      <c r="BT219" s="2398">
        <v>0</v>
      </c>
      <c r="BU219" s="2398">
        <v>12421483</v>
      </c>
      <c r="BV219" s="2401">
        <v>0</v>
      </c>
      <c r="BW219" s="2401">
        <v>0</v>
      </c>
      <c r="BX219" s="2398">
        <v>12421483</v>
      </c>
      <c r="BY219" s="1064"/>
      <c r="CE219" s="1108"/>
      <c r="CF219" s="1108"/>
      <c r="CG219" s="1108"/>
      <c r="CH219" s="1108"/>
      <c r="CI219" s="1108"/>
      <c r="CJ219" s="1108"/>
      <c r="CL219" s="1064"/>
      <c r="CM219" s="1064"/>
      <c r="CN219" s="1064"/>
      <c r="CO219" s="1064"/>
    </row>
    <row r="220" spans="2:93">
      <c r="B220" s="2564">
        <v>11101003</v>
      </c>
      <c r="C220" s="2565" t="s">
        <v>3992</v>
      </c>
      <c r="D220" s="2566">
        <v>0</v>
      </c>
      <c r="E220" s="1080">
        <v>557292854</v>
      </c>
      <c r="F220" s="2567">
        <v>1307152</v>
      </c>
      <c r="G220" s="2568">
        <v>131142996</v>
      </c>
      <c r="H220" s="2566">
        <v>10582543</v>
      </c>
      <c r="I220" s="2566">
        <v>700325545</v>
      </c>
      <c r="J220" s="2569">
        <v>0</v>
      </c>
      <c r="K220" s="2569">
        <v>0</v>
      </c>
      <c r="L220" s="2566">
        <v>700325545</v>
      </c>
      <c r="N220" s="2396">
        <v>11101003</v>
      </c>
      <c r="O220" s="2397" t="s">
        <v>3992</v>
      </c>
      <c r="P220" s="2398">
        <v>0</v>
      </c>
      <c r="Q220" s="2179">
        <v>542369896</v>
      </c>
      <c r="R220" s="2399">
        <v>737290</v>
      </c>
      <c r="S220" s="2400">
        <v>2463136</v>
      </c>
      <c r="T220" s="2398">
        <v>567418</v>
      </c>
      <c r="U220" s="2398">
        <v>546137740</v>
      </c>
      <c r="V220" s="2401">
        <v>0</v>
      </c>
      <c r="W220" s="2401">
        <v>0</v>
      </c>
      <c r="X220" s="2398">
        <v>546137740</v>
      </c>
      <c r="Z220" s="2396">
        <v>11101003</v>
      </c>
      <c r="AA220" s="2397" t="s">
        <v>3992</v>
      </c>
      <c r="AB220" s="2398">
        <v>0</v>
      </c>
      <c r="AC220" s="2179">
        <v>417447</v>
      </c>
      <c r="AD220" s="2399">
        <v>1182411</v>
      </c>
      <c r="AE220" s="2400">
        <v>0</v>
      </c>
      <c r="AF220" s="2398">
        <v>2723416</v>
      </c>
      <c r="AG220" s="2398">
        <v>4323274</v>
      </c>
      <c r="AH220" s="2401">
        <v>0</v>
      </c>
      <c r="AI220" s="2401">
        <v>0</v>
      </c>
      <c r="AJ220" s="2398">
        <v>4323274</v>
      </c>
      <c r="AN220" s="1064"/>
      <c r="AO220" s="1108"/>
      <c r="AP220" s="1108"/>
      <c r="AQ220" s="1108"/>
      <c r="AR220" s="1108"/>
      <c r="AT220" s="1065"/>
      <c r="AU220" s="1064"/>
      <c r="AV220" s="1064"/>
      <c r="AW220" s="1064"/>
      <c r="AZ220" s="2396">
        <v>11101003</v>
      </c>
      <c r="BA220" s="2397" t="s">
        <v>3992</v>
      </c>
      <c r="BB220" s="2398">
        <v>0</v>
      </c>
      <c r="BC220" s="2179">
        <v>315398</v>
      </c>
      <c r="BD220" s="2399">
        <v>167351639</v>
      </c>
      <c r="BE220" s="2400">
        <v>0</v>
      </c>
      <c r="BF220" s="2398">
        <v>4578265</v>
      </c>
      <c r="BG220" s="2398">
        <v>172245302</v>
      </c>
      <c r="BH220" s="2401">
        <v>0</v>
      </c>
      <c r="BI220" s="2401">
        <v>0</v>
      </c>
      <c r="BJ220" s="2398">
        <v>172245302</v>
      </c>
      <c r="BK220" s="1064"/>
      <c r="BN220" s="2396">
        <v>11101003</v>
      </c>
      <c r="BO220" s="2397" t="s">
        <v>3992</v>
      </c>
      <c r="BP220" s="2398">
        <v>64178712</v>
      </c>
      <c r="BQ220" s="2179">
        <v>632915</v>
      </c>
      <c r="BR220" s="2399">
        <v>1705613</v>
      </c>
      <c r="BS220" s="2400">
        <v>1284419444</v>
      </c>
      <c r="BT220" s="2398">
        <v>5474016</v>
      </c>
      <c r="BU220" s="2398">
        <v>1356410700</v>
      </c>
      <c r="BV220" s="2401">
        <v>0</v>
      </c>
      <c r="BW220" s="2401">
        <v>0</v>
      </c>
      <c r="BX220" s="2398">
        <v>1356410700</v>
      </c>
      <c r="BY220" s="1064"/>
      <c r="CE220" s="1108"/>
      <c r="CF220" s="1108"/>
      <c r="CG220" s="1108"/>
      <c r="CH220" s="1108"/>
      <c r="CI220" s="1108"/>
      <c r="CJ220" s="1108"/>
      <c r="CN220" s="1064"/>
      <c r="CO220" s="1064"/>
    </row>
    <row r="221" spans="2:93">
      <c r="B221" s="2564">
        <v>11101004</v>
      </c>
      <c r="C221" s="2565" t="s">
        <v>3993</v>
      </c>
      <c r="D221" s="2566">
        <v>477520000000</v>
      </c>
      <c r="E221" s="1080">
        <v>0</v>
      </c>
      <c r="F221" s="2567">
        <v>10569476988</v>
      </c>
      <c r="G221" s="2568">
        <v>6082713506</v>
      </c>
      <c r="H221" s="2566">
        <v>0</v>
      </c>
      <c r="I221" s="2566">
        <v>494172190494</v>
      </c>
      <c r="J221" s="2569">
        <v>13004506336</v>
      </c>
      <c r="K221" s="2569">
        <v>13004506336</v>
      </c>
      <c r="L221" s="2566">
        <v>494172190494</v>
      </c>
      <c r="N221" s="2396">
        <v>11101004</v>
      </c>
      <c r="O221" s="2397" t="s">
        <v>3993</v>
      </c>
      <c r="P221" s="2398">
        <v>403220000000</v>
      </c>
      <c r="Q221" s="2179">
        <v>0</v>
      </c>
      <c r="R221" s="2399">
        <v>6908833602</v>
      </c>
      <c r="S221" s="2400">
        <v>6675201229</v>
      </c>
      <c r="T221" s="2398">
        <v>0</v>
      </c>
      <c r="U221" s="2398">
        <v>416804034831</v>
      </c>
      <c r="V221" s="2401">
        <v>13004506336</v>
      </c>
      <c r="W221" s="2401">
        <v>13004506336</v>
      </c>
      <c r="X221" s="2398">
        <v>416804034831</v>
      </c>
      <c r="Z221" s="2396">
        <v>11101004</v>
      </c>
      <c r="AA221" s="2397" t="s">
        <v>3993</v>
      </c>
      <c r="AB221" s="2398">
        <v>405870000000</v>
      </c>
      <c r="AC221" s="2179">
        <v>0</v>
      </c>
      <c r="AD221" s="2399">
        <v>5086993052</v>
      </c>
      <c r="AE221" s="2400">
        <v>3255425408</v>
      </c>
      <c r="AF221" s="2398">
        <v>0</v>
      </c>
      <c r="AG221" s="2398">
        <v>414212418460</v>
      </c>
      <c r="AH221" s="2401">
        <v>8000000000</v>
      </c>
      <c r="AI221" s="2401">
        <v>8000000000</v>
      </c>
      <c r="AJ221" s="2398">
        <v>414212418460</v>
      </c>
      <c r="AN221" s="1064"/>
      <c r="AO221" s="1108"/>
      <c r="AP221" s="1108"/>
      <c r="AQ221" s="1108"/>
      <c r="AR221" s="1108"/>
      <c r="AT221" s="1065"/>
      <c r="AU221" s="1064"/>
      <c r="AV221" s="1064"/>
      <c r="AW221" s="1064"/>
      <c r="AZ221" s="2396">
        <v>11101004</v>
      </c>
      <c r="BA221" s="2397" t="s">
        <v>3993</v>
      </c>
      <c r="BB221" s="2398">
        <v>297670000000</v>
      </c>
      <c r="BC221" s="2179">
        <v>0</v>
      </c>
      <c r="BD221" s="2399">
        <v>95341248</v>
      </c>
      <c r="BE221" s="2400">
        <v>5361465516</v>
      </c>
      <c r="BF221" s="2398">
        <v>0</v>
      </c>
      <c r="BG221" s="2398">
        <v>303126806764</v>
      </c>
      <c r="BH221" s="2401">
        <v>3000000000</v>
      </c>
      <c r="BI221" s="2401">
        <v>3000000000</v>
      </c>
      <c r="BJ221" s="2398">
        <v>303126806764</v>
      </c>
      <c r="BK221" s="1064"/>
      <c r="BN221" s="2396">
        <v>11101004</v>
      </c>
      <c r="BO221" s="2397" t="s">
        <v>3993</v>
      </c>
      <c r="BP221" s="2398">
        <v>248310000000</v>
      </c>
      <c r="BQ221" s="2179">
        <v>0</v>
      </c>
      <c r="BR221" s="2399">
        <v>216837160</v>
      </c>
      <c r="BS221" s="2400">
        <v>3055564692</v>
      </c>
      <c r="BT221" s="2398">
        <v>0</v>
      </c>
      <c r="BU221" s="2398">
        <v>251582401852</v>
      </c>
      <c r="BV221" s="2401">
        <v>0</v>
      </c>
      <c r="BW221" s="2401">
        <v>0</v>
      </c>
      <c r="BX221" s="2398">
        <v>251582401852</v>
      </c>
      <c r="BY221" s="1064"/>
      <c r="CE221" s="1108"/>
      <c r="CF221" s="1108"/>
      <c r="CG221" s="1108"/>
      <c r="CH221" s="1108"/>
      <c r="CI221" s="1108"/>
      <c r="CJ221" s="1108"/>
      <c r="CL221" s="1064"/>
      <c r="CM221" s="1064"/>
      <c r="CN221" s="1064"/>
      <c r="CO221" s="1064"/>
    </row>
    <row r="222" spans="2:93">
      <c r="B222" s="2564">
        <v>11101005</v>
      </c>
      <c r="C222" s="2565" t="s">
        <v>3994</v>
      </c>
      <c r="D222" s="2566">
        <v>0</v>
      </c>
      <c r="E222" s="1080">
        <v>0</v>
      </c>
      <c r="F222" s="2567">
        <v>0</v>
      </c>
      <c r="G222" s="2568">
        <v>0</v>
      </c>
      <c r="H222" s="2566">
        <v>0</v>
      </c>
      <c r="I222" s="2566">
        <v>0</v>
      </c>
      <c r="J222" s="2569">
        <v>0</v>
      </c>
      <c r="K222" s="2569">
        <v>0</v>
      </c>
      <c r="L222" s="2566">
        <v>0</v>
      </c>
      <c r="N222" s="2396">
        <v>11101005</v>
      </c>
      <c r="O222" s="2397" t="s">
        <v>3994</v>
      </c>
      <c r="P222" s="2398">
        <v>0</v>
      </c>
      <c r="Q222" s="2179">
        <v>0</v>
      </c>
      <c r="R222" s="2399">
        <v>0</v>
      </c>
      <c r="S222" s="2400">
        <v>0</v>
      </c>
      <c r="T222" s="2398">
        <v>0</v>
      </c>
      <c r="U222" s="2398">
        <v>0</v>
      </c>
      <c r="V222" s="2401">
        <v>0</v>
      </c>
      <c r="W222" s="2401">
        <v>0</v>
      </c>
      <c r="X222" s="2398">
        <v>0</v>
      </c>
      <c r="Z222" s="2396">
        <v>11101005</v>
      </c>
      <c r="AA222" s="2397" t="s">
        <v>3994</v>
      </c>
      <c r="AB222" s="2398">
        <v>3469419318</v>
      </c>
      <c r="AC222" s="2179">
        <v>0</v>
      </c>
      <c r="AD222" s="2399">
        <v>0</v>
      </c>
      <c r="AE222" s="2400">
        <v>0</v>
      </c>
      <c r="AF222" s="2398">
        <v>0</v>
      </c>
      <c r="AG222" s="2398">
        <v>3469419318</v>
      </c>
      <c r="AH222" s="2401">
        <v>0</v>
      </c>
      <c r="AI222" s="2401">
        <v>0</v>
      </c>
      <c r="AJ222" s="2398">
        <v>3469419318</v>
      </c>
      <c r="AO222" s="1108"/>
      <c r="AP222" s="1108"/>
      <c r="AQ222" s="1108"/>
      <c r="AR222" s="1108"/>
      <c r="AT222" s="1064"/>
      <c r="AU222" s="1064"/>
      <c r="AV222" s="1064"/>
      <c r="AW222" s="1064"/>
      <c r="AZ222" s="2396">
        <v>11101005</v>
      </c>
      <c r="BA222" s="2397" t="s">
        <v>3994</v>
      </c>
      <c r="BB222" s="2398">
        <v>0</v>
      </c>
      <c r="BC222" s="2179">
        <v>0</v>
      </c>
      <c r="BD222" s="2399">
        <v>0</v>
      </c>
      <c r="BE222" s="2400">
        <v>0</v>
      </c>
      <c r="BF222" s="2398">
        <v>0</v>
      </c>
      <c r="BG222" s="2398">
        <v>0</v>
      </c>
      <c r="BH222" s="2401">
        <v>0</v>
      </c>
      <c r="BI222" s="2401">
        <v>0</v>
      </c>
      <c r="BJ222" s="2398">
        <v>0</v>
      </c>
      <c r="BK222" s="1064"/>
      <c r="BN222" s="2396">
        <v>11101005</v>
      </c>
      <c r="BO222" s="2397" t="s">
        <v>3994</v>
      </c>
      <c r="BP222" s="2398">
        <v>24161012</v>
      </c>
      <c r="BQ222" s="2179">
        <v>0</v>
      </c>
      <c r="BR222" s="2399">
        <v>0</v>
      </c>
      <c r="BS222" s="2400">
        <v>0</v>
      </c>
      <c r="BT222" s="2398">
        <v>0</v>
      </c>
      <c r="BU222" s="2398">
        <v>24161012</v>
      </c>
      <c r="BV222" s="2401">
        <v>0</v>
      </c>
      <c r="BW222" s="2401">
        <v>0</v>
      </c>
      <c r="BX222" s="2398">
        <v>24161012</v>
      </c>
      <c r="BY222" s="1064"/>
      <c r="CE222" s="1108"/>
      <c r="CF222" s="1108"/>
      <c r="CG222" s="1108"/>
      <c r="CH222" s="1108"/>
      <c r="CI222" s="1108"/>
      <c r="CJ222" s="1108"/>
      <c r="CN222" s="1064"/>
      <c r="CO222" s="1064"/>
    </row>
    <row r="223" spans="2:93">
      <c r="B223" s="2564">
        <v>11101006</v>
      </c>
      <c r="C223" s="2565" t="s">
        <v>3995</v>
      </c>
      <c r="D223" s="2566">
        <v>84651827</v>
      </c>
      <c r="E223" s="1080">
        <v>1076969828</v>
      </c>
      <c r="F223" s="2567">
        <v>6140998399</v>
      </c>
      <c r="G223" s="2568">
        <v>0</v>
      </c>
      <c r="H223" s="2566">
        <v>9873864099</v>
      </c>
      <c r="I223" s="2566">
        <v>17176484153</v>
      </c>
      <c r="J223" s="2569">
        <v>0</v>
      </c>
      <c r="K223" s="2569">
        <v>0</v>
      </c>
      <c r="L223" s="2566">
        <v>17176484153</v>
      </c>
      <c r="N223" s="2396">
        <v>11101006</v>
      </c>
      <c r="O223" s="2397" t="s">
        <v>3995</v>
      </c>
      <c r="P223" s="2398">
        <v>54197624</v>
      </c>
      <c r="Q223" s="2179">
        <v>407</v>
      </c>
      <c r="R223" s="2399">
        <v>2698078253</v>
      </c>
      <c r="S223" s="2400">
        <v>0</v>
      </c>
      <c r="T223" s="2398">
        <v>7746393786</v>
      </c>
      <c r="U223" s="2398">
        <v>10498670070</v>
      </c>
      <c r="V223" s="2401">
        <v>0</v>
      </c>
      <c r="W223" s="2401">
        <v>0</v>
      </c>
      <c r="X223" s="2398">
        <v>10498670070</v>
      </c>
      <c r="Z223" s="2396">
        <v>11101006</v>
      </c>
      <c r="AA223" s="2397" t="s">
        <v>3995</v>
      </c>
      <c r="AB223" s="2398">
        <v>41066128</v>
      </c>
      <c r="AC223" s="2179">
        <v>0</v>
      </c>
      <c r="AD223" s="2399">
        <v>2693587907</v>
      </c>
      <c r="AE223" s="2400">
        <v>0</v>
      </c>
      <c r="AF223" s="2398">
        <v>6908931028</v>
      </c>
      <c r="AG223" s="2398">
        <v>9643585063</v>
      </c>
      <c r="AH223" s="2401">
        <v>0</v>
      </c>
      <c r="AI223" s="2401">
        <v>0</v>
      </c>
      <c r="AJ223" s="2398">
        <v>9643585063</v>
      </c>
      <c r="AO223" s="1108"/>
      <c r="AP223" s="1108"/>
      <c r="AQ223" s="1108"/>
      <c r="AR223" s="1108"/>
      <c r="AV223" s="1064"/>
      <c r="AW223" s="1064"/>
      <c r="AZ223" s="2396">
        <v>11101006</v>
      </c>
      <c r="BA223" s="2397" t="s">
        <v>3995</v>
      </c>
      <c r="BB223" s="2398">
        <v>70122274</v>
      </c>
      <c r="BC223" s="2179">
        <v>0</v>
      </c>
      <c r="BD223" s="2399">
        <v>163002368</v>
      </c>
      <c r="BE223" s="2400">
        <v>0</v>
      </c>
      <c r="BF223" s="2398">
        <v>4457522382</v>
      </c>
      <c r="BG223" s="2398">
        <v>4690647024</v>
      </c>
      <c r="BH223" s="2401">
        <v>0</v>
      </c>
      <c r="BI223" s="2401">
        <v>0</v>
      </c>
      <c r="BJ223" s="2398">
        <v>4690647024</v>
      </c>
      <c r="BK223" s="1064"/>
      <c r="BN223" s="2396">
        <v>11101006</v>
      </c>
      <c r="BO223" s="2397" t="s">
        <v>3995</v>
      </c>
      <c r="BP223" s="2398">
        <v>28400533</v>
      </c>
      <c r="BQ223" s="2179">
        <v>1312937959</v>
      </c>
      <c r="BR223" s="2399">
        <v>737838</v>
      </c>
      <c r="BS223" s="2400">
        <v>0</v>
      </c>
      <c r="BT223" s="2398">
        <v>1548908929</v>
      </c>
      <c r="BU223" s="2398">
        <v>2890985259</v>
      </c>
      <c r="BV223" s="2401">
        <v>0</v>
      </c>
      <c r="BW223" s="2401">
        <v>0</v>
      </c>
      <c r="BX223" s="2398">
        <v>2890985259</v>
      </c>
      <c r="BY223" s="1064"/>
      <c r="CE223" s="1109"/>
      <c r="CF223" s="1109"/>
      <c r="CG223" s="1109"/>
      <c r="CH223" s="1109"/>
      <c r="CI223" s="1109"/>
      <c r="CJ223" s="1109"/>
      <c r="CN223" s="1064"/>
      <c r="CO223" s="1064"/>
    </row>
    <row r="224" spans="2:93">
      <c r="B224" s="2564">
        <v>11101007</v>
      </c>
      <c r="C224" s="2565" t="s">
        <v>3996</v>
      </c>
      <c r="D224" s="2566">
        <v>0</v>
      </c>
      <c r="E224" s="1080">
        <v>0</v>
      </c>
      <c r="F224" s="2567">
        <v>0</v>
      </c>
      <c r="G224" s="2568">
        <v>0</v>
      </c>
      <c r="H224" s="2566">
        <v>0</v>
      </c>
      <c r="I224" s="2566">
        <v>0</v>
      </c>
      <c r="J224" s="2569">
        <v>0</v>
      </c>
      <c r="K224" s="2569">
        <v>0</v>
      </c>
      <c r="L224" s="2566">
        <v>0</v>
      </c>
      <c r="N224" s="2396">
        <v>11101007</v>
      </c>
      <c r="O224" s="2397" t="s">
        <v>3996</v>
      </c>
      <c r="P224" s="2398">
        <v>0</v>
      </c>
      <c r="Q224" s="2179">
        <v>0</v>
      </c>
      <c r="R224" s="2399">
        <v>0</v>
      </c>
      <c r="S224" s="2400">
        <v>0</v>
      </c>
      <c r="T224" s="2398">
        <v>0</v>
      </c>
      <c r="U224" s="2398">
        <v>0</v>
      </c>
      <c r="V224" s="2401">
        <v>0</v>
      </c>
      <c r="W224" s="2401">
        <v>0</v>
      </c>
      <c r="X224" s="2398">
        <v>0</v>
      </c>
      <c r="Z224" s="2396">
        <v>11101007</v>
      </c>
      <c r="AA224" s="2397" t="s">
        <v>3996</v>
      </c>
      <c r="AB224" s="2398">
        <v>0</v>
      </c>
      <c r="AC224" s="2179">
        <v>0</v>
      </c>
      <c r="AD224" s="2399">
        <v>0</v>
      </c>
      <c r="AE224" s="2400">
        <v>0</v>
      </c>
      <c r="AF224" s="2398">
        <v>0</v>
      </c>
      <c r="AG224" s="2398">
        <v>0</v>
      </c>
      <c r="AH224" s="2401">
        <v>0</v>
      </c>
      <c r="AI224" s="2401">
        <v>0</v>
      </c>
      <c r="AJ224" s="2398">
        <v>0</v>
      </c>
      <c r="AO224" s="1108"/>
      <c r="AP224" s="1108"/>
      <c r="AQ224" s="1108"/>
      <c r="AR224" s="1108"/>
      <c r="AT224" s="1064"/>
      <c r="AU224" s="1064"/>
      <c r="AV224" s="1064"/>
      <c r="AW224" s="1064"/>
      <c r="AZ224" s="2396">
        <v>11101007</v>
      </c>
      <c r="BA224" s="2397" t="s">
        <v>3996</v>
      </c>
      <c r="BB224" s="2398">
        <v>0</v>
      </c>
      <c r="BC224" s="2179">
        <v>0</v>
      </c>
      <c r="BD224" s="2399">
        <v>0</v>
      </c>
      <c r="BE224" s="2400">
        <v>0</v>
      </c>
      <c r="BF224" s="2398">
        <v>0</v>
      </c>
      <c r="BG224" s="2398">
        <v>0</v>
      </c>
      <c r="BH224" s="2401">
        <v>0</v>
      </c>
      <c r="BI224" s="2401">
        <v>0</v>
      </c>
      <c r="BJ224" s="2398">
        <v>0</v>
      </c>
      <c r="BK224" s="1064"/>
      <c r="BN224" s="2396">
        <v>11101007</v>
      </c>
      <c r="BO224" s="2397" t="s">
        <v>3996</v>
      </c>
      <c r="BP224" s="2398">
        <v>0</v>
      </c>
      <c r="BQ224" s="2179">
        <v>0</v>
      </c>
      <c r="BR224" s="2399">
        <v>0</v>
      </c>
      <c r="BS224" s="2400">
        <v>0</v>
      </c>
      <c r="BT224" s="2398">
        <v>0</v>
      </c>
      <c r="BU224" s="2398">
        <v>0</v>
      </c>
      <c r="BV224" s="2401">
        <v>0</v>
      </c>
      <c r="BW224" s="2401">
        <v>0</v>
      </c>
      <c r="BX224" s="2398">
        <v>0</v>
      </c>
      <c r="BY224" s="1064"/>
      <c r="CE224" s="1110"/>
      <c r="CF224" s="1110"/>
      <c r="CG224" s="1107"/>
      <c r="CL224" s="1064"/>
      <c r="CM224" s="1064"/>
      <c r="CN224" s="1064"/>
      <c r="CO224" s="1064"/>
    </row>
    <row r="225" spans="2:93">
      <c r="B225" s="2564">
        <v>11101008</v>
      </c>
      <c r="C225" s="2565" t="s">
        <v>3997</v>
      </c>
      <c r="D225" s="2566">
        <v>2820332157</v>
      </c>
      <c r="E225" s="1080">
        <v>0</v>
      </c>
      <c r="F225" s="2567">
        <v>14000000000</v>
      </c>
      <c r="G225" s="2568">
        <v>0</v>
      </c>
      <c r="H225" s="2566">
        <v>0</v>
      </c>
      <c r="I225" s="2566">
        <v>16820332157</v>
      </c>
      <c r="J225" s="2569">
        <v>0</v>
      </c>
      <c r="K225" s="2569">
        <v>0</v>
      </c>
      <c r="L225" s="2566">
        <v>16820332157</v>
      </c>
      <c r="N225" s="2396">
        <v>11101008</v>
      </c>
      <c r="O225" s="2397" t="s">
        <v>3997</v>
      </c>
      <c r="P225" s="2398">
        <v>61324964140</v>
      </c>
      <c r="Q225" s="2179">
        <v>0</v>
      </c>
      <c r="R225" s="2399">
        <v>0</v>
      </c>
      <c r="S225" s="2400">
        <v>0</v>
      </c>
      <c r="T225" s="2398">
        <v>0</v>
      </c>
      <c r="U225" s="2398">
        <v>61324964140</v>
      </c>
      <c r="V225" s="2401">
        <v>0</v>
      </c>
      <c r="W225" s="2401">
        <v>0</v>
      </c>
      <c r="X225" s="2398">
        <v>61324964140</v>
      </c>
      <c r="Z225" s="2396">
        <v>11101008</v>
      </c>
      <c r="AA225" s="2397" t="s">
        <v>3997</v>
      </c>
      <c r="AB225" s="2398">
        <v>12305584792</v>
      </c>
      <c r="AC225" s="2179">
        <v>0</v>
      </c>
      <c r="AD225" s="2399">
        <v>8000000000</v>
      </c>
      <c r="AE225" s="2400">
        <v>0</v>
      </c>
      <c r="AF225" s="2398">
        <v>0</v>
      </c>
      <c r="AG225" s="2398">
        <v>20305584792</v>
      </c>
      <c r="AH225" s="2401">
        <v>0</v>
      </c>
      <c r="AI225" s="2401">
        <v>0</v>
      </c>
      <c r="AJ225" s="2398">
        <v>20305584792</v>
      </c>
      <c r="AO225" s="1108"/>
      <c r="AP225" s="1108"/>
      <c r="AQ225" s="1108"/>
      <c r="AR225" s="1108"/>
      <c r="AV225" s="1064"/>
      <c r="AW225" s="1064"/>
      <c r="AZ225" s="2396">
        <v>11101008</v>
      </c>
      <c r="BA225" s="2397" t="s">
        <v>3997</v>
      </c>
      <c r="BB225" s="2398">
        <v>16267768251</v>
      </c>
      <c r="BC225" s="2179">
        <v>0</v>
      </c>
      <c r="BD225" s="2399">
        <v>0</v>
      </c>
      <c r="BE225" s="2400">
        <v>0</v>
      </c>
      <c r="BF225" s="2398">
        <v>0</v>
      </c>
      <c r="BG225" s="2398">
        <v>16267768251</v>
      </c>
      <c r="BH225" s="2401">
        <v>0</v>
      </c>
      <c r="BI225" s="2401">
        <v>0</v>
      </c>
      <c r="BJ225" s="2398">
        <v>16267768251</v>
      </c>
      <c r="BK225" s="1064"/>
      <c r="BN225" s="2396">
        <v>11101008</v>
      </c>
      <c r="BO225" s="2397" t="s">
        <v>3997</v>
      </c>
      <c r="BP225" s="2398">
        <v>30969697244</v>
      </c>
      <c r="BQ225" s="2179">
        <v>0</v>
      </c>
      <c r="BR225" s="2399">
        <v>0</v>
      </c>
      <c r="BS225" s="2400">
        <v>0</v>
      </c>
      <c r="BT225" s="2398">
        <v>0</v>
      </c>
      <c r="BU225" s="2398">
        <v>30969697244</v>
      </c>
      <c r="BV225" s="2401">
        <v>0</v>
      </c>
      <c r="BW225" s="2401">
        <v>0</v>
      </c>
      <c r="BX225" s="2398">
        <v>30969697244</v>
      </c>
      <c r="BY225" s="1064"/>
      <c r="CE225" s="1110"/>
      <c r="CF225" s="1110"/>
      <c r="CG225" s="1107"/>
      <c r="CN225" s="1064"/>
      <c r="CO225" s="1064"/>
    </row>
    <row r="226" spans="2:93">
      <c r="B226" s="2552">
        <v>11110000</v>
      </c>
      <c r="C226" s="2570" t="s">
        <v>4981</v>
      </c>
      <c r="D226" s="2554">
        <v>566434868367</v>
      </c>
      <c r="E226" s="2554">
        <v>8104966188</v>
      </c>
      <c r="F226" s="2555">
        <v>3651549191</v>
      </c>
      <c r="G226" s="2556">
        <v>5782194403</v>
      </c>
      <c r="H226" s="2554">
        <v>380186919</v>
      </c>
      <c r="I226" s="2554">
        <v>584353765068</v>
      </c>
      <c r="J226" s="2557">
        <v>0</v>
      </c>
      <c r="K226" s="2557">
        <v>0</v>
      </c>
      <c r="L226" s="2554">
        <v>578185014077</v>
      </c>
      <c r="N226" s="2384">
        <v>11110000</v>
      </c>
      <c r="O226" s="2402" t="s">
        <v>3998</v>
      </c>
      <c r="P226" s="2386">
        <v>640513602503</v>
      </c>
      <c r="Q226" s="2386">
        <v>8644253158</v>
      </c>
      <c r="R226" s="2387">
        <v>4269620000</v>
      </c>
      <c r="S226" s="2388">
        <v>15039381311</v>
      </c>
      <c r="T226" s="2386">
        <v>408139152</v>
      </c>
      <c r="U226" s="2386">
        <v>668874996124</v>
      </c>
      <c r="V226" s="2389">
        <v>0</v>
      </c>
      <c r="W226" s="2389">
        <v>0</v>
      </c>
      <c r="X226" s="2386">
        <v>652841302883</v>
      </c>
      <c r="Z226" s="2384">
        <v>11110000</v>
      </c>
      <c r="AA226" s="2402" t="s">
        <v>3998</v>
      </c>
      <c r="AB226" s="2386">
        <v>809703206850</v>
      </c>
      <c r="AC226" s="2386">
        <v>6998555532</v>
      </c>
      <c r="AD226" s="2387">
        <v>10400782993</v>
      </c>
      <c r="AE226" s="2388">
        <v>18673501227</v>
      </c>
      <c r="AF226" s="2386">
        <v>0</v>
      </c>
      <c r="AG226" s="2386">
        <v>845776046602</v>
      </c>
      <c r="AH226" s="2389">
        <v>0</v>
      </c>
      <c r="AI226" s="2389">
        <v>0</v>
      </c>
      <c r="AJ226" s="2386">
        <v>829628601831</v>
      </c>
      <c r="AO226" s="1109"/>
      <c r="AP226" s="1109"/>
      <c r="AQ226" s="1109"/>
      <c r="AR226" s="1109"/>
      <c r="AV226" s="1064"/>
      <c r="AW226" s="1064"/>
      <c r="AZ226" s="2384">
        <v>11110000</v>
      </c>
      <c r="BA226" s="2402" t="s">
        <v>3998</v>
      </c>
      <c r="BB226" s="2386">
        <v>680658371997</v>
      </c>
      <c r="BC226" s="2386">
        <v>6141580311</v>
      </c>
      <c r="BD226" s="2387">
        <v>1842695040</v>
      </c>
      <c r="BE226" s="2388">
        <v>11107410885</v>
      </c>
      <c r="BF226" s="2386">
        <v>0</v>
      </c>
      <c r="BG226" s="2386">
        <v>699750058233</v>
      </c>
      <c r="BH226" s="2389">
        <v>0</v>
      </c>
      <c r="BI226" s="2389">
        <v>0</v>
      </c>
      <c r="BJ226" s="2386">
        <v>690555876954</v>
      </c>
      <c r="BK226" s="1064"/>
      <c r="BN226" s="2384">
        <v>11110000</v>
      </c>
      <c r="BO226" s="2402" t="s">
        <v>3998</v>
      </c>
      <c r="BP226" s="2386">
        <v>634554679382</v>
      </c>
      <c r="BQ226" s="2386">
        <v>5262585941</v>
      </c>
      <c r="BR226" s="2387">
        <v>1459836124</v>
      </c>
      <c r="BS226" s="2388">
        <v>9915497867</v>
      </c>
      <c r="BT226" s="2386">
        <v>147903096</v>
      </c>
      <c r="BU226" s="2386">
        <v>651340502410</v>
      </c>
      <c r="BV226" s="2389">
        <v>0</v>
      </c>
      <c r="BW226" s="2389">
        <v>0</v>
      </c>
      <c r="BX226" s="2386">
        <v>645543998666</v>
      </c>
      <c r="BY226" s="1064"/>
      <c r="CE226" s="1110"/>
      <c r="CG226" s="1107"/>
      <c r="CN226" s="1064"/>
      <c r="CO226" s="1064"/>
    </row>
    <row r="227" spans="2:93">
      <c r="B227" s="2558">
        <v>11111000</v>
      </c>
      <c r="C227" s="2571" t="s">
        <v>4982</v>
      </c>
      <c r="D227" s="2560">
        <v>424843410988</v>
      </c>
      <c r="E227" s="2560">
        <v>7185173835</v>
      </c>
      <c r="F227" s="2561">
        <v>3440697357</v>
      </c>
      <c r="G227" s="2562">
        <v>2756476868</v>
      </c>
      <c r="H227" s="2560">
        <v>0</v>
      </c>
      <c r="I227" s="2560">
        <v>438225759048</v>
      </c>
      <c r="J227" s="2563">
        <v>0</v>
      </c>
      <c r="K227" s="2563">
        <v>0</v>
      </c>
      <c r="L227" s="2560">
        <v>433253191805</v>
      </c>
      <c r="N227" s="2390">
        <v>11111000</v>
      </c>
      <c r="O227" s="2403" t="s">
        <v>1582</v>
      </c>
      <c r="P227" s="2392">
        <v>506977929285</v>
      </c>
      <c r="Q227" s="2392">
        <v>8169277251</v>
      </c>
      <c r="R227" s="2393">
        <v>4056110432</v>
      </c>
      <c r="S227" s="2394">
        <v>12021766243</v>
      </c>
      <c r="T227" s="2392">
        <v>0</v>
      </c>
      <c r="U227" s="2392">
        <v>531225083211</v>
      </c>
      <c r="V227" s="2395">
        <v>0</v>
      </c>
      <c r="W227" s="2395">
        <v>0</v>
      </c>
      <c r="X227" s="2392">
        <v>515608440079</v>
      </c>
      <c r="Z227" s="2390">
        <v>11111000</v>
      </c>
      <c r="AA227" s="2403" t="s">
        <v>1582</v>
      </c>
      <c r="AB227" s="2392">
        <v>640501519941</v>
      </c>
      <c r="AC227" s="2392">
        <v>6493270211</v>
      </c>
      <c r="AD227" s="2393">
        <v>563655269</v>
      </c>
      <c r="AE227" s="2394">
        <v>15430832460</v>
      </c>
      <c r="AF227" s="2392">
        <v>0</v>
      </c>
      <c r="AG227" s="2392">
        <v>662989277881</v>
      </c>
      <c r="AH227" s="2395">
        <v>0</v>
      </c>
      <c r="AI227" s="2395">
        <v>0</v>
      </c>
      <c r="AJ227" s="2392">
        <v>647010170824</v>
      </c>
      <c r="AO227" s="1110"/>
      <c r="AP227" s="1107"/>
      <c r="AT227" s="1064"/>
      <c r="AU227" s="1064"/>
      <c r="AV227" s="1064"/>
      <c r="AW227" s="1064"/>
      <c r="AZ227" s="2390">
        <v>11111000</v>
      </c>
      <c r="BA227" s="2403" t="s">
        <v>1582</v>
      </c>
      <c r="BB227" s="2392">
        <v>552749138457</v>
      </c>
      <c r="BC227" s="2392">
        <v>5700097454</v>
      </c>
      <c r="BD227" s="2393">
        <v>529437895</v>
      </c>
      <c r="BE227" s="2394">
        <v>8073856607</v>
      </c>
      <c r="BF227" s="2392">
        <v>0</v>
      </c>
      <c r="BG227" s="2392">
        <v>567052530413</v>
      </c>
      <c r="BH227" s="2395">
        <v>0</v>
      </c>
      <c r="BI227" s="2395">
        <v>0</v>
      </c>
      <c r="BJ227" s="2392">
        <v>558294036535</v>
      </c>
      <c r="BK227" s="1064"/>
      <c r="BN227" s="2390">
        <v>11111000</v>
      </c>
      <c r="BO227" s="2403" t="s">
        <v>1582</v>
      </c>
      <c r="BP227" s="2392">
        <v>491843487137</v>
      </c>
      <c r="BQ227" s="2392">
        <v>5097098096</v>
      </c>
      <c r="BR227" s="2393">
        <v>177747971</v>
      </c>
      <c r="BS227" s="2394">
        <v>5829343986</v>
      </c>
      <c r="BT227" s="2392">
        <v>26585936</v>
      </c>
      <c r="BU227" s="2392">
        <v>502974263126</v>
      </c>
      <c r="BV227" s="2395">
        <v>0</v>
      </c>
      <c r="BW227" s="2395">
        <v>0</v>
      </c>
      <c r="BX227" s="2392">
        <v>497200726066</v>
      </c>
      <c r="BY227" s="1064"/>
      <c r="CE227" s="1111"/>
      <c r="CF227" s="1111"/>
      <c r="CG227" s="1107"/>
      <c r="CN227" s="1064"/>
      <c r="CO227" s="1064"/>
    </row>
    <row r="228" spans="2:93">
      <c r="B228" s="2564">
        <v>11111001</v>
      </c>
      <c r="C228" s="2565" t="s">
        <v>2190</v>
      </c>
      <c r="D228" s="2566">
        <v>6115281017</v>
      </c>
      <c r="E228" s="1080">
        <v>2681984480</v>
      </c>
      <c r="F228" s="2567">
        <v>3440697357</v>
      </c>
      <c r="G228" s="2568">
        <v>2611276868</v>
      </c>
      <c r="H228" s="2566">
        <v>0</v>
      </c>
      <c r="I228" s="2566">
        <v>14849239722</v>
      </c>
      <c r="J228" s="2569">
        <v>-5865879329</v>
      </c>
      <c r="K228" s="2569">
        <v>-1038512086</v>
      </c>
      <c r="L228" s="2566">
        <v>10021872479</v>
      </c>
      <c r="N228" s="2396">
        <v>11111001</v>
      </c>
      <c r="O228" s="2397" t="s">
        <v>2190</v>
      </c>
      <c r="P228" s="2398">
        <v>9034989297</v>
      </c>
      <c r="Q228" s="2179">
        <v>4323027702</v>
      </c>
      <c r="R228" s="2399">
        <v>4056110432</v>
      </c>
      <c r="S228" s="2400">
        <v>7749366243</v>
      </c>
      <c r="T228" s="2398">
        <v>0</v>
      </c>
      <c r="U228" s="2398">
        <v>25163493674</v>
      </c>
      <c r="V228" s="2401">
        <v>-11503047483</v>
      </c>
      <c r="W228" s="2401">
        <v>-158804351</v>
      </c>
      <c r="X228" s="2398">
        <v>13819250542</v>
      </c>
      <c r="Z228" s="2396">
        <v>11111001</v>
      </c>
      <c r="AA228" s="2397" t="s">
        <v>2190</v>
      </c>
      <c r="AB228" s="2398">
        <v>51952469933</v>
      </c>
      <c r="AC228" s="2179">
        <v>2559360683</v>
      </c>
      <c r="AD228" s="2399">
        <v>563655269</v>
      </c>
      <c r="AE228" s="2400">
        <v>12948337060</v>
      </c>
      <c r="AF228" s="2398">
        <v>0</v>
      </c>
      <c r="AG228" s="2398">
        <v>68023822945</v>
      </c>
      <c r="AH228" s="2401">
        <v>-12935799016</v>
      </c>
      <c r="AI228" s="2401">
        <v>560812641</v>
      </c>
      <c r="AJ228" s="2398">
        <v>54527211288</v>
      </c>
      <c r="AO228" s="1110"/>
      <c r="AP228" s="1107"/>
      <c r="AV228" s="1064"/>
      <c r="AW228" s="1064"/>
      <c r="AZ228" s="2396">
        <v>11111001</v>
      </c>
      <c r="BA228" s="2397" t="s">
        <v>2190</v>
      </c>
      <c r="BB228" s="2398">
        <v>12959568141</v>
      </c>
      <c r="BC228" s="2179">
        <v>4165890180</v>
      </c>
      <c r="BD228" s="2399">
        <v>529437895</v>
      </c>
      <c r="BE228" s="2400">
        <v>7829656607</v>
      </c>
      <c r="BF228" s="2398">
        <v>0</v>
      </c>
      <c r="BG228" s="2398">
        <v>25484552823</v>
      </c>
      <c r="BH228" s="2401">
        <v>-7987735220</v>
      </c>
      <c r="BI228" s="2401">
        <v>526558658</v>
      </c>
      <c r="BJ228" s="2398">
        <v>16970258945</v>
      </c>
      <c r="BK228" s="1064"/>
      <c r="BN228" s="2396">
        <v>11111001</v>
      </c>
      <c r="BO228" s="2397" t="s">
        <v>2190</v>
      </c>
      <c r="BP228" s="2398">
        <v>5516304212</v>
      </c>
      <c r="BQ228" s="2179">
        <v>3004219901</v>
      </c>
      <c r="BR228" s="2399">
        <v>177747971</v>
      </c>
      <c r="BS228" s="2400">
        <v>5590918986</v>
      </c>
      <c r="BT228" s="2398">
        <v>0</v>
      </c>
      <c r="BU228" s="2398">
        <v>14289191070</v>
      </c>
      <c r="BV228" s="2401">
        <v>-5535112060</v>
      </c>
      <c r="BW228" s="2401">
        <v>0</v>
      </c>
      <c r="BX228" s="2398">
        <v>8754079010</v>
      </c>
      <c r="BY228" s="1064"/>
      <c r="CE228" s="1111"/>
      <c r="CF228" s="1111"/>
      <c r="CG228" s="1107"/>
      <c r="CL228" s="1064"/>
      <c r="CM228" s="1064"/>
      <c r="CN228" s="1064"/>
      <c r="CO228" s="1064"/>
    </row>
    <row r="229" spans="2:93">
      <c r="B229" s="2564">
        <v>11111002</v>
      </c>
      <c r="C229" s="2565" t="s">
        <v>2194</v>
      </c>
      <c r="D229" s="2566">
        <v>150873769840</v>
      </c>
      <c r="E229" s="1080">
        <v>4503189355</v>
      </c>
      <c r="F229" s="2567">
        <v>0</v>
      </c>
      <c r="G229" s="2568">
        <v>0</v>
      </c>
      <c r="H229" s="2566">
        <v>0</v>
      </c>
      <c r="I229" s="2566">
        <v>155376959195</v>
      </c>
      <c r="J229" s="2569">
        <v>0</v>
      </c>
      <c r="K229" s="2569">
        <v>0</v>
      </c>
      <c r="L229" s="2566">
        <v>155376959195</v>
      </c>
      <c r="N229" s="2396">
        <v>11111002</v>
      </c>
      <c r="O229" s="2397" t="s">
        <v>2194</v>
      </c>
      <c r="P229" s="2398">
        <v>166531346773</v>
      </c>
      <c r="Q229" s="2179">
        <v>3846249549</v>
      </c>
      <c r="R229" s="2399">
        <v>0</v>
      </c>
      <c r="S229" s="2400">
        <v>0</v>
      </c>
      <c r="T229" s="2398">
        <v>0</v>
      </c>
      <c r="U229" s="2398">
        <v>170377596322</v>
      </c>
      <c r="V229" s="2401">
        <v>0</v>
      </c>
      <c r="W229" s="2401">
        <v>0</v>
      </c>
      <c r="X229" s="2398">
        <v>170377596322</v>
      </c>
      <c r="Z229" s="2396">
        <v>11111002</v>
      </c>
      <c r="AA229" s="2397" t="s">
        <v>2194</v>
      </c>
      <c r="AB229" s="2398">
        <v>54510152053</v>
      </c>
      <c r="AC229" s="2179">
        <v>3933909528</v>
      </c>
      <c r="AD229" s="2399">
        <v>0</v>
      </c>
      <c r="AE229" s="2400">
        <v>0</v>
      </c>
      <c r="AF229" s="2398">
        <v>0</v>
      </c>
      <c r="AG229" s="2398">
        <v>58444061581</v>
      </c>
      <c r="AH229" s="2401">
        <v>0</v>
      </c>
      <c r="AI229" s="2401">
        <v>0</v>
      </c>
      <c r="AJ229" s="2398">
        <v>58444061581</v>
      </c>
      <c r="AO229" s="1110"/>
      <c r="AP229" s="1107"/>
      <c r="AV229" s="1064"/>
      <c r="AW229" s="1064"/>
      <c r="AZ229" s="2396">
        <v>11111002</v>
      </c>
      <c r="BA229" s="2397" t="s">
        <v>2194</v>
      </c>
      <c r="BB229" s="2398">
        <v>33616304952</v>
      </c>
      <c r="BC229" s="2179">
        <v>1534207274</v>
      </c>
      <c r="BD229" s="2399">
        <v>0</v>
      </c>
      <c r="BE229" s="2400">
        <v>0</v>
      </c>
      <c r="BF229" s="2398">
        <v>0</v>
      </c>
      <c r="BG229" s="2398">
        <v>35150512226</v>
      </c>
      <c r="BH229" s="2401">
        <v>0</v>
      </c>
      <c r="BI229" s="2401">
        <v>0</v>
      </c>
      <c r="BJ229" s="2398">
        <v>35150512226</v>
      </c>
      <c r="BK229" s="1064"/>
      <c r="BN229" s="2396">
        <v>11111002</v>
      </c>
      <c r="BO229" s="2397" t="s">
        <v>2194</v>
      </c>
      <c r="BP229" s="2398">
        <v>75550173426</v>
      </c>
      <c r="BQ229" s="2179">
        <v>2092878195</v>
      </c>
      <c r="BR229" s="2399">
        <v>0</v>
      </c>
      <c r="BS229" s="2400">
        <v>0</v>
      </c>
      <c r="BT229" s="2398">
        <v>26585936</v>
      </c>
      <c r="BU229" s="2398">
        <v>77669637557</v>
      </c>
      <c r="BV229" s="2401">
        <v>0</v>
      </c>
      <c r="BW229" s="2401">
        <v>0</v>
      </c>
      <c r="BX229" s="2398">
        <v>77669637557</v>
      </c>
      <c r="BY229" s="1064"/>
      <c r="CL229" s="1064"/>
      <c r="CM229" s="1064"/>
      <c r="CN229" s="1064"/>
      <c r="CO229" s="1064"/>
    </row>
    <row r="230" spans="2:93">
      <c r="B230" s="2564">
        <v>11111003</v>
      </c>
      <c r="C230" s="2565" t="s">
        <v>2186</v>
      </c>
      <c r="D230" s="2566">
        <v>267854360131</v>
      </c>
      <c r="E230" s="1080">
        <v>0</v>
      </c>
      <c r="F230" s="2567">
        <v>0</v>
      </c>
      <c r="G230" s="2568">
        <v>145200000</v>
      </c>
      <c r="H230" s="2566">
        <v>0</v>
      </c>
      <c r="I230" s="2566">
        <v>267999560131</v>
      </c>
      <c r="J230" s="2569">
        <v>-145200000</v>
      </c>
      <c r="K230" s="2569">
        <v>0</v>
      </c>
      <c r="L230" s="2566">
        <v>267854360131</v>
      </c>
      <c r="N230" s="2396">
        <v>11111003</v>
      </c>
      <c r="O230" s="2397" t="s">
        <v>2186</v>
      </c>
      <c r="P230" s="2398">
        <v>331411593215</v>
      </c>
      <c r="Q230" s="2179">
        <v>0</v>
      </c>
      <c r="R230" s="2399">
        <v>0</v>
      </c>
      <c r="S230" s="2400">
        <v>4272400000</v>
      </c>
      <c r="T230" s="2398">
        <v>0</v>
      </c>
      <c r="U230" s="2398">
        <v>335683993215</v>
      </c>
      <c r="V230" s="2401">
        <v>-4272400000</v>
      </c>
      <c r="W230" s="2401">
        <v>0</v>
      </c>
      <c r="X230" s="2398">
        <v>331411593215</v>
      </c>
      <c r="Z230" s="2396">
        <v>11111003</v>
      </c>
      <c r="AA230" s="2397" t="s">
        <v>2186</v>
      </c>
      <c r="AB230" s="2398">
        <v>534038897955</v>
      </c>
      <c r="AC230" s="2179">
        <v>0</v>
      </c>
      <c r="AD230" s="2399">
        <v>0</v>
      </c>
      <c r="AE230" s="2400">
        <v>2482495400</v>
      </c>
      <c r="AF230" s="2398">
        <v>0</v>
      </c>
      <c r="AG230" s="2398">
        <v>536521393355</v>
      </c>
      <c r="AH230" s="2401">
        <v>-2482495400</v>
      </c>
      <c r="AI230" s="2401">
        <v>0</v>
      </c>
      <c r="AJ230" s="2398">
        <v>534038897955</v>
      </c>
      <c r="AO230" s="1111"/>
      <c r="AP230" s="1107"/>
      <c r="AV230" s="1064"/>
      <c r="AW230" s="1064"/>
      <c r="AZ230" s="2396">
        <v>11111003</v>
      </c>
      <c r="BA230" s="2397" t="s">
        <v>2186</v>
      </c>
      <c r="BB230" s="2398">
        <v>506173265364</v>
      </c>
      <c r="BC230" s="2179">
        <v>0</v>
      </c>
      <c r="BD230" s="2399">
        <v>0</v>
      </c>
      <c r="BE230" s="2400">
        <v>244200000</v>
      </c>
      <c r="BF230" s="2398">
        <v>0</v>
      </c>
      <c r="BG230" s="2398">
        <v>506417465364</v>
      </c>
      <c r="BH230" s="2401">
        <v>-244200000</v>
      </c>
      <c r="BI230" s="2401">
        <v>0</v>
      </c>
      <c r="BJ230" s="2398">
        <v>506173265364</v>
      </c>
      <c r="BK230" s="1064"/>
      <c r="BN230" s="2396">
        <v>11111003</v>
      </c>
      <c r="BO230" s="2397" t="s">
        <v>2186</v>
      </c>
      <c r="BP230" s="2398">
        <v>410777009499</v>
      </c>
      <c r="BQ230" s="2179">
        <v>0</v>
      </c>
      <c r="BR230" s="2399">
        <v>0</v>
      </c>
      <c r="BS230" s="2400">
        <v>238425000</v>
      </c>
      <c r="BT230" s="2398">
        <v>0</v>
      </c>
      <c r="BU230" s="2398">
        <v>411015434499</v>
      </c>
      <c r="BV230" s="2401">
        <v>-238425000</v>
      </c>
      <c r="BW230" s="2401">
        <v>0</v>
      </c>
      <c r="BX230" s="2398">
        <v>410777009499</v>
      </c>
      <c r="BY230" s="1064"/>
    </row>
    <row r="231" spans="2:93">
      <c r="B231" s="2564">
        <v>11111004</v>
      </c>
      <c r="C231" s="2565" t="s">
        <v>3999</v>
      </c>
      <c r="D231" s="2566">
        <v>0</v>
      </c>
      <c r="E231" s="1080">
        <v>0</v>
      </c>
      <c r="F231" s="2567">
        <v>0</v>
      </c>
      <c r="G231" s="2568">
        <v>0</v>
      </c>
      <c r="H231" s="2566">
        <v>0</v>
      </c>
      <c r="I231" s="2566">
        <v>0</v>
      </c>
      <c r="J231" s="2569">
        <v>0</v>
      </c>
      <c r="K231" s="2569">
        <v>0</v>
      </c>
      <c r="L231" s="2566">
        <v>0</v>
      </c>
      <c r="N231" s="2396">
        <v>11111004</v>
      </c>
      <c r="O231" s="2397" t="s">
        <v>3999</v>
      </c>
      <c r="P231" s="2398">
        <v>0</v>
      </c>
      <c r="Q231" s="2179">
        <v>0</v>
      </c>
      <c r="R231" s="2399">
        <v>0</v>
      </c>
      <c r="S231" s="2400">
        <v>0</v>
      </c>
      <c r="T231" s="2398">
        <v>0</v>
      </c>
      <c r="U231" s="2398">
        <v>0</v>
      </c>
      <c r="V231" s="2401">
        <v>0</v>
      </c>
      <c r="W231" s="2401">
        <v>0</v>
      </c>
      <c r="X231" s="2398">
        <v>0</v>
      </c>
      <c r="Z231" s="2396">
        <v>11111004</v>
      </c>
      <c r="AA231" s="2397" t="s">
        <v>3999</v>
      </c>
      <c r="AB231" s="2398">
        <v>0</v>
      </c>
      <c r="AC231" s="2179">
        <v>0</v>
      </c>
      <c r="AD231" s="2399">
        <v>0</v>
      </c>
      <c r="AE231" s="2400">
        <v>0</v>
      </c>
      <c r="AF231" s="2398">
        <v>0</v>
      </c>
      <c r="AG231" s="2398">
        <v>0</v>
      </c>
      <c r="AH231" s="2401">
        <v>0</v>
      </c>
      <c r="AI231" s="2401">
        <v>0</v>
      </c>
      <c r="AJ231" s="2398">
        <v>0</v>
      </c>
      <c r="AO231" s="1111"/>
      <c r="AP231" s="1107"/>
      <c r="AT231" s="1064"/>
      <c r="AU231" s="1064"/>
      <c r="AV231" s="1064"/>
      <c r="AW231" s="1064"/>
      <c r="AZ231" s="2396">
        <v>11111004</v>
      </c>
      <c r="BA231" s="2397" t="s">
        <v>3999</v>
      </c>
      <c r="BB231" s="2398">
        <v>0</v>
      </c>
      <c r="BC231" s="2179">
        <v>0</v>
      </c>
      <c r="BD231" s="2399">
        <v>0</v>
      </c>
      <c r="BE231" s="2400">
        <v>0</v>
      </c>
      <c r="BF231" s="2398">
        <v>0</v>
      </c>
      <c r="BG231" s="2398">
        <v>0</v>
      </c>
      <c r="BH231" s="2401">
        <v>0</v>
      </c>
      <c r="BI231" s="2401">
        <v>0</v>
      </c>
      <c r="BJ231" s="2398">
        <v>0</v>
      </c>
      <c r="BK231" s="1064"/>
      <c r="BN231" s="2396">
        <v>11111004</v>
      </c>
      <c r="BO231" s="2397" t="s">
        <v>3999</v>
      </c>
      <c r="BP231" s="2398">
        <v>0</v>
      </c>
      <c r="BQ231" s="2179">
        <v>0</v>
      </c>
      <c r="BR231" s="2399">
        <v>0</v>
      </c>
      <c r="BS231" s="2400">
        <v>0</v>
      </c>
      <c r="BT231" s="2398">
        <v>0</v>
      </c>
      <c r="BU231" s="2398">
        <v>0</v>
      </c>
      <c r="BV231" s="2401">
        <v>0</v>
      </c>
      <c r="BW231" s="2401">
        <v>0</v>
      </c>
      <c r="BX231" s="2398">
        <v>0</v>
      </c>
    </row>
    <row r="232" spans="2:93">
      <c r="B232" s="2564">
        <v>11111005</v>
      </c>
      <c r="C232" s="2565" t="s">
        <v>4000</v>
      </c>
      <c r="D232" s="2566">
        <v>0</v>
      </c>
      <c r="E232" s="1080">
        <v>0</v>
      </c>
      <c r="F232" s="2567">
        <v>0</v>
      </c>
      <c r="G232" s="2568">
        <v>0</v>
      </c>
      <c r="H232" s="2566">
        <v>0</v>
      </c>
      <c r="I232" s="2566">
        <v>0</v>
      </c>
      <c r="J232" s="2569">
        <v>0</v>
      </c>
      <c r="K232" s="2569">
        <v>0</v>
      </c>
      <c r="L232" s="2566">
        <v>0</v>
      </c>
      <c r="N232" s="2396">
        <v>11111005</v>
      </c>
      <c r="O232" s="2397" t="s">
        <v>4000</v>
      </c>
      <c r="P232" s="2398">
        <v>0</v>
      </c>
      <c r="Q232" s="2179">
        <v>0</v>
      </c>
      <c r="R232" s="2399">
        <v>0</v>
      </c>
      <c r="S232" s="2400">
        <v>0</v>
      </c>
      <c r="T232" s="2398">
        <v>0</v>
      </c>
      <c r="U232" s="2398">
        <v>0</v>
      </c>
      <c r="V232" s="2401">
        <v>0</v>
      </c>
      <c r="W232" s="2401">
        <v>0</v>
      </c>
      <c r="X232" s="2398">
        <v>0</v>
      </c>
      <c r="Z232" s="2396">
        <v>11111005</v>
      </c>
      <c r="AA232" s="2397" t="s">
        <v>4000</v>
      </c>
      <c r="AB232" s="2398">
        <v>0</v>
      </c>
      <c r="AC232" s="2179">
        <v>0</v>
      </c>
      <c r="AD232" s="2399">
        <v>0</v>
      </c>
      <c r="AE232" s="2400">
        <v>0</v>
      </c>
      <c r="AF232" s="2398">
        <v>0</v>
      </c>
      <c r="AG232" s="2398">
        <v>0</v>
      </c>
      <c r="AH232" s="2401">
        <v>0</v>
      </c>
      <c r="AI232" s="2401">
        <v>0</v>
      </c>
      <c r="AJ232" s="2398">
        <v>0</v>
      </c>
      <c r="AT232" s="1064"/>
      <c r="AU232" s="1064"/>
      <c r="AV232" s="1064"/>
      <c r="AW232" s="1064"/>
      <c r="AZ232" s="2396">
        <v>11111005</v>
      </c>
      <c r="BA232" s="2397" t="s">
        <v>4000</v>
      </c>
      <c r="BB232" s="2398">
        <v>0</v>
      </c>
      <c r="BC232" s="2179">
        <v>0</v>
      </c>
      <c r="BD232" s="2399">
        <v>0</v>
      </c>
      <c r="BE232" s="2400">
        <v>0</v>
      </c>
      <c r="BF232" s="2398">
        <v>0</v>
      </c>
      <c r="BG232" s="2398">
        <v>0</v>
      </c>
      <c r="BH232" s="2401">
        <v>0</v>
      </c>
      <c r="BI232" s="2401">
        <v>0</v>
      </c>
      <c r="BJ232" s="2398">
        <v>0</v>
      </c>
      <c r="BK232" s="1064"/>
      <c r="BN232" s="2396">
        <v>11111005</v>
      </c>
      <c r="BO232" s="2397" t="s">
        <v>4000</v>
      </c>
      <c r="BP232" s="2398">
        <v>0</v>
      </c>
      <c r="BQ232" s="2179">
        <v>0</v>
      </c>
      <c r="BR232" s="2399">
        <v>0</v>
      </c>
      <c r="BS232" s="2400">
        <v>0</v>
      </c>
      <c r="BT232" s="2398">
        <v>0</v>
      </c>
      <c r="BU232" s="2398">
        <v>0</v>
      </c>
      <c r="BV232" s="2401">
        <v>0</v>
      </c>
      <c r="BW232" s="2401">
        <v>0</v>
      </c>
      <c r="BX232" s="2398">
        <v>0</v>
      </c>
    </row>
    <row r="233" spans="2:93">
      <c r="B233" s="2564">
        <v>11111006</v>
      </c>
      <c r="C233" s="2565" t="s">
        <v>4001</v>
      </c>
      <c r="D233" s="2566">
        <v>0</v>
      </c>
      <c r="E233" s="1080">
        <v>0</v>
      </c>
      <c r="F233" s="2567">
        <v>0</v>
      </c>
      <c r="G233" s="2568">
        <v>0</v>
      </c>
      <c r="H233" s="2566">
        <v>0</v>
      </c>
      <c r="I233" s="2566">
        <v>0</v>
      </c>
      <c r="J233" s="2569">
        <v>0</v>
      </c>
      <c r="K233" s="2569">
        <v>0</v>
      </c>
      <c r="L233" s="2566">
        <v>0</v>
      </c>
      <c r="N233" s="2396">
        <v>11111006</v>
      </c>
      <c r="O233" s="2397" t="s">
        <v>4001</v>
      </c>
      <c r="P233" s="2398">
        <v>0</v>
      </c>
      <c r="Q233" s="2179">
        <v>0</v>
      </c>
      <c r="R233" s="2399">
        <v>0</v>
      </c>
      <c r="S233" s="2400">
        <v>0</v>
      </c>
      <c r="T233" s="2398">
        <v>0</v>
      </c>
      <c r="U233" s="2398">
        <v>0</v>
      </c>
      <c r="V233" s="2401">
        <v>0</v>
      </c>
      <c r="W233" s="2401">
        <v>0</v>
      </c>
      <c r="X233" s="2398">
        <v>0</v>
      </c>
      <c r="Z233" s="2396">
        <v>11111006</v>
      </c>
      <c r="AA233" s="2397" t="s">
        <v>4001</v>
      </c>
      <c r="AB233" s="2398">
        <v>0</v>
      </c>
      <c r="AC233" s="2179">
        <v>0</v>
      </c>
      <c r="AD233" s="2399">
        <v>0</v>
      </c>
      <c r="AE233" s="2400">
        <v>0</v>
      </c>
      <c r="AF233" s="2398">
        <v>0</v>
      </c>
      <c r="AG233" s="2398">
        <v>0</v>
      </c>
      <c r="AH233" s="2401">
        <v>0</v>
      </c>
      <c r="AI233" s="2401">
        <v>0</v>
      </c>
      <c r="AJ233" s="2398">
        <v>0</v>
      </c>
      <c r="AZ233" s="2396">
        <v>11111006</v>
      </c>
      <c r="BA233" s="2397" t="s">
        <v>4001</v>
      </c>
      <c r="BB233" s="2398">
        <v>0</v>
      </c>
      <c r="BC233" s="2179">
        <v>0</v>
      </c>
      <c r="BD233" s="2399">
        <v>0</v>
      </c>
      <c r="BE233" s="2400">
        <v>0</v>
      </c>
      <c r="BF233" s="2398">
        <v>0</v>
      </c>
      <c r="BG233" s="2398">
        <v>0</v>
      </c>
      <c r="BH233" s="2401">
        <v>0</v>
      </c>
      <c r="BI233" s="2401">
        <v>0</v>
      </c>
      <c r="BJ233" s="2398">
        <v>0</v>
      </c>
      <c r="BN233" s="2396">
        <v>11111006</v>
      </c>
      <c r="BO233" s="2397" t="s">
        <v>4001</v>
      </c>
      <c r="BP233" s="2398">
        <v>0</v>
      </c>
      <c r="BQ233" s="2179">
        <v>0</v>
      </c>
      <c r="BR233" s="2399">
        <v>0</v>
      </c>
      <c r="BS233" s="2400">
        <v>0</v>
      </c>
      <c r="BT233" s="2398">
        <v>0</v>
      </c>
      <c r="BU233" s="2398">
        <v>0</v>
      </c>
      <c r="BV233" s="2401">
        <v>0</v>
      </c>
      <c r="BW233" s="2401">
        <v>0</v>
      </c>
      <c r="BX233" s="2398">
        <v>0</v>
      </c>
    </row>
    <row r="234" spans="2:93">
      <c r="B234" s="2558">
        <v>11111100</v>
      </c>
      <c r="C234" s="2571" t="s">
        <v>4002</v>
      </c>
      <c r="D234" s="2560">
        <v>0</v>
      </c>
      <c r="E234" s="2560">
        <v>0</v>
      </c>
      <c r="F234" s="2561">
        <v>0</v>
      </c>
      <c r="G234" s="2562">
        <v>0</v>
      </c>
      <c r="H234" s="2560">
        <v>0</v>
      </c>
      <c r="I234" s="2560">
        <v>0</v>
      </c>
      <c r="J234" s="2563">
        <v>0</v>
      </c>
      <c r="K234" s="2563">
        <v>0</v>
      </c>
      <c r="L234" s="2560">
        <v>0</v>
      </c>
      <c r="N234" s="2390">
        <v>11111100</v>
      </c>
      <c r="O234" s="2403" t="s">
        <v>4002</v>
      </c>
      <c r="P234" s="2392">
        <v>0</v>
      </c>
      <c r="Q234" s="2392">
        <v>0</v>
      </c>
      <c r="R234" s="2393">
        <v>0</v>
      </c>
      <c r="S234" s="2394">
        <v>0</v>
      </c>
      <c r="T234" s="2392">
        <v>0</v>
      </c>
      <c r="U234" s="2392">
        <v>0</v>
      </c>
      <c r="V234" s="2395">
        <v>0</v>
      </c>
      <c r="W234" s="2395">
        <v>0</v>
      </c>
      <c r="X234" s="2392">
        <v>0</v>
      </c>
      <c r="Z234" s="2390">
        <v>11111100</v>
      </c>
      <c r="AA234" s="2403" t="s">
        <v>4002</v>
      </c>
      <c r="AB234" s="2392">
        <v>0</v>
      </c>
      <c r="AC234" s="2392">
        <v>0</v>
      </c>
      <c r="AD234" s="2393">
        <v>0</v>
      </c>
      <c r="AE234" s="2394">
        <v>0</v>
      </c>
      <c r="AF234" s="2392">
        <v>0</v>
      </c>
      <c r="AG234" s="2392">
        <v>0</v>
      </c>
      <c r="AH234" s="2395">
        <v>0</v>
      </c>
      <c r="AI234" s="2395">
        <v>0</v>
      </c>
      <c r="AJ234" s="2392">
        <v>0</v>
      </c>
      <c r="AZ234" s="2390">
        <v>11111100</v>
      </c>
      <c r="BA234" s="2403" t="s">
        <v>4002</v>
      </c>
      <c r="BB234" s="2392">
        <v>0</v>
      </c>
      <c r="BC234" s="2392">
        <v>0</v>
      </c>
      <c r="BD234" s="2393">
        <v>0</v>
      </c>
      <c r="BE234" s="2394">
        <v>0</v>
      </c>
      <c r="BF234" s="2392">
        <v>0</v>
      </c>
      <c r="BG234" s="2392">
        <v>0</v>
      </c>
      <c r="BH234" s="2395">
        <v>0</v>
      </c>
      <c r="BI234" s="2395">
        <v>0</v>
      </c>
      <c r="BJ234" s="2392">
        <v>0</v>
      </c>
      <c r="BN234" s="2390">
        <v>11111100</v>
      </c>
      <c r="BO234" s="2403" t="s">
        <v>4002</v>
      </c>
      <c r="BP234" s="2392">
        <v>0</v>
      </c>
      <c r="BQ234" s="2392">
        <v>0</v>
      </c>
      <c r="BR234" s="2393">
        <v>0</v>
      </c>
      <c r="BS234" s="2394">
        <v>0</v>
      </c>
      <c r="BT234" s="2392">
        <v>0</v>
      </c>
      <c r="BU234" s="2392">
        <v>0</v>
      </c>
      <c r="BV234" s="2395">
        <v>0</v>
      </c>
      <c r="BW234" s="2395">
        <v>0</v>
      </c>
      <c r="BX234" s="2392">
        <v>0</v>
      </c>
    </row>
    <row r="235" spans="2:93">
      <c r="B235" s="2564">
        <v>11111101</v>
      </c>
      <c r="C235" s="2565" t="s">
        <v>4003</v>
      </c>
      <c r="D235" s="2566">
        <v>0</v>
      </c>
      <c r="E235" s="1080">
        <v>0</v>
      </c>
      <c r="F235" s="2567">
        <v>0</v>
      </c>
      <c r="G235" s="2568">
        <v>0</v>
      </c>
      <c r="H235" s="2566">
        <v>0</v>
      </c>
      <c r="I235" s="2566">
        <v>0</v>
      </c>
      <c r="J235" s="2569">
        <v>0</v>
      </c>
      <c r="K235" s="2569">
        <v>0</v>
      </c>
      <c r="L235" s="2566">
        <v>0</v>
      </c>
      <c r="N235" s="2396">
        <v>11111101</v>
      </c>
      <c r="O235" s="2397" t="s">
        <v>4003</v>
      </c>
      <c r="P235" s="2398">
        <v>0</v>
      </c>
      <c r="Q235" s="2179">
        <v>0</v>
      </c>
      <c r="R235" s="2399">
        <v>0</v>
      </c>
      <c r="S235" s="2400">
        <v>0</v>
      </c>
      <c r="T235" s="2398">
        <v>0</v>
      </c>
      <c r="U235" s="2398">
        <v>0</v>
      </c>
      <c r="V235" s="2401">
        <v>0</v>
      </c>
      <c r="W235" s="2401">
        <v>0</v>
      </c>
      <c r="X235" s="2398">
        <v>0</v>
      </c>
      <c r="Z235" s="2396">
        <v>11111101</v>
      </c>
      <c r="AA235" s="2397" t="s">
        <v>4003</v>
      </c>
      <c r="AB235" s="2398">
        <v>0</v>
      </c>
      <c r="AC235" s="2179">
        <v>0</v>
      </c>
      <c r="AD235" s="2399">
        <v>0</v>
      </c>
      <c r="AE235" s="2400">
        <v>0</v>
      </c>
      <c r="AF235" s="2398">
        <v>0</v>
      </c>
      <c r="AG235" s="2398">
        <v>0</v>
      </c>
      <c r="AH235" s="2401">
        <v>0</v>
      </c>
      <c r="AI235" s="2401">
        <v>0</v>
      </c>
      <c r="AJ235" s="2398">
        <v>0</v>
      </c>
      <c r="AZ235" s="2396">
        <v>11111101</v>
      </c>
      <c r="BA235" s="2397" t="s">
        <v>4003</v>
      </c>
      <c r="BB235" s="2398">
        <v>0</v>
      </c>
      <c r="BC235" s="2179">
        <v>0</v>
      </c>
      <c r="BD235" s="2399">
        <v>0</v>
      </c>
      <c r="BE235" s="2400">
        <v>0</v>
      </c>
      <c r="BF235" s="2398">
        <v>0</v>
      </c>
      <c r="BG235" s="2398">
        <v>0</v>
      </c>
      <c r="BH235" s="2401">
        <v>0</v>
      </c>
      <c r="BI235" s="2401">
        <v>0</v>
      </c>
      <c r="BJ235" s="2398">
        <v>0</v>
      </c>
      <c r="BN235" s="2396">
        <v>11111101</v>
      </c>
      <c r="BO235" s="2397" t="s">
        <v>4003</v>
      </c>
      <c r="BP235" s="2398">
        <v>0</v>
      </c>
      <c r="BQ235" s="2179">
        <v>0</v>
      </c>
      <c r="BR235" s="2399">
        <v>0</v>
      </c>
      <c r="BS235" s="2400">
        <v>0</v>
      </c>
      <c r="BT235" s="2398">
        <v>0</v>
      </c>
      <c r="BU235" s="2398">
        <v>0</v>
      </c>
      <c r="BV235" s="2401">
        <v>0</v>
      </c>
      <c r="BW235" s="2401">
        <v>0</v>
      </c>
      <c r="BX235" s="2398">
        <v>0</v>
      </c>
    </row>
    <row r="236" spans="2:93">
      <c r="B236" s="2564">
        <v>11111102</v>
      </c>
      <c r="C236" s="2565" t="s">
        <v>4004</v>
      </c>
      <c r="D236" s="2566">
        <v>0</v>
      </c>
      <c r="E236" s="1080">
        <v>0</v>
      </c>
      <c r="F236" s="2567">
        <v>0</v>
      </c>
      <c r="G236" s="2568">
        <v>0</v>
      </c>
      <c r="H236" s="2566">
        <v>0</v>
      </c>
      <c r="I236" s="2566">
        <v>0</v>
      </c>
      <c r="J236" s="2569">
        <v>0</v>
      </c>
      <c r="K236" s="2569">
        <v>0</v>
      </c>
      <c r="L236" s="2566">
        <v>0</v>
      </c>
      <c r="N236" s="2396">
        <v>11111102</v>
      </c>
      <c r="O236" s="2397" t="s">
        <v>4004</v>
      </c>
      <c r="P236" s="2398">
        <v>0</v>
      </c>
      <c r="Q236" s="2179">
        <v>0</v>
      </c>
      <c r="R236" s="2399">
        <v>0</v>
      </c>
      <c r="S236" s="2400">
        <v>0</v>
      </c>
      <c r="T236" s="2398">
        <v>0</v>
      </c>
      <c r="U236" s="2398">
        <v>0</v>
      </c>
      <c r="V236" s="2401">
        <v>0</v>
      </c>
      <c r="W236" s="2401">
        <v>0</v>
      </c>
      <c r="X236" s="2398">
        <v>0</v>
      </c>
      <c r="Z236" s="2396">
        <v>11111102</v>
      </c>
      <c r="AA236" s="2397" t="s">
        <v>4004</v>
      </c>
      <c r="AB236" s="2398">
        <v>0</v>
      </c>
      <c r="AC236" s="2179">
        <v>0</v>
      </c>
      <c r="AD236" s="2399">
        <v>0</v>
      </c>
      <c r="AE236" s="2400">
        <v>0</v>
      </c>
      <c r="AF236" s="2398">
        <v>0</v>
      </c>
      <c r="AG236" s="2398">
        <v>0</v>
      </c>
      <c r="AH236" s="2401">
        <v>0</v>
      </c>
      <c r="AI236" s="2401">
        <v>0</v>
      </c>
      <c r="AJ236" s="2398">
        <v>0</v>
      </c>
      <c r="AZ236" s="2396">
        <v>11111102</v>
      </c>
      <c r="BA236" s="2397" t="s">
        <v>4004</v>
      </c>
      <c r="BB236" s="2398">
        <v>0</v>
      </c>
      <c r="BC236" s="2179">
        <v>0</v>
      </c>
      <c r="BD236" s="2399">
        <v>0</v>
      </c>
      <c r="BE236" s="2400">
        <v>0</v>
      </c>
      <c r="BF236" s="2398">
        <v>0</v>
      </c>
      <c r="BG236" s="2398">
        <v>0</v>
      </c>
      <c r="BH236" s="2401">
        <v>0</v>
      </c>
      <c r="BI236" s="2401">
        <v>0</v>
      </c>
      <c r="BJ236" s="2398">
        <v>0</v>
      </c>
      <c r="BN236" s="2396">
        <v>11111102</v>
      </c>
      <c r="BO236" s="2397" t="s">
        <v>4004</v>
      </c>
      <c r="BP236" s="2398">
        <v>0</v>
      </c>
      <c r="BQ236" s="2179">
        <v>0</v>
      </c>
      <c r="BR236" s="2399">
        <v>0</v>
      </c>
      <c r="BS236" s="2400">
        <v>0</v>
      </c>
      <c r="BT236" s="2398">
        <v>0</v>
      </c>
      <c r="BU236" s="2398">
        <v>0</v>
      </c>
      <c r="BV236" s="2401">
        <v>0</v>
      </c>
      <c r="BW236" s="2401">
        <v>0</v>
      </c>
      <c r="BX236" s="2398">
        <v>0</v>
      </c>
    </row>
    <row r="237" spans="2:93">
      <c r="B237" s="2564">
        <v>11111103</v>
      </c>
      <c r="C237" s="2565" t="s">
        <v>4004</v>
      </c>
      <c r="D237" s="2566">
        <v>0</v>
      </c>
      <c r="E237" s="1080">
        <v>0</v>
      </c>
      <c r="F237" s="2567">
        <v>0</v>
      </c>
      <c r="G237" s="2568">
        <v>0</v>
      </c>
      <c r="H237" s="2566">
        <v>0</v>
      </c>
      <c r="I237" s="2566">
        <v>0</v>
      </c>
      <c r="J237" s="2569">
        <v>0</v>
      </c>
      <c r="K237" s="2569">
        <v>0</v>
      </c>
      <c r="L237" s="2566">
        <v>0</v>
      </c>
      <c r="N237" s="2396">
        <v>11111103</v>
      </c>
      <c r="O237" s="2397" t="s">
        <v>4004</v>
      </c>
      <c r="P237" s="2398">
        <v>0</v>
      </c>
      <c r="Q237" s="2179">
        <v>0</v>
      </c>
      <c r="R237" s="2399">
        <v>0</v>
      </c>
      <c r="S237" s="2400">
        <v>0</v>
      </c>
      <c r="T237" s="2398">
        <v>0</v>
      </c>
      <c r="U237" s="2398">
        <v>0</v>
      </c>
      <c r="V237" s="2401">
        <v>0</v>
      </c>
      <c r="W237" s="2401">
        <v>0</v>
      </c>
      <c r="X237" s="2398">
        <v>0</v>
      </c>
      <c r="Z237" s="2396">
        <v>11111103</v>
      </c>
      <c r="AA237" s="2397" t="s">
        <v>4004</v>
      </c>
      <c r="AB237" s="2398">
        <v>0</v>
      </c>
      <c r="AC237" s="2179">
        <v>0</v>
      </c>
      <c r="AD237" s="2399">
        <v>0</v>
      </c>
      <c r="AE237" s="2400">
        <v>0</v>
      </c>
      <c r="AF237" s="2398">
        <v>0</v>
      </c>
      <c r="AG237" s="2398">
        <v>0</v>
      </c>
      <c r="AH237" s="2401">
        <v>0</v>
      </c>
      <c r="AI237" s="2401">
        <v>0</v>
      </c>
      <c r="AJ237" s="2398">
        <v>0</v>
      </c>
      <c r="AZ237" s="2396">
        <v>11111103</v>
      </c>
      <c r="BA237" s="2397" t="s">
        <v>4004</v>
      </c>
      <c r="BB237" s="2398">
        <v>0</v>
      </c>
      <c r="BC237" s="2179">
        <v>0</v>
      </c>
      <c r="BD237" s="2399">
        <v>0</v>
      </c>
      <c r="BE237" s="2400">
        <v>0</v>
      </c>
      <c r="BF237" s="2398">
        <v>0</v>
      </c>
      <c r="BG237" s="2398">
        <v>0</v>
      </c>
      <c r="BH237" s="2401">
        <v>0</v>
      </c>
      <c r="BI237" s="2401">
        <v>0</v>
      </c>
      <c r="BJ237" s="2398">
        <v>0</v>
      </c>
      <c r="BN237" s="2396">
        <v>11111103</v>
      </c>
      <c r="BO237" s="2397" t="s">
        <v>4004</v>
      </c>
      <c r="BP237" s="2398">
        <v>0</v>
      </c>
      <c r="BQ237" s="2179">
        <v>0</v>
      </c>
      <c r="BR237" s="2399">
        <v>0</v>
      </c>
      <c r="BS237" s="2400">
        <v>0</v>
      </c>
      <c r="BT237" s="2398">
        <v>0</v>
      </c>
      <c r="BU237" s="2398">
        <v>0</v>
      </c>
      <c r="BV237" s="2401">
        <v>0</v>
      </c>
      <c r="BW237" s="2401">
        <v>0</v>
      </c>
      <c r="BX237" s="2398">
        <v>0</v>
      </c>
    </row>
    <row r="238" spans="2:93">
      <c r="B238" s="2564">
        <v>11111104</v>
      </c>
      <c r="C238" s="2565" t="s">
        <v>4983</v>
      </c>
      <c r="D238" s="2566">
        <v>0</v>
      </c>
      <c r="E238" s="1080">
        <v>0</v>
      </c>
      <c r="F238" s="2567">
        <v>0</v>
      </c>
      <c r="G238" s="2568">
        <v>0</v>
      </c>
      <c r="H238" s="2566">
        <v>0</v>
      </c>
      <c r="I238" s="2566">
        <v>0</v>
      </c>
      <c r="J238" s="2569">
        <v>0</v>
      </c>
      <c r="K238" s="2569">
        <v>0</v>
      </c>
      <c r="L238" s="2566">
        <v>0</v>
      </c>
      <c r="N238" s="2396">
        <v>11111104</v>
      </c>
      <c r="O238" s="2397" t="s">
        <v>4005</v>
      </c>
      <c r="P238" s="2398">
        <v>0</v>
      </c>
      <c r="Q238" s="2179">
        <v>0</v>
      </c>
      <c r="R238" s="2399">
        <v>0</v>
      </c>
      <c r="S238" s="2400">
        <v>0</v>
      </c>
      <c r="T238" s="2398">
        <v>0</v>
      </c>
      <c r="U238" s="2398">
        <v>0</v>
      </c>
      <c r="V238" s="2401">
        <v>0</v>
      </c>
      <c r="W238" s="2401">
        <v>0</v>
      </c>
      <c r="X238" s="2398">
        <v>0</v>
      </c>
      <c r="Z238" s="2396">
        <v>11111104</v>
      </c>
      <c r="AA238" s="2397" t="s">
        <v>4005</v>
      </c>
      <c r="AB238" s="2398">
        <v>0</v>
      </c>
      <c r="AC238" s="2179">
        <v>0</v>
      </c>
      <c r="AD238" s="2399">
        <v>0</v>
      </c>
      <c r="AE238" s="2400">
        <v>0</v>
      </c>
      <c r="AF238" s="2398">
        <v>0</v>
      </c>
      <c r="AG238" s="2398">
        <v>0</v>
      </c>
      <c r="AH238" s="2401">
        <v>0</v>
      </c>
      <c r="AI238" s="2401">
        <v>0</v>
      </c>
      <c r="AJ238" s="2398">
        <v>0</v>
      </c>
      <c r="AZ238" s="2396">
        <v>11111104</v>
      </c>
      <c r="BA238" s="2397" t="s">
        <v>4005</v>
      </c>
      <c r="BB238" s="2398">
        <v>0</v>
      </c>
      <c r="BC238" s="2179">
        <v>0</v>
      </c>
      <c r="BD238" s="2399">
        <v>0</v>
      </c>
      <c r="BE238" s="2400">
        <v>0</v>
      </c>
      <c r="BF238" s="2398">
        <v>0</v>
      </c>
      <c r="BG238" s="2398">
        <v>0</v>
      </c>
      <c r="BH238" s="2401">
        <v>0</v>
      </c>
      <c r="BI238" s="2401">
        <v>0</v>
      </c>
      <c r="BJ238" s="2398">
        <v>0</v>
      </c>
      <c r="BN238" s="2396">
        <v>11111104</v>
      </c>
      <c r="BO238" s="2397" t="s">
        <v>4005</v>
      </c>
      <c r="BP238" s="2398">
        <v>0</v>
      </c>
      <c r="BQ238" s="2179">
        <v>0</v>
      </c>
      <c r="BR238" s="2399">
        <v>0</v>
      </c>
      <c r="BS238" s="2400">
        <v>0</v>
      </c>
      <c r="BT238" s="2398">
        <v>0</v>
      </c>
      <c r="BU238" s="2398">
        <v>0</v>
      </c>
      <c r="BV238" s="2401">
        <v>0</v>
      </c>
      <c r="BW238" s="2401">
        <v>0</v>
      </c>
      <c r="BX238" s="2398">
        <v>0</v>
      </c>
    </row>
    <row r="239" spans="2:93">
      <c r="B239" s="2564">
        <v>11111105</v>
      </c>
      <c r="C239" s="2565" t="s">
        <v>4006</v>
      </c>
      <c r="D239" s="2566">
        <v>0</v>
      </c>
      <c r="E239" s="1080">
        <v>0</v>
      </c>
      <c r="F239" s="2567">
        <v>0</v>
      </c>
      <c r="G239" s="2568">
        <v>0</v>
      </c>
      <c r="H239" s="2566">
        <v>0</v>
      </c>
      <c r="I239" s="2566">
        <v>0</v>
      </c>
      <c r="J239" s="2569">
        <v>0</v>
      </c>
      <c r="K239" s="2569">
        <v>0</v>
      </c>
      <c r="L239" s="2566">
        <v>0</v>
      </c>
      <c r="N239" s="2396">
        <v>11111105</v>
      </c>
      <c r="O239" s="2397" t="s">
        <v>4006</v>
      </c>
      <c r="P239" s="2398">
        <v>0</v>
      </c>
      <c r="Q239" s="2179">
        <v>0</v>
      </c>
      <c r="R239" s="2399">
        <v>0</v>
      </c>
      <c r="S239" s="2400">
        <v>0</v>
      </c>
      <c r="T239" s="2398">
        <v>0</v>
      </c>
      <c r="U239" s="2398">
        <v>0</v>
      </c>
      <c r="V239" s="2401">
        <v>0</v>
      </c>
      <c r="W239" s="2401">
        <v>0</v>
      </c>
      <c r="X239" s="2398">
        <v>0</v>
      </c>
      <c r="Z239" s="2396">
        <v>11111105</v>
      </c>
      <c r="AA239" s="2397" t="s">
        <v>4006</v>
      </c>
      <c r="AB239" s="2398">
        <v>0</v>
      </c>
      <c r="AC239" s="2179">
        <v>0</v>
      </c>
      <c r="AD239" s="2399">
        <v>0</v>
      </c>
      <c r="AE239" s="2400">
        <v>0</v>
      </c>
      <c r="AF239" s="2398">
        <v>0</v>
      </c>
      <c r="AG239" s="2398">
        <v>0</v>
      </c>
      <c r="AH239" s="2401">
        <v>0</v>
      </c>
      <c r="AI239" s="2401">
        <v>0</v>
      </c>
      <c r="AJ239" s="2398">
        <v>0</v>
      </c>
      <c r="AZ239" s="2396">
        <v>11111105</v>
      </c>
      <c r="BA239" s="2397" t="s">
        <v>4006</v>
      </c>
      <c r="BB239" s="2398">
        <v>0</v>
      </c>
      <c r="BC239" s="2179">
        <v>0</v>
      </c>
      <c r="BD239" s="2399">
        <v>0</v>
      </c>
      <c r="BE239" s="2400">
        <v>0</v>
      </c>
      <c r="BF239" s="2398">
        <v>0</v>
      </c>
      <c r="BG239" s="2398">
        <v>0</v>
      </c>
      <c r="BH239" s="2401">
        <v>0</v>
      </c>
      <c r="BI239" s="2401">
        <v>0</v>
      </c>
      <c r="BJ239" s="2398">
        <v>0</v>
      </c>
      <c r="BN239" s="2396">
        <v>11111105</v>
      </c>
      <c r="BO239" s="2397" t="s">
        <v>4006</v>
      </c>
      <c r="BP239" s="2398">
        <v>0</v>
      </c>
      <c r="BQ239" s="2179">
        <v>0</v>
      </c>
      <c r="BR239" s="2399">
        <v>0</v>
      </c>
      <c r="BS239" s="2400">
        <v>0</v>
      </c>
      <c r="BT239" s="2398">
        <v>0</v>
      </c>
      <c r="BU239" s="2398">
        <v>0</v>
      </c>
      <c r="BV239" s="2401">
        <v>0</v>
      </c>
      <c r="BW239" s="2401">
        <v>0</v>
      </c>
      <c r="BX239" s="2398">
        <v>0</v>
      </c>
    </row>
    <row r="240" spans="2:93">
      <c r="B240" s="2564">
        <v>11111106</v>
      </c>
      <c r="C240" s="2565" t="s">
        <v>4007</v>
      </c>
      <c r="D240" s="2566">
        <v>0</v>
      </c>
      <c r="E240" s="1080">
        <v>0</v>
      </c>
      <c r="F240" s="2567">
        <v>0</v>
      </c>
      <c r="G240" s="2568">
        <v>0</v>
      </c>
      <c r="H240" s="2566">
        <v>0</v>
      </c>
      <c r="I240" s="2566">
        <v>0</v>
      </c>
      <c r="J240" s="2569">
        <v>0</v>
      </c>
      <c r="K240" s="2569">
        <v>0</v>
      </c>
      <c r="L240" s="2566">
        <v>0</v>
      </c>
      <c r="N240" s="2396">
        <v>11111106</v>
      </c>
      <c r="O240" s="2397" t="s">
        <v>4007</v>
      </c>
      <c r="P240" s="2398">
        <v>0</v>
      </c>
      <c r="Q240" s="2179">
        <v>0</v>
      </c>
      <c r="R240" s="2399">
        <v>0</v>
      </c>
      <c r="S240" s="2400">
        <v>0</v>
      </c>
      <c r="T240" s="2398">
        <v>0</v>
      </c>
      <c r="U240" s="2398">
        <v>0</v>
      </c>
      <c r="V240" s="2401">
        <v>0</v>
      </c>
      <c r="W240" s="2401">
        <v>0</v>
      </c>
      <c r="X240" s="2398">
        <v>0</v>
      </c>
      <c r="Z240" s="2396">
        <v>11111106</v>
      </c>
      <c r="AA240" s="2397" t="s">
        <v>4007</v>
      </c>
      <c r="AB240" s="2398">
        <v>0</v>
      </c>
      <c r="AC240" s="2179">
        <v>0</v>
      </c>
      <c r="AD240" s="2399">
        <v>0</v>
      </c>
      <c r="AE240" s="2400">
        <v>0</v>
      </c>
      <c r="AF240" s="2398">
        <v>0</v>
      </c>
      <c r="AG240" s="2398">
        <v>0</v>
      </c>
      <c r="AH240" s="2401">
        <v>0</v>
      </c>
      <c r="AI240" s="2401">
        <v>0</v>
      </c>
      <c r="AJ240" s="2398">
        <v>0</v>
      </c>
      <c r="AZ240" s="2396">
        <v>11111106</v>
      </c>
      <c r="BA240" s="2397" t="s">
        <v>4007</v>
      </c>
      <c r="BB240" s="2398">
        <v>0</v>
      </c>
      <c r="BC240" s="2179">
        <v>0</v>
      </c>
      <c r="BD240" s="2399">
        <v>0</v>
      </c>
      <c r="BE240" s="2400">
        <v>0</v>
      </c>
      <c r="BF240" s="2398">
        <v>0</v>
      </c>
      <c r="BG240" s="2398">
        <v>0</v>
      </c>
      <c r="BH240" s="2401">
        <v>0</v>
      </c>
      <c r="BI240" s="2401">
        <v>0</v>
      </c>
      <c r="BJ240" s="2398">
        <v>0</v>
      </c>
      <c r="BN240" s="2396">
        <v>11111106</v>
      </c>
      <c r="BO240" s="2397" t="s">
        <v>4007</v>
      </c>
      <c r="BP240" s="2398">
        <v>0</v>
      </c>
      <c r="BQ240" s="2179">
        <v>0</v>
      </c>
      <c r="BR240" s="2399">
        <v>0</v>
      </c>
      <c r="BS240" s="2400">
        <v>0</v>
      </c>
      <c r="BT240" s="2398">
        <v>0</v>
      </c>
      <c r="BU240" s="2398">
        <v>0</v>
      </c>
      <c r="BV240" s="2401">
        <v>0</v>
      </c>
      <c r="BW240" s="2401">
        <v>0</v>
      </c>
      <c r="BX240" s="2398">
        <v>0</v>
      </c>
    </row>
    <row r="241" spans="2:76">
      <c r="B241" s="2558">
        <v>11111200</v>
      </c>
      <c r="C241" s="2571" t="s">
        <v>4984</v>
      </c>
      <c r="D241" s="2560">
        <v>10000000000</v>
      </c>
      <c r="E241" s="2560">
        <v>0</v>
      </c>
      <c r="F241" s="2561">
        <v>0</v>
      </c>
      <c r="G241" s="2562">
        <v>3000000000</v>
      </c>
      <c r="H241" s="2560">
        <v>0</v>
      </c>
      <c r="I241" s="2560">
        <v>13000000000</v>
      </c>
      <c r="J241" s="2563">
        <v>0</v>
      </c>
      <c r="K241" s="2563">
        <v>0</v>
      </c>
      <c r="L241" s="2560">
        <v>13000000000</v>
      </c>
      <c r="N241" s="2390">
        <v>11111200</v>
      </c>
      <c r="O241" s="2403" t="s">
        <v>4008</v>
      </c>
      <c r="P241" s="2392">
        <v>10000000000</v>
      </c>
      <c r="Q241" s="2392">
        <v>0</v>
      </c>
      <c r="R241" s="2393">
        <v>16452601</v>
      </c>
      <c r="S241" s="2394">
        <v>3000000000</v>
      </c>
      <c r="T241" s="2392">
        <v>0</v>
      </c>
      <c r="U241" s="2392">
        <v>13016452601</v>
      </c>
      <c r="V241" s="2395">
        <v>0</v>
      </c>
      <c r="W241" s="2395">
        <v>0</v>
      </c>
      <c r="X241" s="2392">
        <v>13016452601</v>
      </c>
      <c r="Y241" s="699" t="s">
        <v>3580</v>
      </c>
      <c r="Z241" s="2390">
        <v>11111200</v>
      </c>
      <c r="AA241" s="2403" t="s">
        <v>4008</v>
      </c>
      <c r="AB241" s="2392">
        <v>40000000000</v>
      </c>
      <c r="AC241" s="2392">
        <v>0</v>
      </c>
      <c r="AD241" s="2393">
        <v>9140978542</v>
      </c>
      <c r="AE241" s="2394">
        <v>3212500000</v>
      </c>
      <c r="AF241" s="2392">
        <v>0</v>
      </c>
      <c r="AG241" s="2392">
        <v>52353478542</v>
      </c>
      <c r="AH241" s="2395">
        <v>0</v>
      </c>
      <c r="AI241" s="2395">
        <v>0</v>
      </c>
      <c r="AJ241" s="2392">
        <v>52353478542</v>
      </c>
      <c r="AZ241" s="2390">
        <v>11111200</v>
      </c>
      <c r="BA241" s="2403" t="s">
        <v>4008</v>
      </c>
      <c r="BB241" s="2392">
        <v>10000000000</v>
      </c>
      <c r="BC241" s="2392">
        <v>0</v>
      </c>
      <c r="BD241" s="2393">
        <v>0</v>
      </c>
      <c r="BE241" s="2394">
        <v>3000000000</v>
      </c>
      <c r="BF241" s="2392">
        <v>0</v>
      </c>
      <c r="BG241" s="2392">
        <v>13000000000</v>
      </c>
      <c r="BH241" s="2395">
        <v>0</v>
      </c>
      <c r="BI241" s="2395">
        <v>0</v>
      </c>
      <c r="BJ241" s="2392">
        <v>13000000000</v>
      </c>
      <c r="BN241" s="2390">
        <v>11111200</v>
      </c>
      <c r="BO241" s="2403" t="s">
        <v>4008</v>
      </c>
      <c r="BP241" s="2392">
        <v>10000000000</v>
      </c>
      <c r="BQ241" s="2392">
        <v>0</v>
      </c>
      <c r="BR241" s="2393">
        <v>0</v>
      </c>
      <c r="BS241" s="2394">
        <v>4000000000</v>
      </c>
      <c r="BT241" s="2392">
        <v>0</v>
      </c>
      <c r="BU241" s="2392">
        <v>14000000000</v>
      </c>
      <c r="BV241" s="2395">
        <v>0</v>
      </c>
      <c r="BW241" s="2395">
        <v>0</v>
      </c>
      <c r="BX241" s="2392">
        <v>14000000000</v>
      </c>
    </row>
    <row r="242" spans="2:76">
      <c r="B242" s="2564">
        <v>11111201</v>
      </c>
      <c r="C242" s="2565" t="s">
        <v>4009</v>
      </c>
      <c r="D242" s="2566">
        <v>10000000000</v>
      </c>
      <c r="E242" s="1080">
        <v>0</v>
      </c>
      <c r="F242" s="2567">
        <v>0</v>
      </c>
      <c r="G242" s="2568">
        <v>3000000000</v>
      </c>
      <c r="H242" s="2566">
        <v>0</v>
      </c>
      <c r="I242" s="2566">
        <v>13000000000</v>
      </c>
      <c r="J242" s="2569">
        <v>0</v>
      </c>
      <c r="K242" s="2569">
        <v>0</v>
      </c>
      <c r="L242" s="2566">
        <v>13000000000</v>
      </c>
      <c r="N242" s="2396">
        <v>11111201</v>
      </c>
      <c r="O242" s="2397" t="s">
        <v>4009</v>
      </c>
      <c r="P242" s="2398">
        <v>10000000000</v>
      </c>
      <c r="Q242" s="2179">
        <v>0</v>
      </c>
      <c r="R242" s="2399">
        <v>16452601</v>
      </c>
      <c r="S242" s="2400">
        <v>3000000000</v>
      </c>
      <c r="T242" s="2398">
        <v>0</v>
      </c>
      <c r="U242" s="2398">
        <v>13016452601</v>
      </c>
      <c r="V242" s="2401">
        <v>0</v>
      </c>
      <c r="W242" s="2401">
        <v>0</v>
      </c>
      <c r="X242" s="2398">
        <v>13016452601</v>
      </c>
      <c r="Z242" s="2396">
        <v>11111201</v>
      </c>
      <c r="AA242" s="2397" t="s">
        <v>4009</v>
      </c>
      <c r="AB242" s="2398">
        <v>40000000000</v>
      </c>
      <c r="AC242" s="2179">
        <v>0</v>
      </c>
      <c r="AD242" s="2399">
        <v>9140978542</v>
      </c>
      <c r="AE242" s="2400">
        <v>3212500000</v>
      </c>
      <c r="AF242" s="2398">
        <v>0</v>
      </c>
      <c r="AG242" s="2398">
        <v>52353478542</v>
      </c>
      <c r="AH242" s="2401">
        <v>0</v>
      </c>
      <c r="AI242" s="2401">
        <v>0</v>
      </c>
      <c r="AJ242" s="2398">
        <v>52353478542</v>
      </c>
      <c r="AZ242" s="2396">
        <v>11111201</v>
      </c>
      <c r="BA242" s="2397" t="s">
        <v>4009</v>
      </c>
      <c r="BB242" s="2398">
        <v>10000000000</v>
      </c>
      <c r="BC242" s="2179">
        <v>0</v>
      </c>
      <c r="BD242" s="2399">
        <v>0</v>
      </c>
      <c r="BE242" s="2400">
        <v>3000000000</v>
      </c>
      <c r="BF242" s="2398">
        <v>0</v>
      </c>
      <c r="BG242" s="2398">
        <v>13000000000</v>
      </c>
      <c r="BH242" s="2401">
        <v>0</v>
      </c>
      <c r="BI242" s="2401">
        <v>0</v>
      </c>
      <c r="BJ242" s="2398">
        <v>13000000000</v>
      </c>
      <c r="BN242" s="2396">
        <v>11111201</v>
      </c>
      <c r="BO242" s="2397" t="s">
        <v>4009</v>
      </c>
      <c r="BP242" s="2398">
        <v>10000000000</v>
      </c>
      <c r="BQ242" s="2179">
        <v>0</v>
      </c>
      <c r="BR242" s="2399">
        <v>0</v>
      </c>
      <c r="BS242" s="2400">
        <v>4000000000</v>
      </c>
      <c r="BT242" s="2398">
        <v>0</v>
      </c>
      <c r="BU242" s="2398">
        <v>14000000000</v>
      </c>
      <c r="BV242" s="2401">
        <v>0</v>
      </c>
      <c r="BW242" s="2401">
        <v>0</v>
      </c>
      <c r="BX242" s="2398">
        <v>14000000000</v>
      </c>
    </row>
    <row r="243" spans="2:76">
      <c r="B243" s="2564">
        <v>11111202</v>
      </c>
      <c r="C243" s="2565" t="s">
        <v>4010</v>
      </c>
      <c r="D243" s="2566">
        <v>0</v>
      </c>
      <c r="E243" s="1080">
        <v>0</v>
      </c>
      <c r="F243" s="2567">
        <v>0</v>
      </c>
      <c r="G243" s="2568">
        <v>0</v>
      </c>
      <c r="H243" s="2566">
        <v>0</v>
      </c>
      <c r="I243" s="2566">
        <v>0</v>
      </c>
      <c r="J243" s="2569">
        <v>0</v>
      </c>
      <c r="K243" s="2569">
        <v>0</v>
      </c>
      <c r="L243" s="2566">
        <v>0</v>
      </c>
      <c r="N243" s="2396">
        <v>11111202</v>
      </c>
      <c r="O243" s="2397" t="s">
        <v>4010</v>
      </c>
      <c r="P243" s="2398">
        <v>0</v>
      </c>
      <c r="Q243" s="2179">
        <v>0</v>
      </c>
      <c r="R243" s="2399">
        <v>0</v>
      </c>
      <c r="S243" s="2400">
        <v>0</v>
      </c>
      <c r="T243" s="2398">
        <v>0</v>
      </c>
      <c r="U243" s="2398">
        <v>0</v>
      </c>
      <c r="V243" s="2401">
        <v>0</v>
      </c>
      <c r="W243" s="2401">
        <v>0</v>
      </c>
      <c r="X243" s="2398">
        <v>0</v>
      </c>
      <c r="Z243" s="2396">
        <v>11111202</v>
      </c>
      <c r="AA243" s="2397" t="s">
        <v>4010</v>
      </c>
      <c r="AB243" s="2398">
        <v>0</v>
      </c>
      <c r="AC243" s="2179">
        <v>0</v>
      </c>
      <c r="AD243" s="2399">
        <v>0</v>
      </c>
      <c r="AE243" s="2400">
        <v>0</v>
      </c>
      <c r="AF243" s="2398">
        <v>0</v>
      </c>
      <c r="AG243" s="2398">
        <v>0</v>
      </c>
      <c r="AH243" s="2401">
        <v>0</v>
      </c>
      <c r="AI243" s="2401">
        <v>0</v>
      </c>
      <c r="AJ243" s="2398">
        <v>0</v>
      </c>
      <c r="AZ243" s="2396">
        <v>11111202</v>
      </c>
      <c r="BA243" s="2397" t="s">
        <v>4010</v>
      </c>
      <c r="BB243" s="2398">
        <v>0</v>
      </c>
      <c r="BC243" s="2179">
        <v>0</v>
      </c>
      <c r="BD243" s="2399">
        <v>0</v>
      </c>
      <c r="BE243" s="2400">
        <v>0</v>
      </c>
      <c r="BF243" s="2398">
        <v>0</v>
      </c>
      <c r="BG243" s="2398">
        <v>0</v>
      </c>
      <c r="BH243" s="2401">
        <v>0</v>
      </c>
      <c r="BI243" s="2401">
        <v>0</v>
      </c>
      <c r="BJ243" s="2398">
        <v>0</v>
      </c>
      <c r="BN243" s="2396">
        <v>11111202</v>
      </c>
      <c r="BO243" s="2397" t="s">
        <v>4010</v>
      </c>
      <c r="BP243" s="2398">
        <v>0</v>
      </c>
      <c r="BQ243" s="2179">
        <v>0</v>
      </c>
      <c r="BR243" s="2399">
        <v>0</v>
      </c>
      <c r="BS243" s="2400">
        <v>0</v>
      </c>
      <c r="BT243" s="2398">
        <v>0</v>
      </c>
      <c r="BU243" s="2398">
        <v>0</v>
      </c>
      <c r="BV243" s="2401">
        <v>0</v>
      </c>
      <c r="BW243" s="2401">
        <v>0</v>
      </c>
      <c r="BX243" s="2398">
        <v>0</v>
      </c>
    </row>
    <row r="244" spans="2:76">
      <c r="B244" s="2564">
        <v>11111203</v>
      </c>
      <c r="C244" s="2565" t="s">
        <v>4011</v>
      </c>
      <c r="D244" s="2566">
        <v>0</v>
      </c>
      <c r="E244" s="1080">
        <v>0</v>
      </c>
      <c r="F244" s="2567">
        <v>0</v>
      </c>
      <c r="G244" s="2568">
        <v>0</v>
      </c>
      <c r="H244" s="2566">
        <v>0</v>
      </c>
      <c r="I244" s="2566">
        <v>0</v>
      </c>
      <c r="J244" s="2569">
        <v>0</v>
      </c>
      <c r="K244" s="2569">
        <v>0</v>
      </c>
      <c r="L244" s="2566">
        <v>0</v>
      </c>
      <c r="N244" s="2396">
        <v>11111203</v>
      </c>
      <c r="O244" s="2397" t="s">
        <v>4011</v>
      </c>
      <c r="P244" s="2398">
        <v>0</v>
      </c>
      <c r="Q244" s="2179">
        <v>0</v>
      </c>
      <c r="R244" s="2399">
        <v>0</v>
      </c>
      <c r="S244" s="2400">
        <v>0</v>
      </c>
      <c r="T244" s="2398">
        <v>0</v>
      </c>
      <c r="U244" s="2398">
        <v>0</v>
      </c>
      <c r="V244" s="2401">
        <v>0</v>
      </c>
      <c r="W244" s="2401">
        <v>0</v>
      </c>
      <c r="X244" s="2398">
        <v>0</v>
      </c>
      <c r="Z244" s="2396">
        <v>11111203</v>
      </c>
      <c r="AA244" s="2397" t="s">
        <v>4011</v>
      </c>
      <c r="AB244" s="2398">
        <v>0</v>
      </c>
      <c r="AC244" s="2179">
        <v>0</v>
      </c>
      <c r="AD244" s="2399">
        <v>0</v>
      </c>
      <c r="AE244" s="2400">
        <v>0</v>
      </c>
      <c r="AF244" s="2398">
        <v>0</v>
      </c>
      <c r="AG244" s="2398">
        <v>0</v>
      </c>
      <c r="AH244" s="2401">
        <v>0</v>
      </c>
      <c r="AI244" s="2401">
        <v>0</v>
      </c>
      <c r="AJ244" s="2398">
        <v>0</v>
      </c>
      <c r="AZ244" s="2396">
        <v>11111203</v>
      </c>
      <c r="BA244" s="2397" t="s">
        <v>4011</v>
      </c>
      <c r="BB244" s="2398">
        <v>0</v>
      </c>
      <c r="BC244" s="2179">
        <v>0</v>
      </c>
      <c r="BD244" s="2399">
        <v>0</v>
      </c>
      <c r="BE244" s="2400">
        <v>0</v>
      </c>
      <c r="BF244" s="2398">
        <v>0</v>
      </c>
      <c r="BG244" s="2398">
        <v>0</v>
      </c>
      <c r="BH244" s="2401">
        <v>0</v>
      </c>
      <c r="BI244" s="2401">
        <v>0</v>
      </c>
      <c r="BJ244" s="2398">
        <v>0</v>
      </c>
      <c r="BN244" s="2396">
        <v>11111203</v>
      </c>
      <c r="BO244" s="2397" t="s">
        <v>4011</v>
      </c>
      <c r="BP244" s="2398">
        <v>0</v>
      </c>
      <c r="BQ244" s="2179">
        <v>0</v>
      </c>
      <c r="BR244" s="2399">
        <v>0</v>
      </c>
      <c r="BS244" s="2400">
        <v>0</v>
      </c>
      <c r="BT244" s="2398">
        <v>0</v>
      </c>
      <c r="BU244" s="2398">
        <v>0</v>
      </c>
      <c r="BV244" s="2401">
        <v>0</v>
      </c>
      <c r="BW244" s="2401">
        <v>0</v>
      </c>
      <c r="BX244" s="2398">
        <v>0</v>
      </c>
    </row>
    <row r="245" spans="2:76">
      <c r="B245" s="2558">
        <v>11111300</v>
      </c>
      <c r="C245" s="2571" t="s">
        <v>4012</v>
      </c>
      <c r="D245" s="2560">
        <v>0</v>
      </c>
      <c r="E245" s="2560">
        <v>0</v>
      </c>
      <c r="F245" s="2561">
        <v>0</v>
      </c>
      <c r="G245" s="2562">
        <v>0</v>
      </c>
      <c r="H245" s="2560">
        <v>0</v>
      </c>
      <c r="I245" s="2560">
        <v>0</v>
      </c>
      <c r="J245" s="2563">
        <v>0</v>
      </c>
      <c r="K245" s="2563">
        <v>0</v>
      </c>
      <c r="L245" s="2560">
        <v>0</v>
      </c>
      <c r="N245" s="2390">
        <v>11111300</v>
      </c>
      <c r="O245" s="2403" t="s">
        <v>4012</v>
      </c>
      <c r="P245" s="2392">
        <v>0</v>
      </c>
      <c r="Q245" s="2392">
        <v>0</v>
      </c>
      <c r="R245" s="2393">
        <v>0</v>
      </c>
      <c r="S245" s="2394">
        <v>0</v>
      </c>
      <c r="T245" s="2392">
        <v>0</v>
      </c>
      <c r="U245" s="2392">
        <v>0</v>
      </c>
      <c r="V245" s="2395">
        <v>0</v>
      </c>
      <c r="W245" s="2395">
        <v>0</v>
      </c>
      <c r="X245" s="2392">
        <v>0</v>
      </c>
      <c r="Z245" s="2390">
        <v>11111300</v>
      </c>
      <c r="AA245" s="2403" t="s">
        <v>4012</v>
      </c>
      <c r="AB245" s="2392">
        <v>0</v>
      </c>
      <c r="AC245" s="2392">
        <v>0</v>
      </c>
      <c r="AD245" s="2393">
        <v>0</v>
      </c>
      <c r="AE245" s="2394">
        <v>0</v>
      </c>
      <c r="AF245" s="2392">
        <v>0</v>
      </c>
      <c r="AG245" s="2392">
        <v>0</v>
      </c>
      <c r="AH245" s="2395">
        <v>0</v>
      </c>
      <c r="AI245" s="2395">
        <v>0</v>
      </c>
      <c r="AJ245" s="2392">
        <v>0</v>
      </c>
      <c r="AZ245" s="2390">
        <v>11111300</v>
      </c>
      <c r="BA245" s="2403" t="s">
        <v>4012</v>
      </c>
      <c r="BB245" s="2392">
        <v>0</v>
      </c>
      <c r="BC245" s="2392">
        <v>0</v>
      </c>
      <c r="BD245" s="2393">
        <v>350000000</v>
      </c>
      <c r="BE245" s="2394">
        <v>0</v>
      </c>
      <c r="BF245" s="2392">
        <v>0</v>
      </c>
      <c r="BG245" s="2392">
        <v>350000000</v>
      </c>
      <c r="BH245" s="2395">
        <v>0</v>
      </c>
      <c r="BI245" s="2395">
        <v>0</v>
      </c>
      <c r="BJ245" s="2392">
        <v>350000000</v>
      </c>
      <c r="BN245" s="2390">
        <v>11111300</v>
      </c>
      <c r="BO245" s="2403" t="s">
        <v>4012</v>
      </c>
      <c r="BP245" s="2392">
        <v>0</v>
      </c>
      <c r="BQ245" s="2392">
        <v>0</v>
      </c>
      <c r="BR245" s="2393">
        <v>0</v>
      </c>
      <c r="BS245" s="2394">
        <v>0</v>
      </c>
      <c r="BT245" s="2392">
        <v>0</v>
      </c>
      <c r="BU245" s="2392">
        <v>0</v>
      </c>
      <c r="BV245" s="2395">
        <v>0</v>
      </c>
      <c r="BW245" s="2395">
        <v>0</v>
      </c>
      <c r="BX245" s="2392">
        <v>0</v>
      </c>
    </row>
    <row r="246" spans="2:76">
      <c r="B246" s="2564">
        <v>11111301</v>
      </c>
      <c r="C246" s="2565" t="s">
        <v>4012</v>
      </c>
      <c r="D246" s="2566">
        <v>0</v>
      </c>
      <c r="E246" s="1080">
        <v>0</v>
      </c>
      <c r="F246" s="2567">
        <v>0</v>
      </c>
      <c r="G246" s="2568">
        <v>0</v>
      </c>
      <c r="H246" s="2566">
        <v>0</v>
      </c>
      <c r="I246" s="2566">
        <v>0</v>
      </c>
      <c r="J246" s="2569">
        <v>0</v>
      </c>
      <c r="K246" s="2569">
        <v>0</v>
      </c>
      <c r="L246" s="2566">
        <v>0</v>
      </c>
      <c r="N246" s="2396">
        <v>11111301</v>
      </c>
      <c r="O246" s="2397" t="s">
        <v>4012</v>
      </c>
      <c r="P246" s="2398">
        <v>0</v>
      </c>
      <c r="Q246" s="2179">
        <v>0</v>
      </c>
      <c r="R246" s="2399">
        <v>0</v>
      </c>
      <c r="S246" s="2400">
        <v>0</v>
      </c>
      <c r="T246" s="2398">
        <v>0</v>
      </c>
      <c r="U246" s="2398">
        <v>0</v>
      </c>
      <c r="V246" s="2401">
        <v>0</v>
      </c>
      <c r="W246" s="2401">
        <v>0</v>
      </c>
      <c r="X246" s="2398">
        <v>0</v>
      </c>
      <c r="Z246" s="2396">
        <v>11111301</v>
      </c>
      <c r="AA246" s="2397" t="s">
        <v>4012</v>
      </c>
      <c r="AB246" s="2398">
        <v>0</v>
      </c>
      <c r="AC246" s="2179">
        <v>0</v>
      </c>
      <c r="AD246" s="2399">
        <v>0</v>
      </c>
      <c r="AE246" s="2400">
        <v>0</v>
      </c>
      <c r="AF246" s="2398">
        <v>0</v>
      </c>
      <c r="AG246" s="2398">
        <v>0</v>
      </c>
      <c r="AH246" s="2401">
        <v>0</v>
      </c>
      <c r="AI246" s="2401">
        <v>0</v>
      </c>
      <c r="AJ246" s="2398">
        <v>0</v>
      </c>
      <c r="AZ246" s="2396">
        <v>11111301</v>
      </c>
      <c r="BA246" s="2397" t="s">
        <v>4012</v>
      </c>
      <c r="BB246" s="2398">
        <v>0</v>
      </c>
      <c r="BC246" s="2179">
        <v>0</v>
      </c>
      <c r="BD246" s="2399">
        <v>350000000</v>
      </c>
      <c r="BE246" s="2400">
        <v>0</v>
      </c>
      <c r="BF246" s="2398">
        <v>0</v>
      </c>
      <c r="BG246" s="2398">
        <v>350000000</v>
      </c>
      <c r="BH246" s="2401">
        <v>0</v>
      </c>
      <c r="BI246" s="2401">
        <v>0</v>
      </c>
      <c r="BJ246" s="2398">
        <v>350000000</v>
      </c>
      <c r="BN246" s="2396">
        <v>11111301</v>
      </c>
      <c r="BO246" s="2397" t="s">
        <v>4012</v>
      </c>
      <c r="BP246" s="2398">
        <v>0</v>
      </c>
      <c r="BQ246" s="2179">
        <v>0</v>
      </c>
      <c r="BR246" s="2399">
        <v>0</v>
      </c>
      <c r="BS246" s="2400">
        <v>0</v>
      </c>
      <c r="BT246" s="2398">
        <v>0</v>
      </c>
      <c r="BU246" s="2398">
        <v>0</v>
      </c>
      <c r="BV246" s="2401">
        <v>0</v>
      </c>
      <c r="BW246" s="2401">
        <v>0</v>
      </c>
      <c r="BX246" s="2398">
        <v>0</v>
      </c>
    </row>
    <row r="247" spans="2:76">
      <c r="B247" s="2558">
        <v>11111400</v>
      </c>
      <c r="C247" s="2571" t="s">
        <v>4013</v>
      </c>
      <c r="D247" s="2560">
        <v>0</v>
      </c>
      <c r="E247" s="2560">
        <v>0</v>
      </c>
      <c r="F247" s="2561">
        <v>0</v>
      </c>
      <c r="G247" s="2562">
        <v>0</v>
      </c>
      <c r="H247" s="2560">
        <v>0</v>
      </c>
      <c r="I247" s="2560">
        <v>0</v>
      </c>
      <c r="J247" s="2563">
        <v>0</v>
      </c>
      <c r="K247" s="2563">
        <v>0</v>
      </c>
      <c r="L247" s="2560">
        <v>0</v>
      </c>
      <c r="N247" s="2390">
        <v>11111400</v>
      </c>
      <c r="O247" s="2403" t="s">
        <v>4013</v>
      </c>
      <c r="P247" s="2392">
        <v>0</v>
      </c>
      <c r="Q247" s="2392">
        <v>0</v>
      </c>
      <c r="R247" s="2393">
        <v>0</v>
      </c>
      <c r="S247" s="2394">
        <v>0</v>
      </c>
      <c r="T247" s="2392">
        <v>0</v>
      </c>
      <c r="U247" s="2392">
        <v>0</v>
      </c>
      <c r="V247" s="2395">
        <v>0</v>
      </c>
      <c r="W247" s="2395">
        <v>0</v>
      </c>
      <c r="X247" s="2392">
        <v>0</v>
      </c>
      <c r="Z247" s="2390">
        <v>11111400</v>
      </c>
      <c r="AA247" s="2403" t="s">
        <v>4013</v>
      </c>
      <c r="AB247" s="2392">
        <v>0</v>
      </c>
      <c r="AC247" s="2392">
        <v>0</v>
      </c>
      <c r="AD247" s="2393">
        <v>0</v>
      </c>
      <c r="AE247" s="2394">
        <v>0</v>
      </c>
      <c r="AF247" s="2392">
        <v>0</v>
      </c>
      <c r="AG247" s="2392">
        <v>0</v>
      </c>
      <c r="AH247" s="2395">
        <v>0</v>
      </c>
      <c r="AI247" s="2395">
        <v>0</v>
      </c>
      <c r="AJ247" s="2392">
        <v>0</v>
      </c>
      <c r="AZ247" s="2390">
        <v>11111400</v>
      </c>
      <c r="BA247" s="2403" t="s">
        <v>4013</v>
      </c>
      <c r="BB247" s="2392">
        <v>0</v>
      </c>
      <c r="BC247" s="2392">
        <v>0</v>
      </c>
      <c r="BD247" s="2393">
        <v>0</v>
      </c>
      <c r="BE247" s="2394">
        <v>0</v>
      </c>
      <c r="BF247" s="2392">
        <v>0</v>
      </c>
      <c r="BG247" s="2392">
        <v>0</v>
      </c>
      <c r="BH247" s="2395">
        <v>0</v>
      </c>
      <c r="BI247" s="2395">
        <v>0</v>
      </c>
      <c r="BJ247" s="2392">
        <v>0</v>
      </c>
      <c r="BN247" s="2390">
        <v>11111400</v>
      </c>
      <c r="BO247" s="2403" t="s">
        <v>4013</v>
      </c>
      <c r="BP247" s="2392">
        <v>0</v>
      </c>
      <c r="BQ247" s="2392">
        <v>0</v>
      </c>
      <c r="BR247" s="2393">
        <v>0</v>
      </c>
      <c r="BS247" s="2394">
        <v>0</v>
      </c>
      <c r="BT247" s="2392">
        <v>0</v>
      </c>
      <c r="BU247" s="2392">
        <v>0</v>
      </c>
      <c r="BV247" s="2395">
        <v>0</v>
      </c>
      <c r="BW247" s="2395">
        <v>0</v>
      </c>
      <c r="BX247" s="2392">
        <v>0</v>
      </c>
    </row>
    <row r="248" spans="2:76">
      <c r="B248" s="2564">
        <v>11111401</v>
      </c>
      <c r="C248" s="2565" t="s">
        <v>4013</v>
      </c>
      <c r="D248" s="2566">
        <v>0</v>
      </c>
      <c r="E248" s="1080">
        <v>0</v>
      </c>
      <c r="F248" s="2567">
        <v>0</v>
      </c>
      <c r="G248" s="2568">
        <v>0</v>
      </c>
      <c r="H248" s="2566">
        <v>0</v>
      </c>
      <c r="I248" s="2566">
        <v>0</v>
      </c>
      <c r="J248" s="2569">
        <v>0</v>
      </c>
      <c r="K248" s="2569">
        <v>0</v>
      </c>
      <c r="L248" s="2566">
        <v>0</v>
      </c>
      <c r="N248" s="2396">
        <v>11111401</v>
      </c>
      <c r="O248" s="2397" t="s">
        <v>4013</v>
      </c>
      <c r="P248" s="2398">
        <v>0</v>
      </c>
      <c r="Q248" s="2179">
        <v>0</v>
      </c>
      <c r="R248" s="2399">
        <v>0</v>
      </c>
      <c r="S248" s="2400">
        <v>0</v>
      </c>
      <c r="T248" s="2398">
        <v>0</v>
      </c>
      <c r="U248" s="2398">
        <v>0</v>
      </c>
      <c r="V248" s="2401">
        <v>0</v>
      </c>
      <c r="W248" s="2401">
        <v>0</v>
      </c>
      <c r="X248" s="2398">
        <v>0</v>
      </c>
      <c r="Z248" s="2396">
        <v>11111401</v>
      </c>
      <c r="AA248" s="2397" t="s">
        <v>4013</v>
      </c>
      <c r="AB248" s="2398">
        <v>0</v>
      </c>
      <c r="AC248" s="2179">
        <v>0</v>
      </c>
      <c r="AD248" s="2399">
        <v>0</v>
      </c>
      <c r="AE248" s="2400">
        <v>0</v>
      </c>
      <c r="AF248" s="2398">
        <v>0</v>
      </c>
      <c r="AG248" s="2398">
        <v>0</v>
      </c>
      <c r="AH248" s="2401">
        <v>0</v>
      </c>
      <c r="AI248" s="2401">
        <v>0</v>
      </c>
      <c r="AJ248" s="2398">
        <v>0</v>
      </c>
      <c r="AZ248" s="2396">
        <v>11111401</v>
      </c>
      <c r="BA248" s="2397" t="s">
        <v>4013</v>
      </c>
      <c r="BB248" s="2398">
        <v>0</v>
      </c>
      <c r="BC248" s="2179">
        <v>0</v>
      </c>
      <c r="BD248" s="2399">
        <v>0</v>
      </c>
      <c r="BE248" s="2400">
        <v>0</v>
      </c>
      <c r="BF248" s="2398">
        <v>0</v>
      </c>
      <c r="BG248" s="2398">
        <v>0</v>
      </c>
      <c r="BH248" s="2401">
        <v>0</v>
      </c>
      <c r="BI248" s="2401">
        <v>0</v>
      </c>
      <c r="BJ248" s="2398">
        <v>0</v>
      </c>
      <c r="BN248" s="2396">
        <v>11111401</v>
      </c>
      <c r="BO248" s="2397" t="s">
        <v>4013</v>
      </c>
      <c r="BP248" s="2398">
        <v>0</v>
      </c>
      <c r="BQ248" s="2179">
        <v>0</v>
      </c>
      <c r="BR248" s="2399">
        <v>0</v>
      </c>
      <c r="BS248" s="2400">
        <v>0</v>
      </c>
      <c r="BT248" s="2398">
        <v>0</v>
      </c>
      <c r="BU248" s="2398">
        <v>0</v>
      </c>
      <c r="BV248" s="2401">
        <v>0</v>
      </c>
      <c r="BW248" s="2401">
        <v>0</v>
      </c>
      <c r="BX248" s="2398">
        <v>0</v>
      </c>
    </row>
    <row r="249" spans="2:76">
      <c r="B249" s="2558">
        <v>11111500</v>
      </c>
      <c r="C249" s="2571" t="s">
        <v>4014</v>
      </c>
      <c r="D249" s="2560">
        <v>54360975</v>
      </c>
      <c r="E249" s="2560">
        <v>0</v>
      </c>
      <c r="F249" s="2561">
        <v>176490000</v>
      </c>
      <c r="G249" s="2562">
        <v>0</v>
      </c>
      <c r="H249" s="2560">
        <v>0</v>
      </c>
      <c r="I249" s="2560">
        <v>230850975</v>
      </c>
      <c r="J249" s="2563">
        <v>0</v>
      </c>
      <c r="K249" s="2563">
        <v>0</v>
      </c>
      <c r="L249" s="2560">
        <v>230850975</v>
      </c>
      <c r="N249" s="2390">
        <v>11111500</v>
      </c>
      <c r="O249" s="2403" t="s">
        <v>4014</v>
      </c>
      <c r="P249" s="2392">
        <v>53879668</v>
      </c>
      <c r="Q249" s="2392">
        <v>0</v>
      </c>
      <c r="R249" s="2393">
        <v>177490000</v>
      </c>
      <c r="S249" s="2394">
        <v>0</v>
      </c>
      <c r="T249" s="2392">
        <v>0</v>
      </c>
      <c r="U249" s="2392">
        <v>231369668</v>
      </c>
      <c r="V249" s="2395">
        <v>0</v>
      </c>
      <c r="W249" s="2395">
        <v>0</v>
      </c>
      <c r="X249" s="2392">
        <v>231369668</v>
      </c>
      <c r="Z249" s="2390">
        <v>11111500</v>
      </c>
      <c r="AA249" s="2403" t="s">
        <v>4014</v>
      </c>
      <c r="AB249" s="2392">
        <v>143777471</v>
      </c>
      <c r="AC249" s="2392">
        <v>0</v>
      </c>
      <c r="AD249" s="2393">
        <v>183490000</v>
      </c>
      <c r="AE249" s="2394">
        <v>0</v>
      </c>
      <c r="AF249" s="2392">
        <v>0</v>
      </c>
      <c r="AG249" s="2392">
        <v>327267471</v>
      </c>
      <c r="AH249" s="2395">
        <v>0</v>
      </c>
      <c r="AI249" s="2395">
        <v>0</v>
      </c>
      <c r="AJ249" s="2392">
        <v>327267471</v>
      </c>
      <c r="AZ249" s="2390">
        <v>11111500</v>
      </c>
      <c r="BA249" s="2403" t="s">
        <v>4014</v>
      </c>
      <c r="BB249" s="2392">
        <v>155927543</v>
      </c>
      <c r="BC249" s="2392">
        <v>10000000</v>
      </c>
      <c r="BD249" s="2393">
        <v>226490000</v>
      </c>
      <c r="BE249" s="2394">
        <v>0</v>
      </c>
      <c r="BF249" s="2392">
        <v>0</v>
      </c>
      <c r="BG249" s="2392">
        <v>392417543</v>
      </c>
      <c r="BH249" s="2395">
        <v>0</v>
      </c>
      <c r="BI249" s="2395">
        <v>0</v>
      </c>
      <c r="BJ249" s="2392">
        <v>392417543</v>
      </c>
      <c r="BN249" s="2390">
        <v>11111500</v>
      </c>
      <c r="BO249" s="2403" t="s">
        <v>4014</v>
      </c>
      <c r="BP249" s="2392">
        <v>0</v>
      </c>
      <c r="BQ249" s="2392">
        <v>0</v>
      </c>
      <c r="BR249" s="2393">
        <v>278320000</v>
      </c>
      <c r="BS249" s="2394">
        <v>34112768</v>
      </c>
      <c r="BT249" s="2392">
        <v>0</v>
      </c>
      <c r="BU249" s="2392">
        <v>312432768</v>
      </c>
      <c r="BV249" s="2395">
        <v>0</v>
      </c>
      <c r="BW249" s="2395">
        <v>0</v>
      </c>
      <c r="BX249" s="2392">
        <v>312432768</v>
      </c>
    </row>
    <row r="250" spans="2:76">
      <c r="B250" s="2564">
        <v>11111501</v>
      </c>
      <c r="C250" s="2565" t="s">
        <v>4014</v>
      </c>
      <c r="D250" s="2566">
        <v>54360975</v>
      </c>
      <c r="E250" s="1080">
        <v>0</v>
      </c>
      <c r="F250" s="2567">
        <v>176490000</v>
      </c>
      <c r="G250" s="2568">
        <v>0</v>
      </c>
      <c r="H250" s="2566">
        <v>0</v>
      </c>
      <c r="I250" s="2566">
        <v>230850975</v>
      </c>
      <c r="J250" s="2569">
        <v>0</v>
      </c>
      <c r="K250" s="2569">
        <v>0</v>
      </c>
      <c r="L250" s="2566">
        <v>230850975</v>
      </c>
      <c r="N250" s="2396">
        <v>11111501</v>
      </c>
      <c r="O250" s="2397" t="s">
        <v>4014</v>
      </c>
      <c r="P250" s="2398">
        <v>53879668</v>
      </c>
      <c r="Q250" s="2179">
        <v>0</v>
      </c>
      <c r="R250" s="2399">
        <v>177490000</v>
      </c>
      <c r="S250" s="2400">
        <v>0</v>
      </c>
      <c r="T250" s="2398">
        <v>0</v>
      </c>
      <c r="U250" s="2398">
        <v>231369668</v>
      </c>
      <c r="V250" s="2401">
        <v>0</v>
      </c>
      <c r="W250" s="2401">
        <v>0</v>
      </c>
      <c r="X250" s="2398">
        <v>231369668</v>
      </c>
      <c r="Z250" s="2396">
        <v>11111501</v>
      </c>
      <c r="AA250" s="2397" t="s">
        <v>4014</v>
      </c>
      <c r="AB250" s="2398">
        <v>143777471</v>
      </c>
      <c r="AC250" s="2179">
        <v>0</v>
      </c>
      <c r="AD250" s="2399">
        <v>183490000</v>
      </c>
      <c r="AE250" s="2400">
        <v>0</v>
      </c>
      <c r="AF250" s="2398">
        <v>0</v>
      </c>
      <c r="AG250" s="2398">
        <v>327267471</v>
      </c>
      <c r="AH250" s="2401">
        <v>0</v>
      </c>
      <c r="AI250" s="2401">
        <v>0</v>
      </c>
      <c r="AJ250" s="2398">
        <v>327267471</v>
      </c>
      <c r="AZ250" s="2396">
        <v>11111501</v>
      </c>
      <c r="BA250" s="2397" t="s">
        <v>4014</v>
      </c>
      <c r="BB250" s="2398">
        <v>155927543</v>
      </c>
      <c r="BC250" s="2179">
        <v>10000000</v>
      </c>
      <c r="BD250" s="2399">
        <v>226490000</v>
      </c>
      <c r="BE250" s="2400">
        <v>0</v>
      </c>
      <c r="BF250" s="2398">
        <v>0</v>
      </c>
      <c r="BG250" s="2398">
        <v>392417543</v>
      </c>
      <c r="BH250" s="2401">
        <v>0</v>
      </c>
      <c r="BI250" s="2401">
        <v>0</v>
      </c>
      <c r="BJ250" s="2398">
        <v>392417543</v>
      </c>
      <c r="BN250" s="2396">
        <v>11111501</v>
      </c>
      <c r="BO250" s="2397" t="s">
        <v>4014</v>
      </c>
      <c r="BP250" s="2398">
        <v>0</v>
      </c>
      <c r="BQ250" s="2179">
        <v>0</v>
      </c>
      <c r="BR250" s="2399">
        <v>278320000</v>
      </c>
      <c r="BS250" s="2400">
        <v>34112768</v>
      </c>
      <c r="BT250" s="2398">
        <v>0</v>
      </c>
      <c r="BU250" s="2398">
        <v>312432768</v>
      </c>
      <c r="BV250" s="2401">
        <v>0</v>
      </c>
      <c r="BW250" s="2401">
        <v>0</v>
      </c>
      <c r="BX250" s="2398">
        <v>312432768</v>
      </c>
    </row>
    <row r="251" spans="2:76">
      <c r="B251" s="2558">
        <v>11111600</v>
      </c>
      <c r="C251" s="2571" t="s">
        <v>4015</v>
      </c>
      <c r="D251" s="2560">
        <v>0</v>
      </c>
      <c r="E251" s="2560">
        <v>0</v>
      </c>
      <c r="F251" s="2561">
        <v>0</v>
      </c>
      <c r="G251" s="2562">
        <v>0</v>
      </c>
      <c r="H251" s="2560">
        <v>0</v>
      </c>
      <c r="I251" s="2560">
        <v>0</v>
      </c>
      <c r="J251" s="2563">
        <v>0</v>
      </c>
      <c r="K251" s="2563">
        <v>0</v>
      </c>
      <c r="L251" s="2560">
        <v>0</v>
      </c>
      <c r="N251" s="2390">
        <v>11111600</v>
      </c>
      <c r="O251" s="2403" t="s">
        <v>4015</v>
      </c>
      <c r="P251" s="2392">
        <v>0</v>
      </c>
      <c r="Q251" s="2392">
        <v>0</v>
      </c>
      <c r="R251" s="2393">
        <v>0</v>
      </c>
      <c r="S251" s="2394">
        <v>0</v>
      </c>
      <c r="T251" s="2392">
        <v>0</v>
      </c>
      <c r="U251" s="2392">
        <v>0</v>
      </c>
      <c r="V251" s="2395">
        <v>0</v>
      </c>
      <c r="W251" s="2395">
        <v>0</v>
      </c>
      <c r="X251" s="2392">
        <v>0</v>
      </c>
      <c r="Z251" s="2390">
        <v>11111600</v>
      </c>
      <c r="AA251" s="2403" t="s">
        <v>4015</v>
      </c>
      <c r="AB251" s="2392">
        <v>0</v>
      </c>
      <c r="AC251" s="2392">
        <v>0</v>
      </c>
      <c r="AD251" s="2393">
        <v>0</v>
      </c>
      <c r="AE251" s="2394">
        <v>0</v>
      </c>
      <c r="AF251" s="2392">
        <v>0</v>
      </c>
      <c r="AG251" s="2392">
        <v>0</v>
      </c>
      <c r="AH251" s="2395">
        <v>0</v>
      </c>
      <c r="AI251" s="2395">
        <v>0</v>
      </c>
      <c r="AJ251" s="2392">
        <v>0</v>
      </c>
      <c r="AZ251" s="2390">
        <v>11111600</v>
      </c>
      <c r="BA251" s="2403" t="s">
        <v>4015</v>
      </c>
      <c r="BB251" s="2392">
        <v>0</v>
      </c>
      <c r="BC251" s="2392">
        <v>0</v>
      </c>
      <c r="BD251" s="2393">
        <v>0</v>
      </c>
      <c r="BE251" s="2394">
        <v>0</v>
      </c>
      <c r="BF251" s="2392">
        <v>0</v>
      </c>
      <c r="BG251" s="2392">
        <v>0</v>
      </c>
      <c r="BH251" s="2395">
        <v>0</v>
      </c>
      <c r="BI251" s="2395">
        <v>0</v>
      </c>
      <c r="BJ251" s="2392">
        <v>0</v>
      </c>
      <c r="BN251" s="2390">
        <v>11111600</v>
      </c>
      <c r="BO251" s="2403" t="s">
        <v>4015</v>
      </c>
      <c r="BP251" s="2392">
        <v>0</v>
      </c>
      <c r="BQ251" s="2392">
        <v>0</v>
      </c>
      <c r="BR251" s="2393">
        <v>0</v>
      </c>
      <c r="BS251" s="2394">
        <v>0</v>
      </c>
      <c r="BT251" s="2392">
        <v>0</v>
      </c>
      <c r="BU251" s="2392">
        <v>0</v>
      </c>
      <c r="BV251" s="2395">
        <v>0</v>
      </c>
      <c r="BW251" s="2395">
        <v>0</v>
      </c>
      <c r="BX251" s="2392">
        <v>0</v>
      </c>
    </row>
    <row r="252" spans="2:76">
      <c r="B252" s="2564">
        <v>11111601</v>
      </c>
      <c r="C252" s="2565" t="s">
        <v>4015</v>
      </c>
      <c r="D252" s="2566">
        <v>0</v>
      </c>
      <c r="E252" s="1080">
        <v>0</v>
      </c>
      <c r="F252" s="2567">
        <v>0</v>
      </c>
      <c r="G252" s="2568">
        <v>0</v>
      </c>
      <c r="H252" s="2566">
        <v>0</v>
      </c>
      <c r="I252" s="2566">
        <v>0</v>
      </c>
      <c r="J252" s="2569">
        <v>0</v>
      </c>
      <c r="K252" s="2569">
        <v>0</v>
      </c>
      <c r="L252" s="2566">
        <v>0</v>
      </c>
      <c r="N252" s="2396">
        <v>11111601</v>
      </c>
      <c r="O252" s="2397" t="s">
        <v>4015</v>
      </c>
      <c r="P252" s="2398">
        <v>0</v>
      </c>
      <c r="Q252" s="2179">
        <v>0</v>
      </c>
      <c r="R252" s="2399">
        <v>0</v>
      </c>
      <c r="S252" s="2400">
        <v>0</v>
      </c>
      <c r="T252" s="2398">
        <v>0</v>
      </c>
      <c r="U252" s="2398">
        <v>0</v>
      </c>
      <c r="V252" s="2401">
        <v>0</v>
      </c>
      <c r="W252" s="2401">
        <v>0</v>
      </c>
      <c r="X252" s="2398">
        <v>0</v>
      </c>
      <c r="Z252" s="2396">
        <v>11111601</v>
      </c>
      <c r="AA252" s="2397" t="s">
        <v>4015</v>
      </c>
      <c r="AB252" s="2398">
        <v>0</v>
      </c>
      <c r="AC252" s="2179">
        <v>0</v>
      </c>
      <c r="AD252" s="2399">
        <v>0</v>
      </c>
      <c r="AE252" s="2400">
        <v>0</v>
      </c>
      <c r="AF252" s="2398">
        <v>0</v>
      </c>
      <c r="AG252" s="2398">
        <v>0</v>
      </c>
      <c r="AH252" s="2401">
        <v>0</v>
      </c>
      <c r="AI252" s="2401">
        <v>0</v>
      </c>
      <c r="AJ252" s="2398">
        <v>0</v>
      </c>
      <c r="AZ252" s="2396">
        <v>11111601</v>
      </c>
      <c r="BA252" s="2397" t="s">
        <v>4015</v>
      </c>
      <c r="BB252" s="2398">
        <v>0</v>
      </c>
      <c r="BC252" s="2179">
        <v>0</v>
      </c>
      <c r="BD252" s="2399">
        <v>0</v>
      </c>
      <c r="BE252" s="2400">
        <v>0</v>
      </c>
      <c r="BF252" s="2398">
        <v>0</v>
      </c>
      <c r="BG252" s="2398">
        <v>0</v>
      </c>
      <c r="BH252" s="2401">
        <v>0</v>
      </c>
      <c r="BI252" s="2401">
        <v>0</v>
      </c>
      <c r="BJ252" s="2398">
        <v>0</v>
      </c>
      <c r="BN252" s="2396">
        <v>11111601</v>
      </c>
      <c r="BO252" s="2397" t="s">
        <v>4015</v>
      </c>
      <c r="BP252" s="2398">
        <v>0</v>
      </c>
      <c r="BQ252" s="2179">
        <v>0</v>
      </c>
      <c r="BR252" s="2399">
        <v>0</v>
      </c>
      <c r="BS252" s="2400">
        <v>0</v>
      </c>
      <c r="BT252" s="2398">
        <v>0</v>
      </c>
      <c r="BU252" s="2398">
        <v>0</v>
      </c>
      <c r="BV252" s="2401">
        <v>0</v>
      </c>
      <c r="BW252" s="2401">
        <v>0</v>
      </c>
      <c r="BX252" s="2398">
        <v>0</v>
      </c>
    </row>
    <row r="253" spans="2:76">
      <c r="B253" s="2558">
        <v>11111700</v>
      </c>
      <c r="C253" s="2571" t="s">
        <v>2178</v>
      </c>
      <c r="D253" s="2560">
        <v>131263425359</v>
      </c>
      <c r="E253" s="2560">
        <v>919792353</v>
      </c>
      <c r="F253" s="2561">
        <v>345156233</v>
      </c>
      <c r="G253" s="2562">
        <v>0</v>
      </c>
      <c r="H253" s="2560">
        <v>380186919</v>
      </c>
      <c r="I253" s="2560">
        <v>132908560864</v>
      </c>
      <c r="J253" s="2563">
        <v>0</v>
      </c>
      <c r="K253" s="2563">
        <v>0</v>
      </c>
      <c r="L253" s="2560">
        <v>131712377116</v>
      </c>
      <c r="N253" s="2390">
        <v>11111700</v>
      </c>
      <c r="O253" s="2403" t="s">
        <v>2178</v>
      </c>
      <c r="P253" s="2392">
        <v>123260012919</v>
      </c>
      <c r="Q253" s="2392">
        <v>474975907</v>
      </c>
      <c r="R253" s="2393">
        <v>344538469</v>
      </c>
      <c r="S253" s="2394">
        <v>0</v>
      </c>
      <c r="T253" s="2392">
        <v>408139152</v>
      </c>
      <c r="U253" s="2392">
        <v>124487666447</v>
      </c>
      <c r="V253" s="2395">
        <v>0</v>
      </c>
      <c r="W253" s="2395">
        <v>0</v>
      </c>
      <c r="X253" s="2392">
        <v>124070616338</v>
      </c>
      <c r="Z253" s="2390">
        <v>11111700</v>
      </c>
      <c r="AA253" s="2403" t="s">
        <v>2178</v>
      </c>
      <c r="AB253" s="2392">
        <v>128516927777</v>
      </c>
      <c r="AC253" s="2392">
        <v>505285321</v>
      </c>
      <c r="AD253" s="2393">
        <v>820469171</v>
      </c>
      <c r="AE253" s="2394">
        <v>0</v>
      </c>
      <c r="AF253" s="2392">
        <v>0</v>
      </c>
      <c r="AG253" s="2392">
        <v>129842682269</v>
      </c>
      <c r="AH253" s="2395">
        <v>0</v>
      </c>
      <c r="AI253" s="2395">
        <v>0</v>
      </c>
      <c r="AJ253" s="2392">
        <v>129674344555</v>
      </c>
      <c r="AZ253" s="2390">
        <v>11111700</v>
      </c>
      <c r="BA253" s="2403" t="s">
        <v>2178</v>
      </c>
      <c r="BB253" s="2392">
        <v>117297160980</v>
      </c>
      <c r="BC253" s="2392">
        <v>431482857</v>
      </c>
      <c r="BD253" s="2393">
        <v>1061738647</v>
      </c>
      <c r="BE253" s="2394">
        <v>0</v>
      </c>
      <c r="BF253" s="2392">
        <v>0</v>
      </c>
      <c r="BG253" s="2392">
        <v>118790382484</v>
      </c>
      <c r="BH253" s="2395">
        <v>0</v>
      </c>
      <c r="BI253" s="2395">
        <v>0</v>
      </c>
      <c r="BJ253" s="2392">
        <v>118354695083</v>
      </c>
      <c r="BN253" s="2390">
        <v>11111700</v>
      </c>
      <c r="BO253" s="2403" t="s">
        <v>2178</v>
      </c>
      <c r="BP253" s="2392">
        <v>125413870819</v>
      </c>
      <c r="BQ253" s="2392">
        <v>165487845</v>
      </c>
      <c r="BR253" s="2393">
        <v>1328739655</v>
      </c>
      <c r="BS253" s="2394">
        <v>800000</v>
      </c>
      <c r="BT253" s="2392">
        <v>121317160</v>
      </c>
      <c r="BU253" s="2392">
        <v>127030215479</v>
      </c>
      <c r="BV253" s="2395">
        <v>0</v>
      </c>
      <c r="BW253" s="2395">
        <v>0</v>
      </c>
      <c r="BX253" s="2392">
        <v>127007248795</v>
      </c>
    </row>
    <row r="254" spans="2:76">
      <c r="B254" s="2564">
        <v>11111701</v>
      </c>
      <c r="C254" s="2565" t="s">
        <v>2178</v>
      </c>
      <c r="D254" s="2566">
        <v>131263425359</v>
      </c>
      <c r="E254" s="1080">
        <v>919792353</v>
      </c>
      <c r="F254" s="2567">
        <v>345156233</v>
      </c>
      <c r="G254" s="2568">
        <v>0</v>
      </c>
      <c r="H254" s="2566">
        <v>380186919</v>
      </c>
      <c r="I254" s="2566">
        <v>132908560864</v>
      </c>
      <c r="J254" s="2569">
        <v>-1196183748</v>
      </c>
      <c r="K254" s="2569">
        <v>0</v>
      </c>
      <c r="L254" s="2566">
        <v>131712377116</v>
      </c>
      <c r="N254" s="2396">
        <v>11111701</v>
      </c>
      <c r="O254" s="2397" t="s">
        <v>2178</v>
      </c>
      <c r="P254" s="2398">
        <v>123260012919</v>
      </c>
      <c r="Q254" s="2179">
        <v>474975907</v>
      </c>
      <c r="R254" s="2399">
        <v>344538469</v>
      </c>
      <c r="S254" s="2400">
        <v>0</v>
      </c>
      <c r="T254" s="2398">
        <v>408139152</v>
      </c>
      <c r="U254" s="2398">
        <v>124487666447</v>
      </c>
      <c r="V254" s="2401">
        <v>-417050109</v>
      </c>
      <c r="W254" s="2401">
        <v>0</v>
      </c>
      <c r="X254" s="2398">
        <v>124070616338</v>
      </c>
      <c r="Z254" s="2396">
        <v>11111701</v>
      </c>
      <c r="AA254" s="2397" t="s">
        <v>2178</v>
      </c>
      <c r="AB254" s="2398">
        <v>128516927777</v>
      </c>
      <c r="AC254" s="2179">
        <v>505285321</v>
      </c>
      <c r="AD254" s="2399">
        <v>820469171</v>
      </c>
      <c r="AE254" s="2400">
        <v>0</v>
      </c>
      <c r="AF254" s="2398">
        <v>0</v>
      </c>
      <c r="AG254" s="2398">
        <v>129842682269</v>
      </c>
      <c r="AH254" s="2401">
        <v>-168337714</v>
      </c>
      <c r="AI254" s="2401">
        <v>0</v>
      </c>
      <c r="AJ254" s="2398">
        <v>129674344555</v>
      </c>
      <c r="AZ254" s="2396">
        <v>11111701</v>
      </c>
      <c r="BA254" s="2397" t="s">
        <v>2178</v>
      </c>
      <c r="BB254" s="2398">
        <v>117297160980</v>
      </c>
      <c r="BC254" s="2179">
        <v>431482857</v>
      </c>
      <c r="BD254" s="2399">
        <v>1061738647</v>
      </c>
      <c r="BE254" s="2400">
        <v>0</v>
      </c>
      <c r="BF254" s="2398">
        <v>0</v>
      </c>
      <c r="BG254" s="2398">
        <v>118790382484</v>
      </c>
      <c r="BH254" s="2401">
        <v>-435687401</v>
      </c>
      <c r="BI254" s="2401">
        <v>0</v>
      </c>
      <c r="BJ254" s="2398">
        <v>118354695083</v>
      </c>
      <c r="BN254" s="2396">
        <v>11111701</v>
      </c>
      <c r="BO254" s="2397" t="s">
        <v>2178</v>
      </c>
      <c r="BP254" s="2398">
        <v>125413870819</v>
      </c>
      <c r="BQ254" s="2179">
        <v>165487845</v>
      </c>
      <c r="BR254" s="2399">
        <v>1328739655</v>
      </c>
      <c r="BS254" s="2400">
        <v>800000</v>
      </c>
      <c r="BT254" s="2398">
        <v>121317160</v>
      </c>
      <c r="BU254" s="2398">
        <v>127030215479</v>
      </c>
      <c r="BV254" s="2401">
        <v>-22966684</v>
      </c>
      <c r="BW254" s="2401">
        <v>0</v>
      </c>
      <c r="BX254" s="2398">
        <v>127007248795</v>
      </c>
    </row>
    <row r="255" spans="2:76">
      <c r="B255" s="2558">
        <v>11111800</v>
      </c>
      <c r="C255" s="2571" t="s">
        <v>4016</v>
      </c>
      <c r="D255" s="2560">
        <v>-31893332</v>
      </c>
      <c r="E255" s="2560">
        <v>0</v>
      </c>
      <c r="F255" s="2561">
        <v>-324971502</v>
      </c>
      <c r="G255" s="2562">
        <v>0</v>
      </c>
      <c r="H255" s="2560">
        <v>0</v>
      </c>
      <c r="I255" s="2560">
        <v>-356864834</v>
      </c>
      <c r="J255" s="2563">
        <v>0</v>
      </c>
      <c r="K255" s="2563">
        <v>0</v>
      </c>
      <c r="L255" s="2560">
        <v>-356864834</v>
      </c>
      <c r="N255" s="2390">
        <v>11111800</v>
      </c>
      <c r="O255" s="2403" t="s">
        <v>4016</v>
      </c>
      <c r="P255" s="2392">
        <v>-31893332</v>
      </c>
      <c r="Q255" s="2392">
        <v>0</v>
      </c>
      <c r="R255" s="2393">
        <v>-324971502</v>
      </c>
      <c r="S255" s="2394">
        <v>0</v>
      </c>
      <c r="T255" s="2392">
        <v>0</v>
      </c>
      <c r="U255" s="2392">
        <v>-356864834</v>
      </c>
      <c r="V255" s="2395">
        <v>0</v>
      </c>
      <c r="W255" s="2395">
        <v>0</v>
      </c>
      <c r="X255" s="2392">
        <v>-356864834</v>
      </c>
      <c r="Z255" s="2390">
        <v>11111800</v>
      </c>
      <c r="AA255" s="2403" t="s">
        <v>4016</v>
      </c>
      <c r="AB255" s="2392">
        <v>-31893332</v>
      </c>
      <c r="AC255" s="2392">
        <v>0</v>
      </c>
      <c r="AD255" s="2393">
        <v>-324971502</v>
      </c>
      <c r="AE255" s="2394">
        <v>0</v>
      </c>
      <c r="AF255" s="2392">
        <v>0</v>
      </c>
      <c r="AG255" s="2392">
        <v>-356864834</v>
      </c>
      <c r="AH255" s="2395">
        <v>0</v>
      </c>
      <c r="AI255" s="2395">
        <v>0</v>
      </c>
      <c r="AJ255" s="2392">
        <v>-356864834</v>
      </c>
      <c r="AZ255" s="2390">
        <v>11111800</v>
      </c>
      <c r="BA255" s="2403" t="s">
        <v>4016</v>
      </c>
      <c r="BB255" s="2392">
        <v>-31893332</v>
      </c>
      <c r="BC255" s="2392">
        <v>0</v>
      </c>
      <c r="BD255" s="2393">
        <v>-324971502</v>
      </c>
      <c r="BE255" s="2394">
        <v>0</v>
      </c>
      <c r="BF255" s="2392">
        <v>0</v>
      </c>
      <c r="BG255" s="2392">
        <v>-356864834</v>
      </c>
      <c r="BH255" s="2395">
        <v>0</v>
      </c>
      <c r="BI255" s="2395">
        <v>0</v>
      </c>
      <c r="BJ255" s="2392">
        <v>-356864834</v>
      </c>
      <c r="BN255" s="2390">
        <v>11111800</v>
      </c>
      <c r="BO255" s="2403" t="s">
        <v>4016</v>
      </c>
      <c r="BP255" s="2392">
        <v>-31893332</v>
      </c>
      <c r="BQ255" s="2392">
        <v>0</v>
      </c>
      <c r="BR255" s="2393">
        <v>-324971502</v>
      </c>
      <c r="BS255" s="2394">
        <v>0</v>
      </c>
      <c r="BT255" s="2392">
        <v>0</v>
      </c>
      <c r="BU255" s="2392">
        <v>-356864834</v>
      </c>
      <c r="BV255" s="2395">
        <v>0</v>
      </c>
      <c r="BW255" s="2395">
        <v>0</v>
      </c>
      <c r="BX255" s="2392">
        <v>-356864834</v>
      </c>
    </row>
    <row r="256" spans="2:76">
      <c r="B256" s="2564">
        <v>11111801</v>
      </c>
      <c r="C256" s="2565" t="s">
        <v>4016</v>
      </c>
      <c r="D256" s="2566">
        <v>-31893332</v>
      </c>
      <c r="E256" s="1080">
        <v>0</v>
      </c>
      <c r="F256" s="2567">
        <v>-324971502</v>
      </c>
      <c r="G256" s="2568">
        <v>0</v>
      </c>
      <c r="H256" s="2566">
        <v>0</v>
      </c>
      <c r="I256" s="2566">
        <v>-356864834</v>
      </c>
      <c r="J256" s="2569">
        <v>0</v>
      </c>
      <c r="K256" s="2569">
        <v>0</v>
      </c>
      <c r="L256" s="2566">
        <v>-356864834</v>
      </c>
      <c r="N256" s="2396">
        <v>11111801</v>
      </c>
      <c r="O256" s="2397" t="s">
        <v>4016</v>
      </c>
      <c r="P256" s="2398">
        <v>-31893332</v>
      </c>
      <c r="Q256" s="2179">
        <v>0</v>
      </c>
      <c r="R256" s="2399">
        <v>-324971502</v>
      </c>
      <c r="S256" s="2400">
        <v>0</v>
      </c>
      <c r="T256" s="2398">
        <v>0</v>
      </c>
      <c r="U256" s="2398">
        <v>-356864834</v>
      </c>
      <c r="V256" s="2401">
        <v>0</v>
      </c>
      <c r="W256" s="2401">
        <v>0</v>
      </c>
      <c r="X256" s="2398">
        <v>-356864834</v>
      </c>
      <c r="Z256" s="2396">
        <v>11111801</v>
      </c>
      <c r="AA256" s="2397" t="s">
        <v>4016</v>
      </c>
      <c r="AB256" s="2398">
        <v>-31893332</v>
      </c>
      <c r="AC256" s="2179">
        <v>0</v>
      </c>
      <c r="AD256" s="2399">
        <v>-324971502</v>
      </c>
      <c r="AE256" s="2400">
        <v>0</v>
      </c>
      <c r="AF256" s="2398">
        <v>0</v>
      </c>
      <c r="AG256" s="2398">
        <v>-356864834</v>
      </c>
      <c r="AH256" s="2401">
        <v>0</v>
      </c>
      <c r="AI256" s="2401">
        <v>0</v>
      </c>
      <c r="AJ256" s="2398">
        <v>-356864834</v>
      </c>
      <c r="AZ256" s="2396">
        <v>11111801</v>
      </c>
      <c r="BA256" s="2397" t="s">
        <v>4016</v>
      </c>
      <c r="BB256" s="2398">
        <v>-31893332</v>
      </c>
      <c r="BC256" s="2179">
        <v>0</v>
      </c>
      <c r="BD256" s="2399">
        <v>-324971502</v>
      </c>
      <c r="BE256" s="2400">
        <v>0</v>
      </c>
      <c r="BF256" s="2398">
        <v>0</v>
      </c>
      <c r="BG256" s="2398">
        <v>-356864834</v>
      </c>
      <c r="BH256" s="2401">
        <v>0</v>
      </c>
      <c r="BI256" s="2401">
        <v>0</v>
      </c>
      <c r="BJ256" s="2398">
        <v>-356864834</v>
      </c>
      <c r="BN256" s="2396">
        <v>11111801</v>
      </c>
      <c r="BO256" s="2397" t="s">
        <v>4016</v>
      </c>
      <c r="BP256" s="2398">
        <v>-31893332</v>
      </c>
      <c r="BQ256" s="2179">
        <v>0</v>
      </c>
      <c r="BR256" s="2399">
        <v>-324971502</v>
      </c>
      <c r="BS256" s="2400">
        <v>0</v>
      </c>
      <c r="BT256" s="2398">
        <v>0</v>
      </c>
      <c r="BU256" s="2398">
        <v>-356864834</v>
      </c>
      <c r="BV256" s="2401">
        <v>0</v>
      </c>
      <c r="BW256" s="2401">
        <v>0</v>
      </c>
      <c r="BX256" s="2398">
        <v>-356864834</v>
      </c>
    </row>
    <row r="257" spans="2:76">
      <c r="B257" s="2558">
        <v>11111900</v>
      </c>
      <c r="C257" s="2571" t="s">
        <v>4017</v>
      </c>
      <c r="D257" s="2560">
        <v>305564377</v>
      </c>
      <c r="E257" s="2560">
        <v>0</v>
      </c>
      <c r="F257" s="2561">
        <v>14177103</v>
      </c>
      <c r="G257" s="2562">
        <v>25717535</v>
      </c>
      <c r="H257" s="2560">
        <v>0</v>
      </c>
      <c r="I257" s="2560">
        <v>345459015</v>
      </c>
      <c r="J257" s="2563">
        <v>0</v>
      </c>
      <c r="K257" s="2563">
        <v>0</v>
      </c>
      <c r="L257" s="2560">
        <v>345459015</v>
      </c>
      <c r="N257" s="2390">
        <v>11111900</v>
      </c>
      <c r="O257" s="2403" t="s">
        <v>4017</v>
      </c>
      <c r="P257" s="2392">
        <v>253673963</v>
      </c>
      <c r="Q257" s="2392">
        <v>0</v>
      </c>
      <c r="R257" s="2393">
        <v>0</v>
      </c>
      <c r="S257" s="2394">
        <v>17615068</v>
      </c>
      <c r="T257" s="2392">
        <v>0</v>
      </c>
      <c r="U257" s="2392">
        <v>271289031</v>
      </c>
      <c r="V257" s="2395">
        <v>0</v>
      </c>
      <c r="W257" s="2395">
        <v>0</v>
      </c>
      <c r="X257" s="2392">
        <v>271289031</v>
      </c>
      <c r="Z257" s="2390">
        <v>11111900</v>
      </c>
      <c r="AA257" s="2403" t="s">
        <v>4017</v>
      </c>
      <c r="AB257" s="2392">
        <v>572874993</v>
      </c>
      <c r="AC257" s="2392">
        <v>0</v>
      </c>
      <c r="AD257" s="2393">
        <v>17161513</v>
      </c>
      <c r="AE257" s="2394">
        <v>30168767</v>
      </c>
      <c r="AF257" s="2392">
        <v>0</v>
      </c>
      <c r="AG257" s="2392">
        <v>620205273</v>
      </c>
      <c r="AH257" s="2395">
        <v>0</v>
      </c>
      <c r="AI257" s="2395">
        <v>0</v>
      </c>
      <c r="AJ257" s="2392">
        <v>620205273</v>
      </c>
      <c r="AZ257" s="2390">
        <v>11111900</v>
      </c>
      <c r="BA257" s="2403" t="s">
        <v>4017</v>
      </c>
      <c r="BB257" s="2392">
        <v>488038349</v>
      </c>
      <c r="BC257" s="2392">
        <v>0</v>
      </c>
      <c r="BD257" s="2393">
        <v>0</v>
      </c>
      <c r="BE257" s="2394">
        <v>33554278</v>
      </c>
      <c r="BF257" s="2392">
        <v>0</v>
      </c>
      <c r="BG257" s="2392">
        <v>521592627</v>
      </c>
      <c r="BH257" s="2395">
        <v>0</v>
      </c>
      <c r="BI257" s="2395">
        <v>0</v>
      </c>
      <c r="BJ257" s="2392">
        <v>521592627</v>
      </c>
      <c r="BN257" s="2390">
        <v>11111900</v>
      </c>
      <c r="BO257" s="2403" t="s">
        <v>4017</v>
      </c>
      <c r="BP257" s="2392">
        <v>7329214758</v>
      </c>
      <c r="BQ257" s="2392">
        <v>0</v>
      </c>
      <c r="BR257" s="2393">
        <v>0</v>
      </c>
      <c r="BS257" s="2394">
        <v>51241113</v>
      </c>
      <c r="BT257" s="2392">
        <v>0</v>
      </c>
      <c r="BU257" s="2392">
        <v>7380455871</v>
      </c>
      <c r="BV257" s="2395">
        <v>0</v>
      </c>
      <c r="BW257" s="2395">
        <v>0</v>
      </c>
      <c r="BX257" s="2392">
        <v>7380455871</v>
      </c>
    </row>
    <row r="258" spans="2:76">
      <c r="B258" s="2564">
        <v>11111901</v>
      </c>
      <c r="C258" s="2565" t="s">
        <v>4017</v>
      </c>
      <c r="D258" s="2566">
        <v>305564377</v>
      </c>
      <c r="E258" s="1080">
        <v>0</v>
      </c>
      <c r="F258" s="2567">
        <v>14177103</v>
      </c>
      <c r="G258" s="2568">
        <v>25717535</v>
      </c>
      <c r="H258" s="2566">
        <v>0</v>
      </c>
      <c r="I258" s="2566">
        <v>345459015</v>
      </c>
      <c r="J258" s="2569">
        <v>0</v>
      </c>
      <c r="K258" s="2569">
        <v>0</v>
      </c>
      <c r="L258" s="2566">
        <v>345459015</v>
      </c>
      <c r="N258" s="2396">
        <v>11111901</v>
      </c>
      <c r="O258" s="2397" t="s">
        <v>4017</v>
      </c>
      <c r="P258" s="2398">
        <v>253673963</v>
      </c>
      <c r="Q258" s="2179">
        <v>0</v>
      </c>
      <c r="R258" s="2399">
        <v>0</v>
      </c>
      <c r="S258" s="2400">
        <v>17615068</v>
      </c>
      <c r="T258" s="2398">
        <v>0</v>
      </c>
      <c r="U258" s="2398">
        <v>271289031</v>
      </c>
      <c r="V258" s="2401">
        <v>0</v>
      </c>
      <c r="W258" s="2401">
        <v>0</v>
      </c>
      <c r="X258" s="2398">
        <v>271289031</v>
      </c>
      <c r="Z258" s="2396">
        <v>11111901</v>
      </c>
      <c r="AA258" s="2397" t="s">
        <v>4017</v>
      </c>
      <c r="AB258" s="2398">
        <v>572874993</v>
      </c>
      <c r="AC258" s="2179">
        <v>0</v>
      </c>
      <c r="AD258" s="2399">
        <v>17161513</v>
      </c>
      <c r="AE258" s="2400">
        <v>30168767</v>
      </c>
      <c r="AF258" s="2398">
        <v>0</v>
      </c>
      <c r="AG258" s="2398">
        <v>620205273</v>
      </c>
      <c r="AH258" s="2401">
        <v>0</v>
      </c>
      <c r="AI258" s="2401">
        <v>0</v>
      </c>
      <c r="AJ258" s="2398">
        <v>620205273</v>
      </c>
      <c r="AZ258" s="2396">
        <v>11111901</v>
      </c>
      <c r="BA258" s="2397" t="s">
        <v>4017</v>
      </c>
      <c r="BB258" s="2398">
        <v>488038349</v>
      </c>
      <c r="BC258" s="2179">
        <v>0</v>
      </c>
      <c r="BD258" s="2399">
        <v>0</v>
      </c>
      <c r="BE258" s="2400">
        <v>33554278</v>
      </c>
      <c r="BF258" s="2398">
        <v>0</v>
      </c>
      <c r="BG258" s="2398">
        <v>521592627</v>
      </c>
      <c r="BH258" s="2401">
        <v>0</v>
      </c>
      <c r="BI258" s="2401">
        <v>0</v>
      </c>
      <c r="BJ258" s="2398">
        <v>521592627</v>
      </c>
      <c r="BN258" s="2396">
        <v>11111901</v>
      </c>
      <c r="BO258" s="2397" t="s">
        <v>4017</v>
      </c>
      <c r="BP258" s="2398">
        <v>7329214758</v>
      </c>
      <c r="BQ258" s="2179">
        <v>0</v>
      </c>
      <c r="BR258" s="2399">
        <v>0</v>
      </c>
      <c r="BS258" s="2400">
        <v>51241113</v>
      </c>
      <c r="BT258" s="2398">
        <v>0</v>
      </c>
      <c r="BU258" s="2398">
        <v>7380455871</v>
      </c>
      <c r="BV258" s="2401">
        <v>0</v>
      </c>
      <c r="BW258" s="2401">
        <v>0</v>
      </c>
      <c r="BX258" s="2398">
        <v>7380455871</v>
      </c>
    </row>
    <row r="259" spans="2:76">
      <c r="B259" s="2564">
        <v>11111902</v>
      </c>
      <c r="C259" s="2565" t="s">
        <v>4985</v>
      </c>
      <c r="D259" s="2566">
        <v>0</v>
      </c>
      <c r="E259" s="1080">
        <v>0</v>
      </c>
      <c r="F259" s="2567">
        <v>0</v>
      </c>
      <c r="G259" s="2568">
        <v>0</v>
      </c>
      <c r="H259" s="2566">
        <v>0</v>
      </c>
      <c r="I259" s="2566">
        <v>0</v>
      </c>
      <c r="J259" s="2569">
        <v>0</v>
      </c>
      <c r="K259" s="2569">
        <v>0</v>
      </c>
      <c r="L259" s="2566">
        <v>0</v>
      </c>
      <c r="N259" s="2396">
        <v>11111902</v>
      </c>
      <c r="O259" s="2397" t="s">
        <v>4018</v>
      </c>
      <c r="P259" s="2398">
        <v>0</v>
      </c>
      <c r="Q259" s="2179">
        <v>0</v>
      </c>
      <c r="R259" s="2399">
        <v>0</v>
      </c>
      <c r="S259" s="2400">
        <v>0</v>
      </c>
      <c r="T259" s="2398">
        <v>0</v>
      </c>
      <c r="U259" s="2398">
        <v>0</v>
      </c>
      <c r="V259" s="2401">
        <v>0</v>
      </c>
      <c r="W259" s="2401">
        <v>0</v>
      </c>
      <c r="X259" s="2398">
        <v>0</v>
      </c>
      <c r="Z259" s="2396">
        <v>11111902</v>
      </c>
      <c r="AA259" s="2397" t="s">
        <v>4018</v>
      </c>
      <c r="AB259" s="2398">
        <v>0</v>
      </c>
      <c r="AC259" s="2179">
        <v>0</v>
      </c>
      <c r="AD259" s="2399">
        <v>0</v>
      </c>
      <c r="AE259" s="2400">
        <v>0</v>
      </c>
      <c r="AF259" s="2398">
        <v>0</v>
      </c>
      <c r="AG259" s="2398">
        <v>0</v>
      </c>
      <c r="AH259" s="2401">
        <v>0</v>
      </c>
      <c r="AI259" s="2401">
        <v>0</v>
      </c>
      <c r="AJ259" s="2398">
        <v>0</v>
      </c>
      <c r="AZ259" s="2396">
        <v>11111902</v>
      </c>
      <c r="BA259" s="2397" t="s">
        <v>4018</v>
      </c>
      <c r="BB259" s="2398">
        <v>0</v>
      </c>
      <c r="BC259" s="2179">
        <v>0</v>
      </c>
      <c r="BD259" s="2399">
        <v>0</v>
      </c>
      <c r="BE259" s="2400">
        <v>0</v>
      </c>
      <c r="BF259" s="2398">
        <v>0</v>
      </c>
      <c r="BG259" s="2398">
        <v>0</v>
      </c>
      <c r="BH259" s="2401">
        <v>0</v>
      </c>
      <c r="BI259" s="2401">
        <v>0</v>
      </c>
      <c r="BJ259" s="2398">
        <v>0</v>
      </c>
      <c r="BN259" s="2396">
        <v>11111902</v>
      </c>
      <c r="BO259" s="2397" t="s">
        <v>4018</v>
      </c>
      <c r="BP259" s="2398">
        <v>0</v>
      </c>
      <c r="BQ259" s="2179">
        <v>0</v>
      </c>
      <c r="BR259" s="2399">
        <v>0</v>
      </c>
      <c r="BS259" s="2400">
        <v>0</v>
      </c>
      <c r="BT259" s="2398">
        <v>0</v>
      </c>
      <c r="BU259" s="2398">
        <v>0</v>
      </c>
      <c r="BV259" s="2401">
        <v>0</v>
      </c>
      <c r="BW259" s="2401">
        <v>0</v>
      </c>
      <c r="BX259" s="2398">
        <v>0</v>
      </c>
    </row>
    <row r="260" spans="2:76">
      <c r="B260" s="2552">
        <v>11120000</v>
      </c>
      <c r="C260" s="2570" t="s">
        <v>4019</v>
      </c>
      <c r="D260" s="2554">
        <v>0</v>
      </c>
      <c r="E260" s="2554">
        <v>0</v>
      </c>
      <c r="F260" s="2555">
        <v>0</v>
      </c>
      <c r="G260" s="2556">
        <v>-12933225</v>
      </c>
      <c r="H260" s="2554">
        <v>0</v>
      </c>
      <c r="I260" s="2554">
        <v>-12933225</v>
      </c>
      <c r="J260" s="2557">
        <v>0</v>
      </c>
      <c r="K260" s="2557">
        <v>0</v>
      </c>
      <c r="L260" s="2554">
        <v>-12933225</v>
      </c>
      <c r="N260" s="2384">
        <v>11120000</v>
      </c>
      <c r="O260" s="2402" t="s">
        <v>4019</v>
      </c>
      <c r="P260" s="2386">
        <v>238776488</v>
      </c>
      <c r="Q260" s="2386">
        <v>0</v>
      </c>
      <c r="R260" s="2387">
        <v>0</v>
      </c>
      <c r="S260" s="2388">
        <v>596766</v>
      </c>
      <c r="T260" s="2386">
        <v>0</v>
      </c>
      <c r="U260" s="2386">
        <v>239373254</v>
      </c>
      <c r="V260" s="2389">
        <v>0</v>
      </c>
      <c r="W260" s="2389">
        <v>0</v>
      </c>
      <c r="X260" s="2386">
        <v>239373254</v>
      </c>
      <c r="Z260" s="2384">
        <v>11120000</v>
      </c>
      <c r="AA260" s="2402" t="s">
        <v>4019</v>
      </c>
      <c r="AB260" s="2386">
        <v>4233111973</v>
      </c>
      <c r="AC260" s="2386">
        <v>0</v>
      </c>
      <c r="AD260" s="2387">
        <v>0</v>
      </c>
      <c r="AE260" s="2388">
        <v>10107775</v>
      </c>
      <c r="AF260" s="2386">
        <v>0</v>
      </c>
      <c r="AG260" s="2386">
        <v>4243219748</v>
      </c>
      <c r="AH260" s="2389">
        <v>0</v>
      </c>
      <c r="AI260" s="2389">
        <v>0</v>
      </c>
      <c r="AJ260" s="2386">
        <v>4243219748</v>
      </c>
      <c r="AZ260" s="2384">
        <v>11120000</v>
      </c>
      <c r="BA260" s="2402" t="s">
        <v>4019</v>
      </c>
      <c r="BB260" s="2386">
        <v>2310710947</v>
      </c>
      <c r="BC260" s="2386">
        <v>227003380</v>
      </c>
      <c r="BD260" s="2387">
        <v>0</v>
      </c>
      <c r="BE260" s="2388">
        <v>384936</v>
      </c>
      <c r="BF260" s="2386">
        <v>0</v>
      </c>
      <c r="BG260" s="2386">
        <v>2538099263</v>
      </c>
      <c r="BH260" s="2389">
        <v>0</v>
      </c>
      <c r="BI260" s="2389">
        <v>0</v>
      </c>
      <c r="BJ260" s="2386">
        <v>2538099263</v>
      </c>
      <c r="BN260" s="2384">
        <v>11120000</v>
      </c>
      <c r="BO260" s="2402" t="s">
        <v>4019</v>
      </c>
      <c r="BP260" s="2386">
        <v>1065340571</v>
      </c>
      <c r="BQ260" s="2386">
        <v>136421539</v>
      </c>
      <c r="BR260" s="2387">
        <v>0</v>
      </c>
      <c r="BS260" s="2388">
        <v>3565172</v>
      </c>
      <c r="BT260" s="2386">
        <v>0</v>
      </c>
      <c r="BU260" s="2386">
        <v>1205327282</v>
      </c>
      <c r="BV260" s="2389">
        <v>0</v>
      </c>
      <c r="BW260" s="2389">
        <v>0</v>
      </c>
      <c r="BX260" s="2386">
        <v>1205327282</v>
      </c>
    </row>
    <row r="261" spans="2:76">
      <c r="B261" s="2558">
        <v>11121000</v>
      </c>
      <c r="C261" s="2571" t="s">
        <v>4020</v>
      </c>
      <c r="D261" s="2560">
        <v>0</v>
      </c>
      <c r="E261" s="2560">
        <v>0</v>
      </c>
      <c r="F261" s="2561">
        <v>0</v>
      </c>
      <c r="G261" s="2562">
        <v>0</v>
      </c>
      <c r="H261" s="2560">
        <v>0</v>
      </c>
      <c r="I261" s="2560">
        <v>0</v>
      </c>
      <c r="J261" s="2563">
        <v>0</v>
      </c>
      <c r="K261" s="2563">
        <v>0</v>
      </c>
      <c r="L261" s="2560">
        <v>0</v>
      </c>
      <c r="N261" s="2390">
        <v>11121000</v>
      </c>
      <c r="O261" s="2403" t="s">
        <v>4020</v>
      </c>
      <c r="P261" s="2392">
        <v>0</v>
      </c>
      <c r="Q261" s="2392">
        <v>0</v>
      </c>
      <c r="R261" s="2393">
        <v>0</v>
      </c>
      <c r="S261" s="2394">
        <v>0</v>
      </c>
      <c r="T261" s="2392">
        <v>0</v>
      </c>
      <c r="U261" s="2392">
        <v>0</v>
      </c>
      <c r="V261" s="2395">
        <v>0</v>
      </c>
      <c r="W261" s="2395">
        <v>0</v>
      </c>
      <c r="X261" s="2392">
        <v>0</v>
      </c>
      <c r="Z261" s="2390">
        <v>11121000</v>
      </c>
      <c r="AA261" s="2403" t="s">
        <v>4020</v>
      </c>
      <c r="AB261" s="2392">
        <v>0</v>
      </c>
      <c r="AC261" s="2392">
        <v>0</v>
      </c>
      <c r="AD261" s="2393">
        <v>0</v>
      </c>
      <c r="AE261" s="2394">
        <v>0</v>
      </c>
      <c r="AF261" s="2392">
        <v>0</v>
      </c>
      <c r="AG261" s="2392">
        <v>0</v>
      </c>
      <c r="AH261" s="2395">
        <v>0</v>
      </c>
      <c r="AI261" s="2395">
        <v>0</v>
      </c>
      <c r="AJ261" s="2392">
        <v>0</v>
      </c>
      <c r="AZ261" s="2390">
        <v>11121000</v>
      </c>
      <c r="BA261" s="2403" t="s">
        <v>4020</v>
      </c>
      <c r="BB261" s="2392">
        <v>0</v>
      </c>
      <c r="BC261" s="2392">
        <v>0</v>
      </c>
      <c r="BD261" s="2393">
        <v>0</v>
      </c>
      <c r="BE261" s="2394">
        <v>0</v>
      </c>
      <c r="BF261" s="2392">
        <v>0</v>
      </c>
      <c r="BG261" s="2392">
        <v>0</v>
      </c>
      <c r="BH261" s="2395">
        <v>0</v>
      </c>
      <c r="BI261" s="2395">
        <v>0</v>
      </c>
      <c r="BJ261" s="2392">
        <v>0</v>
      </c>
      <c r="BN261" s="2390">
        <v>11121000</v>
      </c>
      <c r="BO261" s="2403" t="s">
        <v>4020</v>
      </c>
      <c r="BP261" s="2392">
        <v>0</v>
      </c>
      <c r="BQ261" s="2392">
        <v>0</v>
      </c>
      <c r="BR261" s="2393">
        <v>0</v>
      </c>
      <c r="BS261" s="2394">
        <v>0</v>
      </c>
      <c r="BT261" s="2392">
        <v>0</v>
      </c>
      <c r="BU261" s="2392">
        <v>0</v>
      </c>
      <c r="BV261" s="2395">
        <v>0</v>
      </c>
      <c r="BW261" s="2395">
        <v>0</v>
      </c>
      <c r="BX261" s="2392">
        <v>0</v>
      </c>
    </row>
    <row r="262" spans="2:76">
      <c r="B262" s="2564">
        <v>11121001</v>
      </c>
      <c r="C262" s="2565" t="s">
        <v>4021</v>
      </c>
      <c r="D262" s="2566">
        <v>0</v>
      </c>
      <c r="E262" s="1080">
        <v>0</v>
      </c>
      <c r="F262" s="2567">
        <v>0</v>
      </c>
      <c r="G262" s="2568">
        <v>0</v>
      </c>
      <c r="H262" s="2566">
        <v>0</v>
      </c>
      <c r="I262" s="2566">
        <v>0</v>
      </c>
      <c r="J262" s="2569">
        <v>0</v>
      </c>
      <c r="K262" s="2569">
        <v>0</v>
      </c>
      <c r="L262" s="2566">
        <v>0</v>
      </c>
      <c r="N262" s="2396">
        <v>11121001</v>
      </c>
      <c r="O262" s="2397" t="s">
        <v>4021</v>
      </c>
      <c r="P262" s="2398">
        <v>0</v>
      </c>
      <c r="Q262" s="2179">
        <v>0</v>
      </c>
      <c r="R262" s="2399">
        <v>0</v>
      </c>
      <c r="S262" s="2400">
        <v>0</v>
      </c>
      <c r="T262" s="2398">
        <v>0</v>
      </c>
      <c r="U262" s="2398">
        <v>0</v>
      </c>
      <c r="V262" s="2401">
        <v>0</v>
      </c>
      <c r="W262" s="2401">
        <v>0</v>
      </c>
      <c r="X262" s="2398">
        <v>0</v>
      </c>
      <c r="Z262" s="2396">
        <v>11121001</v>
      </c>
      <c r="AA262" s="2397" t="s">
        <v>4021</v>
      </c>
      <c r="AB262" s="2398">
        <v>0</v>
      </c>
      <c r="AC262" s="2179">
        <v>0</v>
      </c>
      <c r="AD262" s="2399">
        <v>0</v>
      </c>
      <c r="AE262" s="2400">
        <v>0</v>
      </c>
      <c r="AF262" s="2398">
        <v>0</v>
      </c>
      <c r="AG262" s="2398">
        <v>0</v>
      </c>
      <c r="AH262" s="2401">
        <v>0</v>
      </c>
      <c r="AI262" s="2401">
        <v>0</v>
      </c>
      <c r="AJ262" s="2398">
        <v>0</v>
      </c>
      <c r="AZ262" s="2396">
        <v>11121001</v>
      </c>
      <c r="BA262" s="2397" t="s">
        <v>4021</v>
      </c>
      <c r="BB262" s="2398">
        <v>0</v>
      </c>
      <c r="BC262" s="2179">
        <v>0</v>
      </c>
      <c r="BD262" s="2399">
        <v>0</v>
      </c>
      <c r="BE262" s="2400">
        <v>0</v>
      </c>
      <c r="BF262" s="2398">
        <v>0</v>
      </c>
      <c r="BG262" s="2398">
        <v>0</v>
      </c>
      <c r="BH262" s="2401">
        <v>0</v>
      </c>
      <c r="BI262" s="2401">
        <v>0</v>
      </c>
      <c r="BJ262" s="2398">
        <v>0</v>
      </c>
      <c r="BN262" s="2396">
        <v>11121001</v>
      </c>
      <c r="BO262" s="2397" t="s">
        <v>4021</v>
      </c>
      <c r="BP262" s="2398">
        <v>0</v>
      </c>
      <c r="BQ262" s="2179">
        <v>0</v>
      </c>
      <c r="BR262" s="2399">
        <v>0</v>
      </c>
      <c r="BS262" s="2400">
        <v>0</v>
      </c>
      <c r="BT262" s="2398">
        <v>0</v>
      </c>
      <c r="BU262" s="2398">
        <v>0</v>
      </c>
      <c r="BV262" s="2401">
        <v>0</v>
      </c>
      <c r="BW262" s="2401">
        <v>0</v>
      </c>
      <c r="BX262" s="2398">
        <v>0</v>
      </c>
    </row>
    <row r="263" spans="2:76">
      <c r="B263" s="2564">
        <v>11121002</v>
      </c>
      <c r="C263" s="2565" t="s">
        <v>4022</v>
      </c>
      <c r="D263" s="2566">
        <v>0</v>
      </c>
      <c r="E263" s="1080">
        <v>0</v>
      </c>
      <c r="F263" s="2567">
        <v>0</v>
      </c>
      <c r="G263" s="2568">
        <v>0</v>
      </c>
      <c r="H263" s="2566">
        <v>0</v>
      </c>
      <c r="I263" s="2566">
        <v>0</v>
      </c>
      <c r="J263" s="2569">
        <v>0</v>
      </c>
      <c r="K263" s="2569">
        <v>0</v>
      </c>
      <c r="L263" s="2566">
        <v>0</v>
      </c>
      <c r="N263" s="2396">
        <v>11121002</v>
      </c>
      <c r="O263" s="2397" t="s">
        <v>4022</v>
      </c>
      <c r="P263" s="2398">
        <v>0</v>
      </c>
      <c r="Q263" s="2179">
        <v>0</v>
      </c>
      <c r="R263" s="2399">
        <v>0</v>
      </c>
      <c r="S263" s="2400">
        <v>0</v>
      </c>
      <c r="T263" s="2398">
        <v>0</v>
      </c>
      <c r="U263" s="2398">
        <v>0</v>
      </c>
      <c r="V263" s="2401">
        <v>0</v>
      </c>
      <c r="W263" s="2401">
        <v>0</v>
      </c>
      <c r="X263" s="2398">
        <v>0</v>
      </c>
      <c r="Z263" s="2396">
        <v>11121002</v>
      </c>
      <c r="AA263" s="2397" t="s">
        <v>4022</v>
      </c>
      <c r="AB263" s="2398">
        <v>0</v>
      </c>
      <c r="AC263" s="2179">
        <v>0</v>
      </c>
      <c r="AD263" s="2399">
        <v>0</v>
      </c>
      <c r="AE263" s="2400">
        <v>0</v>
      </c>
      <c r="AF263" s="2398">
        <v>0</v>
      </c>
      <c r="AG263" s="2398">
        <v>0</v>
      </c>
      <c r="AH263" s="2401">
        <v>0</v>
      </c>
      <c r="AI263" s="2401">
        <v>0</v>
      </c>
      <c r="AJ263" s="2398">
        <v>0</v>
      </c>
      <c r="AZ263" s="2396">
        <v>11121002</v>
      </c>
      <c r="BA263" s="2397" t="s">
        <v>4022</v>
      </c>
      <c r="BB263" s="2398">
        <v>0</v>
      </c>
      <c r="BC263" s="2179">
        <v>0</v>
      </c>
      <c r="BD263" s="2399">
        <v>0</v>
      </c>
      <c r="BE263" s="2400">
        <v>0</v>
      </c>
      <c r="BF263" s="2398">
        <v>0</v>
      </c>
      <c r="BG263" s="2398">
        <v>0</v>
      </c>
      <c r="BH263" s="2401">
        <v>0</v>
      </c>
      <c r="BI263" s="2401">
        <v>0</v>
      </c>
      <c r="BJ263" s="2398">
        <v>0</v>
      </c>
      <c r="BN263" s="2396">
        <v>11121002</v>
      </c>
      <c r="BO263" s="2397" t="s">
        <v>4022</v>
      </c>
      <c r="BP263" s="2398">
        <v>0</v>
      </c>
      <c r="BQ263" s="2179">
        <v>0</v>
      </c>
      <c r="BR263" s="2399">
        <v>0</v>
      </c>
      <c r="BS263" s="2400">
        <v>0</v>
      </c>
      <c r="BT263" s="2398">
        <v>0</v>
      </c>
      <c r="BU263" s="2398">
        <v>0</v>
      </c>
      <c r="BV263" s="2401">
        <v>0</v>
      </c>
      <c r="BW263" s="2401">
        <v>0</v>
      </c>
      <c r="BX263" s="2398">
        <v>0</v>
      </c>
    </row>
    <row r="264" spans="2:76">
      <c r="B264" s="2564">
        <v>11121003</v>
      </c>
      <c r="C264" s="2565" t="s">
        <v>4023</v>
      </c>
      <c r="D264" s="2566">
        <v>0</v>
      </c>
      <c r="E264" s="1080">
        <v>0</v>
      </c>
      <c r="F264" s="2567">
        <v>0</v>
      </c>
      <c r="G264" s="2568">
        <v>0</v>
      </c>
      <c r="H264" s="2566">
        <v>0</v>
      </c>
      <c r="I264" s="2566">
        <v>0</v>
      </c>
      <c r="J264" s="2569">
        <v>0</v>
      </c>
      <c r="K264" s="2569">
        <v>0</v>
      </c>
      <c r="L264" s="2566">
        <v>0</v>
      </c>
      <c r="N264" s="2396">
        <v>11121003</v>
      </c>
      <c r="O264" s="2397" t="s">
        <v>4023</v>
      </c>
      <c r="P264" s="2398">
        <v>0</v>
      </c>
      <c r="Q264" s="2179">
        <v>0</v>
      </c>
      <c r="R264" s="2399">
        <v>0</v>
      </c>
      <c r="S264" s="2400">
        <v>0</v>
      </c>
      <c r="T264" s="2398">
        <v>0</v>
      </c>
      <c r="U264" s="2398">
        <v>0</v>
      </c>
      <c r="V264" s="2401">
        <v>0</v>
      </c>
      <c r="W264" s="2401">
        <v>0</v>
      </c>
      <c r="X264" s="2398">
        <v>0</v>
      </c>
      <c r="Z264" s="2396">
        <v>11121003</v>
      </c>
      <c r="AA264" s="2397" t="s">
        <v>4023</v>
      </c>
      <c r="AB264" s="2398">
        <v>0</v>
      </c>
      <c r="AC264" s="2179">
        <v>0</v>
      </c>
      <c r="AD264" s="2399">
        <v>0</v>
      </c>
      <c r="AE264" s="2400">
        <v>0</v>
      </c>
      <c r="AF264" s="2398">
        <v>0</v>
      </c>
      <c r="AG264" s="2398">
        <v>0</v>
      </c>
      <c r="AH264" s="2401">
        <v>0</v>
      </c>
      <c r="AI264" s="2401">
        <v>0</v>
      </c>
      <c r="AJ264" s="2398">
        <v>0</v>
      </c>
      <c r="AZ264" s="2396">
        <v>11121003</v>
      </c>
      <c r="BA264" s="2397" t="s">
        <v>4023</v>
      </c>
      <c r="BB264" s="2398">
        <v>0</v>
      </c>
      <c r="BC264" s="2179">
        <v>0</v>
      </c>
      <c r="BD264" s="2399">
        <v>0</v>
      </c>
      <c r="BE264" s="2400">
        <v>0</v>
      </c>
      <c r="BF264" s="2398">
        <v>0</v>
      </c>
      <c r="BG264" s="2398">
        <v>0</v>
      </c>
      <c r="BH264" s="2401">
        <v>0</v>
      </c>
      <c r="BI264" s="2401">
        <v>0</v>
      </c>
      <c r="BJ264" s="2398">
        <v>0</v>
      </c>
      <c r="BN264" s="2396">
        <v>11121003</v>
      </c>
      <c r="BO264" s="2397" t="s">
        <v>4023</v>
      </c>
      <c r="BP264" s="2398">
        <v>0</v>
      </c>
      <c r="BQ264" s="2179">
        <v>0</v>
      </c>
      <c r="BR264" s="2399">
        <v>0</v>
      </c>
      <c r="BS264" s="2400">
        <v>0</v>
      </c>
      <c r="BT264" s="2398">
        <v>0</v>
      </c>
      <c r="BU264" s="2398">
        <v>0</v>
      </c>
      <c r="BV264" s="2401">
        <v>0</v>
      </c>
      <c r="BW264" s="2401">
        <v>0</v>
      </c>
      <c r="BX264" s="2398">
        <v>0</v>
      </c>
    </row>
    <row r="265" spans="2:76">
      <c r="B265" s="2564">
        <v>11121004</v>
      </c>
      <c r="C265" s="2565" t="s">
        <v>4024</v>
      </c>
      <c r="D265" s="2566">
        <v>0</v>
      </c>
      <c r="E265" s="1080">
        <v>0</v>
      </c>
      <c r="F265" s="2567">
        <v>0</v>
      </c>
      <c r="G265" s="2568">
        <v>0</v>
      </c>
      <c r="H265" s="2566">
        <v>0</v>
      </c>
      <c r="I265" s="2566">
        <v>0</v>
      </c>
      <c r="J265" s="2569">
        <v>0</v>
      </c>
      <c r="K265" s="2569">
        <v>0</v>
      </c>
      <c r="L265" s="2566">
        <v>0</v>
      </c>
      <c r="N265" s="2396">
        <v>11121004</v>
      </c>
      <c r="O265" s="2397" t="s">
        <v>4024</v>
      </c>
      <c r="P265" s="2398">
        <v>0</v>
      </c>
      <c r="Q265" s="2179">
        <v>0</v>
      </c>
      <c r="R265" s="2399">
        <v>0</v>
      </c>
      <c r="S265" s="2400">
        <v>0</v>
      </c>
      <c r="T265" s="2398">
        <v>0</v>
      </c>
      <c r="U265" s="2398">
        <v>0</v>
      </c>
      <c r="V265" s="2401">
        <v>0</v>
      </c>
      <c r="W265" s="2401">
        <v>0</v>
      </c>
      <c r="X265" s="2398">
        <v>0</v>
      </c>
      <c r="Z265" s="2396">
        <v>11121004</v>
      </c>
      <c r="AA265" s="2397" t="s">
        <v>4024</v>
      </c>
      <c r="AB265" s="2398">
        <v>0</v>
      </c>
      <c r="AC265" s="2179">
        <v>0</v>
      </c>
      <c r="AD265" s="2399">
        <v>0</v>
      </c>
      <c r="AE265" s="2400">
        <v>0</v>
      </c>
      <c r="AF265" s="2398">
        <v>0</v>
      </c>
      <c r="AG265" s="2398">
        <v>0</v>
      </c>
      <c r="AH265" s="2401">
        <v>0</v>
      </c>
      <c r="AI265" s="2401">
        <v>0</v>
      </c>
      <c r="AJ265" s="2398">
        <v>0</v>
      </c>
      <c r="AZ265" s="2396">
        <v>11121004</v>
      </c>
      <c r="BA265" s="2397" t="s">
        <v>4024</v>
      </c>
      <c r="BB265" s="2398">
        <v>0</v>
      </c>
      <c r="BC265" s="2179">
        <v>0</v>
      </c>
      <c r="BD265" s="2399">
        <v>0</v>
      </c>
      <c r="BE265" s="2400">
        <v>0</v>
      </c>
      <c r="BF265" s="2398">
        <v>0</v>
      </c>
      <c r="BG265" s="2398">
        <v>0</v>
      </c>
      <c r="BH265" s="2401">
        <v>0</v>
      </c>
      <c r="BI265" s="2401">
        <v>0</v>
      </c>
      <c r="BJ265" s="2398">
        <v>0</v>
      </c>
      <c r="BN265" s="2396">
        <v>11121004</v>
      </c>
      <c r="BO265" s="2397" t="s">
        <v>4024</v>
      </c>
      <c r="BP265" s="2398">
        <v>0</v>
      </c>
      <c r="BQ265" s="2179">
        <v>0</v>
      </c>
      <c r="BR265" s="2399">
        <v>0</v>
      </c>
      <c r="BS265" s="2400">
        <v>0</v>
      </c>
      <c r="BT265" s="2398">
        <v>0</v>
      </c>
      <c r="BU265" s="2398">
        <v>0</v>
      </c>
      <c r="BV265" s="2401">
        <v>0</v>
      </c>
      <c r="BW265" s="2401">
        <v>0</v>
      </c>
      <c r="BX265" s="2398">
        <v>0</v>
      </c>
    </row>
    <row r="266" spans="2:76">
      <c r="B266" s="2558">
        <v>11121100</v>
      </c>
      <c r="C266" s="2571" t="s">
        <v>4025</v>
      </c>
      <c r="D266" s="2560">
        <v>0</v>
      </c>
      <c r="E266" s="2560">
        <v>0</v>
      </c>
      <c r="F266" s="2561">
        <v>0</v>
      </c>
      <c r="G266" s="2562">
        <v>0</v>
      </c>
      <c r="H266" s="2560">
        <v>0</v>
      </c>
      <c r="I266" s="2560">
        <v>0</v>
      </c>
      <c r="J266" s="2563">
        <v>0</v>
      </c>
      <c r="K266" s="2563">
        <v>0</v>
      </c>
      <c r="L266" s="2560">
        <v>0</v>
      </c>
      <c r="N266" s="2390">
        <v>11121100</v>
      </c>
      <c r="O266" s="2403" t="s">
        <v>4025</v>
      </c>
      <c r="P266" s="2392">
        <v>0</v>
      </c>
      <c r="Q266" s="2392">
        <v>0</v>
      </c>
      <c r="R266" s="2393">
        <v>0</v>
      </c>
      <c r="S266" s="2394">
        <v>0</v>
      </c>
      <c r="T266" s="2392">
        <v>0</v>
      </c>
      <c r="U266" s="2392">
        <v>0</v>
      </c>
      <c r="V266" s="2395">
        <v>0</v>
      </c>
      <c r="W266" s="2395">
        <v>0</v>
      </c>
      <c r="X266" s="2392">
        <v>0</v>
      </c>
      <c r="Z266" s="2390">
        <v>11121100</v>
      </c>
      <c r="AA266" s="2403" t="s">
        <v>4025</v>
      </c>
      <c r="AB266" s="2392">
        <v>0</v>
      </c>
      <c r="AC266" s="2392">
        <v>0</v>
      </c>
      <c r="AD266" s="2393">
        <v>0</v>
      </c>
      <c r="AE266" s="2394">
        <v>0</v>
      </c>
      <c r="AF266" s="2392">
        <v>0</v>
      </c>
      <c r="AG266" s="2392">
        <v>0</v>
      </c>
      <c r="AH266" s="2395">
        <v>0</v>
      </c>
      <c r="AI266" s="2395">
        <v>0</v>
      </c>
      <c r="AJ266" s="2392">
        <v>0</v>
      </c>
      <c r="AZ266" s="2390">
        <v>11121100</v>
      </c>
      <c r="BA266" s="2403" t="s">
        <v>4025</v>
      </c>
      <c r="BB266" s="2392">
        <v>0</v>
      </c>
      <c r="BC266" s="2392">
        <v>0</v>
      </c>
      <c r="BD266" s="2393">
        <v>0</v>
      </c>
      <c r="BE266" s="2394">
        <v>0</v>
      </c>
      <c r="BF266" s="2392">
        <v>0</v>
      </c>
      <c r="BG266" s="2392">
        <v>0</v>
      </c>
      <c r="BH266" s="2395">
        <v>0</v>
      </c>
      <c r="BI266" s="2395">
        <v>0</v>
      </c>
      <c r="BJ266" s="2392">
        <v>0</v>
      </c>
      <c r="BN266" s="2390">
        <v>11121100</v>
      </c>
      <c r="BO266" s="2403" t="s">
        <v>4025</v>
      </c>
      <c r="BP266" s="2392">
        <v>0</v>
      </c>
      <c r="BQ266" s="2392">
        <v>0</v>
      </c>
      <c r="BR266" s="2393">
        <v>0</v>
      </c>
      <c r="BS266" s="2394">
        <v>0</v>
      </c>
      <c r="BT266" s="2392">
        <v>0</v>
      </c>
      <c r="BU266" s="2392">
        <v>0</v>
      </c>
      <c r="BV266" s="2395">
        <v>0</v>
      </c>
      <c r="BW266" s="2395">
        <v>0</v>
      </c>
      <c r="BX266" s="2392">
        <v>0</v>
      </c>
    </row>
    <row r="267" spans="2:76">
      <c r="B267" s="2564">
        <v>11121101</v>
      </c>
      <c r="C267" s="2565" t="s">
        <v>4025</v>
      </c>
      <c r="D267" s="2566">
        <v>0</v>
      </c>
      <c r="E267" s="1080">
        <v>0</v>
      </c>
      <c r="F267" s="2567">
        <v>0</v>
      </c>
      <c r="G267" s="2568">
        <v>0</v>
      </c>
      <c r="H267" s="2566">
        <v>0</v>
      </c>
      <c r="I267" s="2566">
        <v>0</v>
      </c>
      <c r="J267" s="2569">
        <v>0</v>
      </c>
      <c r="K267" s="2569">
        <v>0</v>
      </c>
      <c r="L267" s="2566">
        <v>0</v>
      </c>
      <c r="N267" s="2396">
        <v>11121101</v>
      </c>
      <c r="O267" s="2397" t="s">
        <v>4025</v>
      </c>
      <c r="P267" s="2398">
        <v>0</v>
      </c>
      <c r="Q267" s="2179">
        <v>0</v>
      </c>
      <c r="R267" s="2399">
        <v>0</v>
      </c>
      <c r="S267" s="2400">
        <v>0</v>
      </c>
      <c r="T267" s="2398">
        <v>0</v>
      </c>
      <c r="U267" s="2398">
        <v>0</v>
      </c>
      <c r="V267" s="2401">
        <v>0</v>
      </c>
      <c r="W267" s="2401">
        <v>0</v>
      </c>
      <c r="X267" s="2398">
        <v>0</v>
      </c>
      <c r="Z267" s="2396">
        <v>11121101</v>
      </c>
      <c r="AA267" s="2397" t="s">
        <v>4025</v>
      </c>
      <c r="AB267" s="2398">
        <v>0</v>
      </c>
      <c r="AC267" s="2179">
        <v>0</v>
      </c>
      <c r="AD267" s="2399">
        <v>0</v>
      </c>
      <c r="AE267" s="2400">
        <v>0</v>
      </c>
      <c r="AF267" s="2398">
        <v>0</v>
      </c>
      <c r="AG267" s="2398">
        <v>0</v>
      </c>
      <c r="AH267" s="2401">
        <v>0</v>
      </c>
      <c r="AI267" s="2401">
        <v>0</v>
      </c>
      <c r="AJ267" s="2398">
        <v>0</v>
      </c>
      <c r="AZ267" s="2396">
        <v>11121101</v>
      </c>
      <c r="BA267" s="2397" t="s">
        <v>4025</v>
      </c>
      <c r="BB267" s="2398">
        <v>0</v>
      </c>
      <c r="BC267" s="2179">
        <v>0</v>
      </c>
      <c r="BD267" s="2399">
        <v>0</v>
      </c>
      <c r="BE267" s="2400">
        <v>0</v>
      </c>
      <c r="BF267" s="2398">
        <v>0</v>
      </c>
      <c r="BG267" s="2398">
        <v>0</v>
      </c>
      <c r="BH267" s="2401">
        <v>0</v>
      </c>
      <c r="BI267" s="2401">
        <v>0</v>
      </c>
      <c r="BJ267" s="2398">
        <v>0</v>
      </c>
      <c r="BN267" s="2396">
        <v>11121101</v>
      </c>
      <c r="BO267" s="2397" t="s">
        <v>4025</v>
      </c>
      <c r="BP267" s="2398">
        <v>0</v>
      </c>
      <c r="BQ267" s="2179">
        <v>0</v>
      </c>
      <c r="BR267" s="2399">
        <v>0</v>
      </c>
      <c r="BS267" s="2400">
        <v>0</v>
      </c>
      <c r="BT267" s="2398">
        <v>0</v>
      </c>
      <c r="BU267" s="2398">
        <v>0</v>
      </c>
      <c r="BV267" s="2401">
        <v>0</v>
      </c>
      <c r="BW267" s="2401">
        <v>0</v>
      </c>
      <c r="BX267" s="2398">
        <v>0</v>
      </c>
    </row>
    <row r="268" spans="2:76">
      <c r="B268" s="2558">
        <v>11121200</v>
      </c>
      <c r="C268" s="2571" t="s">
        <v>4026</v>
      </c>
      <c r="D268" s="2560">
        <v>0</v>
      </c>
      <c r="E268" s="2560">
        <v>0</v>
      </c>
      <c r="F268" s="2561">
        <v>0</v>
      </c>
      <c r="G268" s="2562">
        <v>-12933225</v>
      </c>
      <c r="H268" s="2560">
        <v>0</v>
      </c>
      <c r="I268" s="2560">
        <v>-12933225</v>
      </c>
      <c r="J268" s="2563">
        <v>0</v>
      </c>
      <c r="K268" s="2563">
        <v>0</v>
      </c>
      <c r="L268" s="2560">
        <v>-12933225</v>
      </c>
      <c r="N268" s="2390">
        <v>11121200</v>
      </c>
      <c r="O268" s="2403" t="s">
        <v>4026</v>
      </c>
      <c r="P268" s="2392">
        <v>238776488</v>
      </c>
      <c r="Q268" s="2392">
        <v>0</v>
      </c>
      <c r="R268" s="2393">
        <v>0</v>
      </c>
      <c r="S268" s="2394">
        <v>596766</v>
      </c>
      <c r="T268" s="2392">
        <v>0</v>
      </c>
      <c r="U268" s="2392">
        <v>239373254</v>
      </c>
      <c r="V268" s="2395">
        <v>0</v>
      </c>
      <c r="W268" s="2395">
        <v>0</v>
      </c>
      <c r="X268" s="2392">
        <v>239373254</v>
      </c>
      <c r="Z268" s="2390">
        <v>11121200</v>
      </c>
      <c r="AA268" s="2403" t="s">
        <v>4026</v>
      </c>
      <c r="AB268" s="2392">
        <v>4233111973</v>
      </c>
      <c r="AC268" s="2392">
        <v>0</v>
      </c>
      <c r="AD268" s="2393">
        <v>0</v>
      </c>
      <c r="AE268" s="2394">
        <v>10107775</v>
      </c>
      <c r="AF268" s="2392">
        <v>0</v>
      </c>
      <c r="AG268" s="2392">
        <v>4243219748</v>
      </c>
      <c r="AH268" s="2395">
        <v>0</v>
      </c>
      <c r="AI268" s="2395">
        <v>0</v>
      </c>
      <c r="AJ268" s="2392">
        <v>4243219748</v>
      </c>
      <c r="AZ268" s="2390">
        <v>11121200</v>
      </c>
      <c r="BA268" s="2403" t="s">
        <v>4026</v>
      </c>
      <c r="BB268" s="2392">
        <v>2310710947</v>
      </c>
      <c r="BC268" s="2392">
        <v>227003380</v>
      </c>
      <c r="BD268" s="2393">
        <v>0</v>
      </c>
      <c r="BE268" s="2394">
        <v>384936</v>
      </c>
      <c r="BF268" s="2392">
        <v>0</v>
      </c>
      <c r="BG268" s="2392">
        <v>2538099263</v>
      </c>
      <c r="BH268" s="2395">
        <v>0</v>
      </c>
      <c r="BI268" s="2395">
        <v>0</v>
      </c>
      <c r="BJ268" s="2392">
        <v>2538099263</v>
      </c>
      <c r="BN268" s="2390">
        <v>11121200</v>
      </c>
      <c r="BO268" s="2403" t="s">
        <v>4026</v>
      </c>
      <c r="BP268" s="2392">
        <v>1065340571</v>
      </c>
      <c r="BQ268" s="2392">
        <v>136421539</v>
      </c>
      <c r="BR268" s="2393">
        <v>0</v>
      </c>
      <c r="BS268" s="2394">
        <v>3565172</v>
      </c>
      <c r="BT268" s="2392">
        <v>0</v>
      </c>
      <c r="BU268" s="2392">
        <v>1205327282</v>
      </c>
      <c r="BV268" s="2395">
        <v>0</v>
      </c>
      <c r="BW268" s="2395">
        <v>0</v>
      </c>
      <c r="BX268" s="2392">
        <v>1205327282</v>
      </c>
    </row>
    <row r="269" spans="2:76">
      <c r="B269" s="2564">
        <v>11121201</v>
      </c>
      <c r="C269" s="2565" t="s">
        <v>4986</v>
      </c>
      <c r="D269" s="2566">
        <v>0</v>
      </c>
      <c r="E269" s="1080">
        <v>0</v>
      </c>
      <c r="F269" s="2567">
        <v>0</v>
      </c>
      <c r="G269" s="2568">
        <v>-12933225</v>
      </c>
      <c r="H269" s="2566">
        <v>0</v>
      </c>
      <c r="I269" s="2566">
        <v>-12933225</v>
      </c>
      <c r="J269" s="2569">
        <v>0</v>
      </c>
      <c r="K269" s="2569">
        <v>0</v>
      </c>
      <c r="L269" s="2566">
        <v>-12933225</v>
      </c>
      <c r="N269" s="2396">
        <v>11121201</v>
      </c>
      <c r="O269" s="2397" t="s">
        <v>4027</v>
      </c>
      <c r="P269" s="2398">
        <v>238776488</v>
      </c>
      <c r="Q269" s="2179">
        <v>0</v>
      </c>
      <c r="R269" s="2399">
        <v>0</v>
      </c>
      <c r="S269" s="2400">
        <v>596766</v>
      </c>
      <c r="T269" s="2398">
        <v>0</v>
      </c>
      <c r="U269" s="2398">
        <v>239373254</v>
      </c>
      <c r="V269" s="2401">
        <v>0</v>
      </c>
      <c r="W269" s="2401">
        <v>0</v>
      </c>
      <c r="X269" s="2398">
        <v>239373254</v>
      </c>
      <c r="Z269" s="2396">
        <v>11121201</v>
      </c>
      <c r="AA269" s="2397" t="s">
        <v>4027</v>
      </c>
      <c r="AB269" s="2398">
        <v>4178238693</v>
      </c>
      <c r="AC269" s="2179">
        <v>0</v>
      </c>
      <c r="AD269" s="2399">
        <v>0</v>
      </c>
      <c r="AE269" s="2400">
        <v>10107775</v>
      </c>
      <c r="AF269" s="2398">
        <v>0</v>
      </c>
      <c r="AG269" s="2398">
        <v>4188346468</v>
      </c>
      <c r="AH269" s="2401">
        <v>0</v>
      </c>
      <c r="AI269" s="2401">
        <v>0</v>
      </c>
      <c r="AJ269" s="2398">
        <v>4188346468</v>
      </c>
      <c r="AZ269" s="2396">
        <v>11121201</v>
      </c>
      <c r="BA269" s="2397" t="s">
        <v>4027</v>
      </c>
      <c r="BB269" s="2398">
        <v>2310710947</v>
      </c>
      <c r="BC269" s="2179">
        <v>227003380</v>
      </c>
      <c r="BD269" s="2399">
        <v>0</v>
      </c>
      <c r="BE269" s="2400">
        <v>384936</v>
      </c>
      <c r="BF269" s="2398">
        <v>0</v>
      </c>
      <c r="BG269" s="2398">
        <v>2538099263</v>
      </c>
      <c r="BH269" s="2401">
        <v>0</v>
      </c>
      <c r="BI269" s="2401">
        <v>0</v>
      </c>
      <c r="BJ269" s="2398">
        <v>2538099263</v>
      </c>
      <c r="BN269" s="2396">
        <v>11121201</v>
      </c>
      <c r="BO269" s="2397" t="s">
        <v>4027</v>
      </c>
      <c r="BP269" s="2398">
        <v>1065340571</v>
      </c>
      <c r="BQ269" s="2179">
        <v>136421539</v>
      </c>
      <c r="BR269" s="2399">
        <v>0</v>
      </c>
      <c r="BS269" s="2400">
        <v>3565172</v>
      </c>
      <c r="BT269" s="2398">
        <v>0</v>
      </c>
      <c r="BU269" s="2398">
        <v>1205327282</v>
      </c>
      <c r="BV269" s="2401">
        <v>0</v>
      </c>
      <c r="BW269" s="2401">
        <v>0</v>
      </c>
      <c r="BX269" s="2398">
        <v>1205327282</v>
      </c>
    </row>
    <row r="270" spans="2:76">
      <c r="B270" s="2564">
        <v>11121202</v>
      </c>
      <c r="C270" s="2565" t="s">
        <v>4987</v>
      </c>
      <c r="D270" s="2566">
        <v>0</v>
      </c>
      <c r="E270" s="1080">
        <v>0</v>
      </c>
      <c r="F270" s="2567">
        <v>0</v>
      </c>
      <c r="G270" s="2568">
        <v>0</v>
      </c>
      <c r="H270" s="2566">
        <v>0</v>
      </c>
      <c r="I270" s="2566">
        <v>0</v>
      </c>
      <c r="J270" s="2569">
        <v>0</v>
      </c>
      <c r="K270" s="2569">
        <v>0</v>
      </c>
      <c r="L270" s="2566">
        <v>0</v>
      </c>
      <c r="N270" s="2396">
        <v>11121202</v>
      </c>
      <c r="O270" s="2397" t="s">
        <v>4028</v>
      </c>
      <c r="P270" s="2398">
        <v>0</v>
      </c>
      <c r="Q270" s="2179">
        <v>0</v>
      </c>
      <c r="R270" s="2399">
        <v>0</v>
      </c>
      <c r="S270" s="2400">
        <v>0</v>
      </c>
      <c r="T270" s="2398">
        <v>0</v>
      </c>
      <c r="U270" s="2398">
        <v>0</v>
      </c>
      <c r="V270" s="2401">
        <v>0</v>
      </c>
      <c r="W270" s="2401">
        <v>0</v>
      </c>
      <c r="X270" s="2398">
        <v>0</v>
      </c>
      <c r="Z270" s="2396">
        <v>11121202</v>
      </c>
      <c r="AA270" s="2397" t="s">
        <v>4028</v>
      </c>
      <c r="AB270" s="2398">
        <v>54873280</v>
      </c>
      <c r="AC270" s="2179">
        <v>0</v>
      </c>
      <c r="AD270" s="2399">
        <v>0</v>
      </c>
      <c r="AE270" s="2400">
        <v>0</v>
      </c>
      <c r="AF270" s="2398">
        <v>0</v>
      </c>
      <c r="AG270" s="2398">
        <v>54873280</v>
      </c>
      <c r="AH270" s="2401">
        <v>0</v>
      </c>
      <c r="AI270" s="2401">
        <v>0</v>
      </c>
      <c r="AJ270" s="2398">
        <v>54873280</v>
      </c>
      <c r="AZ270" s="2396">
        <v>11121202</v>
      </c>
      <c r="BA270" s="2397" t="s">
        <v>4028</v>
      </c>
      <c r="BB270" s="2398">
        <v>0</v>
      </c>
      <c r="BC270" s="2179">
        <v>0</v>
      </c>
      <c r="BD270" s="2399">
        <v>0</v>
      </c>
      <c r="BE270" s="2400">
        <v>0</v>
      </c>
      <c r="BF270" s="2398">
        <v>0</v>
      </c>
      <c r="BG270" s="2398">
        <v>0</v>
      </c>
      <c r="BH270" s="2401">
        <v>0</v>
      </c>
      <c r="BI270" s="2401">
        <v>0</v>
      </c>
      <c r="BJ270" s="2398">
        <v>0</v>
      </c>
      <c r="BN270" s="2396">
        <v>11121202</v>
      </c>
      <c r="BO270" s="2397" t="s">
        <v>4028</v>
      </c>
      <c r="BP270" s="2398">
        <v>0</v>
      </c>
      <c r="BQ270" s="2179">
        <v>0</v>
      </c>
      <c r="BR270" s="2399">
        <v>0</v>
      </c>
      <c r="BS270" s="2400">
        <v>0</v>
      </c>
      <c r="BT270" s="2398">
        <v>0</v>
      </c>
      <c r="BU270" s="2398">
        <v>0</v>
      </c>
      <c r="BV270" s="2401">
        <v>0</v>
      </c>
      <c r="BW270" s="2401">
        <v>0</v>
      </c>
      <c r="BX270" s="2398">
        <v>0</v>
      </c>
    </row>
    <row r="271" spans="2:76">
      <c r="B271" s="2552">
        <v>11130000</v>
      </c>
      <c r="C271" s="2570" t="s">
        <v>4029</v>
      </c>
      <c r="D271" s="2554">
        <v>0</v>
      </c>
      <c r="E271" s="2554">
        <v>0</v>
      </c>
      <c r="F271" s="2555">
        <v>0</v>
      </c>
      <c r="G271" s="2556">
        <v>0</v>
      </c>
      <c r="H271" s="2554">
        <v>0</v>
      </c>
      <c r="I271" s="2554">
        <v>0</v>
      </c>
      <c r="J271" s="2557">
        <v>0</v>
      </c>
      <c r="K271" s="2557">
        <v>0</v>
      </c>
      <c r="L271" s="2554">
        <v>0</v>
      </c>
      <c r="N271" s="2384">
        <v>11130000</v>
      </c>
      <c r="O271" s="2402" t="s">
        <v>4029</v>
      </c>
      <c r="P271" s="2386">
        <v>0</v>
      </c>
      <c r="Q271" s="2386">
        <v>0</v>
      </c>
      <c r="R271" s="2387">
        <v>0</v>
      </c>
      <c r="S271" s="2388">
        <v>0</v>
      </c>
      <c r="T271" s="2386">
        <v>0</v>
      </c>
      <c r="U271" s="2386">
        <v>0</v>
      </c>
      <c r="V271" s="2389">
        <v>0</v>
      </c>
      <c r="W271" s="2389">
        <v>0</v>
      </c>
      <c r="X271" s="2386">
        <v>0</v>
      </c>
      <c r="Z271" s="2384">
        <v>11130000</v>
      </c>
      <c r="AA271" s="2402" t="s">
        <v>4029</v>
      </c>
      <c r="AB271" s="2386">
        <v>0</v>
      </c>
      <c r="AC271" s="2386">
        <v>0</v>
      </c>
      <c r="AD271" s="2387">
        <v>0</v>
      </c>
      <c r="AE271" s="2388">
        <v>0</v>
      </c>
      <c r="AF271" s="2386">
        <v>0</v>
      </c>
      <c r="AG271" s="2386">
        <v>0</v>
      </c>
      <c r="AH271" s="2389">
        <v>0</v>
      </c>
      <c r="AI271" s="2389">
        <v>0</v>
      </c>
      <c r="AJ271" s="2386">
        <v>0</v>
      </c>
      <c r="AZ271" s="2384">
        <v>11130000</v>
      </c>
      <c r="BA271" s="2402" t="s">
        <v>4029</v>
      </c>
      <c r="BB271" s="2386">
        <v>0</v>
      </c>
      <c r="BC271" s="2386">
        <v>0</v>
      </c>
      <c r="BD271" s="2387">
        <v>0</v>
      </c>
      <c r="BE271" s="2388">
        <v>0</v>
      </c>
      <c r="BF271" s="2386">
        <v>0</v>
      </c>
      <c r="BG271" s="2386">
        <v>0</v>
      </c>
      <c r="BH271" s="2389">
        <v>0</v>
      </c>
      <c r="BI271" s="2389">
        <v>0</v>
      </c>
      <c r="BJ271" s="2386">
        <v>0</v>
      </c>
      <c r="BN271" s="2384">
        <v>11130000</v>
      </c>
      <c r="BO271" s="2402" t="s">
        <v>4029</v>
      </c>
      <c r="BP271" s="2386">
        <v>0</v>
      </c>
      <c r="BQ271" s="2386">
        <v>0</v>
      </c>
      <c r="BR271" s="2387">
        <v>0</v>
      </c>
      <c r="BS271" s="2388">
        <v>0</v>
      </c>
      <c r="BT271" s="2386">
        <v>0</v>
      </c>
      <c r="BU271" s="2386">
        <v>0</v>
      </c>
      <c r="BV271" s="2389">
        <v>0</v>
      </c>
      <c r="BW271" s="2389">
        <v>0</v>
      </c>
      <c r="BX271" s="2386">
        <v>0</v>
      </c>
    </row>
    <row r="272" spans="2:76">
      <c r="B272" s="2558">
        <v>11131000</v>
      </c>
      <c r="C272" s="2571" t="s">
        <v>4029</v>
      </c>
      <c r="D272" s="2560">
        <v>0</v>
      </c>
      <c r="E272" s="2560">
        <v>0</v>
      </c>
      <c r="F272" s="2561">
        <v>0</v>
      </c>
      <c r="G272" s="2562">
        <v>0</v>
      </c>
      <c r="H272" s="2560">
        <v>0</v>
      </c>
      <c r="I272" s="2560">
        <v>0</v>
      </c>
      <c r="J272" s="2563">
        <v>0</v>
      </c>
      <c r="K272" s="2563">
        <v>0</v>
      </c>
      <c r="L272" s="2560">
        <v>0</v>
      </c>
      <c r="N272" s="2390">
        <v>11131000</v>
      </c>
      <c r="O272" s="2403" t="s">
        <v>4029</v>
      </c>
      <c r="P272" s="2392">
        <v>0</v>
      </c>
      <c r="Q272" s="2392">
        <v>0</v>
      </c>
      <c r="R272" s="2393">
        <v>0</v>
      </c>
      <c r="S272" s="2394">
        <v>0</v>
      </c>
      <c r="T272" s="2392">
        <v>0</v>
      </c>
      <c r="U272" s="2392">
        <v>0</v>
      </c>
      <c r="V272" s="2395">
        <v>0</v>
      </c>
      <c r="W272" s="2395">
        <v>0</v>
      </c>
      <c r="X272" s="2392">
        <v>0</v>
      </c>
      <c r="Z272" s="2390">
        <v>11131000</v>
      </c>
      <c r="AA272" s="2403" t="s">
        <v>4029</v>
      </c>
      <c r="AB272" s="2392">
        <v>0</v>
      </c>
      <c r="AC272" s="2392">
        <v>0</v>
      </c>
      <c r="AD272" s="2393">
        <v>0</v>
      </c>
      <c r="AE272" s="2394">
        <v>0</v>
      </c>
      <c r="AF272" s="2392">
        <v>0</v>
      </c>
      <c r="AG272" s="2392">
        <v>0</v>
      </c>
      <c r="AH272" s="2395">
        <v>0</v>
      </c>
      <c r="AI272" s="2395">
        <v>0</v>
      </c>
      <c r="AJ272" s="2392">
        <v>0</v>
      </c>
      <c r="AZ272" s="2390">
        <v>11131000</v>
      </c>
      <c r="BA272" s="2403" t="s">
        <v>4029</v>
      </c>
      <c r="BB272" s="2392">
        <v>0</v>
      </c>
      <c r="BC272" s="2392">
        <v>0</v>
      </c>
      <c r="BD272" s="2393">
        <v>0</v>
      </c>
      <c r="BE272" s="2394">
        <v>0</v>
      </c>
      <c r="BF272" s="2392">
        <v>0</v>
      </c>
      <c r="BG272" s="2392">
        <v>0</v>
      </c>
      <c r="BH272" s="2395">
        <v>0</v>
      </c>
      <c r="BI272" s="2395">
        <v>0</v>
      </c>
      <c r="BJ272" s="2392">
        <v>0</v>
      </c>
      <c r="BN272" s="2390">
        <v>11131000</v>
      </c>
      <c r="BO272" s="2403" t="s">
        <v>4029</v>
      </c>
      <c r="BP272" s="2392">
        <v>0</v>
      </c>
      <c r="BQ272" s="2392">
        <v>0</v>
      </c>
      <c r="BR272" s="2393">
        <v>0</v>
      </c>
      <c r="BS272" s="2394">
        <v>0</v>
      </c>
      <c r="BT272" s="2392">
        <v>0</v>
      </c>
      <c r="BU272" s="2392">
        <v>0</v>
      </c>
      <c r="BV272" s="2395">
        <v>0</v>
      </c>
      <c r="BW272" s="2395">
        <v>0</v>
      </c>
      <c r="BX272" s="2392">
        <v>0</v>
      </c>
    </row>
    <row r="273" spans="2:76">
      <c r="B273" s="2564">
        <v>11131001</v>
      </c>
      <c r="C273" s="2565" t="s">
        <v>4030</v>
      </c>
      <c r="D273" s="2566">
        <v>0</v>
      </c>
      <c r="E273" s="1080">
        <v>0</v>
      </c>
      <c r="F273" s="2567">
        <v>0</v>
      </c>
      <c r="G273" s="2568">
        <v>0</v>
      </c>
      <c r="H273" s="2566">
        <v>0</v>
      </c>
      <c r="I273" s="2566">
        <v>0</v>
      </c>
      <c r="J273" s="2569">
        <v>0</v>
      </c>
      <c r="K273" s="2569">
        <v>0</v>
      </c>
      <c r="L273" s="2566">
        <v>0</v>
      </c>
      <c r="N273" s="2396">
        <v>11131001</v>
      </c>
      <c r="O273" s="2397" t="s">
        <v>4030</v>
      </c>
      <c r="P273" s="2398">
        <v>0</v>
      </c>
      <c r="Q273" s="2179">
        <v>0</v>
      </c>
      <c r="R273" s="2399">
        <v>0</v>
      </c>
      <c r="S273" s="2400">
        <v>0</v>
      </c>
      <c r="T273" s="2398">
        <v>0</v>
      </c>
      <c r="U273" s="2398">
        <v>0</v>
      </c>
      <c r="V273" s="2401">
        <v>0</v>
      </c>
      <c r="W273" s="2401">
        <v>0</v>
      </c>
      <c r="X273" s="2398">
        <v>0</v>
      </c>
      <c r="Z273" s="2396">
        <v>11131001</v>
      </c>
      <c r="AA273" s="2397" t="s">
        <v>4030</v>
      </c>
      <c r="AB273" s="2398">
        <v>0</v>
      </c>
      <c r="AC273" s="2179">
        <v>0</v>
      </c>
      <c r="AD273" s="2399">
        <v>0</v>
      </c>
      <c r="AE273" s="2400">
        <v>0</v>
      </c>
      <c r="AF273" s="2398">
        <v>0</v>
      </c>
      <c r="AG273" s="2398">
        <v>0</v>
      </c>
      <c r="AH273" s="2401">
        <v>0</v>
      </c>
      <c r="AI273" s="2401">
        <v>0</v>
      </c>
      <c r="AJ273" s="2398">
        <v>0</v>
      </c>
      <c r="AZ273" s="2396">
        <v>11131001</v>
      </c>
      <c r="BA273" s="2397" t="s">
        <v>4030</v>
      </c>
      <c r="BB273" s="2398">
        <v>0</v>
      </c>
      <c r="BC273" s="2179">
        <v>0</v>
      </c>
      <c r="BD273" s="2399">
        <v>0</v>
      </c>
      <c r="BE273" s="2400">
        <v>0</v>
      </c>
      <c r="BF273" s="2398">
        <v>0</v>
      </c>
      <c r="BG273" s="2398">
        <v>0</v>
      </c>
      <c r="BH273" s="2401">
        <v>0</v>
      </c>
      <c r="BI273" s="2401">
        <v>0</v>
      </c>
      <c r="BJ273" s="2398">
        <v>0</v>
      </c>
      <c r="BN273" s="2396">
        <v>11131001</v>
      </c>
      <c r="BO273" s="2397" t="s">
        <v>4030</v>
      </c>
      <c r="BP273" s="2398">
        <v>0</v>
      </c>
      <c r="BQ273" s="2179">
        <v>0</v>
      </c>
      <c r="BR273" s="2399">
        <v>0</v>
      </c>
      <c r="BS273" s="2400">
        <v>0</v>
      </c>
      <c r="BT273" s="2398">
        <v>0</v>
      </c>
      <c r="BU273" s="2398">
        <v>0</v>
      </c>
      <c r="BV273" s="2401">
        <v>0</v>
      </c>
      <c r="BW273" s="2401">
        <v>0</v>
      </c>
      <c r="BX273" s="2398">
        <v>0</v>
      </c>
    </row>
    <row r="274" spans="2:76">
      <c r="B274" s="2564">
        <v>11131002</v>
      </c>
      <c r="C274" s="2565" t="s">
        <v>4031</v>
      </c>
      <c r="D274" s="2566">
        <v>0</v>
      </c>
      <c r="E274" s="1080">
        <v>0</v>
      </c>
      <c r="F274" s="2567">
        <v>0</v>
      </c>
      <c r="G274" s="2568">
        <v>0</v>
      </c>
      <c r="H274" s="2566">
        <v>0</v>
      </c>
      <c r="I274" s="2566">
        <v>0</v>
      </c>
      <c r="J274" s="2569">
        <v>0</v>
      </c>
      <c r="K274" s="2569">
        <v>0</v>
      </c>
      <c r="L274" s="2566">
        <v>0</v>
      </c>
      <c r="N274" s="2396">
        <v>11131002</v>
      </c>
      <c r="O274" s="2397" t="s">
        <v>4031</v>
      </c>
      <c r="P274" s="2398">
        <v>0</v>
      </c>
      <c r="Q274" s="2179">
        <v>0</v>
      </c>
      <c r="R274" s="2399">
        <v>0</v>
      </c>
      <c r="S274" s="2400">
        <v>0</v>
      </c>
      <c r="T274" s="2398">
        <v>0</v>
      </c>
      <c r="U274" s="2398">
        <v>0</v>
      </c>
      <c r="V274" s="2401">
        <v>0</v>
      </c>
      <c r="W274" s="2401">
        <v>0</v>
      </c>
      <c r="X274" s="2398">
        <v>0</v>
      </c>
      <c r="Z274" s="2396">
        <v>11131002</v>
      </c>
      <c r="AA274" s="2397" t="s">
        <v>4031</v>
      </c>
      <c r="AB274" s="2398">
        <v>0</v>
      </c>
      <c r="AC274" s="2179">
        <v>0</v>
      </c>
      <c r="AD274" s="2399">
        <v>0</v>
      </c>
      <c r="AE274" s="2400">
        <v>0</v>
      </c>
      <c r="AF274" s="2398">
        <v>0</v>
      </c>
      <c r="AG274" s="2398">
        <v>0</v>
      </c>
      <c r="AH274" s="2401">
        <v>0</v>
      </c>
      <c r="AI274" s="2401">
        <v>0</v>
      </c>
      <c r="AJ274" s="2398">
        <v>0</v>
      </c>
      <c r="AZ274" s="2396">
        <v>11131002</v>
      </c>
      <c r="BA274" s="2397" t="s">
        <v>4031</v>
      </c>
      <c r="BB274" s="2398">
        <v>0</v>
      </c>
      <c r="BC274" s="2179">
        <v>0</v>
      </c>
      <c r="BD274" s="2399">
        <v>0</v>
      </c>
      <c r="BE274" s="2400">
        <v>0</v>
      </c>
      <c r="BF274" s="2398">
        <v>0</v>
      </c>
      <c r="BG274" s="2398">
        <v>0</v>
      </c>
      <c r="BH274" s="2401">
        <v>0</v>
      </c>
      <c r="BI274" s="2401">
        <v>0</v>
      </c>
      <c r="BJ274" s="2398">
        <v>0</v>
      </c>
      <c r="BN274" s="2396">
        <v>11131002</v>
      </c>
      <c r="BO274" s="2397" t="s">
        <v>4031</v>
      </c>
      <c r="BP274" s="2398">
        <v>0</v>
      </c>
      <c r="BQ274" s="2179">
        <v>0</v>
      </c>
      <c r="BR274" s="2399">
        <v>0</v>
      </c>
      <c r="BS274" s="2400">
        <v>0</v>
      </c>
      <c r="BT274" s="2398">
        <v>0</v>
      </c>
      <c r="BU274" s="2398">
        <v>0</v>
      </c>
      <c r="BV274" s="2401">
        <v>0</v>
      </c>
      <c r="BW274" s="2401">
        <v>0</v>
      </c>
      <c r="BX274" s="2398">
        <v>0</v>
      </c>
    </row>
    <row r="275" spans="2:76">
      <c r="B275" s="2564">
        <v>11131003</v>
      </c>
      <c r="C275" s="2565" t="s">
        <v>4032</v>
      </c>
      <c r="D275" s="2566">
        <v>0</v>
      </c>
      <c r="E275" s="1080">
        <v>0</v>
      </c>
      <c r="F275" s="2567">
        <v>0</v>
      </c>
      <c r="G275" s="2568">
        <v>0</v>
      </c>
      <c r="H275" s="2566">
        <v>0</v>
      </c>
      <c r="I275" s="2566">
        <v>0</v>
      </c>
      <c r="J275" s="2569">
        <v>0</v>
      </c>
      <c r="K275" s="2569">
        <v>0</v>
      </c>
      <c r="L275" s="2566">
        <v>0</v>
      </c>
      <c r="N275" s="2396">
        <v>11131003</v>
      </c>
      <c r="O275" s="2397" t="s">
        <v>4032</v>
      </c>
      <c r="P275" s="2398">
        <v>0</v>
      </c>
      <c r="Q275" s="2179">
        <v>0</v>
      </c>
      <c r="R275" s="2399">
        <v>0</v>
      </c>
      <c r="S275" s="2400">
        <v>0</v>
      </c>
      <c r="T275" s="2398">
        <v>0</v>
      </c>
      <c r="U275" s="2398">
        <v>0</v>
      </c>
      <c r="V275" s="2401">
        <v>0</v>
      </c>
      <c r="W275" s="2401">
        <v>0</v>
      </c>
      <c r="X275" s="2398">
        <v>0</v>
      </c>
      <c r="Z275" s="2396">
        <v>11131003</v>
      </c>
      <c r="AA275" s="2397" t="s">
        <v>4032</v>
      </c>
      <c r="AB275" s="2398">
        <v>0</v>
      </c>
      <c r="AC275" s="2179">
        <v>0</v>
      </c>
      <c r="AD275" s="2399">
        <v>0</v>
      </c>
      <c r="AE275" s="2400">
        <v>0</v>
      </c>
      <c r="AF275" s="2398">
        <v>0</v>
      </c>
      <c r="AG275" s="2398">
        <v>0</v>
      </c>
      <c r="AH275" s="2401">
        <v>0</v>
      </c>
      <c r="AI275" s="2401">
        <v>0</v>
      </c>
      <c r="AJ275" s="2398">
        <v>0</v>
      </c>
      <c r="AZ275" s="2396">
        <v>11131003</v>
      </c>
      <c r="BA275" s="2397" t="s">
        <v>4032</v>
      </c>
      <c r="BB275" s="2398">
        <v>0</v>
      </c>
      <c r="BC275" s="2179">
        <v>0</v>
      </c>
      <c r="BD275" s="2399">
        <v>0</v>
      </c>
      <c r="BE275" s="2400">
        <v>0</v>
      </c>
      <c r="BF275" s="2398">
        <v>0</v>
      </c>
      <c r="BG275" s="2398">
        <v>0</v>
      </c>
      <c r="BH275" s="2401">
        <v>0</v>
      </c>
      <c r="BI275" s="2401">
        <v>0</v>
      </c>
      <c r="BJ275" s="2398">
        <v>0</v>
      </c>
      <c r="BN275" s="2396">
        <v>11131003</v>
      </c>
      <c r="BO275" s="2397" t="s">
        <v>4032</v>
      </c>
      <c r="BP275" s="2398">
        <v>0</v>
      </c>
      <c r="BQ275" s="2179">
        <v>0</v>
      </c>
      <c r="BR275" s="2399">
        <v>0</v>
      </c>
      <c r="BS275" s="2400">
        <v>0</v>
      </c>
      <c r="BT275" s="2398">
        <v>0</v>
      </c>
      <c r="BU275" s="2398">
        <v>0</v>
      </c>
      <c r="BV275" s="2401">
        <v>0</v>
      </c>
      <c r="BW275" s="2401">
        <v>0</v>
      </c>
      <c r="BX275" s="2398">
        <v>0</v>
      </c>
    </row>
    <row r="276" spans="2:76">
      <c r="B276" s="2564">
        <v>11131004</v>
      </c>
      <c r="C276" s="2565" t="s">
        <v>4033</v>
      </c>
      <c r="D276" s="2566">
        <v>0</v>
      </c>
      <c r="E276" s="1080">
        <v>0</v>
      </c>
      <c r="F276" s="2567">
        <v>0</v>
      </c>
      <c r="G276" s="2568">
        <v>0</v>
      </c>
      <c r="H276" s="2566">
        <v>0</v>
      </c>
      <c r="I276" s="2566">
        <v>0</v>
      </c>
      <c r="J276" s="2569">
        <v>0</v>
      </c>
      <c r="K276" s="2569">
        <v>0</v>
      </c>
      <c r="L276" s="2566">
        <v>0</v>
      </c>
      <c r="N276" s="2396">
        <v>11131004</v>
      </c>
      <c r="O276" s="2397" t="s">
        <v>4033</v>
      </c>
      <c r="P276" s="2398">
        <v>0</v>
      </c>
      <c r="Q276" s="2179">
        <v>0</v>
      </c>
      <c r="R276" s="2399">
        <v>0</v>
      </c>
      <c r="S276" s="2400">
        <v>0</v>
      </c>
      <c r="T276" s="2398">
        <v>0</v>
      </c>
      <c r="U276" s="2398">
        <v>0</v>
      </c>
      <c r="V276" s="2401">
        <v>0</v>
      </c>
      <c r="W276" s="2401">
        <v>0</v>
      </c>
      <c r="X276" s="2398">
        <v>0</v>
      </c>
      <c r="Z276" s="2396">
        <v>11131004</v>
      </c>
      <c r="AA276" s="2397" t="s">
        <v>4033</v>
      </c>
      <c r="AB276" s="2398">
        <v>0</v>
      </c>
      <c r="AC276" s="2179">
        <v>0</v>
      </c>
      <c r="AD276" s="2399">
        <v>0</v>
      </c>
      <c r="AE276" s="2400">
        <v>0</v>
      </c>
      <c r="AF276" s="2398">
        <v>0</v>
      </c>
      <c r="AG276" s="2398">
        <v>0</v>
      </c>
      <c r="AH276" s="2401">
        <v>0</v>
      </c>
      <c r="AI276" s="2401">
        <v>0</v>
      </c>
      <c r="AJ276" s="2398">
        <v>0</v>
      </c>
      <c r="AZ276" s="2396">
        <v>11131004</v>
      </c>
      <c r="BA276" s="2397" t="s">
        <v>4033</v>
      </c>
      <c r="BB276" s="2398">
        <v>0</v>
      </c>
      <c r="BC276" s="2179">
        <v>0</v>
      </c>
      <c r="BD276" s="2399">
        <v>0</v>
      </c>
      <c r="BE276" s="2400">
        <v>0</v>
      </c>
      <c r="BF276" s="2398">
        <v>0</v>
      </c>
      <c r="BG276" s="2398">
        <v>0</v>
      </c>
      <c r="BH276" s="2401">
        <v>0</v>
      </c>
      <c r="BI276" s="2401">
        <v>0</v>
      </c>
      <c r="BJ276" s="2398">
        <v>0</v>
      </c>
      <c r="BN276" s="2396">
        <v>11131004</v>
      </c>
      <c r="BO276" s="2397" t="s">
        <v>4033</v>
      </c>
      <c r="BP276" s="2398">
        <v>0</v>
      </c>
      <c r="BQ276" s="2179">
        <v>0</v>
      </c>
      <c r="BR276" s="2399">
        <v>0</v>
      </c>
      <c r="BS276" s="2400">
        <v>0</v>
      </c>
      <c r="BT276" s="2398">
        <v>0</v>
      </c>
      <c r="BU276" s="2398">
        <v>0</v>
      </c>
      <c r="BV276" s="2401">
        <v>0</v>
      </c>
      <c r="BW276" s="2401">
        <v>0</v>
      </c>
      <c r="BX276" s="2398">
        <v>0</v>
      </c>
    </row>
    <row r="277" spans="2:76">
      <c r="B277" s="2564">
        <v>11131005</v>
      </c>
      <c r="C277" s="2565" t="s">
        <v>4988</v>
      </c>
      <c r="D277" s="2566">
        <v>0</v>
      </c>
      <c r="E277" s="1080">
        <v>0</v>
      </c>
      <c r="F277" s="2567">
        <v>0</v>
      </c>
      <c r="G277" s="2568">
        <v>0</v>
      </c>
      <c r="H277" s="2566">
        <v>0</v>
      </c>
      <c r="I277" s="2566">
        <v>0</v>
      </c>
      <c r="J277" s="2569">
        <v>0</v>
      </c>
      <c r="K277" s="2569">
        <v>0</v>
      </c>
      <c r="L277" s="2566">
        <v>0</v>
      </c>
      <c r="N277" s="2396">
        <v>11131005</v>
      </c>
      <c r="O277" s="2397" t="s">
        <v>4034</v>
      </c>
      <c r="P277" s="2398">
        <v>0</v>
      </c>
      <c r="Q277" s="2179">
        <v>0</v>
      </c>
      <c r="R277" s="2399">
        <v>0</v>
      </c>
      <c r="S277" s="2400">
        <v>0</v>
      </c>
      <c r="T277" s="2398">
        <v>0</v>
      </c>
      <c r="U277" s="2398">
        <v>0</v>
      </c>
      <c r="V277" s="2401">
        <v>0</v>
      </c>
      <c r="W277" s="2401">
        <v>0</v>
      </c>
      <c r="X277" s="2398">
        <v>0</v>
      </c>
      <c r="Z277" s="2396">
        <v>11131005</v>
      </c>
      <c r="AA277" s="2397" t="s">
        <v>4034</v>
      </c>
      <c r="AB277" s="2398">
        <v>0</v>
      </c>
      <c r="AC277" s="2179">
        <v>0</v>
      </c>
      <c r="AD277" s="2399">
        <v>0</v>
      </c>
      <c r="AE277" s="2400">
        <v>0</v>
      </c>
      <c r="AF277" s="2398">
        <v>0</v>
      </c>
      <c r="AG277" s="2398">
        <v>0</v>
      </c>
      <c r="AH277" s="2401">
        <v>0</v>
      </c>
      <c r="AI277" s="2401">
        <v>0</v>
      </c>
      <c r="AJ277" s="2398">
        <v>0</v>
      </c>
      <c r="AZ277" s="2396">
        <v>11131005</v>
      </c>
      <c r="BA277" s="2397" t="s">
        <v>4034</v>
      </c>
      <c r="BB277" s="2398">
        <v>0</v>
      </c>
      <c r="BC277" s="2179">
        <v>0</v>
      </c>
      <c r="BD277" s="2399">
        <v>0</v>
      </c>
      <c r="BE277" s="2400">
        <v>0</v>
      </c>
      <c r="BF277" s="2398">
        <v>0</v>
      </c>
      <c r="BG277" s="2398">
        <v>0</v>
      </c>
      <c r="BH277" s="2401">
        <v>0</v>
      </c>
      <c r="BI277" s="2401">
        <v>0</v>
      </c>
      <c r="BJ277" s="2398">
        <v>0</v>
      </c>
      <c r="BN277" s="2396">
        <v>11131005</v>
      </c>
      <c r="BO277" s="2397" t="s">
        <v>4034</v>
      </c>
      <c r="BP277" s="2398">
        <v>0</v>
      </c>
      <c r="BQ277" s="2179">
        <v>0</v>
      </c>
      <c r="BR277" s="2399">
        <v>0</v>
      </c>
      <c r="BS277" s="2400">
        <v>0</v>
      </c>
      <c r="BT277" s="2398">
        <v>0</v>
      </c>
      <c r="BU277" s="2398">
        <v>0</v>
      </c>
      <c r="BV277" s="2401">
        <v>0</v>
      </c>
      <c r="BW277" s="2401">
        <v>0</v>
      </c>
      <c r="BX277" s="2398">
        <v>0</v>
      </c>
    </row>
    <row r="278" spans="2:76">
      <c r="B278" s="2552">
        <v>11140000</v>
      </c>
      <c r="C278" s="2570" t="s">
        <v>4035</v>
      </c>
      <c r="D278" s="2554">
        <v>0</v>
      </c>
      <c r="E278" s="2554">
        <v>0</v>
      </c>
      <c r="F278" s="2555">
        <v>0</v>
      </c>
      <c r="G278" s="2556">
        <v>0</v>
      </c>
      <c r="H278" s="2554">
        <v>0</v>
      </c>
      <c r="I278" s="2554">
        <v>0</v>
      </c>
      <c r="J278" s="2557">
        <v>0</v>
      </c>
      <c r="K278" s="2557">
        <v>0</v>
      </c>
      <c r="L278" s="2554">
        <v>0</v>
      </c>
      <c r="N278" s="2384">
        <v>11140000</v>
      </c>
      <c r="O278" s="2402" t="s">
        <v>4035</v>
      </c>
      <c r="P278" s="2386">
        <v>0</v>
      </c>
      <c r="Q278" s="2386">
        <v>0</v>
      </c>
      <c r="R278" s="2387">
        <v>0</v>
      </c>
      <c r="S278" s="2388">
        <v>0</v>
      </c>
      <c r="T278" s="2386">
        <v>0</v>
      </c>
      <c r="U278" s="2386">
        <v>0</v>
      </c>
      <c r="V278" s="2389">
        <v>0</v>
      </c>
      <c r="W278" s="2389">
        <v>0</v>
      </c>
      <c r="X278" s="2386">
        <v>0</v>
      </c>
      <c r="Z278" s="2384">
        <v>11140000</v>
      </c>
      <c r="AA278" s="2402" t="s">
        <v>4035</v>
      </c>
      <c r="AB278" s="2386">
        <v>0</v>
      </c>
      <c r="AC278" s="2386">
        <v>0</v>
      </c>
      <c r="AD278" s="2387">
        <v>0</v>
      </c>
      <c r="AE278" s="2388">
        <v>0</v>
      </c>
      <c r="AF278" s="2386">
        <v>0</v>
      </c>
      <c r="AG278" s="2386">
        <v>0</v>
      </c>
      <c r="AH278" s="2389">
        <v>0</v>
      </c>
      <c r="AI278" s="2389">
        <v>0</v>
      </c>
      <c r="AJ278" s="2386">
        <v>0</v>
      </c>
      <c r="AZ278" s="2384">
        <v>11140000</v>
      </c>
      <c r="BA278" s="2402" t="s">
        <v>4035</v>
      </c>
      <c r="BB278" s="2386">
        <v>0</v>
      </c>
      <c r="BC278" s="2386">
        <v>0</v>
      </c>
      <c r="BD278" s="2387">
        <v>0</v>
      </c>
      <c r="BE278" s="2388">
        <v>0</v>
      </c>
      <c r="BF278" s="2386">
        <v>0</v>
      </c>
      <c r="BG278" s="2386">
        <v>0</v>
      </c>
      <c r="BH278" s="2389">
        <v>0</v>
      </c>
      <c r="BI278" s="2389">
        <v>0</v>
      </c>
      <c r="BJ278" s="2386">
        <v>0</v>
      </c>
      <c r="BN278" s="2384">
        <v>11140000</v>
      </c>
      <c r="BO278" s="2402" t="s">
        <v>4035</v>
      </c>
      <c r="BP278" s="2386">
        <v>0</v>
      </c>
      <c r="BQ278" s="2386">
        <v>0</v>
      </c>
      <c r="BR278" s="2387">
        <v>0</v>
      </c>
      <c r="BS278" s="2388">
        <v>0</v>
      </c>
      <c r="BT278" s="2386">
        <v>0</v>
      </c>
      <c r="BU278" s="2386">
        <v>0</v>
      </c>
      <c r="BV278" s="2389">
        <v>0</v>
      </c>
      <c r="BW278" s="2389">
        <v>0</v>
      </c>
      <c r="BX278" s="2386">
        <v>0</v>
      </c>
    </row>
    <row r="279" spans="2:76">
      <c r="B279" s="2558">
        <v>11141000</v>
      </c>
      <c r="C279" s="2571" t="s">
        <v>4035</v>
      </c>
      <c r="D279" s="2560">
        <v>0</v>
      </c>
      <c r="E279" s="2560">
        <v>0</v>
      </c>
      <c r="F279" s="2561">
        <v>0</v>
      </c>
      <c r="G279" s="2562">
        <v>0</v>
      </c>
      <c r="H279" s="2560">
        <v>0</v>
      </c>
      <c r="I279" s="2560">
        <v>0</v>
      </c>
      <c r="J279" s="2563">
        <v>0</v>
      </c>
      <c r="K279" s="2563">
        <v>0</v>
      </c>
      <c r="L279" s="2560">
        <v>0</v>
      </c>
      <c r="N279" s="2390">
        <v>11141000</v>
      </c>
      <c r="O279" s="2403" t="s">
        <v>4035</v>
      </c>
      <c r="P279" s="2392">
        <v>0</v>
      </c>
      <c r="Q279" s="2392">
        <v>0</v>
      </c>
      <c r="R279" s="2393">
        <v>0</v>
      </c>
      <c r="S279" s="2394">
        <v>0</v>
      </c>
      <c r="T279" s="2392">
        <v>0</v>
      </c>
      <c r="U279" s="2392">
        <v>0</v>
      </c>
      <c r="V279" s="2395">
        <v>0</v>
      </c>
      <c r="W279" s="2395">
        <v>0</v>
      </c>
      <c r="X279" s="2392">
        <v>0</v>
      </c>
      <c r="Z279" s="2390">
        <v>11141000</v>
      </c>
      <c r="AA279" s="2403" t="s">
        <v>4035</v>
      </c>
      <c r="AB279" s="2392">
        <v>0</v>
      </c>
      <c r="AC279" s="2392">
        <v>0</v>
      </c>
      <c r="AD279" s="2393">
        <v>0</v>
      </c>
      <c r="AE279" s="2394">
        <v>0</v>
      </c>
      <c r="AF279" s="2392">
        <v>0</v>
      </c>
      <c r="AG279" s="2392">
        <v>0</v>
      </c>
      <c r="AH279" s="2395">
        <v>0</v>
      </c>
      <c r="AI279" s="2395">
        <v>0</v>
      </c>
      <c r="AJ279" s="2392">
        <v>0</v>
      </c>
      <c r="AZ279" s="2390">
        <v>11141000</v>
      </c>
      <c r="BA279" s="2403" t="s">
        <v>4035</v>
      </c>
      <c r="BB279" s="2392">
        <v>0</v>
      </c>
      <c r="BC279" s="2392">
        <v>0</v>
      </c>
      <c r="BD279" s="2393">
        <v>0</v>
      </c>
      <c r="BE279" s="2394">
        <v>0</v>
      </c>
      <c r="BF279" s="2392">
        <v>0</v>
      </c>
      <c r="BG279" s="2392">
        <v>0</v>
      </c>
      <c r="BH279" s="2395">
        <v>0</v>
      </c>
      <c r="BI279" s="2395">
        <v>0</v>
      </c>
      <c r="BJ279" s="2392">
        <v>0</v>
      </c>
      <c r="BN279" s="2390">
        <v>11141000</v>
      </c>
      <c r="BO279" s="2403" t="s">
        <v>4035</v>
      </c>
      <c r="BP279" s="2392">
        <v>0</v>
      </c>
      <c r="BQ279" s="2392">
        <v>0</v>
      </c>
      <c r="BR279" s="2393">
        <v>0</v>
      </c>
      <c r="BS279" s="2394">
        <v>0</v>
      </c>
      <c r="BT279" s="2392">
        <v>0</v>
      </c>
      <c r="BU279" s="2392">
        <v>0</v>
      </c>
      <c r="BV279" s="2395">
        <v>0</v>
      </c>
      <c r="BW279" s="2395">
        <v>0</v>
      </c>
      <c r="BX279" s="2392">
        <v>0</v>
      </c>
    </row>
    <row r="280" spans="2:76">
      <c r="B280" s="2564">
        <v>11141001</v>
      </c>
      <c r="C280" s="2565" t="s">
        <v>4036</v>
      </c>
      <c r="D280" s="2566">
        <v>0</v>
      </c>
      <c r="E280" s="1080">
        <v>0</v>
      </c>
      <c r="F280" s="2567">
        <v>0</v>
      </c>
      <c r="G280" s="2568">
        <v>0</v>
      </c>
      <c r="H280" s="2566">
        <v>0</v>
      </c>
      <c r="I280" s="2566">
        <v>0</v>
      </c>
      <c r="J280" s="2569">
        <v>0</v>
      </c>
      <c r="K280" s="2569">
        <v>0</v>
      </c>
      <c r="L280" s="2566">
        <v>0</v>
      </c>
      <c r="N280" s="2396">
        <v>11141001</v>
      </c>
      <c r="O280" s="2397" t="s">
        <v>4036</v>
      </c>
      <c r="P280" s="2398">
        <v>0</v>
      </c>
      <c r="Q280" s="2179">
        <v>0</v>
      </c>
      <c r="R280" s="2399">
        <v>0</v>
      </c>
      <c r="S280" s="2400">
        <v>0</v>
      </c>
      <c r="T280" s="2398">
        <v>0</v>
      </c>
      <c r="U280" s="2398">
        <v>0</v>
      </c>
      <c r="V280" s="2401">
        <v>0</v>
      </c>
      <c r="W280" s="2401">
        <v>0</v>
      </c>
      <c r="X280" s="2398">
        <v>0</v>
      </c>
      <c r="Z280" s="2396">
        <v>11141001</v>
      </c>
      <c r="AA280" s="2397" t="s">
        <v>4036</v>
      </c>
      <c r="AB280" s="2398">
        <v>0</v>
      </c>
      <c r="AC280" s="2179">
        <v>0</v>
      </c>
      <c r="AD280" s="2399">
        <v>0</v>
      </c>
      <c r="AE280" s="2400">
        <v>0</v>
      </c>
      <c r="AF280" s="2398">
        <v>0</v>
      </c>
      <c r="AG280" s="2398">
        <v>0</v>
      </c>
      <c r="AH280" s="2401">
        <v>0</v>
      </c>
      <c r="AI280" s="2401">
        <v>0</v>
      </c>
      <c r="AJ280" s="2398">
        <v>0</v>
      </c>
      <c r="AZ280" s="2396">
        <v>11141001</v>
      </c>
      <c r="BA280" s="2397" t="s">
        <v>4036</v>
      </c>
      <c r="BB280" s="2398">
        <v>0</v>
      </c>
      <c r="BC280" s="2179">
        <v>0</v>
      </c>
      <c r="BD280" s="2399">
        <v>0</v>
      </c>
      <c r="BE280" s="2400">
        <v>0</v>
      </c>
      <c r="BF280" s="2398">
        <v>0</v>
      </c>
      <c r="BG280" s="2398">
        <v>0</v>
      </c>
      <c r="BH280" s="2401">
        <v>0</v>
      </c>
      <c r="BI280" s="2401">
        <v>0</v>
      </c>
      <c r="BJ280" s="2398">
        <v>0</v>
      </c>
      <c r="BN280" s="2396">
        <v>11141001</v>
      </c>
      <c r="BO280" s="2397" t="s">
        <v>4036</v>
      </c>
      <c r="BP280" s="2398">
        <v>0</v>
      </c>
      <c r="BQ280" s="2179">
        <v>0</v>
      </c>
      <c r="BR280" s="2399">
        <v>0</v>
      </c>
      <c r="BS280" s="2400">
        <v>0</v>
      </c>
      <c r="BT280" s="2398">
        <v>0</v>
      </c>
      <c r="BU280" s="2398">
        <v>0</v>
      </c>
      <c r="BV280" s="2401">
        <v>0</v>
      </c>
      <c r="BW280" s="2401">
        <v>0</v>
      </c>
      <c r="BX280" s="2398">
        <v>0</v>
      </c>
    </row>
    <row r="281" spans="2:76">
      <c r="B281" s="2564">
        <v>11141002</v>
      </c>
      <c r="C281" s="2565" t="s">
        <v>4037</v>
      </c>
      <c r="D281" s="2566">
        <v>0</v>
      </c>
      <c r="E281" s="1080">
        <v>0</v>
      </c>
      <c r="F281" s="2567">
        <v>0</v>
      </c>
      <c r="G281" s="2568">
        <v>0</v>
      </c>
      <c r="H281" s="2566">
        <v>0</v>
      </c>
      <c r="I281" s="2566">
        <v>0</v>
      </c>
      <c r="J281" s="2569">
        <v>0</v>
      </c>
      <c r="K281" s="2569">
        <v>0</v>
      </c>
      <c r="L281" s="2566">
        <v>0</v>
      </c>
      <c r="N281" s="2396">
        <v>11141002</v>
      </c>
      <c r="O281" s="2397" t="s">
        <v>4037</v>
      </c>
      <c r="P281" s="2398">
        <v>0</v>
      </c>
      <c r="Q281" s="2179">
        <v>0</v>
      </c>
      <c r="R281" s="2399">
        <v>0</v>
      </c>
      <c r="S281" s="2400">
        <v>0</v>
      </c>
      <c r="T281" s="2398">
        <v>0</v>
      </c>
      <c r="U281" s="2398">
        <v>0</v>
      </c>
      <c r="V281" s="2401">
        <v>0</v>
      </c>
      <c r="W281" s="2401">
        <v>0</v>
      </c>
      <c r="X281" s="2398">
        <v>0</v>
      </c>
      <c r="Z281" s="2396">
        <v>11141002</v>
      </c>
      <c r="AA281" s="2397" t="s">
        <v>4037</v>
      </c>
      <c r="AB281" s="2398">
        <v>0</v>
      </c>
      <c r="AC281" s="2179">
        <v>0</v>
      </c>
      <c r="AD281" s="2399">
        <v>0</v>
      </c>
      <c r="AE281" s="2400">
        <v>0</v>
      </c>
      <c r="AF281" s="2398">
        <v>0</v>
      </c>
      <c r="AG281" s="2398">
        <v>0</v>
      </c>
      <c r="AH281" s="2401">
        <v>0</v>
      </c>
      <c r="AI281" s="2401">
        <v>0</v>
      </c>
      <c r="AJ281" s="2398">
        <v>0</v>
      </c>
      <c r="AZ281" s="2396">
        <v>11141002</v>
      </c>
      <c r="BA281" s="2397" t="s">
        <v>4037</v>
      </c>
      <c r="BB281" s="2398">
        <v>0</v>
      </c>
      <c r="BC281" s="2179">
        <v>0</v>
      </c>
      <c r="BD281" s="2399">
        <v>0</v>
      </c>
      <c r="BE281" s="2400">
        <v>0</v>
      </c>
      <c r="BF281" s="2398">
        <v>0</v>
      </c>
      <c r="BG281" s="2398">
        <v>0</v>
      </c>
      <c r="BH281" s="2401">
        <v>0</v>
      </c>
      <c r="BI281" s="2401">
        <v>0</v>
      </c>
      <c r="BJ281" s="2398">
        <v>0</v>
      </c>
      <c r="BN281" s="2396">
        <v>11141002</v>
      </c>
      <c r="BO281" s="2397" t="s">
        <v>4037</v>
      </c>
      <c r="BP281" s="2398">
        <v>0</v>
      </c>
      <c r="BQ281" s="2179">
        <v>0</v>
      </c>
      <c r="BR281" s="2399">
        <v>0</v>
      </c>
      <c r="BS281" s="2400">
        <v>0</v>
      </c>
      <c r="BT281" s="2398">
        <v>0</v>
      </c>
      <c r="BU281" s="2398">
        <v>0</v>
      </c>
      <c r="BV281" s="2401">
        <v>0</v>
      </c>
      <c r="BW281" s="2401">
        <v>0</v>
      </c>
      <c r="BX281" s="2398">
        <v>0</v>
      </c>
    </row>
    <row r="282" spans="2:76">
      <c r="B282" s="2564">
        <v>11141003</v>
      </c>
      <c r="C282" s="2565" t="s">
        <v>4038</v>
      </c>
      <c r="D282" s="2566">
        <v>0</v>
      </c>
      <c r="E282" s="1080">
        <v>0</v>
      </c>
      <c r="F282" s="2567">
        <v>0</v>
      </c>
      <c r="G282" s="2568">
        <v>0</v>
      </c>
      <c r="H282" s="2566">
        <v>0</v>
      </c>
      <c r="I282" s="2566">
        <v>0</v>
      </c>
      <c r="J282" s="2569">
        <v>0</v>
      </c>
      <c r="K282" s="2569">
        <v>0</v>
      </c>
      <c r="L282" s="2566">
        <v>0</v>
      </c>
      <c r="N282" s="2396">
        <v>11141003</v>
      </c>
      <c r="O282" s="2397" t="s">
        <v>4038</v>
      </c>
      <c r="P282" s="2398">
        <v>0</v>
      </c>
      <c r="Q282" s="2179">
        <v>0</v>
      </c>
      <c r="R282" s="2399">
        <v>0</v>
      </c>
      <c r="S282" s="2400">
        <v>0</v>
      </c>
      <c r="T282" s="2398">
        <v>0</v>
      </c>
      <c r="U282" s="2398">
        <v>0</v>
      </c>
      <c r="V282" s="2401">
        <v>0</v>
      </c>
      <c r="W282" s="2401">
        <v>0</v>
      </c>
      <c r="X282" s="2398">
        <v>0</v>
      </c>
      <c r="Z282" s="2396">
        <v>11141003</v>
      </c>
      <c r="AA282" s="2397" t="s">
        <v>4038</v>
      </c>
      <c r="AB282" s="2398">
        <v>0</v>
      </c>
      <c r="AC282" s="2179">
        <v>0</v>
      </c>
      <c r="AD282" s="2399">
        <v>0</v>
      </c>
      <c r="AE282" s="2400">
        <v>0</v>
      </c>
      <c r="AF282" s="2398">
        <v>0</v>
      </c>
      <c r="AG282" s="2398">
        <v>0</v>
      </c>
      <c r="AH282" s="2401">
        <v>0</v>
      </c>
      <c r="AI282" s="2401">
        <v>0</v>
      </c>
      <c r="AJ282" s="2398">
        <v>0</v>
      </c>
      <c r="AZ282" s="2396">
        <v>11141003</v>
      </c>
      <c r="BA282" s="2397" t="s">
        <v>4038</v>
      </c>
      <c r="BB282" s="2398">
        <v>0</v>
      </c>
      <c r="BC282" s="2179">
        <v>0</v>
      </c>
      <c r="BD282" s="2399">
        <v>0</v>
      </c>
      <c r="BE282" s="2400">
        <v>0</v>
      </c>
      <c r="BF282" s="2398">
        <v>0</v>
      </c>
      <c r="BG282" s="2398">
        <v>0</v>
      </c>
      <c r="BH282" s="2401">
        <v>0</v>
      </c>
      <c r="BI282" s="2401">
        <v>0</v>
      </c>
      <c r="BJ282" s="2398">
        <v>0</v>
      </c>
      <c r="BN282" s="2396">
        <v>11141003</v>
      </c>
      <c r="BO282" s="2397" t="s">
        <v>4038</v>
      </c>
      <c r="BP282" s="2398">
        <v>0</v>
      </c>
      <c r="BQ282" s="2179">
        <v>0</v>
      </c>
      <c r="BR282" s="2399">
        <v>0</v>
      </c>
      <c r="BS282" s="2400">
        <v>0</v>
      </c>
      <c r="BT282" s="2398">
        <v>0</v>
      </c>
      <c r="BU282" s="2398">
        <v>0</v>
      </c>
      <c r="BV282" s="2401">
        <v>0</v>
      </c>
      <c r="BW282" s="2401">
        <v>0</v>
      </c>
      <c r="BX282" s="2398">
        <v>0</v>
      </c>
    </row>
    <row r="283" spans="2:76">
      <c r="B283" s="2564">
        <v>11141004</v>
      </c>
      <c r="C283" s="2565" t="s">
        <v>4989</v>
      </c>
      <c r="D283" s="2566">
        <v>0</v>
      </c>
      <c r="E283" s="1080">
        <v>0</v>
      </c>
      <c r="F283" s="2567">
        <v>0</v>
      </c>
      <c r="G283" s="2568">
        <v>0</v>
      </c>
      <c r="H283" s="2566">
        <v>0</v>
      </c>
      <c r="I283" s="2566">
        <v>0</v>
      </c>
      <c r="J283" s="2569">
        <v>0</v>
      </c>
      <c r="K283" s="2569">
        <v>0</v>
      </c>
      <c r="L283" s="2566">
        <v>0</v>
      </c>
      <c r="N283" s="2396">
        <v>11141004</v>
      </c>
      <c r="O283" s="2397" t="s">
        <v>4039</v>
      </c>
      <c r="P283" s="2398">
        <v>0</v>
      </c>
      <c r="Q283" s="2179">
        <v>0</v>
      </c>
      <c r="R283" s="2399">
        <v>0</v>
      </c>
      <c r="S283" s="2400">
        <v>0</v>
      </c>
      <c r="T283" s="2398">
        <v>0</v>
      </c>
      <c r="U283" s="2398">
        <v>0</v>
      </c>
      <c r="V283" s="2401">
        <v>0</v>
      </c>
      <c r="W283" s="2401">
        <v>0</v>
      </c>
      <c r="X283" s="2398">
        <v>0</v>
      </c>
      <c r="Z283" s="2396">
        <v>11141004</v>
      </c>
      <c r="AA283" s="2397" t="s">
        <v>4039</v>
      </c>
      <c r="AB283" s="2398">
        <v>0</v>
      </c>
      <c r="AC283" s="2179">
        <v>0</v>
      </c>
      <c r="AD283" s="2399">
        <v>0</v>
      </c>
      <c r="AE283" s="2400">
        <v>0</v>
      </c>
      <c r="AF283" s="2398">
        <v>0</v>
      </c>
      <c r="AG283" s="2398">
        <v>0</v>
      </c>
      <c r="AH283" s="2401">
        <v>0</v>
      </c>
      <c r="AI283" s="2401">
        <v>0</v>
      </c>
      <c r="AJ283" s="2398">
        <v>0</v>
      </c>
      <c r="AZ283" s="2396">
        <v>11141004</v>
      </c>
      <c r="BA283" s="2397" t="s">
        <v>4039</v>
      </c>
      <c r="BB283" s="2398">
        <v>0</v>
      </c>
      <c r="BC283" s="2179">
        <v>0</v>
      </c>
      <c r="BD283" s="2399">
        <v>0</v>
      </c>
      <c r="BE283" s="2400">
        <v>0</v>
      </c>
      <c r="BF283" s="2398">
        <v>0</v>
      </c>
      <c r="BG283" s="2398">
        <v>0</v>
      </c>
      <c r="BH283" s="2401">
        <v>0</v>
      </c>
      <c r="BI283" s="2401">
        <v>0</v>
      </c>
      <c r="BJ283" s="2398">
        <v>0</v>
      </c>
      <c r="BN283" s="2396">
        <v>11141004</v>
      </c>
      <c r="BO283" s="2397" t="s">
        <v>4039</v>
      </c>
      <c r="BP283" s="2398">
        <v>0</v>
      </c>
      <c r="BQ283" s="2179">
        <v>0</v>
      </c>
      <c r="BR283" s="2399">
        <v>0</v>
      </c>
      <c r="BS283" s="2400">
        <v>0</v>
      </c>
      <c r="BT283" s="2398">
        <v>0</v>
      </c>
      <c r="BU283" s="2398">
        <v>0</v>
      </c>
      <c r="BV283" s="2401">
        <v>0</v>
      </c>
      <c r="BW283" s="2401">
        <v>0</v>
      </c>
      <c r="BX283" s="2398">
        <v>0</v>
      </c>
    </row>
    <row r="284" spans="2:76">
      <c r="B284" s="2552">
        <v>11150000</v>
      </c>
      <c r="C284" s="2570" t="s">
        <v>4040</v>
      </c>
      <c r="D284" s="2554">
        <v>17137185547</v>
      </c>
      <c r="E284" s="2554">
        <v>1183258994</v>
      </c>
      <c r="F284" s="2555">
        <v>0</v>
      </c>
      <c r="G284" s="2556">
        <v>0</v>
      </c>
      <c r="H284" s="2554">
        <v>134351071</v>
      </c>
      <c r="I284" s="2554">
        <v>18454795612</v>
      </c>
      <c r="J284" s="2557">
        <v>0</v>
      </c>
      <c r="K284" s="2557">
        <v>0</v>
      </c>
      <c r="L284" s="2554">
        <v>18454795612</v>
      </c>
      <c r="N284" s="2384">
        <v>11150000</v>
      </c>
      <c r="O284" s="2402" t="s">
        <v>4040</v>
      </c>
      <c r="P284" s="2386">
        <v>14932065501</v>
      </c>
      <c r="Q284" s="2386">
        <v>763876478</v>
      </c>
      <c r="R284" s="2387">
        <v>0</v>
      </c>
      <c r="S284" s="2388">
        <v>0</v>
      </c>
      <c r="T284" s="2386">
        <v>239747580</v>
      </c>
      <c r="U284" s="2386">
        <v>15935689559</v>
      </c>
      <c r="V284" s="2389">
        <v>0</v>
      </c>
      <c r="W284" s="2389">
        <v>0</v>
      </c>
      <c r="X284" s="2386">
        <v>15935689559</v>
      </c>
      <c r="Z284" s="2384">
        <v>11150000</v>
      </c>
      <c r="AA284" s="2402" t="s">
        <v>4040</v>
      </c>
      <c r="AB284" s="2386">
        <v>4966405639</v>
      </c>
      <c r="AC284" s="2386">
        <v>260048870</v>
      </c>
      <c r="AD284" s="2387">
        <v>0</v>
      </c>
      <c r="AE284" s="2388">
        <v>0</v>
      </c>
      <c r="AF284" s="2386">
        <v>83779482</v>
      </c>
      <c r="AG284" s="2386">
        <v>5310233991</v>
      </c>
      <c r="AH284" s="2389">
        <v>0</v>
      </c>
      <c r="AI284" s="2389">
        <v>0</v>
      </c>
      <c r="AJ284" s="2386">
        <v>5310233991</v>
      </c>
      <c r="AZ284" s="2384">
        <v>11150000</v>
      </c>
      <c r="BA284" s="2402" t="s">
        <v>4040</v>
      </c>
      <c r="BB284" s="2386">
        <v>2332987638</v>
      </c>
      <c r="BC284" s="2386">
        <v>0</v>
      </c>
      <c r="BD284" s="2387">
        <v>0</v>
      </c>
      <c r="BE284" s="2388">
        <v>0</v>
      </c>
      <c r="BF284" s="2386">
        <v>0</v>
      </c>
      <c r="BG284" s="2386">
        <v>2332987638</v>
      </c>
      <c r="BH284" s="2389">
        <v>0</v>
      </c>
      <c r="BI284" s="2389">
        <v>0</v>
      </c>
      <c r="BJ284" s="2386">
        <v>2332987638</v>
      </c>
      <c r="BN284" s="2384">
        <v>11150000</v>
      </c>
      <c r="BO284" s="2402" t="s">
        <v>4040</v>
      </c>
      <c r="BP284" s="2386">
        <v>6204800169</v>
      </c>
      <c r="BQ284" s="2386">
        <v>0</v>
      </c>
      <c r="BR284" s="2387">
        <v>0</v>
      </c>
      <c r="BS284" s="2388">
        <v>0</v>
      </c>
      <c r="BT284" s="2386">
        <v>0</v>
      </c>
      <c r="BU284" s="2386">
        <v>6204800169</v>
      </c>
      <c r="BV284" s="2389">
        <v>0</v>
      </c>
      <c r="BW284" s="2389">
        <v>0</v>
      </c>
      <c r="BX284" s="2386">
        <v>6204800169</v>
      </c>
    </row>
    <row r="285" spans="2:76">
      <c r="B285" s="2558">
        <v>11151000</v>
      </c>
      <c r="C285" s="2571" t="s">
        <v>4041</v>
      </c>
      <c r="D285" s="2560">
        <v>2749221272</v>
      </c>
      <c r="E285" s="2560">
        <v>0</v>
      </c>
      <c r="F285" s="2561">
        <v>0</v>
      </c>
      <c r="G285" s="2562">
        <v>0</v>
      </c>
      <c r="H285" s="2560">
        <v>0</v>
      </c>
      <c r="I285" s="2560">
        <v>2749221272</v>
      </c>
      <c r="J285" s="2563">
        <v>0</v>
      </c>
      <c r="K285" s="2563">
        <v>0</v>
      </c>
      <c r="L285" s="2560">
        <v>2749221272</v>
      </c>
      <c r="N285" s="2390">
        <v>11151000</v>
      </c>
      <c r="O285" s="2403" t="s">
        <v>4041</v>
      </c>
      <c r="P285" s="2392">
        <v>7009344507</v>
      </c>
      <c r="Q285" s="2392">
        <v>0</v>
      </c>
      <c r="R285" s="2393">
        <v>0</v>
      </c>
      <c r="S285" s="2394">
        <v>0</v>
      </c>
      <c r="T285" s="2392">
        <v>0</v>
      </c>
      <c r="U285" s="2392">
        <v>7009344507</v>
      </c>
      <c r="V285" s="2395">
        <v>0</v>
      </c>
      <c r="W285" s="2395">
        <v>0</v>
      </c>
      <c r="X285" s="2392">
        <v>7009344507</v>
      </c>
      <c r="Z285" s="2390">
        <v>11151000</v>
      </c>
      <c r="AA285" s="2403" t="s">
        <v>4041</v>
      </c>
      <c r="AB285" s="2392">
        <v>3065924704</v>
      </c>
      <c r="AC285" s="2392">
        <v>0</v>
      </c>
      <c r="AD285" s="2393">
        <v>0</v>
      </c>
      <c r="AE285" s="2394">
        <v>0</v>
      </c>
      <c r="AF285" s="2392">
        <v>0</v>
      </c>
      <c r="AG285" s="2392">
        <v>3065924704</v>
      </c>
      <c r="AH285" s="2395">
        <v>0</v>
      </c>
      <c r="AI285" s="2395">
        <v>0</v>
      </c>
      <c r="AJ285" s="2392">
        <v>3065924704</v>
      </c>
      <c r="AZ285" s="2390">
        <v>11151000</v>
      </c>
      <c r="BA285" s="2403" t="s">
        <v>4041</v>
      </c>
      <c r="BB285" s="2392">
        <v>677317342</v>
      </c>
      <c r="BC285" s="2392">
        <v>0</v>
      </c>
      <c r="BD285" s="2393">
        <v>0</v>
      </c>
      <c r="BE285" s="2394">
        <v>0</v>
      </c>
      <c r="BF285" s="2392">
        <v>0</v>
      </c>
      <c r="BG285" s="2392">
        <v>677317342</v>
      </c>
      <c r="BH285" s="2395">
        <v>0</v>
      </c>
      <c r="BI285" s="2395">
        <v>0</v>
      </c>
      <c r="BJ285" s="2392">
        <v>677317342</v>
      </c>
      <c r="BN285" s="2390">
        <v>11151000</v>
      </c>
      <c r="BO285" s="2403" t="s">
        <v>4041</v>
      </c>
      <c r="BP285" s="2392">
        <v>813392873</v>
      </c>
      <c r="BQ285" s="2392">
        <v>0</v>
      </c>
      <c r="BR285" s="2393">
        <v>0</v>
      </c>
      <c r="BS285" s="2394">
        <v>0</v>
      </c>
      <c r="BT285" s="2392">
        <v>0</v>
      </c>
      <c r="BU285" s="2392">
        <v>813392873</v>
      </c>
      <c r="BV285" s="2395">
        <v>0</v>
      </c>
      <c r="BW285" s="2395">
        <v>0</v>
      </c>
      <c r="BX285" s="2392">
        <v>813392873</v>
      </c>
    </row>
    <row r="286" spans="2:76">
      <c r="B286" s="2564">
        <v>11151001</v>
      </c>
      <c r="C286" s="2565" t="s">
        <v>4990</v>
      </c>
      <c r="D286" s="2566">
        <v>0</v>
      </c>
      <c r="E286" s="1080">
        <v>0</v>
      </c>
      <c r="F286" s="2567">
        <v>0</v>
      </c>
      <c r="G286" s="2568">
        <v>0</v>
      </c>
      <c r="H286" s="2566">
        <v>0</v>
      </c>
      <c r="I286" s="2566">
        <v>0</v>
      </c>
      <c r="J286" s="2569">
        <v>0</v>
      </c>
      <c r="K286" s="2569">
        <v>0</v>
      </c>
      <c r="L286" s="2566">
        <v>0</v>
      </c>
      <c r="N286" s="2396">
        <v>11151001</v>
      </c>
      <c r="O286" s="2397" t="s">
        <v>4042</v>
      </c>
      <c r="P286" s="2398">
        <v>0</v>
      </c>
      <c r="Q286" s="2179">
        <v>0</v>
      </c>
      <c r="R286" s="2399">
        <v>0</v>
      </c>
      <c r="S286" s="2400">
        <v>0</v>
      </c>
      <c r="T286" s="2398">
        <v>0</v>
      </c>
      <c r="U286" s="2398">
        <v>0</v>
      </c>
      <c r="V286" s="2401">
        <v>0</v>
      </c>
      <c r="W286" s="2401">
        <v>0</v>
      </c>
      <c r="X286" s="2398">
        <v>0</v>
      </c>
      <c r="Z286" s="2396">
        <v>11151001</v>
      </c>
      <c r="AA286" s="2397" t="s">
        <v>4042</v>
      </c>
      <c r="AB286" s="2398">
        <v>0</v>
      </c>
      <c r="AC286" s="2179">
        <v>0</v>
      </c>
      <c r="AD286" s="2399">
        <v>0</v>
      </c>
      <c r="AE286" s="2400">
        <v>0</v>
      </c>
      <c r="AF286" s="2398">
        <v>0</v>
      </c>
      <c r="AG286" s="2398">
        <v>0</v>
      </c>
      <c r="AH286" s="2401">
        <v>0</v>
      </c>
      <c r="AI286" s="2401">
        <v>0</v>
      </c>
      <c r="AJ286" s="2398">
        <v>0</v>
      </c>
      <c r="AZ286" s="2396">
        <v>11151001</v>
      </c>
      <c r="BA286" s="2397" t="s">
        <v>4042</v>
      </c>
      <c r="BB286" s="2398">
        <v>0</v>
      </c>
      <c r="BC286" s="2179">
        <v>0</v>
      </c>
      <c r="BD286" s="2399">
        <v>0</v>
      </c>
      <c r="BE286" s="2400">
        <v>0</v>
      </c>
      <c r="BF286" s="2398">
        <v>0</v>
      </c>
      <c r="BG286" s="2398">
        <v>0</v>
      </c>
      <c r="BH286" s="2401">
        <v>0</v>
      </c>
      <c r="BI286" s="2401">
        <v>0</v>
      </c>
      <c r="BJ286" s="2398">
        <v>0</v>
      </c>
      <c r="BN286" s="2396">
        <v>11151001</v>
      </c>
      <c r="BO286" s="2397" t="s">
        <v>4042</v>
      </c>
      <c r="BP286" s="2398">
        <v>0</v>
      </c>
      <c r="BQ286" s="2179">
        <v>0</v>
      </c>
      <c r="BR286" s="2399">
        <v>0</v>
      </c>
      <c r="BS286" s="2400">
        <v>0</v>
      </c>
      <c r="BT286" s="2398">
        <v>0</v>
      </c>
      <c r="BU286" s="2398">
        <v>0</v>
      </c>
      <c r="BV286" s="2401">
        <v>0</v>
      </c>
      <c r="BW286" s="2401">
        <v>0</v>
      </c>
      <c r="BX286" s="2398">
        <v>0</v>
      </c>
    </row>
    <row r="287" spans="2:76">
      <c r="B287" s="2564">
        <v>11151002</v>
      </c>
      <c r="C287" s="2565" t="s">
        <v>4991</v>
      </c>
      <c r="D287" s="2566">
        <v>2749221272</v>
      </c>
      <c r="E287" s="1080">
        <v>0</v>
      </c>
      <c r="F287" s="2567">
        <v>0</v>
      </c>
      <c r="G287" s="2568">
        <v>0</v>
      </c>
      <c r="H287" s="2566">
        <v>0</v>
      </c>
      <c r="I287" s="2566">
        <v>2749221272</v>
      </c>
      <c r="J287" s="2569">
        <v>0</v>
      </c>
      <c r="K287" s="2569">
        <v>0</v>
      </c>
      <c r="L287" s="2566">
        <v>2749221272</v>
      </c>
      <c r="N287" s="2396">
        <v>11151002</v>
      </c>
      <c r="O287" s="2397" t="s">
        <v>4043</v>
      </c>
      <c r="P287" s="2398">
        <v>7007823821</v>
      </c>
      <c r="Q287" s="2179">
        <v>0</v>
      </c>
      <c r="R287" s="2399">
        <v>0</v>
      </c>
      <c r="S287" s="2400">
        <v>0</v>
      </c>
      <c r="T287" s="2398">
        <v>0</v>
      </c>
      <c r="U287" s="2398">
        <v>7007823821</v>
      </c>
      <c r="V287" s="2401">
        <v>0</v>
      </c>
      <c r="W287" s="2401">
        <v>0</v>
      </c>
      <c r="X287" s="2398">
        <v>7007823821</v>
      </c>
      <c r="Z287" s="2396">
        <v>11151002</v>
      </c>
      <c r="AA287" s="2397" t="s">
        <v>4043</v>
      </c>
      <c r="AB287" s="2398">
        <v>3065924704</v>
      </c>
      <c r="AC287" s="2179">
        <v>0</v>
      </c>
      <c r="AD287" s="2399">
        <v>0</v>
      </c>
      <c r="AE287" s="2400">
        <v>0</v>
      </c>
      <c r="AF287" s="2398">
        <v>0</v>
      </c>
      <c r="AG287" s="2398">
        <v>3065924704</v>
      </c>
      <c r="AH287" s="2401">
        <v>0</v>
      </c>
      <c r="AI287" s="2401">
        <v>0</v>
      </c>
      <c r="AJ287" s="2398">
        <v>3065924704</v>
      </c>
      <c r="AZ287" s="2396">
        <v>11151002</v>
      </c>
      <c r="BA287" s="2397" t="s">
        <v>4043</v>
      </c>
      <c r="BB287" s="2398">
        <v>677317342</v>
      </c>
      <c r="BC287" s="2179">
        <v>0</v>
      </c>
      <c r="BD287" s="2399">
        <v>0</v>
      </c>
      <c r="BE287" s="2400">
        <v>0</v>
      </c>
      <c r="BF287" s="2398">
        <v>0</v>
      </c>
      <c r="BG287" s="2398">
        <v>677317342</v>
      </c>
      <c r="BH287" s="2401">
        <v>0</v>
      </c>
      <c r="BI287" s="2401">
        <v>0</v>
      </c>
      <c r="BJ287" s="2398">
        <v>677317342</v>
      </c>
      <c r="BN287" s="2396">
        <v>11151002</v>
      </c>
      <c r="BO287" s="2397" t="s">
        <v>4043</v>
      </c>
      <c r="BP287" s="2398">
        <v>813392873</v>
      </c>
      <c r="BQ287" s="2179">
        <v>0</v>
      </c>
      <c r="BR287" s="2399">
        <v>0</v>
      </c>
      <c r="BS287" s="2400">
        <v>0</v>
      </c>
      <c r="BT287" s="2398">
        <v>0</v>
      </c>
      <c r="BU287" s="2398">
        <v>813392873</v>
      </c>
      <c r="BV287" s="2401">
        <v>0</v>
      </c>
      <c r="BW287" s="2401">
        <v>0</v>
      </c>
      <c r="BX287" s="2398">
        <v>813392873</v>
      </c>
    </row>
    <row r="288" spans="2:76">
      <c r="B288" s="2564">
        <v>11151003</v>
      </c>
      <c r="C288" s="2565" t="s">
        <v>4992</v>
      </c>
      <c r="D288" s="2566">
        <v>0</v>
      </c>
      <c r="E288" s="1080">
        <v>0</v>
      </c>
      <c r="F288" s="2567">
        <v>0</v>
      </c>
      <c r="G288" s="2568">
        <v>0</v>
      </c>
      <c r="H288" s="2566">
        <v>0</v>
      </c>
      <c r="I288" s="2566">
        <v>0</v>
      </c>
      <c r="J288" s="2569">
        <v>0</v>
      </c>
      <c r="K288" s="2569">
        <v>0</v>
      </c>
      <c r="L288" s="2566">
        <v>0</v>
      </c>
      <c r="N288" s="2396">
        <v>11151003</v>
      </c>
      <c r="O288" s="2397" t="s">
        <v>4044</v>
      </c>
      <c r="P288" s="2398">
        <v>1520686</v>
      </c>
      <c r="Q288" s="2179">
        <v>0</v>
      </c>
      <c r="R288" s="2399">
        <v>0</v>
      </c>
      <c r="S288" s="2400">
        <v>0</v>
      </c>
      <c r="T288" s="2398">
        <v>0</v>
      </c>
      <c r="U288" s="2398">
        <v>1520686</v>
      </c>
      <c r="V288" s="2401">
        <v>0</v>
      </c>
      <c r="W288" s="2401">
        <v>0</v>
      </c>
      <c r="X288" s="2398">
        <v>1520686</v>
      </c>
      <c r="Z288" s="2396">
        <v>11151003</v>
      </c>
      <c r="AA288" s="2397" t="s">
        <v>4044</v>
      </c>
      <c r="AB288" s="2398">
        <v>0</v>
      </c>
      <c r="AC288" s="2179">
        <v>0</v>
      </c>
      <c r="AD288" s="2399">
        <v>0</v>
      </c>
      <c r="AE288" s="2400">
        <v>0</v>
      </c>
      <c r="AF288" s="2398">
        <v>0</v>
      </c>
      <c r="AG288" s="2398">
        <v>0</v>
      </c>
      <c r="AH288" s="2401">
        <v>0</v>
      </c>
      <c r="AI288" s="2401">
        <v>0</v>
      </c>
      <c r="AJ288" s="2398">
        <v>0</v>
      </c>
      <c r="AZ288" s="2396">
        <v>11151003</v>
      </c>
      <c r="BA288" s="2397" t="s">
        <v>4044</v>
      </c>
      <c r="BB288" s="2398">
        <v>0</v>
      </c>
      <c r="BC288" s="2179">
        <v>0</v>
      </c>
      <c r="BD288" s="2399">
        <v>0</v>
      </c>
      <c r="BE288" s="2400">
        <v>0</v>
      </c>
      <c r="BF288" s="2398">
        <v>0</v>
      </c>
      <c r="BG288" s="2398">
        <v>0</v>
      </c>
      <c r="BH288" s="2401">
        <v>0</v>
      </c>
      <c r="BI288" s="2401">
        <v>0</v>
      </c>
      <c r="BJ288" s="2398">
        <v>0</v>
      </c>
      <c r="BN288" s="2396">
        <v>11151003</v>
      </c>
      <c r="BO288" s="2397" t="s">
        <v>4044</v>
      </c>
      <c r="BP288" s="2398">
        <v>0</v>
      </c>
      <c r="BQ288" s="2179">
        <v>0</v>
      </c>
      <c r="BR288" s="2399">
        <v>0</v>
      </c>
      <c r="BS288" s="2400">
        <v>0</v>
      </c>
      <c r="BT288" s="2398">
        <v>0</v>
      </c>
      <c r="BU288" s="2398">
        <v>0</v>
      </c>
      <c r="BV288" s="2401">
        <v>0</v>
      </c>
      <c r="BW288" s="2401">
        <v>0</v>
      </c>
      <c r="BX288" s="2398">
        <v>0</v>
      </c>
    </row>
    <row r="289" spans="2:76">
      <c r="B289" s="2558">
        <v>11151100</v>
      </c>
      <c r="C289" s="2571" t="s">
        <v>4045</v>
      </c>
      <c r="D289" s="2560">
        <v>14387964275</v>
      </c>
      <c r="E289" s="2560">
        <v>1183258994</v>
      </c>
      <c r="F289" s="2561">
        <v>0</v>
      </c>
      <c r="G289" s="2562">
        <v>0</v>
      </c>
      <c r="H289" s="2560">
        <v>134351071</v>
      </c>
      <c r="I289" s="2560">
        <v>15705574340</v>
      </c>
      <c r="J289" s="2563">
        <v>0</v>
      </c>
      <c r="K289" s="2563">
        <v>0</v>
      </c>
      <c r="L289" s="2560">
        <v>15705574340</v>
      </c>
      <c r="N289" s="2390">
        <v>11151100</v>
      </c>
      <c r="O289" s="2403" t="s">
        <v>4045</v>
      </c>
      <c r="P289" s="2392">
        <v>7922720994</v>
      </c>
      <c r="Q289" s="2392">
        <v>763876478</v>
      </c>
      <c r="R289" s="2393">
        <v>0</v>
      </c>
      <c r="S289" s="2394">
        <v>0</v>
      </c>
      <c r="T289" s="2392">
        <v>239747580</v>
      </c>
      <c r="U289" s="2392">
        <v>8926345052</v>
      </c>
      <c r="V289" s="2395">
        <v>0</v>
      </c>
      <c r="W289" s="2395">
        <v>0</v>
      </c>
      <c r="X289" s="2392">
        <v>8926345052</v>
      </c>
      <c r="Z289" s="2390">
        <v>11151100</v>
      </c>
      <c r="AA289" s="2403" t="s">
        <v>4045</v>
      </c>
      <c r="AB289" s="2392">
        <v>1900480935</v>
      </c>
      <c r="AC289" s="2392">
        <v>260048870</v>
      </c>
      <c r="AD289" s="2393">
        <v>0</v>
      </c>
      <c r="AE289" s="2394">
        <v>0</v>
      </c>
      <c r="AF289" s="2392">
        <v>83779482</v>
      </c>
      <c r="AG289" s="2392">
        <v>2244309287</v>
      </c>
      <c r="AH289" s="2395">
        <v>0</v>
      </c>
      <c r="AI289" s="2395">
        <v>0</v>
      </c>
      <c r="AJ289" s="2392">
        <v>2244309287</v>
      </c>
      <c r="AZ289" s="2390">
        <v>11151100</v>
      </c>
      <c r="BA289" s="2403" t="s">
        <v>4045</v>
      </c>
      <c r="BB289" s="2392">
        <v>1655670296</v>
      </c>
      <c r="BC289" s="2392">
        <v>0</v>
      </c>
      <c r="BD289" s="2393">
        <v>0</v>
      </c>
      <c r="BE289" s="2394">
        <v>0</v>
      </c>
      <c r="BF289" s="2392">
        <v>0</v>
      </c>
      <c r="BG289" s="2392">
        <v>1655670296</v>
      </c>
      <c r="BH289" s="2395">
        <v>0</v>
      </c>
      <c r="BI289" s="2395">
        <v>0</v>
      </c>
      <c r="BJ289" s="2392">
        <v>1655670296</v>
      </c>
      <c r="BN289" s="2390">
        <v>11151100</v>
      </c>
      <c r="BO289" s="2403" t="s">
        <v>4045</v>
      </c>
      <c r="BP289" s="2392">
        <v>5391407296</v>
      </c>
      <c r="BQ289" s="2392">
        <v>0</v>
      </c>
      <c r="BR289" s="2393">
        <v>0</v>
      </c>
      <c r="BS289" s="2394">
        <v>0</v>
      </c>
      <c r="BT289" s="2392">
        <v>0</v>
      </c>
      <c r="BU289" s="2392">
        <v>5391407296</v>
      </c>
      <c r="BV289" s="2395">
        <v>0</v>
      </c>
      <c r="BW289" s="2395">
        <v>0</v>
      </c>
      <c r="BX289" s="2392">
        <v>5391407296</v>
      </c>
    </row>
    <row r="290" spans="2:76">
      <c r="B290" s="2564">
        <v>11151101</v>
      </c>
      <c r="C290" s="2565" t="s">
        <v>4993</v>
      </c>
      <c r="D290" s="2566">
        <v>0</v>
      </c>
      <c r="E290" s="1080">
        <v>0</v>
      </c>
      <c r="F290" s="2567">
        <v>0</v>
      </c>
      <c r="G290" s="2568">
        <v>0</v>
      </c>
      <c r="H290" s="2566">
        <v>0</v>
      </c>
      <c r="I290" s="2566">
        <v>0</v>
      </c>
      <c r="J290" s="2569">
        <v>0</v>
      </c>
      <c r="K290" s="2569">
        <v>0</v>
      </c>
      <c r="L290" s="2566">
        <v>0</v>
      </c>
      <c r="N290" s="2396">
        <v>11151101</v>
      </c>
      <c r="O290" s="2397" t="s">
        <v>4046</v>
      </c>
      <c r="P290" s="2398">
        <v>146244088</v>
      </c>
      <c r="Q290" s="2179">
        <v>0</v>
      </c>
      <c r="R290" s="2399">
        <v>0</v>
      </c>
      <c r="S290" s="2400">
        <v>0</v>
      </c>
      <c r="T290" s="2398">
        <v>0</v>
      </c>
      <c r="U290" s="2398">
        <v>146244088</v>
      </c>
      <c r="V290" s="2401">
        <v>0</v>
      </c>
      <c r="W290" s="2401">
        <v>0</v>
      </c>
      <c r="X290" s="2398">
        <v>146244088</v>
      </c>
      <c r="Z290" s="2396">
        <v>11151101</v>
      </c>
      <c r="AA290" s="2397" t="s">
        <v>4046</v>
      </c>
      <c r="AB290" s="2398">
        <v>1664731735</v>
      </c>
      <c r="AC290" s="2179">
        <v>0</v>
      </c>
      <c r="AD290" s="2399">
        <v>0</v>
      </c>
      <c r="AE290" s="2400">
        <v>0</v>
      </c>
      <c r="AF290" s="2398">
        <v>0</v>
      </c>
      <c r="AG290" s="2398">
        <v>1664731735</v>
      </c>
      <c r="AH290" s="2401">
        <v>0</v>
      </c>
      <c r="AI290" s="2401">
        <v>0</v>
      </c>
      <c r="AJ290" s="2398">
        <v>1664731735</v>
      </c>
      <c r="AZ290" s="2396">
        <v>11151101</v>
      </c>
      <c r="BA290" s="2397" t="s">
        <v>4046</v>
      </c>
      <c r="BB290" s="2398">
        <v>1134269538</v>
      </c>
      <c r="BC290" s="2179">
        <v>0</v>
      </c>
      <c r="BD290" s="2399">
        <v>0</v>
      </c>
      <c r="BE290" s="2400">
        <v>0</v>
      </c>
      <c r="BF290" s="2398">
        <v>0</v>
      </c>
      <c r="BG290" s="2398">
        <v>1134269538</v>
      </c>
      <c r="BH290" s="2401">
        <v>0</v>
      </c>
      <c r="BI290" s="2401">
        <v>0</v>
      </c>
      <c r="BJ290" s="2398">
        <v>1134269538</v>
      </c>
      <c r="BN290" s="2396">
        <v>11151101</v>
      </c>
      <c r="BO290" s="2397" t="s">
        <v>4046</v>
      </c>
      <c r="BP290" s="2398">
        <v>2423320000</v>
      </c>
      <c r="BQ290" s="2179">
        <v>0</v>
      </c>
      <c r="BR290" s="2399">
        <v>0</v>
      </c>
      <c r="BS290" s="2400">
        <v>0</v>
      </c>
      <c r="BT290" s="2398">
        <v>0</v>
      </c>
      <c r="BU290" s="2398">
        <v>2423320000</v>
      </c>
      <c r="BV290" s="2401">
        <v>0</v>
      </c>
      <c r="BW290" s="2401">
        <v>0</v>
      </c>
      <c r="BX290" s="2398">
        <v>2423320000</v>
      </c>
    </row>
    <row r="291" spans="2:76">
      <c r="B291" s="2564">
        <v>11151102</v>
      </c>
      <c r="C291" s="2565" t="s">
        <v>4994</v>
      </c>
      <c r="D291" s="2566">
        <v>14387964275</v>
      </c>
      <c r="E291" s="1080">
        <v>1183258994</v>
      </c>
      <c r="F291" s="2567">
        <v>0</v>
      </c>
      <c r="G291" s="2568">
        <v>0</v>
      </c>
      <c r="H291" s="2566">
        <v>134351071</v>
      </c>
      <c r="I291" s="2566">
        <v>15705574340</v>
      </c>
      <c r="J291" s="2569">
        <v>0</v>
      </c>
      <c r="K291" s="2569">
        <v>0</v>
      </c>
      <c r="L291" s="2566">
        <v>15705574340</v>
      </c>
      <c r="N291" s="2396">
        <v>11151102</v>
      </c>
      <c r="O291" s="2397" t="s">
        <v>4047</v>
      </c>
      <c r="P291" s="2398">
        <v>7776476906</v>
      </c>
      <c r="Q291" s="2179">
        <v>763876478</v>
      </c>
      <c r="R291" s="2399">
        <v>0</v>
      </c>
      <c r="S291" s="2400">
        <v>0</v>
      </c>
      <c r="T291" s="2398">
        <v>239747580</v>
      </c>
      <c r="U291" s="2398">
        <v>8780100964</v>
      </c>
      <c r="V291" s="2401">
        <v>0</v>
      </c>
      <c r="W291" s="2401">
        <v>0</v>
      </c>
      <c r="X291" s="2398">
        <v>8780100964</v>
      </c>
      <c r="Z291" s="2396">
        <v>11151102</v>
      </c>
      <c r="AA291" s="2397" t="s">
        <v>4047</v>
      </c>
      <c r="AB291" s="2398">
        <v>235749200</v>
      </c>
      <c r="AC291" s="2179">
        <v>260048870</v>
      </c>
      <c r="AD291" s="2399">
        <v>0</v>
      </c>
      <c r="AE291" s="2400">
        <v>0</v>
      </c>
      <c r="AF291" s="2398">
        <v>83779482</v>
      </c>
      <c r="AG291" s="2398">
        <v>579577552</v>
      </c>
      <c r="AH291" s="2401">
        <v>0</v>
      </c>
      <c r="AI291" s="2401">
        <v>0</v>
      </c>
      <c r="AJ291" s="2398">
        <v>579577552</v>
      </c>
      <c r="AZ291" s="2396">
        <v>11151102</v>
      </c>
      <c r="BA291" s="2397" t="s">
        <v>4047</v>
      </c>
      <c r="BB291" s="2398">
        <v>521400758</v>
      </c>
      <c r="BC291" s="2179">
        <v>0</v>
      </c>
      <c r="BD291" s="2399">
        <v>0</v>
      </c>
      <c r="BE291" s="2400">
        <v>0</v>
      </c>
      <c r="BF291" s="2398">
        <v>0</v>
      </c>
      <c r="BG291" s="2398">
        <v>521400758</v>
      </c>
      <c r="BH291" s="2401">
        <v>0</v>
      </c>
      <c r="BI291" s="2401">
        <v>0</v>
      </c>
      <c r="BJ291" s="2398">
        <v>521400758</v>
      </c>
      <c r="BN291" s="2396">
        <v>11151102</v>
      </c>
      <c r="BO291" s="2397" t="s">
        <v>4047</v>
      </c>
      <c r="BP291" s="2398">
        <v>2968087296</v>
      </c>
      <c r="BQ291" s="2179">
        <v>0</v>
      </c>
      <c r="BR291" s="2399">
        <v>0</v>
      </c>
      <c r="BS291" s="2400">
        <v>0</v>
      </c>
      <c r="BT291" s="2398">
        <v>0</v>
      </c>
      <c r="BU291" s="2398">
        <v>2968087296</v>
      </c>
      <c r="BV291" s="2401">
        <v>0</v>
      </c>
      <c r="BW291" s="2401">
        <v>0</v>
      </c>
      <c r="BX291" s="2398">
        <v>2968087296</v>
      </c>
    </row>
    <row r="292" spans="2:76">
      <c r="B292" s="2552">
        <v>11160000</v>
      </c>
      <c r="C292" s="2570" t="s">
        <v>1588</v>
      </c>
      <c r="D292" s="2554">
        <v>1636140469561</v>
      </c>
      <c r="E292" s="2554">
        <v>22926556381</v>
      </c>
      <c r="F292" s="2555">
        <v>27212904403</v>
      </c>
      <c r="G292" s="2556">
        <v>0</v>
      </c>
      <c r="H292" s="2554">
        <v>327490233</v>
      </c>
      <c r="I292" s="2554">
        <v>1686607420578</v>
      </c>
      <c r="J292" s="2557">
        <v>0</v>
      </c>
      <c r="K292" s="2557">
        <v>0</v>
      </c>
      <c r="L292" s="2554">
        <v>1684308116163</v>
      </c>
      <c r="N292" s="2384">
        <v>11160000</v>
      </c>
      <c r="O292" s="2402" t="s">
        <v>1588</v>
      </c>
      <c r="P292" s="2386">
        <v>1559942659246</v>
      </c>
      <c r="Q292" s="2386">
        <v>24230119712</v>
      </c>
      <c r="R292" s="2387">
        <v>42207792729</v>
      </c>
      <c r="S292" s="2388">
        <v>0</v>
      </c>
      <c r="T292" s="2386">
        <v>220452174</v>
      </c>
      <c r="U292" s="2386">
        <v>1626601023861</v>
      </c>
      <c r="V292" s="2389">
        <v>0</v>
      </c>
      <c r="W292" s="2389">
        <v>0</v>
      </c>
      <c r="X292" s="2386">
        <v>1622390545662</v>
      </c>
      <c r="Z292" s="2384">
        <v>11160000</v>
      </c>
      <c r="AA292" s="2402" t="s">
        <v>1588</v>
      </c>
      <c r="AB292" s="2386">
        <v>1609405688633</v>
      </c>
      <c r="AC292" s="2386">
        <v>20889301677</v>
      </c>
      <c r="AD292" s="2387">
        <v>22752579033</v>
      </c>
      <c r="AE292" s="2388">
        <v>0</v>
      </c>
      <c r="AF292" s="2386">
        <v>707702221</v>
      </c>
      <c r="AG292" s="2386">
        <v>1653755271564</v>
      </c>
      <c r="AH292" s="2389">
        <v>0</v>
      </c>
      <c r="AI292" s="2389">
        <v>0</v>
      </c>
      <c r="AJ292" s="2386">
        <v>1648923778095</v>
      </c>
      <c r="AZ292" s="2384">
        <v>11160000</v>
      </c>
      <c r="BA292" s="2402" t="s">
        <v>1588</v>
      </c>
      <c r="BB292" s="2386">
        <v>1210435008318</v>
      </c>
      <c r="BC292" s="2386">
        <v>22293832365</v>
      </c>
      <c r="BD292" s="2387">
        <v>22662632297</v>
      </c>
      <c r="BE292" s="2388">
        <v>0</v>
      </c>
      <c r="BF292" s="2386">
        <v>772540209</v>
      </c>
      <c r="BG292" s="2386">
        <v>1256164013189</v>
      </c>
      <c r="BH292" s="2389">
        <v>0</v>
      </c>
      <c r="BI292" s="2389">
        <v>0</v>
      </c>
      <c r="BJ292" s="2386">
        <v>1253565831209</v>
      </c>
      <c r="BN292" s="2384">
        <v>11160000</v>
      </c>
      <c r="BO292" s="2402" t="s">
        <v>1588</v>
      </c>
      <c r="BP292" s="2386">
        <v>1489324230692</v>
      </c>
      <c r="BQ292" s="2386">
        <v>15756279102</v>
      </c>
      <c r="BR292" s="2387">
        <v>19118531427</v>
      </c>
      <c r="BS292" s="2388">
        <v>0</v>
      </c>
      <c r="BT292" s="2386">
        <v>652491205</v>
      </c>
      <c r="BU292" s="2386">
        <v>1524851532426</v>
      </c>
      <c r="BV292" s="2389">
        <v>0</v>
      </c>
      <c r="BW292" s="2389">
        <v>0</v>
      </c>
      <c r="BX292" s="2386">
        <v>1522715929694</v>
      </c>
    </row>
    <row r="293" spans="2:76">
      <c r="B293" s="2558">
        <v>11161000</v>
      </c>
      <c r="C293" s="2571" t="s">
        <v>4048</v>
      </c>
      <c r="D293" s="2560">
        <v>110322800</v>
      </c>
      <c r="E293" s="2560">
        <v>0</v>
      </c>
      <c r="F293" s="2561">
        <v>0</v>
      </c>
      <c r="G293" s="2562">
        <v>0</v>
      </c>
      <c r="H293" s="2560">
        <v>0</v>
      </c>
      <c r="I293" s="2560">
        <v>110322800</v>
      </c>
      <c r="J293" s="2563">
        <v>0</v>
      </c>
      <c r="K293" s="2563">
        <v>0</v>
      </c>
      <c r="L293" s="2560">
        <v>110322800</v>
      </c>
      <c r="N293" s="2390">
        <v>11161000</v>
      </c>
      <c r="O293" s="2403" t="s">
        <v>4048</v>
      </c>
      <c r="P293" s="2392">
        <v>0</v>
      </c>
      <c r="Q293" s="2392">
        <v>0</v>
      </c>
      <c r="R293" s="2393">
        <v>0</v>
      </c>
      <c r="S293" s="2394">
        <v>0</v>
      </c>
      <c r="T293" s="2392">
        <v>0</v>
      </c>
      <c r="U293" s="2392">
        <v>0</v>
      </c>
      <c r="V293" s="2395">
        <v>0</v>
      </c>
      <c r="W293" s="2395">
        <v>0</v>
      </c>
      <c r="X293" s="2392">
        <v>0</v>
      </c>
      <c r="Z293" s="2390">
        <v>11161000</v>
      </c>
      <c r="AA293" s="2403" t="s">
        <v>4048</v>
      </c>
      <c r="AB293" s="2392">
        <v>0</v>
      </c>
      <c r="AC293" s="2392">
        <v>0</v>
      </c>
      <c r="AD293" s="2393">
        <v>0</v>
      </c>
      <c r="AE293" s="2394">
        <v>0</v>
      </c>
      <c r="AF293" s="2392">
        <v>0</v>
      </c>
      <c r="AG293" s="2392">
        <v>0</v>
      </c>
      <c r="AH293" s="2395">
        <v>0</v>
      </c>
      <c r="AI293" s="2395">
        <v>0</v>
      </c>
      <c r="AJ293" s="2392">
        <v>0</v>
      </c>
      <c r="AZ293" s="2390">
        <v>11161000</v>
      </c>
      <c r="BA293" s="2403" t="s">
        <v>4048</v>
      </c>
      <c r="BB293" s="2392">
        <v>0</v>
      </c>
      <c r="BC293" s="2392">
        <v>0</v>
      </c>
      <c r="BD293" s="2393">
        <v>0</v>
      </c>
      <c r="BE293" s="2394">
        <v>0</v>
      </c>
      <c r="BF293" s="2392">
        <v>0</v>
      </c>
      <c r="BG293" s="2392">
        <v>0</v>
      </c>
      <c r="BH293" s="2395">
        <v>0</v>
      </c>
      <c r="BI293" s="2395">
        <v>0</v>
      </c>
      <c r="BJ293" s="2392">
        <v>0</v>
      </c>
      <c r="BN293" s="2390">
        <v>11161000</v>
      </c>
      <c r="BO293" s="2403" t="s">
        <v>4048</v>
      </c>
      <c r="BP293" s="2392">
        <v>0</v>
      </c>
      <c r="BQ293" s="2392">
        <v>0</v>
      </c>
      <c r="BR293" s="2393">
        <v>0</v>
      </c>
      <c r="BS293" s="2394">
        <v>0</v>
      </c>
      <c r="BT293" s="2392">
        <v>0</v>
      </c>
      <c r="BU293" s="2392">
        <v>0</v>
      </c>
      <c r="BV293" s="2395">
        <v>0</v>
      </c>
      <c r="BW293" s="2395">
        <v>0</v>
      </c>
      <c r="BX293" s="2392">
        <v>0</v>
      </c>
    </row>
    <row r="294" spans="2:76">
      <c r="B294" s="2564">
        <v>11161001</v>
      </c>
      <c r="C294" s="2565" t="s">
        <v>4048</v>
      </c>
      <c r="D294" s="2566">
        <v>110322800</v>
      </c>
      <c r="E294" s="1080">
        <v>0</v>
      </c>
      <c r="F294" s="2567">
        <v>0</v>
      </c>
      <c r="G294" s="2568">
        <v>0</v>
      </c>
      <c r="H294" s="2566">
        <v>0</v>
      </c>
      <c r="I294" s="2566">
        <v>110322800</v>
      </c>
      <c r="J294" s="2569">
        <v>0</v>
      </c>
      <c r="K294" s="2569">
        <v>0</v>
      </c>
      <c r="L294" s="2566">
        <v>110322800</v>
      </c>
      <c r="N294" s="2396">
        <v>11161001</v>
      </c>
      <c r="O294" s="2397" t="s">
        <v>4048</v>
      </c>
      <c r="P294" s="2398">
        <v>0</v>
      </c>
      <c r="Q294" s="2179">
        <v>0</v>
      </c>
      <c r="R294" s="2399">
        <v>0</v>
      </c>
      <c r="S294" s="2400">
        <v>0</v>
      </c>
      <c r="T294" s="2398">
        <v>0</v>
      </c>
      <c r="U294" s="2398">
        <v>0</v>
      </c>
      <c r="V294" s="2401">
        <v>0</v>
      </c>
      <c r="W294" s="2401">
        <v>0</v>
      </c>
      <c r="X294" s="2398">
        <v>0</v>
      </c>
      <c r="Z294" s="2396">
        <v>11161001</v>
      </c>
      <c r="AA294" s="2397" t="s">
        <v>4048</v>
      </c>
      <c r="AB294" s="2398">
        <v>0</v>
      </c>
      <c r="AC294" s="2179">
        <v>0</v>
      </c>
      <c r="AD294" s="2399">
        <v>0</v>
      </c>
      <c r="AE294" s="2400">
        <v>0</v>
      </c>
      <c r="AF294" s="2398">
        <v>0</v>
      </c>
      <c r="AG294" s="2398">
        <v>0</v>
      </c>
      <c r="AH294" s="2401">
        <v>0</v>
      </c>
      <c r="AI294" s="2401">
        <v>0</v>
      </c>
      <c r="AJ294" s="2398">
        <v>0</v>
      </c>
      <c r="AZ294" s="2396">
        <v>11161001</v>
      </c>
      <c r="BA294" s="2397" t="s">
        <v>4048</v>
      </c>
      <c r="BB294" s="2398">
        <v>0</v>
      </c>
      <c r="BC294" s="2179">
        <v>0</v>
      </c>
      <c r="BD294" s="2399">
        <v>0</v>
      </c>
      <c r="BE294" s="2400">
        <v>0</v>
      </c>
      <c r="BF294" s="2398">
        <v>0</v>
      </c>
      <c r="BG294" s="2398">
        <v>0</v>
      </c>
      <c r="BH294" s="2401">
        <v>0</v>
      </c>
      <c r="BI294" s="2401">
        <v>0</v>
      </c>
      <c r="BJ294" s="2398">
        <v>0</v>
      </c>
      <c r="BN294" s="2396">
        <v>11161001</v>
      </c>
      <c r="BO294" s="2397" t="s">
        <v>4048</v>
      </c>
      <c r="BP294" s="2398">
        <v>0</v>
      </c>
      <c r="BQ294" s="2179">
        <v>0</v>
      </c>
      <c r="BR294" s="2399">
        <v>0</v>
      </c>
      <c r="BS294" s="2400">
        <v>0</v>
      </c>
      <c r="BT294" s="2398">
        <v>0</v>
      </c>
      <c r="BU294" s="2398">
        <v>0</v>
      </c>
      <c r="BV294" s="2401">
        <v>0</v>
      </c>
      <c r="BW294" s="2401">
        <v>0</v>
      </c>
      <c r="BX294" s="2398">
        <v>0</v>
      </c>
    </row>
    <row r="295" spans="2:76">
      <c r="B295" s="2558">
        <v>11161100</v>
      </c>
      <c r="C295" s="2571" t="s">
        <v>4049</v>
      </c>
      <c r="D295" s="2560">
        <v>0</v>
      </c>
      <c r="E295" s="2560">
        <v>0</v>
      </c>
      <c r="F295" s="2561">
        <v>0</v>
      </c>
      <c r="G295" s="2562">
        <v>0</v>
      </c>
      <c r="H295" s="2560">
        <v>0</v>
      </c>
      <c r="I295" s="2560">
        <v>0</v>
      </c>
      <c r="J295" s="2563">
        <v>0</v>
      </c>
      <c r="K295" s="2563">
        <v>0</v>
      </c>
      <c r="L295" s="2560">
        <v>0</v>
      </c>
      <c r="N295" s="2390">
        <v>11161100</v>
      </c>
      <c r="O295" s="2403" t="s">
        <v>4049</v>
      </c>
      <c r="P295" s="2392">
        <v>0</v>
      </c>
      <c r="Q295" s="2392">
        <v>0</v>
      </c>
      <c r="R295" s="2393">
        <v>0</v>
      </c>
      <c r="S295" s="2394">
        <v>0</v>
      </c>
      <c r="T295" s="2392">
        <v>0</v>
      </c>
      <c r="U295" s="2392">
        <v>0</v>
      </c>
      <c r="V295" s="2395">
        <v>0</v>
      </c>
      <c r="W295" s="2395">
        <v>0</v>
      </c>
      <c r="X295" s="2392">
        <v>0</v>
      </c>
      <c r="Z295" s="2390">
        <v>11161100</v>
      </c>
      <c r="AA295" s="2403" t="s">
        <v>4049</v>
      </c>
      <c r="AB295" s="2392">
        <v>0</v>
      </c>
      <c r="AC295" s="2392">
        <v>0</v>
      </c>
      <c r="AD295" s="2393">
        <v>0</v>
      </c>
      <c r="AE295" s="2394">
        <v>0</v>
      </c>
      <c r="AF295" s="2392">
        <v>0</v>
      </c>
      <c r="AG295" s="2392">
        <v>0</v>
      </c>
      <c r="AH295" s="2395">
        <v>0</v>
      </c>
      <c r="AI295" s="2395">
        <v>0</v>
      </c>
      <c r="AJ295" s="2392">
        <v>0</v>
      </c>
      <c r="AZ295" s="2390">
        <v>11161100</v>
      </c>
      <c r="BA295" s="2403" t="s">
        <v>4049</v>
      </c>
      <c r="BB295" s="2392">
        <v>0</v>
      </c>
      <c r="BC295" s="2392">
        <v>0</v>
      </c>
      <c r="BD295" s="2393">
        <v>0</v>
      </c>
      <c r="BE295" s="2394">
        <v>0</v>
      </c>
      <c r="BF295" s="2392">
        <v>0</v>
      </c>
      <c r="BG295" s="2392">
        <v>0</v>
      </c>
      <c r="BH295" s="2395">
        <v>0</v>
      </c>
      <c r="BI295" s="2395">
        <v>0</v>
      </c>
      <c r="BJ295" s="2392">
        <v>0</v>
      </c>
      <c r="BN295" s="2390">
        <v>11161100</v>
      </c>
      <c r="BO295" s="2403" t="s">
        <v>4049</v>
      </c>
      <c r="BP295" s="2392">
        <v>0</v>
      </c>
      <c r="BQ295" s="2392">
        <v>0</v>
      </c>
      <c r="BR295" s="2393">
        <v>0</v>
      </c>
      <c r="BS295" s="2394">
        <v>0</v>
      </c>
      <c r="BT295" s="2392">
        <v>0</v>
      </c>
      <c r="BU295" s="2392">
        <v>0</v>
      </c>
      <c r="BV295" s="2395">
        <v>0</v>
      </c>
      <c r="BW295" s="2395">
        <v>0</v>
      </c>
      <c r="BX295" s="2392">
        <v>0</v>
      </c>
    </row>
    <row r="296" spans="2:76">
      <c r="B296" s="2564">
        <v>11161101</v>
      </c>
      <c r="C296" s="2565" t="s">
        <v>4049</v>
      </c>
      <c r="D296" s="2566">
        <v>0</v>
      </c>
      <c r="E296" s="1080">
        <v>0</v>
      </c>
      <c r="F296" s="2567">
        <v>0</v>
      </c>
      <c r="G296" s="2568">
        <v>0</v>
      </c>
      <c r="H296" s="2566">
        <v>0</v>
      </c>
      <c r="I296" s="2566">
        <v>0</v>
      </c>
      <c r="J296" s="2569">
        <v>0</v>
      </c>
      <c r="K296" s="2569">
        <v>0</v>
      </c>
      <c r="L296" s="2566">
        <v>0</v>
      </c>
      <c r="N296" s="2396">
        <v>11161101</v>
      </c>
      <c r="O296" s="2397" t="s">
        <v>4049</v>
      </c>
      <c r="P296" s="2398">
        <v>0</v>
      </c>
      <c r="Q296" s="2179">
        <v>0</v>
      </c>
      <c r="R296" s="2399">
        <v>0</v>
      </c>
      <c r="S296" s="2400">
        <v>0</v>
      </c>
      <c r="T296" s="2398">
        <v>0</v>
      </c>
      <c r="U296" s="2398">
        <v>0</v>
      </c>
      <c r="V296" s="2401">
        <v>0</v>
      </c>
      <c r="W296" s="2401">
        <v>0</v>
      </c>
      <c r="X296" s="2398">
        <v>0</v>
      </c>
      <c r="Z296" s="2396">
        <v>11161101</v>
      </c>
      <c r="AA296" s="2397" t="s">
        <v>4049</v>
      </c>
      <c r="AB296" s="2398">
        <v>0</v>
      </c>
      <c r="AC296" s="2179">
        <v>0</v>
      </c>
      <c r="AD296" s="2399">
        <v>0</v>
      </c>
      <c r="AE296" s="2400">
        <v>0</v>
      </c>
      <c r="AF296" s="2398">
        <v>0</v>
      </c>
      <c r="AG296" s="2398">
        <v>0</v>
      </c>
      <c r="AH296" s="2401">
        <v>0</v>
      </c>
      <c r="AI296" s="2401">
        <v>0</v>
      </c>
      <c r="AJ296" s="2398">
        <v>0</v>
      </c>
      <c r="AZ296" s="2396">
        <v>11161101</v>
      </c>
      <c r="BA296" s="2397" t="s">
        <v>4049</v>
      </c>
      <c r="BB296" s="2398">
        <v>0</v>
      </c>
      <c r="BC296" s="2179">
        <v>0</v>
      </c>
      <c r="BD296" s="2399">
        <v>0</v>
      </c>
      <c r="BE296" s="2400">
        <v>0</v>
      </c>
      <c r="BF296" s="2398">
        <v>0</v>
      </c>
      <c r="BG296" s="2398">
        <v>0</v>
      </c>
      <c r="BH296" s="2401">
        <v>0</v>
      </c>
      <c r="BI296" s="2401">
        <v>0</v>
      </c>
      <c r="BJ296" s="2398">
        <v>0</v>
      </c>
      <c r="BN296" s="2396">
        <v>11161101</v>
      </c>
      <c r="BO296" s="2397" t="s">
        <v>4049</v>
      </c>
      <c r="BP296" s="2398">
        <v>0</v>
      </c>
      <c r="BQ296" s="2179">
        <v>0</v>
      </c>
      <c r="BR296" s="2399">
        <v>0</v>
      </c>
      <c r="BS296" s="2400">
        <v>0</v>
      </c>
      <c r="BT296" s="2398">
        <v>0</v>
      </c>
      <c r="BU296" s="2398">
        <v>0</v>
      </c>
      <c r="BV296" s="2401">
        <v>0</v>
      </c>
      <c r="BW296" s="2401">
        <v>0</v>
      </c>
      <c r="BX296" s="2398">
        <v>0</v>
      </c>
    </row>
    <row r="297" spans="2:76">
      <c r="B297" s="2558">
        <v>11161200</v>
      </c>
      <c r="C297" s="2571" t="s">
        <v>4050</v>
      </c>
      <c r="D297" s="2560">
        <v>192874274149</v>
      </c>
      <c r="E297" s="2560">
        <v>10618832822</v>
      </c>
      <c r="F297" s="2561">
        <v>5648415652</v>
      </c>
      <c r="G297" s="2562">
        <v>0</v>
      </c>
      <c r="H297" s="2560">
        <v>0</v>
      </c>
      <c r="I297" s="2560">
        <v>209141522623</v>
      </c>
      <c r="J297" s="2563">
        <v>0</v>
      </c>
      <c r="K297" s="2563">
        <v>0</v>
      </c>
      <c r="L297" s="2560">
        <v>209141522623</v>
      </c>
      <c r="N297" s="2390">
        <v>11161200</v>
      </c>
      <c r="O297" s="2403" t="s">
        <v>4050</v>
      </c>
      <c r="P297" s="2392">
        <v>145946479802</v>
      </c>
      <c r="Q297" s="2392">
        <v>14764746524</v>
      </c>
      <c r="R297" s="2393">
        <v>18544993958</v>
      </c>
      <c r="S297" s="2394">
        <v>0</v>
      </c>
      <c r="T297" s="2392">
        <v>0</v>
      </c>
      <c r="U297" s="2392">
        <v>179256220284</v>
      </c>
      <c r="V297" s="2395">
        <v>0</v>
      </c>
      <c r="W297" s="2395">
        <v>0</v>
      </c>
      <c r="X297" s="2392">
        <v>179256220284</v>
      </c>
      <c r="Z297" s="2390">
        <v>11161200</v>
      </c>
      <c r="AA297" s="2403" t="s">
        <v>4050</v>
      </c>
      <c r="AB297" s="2392">
        <v>174374670751</v>
      </c>
      <c r="AC297" s="2392">
        <v>9820284440</v>
      </c>
      <c r="AD297" s="2393">
        <v>12860131211</v>
      </c>
      <c r="AE297" s="2394">
        <v>0</v>
      </c>
      <c r="AF297" s="2392">
        <v>0</v>
      </c>
      <c r="AG297" s="2392">
        <v>197055086402</v>
      </c>
      <c r="AH297" s="2395">
        <v>0</v>
      </c>
      <c r="AI297" s="2395">
        <v>0</v>
      </c>
      <c r="AJ297" s="2392">
        <v>197055086402</v>
      </c>
      <c r="AZ297" s="2390">
        <v>11161200</v>
      </c>
      <c r="BA297" s="2403" t="s">
        <v>4050</v>
      </c>
      <c r="BB297" s="2392">
        <v>135648290370</v>
      </c>
      <c r="BC297" s="2392">
        <v>11080998624</v>
      </c>
      <c r="BD297" s="2393">
        <v>8875609692</v>
      </c>
      <c r="BE297" s="2394">
        <v>0</v>
      </c>
      <c r="BF297" s="2392">
        <v>0</v>
      </c>
      <c r="BG297" s="2392">
        <v>155604898686</v>
      </c>
      <c r="BH297" s="2395">
        <v>0</v>
      </c>
      <c r="BI297" s="2395">
        <v>0</v>
      </c>
      <c r="BJ297" s="2392">
        <v>155604898686</v>
      </c>
      <c r="BN297" s="2390">
        <v>11161200</v>
      </c>
      <c r="BO297" s="2403" t="s">
        <v>4050</v>
      </c>
      <c r="BP297" s="2392">
        <v>144775826840</v>
      </c>
      <c r="BQ297" s="2392">
        <v>8060435208</v>
      </c>
      <c r="BR297" s="2393">
        <v>8849147818</v>
      </c>
      <c r="BS297" s="2394">
        <v>0</v>
      </c>
      <c r="BT297" s="2392">
        <v>0</v>
      </c>
      <c r="BU297" s="2392">
        <v>161685409866</v>
      </c>
      <c r="BV297" s="2395">
        <v>0</v>
      </c>
      <c r="BW297" s="2395">
        <v>0</v>
      </c>
      <c r="BX297" s="2392">
        <v>161685409866</v>
      </c>
    </row>
    <row r="298" spans="2:76">
      <c r="B298" s="2564">
        <v>11161201</v>
      </c>
      <c r="C298" s="2565" t="s">
        <v>4050</v>
      </c>
      <c r="D298" s="2566">
        <v>192874274149</v>
      </c>
      <c r="E298" s="1080">
        <v>10618832822</v>
      </c>
      <c r="F298" s="2567">
        <v>5648415652</v>
      </c>
      <c r="G298" s="2568">
        <v>0</v>
      </c>
      <c r="H298" s="2566">
        <v>0</v>
      </c>
      <c r="I298" s="2566">
        <v>209141522623</v>
      </c>
      <c r="J298" s="2569">
        <v>0</v>
      </c>
      <c r="K298" s="2569">
        <v>0</v>
      </c>
      <c r="L298" s="2566">
        <v>209141522623</v>
      </c>
      <c r="N298" s="2396">
        <v>11161201</v>
      </c>
      <c r="O298" s="2397" t="s">
        <v>4050</v>
      </c>
      <c r="P298" s="2398">
        <v>145946479802</v>
      </c>
      <c r="Q298" s="2179">
        <v>14764746524</v>
      </c>
      <c r="R298" s="2399">
        <v>18544993958</v>
      </c>
      <c r="S298" s="2400">
        <v>0</v>
      </c>
      <c r="T298" s="2398">
        <v>0</v>
      </c>
      <c r="U298" s="2398">
        <v>179256220284</v>
      </c>
      <c r="V298" s="2401">
        <v>0</v>
      </c>
      <c r="W298" s="2401">
        <v>0</v>
      </c>
      <c r="X298" s="2398">
        <v>179256220284</v>
      </c>
      <c r="Z298" s="2396">
        <v>11161201</v>
      </c>
      <c r="AA298" s="2397" t="s">
        <v>4050</v>
      </c>
      <c r="AB298" s="2398">
        <v>174374670751</v>
      </c>
      <c r="AC298" s="2179">
        <v>9820284440</v>
      </c>
      <c r="AD298" s="2399">
        <v>12860131211</v>
      </c>
      <c r="AE298" s="2400">
        <v>0</v>
      </c>
      <c r="AF298" s="2398">
        <v>0</v>
      </c>
      <c r="AG298" s="2398">
        <v>197055086402</v>
      </c>
      <c r="AH298" s="2401">
        <v>0</v>
      </c>
      <c r="AI298" s="2401">
        <v>0</v>
      </c>
      <c r="AJ298" s="2398">
        <v>197055086402</v>
      </c>
      <c r="AZ298" s="2396">
        <v>11161201</v>
      </c>
      <c r="BA298" s="2397" t="s">
        <v>4050</v>
      </c>
      <c r="BB298" s="2398">
        <v>135648290370</v>
      </c>
      <c r="BC298" s="2179">
        <v>11080998624</v>
      </c>
      <c r="BD298" s="2399">
        <v>8875609692</v>
      </c>
      <c r="BE298" s="2400">
        <v>0</v>
      </c>
      <c r="BF298" s="2398">
        <v>0</v>
      </c>
      <c r="BG298" s="2398">
        <v>155604898686</v>
      </c>
      <c r="BH298" s="2401">
        <v>0</v>
      </c>
      <c r="BI298" s="2401">
        <v>0</v>
      </c>
      <c r="BJ298" s="2398">
        <v>155604898686</v>
      </c>
      <c r="BN298" s="2396">
        <v>11161201</v>
      </c>
      <c r="BO298" s="2397" t="s">
        <v>4050</v>
      </c>
      <c r="BP298" s="2398">
        <v>144775826840</v>
      </c>
      <c r="BQ298" s="2179">
        <v>8060435208</v>
      </c>
      <c r="BR298" s="2399">
        <v>8849147818</v>
      </c>
      <c r="BS298" s="2400">
        <v>0</v>
      </c>
      <c r="BT298" s="2398">
        <v>0</v>
      </c>
      <c r="BU298" s="2398">
        <v>161685409866</v>
      </c>
      <c r="BV298" s="2401">
        <v>0</v>
      </c>
      <c r="BW298" s="2401">
        <v>0</v>
      </c>
      <c r="BX298" s="2398">
        <v>161685409866</v>
      </c>
    </row>
    <row r="299" spans="2:76">
      <c r="B299" s="2558">
        <v>11161300</v>
      </c>
      <c r="C299" s="2571" t="s">
        <v>4051</v>
      </c>
      <c r="D299" s="2560">
        <v>-443891116</v>
      </c>
      <c r="E299" s="2560">
        <v>0</v>
      </c>
      <c r="F299" s="2561">
        <v>-21992250</v>
      </c>
      <c r="G299" s="2562">
        <v>0</v>
      </c>
      <c r="H299" s="2560">
        <v>0</v>
      </c>
      <c r="I299" s="2560">
        <v>-465883366</v>
      </c>
      <c r="J299" s="2563">
        <v>0</v>
      </c>
      <c r="K299" s="2563">
        <v>0</v>
      </c>
      <c r="L299" s="2560">
        <v>-465883366</v>
      </c>
      <c r="N299" s="2390">
        <v>11161300</v>
      </c>
      <c r="O299" s="2403" t="s">
        <v>4051</v>
      </c>
      <c r="P299" s="2392">
        <v>-728639854</v>
      </c>
      <c r="Q299" s="2392">
        <v>0</v>
      </c>
      <c r="R299" s="2393">
        <v>-15157307</v>
      </c>
      <c r="S299" s="2394">
        <v>0</v>
      </c>
      <c r="T299" s="2392">
        <v>0</v>
      </c>
      <c r="U299" s="2392">
        <v>-743797161</v>
      </c>
      <c r="V299" s="2395">
        <v>0</v>
      </c>
      <c r="W299" s="2395">
        <v>0</v>
      </c>
      <c r="X299" s="2392">
        <v>-743797161</v>
      </c>
      <c r="Z299" s="2390">
        <v>11161300</v>
      </c>
      <c r="AA299" s="2403" t="s">
        <v>4051</v>
      </c>
      <c r="AB299" s="2392">
        <v>-1589591509</v>
      </c>
      <c r="AC299" s="2392">
        <v>0</v>
      </c>
      <c r="AD299" s="2393">
        <v>-5051258</v>
      </c>
      <c r="AE299" s="2394">
        <v>0</v>
      </c>
      <c r="AF299" s="2392">
        <v>0</v>
      </c>
      <c r="AG299" s="2392">
        <v>-1594642767</v>
      </c>
      <c r="AH299" s="2395">
        <v>0</v>
      </c>
      <c r="AI299" s="2395">
        <v>0</v>
      </c>
      <c r="AJ299" s="2392">
        <v>-1594642767</v>
      </c>
      <c r="AZ299" s="2390">
        <v>11161300</v>
      </c>
      <c r="BA299" s="2403" t="s">
        <v>4051</v>
      </c>
      <c r="BB299" s="2392">
        <v>-1234475880</v>
      </c>
      <c r="BC299" s="2392">
        <v>-188438944</v>
      </c>
      <c r="BD299" s="2393">
        <v>-14648148</v>
      </c>
      <c r="BE299" s="2394">
        <v>0</v>
      </c>
      <c r="BF299" s="2392">
        <v>0</v>
      </c>
      <c r="BG299" s="2392">
        <v>-1437562972</v>
      </c>
      <c r="BH299" s="2395">
        <v>0</v>
      </c>
      <c r="BI299" s="2395">
        <v>0</v>
      </c>
      <c r="BJ299" s="2392">
        <v>-1437562972</v>
      </c>
      <c r="BN299" s="2390">
        <v>11161300</v>
      </c>
      <c r="BO299" s="2403" t="s">
        <v>4051</v>
      </c>
      <c r="BP299" s="2392">
        <v>-744537706</v>
      </c>
      <c r="BQ299" s="2392">
        <v>-183475126</v>
      </c>
      <c r="BR299" s="2393">
        <v>-14507843</v>
      </c>
      <c r="BS299" s="2394">
        <v>0</v>
      </c>
      <c r="BT299" s="2392">
        <v>0</v>
      </c>
      <c r="BU299" s="2392">
        <v>-942520675</v>
      </c>
      <c r="BV299" s="2395">
        <v>0</v>
      </c>
      <c r="BW299" s="2395">
        <v>0</v>
      </c>
      <c r="BX299" s="2392">
        <v>-942520675</v>
      </c>
    </row>
    <row r="300" spans="2:76">
      <c r="B300" s="2564">
        <v>11161301</v>
      </c>
      <c r="C300" s="2565" t="s">
        <v>4051</v>
      </c>
      <c r="D300" s="2566">
        <v>-443891116</v>
      </c>
      <c r="E300" s="1080">
        <v>0</v>
      </c>
      <c r="F300" s="2567">
        <v>-21992250</v>
      </c>
      <c r="G300" s="2568">
        <v>0</v>
      </c>
      <c r="H300" s="2566">
        <v>0</v>
      </c>
      <c r="I300" s="2566">
        <v>-465883366</v>
      </c>
      <c r="J300" s="2569">
        <v>0</v>
      </c>
      <c r="K300" s="2569">
        <v>0</v>
      </c>
      <c r="L300" s="2566">
        <v>-465883366</v>
      </c>
      <c r="N300" s="2396">
        <v>11161301</v>
      </c>
      <c r="O300" s="2397" t="s">
        <v>4051</v>
      </c>
      <c r="P300" s="2398">
        <v>-728639854</v>
      </c>
      <c r="Q300" s="2179">
        <v>0</v>
      </c>
      <c r="R300" s="2399">
        <v>-15157307</v>
      </c>
      <c r="S300" s="2400">
        <v>0</v>
      </c>
      <c r="T300" s="2398">
        <v>0</v>
      </c>
      <c r="U300" s="2398">
        <v>-743797161</v>
      </c>
      <c r="V300" s="2401">
        <v>0</v>
      </c>
      <c r="W300" s="2401">
        <v>0</v>
      </c>
      <c r="X300" s="2398">
        <v>-743797161</v>
      </c>
      <c r="Z300" s="2396">
        <v>11161301</v>
      </c>
      <c r="AA300" s="2397" t="s">
        <v>4051</v>
      </c>
      <c r="AB300" s="2398">
        <v>-1589591509</v>
      </c>
      <c r="AC300" s="2179">
        <v>0</v>
      </c>
      <c r="AD300" s="2399">
        <v>-5051258</v>
      </c>
      <c r="AE300" s="2400">
        <v>0</v>
      </c>
      <c r="AF300" s="2398">
        <v>0</v>
      </c>
      <c r="AG300" s="2398">
        <v>-1594642767</v>
      </c>
      <c r="AH300" s="2401">
        <v>0</v>
      </c>
      <c r="AI300" s="2401">
        <v>0</v>
      </c>
      <c r="AJ300" s="2398">
        <v>-1594642767</v>
      </c>
      <c r="AZ300" s="2396">
        <v>11161301</v>
      </c>
      <c r="BA300" s="2397" t="s">
        <v>4051</v>
      </c>
      <c r="BB300" s="2398">
        <v>-1234475880</v>
      </c>
      <c r="BC300" s="2179">
        <v>-188438944</v>
      </c>
      <c r="BD300" s="2399">
        <v>-14648148</v>
      </c>
      <c r="BE300" s="2400">
        <v>0</v>
      </c>
      <c r="BF300" s="2398">
        <v>0</v>
      </c>
      <c r="BG300" s="2398">
        <v>-1437562972</v>
      </c>
      <c r="BH300" s="2401">
        <v>0</v>
      </c>
      <c r="BI300" s="2401">
        <v>0</v>
      </c>
      <c r="BJ300" s="2398">
        <v>-1437562972</v>
      </c>
      <c r="BN300" s="2396">
        <v>11161301</v>
      </c>
      <c r="BO300" s="2397" t="s">
        <v>4051</v>
      </c>
      <c r="BP300" s="2398">
        <v>-744537706</v>
      </c>
      <c r="BQ300" s="2179">
        <v>-183475126</v>
      </c>
      <c r="BR300" s="2399">
        <v>-14507843</v>
      </c>
      <c r="BS300" s="2400">
        <v>0</v>
      </c>
      <c r="BT300" s="2398">
        <v>0</v>
      </c>
      <c r="BU300" s="2398">
        <v>-942520675</v>
      </c>
      <c r="BV300" s="2401">
        <v>0</v>
      </c>
      <c r="BW300" s="2401">
        <v>0</v>
      </c>
      <c r="BX300" s="2398">
        <v>-942520675</v>
      </c>
    </row>
    <row r="301" spans="2:76">
      <c r="B301" s="2558">
        <v>11161400</v>
      </c>
      <c r="C301" s="2571" t="s">
        <v>4052</v>
      </c>
      <c r="D301" s="2560">
        <v>162644249028</v>
      </c>
      <c r="E301" s="2560">
        <v>0</v>
      </c>
      <c r="F301" s="2561">
        <v>0</v>
      </c>
      <c r="G301" s="2562">
        <v>0</v>
      </c>
      <c r="H301" s="2560">
        <v>0</v>
      </c>
      <c r="I301" s="2560">
        <v>162644249028</v>
      </c>
      <c r="J301" s="2563">
        <v>0</v>
      </c>
      <c r="K301" s="2563">
        <v>0</v>
      </c>
      <c r="L301" s="2560">
        <v>162644249028</v>
      </c>
      <c r="N301" s="2390">
        <v>11161400</v>
      </c>
      <c r="O301" s="2403" t="s">
        <v>4052</v>
      </c>
      <c r="P301" s="2392">
        <v>243321761556</v>
      </c>
      <c r="Q301" s="2392">
        <v>0</v>
      </c>
      <c r="R301" s="2393">
        <v>0</v>
      </c>
      <c r="S301" s="2394">
        <v>0</v>
      </c>
      <c r="T301" s="2392">
        <v>0</v>
      </c>
      <c r="U301" s="2392">
        <v>243321761556</v>
      </c>
      <c r="V301" s="2395">
        <v>0</v>
      </c>
      <c r="W301" s="2395">
        <v>0</v>
      </c>
      <c r="X301" s="2392">
        <v>243321761556</v>
      </c>
      <c r="Z301" s="2390">
        <v>11161400</v>
      </c>
      <c r="AA301" s="2403" t="s">
        <v>4052</v>
      </c>
      <c r="AB301" s="2392">
        <v>114141073005</v>
      </c>
      <c r="AC301" s="2392">
        <v>0</v>
      </c>
      <c r="AD301" s="2393">
        <v>0</v>
      </c>
      <c r="AE301" s="2394">
        <v>0</v>
      </c>
      <c r="AF301" s="2392">
        <v>0</v>
      </c>
      <c r="AG301" s="2392">
        <v>114141073005</v>
      </c>
      <c r="AH301" s="2395">
        <v>0</v>
      </c>
      <c r="AI301" s="2395">
        <v>0</v>
      </c>
      <c r="AJ301" s="2392">
        <v>114141073005</v>
      </c>
      <c r="AZ301" s="2390">
        <v>11161400</v>
      </c>
      <c r="BA301" s="2403" t="s">
        <v>4052</v>
      </c>
      <c r="BB301" s="2392">
        <v>92021667555</v>
      </c>
      <c r="BC301" s="2392">
        <v>0</v>
      </c>
      <c r="BD301" s="2393">
        <v>0</v>
      </c>
      <c r="BE301" s="2394">
        <v>0</v>
      </c>
      <c r="BF301" s="2392">
        <v>0</v>
      </c>
      <c r="BG301" s="2392">
        <v>92021667555</v>
      </c>
      <c r="BH301" s="2395">
        <v>0</v>
      </c>
      <c r="BI301" s="2395">
        <v>0</v>
      </c>
      <c r="BJ301" s="2392">
        <v>92021667555</v>
      </c>
      <c r="BN301" s="2390">
        <v>11161400</v>
      </c>
      <c r="BO301" s="2403" t="s">
        <v>4052</v>
      </c>
      <c r="BP301" s="2392">
        <v>201807764365</v>
      </c>
      <c r="BQ301" s="2392">
        <v>0</v>
      </c>
      <c r="BR301" s="2393">
        <v>0</v>
      </c>
      <c r="BS301" s="2394">
        <v>0</v>
      </c>
      <c r="BT301" s="2392">
        <v>0</v>
      </c>
      <c r="BU301" s="2392">
        <v>201807764365</v>
      </c>
      <c r="BV301" s="2395">
        <v>0</v>
      </c>
      <c r="BW301" s="2395">
        <v>0</v>
      </c>
      <c r="BX301" s="2392">
        <v>201807764365</v>
      </c>
    </row>
    <row r="302" spans="2:76">
      <c r="B302" s="2564">
        <v>11161401</v>
      </c>
      <c r="C302" s="2565" t="s">
        <v>4052</v>
      </c>
      <c r="D302" s="2566">
        <v>162644249028</v>
      </c>
      <c r="E302" s="1080">
        <v>0</v>
      </c>
      <c r="F302" s="2567">
        <v>0</v>
      </c>
      <c r="G302" s="2568">
        <v>0</v>
      </c>
      <c r="H302" s="2566">
        <v>0</v>
      </c>
      <c r="I302" s="2566">
        <v>162644249028</v>
      </c>
      <c r="J302" s="2569">
        <v>0</v>
      </c>
      <c r="K302" s="2569">
        <v>0</v>
      </c>
      <c r="L302" s="2566">
        <v>162644249028</v>
      </c>
      <c r="N302" s="2396">
        <v>11161401</v>
      </c>
      <c r="O302" s="2397" t="s">
        <v>4052</v>
      </c>
      <c r="P302" s="2398">
        <v>243321761556</v>
      </c>
      <c r="Q302" s="2179">
        <v>0</v>
      </c>
      <c r="R302" s="2399">
        <v>0</v>
      </c>
      <c r="S302" s="2400">
        <v>0</v>
      </c>
      <c r="T302" s="2398">
        <v>0</v>
      </c>
      <c r="U302" s="2398">
        <v>243321761556</v>
      </c>
      <c r="V302" s="2401">
        <v>0</v>
      </c>
      <c r="W302" s="2401">
        <v>0</v>
      </c>
      <c r="X302" s="2398">
        <v>243321761556</v>
      </c>
      <c r="Z302" s="2396">
        <v>11161401</v>
      </c>
      <c r="AA302" s="2397" t="s">
        <v>4052</v>
      </c>
      <c r="AB302" s="2398">
        <v>114141073005</v>
      </c>
      <c r="AC302" s="2179">
        <v>0</v>
      </c>
      <c r="AD302" s="2399">
        <v>0</v>
      </c>
      <c r="AE302" s="2400">
        <v>0</v>
      </c>
      <c r="AF302" s="2398">
        <v>0</v>
      </c>
      <c r="AG302" s="2398">
        <v>114141073005</v>
      </c>
      <c r="AH302" s="2401">
        <v>0</v>
      </c>
      <c r="AI302" s="2401">
        <v>0</v>
      </c>
      <c r="AJ302" s="2398">
        <v>114141073005</v>
      </c>
      <c r="AZ302" s="2396">
        <v>11161401</v>
      </c>
      <c r="BA302" s="2397" t="s">
        <v>4052</v>
      </c>
      <c r="BB302" s="2398">
        <v>92021667555</v>
      </c>
      <c r="BC302" s="2179">
        <v>0</v>
      </c>
      <c r="BD302" s="2399">
        <v>0</v>
      </c>
      <c r="BE302" s="2400">
        <v>0</v>
      </c>
      <c r="BF302" s="2398">
        <v>0</v>
      </c>
      <c r="BG302" s="2398">
        <v>92021667555</v>
      </c>
      <c r="BH302" s="2401">
        <v>0</v>
      </c>
      <c r="BI302" s="2401">
        <v>0</v>
      </c>
      <c r="BJ302" s="2398">
        <v>92021667555</v>
      </c>
      <c r="BN302" s="2396">
        <v>11161401</v>
      </c>
      <c r="BO302" s="2397" t="s">
        <v>4052</v>
      </c>
      <c r="BP302" s="2398">
        <v>201807764365</v>
      </c>
      <c r="BQ302" s="2179">
        <v>0</v>
      </c>
      <c r="BR302" s="2399">
        <v>0</v>
      </c>
      <c r="BS302" s="2400">
        <v>0</v>
      </c>
      <c r="BT302" s="2398">
        <v>0</v>
      </c>
      <c r="BU302" s="2398">
        <v>201807764365</v>
      </c>
      <c r="BV302" s="2401">
        <v>0</v>
      </c>
      <c r="BW302" s="2401">
        <v>0</v>
      </c>
      <c r="BX302" s="2398">
        <v>201807764365</v>
      </c>
    </row>
    <row r="303" spans="2:76">
      <c r="B303" s="2558">
        <v>11161500</v>
      </c>
      <c r="C303" s="2571" t="s">
        <v>4053</v>
      </c>
      <c r="D303" s="2560">
        <v>0</v>
      </c>
      <c r="E303" s="2560">
        <v>0</v>
      </c>
      <c r="F303" s="2561">
        <v>0</v>
      </c>
      <c r="G303" s="2562">
        <v>0</v>
      </c>
      <c r="H303" s="2560">
        <v>0</v>
      </c>
      <c r="I303" s="2560">
        <v>0</v>
      </c>
      <c r="J303" s="2563">
        <v>0</v>
      </c>
      <c r="K303" s="2563">
        <v>0</v>
      </c>
      <c r="L303" s="2560">
        <v>0</v>
      </c>
      <c r="N303" s="2390">
        <v>11161500</v>
      </c>
      <c r="O303" s="2403" t="s">
        <v>4053</v>
      </c>
      <c r="P303" s="2392">
        <v>0</v>
      </c>
      <c r="Q303" s="2392">
        <v>0</v>
      </c>
      <c r="R303" s="2393">
        <v>0</v>
      </c>
      <c r="S303" s="2394">
        <v>0</v>
      </c>
      <c r="T303" s="2392">
        <v>0</v>
      </c>
      <c r="U303" s="2392">
        <v>0</v>
      </c>
      <c r="V303" s="2395">
        <v>0</v>
      </c>
      <c r="W303" s="2395">
        <v>0</v>
      </c>
      <c r="X303" s="2392">
        <v>0</v>
      </c>
      <c r="Z303" s="2390">
        <v>11161500</v>
      </c>
      <c r="AA303" s="2403" t="s">
        <v>4053</v>
      </c>
      <c r="AB303" s="2392">
        <v>0</v>
      </c>
      <c r="AC303" s="2392">
        <v>0</v>
      </c>
      <c r="AD303" s="2393">
        <v>0</v>
      </c>
      <c r="AE303" s="2394">
        <v>0</v>
      </c>
      <c r="AF303" s="2392">
        <v>0</v>
      </c>
      <c r="AG303" s="2392">
        <v>0</v>
      </c>
      <c r="AH303" s="2395">
        <v>0</v>
      </c>
      <c r="AI303" s="2395">
        <v>0</v>
      </c>
      <c r="AJ303" s="2392">
        <v>0</v>
      </c>
      <c r="AZ303" s="2390">
        <v>11161500</v>
      </c>
      <c r="BA303" s="2403" t="s">
        <v>4053</v>
      </c>
      <c r="BB303" s="2392">
        <v>0</v>
      </c>
      <c r="BC303" s="2392">
        <v>0</v>
      </c>
      <c r="BD303" s="2393">
        <v>0</v>
      </c>
      <c r="BE303" s="2394">
        <v>0</v>
      </c>
      <c r="BF303" s="2392">
        <v>0</v>
      </c>
      <c r="BG303" s="2392">
        <v>0</v>
      </c>
      <c r="BH303" s="2395">
        <v>0</v>
      </c>
      <c r="BI303" s="2395">
        <v>0</v>
      </c>
      <c r="BJ303" s="2392">
        <v>0</v>
      </c>
      <c r="BN303" s="2390">
        <v>11161500</v>
      </c>
      <c r="BO303" s="2403" t="s">
        <v>4053</v>
      </c>
      <c r="BP303" s="2392">
        <v>0</v>
      </c>
      <c r="BQ303" s="2392">
        <v>0</v>
      </c>
      <c r="BR303" s="2393">
        <v>0</v>
      </c>
      <c r="BS303" s="2394">
        <v>0</v>
      </c>
      <c r="BT303" s="2392">
        <v>0</v>
      </c>
      <c r="BU303" s="2392">
        <v>0</v>
      </c>
      <c r="BV303" s="2395">
        <v>0</v>
      </c>
      <c r="BW303" s="2395">
        <v>0</v>
      </c>
      <c r="BX303" s="2392">
        <v>0</v>
      </c>
    </row>
    <row r="304" spans="2:76">
      <c r="B304" s="2564">
        <v>11161501</v>
      </c>
      <c r="C304" s="2565" t="s">
        <v>4053</v>
      </c>
      <c r="D304" s="2566">
        <v>0</v>
      </c>
      <c r="E304" s="1080">
        <v>0</v>
      </c>
      <c r="F304" s="2567">
        <v>0</v>
      </c>
      <c r="G304" s="2568">
        <v>0</v>
      </c>
      <c r="H304" s="2566">
        <v>0</v>
      </c>
      <c r="I304" s="2566">
        <v>0</v>
      </c>
      <c r="J304" s="2569">
        <v>0</v>
      </c>
      <c r="K304" s="2569">
        <v>0</v>
      </c>
      <c r="L304" s="2566">
        <v>0</v>
      </c>
      <c r="N304" s="2396">
        <v>11161501</v>
      </c>
      <c r="O304" s="2397" t="s">
        <v>4053</v>
      </c>
      <c r="P304" s="2398">
        <v>0</v>
      </c>
      <c r="Q304" s="2179">
        <v>0</v>
      </c>
      <c r="R304" s="2399">
        <v>0</v>
      </c>
      <c r="S304" s="2400">
        <v>0</v>
      </c>
      <c r="T304" s="2398">
        <v>0</v>
      </c>
      <c r="U304" s="2398">
        <v>0</v>
      </c>
      <c r="V304" s="2401">
        <v>0</v>
      </c>
      <c r="W304" s="2401">
        <v>0</v>
      </c>
      <c r="X304" s="2398">
        <v>0</v>
      </c>
      <c r="Z304" s="2396">
        <v>11161501</v>
      </c>
      <c r="AA304" s="2397" t="s">
        <v>4053</v>
      </c>
      <c r="AB304" s="2398">
        <v>0</v>
      </c>
      <c r="AC304" s="2179">
        <v>0</v>
      </c>
      <c r="AD304" s="2399">
        <v>0</v>
      </c>
      <c r="AE304" s="2400">
        <v>0</v>
      </c>
      <c r="AF304" s="2398">
        <v>0</v>
      </c>
      <c r="AG304" s="2398">
        <v>0</v>
      </c>
      <c r="AH304" s="2401">
        <v>0</v>
      </c>
      <c r="AI304" s="2401">
        <v>0</v>
      </c>
      <c r="AJ304" s="2398">
        <v>0</v>
      </c>
      <c r="AZ304" s="2396">
        <v>11161501</v>
      </c>
      <c r="BA304" s="2397" t="s">
        <v>4053</v>
      </c>
      <c r="BB304" s="2398">
        <v>0</v>
      </c>
      <c r="BC304" s="2179">
        <v>0</v>
      </c>
      <c r="BD304" s="2399">
        <v>0</v>
      </c>
      <c r="BE304" s="2400">
        <v>0</v>
      </c>
      <c r="BF304" s="2398">
        <v>0</v>
      </c>
      <c r="BG304" s="2398">
        <v>0</v>
      </c>
      <c r="BH304" s="2401">
        <v>0</v>
      </c>
      <c r="BI304" s="2401">
        <v>0</v>
      </c>
      <c r="BJ304" s="2398">
        <v>0</v>
      </c>
      <c r="BN304" s="2396">
        <v>11161501</v>
      </c>
      <c r="BO304" s="2397" t="s">
        <v>4053</v>
      </c>
      <c r="BP304" s="2398">
        <v>0</v>
      </c>
      <c r="BQ304" s="2179">
        <v>0</v>
      </c>
      <c r="BR304" s="2399">
        <v>0</v>
      </c>
      <c r="BS304" s="2400">
        <v>0</v>
      </c>
      <c r="BT304" s="2398">
        <v>0</v>
      </c>
      <c r="BU304" s="2398">
        <v>0</v>
      </c>
      <c r="BV304" s="2401">
        <v>0</v>
      </c>
      <c r="BW304" s="2401">
        <v>0</v>
      </c>
      <c r="BX304" s="2398">
        <v>0</v>
      </c>
    </row>
    <row r="305" spans="2:76">
      <c r="B305" s="2558">
        <v>11161600</v>
      </c>
      <c r="C305" s="2571" t="s">
        <v>4054</v>
      </c>
      <c r="D305" s="2560">
        <v>744922386495</v>
      </c>
      <c r="E305" s="2560">
        <v>9828589024</v>
      </c>
      <c r="F305" s="2561">
        <v>6550134366</v>
      </c>
      <c r="G305" s="2562">
        <v>0</v>
      </c>
      <c r="H305" s="2560">
        <v>0</v>
      </c>
      <c r="I305" s="2560">
        <v>761301109885</v>
      </c>
      <c r="J305" s="2563">
        <v>0</v>
      </c>
      <c r="K305" s="2563">
        <v>0</v>
      </c>
      <c r="L305" s="2560">
        <v>761301109885</v>
      </c>
      <c r="N305" s="2390">
        <v>11161600</v>
      </c>
      <c r="O305" s="2403" t="s">
        <v>4054</v>
      </c>
      <c r="P305" s="2392">
        <v>829311591874</v>
      </c>
      <c r="Q305" s="2392">
        <v>6309619369</v>
      </c>
      <c r="R305" s="2393">
        <v>7308104705</v>
      </c>
      <c r="S305" s="2394">
        <v>0</v>
      </c>
      <c r="T305" s="2392">
        <v>0</v>
      </c>
      <c r="U305" s="2392">
        <v>842929315948</v>
      </c>
      <c r="V305" s="2395">
        <v>0</v>
      </c>
      <c r="W305" s="2395">
        <v>0</v>
      </c>
      <c r="X305" s="2392">
        <v>842929315948</v>
      </c>
      <c r="Z305" s="2390">
        <v>11161600</v>
      </c>
      <c r="AA305" s="2403" t="s">
        <v>4054</v>
      </c>
      <c r="AB305" s="2392">
        <v>799227184159</v>
      </c>
      <c r="AC305" s="2392">
        <v>8725584387</v>
      </c>
      <c r="AD305" s="2393">
        <v>3769084170</v>
      </c>
      <c r="AE305" s="2394">
        <v>0</v>
      </c>
      <c r="AF305" s="2392">
        <v>0</v>
      </c>
      <c r="AG305" s="2392">
        <v>811721852716</v>
      </c>
      <c r="AH305" s="2395">
        <v>0</v>
      </c>
      <c r="AI305" s="2395">
        <v>0</v>
      </c>
      <c r="AJ305" s="2392">
        <v>811721852716</v>
      </c>
      <c r="AZ305" s="2390">
        <v>11161600</v>
      </c>
      <c r="BA305" s="2403" t="s">
        <v>4054</v>
      </c>
      <c r="BB305" s="2392">
        <v>595060572812</v>
      </c>
      <c r="BC305" s="2392">
        <v>10625181834</v>
      </c>
      <c r="BD305" s="2393">
        <v>4475112461</v>
      </c>
      <c r="BE305" s="2394">
        <v>0</v>
      </c>
      <c r="BF305" s="2392">
        <v>0</v>
      </c>
      <c r="BG305" s="2392">
        <v>610160867107</v>
      </c>
      <c r="BH305" s="2395">
        <v>0</v>
      </c>
      <c r="BI305" s="2395">
        <v>0</v>
      </c>
      <c r="BJ305" s="2392">
        <v>610160867107</v>
      </c>
      <c r="BN305" s="2390">
        <v>11161600</v>
      </c>
      <c r="BO305" s="2403" t="s">
        <v>4054</v>
      </c>
      <c r="BP305" s="2392">
        <v>669770787579</v>
      </c>
      <c r="BQ305" s="2392">
        <v>5293982538</v>
      </c>
      <c r="BR305" s="2393">
        <v>3066301977</v>
      </c>
      <c r="BS305" s="2394">
        <v>0</v>
      </c>
      <c r="BT305" s="2392">
        <v>0</v>
      </c>
      <c r="BU305" s="2392">
        <v>678131072094</v>
      </c>
      <c r="BV305" s="2395">
        <v>0</v>
      </c>
      <c r="BW305" s="2395">
        <v>0</v>
      </c>
      <c r="BX305" s="2392">
        <v>678131072094</v>
      </c>
    </row>
    <row r="306" spans="2:76">
      <c r="B306" s="2564">
        <v>11161601</v>
      </c>
      <c r="C306" s="2565" t="s">
        <v>4054</v>
      </c>
      <c r="D306" s="2566">
        <v>744922386495</v>
      </c>
      <c r="E306" s="1080">
        <v>9828589024</v>
      </c>
      <c r="F306" s="2567">
        <v>6550134366</v>
      </c>
      <c r="G306" s="2568">
        <v>0</v>
      </c>
      <c r="H306" s="2566">
        <v>0</v>
      </c>
      <c r="I306" s="2566">
        <v>761301109885</v>
      </c>
      <c r="J306" s="2569">
        <v>0</v>
      </c>
      <c r="K306" s="2569">
        <v>0</v>
      </c>
      <c r="L306" s="2566">
        <v>761301109885</v>
      </c>
      <c r="N306" s="2396">
        <v>11161601</v>
      </c>
      <c r="O306" s="2397" t="s">
        <v>4054</v>
      </c>
      <c r="P306" s="2398">
        <v>829311591874</v>
      </c>
      <c r="Q306" s="2179">
        <v>6309619369</v>
      </c>
      <c r="R306" s="2399">
        <v>7308104705</v>
      </c>
      <c r="S306" s="2400">
        <v>0</v>
      </c>
      <c r="T306" s="2398">
        <v>0</v>
      </c>
      <c r="U306" s="2398">
        <v>842929315948</v>
      </c>
      <c r="V306" s="2401">
        <v>0</v>
      </c>
      <c r="W306" s="2401">
        <v>0</v>
      </c>
      <c r="X306" s="2398">
        <v>842929315948</v>
      </c>
      <c r="Z306" s="2396">
        <v>11161601</v>
      </c>
      <c r="AA306" s="2397" t="s">
        <v>4054</v>
      </c>
      <c r="AB306" s="2398">
        <v>799227184159</v>
      </c>
      <c r="AC306" s="2179">
        <v>8725584387</v>
      </c>
      <c r="AD306" s="2399">
        <v>3769084170</v>
      </c>
      <c r="AE306" s="2400">
        <v>0</v>
      </c>
      <c r="AF306" s="2398">
        <v>0</v>
      </c>
      <c r="AG306" s="2398">
        <v>811721852716</v>
      </c>
      <c r="AH306" s="2401">
        <v>0</v>
      </c>
      <c r="AI306" s="2401">
        <v>0</v>
      </c>
      <c r="AJ306" s="2398">
        <v>811721852716</v>
      </c>
      <c r="AZ306" s="2396">
        <v>11161601</v>
      </c>
      <c r="BA306" s="2397" t="s">
        <v>4054</v>
      </c>
      <c r="BB306" s="2398">
        <v>595060572812</v>
      </c>
      <c r="BC306" s="2179">
        <v>10625181834</v>
      </c>
      <c r="BD306" s="2399">
        <v>4475112461</v>
      </c>
      <c r="BE306" s="2400">
        <v>0</v>
      </c>
      <c r="BF306" s="2398">
        <v>0</v>
      </c>
      <c r="BG306" s="2398">
        <v>610160867107</v>
      </c>
      <c r="BH306" s="2401">
        <v>0</v>
      </c>
      <c r="BI306" s="2401">
        <v>0</v>
      </c>
      <c r="BJ306" s="2398">
        <v>610160867107</v>
      </c>
      <c r="BN306" s="2396">
        <v>11161601</v>
      </c>
      <c r="BO306" s="2397" t="s">
        <v>4054</v>
      </c>
      <c r="BP306" s="2398">
        <v>669770787579</v>
      </c>
      <c r="BQ306" s="2179">
        <v>5293982538</v>
      </c>
      <c r="BR306" s="2399">
        <v>3066301977</v>
      </c>
      <c r="BS306" s="2400">
        <v>0</v>
      </c>
      <c r="BT306" s="2398">
        <v>0</v>
      </c>
      <c r="BU306" s="2398">
        <v>678131072094</v>
      </c>
      <c r="BV306" s="2401">
        <v>0</v>
      </c>
      <c r="BW306" s="2401">
        <v>0</v>
      </c>
      <c r="BX306" s="2398">
        <v>678131072094</v>
      </c>
    </row>
    <row r="307" spans="2:76">
      <c r="B307" s="2558">
        <v>11161700</v>
      </c>
      <c r="C307" s="2571" t="s">
        <v>4055</v>
      </c>
      <c r="D307" s="2560">
        <v>0</v>
      </c>
      <c r="E307" s="2560">
        <v>0</v>
      </c>
      <c r="F307" s="2561">
        <v>0</v>
      </c>
      <c r="G307" s="2562">
        <v>0</v>
      </c>
      <c r="H307" s="2560">
        <v>0</v>
      </c>
      <c r="I307" s="2560">
        <v>0</v>
      </c>
      <c r="J307" s="2563">
        <v>0</v>
      </c>
      <c r="K307" s="2563">
        <v>0</v>
      </c>
      <c r="L307" s="2560">
        <v>0</v>
      </c>
      <c r="N307" s="2390">
        <v>11161700</v>
      </c>
      <c r="O307" s="2403" t="s">
        <v>4055</v>
      </c>
      <c r="P307" s="2392">
        <v>0</v>
      </c>
      <c r="Q307" s="2392">
        <v>0</v>
      </c>
      <c r="R307" s="2393">
        <v>0</v>
      </c>
      <c r="S307" s="2394">
        <v>0</v>
      </c>
      <c r="T307" s="2392">
        <v>0</v>
      </c>
      <c r="U307" s="2392">
        <v>0</v>
      </c>
      <c r="V307" s="2395">
        <v>0</v>
      </c>
      <c r="W307" s="2395">
        <v>0</v>
      </c>
      <c r="X307" s="2392">
        <v>0</v>
      </c>
      <c r="Z307" s="2390">
        <v>11161700</v>
      </c>
      <c r="AA307" s="2403" t="s">
        <v>4055</v>
      </c>
      <c r="AB307" s="2392">
        <v>0</v>
      </c>
      <c r="AC307" s="2392">
        <v>0</v>
      </c>
      <c r="AD307" s="2393">
        <v>0</v>
      </c>
      <c r="AE307" s="2394">
        <v>0</v>
      </c>
      <c r="AF307" s="2392">
        <v>0</v>
      </c>
      <c r="AG307" s="2392">
        <v>0</v>
      </c>
      <c r="AH307" s="2395">
        <v>0</v>
      </c>
      <c r="AI307" s="2395">
        <v>0</v>
      </c>
      <c r="AJ307" s="2392">
        <v>0</v>
      </c>
      <c r="AZ307" s="2390">
        <v>11161700</v>
      </c>
      <c r="BA307" s="2403" t="s">
        <v>4055</v>
      </c>
      <c r="BB307" s="2392">
        <v>0</v>
      </c>
      <c r="BC307" s="2392">
        <v>-73264743</v>
      </c>
      <c r="BD307" s="2393">
        <v>0</v>
      </c>
      <c r="BE307" s="2394">
        <v>0</v>
      </c>
      <c r="BF307" s="2392">
        <v>0</v>
      </c>
      <c r="BG307" s="2392">
        <v>-73264743</v>
      </c>
      <c r="BH307" s="2395">
        <v>0</v>
      </c>
      <c r="BI307" s="2395">
        <v>0</v>
      </c>
      <c r="BJ307" s="2392">
        <v>-73264743</v>
      </c>
      <c r="BN307" s="2390">
        <v>11161700</v>
      </c>
      <c r="BO307" s="2403" t="s">
        <v>4055</v>
      </c>
      <c r="BP307" s="2392">
        <v>0</v>
      </c>
      <c r="BQ307" s="2392">
        <v>-80673198</v>
      </c>
      <c r="BR307" s="2393">
        <v>0</v>
      </c>
      <c r="BS307" s="2394">
        <v>0</v>
      </c>
      <c r="BT307" s="2392">
        <v>0</v>
      </c>
      <c r="BU307" s="2392">
        <v>-80673198</v>
      </c>
      <c r="BV307" s="2395">
        <v>0</v>
      </c>
      <c r="BW307" s="2395">
        <v>0</v>
      </c>
      <c r="BX307" s="2392">
        <v>-80673198</v>
      </c>
    </row>
    <row r="308" spans="2:76">
      <c r="B308" s="2564">
        <v>11161701</v>
      </c>
      <c r="C308" s="2565" t="s">
        <v>4055</v>
      </c>
      <c r="D308" s="2566">
        <v>0</v>
      </c>
      <c r="E308" s="1080">
        <v>0</v>
      </c>
      <c r="F308" s="2567">
        <v>0</v>
      </c>
      <c r="G308" s="2568">
        <v>0</v>
      </c>
      <c r="H308" s="2566">
        <v>0</v>
      </c>
      <c r="I308" s="2566">
        <v>0</v>
      </c>
      <c r="J308" s="2569">
        <v>0</v>
      </c>
      <c r="K308" s="2569">
        <v>0</v>
      </c>
      <c r="L308" s="2566">
        <v>0</v>
      </c>
      <c r="N308" s="2396">
        <v>11161701</v>
      </c>
      <c r="O308" s="2397" t="s">
        <v>4055</v>
      </c>
      <c r="P308" s="2398">
        <v>0</v>
      </c>
      <c r="Q308" s="2179">
        <v>0</v>
      </c>
      <c r="R308" s="2399">
        <v>0</v>
      </c>
      <c r="S308" s="2400">
        <v>0</v>
      </c>
      <c r="T308" s="2398">
        <v>0</v>
      </c>
      <c r="U308" s="2398">
        <v>0</v>
      </c>
      <c r="V308" s="2401">
        <v>0</v>
      </c>
      <c r="W308" s="2401">
        <v>0</v>
      </c>
      <c r="X308" s="2398">
        <v>0</v>
      </c>
      <c r="Z308" s="2396">
        <v>11161701</v>
      </c>
      <c r="AA308" s="2397" t="s">
        <v>4055</v>
      </c>
      <c r="AB308" s="2398">
        <v>0</v>
      </c>
      <c r="AC308" s="2179">
        <v>0</v>
      </c>
      <c r="AD308" s="2399">
        <v>0</v>
      </c>
      <c r="AE308" s="2400">
        <v>0</v>
      </c>
      <c r="AF308" s="2398">
        <v>0</v>
      </c>
      <c r="AG308" s="2398">
        <v>0</v>
      </c>
      <c r="AH308" s="2401">
        <v>0</v>
      </c>
      <c r="AI308" s="2401">
        <v>0</v>
      </c>
      <c r="AJ308" s="2398">
        <v>0</v>
      </c>
      <c r="AZ308" s="2396">
        <v>11161701</v>
      </c>
      <c r="BA308" s="2397" t="s">
        <v>4055</v>
      </c>
      <c r="BB308" s="2398">
        <v>0</v>
      </c>
      <c r="BC308" s="2179">
        <v>-73264743</v>
      </c>
      <c r="BD308" s="2399">
        <v>0</v>
      </c>
      <c r="BE308" s="2400">
        <v>0</v>
      </c>
      <c r="BF308" s="2398">
        <v>0</v>
      </c>
      <c r="BG308" s="2398">
        <v>-73264743</v>
      </c>
      <c r="BH308" s="2401">
        <v>0</v>
      </c>
      <c r="BI308" s="2401">
        <v>0</v>
      </c>
      <c r="BJ308" s="2398">
        <v>-73264743</v>
      </c>
      <c r="BN308" s="2396">
        <v>11161701</v>
      </c>
      <c r="BO308" s="2397" t="s">
        <v>4055</v>
      </c>
      <c r="BP308" s="2398">
        <v>0</v>
      </c>
      <c r="BQ308" s="2179">
        <v>-80673198</v>
      </c>
      <c r="BR308" s="2399">
        <v>0</v>
      </c>
      <c r="BS308" s="2400">
        <v>0</v>
      </c>
      <c r="BT308" s="2398">
        <v>0</v>
      </c>
      <c r="BU308" s="2398">
        <v>-80673198</v>
      </c>
      <c r="BV308" s="2401">
        <v>0</v>
      </c>
      <c r="BW308" s="2401">
        <v>0</v>
      </c>
      <c r="BX308" s="2398">
        <v>-80673198</v>
      </c>
    </row>
    <row r="309" spans="2:76">
      <c r="B309" s="2558">
        <v>11161800</v>
      </c>
      <c r="C309" s="2571" t="s">
        <v>3920</v>
      </c>
      <c r="D309" s="2560">
        <v>333342478488</v>
      </c>
      <c r="E309" s="2560">
        <v>2465444102</v>
      </c>
      <c r="F309" s="2561">
        <v>4498833359</v>
      </c>
      <c r="G309" s="2562">
        <v>0</v>
      </c>
      <c r="H309" s="2560">
        <v>0</v>
      </c>
      <c r="I309" s="2560">
        <v>340306755949</v>
      </c>
      <c r="J309" s="2563">
        <v>0</v>
      </c>
      <c r="K309" s="2563">
        <v>0</v>
      </c>
      <c r="L309" s="2560">
        <v>338007451534</v>
      </c>
      <c r="N309" s="2390">
        <v>11161800</v>
      </c>
      <c r="O309" s="2403" t="s">
        <v>3920</v>
      </c>
      <c r="P309" s="2392">
        <v>236448104745</v>
      </c>
      <c r="Q309" s="2392">
        <v>3139467548</v>
      </c>
      <c r="R309" s="2393">
        <v>8037892653</v>
      </c>
      <c r="S309" s="2394">
        <v>0</v>
      </c>
      <c r="T309" s="2392">
        <v>0</v>
      </c>
      <c r="U309" s="2392">
        <v>247625464946</v>
      </c>
      <c r="V309" s="2395">
        <v>0</v>
      </c>
      <c r="W309" s="2395">
        <v>0</v>
      </c>
      <c r="X309" s="2392">
        <v>243414986747</v>
      </c>
      <c r="Z309" s="2390">
        <v>11161800</v>
      </c>
      <c r="AA309" s="2403" t="s">
        <v>3920</v>
      </c>
      <c r="AB309" s="2392">
        <v>414768571319</v>
      </c>
      <c r="AC309" s="2392">
        <v>2310758129</v>
      </c>
      <c r="AD309" s="2393">
        <v>2704059865</v>
      </c>
      <c r="AE309" s="2394">
        <v>0</v>
      </c>
      <c r="AF309" s="2392">
        <v>0</v>
      </c>
      <c r="AG309" s="2392">
        <v>419783389313</v>
      </c>
      <c r="AH309" s="2395">
        <v>0</v>
      </c>
      <c r="AI309" s="2395">
        <v>0</v>
      </c>
      <c r="AJ309" s="2392">
        <v>414951895844</v>
      </c>
      <c r="AZ309" s="2390">
        <v>11161800</v>
      </c>
      <c r="BA309" s="2403" t="s">
        <v>3920</v>
      </c>
      <c r="BB309" s="2392">
        <v>270480874800</v>
      </c>
      <c r="BC309" s="2392">
        <v>845282548</v>
      </c>
      <c r="BD309" s="2393">
        <v>4791980313</v>
      </c>
      <c r="BE309" s="2394">
        <v>0</v>
      </c>
      <c r="BF309" s="2392">
        <v>0</v>
      </c>
      <c r="BG309" s="2392">
        <v>276118137661</v>
      </c>
      <c r="BH309" s="2395">
        <v>0</v>
      </c>
      <c r="BI309" s="2395">
        <v>0</v>
      </c>
      <c r="BJ309" s="2392">
        <v>273519955681</v>
      </c>
      <c r="BN309" s="2390">
        <v>11161800</v>
      </c>
      <c r="BO309" s="2403" t="s">
        <v>3920</v>
      </c>
      <c r="BP309" s="2392">
        <v>319372626565</v>
      </c>
      <c r="BQ309" s="2392">
        <v>2648741526</v>
      </c>
      <c r="BR309" s="2393">
        <v>5088350315</v>
      </c>
      <c r="BS309" s="2394">
        <v>0</v>
      </c>
      <c r="BT309" s="2392">
        <v>0</v>
      </c>
      <c r="BU309" s="2392">
        <v>327109718406</v>
      </c>
      <c r="BV309" s="2395">
        <v>0</v>
      </c>
      <c r="BW309" s="2395">
        <v>0</v>
      </c>
      <c r="BX309" s="2392">
        <v>324974115674</v>
      </c>
    </row>
    <row r="310" spans="2:76">
      <c r="B310" s="2564">
        <v>11161801</v>
      </c>
      <c r="C310" s="2565" t="s">
        <v>4056</v>
      </c>
      <c r="D310" s="2566">
        <v>0</v>
      </c>
      <c r="E310" s="1080">
        <v>0</v>
      </c>
      <c r="F310" s="2567">
        <v>0</v>
      </c>
      <c r="G310" s="2568">
        <v>0</v>
      </c>
      <c r="H310" s="2566">
        <v>0</v>
      </c>
      <c r="I310" s="2566">
        <v>0</v>
      </c>
      <c r="J310" s="2569">
        <v>0</v>
      </c>
      <c r="K310" s="2569">
        <v>0</v>
      </c>
      <c r="L310" s="2566">
        <v>0</v>
      </c>
      <c r="N310" s="2396">
        <v>11161801</v>
      </c>
      <c r="O310" s="2397" t="s">
        <v>4056</v>
      </c>
      <c r="P310" s="2398">
        <v>0</v>
      </c>
      <c r="Q310" s="2179">
        <v>0</v>
      </c>
      <c r="R310" s="2399">
        <v>0</v>
      </c>
      <c r="S310" s="2400">
        <v>0</v>
      </c>
      <c r="T310" s="2398">
        <v>0</v>
      </c>
      <c r="U310" s="2398">
        <v>0</v>
      </c>
      <c r="V310" s="2401">
        <v>0</v>
      </c>
      <c r="W310" s="2401">
        <v>0</v>
      </c>
      <c r="X310" s="2398">
        <v>0</v>
      </c>
      <c r="Z310" s="2396">
        <v>11161801</v>
      </c>
      <c r="AA310" s="2397" t="s">
        <v>4056</v>
      </c>
      <c r="AB310" s="2398">
        <v>0</v>
      </c>
      <c r="AC310" s="2179">
        <v>0</v>
      </c>
      <c r="AD310" s="2399">
        <v>0</v>
      </c>
      <c r="AE310" s="2400">
        <v>0</v>
      </c>
      <c r="AF310" s="2398">
        <v>0</v>
      </c>
      <c r="AG310" s="2398">
        <v>0</v>
      </c>
      <c r="AH310" s="2401">
        <v>0</v>
      </c>
      <c r="AI310" s="2401">
        <v>0</v>
      </c>
      <c r="AJ310" s="2398">
        <v>0</v>
      </c>
      <c r="AZ310" s="2396">
        <v>11161801</v>
      </c>
      <c r="BA310" s="2397" t="s">
        <v>4056</v>
      </c>
      <c r="BB310" s="2398">
        <v>0</v>
      </c>
      <c r="BC310" s="2179">
        <v>0</v>
      </c>
      <c r="BD310" s="2399">
        <v>0</v>
      </c>
      <c r="BE310" s="2400">
        <v>0</v>
      </c>
      <c r="BF310" s="2398">
        <v>0</v>
      </c>
      <c r="BG310" s="2398">
        <v>0</v>
      </c>
      <c r="BH310" s="2401">
        <v>0</v>
      </c>
      <c r="BI310" s="2401">
        <v>0</v>
      </c>
      <c r="BJ310" s="2398">
        <v>0</v>
      </c>
      <c r="BN310" s="2396">
        <v>11161801</v>
      </c>
      <c r="BO310" s="2397" t="s">
        <v>4056</v>
      </c>
      <c r="BP310" s="2398">
        <v>0</v>
      </c>
      <c r="BQ310" s="2179">
        <v>0</v>
      </c>
      <c r="BR310" s="2399">
        <v>0</v>
      </c>
      <c r="BS310" s="2400">
        <v>0</v>
      </c>
      <c r="BT310" s="2398">
        <v>0</v>
      </c>
      <c r="BU310" s="2398">
        <v>0</v>
      </c>
      <c r="BV310" s="2401">
        <v>0</v>
      </c>
      <c r="BW310" s="2401">
        <v>0</v>
      </c>
      <c r="BX310" s="2398">
        <v>0</v>
      </c>
    </row>
    <row r="311" spans="2:76">
      <c r="B311" s="2564">
        <v>11161802</v>
      </c>
      <c r="C311" s="2565" t="s">
        <v>3920</v>
      </c>
      <c r="D311" s="2566">
        <v>333342478488</v>
      </c>
      <c r="E311" s="1080">
        <v>2465444102</v>
      </c>
      <c r="F311" s="2567">
        <v>4498833359</v>
      </c>
      <c r="G311" s="2568">
        <v>0</v>
      </c>
      <c r="H311" s="2566">
        <v>0</v>
      </c>
      <c r="I311" s="2566">
        <v>340306755949</v>
      </c>
      <c r="J311" s="2569">
        <v>0</v>
      </c>
      <c r="K311" s="2569">
        <v>2299304415</v>
      </c>
      <c r="L311" s="2566">
        <v>338007451534</v>
      </c>
      <c r="N311" s="2396">
        <v>11161802</v>
      </c>
      <c r="O311" s="2397" t="s">
        <v>3920</v>
      </c>
      <c r="P311" s="2398">
        <v>236448104745</v>
      </c>
      <c r="Q311" s="2179">
        <v>3139467548</v>
      </c>
      <c r="R311" s="2399">
        <v>8037892653</v>
      </c>
      <c r="S311" s="2400">
        <v>0</v>
      </c>
      <c r="T311" s="2398">
        <v>0</v>
      </c>
      <c r="U311" s="2398">
        <v>247625464946</v>
      </c>
      <c r="V311" s="2401">
        <v>0</v>
      </c>
      <c r="W311" s="2401">
        <v>4210478199</v>
      </c>
      <c r="X311" s="2398">
        <v>243414986747</v>
      </c>
      <c r="Z311" s="2396">
        <v>11161802</v>
      </c>
      <c r="AA311" s="2397" t="s">
        <v>3920</v>
      </c>
      <c r="AB311" s="2398">
        <v>414768571319</v>
      </c>
      <c r="AC311" s="2179">
        <v>2310758129</v>
      </c>
      <c r="AD311" s="2399">
        <v>2704059865</v>
      </c>
      <c r="AE311" s="2400">
        <v>0</v>
      </c>
      <c r="AF311" s="2398">
        <v>0</v>
      </c>
      <c r="AG311" s="2398">
        <v>419783389313</v>
      </c>
      <c r="AH311" s="2401">
        <v>0</v>
      </c>
      <c r="AI311" s="2401">
        <v>4831493469</v>
      </c>
      <c r="AJ311" s="2398">
        <v>414951895844</v>
      </c>
      <c r="AZ311" s="2396">
        <v>11161802</v>
      </c>
      <c r="BA311" s="2397" t="s">
        <v>3920</v>
      </c>
      <c r="BB311" s="2398">
        <v>270480874800</v>
      </c>
      <c r="BC311" s="2179">
        <v>845282548</v>
      </c>
      <c r="BD311" s="2399">
        <v>4791980313</v>
      </c>
      <c r="BE311" s="2400">
        <v>0</v>
      </c>
      <c r="BF311" s="2398">
        <v>0</v>
      </c>
      <c r="BG311" s="2398">
        <v>276118137661</v>
      </c>
      <c r="BH311" s="2401">
        <v>0</v>
      </c>
      <c r="BI311" s="2401">
        <v>2598181980</v>
      </c>
      <c r="BJ311" s="2398">
        <v>273519955681</v>
      </c>
      <c r="BN311" s="2396">
        <v>11161802</v>
      </c>
      <c r="BO311" s="2397" t="s">
        <v>3920</v>
      </c>
      <c r="BP311" s="2398">
        <v>319372626565</v>
      </c>
      <c r="BQ311" s="2179">
        <v>2648741526</v>
      </c>
      <c r="BR311" s="2399">
        <v>5088350315</v>
      </c>
      <c r="BS311" s="2400">
        <v>0</v>
      </c>
      <c r="BT311" s="2398">
        <v>0</v>
      </c>
      <c r="BU311" s="2398">
        <v>327109718406</v>
      </c>
      <c r="BV311" s="2401">
        <v>0</v>
      </c>
      <c r="BW311" s="2401">
        <v>2135602732</v>
      </c>
      <c r="BX311" s="2398">
        <v>324974115674</v>
      </c>
    </row>
    <row r="312" spans="2:76">
      <c r="B312" s="2558">
        <v>11161900</v>
      </c>
      <c r="C312" s="2571" t="s">
        <v>4057</v>
      </c>
      <c r="D312" s="2560">
        <v>0</v>
      </c>
      <c r="E312" s="2560">
        <v>0</v>
      </c>
      <c r="F312" s="2561">
        <v>0</v>
      </c>
      <c r="G312" s="2562">
        <v>0</v>
      </c>
      <c r="H312" s="2560">
        <v>0</v>
      </c>
      <c r="I312" s="2560">
        <v>0</v>
      </c>
      <c r="J312" s="2563">
        <v>0</v>
      </c>
      <c r="K312" s="2563">
        <v>0</v>
      </c>
      <c r="L312" s="2560">
        <v>0</v>
      </c>
      <c r="N312" s="2390">
        <v>11161900</v>
      </c>
      <c r="O312" s="2403" t="s">
        <v>4057</v>
      </c>
      <c r="P312" s="2392">
        <v>0</v>
      </c>
      <c r="Q312" s="2392">
        <v>0</v>
      </c>
      <c r="R312" s="2393">
        <v>0</v>
      </c>
      <c r="S312" s="2394">
        <v>0</v>
      </c>
      <c r="T312" s="2392">
        <v>0</v>
      </c>
      <c r="U312" s="2392">
        <v>0</v>
      </c>
      <c r="V312" s="2395">
        <v>0</v>
      </c>
      <c r="W312" s="2395">
        <v>0</v>
      </c>
      <c r="X312" s="2392">
        <v>0</v>
      </c>
      <c r="Z312" s="2390">
        <v>11161900</v>
      </c>
      <c r="AA312" s="2403" t="s">
        <v>4057</v>
      </c>
      <c r="AB312" s="2392">
        <v>0</v>
      </c>
      <c r="AC312" s="2392">
        <v>0</v>
      </c>
      <c r="AD312" s="2393">
        <v>0</v>
      </c>
      <c r="AE312" s="2394">
        <v>0</v>
      </c>
      <c r="AF312" s="2392">
        <v>0</v>
      </c>
      <c r="AG312" s="2392">
        <v>0</v>
      </c>
      <c r="AH312" s="2395">
        <v>0</v>
      </c>
      <c r="AI312" s="2395">
        <v>0</v>
      </c>
      <c r="AJ312" s="2392">
        <v>0</v>
      </c>
      <c r="AZ312" s="2390">
        <v>11161900</v>
      </c>
      <c r="BA312" s="2403" t="s">
        <v>4057</v>
      </c>
      <c r="BB312" s="2392">
        <v>0</v>
      </c>
      <c r="BC312" s="2392">
        <v>-22392754</v>
      </c>
      <c r="BD312" s="2393">
        <v>0</v>
      </c>
      <c r="BE312" s="2394">
        <v>0</v>
      </c>
      <c r="BF312" s="2392">
        <v>0</v>
      </c>
      <c r="BG312" s="2392">
        <v>-22392754</v>
      </c>
      <c r="BH312" s="2395">
        <v>0</v>
      </c>
      <c r="BI312" s="2395">
        <v>0</v>
      </c>
      <c r="BJ312" s="2392">
        <v>-22392754</v>
      </c>
      <c r="BN312" s="2390">
        <v>11161900</v>
      </c>
      <c r="BO312" s="2403" t="s">
        <v>4057</v>
      </c>
      <c r="BP312" s="2392">
        <v>0</v>
      </c>
      <c r="BQ312" s="2392">
        <v>-30226555</v>
      </c>
      <c r="BR312" s="2393">
        <v>0</v>
      </c>
      <c r="BS312" s="2394">
        <v>0</v>
      </c>
      <c r="BT312" s="2392">
        <v>0</v>
      </c>
      <c r="BU312" s="2392">
        <v>-30226555</v>
      </c>
      <c r="BV312" s="2395">
        <v>0</v>
      </c>
      <c r="BW312" s="2395">
        <v>0</v>
      </c>
      <c r="BX312" s="2392">
        <v>-30226555</v>
      </c>
    </row>
    <row r="313" spans="2:76">
      <c r="B313" s="2564">
        <v>11161901</v>
      </c>
      <c r="C313" s="2565" t="s">
        <v>4057</v>
      </c>
      <c r="D313" s="2566">
        <v>0</v>
      </c>
      <c r="E313" s="1080">
        <v>0</v>
      </c>
      <c r="F313" s="2567">
        <v>0</v>
      </c>
      <c r="G313" s="2568">
        <v>0</v>
      </c>
      <c r="H313" s="2566">
        <v>0</v>
      </c>
      <c r="I313" s="2566">
        <v>0</v>
      </c>
      <c r="J313" s="2569">
        <v>0</v>
      </c>
      <c r="K313" s="2569">
        <v>0</v>
      </c>
      <c r="L313" s="2566">
        <v>0</v>
      </c>
      <c r="N313" s="2396">
        <v>11161901</v>
      </c>
      <c r="O313" s="2397" t="s">
        <v>4057</v>
      </c>
      <c r="P313" s="2398">
        <v>0</v>
      </c>
      <c r="Q313" s="2179">
        <v>0</v>
      </c>
      <c r="R313" s="2399">
        <v>0</v>
      </c>
      <c r="S313" s="2400">
        <v>0</v>
      </c>
      <c r="T313" s="2398">
        <v>0</v>
      </c>
      <c r="U313" s="2398">
        <v>0</v>
      </c>
      <c r="V313" s="2401">
        <v>0</v>
      </c>
      <c r="W313" s="2401">
        <v>0</v>
      </c>
      <c r="X313" s="2398">
        <v>0</v>
      </c>
      <c r="Z313" s="2396">
        <v>11161901</v>
      </c>
      <c r="AA313" s="2397" t="s">
        <v>4057</v>
      </c>
      <c r="AB313" s="2398">
        <v>0</v>
      </c>
      <c r="AC313" s="2179">
        <v>0</v>
      </c>
      <c r="AD313" s="2399">
        <v>0</v>
      </c>
      <c r="AE313" s="2400">
        <v>0</v>
      </c>
      <c r="AF313" s="2398">
        <v>0</v>
      </c>
      <c r="AG313" s="2398">
        <v>0</v>
      </c>
      <c r="AH313" s="2401">
        <v>0</v>
      </c>
      <c r="AI313" s="2401">
        <v>0</v>
      </c>
      <c r="AJ313" s="2398">
        <v>0</v>
      </c>
      <c r="AZ313" s="2396">
        <v>11161901</v>
      </c>
      <c r="BA313" s="2397" t="s">
        <v>4057</v>
      </c>
      <c r="BB313" s="2398">
        <v>0</v>
      </c>
      <c r="BC313" s="2179">
        <v>-22392754</v>
      </c>
      <c r="BD313" s="2399">
        <v>0</v>
      </c>
      <c r="BE313" s="2400">
        <v>0</v>
      </c>
      <c r="BF313" s="2398">
        <v>0</v>
      </c>
      <c r="BG313" s="2398">
        <v>-22392754</v>
      </c>
      <c r="BH313" s="2401">
        <v>0</v>
      </c>
      <c r="BI313" s="2401">
        <v>0</v>
      </c>
      <c r="BJ313" s="2398">
        <v>-22392754</v>
      </c>
      <c r="BN313" s="2396">
        <v>11161901</v>
      </c>
      <c r="BO313" s="2397" t="s">
        <v>4057</v>
      </c>
      <c r="BP313" s="2398">
        <v>0</v>
      </c>
      <c r="BQ313" s="2179">
        <v>-30226555</v>
      </c>
      <c r="BR313" s="2399">
        <v>0</v>
      </c>
      <c r="BS313" s="2400">
        <v>0</v>
      </c>
      <c r="BT313" s="2398">
        <v>0</v>
      </c>
      <c r="BU313" s="2398">
        <v>-30226555</v>
      </c>
      <c r="BV313" s="2401">
        <v>0</v>
      </c>
      <c r="BW313" s="2401">
        <v>0</v>
      </c>
      <c r="BX313" s="2398">
        <v>-30226555</v>
      </c>
    </row>
    <row r="314" spans="2:76">
      <c r="B314" s="2558">
        <v>11162000</v>
      </c>
      <c r="C314" s="2571" t="s">
        <v>4058</v>
      </c>
      <c r="D314" s="2560">
        <v>1070721904</v>
      </c>
      <c r="E314" s="2560">
        <v>13690433</v>
      </c>
      <c r="F314" s="2561">
        <v>369075411</v>
      </c>
      <c r="G314" s="2562">
        <v>0</v>
      </c>
      <c r="H314" s="2560">
        <v>327490233</v>
      </c>
      <c r="I314" s="2560">
        <v>1780977981</v>
      </c>
      <c r="J314" s="2563">
        <v>0</v>
      </c>
      <c r="K314" s="2563">
        <v>0</v>
      </c>
      <c r="L314" s="2560">
        <v>1780977981</v>
      </c>
      <c r="N314" s="2390">
        <v>11162000</v>
      </c>
      <c r="O314" s="2403" t="s">
        <v>4058</v>
      </c>
      <c r="P314" s="2392">
        <v>776095586</v>
      </c>
      <c r="Q314" s="2392">
        <v>16286271</v>
      </c>
      <c r="R314" s="2393">
        <v>331518985</v>
      </c>
      <c r="S314" s="2394">
        <v>0</v>
      </c>
      <c r="T314" s="2392">
        <v>220452174</v>
      </c>
      <c r="U314" s="2392">
        <v>1344353016</v>
      </c>
      <c r="V314" s="2395">
        <v>0</v>
      </c>
      <c r="W314" s="2395">
        <v>0</v>
      </c>
      <c r="X314" s="2392">
        <v>1344353016</v>
      </c>
      <c r="Z314" s="2390">
        <v>11162000</v>
      </c>
      <c r="AA314" s="2403" t="s">
        <v>4058</v>
      </c>
      <c r="AB314" s="2392">
        <v>888099913</v>
      </c>
      <c r="AC314" s="2392">
        <v>32674721</v>
      </c>
      <c r="AD314" s="2393">
        <v>178120387</v>
      </c>
      <c r="AE314" s="2394">
        <v>0</v>
      </c>
      <c r="AF314" s="2392">
        <v>707702221</v>
      </c>
      <c r="AG314" s="2392">
        <v>1806597242</v>
      </c>
      <c r="AH314" s="2395">
        <v>0</v>
      </c>
      <c r="AI314" s="2395">
        <v>0</v>
      </c>
      <c r="AJ314" s="2392">
        <v>1806597242</v>
      </c>
      <c r="AZ314" s="2390">
        <v>11162000</v>
      </c>
      <c r="BA314" s="2403" t="s">
        <v>4058</v>
      </c>
      <c r="BB314" s="2392">
        <v>12215041458</v>
      </c>
      <c r="BC314" s="2392">
        <v>26465800</v>
      </c>
      <c r="BD314" s="2393">
        <v>1569939883</v>
      </c>
      <c r="BE314" s="2394">
        <v>0</v>
      </c>
      <c r="BF314" s="2392">
        <v>772540209</v>
      </c>
      <c r="BG314" s="2392">
        <v>14583987350</v>
      </c>
      <c r="BH314" s="2395">
        <v>0</v>
      </c>
      <c r="BI314" s="2395">
        <v>0</v>
      </c>
      <c r="BJ314" s="2392">
        <v>14583987350</v>
      </c>
      <c r="BN314" s="2390">
        <v>11162000</v>
      </c>
      <c r="BO314" s="2403" t="s">
        <v>4058</v>
      </c>
      <c r="BP314" s="2392">
        <v>12770711669</v>
      </c>
      <c r="BQ314" s="2392">
        <v>47494709</v>
      </c>
      <c r="BR314" s="2393">
        <v>1434302809</v>
      </c>
      <c r="BS314" s="2394">
        <v>0</v>
      </c>
      <c r="BT314" s="2392">
        <v>652491205</v>
      </c>
      <c r="BU314" s="2392">
        <v>14905000392</v>
      </c>
      <c r="BV314" s="2395">
        <v>0</v>
      </c>
      <c r="BW314" s="2395">
        <v>0</v>
      </c>
      <c r="BX314" s="2392">
        <v>14905000392</v>
      </c>
    </row>
    <row r="315" spans="2:76">
      <c r="B315" s="2564">
        <v>11162001</v>
      </c>
      <c r="C315" s="2565" t="s">
        <v>4058</v>
      </c>
      <c r="D315" s="2566">
        <v>1070721904</v>
      </c>
      <c r="E315" s="1080">
        <v>13690433</v>
      </c>
      <c r="F315" s="2567">
        <v>369075411</v>
      </c>
      <c r="G315" s="2568">
        <v>0</v>
      </c>
      <c r="H315" s="2566">
        <v>327490233</v>
      </c>
      <c r="I315" s="2566">
        <v>1780977981</v>
      </c>
      <c r="J315" s="2569">
        <v>0</v>
      </c>
      <c r="K315" s="2569">
        <v>0</v>
      </c>
      <c r="L315" s="2566">
        <v>1780977981</v>
      </c>
      <c r="N315" s="2396">
        <v>11162001</v>
      </c>
      <c r="O315" s="2397" t="s">
        <v>4058</v>
      </c>
      <c r="P315" s="2398">
        <v>776095586</v>
      </c>
      <c r="Q315" s="2179">
        <v>16286271</v>
      </c>
      <c r="R315" s="2399">
        <v>331518985</v>
      </c>
      <c r="S315" s="2400">
        <v>0</v>
      </c>
      <c r="T315" s="2398">
        <v>220452174</v>
      </c>
      <c r="U315" s="2398">
        <v>1344353016</v>
      </c>
      <c r="V315" s="2401">
        <v>0</v>
      </c>
      <c r="W315" s="2401">
        <v>0</v>
      </c>
      <c r="X315" s="2398">
        <v>1344353016</v>
      </c>
      <c r="Z315" s="2396">
        <v>11162001</v>
      </c>
      <c r="AA315" s="2397" t="s">
        <v>4058</v>
      </c>
      <c r="AB315" s="2398">
        <v>888099913</v>
      </c>
      <c r="AC315" s="2179">
        <v>32674721</v>
      </c>
      <c r="AD315" s="2399">
        <v>178120387</v>
      </c>
      <c r="AE315" s="2400">
        <v>0</v>
      </c>
      <c r="AF315" s="2398">
        <v>707702221</v>
      </c>
      <c r="AG315" s="2398">
        <v>1806597242</v>
      </c>
      <c r="AH315" s="2401">
        <v>0</v>
      </c>
      <c r="AI315" s="2401">
        <v>0</v>
      </c>
      <c r="AJ315" s="2398">
        <v>1806597242</v>
      </c>
      <c r="AZ315" s="2396">
        <v>11162001</v>
      </c>
      <c r="BA315" s="2397" t="s">
        <v>4058</v>
      </c>
      <c r="BB315" s="2398">
        <v>12215041458</v>
      </c>
      <c r="BC315" s="2179">
        <v>26465800</v>
      </c>
      <c r="BD315" s="2399">
        <v>1569939883</v>
      </c>
      <c r="BE315" s="2400">
        <v>0</v>
      </c>
      <c r="BF315" s="2398">
        <v>772540209</v>
      </c>
      <c r="BG315" s="2398">
        <v>14583987350</v>
      </c>
      <c r="BH315" s="2401">
        <v>0</v>
      </c>
      <c r="BI315" s="2401">
        <v>0</v>
      </c>
      <c r="BJ315" s="2398">
        <v>14583987350</v>
      </c>
      <c r="BN315" s="2396">
        <v>11162001</v>
      </c>
      <c r="BO315" s="2397" t="s">
        <v>4058</v>
      </c>
      <c r="BP315" s="2398">
        <v>12770711669</v>
      </c>
      <c r="BQ315" s="2179">
        <v>47494709</v>
      </c>
      <c r="BR315" s="2399">
        <v>1434302809</v>
      </c>
      <c r="BS315" s="2400">
        <v>0</v>
      </c>
      <c r="BT315" s="2398">
        <v>652491205</v>
      </c>
      <c r="BU315" s="2398">
        <v>14905000392</v>
      </c>
      <c r="BV315" s="2401">
        <v>0</v>
      </c>
      <c r="BW315" s="2401">
        <v>0</v>
      </c>
      <c r="BX315" s="2398">
        <v>14905000392</v>
      </c>
    </row>
    <row r="316" spans="2:76">
      <c r="B316" s="2558">
        <v>11162100</v>
      </c>
      <c r="C316" s="2571" t="s">
        <v>4059</v>
      </c>
      <c r="D316" s="2560">
        <v>0</v>
      </c>
      <c r="E316" s="2560">
        <v>0</v>
      </c>
      <c r="F316" s="2561">
        <v>0</v>
      </c>
      <c r="G316" s="2562">
        <v>0</v>
      </c>
      <c r="H316" s="2560">
        <v>0</v>
      </c>
      <c r="I316" s="2560">
        <v>0</v>
      </c>
      <c r="J316" s="2563">
        <v>0</v>
      </c>
      <c r="K316" s="2563">
        <v>0</v>
      </c>
      <c r="L316" s="2560">
        <v>0</v>
      </c>
      <c r="N316" s="2390">
        <v>11162100</v>
      </c>
      <c r="O316" s="2403" t="s">
        <v>4059</v>
      </c>
      <c r="P316" s="2392">
        <v>0</v>
      </c>
      <c r="Q316" s="2392">
        <v>0</v>
      </c>
      <c r="R316" s="2393">
        <v>0</v>
      </c>
      <c r="S316" s="2394">
        <v>0</v>
      </c>
      <c r="T316" s="2392">
        <v>0</v>
      </c>
      <c r="U316" s="2392">
        <v>0</v>
      </c>
      <c r="V316" s="2395">
        <v>0</v>
      </c>
      <c r="W316" s="2395">
        <v>0</v>
      </c>
      <c r="X316" s="2392">
        <v>0</v>
      </c>
      <c r="Z316" s="2390">
        <v>11162100</v>
      </c>
      <c r="AA316" s="2403" t="s">
        <v>4059</v>
      </c>
      <c r="AB316" s="2392">
        <v>0</v>
      </c>
      <c r="AC316" s="2392">
        <v>0</v>
      </c>
      <c r="AD316" s="2393">
        <v>0</v>
      </c>
      <c r="AE316" s="2394">
        <v>0</v>
      </c>
      <c r="AF316" s="2392">
        <v>0</v>
      </c>
      <c r="AG316" s="2392">
        <v>0</v>
      </c>
      <c r="AH316" s="2395">
        <v>0</v>
      </c>
      <c r="AI316" s="2395">
        <v>0</v>
      </c>
      <c r="AJ316" s="2392">
        <v>0</v>
      </c>
      <c r="AZ316" s="2390">
        <v>11162100</v>
      </c>
      <c r="BA316" s="2403" t="s">
        <v>4059</v>
      </c>
      <c r="BB316" s="2392">
        <v>0</v>
      </c>
      <c r="BC316" s="2392">
        <v>0</v>
      </c>
      <c r="BD316" s="2393">
        <v>0</v>
      </c>
      <c r="BE316" s="2394">
        <v>0</v>
      </c>
      <c r="BF316" s="2392">
        <v>0</v>
      </c>
      <c r="BG316" s="2392">
        <v>0</v>
      </c>
      <c r="BH316" s="2395">
        <v>0</v>
      </c>
      <c r="BI316" s="2395">
        <v>0</v>
      </c>
      <c r="BJ316" s="2392">
        <v>0</v>
      </c>
      <c r="BN316" s="2390">
        <v>11162100</v>
      </c>
      <c r="BO316" s="2403" t="s">
        <v>4059</v>
      </c>
      <c r="BP316" s="2392">
        <v>0</v>
      </c>
      <c r="BQ316" s="2392">
        <v>0</v>
      </c>
      <c r="BR316" s="2393">
        <v>0</v>
      </c>
      <c r="BS316" s="2394">
        <v>0</v>
      </c>
      <c r="BT316" s="2392">
        <v>0</v>
      </c>
      <c r="BU316" s="2392">
        <v>0</v>
      </c>
      <c r="BV316" s="2395">
        <v>0</v>
      </c>
      <c r="BW316" s="2395">
        <v>0</v>
      </c>
      <c r="BX316" s="2392">
        <v>0</v>
      </c>
    </row>
    <row r="317" spans="2:76">
      <c r="B317" s="2564">
        <v>11162101</v>
      </c>
      <c r="C317" s="2565" t="s">
        <v>4059</v>
      </c>
      <c r="D317" s="2566">
        <v>0</v>
      </c>
      <c r="E317" s="1080">
        <v>0</v>
      </c>
      <c r="F317" s="2567">
        <v>0</v>
      </c>
      <c r="G317" s="2568">
        <v>0</v>
      </c>
      <c r="H317" s="2566">
        <v>0</v>
      </c>
      <c r="I317" s="2566">
        <v>0</v>
      </c>
      <c r="J317" s="2569">
        <v>0</v>
      </c>
      <c r="K317" s="2569">
        <v>0</v>
      </c>
      <c r="L317" s="2566">
        <v>0</v>
      </c>
      <c r="N317" s="2396">
        <v>11162101</v>
      </c>
      <c r="O317" s="2397" t="s">
        <v>4059</v>
      </c>
      <c r="P317" s="2398">
        <v>0</v>
      </c>
      <c r="Q317" s="2179">
        <v>0</v>
      </c>
      <c r="R317" s="2399">
        <v>0</v>
      </c>
      <c r="S317" s="2400">
        <v>0</v>
      </c>
      <c r="T317" s="2398">
        <v>0</v>
      </c>
      <c r="U317" s="2398">
        <v>0</v>
      </c>
      <c r="V317" s="2401">
        <v>0</v>
      </c>
      <c r="W317" s="2401">
        <v>0</v>
      </c>
      <c r="X317" s="2398">
        <v>0</v>
      </c>
      <c r="Z317" s="2396">
        <v>11162101</v>
      </c>
      <c r="AA317" s="2397" t="s">
        <v>4059</v>
      </c>
      <c r="AB317" s="2398">
        <v>0</v>
      </c>
      <c r="AC317" s="2179">
        <v>0</v>
      </c>
      <c r="AD317" s="2399">
        <v>0</v>
      </c>
      <c r="AE317" s="2400">
        <v>0</v>
      </c>
      <c r="AF317" s="2398">
        <v>0</v>
      </c>
      <c r="AG317" s="2398">
        <v>0</v>
      </c>
      <c r="AH317" s="2401">
        <v>0</v>
      </c>
      <c r="AI317" s="2401">
        <v>0</v>
      </c>
      <c r="AJ317" s="2398">
        <v>0</v>
      </c>
      <c r="AZ317" s="2396">
        <v>11162101</v>
      </c>
      <c r="BA317" s="2397" t="s">
        <v>4059</v>
      </c>
      <c r="BB317" s="2398">
        <v>0</v>
      </c>
      <c r="BC317" s="2179">
        <v>0</v>
      </c>
      <c r="BD317" s="2399">
        <v>0</v>
      </c>
      <c r="BE317" s="2400">
        <v>0</v>
      </c>
      <c r="BF317" s="2398">
        <v>0</v>
      </c>
      <c r="BG317" s="2398">
        <v>0</v>
      </c>
      <c r="BH317" s="2401">
        <v>0</v>
      </c>
      <c r="BI317" s="2401">
        <v>0</v>
      </c>
      <c r="BJ317" s="2398">
        <v>0</v>
      </c>
      <c r="BN317" s="2396">
        <v>11162101</v>
      </c>
      <c r="BO317" s="2397" t="s">
        <v>4059</v>
      </c>
      <c r="BP317" s="2398">
        <v>0</v>
      </c>
      <c r="BQ317" s="2179">
        <v>0</v>
      </c>
      <c r="BR317" s="2399">
        <v>0</v>
      </c>
      <c r="BS317" s="2400">
        <v>0</v>
      </c>
      <c r="BT317" s="2398">
        <v>0</v>
      </c>
      <c r="BU317" s="2398">
        <v>0</v>
      </c>
      <c r="BV317" s="2401">
        <v>0</v>
      </c>
      <c r="BW317" s="2401">
        <v>0</v>
      </c>
      <c r="BX317" s="2398">
        <v>0</v>
      </c>
    </row>
    <row r="318" spans="2:76">
      <c r="B318" s="2558">
        <v>11162200</v>
      </c>
      <c r="C318" s="2571" t="s">
        <v>4060</v>
      </c>
      <c r="D318" s="2560">
        <v>201619927813</v>
      </c>
      <c r="E318" s="2560">
        <v>0</v>
      </c>
      <c r="F318" s="2561">
        <v>10168437865</v>
      </c>
      <c r="G318" s="2562">
        <v>0</v>
      </c>
      <c r="H318" s="2560">
        <v>0</v>
      </c>
      <c r="I318" s="2560">
        <v>211788365678</v>
      </c>
      <c r="J318" s="2563">
        <v>0</v>
      </c>
      <c r="K318" s="2563">
        <v>0</v>
      </c>
      <c r="L318" s="2560">
        <v>211788365678</v>
      </c>
      <c r="N318" s="2390">
        <v>11162200</v>
      </c>
      <c r="O318" s="2403" t="s">
        <v>4060</v>
      </c>
      <c r="P318" s="2392">
        <v>104867265537</v>
      </c>
      <c r="Q318" s="2392">
        <v>0</v>
      </c>
      <c r="R318" s="2393">
        <v>8000439735</v>
      </c>
      <c r="S318" s="2394">
        <v>0</v>
      </c>
      <c r="T318" s="2392">
        <v>0</v>
      </c>
      <c r="U318" s="2392">
        <v>112867705272</v>
      </c>
      <c r="V318" s="2395">
        <v>0</v>
      </c>
      <c r="W318" s="2395">
        <v>0</v>
      </c>
      <c r="X318" s="2392">
        <v>112867705272</v>
      </c>
      <c r="Z318" s="2390">
        <v>11162200</v>
      </c>
      <c r="AA318" s="2403" t="s">
        <v>4060</v>
      </c>
      <c r="AB318" s="2392">
        <v>107595680995</v>
      </c>
      <c r="AC318" s="2392">
        <v>0</v>
      </c>
      <c r="AD318" s="2393">
        <v>3246234658</v>
      </c>
      <c r="AE318" s="2394">
        <v>0</v>
      </c>
      <c r="AF318" s="2392">
        <v>0</v>
      </c>
      <c r="AG318" s="2392">
        <v>110841915653</v>
      </c>
      <c r="AH318" s="2395">
        <v>0</v>
      </c>
      <c r="AI318" s="2395">
        <v>0</v>
      </c>
      <c r="AJ318" s="2392">
        <v>110841915653</v>
      </c>
      <c r="AZ318" s="2390">
        <v>11162200</v>
      </c>
      <c r="BA318" s="2403" t="s">
        <v>4060</v>
      </c>
      <c r="BB318" s="2392">
        <v>106243037203</v>
      </c>
      <c r="BC318" s="2392">
        <v>0</v>
      </c>
      <c r="BD318" s="2393">
        <v>2964638096</v>
      </c>
      <c r="BE318" s="2394">
        <v>0</v>
      </c>
      <c r="BF318" s="2392">
        <v>0</v>
      </c>
      <c r="BG318" s="2392">
        <v>109207675299</v>
      </c>
      <c r="BH318" s="2395">
        <v>0</v>
      </c>
      <c r="BI318" s="2395">
        <v>0</v>
      </c>
      <c r="BJ318" s="2392">
        <v>109207675299</v>
      </c>
      <c r="BN318" s="2390">
        <v>11162200</v>
      </c>
      <c r="BO318" s="2403" t="s">
        <v>4060</v>
      </c>
      <c r="BP318" s="2392">
        <v>141571051380</v>
      </c>
      <c r="BQ318" s="2392">
        <v>0</v>
      </c>
      <c r="BR318" s="2393">
        <v>694936351</v>
      </c>
      <c r="BS318" s="2394">
        <v>0</v>
      </c>
      <c r="BT318" s="2392">
        <v>0</v>
      </c>
      <c r="BU318" s="2392">
        <v>142265987731</v>
      </c>
      <c r="BV318" s="2395">
        <v>0</v>
      </c>
      <c r="BW318" s="2395">
        <v>0</v>
      </c>
      <c r="BX318" s="2392">
        <v>142265987731</v>
      </c>
    </row>
    <row r="319" spans="2:76">
      <c r="B319" s="2564">
        <v>11162201</v>
      </c>
      <c r="C319" s="2565" t="s">
        <v>4061</v>
      </c>
      <c r="D319" s="2566">
        <v>0</v>
      </c>
      <c r="E319" s="1080">
        <v>0</v>
      </c>
      <c r="F319" s="2567">
        <v>0</v>
      </c>
      <c r="G319" s="2568">
        <v>0</v>
      </c>
      <c r="H319" s="2566">
        <v>0</v>
      </c>
      <c r="I319" s="2566">
        <v>0</v>
      </c>
      <c r="J319" s="2569">
        <v>0</v>
      </c>
      <c r="K319" s="2569">
        <v>0</v>
      </c>
      <c r="L319" s="2566">
        <v>0</v>
      </c>
      <c r="N319" s="2396">
        <v>11162201</v>
      </c>
      <c r="O319" s="2397" t="s">
        <v>4061</v>
      </c>
      <c r="P319" s="2398">
        <v>0</v>
      </c>
      <c r="Q319" s="2179">
        <v>0</v>
      </c>
      <c r="R319" s="2399">
        <v>0</v>
      </c>
      <c r="S319" s="2400">
        <v>0</v>
      </c>
      <c r="T319" s="2398">
        <v>0</v>
      </c>
      <c r="U319" s="2398">
        <v>0</v>
      </c>
      <c r="V319" s="2401">
        <v>0</v>
      </c>
      <c r="W319" s="2401">
        <v>0</v>
      </c>
      <c r="X319" s="2398">
        <v>0</v>
      </c>
      <c r="Z319" s="2396">
        <v>11162201</v>
      </c>
      <c r="AA319" s="2397" t="s">
        <v>4061</v>
      </c>
      <c r="AB319" s="2398">
        <v>0</v>
      </c>
      <c r="AC319" s="2179">
        <v>0</v>
      </c>
      <c r="AD319" s="2399">
        <v>0</v>
      </c>
      <c r="AE319" s="2400">
        <v>0</v>
      </c>
      <c r="AF319" s="2398">
        <v>0</v>
      </c>
      <c r="AG319" s="2398">
        <v>0</v>
      </c>
      <c r="AH319" s="2401">
        <v>0</v>
      </c>
      <c r="AI319" s="2401">
        <v>0</v>
      </c>
      <c r="AJ319" s="2398">
        <v>0</v>
      </c>
      <c r="AZ319" s="2396">
        <v>11162201</v>
      </c>
      <c r="BA319" s="2397" t="s">
        <v>4061</v>
      </c>
      <c r="BB319" s="2398">
        <v>0</v>
      </c>
      <c r="BC319" s="2179">
        <v>0</v>
      </c>
      <c r="BD319" s="2399">
        <v>0</v>
      </c>
      <c r="BE319" s="2400">
        <v>0</v>
      </c>
      <c r="BF319" s="2398">
        <v>0</v>
      </c>
      <c r="BG319" s="2398">
        <v>0</v>
      </c>
      <c r="BH319" s="2401">
        <v>0</v>
      </c>
      <c r="BI319" s="2401">
        <v>0</v>
      </c>
      <c r="BJ319" s="2398">
        <v>0</v>
      </c>
      <c r="BN319" s="2396">
        <v>11162201</v>
      </c>
      <c r="BO319" s="2397" t="s">
        <v>4061</v>
      </c>
      <c r="BP319" s="2398">
        <v>0</v>
      </c>
      <c r="BQ319" s="2179">
        <v>0</v>
      </c>
      <c r="BR319" s="2399">
        <v>0</v>
      </c>
      <c r="BS319" s="2400">
        <v>0</v>
      </c>
      <c r="BT319" s="2398">
        <v>0</v>
      </c>
      <c r="BU319" s="2398">
        <v>0</v>
      </c>
      <c r="BV319" s="2401">
        <v>0</v>
      </c>
      <c r="BW319" s="2401">
        <v>0</v>
      </c>
      <c r="BX319" s="2398">
        <v>0</v>
      </c>
    </row>
    <row r="320" spans="2:76">
      <c r="B320" s="2564">
        <v>11162202</v>
      </c>
      <c r="C320" s="2565" t="s">
        <v>4062</v>
      </c>
      <c r="D320" s="2566">
        <v>201619927813</v>
      </c>
      <c r="E320" s="1080">
        <v>0</v>
      </c>
      <c r="F320" s="2567">
        <v>10168437865</v>
      </c>
      <c r="G320" s="2568">
        <v>0</v>
      </c>
      <c r="H320" s="2566">
        <v>0</v>
      </c>
      <c r="I320" s="2566">
        <v>211788365678</v>
      </c>
      <c r="J320" s="2569">
        <v>0</v>
      </c>
      <c r="K320" s="2569">
        <v>0</v>
      </c>
      <c r="L320" s="2566">
        <v>211788365678</v>
      </c>
      <c r="N320" s="2396">
        <v>11162202</v>
      </c>
      <c r="O320" s="2397" t="s">
        <v>4062</v>
      </c>
      <c r="P320" s="2398">
        <v>104867265537</v>
      </c>
      <c r="Q320" s="2179">
        <v>0</v>
      </c>
      <c r="R320" s="2399">
        <v>7988272695</v>
      </c>
      <c r="S320" s="2400">
        <v>0</v>
      </c>
      <c r="T320" s="2398">
        <v>0</v>
      </c>
      <c r="U320" s="2398">
        <v>112855538232</v>
      </c>
      <c r="V320" s="2401">
        <v>0</v>
      </c>
      <c r="W320" s="2401">
        <v>0</v>
      </c>
      <c r="X320" s="2398">
        <v>112855538232</v>
      </c>
      <c r="Z320" s="2396">
        <v>11162202</v>
      </c>
      <c r="AA320" s="2397" t="s">
        <v>4062</v>
      </c>
      <c r="AB320" s="2398">
        <v>107595680995</v>
      </c>
      <c r="AC320" s="2179">
        <v>0</v>
      </c>
      <c r="AD320" s="2399">
        <v>3246234658</v>
      </c>
      <c r="AE320" s="2400">
        <v>0</v>
      </c>
      <c r="AF320" s="2398">
        <v>0</v>
      </c>
      <c r="AG320" s="2398">
        <v>110841915653</v>
      </c>
      <c r="AH320" s="2401">
        <v>0</v>
      </c>
      <c r="AI320" s="2401">
        <v>0</v>
      </c>
      <c r="AJ320" s="2398">
        <v>110841915653</v>
      </c>
      <c r="AZ320" s="2396">
        <v>11162202</v>
      </c>
      <c r="BA320" s="2397" t="s">
        <v>4062</v>
      </c>
      <c r="BB320" s="2398">
        <v>105406437705</v>
      </c>
      <c r="BC320" s="2179">
        <v>0</v>
      </c>
      <c r="BD320" s="2399">
        <v>2964638096</v>
      </c>
      <c r="BE320" s="2400">
        <v>0</v>
      </c>
      <c r="BF320" s="2398">
        <v>0</v>
      </c>
      <c r="BG320" s="2398">
        <v>108371075801</v>
      </c>
      <c r="BH320" s="2401">
        <v>0</v>
      </c>
      <c r="BI320" s="2401">
        <v>0</v>
      </c>
      <c r="BJ320" s="2398">
        <v>108371075801</v>
      </c>
      <c r="BN320" s="2396">
        <v>11162202</v>
      </c>
      <c r="BO320" s="2397" t="s">
        <v>4062</v>
      </c>
      <c r="BP320" s="2398">
        <v>139104123162</v>
      </c>
      <c r="BQ320" s="2179">
        <v>0</v>
      </c>
      <c r="BR320" s="2399">
        <v>694936351</v>
      </c>
      <c r="BS320" s="2400">
        <v>0</v>
      </c>
      <c r="BT320" s="2398">
        <v>0</v>
      </c>
      <c r="BU320" s="2398">
        <v>139799059513</v>
      </c>
      <c r="BV320" s="2401">
        <v>0</v>
      </c>
      <c r="BW320" s="2401">
        <v>0</v>
      </c>
      <c r="BX320" s="2398">
        <v>139799059513</v>
      </c>
    </row>
    <row r="321" spans="2:76">
      <c r="B321" s="2564">
        <v>11162203</v>
      </c>
      <c r="C321" s="2565" t="s">
        <v>4063</v>
      </c>
      <c r="D321" s="2566">
        <v>0</v>
      </c>
      <c r="E321" s="1080">
        <v>0</v>
      </c>
      <c r="F321" s="2567">
        <v>0</v>
      </c>
      <c r="G321" s="2568">
        <v>0</v>
      </c>
      <c r="H321" s="2566">
        <v>0</v>
      </c>
      <c r="I321" s="2566">
        <v>0</v>
      </c>
      <c r="J321" s="2569">
        <v>0</v>
      </c>
      <c r="K321" s="2569">
        <v>0</v>
      </c>
      <c r="L321" s="2566">
        <v>0</v>
      </c>
      <c r="N321" s="2396">
        <v>11162203</v>
      </c>
      <c r="O321" s="2397" t="s">
        <v>4063</v>
      </c>
      <c r="P321" s="2398">
        <v>0</v>
      </c>
      <c r="Q321" s="2179">
        <v>0</v>
      </c>
      <c r="R321" s="2399">
        <v>12167040</v>
      </c>
      <c r="S321" s="2400">
        <v>0</v>
      </c>
      <c r="T321" s="2398">
        <v>0</v>
      </c>
      <c r="U321" s="2398">
        <v>12167040</v>
      </c>
      <c r="V321" s="2401">
        <v>0</v>
      </c>
      <c r="W321" s="2401">
        <v>0</v>
      </c>
      <c r="X321" s="2398">
        <v>12167040</v>
      </c>
      <c r="Z321" s="2396">
        <v>11162203</v>
      </c>
      <c r="AA321" s="2397" t="s">
        <v>4063</v>
      </c>
      <c r="AB321" s="2398">
        <v>0</v>
      </c>
      <c r="AC321" s="2179">
        <v>0</v>
      </c>
      <c r="AD321" s="2399">
        <v>0</v>
      </c>
      <c r="AE321" s="2400">
        <v>0</v>
      </c>
      <c r="AF321" s="2398">
        <v>0</v>
      </c>
      <c r="AG321" s="2398">
        <v>0</v>
      </c>
      <c r="AH321" s="2401">
        <v>0</v>
      </c>
      <c r="AI321" s="2401">
        <v>0</v>
      </c>
      <c r="AJ321" s="2398">
        <v>0</v>
      </c>
      <c r="AZ321" s="2396">
        <v>11162203</v>
      </c>
      <c r="BA321" s="2397" t="s">
        <v>4063</v>
      </c>
      <c r="BB321" s="2398">
        <v>836599498</v>
      </c>
      <c r="BC321" s="2179">
        <v>0</v>
      </c>
      <c r="BD321" s="2399">
        <v>0</v>
      </c>
      <c r="BE321" s="2400">
        <v>0</v>
      </c>
      <c r="BF321" s="2398">
        <v>0</v>
      </c>
      <c r="BG321" s="2398">
        <v>836599498</v>
      </c>
      <c r="BH321" s="2401">
        <v>0</v>
      </c>
      <c r="BI321" s="2401">
        <v>0</v>
      </c>
      <c r="BJ321" s="2398">
        <v>836599498</v>
      </c>
      <c r="BN321" s="2396">
        <v>11162203</v>
      </c>
      <c r="BO321" s="2397" t="s">
        <v>4063</v>
      </c>
      <c r="BP321" s="2398">
        <v>2466928218</v>
      </c>
      <c r="BQ321" s="2179">
        <v>0</v>
      </c>
      <c r="BR321" s="2399">
        <v>0</v>
      </c>
      <c r="BS321" s="2400">
        <v>0</v>
      </c>
      <c r="BT321" s="2398">
        <v>0</v>
      </c>
      <c r="BU321" s="2398">
        <v>2466928218</v>
      </c>
      <c r="BV321" s="2401">
        <v>0</v>
      </c>
      <c r="BW321" s="2401">
        <v>0</v>
      </c>
      <c r="BX321" s="2398">
        <v>2466928218</v>
      </c>
    </row>
    <row r="322" spans="2:76">
      <c r="B322" s="2564">
        <v>11162204</v>
      </c>
      <c r="C322" s="2565" t="s">
        <v>4064</v>
      </c>
      <c r="D322" s="2566">
        <v>0</v>
      </c>
      <c r="E322" s="1080">
        <v>0</v>
      </c>
      <c r="F322" s="2567">
        <v>0</v>
      </c>
      <c r="G322" s="2568">
        <v>0</v>
      </c>
      <c r="H322" s="2566">
        <v>0</v>
      </c>
      <c r="I322" s="2566">
        <v>0</v>
      </c>
      <c r="J322" s="2569">
        <v>0</v>
      </c>
      <c r="K322" s="2569">
        <v>0</v>
      </c>
      <c r="L322" s="2566">
        <v>0</v>
      </c>
      <c r="N322" s="2396">
        <v>11162204</v>
      </c>
      <c r="O322" s="2397" t="s">
        <v>4064</v>
      </c>
      <c r="P322" s="2398">
        <v>0</v>
      </c>
      <c r="Q322" s="2179">
        <v>0</v>
      </c>
      <c r="R322" s="2399">
        <v>0</v>
      </c>
      <c r="S322" s="2400">
        <v>0</v>
      </c>
      <c r="T322" s="2398">
        <v>0</v>
      </c>
      <c r="U322" s="2398">
        <v>0</v>
      </c>
      <c r="V322" s="2401">
        <v>0</v>
      </c>
      <c r="W322" s="2401">
        <v>0</v>
      </c>
      <c r="X322" s="2398">
        <v>0</v>
      </c>
      <c r="Z322" s="2396">
        <v>11162204</v>
      </c>
      <c r="AA322" s="2397" t="s">
        <v>4064</v>
      </c>
      <c r="AB322" s="2398">
        <v>0</v>
      </c>
      <c r="AC322" s="2179">
        <v>0</v>
      </c>
      <c r="AD322" s="2399">
        <v>0</v>
      </c>
      <c r="AE322" s="2400">
        <v>0</v>
      </c>
      <c r="AF322" s="2398">
        <v>0</v>
      </c>
      <c r="AG322" s="2398">
        <v>0</v>
      </c>
      <c r="AH322" s="2401">
        <v>0</v>
      </c>
      <c r="AI322" s="2401">
        <v>0</v>
      </c>
      <c r="AJ322" s="2398">
        <v>0</v>
      </c>
      <c r="AZ322" s="2396">
        <v>11162204</v>
      </c>
      <c r="BA322" s="2397" t="s">
        <v>4064</v>
      </c>
      <c r="BB322" s="2398">
        <v>0</v>
      </c>
      <c r="BC322" s="2179">
        <v>0</v>
      </c>
      <c r="BD322" s="2399">
        <v>0</v>
      </c>
      <c r="BE322" s="2400">
        <v>0</v>
      </c>
      <c r="BF322" s="2398">
        <v>0</v>
      </c>
      <c r="BG322" s="2398">
        <v>0</v>
      </c>
      <c r="BH322" s="2401">
        <v>0</v>
      </c>
      <c r="BI322" s="2401">
        <v>0</v>
      </c>
      <c r="BJ322" s="2398">
        <v>0</v>
      </c>
      <c r="BN322" s="2396">
        <v>11162204</v>
      </c>
      <c r="BO322" s="2397" t="s">
        <v>4064</v>
      </c>
      <c r="BP322" s="2398">
        <v>0</v>
      </c>
      <c r="BQ322" s="2179">
        <v>0</v>
      </c>
      <c r="BR322" s="2399">
        <v>0</v>
      </c>
      <c r="BS322" s="2400">
        <v>0</v>
      </c>
      <c r="BT322" s="2398">
        <v>0</v>
      </c>
      <c r="BU322" s="2398">
        <v>0</v>
      </c>
      <c r="BV322" s="2401">
        <v>0</v>
      </c>
      <c r="BW322" s="2401">
        <v>0</v>
      </c>
      <c r="BX322" s="2398">
        <v>0</v>
      </c>
    </row>
    <row r="323" spans="2:76">
      <c r="B323" s="2558">
        <v>11162300</v>
      </c>
      <c r="C323" s="2571" t="s">
        <v>4065</v>
      </c>
      <c r="D323" s="2560">
        <v>0</v>
      </c>
      <c r="E323" s="2560">
        <v>0</v>
      </c>
      <c r="F323" s="2561">
        <v>0</v>
      </c>
      <c r="G323" s="2562">
        <v>0</v>
      </c>
      <c r="H323" s="2560">
        <v>0</v>
      </c>
      <c r="I323" s="2560">
        <v>0</v>
      </c>
      <c r="J323" s="2563">
        <v>0</v>
      </c>
      <c r="K323" s="2563">
        <v>0</v>
      </c>
      <c r="L323" s="2560">
        <v>0</v>
      </c>
      <c r="N323" s="2390">
        <v>11162300</v>
      </c>
      <c r="O323" s="2403" t="s">
        <v>4065</v>
      </c>
      <c r="P323" s="2392">
        <v>0</v>
      </c>
      <c r="Q323" s="2392">
        <v>0</v>
      </c>
      <c r="R323" s="2393">
        <v>0</v>
      </c>
      <c r="S323" s="2394">
        <v>0</v>
      </c>
      <c r="T323" s="2392">
        <v>0</v>
      </c>
      <c r="U323" s="2392">
        <v>0</v>
      </c>
      <c r="V323" s="2395">
        <v>0</v>
      </c>
      <c r="W323" s="2395">
        <v>0</v>
      </c>
      <c r="X323" s="2392">
        <v>0</v>
      </c>
      <c r="Z323" s="2390">
        <v>11162300</v>
      </c>
      <c r="AA323" s="2403" t="s">
        <v>4065</v>
      </c>
      <c r="AB323" s="2392">
        <v>0</v>
      </c>
      <c r="AC323" s="2392">
        <v>0</v>
      </c>
      <c r="AD323" s="2393">
        <v>0</v>
      </c>
      <c r="AE323" s="2394">
        <v>0</v>
      </c>
      <c r="AF323" s="2392">
        <v>0</v>
      </c>
      <c r="AG323" s="2392">
        <v>0</v>
      </c>
      <c r="AH323" s="2395">
        <v>0</v>
      </c>
      <c r="AI323" s="2395">
        <v>0</v>
      </c>
      <c r="AJ323" s="2392">
        <v>0</v>
      </c>
      <c r="AZ323" s="2390">
        <v>11162300</v>
      </c>
      <c r="BA323" s="2403" t="s">
        <v>4065</v>
      </c>
      <c r="BB323" s="2392">
        <v>0</v>
      </c>
      <c r="BC323" s="2392">
        <v>0</v>
      </c>
      <c r="BD323" s="2393">
        <v>0</v>
      </c>
      <c r="BE323" s="2394">
        <v>0</v>
      </c>
      <c r="BF323" s="2392">
        <v>0</v>
      </c>
      <c r="BG323" s="2392">
        <v>0</v>
      </c>
      <c r="BH323" s="2395">
        <v>0</v>
      </c>
      <c r="BI323" s="2395">
        <v>0</v>
      </c>
      <c r="BJ323" s="2392">
        <v>0</v>
      </c>
      <c r="BN323" s="2390">
        <v>11162300</v>
      </c>
      <c r="BO323" s="2403" t="s">
        <v>4065</v>
      </c>
      <c r="BP323" s="2392">
        <v>0</v>
      </c>
      <c r="BQ323" s="2392">
        <v>0</v>
      </c>
      <c r="BR323" s="2393">
        <v>0</v>
      </c>
      <c r="BS323" s="2394">
        <v>0</v>
      </c>
      <c r="BT323" s="2392">
        <v>0</v>
      </c>
      <c r="BU323" s="2392">
        <v>0</v>
      </c>
      <c r="BV323" s="2395">
        <v>0</v>
      </c>
      <c r="BW323" s="2395">
        <v>0</v>
      </c>
      <c r="BX323" s="2392">
        <v>0</v>
      </c>
    </row>
    <row r="324" spans="2:76">
      <c r="B324" s="2564">
        <v>11162301</v>
      </c>
      <c r="C324" s="2565" t="s">
        <v>4065</v>
      </c>
      <c r="D324" s="2566">
        <v>0</v>
      </c>
      <c r="E324" s="1080">
        <v>0</v>
      </c>
      <c r="F324" s="2567">
        <v>0</v>
      </c>
      <c r="G324" s="2568">
        <v>0</v>
      </c>
      <c r="H324" s="2566">
        <v>0</v>
      </c>
      <c r="I324" s="2566">
        <v>0</v>
      </c>
      <c r="J324" s="2569">
        <v>0</v>
      </c>
      <c r="K324" s="2569">
        <v>0</v>
      </c>
      <c r="L324" s="2566">
        <v>0</v>
      </c>
      <c r="N324" s="2396">
        <v>11162301</v>
      </c>
      <c r="O324" s="2397" t="s">
        <v>4065</v>
      </c>
      <c r="P324" s="2398">
        <v>0</v>
      </c>
      <c r="Q324" s="2179">
        <v>0</v>
      </c>
      <c r="R324" s="2399">
        <v>0</v>
      </c>
      <c r="S324" s="2400">
        <v>0</v>
      </c>
      <c r="T324" s="2398">
        <v>0</v>
      </c>
      <c r="U324" s="2398">
        <v>0</v>
      </c>
      <c r="V324" s="2401">
        <v>0</v>
      </c>
      <c r="W324" s="2401">
        <v>0</v>
      </c>
      <c r="X324" s="2398">
        <v>0</v>
      </c>
      <c r="Z324" s="2396">
        <v>11162301</v>
      </c>
      <c r="AA324" s="2397" t="s">
        <v>4065</v>
      </c>
      <c r="AB324" s="2398">
        <v>0</v>
      </c>
      <c r="AC324" s="2179">
        <v>0</v>
      </c>
      <c r="AD324" s="2399">
        <v>0</v>
      </c>
      <c r="AE324" s="2400">
        <v>0</v>
      </c>
      <c r="AF324" s="2398">
        <v>0</v>
      </c>
      <c r="AG324" s="2398">
        <v>0</v>
      </c>
      <c r="AH324" s="2401">
        <v>0</v>
      </c>
      <c r="AI324" s="2401">
        <v>0</v>
      </c>
      <c r="AJ324" s="2398">
        <v>0</v>
      </c>
      <c r="AZ324" s="2396">
        <v>11162301</v>
      </c>
      <c r="BA324" s="2397" t="s">
        <v>4065</v>
      </c>
      <c r="BB324" s="2398">
        <v>0</v>
      </c>
      <c r="BC324" s="2179">
        <v>0</v>
      </c>
      <c r="BD324" s="2399">
        <v>0</v>
      </c>
      <c r="BE324" s="2400">
        <v>0</v>
      </c>
      <c r="BF324" s="2398">
        <v>0</v>
      </c>
      <c r="BG324" s="2398">
        <v>0</v>
      </c>
      <c r="BH324" s="2401">
        <v>0</v>
      </c>
      <c r="BI324" s="2401">
        <v>0</v>
      </c>
      <c r="BJ324" s="2398">
        <v>0</v>
      </c>
      <c r="BN324" s="2396">
        <v>11162301</v>
      </c>
      <c r="BO324" s="2397" t="s">
        <v>4065</v>
      </c>
      <c r="BP324" s="2398">
        <v>0</v>
      </c>
      <c r="BQ324" s="2179">
        <v>0</v>
      </c>
      <c r="BR324" s="2399">
        <v>0</v>
      </c>
      <c r="BS324" s="2400">
        <v>0</v>
      </c>
      <c r="BT324" s="2398">
        <v>0</v>
      </c>
      <c r="BU324" s="2398">
        <v>0</v>
      </c>
      <c r="BV324" s="2401">
        <v>0</v>
      </c>
      <c r="BW324" s="2401">
        <v>0</v>
      </c>
      <c r="BX324" s="2398">
        <v>0</v>
      </c>
    </row>
    <row r="325" spans="2:76">
      <c r="B325" s="2558">
        <v>11162400</v>
      </c>
      <c r="C325" s="2571" t="s">
        <v>4066</v>
      </c>
      <c r="D325" s="2560">
        <v>0</v>
      </c>
      <c r="E325" s="2560">
        <v>0</v>
      </c>
      <c r="F325" s="2561">
        <v>0</v>
      </c>
      <c r="G325" s="2562">
        <v>0</v>
      </c>
      <c r="H325" s="2560">
        <v>0</v>
      </c>
      <c r="I325" s="2560">
        <v>0</v>
      </c>
      <c r="J325" s="2563">
        <v>0</v>
      </c>
      <c r="K325" s="2563">
        <v>0</v>
      </c>
      <c r="L325" s="2560">
        <v>0</v>
      </c>
      <c r="N325" s="2390">
        <v>11162400</v>
      </c>
      <c r="O325" s="2403" t="s">
        <v>4066</v>
      </c>
      <c r="P325" s="2392">
        <v>0</v>
      </c>
      <c r="Q325" s="2392">
        <v>0</v>
      </c>
      <c r="R325" s="2393">
        <v>0</v>
      </c>
      <c r="S325" s="2394">
        <v>0</v>
      </c>
      <c r="T325" s="2392">
        <v>0</v>
      </c>
      <c r="U325" s="2392">
        <v>0</v>
      </c>
      <c r="V325" s="2395">
        <v>0</v>
      </c>
      <c r="W325" s="2395">
        <v>0</v>
      </c>
      <c r="X325" s="2392">
        <v>0</v>
      </c>
      <c r="Z325" s="2390">
        <v>11162400</v>
      </c>
      <c r="AA325" s="2403" t="s">
        <v>4066</v>
      </c>
      <c r="AB325" s="2392">
        <v>0</v>
      </c>
      <c r="AC325" s="2392">
        <v>0</v>
      </c>
      <c r="AD325" s="2393">
        <v>0</v>
      </c>
      <c r="AE325" s="2394">
        <v>0</v>
      </c>
      <c r="AF325" s="2392">
        <v>0</v>
      </c>
      <c r="AG325" s="2392">
        <v>0</v>
      </c>
      <c r="AH325" s="2395">
        <v>0</v>
      </c>
      <c r="AI325" s="2395">
        <v>0</v>
      </c>
      <c r="AJ325" s="2392">
        <v>0</v>
      </c>
      <c r="AZ325" s="2390">
        <v>11162400</v>
      </c>
      <c r="BA325" s="2403" t="s">
        <v>4066</v>
      </c>
      <c r="BB325" s="2392">
        <v>0</v>
      </c>
      <c r="BC325" s="2392">
        <v>0</v>
      </c>
      <c r="BD325" s="2393">
        <v>0</v>
      </c>
      <c r="BE325" s="2394">
        <v>0</v>
      </c>
      <c r="BF325" s="2392">
        <v>0</v>
      </c>
      <c r="BG325" s="2392">
        <v>0</v>
      </c>
      <c r="BH325" s="2395">
        <v>0</v>
      </c>
      <c r="BI325" s="2395">
        <v>0</v>
      </c>
      <c r="BJ325" s="2392">
        <v>0</v>
      </c>
      <c r="BN325" s="2390">
        <v>11162400</v>
      </c>
      <c r="BO325" s="2403" t="s">
        <v>4066</v>
      </c>
      <c r="BP325" s="2392">
        <v>0</v>
      </c>
      <c r="BQ325" s="2392">
        <v>0</v>
      </c>
      <c r="BR325" s="2393">
        <v>0</v>
      </c>
      <c r="BS325" s="2394">
        <v>0</v>
      </c>
      <c r="BT325" s="2392">
        <v>0</v>
      </c>
      <c r="BU325" s="2392">
        <v>0</v>
      </c>
      <c r="BV325" s="2395">
        <v>0</v>
      </c>
      <c r="BW325" s="2395">
        <v>0</v>
      </c>
      <c r="BX325" s="2392">
        <v>0</v>
      </c>
    </row>
    <row r="326" spans="2:76">
      <c r="B326" s="2564">
        <v>11162401</v>
      </c>
      <c r="C326" s="2565" t="s">
        <v>4995</v>
      </c>
      <c r="D326" s="2566">
        <v>0</v>
      </c>
      <c r="E326" s="1080">
        <v>0</v>
      </c>
      <c r="F326" s="2567">
        <v>0</v>
      </c>
      <c r="G326" s="2568">
        <v>0</v>
      </c>
      <c r="H326" s="2566">
        <v>0</v>
      </c>
      <c r="I326" s="2566">
        <v>0</v>
      </c>
      <c r="J326" s="2569">
        <v>0</v>
      </c>
      <c r="K326" s="2569">
        <v>0</v>
      </c>
      <c r="L326" s="2566">
        <v>0</v>
      </c>
      <c r="N326" s="2396">
        <v>11162401</v>
      </c>
      <c r="O326" s="2397" t="s">
        <v>4067</v>
      </c>
      <c r="P326" s="2398">
        <v>0</v>
      </c>
      <c r="Q326" s="2179">
        <v>0</v>
      </c>
      <c r="R326" s="2399">
        <v>0</v>
      </c>
      <c r="S326" s="2400">
        <v>0</v>
      </c>
      <c r="T326" s="2398">
        <v>0</v>
      </c>
      <c r="U326" s="2398">
        <v>0</v>
      </c>
      <c r="V326" s="2401">
        <v>0</v>
      </c>
      <c r="W326" s="2401">
        <v>0</v>
      </c>
      <c r="X326" s="2398">
        <v>0</v>
      </c>
      <c r="Z326" s="2396">
        <v>11162401</v>
      </c>
      <c r="AA326" s="2397" t="s">
        <v>4067</v>
      </c>
      <c r="AB326" s="2398">
        <v>0</v>
      </c>
      <c r="AC326" s="2179">
        <v>0</v>
      </c>
      <c r="AD326" s="2399">
        <v>0</v>
      </c>
      <c r="AE326" s="2400">
        <v>0</v>
      </c>
      <c r="AF326" s="2398">
        <v>0</v>
      </c>
      <c r="AG326" s="2398">
        <v>0</v>
      </c>
      <c r="AH326" s="2401">
        <v>0</v>
      </c>
      <c r="AI326" s="2401">
        <v>0</v>
      </c>
      <c r="AJ326" s="2398">
        <v>0</v>
      </c>
      <c r="AZ326" s="2396">
        <v>11162401</v>
      </c>
      <c r="BA326" s="2397" t="s">
        <v>4067</v>
      </c>
      <c r="BB326" s="2398">
        <v>0</v>
      </c>
      <c r="BC326" s="2179">
        <v>0</v>
      </c>
      <c r="BD326" s="2399">
        <v>0</v>
      </c>
      <c r="BE326" s="2400">
        <v>0</v>
      </c>
      <c r="BF326" s="2398">
        <v>0</v>
      </c>
      <c r="BG326" s="2398">
        <v>0</v>
      </c>
      <c r="BH326" s="2401">
        <v>0</v>
      </c>
      <c r="BI326" s="2401">
        <v>0</v>
      </c>
      <c r="BJ326" s="2398">
        <v>0</v>
      </c>
      <c r="BN326" s="2396">
        <v>11162401</v>
      </c>
      <c r="BO326" s="2397" t="s">
        <v>4067</v>
      </c>
      <c r="BP326" s="2398">
        <v>0</v>
      </c>
      <c r="BQ326" s="2179">
        <v>0</v>
      </c>
      <c r="BR326" s="2399">
        <v>0</v>
      </c>
      <c r="BS326" s="2400">
        <v>0</v>
      </c>
      <c r="BT326" s="2398">
        <v>0</v>
      </c>
      <c r="BU326" s="2398">
        <v>0</v>
      </c>
      <c r="BV326" s="2401">
        <v>0</v>
      </c>
      <c r="BW326" s="2401">
        <v>0</v>
      </c>
      <c r="BX326" s="2398">
        <v>0</v>
      </c>
    </row>
    <row r="327" spans="2:76">
      <c r="B327" s="2558">
        <v>11162500</v>
      </c>
      <c r="C327" s="2571" t="s">
        <v>4068</v>
      </c>
      <c r="D327" s="2560">
        <v>0</v>
      </c>
      <c r="E327" s="2560">
        <v>0</v>
      </c>
      <c r="F327" s="2561">
        <v>0</v>
      </c>
      <c r="G327" s="2562">
        <v>0</v>
      </c>
      <c r="H327" s="2560">
        <v>0</v>
      </c>
      <c r="I327" s="2560">
        <v>0</v>
      </c>
      <c r="J327" s="2563">
        <v>0</v>
      </c>
      <c r="K327" s="2563">
        <v>0</v>
      </c>
      <c r="L327" s="2560">
        <v>0</v>
      </c>
      <c r="N327" s="2390">
        <v>11162500</v>
      </c>
      <c r="O327" s="2403" t="s">
        <v>4068</v>
      </c>
      <c r="P327" s="2392">
        <v>0</v>
      </c>
      <c r="Q327" s="2392">
        <v>0</v>
      </c>
      <c r="R327" s="2393">
        <v>0</v>
      </c>
      <c r="S327" s="2394">
        <v>0</v>
      </c>
      <c r="T327" s="2392">
        <v>0</v>
      </c>
      <c r="U327" s="2392">
        <v>0</v>
      </c>
      <c r="V327" s="2395">
        <v>0</v>
      </c>
      <c r="W327" s="2395">
        <v>0</v>
      </c>
      <c r="X327" s="2392">
        <v>0</v>
      </c>
      <c r="Z327" s="2390">
        <v>11162500</v>
      </c>
      <c r="AA327" s="2403" t="s">
        <v>4068</v>
      </c>
      <c r="AB327" s="2392">
        <v>0</v>
      </c>
      <c r="AC327" s="2392">
        <v>0</v>
      </c>
      <c r="AD327" s="2393">
        <v>0</v>
      </c>
      <c r="AE327" s="2394">
        <v>0</v>
      </c>
      <c r="AF327" s="2392">
        <v>0</v>
      </c>
      <c r="AG327" s="2392">
        <v>0</v>
      </c>
      <c r="AH327" s="2395">
        <v>0</v>
      </c>
      <c r="AI327" s="2395">
        <v>0</v>
      </c>
      <c r="AJ327" s="2392">
        <v>0</v>
      </c>
      <c r="AZ327" s="2390">
        <v>11162500</v>
      </c>
      <c r="BA327" s="2403" t="s">
        <v>4068</v>
      </c>
      <c r="BB327" s="2392">
        <v>0</v>
      </c>
      <c r="BC327" s="2392">
        <v>0</v>
      </c>
      <c r="BD327" s="2393">
        <v>0</v>
      </c>
      <c r="BE327" s="2394">
        <v>0</v>
      </c>
      <c r="BF327" s="2392">
        <v>0</v>
      </c>
      <c r="BG327" s="2392">
        <v>0</v>
      </c>
      <c r="BH327" s="2395">
        <v>0</v>
      </c>
      <c r="BI327" s="2395">
        <v>0</v>
      </c>
      <c r="BJ327" s="2392">
        <v>0</v>
      </c>
      <c r="BN327" s="2390">
        <v>11162500</v>
      </c>
      <c r="BO327" s="2403" t="s">
        <v>4068</v>
      </c>
      <c r="BP327" s="2392">
        <v>0</v>
      </c>
      <c r="BQ327" s="2392">
        <v>0</v>
      </c>
      <c r="BR327" s="2393">
        <v>0</v>
      </c>
      <c r="BS327" s="2394">
        <v>0</v>
      </c>
      <c r="BT327" s="2392">
        <v>0</v>
      </c>
      <c r="BU327" s="2392">
        <v>0</v>
      </c>
      <c r="BV327" s="2395">
        <v>0</v>
      </c>
      <c r="BW327" s="2395">
        <v>0</v>
      </c>
      <c r="BX327" s="2392">
        <v>0</v>
      </c>
    </row>
    <row r="328" spans="2:76">
      <c r="B328" s="2564">
        <v>11162501</v>
      </c>
      <c r="C328" s="2565" t="s">
        <v>4068</v>
      </c>
      <c r="D328" s="2566">
        <v>0</v>
      </c>
      <c r="E328" s="1080">
        <v>0</v>
      </c>
      <c r="F328" s="2567">
        <v>0</v>
      </c>
      <c r="G328" s="2568">
        <v>0</v>
      </c>
      <c r="H328" s="2566">
        <v>0</v>
      </c>
      <c r="I328" s="2566">
        <v>0</v>
      </c>
      <c r="J328" s="2569">
        <v>0</v>
      </c>
      <c r="K328" s="2569">
        <v>0</v>
      </c>
      <c r="L328" s="2566">
        <v>0</v>
      </c>
      <c r="N328" s="2396">
        <v>11162501</v>
      </c>
      <c r="O328" s="2397" t="s">
        <v>4068</v>
      </c>
      <c r="P328" s="2398">
        <v>0</v>
      </c>
      <c r="Q328" s="2179">
        <v>0</v>
      </c>
      <c r="R328" s="2399">
        <v>0</v>
      </c>
      <c r="S328" s="2400">
        <v>0</v>
      </c>
      <c r="T328" s="2398">
        <v>0</v>
      </c>
      <c r="U328" s="2398">
        <v>0</v>
      </c>
      <c r="V328" s="2401">
        <v>0</v>
      </c>
      <c r="W328" s="2401">
        <v>0</v>
      </c>
      <c r="X328" s="2398">
        <v>0</v>
      </c>
      <c r="Z328" s="2396">
        <v>11162501</v>
      </c>
      <c r="AA328" s="2397" t="s">
        <v>4068</v>
      </c>
      <c r="AB328" s="2398">
        <v>0</v>
      </c>
      <c r="AC328" s="2179">
        <v>0</v>
      </c>
      <c r="AD328" s="2399">
        <v>0</v>
      </c>
      <c r="AE328" s="2400">
        <v>0</v>
      </c>
      <c r="AF328" s="2398">
        <v>0</v>
      </c>
      <c r="AG328" s="2398">
        <v>0</v>
      </c>
      <c r="AH328" s="2401">
        <v>0</v>
      </c>
      <c r="AI328" s="2401">
        <v>0</v>
      </c>
      <c r="AJ328" s="2398">
        <v>0</v>
      </c>
      <c r="AZ328" s="2396">
        <v>11162501</v>
      </c>
      <c r="BA328" s="2397" t="s">
        <v>4068</v>
      </c>
      <c r="BB328" s="2398">
        <v>0</v>
      </c>
      <c r="BC328" s="2179">
        <v>0</v>
      </c>
      <c r="BD328" s="2399">
        <v>0</v>
      </c>
      <c r="BE328" s="2400">
        <v>0</v>
      </c>
      <c r="BF328" s="2398">
        <v>0</v>
      </c>
      <c r="BG328" s="2398">
        <v>0</v>
      </c>
      <c r="BH328" s="2401">
        <v>0</v>
      </c>
      <c r="BI328" s="2401">
        <v>0</v>
      </c>
      <c r="BJ328" s="2398">
        <v>0</v>
      </c>
      <c r="BN328" s="2396">
        <v>11162501</v>
      </c>
      <c r="BO328" s="2397" t="s">
        <v>4068</v>
      </c>
      <c r="BP328" s="2398">
        <v>0</v>
      </c>
      <c r="BQ328" s="2179">
        <v>0</v>
      </c>
      <c r="BR328" s="2399">
        <v>0</v>
      </c>
      <c r="BS328" s="2400">
        <v>0</v>
      </c>
      <c r="BT328" s="2398">
        <v>0</v>
      </c>
      <c r="BU328" s="2398">
        <v>0</v>
      </c>
      <c r="BV328" s="2401">
        <v>0</v>
      </c>
      <c r="BW328" s="2401">
        <v>0</v>
      </c>
      <c r="BX328" s="2398">
        <v>0</v>
      </c>
    </row>
    <row r="329" spans="2:76">
      <c r="B329" s="2552">
        <v>11170000</v>
      </c>
      <c r="C329" s="2570" t="s">
        <v>4069</v>
      </c>
      <c r="D329" s="2554">
        <v>0</v>
      </c>
      <c r="E329" s="2554">
        <v>0</v>
      </c>
      <c r="F329" s="2555">
        <v>0</v>
      </c>
      <c r="G329" s="2556">
        <v>0</v>
      </c>
      <c r="H329" s="2554">
        <v>0</v>
      </c>
      <c r="I329" s="2554">
        <v>0</v>
      </c>
      <c r="J329" s="2557">
        <v>0</v>
      </c>
      <c r="K329" s="2557">
        <v>0</v>
      </c>
      <c r="L329" s="2554">
        <v>0</v>
      </c>
      <c r="N329" s="2384">
        <v>11170000</v>
      </c>
      <c r="O329" s="2402" t="s">
        <v>4069</v>
      </c>
      <c r="P329" s="2386">
        <v>0</v>
      </c>
      <c r="Q329" s="2386">
        <v>0</v>
      </c>
      <c r="R329" s="2387">
        <v>0</v>
      </c>
      <c r="S329" s="2388">
        <v>0</v>
      </c>
      <c r="T329" s="2386">
        <v>0</v>
      </c>
      <c r="U329" s="2386">
        <v>0</v>
      </c>
      <c r="V329" s="2389">
        <v>0</v>
      </c>
      <c r="W329" s="2389">
        <v>0</v>
      </c>
      <c r="X329" s="2386">
        <v>0</v>
      </c>
      <c r="Z329" s="2384">
        <v>11170000</v>
      </c>
      <c r="AA329" s="2402" t="s">
        <v>4069</v>
      </c>
      <c r="AB329" s="2386">
        <v>0</v>
      </c>
      <c r="AC329" s="2386">
        <v>0</v>
      </c>
      <c r="AD329" s="2387">
        <v>0</v>
      </c>
      <c r="AE329" s="2388">
        <v>0</v>
      </c>
      <c r="AF329" s="2386">
        <v>0</v>
      </c>
      <c r="AG329" s="2386">
        <v>0</v>
      </c>
      <c r="AH329" s="2389">
        <v>0</v>
      </c>
      <c r="AI329" s="2389">
        <v>0</v>
      </c>
      <c r="AJ329" s="2386">
        <v>0</v>
      </c>
      <c r="AZ329" s="2384">
        <v>11170000</v>
      </c>
      <c r="BA329" s="2402" t="s">
        <v>4069</v>
      </c>
      <c r="BB329" s="2386">
        <v>0</v>
      </c>
      <c r="BC329" s="2386">
        <v>0</v>
      </c>
      <c r="BD329" s="2387">
        <v>0</v>
      </c>
      <c r="BE329" s="2388">
        <v>0</v>
      </c>
      <c r="BF329" s="2386">
        <v>0</v>
      </c>
      <c r="BG329" s="2386">
        <v>0</v>
      </c>
      <c r="BH329" s="2389">
        <v>0</v>
      </c>
      <c r="BI329" s="2389">
        <v>0</v>
      </c>
      <c r="BJ329" s="2386">
        <v>0</v>
      </c>
      <c r="BN329" s="2384">
        <v>11170000</v>
      </c>
      <c r="BO329" s="2402" t="s">
        <v>4069</v>
      </c>
      <c r="BP329" s="2386">
        <v>0</v>
      </c>
      <c r="BQ329" s="2386">
        <v>0</v>
      </c>
      <c r="BR329" s="2387">
        <v>0</v>
      </c>
      <c r="BS329" s="2388">
        <v>0</v>
      </c>
      <c r="BT329" s="2386">
        <v>0</v>
      </c>
      <c r="BU329" s="2386">
        <v>0</v>
      </c>
      <c r="BV329" s="2389">
        <v>0</v>
      </c>
      <c r="BW329" s="2389">
        <v>0</v>
      </c>
      <c r="BX329" s="2386">
        <v>0</v>
      </c>
    </row>
    <row r="330" spans="2:76">
      <c r="B330" s="2558">
        <v>11171000</v>
      </c>
      <c r="C330" s="2571" t="s">
        <v>4069</v>
      </c>
      <c r="D330" s="2560">
        <v>0</v>
      </c>
      <c r="E330" s="2560">
        <v>0</v>
      </c>
      <c r="F330" s="2561">
        <v>0</v>
      </c>
      <c r="G330" s="2562">
        <v>0</v>
      </c>
      <c r="H330" s="2560">
        <v>0</v>
      </c>
      <c r="I330" s="2560">
        <v>0</v>
      </c>
      <c r="J330" s="2563">
        <v>0</v>
      </c>
      <c r="K330" s="2563">
        <v>0</v>
      </c>
      <c r="L330" s="2560">
        <v>0</v>
      </c>
      <c r="N330" s="2390">
        <v>11171000</v>
      </c>
      <c r="O330" s="2403" t="s">
        <v>4069</v>
      </c>
      <c r="P330" s="2392">
        <v>0</v>
      </c>
      <c r="Q330" s="2392">
        <v>0</v>
      </c>
      <c r="R330" s="2393">
        <v>0</v>
      </c>
      <c r="S330" s="2394">
        <v>0</v>
      </c>
      <c r="T330" s="2392">
        <v>0</v>
      </c>
      <c r="U330" s="2392">
        <v>0</v>
      </c>
      <c r="V330" s="2395">
        <v>0</v>
      </c>
      <c r="W330" s="2395">
        <v>0</v>
      </c>
      <c r="X330" s="2392">
        <v>0</v>
      </c>
      <c r="Z330" s="2390">
        <v>11171000</v>
      </c>
      <c r="AA330" s="2403" t="s">
        <v>4069</v>
      </c>
      <c r="AB330" s="2392">
        <v>0</v>
      </c>
      <c r="AC330" s="2392">
        <v>0</v>
      </c>
      <c r="AD330" s="2393">
        <v>0</v>
      </c>
      <c r="AE330" s="2394">
        <v>0</v>
      </c>
      <c r="AF330" s="2392">
        <v>0</v>
      </c>
      <c r="AG330" s="2392">
        <v>0</v>
      </c>
      <c r="AH330" s="2395">
        <v>0</v>
      </c>
      <c r="AI330" s="2395">
        <v>0</v>
      </c>
      <c r="AJ330" s="2392">
        <v>0</v>
      </c>
      <c r="AZ330" s="2390">
        <v>11171000</v>
      </c>
      <c r="BA330" s="2403" t="s">
        <v>4069</v>
      </c>
      <c r="BB330" s="2392">
        <v>0</v>
      </c>
      <c r="BC330" s="2392">
        <v>0</v>
      </c>
      <c r="BD330" s="2393">
        <v>0</v>
      </c>
      <c r="BE330" s="2394">
        <v>0</v>
      </c>
      <c r="BF330" s="2392">
        <v>0</v>
      </c>
      <c r="BG330" s="2392">
        <v>0</v>
      </c>
      <c r="BH330" s="2395">
        <v>0</v>
      </c>
      <c r="BI330" s="2395">
        <v>0</v>
      </c>
      <c r="BJ330" s="2392">
        <v>0</v>
      </c>
      <c r="BN330" s="2390">
        <v>11171000</v>
      </c>
      <c r="BO330" s="2403" t="s">
        <v>4069</v>
      </c>
      <c r="BP330" s="2392">
        <v>0</v>
      </c>
      <c r="BQ330" s="2392">
        <v>0</v>
      </c>
      <c r="BR330" s="2393">
        <v>0</v>
      </c>
      <c r="BS330" s="2394">
        <v>0</v>
      </c>
      <c r="BT330" s="2392">
        <v>0</v>
      </c>
      <c r="BU330" s="2392">
        <v>0</v>
      </c>
      <c r="BV330" s="2395">
        <v>0</v>
      </c>
      <c r="BW330" s="2395">
        <v>0</v>
      </c>
      <c r="BX330" s="2392">
        <v>0</v>
      </c>
    </row>
    <row r="331" spans="2:76">
      <c r="B331" s="2564">
        <v>11171001</v>
      </c>
      <c r="C331" s="2565" t="s">
        <v>4996</v>
      </c>
      <c r="D331" s="2566">
        <v>0</v>
      </c>
      <c r="E331" s="1080">
        <v>0</v>
      </c>
      <c r="F331" s="2567">
        <v>0</v>
      </c>
      <c r="G331" s="2568">
        <v>0</v>
      </c>
      <c r="H331" s="2566">
        <v>0</v>
      </c>
      <c r="I331" s="2566">
        <v>0</v>
      </c>
      <c r="J331" s="2569">
        <v>0</v>
      </c>
      <c r="K331" s="2569">
        <v>0</v>
      </c>
      <c r="L331" s="2566">
        <v>0</v>
      </c>
      <c r="N331" s="2396">
        <v>11171001</v>
      </c>
      <c r="O331" s="2397" t="s">
        <v>4069</v>
      </c>
      <c r="P331" s="2398">
        <v>0</v>
      </c>
      <c r="Q331" s="2179">
        <v>0</v>
      </c>
      <c r="R331" s="2399">
        <v>0</v>
      </c>
      <c r="S331" s="2400">
        <v>0</v>
      </c>
      <c r="T331" s="2398">
        <v>0</v>
      </c>
      <c r="U331" s="2398">
        <v>0</v>
      </c>
      <c r="V331" s="2401">
        <v>0</v>
      </c>
      <c r="W331" s="2401">
        <v>0</v>
      </c>
      <c r="X331" s="2398">
        <v>0</v>
      </c>
      <c r="Z331" s="2396">
        <v>11171001</v>
      </c>
      <c r="AA331" s="2397" t="s">
        <v>4069</v>
      </c>
      <c r="AB331" s="2398">
        <v>0</v>
      </c>
      <c r="AC331" s="2179">
        <v>0</v>
      </c>
      <c r="AD331" s="2399">
        <v>0</v>
      </c>
      <c r="AE331" s="2400">
        <v>0</v>
      </c>
      <c r="AF331" s="2398">
        <v>0</v>
      </c>
      <c r="AG331" s="2398">
        <v>0</v>
      </c>
      <c r="AH331" s="2401">
        <v>0</v>
      </c>
      <c r="AI331" s="2401">
        <v>0</v>
      </c>
      <c r="AJ331" s="2398">
        <v>0</v>
      </c>
      <c r="AZ331" s="2396">
        <v>11171001</v>
      </c>
      <c r="BA331" s="2397" t="s">
        <v>4069</v>
      </c>
      <c r="BB331" s="2398">
        <v>0</v>
      </c>
      <c r="BC331" s="2179">
        <v>0</v>
      </c>
      <c r="BD331" s="2399">
        <v>0</v>
      </c>
      <c r="BE331" s="2400">
        <v>0</v>
      </c>
      <c r="BF331" s="2398">
        <v>0</v>
      </c>
      <c r="BG331" s="2398">
        <v>0</v>
      </c>
      <c r="BH331" s="2401">
        <v>0</v>
      </c>
      <c r="BI331" s="2401">
        <v>0</v>
      </c>
      <c r="BJ331" s="2398">
        <v>0</v>
      </c>
      <c r="BN331" s="2396">
        <v>11171001</v>
      </c>
      <c r="BO331" s="2397" t="s">
        <v>4069</v>
      </c>
      <c r="BP331" s="2398">
        <v>0</v>
      </c>
      <c r="BQ331" s="2179">
        <v>0</v>
      </c>
      <c r="BR331" s="2399">
        <v>0</v>
      </c>
      <c r="BS331" s="2400">
        <v>0</v>
      </c>
      <c r="BT331" s="2398">
        <v>0</v>
      </c>
      <c r="BU331" s="2398">
        <v>0</v>
      </c>
      <c r="BV331" s="2401">
        <v>0</v>
      </c>
      <c r="BW331" s="2401">
        <v>0</v>
      </c>
      <c r="BX331" s="2398">
        <v>0</v>
      </c>
    </row>
    <row r="332" spans="2:76">
      <c r="B332" s="2564">
        <v>11171002</v>
      </c>
      <c r="C332" s="2565" t="s">
        <v>4997</v>
      </c>
      <c r="D332" s="2566">
        <v>0</v>
      </c>
      <c r="E332" s="1080">
        <v>0</v>
      </c>
      <c r="F332" s="2567">
        <v>0</v>
      </c>
      <c r="G332" s="2568">
        <v>0</v>
      </c>
      <c r="H332" s="2566">
        <v>0</v>
      </c>
      <c r="I332" s="2566">
        <v>0</v>
      </c>
      <c r="J332" s="2569">
        <v>0</v>
      </c>
      <c r="K332" s="2569">
        <v>0</v>
      </c>
      <c r="L332" s="2566">
        <v>0</v>
      </c>
      <c r="N332" s="2396">
        <v>11171002</v>
      </c>
      <c r="O332" s="2397" t="s">
        <v>4070</v>
      </c>
      <c r="P332" s="2398">
        <v>0</v>
      </c>
      <c r="Q332" s="2179">
        <v>0</v>
      </c>
      <c r="R332" s="2399">
        <v>0</v>
      </c>
      <c r="S332" s="2400">
        <v>0</v>
      </c>
      <c r="T332" s="2398">
        <v>0</v>
      </c>
      <c r="U332" s="2398">
        <v>0</v>
      </c>
      <c r="V332" s="2401">
        <v>0</v>
      </c>
      <c r="W332" s="2401">
        <v>0</v>
      </c>
      <c r="X332" s="2398">
        <v>0</v>
      </c>
      <c r="Z332" s="2396">
        <v>11171002</v>
      </c>
      <c r="AA332" s="2397" t="s">
        <v>4070</v>
      </c>
      <c r="AB332" s="2398">
        <v>0</v>
      </c>
      <c r="AC332" s="2179">
        <v>0</v>
      </c>
      <c r="AD332" s="2399">
        <v>0</v>
      </c>
      <c r="AE332" s="2400">
        <v>0</v>
      </c>
      <c r="AF332" s="2398">
        <v>0</v>
      </c>
      <c r="AG332" s="2398">
        <v>0</v>
      </c>
      <c r="AH332" s="2401">
        <v>0</v>
      </c>
      <c r="AI332" s="2401">
        <v>0</v>
      </c>
      <c r="AJ332" s="2398">
        <v>0</v>
      </c>
      <c r="AZ332" s="2396">
        <v>11171002</v>
      </c>
      <c r="BA332" s="2397" t="s">
        <v>4070</v>
      </c>
      <c r="BB332" s="2398">
        <v>0</v>
      </c>
      <c r="BC332" s="2179">
        <v>0</v>
      </c>
      <c r="BD332" s="2399">
        <v>0</v>
      </c>
      <c r="BE332" s="2400">
        <v>0</v>
      </c>
      <c r="BF332" s="2398">
        <v>0</v>
      </c>
      <c r="BG332" s="2398">
        <v>0</v>
      </c>
      <c r="BH332" s="2401">
        <v>0</v>
      </c>
      <c r="BI332" s="2401">
        <v>0</v>
      </c>
      <c r="BJ332" s="2398">
        <v>0</v>
      </c>
      <c r="BN332" s="2396">
        <v>11171002</v>
      </c>
      <c r="BO332" s="2397" t="s">
        <v>4070</v>
      </c>
      <c r="BP332" s="2398">
        <v>0</v>
      </c>
      <c r="BQ332" s="2179">
        <v>0</v>
      </c>
      <c r="BR332" s="2399">
        <v>0</v>
      </c>
      <c r="BS332" s="2400">
        <v>0</v>
      </c>
      <c r="BT332" s="2398">
        <v>0</v>
      </c>
      <c r="BU332" s="2398">
        <v>0</v>
      </c>
      <c r="BV332" s="2401">
        <v>0</v>
      </c>
      <c r="BW332" s="2401">
        <v>0</v>
      </c>
      <c r="BX332" s="2398">
        <v>0</v>
      </c>
    </row>
    <row r="333" spans="2:76">
      <c r="B333" s="2564">
        <v>11171003</v>
      </c>
      <c r="C333" s="2565" t="s">
        <v>4998</v>
      </c>
      <c r="D333" s="2566">
        <v>0</v>
      </c>
      <c r="E333" s="1080">
        <v>0</v>
      </c>
      <c r="F333" s="2567">
        <v>0</v>
      </c>
      <c r="G333" s="2568">
        <v>0</v>
      </c>
      <c r="H333" s="2566">
        <v>0</v>
      </c>
      <c r="I333" s="2566">
        <v>0</v>
      </c>
      <c r="J333" s="2569">
        <v>0</v>
      </c>
      <c r="K333" s="2569">
        <v>0</v>
      </c>
      <c r="L333" s="2566">
        <v>0</v>
      </c>
      <c r="N333" s="2396">
        <v>11171003</v>
      </c>
      <c r="O333" s="2397" t="s">
        <v>4071</v>
      </c>
      <c r="P333" s="2398">
        <v>0</v>
      </c>
      <c r="Q333" s="2179">
        <v>0</v>
      </c>
      <c r="R333" s="2399">
        <v>0</v>
      </c>
      <c r="S333" s="2400">
        <v>0</v>
      </c>
      <c r="T333" s="2398">
        <v>0</v>
      </c>
      <c r="U333" s="2398">
        <v>0</v>
      </c>
      <c r="V333" s="2401">
        <v>0</v>
      </c>
      <c r="W333" s="2401">
        <v>0</v>
      </c>
      <c r="X333" s="2398">
        <v>0</v>
      </c>
      <c r="Z333" s="2396">
        <v>11171003</v>
      </c>
      <c r="AA333" s="2397" t="s">
        <v>4071</v>
      </c>
      <c r="AB333" s="2398">
        <v>0</v>
      </c>
      <c r="AC333" s="2179">
        <v>0</v>
      </c>
      <c r="AD333" s="2399">
        <v>0</v>
      </c>
      <c r="AE333" s="2400">
        <v>0</v>
      </c>
      <c r="AF333" s="2398">
        <v>0</v>
      </c>
      <c r="AG333" s="2398">
        <v>0</v>
      </c>
      <c r="AH333" s="2401">
        <v>0</v>
      </c>
      <c r="AI333" s="2401">
        <v>0</v>
      </c>
      <c r="AJ333" s="2398">
        <v>0</v>
      </c>
      <c r="AZ333" s="2396">
        <v>11171003</v>
      </c>
      <c r="BA333" s="2397" t="s">
        <v>4071</v>
      </c>
      <c r="BB333" s="2398">
        <v>0</v>
      </c>
      <c r="BC333" s="2179">
        <v>0</v>
      </c>
      <c r="BD333" s="2399">
        <v>0</v>
      </c>
      <c r="BE333" s="2400">
        <v>0</v>
      </c>
      <c r="BF333" s="2398">
        <v>0</v>
      </c>
      <c r="BG333" s="2398">
        <v>0</v>
      </c>
      <c r="BH333" s="2401">
        <v>0</v>
      </c>
      <c r="BI333" s="2401">
        <v>0</v>
      </c>
      <c r="BJ333" s="2398">
        <v>0</v>
      </c>
      <c r="BN333" s="2396">
        <v>11171003</v>
      </c>
      <c r="BO333" s="2397" t="s">
        <v>4071</v>
      </c>
      <c r="BP333" s="2398">
        <v>0</v>
      </c>
      <c r="BQ333" s="2179">
        <v>0</v>
      </c>
      <c r="BR333" s="2399">
        <v>0</v>
      </c>
      <c r="BS333" s="2400">
        <v>0</v>
      </c>
      <c r="BT333" s="2398">
        <v>0</v>
      </c>
      <c r="BU333" s="2398">
        <v>0</v>
      </c>
      <c r="BV333" s="2401">
        <v>0</v>
      </c>
      <c r="BW333" s="2401">
        <v>0</v>
      </c>
      <c r="BX333" s="2398">
        <v>0</v>
      </c>
    </row>
    <row r="334" spans="2:76">
      <c r="B334" s="2552">
        <v>11180000</v>
      </c>
      <c r="C334" s="2570" t="s">
        <v>4072</v>
      </c>
      <c r="D334" s="2554">
        <v>0</v>
      </c>
      <c r="E334" s="2554">
        <v>0</v>
      </c>
      <c r="F334" s="2555">
        <v>0</v>
      </c>
      <c r="G334" s="2556">
        <v>0</v>
      </c>
      <c r="H334" s="2554">
        <v>0</v>
      </c>
      <c r="I334" s="2554">
        <v>0</v>
      </c>
      <c r="J334" s="2557">
        <v>0</v>
      </c>
      <c r="K334" s="2557">
        <v>0</v>
      </c>
      <c r="L334" s="2554">
        <v>0</v>
      </c>
      <c r="N334" s="2384">
        <v>11180000</v>
      </c>
      <c r="O334" s="2402" t="s">
        <v>4072</v>
      </c>
      <c r="P334" s="2386">
        <v>0</v>
      </c>
      <c r="Q334" s="2386">
        <v>0</v>
      </c>
      <c r="R334" s="2387">
        <v>0</v>
      </c>
      <c r="S334" s="2388">
        <v>0</v>
      </c>
      <c r="T334" s="2386">
        <v>0</v>
      </c>
      <c r="U334" s="2386">
        <v>0</v>
      </c>
      <c r="V334" s="2389">
        <v>0</v>
      </c>
      <c r="W334" s="2389">
        <v>0</v>
      </c>
      <c r="X334" s="2386">
        <v>0</v>
      </c>
      <c r="Z334" s="2384">
        <v>11180000</v>
      </c>
      <c r="AA334" s="2402" t="s">
        <v>4072</v>
      </c>
      <c r="AB334" s="2386">
        <v>0</v>
      </c>
      <c r="AC334" s="2386">
        <v>0</v>
      </c>
      <c r="AD334" s="2387">
        <v>0</v>
      </c>
      <c r="AE334" s="2388">
        <v>0</v>
      </c>
      <c r="AF334" s="2386">
        <v>0</v>
      </c>
      <c r="AG334" s="2386">
        <v>0</v>
      </c>
      <c r="AH334" s="2389">
        <v>0</v>
      </c>
      <c r="AI334" s="2389">
        <v>0</v>
      </c>
      <c r="AJ334" s="2386">
        <v>0</v>
      </c>
      <c r="AZ334" s="2384">
        <v>11180000</v>
      </c>
      <c r="BA334" s="2402" t="s">
        <v>4072</v>
      </c>
      <c r="BB334" s="2386">
        <v>0</v>
      </c>
      <c r="BC334" s="2386">
        <v>0</v>
      </c>
      <c r="BD334" s="2387">
        <v>0</v>
      </c>
      <c r="BE334" s="2388">
        <v>0</v>
      </c>
      <c r="BF334" s="2386">
        <v>0</v>
      </c>
      <c r="BG334" s="2386">
        <v>0</v>
      </c>
      <c r="BH334" s="2389">
        <v>0</v>
      </c>
      <c r="BI334" s="2389">
        <v>0</v>
      </c>
      <c r="BJ334" s="2386">
        <v>0</v>
      </c>
      <c r="BN334" s="2384">
        <v>11180000</v>
      </c>
      <c r="BO334" s="2402" t="s">
        <v>4072</v>
      </c>
      <c r="BP334" s="2386">
        <v>0</v>
      </c>
      <c r="BQ334" s="2386">
        <v>0</v>
      </c>
      <c r="BR334" s="2387">
        <v>0</v>
      </c>
      <c r="BS334" s="2388">
        <v>0</v>
      </c>
      <c r="BT334" s="2386">
        <v>0</v>
      </c>
      <c r="BU334" s="2386">
        <v>0</v>
      </c>
      <c r="BV334" s="2389">
        <v>0</v>
      </c>
      <c r="BW334" s="2389">
        <v>0</v>
      </c>
      <c r="BX334" s="2386">
        <v>0</v>
      </c>
    </row>
    <row r="335" spans="2:76">
      <c r="B335" s="2558">
        <v>11181000</v>
      </c>
      <c r="C335" s="2571" t="s">
        <v>4072</v>
      </c>
      <c r="D335" s="2560">
        <v>0</v>
      </c>
      <c r="E335" s="2560">
        <v>0</v>
      </c>
      <c r="F335" s="2561">
        <v>0</v>
      </c>
      <c r="G335" s="2562">
        <v>0</v>
      </c>
      <c r="H335" s="2560">
        <v>0</v>
      </c>
      <c r="I335" s="2560">
        <v>0</v>
      </c>
      <c r="J335" s="2563">
        <v>0</v>
      </c>
      <c r="K335" s="2563">
        <v>0</v>
      </c>
      <c r="L335" s="2560">
        <v>0</v>
      </c>
      <c r="N335" s="2390">
        <v>11181000</v>
      </c>
      <c r="O335" s="2403" t="s">
        <v>4072</v>
      </c>
      <c r="P335" s="2392">
        <v>0</v>
      </c>
      <c r="Q335" s="2392">
        <v>0</v>
      </c>
      <c r="R335" s="2393">
        <v>0</v>
      </c>
      <c r="S335" s="2394">
        <v>0</v>
      </c>
      <c r="T335" s="2392">
        <v>0</v>
      </c>
      <c r="U335" s="2392">
        <v>0</v>
      </c>
      <c r="V335" s="2395">
        <v>0</v>
      </c>
      <c r="W335" s="2395">
        <v>0</v>
      </c>
      <c r="X335" s="2392">
        <v>0</v>
      </c>
      <c r="Z335" s="2390">
        <v>11181000</v>
      </c>
      <c r="AA335" s="2403" t="s">
        <v>4072</v>
      </c>
      <c r="AB335" s="2392">
        <v>0</v>
      </c>
      <c r="AC335" s="2392">
        <v>0</v>
      </c>
      <c r="AD335" s="2393">
        <v>0</v>
      </c>
      <c r="AE335" s="2394">
        <v>0</v>
      </c>
      <c r="AF335" s="2392">
        <v>0</v>
      </c>
      <c r="AG335" s="2392">
        <v>0</v>
      </c>
      <c r="AH335" s="2395">
        <v>0</v>
      </c>
      <c r="AI335" s="2395">
        <v>0</v>
      </c>
      <c r="AJ335" s="2392">
        <v>0</v>
      </c>
      <c r="AZ335" s="2390">
        <v>11181000</v>
      </c>
      <c r="BA335" s="2403" t="s">
        <v>4072</v>
      </c>
      <c r="BB335" s="2392">
        <v>0</v>
      </c>
      <c r="BC335" s="2392">
        <v>0</v>
      </c>
      <c r="BD335" s="2393">
        <v>0</v>
      </c>
      <c r="BE335" s="2394">
        <v>0</v>
      </c>
      <c r="BF335" s="2392">
        <v>0</v>
      </c>
      <c r="BG335" s="2392">
        <v>0</v>
      </c>
      <c r="BH335" s="2395">
        <v>0</v>
      </c>
      <c r="BI335" s="2395">
        <v>0</v>
      </c>
      <c r="BJ335" s="2392">
        <v>0</v>
      </c>
      <c r="BN335" s="2390">
        <v>11181000</v>
      </c>
      <c r="BO335" s="2403" t="s">
        <v>4072</v>
      </c>
      <c r="BP335" s="2392">
        <v>0</v>
      </c>
      <c r="BQ335" s="2392">
        <v>0</v>
      </c>
      <c r="BR335" s="2393">
        <v>0</v>
      </c>
      <c r="BS335" s="2394">
        <v>0</v>
      </c>
      <c r="BT335" s="2392">
        <v>0</v>
      </c>
      <c r="BU335" s="2392">
        <v>0</v>
      </c>
      <c r="BV335" s="2395">
        <v>0</v>
      </c>
      <c r="BW335" s="2395">
        <v>0</v>
      </c>
      <c r="BX335" s="2392">
        <v>0</v>
      </c>
    </row>
    <row r="336" spans="2:76">
      <c r="B336" s="2564">
        <v>11181001</v>
      </c>
      <c r="C336" s="2565" t="s">
        <v>4072</v>
      </c>
      <c r="D336" s="2566">
        <v>0</v>
      </c>
      <c r="E336" s="1080">
        <v>0</v>
      </c>
      <c r="F336" s="2567">
        <v>0</v>
      </c>
      <c r="G336" s="2568">
        <v>0</v>
      </c>
      <c r="H336" s="2566">
        <v>0</v>
      </c>
      <c r="I336" s="2566">
        <v>0</v>
      </c>
      <c r="J336" s="2569">
        <v>0</v>
      </c>
      <c r="K336" s="2569">
        <v>0</v>
      </c>
      <c r="L336" s="2566">
        <v>0</v>
      </c>
      <c r="N336" s="2396">
        <v>11181001</v>
      </c>
      <c r="O336" s="2397" t="s">
        <v>4072</v>
      </c>
      <c r="P336" s="2398">
        <v>0</v>
      </c>
      <c r="Q336" s="2179">
        <v>0</v>
      </c>
      <c r="R336" s="2399">
        <v>0</v>
      </c>
      <c r="S336" s="2400">
        <v>0</v>
      </c>
      <c r="T336" s="2398">
        <v>0</v>
      </c>
      <c r="U336" s="2398">
        <v>0</v>
      </c>
      <c r="V336" s="2401">
        <v>0</v>
      </c>
      <c r="W336" s="2401">
        <v>0</v>
      </c>
      <c r="X336" s="2398">
        <v>0</v>
      </c>
      <c r="Z336" s="2396">
        <v>11181001</v>
      </c>
      <c r="AA336" s="2397" t="s">
        <v>4072</v>
      </c>
      <c r="AB336" s="2398">
        <v>0</v>
      </c>
      <c r="AC336" s="2179">
        <v>0</v>
      </c>
      <c r="AD336" s="2399">
        <v>0</v>
      </c>
      <c r="AE336" s="2400">
        <v>0</v>
      </c>
      <c r="AF336" s="2398">
        <v>0</v>
      </c>
      <c r="AG336" s="2398">
        <v>0</v>
      </c>
      <c r="AH336" s="2401">
        <v>0</v>
      </c>
      <c r="AI336" s="2401">
        <v>0</v>
      </c>
      <c r="AJ336" s="2398">
        <v>0</v>
      </c>
      <c r="AZ336" s="2396">
        <v>11181001</v>
      </c>
      <c r="BA336" s="2397" t="s">
        <v>4072</v>
      </c>
      <c r="BB336" s="2398">
        <v>0</v>
      </c>
      <c r="BC336" s="2179">
        <v>0</v>
      </c>
      <c r="BD336" s="2399">
        <v>0</v>
      </c>
      <c r="BE336" s="2400">
        <v>0</v>
      </c>
      <c r="BF336" s="2398">
        <v>0</v>
      </c>
      <c r="BG336" s="2398">
        <v>0</v>
      </c>
      <c r="BH336" s="2401">
        <v>0</v>
      </c>
      <c r="BI336" s="2401">
        <v>0</v>
      </c>
      <c r="BJ336" s="2398">
        <v>0</v>
      </c>
      <c r="BN336" s="2396">
        <v>11181001</v>
      </c>
      <c r="BO336" s="2397" t="s">
        <v>4072</v>
      </c>
      <c r="BP336" s="2398">
        <v>0</v>
      </c>
      <c r="BQ336" s="2179">
        <v>0</v>
      </c>
      <c r="BR336" s="2399">
        <v>0</v>
      </c>
      <c r="BS336" s="2400">
        <v>0</v>
      </c>
      <c r="BT336" s="2398">
        <v>0</v>
      </c>
      <c r="BU336" s="2398">
        <v>0</v>
      </c>
      <c r="BV336" s="2401">
        <v>0</v>
      </c>
      <c r="BW336" s="2401">
        <v>0</v>
      </c>
      <c r="BX336" s="2398">
        <v>0</v>
      </c>
    </row>
    <row r="337" spans="2:76">
      <c r="B337" s="2552">
        <v>11190000</v>
      </c>
      <c r="C337" s="2570" t="s">
        <v>4073</v>
      </c>
      <c r="D337" s="2554">
        <v>114846508974</v>
      </c>
      <c r="E337" s="2554">
        <v>1258633138</v>
      </c>
      <c r="F337" s="2555">
        <v>4069455831</v>
      </c>
      <c r="G337" s="2556">
        <v>4084475933</v>
      </c>
      <c r="H337" s="2554">
        <v>65543324</v>
      </c>
      <c r="I337" s="2554">
        <v>124324617200</v>
      </c>
      <c r="J337" s="2557">
        <v>0</v>
      </c>
      <c r="K337" s="2557">
        <v>0</v>
      </c>
      <c r="L337" s="2554">
        <v>124324617200</v>
      </c>
      <c r="N337" s="2384">
        <v>11190000</v>
      </c>
      <c r="O337" s="2402" t="s">
        <v>4073</v>
      </c>
      <c r="P337" s="2386">
        <v>120568517586</v>
      </c>
      <c r="Q337" s="2386">
        <v>1687157880</v>
      </c>
      <c r="R337" s="2387">
        <v>5174601882</v>
      </c>
      <c r="S337" s="2388">
        <v>1625476660</v>
      </c>
      <c r="T337" s="2386">
        <v>50057170</v>
      </c>
      <c r="U337" s="2386">
        <v>129105811178</v>
      </c>
      <c r="V337" s="2389">
        <v>0</v>
      </c>
      <c r="W337" s="2389">
        <v>0</v>
      </c>
      <c r="X337" s="2386">
        <v>129105811178</v>
      </c>
      <c r="Z337" s="2384">
        <v>11190000</v>
      </c>
      <c r="AA337" s="2402" t="s">
        <v>4073</v>
      </c>
      <c r="AB337" s="2386">
        <v>57898744259</v>
      </c>
      <c r="AC337" s="2386">
        <v>1098785625</v>
      </c>
      <c r="AD337" s="2387">
        <v>3009999821</v>
      </c>
      <c r="AE337" s="2388">
        <v>315437953</v>
      </c>
      <c r="AF337" s="2386">
        <v>44106628</v>
      </c>
      <c r="AG337" s="2386">
        <v>62367074286</v>
      </c>
      <c r="AH337" s="2389">
        <v>0</v>
      </c>
      <c r="AI337" s="2389">
        <v>0</v>
      </c>
      <c r="AJ337" s="2386">
        <v>61134856166</v>
      </c>
      <c r="AZ337" s="2384">
        <v>11190000</v>
      </c>
      <c r="BA337" s="2402" t="s">
        <v>4073</v>
      </c>
      <c r="BB337" s="2386">
        <v>75809846071</v>
      </c>
      <c r="BC337" s="2386">
        <v>1471620731</v>
      </c>
      <c r="BD337" s="2387">
        <v>2706409522</v>
      </c>
      <c r="BE337" s="2388">
        <v>614112248</v>
      </c>
      <c r="BF337" s="2386">
        <v>71447861</v>
      </c>
      <c r="BG337" s="2386">
        <v>80673436433</v>
      </c>
      <c r="BH337" s="2389">
        <v>0</v>
      </c>
      <c r="BI337" s="2389">
        <v>0</v>
      </c>
      <c r="BJ337" s="2386">
        <v>80673436433</v>
      </c>
      <c r="BN337" s="2384">
        <v>11190000</v>
      </c>
      <c r="BO337" s="2402" t="s">
        <v>4073</v>
      </c>
      <c r="BP337" s="2386">
        <v>10346029691</v>
      </c>
      <c r="BQ337" s="2386">
        <v>707177098</v>
      </c>
      <c r="BR337" s="2387">
        <v>3910753162</v>
      </c>
      <c r="BS337" s="2388">
        <v>400568501</v>
      </c>
      <c r="BT337" s="2386">
        <v>50575230</v>
      </c>
      <c r="BU337" s="2386">
        <v>15415103682</v>
      </c>
      <c r="BV337" s="2389">
        <v>0</v>
      </c>
      <c r="BW337" s="2389">
        <v>0</v>
      </c>
      <c r="BX337" s="2386">
        <v>15415103682</v>
      </c>
    </row>
    <row r="338" spans="2:76">
      <c r="B338" s="2558">
        <v>11191000</v>
      </c>
      <c r="C338" s="2571" t="s">
        <v>4074</v>
      </c>
      <c r="D338" s="2560">
        <v>0</v>
      </c>
      <c r="E338" s="2560">
        <v>0</v>
      </c>
      <c r="F338" s="2561">
        <v>0</v>
      </c>
      <c r="G338" s="2562">
        <v>1191338248</v>
      </c>
      <c r="H338" s="2560">
        <v>0</v>
      </c>
      <c r="I338" s="2560">
        <v>1191338248</v>
      </c>
      <c r="J338" s="2563">
        <v>0</v>
      </c>
      <c r="K338" s="2563">
        <v>0</v>
      </c>
      <c r="L338" s="2560">
        <v>1191338248</v>
      </c>
      <c r="N338" s="2390">
        <v>11191000</v>
      </c>
      <c r="O338" s="2403" t="s">
        <v>4074</v>
      </c>
      <c r="P338" s="2392">
        <v>0</v>
      </c>
      <c r="Q338" s="2392">
        <v>0</v>
      </c>
      <c r="R338" s="2393">
        <v>0</v>
      </c>
      <c r="S338" s="2394">
        <v>412204609</v>
      </c>
      <c r="T338" s="2392">
        <v>0</v>
      </c>
      <c r="U338" s="2392">
        <v>412204609</v>
      </c>
      <c r="V338" s="2395">
        <v>0</v>
      </c>
      <c r="W338" s="2395">
        <v>0</v>
      </c>
      <c r="X338" s="2392">
        <v>412204609</v>
      </c>
      <c r="Z338" s="2390">
        <v>11191000</v>
      </c>
      <c r="AA338" s="2403" t="s">
        <v>4074</v>
      </c>
      <c r="AB338" s="2392">
        <v>0</v>
      </c>
      <c r="AC338" s="2392">
        <v>0</v>
      </c>
      <c r="AD338" s="2393">
        <v>0</v>
      </c>
      <c r="AE338" s="2394">
        <v>165161412</v>
      </c>
      <c r="AF338" s="2392">
        <v>0</v>
      </c>
      <c r="AG338" s="2392">
        <v>165161412</v>
      </c>
      <c r="AH338" s="2395">
        <v>0</v>
      </c>
      <c r="AI338" s="2395">
        <v>0</v>
      </c>
      <c r="AJ338" s="2392">
        <v>165161412</v>
      </c>
      <c r="AZ338" s="2390">
        <v>11191000</v>
      </c>
      <c r="BA338" s="2403" t="s">
        <v>4074</v>
      </c>
      <c r="BB338" s="2392">
        <v>0</v>
      </c>
      <c r="BC338" s="2392">
        <v>0</v>
      </c>
      <c r="BD338" s="2393">
        <v>0</v>
      </c>
      <c r="BE338" s="2394">
        <v>429422883</v>
      </c>
      <c r="BF338" s="2392">
        <v>0</v>
      </c>
      <c r="BG338" s="2392">
        <v>429422883</v>
      </c>
      <c r="BH338" s="2395">
        <v>0</v>
      </c>
      <c r="BI338" s="2395">
        <v>0</v>
      </c>
      <c r="BJ338" s="2392">
        <v>429422883</v>
      </c>
      <c r="BN338" s="2390">
        <v>11191000</v>
      </c>
      <c r="BO338" s="2403" t="s">
        <v>4074</v>
      </c>
      <c r="BP338" s="2392">
        <v>0</v>
      </c>
      <c r="BQ338" s="2392">
        <v>0</v>
      </c>
      <c r="BR338" s="2393">
        <v>0</v>
      </c>
      <c r="BS338" s="2394">
        <v>146673183</v>
      </c>
      <c r="BT338" s="2392">
        <v>0</v>
      </c>
      <c r="BU338" s="2392">
        <v>146673183</v>
      </c>
      <c r="BV338" s="2395">
        <v>0</v>
      </c>
      <c r="BW338" s="2395">
        <v>0</v>
      </c>
      <c r="BX338" s="2392">
        <v>146673183</v>
      </c>
    </row>
    <row r="339" spans="2:76">
      <c r="B339" s="2564">
        <v>11191001</v>
      </c>
      <c r="C339" s="2565" t="s">
        <v>4074</v>
      </c>
      <c r="D339" s="2566">
        <v>0</v>
      </c>
      <c r="E339" s="1080">
        <v>0</v>
      </c>
      <c r="F339" s="2567">
        <v>0</v>
      </c>
      <c r="G339" s="2568">
        <v>1191338248</v>
      </c>
      <c r="H339" s="2566">
        <v>0</v>
      </c>
      <c r="I339" s="2566">
        <v>1191338248</v>
      </c>
      <c r="J339" s="2569">
        <v>0</v>
      </c>
      <c r="K339" s="2569">
        <v>0</v>
      </c>
      <c r="L339" s="2566">
        <v>1191338248</v>
      </c>
      <c r="N339" s="2396">
        <v>11191001</v>
      </c>
      <c r="O339" s="2397" t="s">
        <v>4074</v>
      </c>
      <c r="P339" s="2398">
        <v>0</v>
      </c>
      <c r="Q339" s="2179">
        <v>0</v>
      </c>
      <c r="R339" s="2399">
        <v>0</v>
      </c>
      <c r="S339" s="2400">
        <v>412204609</v>
      </c>
      <c r="T339" s="2398">
        <v>0</v>
      </c>
      <c r="U339" s="2398">
        <v>412204609</v>
      </c>
      <c r="V339" s="2401">
        <v>0</v>
      </c>
      <c r="W339" s="2401">
        <v>0</v>
      </c>
      <c r="X339" s="2398">
        <v>412204609</v>
      </c>
      <c r="Z339" s="2396">
        <v>11191001</v>
      </c>
      <c r="AA339" s="2397" t="s">
        <v>4074</v>
      </c>
      <c r="AB339" s="2398">
        <v>0</v>
      </c>
      <c r="AC339" s="2179">
        <v>0</v>
      </c>
      <c r="AD339" s="2399">
        <v>0</v>
      </c>
      <c r="AE339" s="2400">
        <v>165161412</v>
      </c>
      <c r="AF339" s="2398">
        <v>0</v>
      </c>
      <c r="AG339" s="2398">
        <v>165161412</v>
      </c>
      <c r="AH339" s="2401">
        <v>0</v>
      </c>
      <c r="AI339" s="2401">
        <v>0</v>
      </c>
      <c r="AJ339" s="2398">
        <v>165161412</v>
      </c>
      <c r="AZ339" s="2396">
        <v>11191001</v>
      </c>
      <c r="BA339" s="2397" t="s">
        <v>4074</v>
      </c>
      <c r="BB339" s="2398">
        <v>0</v>
      </c>
      <c r="BC339" s="2179">
        <v>0</v>
      </c>
      <c r="BD339" s="2399">
        <v>0</v>
      </c>
      <c r="BE339" s="2400">
        <v>429422883</v>
      </c>
      <c r="BF339" s="2398">
        <v>0</v>
      </c>
      <c r="BG339" s="2398">
        <v>429422883</v>
      </c>
      <c r="BH339" s="2401">
        <v>0</v>
      </c>
      <c r="BI339" s="2401">
        <v>0</v>
      </c>
      <c r="BJ339" s="2398">
        <v>429422883</v>
      </c>
      <c r="BN339" s="2396">
        <v>11191001</v>
      </c>
      <c r="BO339" s="2397" t="s">
        <v>4074</v>
      </c>
      <c r="BP339" s="2398">
        <v>0</v>
      </c>
      <c r="BQ339" s="2179">
        <v>0</v>
      </c>
      <c r="BR339" s="2399">
        <v>0</v>
      </c>
      <c r="BS339" s="2400">
        <v>146673183</v>
      </c>
      <c r="BT339" s="2398">
        <v>0</v>
      </c>
      <c r="BU339" s="2398">
        <v>146673183</v>
      </c>
      <c r="BV339" s="2401">
        <v>0</v>
      </c>
      <c r="BW339" s="2401">
        <v>0</v>
      </c>
      <c r="BX339" s="2398">
        <v>146673183</v>
      </c>
    </row>
    <row r="340" spans="2:76">
      <c r="B340" s="2564">
        <v>11191002</v>
      </c>
      <c r="C340" s="2565" t="s">
        <v>4999</v>
      </c>
      <c r="D340" s="2566">
        <v>0</v>
      </c>
      <c r="E340" s="1080">
        <v>0</v>
      </c>
      <c r="F340" s="2567">
        <v>0</v>
      </c>
      <c r="G340" s="2568">
        <v>0</v>
      </c>
      <c r="H340" s="2566">
        <v>0</v>
      </c>
      <c r="I340" s="2566">
        <v>0</v>
      </c>
      <c r="J340" s="2569">
        <v>0</v>
      </c>
      <c r="K340" s="2569">
        <v>0</v>
      </c>
      <c r="L340" s="2566">
        <v>0</v>
      </c>
      <c r="N340" s="2396">
        <v>11191002</v>
      </c>
      <c r="O340" s="2397" t="s">
        <v>4075</v>
      </c>
      <c r="P340" s="2398">
        <v>0</v>
      </c>
      <c r="Q340" s="2179">
        <v>0</v>
      </c>
      <c r="R340" s="2399">
        <v>0</v>
      </c>
      <c r="S340" s="2400">
        <v>0</v>
      </c>
      <c r="T340" s="2398">
        <v>0</v>
      </c>
      <c r="U340" s="2398">
        <v>0</v>
      </c>
      <c r="V340" s="2401">
        <v>0</v>
      </c>
      <c r="W340" s="2401">
        <v>0</v>
      </c>
      <c r="X340" s="2398">
        <v>0</v>
      </c>
      <c r="Z340" s="2396">
        <v>11191002</v>
      </c>
      <c r="AA340" s="2397" t="s">
        <v>4075</v>
      </c>
      <c r="AB340" s="2398">
        <v>0</v>
      </c>
      <c r="AC340" s="2179">
        <v>0</v>
      </c>
      <c r="AD340" s="2399">
        <v>0</v>
      </c>
      <c r="AE340" s="2400">
        <v>0</v>
      </c>
      <c r="AF340" s="2398">
        <v>0</v>
      </c>
      <c r="AG340" s="2398">
        <v>0</v>
      </c>
      <c r="AH340" s="2401">
        <v>0</v>
      </c>
      <c r="AI340" s="2401">
        <v>0</v>
      </c>
      <c r="AJ340" s="2398">
        <v>0</v>
      </c>
      <c r="AZ340" s="2396">
        <v>11191002</v>
      </c>
      <c r="BA340" s="2397" t="s">
        <v>4075</v>
      </c>
      <c r="BB340" s="2398">
        <v>0</v>
      </c>
      <c r="BC340" s="2179">
        <v>0</v>
      </c>
      <c r="BD340" s="2399">
        <v>0</v>
      </c>
      <c r="BE340" s="2400">
        <v>0</v>
      </c>
      <c r="BF340" s="2398">
        <v>0</v>
      </c>
      <c r="BG340" s="2398">
        <v>0</v>
      </c>
      <c r="BH340" s="2401">
        <v>0</v>
      </c>
      <c r="BI340" s="2401">
        <v>0</v>
      </c>
      <c r="BJ340" s="2398">
        <v>0</v>
      </c>
      <c r="BN340" s="2396">
        <v>11191002</v>
      </c>
      <c r="BO340" s="2397" t="s">
        <v>4075</v>
      </c>
      <c r="BP340" s="2398">
        <v>0</v>
      </c>
      <c r="BQ340" s="2179">
        <v>0</v>
      </c>
      <c r="BR340" s="2399">
        <v>0</v>
      </c>
      <c r="BS340" s="2400">
        <v>0</v>
      </c>
      <c r="BT340" s="2398">
        <v>0</v>
      </c>
      <c r="BU340" s="2398">
        <v>0</v>
      </c>
      <c r="BV340" s="2401">
        <v>0</v>
      </c>
      <c r="BW340" s="2401">
        <v>0</v>
      </c>
      <c r="BX340" s="2398">
        <v>0</v>
      </c>
    </row>
    <row r="341" spans="2:76">
      <c r="B341" s="2564">
        <v>11191003</v>
      </c>
      <c r="C341" s="2565" t="s">
        <v>5000</v>
      </c>
      <c r="D341" s="2566">
        <v>0</v>
      </c>
      <c r="E341" s="1080">
        <v>0</v>
      </c>
      <c r="F341" s="2567">
        <v>0</v>
      </c>
      <c r="G341" s="2568">
        <v>0</v>
      </c>
      <c r="H341" s="2566">
        <v>0</v>
      </c>
      <c r="I341" s="2566">
        <v>0</v>
      </c>
      <c r="J341" s="2569">
        <v>0</v>
      </c>
      <c r="K341" s="2569">
        <v>0</v>
      </c>
      <c r="L341" s="2566">
        <v>0</v>
      </c>
      <c r="N341" s="2396">
        <v>11191003</v>
      </c>
      <c r="O341" s="2397" t="s">
        <v>4076</v>
      </c>
      <c r="P341" s="2398">
        <v>0</v>
      </c>
      <c r="Q341" s="2179">
        <v>0</v>
      </c>
      <c r="R341" s="2399">
        <v>0</v>
      </c>
      <c r="S341" s="2400">
        <v>0</v>
      </c>
      <c r="T341" s="2398">
        <v>0</v>
      </c>
      <c r="U341" s="2398">
        <v>0</v>
      </c>
      <c r="V341" s="2401">
        <v>0</v>
      </c>
      <c r="W341" s="2401">
        <v>0</v>
      </c>
      <c r="X341" s="2398">
        <v>0</v>
      </c>
      <c r="Z341" s="2396">
        <v>11191003</v>
      </c>
      <c r="AA341" s="2397" t="s">
        <v>4076</v>
      </c>
      <c r="AB341" s="2398">
        <v>0</v>
      </c>
      <c r="AC341" s="2179">
        <v>0</v>
      </c>
      <c r="AD341" s="2399">
        <v>0</v>
      </c>
      <c r="AE341" s="2400">
        <v>0</v>
      </c>
      <c r="AF341" s="2398">
        <v>0</v>
      </c>
      <c r="AG341" s="2398">
        <v>0</v>
      </c>
      <c r="AH341" s="2401">
        <v>0</v>
      </c>
      <c r="AI341" s="2401">
        <v>0</v>
      </c>
      <c r="AJ341" s="2398">
        <v>0</v>
      </c>
      <c r="AZ341" s="2396">
        <v>11191003</v>
      </c>
      <c r="BA341" s="2397" t="s">
        <v>4076</v>
      </c>
      <c r="BB341" s="2398">
        <v>0</v>
      </c>
      <c r="BC341" s="2179">
        <v>0</v>
      </c>
      <c r="BD341" s="2399">
        <v>0</v>
      </c>
      <c r="BE341" s="2400">
        <v>0</v>
      </c>
      <c r="BF341" s="2398">
        <v>0</v>
      </c>
      <c r="BG341" s="2398">
        <v>0</v>
      </c>
      <c r="BH341" s="2401">
        <v>0</v>
      </c>
      <c r="BI341" s="2401">
        <v>0</v>
      </c>
      <c r="BJ341" s="2398">
        <v>0</v>
      </c>
      <c r="BN341" s="2396">
        <v>11191003</v>
      </c>
      <c r="BO341" s="2397" t="s">
        <v>4076</v>
      </c>
      <c r="BP341" s="2398">
        <v>0</v>
      </c>
      <c r="BQ341" s="2179">
        <v>0</v>
      </c>
      <c r="BR341" s="2399">
        <v>0</v>
      </c>
      <c r="BS341" s="2400">
        <v>0</v>
      </c>
      <c r="BT341" s="2398">
        <v>0</v>
      </c>
      <c r="BU341" s="2398">
        <v>0</v>
      </c>
      <c r="BV341" s="2401">
        <v>0</v>
      </c>
      <c r="BW341" s="2401">
        <v>0</v>
      </c>
      <c r="BX341" s="2398">
        <v>0</v>
      </c>
    </row>
    <row r="342" spans="2:76">
      <c r="B342" s="2558">
        <v>11191100</v>
      </c>
      <c r="C342" s="2571" t="s">
        <v>4077</v>
      </c>
      <c r="D342" s="2560">
        <v>106494853009</v>
      </c>
      <c r="E342" s="2560">
        <v>927210668</v>
      </c>
      <c r="F342" s="2561">
        <v>3936126300</v>
      </c>
      <c r="G342" s="2562">
        <v>163329972</v>
      </c>
      <c r="H342" s="2560">
        <v>15097237</v>
      </c>
      <c r="I342" s="2560">
        <v>111536617186</v>
      </c>
      <c r="J342" s="2563">
        <v>0</v>
      </c>
      <c r="K342" s="2563">
        <v>0</v>
      </c>
      <c r="L342" s="2560">
        <v>111536617186</v>
      </c>
      <c r="N342" s="2390">
        <v>11191100</v>
      </c>
      <c r="O342" s="2403" t="s">
        <v>4077</v>
      </c>
      <c r="P342" s="2392">
        <v>114712654998</v>
      </c>
      <c r="Q342" s="2392">
        <v>1603006668</v>
      </c>
      <c r="R342" s="2393">
        <v>5096111776</v>
      </c>
      <c r="S342" s="2394">
        <v>0</v>
      </c>
      <c r="T342" s="2392">
        <v>13484279</v>
      </c>
      <c r="U342" s="2392">
        <v>121425257721</v>
      </c>
      <c r="V342" s="2395">
        <v>0</v>
      </c>
      <c r="W342" s="2395">
        <v>0</v>
      </c>
      <c r="X342" s="2392">
        <v>121425257721</v>
      </c>
      <c r="Z342" s="2390">
        <v>11191100</v>
      </c>
      <c r="AA342" s="2403" t="s">
        <v>4077</v>
      </c>
      <c r="AB342" s="2392">
        <v>50257462834</v>
      </c>
      <c r="AC342" s="2392">
        <v>1063274375</v>
      </c>
      <c r="AD342" s="2393">
        <v>2915361271</v>
      </c>
      <c r="AE342" s="2394">
        <v>0</v>
      </c>
      <c r="AF342" s="2392">
        <v>14515378</v>
      </c>
      <c r="AG342" s="2392">
        <v>54250613858</v>
      </c>
      <c r="AH342" s="2395">
        <v>0</v>
      </c>
      <c r="AI342" s="2395">
        <v>0</v>
      </c>
      <c r="AJ342" s="2392">
        <v>54250613858</v>
      </c>
      <c r="AZ342" s="2390">
        <v>11191100</v>
      </c>
      <c r="BA342" s="2403" t="s">
        <v>4077</v>
      </c>
      <c r="BB342" s="2392">
        <v>69144195821</v>
      </c>
      <c r="BC342" s="2392">
        <v>1425198725</v>
      </c>
      <c r="BD342" s="2393">
        <v>2618810898</v>
      </c>
      <c r="BE342" s="2394">
        <v>0</v>
      </c>
      <c r="BF342" s="2392">
        <v>13049135</v>
      </c>
      <c r="BG342" s="2392">
        <v>73201254579</v>
      </c>
      <c r="BH342" s="2395">
        <v>0</v>
      </c>
      <c r="BI342" s="2395">
        <v>0</v>
      </c>
      <c r="BJ342" s="2392">
        <v>73201254579</v>
      </c>
      <c r="BN342" s="2390">
        <v>11191100</v>
      </c>
      <c r="BO342" s="2403" t="s">
        <v>4077</v>
      </c>
      <c r="BP342" s="2392">
        <v>6305630823</v>
      </c>
      <c r="BQ342" s="2392">
        <v>661812052</v>
      </c>
      <c r="BR342" s="2393">
        <v>3315177998</v>
      </c>
      <c r="BS342" s="2394">
        <v>0</v>
      </c>
      <c r="BT342" s="2392">
        <v>12472618</v>
      </c>
      <c r="BU342" s="2392">
        <v>10295093491</v>
      </c>
      <c r="BV342" s="2395">
        <v>0</v>
      </c>
      <c r="BW342" s="2395">
        <v>0</v>
      </c>
      <c r="BX342" s="2392">
        <v>10295093491</v>
      </c>
    </row>
    <row r="343" spans="2:76">
      <c r="B343" s="2564">
        <v>11191101</v>
      </c>
      <c r="C343" s="2565" t="s">
        <v>4078</v>
      </c>
      <c r="D343" s="2566">
        <v>106494853009</v>
      </c>
      <c r="E343" s="1080">
        <v>927210668</v>
      </c>
      <c r="F343" s="2567">
        <v>3936126300</v>
      </c>
      <c r="G343" s="2572">
        <v>163329972</v>
      </c>
      <c r="H343" s="2566">
        <v>15097237</v>
      </c>
      <c r="I343" s="2566">
        <v>111536617186</v>
      </c>
      <c r="J343" s="2569">
        <v>0</v>
      </c>
      <c r="K343" s="2569">
        <v>0</v>
      </c>
      <c r="L343" s="2566">
        <v>111536617186</v>
      </c>
      <c r="N343" s="2396">
        <v>11191101</v>
      </c>
      <c r="O343" s="2397" t="s">
        <v>4078</v>
      </c>
      <c r="P343" s="2398">
        <v>114712654998</v>
      </c>
      <c r="Q343" s="2179">
        <v>1603006668</v>
      </c>
      <c r="R343" s="2399">
        <v>5096111776</v>
      </c>
      <c r="S343" s="2404">
        <v>0</v>
      </c>
      <c r="T343" s="2398">
        <v>13484279</v>
      </c>
      <c r="U343" s="2398">
        <v>121425257721</v>
      </c>
      <c r="V343" s="2401">
        <v>0</v>
      </c>
      <c r="W343" s="2401">
        <v>0</v>
      </c>
      <c r="X343" s="2398">
        <v>121425257721</v>
      </c>
      <c r="Z343" s="2396">
        <v>11191101</v>
      </c>
      <c r="AA343" s="2397" t="s">
        <v>4078</v>
      </c>
      <c r="AB343" s="2398">
        <v>50257462834</v>
      </c>
      <c r="AC343" s="2179">
        <v>1063274375</v>
      </c>
      <c r="AD343" s="2399">
        <v>2915361271</v>
      </c>
      <c r="AE343" s="2404">
        <v>0</v>
      </c>
      <c r="AF343" s="2398">
        <v>14515378</v>
      </c>
      <c r="AG343" s="2398">
        <v>54250613858</v>
      </c>
      <c r="AH343" s="2401">
        <v>0</v>
      </c>
      <c r="AI343" s="2401">
        <v>0</v>
      </c>
      <c r="AJ343" s="2398">
        <v>54250613858</v>
      </c>
      <c r="AZ343" s="2396">
        <v>11191101</v>
      </c>
      <c r="BA343" s="2397" t="s">
        <v>4078</v>
      </c>
      <c r="BB343" s="2398">
        <v>69144195821</v>
      </c>
      <c r="BC343" s="2179">
        <v>1425198725</v>
      </c>
      <c r="BD343" s="2399">
        <v>2618810898</v>
      </c>
      <c r="BE343" s="2404">
        <v>0</v>
      </c>
      <c r="BF343" s="2398">
        <v>13049135</v>
      </c>
      <c r="BG343" s="2398">
        <v>73201254579</v>
      </c>
      <c r="BH343" s="2401">
        <v>0</v>
      </c>
      <c r="BI343" s="2401">
        <v>0</v>
      </c>
      <c r="BJ343" s="2398">
        <v>73201254579</v>
      </c>
      <c r="BN343" s="2396">
        <v>11191101</v>
      </c>
      <c r="BO343" s="2397" t="s">
        <v>4078</v>
      </c>
      <c r="BP343" s="2398">
        <v>6305630823</v>
      </c>
      <c r="BQ343" s="2179">
        <v>661812052</v>
      </c>
      <c r="BR343" s="2399">
        <v>3315177998</v>
      </c>
      <c r="BS343" s="2404">
        <v>0</v>
      </c>
      <c r="BT343" s="2398">
        <v>12472618</v>
      </c>
      <c r="BU343" s="2398">
        <v>10295093491</v>
      </c>
      <c r="BV343" s="2401">
        <v>0</v>
      </c>
      <c r="BW343" s="2401">
        <v>0</v>
      </c>
      <c r="BX343" s="2398">
        <v>10295093491</v>
      </c>
    </row>
    <row r="344" spans="2:76">
      <c r="B344" s="2558">
        <v>11191200</v>
      </c>
      <c r="C344" s="2571" t="s">
        <v>4079</v>
      </c>
      <c r="D344" s="2560">
        <v>4454798114</v>
      </c>
      <c r="E344" s="2560">
        <v>60091</v>
      </c>
      <c r="F344" s="2561">
        <v>0</v>
      </c>
      <c r="G344" s="2562">
        <v>2313637030</v>
      </c>
      <c r="H344" s="2560">
        <v>0</v>
      </c>
      <c r="I344" s="2560">
        <v>6768495235</v>
      </c>
      <c r="J344" s="2563">
        <v>0</v>
      </c>
      <c r="K344" s="2563">
        <v>0</v>
      </c>
      <c r="L344" s="2560">
        <v>6768495235</v>
      </c>
      <c r="N344" s="2390">
        <v>11191200</v>
      </c>
      <c r="O344" s="2403" t="s">
        <v>4079</v>
      </c>
      <c r="P344" s="2392">
        <v>3762519958</v>
      </c>
      <c r="Q344" s="2392">
        <v>0</v>
      </c>
      <c r="R344" s="2393">
        <v>0</v>
      </c>
      <c r="S344" s="2394">
        <v>753869250</v>
      </c>
      <c r="T344" s="2392">
        <v>0</v>
      </c>
      <c r="U344" s="2392">
        <v>4516389208</v>
      </c>
      <c r="V344" s="2395">
        <v>0</v>
      </c>
      <c r="W344" s="2395">
        <v>0</v>
      </c>
      <c r="X344" s="2392">
        <v>4516389208</v>
      </c>
      <c r="Z344" s="2390">
        <v>11191200</v>
      </c>
      <c r="AA344" s="2403" t="s">
        <v>4079</v>
      </c>
      <c r="AB344" s="2392">
        <v>3973855022</v>
      </c>
      <c r="AC344" s="2392">
        <v>385000</v>
      </c>
      <c r="AD344" s="2393">
        <v>0</v>
      </c>
      <c r="AE344" s="2394">
        <v>23545660</v>
      </c>
      <c r="AF344" s="2392">
        <v>0</v>
      </c>
      <c r="AG344" s="2392">
        <v>3997785682</v>
      </c>
      <c r="AH344" s="2395">
        <v>0</v>
      </c>
      <c r="AI344" s="2395">
        <v>0</v>
      </c>
      <c r="AJ344" s="2392">
        <v>3997785682</v>
      </c>
      <c r="AZ344" s="2390">
        <v>11191200</v>
      </c>
      <c r="BA344" s="2403" t="s">
        <v>4079</v>
      </c>
      <c r="BB344" s="2392">
        <v>3888680632</v>
      </c>
      <c r="BC344" s="2392">
        <v>0</v>
      </c>
      <c r="BD344" s="2393">
        <v>0</v>
      </c>
      <c r="BE344" s="2394">
        <v>57759375</v>
      </c>
      <c r="BF344" s="2392">
        <v>20383613</v>
      </c>
      <c r="BG344" s="2392">
        <v>3966823620</v>
      </c>
      <c r="BH344" s="2395">
        <v>0</v>
      </c>
      <c r="BI344" s="2395">
        <v>0</v>
      </c>
      <c r="BJ344" s="2392">
        <v>3966823620</v>
      </c>
      <c r="BN344" s="2390">
        <v>11191200</v>
      </c>
      <c r="BO344" s="2403" t="s">
        <v>4079</v>
      </c>
      <c r="BP344" s="2392">
        <v>1370336781</v>
      </c>
      <c r="BQ344" s="2392">
        <v>0</v>
      </c>
      <c r="BR344" s="2393">
        <v>490000000</v>
      </c>
      <c r="BS344" s="2394">
        <v>116365681</v>
      </c>
      <c r="BT344" s="2392">
        <v>0</v>
      </c>
      <c r="BU344" s="2392">
        <v>1976702462</v>
      </c>
      <c r="BV344" s="2395">
        <v>0</v>
      </c>
      <c r="BW344" s="2395">
        <v>0</v>
      </c>
      <c r="BX344" s="2392">
        <v>1976702462</v>
      </c>
    </row>
    <row r="345" spans="2:76">
      <c r="B345" s="2564">
        <v>11191201</v>
      </c>
      <c r="C345" s="2565" t="s">
        <v>4079</v>
      </c>
      <c r="D345" s="2566">
        <v>4454798114</v>
      </c>
      <c r="E345" s="1080">
        <v>60091</v>
      </c>
      <c r="F345" s="2567">
        <v>0</v>
      </c>
      <c r="G345" s="2568">
        <v>2313637030</v>
      </c>
      <c r="H345" s="2566">
        <v>0</v>
      </c>
      <c r="I345" s="2566">
        <v>6768495235</v>
      </c>
      <c r="J345" s="2569">
        <v>0</v>
      </c>
      <c r="K345" s="2569">
        <v>0</v>
      </c>
      <c r="L345" s="2566">
        <v>6768495235</v>
      </c>
      <c r="N345" s="2396">
        <v>11191201</v>
      </c>
      <c r="O345" s="2397" t="s">
        <v>4079</v>
      </c>
      <c r="P345" s="2398">
        <v>3762519958</v>
      </c>
      <c r="Q345" s="2179">
        <v>0</v>
      </c>
      <c r="R345" s="2399">
        <v>0</v>
      </c>
      <c r="S345" s="2400">
        <v>753869250</v>
      </c>
      <c r="T345" s="2398">
        <v>0</v>
      </c>
      <c r="U345" s="2398">
        <v>4516389208</v>
      </c>
      <c r="V345" s="2401">
        <v>0</v>
      </c>
      <c r="W345" s="2401">
        <v>0</v>
      </c>
      <c r="X345" s="2398">
        <v>4516389208</v>
      </c>
      <c r="Z345" s="2396">
        <v>11191201</v>
      </c>
      <c r="AA345" s="2397" t="s">
        <v>4079</v>
      </c>
      <c r="AB345" s="2398">
        <v>3973855022</v>
      </c>
      <c r="AC345" s="2179">
        <v>385000</v>
      </c>
      <c r="AD345" s="2399">
        <v>0</v>
      </c>
      <c r="AE345" s="2400">
        <v>23545660</v>
      </c>
      <c r="AF345" s="2398">
        <v>0</v>
      </c>
      <c r="AG345" s="2398">
        <v>3997785682</v>
      </c>
      <c r="AH345" s="2401">
        <v>0</v>
      </c>
      <c r="AI345" s="2401">
        <v>0</v>
      </c>
      <c r="AJ345" s="2398">
        <v>3997785682</v>
      </c>
      <c r="AZ345" s="2396">
        <v>11191201</v>
      </c>
      <c r="BA345" s="2397" t="s">
        <v>4079</v>
      </c>
      <c r="BB345" s="2398">
        <v>3888680632</v>
      </c>
      <c r="BC345" s="2179">
        <v>0</v>
      </c>
      <c r="BD345" s="2399">
        <v>0</v>
      </c>
      <c r="BE345" s="2400">
        <v>57759375</v>
      </c>
      <c r="BF345" s="2398">
        <v>20383613</v>
      </c>
      <c r="BG345" s="2398">
        <v>3966823620</v>
      </c>
      <c r="BH345" s="2401">
        <v>0</v>
      </c>
      <c r="BI345" s="2401">
        <v>0</v>
      </c>
      <c r="BJ345" s="2398">
        <v>3966823620</v>
      </c>
      <c r="BN345" s="2396">
        <v>11191201</v>
      </c>
      <c r="BO345" s="2397" t="s">
        <v>4079</v>
      </c>
      <c r="BP345" s="2398">
        <v>1370336781</v>
      </c>
      <c r="BQ345" s="2179">
        <v>0</v>
      </c>
      <c r="BR345" s="2399">
        <v>490000000</v>
      </c>
      <c r="BS345" s="2400">
        <v>116365681</v>
      </c>
      <c r="BT345" s="2398">
        <v>0</v>
      </c>
      <c r="BU345" s="2398">
        <v>1976702462</v>
      </c>
      <c r="BV345" s="2401">
        <v>0</v>
      </c>
      <c r="BW345" s="2401">
        <v>0</v>
      </c>
      <c r="BX345" s="2398">
        <v>1976702462</v>
      </c>
    </row>
    <row r="346" spans="2:76">
      <c r="B346" s="2558">
        <v>11191300</v>
      </c>
      <c r="C346" s="2571" t="s">
        <v>4080</v>
      </c>
      <c r="D346" s="2560">
        <v>0</v>
      </c>
      <c r="E346" s="2560">
        <v>0</v>
      </c>
      <c r="F346" s="2561">
        <v>0</v>
      </c>
      <c r="G346" s="2562">
        <v>0</v>
      </c>
      <c r="H346" s="2560">
        <v>0</v>
      </c>
      <c r="I346" s="2560">
        <v>0</v>
      </c>
      <c r="J346" s="2563">
        <v>0</v>
      </c>
      <c r="K346" s="2563">
        <v>0</v>
      </c>
      <c r="L346" s="2560">
        <v>0</v>
      </c>
      <c r="N346" s="2390">
        <v>11191300</v>
      </c>
      <c r="O346" s="2403" t="s">
        <v>4080</v>
      </c>
      <c r="P346" s="2392">
        <v>0</v>
      </c>
      <c r="Q346" s="2392">
        <v>0</v>
      </c>
      <c r="R346" s="2393">
        <v>0</v>
      </c>
      <c r="S346" s="2394">
        <v>0</v>
      </c>
      <c r="T346" s="2392">
        <v>0</v>
      </c>
      <c r="U346" s="2392">
        <v>0</v>
      </c>
      <c r="V346" s="2395">
        <v>0</v>
      </c>
      <c r="W346" s="2395">
        <v>0</v>
      </c>
      <c r="X346" s="2392">
        <v>0</v>
      </c>
      <c r="Z346" s="2390">
        <v>11191300</v>
      </c>
      <c r="AA346" s="2403" t="s">
        <v>4080</v>
      </c>
      <c r="AB346" s="2392">
        <v>0</v>
      </c>
      <c r="AC346" s="2392">
        <v>0</v>
      </c>
      <c r="AD346" s="2393">
        <v>0</v>
      </c>
      <c r="AE346" s="2394">
        <v>0</v>
      </c>
      <c r="AF346" s="2392">
        <v>0</v>
      </c>
      <c r="AG346" s="2392">
        <v>0</v>
      </c>
      <c r="AH346" s="2395">
        <v>0</v>
      </c>
      <c r="AI346" s="2395">
        <v>0</v>
      </c>
      <c r="AJ346" s="2392">
        <v>0</v>
      </c>
      <c r="AZ346" s="2390">
        <v>11191300</v>
      </c>
      <c r="BA346" s="2403" t="s">
        <v>4080</v>
      </c>
      <c r="BB346" s="2392">
        <v>0</v>
      </c>
      <c r="BC346" s="2392">
        <v>0</v>
      </c>
      <c r="BD346" s="2393">
        <v>0</v>
      </c>
      <c r="BE346" s="2394">
        <v>0</v>
      </c>
      <c r="BF346" s="2392">
        <v>0</v>
      </c>
      <c r="BG346" s="2392">
        <v>0</v>
      </c>
      <c r="BH346" s="2395">
        <v>0</v>
      </c>
      <c r="BI346" s="2395">
        <v>0</v>
      </c>
      <c r="BJ346" s="2392">
        <v>0</v>
      </c>
      <c r="BN346" s="2390">
        <v>11191300</v>
      </c>
      <c r="BO346" s="2403" t="s">
        <v>4080</v>
      </c>
      <c r="BP346" s="2392">
        <v>0</v>
      </c>
      <c r="BQ346" s="2392">
        <v>0</v>
      </c>
      <c r="BR346" s="2393">
        <v>0</v>
      </c>
      <c r="BS346" s="2394">
        <v>0</v>
      </c>
      <c r="BT346" s="2392">
        <v>0</v>
      </c>
      <c r="BU346" s="2392">
        <v>0</v>
      </c>
      <c r="BV346" s="2395">
        <v>0</v>
      </c>
      <c r="BW346" s="2395">
        <v>0</v>
      </c>
      <c r="BX346" s="2392">
        <v>0</v>
      </c>
    </row>
    <row r="347" spans="2:76">
      <c r="B347" s="2564">
        <v>11191301</v>
      </c>
      <c r="C347" s="2565" t="s">
        <v>4080</v>
      </c>
      <c r="D347" s="2566">
        <v>0</v>
      </c>
      <c r="E347" s="1080">
        <v>0</v>
      </c>
      <c r="F347" s="2567">
        <v>0</v>
      </c>
      <c r="G347" s="2568">
        <v>0</v>
      </c>
      <c r="H347" s="2566">
        <v>0</v>
      </c>
      <c r="I347" s="2566">
        <v>0</v>
      </c>
      <c r="J347" s="2569">
        <v>0</v>
      </c>
      <c r="K347" s="2569">
        <v>0</v>
      </c>
      <c r="L347" s="2566">
        <v>0</v>
      </c>
      <c r="N347" s="2396">
        <v>11191301</v>
      </c>
      <c r="O347" s="2397" t="s">
        <v>4080</v>
      </c>
      <c r="P347" s="2398">
        <v>0</v>
      </c>
      <c r="Q347" s="2179">
        <v>0</v>
      </c>
      <c r="R347" s="2399">
        <v>0</v>
      </c>
      <c r="S347" s="2400">
        <v>0</v>
      </c>
      <c r="T347" s="2398">
        <v>0</v>
      </c>
      <c r="U347" s="2398">
        <v>0</v>
      </c>
      <c r="V347" s="2401">
        <v>0</v>
      </c>
      <c r="W347" s="2401">
        <v>0</v>
      </c>
      <c r="X347" s="2398">
        <v>0</v>
      </c>
      <c r="Z347" s="2396">
        <v>11191301</v>
      </c>
      <c r="AA347" s="2397" t="s">
        <v>4080</v>
      </c>
      <c r="AB347" s="2398">
        <v>0</v>
      </c>
      <c r="AC347" s="2179">
        <v>0</v>
      </c>
      <c r="AD347" s="2399">
        <v>0</v>
      </c>
      <c r="AE347" s="2400">
        <v>0</v>
      </c>
      <c r="AF347" s="2398">
        <v>0</v>
      </c>
      <c r="AG347" s="2398">
        <v>0</v>
      </c>
      <c r="AH347" s="2401">
        <v>0</v>
      </c>
      <c r="AI347" s="2401">
        <v>0</v>
      </c>
      <c r="AJ347" s="2398">
        <v>0</v>
      </c>
      <c r="AZ347" s="2396">
        <v>11191301</v>
      </c>
      <c r="BA347" s="2397" t="s">
        <v>4080</v>
      </c>
      <c r="BB347" s="2398">
        <v>0</v>
      </c>
      <c r="BC347" s="2179">
        <v>0</v>
      </c>
      <c r="BD347" s="2399">
        <v>0</v>
      </c>
      <c r="BE347" s="2400">
        <v>0</v>
      </c>
      <c r="BF347" s="2398">
        <v>0</v>
      </c>
      <c r="BG347" s="2398">
        <v>0</v>
      </c>
      <c r="BH347" s="2401">
        <v>0</v>
      </c>
      <c r="BI347" s="2401">
        <v>0</v>
      </c>
      <c r="BJ347" s="2398">
        <v>0</v>
      </c>
      <c r="BN347" s="2396">
        <v>11191301</v>
      </c>
      <c r="BO347" s="2397" t="s">
        <v>4080</v>
      </c>
      <c r="BP347" s="2398">
        <v>0</v>
      </c>
      <c r="BQ347" s="2179">
        <v>0</v>
      </c>
      <c r="BR347" s="2399">
        <v>0</v>
      </c>
      <c r="BS347" s="2400">
        <v>0</v>
      </c>
      <c r="BT347" s="2398">
        <v>0</v>
      </c>
      <c r="BU347" s="2398">
        <v>0</v>
      </c>
      <c r="BV347" s="2401">
        <v>0</v>
      </c>
      <c r="BW347" s="2401">
        <v>0</v>
      </c>
      <c r="BX347" s="2398">
        <v>0</v>
      </c>
    </row>
    <row r="348" spans="2:76">
      <c r="B348" s="2558">
        <v>11191400</v>
      </c>
      <c r="C348" s="2571" t="s">
        <v>4081</v>
      </c>
      <c r="D348" s="2560">
        <v>0</v>
      </c>
      <c r="E348" s="2560">
        <v>0</v>
      </c>
      <c r="F348" s="2561">
        <v>0</v>
      </c>
      <c r="G348" s="2562">
        <v>0</v>
      </c>
      <c r="H348" s="2560">
        <v>0</v>
      </c>
      <c r="I348" s="2560">
        <v>0</v>
      </c>
      <c r="J348" s="2563">
        <v>0</v>
      </c>
      <c r="K348" s="2563">
        <v>0</v>
      </c>
      <c r="L348" s="2560">
        <v>0</v>
      </c>
      <c r="N348" s="2390">
        <v>11191400</v>
      </c>
      <c r="O348" s="2403" t="s">
        <v>4081</v>
      </c>
      <c r="P348" s="2392">
        <v>0</v>
      </c>
      <c r="Q348" s="2392">
        <v>0</v>
      </c>
      <c r="R348" s="2393">
        <v>0</v>
      </c>
      <c r="S348" s="2394">
        <v>0</v>
      </c>
      <c r="T348" s="2392">
        <v>0</v>
      </c>
      <c r="U348" s="2392">
        <v>0</v>
      </c>
      <c r="V348" s="2395">
        <v>0</v>
      </c>
      <c r="W348" s="2395">
        <v>0</v>
      </c>
      <c r="X348" s="2392">
        <v>0</v>
      </c>
      <c r="Z348" s="2390">
        <v>11191400</v>
      </c>
      <c r="AA348" s="2403" t="s">
        <v>4081</v>
      </c>
      <c r="AB348" s="2392">
        <v>0</v>
      </c>
      <c r="AC348" s="2392">
        <v>0</v>
      </c>
      <c r="AD348" s="2393">
        <v>0</v>
      </c>
      <c r="AE348" s="2394">
        <v>0</v>
      </c>
      <c r="AF348" s="2392">
        <v>0</v>
      </c>
      <c r="AG348" s="2392">
        <v>0</v>
      </c>
      <c r="AH348" s="2395">
        <v>0</v>
      </c>
      <c r="AI348" s="2395">
        <v>0</v>
      </c>
      <c r="AJ348" s="2392">
        <v>0</v>
      </c>
      <c r="AZ348" s="2390">
        <v>11191400</v>
      </c>
      <c r="BA348" s="2403" t="s">
        <v>4081</v>
      </c>
      <c r="BB348" s="2392">
        <v>0</v>
      </c>
      <c r="BC348" s="2392">
        <v>0</v>
      </c>
      <c r="BD348" s="2393">
        <v>0</v>
      </c>
      <c r="BE348" s="2394">
        <v>0</v>
      </c>
      <c r="BF348" s="2392">
        <v>0</v>
      </c>
      <c r="BG348" s="2392">
        <v>0</v>
      </c>
      <c r="BH348" s="2395">
        <v>0</v>
      </c>
      <c r="BI348" s="2395">
        <v>0</v>
      </c>
      <c r="BJ348" s="2392">
        <v>0</v>
      </c>
      <c r="BN348" s="2390">
        <v>11191400</v>
      </c>
      <c r="BO348" s="2403" t="s">
        <v>4081</v>
      </c>
      <c r="BP348" s="2392">
        <v>0</v>
      </c>
      <c r="BQ348" s="2392">
        <v>0</v>
      </c>
      <c r="BR348" s="2393">
        <v>0</v>
      </c>
      <c r="BS348" s="2394">
        <v>0</v>
      </c>
      <c r="BT348" s="2392">
        <v>0</v>
      </c>
      <c r="BU348" s="2392">
        <v>0</v>
      </c>
      <c r="BV348" s="2395">
        <v>0</v>
      </c>
      <c r="BW348" s="2395">
        <v>0</v>
      </c>
      <c r="BX348" s="2392">
        <v>0</v>
      </c>
    </row>
    <row r="349" spans="2:76">
      <c r="B349" s="2564">
        <v>11191401</v>
      </c>
      <c r="C349" s="2565" t="s">
        <v>5001</v>
      </c>
      <c r="D349" s="2566">
        <v>0</v>
      </c>
      <c r="E349" s="1080">
        <v>0</v>
      </c>
      <c r="F349" s="2567">
        <v>0</v>
      </c>
      <c r="G349" s="2568">
        <v>0</v>
      </c>
      <c r="H349" s="2566">
        <v>0</v>
      </c>
      <c r="I349" s="2566">
        <v>0</v>
      </c>
      <c r="J349" s="2569">
        <v>0</v>
      </c>
      <c r="K349" s="2569">
        <v>0</v>
      </c>
      <c r="L349" s="2566">
        <v>0</v>
      </c>
      <c r="N349" s="2396">
        <v>11191401</v>
      </c>
      <c r="O349" s="2397" t="s">
        <v>4081</v>
      </c>
      <c r="P349" s="2398">
        <v>0</v>
      </c>
      <c r="Q349" s="2179">
        <v>0</v>
      </c>
      <c r="R349" s="2399">
        <v>0</v>
      </c>
      <c r="S349" s="2400">
        <v>0</v>
      </c>
      <c r="T349" s="2398">
        <v>0</v>
      </c>
      <c r="U349" s="2398">
        <v>0</v>
      </c>
      <c r="V349" s="2401">
        <v>0</v>
      </c>
      <c r="W349" s="2401">
        <v>0</v>
      </c>
      <c r="X349" s="2398">
        <v>0</v>
      </c>
      <c r="Z349" s="2396">
        <v>11191401</v>
      </c>
      <c r="AA349" s="2397" t="s">
        <v>4081</v>
      </c>
      <c r="AB349" s="2398">
        <v>0</v>
      </c>
      <c r="AC349" s="2179">
        <v>0</v>
      </c>
      <c r="AD349" s="2399">
        <v>0</v>
      </c>
      <c r="AE349" s="2400">
        <v>0</v>
      </c>
      <c r="AF349" s="2398">
        <v>0</v>
      </c>
      <c r="AG349" s="2398">
        <v>0</v>
      </c>
      <c r="AH349" s="2401">
        <v>0</v>
      </c>
      <c r="AI349" s="2401">
        <v>0</v>
      </c>
      <c r="AJ349" s="2398">
        <v>0</v>
      </c>
      <c r="AZ349" s="2396">
        <v>11191401</v>
      </c>
      <c r="BA349" s="2397" t="s">
        <v>4081</v>
      </c>
      <c r="BB349" s="2398">
        <v>0</v>
      </c>
      <c r="BC349" s="2179">
        <v>0</v>
      </c>
      <c r="BD349" s="2399">
        <v>0</v>
      </c>
      <c r="BE349" s="2400">
        <v>0</v>
      </c>
      <c r="BF349" s="2398">
        <v>0</v>
      </c>
      <c r="BG349" s="2398">
        <v>0</v>
      </c>
      <c r="BH349" s="2401">
        <v>0</v>
      </c>
      <c r="BI349" s="2401">
        <v>0</v>
      </c>
      <c r="BJ349" s="2398">
        <v>0</v>
      </c>
      <c r="BN349" s="2396">
        <v>11191401</v>
      </c>
      <c r="BO349" s="2397" t="s">
        <v>4081</v>
      </c>
      <c r="BP349" s="2398">
        <v>0</v>
      </c>
      <c r="BQ349" s="2179">
        <v>0</v>
      </c>
      <c r="BR349" s="2399">
        <v>0</v>
      </c>
      <c r="BS349" s="2400">
        <v>0</v>
      </c>
      <c r="BT349" s="2398">
        <v>0</v>
      </c>
      <c r="BU349" s="2398">
        <v>0</v>
      </c>
      <c r="BV349" s="2401">
        <v>0</v>
      </c>
      <c r="BW349" s="2401">
        <v>0</v>
      </c>
      <c r="BX349" s="2398">
        <v>0</v>
      </c>
    </row>
    <row r="350" spans="2:76">
      <c r="B350" s="2558">
        <v>11191500</v>
      </c>
      <c r="C350" s="2573" t="s">
        <v>4082</v>
      </c>
      <c r="D350" s="2560">
        <v>2914797919</v>
      </c>
      <c r="E350" s="2560">
        <v>60502298</v>
      </c>
      <c r="F350" s="2561">
        <v>124857051</v>
      </c>
      <c r="G350" s="2562">
        <v>322798595</v>
      </c>
      <c r="H350" s="2560">
        <v>50446087</v>
      </c>
      <c r="I350" s="2560">
        <v>3473401950</v>
      </c>
      <c r="J350" s="2563">
        <v>0</v>
      </c>
      <c r="K350" s="2563">
        <v>0</v>
      </c>
      <c r="L350" s="2560">
        <v>3473401950</v>
      </c>
      <c r="N350" s="2390">
        <v>11191500</v>
      </c>
      <c r="O350" s="2405" t="s">
        <v>4082</v>
      </c>
      <c r="P350" s="2392">
        <v>1336547616</v>
      </c>
      <c r="Q350" s="2392">
        <v>84130752</v>
      </c>
      <c r="R350" s="2393">
        <v>73989481</v>
      </c>
      <c r="S350" s="2394">
        <v>454014981</v>
      </c>
      <c r="T350" s="2392">
        <v>36572891</v>
      </c>
      <c r="U350" s="2392">
        <v>1985255721</v>
      </c>
      <c r="V350" s="2395">
        <v>0</v>
      </c>
      <c r="W350" s="2395">
        <v>0</v>
      </c>
      <c r="X350" s="2392">
        <v>1985255721</v>
      </c>
      <c r="Z350" s="2390">
        <v>11191500</v>
      </c>
      <c r="AA350" s="2405" t="s">
        <v>4082</v>
      </c>
      <c r="AB350" s="2392">
        <v>3254505923</v>
      </c>
      <c r="AC350" s="2392">
        <v>35126250</v>
      </c>
      <c r="AD350" s="2393">
        <v>94638550</v>
      </c>
      <c r="AE350" s="2394">
        <v>126730881</v>
      </c>
      <c r="AF350" s="2392">
        <v>29591250</v>
      </c>
      <c r="AG350" s="2392">
        <v>3540592854</v>
      </c>
      <c r="AH350" s="2395">
        <v>0</v>
      </c>
      <c r="AI350" s="2395">
        <v>0</v>
      </c>
      <c r="AJ350" s="2392">
        <v>2308374734</v>
      </c>
      <c r="AZ350" s="2390">
        <v>11191500</v>
      </c>
      <c r="BA350" s="2405" t="s">
        <v>4082</v>
      </c>
      <c r="BB350" s="2392">
        <v>1763371003</v>
      </c>
      <c r="BC350" s="2392">
        <v>46422006</v>
      </c>
      <c r="BD350" s="2393">
        <v>87598624</v>
      </c>
      <c r="BE350" s="2394">
        <v>59006630</v>
      </c>
      <c r="BF350" s="2392">
        <v>38015113</v>
      </c>
      <c r="BG350" s="2392">
        <v>1994413376</v>
      </c>
      <c r="BH350" s="2395">
        <v>0</v>
      </c>
      <c r="BI350" s="2395">
        <v>0</v>
      </c>
      <c r="BJ350" s="2392">
        <v>1994413376</v>
      </c>
      <c r="BN350" s="2390">
        <v>11191500</v>
      </c>
      <c r="BO350" s="2405" t="s">
        <v>4082</v>
      </c>
      <c r="BP350" s="2392">
        <v>2186619686</v>
      </c>
      <c r="BQ350" s="2392">
        <v>45365046</v>
      </c>
      <c r="BR350" s="2393">
        <v>105575164</v>
      </c>
      <c r="BS350" s="2394">
        <v>72835097</v>
      </c>
      <c r="BT350" s="2392">
        <v>38102612</v>
      </c>
      <c r="BU350" s="2392">
        <v>2448497605</v>
      </c>
      <c r="BV350" s="2395">
        <v>0</v>
      </c>
      <c r="BW350" s="2395">
        <v>0</v>
      </c>
      <c r="BX350" s="2392">
        <v>2448497605</v>
      </c>
    </row>
    <row r="351" spans="2:76">
      <c r="B351" s="2564">
        <v>11191501</v>
      </c>
      <c r="C351" s="2574" t="s">
        <v>5002</v>
      </c>
      <c r="D351" s="2566">
        <v>2914797919</v>
      </c>
      <c r="E351" s="1080">
        <v>60502298</v>
      </c>
      <c r="F351" s="2567">
        <v>124857051</v>
      </c>
      <c r="G351" s="2568">
        <v>322798595</v>
      </c>
      <c r="H351" s="2566">
        <v>50446087</v>
      </c>
      <c r="I351" s="2566">
        <v>3473401950</v>
      </c>
      <c r="J351" s="2569">
        <v>0</v>
      </c>
      <c r="K351" s="2569">
        <v>0</v>
      </c>
      <c r="L351" s="2566">
        <v>3473401950</v>
      </c>
      <c r="N351" s="2396">
        <v>11191501</v>
      </c>
      <c r="O351" s="2406" t="s">
        <v>3954</v>
      </c>
      <c r="P351" s="2398">
        <v>1336547616</v>
      </c>
      <c r="Q351" s="2179">
        <v>84130752</v>
      </c>
      <c r="R351" s="2399">
        <v>73989481</v>
      </c>
      <c r="S351" s="2400">
        <v>454014981</v>
      </c>
      <c r="T351" s="2398">
        <v>36572891</v>
      </c>
      <c r="U351" s="2398">
        <v>1985255721</v>
      </c>
      <c r="V351" s="2401">
        <v>0</v>
      </c>
      <c r="W351" s="2401">
        <v>0</v>
      </c>
      <c r="X351" s="2398">
        <v>1985255721</v>
      </c>
      <c r="Z351" s="2396">
        <v>11191501</v>
      </c>
      <c r="AA351" s="2406" t="s">
        <v>3954</v>
      </c>
      <c r="AB351" s="2398">
        <v>3254505923</v>
      </c>
      <c r="AC351" s="2179">
        <v>35126250</v>
      </c>
      <c r="AD351" s="2399">
        <v>94638550</v>
      </c>
      <c r="AE351" s="2400">
        <v>126730881</v>
      </c>
      <c r="AF351" s="2398">
        <v>29591250</v>
      </c>
      <c r="AG351" s="2398">
        <v>3540592854</v>
      </c>
      <c r="AH351" s="2401">
        <v>0</v>
      </c>
      <c r="AI351" s="2401">
        <v>1232218120</v>
      </c>
      <c r="AJ351" s="2398">
        <v>2308374734</v>
      </c>
      <c r="AZ351" s="2396">
        <v>11191501</v>
      </c>
      <c r="BA351" s="2406" t="s">
        <v>3954</v>
      </c>
      <c r="BB351" s="2398">
        <v>1763371003</v>
      </c>
      <c r="BC351" s="2179">
        <v>46422006</v>
      </c>
      <c r="BD351" s="2399">
        <v>87598624</v>
      </c>
      <c r="BE351" s="2400">
        <v>59006630</v>
      </c>
      <c r="BF351" s="2398">
        <v>38015113</v>
      </c>
      <c r="BG351" s="2398">
        <v>1994413376</v>
      </c>
      <c r="BH351" s="2401">
        <v>0</v>
      </c>
      <c r="BI351" s="2401">
        <v>0</v>
      </c>
      <c r="BJ351" s="2398">
        <v>1994413376</v>
      </c>
      <c r="BN351" s="2396">
        <v>11191501</v>
      </c>
      <c r="BO351" s="2406" t="s">
        <v>3954</v>
      </c>
      <c r="BP351" s="2398">
        <v>2186619686</v>
      </c>
      <c r="BQ351" s="2179">
        <v>45365046</v>
      </c>
      <c r="BR351" s="2399">
        <v>105575164</v>
      </c>
      <c r="BS351" s="2400">
        <v>72835097</v>
      </c>
      <c r="BT351" s="2398">
        <v>38102612</v>
      </c>
      <c r="BU351" s="2398">
        <v>2448497605</v>
      </c>
      <c r="BV351" s="2401">
        <v>0</v>
      </c>
      <c r="BW351" s="2401">
        <v>0</v>
      </c>
      <c r="BX351" s="2398">
        <v>2448497605</v>
      </c>
    </row>
    <row r="352" spans="2:76">
      <c r="B352" s="2564">
        <v>11191502</v>
      </c>
      <c r="C352" s="2574" t="s">
        <v>5003</v>
      </c>
      <c r="D352" s="2566">
        <v>0</v>
      </c>
      <c r="E352" s="1080">
        <v>0</v>
      </c>
      <c r="F352" s="2567">
        <v>0</v>
      </c>
      <c r="G352" s="2568">
        <v>0</v>
      </c>
      <c r="H352" s="2566">
        <v>0</v>
      </c>
      <c r="I352" s="2566">
        <v>0</v>
      </c>
      <c r="J352" s="2569">
        <v>0</v>
      </c>
      <c r="K352" s="2569">
        <v>0</v>
      </c>
      <c r="L352" s="2566">
        <v>0</v>
      </c>
      <c r="N352" s="2396">
        <v>11191502</v>
      </c>
      <c r="O352" s="2406" t="s">
        <v>4083</v>
      </c>
      <c r="P352" s="2398">
        <v>0</v>
      </c>
      <c r="Q352" s="2179">
        <v>0</v>
      </c>
      <c r="R352" s="2399">
        <v>0</v>
      </c>
      <c r="S352" s="2400">
        <v>0</v>
      </c>
      <c r="T352" s="2398">
        <v>0</v>
      </c>
      <c r="U352" s="2398">
        <v>0</v>
      </c>
      <c r="V352" s="2401">
        <v>0</v>
      </c>
      <c r="W352" s="2401">
        <v>0</v>
      </c>
      <c r="X352" s="2398">
        <v>0</v>
      </c>
      <c r="Z352" s="2396">
        <v>11191502</v>
      </c>
      <c r="AA352" s="2406" t="s">
        <v>4083</v>
      </c>
      <c r="AB352" s="2398">
        <v>0</v>
      </c>
      <c r="AC352" s="2179">
        <v>0</v>
      </c>
      <c r="AD352" s="2399">
        <v>0</v>
      </c>
      <c r="AE352" s="2400">
        <v>0</v>
      </c>
      <c r="AF352" s="2398">
        <v>0</v>
      </c>
      <c r="AG352" s="2398">
        <v>0</v>
      </c>
      <c r="AH352" s="2401">
        <v>0</v>
      </c>
      <c r="AI352" s="2401">
        <v>0</v>
      </c>
      <c r="AJ352" s="2398">
        <v>0</v>
      </c>
      <c r="AZ352" s="2396">
        <v>11191502</v>
      </c>
      <c r="BA352" s="2406" t="s">
        <v>4083</v>
      </c>
      <c r="BB352" s="2398">
        <v>0</v>
      </c>
      <c r="BC352" s="2179">
        <v>0</v>
      </c>
      <c r="BD352" s="2399">
        <v>0</v>
      </c>
      <c r="BE352" s="2400">
        <v>0</v>
      </c>
      <c r="BF352" s="2398">
        <v>0</v>
      </c>
      <c r="BG352" s="2398">
        <v>0</v>
      </c>
      <c r="BH352" s="2401">
        <v>0</v>
      </c>
      <c r="BI352" s="2401">
        <v>0</v>
      </c>
      <c r="BJ352" s="2398">
        <v>0</v>
      </c>
      <c r="BN352" s="2396">
        <v>11191502</v>
      </c>
      <c r="BO352" s="2406" t="s">
        <v>4083</v>
      </c>
      <c r="BP352" s="2398">
        <v>0</v>
      </c>
      <c r="BQ352" s="2179">
        <v>0</v>
      </c>
      <c r="BR352" s="2399">
        <v>0</v>
      </c>
      <c r="BS352" s="2400">
        <v>0</v>
      </c>
      <c r="BT352" s="2398">
        <v>0</v>
      </c>
      <c r="BU352" s="2398">
        <v>0</v>
      </c>
      <c r="BV352" s="2401">
        <v>0</v>
      </c>
      <c r="BW352" s="2401">
        <v>0</v>
      </c>
      <c r="BX352" s="2398">
        <v>0</v>
      </c>
    </row>
    <row r="353" spans="2:76">
      <c r="B353" s="2558">
        <v>11191600</v>
      </c>
      <c r="C353" s="2571" t="s">
        <v>4084</v>
      </c>
      <c r="D353" s="2560">
        <v>982059932</v>
      </c>
      <c r="E353" s="2560">
        <v>0</v>
      </c>
      <c r="F353" s="2561">
        <v>0</v>
      </c>
      <c r="G353" s="2562">
        <v>0</v>
      </c>
      <c r="H353" s="2560">
        <v>0</v>
      </c>
      <c r="I353" s="2560">
        <v>982059932</v>
      </c>
      <c r="J353" s="2563">
        <v>0</v>
      </c>
      <c r="K353" s="2563">
        <v>0</v>
      </c>
      <c r="L353" s="2560">
        <v>982059932</v>
      </c>
      <c r="N353" s="2390">
        <v>11191600</v>
      </c>
      <c r="O353" s="2403" t="s">
        <v>4084</v>
      </c>
      <c r="P353" s="2392">
        <v>756795014</v>
      </c>
      <c r="Q353" s="2392">
        <v>0</v>
      </c>
      <c r="R353" s="2393">
        <v>0</v>
      </c>
      <c r="S353" s="2394">
        <v>0</v>
      </c>
      <c r="T353" s="2392">
        <v>0</v>
      </c>
      <c r="U353" s="2392">
        <v>756795014</v>
      </c>
      <c r="V353" s="2395">
        <v>0</v>
      </c>
      <c r="W353" s="2395">
        <v>0</v>
      </c>
      <c r="X353" s="2392">
        <v>756795014</v>
      </c>
      <c r="Z353" s="2390">
        <v>11191600</v>
      </c>
      <c r="AA353" s="2403" t="s">
        <v>4084</v>
      </c>
      <c r="AB353" s="2392">
        <v>412920480</v>
      </c>
      <c r="AC353" s="2392">
        <v>0</v>
      </c>
      <c r="AD353" s="2393">
        <v>0</v>
      </c>
      <c r="AE353" s="2394">
        <v>0</v>
      </c>
      <c r="AF353" s="2392">
        <v>0</v>
      </c>
      <c r="AG353" s="2392">
        <v>412920480</v>
      </c>
      <c r="AH353" s="2395">
        <v>0</v>
      </c>
      <c r="AI353" s="2395">
        <v>0</v>
      </c>
      <c r="AJ353" s="2392">
        <v>412920480</v>
      </c>
      <c r="AZ353" s="2390">
        <v>11191600</v>
      </c>
      <c r="BA353" s="2403" t="s">
        <v>4084</v>
      </c>
      <c r="BB353" s="2392">
        <v>1013598615</v>
      </c>
      <c r="BC353" s="2392">
        <v>0</v>
      </c>
      <c r="BD353" s="2393">
        <v>0</v>
      </c>
      <c r="BE353" s="2394">
        <v>0</v>
      </c>
      <c r="BF353" s="2392">
        <v>0</v>
      </c>
      <c r="BG353" s="2392">
        <v>1013598615</v>
      </c>
      <c r="BH353" s="2395">
        <v>0</v>
      </c>
      <c r="BI353" s="2395">
        <v>0</v>
      </c>
      <c r="BJ353" s="2392">
        <v>1013598615</v>
      </c>
      <c r="BN353" s="2390">
        <v>11191600</v>
      </c>
      <c r="BO353" s="2403" t="s">
        <v>4084</v>
      </c>
      <c r="BP353" s="2392">
        <v>483442401</v>
      </c>
      <c r="BQ353" s="2392">
        <v>0</v>
      </c>
      <c r="BR353" s="2393">
        <v>0</v>
      </c>
      <c r="BS353" s="2394">
        <v>0</v>
      </c>
      <c r="BT353" s="2392">
        <v>0</v>
      </c>
      <c r="BU353" s="2392">
        <v>483442401</v>
      </c>
      <c r="BV353" s="2395">
        <v>0</v>
      </c>
      <c r="BW353" s="2395">
        <v>0</v>
      </c>
      <c r="BX353" s="2392">
        <v>483442401</v>
      </c>
    </row>
    <row r="354" spans="2:76">
      <c r="B354" s="2564">
        <v>11191601</v>
      </c>
      <c r="C354" s="2565" t="s">
        <v>5004</v>
      </c>
      <c r="D354" s="2566">
        <v>982059932</v>
      </c>
      <c r="E354" s="1080">
        <v>0</v>
      </c>
      <c r="F354" s="2567">
        <v>0</v>
      </c>
      <c r="G354" s="2568">
        <v>0</v>
      </c>
      <c r="H354" s="2566">
        <v>0</v>
      </c>
      <c r="I354" s="2566">
        <v>982059932</v>
      </c>
      <c r="J354" s="2569">
        <v>0</v>
      </c>
      <c r="K354" s="2569">
        <v>0</v>
      </c>
      <c r="L354" s="2566">
        <v>982059932</v>
      </c>
      <c r="N354" s="2396">
        <v>11191601</v>
      </c>
      <c r="O354" s="2397" t="s">
        <v>4085</v>
      </c>
      <c r="P354" s="2398">
        <v>756795014</v>
      </c>
      <c r="Q354" s="2179">
        <v>0</v>
      </c>
      <c r="R354" s="2399">
        <v>0</v>
      </c>
      <c r="S354" s="2400">
        <v>0</v>
      </c>
      <c r="T354" s="2398">
        <v>0</v>
      </c>
      <c r="U354" s="2398">
        <v>756795014</v>
      </c>
      <c r="V354" s="2401">
        <v>0</v>
      </c>
      <c r="W354" s="2401">
        <v>0</v>
      </c>
      <c r="X354" s="2398">
        <v>756795014</v>
      </c>
      <c r="Z354" s="2396">
        <v>11191601</v>
      </c>
      <c r="AA354" s="2397" t="s">
        <v>4085</v>
      </c>
      <c r="AB354" s="2398">
        <v>412920480</v>
      </c>
      <c r="AC354" s="2179">
        <v>0</v>
      </c>
      <c r="AD354" s="2399">
        <v>0</v>
      </c>
      <c r="AE354" s="2400">
        <v>0</v>
      </c>
      <c r="AF354" s="2398">
        <v>0</v>
      </c>
      <c r="AG354" s="2398">
        <v>412920480</v>
      </c>
      <c r="AH354" s="2401">
        <v>0</v>
      </c>
      <c r="AI354" s="2401">
        <v>0</v>
      </c>
      <c r="AJ354" s="2398">
        <v>412920480</v>
      </c>
      <c r="AZ354" s="2396">
        <v>11191601</v>
      </c>
      <c r="BA354" s="2397" t="s">
        <v>4085</v>
      </c>
      <c r="BB354" s="2398">
        <v>1013598615</v>
      </c>
      <c r="BC354" s="2179">
        <v>0</v>
      </c>
      <c r="BD354" s="2399">
        <v>0</v>
      </c>
      <c r="BE354" s="2400">
        <v>0</v>
      </c>
      <c r="BF354" s="2398">
        <v>0</v>
      </c>
      <c r="BG354" s="2398">
        <v>1013598615</v>
      </c>
      <c r="BH354" s="2401">
        <v>0</v>
      </c>
      <c r="BI354" s="2401">
        <v>0</v>
      </c>
      <c r="BJ354" s="2398">
        <v>1013598615</v>
      </c>
      <c r="BN354" s="2396">
        <v>11191601</v>
      </c>
      <c r="BO354" s="2397" t="s">
        <v>4085</v>
      </c>
      <c r="BP354" s="2398">
        <v>483442401</v>
      </c>
      <c r="BQ354" s="2179">
        <v>0</v>
      </c>
      <c r="BR354" s="2399">
        <v>0</v>
      </c>
      <c r="BS354" s="2400">
        <v>0</v>
      </c>
      <c r="BT354" s="2398">
        <v>0</v>
      </c>
      <c r="BU354" s="2398">
        <v>483442401</v>
      </c>
      <c r="BV354" s="2401">
        <v>0</v>
      </c>
      <c r="BW354" s="2401">
        <v>0</v>
      </c>
      <c r="BX354" s="2398">
        <v>483442401</v>
      </c>
    </row>
    <row r="355" spans="2:76">
      <c r="B355" s="2558">
        <v>11191700</v>
      </c>
      <c r="C355" s="2571" t="s">
        <v>4086</v>
      </c>
      <c r="D355" s="2560">
        <v>0</v>
      </c>
      <c r="E355" s="2560">
        <v>270860081</v>
      </c>
      <c r="F355" s="2561">
        <v>8472480</v>
      </c>
      <c r="G355" s="2562">
        <v>93372088</v>
      </c>
      <c r="H355" s="2560">
        <v>0</v>
      </c>
      <c r="I355" s="2560">
        <v>372704649</v>
      </c>
      <c r="J355" s="2563">
        <v>0</v>
      </c>
      <c r="K355" s="2563">
        <v>0</v>
      </c>
      <c r="L355" s="2560">
        <v>372704649</v>
      </c>
      <c r="N355" s="2390">
        <v>11191700</v>
      </c>
      <c r="O355" s="2403" t="s">
        <v>4086</v>
      </c>
      <c r="P355" s="2392">
        <v>0</v>
      </c>
      <c r="Q355" s="2392">
        <v>20460</v>
      </c>
      <c r="R355" s="2393">
        <v>4500625</v>
      </c>
      <c r="S355" s="2394">
        <v>5387820</v>
      </c>
      <c r="T355" s="2392">
        <v>0</v>
      </c>
      <c r="U355" s="2392">
        <v>9908905</v>
      </c>
      <c r="V355" s="2395">
        <v>0</v>
      </c>
      <c r="W355" s="2395">
        <v>0</v>
      </c>
      <c r="X355" s="2392">
        <v>9908905</v>
      </c>
      <c r="Z355" s="2390">
        <v>11191700</v>
      </c>
      <c r="AA355" s="2403" t="s">
        <v>4086</v>
      </c>
      <c r="AB355" s="2392">
        <v>0</v>
      </c>
      <c r="AC355" s="2392">
        <v>0</v>
      </c>
      <c r="AD355" s="2393">
        <v>0</v>
      </c>
      <c r="AE355" s="2394">
        <v>0</v>
      </c>
      <c r="AF355" s="2392">
        <v>0</v>
      </c>
      <c r="AG355" s="2392">
        <v>0</v>
      </c>
      <c r="AH355" s="2395">
        <v>0</v>
      </c>
      <c r="AI355" s="2395">
        <v>0</v>
      </c>
      <c r="AJ355" s="2392">
        <v>0</v>
      </c>
      <c r="AZ355" s="2390">
        <v>11191700</v>
      </c>
      <c r="BA355" s="2403" t="s">
        <v>4086</v>
      </c>
      <c r="BB355" s="2392">
        <v>0</v>
      </c>
      <c r="BC355" s="2392">
        <v>0</v>
      </c>
      <c r="BD355" s="2393">
        <v>0</v>
      </c>
      <c r="BE355" s="2394">
        <v>67923360</v>
      </c>
      <c r="BF355" s="2392">
        <v>0</v>
      </c>
      <c r="BG355" s="2392">
        <v>67923360</v>
      </c>
      <c r="BH355" s="2395">
        <v>0</v>
      </c>
      <c r="BI355" s="2395">
        <v>0</v>
      </c>
      <c r="BJ355" s="2392">
        <v>67923360</v>
      </c>
      <c r="BN355" s="2390">
        <v>11191700</v>
      </c>
      <c r="BO355" s="2403" t="s">
        <v>4086</v>
      </c>
      <c r="BP355" s="2392">
        <v>0</v>
      </c>
      <c r="BQ355" s="2392">
        <v>0</v>
      </c>
      <c r="BR355" s="2393">
        <v>0</v>
      </c>
      <c r="BS355" s="2394">
        <v>64694540</v>
      </c>
      <c r="BT355" s="2392">
        <v>0</v>
      </c>
      <c r="BU355" s="2392">
        <v>64694540</v>
      </c>
      <c r="BV355" s="2395">
        <v>0</v>
      </c>
      <c r="BW355" s="2395">
        <v>0</v>
      </c>
      <c r="BX355" s="2392">
        <v>64694540</v>
      </c>
    </row>
    <row r="356" spans="2:76">
      <c r="B356" s="2564">
        <v>11191701</v>
      </c>
      <c r="C356" s="2565" t="s">
        <v>4087</v>
      </c>
      <c r="D356" s="2566">
        <v>0</v>
      </c>
      <c r="E356" s="1080">
        <v>270860081</v>
      </c>
      <c r="F356" s="2567">
        <v>0</v>
      </c>
      <c r="G356" s="2568">
        <v>93372088</v>
      </c>
      <c r="H356" s="2566">
        <v>0</v>
      </c>
      <c r="I356" s="2566">
        <v>364232169</v>
      </c>
      <c r="J356" s="2569">
        <v>0</v>
      </c>
      <c r="K356" s="2569">
        <v>0</v>
      </c>
      <c r="L356" s="2566">
        <v>364232169</v>
      </c>
      <c r="N356" s="2396">
        <v>11191701</v>
      </c>
      <c r="O356" s="2397" t="s">
        <v>4087</v>
      </c>
      <c r="P356" s="2398">
        <v>0</v>
      </c>
      <c r="Q356" s="2179">
        <v>20460</v>
      </c>
      <c r="R356" s="2399">
        <v>0</v>
      </c>
      <c r="S356" s="2400">
        <v>5387820</v>
      </c>
      <c r="T356" s="2398">
        <v>0</v>
      </c>
      <c r="U356" s="2398">
        <v>5408280</v>
      </c>
      <c r="V356" s="2401">
        <v>0</v>
      </c>
      <c r="W356" s="2401">
        <v>0</v>
      </c>
      <c r="X356" s="2398">
        <v>5408280</v>
      </c>
      <c r="Z356" s="2396">
        <v>11191701</v>
      </c>
      <c r="AA356" s="2397" t="s">
        <v>4087</v>
      </c>
      <c r="AB356" s="2398">
        <v>0</v>
      </c>
      <c r="AC356" s="2179">
        <v>0</v>
      </c>
      <c r="AD356" s="2399">
        <v>0</v>
      </c>
      <c r="AE356" s="2400">
        <v>0</v>
      </c>
      <c r="AF356" s="2398">
        <v>0</v>
      </c>
      <c r="AG356" s="2398">
        <v>0</v>
      </c>
      <c r="AH356" s="2401">
        <v>0</v>
      </c>
      <c r="AI356" s="2401">
        <v>0</v>
      </c>
      <c r="AJ356" s="2398">
        <v>0</v>
      </c>
      <c r="AZ356" s="2396">
        <v>11191701</v>
      </c>
      <c r="BA356" s="2397" t="s">
        <v>4087</v>
      </c>
      <c r="BB356" s="2398">
        <v>0</v>
      </c>
      <c r="BC356" s="2179">
        <v>0</v>
      </c>
      <c r="BD356" s="2399">
        <v>0</v>
      </c>
      <c r="BE356" s="2400">
        <v>67923360</v>
      </c>
      <c r="BF356" s="2398">
        <v>0</v>
      </c>
      <c r="BG356" s="2398">
        <v>67923360</v>
      </c>
      <c r="BH356" s="2401">
        <v>0</v>
      </c>
      <c r="BI356" s="2401">
        <v>0</v>
      </c>
      <c r="BJ356" s="2398">
        <v>67923360</v>
      </c>
      <c r="BN356" s="2396">
        <v>11191701</v>
      </c>
      <c r="BO356" s="2397" t="s">
        <v>4087</v>
      </c>
      <c r="BP356" s="2398">
        <v>0</v>
      </c>
      <c r="BQ356" s="2179">
        <v>0</v>
      </c>
      <c r="BR356" s="2399">
        <v>0</v>
      </c>
      <c r="BS356" s="2400">
        <v>64694540</v>
      </c>
      <c r="BT356" s="2398">
        <v>0</v>
      </c>
      <c r="BU356" s="2398">
        <v>64694540</v>
      </c>
      <c r="BV356" s="2401">
        <v>0</v>
      </c>
      <c r="BW356" s="2401">
        <v>0</v>
      </c>
      <c r="BX356" s="2398">
        <v>64694540</v>
      </c>
    </row>
    <row r="357" spans="2:76">
      <c r="B357" s="2564">
        <v>11191702</v>
      </c>
      <c r="C357" s="2565" t="s">
        <v>4086</v>
      </c>
      <c r="D357" s="2566">
        <v>0</v>
      </c>
      <c r="E357" s="1080">
        <v>0</v>
      </c>
      <c r="F357" s="2567">
        <v>8472480</v>
      </c>
      <c r="G357" s="2568">
        <v>0</v>
      </c>
      <c r="H357" s="2566">
        <v>0</v>
      </c>
      <c r="I357" s="2566">
        <v>8472480</v>
      </c>
      <c r="J357" s="2569">
        <v>0</v>
      </c>
      <c r="K357" s="2569">
        <v>0</v>
      </c>
      <c r="L357" s="2566">
        <v>8472480</v>
      </c>
      <c r="N357" s="2396">
        <v>11191702</v>
      </c>
      <c r="O357" s="2397" t="s">
        <v>4086</v>
      </c>
      <c r="P357" s="2398">
        <v>0</v>
      </c>
      <c r="Q357" s="2179">
        <v>0</v>
      </c>
      <c r="R357" s="2399">
        <v>4500625</v>
      </c>
      <c r="S357" s="2400">
        <v>0</v>
      </c>
      <c r="T357" s="2398">
        <v>0</v>
      </c>
      <c r="U357" s="2398">
        <v>4500625</v>
      </c>
      <c r="V357" s="2401">
        <v>0</v>
      </c>
      <c r="W357" s="2401">
        <v>0</v>
      </c>
      <c r="X357" s="2398">
        <v>4500625</v>
      </c>
      <c r="Z357" s="2396">
        <v>11191702</v>
      </c>
      <c r="AA357" s="2397" t="s">
        <v>4086</v>
      </c>
      <c r="AB357" s="2398">
        <v>0</v>
      </c>
      <c r="AC357" s="2179">
        <v>0</v>
      </c>
      <c r="AD357" s="2399">
        <v>0</v>
      </c>
      <c r="AE357" s="2400">
        <v>0</v>
      </c>
      <c r="AF357" s="2398">
        <v>0</v>
      </c>
      <c r="AG357" s="2398">
        <v>0</v>
      </c>
      <c r="AH357" s="2401">
        <v>0</v>
      </c>
      <c r="AI357" s="2401">
        <v>0</v>
      </c>
      <c r="AJ357" s="2398">
        <v>0</v>
      </c>
      <c r="AZ357" s="2396">
        <v>11191702</v>
      </c>
      <c r="BA357" s="2397" t="s">
        <v>4086</v>
      </c>
      <c r="BB357" s="2398">
        <v>0</v>
      </c>
      <c r="BC357" s="2179">
        <v>0</v>
      </c>
      <c r="BD357" s="2399">
        <v>0</v>
      </c>
      <c r="BE357" s="2400">
        <v>0</v>
      </c>
      <c r="BF357" s="2398">
        <v>0</v>
      </c>
      <c r="BG357" s="2398">
        <v>0</v>
      </c>
      <c r="BH357" s="2401">
        <v>0</v>
      </c>
      <c r="BI357" s="2401">
        <v>0</v>
      </c>
      <c r="BJ357" s="2398">
        <v>0</v>
      </c>
      <c r="BN357" s="2396">
        <v>11191702</v>
      </c>
      <c r="BO357" s="2397" t="s">
        <v>4086</v>
      </c>
      <c r="BP357" s="2398">
        <v>0</v>
      </c>
      <c r="BQ357" s="2179">
        <v>0</v>
      </c>
      <c r="BR357" s="2399">
        <v>0</v>
      </c>
      <c r="BS357" s="2400">
        <v>0</v>
      </c>
      <c r="BT357" s="2398">
        <v>0</v>
      </c>
      <c r="BU357" s="2398">
        <v>0</v>
      </c>
      <c r="BV357" s="2401">
        <v>0</v>
      </c>
      <c r="BW357" s="2401">
        <v>0</v>
      </c>
      <c r="BX357" s="2398">
        <v>0</v>
      </c>
    </row>
    <row r="358" spans="2:76">
      <c r="B358" s="2564">
        <v>11191703</v>
      </c>
      <c r="C358" s="2565" t="s">
        <v>4088</v>
      </c>
      <c r="D358" s="2566">
        <v>0</v>
      </c>
      <c r="E358" s="1080">
        <v>0</v>
      </c>
      <c r="F358" s="2567">
        <v>0</v>
      </c>
      <c r="G358" s="2568">
        <v>0</v>
      </c>
      <c r="H358" s="2566">
        <v>0</v>
      </c>
      <c r="I358" s="2566">
        <v>0</v>
      </c>
      <c r="J358" s="2569">
        <v>0</v>
      </c>
      <c r="K358" s="2569">
        <v>0</v>
      </c>
      <c r="L358" s="2566">
        <v>0</v>
      </c>
      <c r="N358" s="2396">
        <v>11191703</v>
      </c>
      <c r="O358" s="2397" t="s">
        <v>4088</v>
      </c>
      <c r="P358" s="2398">
        <v>0</v>
      </c>
      <c r="Q358" s="2179">
        <v>0</v>
      </c>
      <c r="R358" s="2399">
        <v>0</v>
      </c>
      <c r="S358" s="2400">
        <v>0</v>
      </c>
      <c r="T358" s="2398">
        <v>0</v>
      </c>
      <c r="U358" s="2398">
        <v>0</v>
      </c>
      <c r="V358" s="2401">
        <v>0</v>
      </c>
      <c r="W358" s="2401">
        <v>0</v>
      </c>
      <c r="X358" s="2398">
        <v>0</v>
      </c>
      <c r="Z358" s="2396">
        <v>11191703</v>
      </c>
      <c r="AA358" s="2397" t="s">
        <v>4088</v>
      </c>
      <c r="AB358" s="2398">
        <v>0</v>
      </c>
      <c r="AC358" s="2179">
        <v>0</v>
      </c>
      <c r="AD358" s="2399">
        <v>0</v>
      </c>
      <c r="AE358" s="2400">
        <v>0</v>
      </c>
      <c r="AF358" s="2398">
        <v>0</v>
      </c>
      <c r="AG358" s="2398">
        <v>0</v>
      </c>
      <c r="AH358" s="2401">
        <v>0</v>
      </c>
      <c r="AI358" s="2401">
        <v>0</v>
      </c>
      <c r="AJ358" s="2398">
        <v>0</v>
      </c>
      <c r="AZ358" s="2396">
        <v>11191703</v>
      </c>
      <c r="BA358" s="2397" t="s">
        <v>4088</v>
      </c>
      <c r="BB358" s="2398">
        <v>0</v>
      </c>
      <c r="BC358" s="2179">
        <v>0</v>
      </c>
      <c r="BD358" s="2399">
        <v>0</v>
      </c>
      <c r="BE358" s="2400">
        <v>0</v>
      </c>
      <c r="BF358" s="2398">
        <v>0</v>
      </c>
      <c r="BG358" s="2398">
        <v>0</v>
      </c>
      <c r="BH358" s="2401">
        <v>0</v>
      </c>
      <c r="BI358" s="2401">
        <v>0</v>
      </c>
      <c r="BJ358" s="2398">
        <v>0</v>
      </c>
      <c r="BN358" s="2396">
        <v>11191703</v>
      </c>
      <c r="BO358" s="2397" t="s">
        <v>4088</v>
      </c>
      <c r="BP358" s="2398">
        <v>0</v>
      </c>
      <c r="BQ358" s="2179">
        <v>0</v>
      </c>
      <c r="BR358" s="2399">
        <v>0</v>
      </c>
      <c r="BS358" s="2400">
        <v>0</v>
      </c>
      <c r="BT358" s="2398">
        <v>0</v>
      </c>
      <c r="BU358" s="2398">
        <v>0</v>
      </c>
      <c r="BV358" s="2401">
        <v>0</v>
      </c>
      <c r="BW358" s="2401">
        <v>0</v>
      </c>
      <c r="BX358" s="2398">
        <v>0</v>
      </c>
    </row>
    <row r="359" spans="2:76">
      <c r="B359" s="2552">
        <v>11200000</v>
      </c>
      <c r="C359" s="2570" t="s">
        <v>3826</v>
      </c>
      <c r="D359" s="2554">
        <v>0</v>
      </c>
      <c r="E359" s="2554">
        <v>0</v>
      </c>
      <c r="F359" s="2555">
        <v>0</v>
      </c>
      <c r="G359" s="2556">
        <v>0</v>
      </c>
      <c r="H359" s="2554">
        <v>0</v>
      </c>
      <c r="I359" s="2554">
        <v>0</v>
      </c>
      <c r="J359" s="2557">
        <v>0</v>
      </c>
      <c r="K359" s="2557">
        <v>0</v>
      </c>
      <c r="L359" s="2554">
        <v>0</v>
      </c>
      <c r="N359" s="2384">
        <v>11200000</v>
      </c>
      <c r="O359" s="2402" t="s">
        <v>4089</v>
      </c>
      <c r="P359" s="2386">
        <v>0</v>
      </c>
      <c r="Q359" s="2386">
        <v>0</v>
      </c>
      <c r="R359" s="2387">
        <v>0</v>
      </c>
      <c r="S359" s="2388">
        <v>0</v>
      </c>
      <c r="T359" s="2386">
        <v>0</v>
      </c>
      <c r="U359" s="2386">
        <v>0</v>
      </c>
      <c r="V359" s="2389">
        <v>0</v>
      </c>
      <c r="W359" s="2389">
        <v>0</v>
      </c>
      <c r="X359" s="2386">
        <v>0</v>
      </c>
      <c r="Z359" s="2384">
        <v>11200000</v>
      </c>
      <c r="AA359" s="2402" t="s">
        <v>4089</v>
      </c>
      <c r="AB359" s="2386">
        <v>0</v>
      </c>
      <c r="AC359" s="2386">
        <v>0</v>
      </c>
      <c r="AD359" s="2387">
        <v>0</v>
      </c>
      <c r="AE359" s="2388">
        <v>0</v>
      </c>
      <c r="AF359" s="2386">
        <v>0</v>
      </c>
      <c r="AG359" s="2386">
        <v>0</v>
      </c>
      <c r="AH359" s="2389">
        <v>0</v>
      </c>
      <c r="AI359" s="2389">
        <v>0</v>
      </c>
      <c r="AJ359" s="2386">
        <v>0</v>
      </c>
      <c r="AZ359" s="2384">
        <v>11200000</v>
      </c>
      <c r="BA359" s="2402" t="s">
        <v>4089</v>
      </c>
      <c r="BB359" s="2386">
        <v>0</v>
      </c>
      <c r="BC359" s="2386">
        <v>0</v>
      </c>
      <c r="BD359" s="2387">
        <v>0</v>
      </c>
      <c r="BE359" s="2388">
        <v>0</v>
      </c>
      <c r="BF359" s="2386">
        <v>0</v>
      </c>
      <c r="BG359" s="2386">
        <v>0</v>
      </c>
      <c r="BH359" s="2389">
        <v>0</v>
      </c>
      <c r="BI359" s="2389">
        <v>0</v>
      </c>
      <c r="BJ359" s="2386">
        <v>0</v>
      </c>
      <c r="BN359" s="2384">
        <v>11200000</v>
      </c>
      <c r="BO359" s="2402" t="s">
        <v>4089</v>
      </c>
      <c r="BP359" s="2386">
        <v>0</v>
      </c>
      <c r="BQ359" s="2386">
        <v>0</v>
      </c>
      <c r="BR359" s="2387">
        <v>0</v>
      </c>
      <c r="BS359" s="2388">
        <v>0</v>
      </c>
      <c r="BT359" s="2386">
        <v>0</v>
      </c>
      <c r="BU359" s="2386">
        <v>0</v>
      </c>
      <c r="BV359" s="2389">
        <v>0</v>
      </c>
      <c r="BW359" s="2389">
        <v>0</v>
      </c>
      <c r="BX359" s="2386">
        <v>0</v>
      </c>
    </row>
    <row r="360" spans="2:76">
      <c r="B360" s="2558">
        <v>11201000</v>
      </c>
      <c r="C360" s="2571" t="s">
        <v>3826</v>
      </c>
      <c r="D360" s="2560">
        <v>0</v>
      </c>
      <c r="E360" s="2560">
        <v>0</v>
      </c>
      <c r="F360" s="2561">
        <v>0</v>
      </c>
      <c r="G360" s="2562">
        <v>0</v>
      </c>
      <c r="H360" s="2560">
        <v>0</v>
      </c>
      <c r="I360" s="2560">
        <v>0</v>
      </c>
      <c r="J360" s="2563">
        <v>0</v>
      </c>
      <c r="K360" s="2563">
        <v>0</v>
      </c>
      <c r="L360" s="2560">
        <v>0</v>
      </c>
      <c r="N360" s="2390">
        <v>11201000</v>
      </c>
      <c r="O360" s="2403" t="s">
        <v>4089</v>
      </c>
      <c r="P360" s="2392">
        <v>0</v>
      </c>
      <c r="Q360" s="2392">
        <v>0</v>
      </c>
      <c r="R360" s="2393">
        <v>0</v>
      </c>
      <c r="S360" s="2394">
        <v>0</v>
      </c>
      <c r="T360" s="2392">
        <v>0</v>
      </c>
      <c r="U360" s="2392">
        <v>0</v>
      </c>
      <c r="V360" s="2395">
        <v>0</v>
      </c>
      <c r="W360" s="2395">
        <v>0</v>
      </c>
      <c r="X360" s="2392">
        <v>0</v>
      </c>
      <c r="Z360" s="2390">
        <v>11201000</v>
      </c>
      <c r="AA360" s="2403" t="s">
        <v>4089</v>
      </c>
      <c r="AB360" s="2392">
        <v>0</v>
      </c>
      <c r="AC360" s="2392">
        <v>0</v>
      </c>
      <c r="AD360" s="2393">
        <v>0</v>
      </c>
      <c r="AE360" s="2394">
        <v>0</v>
      </c>
      <c r="AF360" s="2392">
        <v>0</v>
      </c>
      <c r="AG360" s="2392">
        <v>0</v>
      </c>
      <c r="AH360" s="2395">
        <v>0</v>
      </c>
      <c r="AI360" s="2395">
        <v>0</v>
      </c>
      <c r="AJ360" s="2392">
        <v>0</v>
      </c>
      <c r="AZ360" s="2390">
        <v>11201000</v>
      </c>
      <c r="BA360" s="2403" t="s">
        <v>4089</v>
      </c>
      <c r="BB360" s="2392">
        <v>0</v>
      </c>
      <c r="BC360" s="2392">
        <v>0</v>
      </c>
      <c r="BD360" s="2393">
        <v>0</v>
      </c>
      <c r="BE360" s="2394">
        <v>0</v>
      </c>
      <c r="BF360" s="2392">
        <v>0</v>
      </c>
      <c r="BG360" s="2392">
        <v>0</v>
      </c>
      <c r="BH360" s="2395">
        <v>0</v>
      </c>
      <c r="BI360" s="2395">
        <v>0</v>
      </c>
      <c r="BJ360" s="2392">
        <v>0</v>
      </c>
      <c r="BN360" s="2390">
        <v>11201000</v>
      </c>
      <c r="BO360" s="2403" t="s">
        <v>4089</v>
      </c>
      <c r="BP360" s="2392">
        <v>0</v>
      </c>
      <c r="BQ360" s="2392">
        <v>0</v>
      </c>
      <c r="BR360" s="2393">
        <v>0</v>
      </c>
      <c r="BS360" s="2394">
        <v>0</v>
      </c>
      <c r="BT360" s="2392">
        <v>0</v>
      </c>
      <c r="BU360" s="2392">
        <v>0</v>
      </c>
      <c r="BV360" s="2395">
        <v>0</v>
      </c>
      <c r="BW360" s="2395">
        <v>0</v>
      </c>
      <c r="BX360" s="2392">
        <v>0</v>
      </c>
    </row>
    <row r="361" spans="2:76">
      <c r="B361" s="2564">
        <v>11201001</v>
      </c>
      <c r="C361" s="2565" t="s">
        <v>3826</v>
      </c>
      <c r="D361" s="2566">
        <v>0</v>
      </c>
      <c r="E361" s="1080">
        <v>0</v>
      </c>
      <c r="F361" s="2567">
        <v>0</v>
      </c>
      <c r="G361" s="2568">
        <v>0</v>
      </c>
      <c r="H361" s="2566">
        <v>0</v>
      </c>
      <c r="I361" s="2566">
        <v>0</v>
      </c>
      <c r="J361" s="2569">
        <v>0</v>
      </c>
      <c r="K361" s="2569">
        <v>0</v>
      </c>
      <c r="L361" s="2566">
        <v>0</v>
      </c>
      <c r="N361" s="2396">
        <v>11201001</v>
      </c>
      <c r="O361" s="2397" t="s">
        <v>4089</v>
      </c>
      <c r="P361" s="2398">
        <v>0</v>
      </c>
      <c r="Q361" s="2179">
        <v>0</v>
      </c>
      <c r="R361" s="2399">
        <v>0</v>
      </c>
      <c r="S361" s="2400">
        <v>0</v>
      </c>
      <c r="T361" s="2398">
        <v>0</v>
      </c>
      <c r="U361" s="2398">
        <v>0</v>
      </c>
      <c r="V361" s="2401">
        <v>0</v>
      </c>
      <c r="W361" s="2401">
        <v>0</v>
      </c>
      <c r="X361" s="2398">
        <v>0</v>
      </c>
      <c r="Z361" s="2396">
        <v>11201001</v>
      </c>
      <c r="AA361" s="2397" t="s">
        <v>4089</v>
      </c>
      <c r="AB361" s="2398">
        <v>0</v>
      </c>
      <c r="AC361" s="2179">
        <v>0</v>
      </c>
      <c r="AD361" s="2399">
        <v>0</v>
      </c>
      <c r="AE361" s="2400">
        <v>0</v>
      </c>
      <c r="AF361" s="2398">
        <v>0</v>
      </c>
      <c r="AG361" s="2398">
        <v>0</v>
      </c>
      <c r="AH361" s="2401">
        <v>0</v>
      </c>
      <c r="AI361" s="2401">
        <v>0</v>
      </c>
      <c r="AJ361" s="2398">
        <v>0</v>
      </c>
      <c r="AZ361" s="2396">
        <v>11201001</v>
      </c>
      <c r="BA361" s="2397" t="s">
        <v>4089</v>
      </c>
      <c r="BB361" s="2398">
        <v>0</v>
      </c>
      <c r="BC361" s="2179">
        <v>0</v>
      </c>
      <c r="BD361" s="2399">
        <v>0</v>
      </c>
      <c r="BE361" s="2400">
        <v>0</v>
      </c>
      <c r="BF361" s="2398">
        <v>0</v>
      </c>
      <c r="BG361" s="2398">
        <v>0</v>
      </c>
      <c r="BH361" s="2401">
        <v>0</v>
      </c>
      <c r="BI361" s="2401">
        <v>0</v>
      </c>
      <c r="BJ361" s="2398">
        <v>0</v>
      </c>
      <c r="BN361" s="2396">
        <v>11201001</v>
      </c>
      <c r="BO361" s="2397" t="s">
        <v>4089</v>
      </c>
      <c r="BP361" s="2398">
        <v>0</v>
      </c>
      <c r="BQ361" s="2179">
        <v>0</v>
      </c>
      <c r="BR361" s="2399">
        <v>0</v>
      </c>
      <c r="BS361" s="2400">
        <v>0</v>
      </c>
      <c r="BT361" s="2398">
        <v>0</v>
      </c>
      <c r="BU361" s="2398">
        <v>0</v>
      </c>
      <c r="BV361" s="2401">
        <v>0</v>
      </c>
      <c r="BW361" s="2401">
        <v>0</v>
      </c>
      <c r="BX361" s="2398">
        <v>0</v>
      </c>
    </row>
    <row r="362" spans="2:76">
      <c r="B362" s="2546">
        <v>12000000</v>
      </c>
      <c r="C362" s="2547" t="s">
        <v>5005</v>
      </c>
      <c r="D362" s="2548">
        <v>898303805085</v>
      </c>
      <c r="E362" s="2548">
        <v>17252722609</v>
      </c>
      <c r="F362" s="2549">
        <v>79338778278</v>
      </c>
      <c r="G362" s="2550">
        <v>3398916345</v>
      </c>
      <c r="H362" s="2548">
        <v>26998691294</v>
      </c>
      <c r="I362" s="2548">
        <v>1025292913611</v>
      </c>
      <c r="J362" s="2551">
        <v>0</v>
      </c>
      <c r="K362" s="2551">
        <v>0</v>
      </c>
      <c r="L362" s="2548">
        <v>940872928061.22681</v>
      </c>
      <c r="N362" s="2378">
        <v>12000000</v>
      </c>
      <c r="O362" s="2379" t="s">
        <v>4090</v>
      </c>
      <c r="P362" s="2380">
        <v>898471591441</v>
      </c>
      <c r="Q362" s="2380">
        <v>15913271019</v>
      </c>
      <c r="R362" s="2381">
        <v>80565708740</v>
      </c>
      <c r="S362" s="2382">
        <v>3412946753</v>
      </c>
      <c r="T362" s="2380">
        <v>26341685843</v>
      </c>
      <c r="U362" s="2380">
        <v>1024705203796</v>
      </c>
      <c r="V362" s="2383">
        <v>0</v>
      </c>
      <c r="W362" s="2383">
        <v>0</v>
      </c>
      <c r="X362" s="2380">
        <v>937566803829.22681</v>
      </c>
      <c r="Z362" s="2378">
        <v>12000000</v>
      </c>
      <c r="AA362" s="2379" t="s">
        <v>4090</v>
      </c>
      <c r="AB362" s="2380">
        <v>873767137405</v>
      </c>
      <c r="AC362" s="2380">
        <v>15222162654</v>
      </c>
      <c r="AD362" s="2381">
        <v>84101984630</v>
      </c>
      <c r="AE362" s="2382">
        <v>3165816854</v>
      </c>
      <c r="AF362" s="2380">
        <v>26506315232</v>
      </c>
      <c r="AG362" s="2380">
        <v>1002763416775</v>
      </c>
      <c r="AH362" s="2383">
        <v>0</v>
      </c>
      <c r="AI362" s="2383">
        <v>0</v>
      </c>
      <c r="AJ362" s="2380">
        <v>912423008569.22681</v>
      </c>
      <c r="AZ362" s="2378">
        <v>12000000</v>
      </c>
      <c r="BA362" s="2379" t="s">
        <v>4090</v>
      </c>
      <c r="BB362" s="2380">
        <v>944657875076</v>
      </c>
      <c r="BC362" s="2380">
        <v>15137485573</v>
      </c>
      <c r="BD362" s="2381">
        <v>83847930966</v>
      </c>
      <c r="BE362" s="2382">
        <v>3268238972</v>
      </c>
      <c r="BF362" s="2380">
        <v>30068185405</v>
      </c>
      <c r="BG362" s="2380">
        <v>1076979715992</v>
      </c>
      <c r="BH362" s="2383">
        <v>0</v>
      </c>
      <c r="BI362" s="2383">
        <v>0</v>
      </c>
      <c r="BJ362" s="2380">
        <v>987652900232.22681</v>
      </c>
      <c r="BN362" s="2378">
        <v>12000000</v>
      </c>
      <c r="BO362" s="2379" t="s">
        <v>4090</v>
      </c>
      <c r="BP362" s="2380">
        <v>1031920915814</v>
      </c>
      <c r="BQ362" s="2380">
        <v>17695496567</v>
      </c>
      <c r="BR362" s="2381">
        <v>89600260406</v>
      </c>
      <c r="BS362" s="2382">
        <v>3169537334</v>
      </c>
      <c r="BT362" s="2380">
        <v>31322520340</v>
      </c>
      <c r="BU362" s="2380">
        <v>1173708730461</v>
      </c>
      <c r="BV362" s="2383">
        <v>0</v>
      </c>
      <c r="BW362" s="2383">
        <v>0</v>
      </c>
      <c r="BX362" s="2380">
        <v>1062456335699</v>
      </c>
    </row>
    <row r="363" spans="2:76">
      <c r="B363" s="2552">
        <v>12100000</v>
      </c>
      <c r="C363" s="2570" t="s">
        <v>4091</v>
      </c>
      <c r="D363" s="2554">
        <v>58607073762</v>
      </c>
      <c r="E363" s="2554">
        <v>1086900809</v>
      </c>
      <c r="F363" s="2555">
        <v>82100000</v>
      </c>
      <c r="G363" s="2556">
        <v>405080939</v>
      </c>
      <c r="H363" s="2554">
        <v>854870</v>
      </c>
      <c r="I363" s="2554">
        <v>60182010380</v>
      </c>
      <c r="J363" s="2557">
        <v>0</v>
      </c>
      <c r="K363" s="2557">
        <v>0</v>
      </c>
      <c r="L363" s="2554">
        <v>60182010380</v>
      </c>
      <c r="N363" s="2384">
        <v>12100000</v>
      </c>
      <c r="O363" s="2402" t="s">
        <v>4091</v>
      </c>
      <c r="P363" s="2386">
        <v>55720281692</v>
      </c>
      <c r="Q363" s="2386">
        <v>1246900809</v>
      </c>
      <c r="R363" s="2387">
        <v>82100000</v>
      </c>
      <c r="S363" s="2388">
        <v>403708274</v>
      </c>
      <c r="T363" s="2386">
        <v>815261</v>
      </c>
      <c r="U363" s="2386">
        <v>57453806036</v>
      </c>
      <c r="V363" s="2389">
        <v>0</v>
      </c>
      <c r="W363" s="2389">
        <v>0</v>
      </c>
      <c r="X363" s="2386">
        <v>57453806036</v>
      </c>
      <c r="Z363" s="2384">
        <v>12100000</v>
      </c>
      <c r="AA363" s="2402" t="s">
        <v>4091</v>
      </c>
      <c r="AB363" s="2386">
        <v>53812860452</v>
      </c>
      <c r="AC363" s="2386">
        <v>842639159</v>
      </c>
      <c r="AD363" s="2387">
        <v>82100000</v>
      </c>
      <c r="AE363" s="2388">
        <v>188462944</v>
      </c>
      <c r="AF363" s="2386">
        <v>784959</v>
      </c>
      <c r="AG363" s="2386">
        <v>54926847514</v>
      </c>
      <c r="AH363" s="2389">
        <v>0</v>
      </c>
      <c r="AI363" s="2389">
        <v>0</v>
      </c>
      <c r="AJ363" s="2386">
        <v>54926847514</v>
      </c>
      <c r="AZ363" s="2384">
        <v>12100000</v>
      </c>
      <c r="BA363" s="2402" t="s">
        <v>4091</v>
      </c>
      <c r="BB363" s="2386">
        <v>162141061410</v>
      </c>
      <c r="BC363" s="2386">
        <v>707079484</v>
      </c>
      <c r="BD363" s="2387">
        <v>117564710</v>
      </c>
      <c r="BE363" s="2388">
        <v>185272284</v>
      </c>
      <c r="BF363" s="2386">
        <v>738144</v>
      </c>
      <c r="BG363" s="2386">
        <v>163151716032</v>
      </c>
      <c r="BH363" s="2389">
        <v>0</v>
      </c>
      <c r="BI363" s="2389">
        <v>0</v>
      </c>
      <c r="BJ363" s="2386">
        <v>163151716032</v>
      </c>
      <c r="BN363" s="2384">
        <v>12100000</v>
      </c>
      <c r="BO363" s="2402" t="s">
        <v>4091</v>
      </c>
      <c r="BP363" s="2386">
        <v>254986748671</v>
      </c>
      <c r="BQ363" s="2386">
        <v>673057484</v>
      </c>
      <c r="BR363" s="2387">
        <v>148240081</v>
      </c>
      <c r="BS363" s="2388">
        <v>197734370</v>
      </c>
      <c r="BT363" s="2386">
        <v>712833</v>
      </c>
      <c r="BU363" s="2386">
        <v>256006493439</v>
      </c>
      <c r="BV363" s="2389">
        <v>0</v>
      </c>
      <c r="BW363" s="2389">
        <v>0</v>
      </c>
      <c r="BX363" s="2386">
        <v>256006493439</v>
      </c>
    </row>
    <row r="364" spans="2:76">
      <c r="B364" s="2558">
        <v>12101000</v>
      </c>
      <c r="C364" s="2571" t="s">
        <v>4092</v>
      </c>
      <c r="D364" s="2560">
        <v>0</v>
      </c>
      <c r="E364" s="2560">
        <v>0</v>
      </c>
      <c r="F364" s="2561">
        <v>0</v>
      </c>
      <c r="G364" s="2562">
        <v>0</v>
      </c>
      <c r="H364" s="2560">
        <v>0</v>
      </c>
      <c r="I364" s="2560">
        <v>0</v>
      </c>
      <c r="J364" s="2563">
        <v>0</v>
      </c>
      <c r="K364" s="2563">
        <v>0</v>
      </c>
      <c r="L364" s="2560">
        <v>0</v>
      </c>
      <c r="N364" s="2390">
        <v>12101000</v>
      </c>
      <c r="O364" s="2403" t="s">
        <v>4092</v>
      </c>
      <c r="P364" s="2392">
        <v>0</v>
      </c>
      <c r="Q364" s="2392">
        <v>0</v>
      </c>
      <c r="R364" s="2393">
        <v>0</v>
      </c>
      <c r="S364" s="2394">
        <v>0</v>
      </c>
      <c r="T364" s="2392">
        <v>0</v>
      </c>
      <c r="U364" s="2392">
        <v>0</v>
      </c>
      <c r="V364" s="2395">
        <v>0</v>
      </c>
      <c r="W364" s="2395">
        <v>0</v>
      </c>
      <c r="X364" s="2392">
        <v>0</v>
      </c>
      <c r="Z364" s="2390">
        <v>12101000</v>
      </c>
      <c r="AA364" s="2403" t="s">
        <v>4092</v>
      </c>
      <c r="AB364" s="2392">
        <v>0</v>
      </c>
      <c r="AC364" s="2392">
        <v>0</v>
      </c>
      <c r="AD364" s="2393">
        <v>0</v>
      </c>
      <c r="AE364" s="2394">
        <v>0</v>
      </c>
      <c r="AF364" s="2392">
        <v>0</v>
      </c>
      <c r="AG364" s="2392">
        <v>0</v>
      </c>
      <c r="AH364" s="2395">
        <v>0</v>
      </c>
      <c r="AI364" s="2395">
        <v>0</v>
      </c>
      <c r="AJ364" s="2392">
        <v>0</v>
      </c>
      <c r="AZ364" s="2390">
        <v>12101000</v>
      </c>
      <c r="BA364" s="2403" t="s">
        <v>4092</v>
      </c>
      <c r="BB364" s="2392">
        <v>0</v>
      </c>
      <c r="BC364" s="2392">
        <v>0</v>
      </c>
      <c r="BD364" s="2393">
        <v>0</v>
      </c>
      <c r="BE364" s="2394">
        <v>0</v>
      </c>
      <c r="BF364" s="2392">
        <v>0</v>
      </c>
      <c r="BG364" s="2392">
        <v>0</v>
      </c>
      <c r="BH364" s="2395">
        <v>0</v>
      </c>
      <c r="BI364" s="2395">
        <v>0</v>
      </c>
      <c r="BJ364" s="2392">
        <v>0</v>
      </c>
      <c r="BN364" s="2390">
        <v>12101000</v>
      </c>
      <c r="BO364" s="2403" t="s">
        <v>4092</v>
      </c>
      <c r="BP364" s="2392">
        <v>0</v>
      </c>
      <c r="BQ364" s="2392">
        <v>0</v>
      </c>
      <c r="BR364" s="2393">
        <v>0</v>
      </c>
      <c r="BS364" s="2394">
        <v>0</v>
      </c>
      <c r="BT364" s="2392">
        <v>0</v>
      </c>
      <c r="BU364" s="2392">
        <v>0</v>
      </c>
      <c r="BV364" s="2395">
        <v>0</v>
      </c>
      <c r="BW364" s="2395">
        <v>0</v>
      </c>
      <c r="BX364" s="2392">
        <v>0</v>
      </c>
    </row>
    <row r="365" spans="2:76">
      <c r="B365" s="2564">
        <v>12101001</v>
      </c>
      <c r="C365" s="2565" t="s">
        <v>4093</v>
      </c>
      <c r="D365" s="2566">
        <v>0</v>
      </c>
      <c r="E365" s="1080">
        <v>0</v>
      </c>
      <c r="F365" s="2567">
        <v>0</v>
      </c>
      <c r="G365" s="2568">
        <v>0</v>
      </c>
      <c r="H365" s="2566">
        <v>0</v>
      </c>
      <c r="I365" s="2566">
        <v>0</v>
      </c>
      <c r="J365" s="2569">
        <v>0</v>
      </c>
      <c r="K365" s="2569">
        <v>0</v>
      </c>
      <c r="L365" s="2566">
        <v>0</v>
      </c>
      <c r="N365" s="2396">
        <v>12101001</v>
      </c>
      <c r="O365" s="2397" t="s">
        <v>4093</v>
      </c>
      <c r="P365" s="2398">
        <v>0</v>
      </c>
      <c r="Q365" s="2179">
        <v>0</v>
      </c>
      <c r="R365" s="2399">
        <v>0</v>
      </c>
      <c r="S365" s="2400">
        <v>0</v>
      </c>
      <c r="T365" s="2398">
        <v>0</v>
      </c>
      <c r="U365" s="2398">
        <v>0</v>
      </c>
      <c r="V365" s="2401">
        <v>0</v>
      </c>
      <c r="W365" s="2401">
        <v>0</v>
      </c>
      <c r="X365" s="2398">
        <v>0</v>
      </c>
      <c r="Z365" s="2396">
        <v>12101001</v>
      </c>
      <c r="AA365" s="2397" t="s">
        <v>4093</v>
      </c>
      <c r="AB365" s="2398">
        <v>0</v>
      </c>
      <c r="AC365" s="2179">
        <v>0</v>
      </c>
      <c r="AD365" s="2399">
        <v>0</v>
      </c>
      <c r="AE365" s="2400">
        <v>0</v>
      </c>
      <c r="AF365" s="2398">
        <v>0</v>
      </c>
      <c r="AG365" s="2398">
        <v>0</v>
      </c>
      <c r="AH365" s="2401">
        <v>0</v>
      </c>
      <c r="AI365" s="2401">
        <v>0</v>
      </c>
      <c r="AJ365" s="2398">
        <v>0</v>
      </c>
      <c r="AZ365" s="2396">
        <v>12101001</v>
      </c>
      <c r="BA365" s="2397" t="s">
        <v>4093</v>
      </c>
      <c r="BB365" s="2398">
        <v>0</v>
      </c>
      <c r="BC365" s="2179">
        <v>0</v>
      </c>
      <c r="BD365" s="2399">
        <v>0</v>
      </c>
      <c r="BE365" s="2400">
        <v>0</v>
      </c>
      <c r="BF365" s="2398">
        <v>0</v>
      </c>
      <c r="BG365" s="2398">
        <v>0</v>
      </c>
      <c r="BH365" s="2401">
        <v>0</v>
      </c>
      <c r="BI365" s="2401">
        <v>0</v>
      </c>
      <c r="BJ365" s="2398">
        <v>0</v>
      </c>
      <c r="BN365" s="2396">
        <v>12101001</v>
      </c>
      <c r="BO365" s="2397" t="s">
        <v>4093</v>
      </c>
      <c r="BP365" s="2398">
        <v>0</v>
      </c>
      <c r="BQ365" s="2179">
        <v>0</v>
      </c>
      <c r="BR365" s="2399">
        <v>0</v>
      </c>
      <c r="BS365" s="2400">
        <v>0</v>
      </c>
      <c r="BT365" s="2398">
        <v>0</v>
      </c>
      <c r="BU365" s="2398">
        <v>0</v>
      </c>
      <c r="BV365" s="2401">
        <v>0</v>
      </c>
      <c r="BW365" s="2401">
        <v>0</v>
      </c>
      <c r="BX365" s="2398">
        <v>0</v>
      </c>
    </row>
    <row r="366" spans="2:76">
      <c r="B366" s="2564">
        <v>12101002</v>
      </c>
      <c r="C366" s="2565" t="s">
        <v>4094</v>
      </c>
      <c r="D366" s="2566">
        <v>0</v>
      </c>
      <c r="E366" s="1080">
        <v>0</v>
      </c>
      <c r="F366" s="2567">
        <v>0</v>
      </c>
      <c r="G366" s="2568">
        <v>0</v>
      </c>
      <c r="H366" s="2566">
        <v>0</v>
      </c>
      <c r="I366" s="2566">
        <v>0</v>
      </c>
      <c r="J366" s="2569">
        <v>0</v>
      </c>
      <c r="K366" s="2569">
        <v>0</v>
      </c>
      <c r="L366" s="2566">
        <v>0</v>
      </c>
      <c r="N366" s="2396">
        <v>12101002</v>
      </c>
      <c r="O366" s="2397" t="s">
        <v>4094</v>
      </c>
      <c r="P366" s="2398">
        <v>0</v>
      </c>
      <c r="Q366" s="2179">
        <v>0</v>
      </c>
      <c r="R366" s="2399">
        <v>0</v>
      </c>
      <c r="S366" s="2400">
        <v>0</v>
      </c>
      <c r="T366" s="2398">
        <v>0</v>
      </c>
      <c r="U366" s="2398">
        <v>0</v>
      </c>
      <c r="V366" s="2401">
        <v>0</v>
      </c>
      <c r="W366" s="2401">
        <v>0</v>
      </c>
      <c r="X366" s="2398">
        <v>0</v>
      </c>
      <c r="Z366" s="2396">
        <v>12101002</v>
      </c>
      <c r="AA366" s="2397" t="s">
        <v>4094</v>
      </c>
      <c r="AB366" s="2398">
        <v>0</v>
      </c>
      <c r="AC366" s="2179">
        <v>0</v>
      </c>
      <c r="AD366" s="2399">
        <v>0</v>
      </c>
      <c r="AE366" s="2400">
        <v>0</v>
      </c>
      <c r="AF366" s="2398">
        <v>0</v>
      </c>
      <c r="AG366" s="2398">
        <v>0</v>
      </c>
      <c r="AH366" s="2401">
        <v>0</v>
      </c>
      <c r="AI366" s="2401">
        <v>0</v>
      </c>
      <c r="AJ366" s="2398">
        <v>0</v>
      </c>
      <c r="AZ366" s="2396">
        <v>12101002</v>
      </c>
      <c r="BA366" s="2397" t="s">
        <v>4094</v>
      </c>
      <c r="BB366" s="2398">
        <v>0</v>
      </c>
      <c r="BC366" s="2179">
        <v>0</v>
      </c>
      <c r="BD366" s="2399">
        <v>0</v>
      </c>
      <c r="BE366" s="2400">
        <v>0</v>
      </c>
      <c r="BF366" s="2398">
        <v>0</v>
      </c>
      <c r="BG366" s="2398">
        <v>0</v>
      </c>
      <c r="BH366" s="2401">
        <v>0</v>
      </c>
      <c r="BI366" s="2401">
        <v>0</v>
      </c>
      <c r="BJ366" s="2398">
        <v>0</v>
      </c>
      <c r="BN366" s="2396">
        <v>12101002</v>
      </c>
      <c r="BO366" s="2397" t="s">
        <v>4094</v>
      </c>
      <c r="BP366" s="2398">
        <v>0</v>
      </c>
      <c r="BQ366" s="2179">
        <v>0</v>
      </c>
      <c r="BR366" s="2399">
        <v>0</v>
      </c>
      <c r="BS366" s="2400">
        <v>0</v>
      </c>
      <c r="BT366" s="2398">
        <v>0</v>
      </c>
      <c r="BU366" s="2398">
        <v>0</v>
      </c>
      <c r="BV366" s="2401">
        <v>0</v>
      </c>
      <c r="BW366" s="2401">
        <v>0</v>
      </c>
      <c r="BX366" s="2398">
        <v>0</v>
      </c>
    </row>
    <row r="367" spans="2:76">
      <c r="B367" s="2564">
        <v>12101003</v>
      </c>
      <c r="C367" s="2565" t="s">
        <v>3999</v>
      </c>
      <c r="D367" s="2566">
        <v>0</v>
      </c>
      <c r="E367" s="1080">
        <v>0</v>
      </c>
      <c r="F367" s="2567">
        <v>0</v>
      </c>
      <c r="G367" s="2568">
        <v>0</v>
      </c>
      <c r="H367" s="2566">
        <v>0</v>
      </c>
      <c r="I367" s="2566">
        <v>0</v>
      </c>
      <c r="J367" s="2569">
        <v>0</v>
      </c>
      <c r="K367" s="2569">
        <v>0</v>
      </c>
      <c r="L367" s="2566">
        <v>0</v>
      </c>
      <c r="N367" s="2396">
        <v>12101003</v>
      </c>
      <c r="O367" s="2397" t="s">
        <v>3999</v>
      </c>
      <c r="P367" s="2398">
        <v>0</v>
      </c>
      <c r="Q367" s="2179">
        <v>0</v>
      </c>
      <c r="R367" s="2399">
        <v>0</v>
      </c>
      <c r="S367" s="2400">
        <v>0</v>
      </c>
      <c r="T367" s="2398">
        <v>0</v>
      </c>
      <c r="U367" s="2398">
        <v>0</v>
      </c>
      <c r="V367" s="2401">
        <v>0</v>
      </c>
      <c r="W367" s="2401">
        <v>0</v>
      </c>
      <c r="X367" s="2398">
        <v>0</v>
      </c>
      <c r="Z367" s="2396">
        <v>12101003</v>
      </c>
      <c r="AA367" s="2397" t="s">
        <v>3999</v>
      </c>
      <c r="AB367" s="2398">
        <v>0</v>
      </c>
      <c r="AC367" s="2179">
        <v>0</v>
      </c>
      <c r="AD367" s="2399">
        <v>0</v>
      </c>
      <c r="AE367" s="2400">
        <v>0</v>
      </c>
      <c r="AF367" s="2398">
        <v>0</v>
      </c>
      <c r="AG367" s="2398">
        <v>0</v>
      </c>
      <c r="AH367" s="2401">
        <v>0</v>
      </c>
      <c r="AI367" s="2401">
        <v>0</v>
      </c>
      <c r="AJ367" s="2398">
        <v>0</v>
      </c>
      <c r="AZ367" s="2396">
        <v>12101003</v>
      </c>
      <c r="BA367" s="2397" t="s">
        <v>3999</v>
      </c>
      <c r="BB367" s="2398">
        <v>0</v>
      </c>
      <c r="BC367" s="2179">
        <v>0</v>
      </c>
      <c r="BD367" s="2399">
        <v>0</v>
      </c>
      <c r="BE367" s="2400">
        <v>0</v>
      </c>
      <c r="BF367" s="2398">
        <v>0</v>
      </c>
      <c r="BG367" s="2398">
        <v>0</v>
      </c>
      <c r="BH367" s="2401">
        <v>0</v>
      </c>
      <c r="BI367" s="2401">
        <v>0</v>
      </c>
      <c r="BJ367" s="2398">
        <v>0</v>
      </c>
      <c r="BN367" s="2396">
        <v>12101003</v>
      </c>
      <c r="BO367" s="2397" t="s">
        <v>3999</v>
      </c>
      <c r="BP367" s="2398">
        <v>0</v>
      </c>
      <c r="BQ367" s="2179">
        <v>0</v>
      </c>
      <c r="BR367" s="2399">
        <v>0</v>
      </c>
      <c r="BS367" s="2400">
        <v>0</v>
      </c>
      <c r="BT367" s="2398">
        <v>0</v>
      </c>
      <c r="BU367" s="2398">
        <v>0</v>
      </c>
      <c r="BV367" s="2401">
        <v>0</v>
      </c>
      <c r="BW367" s="2401">
        <v>0</v>
      </c>
      <c r="BX367" s="2398">
        <v>0</v>
      </c>
    </row>
    <row r="368" spans="2:76">
      <c r="B368" s="2564">
        <v>12101004</v>
      </c>
      <c r="C368" s="2565" t="s">
        <v>5006</v>
      </c>
      <c r="D368" s="2566">
        <v>0</v>
      </c>
      <c r="E368" s="1080">
        <v>0</v>
      </c>
      <c r="F368" s="2567">
        <v>0</v>
      </c>
      <c r="G368" s="2568">
        <v>0</v>
      </c>
      <c r="H368" s="2566">
        <v>0</v>
      </c>
      <c r="I368" s="2566">
        <v>0</v>
      </c>
      <c r="J368" s="2569">
        <v>0</v>
      </c>
      <c r="K368" s="2569">
        <v>0</v>
      </c>
      <c r="L368" s="2566">
        <v>0</v>
      </c>
      <c r="N368" s="2396">
        <v>12101004</v>
      </c>
      <c r="O368" s="2397" t="s">
        <v>4000</v>
      </c>
      <c r="P368" s="2398">
        <v>0</v>
      </c>
      <c r="Q368" s="2179">
        <v>0</v>
      </c>
      <c r="R368" s="2399">
        <v>0</v>
      </c>
      <c r="S368" s="2400">
        <v>0</v>
      </c>
      <c r="T368" s="2398">
        <v>0</v>
      </c>
      <c r="U368" s="2398">
        <v>0</v>
      </c>
      <c r="V368" s="2401">
        <v>0</v>
      </c>
      <c r="W368" s="2401">
        <v>0</v>
      </c>
      <c r="X368" s="2398">
        <v>0</v>
      </c>
      <c r="Z368" s="2396">
        <v>12101004</v>
      </c>
      <c r="AA368" s="2397" t="s">
        <v>4000</v>
      </c>
      <c r="AB368" s="2398">
        <v>0</v>
      </c>
      <c r="AC368" s="2179">
        <v>0</v>
      </c>
      <c r="AD368" s="2399">
        <v>0</v>
      </c>
      <c r="AE368" s="2400">
        <v>0</v>
      </c>
      <c r="AF368" s="2398">
        <v>0</v>
      </c>
      <c r="AG368" s="2398">
        <v>0</v>
      </c>
      <c r="AH368" s="2401">
        <v>0</v>
      </c>
      <c r="AI368" s="2401">
        <v>0</v>
      </c>
      <c r="AJ368" s="2398">
        <v>0</v>
      </c>
      <c r="AZ368" s="2396">
        <v>12101004</v>
      </c>
      <c r="BA368" s="2397" t="s">
        <v>4000</v>
      </c>
      <c r="BB368" s="2398">
        <v>0</v>
      </c>
      <c r="BC368" s="2179">
        <v>0</v>
      </c>
      <c r="BD368" s="2399">
        <v>0</v>
      </c>
      <c r="BE368" s="2400">
        <v>0</v>
      </c>
      <c r="BF368" s="2398">
        <v>0</v>
      </c>
      <c r="BG368" s="2398">
        <v>0</v>
      </c>
      <c r="BH368" s="2401">
        <v>0</v>
      </c>
      <c r="BI368" s="2401">
        <v>0</v>
      </c>
      <c r="BJ368" s="2398">
        <v>0</v>
      </c>
      <c r="BN368" s="2396">
        <v>12101004</v>
      </c>
      <c r="BO368" s="2397" t="s">
        <v>4000</v>
      </c>
      <c r="BP368" s="2398">
        <v>0</v>
      </c>
      <c r="BQ368" s="2179">
        <v>0</v>
      </c>
      <c r="BR368" s="2399">
        <v>0</v>
      </c>
      <c r="BS368" s="2400">
        <v>0</v>
      </c>
      <c r="BT368" s="2398">
        <v>0</v>
      </c>
      <c r="BU368" s="2398">
        <v>0</v>
      </c>
      <c r="BV368" s="2401">
        <v>0</v>
      </c>
      <c r="BW368" s="2401">
        <v>0</v>
      </c>
      <c r="BX368" s="2398">
        <v>0</v>
      </c>
    </row>
    <row r="369" spans="2:76">
      <c r="B369" s="2558">
        <v>12101100</v>
      </c>
      <c r="C369" s="2571" t="s">
        <v>4095</v>
      </c>
      <c r="D369" s="2560">
        <v>0</v>
      </c>
      <c r="E369" s="2560">
        <v>0</v>
      </c>
      <c r="F369" s="2561">
        <v>0</v>
      </c>
      <c r="G369" s="2562">
        <v>0</v>
      </c>
      <c r="H369" s="2560">
        <v>0</v>
      </c>
      <c r="I369" s="2560">
        <v>0</v>
      </c>
      <c r="J369" s="2563">
        <v>0</v>
      </c>
      <c r="K369" s="2563">
        <v>0</v>
      </c>
      <c r="L369" s="2560">
        <v>0</v>
      </c>
      <c r="N369" s="2390">
        <v>12101100</v>
      </c>
      <c r="O369" s="2403" t="s">
        <v>4095</v>
      </c>
      <c r="P369" s="2392">
        <v>0</v>
      </c>
      <c r="Q369" s="2392">
        <v>0</v>
      </c>
      <c r="R369" s="2393">
        <v>0</v>
      </c>
      <c r="S369" s="2394">
        <v>0</v>
      </c>
      <c r="T369" s="2392">
        <v>0</v>
      </c>
      <c r="U369" s="2392">
        <v>0</v>
      </c>
      <c r="V369" s="2395">
        <v>0</v>
      </c>
      <c r="W369" s="2395">
        <v>0</v>
      </c>
      <c r="X369" s="2392">
        <v>0</v>
      </c>
      <c r="Z369" s="2390">
        <v>12101100</v>
      </c>
      <c r="AA369" s="2403" t="s">
        <v>4095</v>
      </c>
      <c r="AB369" s="2392">
        <v>0</v>
      </c>
      <c r="AC369" s="2392">
        <v>0</v>
      </c>
      <c r="AD369" s="2393">
        <v>0</v>
      </c>
      <c r="AE369" s="2394">
        <v>0</v>
      </c>
      <c r="AF369" s="2392">
        <v>0</v>
      </c>
      <c r="AG369" s="2392">
        <v>0</v>
      </c>
      <c r="AH369" s="2395">
        <v>0</v>
      </c>
      <c r="AI369" s="2395">
        <v>0</v>
      </c>
      <c r="AJ369" s="2392">
        <v>0</v>
      </c>
      <c r="AZ369" s="2390">
        <v>12101100</v>
      </c>
      <c r="BA369" s="2403" t="s">
        <v>4095</v>
      </c>
      <c r="BB369" s="2392">
        <v>0</v>
      </c>
      <c r="BC369" s="2392">
        <v>0</v>
      </c>
      <c r="BD369" s="2393">
        <v>0</v>
      </c>
      <c r="BE369" s="2394">
        <v>0</v>
      </c>
      <c r="BF369" s="2392">
        <v>0</v>
      </c>
      <c r="BG369" s="2392">
        <v>0</v>
      </c>
      <c r="BH369" s="2395">
        <v>0</v>
      </c>
      <c r="BI369" s="2395">
        <v>0</v>
      </c>
      <c r="BJ369" s="2392">
        <v>0</v>
      </c>
      <c r="BN369" s="2390">
        <v>12101100</v>
      </c>
      <c r="BO369" s="2403" t="s">
        <v>4095</v>
      </c>
      <c r="BP369" s="2392">
        <v>0</v>
      </c>
      <c r="BQ369" s="2392">
        <v>0</v>
      </c>
      <c r="BR369" s="2393">
        <v>0</v>
      </c>
      <c r="BS369" s="2394">
        <v>0</v>
      </c>
      <c r="BT369" s="2392">
        <v>0</v>
      </c>
      <c r="BU369" s="2392">
        <v>0</v>
      </c>
      <c r="BV369" s="2395">
        <v>0</v>
      </c>
      <c r="BW369" s="2395">
        <v>0</v>
      </c>
      <c r="BX369" s="2392">
        <v>0</v>
      </c>
    </row>
    <row r="370" spans="2:76">
      <c r="B370" s="2564">
        <v>12101101</v>
      </c>
      <c r="C370" s="2565" t="s">
        <v>4096</v>
      </c>
      <c r="D370" s="2566">
        <v>0</v>
      </c>
      <c r="E370" s="1080">
        <v>0</v>
      </c>
      <c r="F370" s="2567">
        <v>0</v>
      </c>
      <c r="G370" s="2568">
        <v>0</v>
      </c>
      <c r="H370" s="2566">
        <v>0</v>
      </c>
      <c r="I370" s="2566">
        <v>0</v>
      </c>
      <c r="J370" s="2569">
        <v>0</v>
      </c>
      <c r="K370" s="2569">
        <v>0</v>
      </c>
      <c r="L370" s="2566">
        <v>0</v>
      </c>
      <c r="N370" s="2396">
        <v>12101101</v>
      </c>
      <c r="O370" s="2397" t="s">
        <v>4096</v>
      </c>
      <c r="P370" s="2398">
        <v>0</v>
      </c>
      <c r="Q370" s="2179">
        <v>0</v>
      </c>
      <c r="R370" s="2399">
        <v>0</v>
      </c>
      <c r="S370" s="2400">
        <v>0</v>
      </c>
      <c r="T370" s="2398">
        <v>0</v>
      </c>
      <c r="U370" s="2398">
        <v>0</v>
      </c>
      <c r="V370" s="2401">
        <v>0</v>
      </c>
      <c r="W370" s="2401">
        <v>0</v>
      </c>
      <c r="X370" s="2398">
        <v>0</v>
      </c>
      <c r="Z370" s="2396">
        <v>12101101</v>
      </c>
      <c r="AA370" s="2397" t="s">
        <v>4096</v>
      </c>
      <c r="AB370" s="2398">
        <v>0</v>
      </c>
      <c r="AC370" s="2179">
        <v>0</v>
      </c>
      <c r="AD370" s="2399">
        <v>0</v>
      </c>
      <c r="AE370" s="2400">
        <v>0</v>
      </c>
      <c r="AF370" s="2398">
        <v>0</v>
      </c>
      <c r="AG370" s="2398">
        <v>0</v>
      </c>
      <c r="AH370" s="2401">
        <v>0</v>
      </c>
      <c r="AI370" s="2401">
        <v>0</v>
      </c>
      <c r="AJ370" s="2398">
        <v>0</v>
      </c>
      <c r="AZ370" s="2396">
        <v>12101101</v>
      </c>
      <c r="BA370" s="2397" t="s">
        <v>4096</v>
      </c>
      <c r="BB370" s="2398">
        <v>0</v>
      </c>
      <c r="BC370" s="2179">
        <v>0</v>
      </c>
      <c r="BD370" s="2399">
        <v>0</v>
      </c>
      <c r="BE370" s="2400">
        <v>0</v>
      </c>
      <c r="BF370" s="2398">
        <v>0</v>
      </c>
      <c r="BG370" s="2398">
        <v>0</v>
      </c>
      <c r="BH370" s="2401">
        <v>0</v>
      </c>
      <c r="BI370" s="2401">
        <v>0</v>
      </c>
      <c r="BJ370" s="2398">
        <v>0</v>
      </c>
      <c r="BN370" s="2396">
        <v>12101101</v>
      </c>
      <c r="BO370" s="2397" t="s">
        <v>4096</v>
      </c>
      <c r="BP370" s="2398">
        <v>0</v>
      </c>
      <c r="BQ370" s="2179">
        <v>0</v>
      </c>
      <c r="BR370" s="2399">
        <v>0</v>
      </c>
      <c r="BS370" s="2400">
        <v>0</v>
      </c>
      <c r="BT370" s="2398">
        <v>0</v>
      </c>
      <c r="BU370" s="2398">
        <v>0</v>
      </c>
      <c r="BV370" s="2401">
        <v>0</v>
      </c>
      <c r="BW370" s="2401">
        <v>0</v>
      </c>
      <c r="BX370" s="2398">
        <v>0</v>
      </c>
    </row>
    <row r="371" spans="2:76">
      <c r="B371" s="2564">
        <v>12101102</v>
      </c>
      <c r="C371" s="2565" t="s">
        <v>4097</v>
      </c>
      <c r="D371" s="2566">
        <v>0</v>
      </c>
      <c r="E371" s="1080">
        <v>0</v>
      </c>
      <c r="F371" s="2567">
        <v>0</v>
      </c>
      <c r="G371" s="2568">
        <v>0</v>
      </c>
      <c r="H371" s="2566">
        <v>0</v>
      </c>
      <c r="I371" s="2566">
        <v>0</v>
      </c>
      <c r="J371" s="2569">
        <v>0</v>
      </c>
      <c r="K371" s="2569">
        <v>0</v>
      </c>
      <c r="L371" s="2566">
        <v>0</v>
      </c>
      <c r="N371" s="2396">
        <v>12101102</v>
      </c>
      <c r="O371" s="2397" t="s">
        <v>4097</v>
      </c>
      <c r="P371" s="2398">
        <v>0</v>
      </c>
      <c r="Q371" s="2179">
        <v>0</v>
      </c>
      <c r="R371" s="2399">
        <v>0</v>
      </c>
      <c r="S371" s="2400">
        <v>0</v>
      </c>
      <c r="T371" s="2398">
        <v>0</v>
      </c>
      <c r="U371" s="2398">
        <v>0</v>
      </c>
      <c r="V371" s="2401">
        <v>0</v>
      </c>
      <c r="W371" s="2401">
        <v>0</v>
      </c>
      <c r="X371" s="2398">
        <v>0</v>
      </c>
      <c r="Z371" s="2396">
        <v>12101102</v>
      </c>
      <c r="AA371" s="2397" t="s">
        <v>4097</v>
      </c>
      <c r="AB371" s="2398">
        <v>0</v>
      </c>
      <c r="AC371" s="2179">
        <v>0</v>
      </c>
      <c r="AD371" s="2399">
        <v>0</v>
      </c>
      <c r="AE371" s="2400">
        <v>0</v>
      </c>
      <c r="AF371" s="2398">
        <v>0</v>
      </c>
      <c r="AG371" s="2398">
        <v>0</v>
      </c>
      <c r="AH371" s="2401">
        <v>0</v>
      </c>
      <c r="AI371" s="2401">
        <v>0</v>
      </c>
      <c r="AJ371" s="2398">
        <v>0</v>
      </c>
      <c r="AZ371" s="2396">
        <v>12101102</v>
      </c>
      <c r="BA371" s="2397" t="s">
        <v>4097</v>
      </c>
      <c r="BB371" s="2398">
        <v>0</v>
      </c>
      <c r="BC371" s="2179">
        <v>0</v>
      </c>
      <c r="BD371" s="2399">
        <v>0</v>
      </c>
      <c r="BE371" s="2400">
        <v>0</v>
      </c>
      <c r="BF371" s="2398">
        <v>0</v>
      </c>
      <c r="BG371" s="2398">
        <v>0</v>
      </c>
      <c r="BH371" s="2401">
        <v>0</v>
      </c>
      <c r="BI371" s="2401">
        <v>0</v>
      </c>
      <c r="BJ371" s="2398">
        <v>0</v>
      </c>
      <c r="BN371" s="2396">
        <v>12101102</v>
      </c>
      <c r="BO371" s="2397" t="s">
        <v>4097</v>
      </c>
      <c r="BP371" s="2398">
        <v>0</v>
      </c>
      <c r="BQ371" s="2179">
        <v>0</v>
      </c>
      <c r="BR371" s="2399">
        <v>0</v>
      </c>
      <c r="BS371" s="2400">
        <v>0</v>
      </c>
      <c r="BT371" s="2398">
        <v>0</v>
      </c>
      <c r="BU371" s="2398">
        <v>0</v>
      </c>
      <c r="BV371" s="2401">
        <v>0</v>
      </c>
      <c r="BW371" s="2401">
        <v>0</v>
      </c>
      <c r="BX371" s="2398">
        <v>0</v>
      </c>
    </row>
    <row r="372" spans="2:76">
      <c r="B372" s="2564">
        <v>12101103</v>
      </c>
      <c r="C372" s="2565" t="s">
        <v>4098</v>
      </c>
      <c r="D372" s="2566">
        <v>0</v>
      </c>
      <c r="E372" s="1080">
        <v>0</v>
      </c>
      <c r="F372" s="2567">
        <v>0</v>
      </c>
      <c r="G372" s="2568">
        <v>0</v>
      </c>
      <c r="H372" s="2566">
        <v>0</v>
      </c>
      <c r="I372" s="2566">
        <v>0</v>
      </c>
      <c r="J372" s="2569">
        <v>0</v>
      </c>
      <c r="K372" s="2569">
        <v>0</v>
      </c>
      <c r="L372" s="2566">
        <v>0</v>
      </c>
      <c r="N372" s="2396">
        <v>12101103</v>
      </c>
      <c r="O372" s="2397" t="s">
        <v>4098</v>
      </c>
      <c r="P372" s="2398">
        <v>0</v>
      </c>
      <c r="Q372" s="2179">
        <v>0</v>
      </c>
      <c r="R372" s="2399">
        <v>0</v>
      </c>
      <c r="S372" s="2400">
        <v>0</v>
      </c>
      <c r="T372" s="2398">
        <v>0</v>
      </c>
      <c r="U372" s="2398">
        <v>0</v>
      </c>
      <c r="V372" s="2401">
        <v>0</v>
      </c>
      <c r="W372" s="2401">
        <v>0</v>
      </c>
      <c r="X372" s="2398">
        <v>0</v>
      </c>
      <c r="Z372" s="2396">
        <v>12101103</v>
      </c>
      <c r="AA372" s="2397" t="s">
        <v>4098</v>
      </c>
      <c r="AB372" s="2398">
        <v>0</v>
      </c>
      <c r="AC372" s="2179">
        <v>0</v>
      </c>
      <c r="AD372" s="2399">
        <v>0</v>
      </c>
      <c r="AE372" s="2400">
        <v>0</v>
      </c>
      <c r="AF372" s="2398">
        <v>0</v>
      </c>
      <c r="AG372" s="2398">
        <v>0</v>
      </c>
      <c r="AH372" s="2401">
        <v>0</v>
      </c>
      <c r="AI372" s="2401">
        <v>0</v>
      </c>
      <c r="AJ372" s="2398">
        <v>0</v>
      </c>
      <c r="AZ372" s="2396">
        <v>12101103</v>
      </c>
      <c r="BA372" s="2397" t="s">
        <v>4098</v>
      </c>
      <c r="BB372" s="2398">
        <v>0</v>
      </c>
      <c r="BC372" s="2179">
        <v>0</v>
      </c>
      <c r="BD372" s="2399">
        <v>0</v>
      </c>
      <c r="BE372" s="2400">
        <v>0</v>
      </c>
      <c r="BF372" s="2398">
        <v>0</v>
      </c>
      <c r="BG372" s="2398">
        <v>0</v>
      </c>
      <c r="BH372" s="2401">
        <v>0</v>
      </c>
      <c r="BI372" s="2401">
        <v>0</v>
      </c>
      <c r="BJ372" s="2398">
        <v>0</v>
      </c>
      <c r="BN372" s="2396">
        <v>12101103</v>
      </c>
      <c r="BO372" s="2397" t="s">
        <v>4098</v>
      </c>
      <c r="BP372" s="2398">
        <v>0</v>
      </c>
      <c r="BQ372" s="2179">
        <v>0</v>
      </c>
      <c r="BR372" s="2399">
        <v>0</v>
      </c>
      <c r="BS372" s="2400">
        <v>0</v>
      </c>
      <c r="BT372" s="2398">
        <v>0</v>
      </c>
      <c r="BU372" s="2398">
        <v>0</v>
      </c>
      <c r="BV372" s="2401">
        <v>0</v>
      </c>
      <c r="BW372" s="2401">
        <v>0</v>
      </c>
      <c r="BX372" s="2398">
        <v>0</v>
      </c>
    </row>
    <row r="373" spans="2:76">
      <c r="B373" s="2564">
        <v>12101104</v>
      </c>
      <c r="C373" s="2565" t="s">
        <v>5007</v>
      </c>
      <c r="D373" s="2566">
        <v>0</v>
      </c>
      <c r="E373" s="1080">
        <v>0</v>
      </c>
      <c r="F373" s="2567">
        <v>0</v>
      </c>
      <c r="G373" s="2568">
        <v>0</v>
      </c>
      <c r="H373" s="2566">
        <v>0</v>
      </c>
      <c r="I373" s="2566">
        <v>0</v>
      </c>
      <c r="J373" s="2569">
        <v>0</v>
      </c>
      <c r="K373" s="2569">
        <v>0</v>
      </c>
      <c r="L373" s="2566">
        <v>0</v>
      </c>
      <c r="N373" s="2396">
        <v>12101104</v>
      </c>
      <c r="O373" s="2397" t="s">
        <v>4099</v>
      </c>
      <c r="P373" s="2398">
        <v>0</v>
      </c>
      <c r="Q373" s="2179">
        <v>0</v>
      </c>
      <c r="R373" s="2399">
        <v>0</v>
      </c>
      <c r="S373" s="2400">
        <v>0</v>
      </c>
      <c r="T373" s="2398">
        <v>0</v>
      </c>
      <c r="U373" s="2398">
        <v>0</v>
      </c>
      <c r="V373" s="2401">
        <v>0</v>
      </c>
      <c r="W373" s="2401">
        <v>0</v>
      </c>
      <c r="X373" s="2398">
        <v>0</v>
      </c>
      <c r="Z373" s="2396">
        <v>12101104</v>
      </c>
      <c r="AA373" s="2397" t="s">
        <v>4099</v>
      </c>
      <c r="AB373" s="2398">
        <v>0</v>
      </c>
      <c r="AC373" s="2179">
        <v>0</v>
      </c>
      <c r="AD373" s="2399">
        <v>0</v>
      </c>
      <c r="AE373" s="2400">
        <v>0</v>
      </c>
      <c r="AF373" s="2398">
        <v>0</v>
      </c>
      <c r="AG373" s="2398">
        <v>0</v>
      </c>
      <c r="AH373" s="2401">
        <v>0</v>
      </c>
      <c r="AI373" s="2401">
        <v>0</v>
      </c>
      <c r="AJ373" s="2398">
        <v>0</v>
      </c>
      <c r="AZ373" s="2396">
        <v>12101104</v>
      </c>
      <c r="BA373" s="2397" t="s">
        <v>4099</v>
      </c>
      <c r="BB373" s="2398">
        <v>0</v>
      </c>
      <c r="BC373" s="2179">
        <v>0</v>
      </c>
      <c r="BD373" s="2399">
        <v>0</v>
      </c>
      <c r="BE373" s="2400">
        <v>0</v>
      </c>
      <c r="BF373" s="2398">
        <v>0</v>
      </c>
      <c r="BG373" s="2398">
        <v>0</v>
      </c>
      <c r="BH373" s="2401">
        <v>0</v>
      </c>
      <c r="BI373" s="2401">
        <v>0</v>
      </c>
      <c r="BJ373" s="2398">
        <v>0</v>
      </c>
      <c r="BN373" s="2396">
        <v>12101104</v>
      </c>
      <c r="BO373" s="2397" t="s">
        <v>4099</v>
      </c>
      <c r="BP373" s="2398">
        <v>0</v>
      </c>
      <c r="BQ373" s="2179">
        <v>0</v>
      </c>
      <c r="BR373" s="2399">
        <v>0</v>
      </c>
      <c r="BS373" s="2400">
        <v>0</v>
      </c>
      <c r="BT373" s="2398">
        <v>0</v>
      </c>
      <c r="BU373" s="2398">
        <v>0</v>
      </c>
      <c r="BV373" s="2401">
        <v>0</v>
      </c>
      <c r="BW373" s="2401">
        <v>0</v>
      </c>
      <c r="BX373" s="2398">
        <v>0</v>
      </c>
    </row>
    <row r="374" spans="2:76">
      <c r="B374" s="2558">
        <v>12101200</v>
      </c>
      <c r="C374" s="2571" t="s">
        <v>4100</v>
      </c>
      <c r="D374" s="2560">
        <v>0</v>
      </c>
      <c r="E374" s="2560">
        <v>0</v>
      </c>
      <c r="F374" s="2561">
        <v>0</v>
      </c>
      <c r="G374" s="2562">
        <v>0</v>
      </c>
      <c r="H374" s="2560">
        <v>0</v>
      </c>
      <c r="I374" s="2560">
        <v>0</v>
      </c>
      <c r="J374" s="2563">
        <v>0</v>
      </c>
      <c r="K374" s="2563">
        <v>0</v>
      </c>
      <c r="L374" s="2560">
        <v>0</v>
      </c>
      <c r="N374" s="2390">
        <v>12101200</v>
      </c>
      <c r="O374" s="2403" t="s">
        <v>4100</v>
      </c>
      <c r="P374" s="2392">
        <v>0</v>
      </c>
      <c r="Q374" s="2392">
        <v>0</v>
      </c>
      <c r="R374" s="2393">
        <v>0</v>
      </c>
      <c r="S374" s="2394">
        <v>0</v>
      </c>
      <c r="T374" s="2392">
        <v>0</v>
      </c>
      <c r="U374" s="2392">
        <v>0</v>
      </c>
      <c r="V374" s="2395">
        <v>0</v>
      </c>
      <c r="W374" s="2395">
        <v>0</v>
      </c>
      <c r="X374" s="2392">
        <v>0</v>
      </c>
      <c r="Z374" s="2390">
        <v>12101200</v>
      </c>
      <c r="AA374" s="2403" t="s">
        <v>4100</v>
      </c>
      <c r="AB374" s="2392">
        <v>0</v>
      </c>
      <c r="AC374" s="2392">
        <v>0</v>
      </c>
      <c r="AD374" s="2393">
        <v>0</v>
      </c>
      <c r="AE374" s="2394">
        <v>0</v>
      </c>
      <c r="AF374" s="2392">
        <v>0</v>
      </c>
      <c r="AG374" s="2392">
        <v>0</v>
      </c>
      <c r="AH374" s="2395">
        <v>0</v>
      </c>
      <c r="AI374" s="2395">
        <v>0</v>
      </c>
      <c r="AJ374" s="2392">
        <v>0</v>
      </c>
      <c r="AZ374" s="2390">
        <v>12101200</v>
      </c>
      <c r="BA374" s="2403" t="s">
        <v>4100</v>
      </c>
      <c r="BB374" s="2392">
        <v>0</v>
      </c>
      <c r="BC374" s="2392">
        <v>0</v>
      </c>
      <c r="BD374" s="2393">
        <v>0</v>
      </c>
      <c r="BE374" s="2394">
        <v>0</v>
      </c>
      <c r="BF374" s="2392">
        <v>0</v>
      </c>
      <c r="BG374" s="2392">
        <v>0</v>
      </c>
      <c r="BH374" s="2395">
        <v>0</v>
      </c>
      <c r="BI374" s="2395">
        <v>0</v>
      </c>
      <c r="BJ374" s="2392">
        <v>0</v>
      </c>
      <c r="BN374" s="2390">
        <v>12101200</v>
      </c>
      <c r="BO374" s="2403" t="s">
        <v>4100</v>
      </c>
      <c r="BP374" s="2392">
        <v>0</v>
      </c>
      <c r="BQ374" s="2392">
        <v>0</v>
      </c>
      <c r="BR374" s="2393">
        <v>0</v>
      </c>
      <c r="BS374" s="2394">
        <v>0</v>
      </c>
      <c r="BT374" s="2392">
        <v>0</v>
      </c>
      <c r="BU374" s="2392">
        <v>0</v>
      </c>
      <c r="BV374" s="2395">
        <v>0</v>
      </c>
      <c r="BW374" s="2395">
        <v>0</v>
      </c>
      <c r="BX374" s="2392">
        <v>0</v>
      </c>
    </row>
    <row r="375" spans="2:76">
      <c r="B375" s="2564">
        <v>12101201</v>
      </c>
      <c r="C375" s="2565" t="s">
        <v>4100</v>
      </c>
      <c r="D375" s="2566">
        <v>0</v>
      </c>
      <c r="E375" s="1080">
        <v>0</v>
      </c>
      <c r="F375" s="2567">
        <v>0</v>
      </c>
      <c r="G375" s="2568">
        <v>0</v>
      </c>
      <c r="H375" s="2566">
        <v>0</v>
      </c>
      <c r="I375" s="2566">
        <v>0</v>
      </c>
      <c r="J375" s="2569">
        <v>0</v>
      </c>
      <c r="K375" s="2569">
        <v>0</v>
      </c>
      <c r="L375" s="2566">
        <v>0</v>
      </c>
      <c r="N375" s="2396">
        <v>12101201</v>
      </c>
      <c r="O375" s="2397" t="s">
        <v>4100</v>
      </c>
      <c r="P375" s="2398">
        <v>0</v>
      </c>
      <c r="Q375" s="2179">
        <v>0</v>
      </c>
      <c r="R375" s="2399">
        <v>0</v>
      </c>
      <c r="S375" s="2400">
        <v>0</v>
      </c>
      <c r="T375" s="2398">
        <v>0</v>
      </c>
      <c r="U375" s="2398">
        <v>0</v>
      </c>
      <c r="V375" s="2401">
        <v>0</v>
      </c>
      <c r="W375" s="2401">
        <v>0</v>
      </c>
      <c r="X375" s="2398">
        <v>0</v>
      </c>
      <c r="Z375" s="2396">
        <v>12101201</v>
      </c>
      <c r="AA375" s="2397" t="s">
        <v>4100</v>
      </c>
      <c r="AB375" s="2398">
        <v>0</v>
      </c>
      <c r="AC375" s="2179">
        <v>0</v>
      </c>
      <c r="AD375" s="2399">
        <v>0</v>
      </c>
      <c r="AE375" s="2400">
        <v>0</v>
      </c>
      <c r="AF375" s="2398">
        <v>0</v>
      </c>
      <c r="AG375" s="2398">
        <v>0</v>
      </c>
      <c r="AH375" s="2401">
        <v>0</v>
      </c>
      <c r="AI375" s="2401">
        <v>0</v>
      </c>
      <c r="AJ375" s="2398">
        <v>0</v>
      </c>
      <c r="AZ375" s="2396">
        <v>12101201</v>
      </c>
      <c r="BA375" s="2397" t="s">
        <v>4100</v>
      </c>
      <c r="BB375" s="2398">
        <v>0</v>
      </c>
      <c r="BC375" s="2179">
        <v>0</v>
      </c>
      <c r="BD375" s="2399">
        <v>0</v>
      </c>
      <c r="BE375" s="2400">
        <v>0</v>
      </c>
      <c r="BF375" s="2398">
        <v>0</v>
      </c>
      <c r="BG375" s="2398">
        <v>0</v>
      </c>
      <c r="BH375" s="2401">
        <v>0</v>
      </c>
      <c r="BI375" s="2401">
        <v>0</v>
      </c>
      <c r="BJ375" s="2398">
        <v>0</v>
      </c>
      <c r="BN375" s="2396">
        <v>12101201</v>
      </c>
      <c r="BO375" s="2397" t="s">
        <v>4100</v>
      </c>
      <c r="BP375" s="2398">
        <v>0</v>
      </c>
      <c r="BQ375" s="2179">
        <v>0</v>
      </c>
      <c r="BR375" s="2399">
        <v>0</v>
      </c>
      <c r="BS375" s="2400">
        <v>0</v>
      </c>
      <c r="BT375" s="2398">
        <v>0</v>
      </c>
      <c r="BU375" s="2398">
        <v>0</v>
      </c>
      <c r="BV375" s="2401">
        <v>0</v>
      </c>
      <c r="BW375" s="2401">
        <v>0</v>
      </c>
      <c r="BX375" s="2398">
        <v>0</v>
      </c>
    </row>
    <row r="376" spans="2:76">
      <c r="B376" s="2558">
        <v>12101300</v>
      </c>
      <c r="C376" s="2571" t="s">
        <v>4101</v>
      </c>
      <c r="D376" s="2560">
        <v>68291848145</v>
      </c>
      <c r="E376" s="2560">
        <v>0</v>
      </c>
      <c r="F376" s="2561">
        <v>0</v>
      </c>
      <c r="G376" s="2562">
        <v>0</v>
      </c>
      <c r="H376" s="2560">
        <v>0</v>
      </c>
      <c r="I376" s="2560">
        <v>68291848145</v>
      </c>
      <c r="J376" s="2563">
        <v>0</v>
      </c>
      <c r="K376" s="2563">
        <v>0</v>
      </c>
      <c r="L376" s="2560">
        <v>68291848145</v>
      </c>
      <c r="N376" s="2390">
        <v>12101300</v>
      </c>
      <c r="O376" s="2403" t="s">
        <v>4101</v>
      </c>
      <c r="P376" s="2392">
        <v>66127791655</v>
      </c>
      <c r="Q376" s="2392">
        <v>0</v>
      </c>
      <c r="R376" s="2393">
        <v>0</v>
      </c>
      <c r="S376" s="2394">
        <v>0</v>
      </c>
      <c r="T376" s="2392">
        <v>0</v>
      </c>
      <c r="U376" s="2392">
        <v>66127791655</v>
      </c>
      <c r="V376" s="2395">
        <v>0</v>
      </c>
      <c r="W376" s="2395">
        <v>0</v>
      </c>
      <c r="X376" s="2392">
        <v>66127791655</v>
      </c>
      <c r="Z376" s="2390">
        <v>12101300</v>
      </c>
      <c r="AA376" s="2403" t="s">
        <v>4101</v>
      </c>
      <c r="AB376" s="2392">
        <v>64472229313</v>
      </c>
      <c r="AC376" s="2392">
        <v>0</v>
      </c>
      <c r="AD376" s="2393">
        <v>0</v>
      </c>
      <c r="AE376" s="2394">
        <v>0</v>
      </c>
      <c r="AF376" s="2392">
        <v>0</v>
      </c>
      <c r="AG376" s="2392">
        <v>64472229313</v>
      </c>
      <c r="AH376" s="2395">
        <v>0</v>
      </c>
      <c r="AI376" s="2395">
        <v>0</v>
      </c>
      <c r="AJ376" s="2392">
        <v>64472229313</v>
      </c>
      <c r="AZ376" s="2390">
        <v>12101300</v>
      </c>
      <c r="BA376" s="2403" t="s">
        <v>4101</v>
      </c>
      <c r="BB376" s="2392">
        <v>67223616253</v>
      </c>
      <c r="BC376" s="2392">
        <v>0</v>
      </c>
      <c r="BD376" s="2393">
        <v>0</v>
      </c>
      <c r="BE376" s="2394">
        <v>0</v>
      </c>
      <c r="BF376" s="2392">
        <v>0</v>
      </c>
      <c r="BG376" s="2392">
        <v>67223616253</v>
      </c>
      <c r="BH376" s="2395">
        <v>0</v>
      </c>
      <c r="BI376" s="2395">
        <v>0</v>
      </c>
      <c r="BJ376" s="2392">
        <v>67223616253</v>
      </c>
      <c r="BN376" s="2390">
        <v>12101300</v>
      </c>
      <c r="BO376" s="2403" t="s">
        <v>4101</v>
      </c>
      <c r="BP376" s="2392">
        <v>65658715658</v>
      </c>
      <c r="BQ376" s="2392">
        <v>0</v>
      </c>
      <c r="BR376" s="2393">
        <v>0</v>
      </c>
      <c r="BS376" s="2394">
        <v>0</v>
      </c>
      <c r="BT376" s="2392">
        <v>0</v>
      </c>
      <c r="BU376" s="2392">
        <v>65658715658</v>
      </c>
      <c r="BV376" s="2395">
        <v>0</v>
      </c>
      <c r="BW376" s="2395">
        <v>0</v>
      </c>
      <c r="BX376" s="2392">
        <v>65658715658</v>
      </c>
    </row>
    <row r="377" spans="2:76">
      <c r="B377" s="2564">
        <v>12101301</v>
      </c>
      <c r="C377" s="2565" t="s">
        <v>4101</v>
      </c>
      <c r="D377" s="2566">
        <v>68291848145</v>
      </c>
      <c r="E377" s="1080">
        <v>0</v>
      </c>
      <c r="F377" s="2567">
        <v>0</v>
      </c>
      <c r="G377" s="2568">
        <v>0</v>
      </c>
      <c r="H377" s="2566">
        <v>0</v>
      </c>
      <c r="I377" s="2566">
        <v>68291848145</v>
      </c>
      <c r="J377" s="2569">
        <v>0</v>
      </c>
      <c r="K377" s="2569">
        <v>0</v>
      </c>
      <c r="L377" s="2566">
        <v>68291848145</v>
      </c>
      <c r="N377" s="2396">
        <v>12101301</v>
      </c>
      <c r="O377" s="2397" t="s">
        <v>4101</v>
      </c>
      <c r="P377" s="2398">
        <v>66127791655</v>
      </c>
      <c r="Q377" s="2179">
        <v>0</v>
      </c>
      <c r="R377" s="2399">
        <v>0</v>
      </c>
      <c r="S377" s="2400">
        <v>0</v>
      </c>
      <c r="T377" s="2398">
        <v>0</v>
      </c>
      <c r="U377" s="2398">
        <v>66127791655</v>
      </c>
      <c r="V377" s="2401">
        <v>0</v>
      </c>
      <c r="W377" s="2401">
        <v>0</v>
      </c>
      <c r="X377" s="2398">
        <v>66127791655</v>
      </c>
      <c r="Z377" s="2396">
        <v>12101301</v>
      </c>
      <c r="AA377" s="2397" t="s">
        <v>4101</v>
      </c>
      <c r="AB377" s="2398">
        <v>64472229313</v>
      </c>
      <c r="AC377" s="2179">
        <v>0</v>
      </c>
      <c r="AD377" s="2399">
        <v>0</v>
      </c>
      <c r="AE377" s="2400">
        <v>0</v>
      </c>
      <c r="AF377" s="2398">
        <v>0</v>
      </c>
      <c r="AG377" s="2398">
        <v>64472229313</v>
      </c>
      <c r="AH377" s="2401">
        <v>0</v>
      </c>
      <c r="AI377" s="2401">
        <v>0</v>
      </c>
      <c r="AJ377" s="2398">
        <v>64472229313</v>
      </c>
      <c r="AZ377" s="2396">
        <v>12101301</v>
      </c>
      <c r="BA377" s="2397" t="s">
        <v>4101</v>
      </c>
      <c r="BB377" s="2398">
        <v>67223616253</v>
      </c>
      <c r="BC377" s="2179">
        <v>0</v>
      </c>
      <c r="BD377" s="2399">
        <v>0</v>
      </c>
      <c r="BE377" s="2400">
        <v>0</v>
      </c>
      <c r="BF377" s="2398">
        <v>0</v>
      </c>
      <c r="BG377" s="2398">
        <v>67223616253</v>
      </c>
      <c r="BH377" s="2401">
        <v>0</v>
      </c>
      <c r="BI377" s="2401">
        <v>0</v>
      </c>
      <c r="BJ377" s="2398">
        <v>67223616253</v>
      </c>
      <c r="BN377" s="2396">
        <v>12101301</v>
      </c>
      <c r="BO377" s="2397" t="s">
        <v>4101</v>
      </c>
      <c r="BP377" s="2398">
        <v>65658715658</v>
      </c>
      <c r="BQ377" s="2179">
        <v>0</v>
      </c>
      <c r="BR377" s="2399">
        <v>0</v>
      </c>
      <c r="BS377" s="2400">
        <v>0</v>
      </c>
      <c r="BT377" s="2398">
        <v>0</v>
      </c>
      <c r="BU377" s="2398">
        <v>65658715658</v>
      </c>
      <c r="BV377" s="2401">
        <v>0</v>
      </c>
      <c r="BW377" s="2401">
        <v>0</v>
      </c>
      <c r="BX377" s="2398">
        <v>65658715658</v>
      </c>
    </row>
    <row r="378" spans="2:76">
      <c r="B378" s="2558">
        <v>12101400</v>
      </c>
      <c r="C378" s="2571" t="s">
        <v>4102</v>
      </c>
      <c r="D378" s="2560">
        <v>-21585281025</v>
      </c>
      <c r="E378" s="2560">
        <v>0</v>
      </c>
      <c r="F378" s="2561">
        <v>0</v>
      </c>
      <c r="G378" s="2562">
        <v>0</v>
      </c>
      <c r="H378" s="2560">
        <v>0</v>
      </c>
      <c r="I378" s="2560">
        <v>-21585281025</v>
      </c>
      <c r="J378" s="2563">
        <v>0</v>
      </c>
      <c r="K378" s="2563">
        <v>0</v>
      </c>
      <c r="L378" s="2560">
        <v>-21585281025</v>
      </c>
      <c r="N378" s="2390">
        <v>12101400</v>
      </c>
      <c r="O378" s="2403" t="s">
        <v>4102</v>
      </c>
      <c r="P378" s="2392">
        <v>-21585281025</v>
      </c>
      <c r="Q378" s="2392">
        <v>0</v>
      </c>
      <c r="R378" s="2393">
        <v>0</v>
      </c>
      <c r="S378" s="2394">
        <v>0</v>
      </c>
      <c r="T378" s="2392">
        <v>0</v>
      </c>
      <c r="U378" s="2392">
        <v>-21585281025</v>
      </c>
      <c r="V378" s="2395">
        <v>0</v>
      </c>
      <c r="W378" s="2395">
        <v>0</v>
      </c>
      <c r="X378" s="2392">
        <v>-21585281025</v>
      </c>
      <c r="Z378" s="2390">
        <v>12101400</v>
      </c>
      <c r="AA378" s="2403" t="s">
        <v>4102</v>
      </c>
      <c r="AB378" s="2392">
        <v>-21585281025</v>
      </c>
      <c r="AC378" s="2392">
        <v>0</v>
      </c>
      <c r="AD378" s="2393">
        <v>0</v>
      </c>
      <c r="AE378" s="2394">
        <v>0</v>
      </c>
      <c r="AF378" s="2392">
        <v>0</v>
      </c>
      <c r="AG378" s="2392">
        <v>-21585281025</v>
      </c>
      <c r="AH378" s="2395">
        <v>0</v>
      </c>
      <c r="AI378" s="2395">
        <v>0</v>
      </c>
      <c r="AJ378" s="2392">
        <v>-21585281025</v>
      </c>
      <c r="AZ378" s="2390">
        <v>12101400</v>
      </c>
      <c r="BA378" s="2403" t="s">
        <v>4102</v>
      </c>
      <c r="BB378" s="2392">
        <v>-21585281025</v>
      </c>
      <c r="BC378" s="2392">
        <v>0</v>
      </c>
      <c r="BD378" s="2393">
        <v>0</v>
      </c>
      <c r="BE378" s="2394">
        <v>0</v>
      </c>
      <c r="BF378" s="2392">
        <v>0</v>
      </c>
      <c r="BG378" s="2392">
        <v>-21585281025</v>
      </c>
      <c r="BH378" s="2395">
        <v>0</v>
      </c>
      <c r="BI378" s="2395">
        <v>0</v>
      </c>
      <c r="BJ378" s="2392">
        <v>-21585281025</v>
      </c>
      <c r="BN378" s="2390">
        <v>12101400</v>
      </c>
      <c r="BO378" s="2403" t="s">
        <v>4102</v>
      </c>
      <c r="BP378" s="2392">
        <v>-21585281025</v>
      </c>
      <c r="BQ378" s="2392">
        <v>0</v>
      </c>
      <c r="BR378" s="2393">
        <v>0</v>
      </c>
      <c r="BS378" s="2394">
        <v>0</v>
      </c>
      <c r="BT378" s="2392">
        <v>0</v>
      </c>
      <c r="BU378" s="2392">
        <v>-21585281025</v>
      </c>
      <c r="BV378" s="2395">
        <v>0</v>
      </c>
      <c r="BW378" s="2395">
        <v>0</v>
      </c>
      <c r="BX378" s="2392">
        <v>-21585281025</v>
      </c>
    </row>
    <row r="379" spans="2:76">
      <c r="B379" s="2564">
        <v>12101401</v>
      </c>
      <c r="C379" s="2565" t="s">
        <v>4102</v>
      </c>
      <c r="D379" s="2566">
        <v>-21585281025</v>
      </c>
      <c r="E379" s="1080">
        <v>0</v>
      </c>
      <c r="F379" s="2567">
        <v>0</v>
      </c>
      <c r="G379" s="2568">
        <v>0</v>
      </c>
      <c r="H379" s="2566">
        <v>0</v>
      </c>
      <c r="I379" s="2566">
        <v>-21585281025</v>
      </c>
      <c r="J379" s="2569">
        <v>0</v>
      </c>
      <c r="K379" s="2569">
        <v>0</v>
      </c>
      <c r="L379" s="2566">
        <v>-21585281025</v>
      </c>
      <c r="N379" s="2396">
        <v>12101401</v>
      </c>
      <c r="O379" s="2397" t="s">
        <v>4102</v>
      </c>
      <c r="P379" s="2398">
        <v>-21585281025</v>
      </c>
      <c r="Q379" s="2179">
        <v>0</v>
      </c>
      <c r="R379" s="2399">
        <v>0</v>
      </c>
      <c r="S379" s="2400">
        <v>0</v>
      </c>
      <c r="T379" s="2398">
        <v>0</v>
      </c>
      <c r="U379" s="2398">
        <v>-21585281025</v>
      </c>
      <c r="V379" s="2401">
        <v>0</v>
      </c>
      <c r="W379" s="2401">
        <v>0</v>
      </c>
      <c r="X379" s="2398">
        <v>-21585281025</v>
      </c>
      <c r="Z379" s="2396">
        <v>12101401</v>
      </c>
      <c r="AA379" s="2397" t="s">
        <v>4102</v>
      </c>
      <c r="AB379" s="2398">
        <v>-21585281025</v>
      </c>
      <c r="AC379" s="2179">
        <v>0</v>
      </c>
      <c r="AD379" s="2399">
        <v>0</v>
      </c>
      <c r="AE379" s="2400">
        <v>0</v>
      </c>
      <c r="AF379" s="2398">
        <v>0</v>
      </c>
      <c r="AG379" s="2398">
        <v>-21585281025</v>
      </c>
      <c r="AH379" s="2401">
        <v>0</v>
      </c>
      <c r="AI379" s="2401">
        <v>0</v>
      </c>
      <c r="AJ379" s="2398">
        <v>-21585281025</v>
      </c>
      <c r="AZ379" s="2396">
        <v>12101401</v>
      </c>
      <c r="BA379" s="2397" t="s">
        <v>4102</v>
      </c>
      <c r="BB379" s="2398">
        <v>-21585281025</v>
      </c>
      <c r="BC379" s="2179">
        <v>0</v>
      </c>
      <c r="BD379" s="2399">
        <v>0</v>
      </c>
      <c r="BE379" s="2400">
        <v>0</v>
      </c>
      <c r="BF379" s="2398">
        <v>0</v>
      </c>
      <c r="BG379" s="2398">
        <v>-21585281025</v>
      </c>
      <c r="BH379" s="2401">
        <v>0</v>
      </c>
      <c r="BI379" s="2401">
        <v>0</v>
      </c>
      <c r="BJ379" s="2398">
        <v>-21585281025</v>
      </c>
      <c r="BN379" s="2396">
        <v>12101401</v>
      </c>
      <c r="BO379" s="2397" t="s">
        <v>4102</v>
      </c>
      <c r="BP379" s="2398">
        <v>-21585281025</v>
      </c>
      <c r="BQ379" s="2179">
        <v>0</v>
      </c>
      <c r="BR379" s="2399">
        <v>0</v>
      </c>
      <c r="BS379" s="2400">
        <v>0</v>
      </c>
      <c r="BT379" s="2398">
        <v>0</v>
      </c>
      <c r="BU379" s="2398">
        <v>-21585281025</v>
      </c>
      <c r="BV379" s="2401">
        <v>0</v>
      </c>
      <c r="BW379" s="2401">
        <v>0</v>
      </c>
      <c r="BX379" s="2398">
        <v>-21585281025</v>
      </c>
    </row>
    <row r="380" spans="2:76">
      <c r="B380" s="2558">
        <v>12101500</v>
      </c>
      <c r="C380" s="2571" t="s">
        <v>4103</v>
      </c>
      <c r="D380" s="2560">
        <v>0</v>
      </c>
      <c r="E380" s="2560">
        <v>0</v>
      </c>
      <c r="F380" s="2561">
        <v>0</v>
      </c>
      <c r="G380" s="2562">
        <v>0</v>
      </c>
      <c r="H380" s="2560">
        <v>0</v>
      </c>
      <c r="I380" s="2560">
        <v>0</v>
      </c>
      <c r="J380" s="2563">
        <v>0</v>
      </c>
      <c r="K380" s="2563">
        <v>0</v>
      </c>
      <c r="L380" s="2560">
        <v>0</v>
      </c>
      <c r="N380" s="2390">
        <v>12101500</v>
      </c>
      <c r="O380" s="2403" t="s">
        <v>4103</v>
      </c>
      <c r="P380" s="2392">
        <v>0</v>
      </c>
      <c r="Q380" s="2392">
        <v>0</v>
      </c>
      <c r="R380" s="2393">
        <v>0</v>
      </c>
      <c r="S380" s="2394">
        <v>0</v>
      </c>
      <c r="T380" s="2392">
        <v>0</v>
      </c>
      <c r="U380" s="2392">
        <v>0</v>
      </c>
      <c r="V380" s="2395">
        <v>0</v>
      </c>
      <c r="W380" s="2395">
        <v>0</v>
      </c>
      <c r="X380" s="2392">
        <v>0</v>
      </c>
      <c r="Z380" s="2390">
        <v>12101500</v>
      </c>
      <c r="AA380" s="2403" t="s">
        <v>4103</v>
      </c>
      <c r="AB380" s="2392">
        <v>0</v>
      </c>
      <c r="AC380" s="2392">
        <v>0</v>
      </c>
      <c r="AD380" s="2393">
        <v>0</v>
      </c>
      <c r="AE380" s="2394">
        <v>0</v>
      </c>
      <c r="AF380" s="2392">
        <v>0</v>
      </c>
      <c r="AG380" s="2392">
        <v>0</v>
      </c>
      <c r="AH380" s="2395">
        <v>0</v>
      </c>
      <c r="AI380" s="2395">
        <v>0</v>
      </c>
      <c r="AJ380" s="2392">
        <v>0</v>
      </c>
      <c r="AZ380" s="2390">
        <v>12101500</v>
      </c>
      <c r="BA380" s="2403" t="s">
        <v>4103</v>
      </c>
      <c r="BB380" s="2392">
        <v>0</v>
      </c>
      <c r="BC380" s="2392">
        <v>0</v>
      </c>
      <c r="BD380" s="2393">
        <v>0</v>
      </c>
      <c r="BE380" s="2394">
        <v>0</v>
      </c>
      <c r="BF380" s="2392">
        <v>0</v>
      </c>
      <c r="BG380" s="2392">
        <v>0</v>
      </c>
      <c r="BH380" s="2395">
        <v>0</v>
      </c>
      <c r="BI380" s="2395">
        <v>0</v>
      </c>
      <c r="BJ380" s="2392">
        <v>0</v>
      </c>
      <c r="BN380" s="2390">
        <v>12101500</v>
      </c>
      <c r="BO380" s="2403" t="s">
        <v>4103</v>
      </c>
      <c r="BP380" s="2392">
        <v>0</v>
      </c>
      <c r="BQ380" s="2392">
        <v>0</v>
      </c>
      <c r="BR380" s="2393">
        <v>0</v>
      </c>
      <c r="BS380" s="2394">
        <v>0</v>
      </c>
      <c r="BT380" s="2392">
        <v>0</v>
      </c>
      <c r="BU380" s="2392">
        <v>0</v>
      </c>
      <c r="BV380" s="2395">
        <v>0</v>
      </c>
      <c r="BW380" s="2395">
        <v>0</v>
      </c>
      <c r="BX380" s="2392">
        <v>0</v>
      </c>
    </row>
    <row r="381" spans="2:76">
      <c r="B381" s="2564">
        <v>12101501</v>
      </c>
      <c r="C381" s="2565" t="s">
        <v>4103</v>
      </c>
      <c r="D381" s="2566">
        <v>0</v>
      </c>
      <c r="E381" s="1080">
        <v>0</v>
      </c>
      <c r="F381" s="2567">
        <v>0</v>
      </c>
      <c r="G381" s="2568">
        <v>0</v>
      </c>
      <c r="H381" s="2566">
        <v>0</v>
      </c>
      <c r="I381" s="2566">
        <v>0</v>
      </c>
      <c r="J381" s="2569">
        <v>8429628238</v>
      </c>
      <c r="K381" s="2569">
        <v>8429628238</v>
      </c>
      <c r="L381" s="2566">
        <v>0</v>
      </c>
      <c r="N381" s="2396">
        <v>12101501</v>
      </c>
      <c r="O381" s="2397" t="s">
        <v>4103</v>
      </c>
      <c r="P381" s="2398">
        <v>0</v>
      </c>
      <c r="Q381" s="2179">
        <v>0</v>
      </c>
      <c r="R381" s="2399">
        <v>0</v>
      </c>
      <c r="S381" s="2400">
        <v>0</v>
      </c>
      <c r="T381" s="2398">
        <v>0</v>
      </c>
      <c r="U381" s="2398">
        <v>0</v>
      </c>
      <c r="V381" s="2401">
        <v>8429628238</v>
      </c>
      <c r="W381" s="2401">
        <v>8429628238</v>
      </c>
      <c r="X381" s="2398">
        <v>0</v>
      </c>
      <c r="Z381" s="2396">
        <v>12101501</v>
      </c>
      <c r="AA381" s="2397" t="s">
        <v>4103</v>
      </c>
      <c r="AB381" s="2398">
        <v>0</v>
      </c>
      <c r="AC381" s="2179">
        <v>0</v>
      </c>
      <c r="AD381" s="2399">
        <v>0</v>
      </c>
      <c r="AE381" s="2400">
        <v>0</v>
      </c>
      <c r="AF381" s="2398">
        <v>0</v>
      </c>
      <c r="AG381" s="2398">
        <v>0</v>
      </c>
      <c r="AH381" s="2401">
        <v>8429628238</v>
      </c>
      <c r="AI381" s="2401">
        <v>8429628238</v>
      </c>
      <c r="AJ381" s="2398">
        <v>0</v>
      </c>
      <c r="AZ381" s="2396">
        <v>12101501</v>
      </c>
      <c r="BA381" s="2397" t="s">
        <v>4103</v>
      </c>
      <c r="BB381" s="2398">
        <v>0</v>
      </c>
      <c r="BC381" s="2179">
        <v>0</v>
      </c>
      <c r="BD381" s="2399">
        <v>0</v>
      </c>
      <c r="BE381" s="2400">
        <v>0</v>
      </c>
      <c r="BF381" s="2398">
        <v>0</v>
      </c>
      <c r="BG381" s="2398">
        <v>0</v>
      </c>
      <c r="BH381" s="2401">
        <v>8429628238</v>
      </c>
      <c r="BI381" s="2401">
        <v>8429628238</v>
      </c>
      <c r="BJ381" s="2398">
        <v>0</v>
      </c>
      <c r="BN381" s="2396">
        <v>12101501</v>
      </c>
      <c r="BO381" s="2397" t="s">
        <v>4103</v>
      </c>
      <c r="BP381" s="2398">
        <v>0</v>
      </c>
      <c r="BQ381" s="2179">
        <v>0</v>
      </c>
      <c r="BR381" s="2399">
        <v>0</v>
      </c>
      <c r="BS381" s="2400">
        <v>0</v>
      </c>
      <c r="BT381" s="2398">
        <v>0</v>
      </c>
      <c r="BU381" s="2398">
        <v>0</v>
      </c>
      <c r="BV381" s="2401">
        <v>8429628238</v>
      </c>
      <c r="BW381" s="2401">
        <v>8429628238</v>
      </c>
      <c r="BX381" s="2398">
        <v>0</v>
      </c>
    </row>
    <row r="382" spans="2:76">
      <c r="B382" s="2558">
        <v>12101600</v>
      </c>
      <c r="C382" s="2571" t="s">
        <v>4104</v>
      </c>
      <c r="D382" s="2560">
        <v>6837687513</v>
      </c>
      <c r="E382" s="2560">
        <v>0</v>
      </c>
      <c r="F382" s="2561">
        <v>0</v>
      </c>
      <c r="G382" s="2562">
        <v>0</v>
      </c>
      <c r="H382" s="2560">
        <v>0</v>
      </c>
      <c r="I382" s="2560">
        <v>6837687513</v>
      </c>
      <c r="J382" s="2563">
        <v>0</v>
      </c>
      <c r="K382" s="2563">
        <v>0</v>
      </c>
      <c r="L382" s="2560">
        <v>6837687513</v>
      </c>
      <c r="N382" s="2390">
        <v>12101600</v>
      </c>
      <c r="O382" s="2403" t="s">
        <v>4104</v>
      </c>
      <c r="P382" s="2392">
        <v>6837687513</v>
      </c>
      <c r="Q382" s="2392">
        <v>0</v>
      </c>
      <c r="R382" s="2393">
        <v>0</v>
      </c>
      <c r="S382" s="2394">
        <v>0</v>
      </c>
      <c r="T382" s="2392">
        <v>0</v>
      </c>
      <c r="U382" s="2392">
        <v>6837687513</v>
      </c>
      <c r="V382" s="2395">
        <v>0</v>
      </c>
      <c r="W382" s="2395">
        <v>0</v>
      </c>
      <c r="X382" s="2392">
        <v>6837687513</v>
      </c>
      <c r="Z382" s="2390">
        <v>12101600</v>
      </c>
      <c r="AA382" s="2403" t="s">
        <v>4104</v>
      </c>
      <c r="AB382" s="2392">
        <v>6837687513</v>
      </c>
      <c r="AC382" s="2392">
        <v>0</v>
      </c>
      <c r="AD382" s="2393">
        <v>0</v>
      </c>
      <c r="AE382" s="2394">
        <v>0</v>
      </c>
      <c r="AF382" s="2392">
        <v>0</v>
      </c>
      <c r="AG382" s="2392">
        <v>6837687513</v>
      </c>
      <c r="AH382" s="2395">
        <v>0</v>
      </c>
      <c r="AI382" s="2395">
        <v>0</v>
      </c>
      <c r="AJ382" s="2392">
        <v>6837687513</v>
      </c>
      <c r="AZ382" s="2390">
        <v>12101600</v>
      </c>
      <c r="BA382" s="2403" t="s">
        <v>4104</v>
      </c>
      <c r="BB382" s="2392">
        <v>122059813981</v>
      </c>
      <c r="BC382" s="2392">
        <v>0</v>
      </c>
      <c r="BD382" s="2393">
        <v>0</v>
      </c>
      <c r="BE382" s="2394">
        <v>0</v>
      </c>
      <c r="BF382" s="2392">
        <v>0</v>
      </c>
      <c r="BG382" s="2392">
        <v>122059813981</v>
      </c>
      <c r="BH382" s="2395">
        <v>0</v>
      </c>
      <c r="BI382" s="2395">
        <v>0</v>
      </c>
      <c r="BJ382" s="2392">
        <v>122059813981</v>
      </c>
      <c r="BN382" s="2390">
        <v>12101600</v>
      </c>
      <c r="BO382" s="2403" t="s">
        <v>4104</v>
      </c>
      <c r="BP382" s="2392">
        <v>230783476909</v>
      </c>
      <c r="BQ382" s="2392">
        <v>0</v>
      </c>
      <c r="BR382" s="2393">
        <v>0</v>
      </c>
      <c r="BS382" s="2394">
        <v>0</v>
      </c>
      <c r="BT382" s="2392">
        <v>0</v>
      </c>
      <c r="BU382" s="2392">
        <v>230783476909</v>
      </c>
      <c r="BV382" s="2395">
        <v>0</v>
      </c>
      <c r="BW382" s="2395">
        <v>0</v>
      </c>
      <c r="BX382" s="2392">
        <v>230783476909</v>
      </c>
    </row>
    <row r="383" spans="2:76">
      <c r="B383" s="2564">
        <v>12101601</v>
      </c>
      <c r="C383" s="2565" t="s">
        <v>4104</v>
      </c>
      <c r="D383" s="2566">
        <v>6837687513</v>
      </c>
      <c r="E383" s="1080">
        <v>0</v>
      </c>
      <c r="F383" s="2567">
        <v>0</v>
      </c>
      <c r="G383" s="2568">
        <v>0</v>
      </c>
      <c r="H383" s="2566">
        <v>0</v>
      </c>
      <c r="I383" s="2566">
        <v>6837687513</v>
      </c>
      <c r="J383" s="2569">
        <v>0</v>
      </c>
      <c r="K383" s="2569">
        <v>0</v>
      </c>
      <c r="L383" s="2566">
        <v>6837687513</v>
      </c>
      <c r="N383" s="2396">
        <v>12101601</v>
      </c>
      <c r="O383" s="2397" t="s">
        <v>4104</v>
      </c>
      <c r="P383" s="2398">
        <v>6837687513</v>
      </c>
      <c r="Q383" s="2179">
        <v>0</v>
      </c>
      <c r="R383" s="2399">
        <v>0</v>
      </c>
      <c r="S383" s="2400">
        <v>0</v>
      </c>
      <c r="T383" s="2398">
        <v>0</v>
      </c>
      <c r="U383" s="2398">
        <v>6837687513</v>
      </c>
      <c r="V383" s="2401">
        <v>0</v>
      </c>
      <c r="W383" s="2401">
        <v>0</v>
      </c>
      <c r="X383" s="2398">
        <v>6837687513</v>
      </c>
      <c r="Z383" s="2396">
        <v>12101601</v>
      </c>
      <c r="AA383" s="2397" t="s">
        <v>4104</v>
      </c>
      <c r="AB383" s="2398">
        <v>6837687513</v>
      </c>
      <c r="AC383" s="2179">
        <v>0</v>
      </c>
      <c r="AD383" s="2399">
        <v>0</v>
      </c>
      <c r="AE383" s="2400">
        <v>0</v>
      </c>
      <c r="AF383" s="2398">
        <v>0</v>
      </c>
      <c r="AG383" s="2398">
        <v>6837687513</v>
      </c>
      <c r="AH383" s="2401">
        <v>0</v>
      </c>
      <c r="AI383" s="2401">
        <v>0</v>
      </c>
      <c r="AJ383" s="2398">
        <v>6837687513</v>
      </c>
      <c r="AZ383" s="2396">
        <v>12101601</v>
      </c>
      <c r="BA383" s="2397" t="s">
        <v>4104</v>
      </c>
      <c r="BB383" s="2398">
        <v>122059813981</v>
      </c>
      <c r="BC383" s="2179">
        <v>0</v>
      </c>
      <c r="BD383" s="2399">
        <v>0</v>
      </c>
      <c r="BE383" s="2400">
        <v>0</v>
      </c>
      <c r="BF383" s="2398">
        <v>0</v>
      </c>
      <c r="BG383" s="2398">
        <v>122059813981</v>
      </c>
      <c r="BH383" s="2401">
        <v>0</v>
      </c>
      <c r="BI383" s="2401">
        <v>0</v>
      </c>
      <c r="BJ383" s="2398">
        <v>122059813981</v>
      </c>
      <c r="BN383" s="2396">
        <v>12101601</v>
      </c>
      <c r="BO383" s="2397" t="s">
        <v>4104</v>
      </c>
      <c r="BP383" s="2398">
        <v>230783476909</v>
      </c>
      <c r="BQ383" s="2179">
        <v>0</v>
      </c>
      <c r="BR383" s="2399">
        <v>0</v>
      </c>
      <c r="BS383" s="2400">
        <v>0</v>
      </c>
      <c r="BT383" s="2398">
        <v>0</v>
      </c>
      <c r="BU383" s="2398">
        <v>230783476909</v>
      </c>
      <c r="BV383" s="2401">
        <v>0</v>
      </c>
      <c r="BW383" s="2401">
        <v>0</v>
      </c>
      <c r="BX383" s="2398">
        <v>230783476909</v>
      </c>
    </row>
    <row r="384" spans="2:76">
      <c r="B384" s="2558">
        <v>12101700</v>
      </c>
      <c r="C384" s="2571" t="s">
        <v>4105</v>
      </c>
      <c r="D384" s="2560">
        <v>-6837687513</v>
      </c>
      <c r="E384" s="2560">
        <v>0</v>
      </c>
      <c r="F384" s="2561">
        <v>0</v>
      </c>
      <c r="G384" s="2562">
        <v>0</v>
      </c>
      <c r="H384" s="2560">
        <v>0</v>
      </c>
      <c r="I384" s="2560">
        <v>-6837687513</v>
      </c>
      <c r="J384" s="2563">
        <v>0</v>
      </c>
      <c r="K384" s="2563">
        <v>0</v>
      </c>
      <c r="L384" s="2560">
        <v>-6837687513</v>
      </c>
      <c r="N384" s="2390">
        <v>12101700</v>
      </c>
      <c r="O384" s="2403" t="s">
        <v>4105</v>
      </c>
      <c r="P384" s="2392">
        <v>-6837687513</v>
      </c>
      <c r="Q384" s="2392">
        <v>0</v>
      </c>
      <c r="R384" s="2393">
        <v>0</v>
      </c>
      <c r="S384" s="2394">
        <v>0</v>
      </c>
      <c r="T384" s="2392">
        <v>0</v>
      </c>
      <c r="U384" s="2392">
        <v>-6837687513</v>
      </c>
      <c r="V384" s="2395">
        <v>0</v>
      </c>
      <c r="W384" s="2395">
        <v>0</v>
      </c>
      <c r="X384" s="2392">
        <v>-6837687513</v>
      </c>
      <c r="Z384" s="2390">
        <v>12101700</v>
      </c>
      <c r="AA384" s="2403" t="s">
        <v>4105</v>
      </c>
      <c r="AB384" s="2392">
        <v>-6837687513</v>
      </c>
      <c r="AC384" s="2392">
        <v>0</v>
      </c>
      <c r="AD384" s="2393">
        <v>0</v>
      </c>
      <c r="AE384" s="2394">
        <v>0</v>
      </c>
      <c r="AF384" s="2392">
        <v>0</v>
      </c>
      <c r="AG384" s="2392">
        <v>-6837687513</v>
      </c>
      <c r="AH384" s="2395">
        <v>0</v>
      </c>
      <c r="AI384" s="2395">
        <v>0</v>
      </c>
      <c r="AJ384" s="2392">
        <v>-6837687513</v>
      </c>
      <c r="AZ384" s="2390">
        <v>12101700</v>
      </c>
      <c r="BA384" s="2403" t="s">
        <v>4105</v>
      </c>
      <c r="BB384" s="2392">
        <v>-6837687513</v>
      </c>
      <c r="BC384" s="2392">
        <v>0</v>
      </c>
      <c r="BD384" s="2393">
        <v>0</v>
      </c>
      <c r="BE384" s="2394">
        <v>0</v>
      </c>
      <c r="BF384" s="2392">
        <v>0</v>
      </c>
      <c r="BG384" s="2392">
        <v>-6837687513</v>
      </c>
      <c r="BH384" s="2395">
        <v>0</v>
      </c>
      <c r="BI384" s="2395">
        <v>0</v>
      </c>
      <c r="BJ384" s="2392">
        <v>-6837687513</v>
      </c>
      <c r="BN384" s="2390">
        <v>12101700</v>
      </c>
      <c r="BO384" s="2403" t="s">
        <v>4105</v>
      </c>
      <c r="BP384" s="2392">
        <v>-6837687513</v>
      </c>
      <c r="BQ384" s="2392">
        <v>0</v>
      </c>
      <c r="BR384" s="2393">
        <v>0</v>
      </c>
      <c r="BS384" s="2394">
        <v>0</v>
      </c>
      <c r="BT384" s="2392">
        <v>0</v>
      </c>
      <c r="BU384" s="2392">
        <v>-6837687513</v>
      </c>
      <c r="BV384" s="2395">
        <v>0</v>
      </c>
      <c r="BW384" s="2395">
        <v>0</v>
      </c>
      <c r="BX384" s="2392">
        <v>-6837687513</v>
      </c>
    </row>
    <row r="385" spans="2:76">
      <c r="B385" s="2564">
        <v>12101701</v>
      </c>
      <c r="C385" s="2565" t="s">
        <v>4105</v>
      </c>
      <c r="D385" s="2566">
        <v>-6837687513</v>
      </c>
      <c r="E385" s="1080">
        <v>0</v>
      </c>
      <c r="F385" s="2567">
        <v>0</v>
      </c>
      <c r="G385" s="2568">
        <v>0</v>
      </c>
      <c r="H385" s="2566">
        <v>0</v>
      </c>
      <c r="I385" s="2566">
        <v>-6837687513</v>
      </c>
      <c r="J385" s="2569">
        <v>0</v>
      </c>
      <c r="K385" s="2569">
        <v>0</v>
      </c>
      <c r="L385" s="2566">
        <v>-6837687513</v>
      </c>
      <c r="N385" s="2396">
        <v>12101701</v>
      </c>
      <c r="O385" s="2397" t="s">
        <v>4105</v>
      </c>
      <c r="P385" s="2398">
        <v>-6837687513</v>
      </c>
      <c r="Q385" s="2179">
        <v>0</v>
      </c>
      <c r="R385" s="2399">
        <v>0</v>
      </c>
      <c r="S385" s="2400">
        <v>0</v>
      </c>
      <c r="T385" s="2398">
        <v>0</v>
      </c>
      <c r="U385" s="2398">
        <v>-6837687513</v>
      </c>
      <c r="V385" s="2401">
        <v>0</v>
      </c>
      <c r="W385" s="2401">
        <v>0</v>
      </c>
      <c r="X385" s="2398">
        <v>-6837687513</v>
      </c>
      <c r="Z385" s="2396">
        <v>12101701</v>
      </c>
      <c r="AA385" s="2397" t="s">
        <v>4105</v>
      </c>
      <c r="AB385" s="2398">
        <v>-6837687513</v>
      </c>
      <c r="AC385" s="2179">
        <v>0</v>
      </c>
      <c r="AD385" s="2399">
        <v>0</v>
      </c>
      <c r="AE385" s="2400">
        <v>0</v>
      </c>
      <c r="AF385" s="2398">
        <v>0</v>
      </c>
      <c r="AG385" s="2398">
        <v>-6837687513</v>
      </c>
      <c r="AH385" s="2401">
        <v>0</v>
      </c>
      <c r="AI385" s="2401">
        <v>0</v>
      </c>
      <c r="AJ385" s="2398">
        <v>-6837687513</v>
      </c>
      <c r="AZ385" s="2396">
        <v>12101701</v>
      </c>
      <c r="BA385" s="2397" t="s">
        <v>4105</v>
      </c>
      <c r="BB385" s="2398">
        <v>-6837687513</v>
      </c>
      <c r="BC385" s="2179">
        <v>0</v>
      </c>
      <c r="BD385" s="2399">
        <v>0</v>
      </c>
      <c r="BE385" s="2400">
        <v>0</v>
      </c>
      <c r="BF385" s="2398">
        <v>0</v>
      </c>
      <c r="BG385" s="2398">
        <v>-6837687513</v>
      </c>
      <c r="BH385" s="2401">
        <v>0</v>
      </c>
      <c r="BI385" s="2401">
        <v>0</v>
      </c>
      <c r="BJ385" s="2398">
        <v>-6837687513</v>
      </c>
      <c r="BN385" s="2396">
        <v>12101701</v>
      </c>
      <c r="BO385" s="2397" t="s">
        <v>4105</v>
      </c>
      <c r="BP385" s="2398">
        <v>-6837687513</v>
      </c>
      <c r="BQ385" s="2179">
        <v>0</v>
      </c>
      <c r="BR385" s="2399">
        <v>0</v>
      </c>
      <c r="BS385" s="2400">
        <v>0</v>
      </c>
      <c r="BT385" s="2398">
        <v>0</v>
      </c>
      <c r="BU385" s="2398">
        <v>-6837687513</v>
      </c>
      <c r="BV385" s="2401">
        <v>0</v>
      </c>
      <c r="BW385" s="2401">
        <v>0</v>
      </c>
      <c r="BX385" s="2398">
        <v>-6837687513</v>
      </c>
    </row>
    <row r="386" spans="2:76">
      <c r="B386" s="2558">
        <v>12101800</v>
      </c>
      <c r="C386" s="2571" t="s">
        <v>4106</v>
      </c>
      <c r="D386" s="2560">
        <v>0</v>
      </c>
      <c r="E386" s="2560">
        <v>0</v>
      </c>
      <c r="F386" s="2561">
        <v>0</v>
      </c>
      <c r="G386" s="2562">
        <v>0</v>
      </c>
      <c r="H386" s="2560">
        <v>0</v>
      </c>
      <c r="I386" s="2560">
        <v>0</v>
      </c>
      <c r="J386" s="2563">
        <v>0</v>
      </c>
      <c r="K386" s="2563">
        <v>0</v>
      </c>
      <c r="L386" s="2560">
        <v>0</v>
      </c>
      <c r="N386" s="2390">
        <v>12101800</v>
      </c>
      <c r="O386" s="2403" t="s">
        <v>4106</v>
      </c>
      <c r="P386" s="2392">
        <v>0</v>
      </c>
      <c r="Q386" s="2392">
        <v>0</v>
      </c>
      <c r="R386" s="2393">
        <v>0</v>
      </c>
      <c r="S386" s="2394">
        <v>0</v>
      </c>
      <c r="T386" s="2392">
        <v>0</v>
      </c>
      <c r="U386" s="2392">
        <v>0</v>
      </c>
      <c r="V386" s="2395">
        <v>0</v>
      </c>
      <c r="W386" s="2395">
        <v>0</v>
      </c>
      <c r="X386" s="2392">
        <v>0</v>
      </c>
      <c r="Z386" s="2390">
        <v>12101800</v>
      </c>
      <c r="AA386" s="2403" t="s">
        <v>4106</v>
      </c>
      <c r="AB386" s="2392">
        <v>0</v>
      </c>
      <c r="AC386" s="2392">
        <v>0</v>
      </c>
      <c r="AD386" s="2393">
        <v>0</v>
      </c>
      <c r="AE386" s="2394">
        <v>0</v>
      </c>
      <c r="AF386" s="2392">
        <v>0</v>
      </c>
      <c r="AG386" s="2392">
        <v>0</v>
      </c>
      <c r="AH386" s="2395">
        <v>0</v>
      </c>
      <c r="AI386" s="2395">
        <v>0</v>
      </c>
      <c r="AJ386" s="2392">
        <v>0</v>
      </c>
      <c r="AZ386" s="2390">
        <v>12101800</v>
      </c>
      <c r="BA386" s="2403" t="s">
        <v>4106</v>
      </c>
      <c r="BB386" s="2392">
        <v>-8882797901</v>
      </c>
      <c r="BC386" s="2392">
        <v>0</v>
      </c>
      <c r="BD386" s="2393">
        <v>0</v>
      </c>
      <c r="BE386" s="2394">
        <v>0</v>
      </c>
      <c r="BF386" s="2392">
        <v>0</v>
      </c>
      <c r="BG386" s="2392">
        <v>-8882797901</v>
      </c>
      <c r="BH386" s="2395">
        <v>0</v>
      </c>
      <c r="BI386" s="2395">
        <v>0</v>
      </c>
      <c r="BJ386" s="2392">
        <v>-8882797901</v>
      </c>
      <c r="BN386" s="2390">
        <v>12101800</v>
      </c>
      <c r="BO386" s="2403" t="s">
        <v>4106</v>
      </c>
      <c r="BP386" s="2392">
        <v>-23163311071</v>
      </c>
      <c r="BQ386" s="2392">
        <v>0</v>
      </c>
      <c r="BR386" s="2393">
        <v>0</v>
      </c>
      <c r="BS386" s="2394">
        <v>0</v>
      </c>
      <c r="BT386" s="2392">
        <v>0</v>
      </c>
      <c r="BU386" s="2392">
        <v>-23163311071</v>
      </c>
      <c r="BV386" s="2395">
        <v>0</v>
      </c>
      <c r="BW386" s="2395">
        <v>0</v>
      </c>
      <c r="BX386" s="2392">
        <v>-23163311071</v>
      </c>
    </row>
    <row r="387" spans="2:76">
      <c r="B387" s="2564">
        <v>12101801</v>
      </c>
      <c r="C387" s="2565" t="s">
        <v>5008</v>
      </c>
      <c r="D387" s="2566">
        <v>0</v>
      </c>
      <c r="E387" s="1080">
        <v>0</v>
      </c>
      <c r="F387" s="2567">
        <v>0</v>
      </c>
      <c r="G387" s="2568">
        <v>0</v>
      </c>
      <c r="H387" s="2566">
        <v>0</v>
      </c>
      <c r="I387" s="2566">
        <v>0</v>
      </c>
      <c r="J387" s="2569">
        <v>3192854632</v>
      </c>
      <c r="K387" s="2569">
        <v>3192854632</v>
      </c>
      <c r="L387" s="2566">
        <v>0</v>
      </c>
      <c r="N387" s="2396">
        <v>12101801</v>
      </c>
      <c r="O387" s="2397" t="s">
        <v>4106</v>
      </c>
      <c r="P387" s="2398">
        <v>0</v>
      </c>
      <c r="Q387" s="2179">
        <v>0</v>
      </c>
      <c r="R387" s="2399">
        <v>0</v>
      </c>
      <c r="S387" s="2400">
        <v>0</v>
      </c>
      <c r="T387" s="2398">
        <v>0</v>
      </c>
      <c r="U387" s="2398">
        <v>0</v>
      </c>
      <c r="V387" s="2401">
        <v>3192854632</v>
      </c>
      <c r="W387" s="2401">
        <v>3192854632</v>
      </c>
      <c r="X387" s="2398">
        <v>0</v>
      </c>
      <c r="Z387" s="2396">
        <v>12101801</v>
      </c>
      <c r="AA387" s="2397" t="s">
        <v>4106</v>
      </c>
      <c r="AB387" s="2398">
        <v>0</v>
      </c>
      <c r="AC387" s="2179">
        <v>0</v>
      </c>
      <c r="AD387" s="2399">
        <v>0</v>
      </c>
      <c r="AE387" s="2400">
        <v>0</v>
      </c>
      <c r="AF387" s="2398">
        <v>0</v>
      </c>
      <c r="AG387" s="2398">
        <v>0</v>
      </c>
      <c r="AH387" s="2401">
        <v>3192854632</v>
      </c>
      <c r="AI387" s="2401">
        <v>3192854632</v>
      </c>
      <c r="AJ387" s="2398">
        <v>0</v>
      </c>
      <c r="AZ387" s="2396">
        <v>12101801</v>
      </c>
      <c r="BA387" s="2397" t="s">
        <v>4106</v>
      </c>
      <c r="BB387" s="2398">
        <v>-8882797901</v>
      </c>
      <c r="BC387" s="2179">
        <v>0</v>
      </c>
      <c r="BD387" s="2399">
        <v>0</v>
      </c>
      <c r="BE387" s="2400">
        <v>0</v>
      </c>
      <c r="BF387" s="2398">
        <v>0</v>
      </c>
      <c r="BG387" s="2398">
        <v>-8882797901</v>
      </c>
      <c r="BH387" s="2401">
        <v>3192854632</v>
      </c>
      <c r="BI387" s="2401">
        <v>3192854632</v>
      </c>
      <c r="BJ387" s="2398">
        <v>-8882797901</v>
      </c>
      <c r="BN387" s="2396">
        <v>12101801</v>
      </c>
      <c r="BO387" s="2397" t="s">
        <v>4106</v>
      </c>
      <c r="BP387" s="2398">
        <v>-23163311071</v>
      </c>
      <c r="BQ387" s="2179">
        <v>0</v>
      </c>
      <c r="BR387" s="2399">
        <v>0</v>
      </c>
      <c r="BS387" s="2400">
        <v>0</v>
      </c>
      <c r="BT387" s="2398">
        <v>0</v>
      </c>
      <c r="BU387" s="2398">
        <v>-23163311071</v>
      </c>
      <c r="BV387" s="2401">
        <v>3192854632</v>
      </c>
      <c r="BW387" s="2401">
        <v>3192854632</v>
      </c>
      <c r="BX387" s="2398">
        <v>-23163311071</v>
      </c>
    </row>
    <row r="388" spans="2:76">
      <c r="B388" s="2558">
        <v>12102100</v>
      </c>
      <c r="C388" s="2571" t="s">
        <v>4985</v>
      </c>
      <c r="D388" s="2560">
        <v>596806131</v>
      </c>
      <c r="E388" s="2560">
        <v>0</v>
      </c>
      <c r="F388" s="2561">
        <v>0</v>
      </c>
      <c r="G388" s="2562">
        <v>0</v>
      </c>
      <c r="H388" s="2560">
        <v>0</v>
      </c>
      <c r="I388" s="2560">
        <v>596806131</v>
      </c>
      <c r="J388" s="2563">
        <v>0</v>
      </c>
      <c r="K388" s="2563">
        <v>0</v>
      </c>
      <c r="L388" s="2560">
        <v>596806131</v>
      </c>
      <c r="N388" s="2390">
        <v>12102100</v>
      </c>
      <c r="O388" s="2403" t="s">
        <v>4018</v>
      </c>
      <c r="P388" s="2392">
        <v>0</v>
      </c>
      <c r="Q388" s="2392">
        <v>0</v>
      </c>
      <c r="R388" s="2393">
        <v>0</v>
      </c>
      <c r="S388" s="2394">
        <v>0</v>
      </c>
      <c r="T388" s="2392">
        <v>0</v>
      </c>
      <c r="U388" s="2392">
        <v>0</v>
      </c>
      <c r="V388" s="2395">
        <v>0</v>
      </c>
      <c r="W388" s="2395">
        <v>0</v>
      </c>
      <c r="X388" s="2392">
        <v>0</v>
      </c>
      <c r="Z388" s="2390">
        <v>12102100</v>
      </c>
      <c r="AA388" s="2403" t="s">
        <v>4018</v>
      </c>
      <c r="AB388" s="2392">
        <v>0</v>
      </c>
      <c r="AC388" s="2392">
        <v>0</v>
      </c>
      <c r="AD388" s="2393">
        <v>0</v>
      </c>
      <c r="AE388" s="2394">
        <v>0</v>
      </c>
      <c r="AF388" s="2392">
        <v>0</v>
      </c>
      <c r="AG388" s="2392">
        <v>0</v>
      </c>
      <c r="AH388" s="2395">
        <v>0</v>
      </c>
      <c r="AI388" s="2395">
        <v>0</v>
      </c>
      <c r="AJ388" s="2392">
        <v>0</v>
      </c>
      <c r="AZ388" s="2390">
        <v>12102100</v>
      </c>
      <c r="BA388" s="2403" t="s">
        <v>4018</v>
      </c>
      <c r="BB388" s="2392">
        <v>0</v>
      </c>
      <c r="BC388" s="2392">
        <v>0</v>
      </c>
      <c r="BD388" s="2393">
        <v>0</v>
      </c>
      <c r="BE388" s="2394">
        <v>0</v>
      </c>
      <c r="BF388" s="2392">
        <v>0</v>
      </c>
      <c r="BG388" s="2392">
        <v>0</v>
      </c>
      <c r="BH388" s="2395">
        <v>0</v>
      </c>
      <c r="BI388" s="2395">
        <v>0</v>
      </c>
      <c r="BJ388" s="2392">
        <v>0</v>
      </c>
      <c r="BN388" s="2390">
        <v>12102100</v>
      </c>
      <c r="BO388" s="2403" t="s">
        <v>4018</v>
      </c>
      <c r="BP388" s="2392">
        <v>0</v>
      </c>
      <c r="BQ388" s="2392">
        <v>0</v>
      </c>
      <c r="BR388" s="2393">
        <v>0</v>
      </c>
      <c r="BS388" s="2394">
        <v>0</v>
      </c>
      <c r="BT388" s="2392">
        <v>0</v>
      </c>
      <c r="BU388" s="2392">
        <v>0</v>
      </c>
      <c r="BV388" s="2395">
        <v>0</v>
      </c>
      <c r="BW388" s="2395">
        <v>0</v>
      </c>
      <c r="BX388" s="2392">
        <v>0</v>
      </c>
    </row>
    <row r="389" spans="2:76">
      <c r="B389" s="2564">
        <v>12102101</v>
      </c>
      <c r="C389" s="2565" t="s">
        <v>4985</v>
      </c>
      <c r="D389" s="2566">
        <v>596806131</v>
      </c>
      <c r="E389" s="1080">
        <v>0</v>
      </c>
      <c r="F389" s="2567">
        <v>0</v>
      </c>
      <c r="G389" s="2568">
        <v>0</v>
      </c>
      <c r="H389" s="2566">
        <v>0</v>
      </c>
      <c r="I389" s="2566">
        <v>596806131</v>
      </c>
      <c r="J389" s="2569">
        <v>0</v>
      </c>
      <c r="K389" s="2569">
        <v>0</v>
      </c>
      <c r="L389" s="2566">
        <v>596806131</v>
      </c>
      <c r="N389" s="2396">
        <v>12102101</v>
      </c>
      <c r="O389" s="2397" t="s">
        <v>4018</v>
      </c>
      <c r="P389" s="2398">
        <v>0</v>
      </c>
      <c r="Q389" s="2179">
        <v>0</v>
      </c>
      <c r="R389" s="2399">
        <v>0</v>
      </c>
      <c r="S389" s="2400">
        <v>0</v>
      </c>
      <c r="T389" s="2398">
        <v>0</v>
      </c>
      <c r="U389" s="2398">
        <v>0</v>
      </c>
      <c r="V389" s="2401">
        <v>0</v>
      </c>
      <c r="W389" s="2401">
        <v>0</v>
      </c>
      <c r="X389" s="2398">
        <v>0</v>
      </c>
      <c r="Z389" s="2396">
        <v>12102101</v>
      </c>
      <c r="AA389" s="2397" t="s">
        <v>4018</v>
      </c>
      <c r="AB389" s="2398">
        <v>0</v>
      </c>
      <c r="AC389" s="2179">
        <v>0</v>
      </c>
      <c r="AD389" s="2399">
        <v>0</v>
      </c>
      <c r="AE389" s="2400">
        <v>0</v>
      </c>
      <c r="AF389" s="2398">
        <v>0</v>
      </c>
      <c r="AG389" s="2398">
        <v>0</v>
      </c>
      <c r="AH389" s="2401">
        <v>0</v>
      </c>
      <c r="AI389" s="2401">
        <v>0</v>
      </c>
      <c r="AJ389" s="2398">
        <v>0</v>
      </c>
      <c r="AZ389" s="2396">
        <v>12102101</v>
      </c>
      <c r="BA389" s="2397" t="s">
        <v>4018</v>
      </c>
      <c r="BB389" s="2398">
        <v>0</v>
      </c>
      <c r="BC389" s="2179">
        <v>0</v>
      </c>
      <c r="BD389" s="2399">
        <v>0</v>
      </c>
      <c r="BE389" s="2400">
        <v>0</v>
      </c>
      <c r="BF389" s="2398">
        <v>0</v>
      </c>
      <c r="BG389" s="2398">
        <v>0</v>
      </c>
      <c r="BH389" s="2401">
        <v>0</v>
      </c>
      <c r="BI389" s="2401">
        <v>0</v>
      </c>
      <c r="BJ389" s="2398">
        <v>0</v>
      </c>
      <c r="BN389" s="2396">
        <v>12102101</v>
      </c>
      <c r="BO389" s="2397" t="s">
        <v>4018</v>
      </c>
      <c r="BP389" s="2398">
        <v>0</v>
      </c>
      <c r="BQ389" s="2179">
        <v>0</v>
      </c>
      <c r="BR389" s="2399">
        <v>0</v>
      </c>
      <c r="BS389" s="2400">
        <v>0</v>
      </c>
      <c r="BT389" s="2398">
        <v>0</v>
      </c>
      <c r="BU389" s="2398">
        <v>0</v>
      </c>
      <c r="BV389" s="2401">
        <v>0</v>
      </c>
      <c r="BW389" s="2401">
        <v>0</v>
      </c>
      <c r="BX389" s="2398">
        <v>0</v>
      </c>
    </row>
    <row r="390" spans="2:76">
      <c r="B390" s="2558">
        <v>12101900</v>
      </c>
      <c r="C390" s="2571" t="s">
        <v>4107</v>
      </c>
      <c r="D390" s="2560">
        <v>14000000</v>
      </c>
      <c r="E390" s="2560">
        <v>2000000</v>
      </c>
      <c r="F390" s="2561">
        <v>2100000</v>
      </c>
      <c r="G390" s="2562">
        <v>212500000</v>
      </c>
      <c r="H390" s="2560">
        <v>0</v>
      </c>
      <c r="I390" s="2560">
        <v>230600000</v>
      </c>
      <c r="J390" s="2563">
        <v>0</v>
      </c>
      <c r="K390" s="2563">
        <v>0</v>
      </c>
      <c r="L390" s="2560">
        <v>230600000</v>
      </c>
      <c r="N390" s="2390">
        <v>12101900</v>
      </c>
      <c r="O390" s="2403" t="s">
        <v>4107</v>
      </c>
      <c r="P390" s="2392">
        <v>14000000</v>
      </c>
      <c r="Q390" s="2392">
        <v>2000000</v>
      </c>
      <c r="R390" s="2393">
        <v>2100000</v>
      </c>
      <c r="S390" s="2394">
        <v>212500000</v>
      </c>
      <c r="T390" s="2392">
        <v>0</v>
      </c>
      <c r="U390" s="2392">
        <v>230600000</v>
      </c>
      <c r="V390" s="2395">
        <v>0</v>
      </c>
      <c r="W390" s="2395">
        <v>0</v>
      </c>
      <c r="X390" s="2392">
        <v>230600000</v>
      </c>
      <c r="Z390" s="2390">
        <v>12101900</v>
      </c>
      <c r="AA390" s="2403" t="s">
        <v>4107</v>
      </c>
      <c r="AB390" s="2392">
        <v>14000000</v>
      </c>
      <c r="AC390" s="2392">
        <v>2000000</v>
      </c>
      <c r="AD390" s="2393">
        <v>2100000</v>
      </c>
      <c r="AE390" s="2394">
        <v>0</v>
      </c>
      <c r="AF390" s="2392">
        <v>0</v>
      </c>
      <c r="AG390" s="2392">
        <v>18100000</v>
      </c>
      <c r="AH390" s="2395">
        <v>0</v>
      </c>
      <c r="AI390" s="2395">
        <v>0</v>
      </c>
      <c r="AJ390" s="2392">
        <v>18100000</v>
      </c>
      <c r="AZ390" s="2390">
        <v>12101900</v>
      </c>
      <c r="BA390" s="2403" t="s">
        <v>4107</v>
      </c>
      <c r="BB390" s="2392">
        <v>14000000</v>
      </c>
      <c r="BC390" s="2392">
        <v>2000000</v>
      </c>
      <c r="BD390" s="2393">
        <v>117564710</v>
      </c>
      <c r="BE390" s="2394">
        <v>0</v>
      </c>
      <c r="BF390" s="2392">
        <v>0</v>
      </c>
      <c r="BG390" s="2392">
        <v>133564710</v>
      </c>
      <c r="BH390" s="2395">
        <v>0</v>
      </c>
      <c r="BI390" s="2395">
        <v>0</v>
      </c>
      <c r="BJ390" s="2392">
        <v>133564710</v>
      </c>
      <c r="BN390" s="2390">
        <v>12101900</v>
      </c>
      <c r="BO390" s="2403" t="s">
        <v>4107</v>
      </c>
      <c r="BP390" s="2392">
        <v>14000000</v>
      </c>
      <c r="BQ390" s="2392">
        <v>2000000</v>
      </c>
      <c r="BR390" s="2393">
        <v>88240081</v>
      </c>
      <c r="BS390" s="2394">
        <v>0</v>
      </c>
      <c r="BT390" s="2392">
        <v>0</v>
      </c>
      <c r="BU390" s="2392">
        <v>104240081</v>
      </c>
      <c r="BV390" s="2395">
        <v>0</v>
      </c>
      <c r="BW390" s="2395">
        <v>0</v>
      </c>
      <c r="BX390" s="2392">
        <v>104240081</v>
      </c>
    </row>
    <row r="391" spans="2:76">
      <c r="B391" s="2564">
        <v>12101901</v>
      </c>
      <c r="C391" s="2565" t="s">
        <v>4108</v>
      </c>
      <c r="D391" s="2566">
        <v>0</v>
      </c>
      <c r="E391" s="1080">
        <v>0</v>
      </c>
      <c r="F391" s="2567">
        <v>0</v>
      </c>
      <c r="G391" s="2568">
        <v>0</v>
      </c>
      <c r="H391" s="2566">
        <v>0</v>
      </c>
      <c r="I391" s="2566">
        <v>0</v>
      </c>
      <c r="J391" s="2569">
        <v>0</v>
      </c>
      <c r="K391" s="2569">
        <v>0</v>
      </c>
      <c r="L391" s="2566">
        <v>0</v>
      </c>
      <c r="N391" s="2396">
        <v>12101901</v>
      </c>
      <c r="O391" s="2397" t="s">
        <v>4108</v>
      </c>
      <c r="P391" s="2398">
        <v>0</v>
      </c>
      <c r="Q391" s="2179">
        <v>0</v>
      </c>
      <c r="R391" s="2399">
        <v>0</v>
      </c>
      <c r="S391" s="2400">
        <v>0</v>
      </c>
      <c r="T391" s="2398">
        <v>0</v>
      </c>
      <c r="U391" s="2398">
        <v>0</v>
      </c>
      <c r="V391" s="2401">
        <v>0</v>
      </c>
      <c r="W391" s="2401">
        <v>0</v>
      </c>
      <c r="X391" s="2398">
        <v>0</v>
      </c>
      <c r="Z391" s="2396">
        <v>12101901</v>
      </c>
      <c r="AA391" s="2397" t="s">
        <v>4108</v>
      </c>
      <c r="AB391" s="2398">
        <v>0</v>
      </c>
      <c r="AC391" s="2179">
        <v>0</v>
      </c>
      <c r="AD391" s="2399">
        <v>0</v>
      </c>
      <c r="AE391" s="2400">
        <v>0</v>
      </c>
      <c r="AF391" s="2398">
        <v>0</v>
      </c>
      <c r="AG391" s="2398">
        <v>0</v>
      </c>
      <c r="AH391" s="2401">
        <v>0</v>
      </c>
      <c r="AI391" s="2401">
        <v>0</v>
      </c>
      <c r="AJ391" s="2398">
        <v>0</v>
      </c>
      <c r="AZ391" s="2396">
        <v>12101901</v>
      </c>
      <c r="BA391" s="2397" t="s">
        <v>4108</v>
      </c>
      <c r="BB391" s="2398">
        <v>0</v>
      </c>
      <c r="BC391" s="2179">
        <v>0</v>
      </c>
      <c r="BD391" s="2399">
        <v>0</v>
      </c>
      <c r="BE391" s="2400">
        <v>0</v>
      </c>
      <c r="BF391" s="2398">
        <v>0</v>
      </c>
      <c r="BG391" s="2398">
        <v>0</v>
      </c>
      <c r="BH391" s="2401">
        <v>0</v>
      </c>
      <c r="BI391" s="2401">
        <v>0</v>
      </c>
      <c r="BJ391" s="2398">
        <v>0</v>
      </c>
      <c r="BN391" s="2396">
        <v>12101901</v>
      </c>
      <c r="BO391" s="2397" t="s">
        <v>4108</v>
      </c>
      <c r="BP391" s="2398">
        <v>0</v>
      </c>
      <c r="BQ391" s="2179">
        <v>0</v>
      </c>
      <c r="BR391" s="2399">
        <v>0</v>
      </c>
      <c r="BS391" s="2400">
        <v>0</v>
      </c>
      <c r="BT391" s="2398">
        <v>0</v>
      </c>
      <c r="BU391" s="2398">
        <v>0</v>
      </c>
      <c r="BV391" s="2401">
        <v>0</v>
      </c>
      <c r="BW391" s="2401">
        <v>0</v>
      </c>
      <c r="BX391" s="2398">
        <v>0</v>
      </c>
    </row>
    <row r="392" spans="2:76">
      <c r="B392" s="2564">
        <v>12101902</v>
      </c>
      <c r="C392" s="2565" t="s">
        <v>4109</v>
      </c>
      <c r="D392" s="2566">
        <v>0</v>
      </c>
      <c r="E392" s="1080">
        <v>0</v>
      </c>
      <c r="F392" s="2567">
        <v>0</v>
      </c>
      <c r="G392" s="2568">
        <v>0</v>
      </c>
      <c r="H392" s="2566">
        <v>0</v>
      </c>
      <c r="I392" s="2566">
        <v>0</v>
      </c>
      <c r="J392" s="2569">
        <v>0</v>
      </c>
      <c r="K392" s="2569">
        <v>0</v>
      </c>
      <c r="L392" s="2566">
        <v>0</v>
      </c>
      <c r="N392" s="2396">
        <v>12101902</v>
      </c>
      <c r="O392" s="2397" t="s">
        <v>4109</v>
      </c>
      <c r="P392" s="2398">
        <v>0</v>
      </c>
      <c r="Q392" s="2179">
        <v>0</v>
      </c>
      <c r="R392" s="2399">
        <v>0</v>
      </c>
      <c r="S392" s="2400">
        <v>0</v>
      </c>
      <c r="T392" s="2398">
        <v>0</v>
      </c>
      <c r="U392" s="2398">
        <v>0</v>
      </c>
      <c r="V392" s="2401">
        <v>0</v>
      </c>
      <c r="W392" s="2401">
        <v>0</v>
      </c>
      <c r="X392" s="2398">
        <v>0</v>
      </c>
      <c r="Z392" s="2396">
        <v>12101902</v>
      </c>
      <c r="AA392" s="2397" t="s">
        <v>4109</v>
      </c>
      <c r="AB392" s="2398">
        <v>0</v>
      </c>
      <c r="AC392" s="2179">
        <v>0</v>
      </c>
      <c r="AD392" s="2399">
        <v>0</v>
      </c>
      <c r="AE392" s="2400">
        <v>0</v>
      </c>
      <c r="AF392" s="2398">
        <v>0</v>
      </c>
      <c r="AG392" s="2398">
        <v>0</v>
      </c>
      <c r="AH392" s="2401">
        <v>0</v>
      </c>
      <c r="AI392" s="2401">
        <v>0</v>
      </c>
      <c r="AJ392" s="2398">
        <v>0</v>
      </c>
      <c r="AZ392" s="2396">
        <v>12101902</v>
      </c>
      <c r="BA392" s="2397" t="s">
        <v>4109</v>
      </c>
      <c r="BB392" s="2398">
        <v>0</v>
      </c>
      <c r="BC392" s="2179">
        <v>0</v>
      </c>
      <c r="BD392" s="2399">
        <v>0</v>
      </c>
      <c r="BE392" s="2400">
        <v>0</v>
      </c>
      <c r="BF392" s="2398">
        <v>0</v>
      </c>
      <c r="BG392" s="2398">
        <v>0</v>
      </c>
      <c r="BH392" s="2401">
        <v>0</v>
      </c>
      <c r="BI392" s="2401">
        <v>0</v>
      </c>
      <c r="BJ392" s="2398">
        <v>0</v>
      </c>
      <c r="BN392" s="2396">
        <v>12101902</v>
      </c>
      <c r="BO392" s="2397" t="s">
        <v>4109</v>
      </c>
      <c r="BP392" s="2398">
        <v>0</v>
      </c>
      <c r="BQ392" s="2179">
        <v>0</v>
      </c>
      <c r="BR392" s="2399">
        <v>0</v>
      </c>
      <c r="BS392" s="2400">
        <v>0</v>
      </c>
      <c r="BT392" s="2398">
        <v>0</v>
      </c>
      <c r="BU392" s="2398">
        <v>0</v>
      </c>
      <c r="BV392" s="2401">
        <v>0</v>
      </c>
      <c r="BW392" s="2401">
        <v>0</v>
      </c>
      <c r="BX392" s="2398">
        <v>0</v>
      </c>
    </row>
    <row r="393" spans="2:76">
      <c r="B393" s="2564">
        <v>12101903</v>
      </c>
      <c r="C393" s="2565" t="s">
        <v>4110</v>
      </c>
      <c r="D393" s="2566">
        <v>14000000</v>
      </c>
      <c r="E393" s="1080">
        <v>2000000</v>
      </c>
      <c r="F393" s="2567">
        <v>2100000</v>
      </c>
      <c r="G393" s="2568">
        <v>212500000</v>
      </c>
      <c r="H393" s="2566">
        <v>0</v>
      </c>
      <c r="I393" s="2566">
        <v>230600000</v>
      </c>
      <c r="J393" s="2569">
        <v>0</v>
      </c>
      <c r="K393" s="2569">
        <v>0</v>
      </c>
      <c r="L393" s="2566">
        <v>230600000</v>
      </c>
      <c r="N393" s="2396">
        <v>12101903</v>
      </c>
      <c r="O393" s="2397" t="s">
        <v>4110</v>
      </c>
      <c r="P393" s="2398">
        <v>14000000</v>
      </c>
      <c r="Q393" s="2179">
        <v>2000000</v>
      </c>
      <c r="R393" s="2399">
        <v>2100000</v>
      </c>
      <c r="S393" s="2400">
        <v>212500000</v>
      </c>
      <c r="T393" s="2398">
        <v>0</v>
      </c>
      <c r="U393" s="2398">
        <v>230600000</v>
      </c>
      <c r="V393" s="2401">
        <v>0</v>
      </c>
      <c r="W393" s="2401">
        <v>0</v>
      </c>
      <c r="X393" s="2398">
        <v>230600000</v>
      </c>
      <c r="Y393" s="699" t="s">
        <v>3580</v>
      </c>
      <c r="Z393" s="2396">
        <v>12101903</v>
      </c>
      <c r="AA393" s="2397" t="s">
        <v>4110</v>
      </c>
      <c r="AB393" s="2398">
        <v>14000000</v>
      </c>
      <c r="AC393" s="2179">
        <v>2000000</v>
      </c>
      <c r="AD393" s="2399">
        <v>2100000</v>
      </c>
      <c r="AE393" s="2400">
        <v>0</v>
      </c>
      <c r="AF393" s="2398">
        <v>0</v>
      </c>
      <c r="AG393" s="2398">
        <v>18100000</v>
      </c>
      <c r="AH393" s="2401">
        <v>0</v>
      </c>
      <c r="AI393" s="2401">
        <v>0</v>
      </c>
      <c r="AJ393" s="2398">
        <v>18100000</v>
      </c>
      <c r="AZ393" s="2396">
        <v>12101903</v>
      </c>
      <c r="BA393" s="2397" t="s">
        <v>4110</v>
      </c>
      <c r="BB393" s="2398">
        <v>14000000</v>
      </c>
      <c r="BC393" s="2179">
        <v>2000000</v>
      </c>
      <c r="BD393" s="2399">
        <v>117564710</v>
      </c>
      <c r="BE393" s="2400">
        <v>0</v>
      </c>
      <c r="BF393" s="2398">
        <v>0</v>
      </c>
      <c r="BG393" s="2398">
        <v>133564710</v>
      </c>
      <c r="BH393" s="2401">
        <v>0</v>
      </c>
      <c r="BI393" s="2401">
        <v>0</v>
      </c>
      <c r="BJ393" s="2398">
        <v>133564710</v>
      </c>
      <c r="BN393" s="2396">
        <v>12101903</v>
      </c>
      <c r="BO393" s="2397" t="s">
        <v>4110</v>
      </c>
      <c r="BP393" s="2398">
        <v>14000000</v>
      </c>
      <c r="BQ393" s="2179">
        <v>2000000</v>
      </c>
      <c r="BR393" s="2399">
        <v>88240081</v>
      </c>
      <c r="BS393" s="2400">
        <v>0</v>
      </c>
      <c r="BT393" s="2398">
        <v>0</v>
      </c>
      <c r="BU393" s="2398">
        <v>104240081</v>
      </c>
      <c r="BV393" s="2401">
        <v>0</v>
      </c>
      <c r="BW393" s="2401">
        <v>0</v>
      </c>
      <c r="BX393" s="2398">
        <v>104240081</v>
      </c>
    </row>
    <row r="394" spans="2:76">
      <c r="B394" s="2558">
        <v>12102000</v>
      </c>
      <c r="C394" s="2571" t="s">
        <v>4111</v>
      </c>
      <c r="D394" s="2560">
        <v>11289700511</v>
      </c>
      <c r="E394" s="2560">
        <v>1084900809</v>
      </c>
      <c r="F394" s="2561">
        <v>80000000</v>
      </c>
      <c r="G394" s="2562">
        <v>192580939</v>
      </c>
      <c r="H394" s="2560">
        <v>854870</v>
      </c>
      <c r="I394" s="2560">
        <v>12648037129</v>
      </c>
      <c r="J394" s="2563">
        <v>0</v>
      </c>
      <c r="K394" s="2563">
        <v>0</v>
      </c>
      <c r="L394" s="2560">
        <v>12648037129</v>
      </c>
      <c r="N394" s="2390">
        <v>12102000</v>
      </c>
      <c r="O394" s="2403" t="s">
        <v>4111</v>
      </c>
      <c r="P394" s="2392">
        <v>11163771062</v>
      </c>
      <c r="Q394" s="2392">
        <v>1244900809</v>
      </c>
      <c r="R394" s="2393">
        <v>80000000</v>
      </c>
      <c r="S394" s="2394">
        <v>191208274</v>
      </c>
      <c r="T394" s="2392">
        <v>815261</v>
      </c>
      <c r="U394" s="2392">
        <v>12680695406</v>
      </c>
      <c r="V394" s="2395">
        <v>0</v>
      </c>
      <c r="W394" s="2395">
        <v>0</v>
      </c>
      <c r="X394" s="2392">
        <v>12680695406</v>
      </c>
      <c r="Z394" s="2390">
        <v>12102000</v>
      </c>
      <c r="AA394" s="2403" t="s">
        <v>4111</v>
      </c>
      <c r="AB394" s="2392">
        <v>10911912164</v>
      </c>
      <c r="AC394" s="2392">
        <v>840639159</v>
      </c>
      <c r="AD394" s="2393">
        <v>80000000</v>
      </c>
      <c r="AE394" s="2394">
        <v>188462944</v>
      </c>
      <c r="AF394" s="2392">
        <v>784959</v>
      </c>
      <c r="AG394" s="2392">
        <v>12021799226</v>
      </c>
      <c r="AH394" s="2395">
        <v>0</v>
      </c>
      <c r="AI394" s="2395">
        <v>0</v>
      </c>
      <c r="AJ394" s="2392">
        <v>12021799226</v>
      </c>
      <c r="AZ394" s="2390">
        <v>12102000</v>
      </c>
      <c r="BA394" s="2403" t="s">
        <v>4111</v>
      </c>
      <c r="BB394" s="2392">
        <v>10149397615</v>
      </c>
      <c r="BC394" s="2392">
        <v>705079484</v>
      </c>
      <c r="BD394" s="2393">
        <v>0</v>
      </c>
      <c r="BE394" s="2394">
        <v>185272284</v>
      </c>
      <c r="BF394" s="2392">
        <v>738144</v>
      </c>
      <c r="BG394" s="2392">
        <v>11040487527</v>
      </c>
      <c r="BH394" s="2395">
        <v>0</v>
      </c>
      <c r="BI394" s="2395">
        <v>0</v>
      </c>
      <c r="BJ394" s="2392">
        <v>11040487527</v>
      </c>
      <c r="BN394" s="2390">
        <v>12102000</v>
      </c>
      <c r="BO394" s="2403" t="s">
        <v>4111</v>
      </c>
      <c r="BP394" s="2392">
        <v>10116835713</v>
      </c>
      <c r="BQ394" s="2392">
        <v>671057484</v>
      </c>
      <c r="BR394" s="2393">
        <v>60000000</v>
      </c>
      <c r="BS394" s="2394">
        <v>197734370</v>
      </c>
      <c r="BT394" s="2392">
        <v>712833</v>
      </c>
      <c r="BU394" s="2392">
        <v>11046340400</v>
      </c>
      <c r="BV394" s="2395">
        <v>0</v>
      </c>
      <c r="BW394" s="2395">
        <v>0</v>
      </c>
      <c r="BX394" s="2392">
        <v>11046340400</v>
      </c>
    </row>
    <row r="395" spans="2:76">
      <c r="B395" s="2564">
        <v>12102001</v>
      </c>
      <c r="C395" s="2565" t="s">
        <v>4112</v>
      </c>
      <c r="D395" s="2566">
        <v>10463050</v>
      </c>
      <c r="E395" s="1080">
        <v>202000</v>
      </c>
      <c r="F395" s="2567">
        <v>0</v>
      </c>
      <c r="G395" s="2568">
        <v>0</v>
      </c>
      <c r="H395" s="2566">
        <v>0</v>
      </c>
      <c r="I395" s="2566">
        <v>10665050</v>
      </c>
      <c r="J395" s="2569">
        <v>0</v>
      </c>
      <c r="K395" s="2569">
        <v>0</v>
      </c>
      <c r="L395" s="2566">
        <v>10665050</v>
      </c>
      <c r="N395" s="2396">
        <v>12102001</v>
      </c>
      <c r="O395" s="2397" t="s">
        <v>4112</v>
      </c>
      <c r="P395" s="2398">
        <v>10463050</v>
      </c>
      <c r="Q395" s="2179">
        <v>202000</v>
      </c>
      <c r="R395" s="2399">
        <v>0</v>
      </c>
      <c r="S395" s="2400">
        <v>0</v>
      </c>
      <c r="T395" s="2398">
        <v>0</v>
      </c>
      <c r="U395" s="2398">
        <v>10665050</v>
      </c>
      <c r="V395" s="2401">
        <v>0</v>
      </c>
      <c r="W395" s="2401">
        <v>0</v>
      </c>
      <c r="X395" s="2398">
        <v>10665050</v>
      </c>
      <c r="Z395" s="2396">
        <v>12102001</v>
      </c>
      <c r="AA395" s="2397" t="s">
        <v>4112</v>
      </c>
      <c r="AB395" s="2398">
        <v>10463050</v>
      </c>
      <c r="AC395" s="2179">
        <v>202000</v>
      </c>
      <c r="AD395" s="2399">
        <v>0</v>
      </c>
      <c r="AE395" s="2400">
        <v>0</v>
      </c>
      <c r="AF395" s="2398">
        <v>0</v>
      </c>
      <c r="AG395" s="2398">
        <v>10665050</v>
      </c>
      <c r="AH395" s="2401">
        <v>0</v>
      </c>
      <c r="AI395" s="2401">
        <v>0</v>
      </c>
      <c r="AJ395" s="2398">
        <v>10665050</v>
      </c>
      <c r="AZ395" s="2396">
        <v>12102001</v>
      </c>
      <c r="BA395" s="2397" t="s">
        <v>4112</v>
      </c>
      <c r="BB395" s="2398">
        <v>10463050</v>
      </c>
      <c r="BC395" s="2179">
        <v>202000</v>
      </c>
      <c r="BD395" s="2399">
        <v>0</v>
      </c>
      <c r="BE395" s="2400">
        <v>0</v>
      </c>
      <c r="BF395" s="2398">
        <v>0</v>
      </c>
      <c r="BG395" s="2398">
        <v>10665050</v>
      </c>
      <c r="BH395" s="2401">
        <v>0</v>
      </c>
      <c r="BI395" s="2401">
        <v>0</v>
      </c>
      <c r="BJ395" s="2398">
        <v>10665050</v>
      </c>
      <c r="BN395" s="2396">
        <v>12102001</v>
      </c>
      <c r="BO395" s="2397" t="s">
        <v>4112</v>
      </c>
      <c r="BP395" s="2398">
        <v>10463050</v>
      </c>
      <c r="BQ395" s="2179">
        <v>1260000</v>
      </c>
      <c r="BR395" s="2399">
        <v>0</v>
      </c>
      <c r="BS395" s="2400">
        <v>0</v>
      </c>
      <c r="BT395" s="2398">
        <v>0</v>
      </c>
      <c r="BU395" s="2398">
        <v>11723050</v>
      </c>
      <c r="BV395" s="2401">
        <v>0</v>
      </c>
      <c r="BW395" s="2401">
        <v>0</v>
      </c>
      <c r="BX395" s="2398">
        <v>11723050</v>
      </c>
    </row>
    <row r="396" spans="2:76">
      <c r="B396" s="2564">
        <v>12102002</v>
      </c>
      <c r="C396" s="2565" t="s">
        <v>5009</v>
      </c>
      <c r="D396" s="2566">
        <v>11597947400</v>
      </c>
      <c r="E396" s="1080">
        <v>1072000000</v>
      </c>
      <c r="F396" s="2567">
        <v>80000000</v>
      </c>
      <c r="G396" s="2568">
        <v>193038490</v>
      </c>
      <c r="H396" s="2566">
        <v>854870</v>
      </c>
      <c r="I396" s="2566">
        <v>12943840760</v>
      </c>
      <c r="J396" s="2569">
        <v>0</v>
      </c>
      <c r="K396" s="2569">
        <v>0</v>
      </c>
      <c r="L396" s="2566">
        <v>12943840760</v>
      </c>
      <c r="N396" s="2396">
        <v>12102002</v>
      </c>
      <c r="O396" s="2397" t="s">
        <v>4113</v>
      </c>
      <c r="P396" s="2398">
        <v>11597947400</v>
      </c>
      <c r="Q396" s="2179">
        <v>1232000000</v>
      </c>
      <c r="R396" s="2399">
        <v>80000000</v>
      </c>
      <c r="S396" s="2400">
        <v>193038490</v>
      </c>
      <c r="T396" s="2398">
        <v>815261</v>
      </c>
      <c r="U396" s="2398">
        <v>13103801151</v>
      </c>
      <c r="V396" s="2401">
        <v>0</v>
      </c>
      <c r="W396" s="2401">
        <v>0</v>
      </c>
      <c r="X396" s="2398">
        <v>13103801151</v>
      </c>
      <c r="Z396" s="2396">
        <v>12102002</v>
      </c>
      <c r="AA396" s="2397" t="s">
        <v>4113</v>
      </c>
      <c r="AB396" s="2398">
        <v>11597947400</v>
      </c>
      <c r="AC396" s="2179">
        <v>832000000</v>
      </c>
      <c r="AD396" s="2399">
        <v>80000000</v>
      </c>
      <c r="AE396" s="2400">
        <v>193038490</v>
      </c>
      <c r="AF396" s="2398">
        <v>784959</v>
      </c>
      <c r="AG396" s="2398">
        <v>12703770849</v>
      </c>
      <c r="AH396" s="2401">
        <v>0</v>
      </c>
      <c r="AI396" s="2401">
        <v>0</v>
      </c>
      <c r="AJ396" s="2398">
        <v>12703770849</v>
      </c>
      <c r="AZ396" s="2396">
        <v>12102002</v>
      </c>
      <c r="BA396" s="2397" t="s">
        <v>4113</v>
      </c>
      <c r="BB396" s="2398">
        <v>11190971400</v>
      </c>
      <c r="BC396" s="2179">
        <v>695000000</v>
      </c>
      <c r="BD396" s="2399">
        <v>0</v>
      </c>
      <c r="BE396" s="2400">
        <v>195338490</v>
      </c>
      <c r="BF396" s="2398">
        <v>738144</v>
      </c>
      <c r="BG396" s="2398">
        <v>12082048034</v>
      </c>
      <c r="BH396" s="2401">
        <v>0</v>
      </c>
      <c r="BI396" s="2401">
        <v>0</v>
      </c>
      <c r="BJ396" s="2398">
        <v>12082048034</v>
      </c>
      <c r="BN396" s="2396">
        <v>12102002</v>
      </c>
      <c r="BO396" s="2397" t="s">
        <v>4113</v>
      </c>
      <c r="BP396" s="2398">
        <v>11357136263</v>
      </c>
      <c r="BQ396" s="2179">
        <v>690000000</v>
      </c>
      <c r="BR396" s="2399">
        <v>60000000</v>
      </c>
      <c r="BS396" s="2400">
        <v>197734370</v>
      </c>
      <c r="BT396" s="2398">
        <v>712833</v>
      </c>
      <c r="BU396" s="2398">
        <v>12305583466</v>
      </c>
      <c r="BV396" s="2401">
        <v>0</v>
      </c>
      <c r="BW396" s="2401">
        <v>0</v>
      </c>
      <c r="BX396" s="2398">
        <v>12305583466</v>
      </c>
    </row>
    <row r="397" spans="2:76">
      <c r="B397" s="2564">
        <v>12102003</v>
      </c>
      <c r="C397" s="2565" t="s">
        <v>5010</v>
      </c>
      <c r="D397" s="2566">
        <v>0</v>
      </c>
      <c r="E397" s="1080">
        <v>0</v>
      </c>
      <c r="F397" s="2567">
        <v>0</v>
      </c>
      <c r="G397" s="2568">
        <v>0</v>
      </c>
      <c r="H397" s="2566">
        <v>0</v>
      </c>
      <c r="I397" s="2566">
        <v>0</v>
      </c>
      <c r="J397" s="2569">
        <v>0</v>
      </c>
      <c r="K397" s="2569">
        <v>0</v>
      </c>
      <c r="L397" s="2566">
        <v>0</v>
      </c>
      <c r="N397" s="2396">
        <v>12102003</v>
      </c>
      <c r="O397" s="2397" t="s">
        <v>4114</v>
      </c>
      <c r="P397" s="2398">
        <v>0</v>
      </c>
      <c r="Q397" s="2179">
        <v>0</v>
      </c>
      <c r="R397" s="2399">
        <v>0</v>
      </c>
      <c r="S397" s="2400">
        <v>0</v>
      </c>
      <c r="T397" s="2398">
        <v>0</v>
      </c>
      <c r="U397" s="2398">
        <v>0</v>
      </c>
      <c r="V397" s="2401">
        <v>0</v>
      </c>
      <c r="W397" s="2401">
        <v>0</v>
      </c>
      <c r="X397" s="2398">
        <v>0</v>
      </c>
      <c r="Z397" s="2396">
        <v>12102003</v>
      </c>
      <c r="AA397" s="2397" t="s">
        <v>4114</v>
      </c>
      <c r="AB397" s="2398">
        <v>0</v>
      </c>
      <c r="AC397" s="2179">
        <v>0</v>
      </c>
      <c r="AD397" s="2399">
        <v>0</v>
      </c>
      <c r="AE397" s="2400">
        <v>0</v>
      </c>
      <c r="AF397" s="2398">
        <v>0</v>
      </c>
      <c r="AG397" s="2398">
        <v>0</v>
      </c>
      <c r="AH397" s="2401">
        <v>0</v>
      </c>
      <c r="AI397" s="2401">
        <v>0</v>
      </c>
      <c r="AJ397" s="2398">
        <v>0</v>
      </c>
      <c r="AZ397" s="2396">
        <v>12102003</v>
      </c>
      <c r="BA397" s="2397" t="s">
        <v>4114</v>
      </c>
      <c r="BB397" s="2398">
        <v>0</v>
      </c>
      <c r="BC397" s="2179">
        <v>0</v>
      </c>
      <c r="BD397" s="2399">
        <v>0</v>
      </c>
      <c r="BE397" s="2400">
        <v>0</v>
      </c>
      <c r="BF397" s="2398">
        <v>0</v>
      </c>
      <c r="BG397" s="2398">
        <v>0</v>
      </c>
      <c r="BH397" s="2401">
        <v>0</v>
      </c>
      <c r="BI397" s="2401">
        <v>0</v>
      </c>
      <c r="BJ397" s="2398">
        <v>0</v>
      </c>
      <c r="BN397" s="2396">
        <v>12102003</v>
      </c>
      <c r="BO397" s="2397" t="s">
        <v>4114</v>
      </c>
      <c r="BP397" s="2398">
        <v>0</v>
      </c>
      <c r="BQ397" s="2179">
        <v>-30000000</v>
      </c>
      <c r="BR397" s="2399">
        <v>0</v>
      </c>
      <c r="BS397" s="2400">
        <v>0</v>
      </c>
      <c r="BT397" s="2398">
        <v>0</v>
      </c>
      <c r="BU397" s="2398">
        <v>-30000000</v>
      </c>
      <c r="BV397" s="2401">
        <v>0</v>
      </c>
      <c r="BW397" s="2401">
        <v>0</v>
      </c>
      <c r="BX397" s="2398">
        <v>-30000000</v>
      </c>
    </row>
    <row r="398" spans="2:76">
      <c r="B398" s="2564">
        <v>12102004</v>
      </c>
      <c r="C398" s="2565" t="s">
        <v>5011</v>
      </c>
      <c r="D398" s="2566">
        <v>-318709939</v>
      </c>
      <c r="E398" s="1080">
        <v>0</v>
      </c>
      <c r="F398" s="2567">
        <v>0</v>
      </c>
      <c r="G398" s="2568">
        <v>-457551</v>
      </c>
      <c r="H398" s="2566">
        <v>0</v>
      </c>
      <c r="I398" s="2566">
        <v>-319167490</v>
      </c>
      <c r="J398" s="2569">
        <v>0</v>
      </c>
      <c r="K398" s="2569">
        <v>0</v>
      </c>
      <c r="L398" s="2566">
        <v>-319167490</v>
      </c>
      <c r="N398" s="2396">
        <v>12102004</v>
      </c>
      <c r="O398" s="2397" t="s">
        <v>4115</v>
      </c>
      <c r="P398" s="2398">
        <v>-444639388</v>
      </c>
      <c r="Q398" s="2179">
        <v>0</v>
      </c>
      <c r="R398" s="2399">
        <v>0</v>
      </c>
      <c r="S398" s="2400">
        <v>-1830216</v>
      </c>
      <c r="T398" s="2398">
        <v>0</v>
      </c>
      <c r="U398" s="2398">
        <v>-446469604</v>
      </c>
      <c r="V398" s="2401">
        <v>0</v>
      </c>
      <c r="W398" s="2401">
        <v>0</v>
      </c>
      <c r="X398" s="2398">
        <v>-446469604</v>
      </c>
      <c r="Z398" s="2396">
        <v>12102004</v>
      </c>
      <c r="AA398" s="2397" t="s">
        <v>4115</v>
      </c>
      <c r="AB398" s="2398">
        <v>-696498286</v>
      </c>
      <c r="AC398" s="2179">
        <v>0</v>
      </c>
      <c r="AD398" s="2399">
        <v>0</v>
      </c>
      <c r="AE398" s="2400">
        <v>-4575546</v>
      </c>
      <c r="AF398" s="2398">
        <v>0</v>
      </c>
      <c r="AG398" s="2398">
        <v>-701073832</v>
      </c>
      <c r="AH398" s="2401">
        <v>0</v>
      </c>
      <c r="AI398" s="2401">
        <v>0</v>
      </c>
      <c r="AJ398" s="2398">
        <v>-701073832</v>
      </c>
      <c r="AZ398" s="2396">
        <v>12102004</v>
      </c>
      <c r="BA398" s="2397" t="s">
        <v>4115</v>
      </c>
      <c r="BB398" s="2398">
        <v>-1052036835</v>
      </c>
      <c r="BC398" s="2179">
        <v>0</v>
      </c>
      <c r="BD398" s="2399">
        <v>0</v>
      </c>
      <c r="BE398" s="2400">
        <v>-10066206</v>
      </c>
      <c r="BF398" s="2398">
        <v>0</v>
      </c>
      <c r="BG398" s="2398">
        <v>-1062103041</v>
      </c>
      <c r="BH398" s="2401">
        <v>0</v>
      </c>
      <c r="BI398" s="2401">
        <v>0</v>
      </c>
      <c r="BJ398" s="2398">
        <v>-1062103041</v>
      </c>
      <c r="BN398" s="2396">
        <v>12102004</v>
      </c>
      <c r="BO398" s="2397" t="s">
        <v>4115</v>
      </c>
      <c r="BP398" s="2398">
        <v>-1250763600</v>
      </c>
      <c r="BQ398" s="2179">
        <v>0</v>
      </c>
      <c r="BR398" s="2399">
        <v>0</v>
      </c>
      <c r="BS398" s="2400">
        <v>0</v>
      </c>
      <c r="BT398" s="2398">
        <v>0</v>
      </c>
      <c r="BU398" s="2398">
        <v>-1250763600</v>
      </c>
      <c r="BV398" s="2401">
        <v>0</v>
      </c>
      <c r="BW398" s="2401">
        <v>0</v>
      </c>
      <c r="BX398" s="2398">
        <v>-1250763600</v>
      </c>
    </row>
    <row r="399" spans="2:76">
      <c r="B399" s="2564">
        <v>12102005</v>
      </c>
      <c r="C399" s="2565" t="s">
        <v>246</v>
      </c>
      <c r="D399" s="2566">
        <v>0</v>
      </c>
      <c r="E399" s="1080">
        <v>12698809</v>
      </c>
      <c r="F399" s="2567">
        <v>0</v>
      </c>
      <c r="G399" s="2568">
        <v>0</v>
      </c>
      <c r="H399" s="2566">
        <v>0</v>
      </c>
      <c r="I399" s="2566">
        <v>12698809</v>
      </c>
      <c r="J399" s="2569">
        <v>0</v>
      </c>
      <c r="K399" s="2569">
        <v>0</v>
      </c>
      <c r="L399" s="2566">
        <v>12698809</v>
      </c>
      <c r="N399" s="2396">
        <v>12102005</v>
      </c>
      <c r="O399" s="2397" t="s">
        <v>246</v>
      </c>
      <c r="P399" s="2398">
        <v>0</v>
      </c>
      <c r="Q399" s="2179">
        <v>12698809</v>
      </c>
      <c r="R399" s="2399">
        <v>0</v>
      </c>
      <c r="S399" s="2400">
        <v>0</v>
      </c>
      <c r="T399" s="2398">
        <v>0</v>
      </c>
      <c r="U399" s="2398">
        <v>12698809</v>
      </c>
      <c r="V399" s="2401">
        <v>0</v>
      </c>
      <c r="W399" s="2401">
        <v>0</v>
      </c>
      <c r="X399" s="2398">
        <v>12698809</v>
      </c>
      <c r="Z399" s="2396">
        <v>12102005</v>
      </c>
      <c r="AA399" s="2397" t="s">
        <v>246</v>
      </c>
      <c r="AB399" s="2398">
        <v>0</v>
      </c>
      <c r="AC399" s="2179">
        <v>8437159</v>
      </c>
      <c r="AD399" s="2399">
        <v>0</v>
      </c>
      <c r="AE399" s="2400">
        <v>0</v>
      </c>
      <c r="AF399" s="2398">
        <v>0</v>
      </c>
      <c r="AG399" s="2398">
        <v>8437159</v>
      </c>
      <c r="AH399" s="2401">
        <v>0</v>
      </c>
      <c r="AI399" s="2401">
        <v>0</v>
      </c>
      <c r="AJ399" s="2398">
        <v>8437159</v>
      </c>
      <c r="AZ399" s="2396">
        <v>12102005</v>
      </c>
      <c r="BA399" s="2397" t="s">
        <v>246</v>
      </c>
      <c r="BB399" s="2398">
        <v>0</v>
      </c>
      <c r="BC399" s="2179">
        <v>9877484</v>
      </c>
      <c r="BD399" s="2399">
        <v>0</v>
      </c>
      <c r="BE399" s="2400">
        <v>0</v>
      </c>
      <c r="BF399" s="2398">
        <v>0</v>
      </c>
      <c r="BG399" s="2398">
        <v>9877484</v>
      </c>
      <c r="BH399" s="2401">
        <v>0</v>
      </c>
      <c r="BI399" s="2401">
        <v>0</v>
      </c>
      <c r="BJ399" s="2398">
        <v>9877484</v>
      </c>
      <c r="BN399" s="2396">
        <v>12102005</v>
      </c>
      <c r="BO399" s="2397" t="s">
        <v>246</v>
      </c>
      <c r="BP399" s="2398">
        <v>0</v>
      </c>
      <c r="BQ399" s="2179">
        <v>9797484</v>
      </c>
      <c r="BR399" s="2399">
        <v>0</v>
      </c>
      <c r="BS399" s="2400">
        <v>0</v>
      </c>
      <c r="BT399" s="2398">
        <v>0</v>
      </c>
      <c r="BU399" s="2398">
        <v>9797484</v>
      </c>
      <c r="BV399" s="2401">
        <v>0</v>
      </c>
      <c r="BW399" s="2401">
        <v>0</v>
      </c>
      <c r="BX399" s="2398">
        <v>9797484</v>
      </c>
    </row>
    <row r="400" spans="2:76">
      <c r="B400" s="2552">
        <v>12110000</v>
      </c>
      <c r="C400" s="2570" t="s">
        <v>4116</v>
      </c>
      <c r="D400" s="2554">
        <v>0</v>
      </c>
      <c r="E400" s="2554">
        <v>0</v>
      </c>
      <c r="F400" s="2555">
        <v>0</v>
      </c>
      <c r="G400" s="2556">
        <v>0</v>
      </c>
      <c r="H400" s="2554">
        <v>0</v>
      </c>
      <c r="I400" s="2554">
        <v>0</v>
      </c>
      <c r="J400" s="2557">
        <v>0</v>
      </c>
      <c r="K400" s="2557">
        <v>0</v>
      </c>
      <c r="L400" s="2554">
        <v>0</v>
      </c>
      <c r="N400" s="2384">
        <v>12110000</v>
      </c>
      <c r="O400" s="2402" t="s">
        <v>4116</v>
      </c>
      <c r="P400" s="2386">
        <v>0</v>
      </c>
      <c r="Q400" s="2386">
        <v>0</v>
      </c>
      <c r="R400" s="2387">
        <v>0</v>
      </c>
      <c r="S400" s="2388">
        <v>0</v>
      </c>
      <c r="T400" s="2386">
        <v>0</v>
      </c>
      <c r="U400" s="2386">
        <v>0</v>
      </c>
      <c r="V400" s="2389">
        <v>0</v>
      </c>
      <c r="W400" s="2389">
        <v>0</v>
      </c>
      <c r="X400" s="2386">
        <v>0</v>
      </c>
      <c r="Z400" s="2384">
        <v>12110000</v>
      </c>
      <c r="AA400" s="2402" t="s">
        <v>4116</v>
      </c>
      <c r="AB400" s="2386">
        <v>0</v>
      </c>
      <c r="AC400" s="2386">
        <v>0</v>
      </c>
      <c r="AD400" s="2387">
        <v>0</v>
      </c>
      <c r="AE400" s="2388">
        <v>0</v>
      </c>
      <c r="AF400" s="2386">
        <v>0</v>
      </c>
      <c r="AG400" s="2386">
        <v>0</v>
      </c>
      <c r="AH400" s="2389">
        <v>0</v>
      </c>
      <c r="AI400" s="2389">
        <v>0</v>
      </c>
      <c r="AJ400" s="2386">
        <v>0</v>
      </c>
      <c r="AZ400" s="2384">
        <v>12110000</v>
      </c>
      <c r="BA400" s="2402" t="s">
        <v>4116</v>
      </c>
      <c r="BB400" s="2386">
        <v>0</v>
      </c>
      <c r="BC400" s="2386">
        <v>0</v>
      </c>
      <c r="BD400" s="2387">
        <v>0</v>
      </c>
      <c r="BE400" s="2388">
        <v>0</v>
      </c>
      <c r="BF400" s="2386">
        <v>0</v>
      </c>
      <c r="BG400" s="2386">
        <v>0</v>
      </c>
      <c r="BH400" s="2389">
        <v>0</v>
      </c>
      <c r="BI400" s="2389">
        <v>0</v>
      </c>
      <c r="BJ400" s="2386">
        <v>0</v>
      </c>
      <c r="BN400" s="2384">
        <v>12110000</v>
      </c>
      <c r="BO400" s="2402" t="s">
        <v>4116</v>
      </c>
      <c r="BP400" s="2386">
        <v>0</v>
      </c>
      <c r="BQ400" s="2386">
        <v>0</v>
      </c>
      <c r="BR400" s="2387">
        <v>0</v>
      </c>
      <c r="BS400" s="2388">
        <v>0</v>
      </c>
      <c r="BT400" s="2386">
        <v>0</v>
      </c>
      <c r="BU400" s="2386">
        <v>0</v>
      </c>
      <c r="BV400" s="2389">
        <v>0</v>
      </c>
      <c r="BW400" s="2389">
        <v>0</v>
      </c>
      <c r="BX400" s="2386">
        <v>0</v>
      </c>
    </row>
    <row r="401" spans="2:76">
      <c r="B401" s="2558">
        <v>12111000</v>
      </c>
      <c r="C401" s="2571" t="s">
        <v>4117</v>
      </c>
      <c r="D401" s="2560">
        <v>0</v>
      </c>
      <c r="E401" s="2560">
        <v>0</v>
      </c>
      <c r="F401" s="2561">
        <v>0</v>
      </c>
      <c r="G401" s="2562">
        <v>0</v>
      </c>
      <c r="H401" s="2560">
        <v>0</v>
      </c>
      <c r="I401" s="2560">
        <v>0</v>
      </c>
      <c r="J401" s="2563">
        <v>0</v>
      </c>
      <c r="K401" s="2563">
        <v>0</v>
      </c>
      <c r="L401" s="2560">
        <v>0</v>
      </c>
      <c r="N401" s="2390">
        <v>12111000</v>
      </c>
      <c r="O401" s="2403" t="s">
        <v>4117</v>
      </c>
      <c r="P401" s="2392">
        <v>0</v>
      </c>
      <c r="Q401" s="2392">
        <v>0</v>
      </c>
      <c r="R401" s="2393">
        <v>0</v>
      </c>
      <c r="S401" s="2394">
        <v>0</v>
      </c>
      <c r="T401" s="2392">
        <v>0</v>
      </c>
      <c r="U401" s="2392">
        <v>0</v>
      </c>
      <c r="V401" s="2395">
        <v>0</v>
      </c>
      <c r="W401" s="2395">
        <v>0</v>
      </c>
      <c r="X401" s="2392">
        <v>0</v>
      </c>
      <c r="Z401" s="2390">
        <v>12111000</v>
      </c>
      <c r="AA401" s="2403" t="s">
        <v>4117</v>
      </c>
      <c r="AB401" s="2392">
        <v>0</v>
      </c>
      <c r="AC401" s="2392">
        <v>0</v>
      </c>
      <c r="AD401" s="2393">
        <v>0</v>
      </c>
      <c r="AE401" s="2394">
        <v>0</v>
      </c>
      <c r="AF401" s="2392">
        <v>0</v>
      </c>
      <c r="AG401" s="2392">
        <v>0</v>
      </c>
      <c r="AH401" s="2395">
        <v>0</v>
      </c>
      <c r="AI401" s="2395">
        <v>0</v>
      </c>
      <c r="AJ401" s="2392">
        <v>0</v>
      </c>
      <c r="AZ401" s="2390">
        <v>12111000</v>
      </c>
      <c r="BA401" s="2403" t="s">
        <v>4117</v>
      </c>
      <c r="BB401" s="2392">
        <v>0</v>
      </c>
      <c r="BC401" s="2392">
        <v>0</v>
      </c>
      <c r="BD401" s="2393">
        <v>0</v>
      </c>
      <c r="BE401" s="2394">
        <v>0</v>
      </c>
      <c r="BF401" s="2392">
        <v>0</v>
      </c>
      <c r="BG401" s="2392">
        <v>0</v>
      </c>
      <c r="BH401" s="2395">
        <v>0</v>
      </c>
      <c r="BI401" s="2395">
        <v>0</v>
      </c>
      <c r="BJ401" s="2392">
        <v>0</v>
      </c>
      <c r="BN401" s="2390">
        <v>12111000</v>
      </c>
      <c r="BO401" s="2403" t="s">
        <v>4117</v>
      </c>
      <c r="BP401" s="2392">
        <v>0</v>
      </c>
      <c r="BQ401" s="2392">
        <v>0</v>
      </c>
      <c r="BR401" s="2393">
        <v>0</v>
      </c>
      <c r="BS401" s="2394">
        <v>0</v>
      </c>
      <c r="BT401" s="2392">
        <v>0</v>
      </c>
      <c r="BU401" s="2392">
        <v>0</v>
      </c>
      <c r="BV401" s="2395">
        <v>0</v>
      </c>
      <c r="BW401" s="2395">
        <v>0</v>
      </c>
      <c r="BX401" s="2392">
        <v>0</v>
      </c>
    </row>
    <row r="402" spans="2:76">
      <c r="B402" s="2564">
        <v>12111001</v>
      </c>
      <c r="C402" s="2565" t="s">
        <v>4117</v>
      </c>
      <c r="D402" s="2566">
        <v>0</v>
      </c>
      <c r="E402" s="1080">
        <v>0</v>
      </c>
      <c r="F402" s="2567">
        <v>0</v>
      </c>
      <c r="G402" s="2568">
        <v>0</v>
      </c>
      <c r="H402" s="2566">
        <v>0</v>
      </c>
      <c r="I402" s="2566">
        <v>0</v>
      </c>
      <c r="J402" s="2569">
        <v>0</v>
      </c>
      <c r="K402" s="2569">
        <v>0</v>
      </c>
      <c r="L402" s="2566">
        <v>0</v>
      </c>
      <c r="N402" s="2396">
        <v>12111001</v>
      </c>
      <c r="O402" s="2397" t="s">
        <v>4117</v>
      </c>
      <c r="P402" s="2398">
        <v>0</v>
      </c>
      <c r="Q402" s="2179">
        <v>0</v>
      </c>
      <c r="R402" s="2399">
        <v>0</v>
      </c>
      <c r="S402" s="2400">
        <v>0</v>
      </c>
      <c r="T402" s="2398">
        <v>0</v>
      </c>
      <c r="U402" s="2398">
        <v>0</v>
      </c>
      <c r="V402" s="2401">
        <v>0</v>
      </c>
      <c r="W402" s="2401">
        <v>0</v>
      </c>
      <c r="X402" s="2398">
        <v>0</v>
      </c>
      <c r="Z402" s="2396">
        <v>12111001</v>
      </c>
      <c r="AA402" s="2397" t="s">
        <v>4117</v>
      </c>
      <c r="AB402" s="2398">
        <v>0</v>
      </c>
      <c r="AC402" s="2179">
        <v>0</v>
      </c>
      <c r="AD402" s="2399">
        <v>0</v>
      </c>
      <c r="AE402" s="2400">
        <v>0</v>
      </c>
      <c r="AF402" s="2398">
        <v>0</v>
      </c>
      <c r="AG402" s="2398">
        <v>0</v>
      </c>
      <c r="AH402" s="2401">
        <v>0</v>
      </c>
      <c r="AI402" s="2401">
        <v>0</v>
      </c>
      <c r="AJ402" s="2398">
        <v>0</v>
      </c>
      <c r="AZ402" s="2396">
        <v>12111001</v>
      </c>
      <c r="BA402" s="2397" t="s">
        <v>4117</v>
      </c>
      <c r="BB402" s="2398">
        <v>0</v>
      </c>
      <c r="BC402" s="2179">
        <v>0</v>
      </c>
      <c r="BD402" s="2399">
        <v>0</v>
      </c>
      <c r="BE402" s="2400">
        <v>0</v>
      </c>
      <c r="BF402" s="2398">
        <v>0</v>
      </c>
      <c r="BG402" s="2398">
        <v>0</v>
      </c>
      <c r="BH402" s="2401">
        <v>0</v>
      </c>
      <c r="BI402" s="2401">
        <v>0</v>
      </c>
      <c r="BJ402" s="2398">
        <v>0</v>
      </c>
      <c r="BN402" s="2396">
        <v>12111001</v>
      </c>
      <c r="BO402" s="2397" t="s">
        <v>4117</v>
      </c>
      <c r="BP402" s="2398">
        <v>0</v>
      </c>
      <c r="BQ402" s="2179">
        <v>0</v>
      </c>
      <c r="BR402" s="2399">
        <v>0</v>
      </c>
      <c r="BS402" s="2400">
        <v>0</v>
      </c>
      <c r="BT402" s="2398">
        <v>0</v>
      </c>
      <c r="BU402" s="2398">
        <v>0</v>
      </c>
      <c r="BV402" s="2401">
        <v>0</v>
      </c>
      <c r="BW402" s="2401">
        <v>0</v>
      </c>
      <c r="BX402" s="2398">
        <v>0</v>
      </c>
    </row>
    <row r="403" spans="2:76">
      <c r="B403" s="2558">
        <v>12111100</v>
      </c>
      <c r="C403" s="2575" t="s">
        <v>5012</v>
      </c>
      <c r="D403" s="2560">
        <v>0</v>
      </c>
      <c r="E403" s="2560">
        <v>0</v>
      </c>
      <c r="F403" s="2561">
        <v>0</v>
      </c>
      <c r="G403" s="2562">
        <v>0</v>
      </c>
      <c r="H403" s="2560">
        <v>0</v>
      </c>
      <c r="I403" s="2560">
        <v>0</v>
      </c>
      <c r="J403" s="2563">
        <v>0</v>
      </c>
      <c r="K403" s="2563">
        <v>0</v>
      </c>
      <c r="L403" s="2560">
        <v>0</v>
      </c>
      <c r="N403" s="2390">
        <v>12111100</v>
      </c>
      <c r="O403" s="2407" t="s">
        <v>4118</v>
      </c>
      <c r="P403" s="2392">
        <v>0</v>
      </c>
      <c r="Q403" s="2392">
        <v>0</v>
      </c>
      <c r="R403" s="2393">
        <v>0</v>
      </c>
      <c r="S403" s="2394">
        <v>0</v>
      </c>
      <c r="T403" s="2392">
        <v>0</v>
      </c>
      <c r="U403" s="2392">
        <v>0</v>
      </c>
      <c r="V403" s="2395">
        <v>0</v>
      </c>
      <c r="W403" s="2395">
        <v>0</v>
      </c>
      <c r="X403" s="2392">
        <v>0</v>
      </c>
      <c r="Z403" s="2390">
        <v>12111100</v>
      </c>
      <c r="AA403" s="2407" t="s">
        <v>4118</v>
      </c>
      <c r="AB403" s="2392">
        <v>0</v>
      </c>
      <c r="AC403" s="2392">
        <v>0</v>
      </c>
      <c r="AD403" s="2393">
        <v>0</v>
      </c>
      <c r="AE403" s="2394">
        <v>0</v>
      </c>
      <c r="AF403" s="2392">
        <v>0</v>
      </c>
      <c r="AG403" s="2392">
        <v>0</v>
      </c>
      <c r="AH403" s="2395">
        <v>0</v>
      </c>
      <c r="AI403" s="2395">
        <v>0</v>
      </c>
      <c r="AJ403" s="2392">
        <v>0</v>
      </c>
      <c r="AZ403" s="2390">
        <v>12111100</v>
      </c>
      <c r="BA403" s="2407" t="s">
        <v>4118</v>
      </c>
      <c r="BB403" s="2392">
        <v>0</v>
      </c>
      <c r="BC403" s="2392">
        <v>0</v>
      </c>
      <c r="BD403" s="2393">
        <v>0</v>
      </c>
      <c r="BE403" s="2394">
        <v>0</v>
      </c>
      <c r="BF403" s="2392">
        <v>0</v>
      </c>
      <c r="BG403" s="2392">
        <v>0</v>
      </c>
      <c r="BH403" s="2395">
        <v>0</v>
      </c>
      <c r="BI403" s="2395">
        <v>0</v>
      </c>
      <c r="BJ403" s="2392">
        <v>0</v>
      </c>
      <c r="BN403" s="2390">
        <v>12111100</v>
      </c>
      <c r="BO403" s="2407" t="s">
        <v>4118</v>
      </c>
      <c r="BP403" s="2392">
        <v>0</v>
      </c>
      <c r="BQ403" s="2392">
        <v>0</v>
      </c>
      <c r="BR403" s="2393">
        <v>0</v>
      </c>
      <c r="BS403" s="2394">
        <v>0</v>
      </c>
      <c r="BT403" s="2392">
        <v>0</v>
      </c>
      <c r="BU403" s="2392">
        <v>0</v>
      </c>
      <c r="BV403" s="2395">
        <v>0</v>
      </c>
      <c r="BW403" s="2395">
        <v>0</v>
      </c>
      <c r="BX403" s="2392">
        <v>0</v>
      </c>
    </row>
    <row r="404" spans="2:76">
      <c r="B404" s="2564">
        <v>12111101</v>
      </c>
      <c r="C404" s="2565" t="s">
        <v>5013</v>
      </c>
      <c r="D404" s="2566">
        <v>0</v>
      </c>
      <c r="E404" s="1080">
        <v>0</v>
      </c>
      <c r="F404" s="2567">
        <v>0</v>
      </c>
      <c r="G404" s="2568">
        <v>0</v>
      </c>
      <c r="H404" s="2566">
        <v>0</v>
      </c>
      <c r="I404" s="2566">
        <v>0</v>
      </c>
      <c r="J404" s="2569">
        <v>0</v>
      </c>
      <c r="K404" s="2569">
        <v>0</v>
      </c>
      <c r="L404" s="2566">
        <v>0</v>
      </c>
      <c r="N404" s="2396">
        <v>12111101</v>
      </c>
      <c r="O404" s="2397" t="s">
        <v>4119</v>
      </c>
      <c r="P404" s="2398">
        <v>0</v>
      </c>
      <c r="Q404" s="2179">
        <v>0</v>
      </c>
      <c r="R404" s="2399">
        <v>0</v>
      </c>
      <c r="S404" s="2400">
        <v>0</v>
      </c>
      <c r="T404" s="2398">
        <v>0</v>
      </c>
      <c r="U404" s="2398">
        <v>0</v>
      </c>
      <c r="V404" s="2401">
        <v>0</v>
      </c>
      <c r="W404" s="2401">
        <v>0</v>
      </c>
      <c r="X404" s="2398">
        <v>0</v>
      </c>
      <c r="Z404" s="2396">
        <v>12111101</v>
      </c>
      <c r="AA404" s="2397" t="s">
        <v>4119</v>
      </c>
      <c r="AB404" s="2398">
        <v>0</v>
      </c>
      <c r="AC404" s="2179">
        <v>0</v>
      </c>
      <c r="AD404" s="2399">
        <v>0</v>
      </c>
      <c r="AE404" s="2400">
        <v>0</v>
      </c>
      <c r="AF404" s="2398">
        <v>0</v>
      </c>
      <c r="AG404" s="2398">
        <v>0</v>
      </c>
      <c r="AH404" s="2401">
        <v>0</v>
      </c>
      <c r="AI404" s="2401">
        <v>0</v>
      </c>
      <c r="AJ404" s="2398">
        <v>0</v>
      </c>
      <c r="AZ404" s="2396">
        <v>12111101</v>
      </c>
      <c r="BA404" s="2397" t="s">
        <v>4119</v>
      </c>
      <c r="BB404" s="2398">
        <v>0</v>
      </c>
      <c r="BC404" s="2179">
        <v>0</v>
      </c>
      <c r="BD404" s="2399">
        <v>0</v>
      </c>
      <c r="BE404" s="2400">
        <v>0</v>
      </c>
      <c r="BF404" s="2398">
        <v>0</v>
      </c>
      <c r="BG404" s="2398">
        <v>0</v>
      </c>
      <c r="BH404" s="2401">
        <v>0</v>
      </c>
      <c r="BI404" s="2401">
        <v>0</v>
      </c>
      <c r="BJ404" s="2398">
        <v>0</v>
      </c>
      <c r="BN404" s="2396">
        <v>12111101</v>
      </c>
      <c r="BO404" s="2397" t="s">
        <v>4119</v>
      </c>
      <c r="BP404" s="2398">
        <v>0</v>
      </c>
      <c r="BQ404" s="2179">
        <v>0</v>
      </c>
      <c r="BR404" s="2399">
        <v>0</v>
      </c>
      <c r="BS404" s="2400">
        <v>0</v>
      </c>
      <c r="BT404" s="2398">
        <v>0</v>
      </c>
      <c r="BU404" s="2398">
        <v>0</v>
      </c>
      <c r="BV404" s="2401">
        <v>0</v>
      </c>
      <c r="BW404" s="2401">
        <v>0</v>
      </c>
      <c r="BX404" s="2398">
        <v>0</v>
      </c>
    </row>
    <row r="405" spans="2:76">
      <c r="B405" s="2564">
        <v>12111102</v>
      </c>
      <c r="C405" s="2565" t="s">
        <v>5014</v>
      </c>
      <c r="D405" s="2566">
        <v>0</v>
      </c>
      <c r="E405" s="1080">
        <v>0</v>
      </c>
      <c r="F405" s="2567">
        <v>0</v>
      </c>
      <c r="G405" s="2568">
        <v>0</v>
      </c>
      <c r="H405" s="2566">
        <v>0</v>
      </c>
      <c r="I405" s="2566">
        <v>0</v>
      </c>
      <c r="J405" s="2569">
        <v>0</v>
      </c>
      <c r="K405" s="2569">
        <v>0</v>
      </c>
      <c r="L405" s="2566">
        <v>0</v>
      </c>
      <c r="N405" s="2396">
        <v>12111102</v>
      </c>
      <c r="O405" s="2397" t="s">
        <v>4120</v>
      </c>
      <c r="P405" s="2398">
        <v>0</v>
      </c>
      <c r="Q405" s="2179">
        <v>0</v>
      </c>
      <c r="R405" s="2399">
        <v>0</v>
      </c>
      <c r="S405" s="2400">
        <v>0</v>
      </c>
      <c r="T405" s="2398">
        <v>0</v>
      </c>
      <c r="U405" s="2398">
        <v>0</v>
      </c>
      <c r="V405" s="2401">
        <v>0</v>
      </c>
      <c r="W405" s="2401">
        <v>0</v>
      </c>
      <c r="X405" s="2398">
        <v>0</v>
      </c>
      <c r="Z405" s="2396">
        <v>12111102</v>
      </c>
      <c r="AA405" s="2397" t="s">
        <v>4120</v>
      </c>
      <c r="AB405" s="2398">
        <v>0</v>
      </c>
      <c r="AC405" s="2179">
        <v>0</v>
      </c>
      <c r="AD405" s="2399">
        <v>0</v>
      </c>
      <c r="AE405" s="2400">
        <v>0</v>
      </c>
      <c r="AF405" s="2398">
        <v>0</v>
      </c>
      <c r="AG405" s="2398">
        <v>0</v>
      </c>
      <c r="AH405" s="2401">
        <v>0</v>
      </c>
      <c r="AI405" s="2401">
        <v>0</v>
      </c>
      <c r="AJ405" s="2398">
        <v>0</v>
      </c>
      <c r="AZ405" s="2396">
        <v>12111102</v>
      </c>
      <c r="BA405" s="2397" t="s">
        <v>4120</v>
      </c>
      <c r="BB405" s="2398">
        <v>0</v>
      </c>
      <c r="BC405" s="2179">
        <v>0</v>
      </c>
      <c r="BD405" s="2399">
        <v>0</v>
      </c>
      <c r="BE405" s="2400">
        <v>0</v>
      </c>
      <c r="BF405" s="2398">
        <v>0</v>
      </c>
      <c r="BG405" s="2398">
        <v>0</v>
      </c>
      <c r="BH405" s="2401">
        <v>0</v>
      </c>
      <c r="BI405" s="2401">
        <v>0</v>
      </c>
      <c r="BJ405" s="2398">
        <v>0</v>
      </c>
      <c r="BN405" s="2396">
        <v>12111102</v>
      </c>
      <c r="BO405" s="2397" t="s">
        <v>4120</v>
      </c>
      <c r="BP405" s="2398">
        <v>0</v>
      </c>
      <c r="BQ405" s="2179">
        <v>0</v>
      </c>
      <c r="BR405" s="2399">
        <v>0</v>
      </c>
      <c r="BS405" s="2400">
        <v>0</v>
      </c>
      <c r="BT405" s="2398">
        <v>0</v>
      </c>
      <c r="BU405" s="2398">
        <v>0</v>
      </c>
      <c r="BV405" s="2401">
        <v>0</v>
      </c>
      <c r="BW405" s="2401">
        <v>0</v>
      </c>
      <c r="BX405" s="2398">
        <v>0</v>
      </c>
    </row>
    <row r="406" spans="2:76">
      <c r="B406" s="2552">
        <v>12120000</v>
      </c>
      <c r="C406" s="2570" t="s">
        <v>4121</v>
      </c>
      <c r="D406" s="2554">
        <v>1955075899</v>
      </c>
      <c r="E406" s="2554">
        <v>0</v>
      </c>
      <c r="F406" s="2555">
        <v>0</v>
      </c>
      <c r="G406" s="2556">
        <v>423730236</v>
      </c>
      <c r="H406" s="2554">
        <v>252196154</v>
      </c>
      <c r="I406" s="2554">
        <v>2631002289</v>
      </c>
      <c r="J406" s="2557">
        <v>0</v>
      </c>
      <c r="K406" s="2557">
        <v>0</v>
      </c>
      <c r="L406" s="2554">
        <v>2631002289</v>
      </c>
      <c r="N406" s="2384">
        <v>12120000</v>
      </c>
      <c r="O406" s="2402" t="s">
        <v>4121</v>
      </c>
      <c r="P406" s="2386">
        <v>1955075899</v>
      </c>
      <c r="Q406" s="2386">
        <v>0</v>
      </c>
      <c r="R406" s="2387">
        <v>0</v>
      </c>
      <c r="S406" s="2388">
        <v>423730236</v>
      </c>
      <c r="T406" s="2386">
        <v>240511144</v>
      </c>
      <c r="U406" s="2386">
        <v>2619317279</v>
      </c>
      <c r="V406" s="2389">
        <v>0</v>
      </c>
      <c r="W406" s="2389">
        <v>0</v>
      </c>
      <c r="X406" s="2386">
        <v>2619317279</v>
      </c>
      <c r="Z406" s="2384">
        <v>12120000</v>
      </c>
      <c r="AA406" s="2402" t="s">
        <v>4121</v>
      </c>
      <c r="AB406" s="2386">
        <v>1955075899</v>
      </c>
      <c r="AC406" s="2386">
        <v>0</v>
      </c>
      <c r="AD406" s="2387">
        <v>0</v>
      </c>
      <c r="AE406" s="2388">
        <v>423730236</v>
      </c>
      <c r="AF406" s="2386">
        <v>231571791</v>
      </c>
      <c r="AG406" s="2386">
        <v>2610377926</v>
      </c>
      <c r="AH406" s="2389">
        <v>0</v>
      </c>
      <c r="AI406" s="2389">
        <v>0</v>
      </c>
      <c r="AJ406" s="2386">
        <v>2610377926</v>
      </c>
      <c r="AZ406" s="2384">
        <v>12120000</v>
      </c>
      <c r="BA406" s="2402" t="s">
        <v>4121</v>
      </c>
      <c r="BB406" s="2386">
        <v>1955075899</v>
      </c>
      <c r="BC406" s="2386">
        <v>0</v>
      </c>
      <c r="BD406" s="2387">
        <v>0</v>
      </c>
      <c r="BE406" s="2388">
        <v>418905264</v>
      </c>
      <c r="BF406" s="2386">
        <v>246428143</v>
      </c>
      <c r="BG406" s="2386">
        <v>2620409306</v>
      </c>
      <c r="BH406" s="2389">
        <v>0</v>
      </c>
      <c r="BI406" s="2389">
        <v>0</v>
      </c>
      <c r="BJ406" s="2386">
        <v>2620409306</v>
      </c>
      <c r="BN406" s="2384">
        <v>12120000</v>
      </c>
      <c r="BO406" s="2402" t="s">
        <v>4121</v>
      </c>
      <c r="BP406" s="2386">
        <v>7356889607</v>
      </c>
      <c r="BQ406" s="2386">
        <v>0</v>
      </c>
      <c r="BR406" s="2387">
        <v>0</v>
      </c>
      <c r="BS406" s="2388">
        <v>413874840</v>
      </c>
      <c r="BT406" s="2386">
        <v>164922735</v>
      </c>
      <c r="BU406" s="2386">
        <v>7935687182</v>
      </c>
      <c r="BV406" s="2389">
        <v>0</v>
      </c>
      <c r="BW406" s="2389">
        <v>0</v>
      </c>
      <c r="BX406" s="2386">
        <v>7935687182</v>
      </c>
    </row>
    <row r="407" spans="2:76">
      <c r="B407" s="2558">
        <v>12121000</v>
      </c>
      <c r="C407" s="2571" t="s">
        <v>5015</v>
      </c>
      <c r="D407" s="2560">
        <v>1955075899</v>
      </c>
      <c r="E407" s="2560">
        <v>0</v>
      </c>
      <c r="F407" s="2561">
        <v>0</v>
      </c>
      <c r="G407" s="2562">
        <v>0</v>
      </c>
      <c r="H407" s="2560">
        <v>252196154</v>
      </c>
      <c r="I407" s="2560">
        <v>2207272053</v>
      </c>
      <c r="J407" s="2563">
        <v>0</v>
      </c>
      <c r="K407" s="2563">
        <v>0</v>
      </c>
      <c r="L407" s="2560">
        <v>2207272053</v>
      </c>
      <c r="N407" s="2390">
        <v>12121000</v>
      </c>
      <c r="O407" s="2403" t="s">
        <v>4122</v>
      </c>
      <c r="P407" s="2392">
        <v>1955075899</v>
      </c>
      <c r="Q407" s="2392">
        <v>0</v>
      </c>
      <c r="R407" s="2393">
        <v>0</v>
      </c>
      <c r="S407" s="2394">
        <v>0</v>
      </c>
      <c r="T407" s="2392">
        <v>240511144</v>
      </c>
      <c r="U407" s="2392">
        <v>2195587043</v>
      </c>
      <c r="V407" s="2395">
        <v>0</v>
      </c>
      <c r="W407" s="2395">
        <v>0</v>
      </c>
      <c r="X407" s="2392">
        <v>2195587043</v>
      </c>
      <c r="Y407" s="699" t="s">
        <v>4738</v>
      </c>
      <c r="Z407" s="2390">
        <v>12121000</v>
      </c>
      <c r="AA407" s="2403" t="s">
        <v>4122</v>
      </c>
      <c r="AB407" s="2392">
        <v>1955075899</v>
      </c>
      <c r="AC407" s="2392">
        <v>0</v>
      </c>
      <c r="AD407" s="2393">
        <v>0</v>
      </c>
      <c r="AE407" s="2394">
        <v>0</v>
      </c>
      <c r="AF407" s="2392">
        <v>231571791</v>
      </c>
      <c r="AG407" s="2392">
        <v>2186647690</v>
      </c>
      <c r="AH407" s="2395">
        <v>0</v>
      </c>
      <c r="AI407" s="2395">
        <v>0</v>
      </c>
      <c r="AJ407" s="2392">
        <v>2186647690</v>
      </c>
      <c r="AZ407" s="2390">
        <v>12121000</v>
      </c>
      <c r="BA407" s="2403" t="s">
        <v>4122</v>
      </c>
      <c r="BB407" s="2392">
        <v>1955075899</v>
      </c>
      <c r="BC407" s="2392">
        <v>0</v>
      </c>
      <c r="BD407" s="2393">
        <v>0</v>
      </c>
      <c r="BE407" s="2394">
        <v>0</v>
      </c>
      <c r="BF407" s="2392">
        <v>246428143</v>
      </c>
      <c r="BG407" s="2392">
        <v>2201504042</v>
      </c>
      <c r="BH407" s="2395">
        <v>0</v>
      </c>
      <c r="BI407" s="2395">
        <v>0</v>
      </c>
      <c r="BJ407" s="2392">
        <v>2201504042</v>
      </c>
      <c r="BN407" s="2390">
        <v>12121000</v>
      </c>
      <c r="BO407" s="2403" t="s">
        <v>4121</v>
      </c>
      <c r="BP407" s="2392">
        <v>7356889607</v>
      </c>
      <c r="BQ407" s="2392">
        <v>0</v>
      </c>
      <c r="BR407" s="2393">
        <v>0</v>
      </c>
      <c r="BS407" s="2394">
        <v>413874840</v>
      </c>
      <c r="BT407" s="2392">
        <v>164922735</v>
      </c>
      <c r="BU407" s="2392">
        <v>7935687182</v>
      </c>
      <c r="BV407" s="2395">
        <v>0</v>
      </c>
      <c r="BW407" s="2395">
        <v>0</v>
      </c>
      <c r="BX407" s="2392">
        <v>7935687182</v>
      </c>
    </row>
    <row r="408" spans="2:76">
      <c r="B408" s="2564">
        <v>12121001</v>
      </c>
      <c r="C408" s="2565" t="s">
        <v>4123</v>
      </c>
      <c r="D408" s="2566">
        <v>0</v>
      </c>
      <c r="E408" s="1080">
        <v>0</v>
      </c>
      <c r="F408" s="2567">
        <v>0</v>
      </c>
      <c r="G408" s="2568">
        <v>0</v>
      </c>
      <c r="H408" s="2566">
        <v>0</v>
      </c>
      <c r="I408" s="2566">
        <v>0</v>
      </c>
      <c r="J408" s="2569">
        <v>0</v>
      </c>
      <c r="K408" s="2569">
        <v>0</v>
      </c>
      <c r="L408" s="2566">
        <v>0</v>
      </c>
      <c r="N408" s="2396">
        <v>12121001</v>
      </c>
      <c r="O408" s="2397" t="s">
        <v>4123</v>
      </c>
      <c r="P408" s="2398">
        <v>0</v>
      </c>
      <c r="Q408" s="2179">
        <v>0</v>
      </c>
      <c r="R408" s="2399">
        <v>0</v>
      </c>
      <c r="S408" s="2400">
        <v>0</v>
      </c>
      <c r="T408" s="2398">
        <v>0</v>
      </c>
      <c r="U408" s="2398">
        <v>0</v>
      </c>
      <c r="V408" s="2401">
        <v>0</v>
      </c>
      <c r="W408" s="2401">
        <v>0</v>
      </c>
      <c r="X408" s="2398">
        <v>0</v>
      </c>
      <c r="Z408" s="2396">
        <v>12121001</v>
      </c>
      <c r="AA408" s="2397" t="s">
        <v>4123</v>
      </c>
      <c r="AB408" s="2398">
        <v>0</v>
      </c>
      <c r="AC408" s="2179">
        <v>0</v>
      </c>
      <c r="AD408" s="2399">
        <v>0</v>
      </c>
      <c r="AE408" s="2400">
        <v>0</v>
      </c>
      <c r="AF408" s="2398">
        <v>0</v>
      </c>
      <c r="AG408" s="2398">
        <v>0</v>
      </c>
      <c r="AH408" s="2401">
        <v>0</v>
      </c>
      <c r="AI408" s="2401">
        <v>0</v>
      </c>
      <c r="AJ408" s="2398">
        <v>0</v>
      </c>
      <c r="AZ408" s="2396">
        <v>12121001</v>
      </c>
      <c r="BA408" s="2397" t="s">
        <v>4123</v>
      </c>
      <c r="BB408" s="2398">
        <v>0</v>
      </c>
      <c r="BC408" s="2179">
        <v>0</v>
      </c>
      <c r="BD408" s="2399">
        <v>0</v>
      </c>
      <c r="BE408" s="2400">
        <v>0</v>
      </c>
      <c r="BF408" s="2398">
        <v>0</v>
      </c>
      <c r="BG408" s="2398">
        <v>0</v>
      </c>
      <c r="BH408" s="2401">
        <v>0</v>
      </c>
      <c r="BI408" s="2401">
        <v>0</v>
      </c>
      <c r="BJ408" s="2398">
        <v>0</v>
      </c>
      <c r="BN408" s="2396">
        <v>12121001</v>
      </c>
      <c r="BO408" s="2397" t="s">
        <v>4123</v>
      </c>
      <c r="BP408" s="2398">
        <v>0</v>
      </c>
      <c r="BQ408" s="2179">
        <v>0</v>
      </c>
      <c r="BR408" s="2399">
        <v>0</v>
      </c>
      <c r="BS408" s="2400">
        <v>0</v>
      </c>
      <c r="BT408" s="2398">
        <v>0</v>
      </c>
      <c r="BU408" s="2398">
        <v>0</v>
      </c>
      <c r="BV408" s="2401">
        <v>0</v>
      </c>
      <c r="BW408" s="2401">
        <v>0</v>
      </c>
      <c r="BX408" s="2398">
        <v>0</v>
      </c>
    </row>
    <row r="409" spans="2:76">
      <c r="B409" s="2564">
        <v>12121002</v>
      </c>
      <c r="C409" s="2565" t="s">
        <v>4124</v>
      </c>
      <c r="D409" s="2566">
        <v>1955075899</v>
      </c>
      <c r="E409" s="1080">
        <v>0</v>
      </c>
      <c r="F409" s="2567">
        <v>0</v>
      </c>
      <c r="G409" s="2568">
        <v>0</v>
      </c>
      <c r="H409" s="2566">
        <v>252196154</v>
      </c>
      <c r="I409" s="2566">
        <v>2207272053</v>
      </c>
      <c r="J409" s="2569">
        <v>0</v>
      </c>
      <c r="K409" s="2569">
        <v>0</v>
      </c>
      <c r="L409" s="2566">
        <v>2207272053</v>
      </c>
      <c r="N409" s="2396">
        <v>12121002</v>
      </c>
      <c r="O409" s="2397" t="s">
        <v>4124</v>
      </c>
      <c r="P409" s="2398">
        <v>1955075899</v>
      </c>
      <c r="Q409" s="2179">
        <v>0</v>
      </c>
      <c r="R409" s="2399">
        <v>0</v>
      </c>
      <c r="S409" s="2400">
        <v>0</v>
      </c>
      <c r="T409" s="2398">
        <v>240511144</v>
      </c>
      <c r="U409" s="2398">
        <v>2195587043</v>
      </c>
      <c r="V409" s="2401">
        <v>0</v>
      </c>
      <c r="W409" s="2401">
        <v>0</v>
      </c>
      <c r="X409" s="2398">
        <v>2195587043</v>
      </c>
      <c r="Z409" s="2396">
        <v>12121002</v>
      </c>
      <c r="AA409" s="2397" t="s">
        <v>4124</v>
      </c>
      <c r="AB409" s="2398">
        <v>1955075899</v>
      </c>
      <c r="AC409" s="2179">
        <v>0</v>
      </c>
      <c r="AD409" s="2399">
        <v>0</v>
      </c>
      <c r="AE409" s="2400">
        <v>0</v>
      </c>
      <c r="AF409" s="2398">
        <v>231571791</v>
      </c>
      <c r="AG409" s="2398">
        <v>2186647690</v>
      </c>
      <c r="AH409" s="2401">
        <v>0</v>
      </c>
      <c r="AI409" s="2401">
        <v>0</v>
      </c>
      <c r="AJ409" s="2398">
        <v>2186647690</v>
      </c>
      <c r="AZ409" s="2396">
        <v>12121002</v>
      </c>
      <c r="BA409" s="2397" t="s">
        <v>4124</v>
      </c>
      <c r="BB409" s="2398">
        <v>1955075899</v>
      </c>
      <c r="BC409" s="2179">
        <v>0</v>
      </c>
      <c r="BD409" s="2399">
        <v>0</v>
      </c>
      <c r="BE409" s="2400">
        <v>0</v>
      </c>
      <c r="BF409" s="2398">
        <v>246428143</v>
      </c>
      <c r="BG409" s="2398">
        <v>2201504042</v>
      </c>
      <c r="BH409" s="2401">
        <v>0</v>
      </c>
      <c r="BI409" s="2401">
        <v>0</v>
      </c>
      <c r="BJ409" s="2398">
        <v>2201504042</v>
      </c>
      <c r="BN409" s="2396">
        <v>12121002</v>
      </c>
      <c r="BO409" s="2397" t="s">
        <v>4124</v>
      </c>
      <c r="BP409" s="2398">
        <v>7356889607</v>
      </c>
      <c r="BQ409" s="2179">
        <v>0</v>
      </c>
      <c r="BR409" s="2399">
        <v>0</v>
      </c>
      <c r="BS409" s="2400">
        <v>413874840</v>
      </c>
      <c r="BT409" s="2398">
        <v>164922735</v>
      </c>
      <c r="BU409" s="2398">
        <v>7935687182</v>
      </c>
      <c r="BV409" s="2401">
        <v>0</v>
      </c>
      <c r="BW409" s="2401">
        <v>0</v>
      </c>
      <c r="BX409" s="2398">
        <v>7935687182</v>
      </c>
    </row>
    <row r="410" spans="2:76">
      <c r="B410" s="2564">
        <v>12121003</v>
      </c>
      <c r="C410" s="2565" t="s">
        <v>4125</v>
      </c>
      <c r="D410" s="2566">
        <v>0</v>
      </c>
      <c r="E410" s="1080">
        <v>0</v>
      </c>
      <c r="F410" s="2567">
        <v>0</v>
      </c>
      <c r="G410" s="2568">
        <v>0</v>
      </c>
      <c r="H410" s="2566">
        <v>0</v>
      </c>
      <c r="I410" s="2566">
        <v>0</v>
      </c>
      <c r="J410" s="2569">
        <v>0</v>
      </c>
      <c r="K410" s="2569">
        <v>0</v>
      </c>
      <c r="L410" s="2566">
        <v>0</v>
      </c>
      <c r="N410" s="2396">
        <v>12121003</v>
      </c>
      <c r="O410" s="2397" t="s">
        <v>4125</v>
      </c>
      <c r="P410" s="2398">
        <v>0</v>
      </c>
      <c r="Q410" s="2179">
        <v>0</v>
      </c>
      <c r="R410" s="2399">
        <v>0</v>
      </c>
      <c r="S410" s="2400">
        <v>0</v>
      </c>
      <c r="T410" s="2398">
        <v>0</v>
      </c>
      <c r="U410" s="2398">
        <v>0</v>
      </c>
      <c r="V410" s="2401">
        <v>0</v>
      </c>
      <c r="W410" s="2401">
        <v>0</v>
      </c>
      <c r="X410" s="2398">
        <v>0</v>
      </c>
      <c r="Z410" s="2396">
        <v>12121003</v>
      </c>
      <c r="AA410" s="2397" t="s">
        <v>4125</v>
      </c>
      <c r="AB410" s="2398">
        <v>0</v>
      </c>
      <c r="AC410" s="2179">
        <v>0</v>
      </c>
      <c r="AD410" s="2399">
        <v>0</v>
      </c>
      <c r="AE410" s="2400">
        <v>0</v>
      </c>
      <c r="AF410" s="2398">
        <v>0</v>
      </c>
      <c r="AG410" s="2398">
        <v>0</v>
      </c>
      <c r="AH410" s="2401">
        <v>0</v>
      </c>
      <c r="AI410" s="2401">
        <v>0</v>
      </c>
      <c r="AJ410" s="2398">
        <v>0</v>
      </c>
      <c r="AZ410" s="2396">
        <v>12121003</v>
      </c>
      <c r="BA410" s="2397" t="s">
        <v>4125</v>
      </c>
      <c r="BB410" s="2398">
        <v>0</v>
      </c>
      <c r="BC410" s="2179">
        <v>0</v>
      </c>
      <c r="BD410" s="2399">
        <v>0</v>
      </c>
      <c r="BE410" s="2400">
        <v>0</v>
      </c>
      <c r="BF410" s="2398">
        <v>0</v>
      </c>
      <c r="BG410" s="2398">
        <v>0</v>
      </c>
      <c r="BH410" s="2401">
        <v>0</v>
      </c>
      <c r="BI410" s="2401">
        <v>0</v>
      </c>
      <c r="BJ410" s="2398">
        <v>0</v>
      </c>
      <c r="BN410" s="2396">
        <v>12121003</v>
      </c>
      <c r="BO410" s="2397" t="s">
        <v>4125</v>
      </c>
      <c r="BP410" s="2398">
        <v>0</v>
      </c>
      <c r="BQ410" s="2179">
        <v>0</v>
      </c>
      <c r="BR410" s="2399">
        <v>0</v>
      </c>
      <c r="BS410" s="2400">
        <v>0</v>
      </c>
      <c r="BT410" s="2398">
        <v>0</v>
      </c>
      <c r="BU410" s="2398">
        <v>0</v>
      </c>
      <c r="BV410" s="2401">
        <v>0</v>
      </c>
      <c r="BW410" s="2401">
        <v>0</v>
      </c>
      <c r="BX410" s="2398">
        <v>0</v>
      </c>
    </row>
    <row r="411" spans="2:76">
      <c r="B411" s="2564">
        <v>12121004</v>
      </c>
      <c r="C411" s="2565" t="s">
        <v>4126</v>
      </c>
      <c r="D411" s="2566">
        <v>0</v>
      </c>
      <c r="E411" s="1080">
        <v>0</v>
      </c>
      <c r="F411" s="2567">
        <v>0</v>
      </c>
      <c r="G411" s="2568">
        <v>0</v>
      </c>
      <c r="H411" s="2566">
        <v>0</v>
      </c>
      <c r="I411" s="2566">
        <v>0</v>
      </c>
      <c r="J411" s="2569">
        <v>0</v>
      </c>
      <c r="K411" s="2569">
        <v>0</v>
      </c>
      <c r="L411" s="2566">
        <v>0</v>
      </c>
      <c r="N411" s="2396">
        <v>12121004</v>
      </c>
      <c r="O411" s="2397" t="s">
        <v>4126</v>
      </c>
      <c r="P411" s="2398">
        <v>0</v>
      </c>
      <c r="Q411" s="2179">
        <v>0</v>
      </c>
      <c r="R411" s="2399">
        <v>0</v>
      </c>
      <c r="S411" s="2400">
        <v>0</v>
      </c>
      <c r="T411" s="2398">
        <v>0</v>
      </c>
      <c r="U411" s="2398">
        <v>0</v>
      </c>
      <c r="V411" s="2401">
        <v>0</v>
      </c>
      <c r="W411" s="2401">
        <v>0</v>
      </c>
      <c r="X411" s="2398">
        <v>0</v>
      </c>
      <c r="Z411" s="2396">
        <v>12121004</v>
      </c>
      <c r="AA411" s="2397" t="s">
        <v>4126</v>
      </c>
      <c r="AB411" s="2398">
        <v>0</v>
      </c>
      <c r="AC411" s="2179">
        <v>0</v>
      </c>
      <c r="AD411" s="2399">
        <v>0</v>
      </c>
      <c r="AE411" s="2400">
        <v>0</v>
      </c>
      <c r="AF411" s="2398">
        <v>0</v>
      </c>
      <c r="AG411" s="2398">
        <v>0</v>
      </c>
      <c r="AH411" s="2401">
        <v>0</v>
      </c>
      <c r="AI411" s="2401">
        <v>0</v>
      </c>
      <c r="AJ411" s="2398">
        <v>0</v>
      </c>
      <c r="AZ411" s="2396">
        <v>12121004</v>
      </c>
      <c r="BA411" s="2397" t="s">
        <v>4126</v>
      </c>
      <c r="BB411" s="2398">
        <v>0</v>
      </c>
      <c r="BC411" s="2179">
        <v>0</v>
      </c>
      <c r="BD411" s="2399">
        <v>0</v>
      </c>
      <c r="BE411" s="2400">
        <v>0</v>
      </c>
      <c r="BF411" s="2398">
        <v>0</v>
      </c>
      <c r="BG411" s="2398">
        <v>0</v>
      </c>
      <c r="BH411" s="2401">
        <v>0</v>
      </c>
      <c r="BI411" s="2401">
        <v>0</v>
      </c>
      <c r="BJ411" s="2398">
        <v>0</v>
      </c>
      <c r="BN411" s="2396">
        <v>12121004</v>
      </c>
      <c r="BO411" s="2397" t="s">
        <v>4126</v>
      </c>
      <c r="BP411" s="2398">
        <v>0</v>
      </c>
      <c r="BQ411" s="2179">
        <v>0</v>
      </c>
      <c r="BR411" s="2399">
        <v>0</v>
      </c>
      <c r="BS411" s="2400">
        <v>0</v>
      </c>
      <c r="BT411" s="2398">
        <v>0</v>
      </c>
      <c r="BU411" s="2398">
        <v>0</v>
      </c>
      <c r="BV411" s="2401">
        <v>0</v>
      </c>
      <c r="BW411" s="2401">
        <v>0</v>
      </c>
      <c r="BX411" s="2398">
        <v>0</v>
      </c>
    </row>
    <row r="412" spans="2:76">
      <c r="B412" s="2564">
        <v>12121005</v>
      </c>
      <c r="C412" s="2565" t="s">
        <v>5016</v>
      </c>
      <c r="D412" s="2566">
        <v>0</v>
      </c>
      <c r="E412" s="1080">
        <v>0</v>
      </c>
      <c r="F412" s="2567">
        <v>0</v>
      </c>
      <c r="G412" s="2568">
        <v>0</v>
      </c>
      <c r="H412" s="2566">
        <v>0</v>
      </c>
      <c r="I412" s="2566">
        <v>0</v>
      </c>
      <c r="J412" s="2569">
        <v>0</v>
      </c>
      <c r="K412" s="2569">
        <v>0</v>
      </c>
      <c r="L412" s="2566">
        <v>0</v>
      </c>
      <c r="N412" s="2396">
        <v>12121005</v>
      </c>
      <c r="O412" s="2397" t="s">
        <v>4127</v>
      </c>
      <c r="P412" s="2398">
        <v>0</v>
      </c>
      <c r="Q412" s="2179">
        <v>0</v>
      </c>
      <c r="R412" s="2399">
        <v>0</v>
      </c>
      <c r="S412" s="2400">
        <v>0</v>
      </c>
      <c r="T412" s="2398">
        <v>0</v>
      </c>
      <c r="U412" s="2398">
        <v>0</v>
      </c>
      <c r="V412" s="2401">
        <v>0</v>
      </c>
      <c r="W412" s="2401">
        <v>0</v>
      </c>
      <c r="X412" s="2398">
        <v>0</v>
      </c>
      <c r="Z412" s="2396">
        <v>12121005</v>
      </c>
      <c r="AA412" s="2397" t="s">
        <v>4127</v>
      </c>
      <c r="AB412" s="2398">
        <v>0</v>
      </c>
      <c r="AC412" s="2179">
        <v>0</v>
      </c>
      <c r="AD412" s="2399">
        <v>0</v>
      </c>
      <c r="AE412" s="2400">
        <v>0</v>
      </c>
      <c r="AF412" s="2398">
        <v>0</v>
      </c>
      <c r="AG412" s="2398">
        <v>0</v>
      </c>
      <c r="AH412" s="2401">
        <v>0</v>
      </c>
      <c r="AI412" s="2401">
        <v>0</v>
      </c>
      <c r="AJ412" s="2398">
        <v>0</v>
      </c>
      <c r="AZ412" s="2396">
        <v>12121005</v>
      </c>
      <c r="BA412" s="2397" t="s">
        <v>4127</v>
      </c>
      <c r="BB412" s="2398">
        <v>0</v>
      </c>
      <c r="BC412" s="2179">
        <v>0</v>
      </c>
      <c r="BD412" s="2399">
        <v>0</v>
      </c>
      <c r="BE412" s="2400">
        <v>0</v>
      </c>
      <c r="BF412" s="2398">
        <v>0</v>
      </c>
      <c r="BG412" s="2398">
        <v>0</v>
      </c>
      <c r="BH412" s="2401">
        <v>0</v>
      </c>
      <c r="BI412" s="2401">
        <v>0</v>
      </c>
      <c r="BJ412" s="2398">
        <v>0</v>
      </c>
      <c r="BN412" s="2396">
        <v>12121005</v>
      </c>
      <c r="BO412" s="2397" t="s">
        <v>4127</v>
      </c>
      <c r="BP412" s="2398">
        <v>0</v>
      </c>
      <c r="BQ412" s="2179">
        <v>0</v>
      </c>
      <c r="BR412" s="2399">
        <v>0</v>
      </c>
      <c r="BS412" s="2400">
        <v>0</v>
      </c>
      <c r="BT412" s="2398">
        <v>0</v>
      </c>
      <c r="BU412" s="2398">
        <v>0</v>
      </c>
      <c r="BV412" s="2401">
        <v>0</v>
      </c>
      <c r="BW412" s="2401">
        <v>0</v>
      </c>
      <c r="BX412" s="2398">
        <v>0</v>
      </c>
    </row>
    <row r="413" spans="2:76">
      <c r="B413" s="2558">
        <v>12122000</v>
      </c>
      <c r="C413" s="2571" t="s">
        <v>5017</v>
      </c>
      <c r="D413" s="2560">
        <v>0</v>
      </c>
      <c r="E413" s="2560">
        <v>0</v>
      </c>
      <c r="F413" s="2561">
        <v>0</v>
      </c>
      <c r="G413" s="2562">
        <v>423730236</v>
      </c>
      <c r="H413" s="2560">
        <v>0</v>
      </c>
      <c r="I413" s="2560">
        <v>423730236</v>
      </c>
      <c r="J413" s="2563">
        <v>0</v>
      </c>
      <c r="K413" s="2563">
        <v>0</v>
      </c>
      <c r="L413" s="2560">
        <v>423730236</v>
      </c>
      <c r="N413" s="2390">
        <v>12122000</v>
      </c>
      <c r="O413" s="2403" t="s">
        <v>4128</v>
      </c>
      <c r="P413" s="2392">
        <v>0</v>
      </c>
      <c r="Q413" s="2392">
        <v>0</v>
      </c>
      <c r="R413" s="2393">
        <v>0</v>
      </c>
      <c r="S413" s="2394">
        <v>423730236</v>
      </c>
      <c r="T413" s="2392">
        <v>0</v>
      </c>
      <c r="U413" s="2392">
        <v>423730236</v>
      </c>
      <c r="V413" s="2395">
        <v>0</v>
      </c>
      <c r="W413" s="2395">
        <v>0</v>
      </c>
      <c r="X413" s="2392">
        <v>423730236</v>
      </c>
      <c r="Y413" s="699" t="s">
        <v>4739</v>
      </c>
      <c r="Z413" s="2390">
        <v>12122000</v>
      </c>
      <c r="AA413" s="2403" t="s">
        <v>4128</v>
      </c>
      <c r="AB413" s="2392">
        <v>0</v>
      </c>
      <c r="AC413" s="2392">
        <v>0</v>
      </c>
      <c r="AD413" s="2393">
        <v>0</v>
      </c>
      <c r="AE413" s="2394">
        <v>423730236</v>
      </c>
      <c r="AF413" s="2392">
        <v>0</v>
      </c>
      <c r="AG413" s="2392">
        <v>423730236</v>
      </c>
      <c r="AH413" s="2395">
        <v>0</v>
      </c>
      <c r="AI413" s="2395">
        <v>0</v>
      </c>
      <c r="AJ413" s="2392">
        <v>423730236</v>
      </c>
      <c r="AZ413" s="2390">
        <v>12122000</v>
      </c>
      <c r="BA413" s="2403" t="s">
        <v>4128</v>
      </c>
      <c r="BB413" s="2392">
        <v>0</v>
      </c>
      <c r="BC413" s="2392">
        <v>0</v>
      </c>
      <c r="BD413" s="2393">
        <v>0</v>
      </c>
      <c r="BE413" s="2394">
        <v>418905264</v>
      </c>
      <c r="BF413" s="2392">
        <v>0</v>
      </c>
      <c r="BG413" s="2392">
        <v>418905264</v>
      </c>
      <c r="BH413" s="2395">
        <v>0</v>
      </c>
      <c r="BI413" s="2395">
        <v>0</v>
      </c>
      <c r="BJ413" s="2392">
        <v>418905264</v>
      </c>
      <c r="BN413" s="2384">
        <v>12130000</v>
      </c>
      <c r="BO413" s="2402" t="s">
        <v>4134</v>
      </c>
      <c r="BP413" s="2386">
        <v>0</v>
      </c>
      <c r="BQ413" s="2386">
        <v>0</v>
      </c>
      <c r="BR413" s="2387">
        <v>0</v>
      </c>
      <c r="BS413" s="2388">
        <v>0</v>
      </c>
      <c r="BT413" s="2386">
        <v>0</v>
      </c>
      <c r="BU413" s="2386">
        <v>0</v>
      </c>
      <c r="BV413" s="2389">
        <v>0</v>
      </c>
      <c r="BW413" s="2389">
        <v>0</v>
      </c>
      <c r="BX413" s="2386">
        <v>0</v>
      </c>
    </row>
    <row r="414" spans="2:76">
      <c r="B414" s="2564">
        <v>12122001</v>
      </c>
      <c r="C414" s="2565" t="s">
        <v>4129</v>
      </c>
      <c r="D414" s="2566">
        <v>0</v>
      </c>
      <c r="E414" s="1080">
        <v>0</v>
      </c>
      <c r="F414" s="2567">
        <v>0</v>
      </c>
      <c r="G414" s="2568">
        <v>0</v>
      </c>
      <c r="H414" s="2566">
        <v>0</v>
      </c>
      <c r="I414" s="2566">
        <v>0</v>
      </c>
      <c r="J414" s="2569">
        <v>0</v>
      </c>
      <c r="K414" s="2569">
        <v>0</v>
      </c>
      <c r="L414" s="2566">
        <v>0</v>
      </c>
      <c r="N414" s="2396">
        <v>12122001</v>
      </c>
      <c r="O414" s="2397" t="s">
        <v>4129</v>
      </c>
      <c r="P414" s="2398">
        <v>0</v>
      </c>
      <c r="Q414" s="2179">
        <v>0</v>
      </c>
      <c r="R414" s="2399">
        <v>0</v>
      </c>
      <c r="S414" s="2400">
        <v>0</v>
      </c>
      <c r="T414" s="2398">
        <v>0</v>
      </c>
      <c r="U414" s="2398">
        <v>0</v>
      </c>
      <c r="V414" s="2401">
        <v>0</v>
      </c>
      <c r="W414" s="2401">
        <v>0</v>
      </c>
      <c r="X414" s="2398">
        <v>0</v>
      </c>
      <c r="Z414" s="2396">
        <v>12122001</v>
      </c>
      <c r="AA414" s="2397" t="s">
        <v>4129</v>
      </c>
      <c r="AB414" s="2398">
        <v>0</v>
      </c>
      <c r="AC414" s="2179">
        <v>0</v>
      </c>
      <c r="AD414" s="2399">
        <v>0</v>
      </c>
      <c r="AE414" s="2400">
        <v>0</v>
      </c>
      <c r="AF414" s="2398">
        <v>0</v>
      </c>
      <c r="AG414" s="2398">
        <v>0</v>
      </c>
      <c r="AH414" s="2401">
        <v>0</v>
      </c>
      <c r="AI414" s="2401">
        <v>0</v>
      </c>
      <c r="AJ414" s="2398">
        <v>0</v>
      </c>
      <c r="AZ414" s="2396">
        <v>12122001</v>
      </c>
      <c r="BA414" s="2397" t="s">
        <v>4129</v>
      </c>
      <c r="BB414" s="2398">
        <v>0</v>
      </c>
      <c r="BC414" s="2179">
        <v>0</v>
      </c>
      <c r="BD414" s="2399">
        <v>0</v>
      </c>
      <c r="BE414" s="2400">
        <v>0</v>
      </c>
      <c r="BF414" s="2398">
        <v>0</v>
      </c>
      <c r="BG414" s="2398">
        <v>0</v>
      </c>
      <c r="BH414" s="2401">
        <v>0</v>
      </c>
      <c r="BI414" s="2401">
        <v>0</v>
      </c>
      <c r="BJ414" s="2398">
        <v>0</v>
      </c>
      <c r="BN414" s="2390">
        <v>12131000</v>
      </c>
      <c r="BO414" s="2403" t="s">
        <v>4134</v>
      </c>
      <c r="BP414" s="2392">
        <v>0</v>
      </c>
      <c r="BQ414" s="2392">
        <v>0</v>
      </c>
      <c r="BR414" s="2393">
        <v>0</v>
      </c>
      <c r="BS414" s="2394">
        <v>0</v>
      </c>
      <c r="BT414" s="2392">
        <v>0</v>
      </c>
      <c r="BU414" s="2392">
        <v>0</v>
      </c>
      <c r="BV414" s="2395">
        <v>0</v>
      </c>
      <c r="BW414" s="2395">
        <v>0</v>
      </c>
      <c r="BX414" s="2392">
        <v>0</v>
      </c>
    </row>
    <row r="415" spans="2:76">
      <c r="B415" s="2564">
        <v>12122002</v>
      </c>
      <c r="C415" s="2565" t="s">
        <v>4130</v>
      </c>
      <c r="D415" s="2566">
        <v>0</v>
      </c>
      <c r="E415" s="1080">
        <v>0</v>
      </c>
      <c r="F415" s="2567">
        <v>0</v>
      </c>
      <c r="G415" s="2568">
        <v>423730236</v>
      </c>
      <c r="H415" s="2566">
        <v>0</v>
      </c>
      <c r="I415" s="2566">
        <v>423730236</v>
      </c>
      <c r="J415" s="2569">
        <v>0</v>
      </c>
      <c r="K415" s="2569">
        <v>0</v>
      </c>
      <c r="L415" s="2566">
        <v>423730236</v>
      </c>
      <c r="N415" s="2396">
        <v>12122002</v>
      </c>
      <c r="O415" s="2397" t="s">
        <v>4130</v>
      </c>
      <c r="P415" s="2398">
        <v>0</v>
      </c>
      <c r="Q415" s="2179">
        <v>0</v>
      </c>
      <c r="R415" s="2399">
        <v>0</v>
      </c>
      <c r="S415" s="2400">
        <v>423730236</v>
      </c>
      <c r="T415" s="2398">
        <v>0</v>
      </c>
      <c r="U415" s="2398">
        <v>423730236</v>
      </c>
      <c r="V415" s="2401">
        <v>0</v>
      </c>
      <c r="W415" s="2401">
        <v>0</v>
      </c>
      <c r="X415" s="2398">
        <v>423730236</v>
      </c>
      <c r="Z415" s="2396">
        <v>12122002</v>
      </c>
      <c r="AA415" s="2397" t="s">
        <v>4130</v>
      </c>
      <c r="AB415" s="2398">
        <v>0</v>
      </c>
      <c r="AC415" s="2179">
        <v>0</v>
      </c>
      <c r="AD415" s="2399">
        <v>0</v>
      </c>
      <c r="AE415" s="2400">
        <v>423730236</v>
      </c>
      <c r="AF415" s="2398">
        <v>0</v>
      </c>
      <c r="AG415" s="2398">
        <v>423730236</v>
      </c>
      <c r="AH415" s="2401">
        <v>0</v>
      </c>
      <c r="AI415" s="2401">
        <v>0</v>
      </c>
      <c r="AJ415" s="2398">
        <v>423730236</v>
      </c>
      <c r="AZ415" s="2396">
        <v>12122002</v>
      </c>
      <c r="BA415" s="2397" t="s">
        <v>4130</v>
      </c>
      <c r="BB415" s="2398">
        <v>0</v>
      </c>
      <c r="BC415" s="2179">
        <v>0</v>
      </c>
      <c r="BD415" s="2399">
        <v>0</v>
      </c>
      <c r="BE415" s="2400">
        <v>418905264</v>
      </c>
      <c r="BF415" s="2398">
        <v>0</v>
      </c>
      <c r="BG415" s="2398">
        <v>418905264</v>
      </c>
      <c r="BH415" s="2401">
        <v>0</v>
      </c>
      <c r="BI415" s="2401">
        <v>0</v>
      </c>
      <c r="BJ415" s="2398">
        <v>418905264</v>
      </c>
      <c r="BN415" s="2396">
        <v>12131001</v>
      </c>
      <c r="BO415" s="2397" t="s">
        <v>4135</v>
      </c>
      <c r="BP415" s="2398">
        <v>0</v>
      </c>
      <c r="BQ415" s="2179">
        <v>0</v>
      </c>
      <c r="BR415" s="2399">
        <v>0</v>
      </c>
      <c r="BS415" s="2400">
        <v>0</v>
      </c>
      <c r="BT415" s="2398">
        <v>0</v>
      </c>
      <c r="BU415" s="2398">
        <v>0</v>
      </c>
      <c r="BV415" s="2401">
        <v>0</v>
      </c>
      <c r="BW415" s="2401">
        <v>0</v>
      </c>
      <c r="BX415" s="2398">
        <v>0</v>
      </c>
    </row>
    <row r="416" spans="2:76">
      <c r="B416" s="2564">
        <v>12122003</v>
      </c>
      <c r="C416" s="2565" t="s">
        <v>4131</v>
      </c>
      <c r="D416" s="2566">
        <v>0</v>
      </c>
      <c r="E416" s="1080">
        <v>0</v>
      </c>
      <c r="F416" s="2567">
        <v>0</v>
      </c>
      <c r="G416" s="2568">
        <v>0</v>
      </c>
      <c r="H416" s="2566">
        <v>0</v>
      </c>
      <c r="I416" s="2566">
        <v>0</v>
      </c>
      <c r="J416" s="2569">
        <v>0</v>
      </c>
      <c r="K416" s="2569">
        <v>0</v>
      </c>
      <c r="L416" s="2566">
        <v>0</v>
      </c>
      <c r="N416" s="2396">
        <v>12122003</v>
      </c>
      <c r="O416" s="2397" t="s">
        <v>4131</v>
      </c>
      <c r="P416" s="2398">
        <v>0</v>
      </c>
      <c r="Q416" s="2179">
        <v>0</v>
      </c>
      <c r="R416" s="2399">
        <v>0</v>
      </c>
      <c r="S416" s="2400">
        <v>0</v>
      </c>
      <c r="T416" s="2398">
        <v>0</v>
      </c>
      <c r="U416" s="2398">
        <v>0</v>
      </c>
      <c r="V416" s="2401">
        <v>0</v>
      </c>
      <c r="W416" s="2401">
        <v>0</v>
      </c>
      <c r="X416" s="2398">
        <v>0</v>
      </c>
      <c r="Z416" s="2396">
        <v>12122003</v>
      </c>
      <c r="AA416" s="2397" t="s">
        <v>4131</v>
      </c>
      <c r="AB416" s="2398">
        <v>0</v>
      </c>
      <c r="AC416" s="2179">
        <v>0</v>
      </c>
      <c r="AD416" s="2399">
        <v>0</v>
      </c>
      <c r="AE416" s="2400">
        <v>0</v>
      </c>
      <c r="AF416" s="2398">
        <v>0</v>
      </c>
      <c r="AG416" s="2398">
        <v>0</v>
      </c>
      <c r="AH416" s="2401">
        <v>0</v>
      </c>
      <c r="AI416" s="2401">
        <v>0</v>
      </c>
      <c r="AJ416" s="2398">
        <v>0</v>
      </c>
      <c r="AZ416" s="2396">
        <v>12122003</v>
      </c>
      <c r="BA416" s="2397" t="s">
        <v>4131</v>
      </c>
      <c r="BB416" s="2398">
        <v>0</v>
      </c>
      <c r="BC416" s="2179">
        <v>0</v>
      </c>
      <c r="BD416" s="2399">
        <v>0</v>
      </c>
      <c r="BE416" s="2400">
        <v>0</v>
      </c>
      <c r="BF416" s="2398">
        <v>0</v>
      </c>
      <c r="BG416" s="2398">
        <v>0</v>
      </c>
      <c r="BH416" s="2401">
        <v>0</v>
      </c>
      <c r="BI416" s="2401">
        <v>0</v>
      </c>
      <c r="BJ416" s="2398">
        <v>0</v>
      </c>
      <c r="BN416" s="2396">
        <v>12131002</v>
      </c>
      <c r="BO416" s="2397" t="s">
        <v>4136</v>
      </c>
      <c r="BP416" s="2398">
        <v>0</v>
      </c>
      <c r="BQ416" s="2179">
        <v>0</v>
      </c>
      <c r="BR416" s="2399">
        <v>0</v>
      </c>
      <c r="BS416" s="2400">
        <v>0</v>
      </c>
      <c r="BT416" s="2398">
        <v>0</v>
      </c>
      <c r="BU416" s="2398">
        <v>0</v>
      </c>
      <c r="BV416" s="2401">
        <v>0</v>
      </c>
      <c r="BW416" s="2401">
        <v>0</v>
      </c>
      <c r="BX416" s="2398">
        <v>0</v>
      </c>
    </row>
    <row r="417" spans="2:76">
      <c r="B417" s="2564">
        <v>12122004</v>
      </c>
      <c r="C417" s="2565" t="s">
        <v>4132</v>
      </c>
      <c r="D417" s="2566">
        <v>0</v>
      </c>
      <c r="E417" s="1080">
        <v>0</v>
      </c>
      <c r="F417" s="2567">
        <v>0</v>
      </c>
      <c r="G417" s="2568">
        <v>0</v>
      </c>
      <c r="H417" s="2566">
        <v>0</v>
      </c>
      <c r="I417" s="2566">
        <v>0</v>
      </c>
      <c r="J417" s="2569">
        <v>0</v>
      </c>
      <c r="K417" s="2569">
        <v>0</v>
      </c>
      <c r="L417" s="2566">
        <v>0</v>
      </c>
      <c r="N417" s="2396">
        <v>12122004</v>
      </c>
      <c r="O417" s="2397" t="s">
        <v>4132</v>
      </c>
      <c r="P417" s="2398">
        <v>0</v>
      </c>
      <c r="Q417" s="2179">
        <v>0</v>
      </c>
      <c r="R417" s="2399">
        <v>0</v>
      </c>
      <c r="S417" s="2400">
        <v>0</v>
      </c>
      <c r="T417" s="2398">
        <v>0</v>
      </c>
      <c r="U417" s="2398">
        <v>0</v>
      </c>
      <c r="V417" s="2401">
        <v>0</v>
      </c>
      <c r="W417" s="2401">
        <v>0</v>
      </c>
      <c r="X417" s="2398">
        <v>0</v>
      </c>
      <c r="Z417" s="2396">
        <v>12122004</v>
      </c>
      <c r="AA417" s="2397" t="s">
        <v>4132</v>
      </c>
      <c r="AB417" s="2398">
        <v>0</v>
      </c>
      <c r="AC417" s="2179">
        <v>0</v>
      </c>
      <c r="AD417" s="2399">
        <v>0</v>
      </c>
      <c r="AE417" s="2400">
        <v>0</v>
      </c>
      <c r="AF417" s="2398">
        <v>0</v>
      </c>
      <c r="AG417" s="2398">
        <v>0</v>
      </c>
      <c r="AH417" s="2401">
        <v>0</v>
      </c>
      <c r="AI417" s="2401">
        <v>0</v>
      </c>
      <c r="AJ417" s="2398">
        <v>0</v>
      </c>
      <c r="AZ417" s="2396">
        <v>12122004</v>
      </c>
      <c r="BA417" s="2397" t="s">
        <v>4132</v>
      </c>
      <c r="BB417" s="2398">
        <v>0</v>
      </c>
      <c r="BC417" s="2179">
        <v>0</v>
      </c>
      <c r="BD417" s="2399">
        <v>0</v>
      </c>
      <c r="BE417" s="2400">
        <v>0</v>
      </c>
      <c r="BF417" s="2398">
        <v>0</v>
      </c>
      <c r="BG417" s="2398">
        <v>0</v>
      </c>
      <c r="BH417" s="2401">
        <v>0</v>
      </c>
      <c r="BI417" s="2401">
        <v>0</v>
      </c>
      <c r="BJ417" s="2398">
        <v>0</v>
      </c>
      <c r="BN417" s="2396">
        <v>12131003</v>
      </c>
      <c r="BO417" s="2397" t="s">
        <v>4137</v>
      </c>
      <c r="BP417" s="2398">
        <v>0</v>
      </c>
      <c r="BQ417" s="2179">
        <v>0</v>
      </c>
      <c r="BR417" s="2399">
        <v>0</v>
      </c>
      <c r="BS417" s="2400">
        <v>0</v>
      </c>
      <c r="BT417" s="2398">
        <v>0</v>
      </c>
      <c r="BU417" s="2398">
        <v>0</v>
      </c>
      <c r="BV417" s="2401">
        <v>0</v>
      </c>
      <c r="BW417" s="2401">
        <v>0</v>
      </c>
      <c r="BX417" s="2398">
        <v>0</v>
      </c>
    </row>
    <row r="418" spans="2:76">
      <c r="B418" s="2564">
        <v>12122005</v>
      </c>
      <c r="C418" s="2565" t="s">
        <v>4133</v>
      </c>
      <c r="D418" s="2566">
        <v>0</v>
      </c>
      <c r="E418" s="1080">
        <v>0</v>
      </c>
      <c r="F418" s="2567">
        <v>0</v>
      </c>
      <c r="G418" s="2568">
        <v>0</v>
      </c>
      <c r="H418" s="2566">
        <v>0</v>
      </c>
      <c r="I418" s="2566">
        <v>0</v>
      </c>
      <c r="J418" s="2569">
        <v>0</v>
      </c>
      <c r="K418" s="2569">
        <v>0</v>
      </c>
      <c r="L418" s="2566">
        <v>0</v>
      </c>
      <c r="N418" s="2396">
        <v>12122005</v>
      </c>
      <c r="O418" s="2397" t="s">
        <v>4133</v>
      </c>
      <c r="P418" s="2398">
        <v>0</v>
      </c>
      <c r="Q418" s="2179">
        <v>0</v>
      </c>
      <c r="R418" s="2399">
        <v>0</v>
      </c>
      <c r="S418" s="2400">
        <v>0</v>
      </c>
      <c r="T418" s="2398">
        <v>0</v>
      </c>
      <c r="U418" s="2398">
        <v>0</v>
      </c>
      <c r="V418" s="2401">
        <v>0</v>
      </c>
      <c r="W418" s="2401">
        <v>0</v>
      </c>
      <c r="X418" s="2398">
        <v>0</v>
      </c>
      <c r="Z418" s="2396">
        <v>12122005</v>
      </c>
      <c r="AA418" s="2397" t="s">
        <v>4133</v>
      </c>
      <c r="AB418" s="2398">
        <v>0</v>
      </c>
      <c r="AC418" s="2179">
        <v>0</v>
      </c>
      <c r="AD418" s="2399">
        <v>0</v>
      </c>
      <c r="AE418" s="2400">
        <v>0</v>
      </c>
      <c r="AF418" s="2398">
        <v>0</v>
      </c>
      <c r="AG418" s="2398">
        <v>0</v>
      </c>
      <c r="AH418" s="2401">
        <v>0</v>
      </c>
      <c r="AI418" s="2401">
        <v>0</v>
      </c>
      <c r="AJ418" s="2398">
        <v>0</v>
      </c>
      <c r="AZ418" s="2396">
        <v>12122005</v>
      </c>
      <c r="BA418" s="2397" t="s">
        <v>4133</v>
      </c>
      <c r="BB418" s="2398">
        <v>0</v>
      </c>
      <c r="BC418" s="2179">
        <v>0</v>
      </c>
      <c r="BD418" s="2399">
        <v>0</v>
      </c>
      <c r="BE418" s="2400">
        <v>0</v>
      </c>
      <c r="BF418" s="2398">
        <v>0</v>
      </c>
      <c r="BG418" s="2398">
        <v>0</v>
      </c>
      <c r="BH418" s="2401">
        <v>0</v>
      </c>
      <c r="BI418" s="2401">
        <v>0</v>
      </c>
      <c r="BJ418" s="2398">
        <v>0</v>
      </c>
      <c r="BN418" s="2396">
        <v>12131004</v>
      </c>
      <c r="BO418" s="2397" t="s">
        <v>4138</v>
      </c>
      <c r="BP418" s="2398">
        <v>0</v>
      </c>
      <c r="BQ418" s="2179">
        <v>0</v>
      </c>
      <c r="BR418" s="2399">
        <v>0</v>
      </c>
      <c r="BS418" s="2400">
        <v>0</v>
      </c>
      <c r="BT418" s="2398">
        <v>0</v>
      </c>
      <c r="BU418" s="2398">
        <v>0</v>
      </c>
      <c r="BV418" s="2401">
        <v>0</v>
      </c>
      <c r="BW418" s="2401">
        <v>0</v>
      </c>
      <c r="BX418" s="2398">
        <v>0</v>
      </c>
    </row>
    <row r="419" spans="2:76">
      <c r="B419" s="2552">
        <v>12130000</v>
      </c>
      <c r="C419" s="2570" t="s">
        <v>4134</v>
      </c>
      <c r="D419" s="2554">
        <v>0</v>
      </c>
      <c r="E419" s="2554">
        <v>0</v>
      </c>
      <c r="F419" s="2555">
        <v>0</v>
      </c>
      <c r="G419" s="2556">
        <v>0</v>
      </c>
      <c r="H419" s="2554">
        <v>0</v>
      </c>
      <c r="I419" s="2554">
        <v>0</v>
      </c>
      <c r="J419" s="2557">
        <v>0</v>
      </c>
      <c r="K419" s="2557">
        <v>0</v>
      </c>
      <c r="L419" s="2554">
        <v>0</v>
      </c>
      <c r="N419" s="2384">
        <v>12130000</v>
      </c>
      <c r="O419" s="2402" t="s">
        <v>4134</v>
      </c>
      <c r="P419" s="2386">
        <v>0</v>
      </c>
      <c r="Q419" s="2386">
        <v>0</v>
      </c>
      <c r="R419" s="2387">
        <v>0</v>
      </c>
      <c r="S419" s="2388">
        <v>0</v>
      </c>
      <c r="T419" s="2386">
        <v>0</v>
      </c>
      <c r="U419" s="2386">
        <v>0</v>
      </c>
      <c r="V419" s="2389">
        <v>0</v>
      </c>
      <c r="W419" s="2389">
        <v>0</v>
      </c>
      <c r="X419" s="2386">
        <v>0</v>
      </c>
      <c r="Z419" s="2384">
        <v>12130000</v>
      </c>
      <c r="AA419" s="2402" t="s">
        <v>4134</v>
      </c>
      <c r="AB419" s="2386">
        <v>0</v>
      </c>
      <c r="AC419" s="2386">
        <v>0</v>
      </c>
      <c r="AD419" s="2387">
        <v>0</v>
      </c>
      <c r="AE419" s="2388">
        <v>0</v>
      </c>
      <c r="AF419" s="2386">
        <v>0</v>
      </c>
      <c r="AG419" s="2386">
        <v>0</v>
      </c>
      <c r="AH419" s="2389">
        <v>0</v>
      </c>
      <c r="AI419" s="2389">
        <v>0</v>
      </c>
      <c r="AJ419" s="2386">
        <v>0</v>
      </c>
      <c r="AZ419" s="2384">
        <v>12130000</v>
      </c>
      <c r="BA419" s="2402" t="s">
        <v>4134</v>
      </c>
      <c r="BB419" s="2386">
        <v>0</v>
      </c>
      <c r="BC419" s="2386">
        <v>0</v>
      </c>
      <c r="BD419" s="2387">
        <v>0</v>
      </c>
      <c r="BE419" s="2388">
        <v>0</v>
      </c>
      <c r="BF419" s="2386">
        <v>0</v>
      </c>
      <c r="BG419" s="2386">
        <v>0</v>
      </c>
      <c r="BH419" s="2389">
        <v>0</v>
      </c>
      <c r="BI419" s="2389">
        <v>0</v>
      </c>
      <c r="BJ419" s="2386">
        <v>0</v>
      </c>
      <c r="BN419" s="2384">
        <v>12140000</v>
      </c>
      <c r="BO419" s="2402" t="s">
        <v>4139</v>
      </c>
      <c r="BP419" s="2386">
        <v>0</v>
      </c>
      <c r="BQ419" s="2386">
        <v>0</v>
      </c>
      <c r="BR419" s="2387">
        <v>0</v>
      </c>
      <c r="BS419" s="2388">
        <v>0</v>
      </c>
      <c r="BT419" s="2386">
        <v>0</v>
      </c>
      <c r="BU419" s="2386">
        <v>0</v>
      </c>
      <c r="BV419" s="2389">
        <v>0</v>
      </c>
      <c r="BW419" s="2389">
        <v>0</v>
      </c>
      <c r="BX419" s="2386">
        <v>0</v>
      </c>
    </row>
    <row r="420" spans="2:76">
      <c r="B420" s="2558">
        <v>12131000</v>
      </c>
      <c r="C420" s="2571" t="s">
        <v>4134</v>
      </c>
      <c r="D420" s="2560">
        <v>0</v>
      </c>
      <c r="E420" s="2560">
        <v>0</v>
      </c>
      <c r="F420" s="2561">
        <v>0</v>
      </c>
      <c r="G420" s="2562">
        <v>0</v>
      </c>
      <c r="H420" s="2560">
        <v>0</v>
      </c>
      <c r="I420" s="2560">
        <v>0</v>
      </c>
      <c r="J420" s="2563">
        <v>0</v>
      </c>
      <c r="K420" s="2563">
        <v>0</v>
      </c>
      <c r="L420" s="2560">
        <v>0</v>
      </c>
      <c r="N420" s="2390">
        <v>12131000</v>
      </c>
      <c r="O420" s="2403" t="s">
        <v>4134</v>
      </c>
      <c r="P420" s="2392">
        <v>0</v>
      </c>
      <c r="Q420" s="2392">
        <v>0</v>
      </c>
      <c r="R420" s="2393">
        <v>0</v>
      </c>
      <c r="S420" s="2394">
        <v>0</v>
      </c>
      <c r="T420" s="2392">
        <v>0</v>
      </c>
      <c r="U420" s="2392">
        <v>0</v>
      </c>
      <c r="V420" s="2395">
        <v>0</v>
      </c>
      <c r="W420" s="2395">
        <v>0</v>
      </c>
      <c r="X420" s="2392">
        <v>0</v>
      </c>
      <c r="Z420" s="2390">
        <v>12131000</v>
      </c>
      <c r="AA420" s="2403" t="s">
        <v>4134</v>
      </c>
      <c r="AB420" s="2392">
        <v>0</v>
      </c>
      <c r="AC420" s="2392">
        <v>0</v>
      </c>
      <c r="AD420" s="2393">
        <v>0</v>
      </c>
      <c r="AE420" s="2394">
        <v>0</v>
      </c>
      <c r="AF420" s="2392">
        <v>0</v>
      </c>
      <c r="AG420" s="2392">
        <v>0</v>
      </c>
      <c r="AH420" s="2395">
        <v>0</v>
      </c>
      <c r="AI420" s="2395">
        <v>0</v>
      </c>
      <c r="AJ420" s="2392">
        <v>0</v>
      </c>
      <c r="AZ420" s="2390">
        <v>12131000</v>
      </c>
      <c r="BA420" s="2403" t="s">
        <v>4134</v>
      </c>
      <c r="BB420" s="2392">
        <v>0</v>
      </c>
      <c r="BC420" s="2392">
        <v>0</v>
      </c>
      <c r="BD420" s="2393">
        <v>0</v>
      </c>
      <c r="BE420" s="2394">
        <v>0</v>
      </c>
      <c r="BF420" s="2392">
        <v>0</v>
      </c>
      <c r="BG420" s="2392">
        <v>0</v>
      </c>
      <c r="BH420" s="2395">
        <v>0</v>
      </c>
      <c r="BI420" s="2395">
        <v>0</v>
      </c>
      <c r="BJ420" s="2392">
        <v>0</v>
      </c>
      <c r="BN420" s="2390">
        <v>12141000</v>
      </c>
      <c r="BO420" s="2403" t="s">
        <v>4140</v>
      </c>
      <c r="BP420" s="2392">
        <v>0</v>
      </c>
      <c r="BQ420" s="2392">
        <v>0</v>
      </c>
      <c r="BR420" s="2393">
        <v>0</v>
      </c>
      <c r="BS420" s="2394">
        <v>0</v>
      </c>
      <c r="BT420" s="2392">
        <v>0</v>
      </c>
      <c r="BU420" s="2392">
        <v>0</v>
      </c>
      <c r="BV420" s="2395">
        <v>0</v>
      </c>
      <c r="BW420" s="2395">
        <v>0</v>
      </c>
      <c r="BX420" s="2392">
        <v>0</v>
      </c>
    </row>
    <row r="421" spans="2:76">
      <c r="B421" s="2564">
        <v>12131001</v>
      </c>
      <c r="C421" s="2565" t="s">
        <v>4135</v>
      </c>
      <c r="D421" s="2566">
        <v>0</v>
      </c>
      <c r="E421" s="1080">
        <v>0</v>
      </c>
      <c r="F421" s="2567">
        <v>0</v>
      </c>
      <c r="G421" s="2568">
        <v>0</v>
      </c>
      <c r="H421" s="2566">
        <v>0</v>
      </c>
      <c r="I421" s="2566">
        <v>0</v>
      </c>
      <c r="J421" s="2569">
        <v>0</v>
      </c>
      <c r="K421" s="2569">
        <v>0</v>
      </c>
      <c r="L421" s="2566">
        <v>0</v>
      </c>
      <c r="N421" s="2396">
        <v>12131001</v>
      </c>
      <c r="O421" s="2397" t="s">
        <v>4135</v>
      </c>
      <c r="P421" s="2398">
        <v>0</v>
      </c>
      <c r="Q421" s="2179">
        <v>0</v>
      </c>
      <c r="R421" s="2399">
        <v>0</v>
      </c>
      <c r="S421" s="2400">
        <v>0</v>
      </c>
      <c r="T421" s="2398">
        <v>0</v>
      </c>
      <c r="U421" s="2398">
        <v>0</v>
      </c>
      <c r="V421" s="2401">
        <v>0</v>
      </c>
      <c r="W421" s="2401">
        <v>0</v>
      </c>
      <c r="X421" s="2398">
        <v>0</v>
      </c>
      <c r="Z421" s="2396">
        <v>12131001</v>
      </c>
      <c r="AA421" s="2397" t="s">
        <v>4135</v>
      </c>
      <c r="AB421" s="2398">
        <v>0</v>
      </c>
      <c r="AC421" s="2179">
        <v>0</v>
      </c>
      <c r="AD421" s="2399">
        <v>0</v>
      </c>
      <c r="AE421" s="2400">
        <v>0</v>
      </c>
      <c r="AF421" s="2398">
        <v>0</v>
      </c>
      <c r="AG421" s="2398">
        <v>0</v>
      </c>
      <c r="AH421" s="2401">
        <v>0</v>
      </c>
      <c r="AI421" s="2401">
        <v>0</v>
      </c>
      <c r="AJ421" s="2398">
        <v>0</v>
      </c>
      <c r="AZ421" s="2396">
        <v>12131001</v>
      </c>
      <c r="BA421" s="2397" t="s">
        <v>4135</v>
      </c>
      <c r="BB421" s="2398">
        <v>0</v>
      </c>
      <c r="BC421" s="2179">
        <v>0</v>
      </c>
      <c r="BD421" s="2399">
        <v>0</v>
      </c>
      <c r="BE421" s="2400">
        <v>0</v>
      </c>
      <c r="BF421" s="2398">
        <v>0</v>
      </c>
      <c r="BG421" s="2398">
        <v>0</v>
      </c>
      <c r="BH421" s="2401">
        <v>0</v>
      </c>
      <c r="BI421" s="2401">
        <v>0</v>
      </c>
      <c r="BJ421" s="2398">
        <v>0</v>
      </c>
      <c r="BN421" s="2396">
        <v>12141001</v>
      </c>
      <c r="BO421" s="2397" t="s">
        <v>4141</v>
      </c>
      <c r="BP421" s="2398">
        <v>0</v>
      </c>
      <c r="BQ421" s="2179">
        <v>0</v>
      </c>
      <c r="BR421" s="2399">
        <v>0</v>
      </c>
      <c r="BS421" s="2400">
        <v>0</v>
      </c>
      <c r="BT421" s="2398">
        <v>0</v>
      </c>
      <c r="BU421" s="2398">
        <v>0</v>
      </c>
      <c r="BV421" s="2401">
        <v>0</v>
      </c>
      <c r="BW421" s="2401">
        <v>0</v>
      </c>
      <c r="BX421" s="2398">
        <v>0</v>
      </c>
    </row>
    <row r="422" spans="2:76">
      <c r="B422" s="2564">
        <v>12131002</v>
      </c>
      <c r="C422" s="2565" t="s">
        <v>4136</v>
      </c>
      <c r="D422" s="2566">
        <v>0</v>
      </c>
      <c r="E422" s="1080">
        <v>0</v>
      </c>
      <c r="F422" s="2567">
        <v>0</v>
      </c>
      <c r="G422" s="2568">
        <v>0</v>
      </c>
      <c r="H422" s="2566">
        <v>0</v>
      </c>
      <c r="I422" s="2566">
        <v>0</v>
      </c>
      <c r="J422" s="2569">
        <v>0</v>
      </c>
      <c r="K422" s="2569">
        <v>0</v>
      </c>
      <c r="L422" s="2566">
        <v>0</v>
      </c>
      <c r="N422" s="2396">
        <v>12131002</v>
      </c>
      <c r="O422" s="2397" t="s">
        <v>4136</v>
      </c>
      <c r="P422" s="2398">
        <v>0</v>
      </c>
      <c r="Q422" s="2179">
        <v>0</v>
      </c>
      <c r="R422" s="2399">
        <v>0</v>
      </c>
      <c r="S422" s="2400">
        <v>0</v>
      </c>
      <c r="T422" s="2398">
        <v>0</v>
      </c>
      <c r="U422" s="2398">
        <v>0</v>
      </c>
      <c r="V422" s="2401">
        <v>0</v>
      </c>
      <c r="W422" s="2401">
        <v>0</v>
      </c>
      <c r="X422" s="2398">
        <v>0</v>
      </c>
      <c r="Z422" s="2396">
        <v>12131002</v>
      </c>
      <c r="AA422" s="2397" t="s">
        <v>4136</v>
      </c>
      <c r="AB422" s="2398">
        <v>0</v>
      </c>
      <c r="AC422" s="2179">
        <v>0</v>
      </c>
      <c r="AD422" s="2399">
        <v>0</v>
      </c>
      <c r="AE422" s="2400">
        <v>0</v>
      </c>
      <c r="AF422" s="2398">
        <v>0</v>
      </c>
      <c r="AG422" s="2398">
        <v>0</v>
      </c>
      <c r="AH422" s="2401">
        <v>0</v>
      </c>
      <c r="AI422" s="2401">
        <v>0</v>
      </c>
      <c r="AJ422" s="2398">
        <v>0</v>
      </c>
      <c r="AZ422" s="2396">
        <v>12131002</v>
      </c>
      <c r="BA422" s="2397" t="s">
        <v>4136</v>
      </c>
      <c r="BB422" s="2398">
        <v>0</v>
      </c>
      <c r="BC422" s="2179">
        <v>0</v>
      </c>
      <c r="BD422" s="2399">
        <v>0</v>
      </c>
      <c r="BE422" s="2400">
        <v>0</v>
      </c>
      <c r="BF422" s="2398">
        <v>0</v>
      </c>
      <c r="BG422" s="2398">
        <v>0</v>
      </c>
      <c r="BH422" s="2401">
        <v>0</v>
      </c>
      <c r="BI422" s="2401">
        <v>0</v>
      </c>
      <c r="BJ422" s="2398">
        <v>0</v>
      </c>
      <c r="BN422" s="2396">
        <v>12141002</v>
      </c>
      <c r="BO422" s="2397" t="s">
        <v>4142</v>
      </c>
      <c r="BP422" s="2398">
        <v>0</v>
      </c>
      <c r="BQ422" s="2179">
        <v>0</v>
      </c>
      <c r="BR422" s="2399">
        <v>0</v>
      </c>
      <c r="BS422" s="2400">
        <v>0</v>
      </c>
      <c r="BT422" s="2398">
        <v>0</v>
      </c>
      <c r="BU422" s="2398">
        <v>0</v>
      </c>
      <c r="BV422" s="2401">
        <v>0</v>
      </c>
      <c r="BW422" s="2401">
        <v>0</v>
      </c>
      <c r="BX422" s="2398">
        <v>0</v>
      </c>
    </row>
    <row r="423" spans="2:76">
      <c r="B423" s="2564">
        <v>12131003</v>
      </c>
      <c r="C423" s="2565" t="s">
        <v>4137</v>
      </c>
      <c r="D423" s="2566">
        <v>0</v>
      </c>
      <c r="E423" s="1080">
        <v>0</v>
      </c>
      <c r="F423" s="2567">
        <v>0</v>
      </c>
      <c r="G423" s="2568">
        <v>0</v>
      </c>
      <c r="H423" s="2566">
        <v>0</v>
      </c>
      <c r="I423" s="2566">
        <v>0</v>
      </c>
      <c r="J423" s="2569">
        <v>0</v>
      </c>
      <c r="K423" s="2569">
        <v>0</v>
      </c>
      <c r="L423" s="2566">
        <v>0</v>
      </c>
      <c r="N423" s="2396">
        <v>12131003</v>
      </c>
      <c r="O423" s="2397" t="s">
        <v>4137</v>
      </c>
      <c r="P423" s="2398">
        <v>0</v>
      </c>
      <c r="Q423" s="2179">
        <v>0</v>
      </c>
      <c r="R423" s="2399">
        <v>0</v>
      </c>
      <c r="S423" s="2400">
        <v>0</v>
      </c>
      <c r="T423" s="2398">
        <v>0</v>
      </c>
      <c r="U423" s="2398">
        <v>0</v>
      </c>
      <c r="V423" s="2401">
        <v>0</v>
      </c>
      <c r="W423" s="2401">
        <v>0</v>
      </c>
      <c r="X423" s="2398">
        <v>0</v>
      </c>
      <c r="Z423" s="2396">
        <v>12131003</v>
      </c>
      <c r="AA423" s="2397" t="s">
        <v>4137</v>
      </c>
      <c r="AB423" s="2398">
        <v>0</v>
      </c>
      <c r="AC423" s="2179">
        <v>0</v>
      </c>
      <c r="AD423" s="2399">
        <v>0</v>
      </c>
      <c r="AE423" s="2400">
        <v>0</v>
      </c>
      <c r="AF423" s="2398">
        <v>0</v>
      </c>
      <c r="AG423" s="2398">
        <v>0</v>
      </c>
      <c r="AH423" s="2401">
        <v>0</v>
      </c>
      <c r="AI423" s="2401">
        <v>0</v>
      </c>
      <c r="AJ423" s="2398">
        <v>0</v>
      </c>
      <c r="AZ423" s="2396">
        <v>12131003</v>
      </c>
      <c r="BA423" s="2397" t="s">
        <v>4137</v>
      </c>
      <c r="BB423" s="2398">
        <v>0</v>
      </c>
      <c r="BC423" s="2179">
        <v>0</v>
      </c>
      <c r="BD423" s="2399">
        <v>0</v>
      </c>
      <c r="BE423" s="2400">
        <v>0</v>
      </c>
      <c r="BF423" s="2398">
        <v>0</v>
      </c>
      <c r="BG423" s="2398">
        <v>0</v>
      </c>
      <c r="BH423" s="2401">
        <v>0</v>
      </c>
      <c r="BI423" s="2401">
        <v>0</v>
      </c>
      <c r="BJ423" s="2398">
        <v>0</v>
      </c>
      <c r="BN423" s="2396">
        <v>12141003</v>
      </c>
      <c r="BO423" s="2397" t="s">
        <v>4143</v>
      </c>
      <c r="BP423" s="2398">
        <v>0</v>
      </c>
      <c r="BQ423" s="2179">
        <v>0</v>
      </c>
      <c r="BR423" s="2399">
        <v>0</v>
      </c>
      <c r="BS423" s="2400">
        <v>0</v>
      </c>
      <c r="BT423" s="2398">
        <v>0</v>
      </c>
      <c r="BU423" s="2398">
        <v>0</v>
      </c>
      <c r="BV423" s="2401">
        <v>0</v>
      </c>
      <c r="BW423" s="2401">
        <v>0</v>
      </c>
      <c r="BX423" s="2398">
        <v>0</v>
      </c>
    </row>
    <row r="424" spans="2:76">
      <c r="B424" s="2564">
        <v>12131004</v>
      </c>
      <c r="C424" s="2565" t="s">
        <v>5018</v>
      </c>
      <c r="D424" s="2566">
        <v>0</v>
      </c>
      <c r="E424" s="1080">
        <v>0</v>
      </c>
      <c r="F424" s="2567">
        <v>0</v>
      </c>
      <c r="G424" s="2568">
        <v>0</v>
      </c>
      <c r="H424" s="2566">
        <v>0</v>
      </c>
      <c r="I424" s="2566">
        <v>0</v>
      </c>
      <c r="J424" s="2569">
        <v>0</v>
      </c>
      <c r="K424" s="2569">
        <v>0</v>
      </c>
      <c r="L424" s="2566">
        <v>0</v>
      </c>
      <c r="N424" s="2396">
        <v>12131004</v>
      </c>
      <c r="O424" s="2397" t="s">
        <v>4138</v>
      </c>
      <c r="P424" s="2398">
        <v>0</v>
      </c>
      <c r="Q424" s="2179">
        <v>0</v>
      </c>
      <c r="R424" s="2399">
        <v>0</v>
      </c>
      <c r="S424" s="2400">
        <v>0</v>
      </c>
      <c r="T424" s="2398">
        <v>0</v>
      </c>
      <c r="U424" s="2398">
        <v>0</v>
      </c>
      <c r="V424" s="2401">
        <v>0</v>
      </c>
      <c r="W424" s="2401">
        <v>0</v>
      </c>
      <c r="X424" s="2398">
        <v>0</v>
      </c>
      <c r="Z424" s="2396">
        <v>12131004</v>
      </c>
      <c r="AA424" s="2397" t="s">
        <v>4138</v>
      </c>
      <c r="AB424" s="2398">
        <v>0</v>
      </c>
      <c r="AC424" s="2179">
        <v>0</v>
      </c>
      <c r="AD424" s="2399">
        <v>0</v>
      </c>
      <c r="AE424" s="2400">
        <v>0</v>
      </c>
      <c r="AF424" s="2398">
        <v>0</v>
      </c>
      <c r="AG424" s="2398">
        <v>0</v>
      </c>
      <c r="AH424" s="2401">
        <v>0</v>
      </c>
      <c r="AI424" s="2401">
        <v>0</v>
      </c>
      <c r="AJ424" s="2398">
        <v>0</v>
      </c>
      <c r="AZ424" s="2396">
        <v>12131004</v>
      </c>
      <c r="BA424" s="2397" t="s">
        <v>4138</v>
      </c>
      <c r="BB424" s="2398">
        <v>0</v>
      </c>
      <c r="BC424" s="2179">
        <v>0</v>
      </c>
      <c r="BD424" s="2399">
        <v>0</v>
      </c>
      <c r="BE424" s="2400">
        <v>0</v>
      </c>
      <c r="BF424" s="2398">
        <v>0</v>
      </c>
      <c r="BG424" s="2398">
        <v>0</v>
      </c>
      <c r="BH424" s="2401">
        <v>0</v>
      </c>
      <c r="BI424" s="2401">
        <v>0</v>
      </c>
      <c r="BJ424" s="2398">
        <v>0</v>
      </c>
      <c r="BN424" s="2390">
        <v>12141100</v>
      </c>
      <c r="BO424" s="2403" t="s">
        <v>4144</v>
      </c>
      <c r="BP424" s="2392">
        <v>0</v>
      </c>
      <c r="BQ424" s="2392">
        <v>0</v>
      </c>
      <c r="BR424" s="2393">
        <v>0</v>
      </c>
      <c r="BS424" s="2394">
        <v>0</v>
      </c>
      <c r="BT424" s="2392">
        <v>0</v>
      </c>
      <c r="BU424" s="2392">
        <v>0</v>
      </c>
      <c r="BV424" s="2395">
        <v>0</v>
      </c>
      <c r="BW424" s="2395">
        <v>0</v>
      </c>
      <c r="BX424" s="2392">
        <v>0</v>
      </c>
    </row>
    <row r="425" spans="2:76">
      <c r="B425" s="2552">
        <v>12140000</v>
      </c>
      <c r="C425" s="2570" t="s">
        <v>4139</v>
      </c>
      <c r="D425" s="2554">
        <v>60170703</v>
      </c>
      <c r="E425" s="2554">
        <v>0</v>
      </c>
      <c r="F425" s="2555">
        <v>0</v>
      </c>
      <c r="G425" s="2556">
        <v>0</v>
      </c>
      <c r="H425" s="2554">
        <v>0</v>
      </c>
      <c r="I425" s="2554">
        <v>60170703</v>
      </c>
      <c r="J425" s="2557">
        <v>0</v>
      </c>
      <c r="K425" s="2557">
        <v>0</v>
      </c>
      <c r="L425" s="2554">
        <v>60170703</v>
      </c>
      <c r="N425" s="2384">
        <v>12140000</v>
      </c>
      <c r="O425" s="2402" t="s">
        <v>4139</v>
      </c>
      <c r="P425" s="2386">
        <v>58590500</v>
      </c>
      <c r="Q425" s="2386">
        <v>0</v>
      </c>
      <c r="R425" s="2387">
        <v>0</v>
      </c>
      <c r="S425" s="2388">
        <v>0</v>
      </c>
      <c r="T425" s="2386">
        <v>0</v>
      </c>
      <c r="U425" s="2386">
        <v>58590500</v>
      </c>
      <c r="V425" s="2389">
        <v>0</v>
      </c>
      <c r="W425" s="2389">
        <v>0</v>
      </c>
      <c r="X425" s="2386">
        <v>58590500</v>
      </c>
      <c r="Z425" s="2384">
        <v>12140000</v>
      </c>
      <c r="AA425" s="2402" t="s">
        <v>4139</v>
      </c>
      <c r="AB425" s="2386">
        <v>3284400</v>
      </c>
      <c r="AC425" s="2386">
        <v>0</v>
      </c>
      <c r="AD425" s="2387">
        <v>0</v>
      </c>
      <c r="AE425" s="2388">
        <v>0</v>
      </c>
      <c r="AF425" s="2386">
        <v>0</v>
      </c>
      <c r="AG425" s="2386">
        <v>3284400</v>
      </c>
      <c r="AH425" s="2389">
        <v>0</v>
      </c>
      <c r="AI425" s="2389">
        <v>0</v>
      </c>
      <c r="AJ425" s="2386">
        <v>3284400</v>
      </c>
      <c r="AZ425" s="2384">
        <v>12140000</v>
      </c>
      <c r="BA425" s="2402" t="s">
        <v>4139</v>
      </c>
      <c r="BB425" s="2386">
        <v>18843195</v>
      </c>
      <c r="BC425" s="2386">
        <v>0</v>
      </c>
      <c r="BD425" s="2387">
        <v>0</v>
      </c>
      <c r="BE425" s="2388">
        <v>0</v>
      </c>
      <c r="BF425" s="2386">
        <v>0</v>
      </c>
      <c r="BG425" s="2386">
        <v>18843195</v>
      </c>
      <c r="BH425" s="2389">
        <v>0</v>
      </c>
      <c r="BI425" s="2389">
        <v>0</v>
      </c>
      <c r="BJ425" s="2386">
        <v>18843195</v>
      </c>
      <c r="BN425" s="2396">
        <v>12141101</v>
      </c>
      <c r="BO425" s="2397" t="s">
        <v>4145</v>
      </c>
      <c r="BP425" s="2398">
        <v>0</v>
      </c>
      <c r="BQ425" s="2179">
        <v>0</v>
      </c>
      <c r="BR425" s="2399">
        <v>0</v>
      </c>
      <c r="BS425" s="2400">
        <v>0</v>
      </c>
      <c r="BT425" s="2398">
        <v>0</v>
      </c>
      <c r="BU425" s="2398">
        <v>0</v>
      </c>
      <c r="BV425" s="2401">
        <v>0</v>
      </c>
      <c r="BW425" s="2401">
        <v>0</v>
      </c>
      <c r="BX425" s="2398">
        <v>0</v>
      </c>
    </row>
    <row r="426" spans="2:76">
      <c r="B426" s="2558">
        <v>12141000</v>
      </c>
      <c r="C426" s="2571" t="s">
        <v>4140</v>
      </c>
      <c r="D426" s="2560">
        <v>60170703</v>
      </c>
      <c r="E426" s="2560">
        <v>0</v>
      </c>
      <c r="F426" s="2561">
        <v>0</v>
      </c>
      <c r="G426" s="2562">
        <v>0</v>
      </c>
      <c r="H426" s="2560">
        <v>0</v>
      </c>
      <c r="I426" s="2560">
        <v>60170703</v>
      </c>
      <c r="J426" s="2563">
        <v>0</v>
      </c>
      <c r="K426" s="2563">
        <v>0</v>
      </c>
      <c r="L426" s="2560">
        <v>60170703</v>
      </c>
      <c r="N426" s="2390">
        <v>12141000</v>
      </c>
      <c r="O426" s="2403" t="s">
        <v>4140</v>
      </c>
      <c r="P426" s="2392">
        <v>58590500</v>
      </c>
      <c r="Q426" s="2392">
        <v>0</v>
      </c>
      <c r="R426" s="2393">
        <v>0</v>
      </c>
      <c r="S426" s="2394">
        <v>0</v>
      </c>
      <c r="T426" s="2392">
        <v>0</v>
      </c>
      <c r="U426" s="2392">
        <v>58590500</v>
      </c>
      <c r="V426" s="2395">
        <v>0</v>
      </c>
      <c r="W426" s="2395">
        <v>0</v>
      </c>
      <c r="X426" s="2392">
        <v>58590500</v>
      </c>
      <c r="Z426" s="2390">
        <v>12141000</v>
      </c>
      <c r="AA426" s="2403" t="s">
        <v>4140</v>
      </c>
      <c r="AB426" s="2392">
        <v>3284400</v>
      </c>
      <c r="AC426" s="2392">
        <v>0</v>
      </c>
      <c r="AD426" s="2393">
        <v>0</v>
      </c>
      <c r="AE426" s="2394">
        <v>0</v>
      </c>
      <c r="AF426" s="2392">
        <v>0</v>
      </c>
      <c r="AG426" s="2392">
        <v>3284400</v>
      </c>
      <c r="AH426" s="2395">
        <v>0</v>
      </c>
      <c r="AI426" s="2395">
        <v>0</v>
      </c>
      <c r="AJ426" s="2392">
        <v>3284400</v>
      </c>
      <c r="AZ426" s="2390">
        <v>12141000</v>
      </c>
      <c r="BA426" s="2403" t="s">
        <v>4140</v>
      </c>
      <c r="BB426" s="2392">
        <v>0</v>
      </c>
      <c r="BC426" s="2392">
        <v>0</v>
      </c>
      <c r="BD426" s="2393">
        <v>0</v>
      </c>
      <c r="BE426" s="2394">
        <v>0</v>
      </c>
      <c r="BF426" s="2392">
        <v>0</v>
      </c>
      <c r="BG426" s="2392">
        <v>0</v>
      </c>
      <c r="BH426" s="2395">
        <v>0</v>
      </c>
      <c r="BI426" s="2395">
        <v>0</v>
      </c>
      <c r="BJ426" s="2392">
        <v>0</v>
      </c>
      <c r="BN426" s="2396">
        <v>12141102</v>
      </c>
      <c r="BO426" s="2397" t="s">
        <v>4146</v>
      </c>
      <c r="BP426" s="2398">
        <v>0</v>
      </c>
      <c r="BQ426" s="2179">
        <v>0</v>
      </c>
      <c r="BR426" s="2399">
        <v>0</v>
      </c>
      <c r="BS426" s="2400">
        <v>0</v>
      </c>
      <c r="BT426" s="2398">
        <v>0</v>
      </c>
      <c r="BU426" s="2398">
        <v>0</v>
      </c>
      <c r="BV426" s="2401">
        <v>0</v>
      </c>
      <c r="BW426" s="2401">
        <v>0</v>
      </c>
      <c r="BX426" s="2398">
        <v>0</v>
      </c>
    </row>
    <row r="427" spans="2:76">
      <c r="B427" s="2564">
        <v>12141001</v>
      </c>
      <c r="C427" s="2565" t="s">
        <v>5019</v>
      </c>
      <c r="D427" s="2566">
        <v>0</v>
      </c>
      <c r="E427" s="1080">
        <v>0</v>
      </c>
      <c r="F427" s="2567">
        <v>0</v>
      </c>
      <c r="G427" s="2568">
        <v>0</v>
      </c>
      <c r="H427" s="2566">
        <v>0</v>
      </c>
      <c r="I427" s="2566">
        <v>0</v>
      </c>
      <c r="J427" s="2569">
        <v>0</v>
      </c>
      <c r="K427" s="2569">
        <v>0</v>
      </c>
      <c r="L427" s="2566">
        <v>0</v>
      </c>
      <c r="N427" s="2396">
        <v>12141001</v>
      </c>
      <c r="O427" s="2397" t="s">
        <v>4141</v>
      </c>
      <c r="P427" s="2398">
        <v>0</v>
      </c>
      <c r="Q427" s="2179">
        <v>0</v>
      </c>
      <c r="R427" s="2399">
        <v>0</v>
      </c>
      <c r="S427" s="2400">
        <v>0</v>
      </c>
      <c r="T427" s="2398">
        <v>0</v>
      </c>
      <c r="U427" s="2398">
        <v>0</v>
      </c>
      <c r="V427" s="2401">
        <v>0</v>
      </c>
      <c r="W427" s="2401">
        <v>0</v>
      </c>
      <c r="X427" s="2398">
        <v>0</v>
      </c>
      <c r="Z427" s="2396">
        <v>12141001</v>
      </c>
      <c r="AA427" s="2397" t="s">
        <v>4141</v>
      </c>
      <c r="AB427" s="2398">
        <v>0</v>
      </c>
      <c r="AC427" s="2179">
        <v>0</v>
      </c>
      <c r="AD427" s="2399">
        <v>0</v>
      </c>
      <c r="AE427" s="2400">
        <v>0</v>
      </c>
      <c r="AF427" s="2398">
        <v>0</v>
      </c>
      <c r="AG427" s="2398">
        <v>0</v>
      </c>
      <c r="AH427" s="2401">
        <v>0</v>
      </c>
      <c r="AI427" s="2401">
        <v>0</v>
      </c>
      <c r="AJ427" s="2398">
        <v>0</v>
      </c>
      <c r="AZ427" s="2396">
        <v>12141001</v>
      </c>
      <c r="BA427" s="2397" t="s">
        <v>4141</v>
      </c>
      <c r="BB427" s="2398">
        <v>0</v>
      </c>
      <c r="BC427" s="2179">
        <v>0</v>
      </c>
      <c r="BD427" s="2399">
        <v>0</v>
      </c>
      <c r="BE427" s="2400">
        <v>0</v>
      </c>
      <c r="BF427" s="2398">
        <v>0</v>
      </c>
      <c r="BG427" s="2398">
        <v>0</v>
      </c>
      <c r="BH427" s="2401">
        <v>0</v>
      </c>
      <c r="BI427" s="2401">
        <v>0</v>
      </c>
      <c r="BJ427" s="2398">
        <v>0</v>
      </c>
      <c r="BN427" s="2384">
        <v>12150000</v>
      </c>
      <c r="BO427" s="2402" t="s">
        <v>4147</v>
      </c>
      <c r="BP427" s="2386">
        <v>146139280899</v>
      </c>
      <c r="BQ427" s="2386">
        <v>0</v>
      </c>
      <c r="BR427" s="2387">
        <v>0</v>
      </c>
      <c r="BS427" s="2388">
        <v>0</v>
      </c>
      <c r="BT427" s="2386">
        <v>0</v>
      </c>
      <c r="BU427" s="2386">
        <v>146139280899</v>
      </c>
      <c r="BV427" s="2389">
        <v>0</v>
      </c>
      <c r="BW427" s="2389">
        <v>0</v>
      </c>
      <c r="BX427" s="2386">
        <v>31450690664</v>
      </c>
    </row>
    <row r="428" spans="2:76">
      <c r="B428" s="2564">
        <v>12141002</v>
      </c>
      <c r="C428" s="2565" t="s">
        <v>5020</v>
      </c>
      <c r="D428" s="2566">
        <v>0</v>
      </c>
      <c r="E428" s="1080">
        <v>0</v>
      </c>
      <c r="F428" s="2567">
        <v>0</v>
      </c>
      <c r="G428" s="2568">
        <v>0</v>
      </c>
      <c r="H428" s="2566">
        <v>0</v>
      </c>
      <c r="I428" s="2566">
        <v>0</v>
      </c>
      <c r="J428" s="2569">
        <v>0</v>
      </c>
      <c r="K428" s="2569">
        <v>0</v>
      </c>
      <c r="L428" s="2566">
        <v>0</v>
      </c>
      <c r="N428" s="2396">
        <v>12141002</v>
      </c>
      <c r="O428" s="2397" t="s">
        <v>4142</v>
      </c>
      <c r="P428" s="2398">
        <v>4251625</v>
      </c>
      <c r="Q428" s="2179">
        <v>0</v>
      </c>
      <c r="R428" s="2399">
        <v>0</v>
      </c>
      <c r="S428" s="2400">
        <v>0</v>
      </c>
      <c r="T428" s="2398">
        <v>0</v>
      </c>
      <c r="U428" s="2398">
        <v>4251625</v>
      </c>
      <c r="V428" s="2401">
        <v>0</v>
      </c>
      <c r="W428" s="2401">
        <v>0</v>
      </c>
      <c r="X428" s="2398">
        <v>4251625</v>
      </c>
      <c r="Z428" s="2396">
        <v>12141002</v>
      </c>
      <c r="AA428" s="2397" t="s">
        <v>4142</v>
      </c>
      <c r="AB428" s="2398">
        <v>3284400</v>
      </c>
      <c r="AC428" s="2179">
        <v>0</v>
      </c>
      <c r="AD428" s="2399">
        <v>0</v>
      </c>
      <c r="AE428" s="2400">
        <v>0</v>
      </c>
      <c r="AF428" s="2398">
        <v>0</v>
      </c>
      <c r="AG428" s="2398">
        <v>3284400</v>
      </c>
      <c r="AH428" s="2401">
        <v>0</v>
      </c>
      <c r="AI428" s="2401">
        <v>0</v>
      </c>
      <c r="AJ428" s="2398">
        <v>3284400</v>
      </c>
      <c r="AZ428" s="2396">
        <v>12141002</v>
      </c>
      <c r="BA428" s="2397" t="s">
        <v>4142</v>
      </c>
      <c r="BB428" s="2398">
        <v>0</v>
      </c>
      <c r="BC428" s="2179">
        <v>0</v>
      </c>
      <c r="BD428" s="2399">
        <v>0</v>
      </c>
      <c r="BE428" s="2400">
        <v>0</v>
      </c>
      <c r="BF428" s="2398">
        <v>0</v>
      </c>
      <c r="BG428" s="2398">
        <v>0</v>
      </c>
      <c r="BH428" s="2401">
        <v>0</v>
      </c>
      <c r="BI428" s="2401">
        <v>0</v>
      </c>
      <c r="BJ428" s="2398">
        <v>0</v>
      </c>
      <c r="BN428" s="2390">
        <v>12151000</v>
      </c>
      <c r="BO428" s="2403" t="s">
        <v>4148</v>
      </c>
      <c r="BP428" s="2392">
        <v>146139280899</v>
      </c>
      <c r="BQ428" s="2392">
        <v>0</v>
      </c>
      <c r="BR428" s="2393">
        <v>0</v>
      </c>
      <c r="BS428" s="2394">
        <v>0</v>
      </c>
      <c r="BT428" s="2392">
        <v>0</v>
      </c>
      <c r="BU428" s="2392">
        <v>146139280899</v>
      </c>
      <c r="BV428" s="2395">
        <v>0</v>
      </c>
      <c r="BW428" s="2395">
        <v>0</v>
      </c>
      <c r="BX428" s="2392">
        <v>31450690664</v>
      </c>
    </row>
    <row r="429" spans="2:76">
      <c r="B429" s="2564">
        <v>12141003</v>
      </c>
      <c r="C429" s="2565" t="s">
        <v>5021</v>
      </c>
      <c r="D429" s="2566">
        <v>60170703</v>
      </c>
      <c r="E429" s="1080">
        <v>0</v>
      </c>
      <c r="F429" s="2567">
        <v>0</v>
      </c>
      <c r="G429" s="2568">
        <v>0</v>
      </c>
      <c r="H429" s="2566">
        <v>0</v>
      </c>
      <c r="I429" s="2566">
        <v>60170703</v>
      </c>
      <c r="J429" s="2569">
        <v>0</v>
      </c>
      <c r="K429" s="2569">
        <v>0</v>
      </c>
      <c r="L429" s="2566">
        <v>60170703</v>
      </c>
      <c r="N429" s="2396">
        <v>12141003</v>
      </c>
      <c r="O429" s="2397" t="s">
        <v>4143</v>
      </c>
      <c r="P429" s="2398">
        <v>54338875</v>
      </c>
      <c r="Q429" s="2179">
        <v>0</v>
      </c>
      <c r="R429" s="2399">
        <v>0</v>
      </c>
      <c r="S429" s="2400">
        <v>0</v>
      </c>
      <c r="T429" s="2398">
        <v>0</v>
      </c>
      <c r="U429" s="2398">
        <v>54338875</v>
      </c>
      <c r="V429" s="2401">
        <v>0</v>
      </c>
      <c r="W429" s="2401">
        <v>0</v>
      </c>
      <c r="X429" s="2398">
        <v>54338875</v>
      </c>
      <c r="Z429" s="2396">
        <v>12141003</v>
      </c>
      <c r="AA429" s="2397" t="s">
        <v>4143</v>
      </c>
      <c r="AB429" s="2398">
        <v>0</v>
      </c>
      <c r="AC429" s="2179">
        <v>0</v>
      </c>
      <c r="AD429" s="2399">
        <v>0</v>
      </c>
      <c r="AE429" s="2400">
        <v>0</v>
      </c>
      <c r="AF429" s="2398">
        <v>0</v>
      </c>
      <c r="AG429" s="2398">
        <v>0</v>
      </c>
      <c r="AH429" s="2401">
        <v>0</v>
      </c>
      <c r="AI429" s="2401">
        <v>0</v>
      </c>
      <c r="AJ429" s="2398">
        <v>0</v>
      </c>
      <c r="AZ429" s="2396">
        <v>12141003</v>
      </c>
      <c r="BA429" s="2397" t="s">
        <v>4143</v>
      </c>
      <c r="BB429" s="2398">
        <v>0</v>
      </c>
      <c r="BC429" s="2179">
        <v>0</v>
      </c>
      <c r="BD429" s="2399">
        <v>0</v>
      </c>
      <c r="BE429" s="2400">
        <v>0</v>
      </c>
      <c r="BF429" s="2398">
        <v>0</v>
      </c>
      <c r="BG429" s="2398">
        <v>0</v>
      </c>
      <c r="BH429" s="2401">
        <v>0</v>
      </c>
      <c r="BI429" s="2401">
        <v>0</v>
      </c>
      <c r="BJ429" s="2398">
        <v>0</v>
      </c>
      <c r="BN429" s="2396">
        <v>12151001</v>
      </c>
      <c r="BO429" s="2397" t="s">
        <v>4149</v>
      </c>
      <c r="BP429" s="2398">
        <v>110847127595</v>
      </c>
      <c r="BQ429" s="2179">
        <v>0</v>
      </c>
      <c r="BR429" s="2399">
        <v>0</v>
      </c>
      <c r="BS429" s="2400">
        <v>0</v>
      </c>
      <c r="BT429" s="2398">
        <v>0</v>
      </c>
      <c r="BU429" s="2398">
        <v>110847127595</v>
      </c>
      <c r="BV429" s="2401">
        <v>44000205200</v>
      </c>
      <c r="BW429" s="2401">
        <v>154847332795</v>
      </c>
      <c r="BX429" s="2398">
        <v>0</v>
      </c>
    </row>
    <row r="430" spans="2:76">
      <c r="B430" s="2558">
        <v>12141100</v>
      </c>
      <c r="C430" s="2571" t="s">
        <v>4144</v>
      </c>
      <c r="D430" s="2560">
        <v>0</v>
      </c>
      <c r="E430" s="2560">
        <v>0</v>
      </c>
      <c r="F430" s="2561">
        <v>0</v>
      </c>
      <c r="G430" s="2562">
        <v>0</v>
      </c>
      <c r="H430" s="2560">
        <v>0</v>
      </c>
      <c r="I430" s="2560">
        <v>0</v>
      </c>
      <c r="J430" s="2563">
        <v>0</v>
      </c>
      <c r="K430" s="2563">
        <v>0</v>
      </c>
      <c r="L430" s="2560">
        <v>0</v>
      </c>
      <c r="N430" s="2390">
        <v>12141100</v>
      </c>
      <c r="O430" s="2403" t="s">
        <v>4144</v>
      </c>
      <c r="P430" s="2392">
        <v>0</v>
      </c>
      <c r="Q430" s="2392">
        <v>0</v>
      </c>
      <c r="R430" s="2393">
        <v>0</v>
      </c>
      <c r="S430" s="2394">
        <v>0</v>
      </c>
      <c r="T430" s="2392">
        <v>0</v>
      </c>
      <c r="U430" s="2392">
        <v>0</v>
      </c>
      <c r="V430" s="2395">
        <v>0</v>
      </c>
      <c r="W430" s="2395">
        <v>0</v>
      </c>
      <c r="X430" s="2392">
        <v>0</v>
      </c>
      <c r="Z430" s="2390">
        <v>12141100</v>
      </c>
      <c r="AA430" s="2403" t="s">
        <v>4144</v>
      </c>
      <c r="AB430" s="2392">
        <v>0</v>
      </c>
      <c r="AC430" s="2392">
        <v>0</v>
      </c>
      <c r="AD430" s="2393">
        <v>0</v>
      </c>
      <c r="AE430" s="2394">
        <v>0</v>
      </c>
      <c r="AF430" s="2392">
        <v>0</v>
      </c>
      <c r="AG430" s="2392">
        <v>0</v>
      </c>
      <c r="AH430" s="2395">
        <v>0</v>
      </c>
      <c r="AI430" s="2395">
        <v>0</v>
      </c>
      <c r="AJ430" s="2392">
        <v>0</v>
      </c>
      <c r="AZ430" s="2390">
        <v>12141100</v>
      </c>
      <c r="BA430" s="2403" t="s">
        <v>4144</v>
      </c>
      <c r="BB430" s="2392">
        <v>18843195</v>
      </c>
      <c r="BC430" s="2392">
        <v>0</v>
      </c>
      <c r="BD430" s="2393">
        <v>0</v>
      </c>
      <c r="BE430" s="2394">
        <v>0</v>
      </c>
      <c r="BF430" s="2392">
        <v>0</v>
      </c>
      <c r="BG430" s="2392">
        <v>18843195</v>
      </c>
      <c r="BH430" s="2395">
        <v>0</v>
      </c>
      <c r="BI430" s="2395">
        <v>0</v>
      </c>
      <c r="BJ430" s="2392">
        <v>18843195</v>
      </c>
      <c r="BN430" s="2396">
        <v>12151002</v>
      </c>
      <c r="BO430" s="2397" t="s">
        <v>4150</v>
      </c>
      <c r="BP430" s="2398">
        <v>0</v>
      </c>
      <c r="BQ430" s="2179">
        <v>0</v>
      </c>
      <c r="BR430" s="2399">
        <v>0</v>
      </c>
      <c r="BS430" s="2400">
        <v>0</v>
      </c>
      <c r="BT430" s="2398">
        <v>0</v>
      </c>
      <c r="BU430" s="2398">
        <v>0</v>
      </c>
      <c r="BV430" s="2401">
        <v>0</v>
      </c>
      <c r="BW430" s="2401">
        <v>0</v>
      </c>
      <c r="BX430" s="2398">
        <v>0</v>
      </c>
    </row>
    <row r="431" spans="2:76">
      <c r="B431" s="2564">
        <v>12141101</v>
      </c>
      <c r="C431" s="2565" t="s">
        <v>5022</v>
      </c>
      <c r="D431" s="2566">
        <v>0</v>
      </c>
      <c r="E431" s="1080">
        <v>0</v>
      </c>
      <c r="F431" s="2567">
        <v>0</v>
      </c>
      <c r="G431" s="2568">
        <v>0</v>
      </c>
      <c r="H431" s="2566">
        <v>0</v>
      </c>
      <c r="I431" s="2566">
        <v>0</v>
      </c>
      <c r="J431" s="2569">
        <v>0</v>
      </c>
      <c r="K431" s="2569">
        <v>0</v>
      </c>
      <c r="L431" s="2566">
        <v>0</v>
      </c>
      <c r="N431" s="2396">
        <v>12141101</v>
      </c>
      <c r="O431" s="2397" t="s">
        <v>4145</v>
      </c>
      <c r="P431" s="2398">
        <v>0</v>
      </c>
      <c r="Q431" s="2179">
        <v>0</v>
      </c>
      <c r="R431" s="2399">
        <v>0</v>
      </c>
      <c r="S431" s="2400">
        <v>0</v>
      </c>
      <c r="T431" s="2398">
        <v>0</v>
      </c>
      <c r="U431" s="2398">
        <v>0</v>
      </c>
      <c r="V431" s="2401">
        <v>0</v>
      </c>
      <c r="W431" s="2401">
        <v>0</v>
      </c>
      <c r="X431" s="2398">
        <v>0</v>
      </c>
      <c r="Z431" s="2396">
        <v>12141101</v>
      </c>
      <c r="AA431" s="2397" t="s">
        <v>4145</v>
      </c>
      <c r="AB431" s="2398">
        <v>0</v>
      </c>
      <c r="AC431" s="2179">
        <v>0</v>
      </c>
      <c r="AD431" s="2399">
        <v>0</v>
      </c>
      <c r="AE431" s="2400">
        <v>0</v>
      </c>
      <c r="AF431" s="2398">
        <v>0</v>
      </c>
      <c r="AG431" s="2398">
        <v>0</v>
      </c>
      <c r="AH431" s="2401">
        <v>0</v>
      </c>
      <c r="AI431" s="2401">
        <v>0</v>
      </c>
      <c r="AJ431" s="2398">
        <v>0</v>
      </c>
      <c r="AZ431" s="2396">
        <v>12141101</v>
      </c>
      <c r="BA431" s="2397" t="s">
        <v>4145</v>
      </c>
      <c r="BB431" s="2398">
        <v>0</v>
      </c>
      <c r="BC431" s="2179">
        <v>0</v>
      </c>
      <c r="BD431" s="2399">
        <v>0</v>
      </c>
      <c r="BE431" s="2400">
        <v>0</v>
      </c>
      <c r="BF431" s="2398">
        <v>0</v>
      </c>
      <c r="BG431" s="2398">
        <v>0</v>
      </c>
      <c r="BH431" s="2401">
        <v>0</v>
      </c>
      <c r="BI431" s="2401">
        <v>0</v>
      </c>
      <c r="BJ431" s="2398">
        <v>0</v>
      </c>
      <c r="BN431" s="2396">
        <v>12151003</v>
      </c>
      <c r="BO431" s="2397" t="s">
        <v>4151</v>
      </c>
      <c r="BP431" s="2398">
        <v>35292153304</v>
      </c>
      <c r="BQ431" s="2179">
        <v>0</v>
      </c>
      <c r="BR431" s="2399">
        <v>0</v>
      </c>
      <c r="BS431" s="2400">
        <v>0</v>
      </c>
      <c r="BT431" s="2398">
        <v>0</v>
      </c>
      <c r="BU431" s="2398">
        <v>35292153304</v>
      </c>
      <c r="BV431" s="2401">
        <v>161772470587</v>
      </c>
      <c r="BW431" s="2401">
        <v>165613933227</v>
      </c>
      <c r="BX431" s="2398">
        <v>31450690664</v>
      </c>
    </row>
    <row r="432" spans="2:76">
      <c r="B432" s="2564">
        <v>12141102</v>
      </c>
      <c r="C432" s="2565" t="s">
        <v>5023</v>
      </c>
      <c r="D432" s="2566">
        <v>0</v>
      </c>
      <c r="E432" s="1080">
        <v>0</v>
      </c>
      <c r="F432" s="2567">
        <v>0</v>
      </c>
      <c r="G432" s="2568">
        <v>0</v>
      </c>
      <c r="H432" s="2566">
        <v>0</v>
      </c>
      <c r="I432" s="2566">
        <v>0</v>
      </c>
      <c r="J432" s="2569">
        <v>0</v>
      </c>
      <c r="K432" s="2569">
        <v>0</v>
      </c>
      <c r="L432" s="2566">
        <v>0</v>
      </c>
      <c r="N432" s="2396">
        <v>12141102</v>
      </c>
      <c r="O432" s="2397" t="s">
        <v>4146</v>
      </c>
      <c r="P432" s="2398">
        <v>0</v>
      </c>
      <c r="Q432" s="2179">
        <v>0</v>
      </c>
      <c r="R432" s="2399">
        <v>0</v>
      </c>
      <c r="S432" s="2400">
        <v>0</v>
      </c>
      <c r="T432" s="2398">
        <v>0</v>
      </c>
      <c r="U432" s="2398">
        <v>0</v>
      </c>
      <c r="V432" s="2401">
        <v>0</v>
      </c>
      <c r="W432" s="2401">
        <v>0</v>
      </c>
      <c r="X432" s="2398">
        <v>0</v>
      </c>
      <c r="Z432" s="2396">
        <v>12141102</v>
      </c>
      <c r="AA432" s="2397" t="s">
        <v>4146</v>
      </c>
      <c r="AB432" s="2398">
        <v>0</v>
      </c>
      <c r="AC432" s="2179">
        <v>0</v>
      </c>
      <c r="AD432" s="2399">
        <v>0</v>
      </c>
      <c r="AE432" s="2400">
        <v>0</v>
      </c>
      <c r="AF432" s="2398">
        <v>0</v>
      </c>
      <c r="AG432" s="2398">
        <v>0</v>
      </c>
      <c r="AH432" s="2401">
        <v>0</v>
      </c>
      <c r="AI432" s="2401">
        <v>0</v>
      </c>
      <c r="AJ432" s="2398">
        <v>0</v>
      </c>
      <c r="AZ432" s="2396">
        <v>12141102</v>
      </c>
      <c r="BA432" s="2397" t="s">
        <v>4146</v>
      </c>
      <c r="BB432" s="2398">
        <v>18843195</v>
      </c>
      <c r="BC432" s="2179">
        <v>0</v>
      </c>
      <c r="BD432" s="2399">
        <v>0</v>
      </c>
      <c r="BE432" s="2400">
        <v>0</v>
      </c>
      <c r="BF432" s="2398">
        <v>0</v>
      </c>
      <c r="BG432" s="2398">
        <v>18843195</v>
      </c>
      <c r="BH432" s="2401">
        <v>0</v>
      </c>
      <c r="BI432" s="2401">
        <v>0</v>
      </c>
      <c r="BJ432" s="2398">
        <v>18843195</v>
      </c>
      <c r="BN432" s="2384">
        <v>12160000</v>
      </c>
      <c r="BO432" s="2402" t="s">
        <v>6547</v>
      </c>
      <c r="BP432" s="2386">
        <v>0</v>
      </c>
      <c r="BQ432" s="2386">
        <v>0</v>
      </c>
      <c r="BR432" s="2387">
        <v>0</v>
      </c>
      <c r="BS432" s="2388">
        <v>0</v>
      </c>
      <c r="BT432" s="2386">
        <v>0</v>
      </c>
      <c r="BU432" s="2386">
        <v>0</v>
      </c>
      <c r="BV432" s="2389">
        <v>0</v>
      </c>
      <c r="BW432" s="2389">
        <v>0</v>
      </c>
      <c r="BX432" s="2386">
        <v>0</v>
      </c>
    </row>
    <row r="433" spans="2:76">
      <c r="B433" s="2552">
        <v>12150000</v>
      </c>
      <c r="C433" s="2570" t="s">
        <v>4147</v>
      </c>
      <c r="D433" s="2554">
        <v>126139280899</v>
      </c>
      <c r="E433" s="2554">
        <v>0</v>
      </c>
      <c r="F433" s="2555">
        <v>0</v>
      </c>
      <c r="G433" s="2556">
        <v>0</v>
      </c>
      <c r="H433" s="2554">
        <v>0</v>
      </c>
      <c r="I433" s="2554">
        <v>126139280899</v>
      </c>
      <c r="J433" s="2557">
        <v>0</v>
      </c>
      <c r="K433" s="2557">
        <v>0</v>
      </c>
      <c r="L433" s="2554">
        <v>41864207708.226746</v>
      </c>
      <c r="N433" s="2384">
        <v>12150000</v>
      </c>
      <c r="O433" s="2402" t="s">
        <v>4147</v>
      </c>
      <c r="P433" s="2386">
        <v>126139280899</v>
      </c>
      <c r="Q433" s="2386">
        <v>0</v>
      </c>
      <c r="R433" s="2387">
        <v>0</v>
      </c>
      <c r="S433" s="2388">
        <v>0</v>
      </c>
      <c r="T433" s="2386">
        <v>0</v>
      </c>
      <c r="U433" s="2386">
        <v>126139280899</v>
      </c>
      <c r="V433" s="2389">
        <v>0</v>
      </c>
      <c r="W433" s="2389">
        <v>0</v>
      </c>
      <c r="X433" s="2386">
        <v>39322658781.226746</v>
      </c>
      <c r="Z433" s="2384">
        <v>12150000</v>
      </c>
      <c r="AA433" s="2402" t="s">
        <v>4147</v>
      </c>
      <c r="AB433" s="2386">
        <v>126139280899</v>
      </c>
      <c r="AC433" s="2386">
        <v>0</v>
      </c>
      <c r="AD433" s="2387">
        <v>0</v>
      </c>
      <c r="AE433" s="2388">
        <v>0</v>
      </c>
      <c r="AF433" s="2386">
        <v>0</v>
      </c>
      <c r="AG433" s="2386">
        <v>126139280899</v>
      </c>
      <c r="AH433" s="2389">
        <v>0</v>
      </c>
      <c r="AI433" s="2389">
        <v>0</v>
      </c>
      <c r="AJ433" s="2386">
        <v>35882069723.226746</v>
      </c>
      <c r="AZ433" s="2384">
        <v>12150000</v>
      </c>
      <c r="BA433" s="2402" t="s">
        <v>4147</v>
      </c>
      <c r="BB433" s="2386">
        <v>126139280899</v>
      </c>
      <c r="BC433" s="2386">
        <v>0</v>
      </c>
      <c r="BD433" s="2387">
        <v>0</v>
      </c>
      <c r="BE433" s="2388">
        <v>0</v>
      </c>
      <c r="BF433" s="2386">
        <v>0</v>
      </c>
      <c r="BG433" s="2386">
        <v>126139280899</v>
      </c>
      <c r="BH433" s="2389">
        <v>0</v>
      </c>
      <c r="BI433" s="2389">
        <v>0</v>
      </c>
      <c r="BJ433" s="2386">
        <v>34667085414.226746</v>
      </c>
      <c r="BN433" s="2390">
        <v>12161000</v>
      </c>
      <c r="BO433" s="2403" t="s">
        <v>6547</v>
      </c>
      <c r="BP433" s="2392">
        <v>0</v>
      </c>
      <c r="BQ433" s="2392">
        <v>0</v>
      </c>
      <c r="BR433" s="2393">
        <v>0</v>
      </c>
      <c r="BS433" s="2394">
        <v>0</v>
      </c>
      <c r="BT433" s="2392">
        <v>0</v>
      </c>
      <c r="BU433" s="2392">
        <v>0</v>
      </c>
      <c r="BV433" s="2395">
        <v>0</v>
      </c>
      <c r="BW433" s="2395">
        <v>0</v>
      </c>
      <c r="BX433" s="2392">
        <v>0</v>
      </c>
    </row>
    <row r="434" spans="2:76">
      <c r="B434" s="2558">
        <v>12151000</v>
      </c>
      <c r="C434" s="2571" t="s">
        <v>4148</v>
      </c>
      <c r="D434" s="2560">
        <v>126139280899</v>
      </c>
      <c r="E434" s="2560">
        <v>0</v>
      </c>
      <c r="F434" s="2561">
        <v>0</v>
      </c>
      <c r="G434" s="2562">
        <v>0</v>
      </c>
      <c r="H434" s="2560">
        <v>0</v>
      </c>
      <c r="I434" s="2560">
        <v>126139280899</v>
      </c>
      <c r="J434" s="2563">
        <v>0</v>
      </c>
      <c r="K434" s="2563">
        <v>0</v>
      </c>
      <c r="L434" s="2560">
        <v>41864207708.226746</v>
      </c>
      <c r="N434" s="2390">
        <v>12151000</v>
      </c>
      <c r="O434" s="2403" t="s">
        <v>4148</v>
      </c>
      <c r="P434" s="2392">
        <v>126139280899</v>
      </c>
      <c r="Q434" s="2392">
        <v>0</v>
      </c>
      <c r="R434" s="2393">
        <v>0</v>
      </c>
      <c r="S434" s="2394">
        <v>0</v>
      </c>
      <c r="T434" s="2392">
        <v>0</v>
      </c>
      <c r="U434" s="2392">
        <v>126139280899</v>
      </c>
      <c r="V434" s="2395">
        <v>0</v>
      </c>
      <c r="W434" s="2395">
        <v>0</v>
      </c>
      <c r="X434" s="2392">
        <v>39322658781.226746</v>
      </c>
      <c r="Z434" s="2390">
        <v>12151000</v>
      </c>
      <c r="AA434" s="2403" t="s">
        <v>4148</v>
      </c>
      <c r="AB434" s="2392">
        <v>126139280899</v>
      </c>
      <c r="AC434" s="2392">
        <v>0</v>
      </c>
      <c r="AD434" s="2393">
        <v>0</v>
      </c>
      <c r="AE434" s="2394">
        <v>0</v>
      </c>
      <c r="AF434" s="2392">
        <v>0</v>
      </c>
      <c r="AG434" s="2392">
        <v>126139280899</v>
      </c>
      <c r="AH434" s="2395">
        <v>0</v>
      </c>
      <c r="AI434" s="2395">
        <v>0</v>
      </c>
      <c r="AJ434" s="2392">
        <v>35882069723.226746</v>
      </c>
      <c r="AZ434" s="2390">
        <v>12151000</v>
      </c>
      <c r="BA434" s="2403" t="s">
        <v>4148</v>
      </c>
      <c r="BB434" s="2392">
        <v>126139280899</v>
      </c>
      <c r="BC434" s="2392">
        <v>0</v>
      </c>
      <c r="BD434" s="2393">
        <v>0</v>
      </c>
      <c r="BE434" s="2394">
        <v>0</v>
      </c>
      <c r="BF434" s="2392">
        <v>0</v>
      </c>
      <c r="BG434" s="2392">
        <v>126139280899</v>
      </c>
      <c r="BH434" s="2395">
        <v>0</v>
      </c>
      <c r="BI434" s="2395">
        <v>0</v>
      </c>
      <c r="BJ434" s="2392">
        <v>34667085414.226746</v>
      </c>
      <c r="BN434" s="2396">
        <v>12161001</v>
      </c>
      <c r="BO434" s="2397" t="s">
        <v>6547</v>
      </c>
      <c r="BP434" s="2398">
        <v>0</v>
      </c>
      <c r="BQ434" s="2179">
        <v>0</v>
      </c>
      <c r="BR434" s="2399">
        <v>0</v>
      </c>
      <c r="BS434" s="2400">
        <v>0</v>
      </c>
      <c r="BT434" s="2398">
        <v>0</v>
      </c>
      <c r="BU434" s="2398">
        <v>0</v>
      </c>
      <c r="BV434" s="2401">
        <v>0</v>
      </c>
      <c r="BW434" s="2401">
        <v>0</v>
      </c>
      <c r="BX434" s="2398">
        <v>0</v>
      </c>
    </row>
    <row r="435" spans="2:76">
      <c r="B435" s="2564">
        <v>12151001</v>
      </c>
      <c r="C435" s="2565" t="s">
        <v>4149</v>
      </c>
      <c r="D435" s="2566">
        <v>90847127595</v>
      </c>
      <c r="E435" s="1080">
        <v>0</v>
      </c>
      <c r="F435" s="2567">
        <v>0</v>
      </c>
      <c r="G435" s="2568">
        <v>0</v>
      </c>
      <c r="H435" s="2566">
        <v>0</v>
      </c>
      <c r="I435" s="2566">
        <v>90847127595</v>
      </c>
      <c r="J435" s="2569">
        <v>64000205200</v>
      </c>
      <c r="K435" s="2569">
        <v>154847332795</v>
      </c>
      <c r="L435" s="2566">
        <v>0</v>
      </c>
      <c r="N435" s="2396">
        <v>12151001</v>
      </c>
      <c r="O435" s="2397" t="s">
        <v>4149</v>
      </c>
      <c r="P435" s="2398">
        <v>90847127595</v>
      </c>
      <c r="Q435" s="2179">
        <v>0</v>
      </c>
      <c r="R435" s="2399">
        <v>0</v>
      </c>
      <c r="S435" s="2400">
        <v>0</v>
      </c>
      <c r="T435" s="2398">
        <v>0</v>
      </c>
      <c r="U435" s="2398">
        <v>90847127595</v>
      </c>
      <c r="V435" s="2401">
        <v>64000205200</v>
      </c>
      <c r="W435" s="2401">
        <v>154847332795</v>
      </c>
      <c r="X435" s="2398">
        <v>0</v>
      </c>
      <c r="Z435" s="2396">
        <v>12151001</v>
      </c>
      <c r="AA435" s="2397" t="s">
        <v>4149</v>
      </c>
      <c r="AB435" s="2398">
        <v>90847127595</v>
      </c>
      <c r="AC435" s="2179">
        <v>0</v>
      </c>
      <c r="AD435" s="2399">
        <v>0</v>
      </c>
      <c r="AE435" s="2400">
        <v>0</v>
      </c>
      <c r="AF435" s="2398">
        <v>0</v>
      </c>
      <c r="AG435" s="2398">
        <v>90847127595</v>
      </c>
      <c r="AH435" s="2401">
        <v>64000205200</v>
      </c>
      <c r="AI435" s="2401">
        <v>154847332795</v>
      </c>
      <c r="AJ435" s="2398">
        <v>0</v>
      </c>
      <c r="AZ435" s="2396">
        <v>12151001</v>
      </c>
      <c r="BA435" s="2397" t="s">
        <v>4149</v>
      </c>
      <c r="BB435" s="2398">
        <v>90847127595</v>
      </c>
      <c r="BC435" s="2179">
        <v>0</v>
      </c>
      <c r="BD435" s="2399">
        <v>0</v>
      </c>
      <c r="BE435" s="2400">
        <v>0</v>
      </c>
      <c r="BF435" s="2398">
        <v>0</v>
      </c>
      <c r="BG435" s="2398">
        <v>90847127595</v>
      </c>
      <c r="BH435" s="2401">
        <v>64000205200</v>
      </c>
      <c r="BI435" s="2401">
        <v>154847332795</v>
      </c>
      <c r="BJ435" s="2398">
        <v>0</v>
      </c>
      <c r="BN435" s="2396">
        <v>12161002</v>
      </c>
      <c r="BO435" s="2397" t="s">
        <v>6548</v>
      </c>
      <c r="BP435" s="2398">
        <v>0</v>
      </c>
      <c r="BQ435" s="2179">
        <v>0</v>
      </c>
      <c r="BR435" s="2399">
        <v>0</v>
      </c>
      <c r="BS435" s="2400">
        <v>0</v>
      </c>
      <c r="BT435" s="2398">
        <v>0</v>
      </c>
      <c r="BU435" s="2398">
        <v>0</v>
      </c>
      <c r="BV435" s="2401">
        <v>0</v>
      </c>
      <c r="BW435" s="2401">
        <v>0</v>
      </c>
      <c r="BX435" s="2398">
        <v>0</v>
      </c>
    </row>
    <row r="436" spans="2:76">
      <c r="B436" s="2564">
        <v>12151002</v>
      </c>
      <c r="C436" s="2565" t="s">
        <v>4150</v>
      </c>
      <c r="D436" s="2566">
        <v>0</v>
      </c>
      <c r="E436" s="1080">
        <v>0</v>
      </c>
      <c r="F436" s="2567">
        <v>0</v>
      </c>
      <c r="G436" s="2568">
        <v>0</v>
      </c>
      <c r="H436" s="2566">
        <v>0</v>
      </c>
      <c r="I436" s="2566">
        <v>0</v>
      </c>
      <c r="J436" s="2569">
        <v>0</v>
      </c>
      <c r="K436" s="2569">
        <v>0</v>
      </c>
      <c r="L436" s="2566">
        <v>0</v>
      </c>
      <c r="N436" s="2396">
        <v>12151002</v>
      </c>
      <c r="O436" s="2397" t="s">
        <v>4150</v>
      </c>
      <c r="P436" s="2398">
        <v>0</v>
      </c>
      <c r="Q436" s="2179">
        <v>0</v>
      </c>
      <c r="R436" s="2399">
        <v>0</v>
      </c>
      <c r="S436" s="2400">
        <v>0</v>
      </c>
      <c r="T436" s="2398">
        <v>0</v>
      </c>
      <c r="U436" s="2398">
        <v>0</v>
      </c>
      <c r="V436" s="2401">
        <v>0</v>
      </c>
      <c r="W436" s="2401">
        <v>0</v>
      </c>
      <c r="X436" s="2398">
        <v>0</v>
      </c>
      <c r="Z436" s="2396">
        <v>12151002</v>
      </c>
      <c r="AA436" s="2397" t="s">
        <v>4150</v>
      </c>
      <c r="AB436" s="2398">
        <v>0</v>
      </c>
      <c r="AC436" s="2179">
        <v>0</v>
      </c>
      <c r="AD436" s="2399">
        <v>0</v>
      </c>
      <c r="AE436" s="2400">
        <v>0</v>
      </c>
      <c r="AF436" s="2398">
        <v>0</v>
      </c>
      <c r="AG436" s="2398">
        <v>0</v>
      </c>
      <c r="AH436" s="2401">
        <v>0</v>
      </c>
      <c r="AI436" s="2401">
        <v>0</v>
      </c>
      <c r="AJ436" s="2398">
        <v>0</v>
      </c>
      <c r="AZ436" s="2396">
        <v>12151002</v>
      </c>
      <c r="BA436" s="2397" t="s">
        <v>4150</v>
      </c>
      <c r="BB436" s="2398">
        <v>0</v>
      </c>
      <c r="BC436" s="2179">
        <v>0</v>
      </c>
      <c r="BD436" s="2399">
        <v>0</v>
      </c>
      <c r="BE436" s="2400">
        <v>0</v>
      </c>
      <c r="BF436" s="2398">
        <v>0</v>
      </c>
      <c r="BG436" s="2398">
        <v>0</v>
      </c>
      <c r="BH436" s="2401">
        <v>0</v>
      </c>
      <c r="BI436" s="2401">
        <v>0</v>
      </c>
      <c r="BJ436" s="2398">
        <v>0</v>
      </c>
      <c r="BN436" s="2396">
        <v>12161003</v>
      </c>
      <c r="BO436" s="2397" t="s">
        <v>6549</v>
      </c>
      <c r="BP436" s="2398">
        <v>0</v>
      </c>
      <c r="BQ436" s="2179">
        <v>0</v>
      </c>
      <c r="BR436" s="2399">
        <v>0</v>
      </c>
      <c r="BS436" s="2400">
        <v>0</v>
      </c>
      <c r="BT436" s="2398">
        <v>0</v>
      </c>
      <c r="BU436" s="2398">
        <v>0</v>
      </c>
      <c r="BV436" s="2401">
        <v>0</v>
      </c>
      <c r="BW436" s="2401">
        <v>0</v>
      </c>
      <c r="BX436" s="2398">
        <v>0</v>
      </c>
    </row>
    <row r="437" spans="2:76">
      <c r="B437" s="2564">
        <v>12151003</v>
      </c>
      <c r="C437" s="2565" t="s">
        <v>4151</v>
      </c>
      <c r="D437" s="2566">
        <v>35292153304</v>
      </c>
      <c r="E437" s="1080">
        <v>0</v>
      </c>
      <c r="F437" s="2567">
        <v>0</v>
      </c>
      <c r="G437" s="2568">
        <v>0</v>
      </c>
      <c r="H437" s="2566">
        <v>0</v>
      </c>
      <c r="I437" s="2566">
        <v>35292153304</v>
      </c>
      <c r="J437" s="2569">
        <v>171609757530</v>
      </c>
      <c r="K437" s="2569">
        <v>165037703125.77325</v>
      </c>
      <c r="L437" s="2566">
        <v>41864207708.226746</v>
      </c>
      <c r="N437" s="2396">
        <v>12151003</v>
      </c>
      <c r="O437" s="2397" t="s">
        <v>4151</v>
      </c>
      <c r="P437" s="2398">
        <v>35292153304</v>
      </c>
      <c r="Q437" s="2179">
        <v>0</v>
      </c>
      <c r="R437" s="2399">
        <v>0</v>
      </c>
      <c r="S437" s="2400">
        <v>0</v>
      </c>
      <c r="T437" s="2398">
        <v>0</v>
      </c>
      <c r="U437" s="2398">
        <v>35292153304</v>
      </c>
      <c r="V437" s="2401">
        <v>169590575654</v>
      </c>
      <c r="W437" s="2401">
        <v>165560070176.77325</v>
      </c>
      <c r="X437" s="2398">
        <v>39322658781.226746</v>
      </c>
      <c r="Z437" s="2396">
        <v>12151003</v>
      </c>
      <c r="AA437" s="2397" t="s">
        <v>4151</v>
      </c>
      <c r="AB437" s="2398">
        <v>35292153304</v>
      </c>
      <c r="AC437" s="2179">
        <v>0</v>
      </c>
      <c r="AD437" s="2399">
        <v>0</v>
      </c>
      <c r="AE437" s="2400">
        <v>0</v>
      </c>
      <c r="AF437" s="2398">
        <v>0</v>
      </c>
      <c r="AG437" s="2398">
        <v>35292153304</v>
      </c>
      <c r="AH437" s="2401">
        <v>166537215525</v>
      </c>
      <c r="AI437" s="2401">
        <v>165947299105.77325</v>
      </c>
      <c r="AJ437" s="2398">
        <v>35882069723.226746</v>
      </c>
      <c r="AZ437" s="2396">
        <v>12151003</v>
      </c>
      <c r="BA437" s="2397" t="s">
        <v>4151</v>
      </c>
      <c r="BB437" s="2398">
        <v>35292153304</v>
      </c>
      <c r="BC437" s="2179">
        <v>0</v>
      </c>
      <c r="BD437" s="2399">
        <v>0</v>
      </c>
      <c r="BE437" s="2400">
        <v>0</v>
      </c>
      <c r="BF437" s="2398">
        <v>0</v>
      </c>
      <c r="BG437" s="2398">
        <v>35292153304</v>
      </c>
      <c r="BH437" s="2401">
        <v>164672343151</v>
      </c>
      <c r="BI437" s="2401">
        <v>165297411040.77325</v>
      </c>
      <c r="BJ437" s="2398">
        <v>34667085414.226746</v>
      </c>
      <c r="BN437" s="2384">
        <v>12170000</v>
      </c>
      <c r="BO437" s="2402" t="s">
        <v>1455</v>
      </c>
      <c r="BP437" s="2386">
        <v>594417571202</v>
      </c>
      <c r="BQ437" s="2386">
        <v>16913078623</v>
      </c>
      <c r="BR437" s="2387">
        <v>87789191974</v>
      </c>
      <c r="BS437" s="2388">
        <v>188749460</v>
      </c>
      <c r="BT437" s="2386">
        <v>31120767492</v>
      </c>
      <c r="BU437" s="2386">
        <v>730429358751</v>
      </c>
      <c r="BV437" s="2389">
        <v>0</v>
      </c>
      <c r="BW437" s="2389">
        <v>0</v>
      </c>
      <c r="BX437" s="2386">
        <v>725083215260</v>
      </c>
    </row>
    <row r="438" spans="2:76">
      <c r="B438" s="2552"/>
      <c r="C438" s="2570"/>
      <c r="D438" s="2554">
        <v>0</v>
      </c>
      <c r="E438" s="2554">
        <v>0</v>
      </c>
      <c r="F438" s="2555">
        <v>0</v>
      </c>
      <c r="G438" s="2556">
        <v>0</v>
      </c>
      <c r="H438" s="2554">
        <v>0</v>
      </c>
      <c r="I438" s="2554">
        <v>0</v>
      </c>
      <c r="J438" s="2557">
        <v>0</v>
      </c>
      <c r="K438" s="2557">
        <v>0</v>
      </c>
      <c r="L438" s="2554">
        <v>0</v>
      </c>
      <c r="N438" s="2384"/>
      <c r="O438" s="2402"/>
      <c r="P438" s="2386">
        <v>0</v>
      </c>
      <c r="Q438" s="2386">
        <v>0</v>
      </c>
      <c r="R438" s="2387">
        <v>0</v>
      </c>
      <c r="S438" s="2388">
        <v>0</v>
      </c>
      <c r="T438" s="2386">
        <v>0</v>
      </c>
      <c r="U438" s="2386">
        <v>0</v>
      </c>
      <c r="V438" s="2389">
        <v>0</v>
      </c>
      <c r="W438" s="2389">
        <v>0</v>
      </c>
      <c r="X438" s="2386">
        <v>0</v>
      </c>
      <c r="Z438" s="2384"/>
      <c r="AA438" s="2402"/>
      <c r="AB438" s="2386">
        <v>0</v>
      </c>
      <c r="AC438" s="2386">
        <v>0</v>
      </c>
      <c r="AD438" s="2387">
        <v>0</v>
      </c>
      <c r="AE438" s="2388">
        <v>0</v>
      </c>
      <c r="AF438" s="2386">
        <v>0</v>
      </c>
      <c r="AG438" s="2386">
        <v>0</v>
      </c>
      <c r="AH438" s="2389">
        <v>0</v>
      </c>
      <c r="AI438" s="2389">
        <v>0</v>
      </c>
      <c r="AJ438" s="2386">
        <v>0</v>
      </c>
      <c r="AZ438" s="2384"/>
      <c r="BA438" s="2402"/>
      <c r="BB438" s="2386">
        <v>0</v>
      </c>
      <c r="BC438" s="2386">
        <v>0</v>
      </c>
      <c r="BD438" s="2387">
        <v>0</v>
      </c>
      <c r="BE438" s="2388">
        <v>0</v>
      </c>
      <c r="BF438" s="2386">
        <v>0</v>
      </c>
      <c r="BG438" s="2386">
        <v>0</v>
      </c>
      <c r="BH438" s="2389">
        <v>0</v>
      </c>
      <c r="BI438" s="2389">
        <v>0</v>
      </c>
      <c r="BJ438" s="2386">
        <v>0</v>
      </c>
      <c r="BN438" s="2390">
        <v>12171000</v>
      </c>
      <c r="BO438" s="2403" t="s">
        <v>4152</v>
      </c>
      <c r="BP438" s="2392">
        <v>102580885050</v>
      </c>
      <c r="BQ438" s="2392">
        <v>7669920000</v>
      </c>
      <c r="BR438" s="2393">
        <v>9530671798</v>
      </c>
      <c r="BS438" s="2394">
        <v>0</v>
      </c>
      <c r="BT438" s="2392">
        <v>0</v>
      </c>
      <c r="BU438" s="2392">
        <v>119781476848</v>
      </c>
      <c r="BV438" s="2395">
        <v>0</v>
      </c>
      <c r="BW438" s="2395">
        <v>0</v>
      </c>
      <c r="BX438" s="2392">
        <v>119781476848</v>
      </c>
    </row>
    <row r="439" spans="2:76">
      <c r="B439" s="2558"/>
      <c r="C439" s="2571"/>
      <c r="D439" s="2560">
        <v>0</v>
      </c>
      <c r="E439" s="2560">
        <v>0</v>
      </c>
      <c r="F439" s="2561">
        <v>0</v>
      </c>
      <c r="G439" s="2562">
        <v>0</v>
      </c>
      <c r="H439" s="2560">
        <v>0</v>
      </c>
      <c r="I439" s="2560">
        <v>0</v>
      </c>
      <c r="J439" s="2563">
        <v>0</v>
      </c>
      <c r="K439" s="2563">
        <v>0</v>
      </c>
      <c r="L439" s="2560">
        <v>0</v>
      </c>
      <c r="N439" s="2390"/>
      <c r="O439" s="2403"/>
      <c r="P439" s="2392">
        <v>0</v>
      </c>
      <c r="Q439" s="2392">
        <v>0</v>
      </c>
      <c r="R439" s="2393">
        <v>0</v>
      </c>
      <c r="S439" s="2394">
        <v>0</v>
      </c>
      <c r="T439" s="2392">
        <v>0</v>
      </c>
      <c r="U439" s="2392">
        <v>0</v>
      </c>
      <c r="V439" s="2395">
        <v>0</v>
      </c>
      <c r="W439" s="2395">
        <v>0</v>
      </c>
      <c r="X439" s="2392">
        <v>0</v>
      </c>
      <c r="Z439" s="2390"/>
      <c r="AA439" s="2403"/>
      <c r="AB439" s="2392">
        <v>0</v>
      </c>
      <c r="AC439" s="2392">
        <v>0</v>
      </c>
      <c r="AD439" s="2393">
        <v>0</v>
      </c>
      <c r="AE439" s="2394">
        <v>0</v>
      </c>
      <c r="AF439" s="2392">
        <v>0</v>
      </c>
      <c r="AG439" s="2392">
        <v>0</v>
      </c>
      <c r="AH439" s="2395">
        <v>0</v>
      </c>
      <c r="AI439" s="2395">
        <v>0</v>
      </c>
      <c r="AJ439" s="2392">
        <v>0</v>
      </c>
      <c r="AZ439" s="2390"/>
      <c r="BA439" s="2403"/>
      <c r="BB439" s="2392">
        <v>0</v>
      </c>
      <c r="BC439" s="2392">
        <v>0</v>
      </c>
      <c r="BD439" s="2393">
        <v>0</v>
      </c>
      <c r="BE439" s="2394">
        <v>0</v>
      </c>
      <c r="BF439" s="2392">
        <v>0</v>
      </c>
      <c r="BG439" s="2392">
        <v>0</v>
      </c>
      <c r="BH439" s="2395">
        <v>0</v>
      </c>
      <c r="BI439" s="2395">
        <v>0</v>
      </c>
      <c r="BJ439" s="2392">
        <v>0</v>
      </c>
      <c r="BN439" s="2396">
        <v>12171001</v>
      </c>
      <c r="BO439" s="2397" t="s">
        <v>4152</v>
      </c>
      <c r="BP439" s="2398">
        <v>102580885050</v>
      </c>
      <c r="BQ439" s="2179">
        <v>7669920000</v>
      </c>
      <c r="BR439" s="2399">
        <v>9530671798</v>
      </c>
      <c r="BS439" s="2400">
        <v>0</v>
      </c>
      <c r="BT439" s="2398">
        <v>0</v>
      </c>
      <c r="BU439" s="2398">
        <v>119781476848</v>
      </c>
      <c r="BV439" s="2401">
        <v>0</v>
      </c>
      <c r="BW439" s="2401">
        <v>0</v>
      </c>
      <c r="BX439" s="2398">
        <v>119781476848</v>
      </c>
    </row>
    <row r="440" spans="2:76">
      <c r="B440" s="2564"/>
      <c r="C440" s="2565"/>
      <c r="D440" s="2566">
        <v>0</v>
      </c>
      <c r="E440" s="1080">
        <v>0</v>
      </c>
      <c r="F440" s="2567">
        <v>0</v>
      </c>
      <c r="G440" s="2568">
        <v>0</v>
      </c>
      <c r="H440" s="2566">
        <v>0</v>
      </c>
      <c r="I440" s="2566">
        <v>0</v>
      </c>
      <c r="J440" s="2569">
        <v>0</v>
      </c>
      <c r="K440" s="2569">
        <v>0</v>
      </c>
      <c r="L440" s="2566">
        <v>0</v>
      </c>
      <c r="N440" s="2396"/>
      <c r="O440" s="2397"/>
      <c r="P440" s="2398">
        <v>0</v>
      </c>
      <c r="Q440" s="2179">
        <v>0</v>
      </c>
      <c r="R440" s="2399">
        <v>0</v>
      </c>
      <c r="S440" s="2400">
        <v>0</v>
      </c>
      <c r="T440" s="2398">
        <v>0</v>
      </c>
      <c r="U440" s="2398">
        <v>0</v>
      </c>
      <c r="V440" s="2401">
        <v>0</v>
      </c>
      <c r="W440" s="2401">
        <v>0</v>
      </c>
      <c r="X440" s="2398">
        <v>0</v>
      </c>
      <c r="Z440" s="2396"/>
      <c r="AA440" s="2397"/>
      <c r="AB440" s="2398">
        <v>0</v>
      </c>
      <c r="AC440" s="2179">
        <v>0</v>
      </c>
      <c r="AD440" s="2399">
        <v>0</v>
      </c>
      <c r="AE440" s="2400">
        <v>0</v>
      </c>
      <c r="AF440" s="2398">
        <v>0</v>
      </c>
      <c r="AG440" s="2398">
        <v>0</v>
      </c>
      <c r="AH440" s="2401">
        <v>0</v>
      </c>
      <c r="AI440" s="2401">
        <v>0</v>
      </c>
      <c r="AJ440" s="2398">
        <v>0</v>
      </c>
      <c r="AZ440" s="2396"/>
      <c r="BA440" s="2397"/>
      <c r="BB440" s="2398">
        <v>0</v>
      </c>
      <c r="BC440" s="2179">
        <v>0</v>
      </c>
      <c r="BD440" s="2399">
        <v>0</v>
      </c>
      <c r="BE440" s="2400">
        <v>0</v>
      </c>
      <c r="BF440" s="2398">
        <v>0</v>
      </c>
      <c r="BG440" s="2398">
        <v>0</v>
      </c>
      <c r="BH440" s="2401">
        <v>0</v>
      </c>
      <c r="BI440" s="2401">
        <v>0</v>
      </c>
      <c r="BJ440" s="2398">
        <v>0</v>
      </c>
      <c r="BN440" s="2396">
        <v>12171002</v>
      </c>
      <c r="BO440" s="2397" t="s">
        <v>4153</v>
      </c>
      <c r="BP440" s="2398">
        <v>0</v>
      </c>
      <c r="BQ440" s="2179">
        <v>0</v>
      </c>
      <c r="BR440" s="2399">
        <v>0</v>
      </c>
      <c r="BS440" s="2400">
        <v>0</v>
      </c>
      <c r="BT440" s="2398">
        <v>0</v>
      </c>
      <c r="BU440" s="2398">
        <v>0</v>
      </c>
      <c r="BV440" s="2401">
        <v>0</v>
      </c>
      <c r="BW440" s="2401">
        <v>0</v>
      </c>
      <c r="BX440" s="2398">
        <v>0</v>
      </c>
    </row>
    <row r="441" spans="2:76">
      <c r="B441" s="2564"/>
      <c r="C441" s="2565"/>
      <c r="D441" s="2566">
        <v>0</v>
      </c>
      <c r="E441" s="1080">
        <v>0</v>
      </c>
      <c r="F441" s="2567">
        <v>0</v>
      </c>
      <c r="G441" s="2568">
        <v>0</v>
      </c>
      <c r="H441" s="2566">
        <v>0</v>
      </c>
      <c r="I441" s="2566">
        <v>0</v>
      </c>
      <c r="J441" s="2569">
        <v>0</v>
      </c>
      <c r="K441" s="2569">
        <v>0</v>
      </c>
      <c r="L441" s="2566">
        <v>0</v>
      </c>
      <c r="N441" s="2396"/>
      <c r="O441" s="2397"/>
      <c r="P441" s="2398">
        <v>0</v>
      </c>
      <c r="Q441" s="2179">
        <v>0</v>
      </c>
      <c r="R441" s="2399">
        <v>0</v>
      </c>
      <c r="S441" s="2400">
        <v>0</v>
      </c>
      <c r="T441" s="2398">
        <v>0</v>
      </c>
      <c r="U441" s="2398">
        <v>0</v>
      </c>
      <c r="V441" s="2401">
        <v>0</v>
      </c>
      <c r="W441" s="2401">
        <v>0</v>
      </c>
      <c r="X441" s="2398">
        <v>0</v>
      </c>
      <c r="Z441" s="2396"/>
      <c r="AA441" s="2397"/>
      <c r="AB441" s="2398">
        <v>0</v>
      </c>
      <c r="AC441" s="2179">
        <v>0</v>
      </c>
      <c r="AD441" s="2399">
        <v>0</v>
      </c>
      <c r="AE441" s="2400">
        <v>0</v>
      </c>
      <c r="AF441" s="2398">
        <v>0</v>
      </c>
      <c r="AG441" s="2398">
        <v>0</v>
      </c>
      <c r="AH441" s="2401">
        <v>0</v>
      </c>
      <c r="AI441" s="2401">
        <v>0</v>
      </c>
      <c r="AJ441" s="2398">
        <v>0</v>
      </c>
      <c r="AZ441" s="2396"/>
      <c r="BA441" s="2397"/>
      <c r="BB441" s="2398">
        <v>0</v>
      </c>
      <c r="BC441" s="2179">
        <v>0</v>
      </c>
      <c r="BD441" s="2399">
        <v>0</v>
      </c>
      <c r="BE441" s="2400">
        <v>0</v>
      </c>
      <c r="BF441" s="2398">
        <v>0</v>
      </c>
      <c r="BG441" s="2398">
        <v>0</v>
      </c>
      <c r="BH441" s="2401">
        <v>0</v>
      </c>
      <c r="BI441" s="2401">
        <v>0</v>
      </c>
      <c r="BJ441" s="2398">
        <v>0</v>
      </c>
      <c r="BN441" s="2390">
        <v>12171100</v>
      </c>
      <c r="BO441" s="2403" t="s">
        <v>4154</v>
      </c>
      <c r="BP441" s="2392">
        <v>124749706896</v>
      </c>
      <c r="BQ441" s="2392">
        <v>2968153616</v>
      </c>
      <c r="BR441" s="2393">
        <v>29964522566</v>
      </c>
      <c r="BS441" s="2394">
        <v>0</v>
      </c>
      <c r="BT441" s="2392">
        <v>0</v>
      </c>
      <c r="BU441" s="2392">
        <v>157682383078</v>
      </c>
      <c r="BV441" s="2395">
        <v>0</v>
      </c>
      <c r="BW441" s="2395">
        <v>0</v>
      </c>
      <c r="BX441" s="2392">
        <v>157682383078</v>
      </c>
    </row>
    <row r="442" spans="2:76">
      <c r="B442" s="2564"/>
      <c r="C442" s="2565"/>
      <c r="D442" s="2566">
        <v>0</v>
      </c>
      <c r="E442" s="1080">
        <v>0</v>
      </c>
      <c r="F442" s="2567">
        <v>0</v>
      </c>
      <c r="G442" s="2568">
        <v>0</v>
      </c>
      <c r="H442" s="2566">
        <v>0</v>
      </c>
      <c r="I442" s="2566">
        <v>0</v>
      </c>
      <c r="J442" s="2569">
        <v>0</v>
      </c>
      <c r="K442" s="2569">
        <v>0</v>
      </c>
      <c r="L442" s="2566">
        <v>0</v>
      </c>
      <c r="N442" s="2396"/>
      <c r="O442" s="2397"/>
      <c r="P442" s="2398">
        <v>0</v>
      </c>
      <c r="Q442" s="2179">
        <v>0</v>
      </c>
      <c r="R442" s="2399">
        <v>0</v>
      </c>
      <c r="S442" s="2400">
        <v>0</v>
      </c>
      <c r="T442" s="2398">
        <v>0</v>
      </c>
      <c r="U442" s="2398">
        <v>0</v>
      </c>
      <c r="V442" s="2401">
        <v>0</v>
      </c>
      <c r="W442" s="2401">
        <v>0</v>
      </c>
      <c r="X442" s="2398">
        <v>0</v>
      </c>
      <c r="Z442" s="2396"/>
      <c r="AA442" s="2397"/>
      <c r="AB442" s="2398">
        <v>0</v>
      </c>
      <c r="AC442" s="2179">
        <v>0</v>
      </c>
      <c r="AD442" s="2399">
        <v>0</v>
      </c>
      <c r="AE442" s="2400">
        <v>0</v>
      </c>
      <c r="AF442" s="2398">
        <v>0</v>
      </c>
      <c r="AG442" s="2398">
        <v>0</v>
      </c>
      <c r="AH442" s="2401">
        <v>0</v>
      </c>
      <c r="AI442" s="2401">
        <v>0</v>
      </c>
      <c r="AJ442" s="2398">
        <v>0</v>
      </c>
      <c r="AZ442" s="2396"/>
      <c r="BA442" s="2397"/>
      <c r="BB442" s="2398">
        <v>0</v>
      </c>
      <c r="BC442" s="2179">
        <v>0</v>
      </c>
      <c r="BD442" s="2399">
        <v>0</v>
      </c>
      <c r="BE442" s="2400">
        <v>0</v>
      </c>
      <c r="BF442" s="2398">
        <v>0</v>
      </c>
      <c r="BG442" s="2398">
        <v>0</v>
      </c>
      <c r="BH442" s="2401">
        <v>0</v>
      </c>
      <c r="BI442" s="2401">
        <v>0</v>
      </c>
      <c r="BJ442" s="2398">
        <v>0</v>
      </c>
      <c r="BN442" s="2396">
        <v>12171101</v>
      </c>
      <c r="BO442" s="2397" t="s">
        <v>4154</v>
      </c>
      <c r="BP442" s="2398">
        <v>164933820937</v>
      </c>
      <c r="BQ442" s="2179">
        <v>4891037247</v>
      </c>
      <c r="BR442" s="2399">
        <v>35560376963</v>
      </c>
      <c r="BS442" s="2400">
        <v>0</v>
      </c>
      <c r="BT442" s="2398">
        <v>0</v>
      </c>
      <c r="BU442" s="2398">
        <v>205385235147</v>
      </c>
      <c r="BV442" s="2401">
        <v>0</v>
      </c>
      <c r="BW442" s="2401">
        <v>0</v>
      </c>
      <c r="BX442" s="2398">
        <v>205385235147</v>
      </c>
    </row>
    <row r="443" spans="2:76">
      <c r="B443" s="2552">
        <v>12170000</v>
      </c>
      <c r="C443" s="2570" t="s">
        <v>1455</v>
      </c>
      <c r="D443" s="2554">
        <v>672378664672</v>
      </c>
      <c r="E443" s="2554">
        <v>15802204521</v>
      </c>
      <c r="F443" s="2555">
        <v>78309538552</v>
      </c>
      <c r="G443" s="2556">
        <v>228240008</v>
      </c>
      <c r="H443" s="2554">
        <v>26737777889</v>
      </c>
      <c r="I443" s="2554">
        <v>793456425642</v>
      </c>
      <c r="J443" s="2557">
        <v>0</v>
      </c>
      <c r="K443" s="2557">
        <v>0</v>
      </c>
      <c r="L443" s="2554">
        <v>783876946131</v>
      </c>
      <c r="N443" s="2384">
        <v>12170000</v>
      </c>
      <c r="O443" s="2402" t="s">
        <v>1455</v>
      </c>
      <c r="P443" s="2386">
        <v>673538068224</v>
      </c>
      <c r="Q443" s="2386">
        <v>14368013521</v>
      </c>
      <c r="R443" s="2387">
        <v>79488516511</v>
      </c>
      <c r="S443" s="2388">
        <v>226248064</v>
      </c>
      <c r="T443" s="2386">
        <v>26088372715</v>
      </c>
      <c r="U443" s="2386">
        <v>793709219035</v>
      </c>
      <c r="V443" s="2389">
        <v>0</v>
      </c>
      <c r="W443" s="2389">
        <v>0</v>
      </c>
      <c r="X443" s="2386">
        <v>783634747470</v>
      </c>
      <c r="Z443" s="2384">
        <v>12170000</v>
      </c>
      <c r="AA443" s="2402" t="s">
        <v>1455</v>
      </c>
      <c r="AB443" s="2386">
        <v>632612145456</v>
      </c>
      <c r="AC443" s="2386">
        <v>14146900982</v>
      </c>
      <c r="AD443" s="2387">
        <v>82640903971</v>
      </c>
      <c r="AE443" s="2388">
        <v>216154792</v>
      </c>
      <c r="AF443" s="2386">
        <v>26253773689</v>
      </c>
      <c r="AG443" s="2386">
        <v>755869878890</v>
      </c>
      <c r="AH443" s="2389">
        <v>0</v>
      </c>
      <c r="AI443" s="2389">
        <v>0</v>
      </c>
      <c r="AJ443" s="2386">
        <v>746851754116</v>
      </c>
      <c r="AZ443" s="2384">
        <v>12170000</v>
      </c>
      <c r="BA443" s="2402" t="s">
        <v>1455</v>
      </c>
      <c r="BB443" s="2386">
        <v>618006814660</v>
      </c>
      <c r="BC443" s="2386">
        <v>14243497600</v>
      </c>
      <c r="BD443" s="2387">
        <v>82513047737</v>
      </c>
      <c r="BE443" s="2388">
        <v>199579265</v>
      </c>
      <c r="BF443" s="2386">
        <v>29775578640</v>
      </c>
      <c r="BG443" s="2386">
        <v>744738517902</v>
      </c>
      <c r="BH443" s="2389">
        <v>0</v>
      </c>
      <c r="BI443" s="2389">
        <v>0</v>
      </c>
      <c r="BJ443" s="2386">
        <v>737624503211</v>
      </c>
      <c r="BN443" s="2396">
        <v>12171102</v>
      </c>
      <c r="BO443" s="2397" t="s">
        <v>4155</v>
      </c>
      <c r="BP443" s="2398">
        <v>-38217016547</v>
      </c>
      <c r="BQ443" s="2179">
        <v>-1922883631</v>
      </c>
      <c r="BR443" s="2399">
        <v>-5248083536</v>
      </c>
      <c r="BS443" s="2400">
        <v>0</v>
      </c>
      <c r="BT443" s="2398">
        <v>0</v>
      </c>
      <c r="BU443" s="2398">
        <v>-45387983714</v>
      </c>
      <c r="BV443" s="2401">
        <v>0</v>
      </c>
      <c r="BW443" s="2401">
        <v>0</v>
      </c>
      <c r="BX443" s="2398">
        <v>-45387983714</v>
      </c>
    </row>
    <row r="444" spans="2:76">
      <c r="B444" s="2558">
        <v>12171000</v>
      </c>
      <c r="C444" s="2571" t="s">
        <v>4152</v>
      </c>
      <c r="D444" s="2560">
        <v>97754790247</v>
      </c>
      <c r="E444" s="2560">
        <v>7669920000</v>
      </c>
      <c r="F444" s="2561">
        <v>9530671798</v>
      </c>
      <c r="G444" s="2562">
        <v>0</v>
      </c>
      <c r="H444" s="2560">
        <v>0</v>
      </c>
      <c r="I444" s="2560">
        <v>114955382045</v>
      </c>
      <c r="J444" s="2563">
        <v>0</v>
      </c>
      <c r="K444" s="2563">
        <v>0</v>
      </c>
      <c r="L444" s="2560">
        <v>114955382045</v>
      </c>
      <c r="N444" s="2390">
        <v>12171000</v>
      </c>
      <c r="O444" s="2403" t="s">
        <v>4152</v>
      </c>
      <c r="P444" s="2392">
        <v>97754790247</v>
      </c>
      <c r="Q444" s="2392">
        <v>7669920000</v>
      </c>
      <c r="R444" s="2393">
        <v>9530671798</v>
      </c>
      <c r="S444" s="2394">
        <v>0</v>
      </c>
      <c r="T444" s="2392">
        <v>0</v>
      </c>
      <c r="U444" s="2392">
        <v>114955382045</v>
      </c>
      <c r="V444" s="2395">
        <v>0</v>
      </c>
      <c r="W444" s="2395">
        <v>0</v>
      </c>
      <c r="X444" s="2392">
        <v>114955382045</v>
      </c>
      <c r="Z444" s="2390">
        <v>12171000</v>
      </c>
      <c r="AA444" s="2403" t="s">
        <v>4152</v>
      </c>
      <c r="AB444" s="2392">
        <v>97754790247</v>
      </c>
      <c r="AC444" s="2392">
        <v>7669920000</v>
      </c>
      <c r="AD444" s="2393">
        <v>9530671798</v>
      </c>
      <c r="AE444" s="2394">
        <v>0</v>
      </c>
      <c r="AF444" s="2392">
        <v>0</v>
      </c>
      <c r="AG444" s="2392">
        <v>114955382045</v>
      </c>
      <c r="AH444" s="2395">
        <v>0</v>
      </c>
      <c r="AI444" s="2395">
        <v>0</v>
      </c>
      <c r="AJ444" s="2392">
        <v>114955382045</v>
      </c>
      <c r="AZ444" s="2390">
        <v>12171000</v>
      </c>
      <c r="BA444" s="2403" t="s">
        <v>4152</v>
      </c>
      <c r="BB444" s="2392">
        <v>103689644394</v>
      </c>
      <c r="BC444" s="2392">
        <v>7669920000</v>
      </c>
      <c r="BD444" s="2393">
        <v>9530671798</v>
      </c>
      <c r="BE444" s="2394">
        <v>0</v>
      </c>
      <c r="BF444" s="2392">
        <v>0</v>
      </c>
      <c r="BG444" s="2392">
        <v>120890236192</v>
      </c>
      <c r="BH444" s="2395">
        <v>0</v>
      </c>
      <c r="BI444" s="2395">
        <v>0</v>
      </c>
      <c r="BJ444" s="2392">
        <v>120890236192</v>
      </c>
      <c r="BN444" s="2396">
        <v>12171103</v>
      </c>
      <c r="BO444" s="2397" t="s">
        <v>4156</v>
      </c>
      <c r="BP444" s="2398">
        <v>-1710563227</v>
      </c>
      <c r="BQ444" s="2179">
        <v>0</v>
      </c>
      <c r="BR444" s="2399">
        <v>-347770861</v>
      </c>
      <c r="BS444" s="2400">
        <v>0</v>
      </c>
      <c r="BT444" s="2398">
        <v>0</v>
      </c>
      <c r="BU444" s="2398">
        <v>-2058334088</v>
      </c>
      <c r="BV444" s="2401">
        <v>0</v>
      </c>
      <c r="BW444" s="2401">
        <v>0</v>
      </c>
      <c r="BX444" s="2398">
        <v>-2058334088</v>
      </c>
    </row>
    <row r="445" spans="2:76">
      <c r="B445" s="2564">
        <v>12171001</v>
      </c>
      <c r="C445" s="2565" t="s">
        <v>4152</v>
      </c>
      <c r="D445" s="2566">
        <v>97754790247</v>
      </c>
      <c r="E445" s="1080">
        <v>7669920000</v>
      </c>
      <c r="F445" s="2567">
        <v>9530671798</v>
      </c>
      <c r="G445" s="2568">
        <v>0</v>
      </c>
      <c r="H445" s="2566">
        <v>0</v>
      </c>
      <c r="I445" s="2566">
        <v>114955382045</v>
      </c>
      <c r="J445" s="2569">
        <v>0</v>
      </c>
      <c r="K445" s="2569">
        <v>0</v>
      </c>
      <c r="L445" s="2566">
        <v>114955382045</v>
      </c>
      <c r="N445" s="2396">
        <v>12171001</v>
      </c>
      <c r="O445" s="2397" t="s">
        <v>4152</v>
      </c>
      <c r="P445" s="2398">
        <v>97754790247</v>
      </c>
      <c r="Q445" s="2179">
        <v>7669920000</v>
      </c>
      <c r="R445" s="2399">
        <v>9530671798</v>
      </c>
      <c r="S445" s="2400">
        <v>0</v>
      </c>
      <c r="T445" s="2398">
        <v>0</v>
      </c>
      <c r="U445" s="2398">
        <v>114955382045</v>
      </c>
      <c r="V445" s="2401">
        <v>0</v>
      </c>
      <c r="W445" s="2401">
        <v>0</v>
      </c>
      <c r="X445" s="2398">
        <v>114955382045</v>
      </c>
      <c r="Z445" s="2396">
        <v>12171001</v>
      </c>
      <c r="AA445" s="2397" t="s">
        <v>4152</v>
      </c>
      <c r="AB445" s="2398">
        <v>97754790247</v>
      </c>
      <c r="AC445" s="2179">
        <v>7669920000</v>
      </c>
      <c r="AD445" s="2399">
        <v>9530671798</v>
      </c>
      <c r="AE445" s="2400">
        <v>0</v>
      </c>
      <c r="AF445" s="2398">
        <v>0</v>
      </c>
      <c r="AG445" s="2398">
        <v>114955382045</v>
      </c>
      <c r="AH445" s="2401">
        <v>0</v>
      </c>
      <c r="AI445" s="2401">
        <v>0</v>
      </c>
      <c r="AJ445" s="2398">
        <v>114955382045</v>
      </c>
      <c r="AZ445" s="2396">
        <v>12171001</v>
      </c>
      <c r="BA445" s="2397" t="s">
        <v>4152</v>
      </c>
      <c r="BB445" s="2398">
        <v>103689644394</v>
      </c>
      <c r="BC445" s="2179">
        <v>7669920000</v>
      </c>
      <c r="BD445" s="2399">
        <v>9530671798</v>
      </c>
      <c r="BE445" s="2400">
        <v>0</v>
      </c>
      <c r="BF445" s="2398">
        <v>0</v>
      </c>
      <c r="BG445" s="2398">
        <v>120890236192</v>
      </c>
      <c r="BH445" s="2401">
        <v>0</v>
      </c>
      <c r="BI445" s="2401">
        <v>0</v>
      </c>
      <c r="BJ445" s="2398">
        <v>120890236192</v>
      </c>
      <c r="BN445" s="2396">
        <v>12171104</v>
      </c>
      <c r="BO445" s="2397" t="s">
        <v>4157</v>
      </c>
      <c r="BP445" s="2398">
        <v>-256534267</v>
      </c>
      <c r="BQ445" s="2179">
        <v>0</v>
      </c>
      <c r="BR445" s="2399">
        <v>0</v>
      </c>
      <c r="BS445" s="2400">
        <v>0</v>
      </c>
      <c r="BT445" s="2398">
        <v>0</v>
      </c>
      <c r="BU445" s="2398">
        <v>-256534267</v>
      </c>
      <c r="BV445" s="2401">
        <v>0</v>
      </c>
      <c r="BW445" s="2401">
        <v>0</v>
      </c>
      <c r="BX445" s="2398">
        <v>-256534267</v>
      </c>
    </row>
    <row r="446" spans="2:76">
      <c r="B446" s="2564">
        <v>12171002</v>
      </c>
      <c r="C446" s="2565" t="s">
        <v>4153</v>
      </c>
      <c r="D446" s="2566">
        <v>0</v>
      </c>
      <c r="E446" s="1080">
        <v>0</v>
      </c>
      <c r="F446" s="2567">
        <v>0</v>
      </c>
      <c r="G446" s="2568">
        <v>0</v>
      </c>
      <c r="H446" s="2566">
        <v>0</v>
      </c>
      <c r="I446" s="2566">
        <v>0</v>
      </c>
      <c r="J446" s="2569">
        <v>0</v>
      </c>
      <c r="K446" s="2569">
        <v>0</v>
      </c>
      <c r="L446" s="2566">
        <v>0</v>
      </c>
      <c r="N446" s="2396">
        <v>12171002</v>
      </c>
      <c r="O446" s="2397" t="s">
        <v>4153</v>
      </c>
      <c r="P446" s="2398">
        <v>0</v>
      </c>
      <c r="Q446" s="2179">
        <v>0</v>
      </c>
      <c r="R446" s="2399">
        <v>0</v>
      </c>
      <c r="S446" s="2400">
        <v>0</v>
      </c>
      <c r="T446" s="2398">
        <v>0</v>
      </c>
      <c r="U446" s="2398">
        <v>0</v>
      </c>
      <c r="V446" s="2401">
        <v>0</v>
      </c>
      <c r="W446" s="2401">
        <v>0</v>
      </c>
      <c r="X446" s="2398">
        <v>0</v>
      </c>
      <c r="Z446" s="2396">
        <v>12171002</v>
      </c>
      <c r="AA446" s="2397" t="s">
        <v>4153</v>
      </c>
      <c r="AB446" s="2398">
        <v>0</v>
      </c>
      <c r="AC446" s="2179">
        <v>0</v>
      </c>
      <c r="AD446" s="2399">
        <v>0</v>
      </c>
      <c r="AE446" s="2400">
        <v>0</v>
      </c>
      <c r="AF446" s="2398">
        <v>0</v>
      </c>
      <c r="AG446" s="2398">
        <v>0</v>
      </c>
      <c r="AH446" s="2401">
        <v>0</v>
      </c>
      <c r="AI446" s="2401">
        <v>0</v>
      </c>
      <c r="AJ446" s="2398">
        <v>0</v>
      </c>
      <c r="AZ446" s="2396">
        <v>12171002</v>
      </c>
      <c r="BA446" s="2397" t="s">
        <v>4153</v>
      </c>
      <c r="BB446" s="2398">
        <v>0</v>
      </c>
      <c r="BC446" s="2179">
        <v>0</v>
      </c>
      <c r="BD446" s="2399">
        <v>0</v>
      </c>
      <c r="BE446" s="2400">
        <v>0</v>
      </c>
      <c r="BF446" s="2398">
        <v>0</v>
      </c>
      <c r="BG446" s="2398">
        <v>0</v>
      </c>
      <c r="BH446" s="2401">
        <v>0</v>
      </c>
      <c r="BI446" s="2401">
        <v>0</v>
      </c>
      <c r="BJ446" s="2398">
        <v>0</v>
      </c>
      <c r="BN446" s="2390">
        <v>12171200</v>
      </c>
      <c r="BO446" s="2403" t="s">
        <v>4158</v>
      </c>
      <c r="BP446" s="2392">
        <v>39854532587</v>
      </c>
      <c r="BQ446" s="2392">
        <v>1032303832</v>
      </c>
      <c r="BR446" s="2393">
        <v>17704034392</v>
      </c>
      <c r="BS446" s="2394">
        <v>41187688</v>
      </c>
      <c r="BT446" s="2392">
        <v>0</v>
      </c>
      <c r="BU446" s="2392">
        <v>58632058499</v>
      </c>
      <c r="BV446" s="2395">
        <v>0</v>
      </c>
      <c r="BW446" s="2395">
        <v>0</v>
      </c>
      <c r="BX446" s="2392">
        <v>58632058499</v>
      </c>
    </row>
    <row r="447" spans="2:76">
      <c r="B447" s="2558">
        <v>12171100</v>
      </c>
      <c r="C447" s="2571" t="s">
        <v>4154</v>
      </c>
      <c r="D447" s="2560">
        <v>133195605021</v>
      </c>
      <c r="E447" s="2560">
        <v>3514212126</v>
      </c>
      <c r="F447" s="2561">
        <v>29297339577</v>
      </c>
      <c r="G447" s="2562">
        <v>0</v>
      </c>
      <c r="H447" s="2560">
        <v>0</v>
      </c>
      <c r="I447" s="2560">
        <v>166007156724</v>
      </c>
      <c r="J447" s="2563">
        <v>0</v>
      </c>
      <c r="K447" s="2563">
        <v>0</v>
      </c>
      <c r="L447" s="2560">
        <v>166007156724</v>
      </c>
      <c r="N447" s="2390">
        <v>12171100</v>
      </c>
      <c r="O447" s="2403" t="s">
        <v>4154</v>
      </c>
      <c r="P447" s="2392">
        <v>132459218897</v>
      </c>
      <c r="Q447" s="2392">
        <v>3559658724</v>
      </c>
      <c r="R447" s="2393">
        <v>29395187477</v>
      </c>
      <c r="S447" s="2394">
        <v>0</v>
      </c>
      <c r="T447" s="2392">
        <v>0</v>
      </c>
      <c r="U447" s="2392">
        <v>165414065098</v>
      </c>
      <c r="V447" s="2395">
        <v>0</v>
      </c>
      <c r="W447" s="2395">
        <v>0</v>
      </c>
      <c r="X447" s="2392">
        <v>165414065098</v>
      </c>
      <c r="Z447" s="2390">
        <v>12171100</v>
      </c>
      <c r="AA447" s="2403" t="s">
        <v>4154</v>
      </c>
      <c r="AB447" s="2392">
        <v>129841172641</v>
      </c>
      <c r="AC447" s="2392">
        <v>3771994732</v>
      </c>
      <c r="AD447" s="2393">
        <v>29640086196</v>
      </c>
      <c r="AE447" s="2394">
        <v>0</v>
      </c>
      <c r="AF447" s="2392">
        <v>0</v>
      </c>
      <c r="AG447" s="2392">
        <v>163253253569</v>
      </c>
      <c r="AH447" s="2395">
        <v>0</v>
      </c>
      <c r="AI447" s="2395">
        <v>0</v>
      </c>
      <c r="AJ447" s="2392">
        <v>163253253569</v>
      </c>
      <c r="AZ447" s="2390">
        <v>12171100</v>
      </c>
      <c r="BA447" s="2403" t="s">
        <v>4154</v>
      </c>
      <c r="BB447" s="2392">
        <v>127177039672</v>
      </c>
      <c r="BC447" s="2392">
        <v>3919357650</v>
      </c>
      <c r="BD447" s="2393">
        <v>30057925779</v>
      </c>
      <c r="BE447" s="2394">
        <v>0</v>
      </c>
      <c r="BF447" s="2392">
        <v>0</v>
      </c>
      <c r="BG447" s="2392">
        <v>161154323101</v>
      </c>
      <c r="BH447" s="2395">
        <v>0</v>
      </c>
      <c r="BI447" s="2395">
        <v>0</v>
      </c>
      <c r="BJ447" s="2392">
        <v>161154323101</v>
      </c>
      <c r="BN447" s="2396">
        <v>12171201</v>
      </c>
      <c r="BO447" s="2397" t="s">
        <v>4158</v>
      </c>
      <c r="BP447" s="2398">
        <v>69008210090</v>
      </c>
      <c r="BQ447" s="2179">
        <v>1208520612</v>
      </c>
      <c r="BR447" s="2399">
        <v>24939257843</v>
      </c>
      <c r="BS447" s="2400">
        <v>57766888</v>
      </c>
      <c r="BT447" s="2398">
        <v>0</v>
      </c>
      <c r="BU447" s="2398">
        <v>95213755433</v>
      </c>
      <c r="BV447" s="2401">
        <v>0</v>
      </c>
      <c r="BW447" s="2401">
        <v>0</v>
      </c>
      <c r="BX447" s="2398">
        <v>95213755433</v>
      </c>
    </row>
    <row r="448" spans="2:76">
      <c r="B448" s="2564">
        <v>12171101</v>
      </c>
      <c r="C448" s="2565" t="s">
        <v>4154</v>
      </c>
      <c r="D448" s="2566">
        <v>182581242125</v>
      </c>
      <c r="E448" s="1080">
        <v>5896368247</v>
      </c>
      <c r="F448" s="2567">
        <v>36925055693</v>
      </c>
      <c r="G448" s="2568">
        <v>0</v>
      </c>
      <c r="H448" s="2566">
        <v>0</v>
      </c>
      <c r="I448" s="2566">
        <v>225402666065</v>
      </c>
      <c r="J448" s="2569">
        <v>0</v>
      </c>
      <c r="K448" s="2569">
        <v>0</v>
      </c>
      <c r="L448" s="2566">
        <v>225402666065</v>
      </c>
      <c r="N448" s="2396">
        <v>12171101</v>
      </c>
      <c r="O448" s="2397" t="s">
        <v>4154</v>
      </c>
      <c r="P448" s="2398">
        <v>180990258612</v>
      </c>
      <c r="Q448" s="2179">
        <v>5896368247</v>
      </c>
      <c r="R448" s="2399">
        <v>36832055693</v>
      </c>
      <c r="S448" s="2400">
        <v>0</v>
      </c>
      <c r="T448" s="2398">
        <v>0</v>
      </c>
      <c r="U448" s="2398">
        <v>223718682552</v>
      </c>
      <c r="V448" s="2401">
        <v>0</v>
      </c>
      <c r="W448" s="2401">
        <v>0</v>
      </c>
      <c r="X448" s="2398">
        <v>223718682552</v>
      </c>
      <c r="Z448" s="2396">
        <v>12171101</v>
      </c>
      <c r="AA448" s="2397" t="s">
        <v>4154</v>
      </c>
      <c r="AB448" s="2398">
        <v>176584010305</v>
      </c>
      <c r="AC448" s="2179">
        <v>6072682117</v>
      </c>
      <c r="AD448" s="2399">
        <v>36697055693</v>
      </c>
      <c r="AE448" s="2400">
        <v>0</v>
      </c>
      <c r="AF448" s="2398">
        <v>0</v>
      </c>
      <c r="AG448" s="2398">
        <v>219353748115</v>
      </c>
      <c r="AH448" s="2401">
        <v>0</v>
      </c>
      <c r="AI448" s="2401">
        <v>0</v>
      </c>
      <c r="AJ448" s="2398">
        <v>219353748115</v>
      </c>
      <c r="AZ448" s="2396">
        <v>12171101</v>
      </c>
      <c r="BA448" s="2397" t="s">
        <v>4154</v>
      </c>
      <c r="BB448" s="2398">
        <v>170694876662</v>
      </c>
      <c r="BC448" s="2179">
        <v>6021682117</v>
      </c>
      <c r="BD448" s="2399">
        <v>36361129063</v>
      </c>
      <c r="BE448" s="2400">
        <v>0</v>
      </c>
      <c r="BF448" s="2398">
        <v>0</v>
      </c>
      <c r="BG448" s="2398">
        <v>213077687842</v>
      </c>
      <c r="BH448" s="2401">
        <v>0</v>
      </c>
      <c r="BI448" s="2401">
        <v>0</v>
      </c>
      <c r="BJ448" s="2398">
        <v>213077687842</v>
      </c>
      <c r="BN448" s="2396">
        <v>12171202</v>
      </c>
      <c r="BO448" s="2397" t="s">
        <v>4159</v>
      </c>
      <c r="BP448" s="2398">
        <v>-28303334040</v>
      </c>
      <c r="BQ448" s="2179">
        <v>-176216780</v>
      </c>
      <c r="BR448" s="2399">
        <v>-6466096350</v>
      </c>
      <c r="BS448" s="2400">
        <v>-16579200</v>
      </c>
      <c r="BT448" s="2398">
        <v>0</v>
      </c>
      <c r="BU448" s="2398">
        <v>-34962226370</v>
      </c>
      <c r="BV448" s="2401">
        <v>0</v>
      </c>
      <c r="BW448" s="2401">
        <v>0</v>
      </c>
      <c r="BX448" s="2398">
        <v>-34962226370</v>
      </c>
    </row>
    <row r="449" spans="2:76">
      <c r="B449" s="2564">
        <v>12171102</v>
      </c>
      <c r="C449" s="2565" t="s">
        <v>4155</v>
      </c>
      <c r="D449" s="2566">
        <v>-47433603010</v>
      </c>
      <c r="E449" s="1080">
        <v>-2370220776</v>
      </c>
      <c r="F449" s="2567">
        <v>-7282630382</v>
      </c>
      <c r="G449" s="2568">
        <v>0</v>
      </c>
      <c r="H449" s="2566">
        <v>0</v>
      </c>
      <c r="I449" s="2566">
        <v>-57086454168</v>
      </c>
      <c r="J449" s="2569">
        <v>0</v>
      </c>
      <c r="K449" s="2569">
        <v>0</v>
      </c>
      <c r="L449" s="2566">
        <v>-57086454168</v>
      </c>
      <c r="N449" s="2396">
        <v>12171102</v>
      </c>
      <c r="O449" s="2397" t="s">
        <v>4155</v>
      </c>
      <c r="P449" s="2398">
        <v>-46577636221</v>
      </c>
      <c r="Q449" s="2179">
        <v>-2324774178</v>
      </c>
      <c r="R449" s="2399">
        <v>-7091782482</v>
      </c>
      <c r="S449" s="2400">
        <v>0</v>
      </c>
      <c r="T449" s="2398">
        <v>0</v>
      </c>
      <c r="U449" s="2398">
        <v>-55994192881</v>
      </c>
      <c r="V449" s="2401">
        <v>0</v>
      </c>
      <c r="W449" s="2401">
        <v>0</v>
      </c>
      <c r="X449" s="2398">
        <v>-55994192881</v>
      </c>
      <c r="Z449" s="2396">
        <v>12171102</v>
      </c>
      <c r="AA449" s="2397" t="s">
        <v>4155</v>
      </c>
      <c r="AB449" s="2398">
        <v>-44786695370</v>
      </c>
      <c r="AC449" s="2179">
        <v>-2288752040</v>
      </c>
      <c r="AD449" s="2399">
        <v>-6711883763</v>
      </c>
      <c r="AE449" s="2400">
        <v>0</v>
      </c>
      <c r="AF449" s="2398">
        <v>0</v>
      </c>
      <c r="AG449" s="2398">
        <v>-53787331173</v>
      </c>
      <c r="AH449" s="2401">
        <v>0</v>
      </c>
      <c r="AI449" s="2401">
        <v>0</v>
      </c>
      <c r="AJ449" s="2398">
        <v>-53787331173</v>
      </c>
      <c r="AZ449" s="2396">
        <v>12171102</v>
      </c>
      <c r="BA449" s="2397" t="s">
        <v>4155</v>
      </c>
      <c r="BB449" s="2398">
        <v>-41556217096</v>
      </c>
      <c r="BC449" s="2179">
        <v>-2102324467</v>
      </c>
      <c r="BD449" s="2399">
        <v>-5958117550</v>
      </c>
      <c r="BE449" s="2400">
        <v>0</v>
      </c>
      <c r="BF449" s="2398">
        <v>0</v>
      </c>
      <c r="BG449" s="2398">
        <v>-49616659113</v>
      </c>
      <c r="BH449" s="2401">
        <v>0</v>
      </c>
      <c r="BI449" s="2401">
        <v>0</v>
      </c>
      <c r="BJ449" s="2398">
        <v>-49616659113</v>
      </c>
      <c r="BN449" s="2396">
        <v>12171203</v>
      </c>
      <c r="BO449" s="2397" t="s">
        <v>4160</v>
      </c>
      <c r="BP449" s="2398">
        <v>-786466160</v>
      </c>
      <c r="BQ449" s="2179">
        <v>0</v>
      </c>
      <c r="BR449" s="2399">
        <v>-769127101</v>
      </c>
      <c r="BS449" s="2400">
        <v>0</v>
      </c>
      <c r="BT449" s="2398">
        <v>0</v>
      </c>
      <c r="BU449" s="2398">
        <v>-1555593261</v>
      </c>
      <c r="BV449" s="2401">
        <v>0</v>
      </c>
      <c r="BW449" s="2401">
        <v>0</v>
      </c>
      <c r="BX449" s="2398">
        <v>-1555593261</v>
      </c>
    </row>
    <row r="450" spans="2:76">
      <c r="B450" s="2564">
        <v>12171103</v>
      </c>
      <c r="C450" s="2565" t="s">
        <v>4156</v>
      </c>
      <c r="D450" s="2566">
        <v>-1710563227</v>
      </c>
      <c r="E450" s="1080">
        <v>-11935345</v>
      </c>
      <c r="F450" s="2567">
        <v>-345085734</v>
      </c>
      <c r="G450" s="2568">
        <v>0</v>
      </c>
      <c r="H450" s="2566">
        <v>0</v>
      </c>
      <c r="I450" s="2566">
        <v>-2067584306</v>
      </c>
      <c r="J450" s="2569">
        <v>0</v>
      </c>
      <c r="K450" s="2569">
        <v>0</v>
      </c>
      <c r="L450" s="2566">
        <v>-2067584306</v>
      </c>
      <c r="N450" s="2396">
        <v>12171103</v>
      </c>
      <c r="O450" s="2397" t="s">
        <v>4156</v>
      </c>
      <c r="P450" s="2398">
        <v>-1710563227</v>
      </c>
      <c r="Q450" s="2179">
        <v>-11935345</v>
      </c>
      <c r="R450" s="2399">
        <v>-345085734</v>
      </c>
      <c r="S450" s="2400">
        <v>0</v>
      </c>
      <c r="T450" s="2398">
        <v>0</v>
      </c>
      <c r="U450" s="2398">
        <v>-2067584306</v>
      </c>
      <c r="V450" s="2401">
        <v>0</v>
      </c>
      <c r="W450" s="2401">
        <v>0</v>
      </c>
      <c r="X450" s="2398">
        <v>-2067584306</v>
      </c>
      <c r="Z450" s="2396">
        <v>12171103</v>
      </c>
      <c r="AA450" s="2397" t="s">
        <v>4156</v>
      </c>
      <c r="AB450" s="2398">
        <v>-1710563227</v>
      </c>
      <c r="AC450" s="2179">
        <v>-11935345</v>
      </c>
      <c r="AD450" s="2399">
        <v>-345085734</v>
      </c>
      <c r="AE450" s="2400">
        <v>0</v>
      </c>
      <c r="AF450" s="2398">
        <v>0</v>
      </c>
      <c r="AG450" s="2398">
        <v>-2067584306</v>
      </c>
      <c r="AH450" s="2401">
        <v>0</v>
      </c>
      <c r="AI450" s="2401">
        <v>0</v>
      </c>
      <c r="AJ450" s="2398">
        <v>-2067584306</v>
      </c>
      <c r="AZ450" s="2396">
        <v>12171103</v>
      </c>
      <c r="BA450" s="2397" t="s">
        <v>4156</v>
      </c>
      <c r="BB450" s="2398">
        <v>-1710563227</v>
      </c>
      <c r="BC450" s="2179">
        <v>0</v>
      </c>
      <c r="BD450" s="2399">
        <v>-345085734</v>
      </c>
      <c r="BE450" s="2400">
        <v>0</v>
      </c>
      <c r="BF450" s="2398">
        <v>0</v>
      </c>
      <c r="BG450" s="2398">
        <v>-2055648961</v>
      </c>
      <c r="BH450" s="2401">
        <v>0</v>
      </c>
      <c r="BI450" s="2401">
        <v>0</v>
      </c>
      <c r="BJ450" s="2398">
        <v>-2055648961</v>
      </c>
      <c r="BN450" s="2396">
        <v>12171204</v>
      </c>
      <c r="BO450" s="2397" t="s">
        <v>4161</v>
      </c>
      <c r="BP450" s="2398">
        <v>-63877303</v>
      </c>
      <c r="BQ450" s="2179">
        <v>0</v>
      </c>
      <c r="BR450" s="2399">
        <v>0</v>
      </c>
      <c r="BS450" s="2400">
        <v>0</v>
      </c>
      <c r="BT450" s="2398">
        <v>0</v>
      </c>
      <c r="BU450" s="2398">
        <v>-63877303</v>
      </c>
      <c r="BV450" s="2401">
        <v>0</v>
      </c>
      <c r="BW450" s="2401">
        <v>0</v>
      </c>
      <c r="BX450" s="2398">
        <v>-63877303</v>
      </c>
    </row>
    <row r="451" spans="2:76">
      <c r="B451" s="2564">
        <v>12171104</v>
      </c>
      <c r="C451" s="2565" t="s">
        <v>4157</v>
      </c>
      <c r="D451" s="2566">
        <v>-241470867</v>
      </c>
      <c r="E451" s="1080">
        <v>0</v>
      </c>
      <c r="F451" s="2567">
        <v>0</v>
      </c>
      <c r="G451" s="2568">
        <v>0</v>
      </c>
      <c r="H451" s="2566">
        <v>0</v>
      </c>
      <c r="I451" s="2566">
        <v>-241470867</v>
      </c>
      <c r="J451" s="2569">
        <v>0</v>
      </c>
      <c r="K451" s="2569">
        <v>0</v>
      </c>
      <c r="L451" s="2566">
        <v>-241470867</v>
      </c>
      <c r="N451" s="2396">
        <v>12171104</v>
      </c>
      <c r="O451" s="2397" t="s">
        <v>4157</v>
      </c>
      <c r="P451" s="2398">
        <v>-242840267</v>
      </c>
      <c r="Q451" s="2179">
        <v>0</v>
      </c>
      <c r="R451" s="2399">
        <v>0</v>
      </c>
      <c r="S451" s="2400">
        <v>0</v>
      </c>
      <c r="T451" s="2398">
        <v>0</v>
      </c>
      <c r="U451" s="2398">
        <v>-242840267</v>
      </c>
      <c r="V451" s="2401">
        <v>0</v>
      </c>
      <c r="W451" s="2401">
        <v>0</v>
      </c>
      <c r="X451" s="2398">
        <v>-242840267</v>
      </c>
      <c r="Z451" s="2396">
        <v>12171104</v>
      </c>
      <c r="AA451" s="2397" t="s">
        <v>4157</v>
      </c>
      <c r="AB451" s="2398">
        <v>-245579067</v>
      </c>
      <c r="AC451" s="2179">
        <v>0</v>
      </c>
      <c r="AD451" s="2399">
        <v>0</v>
      </c>
      <c r="AE451" s="2400">
        <v>0</v>
      </c>
      <c r="AF451" s="2398">
        <v>0</v>
      </c>
      <c r="AG451" s="2398">
        <v>-245579067</v>
      </c>
      <c r="AH451" s="2401">
        <v>0</v>
      </c>
      <c r="AI451" s="2401">
        <v>0</v>
      </c>
      <c r="AJ451" s="2398">
        <v>-245579067</v>
      </c>
      <c r="AZ451" s="2396">
        <v>12171104</v>
      </c>
      <c r="BA451" s="2397" t="s">
        <v>4157</v>
      </c>
      <c r="BB451" s="2398">
        <v>-251056667</v>
      </c>
      <c r="BC451" s="2179">
        <v>0</v>
      </c>
      <c r="BD451" s="2399">
        <v>0</v>
      </c>
      <c r="BE451" s="2400">
        <v>0</v>
      </c>
      <c r="BF451" s="2398">
        <v>0</v>
      </c>
      <c r="BG451" s="2398">
        <v>-251056667</v>
      </c>
      <c r="BH451" s="2401">
        <v>0</v>
      </c>
      <c r="BI451" s="2401">
        <v>0</v>
      </c>
      <c r="BJ451" s="2398">
        <v>-251056667</v>
      </c>
      <c r="BN451" s="2390">
        <v>12171300</v>
      </c>
      <c r="BO451" s="2403" t="s">
        <v>3944</v>
      </c>
      <c r="BP451" s="2392">
        <v>283811200670</v>
      </c>
      <c r="BQ451" s="2392">
        <v>3692165258</v>
      </c>
      <c r="BR451" s="2393">
        <v>29719279903</v>
      </c>
      <c r="BS451" s="2394">
        <v>5083692</v>
      </c>
      <c r="BT451" s="2392">
        <v>0</v>
      </c>
      <c r="BU451" s="2392">
        <v>317227729523</v>
      </c>
      <c r="BV451" s="2395">
        <v>0</v>
      </c>
      <c r="BW451" s="2395">
        <v>0</v>
      </c>
      <c r="BX451" s="2392">
        <v>311865073078</v>
      </c>
    </row>
    <row r="452" spans="2:76">
      <c r="B452" s="2558">
        <v>12171200</v>
      </c>
      <c r="C452" s="2571" t="s">
        <v>4158</v>
      </c>
      <c r="D452" s="2560">
        <v>48878731942</v>
      </c>
      <c r="E452" s="2560">
        <v>975577643</v>
      </c>
      <c r="F452" s="2561">
        <v>15718010335</v>
      </c>
      <c r="G452" s="2562">
        <v>99195271</v>
      </c>
      <c r="H452" s="2560">
        <v>0</v>
      </c>
      <c r="I452" s="2560">
        <v>65671515191</v>
      </c>
      <c r="J452" s="2563">
        <v>0</v>
      </c>
      <c r="K452" s="2563">
        <v>0</v>
      </c>
      <c r="L452" s="2560">
        <v>65671515191</v>
      </c>
      <c r="N452" s="2390">
        <v>12171200</v>
      </c>
      <c r="O452" s="2403" t="s">
        <v>4158</v>
      </c>
      <c r="P452" s="2392">
        <v>49354105505</v>
      </c>
      <c r="Q452" s="2392">
        <v>983421965</v>
      </c>
      <c r="R452" s="2393">
        <v>15965306595</v>
      </c>
      <c r="S452" s="2394">
        <v>101764420</v>
      </c>
      <c r="T452" s="2392">
        <v>0</v>
      </c>
      <c r="U452" s="2392">
        <v>66404598485</v>
      </c>
      <c r="V452" s="2395">
        <v>0</v>
      </c>
      <c r="W452" s="2395">
        <v>0</v>
      </c>
      <c r="X452" s="2392">
        <v>66404598485</v>
      </c>
      <c r="Z452" s="2390">
        <v>12171200</v>
      </c>
      <c r="AA452" s="2403" t="s">
        <v>4158</v>
      </c>
      <c r="AB452" s="2392">
        <v>46877496855</v>
      </c>
      <c r="AC452" s="2392">
        <v>999110609</v>
      </c>
      <c r="AD452" s="2393">
        <v>16368078541</v>
      </c>
      <c r="AE452" s="2394">
        <v>77852718</v>
      </c>
      <c r="AF452" s="2392">
        <v>0</v>
      </c>
      <c r="AG452" s="2392">
        <v>64322538723</v>
      </c>
      <c r="AH452" s="2395">
        <v>0</v>
      </c>
      <c r="AI452" s="2395">
        <v>0</v>
      </c>
      <c r="AJ452" s="2392">
        <v>64322538723</v>
      </c>
      <c r="AZ452" s="2390">
        <v>12171200</v>
      </c>
      <c r="BA452" s="2403" t="s">
        <v>4158</v>
      </c>
      <c r="BB452" s="2392">
        <v>39879600583</v>
      </c>
      <c r="BC452" s="2392">
        <v>1030487950</v>
      </c>
      <c r="BD452" s="2393">
        <v>16884155453</v>
      </c>
      <c r="BE452" s="2394">
        <v>44485992</v>
      </c>
      <c r="BF452" s="2392">
        <v>0</v>
      </c>
      <c r="BG452" s="2392">
        <v>57838729978</v>
      </c>
      <c r="BH452" s="2395">
        <v>0</v>
      </c>
      <c r="BI452" s="2395">
        <v>0</v>
      </c>
      <c r="BJ452" s="2392">
        <v>57838729978</v>
      </c>
      <c r="BN452" s="2396">
        <v>12171301</v>
      </c>
      <c r="BO452" s="2397" t="s">
        <v>3944</v>
      </c>
      <c r="BP452" s="2398">
        <v>961208918654</v>
      </c>
      <c r="BQ452" s="2179">
        <v>13378558006</v>
      </c>
      <c r="BR452" s="2399">
        <v>65033016711</v>
      </c>
      <c r="BS452" s="2400">
        <v>60829500</v>
      </c>
      <c r="BT452" s="2398">
        <v>0</v>
      </c>
      <c r="BU452" s="2398">
        <v>1039681322871</v>
      </c>
      <c r="BV452" s="2401">
        <v>-6606218546</v>
      </c>
      <c r="BW452" s="2401">
        <v>0</v>
      </c>
      <c r="BX452" s="2398">
        <v>1033075104325</v>
      </c>
    </row>
    <row r="453" spans="2:76">
      <c r="B453" s="2564">
        <v>12171201</v>
      </c>
      <c r="C453" s="2565" t="s">
        <v>4158</v>
      </c>
      <c r="D453" s="2566">
        <v>85097995223</v>
      </c>
      <c r="E453" s="1080">
        <v>1238020612</v>
      </c>
      <c r="F453" s="2567">
        <v>25766942132</v>
      </c>
      <c r="G453" s="2568">
        <v>116786158</v>
      </c>
      <c r="H453" s="2566">
        <v>0</v>
      </c>
      <c r="I453" s="2566">
        <v>112219744125</v>
      </c>
      <c r="J453" s="2569">
        <v>0</v>
      </c>
      <c r="K453" s="2569">
        <v>0</v>
      </c>
      <c r="L453" s="2566">
        <v>112219744125</v>
      </c>
      <c r="N453" s="2396">
        <v>12171201</v>
      </c>
      <c r="O453" s="2397" t="s">
        <v>4158</v>
      </c>
      <c r="P453" s="2398">
        <v>84851396120</v>
      </c>
      <c r="Q453" s="2179">
        <v>1238020612</v>
      </c>
      <c r="R453" s="2399">
        <v>25750806132</v>
      </c>
      <c r="S453" s="2400">
        <v>116786158</v>
      </c>
      <c r="T453" s="2398">
        <v>0</v>
      </c>
      <c r="U453" s="2398">
        <v>111957009022</v>
      </c>
      <c r="V453" s="2401">
        <v>0</v>
      </c>
      <c r="W453" s="2401">
        <v>0</v>
      </c>
      <c r="X453" s="2398">
        <v>111957009022</v>
      </c>
      <c r="Z453" s="2396">
        <v>12171201</v>
      </c>
      <c r="AA453" s="2397" t="s">
        <v>4158</v>
      </c>
      <c r="AB453" s="2398">
        <v>80978716300</v>
      </c>
      <c r="AC453" s="2179">
        <v>1238020612</v>
      </c>
      <c r="AD453" s="2399">
        <v>25622874432</v>
      </c>
      <c r="AE453" s="2400">
        <v>105016158</v>
      </c>
      <c r="AF453" s="2398">
        <v>0</v>
      </c>
      <c r="AG453" s="2398">
        <v>107944627502</v>
      </c>
      <c r="AH453" s="2401">
        <v>0</v>
      </c>
      <c r="AI453" s="2401">
        <v>0</v>
      </c>
      <c r="AJ453" s="2398">
        <v>107944627502</v>
      </c>
      <c r="AZ453" s="2396">
        <v>12171201</v>
      </c>
      <c r="BA453" s="2397" t="s">
        <v>4158</v>
      </c>
      <c r="BB453" s="2398">
        <v>71348364723</v>
      </c>
      <c r="BC453" s="2179">
        <v>1238020612</v>
      </c>
      <c r="BD453" s="2399">
        <v>25098774432</v>
      </c>
      <c r="BE453" s="2400">
        <v>66766888</v>
      </c>
      <c r="BF453" s="2398">
        <v>0</v>
      </c>
      <c r="BG453" s="2398">
        <v>97751926655</v>
      </c>
      <c r="BH453" s="2401">
        <v>0</v>
      </c>
      <c r="BI453" s="2401">
        <v>0</v>
      </c>
      <c r="BJ453" s="2398">
        <v>97751926655</v>
      </c>
      <c r="BN453" s="2396">
        <v>12171302</v>
      </c>
      <c r="BO453" s="2397" t="s">
        <v>3947</v>
      </c>
      <c r="BP453" s="2398">
        <v>-675435434333</v>
      </c>
      <c r="BQ453" s="2179">
        <v>-9276140264</v>
      </c>
      <c r="BR453" s="2399">
        <v>-31594835953</v>
      </c>
      <c r="BS453" s="2400">
        <v>-55745808</v>
      </c>
      <c r="BT453" s="2398">
        <v>0</v>
      </c>
      <c r="BU453" s="2398">
        <v>-716362156358</v>
      </c>
      <c r="BV453" s="2401">
        <v>0</v>
      </c>
      <c r="BW453" s="2401">
        <v>-1243562101</v>
      </c>
      <c r="BX453" s="2398">
        <v>-715118594257</v>
      </c>
    </row>
    <row r="454" spans="2:76">
      <c r="B454" s="2564">
        <v>12171202</v>
      </c>
      <c r="C454" s="2565" t="s">
        <v>4159</v>
      </c>
      <c r="D454" s="2566">
        <v>-35377282450</v>
      </c>
      <c r="E454" s="1080">
        <v>-262442969</v>
      </c>
      <c r="F454" s="2567">
        <v>-9284639936</v>
      </c>
      <c r="G454" s="2568">
        <v>-17590887</v>
      </c>
      <c r="H454" s="2566">
        <v>0</v>
      </c>
      <c r="I454" s="2566">
        <v>-44941956242</v>
      </c>
      <c r="J454" s="2569">
        <v>0</v>
      </c>
      <c r="K454" s="2569">
        <v>0</v>
      </c>
      <c r="L454" s="2566">
        <v>-44941956242</v>
      </c>
      <c r="N454" s="2396">
        <v>12171202</v>
      </c>
      <c r="O454" s="2397" t="s">
        <v>4159</v>
      </c>
      <c r="P454" s="2398">
        <v>-34654549545</v>
      </c>
      <c r="Q454" s="2179">
        <v>-254598647</v>
      </c>
      <c r="R454" s="2399">
        <v>-9021207676</v>
      </c>
      <c r="S454" s="2400">
        <v>-15021738</v>
      </c>
      <c r="T454" s="2398">
        <v>0</v>
      </c>
      <c r="U454" s="2398">
        <v>-43945377606</v>
      </c>
      <c r="V454" s="2401">
        <v>0</v>
      </c>
      <c r="W454" s="2401">
        <v>0</v>
      </c>
      <c r="X454" s="2398">
        <v>-43945377606</v>
      </c>
      <c r="Z454" s="2396">
        <v>12171202</v>
      </c>
      <c r="AA454" s="2397" t="s">
        <v>4159</v>
      </c>
      <c r="AB454" s="2398">
        <v>-33256957896</v>
      </c>
      <c r="AC454" s="2179">
        <v>-238910003</v>
      </c>
      <c r="AD454" s="2399">
        <v>-8490504030</v>
      </c>
      <c r="AE454" s="2400">
        <v>-27163440</v>
      </c>
      <c r="AF454" s="2398">
        <v>0</v>
      </c>
      <c r="AG454" s="2398">
        <v>-42013535369</v>
      </c>
      <c r="AH454" s="2401">
        <v>0</v>
      </c>
      <c r="AI454" s="2401">
        <v>0</v>
      </c>
      <c r="AJ454" s="2398">
        <v>-42013535369</v>
      </c>
      <c r="AZ454" s="2396">
        <v>12171202</v>
      </c>
      <c r="BA454" s="2397" t="s">
        <v>4159</v>
      </c>
      <c r="BB454" s="2398">
        <v>-30621461634</v>
      </c>
      <c r="BC454" s="2179">
        <v>-207532662</v>
      </c>
      <c r="BD454" s="2399">
        <v>-7450327088</v>
      </c>
      <c r="BE454" s="2400">
        <v>-22280896</v>
      </c>
      <c r="BF454" s="2398">
        <v>0</v>
      </c>
      <c r="BG454" s="2398">
        <v>-38301602280</v>
      </c>
      <c r="BH454" s="2401">
        <v>0</v>
      </c>
      <c r="BI454" s="2401">
        <v>0</v>
      </c>
      <c r="BJ454" s="2398">
        <v>-38301602280</v>
      </c>
      <c r="BN454" s="2396">
        <v>12171303</v>
      </c>
      <c r="BO454" s="2397" t="s">
        <v>4162</v>
      </c>
      <c r="BP454" s="2398">
        <v>-1962283651</v>
      </c>
      <c r="BQ454" s="2179">
        <v>-319063911</v>
      </c>
      <c r="BR454" s="2399">
        <v>-3718900855</v>
      </c>
      <c r="BS454" s="2400">
        <v>0</v>
      </c>
      <c r="BT454" s="2398">
        <v>0</v>
      </c>
      <c r="BU454" s="2398">
        <v>-6000248417</v>
      </c>
      <c r="BV454" s="2401">
        <v>0</v>
      </c>
      <c r="BW454" s="2401">
        <v>0</v>
      </c>
      <c r="BX454" s="2398">
        <v>-6000248417</v>
      </c>
    </row>
    <row r="455" spans="2:76">
      <c r="B455" s="2564">
        <v>12171203</v>
      </c>
      <c r="C455" s="2565" t="s">
        <v>4160</v>
      </c>
      <c r="D455" s="2566">
        <v>-786466160</v>
      </c>
      <c r="E455" s="1080">
        <v>0</v>
      </c>
      <c r="F455" s="2567">
        <v>-764291861</v>
      </c>
      <c r="G455" s="2568">
        <v>0</v>
      </c>
      <c r="H455" s="2566">
        <v>0</v>
      </c>
      <c r="I455" s="2566">
        <v>-1550758021</v>
      </c>
      <c r="J455" s="2569">
        <v>0</v>
      </c>
      <c r="K455" s="2569">
        <v>0</v>
      </c>
      <c r="L455" s="2566">
        <v>-1550758021</v>
      </c>
      <c r="N455" s="2396">
        <v>12171203</v>
      </c>
      <c r="O455" s="2397" t="s">
        <v>4160</v>
      </c>
      <c r="P455" s="2398">
        <v>-786466160</v>
      </c>
      <c r="Q455" s="2179">
        <v>0</v>
      </c>
      <c r="R455" s="2399">
        <v>-764291861</v>
      </c>
      <c r="S455" s="2400">
        <v>0</v>
      </c>
      <c r="T455" s="2398">
        <v>0</v>
      </c>
      <c r="U455" s="2398">
        <v>-1550758021</v>
      </c>
      <c r="V455" s="2401">
        <v>0</v>
      </c>
      <c r="W455" s="2401">
        <v>0</v>
      </c>
      <c r="X455" s="2398">
        <v>-1550758021</v>
      </c>
      <c r="Z455" s="2396">
        <v>12171203</v>
      </c>
      <c r="AA455" s="2397" t="s">
        <v>4160</v>
      </c>
      <c r="AB455" s="2398">
        <v>-786466160</v>
      </c>
      <c r="AC455" s="2179">
        <v>0</v>
      </c>
      <c r="AD455" s="2399">
        <v>-764291861</v>
      </c>
      <c r="AE455" s="2400">
        <v>0</v>
      </c>
      <c r="AF455" s="2398">
        <v>0</v>
      </c>
      <c r="AG455" s="2398">
        <v>-1550758021</v>
      </c>
      <c r="AH455" s="2401">
        <v>0</v>
      </c>
      <c r="AI455" s="2401">
        <v>0</v>
      </c>
      <c r="AJ455" s="2398">
        <v>-1550758021</v>
      </c>
      <c r="AZ455" s="2396">
        <v>12171203</v>
      </c>
      <c r="BA455" s="2397" t="s">
        <v>4160</v>
      </c>
      <c r="BB455" s="2398">
        <v>-786466160</v>
      </c>
      <c r="BC455" s="2179">
        <v>0</v>
      </c>
      <c r="BD455" s="2399">
        <v>-764291891</v>
      </c>
      <c r="BE455" s="2400">
        <v>0</v>
      </c>
      <c r="BF455" s="2398">
        <v>0</v>
      </c>
      <c r="BG455" s="2398">
        <v>-1550758051</v>
      </c>
      <c r="BH455" s="2401">
        <v>0</v>
      </c>
      <c r="BI455" s="2401">
        <v>0</v>
      </c>
      <c r="BJ455" s="2398">
        <v>-1550758051</v>
      </c>
      <c r="BN455" s="2396">
        <v>12171304</v>
      </c>
      <c r="BO455" s="2397" t="s">
        <v>4163</v>
      </c>
      <c r="BP455" s="2398">
        <v>0</v>
      </c>
      <c r="BQ455" s="2179">
        <v>-91188573</v>
      </c>
      <c r="BR455" s="2399">
        <v>0</v>
      </c>
      <c r="BS455" s="2400">
        <v>0</v>
      </c>
      <c r="BT455" s="2398">
        <v>0</v>
      </c>
      <c r="BU455" s="2398">
        <v>-91188573</v>
      </c>
      <c r="BV455" s="2401">
        <v>0</v>
      </c>
      <c r="BW455" s="2401">
        <v>0</v>
      </c>
      <c r="BX455" s="2398">
        <v>-91188573</v>
      </c>
    </row>
    <row r="456" spans="2:76">
      <c r="B456" s="2564">
        <v>12171204</v>
      </c>
      <c r="C456" s="2565" t="s">
        <v>4161</v>
      </c>
      <c r="D456" s="2566">
        <v>-55514671</v>
      </c>
      <c r="E456" s="1080">
        <v>0</v>
      </c>
      <c r="F456" s="2567">
        <v>0</v>
      </c>
      <c r="G456" s="2568">
        <v>0</v>
      </c>
      <c r="H456" s="2566">
        <v>0</v>
      </c>
      <c r="I456" s="2566">
        <v>-55514671</v>
      </c>
      <c r="J456" s="2569">
        <v>0</v>
      </c>
      <c r="K456" s="2569">
        <v>0</v>
      </c>
      <c r="L456" s="2566">
        <v>-55514671</v>
      </c>
      <c r="N456" s="2396">
        <v>12171204</v>
      </c>
      <c r="O456" s="2397" t="s">
        <v>4161</v>
      </c>
      <c r="P456" s="2398">
        <v>-56274910</v>
      </c>
      <c r="Q456" s="2179">
        <v>0</v>
      </c>
      <c r="R456" s="2399">
        <v>0</v>
      </c>
      <c r="S456" s="2400">
        <v>0</v>
      </c>
      <c r="T456" s="2398">
        <v>0</v>
      </c>
      <c r="U456" s="2398">
        <v>-56274910</v>
      </c>
      <c r="V456" s="2401">
        <v>0</v>
      </c>
      <c r="W456" s="2401">
        <v>0</v>
      </c>
      <c r="X456" s="2398">
        <v>-56274910</v>
      </c>
      <c r="Z456" s="2396">
        <v>12171204</v>
      </c>
      <c r="AA456" s="2397" t="s">
        <v>4161</v>
      </c>
      <c r="AB456" s="2398">
        <v>-57795389</v>
      </c>
      <c r="AC456" s="2179">
        <v>0</v>
      </c>
      <c r="AD456" s="2399">
        <v>0</v>
      </c>
      <c r="AE456" s="2400">
        <v>0</v>
      </c>
      <c r="AF456" s="2398">
        <v>0</v>
      </c>
      <c r="AG456" s="2398">
        <v>-57795389</v>
      </c>
      <c r="AH456" s="2401">
        <v>0</v>
      </c>
      <c r="AI456" s="2401">
        <v>0</v>
      </c>
      <c r="AJ456" s="2398">
        <v>-57795389</v>
      </c>
      <c r="AZ456" s="2396">
        <v>12171204</v>
      </c>
      <c r="BA456" s="2397" t="s">
        <v>4161</v>
      </c>
      <c r="BB456" s="2398">
        <v>-60836346</v>
      </c>
      <c r="BC456" s="2179">
        <v>0</v>
      </c>
      <c r="BD456" s="2399">
        <v>0</v>
      </c>
      <c r="BE456" s="2400">
        <v>0</v>
      </c>
      <c r="BF456" s="2398">
        <v>0</v>
      </c>
      <c r="BG456" s="2398">
        <v>-60836346</v>
      </c>
      <c r="BH456" s="2401">
        <v>0</v>
      </c>
      <c r="BI456" s="2401">
        <v>0</v>
      </c>
      <c r="BJ456" s="2398">
        <v>-60836346</v>
      </c>
      <c r="BN456" s="2390">
        <v>12171400</v>
      </c>
      <c r="BO456" s="2403" t="s">
        <v>1502</v>
      </c>
      <c r="BP456" s="2392">
        <v>831161164</v>
      </c>
      <c r="BQ456" s="2392">
        <v>98677822</v>
      </c>
      <c r="BR456" s="2393">
        <v>30887715</v>
      </c>
      <c r="BS456" s="2394">
        <v>119110706</v>
      </c>
      <c r="BT456" s="2392">
        <v>0</v>
      </c>
      <c r="BU456" s="2392">
        <v>1079837407</v>
      </c>
      <c r="BV456" s="2395">
        <v>0</v>
      </c>
      <c r="BW456" s="2395">
        <v>0</v>
      </c>
      <c r="BX456" s="2392">
        <v>1079837407</v>
      </c>
    </row>
    <row r="457" spans="2:76">
      <c r="B457" s="2558">
        <v>12171300</v>
      </c>
      <c r="C457" s="2571" t="s">
        <v>3944</v>
      </c>
      <c r="D457" s="2560">
        <v>315654737433</v>
      </c>
      <c r="E457" s="2560">
        <v>1090028974</v>
      </c>
      <c r="F457" s="2561">
        <v>22034408690</v>
      </c>
      <c r="G457" s="2562">
        <v>132155</v>
      </c>
      <c r="H457" s="2560">
        <v>0</v>
      </c>
      <c r="I457" s="2560">
        <v>338779307252</v>
      </c>
      <c r="J457" s="2563">
        <v>0</v>
      </c>
      <c r="K457" s="2563">
        <v>0</v>
      </c>
      <c r="L457" s="2560">
        <v>328100232443</v>
      </c>
      <c r="N457" s="2390">
        <v>12171300</v>
      </c>
      <c r="O457" s="2403" t="s">
        <v>3944</v>
      </c>
      <c r="P457" s="2392">
        <v>306123983139</v>
      </c>
      <c r="Q457" s="2392">
        <v>1075689259</v>
      </c>
      <c r="R457" s="2393">
        <v>23280633168</v>
      </c>
      <c r="S457" s="2394">
        <v>447314</v>
      </c>
      <c r="T457" s="2392">
        <v>0</v>
      </c>
      <c r="U457" s="2392">
        <v>330480752880</v>
      </c>
      <c r="V457" s="2395">
        <v>0</v>
      </c>
      <c r="W457" s="2395">
        <v>0</v>
      </c>
      <c r="X457" s="2392">
        <v>320023158315</v>
      </c>
      <c r="Z457" s="2390">
        <v>12171300</v>
      </c>
      <c r="AA457" s="2403" t="s">
        <v>3944</v>
      </c>
      <c r="AB457" s="2392">
        <v>308631268278</v>
      </c>
      <c r="AC457" s="2392">
        <v>1078149197</v>
      </c>
      <c r="AD457" s="2393">
        <v>25991691045</v>
      </c>
      <c r="AE457" s="2394">
        <v>1077632</v>
      </c>
      <c r="AF457" s="2392">
        <v>0</v>
      </c>
      <c r="AG457" s="2392">
        <v>335702186152</v>
      </c>
      <c r="AH457" s="2395">
        <v>0</v>
      </c>
      <c r="AI457" s="2395">
        <v>0</v>
      </c>
      <c r="AJ457" s="2392">
        <v>326535301135</v>
      </c>
      <c r="AZ457" s="2390">
        <v>12171300</v>
      </c>
      <c r="BA457" s="2403" t="s">
        <v>3944</v>
      </c>
      <c r="BB457" s="2392">
        <v>287377709828</v>
      </c>
      <c r="BC457" s="2392">
        <v>1131976599</v>
      </c>
      <c r="BD457" s="2393">
        <v>25048230543</v>
      </c>
      <c r="BE457" s="2394">
        <v>2977632</v>
      </c>
      <c r="BF457" s="2392">
        <v>0</v>
      </c>
      <c r="BG457" s="2392">
        <v>313560894602</v>
      </c>
      <c r="BH457" s="2395">
        <v>0</v>
      </c>
      <c r="BI457" s="2395">
        <v>0</v>
      </c>
      <c r="BJ457" s="2392">
        <v>306053082136</v>
      </c>
      <c r="BN457" s="2396">
        <v>12171401</v>
      </c>
      <c r="BO457" s="2397" t="s">
        <v>1502</v>
      </c>
      <c r="BP457" s="2398">
        <v>2588135035</v>
      </c>
      <c r="BQ457" s="2179">
        <v>412222951</v>
      </c>
      <c r="BR457" s="2399">
        <v>594970756</v>
      </c>
      <c r="BS457" s="2400">
        <v>226773801</v>
      </c>
      <c r="BT457" s="2398">
        <v>0</v>
      </c>
      <c r="BU457" s="2398">
        <v>3822102543</v>
      </c>
      <c r="BV457" s="2401">
        <v>0</v>
      </c>
      <c r="BW457" s="2401">
        <v>0</v>
      </c>
      <c r="BX457" s="2398">
        <v>3822102543</v>
      </c>
    </row>
    <row r="458" spans="2:76">
      <c r="B458" s="2564">
        <v>12171301</v>
      </c>
      <c r="C458" s="2565" t="s">
        <v>3944</v>
      </c>
      <c r="D458" s="2566">
        <v>1091422381822</v>
      </c>
      <c r="E458" s="1080">
        <v>12691026495</v>
      </c>
      <c r="F458" s="2567">
        <v>69655481298</v>
      </c>
      <c r="G458" s="2568">
        <v>60829500</v>
      </c>
      <c r="H458" s="2566">
        <v>0</v>
      </c>
      <c r="I458" s="2566">
        <v>1173829719115</v>
      </c>
      <c r="J458" s="2569">
        <v>-14393666339</v>
      </c>
      <c r="K458" s="2569">
        <v>0</v>
      </c>
      <c r="L458" s="2566">
        <v>1159436052776</v>
      </c>
      <c r="N458" s="2396">
        <v>12171301</v>
      </c>
      <c r="O458" s="2397" t="s">
        <v>3944</v>
      </c>
      <c r="P458" s="2398">
        <v>1076831180870</v>
      </c>
      <c r="Q458" s="2179">
        <v>12625926495</v>
      </c>
      <c r="R458" s="2399">
        <v>69349633477</v>
      </c>
      <c r="S458" s="2400">
        <v>60829500</v>
      </c>
      <c r="T458" s="2398">
        <v>0</v>
      </c>
      <c r="U458" s="2398">
        <v>1158867570342</v>
      </c>
      <c r="V458" s="2401">
        <v>-13874179005</v>
      </c>
      <c r="W458" s="2401">
        <v>0</v>
      </c>
      <c r="X458" s="2398">
        <v>1144993391337</v>
      </c>
      <c r="Z458" s="2396">
        <v>12171301</v>
      </c>
      <c r="AA458" s="2397" t="s">
        <v>3944</v>
      </c>
      <c r="AB458" s="2398">
        <v>1067025012978</v>
      </c>
      <c r="AC458" s="2179">
        <v>12539026495</v>
      </c>
      <c r="AD458" s="2399">
        <v>69735676810</v>
      </c>
      <c r="AE458" s="2400">
        <v>60829500</v>
      </c>
      <c r="AF458" s="2398">
        <v>0</v>
      </c>
      <c r="AG458" s="2398">
        <v>1149360545783</v>
      </c>
      <c r="AH458" s="2401">
        <v>-12019923236</v>
      </c>
      <c r="AI458" s="2401">
        <v>0</v>
      </c>
      <c r="AJ458" s="2398">
        <v>1137340622547</v>
      </c>
      <c r="AZ458" s="2396">
        <v>12171301</v>
      </c>
      <c r="BA458" s="2397" t="s">
        <v>3944</v>
      </c>
      <c r="BB458" s="2398">
        <v>1002195852672</v>
      </c>
      <c r="BC458" s="2179">
        <v>12811005716</v>
      </c>
      <c r="BD458" s="2399">
        <v>65235801217</v>
      </c>
      <c r="BE458" s="2400">
        <v>60829500</v>
      </c>
      <c r="BF458" s="2398">
        <v>0</v>
      </c>
      <c r="BG458" s="2398">
        <v>1080303489105</v>
      </c>
      <c r="BH458" s="2401">
        <v>-9454497203</v>
      </c>
      <c r="BI458" s="2401">
        <v>0</v>
      </c>
      <c r="BJ458" s="2398">
        <v>1070848991902</v>
      </c>
      <c r="BN458" s="2396">
        <v>12171402</v>
      </c>
      <c r="BO458" s="2397" t="s">
        <v>4164</v>
      </c>
      <c r="BP458" s="2398">
        <v>-1748473871</v>
      </c>
      <c r="BQ458" s="2179">
        <v>-313545129</v>
      </c>
      <c r="BR458" s="2399">
        <v>-564083041</v>
      </c>
      <c r="BS458" s="2400">
        <v>-107663095</v>
      </c>
      <c r="BT458" s="2398">
        <v>0</v>
      </c>
      <c r="BU458" s="2398">
        <v>-2733765136</v>
      </c>
      <c r="BV458" s="2401">
        <v>0</v>
      </c>
      <c r="BW458" s="2401">
        <v>0</v>
      </c>
      <c r="BX458" s="2398">
        <v>-2733765136</v>
      </c>
    </row>
    <row r="459" spans="2:76">
      <c r="B459" s="2564">
        <v>12171302</v>
      </c>
      <c r="C459" s="2565" t="s">
        <v>3947</v>
      </c>
      <c r="D459" s="2566">
        <v>-773816233168</v>
      </c>
      <c r="E459" s="1080">
        <v>-9026246833</v>
      </c>
      <c r="F459" s="2567">
        <v>-44276614867</v>
      </c>
      <c r="G459" s="2568">
        <v>-60697345</v>
      </c>
      <c r="H459" s="2566">
        <v>0</v>
      </c>
      <c r="I459" s="2566">
        <v>-827179792213</v>
      </c>
      <c r="J459" s="2569">
        <v>0</v>
      </c>
      <c r="K459" s="2569">
        <v>-3714591530</v>
      </c>
      <c r="L459" s="2566">
        <v>-823465200683</v>
      </c>
      <c r="N459" s="2396">
        <v>12171302</v>
      </c>
      <c r="O459" s="2397" t="s">
        <v>3947</v>
      </c>
      <c r="P459" s="2398">
        <v>-768755786510</v>
      </c>
      <c r="Q459" s="2179">
        <v>-8970799798</v>
      </c>
      <c r="R459" s="2399">
        <v>-42724542568</v>
      </c>
      <c r="S459" s="2400">
        <v>-60382186</v>
      </c>
      <c r="T459" s="2398">
        <v>0</v>
      </c>
      <c r="U459" s="2398">
        <v>-820511511062</v>
      </c>
      <c r="V459" s="2401">
        <v>0</v>
      </c>
      <c r="W459" s="2401">
        <v>-3416584440</v>
      </c>
      <c r="X459" s="2398">
        <v>-817094926622</v>
      </c>
      <c r="Z459" s="2396">
        <v>12171302</v>
      </c>
      <c r="AA459" s="2397" t="s">
        <v>3947</v>
      </c>
      <c r="AB459" s="2398">
        <v>-756442333479</v>
      </c>
      <c r="AC459" s="2179">
        <v>-8872066360</v>
      </c>
      <c r="AD459" s="2399">
        <v>-40213934680</v>
      </c>
      <c r="AE459" s="2400">
        <v>-59751868</v>
      </c>
      <c r="AF459" s="2398">
        <v>0</v>
      </c>
      <c r="AG459" s="2398">
        <v>-805588086387</v>
      </c>
      <c r="AH459" s="2401">
        <v>0</v>
      </c>
      <c r="AI459" s="2401">
        <v>-2853038219</v>
      </c>
      <c r="AJ459" s="2398">
        <v>-802735048168</v>
      </c>
      <c r="AZ459" s="2396">
        <v>12171302</v>
      </c>
      <c r="BA459" s="2397" t="s">
        <v>3947</v>
      </c>
      <c r="BB459" s="2398">
        <v>-712855859193</v>
      </c>
      <c r="BC459" s="2179">
        <v>-9043558729</v>
      </c>
      <c r="BD459" s="2399">
        <v>-36520788836</v>
      </c>
      <c r="BE459" s="2400">
        <v>-57851868</v>
      </c>
      <c r="BF459" s="2398">
        <v>0</v>
      </c>
      <c r="BG459" s="2398">
        <v>-758478058626</v>
      </c>
      <c r="BH459" s="2401">
        <v>0</v>
      </c>
      <c r="BI459" s="2401">
        <v>-1946684737</v>
      </c>
      <c r="BJ459" s="2398">
        <v>-756531373889</v>
      </c>
      <c r="BN459" s="2396">
        <v>12171403</v>
      </c>
      <c r="BO459" s="2397" t="s">
        <v>4165</v>
      </c>
      <c r="BP459" s="2398">
        <v>0</v>
      </c>
      <c r="BQ459" s="2179">
        <v>0</v>
      </c>
      <c r="BR459" s="2399">
        <v>0</v>
      </c>
      <c r="BS459" s="2400">
        <v>0</v>
      </c>
      <c r="BT459" s="2398">
        <v>0</v>
      </c>
      <c r="BU459" s="2398">
        <v>0</v>
      </c>
      <c r="BV459" s="2401">
        <v>0</v>
      </c>
      <c r="BW459" s="2401">
        <v>0</v>
      </c>
      <c r="BX459" s="2398">
        <v>0</v>
      </c>
    </row>
    <row r="460" spans="2:76">
      <c r="B460" s="2564">
        <v>12171303</v>
      </c>
      <c r="C460" s="2565" t="s">
        <v>4162</v>
      </c>
      <c r="D460" s="2566">
        <v>-1951411221</v>
      </c>
      <c r="E460" s="1080">
        <v>-2543540105</v>
      </c>
      <c r="F460" s="2567">
        <v>-3344457741</v>
      </c>
      <c r="G460" s="2568">
        <v>0</v>
      </c>
      <c r="H460" s="2566">
        <v>0</v>
      </c>
      <c r="I460" s="2566">
        <v>-7839409067</v>
      </c>
      <c r="J460" s="2569">
        <v>0</v>
      </c>
      <c r="K460" s="2569">
        <v>0</v>
      </c>
      <c r="L460" s="2566">
        <v>-7839409067</v>
      </c>
      <c r="N460" s="2396">
        <v>12171303</v>
      </c>
      <c r="O460" s="2397" t="s">
        <v>4162</v>
      </c>
      <c r="P460" s="2398">
        <v>-1951411221</v>
      </c>
      <c r="Q460" s="2179">
        <v>-2543540105</v>
      </c>
      <c r="R460" s="2399">
        <v>-3344457741</v>
      </c>
      <c r="S460" s="2400">
        <v>0</v>
      </c>
      <c r="T460" s="2398">
        <v>0</v>
      </c>
      <c r="U460" s="2398">
        <v>-7839409067</v>
      </c>
      <c r="V460" s="2401">
        <v>0</v>
      </c>
      <c r="W460" s="2401">
        <v>0</v>
      </c>
      <c r="X460" s="2398">
        <v>-7839409067</v>
      </c>
      <c r="Z460" s="2396">
        <v>12171303</v>
      </c>
      <c r="AA460" s="2397" t="s">
        <v>4162</v>
      </c>
      <c r="AB460" s="2398">
        <v>-1951411221</v>
      </c>
      <c r="AC460" s="2179">
        <v>-2543540105</v>
      </c>
      <c r="AD460" s="2399">
        <v>-3530051085</v>
      </c>
      <c r="AE460" s="2400">
        <v>0</v>
      </c>
      <c r="AF460" s="2398">
        <v>0</v>
      </c>
      <c r="AG460" s="2398">
        <v>-8025002411</v>
      </c>
      <c r="AH460" s="2401">
        <v>0</v>
      </c>
      <c r="AI460" s="2401">
        <v>0</v>
      </c>
      <c r="AJ460" s="2398">
        <v>-8025002411</v>
      </c>
      <c r="AZ460" s="2396">
        <v>12171303</v>
      </c>
      <c r="BA460" s="2397" t="s">
        <v>4162</v>
      </c>
      <c r="BB460" s="2398">
        <v>-1962283651</v>
      </c>
      <c r="BC460" s="2179">
        <v>-2571452555</v>
      </c>
      <c r="BD460" s="2399">
        <v>-3666781838</v>
      </c>
      <c r="BE460" s="2400">
        <v>0</v>
      </c>
      <c r="BF460" s="2398">
        <v>0</v>
      </c>
      <c r="BG460" s="2398">
        <v>-8200518044</v>
      </c>
      <c r="BH460" s="2401">
        <v>0</v>
      </c>
      <c r="BI460" s="2401">
        <v>0</v>
      </c>
      <c r="BJ460" s="2398">
        <v>-8200518044</v>
      </c>
      <c r="BN460" s="2396">
        <v>12171404</v>
      </c>
      <c r="BO460" s="2397" t="s">
        <v>4166</v>
      </c>
      <c r="BP460" s="2398">
        <v>-8500000</v>
      </c>
      <c r="BQ460" s="2179">
        <v>0</v>
      </c>
      <c r="BR460" s="2399">
        <v>0</v>
      </c>
      <c r="BS460" s="2400">
        <v>0</v>
      </c>
      <c r="BT460" s="2398">
        <v>0</v>
      </c>
      <c r="BU460" s="2398">
        <v>-8500000</v>
      </c>
      <c r="BV460" s="2401">
        <v>0</v>
      </c>
      <c r="BW460" s="2401">
        <v>0</v>
      </c>
      <c r="BX460" s="2398">
        <v>-8500000</v>
      </c>
    </row>
    <row r="461" spans="2:76">
      <c r="B461" s="2564">
        <v>12171304</v>
      </c>
      <c r="C461" s="2565" t="s">
        <v>4163</v>
      </c>
      <c r="D461" s="2566">
        <v>0</v>
      </c>
      <c r="E461" s="1080">
        <v>-31210583</v>
      </c>
      <c r="F461" s="2567">
        <v>0</v>
      </c>
      <c r="G461" s="2568">
        <v>0</v>
      </c>
      <c r="H461" s="2566">
        <v>0</v>
      </c>
      <c r="I461" s="2566">
        <v>-31210583</v>
      </c>
      <c r="J461" s="2569">
        <v>0</v>
      </c>
      <c r="K461" s="2569">
        <v>0</v>
      </c>
      <c r="L461" s="2566">
        <v>-31210583</v>
      </c>
      <c r="N461" s="2396">
        <v>12171304</v>
      </c>
      <c r="O461" s="2397" t="s">
        <v>4163</v>
      </c>
      <c r="P461" s="2398">
        <v>0</v>
      </c>
      <c r="Q461" s="2179">
        <v>-35897333</v>
      </c>
      <c r="R461" s="2399">
        <v>0</v>
      </c>
      <c r="S461" s="2400">
        <v>0</v>
      </c>
      <c r="T461" s="2398">
        <v>0</v>
      </c>
      <c r="U461" s="2398">
        <v>-35897333</v>
      </c>
      <c r="V461" s="2401">
        <v>0</v>
      </c>
      <c r="W461" s="2401">
        <v>0</v>
      </c>
      <c r="X461" s="2398">
        <v>-35897333</v>
      </c>
      <c r="Z461" s="2396">
        <v>12171304</v>
      </c>
      <c r="AA461" s="2397" t="s">
        <v>4163</v>
      </c>
      <c r="AB461" s="2398">
        <v>0</v>
      </c>
      <c r="AC461" s="2179">
        <v>-45270833</v>
      </c>
      <c r="AD461" s="2399">
        <v>0</v>
      </c>
      <c r="AE461" s="2400">
        <v>0</v>
      </c>
      <c r="AF461" s="2398">
        <v>0</v>
      </c>
      <c r="AG461" s="2398">
        <v>-45270833</v>
      </c>
      <c r="AH461" s="2401">
        <v>0</v>
      </c>
      <c r="AI461" s="2401">
        <v>0</v>
      </c>
      <c r="AJ461" s="2398">
        <v>-45270833</v>
      </c>
      <c r="AZ461" s="2396">
        <v>12171304</v>
      </c>
      <c r="BA461" s="2397" t="s">
        <v>4163</v>
      </c>
      <c r="BB461" s="2398">
        <v>0</v>
      </c>
      <c r="BC461" s="2179">
        <v>-64017833</v>
      </c>
      <c r="BD461" s="2399">
        <v>0</v>
      </c>
      <c r="BE461" s="2400">
        <v>0</v>
      </c>
      <c r="BF461" s="2398">
        <v>0</v>
      </c>
      <c r="BG461" s="2398">
        <v>-64017833</v>
      </c>
      <c r="BH461" s="2401">
        <v>0</v>
      </c>
      <c r="BI461" s="2401">
        <v>0</v>
      </c>
      <c r="BJ461" s="2398">
        <v>-64017833</v>
      </c>
      <c r="BN461" s="2390">
        <v>12171500</v>
      </c>
      <c r="BO461" s="2403" t="s">
        <v>4167</v>
      </c>
      <c r="BP461" s="2392">
        <v>108493242</v>
      </c>
      <c r="BQ461" s="2392">
        <v>65717717</v>
      </c>
      <c r="BR461" s="2393">
        <v>14718796</v>
      </c>
      <c r="BS461" s="2394">
        <v>0</v>
      </c>
      <c r="BT461" s="2392">
        <v>0</v>
      </c>
      <c r="BU461" s="2392">
        <v>188929755</v>
      </c>
      <c r="BV461" s="2395">
        <v>0</v>
      </c>
      <c r="BW461" s="2395">
        <v>0</v>
      </c>
      <c r="BX461" s="2392">
        <v>188929755</v>
      </c>
    </row>
    <row r="462" spans="2:76">
      <c r="B462" s="2558">
        <v>12171400</v>
      </c>
      <c r="C462" s="2571" t="s">
        <v>1502</v>
      </c>
      <c r="D462" s="2560">
        <v>795731169</v>
      </c>
      <c r="E462" s="2560">
        <v>125652076</v>
      </c>
      <c r="F462" s="2561">
        <v>170713937</v>
      </c>
      <c r="G462" s="2562">
        <v>95316809</v>
      </c>
      <c r="H462" s="2560">
        <v>0</v>
      </c>
      <c r="I462" s="2560">
        <v>1187413991</v>
      </c>
      <c r="J462" s="2563">
        <v>0</v>
      </c>
      <c r="K462" s="2563">
        <v>0</v>
      </c>
      <c r="L462" s="2560">
        <v>1187413991</v>
      </c>
      <c r="N462" s="2390">
        <v>12171400</v>
      </c>
      <c r="O462" s="2403" t="s">
        <v>1502</v>
      </c>
      <c r="P462" s="2392">
        <v>870695066</v>
      </c>
      <c r="Q462" s="2392">
        <v>136653916</v>
      </c>
      <c r="R462" s="2393">
        <v>183178695</v>
      </c>
      <c r="S462" s="2394">
        <v>90432320</v>
      </c>
      <c r="T462" s="2392">
        <v>0</v>
      </c>
      <c r="U462" s="2392">
        <v>1280959997</v>
      </c>
      <c r="V462" s="2395">
        <v>0</v>
      </c>
      <c r="W462" s="2395">
        <v>0</v>
      </c>
      <c r="X462" s="2392">
        <v>1280959997</v>
      </c>
      <c r="Z462" s="2390">
        <v>12171400</v>
      </c>
      <c r="AA462" s="2403" t="s">
        <v>1502</v>
      </c>
      <c r="AB462" s="2392">
        <v>718308629</v>
      </c>
      <c r="AC462" s="2392">
        <v>125493592</v>
      </c>
      <c r="AD462" s="2393">
        <v>159514728</v>
      </c>
      <c r="AE462" s="2394">
        <v>107989958</v>
      </c>
      <c r="AF462" s="2392">
        <v>0</v>
      </c>
      <c r="AG462" s="2392">
        <v>1111306907</v>
      </c>
      <c r="AH462" s="2395">
        <v>0</v>
      </c>
      <c r="AI462" s="2395">
        <v>0</v>
      </c>
      <c r="AJ462" s="2392">
        <v>1111306907</v>
      </c>
      <c r="AZ462" s="2390">
        <v>12171400</v>
      </c>
      <c r="BA462" s="2403" t="s">
        <v>1502</v>
      </c>
      <c r="BB462" s="2392">
        <v>993841816</v>
      </c>
      <c r="BC462" s="2392">
        <v>53560861</v>
      </c>
      <c r="BD462" s="2393">
        <v>191303394</v>
      </c>
      <c r="BE462" s="2394">
        <v>126318085</v>
      </c>
      <c r="BF462" s="2392">
        <v>0</v>
      </c>
      <c r="BG462" s="2392">
        <v>1365024156</v>
      </c>
      <c r="BH462" s="2395">
        <v>0</v>
      </c>
      <c r="BI462" s="2395">
        <v>0</v>
      </c>
      <c r="BJ462" s="2392">
        <v>1365024156</v>
      </c>
      <c r="BN462" s="2396">
        <v>12171501</v>
      </c>
      <c r="BO462" s="2397" t="s">
        <v>4167</v>
      </c>
      <c r="BP462" s="2398">
        <v>1184877410</v>
      </c>
      <c r="BQ462" s="2179">
        <v>276071251</v>
      </c>
      <c r="BR462" s="2399">
        <v>61186705</v>
      </c>
      <c r="BS462" s="2400">
        <v>0</v>
      </c>
      <c r="BT462" s="2398">
        <v>0</v>
      </c>
      <c r="BU462" s="2398">
        <v>1522135366</v>
      </c>
      <c r="BV462" s="2401">
        <v>0</v>
      </c>
      <c r="BW462" s="2401">
        <v>0</v>
      </c>
      <c r="BX462" s="2398">
        <v>1522135366</v>
      </c>
    </row>
    <row r="463" spans="2:76">
      <c r="B463" s="2564">
        <v>12171401</v>
      </c>
      <c r="C463" s="2565" t="s">
        <v>1502</v>
      </c>
      <c r="D463" s="2566">
        <v>2261073160</v>
      </c>
      <c r="E463" s="1080">
        <v>504418870</v>
      </c>
      <c r="F463" s="2567">
        <v>695326492</v>
      </c>
      <c r="G463" s="2568">
        <v>238050658</v>
      </c>
      <c r="H463" s="2566">
        <v>0</v>
      </c>
      <c r="I463" s="2566">
        <v>3698869180</v>
      </c>
      <c r="J463" s="2569">
        <v>0</v>
      </c>
      <c r="K463" s="2569">
        <v>0</v>
      </c>
      <c r="L463" s="2566">
        <v>3698869180</v>
      </c>
      <c r="N463" s="2396">
        <v>12171401</v>
      </c>
      <c r="O463" s="2397" t="s">
        <v>1502</v>
      </c>
      <c r="P463" s="2398">
        <v>2261073160</v>
      </c>
      <c r="Q463" s="2179">
        <v>504418870</v>
      </c>
      <c r="R463" s="2399">
        <v>750655632</v>
      </c>
      <c r="S463" s="2400">
        <v>224387350</v>
      </c>
      <c r="T463" s="2398">
        <v>0</v>
      </c>
      <c r="U463" s="2398">
        <v>3740535012</v>
      </c>
      <c r="V463" s="2401">
        <v>0</v>
      </c>
      <c r="W463" s="2401">
        <v>0</v>
      </c>
      <c r="X463" s="2398">
        <v>3740535012</v>
      </c>
      <c r="Z463" s="2396">
        <v>12171401</v>
      </c>
      <c r="AA463" s="2397" t="s">
        <v>1502</v>
      </c>
      <c r="AB463" s="2398">
        <v>2184060586</v>
      </c>
      <c r="AC463" s="2179">
        <v>472324672</v>
      </c>
      <c r="AD463" s="2399">
        <v>704592841</v>
      </c>
      <c r="AE463" s="2400">
        <v>224387350</v>
      </c>
      <c r="AF463" s="2398">
        <v>0</v>
      </c>
      <c r="AG463" s="2398">
        <v>3585365449</v>
      </c>
      <c r="AH463" s="2401">
        <v>0</v>
      </c>
      <c r="AI463" s="2401">
        <v>0</v>
      </c>
      <c r="AJ463" s="2398">
        <v>3585365449</v>
      </c>
      <c r="AZ463" s="2396">
        <v>12171401</v>
      </c>
      <c r="BA463" s="2397" t="s">
        <v>1502</v>
      </c>
      <c r="BB463" s="2398">
        <v>2250043705</v>
      </c>
      <c r="BC463" s="2179">
        <v>412222951</v>
      </c>
      <c r="BD463" s="2399">
        <v>693929319</v>
      </c>
      <c r="BE463" s="2400">
        <v>210144003</v>
      </c>
      <c r="BF463" s="2398">
        <v>0</v>
      </c>
      <c r="BG463" s="2398">
        <v>3566339978</v>
      </c>
      <c r="BH463" s="2401">
        <v>0</v>
      </c>
      <c r="BI463" s="2401">
        <v>0</v>
      </c>
      <c r="BJ463" s="2398">
        <v>3566339978</v>
      </c>
      <c r="BN463" s="2396">
        <v>12171502</v>
      </c>
      <c r="BO463" s="2397" t="s">
        <v>4168</v>
      </c>
      <c r="BP463" s="2398">
        <v>-1076384168</v>
      </c>
      <c r="BQ463" s="2179">
        <v>-204958869</v>
      </c>
      <c r="BR463" s="2399">
        <v>-46467909</v>
      </c>
      <c r="BS463" s="2400">
        <v>0</v>
      </c>
      <c r="BT463" s="2398">
        <v>0</v>
      </c>
      <c r="BU463" s="2398">
        <v>-1327810946</v>
      </c>
      <c r="BV463" s="2401">
        <v>0</v>
      </c>
      <c r="BW463" s="2401">
        <v>0</v>
      </c>
      <c r="BX463" s="2398">
        <v>-1327810946</v>
      </c>
    </row>
    <row r="464" spans="2:76">
      <c r="B464" s="2564">
        <v>12171402</v>
      </c>
      <c r="C464" s="2565" t="s">
        <v>4164</v>
      </c>
      <c r="D464" s="2566">
        <v>-1465091991</v>
      </c>
      <c r="E464" s="1080">
        <v>-378766794</v>
      </c>
      <c r="F464" s="2567">
        <v>-524612555</v>
      </c>
      <c r="G464" s="2568">
        <v>-142733849</v>
      </c>
      <c r="H464" s="2566">
        <v>0</v>
      </c>
      <c r="I464" s="2566">
        <v>-2511205189</v>
      </c>
      <c r="J464" s="2569">
        <v>0</v>
      </c>
      <c r="K464" s="2569">
        <v>0</v>
      </c>
      <c r="L464" s="2566">
        <v>-2511205189</v>
      </c>
      <c r="N464" s="2396">
        <v>12171402</v>
      </c>
      <c r="O464" s="2397" t="s">
        <v>4164</v>
      </c>
      <c r="P464" s="2398">
        <v>-1389378094</v>
      </c>
      <c r="Q464" s="2179">
        <v>-367764954</v>
      </c>
      <c r="R464" s="2399">
        <v>-567476937</v>
      </c>
      <c r="S464" s="2400">
        <v>-133955030</v>
      </c>
      <c r="T464" s="2398">
        <v>0</v>
      </c>
      <c r="U464" s="2398">
        <v>-2458575015</v>
      </c>
      <c r="V464" s="2401">
        <v>0</v>
      </c>
      <c r="W464" s="2401">
        <v>0</v>
      </c>
      <c r="X464" s="2398">
        <v>-2458575015</v>
      </c>
      <c r="Z464" s="2396">
        <v>12171402</v>
      </c>
      <c r="AA464" s="2397" t="s">
        <v>4164</v>
      </c>
      <c r="AB464" s="2398">
        <v>-1463251957</v>
      </c>
      <c r="AC464" s="2179">
        <v>-346831080</v>
      </c>
      <c r="AD464" s="2399">
        <v>-545078113</v>
      </c>
      <c r="AE464" s="2400">
        <v>-116397392</v>
      </c>
      <c r="AF464" s="2398">
        <v>0</v>
      </c>
      <c r="AG464" s="2398">
        <v>-2471558542</v>
      </c>
      <c r="AH464" s="2401">
        <v>0</v>
      </c>
      <c r="AI464" s="2401">
        <v>0</v>
      </c>
      <c r="AJ464" s="2398">
        <v>-2471558542</v>
      </c>
      <c r="AZ464" s="2396">
        <v>12171402</v>
      </c>
      <c r="BA464" s="2397" t="s">
        <v>4164</v>
      </c>
      <c r="BB464" s="2398">
        <v>-1250701889</v>
      </c>
      <c r="BC464" s="2179">
        <v>-358662090</v>
      </c>
      <c r="BD464" s="2399">
        <v>-502625925</v>
      </c>
      <c r="BE464" s="2400">
        <v>-83825918</v>
      </c>
      <c r="BF464" s="2398">
        <v>0</v>
      </c>
      <c r="BG464" s="2398">
        <v>-2195815822</v>
      </c>
      <c r="BH464" s="2401">
        <v>0</v>
      </c>
      <c r="BI464" s="2401">
        <v>0</v>
      </c>
      <c r="BJ464" s="2398">
        <v>-2195815822</v>
      </c>
      <c r="BN464" s="2396">
        <v>12171503</v>
      </c>
      <c r="BO464" s="2397" t="s">
        <v>4169</v>
      </c>
      <c r="BP464" s="2398">
        <v>0</v>
      </c>
      <c r="BQ464" s="2179">
        <v>-5394665</v>
      </c>
      <c r="BR464" s="2399">
        <v>0</v>
      </c>
      <c r="BS464" s="2400">
        <v>0</v>
      </c>
      <c r="BT464" s="2398">
        <v>0</v>
      </c>
      <c r="BU464" s="2398">
        <v>-5394665</v>
      </c>
      <c r="BV464" s="2401">
        <v>0</v>
      </c>
      <c r="BW464" s="2401">
        <v>0</v>
      </c>
      <c r="BX464" s="2398">
        <v>-5394665</v>
      </c>
    </row>
    <row r="465" spans="2:76">
      <c r="B465" s="2564">
        <v>12171403</v>
      </c>
      <c r="C465" s="2565" t="s">
        <v>4165</v>
      </c>
      <c r="D465" s="2566">
        <v>0</v>
      </c>
      <c r="E465" s="1080">
        <v>0</v>
      </c>
      <c r="F465" s="2567">
        <v>0</v>
      </c>
      <c r="G465" s="2568">
        <v>0</v>
      </c>
      <c r="H465" s="2566">
        <v>0</v>
      </c>
      <c r="I465" s="2566">
        <v>0</v>
      </c>
      <c r="J465" s="2569">
        <v>0</v>
      </c>
      <c r="K465" s="2569">
        <v>0</v>
      </c>
      <c r="L465" s="2566">
        <v>0</v>
      </c>
      <c r="N465" s="2396">
        <v>12171403</v>
      </c>
      <c r="O465" s="2397" t="s">
        <v>4165</v>
      </c>
      <c r="P465" s="2398">
        <v>0</v>
      </c>
      <c r="Q465" s="2179">
        <v>0</v>
      </c>
      <c r="R465" s="2399">
        <v>0</v>
      </c>
      <c r="S465" s="2400">
        <v>0</v>
      </c>
      <c r="T465" s="2398">
        <v>0</v>
      </c>
      <c r="U465" s="2398">
        <v>0</v>
      </c>
      <c r="V465" s="2401">
        <v>0</v>
      </c>
      <c r="W465" s="2401">
        <v>0</v>
      </c>
      <c r="X465" s="2398">
        <v>0</v>
      </c>
      <c r="Z465" s="2396">
        <v>12171403</v>
      </c>
      <c r="AA465" s="2397" t="s">
        <v>4165</v>
      </c>
      <c r="AB465" s="2398">
        <v>0</v>
      </c>
      <c r="AC465" s="2179">
        <v>0</v>
      </c>
      <c r="AD465" s="2399">
        <v>0</v>
      </c>
      <c r="AE465" s="2400">
        <v>0</v>
      </c>
      <c r="AF465" s="2398">
        <v>0</v>
      </c>
      <c r="AG465" s="2398">
        <v>0</v>
      </c>
      <c r="AH465" s="2401">
        <v>0</v>
      </c>
      <c r="AI465" s="2401">
        <v>0</v>
      </c>
      <c r="AJ465" s="2398">
        <v>0</v>
      </c>
      <c r="AZ465" s="2396">
        <v>12171403</v>
      </c>
      <c r="BA465" s="2397" t="s">
        <v>4165</v>
      </c>
      <c r="BB465" s="2398">
        <v>0</v>
      </c>
      <c r="BC465" s="2179">
        <v>0</v>
      </c>
      <c r="BD465" s="2399">
        <v>0</v>
      </c>
      <c r="BE465" s="2400">
        <v>0</v>
      </c>
      <c r="BF465" s="2398">
        <v>0</v>
      </c>
      <c r="BG465" s="2398">
        <v>0</v>
      </c>
      <c r="BH465" s="2401">
        <v>0</v>
      </c>
      <c r="BI465" s="2401">
        <v>0</v>
      </c>
      <c r="BJ465" s="2398">
        <v>0</v>
      </c>
      <c r="BN465" s="2396">
        <v>12171504</v>
      </c>
      <c r="BO465" s="2397" t="s">
        <v>4170</v>
      </c>
      <c r="BP465" s="2398">
        <v>0</v>
      </c>
      <c r="BQ465" s="2179">
        <v>0</v>
      </c>
      <c r="BR465" s="2399">
        <v>0</v>
      </c>
      <c r="BS465" s="2400">
        <v>0</v>
      </c>
      <c r="BT465" s="2398">
        <v>0</v>
      </c>
      <c r="BU465" s="2398">
        <v>0</v>
      </c>
      <c r="BV465" s="2401">
        <v>0</v>
      </c>
      <c r="BW465" s="2401">
        <v>0</v>
      </c>
      <c r="BX465" s="2398">
        <v>0</v>
      </c>
    </row>
    <row r="466" spans="2:76">
      <c r="B466" s="2564">
        <v>12171404</v>
      </c>
      <c r="C466" s="2565" t="s">
        <v>4166</v>
      </c>
      <c r="D466" s="2566">
        <v>-250000</v>
      </c>
      <c r="E466" s="1080">
        <v>0</v>
      </c>
      <c r="F466" s="2567">
        <v>0</v>
      </c>
      <c r="G466" s="2568">
        <v>0</v>
      </c>
      <c r="H466" s="2566">
        <v>0</v>
      </c>
      <c r="I466" s="2566">
        <v>-250000</v>
      </c>
      <c r="J466" s="2569">
        <v>0</v>
      </c>
      <c r="K466" s="2569">
        <v>0</v>
      </c>
      <c r="L466" s="2566">
        <v>-250000</v>
      </c>
      <c r="N466" s="2396">
        <v>12171404</v>
      </c>
      <c r="O466" s="2397" t="s">
        <v>4166</v>
      </c>
      <c r="P466" s="2398">
        <v>-1000000</v>
      </c>
      <c r="Q466" s="2179">
        <v>0</v>
      </c>
      <c r="R466" s="2399">
        <v>0</v>
      </c>
      <c r="S466" s="2400">
        <v>0</v>
      </c>
      <c r="T466" s="2398">
        <v>0</v>
      </c>
      <c r="U466" s="2398">
        <v>-1000000</v>
      </c>
      <c r="V466" s="2401">
        <v>0</v>
      </c>
      <c r="W466" s="2401">
        <v>0</v>
      </c>
      <c r="X466" s="2398">
        <v>-1000000</v>
      </c>
      <c r="Z466" s="2396">
        <v>12171404</v>
      </c>
      <c r="AA466" s="2397" t="s">
        <v>4166</v>
      </c>
      <c r="AB466" s="2398">
        <v>-2500000</v>
      </c>
      <c r="AC466" s="2179">
        <v>0</v>
      </c>
      <c r="AD466" s="2399">
        <v>0</v>
      </c>
      <c r="AE466" s="2400">
        <v>0</v>
      </c>
      <c r="AF466" s="2398">
        <v>0</v>
      </c>
      <c r="AG466" s="2398">
        <v>-2500000</v>
      </c>
      <c r="AH466" s="2401">
        <v>0</v>
      </c>
      <c r="AI466" s="2401">
        <v>0</v>
      </c>
      <c r="AJ466" s="2398">
        <v>-2500000</v>
      </c>
      <c r="AZ466" s="2396">
        <v>12171404</v>
      </c>
      <c r="BA466" s="2397" t="s">
        <v>4166</v>
      </c>
      <c r="BB466" s="2398">
        <v>-5500000</v>
      </c>
      <c r="BC466" s="2179">
        <v>0</v>
      </c>
      <c r="BD466" s="2399">
        <v>0</v>
      </c>
      <c r="BE466" s="2400">
        <v>0</v>
      </c>
      <c r="BF466" s="2398">
        <v>0</v>
      </c>
      <c r="BG466" s="2398">
        <v>-5500000</v>
      </c>
      <c r="BH466" s="2401">
        <v>0</v>
      </c>
      <c r="BI466" s="2401">
        <v>0</v>
      </c>
      <c r="BJ466" s="2398">
        <v>-5500000</v>
      </c>
      <c r="BN466" s="2390">
        <v>12171600</v>
      </c>
      <c r="BO466" s="2403" t="s">
        <v>4171</v>
      </c>
      <c r="BP466" s="2392">
        <v>2948306328</v>
      </c>
      <c r="BQ466" s="2392">
        <v>83002368</v>
      </c>
      <c r="BR466" s="2393">
        <v>253703441</v>
      </c>
      <c r="BS466" s="2394">
        <v>23363374</v>
      </c>
      <c r="BT466" s="2392">
        <v>0</v>
      </c>
      <c r="BU466" s="2392">
        <v>3308375511</v>
      </c>
      <c r="BV466" s="2395">
        <v>0</v>
      </c>
      <c r="BW466" s="2395">
        <v>0</v>
      </c>
      <c r="BX466" s="2392">
        <v>3308375511</v>
      </c>
    </row>
    <row r="467" spans="2:76">
      <c r="B467" s="2558">
        <v>12171500</v>
      </c>
      <c r="C467" s="2571" t="s">
        <v>4167</v>
      </c>
      <c r="D467" s="2560">
        <v>79962721</v>
      </c>
      <c r="E467" s="2560">
        <v>60686662</v>
      </c>
      <c r="F467" s="2561">
        <v>649175906</v>
      </c>
      <c r="G467" s="2562">
        <v>0</v>
      </c>
      <c r="H467" s="2560">
        <v>0</v>
      </c>
      <c r="I467" s="2560">
        <v>789825289</v>
      </c>
      <c r="J467" s="2563">
        <v>0</v>
      </c>
      <c r="K467" s="2563">
        <v>0</v>
      </c>
      <c r="L467" s="2560">
        <v>789825289</v>
      </c>
      <c r="N467" s="2390">
        <v>12171500</v>
      </c>
      <c r="O467" s="2403" t="s">
        <v>4167</v>
      </c>
      <c r="P467" s="2392">
        <v>86449385</v>
      </c>
      <c r="Q467" s="2392">
        <v>61167219</v>
      </c>
      <c r="R467" s="2393">
        <v>415488959</v>
      </c>
      <c r="S467" s="2394">
        <v>0</v>
      </c>
      <c r="T467" s="2392">
        <v>0</v>
      </c>
      <c r="U467" s="2392">
        <v>563105563</v>
      </c>
      <c r="V467" s="2395">
        <v>0</v>
      </c>
      <c r="W467" s="2395">
        <v>0</v>
      </c>
      <c r="X467" s="2392">
        <v>563105563</v>
      </c>
      <c r="Z467" s="2390">
        <v>12171500</v>
      </c>
      <c r="AA467" s="2403" t="s">
        <v>4167</v>
      </c>
      <c r="AB467" s="2392">
        <v>99422721</v>
      </c>
      <c r="AC467" s="2392">
        <v>56038502</v>
      </c>
      <c r="AD467" s="2393">
        <v>322398264</v>
      </c>
      <c r="AE467" s="2394">
        <v>0</v>
      </c>
      <c r="AF467" s="2392">
        <v>0</v>
      </c>
      <c r="AG467" s="2392">
        <v>477859487</v>
      </c>
      <c r="AH467" s="2395">
        <v>0</v>
      </c>
      <c r="AI467" s="2395">
        <v>0</v>
      </c>
      <c r="AJ467" s="2392">
        <v>477859487</v>
      </c>
      <c r="AZ467" s="2390">
        <v>12171500</v>
      </c>
      <c r="BA467" s="2403" t="s">
        <v>4167</v>
      </c>
      <c r="BB467" s="2392">
        <v>125369385</v>
      </c>
      <c r="BC467" s="2392">
        <v>56711336</v>
      </c>
      <c r="BD467" s="2393">
        <v>254119539</v>
      </c>
      <c r="BE467" s="2394">
        <v>0</v>
      </c>
      <c r="BF467" s="2392">
        <v>0</v>
      </c>
      <c r="BG467" s="2392">
        <v>436200260</v>
      </c>
      <c r="BH467" s="2395">
        <v>0</v>
      </c>
      <c r="BI467" s="2395">
        <v>0</v>
      </c>
      <c r="BJ467" s="2392">
        <v>436200260</v>
      </c>
      <c r="BN467" s="2396">
        <v>12171601</v>
      </c>
      <c r="BO467" s="2397" t="s">
        <v>4171</v>
      </c>
      <c r="BP467" s="2398">
        <v>19578456220</v>
      </c>
      <c r="BQ467" s="2179">
        <v>571200181</v>
      </c>
      <c r="BR467" s="2399">
        <v>1304377440</v>
      </c>
      <c r="BS467" s="2400">
        <v>206030343</v>
      </c>
      <c r="BT467" s="2398">
        <v>0</v>
      </c>
      <c r="BU467" s="2398">
        <v>21660064184</v>
      </c>
      <c r="BV467" s="2401">
        <v>0</v>
      </c>
      <c r="BW467" s="2401">
        <v>0</v>
      </c>
      <c r="BX467" s="2398">
        <v>21660064184</v>
      </c>
    </row>
    <row r="468" spans="2:76">
      <c r="B468" s="2564">
        <v>12171501</v>
      </c>
      <c r="C468" s="2565" t="s">
        <v>4167</v>
      </c>
      <c r="D468" s="2566">
        <v>1254057410</v>
      </c>
      <c r="E468" s="1080">
        <v>243469830</v>
      </c>
      <c r="F468" s="2567">
        <v>824973733</v>
      </c>
      <c r="G468" s="2568">
        <v>0</v>
      </c>
      <c r="H468" s="2566">
        <v>0</v>
      </c>
      <c r="I468" s="2566">
        <v>2322500973</v>
      </c>
      <c r="J468" s="2569">
        <v>0</v>
      </c>
      <c r="K468" s="2569">
        <v>0</v>
      </c>
      <c r="L468" s="2566">
        <v>2322500973</v>
      </c>
      <c r="N468" s="2396">
        <v>12171501</v>
      </c>
      <c r="O468" s="2397" t="s">
        <v>4167</v>
      </c>
      <c r="P468" s="2398">
        <v>1254057410</v>
      </c>
      <c r="Q468" s="2179">
        <v>238869830</v>
      </c>
      <c r="R468" s="2399">
        <v>561973733</v>
      </c>
      <c r="S468" s="2400">
        <v>0</v>
      </c>
      <c r="T468" s="2398">
        <v>0</v>
      </c>
      <c r="U468" s="2398">
        <v>2054900973</v>
      </c>
      <c r="V468" s="2401">
        <v>0</v>
      </c>
      <c r="W468" s="2401">
        <v>0</v>
      </c>
      <c r="X468" s="2398">
        <v>2054900973</v>
      </c>
      <c r="Z468" s="2396">
        <v>12171501</v>
      </c>
      <c r="AA468" s="2397" t="s">
        <v>4167</v>
      </c>
      <c r="AB468" s="2398">
        <v>1254057410</v>
      </c>
      <c r="AC468" s="2179">
        <v>223369830</v>
      </c>
      <c r="AD468" s="2399">
        <v>430323733</v>
      </c>
      <c r="AE468" s="2400">
        <v>0</v>
      </c>
      <c r="AF468" s="2398">
        <v>0</v>
      </c>
      <c r="AG468" s="2398">
        <v>1907750973</v>
      </c>
      <c r="AH468" s="2401">
        <v>0</v>
      </c>
      <c r="AI468" s="2401">
        <v>0</v>
      </c>
      <c r="AJ468" s="2398">
        <v>1907750973</v>
      </c>
      <c r="AZ468" s="2396">
        <v>12171501</v>
      </c>
      <c r="BA468" s="2397" t="s">
        <v>4167</v>
      </c>
      <c r="BB468" s="2398">
        <v>1254057410</v>
      </c>
      <c r="BC468" s="2179">
        <v>229980921</v>
      </c>
      <c r="BD468" s="2399">
        <v>306223733</v>
      </c>
      <c r="BE468" s="2400">
        <v>0</v>
      </c>
      <c r="BF468" s="2398">
        <v>0</v>
      </c>
      <c r="BG468" s="2398">
        <v>1790262064</v>
      </c>
      <c r="BH468" s="2401">
        <v>0</v>
      </c>
      <c r="BI468" s="2401">
        <v>0</v>
      </c>
      <c r="BJ468" s="2398">
        <v>1790262064</v>
      </c>
      <c r="BN468" s="2396">
        <v>12171602</v>
      </c>
      <c r="BO468" s="2397" t="s">
        <v>4172</v>
      </c>
      <c r="BP468" s="2398">
        <v>-16103893004</v>
      </c>
      <c r="BQ468" s="2179">
        <v>-487150146</v>
      </c>
      <c r="BR468" s="2399">
        <v>-1048174998</v>
      </c>
      <c r="BS468" s="2400">
        <v>-182666969</v>
      </c>
      <c r="BT468" s="2398">
        <v>0</v>
      </c>
      <c r="BU468" s="2398">
        <v>-17821885117</v>
      </c>
      <c r="BV468" s="2401">
        <v>0</v>
      </c>
      <c r="BW468" s="2401">
        <v>0</v>
      </c>
      <c r="BX468" s="2398">
        <v>-17821885117</v>
      </c>
    </row>
    <row r="469" spans="2:76">
      <c r="B469" s="2564">
        <v>12171502</v>
      </c>
      <c r="C469" s="2565" t="s">
        <v>5024</v>
      </c>
      <c r="D469" s="2566">
        <v>-1174094689</v>
      </c>
      <c r="E469" s="1080">
        <v>-180073669</v>
      </c>
      <c r="F469" s="2567">
        <v>-175797827</v>
      </c>
      <c r="G469" s="2568">
        <v>0</v>
      </c>
      <c r="H469" s="2566">
        <v>0</v>
      </c>
      <c r="I469" s="2566">
        <v>-1529966185</v>
      </c>
      <c r="J469" s="2569">
        <v>0</v>
      </c>
      <c r="K469" s="2569">
        <v>0</v>
      </c>
      <c r="L469" s="2566">
        <v>-1529966185</v>
      </c>
      <c r="N469" s="2396">
        <v>12171502</v>
      </c>
      <c r="O469" s="2397" t="s">
        <v>4168</v>
      </c>
      <c r="P469" s="2398">
        <v>-1167608025</v>
      </c>
      <c r="Q469" s="2179">
        <v>-174993112</v>
      </c>
      <c r="R469" s="2399">
        <v>-146484774</v>
      </c>
      <c r="S469" s="2400">
        <v>0</v>
      </c>
      <c r="T469" s="2398">
        <v>0</v>
      </c>
      <c r="U469" s="2398">
        <v>-1489085911</v>
      </c>
      <c r="V469" s="2401">
        <v>0</v>
      </c>
      <c r="W469" s="2401">
        <v>0</v>
      </c>
      <c r="X469" s="2398">
        <v>-1489085911</v>
      </c>
      <c r="Z469" s="2396">
        <v>12171502</v>
      </c>
      <c r="AA469" s="2397" t="s">
        <v>4168</v>
      </c>
      <c r="AB469" s="2398">
        <v>-1154634689</v>
      </c>
      <c r="AC469" s="2179">
        <v>-164621829</v>
      </c>
      <c r="AD469" s="2399">
        <v>-107925469</v>
      </c>
      <c r="AE469" s="2400">
        <v>0</v>
      </c>
      <c r="AF469" s="2398">
        <v>0</v>
      </c>
      <c r="AG469" s="2398">
        <v>-1427181987</v>
      </c>
      <c r="AH469" s="2401">
        <v>0</v>
      </c>
      <c r="AI469" s="2401">
        <v>0</v>
      </c>
      <c r="AJ469" s="2398">
        <v>-1427181987</v>
      </c>
      <c r="AZ469" s="2396">
        <v>12171502</v>
      </c>
      <c r="BA469" s="2397" t="s">
        <v>4168</v>
      </c>
      <c r="BB469" s="2398">
        <v>-1128688025</v>
      </c>
      <c r="BC469" s="2179">
        <v>-167790086</v>
      </c>
      <c r="BD469" s="2399">
        <v>-52104194</v>
      </c>
      <c r="BE469" s="2400">
        <v>0</v>
      </c>
      <c r="BF469" s="2398">
        <v>0</v>
      </c>
      <c r="BG469" s="2398">
        <v>-1348582305</v>
      </c>
      <c r="BH469" s="2401">
        <v>0</v>
      </c>
      <c r="BI469" s="2401">
        <v>0</v>
      </c>
      <c r="BJ469" s="2398">
        <v>-1348582305</v>
      </c>
      <c r="BN469" s="2396">
        <v>12171603</v>
      </c>
      <c r="BO469" s="2397" t="s">
        <v>4173</v>
      </c>
      <c r="BP469" s="2398">
        <v>0</v>
      </c>
      <c r="BQ469" s="2179">
        <v>-1047667</v>
      </c>
      <c r="BR469" s="2399">
        <v>0</v>
      </c>
      <c r="BS469" s="2400">
        <v>0</v>
      </c>
      <c r="BT469" s="2398">
        <v>0</v>
      </c>
      <c r="BU469" s="2398">
        <v>-1047667</v>
      </c>
      <c r="BV469" s="2401">
        <v>0</v>
      </c>
      <c r="BW469" s="2401">
        <v>0</v>
      </c>
      <c r="BX469" s="2398">
        <v>-1047667</v>
      </c>
    </row>
    <row r="470" spans="2:76">
      <c r="B470" s="2564">
        <v>12171503</v>
      </c>
      <c r="C470" s="2565" t="s">
        <v>4169</v>
      </c>
      <c r="D470" s="2566">
        <v>0</v>
      </c>
      <c r="E470" s="1080">
        <v>-2709499</v>
      </c>
      <c r="F470" s="2567">
        <v>0</v>
      </c>
      <c r="G470" s="2568">
        <v>0</v>
      </c>
      <c r="H470" s="2566">
        <v>0</v>
      </c>
      <c r="I470" s="2566">
        <v>-2709499</v>
      </c>
      <c r="J470" s="2569">
        <v>0</v>
      </c>
      <c r="K470" s="2569">
        <v>0</v>
      </c>
      <c r="L470" s="2566">
        <v>-2709499</v>
      </c>
      <c r="N470" s="2396">
        <v>12171503</v>
      </c>
      <c r="O470" s="2397" t="s">
        <v>4169</v>
      </c>
      <c r="P470" s="2398">
        <v>0</v>
      </c>
      <c r="Q470" s="2179">
        <v>-2709499</v>
      </c>
      <c r="R470" s="2399">
        <v>0</v>
      </c>
      <c r="S470" s="2400">
        <v>0</v>
      </c>
      <c r="T470" s="2398">
        <v>0</v>
      </c>
      <c r="U470" s="2398">
        <v>-2709499</v>
      </c>
      <c r="V470" s="2401">
        <v>0</v>
      </c>
      <c r="W470" s="2401">
        <v>0</v>
      </c>
      <c r="X470" s="2398">
        <v>-2709499</v>
      </c>
      <c r="Z470" s="2396">
        <v>12171503</v>
      </c>
      <c r="AA470" s="2397" t="s">
        <v>4169</v>
      </c>
      <c r="AB470" s="2398">
        <v>0</v>
      </c>
      <c r="AC470" s="2179">
        <v>-2709499</v>
      </c>
      <c r="AD470" s="2399">
        <v>0</v>
      </c>
      <c r="AE470" s="2400">
        <v>0</v>
      </c>
      <c r="AF470" s="2398">
        <v>0</v>
      </c>
      <c r="AG470" s="2398">
        <v>-2709499</v>
      </c>
      <c r="AH470" s="2401">
        <v>0</v>
      </c>
      <c r="AI470" s="2401">
        <v>0</v>
      </c>
      <c r="AJ470" s="2398">
        <v>-2709499</v>
      </c>
      <c r="AZ470" s="2396">
        <v>12171503</v>
      </c>
      <c r="BA470" s="2397" t="s">
        <v>4169</v>
      </c>
      <c r="BB470" s="2398">
        <v>0</v>
      </c>
      <c r="BC470" s="2179">
        <v>-5479499</v>
      </c>
      <c r="BD470" s="2399">
        <v>0</v>
      </c>
      <c r="BE470" s="2400">
        <v>0</v>
      </c>
      <c r="BF470" s="2398">
        <v>0</v>
      </c>
      <c r="BG470" s="2398">
        <v>-5479499</v>
      </c>
      <c r="BH470" s="2401">
        <v>0</v>
      </c>
      <c r="BI470" s="2401">
        <v>0</v>
      </c>
      <c r="BJ470" s="2398">
        <v>-5479499</v>
      </c>
      <c r="BN470" s="2396">
        <v>12171604</v>
      </c>
      <c r="BO470" s="2397" t="s">
        <v>4174</v>
      </c>
      <c r="BP470" s="2398">
        <v>-526256888</v>
      </c>
      <c r="BQ470" s="2179">
        <v>0</v>
      </c>
      <c r="BR470" s="2399">
        <v>-2499001</v>
      </c>
      <c r="BS470" s="2400">
        <v>0</v>
      </c>
      <c r="BT470" s="2398">
        <v>0</v>
      </c>
      <c r="BU470" s="2398">
        <v>-528755889</v>
      </c>
      <c r="BV470" s="2401">
        <v>0</v>
      </c>
      <c r="BW470" s="2401">
        <v>0</v>
      </c>
      <c r="BX470" s="2398">
        <v>-528755889</v>
      </c>
    </row>
    <row r="471" spans="2:76">
      <c r="B471" s="2564">
        <v>12171504</v>
      </c>
      <c r="C471" s="2565" t="s">
        <v>5025</v>
      </c>
      <c r="D471" s="2566">
        <v>0</v>
      </c>
      <c r="E471" s="1080">
        <v>0</v>
      </c>
      <c r="F471" s="2567">
        <v>0</v>
      </c>
      <c r="G471" s="2568">
        <v>0</v>
      </c>
      <c r="H471" s="2566">
        <v>0</v>
      </c>
      <c r="I471" s="2566">
        <v>0</v>
      </c>
      <c r="J471" s="2569">
        <v>0</v>
      </c>
      <c r="K471" s="2569">
        <v>0</v>
      </c>
      <c r="L471" s="2566">
        <v>0</v>
      </c>
      <c r="N471" s="2396">
        <v>12171504</v>
      </c>
      <c r="O471" s="2397" t="s">
        <v>4170</v>
      </c>
      <c r="P471" s="2398">
        <v>0</v>
      </c>
      <c r="Q471" s="2179">
        <v>0</v>
      </c>
      <c r="R471" s="2399">
        <v>0</v>
      </c>
      <c r="S471" s="2400">
        <v>0</v>
      </c>
      <c r="T471" s="2398">
        <v>0</v>
      </c>
      <c r="U471" s="2398">
        <v>0</v>
      </c>
      <c r="V471" s="2401">
        <v>0</v>
      </c>
      <c r="W471" s="2401">
        <v>0</v>
      </c>
      <c r="X471" s="2398">
        <v>0</v>
      </c>
      <c r="Z471" s="2396">
        <v>12171504</v>
      </c>
      <c r="AA471" s="2397" t="s">
        <v>4170</v>
      </c>
      <c r="AB471" s="2398">
        <v>0</v>
      </c>
      <c r="AC471" s="2179">
        <v>0</v>
      </c>
      <c r="AD471" s="2399">
        <v>0</v>
      </c>
      <c r="AE471" s="2400">
        <v>0</v>
      </c>
      <c r="AF471" s="2398">
        <v>0</v>
      </c>
      <c r="AG471" s="2398">
        <v>0</v>
      </c>
      <c r="AH471" s="2401">
        <v>0</v>
      </c>
      <c r="AI471" s="2401">
        <v>0</v>
      </c>
      <c r="AJ471" s="2398">
        <v>0</v>
      </c>
      <c r="AZ471" s="2396">
        <v>12171504</v>
      </c>
      <c r="BA471" s="2397" t="s">
        <v>4170</v>
      </c>
      <c r="BB471" s="2398">
        <v>0</v>
      </c>
      <c r="BC471" s="2179">
        <v>0</v>
      </c>
      <c r="BD471" s="2399">
        <v>0</v>
      </c>
      <c r="BE471" s="2400">
        <v>0</v>
      </c>
      <c r="BF471" s="2398">
        <v>0</v>
      </c>
      <c r="BG471" s="2398">
        <v>0</v>
      </c>
      <c r="BH471" s="2401">
        <v>0</v>
      </c>
      <c r="BI471" s="2401">
        <v>0</v>
      </c>
      <c r="BJ471" s="2398">
        <v>0</v>
      </c>
      <c r="BN471" s="2390">
        <v>12171700</v>
      </c>
      <c r="BO471" s="2403" t="s">
        <v>4175</v>
      </c>
      <c r="BP471" s="2392">
        <v>0</v>
      </c>
      <c r="BQ471" s="2392">
        <v>0</v>
      </c>
      <c r="BR471" s="2393">
        <v>0</v>
      </c>
      <c r="BS471" s="2394">
        <v>0</v>
      </c>
      <c r="BT471" s="2392">
        <v>0</v>
      </c>
      <c r="BU471" s="2392">
        <v>0</v>
      </c>
      <c r="BV471" s="2395">
        <v>0</v>
      </c>
      <c r="BW471" s="2395">
        <v>0</v>
      </c>
      <c r="BX471" s="2392">
        <v>0</v>
      </c>
    </row>
    <row r="472" spans="2:76">
      <c r="B472" s="2558">
        <v>12171600</v>
      </c>
      <c r="C472" s="2571" t="s">
        <v>4171</v>
      </c>
      <c r="D472" s="2560">
        <v>6635057023</v>
      </c>
      <c r="E472" s="2560">
        <v>109456701</v>
      </c>
      <c r="F472" s="2561">
        <v>607426309</v>
      </c>
      <c r="G472" s="2562">
        <v>33591773</v>
      </c>
      <c r="H472" s="2560">
        <v>0</v>
      </c>
      <c r="I472" s="2560">
        <v>7385531806</v>
      </c>
      <c r="J472" s="2563">
        <v>0</v>
      </c>
      <c r="K472" s="2563">
        <v>0</v>
      </c>
      <c r="L472" s="2560">
        <v>7385531806</v>
      </c>
      <c r="N472" s="2390">
        <v>12171600</v>
      </c>
      <c r="O472" s="2403" t="s">
        <v>4171</v>
      </c>
      <c r="P472" s="2392">
        <v>6991240203</v>
      </c>
      <c r="Q472" s="2392">
        <v>112785602</v>
      </c>
      <c r="R472" s="2393">
        <v>544699819</v>
      </c>
      <c r="S472" s="2394">
        <v>33600010</v>
      </c>
      <c r="T472" s="2392">
        <v>0</v>
      </c>
      <c r="U472" s="2392">
        <v>7682325634</v>
      </c>
      <c r="V472" s="2395">
        <v>0</v>
      </c>
      <c r="W472" s="2395">
        <v>0</v>
      </c>
      <c r="X472" s="2392">
        <v>7682325634</v>
      </c>
      <c r="Z472" s="2390">
        <v>12171600</v>
      </c>
      <c r="AA472" s="2403" t="s">
        <v>4171</v>
      </c>
      <c r="AB472" s="2392">
        <v>7388917447</v>
      </c>
      <c r="AC472" s="2392">
        <v>103607670</v>
      </c>
      <c r="AD472" s="2393">
        <v>607772490</v>
      </c>
      <c r="AE472" s="2394">
        <v>29230484</v>
      </c>
      <c r="AF472" s="2392">
        <v>0</v>
      </c>
      <c r="AG472" s="2392">
        <v>8129528091</v>
      </c>
      <c r="AH472" s="2395">
        <v>0</v>
      </c>
      <c r="AI472" s="2395">
        <v>0</v>
      </c>
      <c r="AJ472" s="2392">
        <v>8129528091</v>
      </c>
      <c r="AZ472" s="2390">
        <v>12171600</v>
      </c>
      <c r="BA472" s="2403" t="s">
        <v>4171</v>
      </c>
      <c r="BB472" s="2392">
        <v>6311009194</v>
      </c>
      <c r="BC472" s="2392">
        <v>99094261</v>
      </c>
      <c r="BD472" s="2393">
        <v>402741231</v>
      </c>
      <c r="BE472" s="2394">
        <v>25793556</v>
      </c>
      <c r="BF472" s="2392">
        <v>0</v>
      </c>
      <c r="BG472" s="2392">
        <v>6838638242</v>
      </c>
      <c r="BH472" s="2395">
        <v>0</v>
      </c>
      <c r="BI472" s="2395">
        <v>0</v>
      </c>
      <c r="BJ472" s="2392">
        <v>6838638242</v>
      </c>
      <c r="BN472" s="2396">
        <v>12171701</v>
      </c>
      <c r="BO472" s="2397" t="s">
        <v>4175</v>
      </c>
      <c r="BP472" s="2398">
        <v>0</v>
      </c>
      <c r="BQ472" s="2179">
        <v>0</v>
      </c>
      <c r="BR472" s="2399">
        <v>0</v>
      </c>
      <c r="BS472" s="2400">
        <v>0</v>
      </c>
      <c r="BT472" s="2398">
        <v>0</v>
      </c>
      <c r="BU472" s="2398">
        <v>0</v>
      </c>
      <c r="BV472" s="2401">
        <v>0</v>
      </c>
      <c r="BW472" s="2401">
        <v>0</v>
      </c>
      <c r="BX472" s="2398">
        <v>0</v>
      </c>
    </row>
    <row r="473" spans="2:76">
      <c r="B473" s="2564">
        <v>12171601</v>
      </c>
      <c r="C473" s="2565" t="s">
        <v>4171</v>
      </c>
      <c r="D473" s="2566">
        <v>26632222286</v>
      </c>
      <c r="E473" s="1080">
        <v>514306694</v>
      </c>
      <c r="F473" s="2567">
        <v>1647045064</v>
      </c>
      <c r="G473" s="2568">
        <v>230863750</v>
      </c>
      <c r="H473" s="2566">
        <v>0</v>
      </c>
      <c r="I473" s="2566">
        <v>29024437794</v>
      </c>
      <c r="J473" s="2569">
        <v>0</v>
      </c>
      <c r="K473" s="2569">
        <v>0</v>
      </c>
      <c r="L473" s="2566">
        <v>29024437794</v>
      </c>
      <c r="N473" s="2396">
        <v>12171601</v>
      </c>
      <c r="O473" s="2397" t="s">
        <v>4171</v>
      </c>
      <c r="P473" s="2398">
        <v>26499325901</v>
      </c>
      <c r="Q473" s="2179">
        <v>506736694</v>
      </c>
      <c r="R473" s="2399">
        <v>1548421064</v>
      </c>
      <c r="S473" s="2400">
        <v>226356750</v>
      </c>
      <c r="T473" s="2398">
        <v>0</v>
      </c>
      <c r="U473" s="2398">
        <v>28780840409</v>
      </c>
      <c r="V473" s="2401">
        <v>0</v>
      </c>
      <c r="W473" s="2401">
        <v>0</v>
      </c>
      <c r="X473" s="2398">
        <v>28780840409</v>
      </c>
      <c r="Z473" s="2396">
        <v>12171601</v>
      </c>
      <c r="AA473" s="2397" t="s">
        <v>4171</v>
      </c>
      <c r="AB473" s="2398">
        <v>25924931902</v>
      </c>
      <c r="AC473" s="2179">
        <v>477359422</v>
      </c>
      <c r="AD473" s="2399">
        <v>1542873655</v>
      </c>
      <c r="AE473" s="2400">
        <v>212956750</v>
      </c>
      <c r="AF473" s="2398">
        <v>0</v>
      </c>
      <c r="AG473" s="2398">
        <v>28158121729</v>
      </c>
      <c r="AH473" s="2401">
        <v>0</v>
      </c>
      <c r="AI473" s="2401">
        <v>0</v>
      </c>
      <c r="AJ473" s="2398">
        <v>28158121729</v>
      </c>
      <c r="AZ473" s="2396">
        <v>12171601</v>
      </c>
      <c r="BA473" s="2397" t="s">
        <v>4171</v>
      </c>
      <c r="BB473" s="2398">
        <v>23122758322</v>
      </c>
      <c r="BC473" s="2179">
        <v>436604422</v>
      </c>
      <c r="BD473" s="2399">
        <v>1235686146</v>
      </c>
      <c r="BE473" s="2400">
        <v>198886750</v>
      </c>
      <c r="BF473" s="2398">
        <v>0</v>
      </c>
      <c r="BG473" s="2398">
        <v>24993935640</v>
      </c>
      <c r="BH473" s="2401">
        <v>0</v>
      </c>
      <c r="BI473" s="2401">
        <v>0</v>
      </c>
      <c r="BJ473" s="2398">
        <v>24993935640</v>
      </c>
      <c r="BN473" s="2396">
        <v>12171702</v>
      </c>
      <c r="BO473" s="2397" t="s">
        <v>4176</v>
      </c>
      <c r="BP473" s="2398">
        <v>0</v>
      </c>
      <c r="BQ473" s="2179">
        <v>0</v>
      </c>
      <c r="BR473" s="2399">
        <v>0</v>
      </c>
      <c r="BS473" s="2400">
        <v>0</v>
      </c>
      <c r="BT473" s="2398">
        <v>0</v>
      </c>
      <c r="BU473" s="2398">
        <v>0</v>
      </c>
      <c r="BV473" s="2401">
        <v>0</v>
      </c>
      <c r="BW473" s="2401">
        <v>0</v>
      </c>
      <c r="BX473" s="2398">
        <v>0</v>
      </c>
    </row>
    <row r="474" spans="2:76">
      <c r="B474" s="2564">
        <v>12171602</v>
      </c>
      <c r="C474" s="2565" t="s">
        <v>4172</v>
      </c>
      <c r="D474" s="2566">
        <v>-19996473876</v>
      </c>
      <c r="E474" s="1080">
        <v>-403802326</v>
      </c>
      <c r="F474" s="2567">
        <v>-1039618755</v>
      </c>
      <c r="G474" s="2568">
        <v>-197271977</v>
      </c>
      <c r="H474" s="2566">
        <v>0</v>
      </c>
      <c r="I474" s="2566">
        <v>-21637166934</v>
      </c>
      <c r="J474" s="2569">
        <v>0</v>
      </c>
      <c r="K474" s="2569">
        <v>0</v>
      </c>
      <c r="L474" s="2566">
        <v>-21637166934</v>
      </c>
      <c r="N474" s="2396">
        <v>12171602</v>
      </c>
      <c r="O474" s="2397" t="s">
        <v>4172</v>
      </c>
      <c r="P474" s="2398">
        <v>-19505320144</v>
      </c>
      <c r="Q474" s="2179">
        <v>-392903425</v>
      </c>
      <c r="R474" s="2399">
        <v>-1003721245</v>
      </c>
      <c r="S474" s="2400">
        <v>-192756740</v>
      </c>
      <c r="T474" s="2398">
        <v>0</v>
      </c>
      <c r="U474" s="2398">
        <v>-21094701554</v>
      </c>
      <c r="V474" s="2401">
        <v>0</v>
      </c>
      <c r="W474" s="2401">
        <v>0</v>
      </c>
      <c r="X474" s="2398">
        <v>-21094701554</v>
      </c>
      <c r="Z474" s="2396">
        <v>12171602</v>
      </c>
      <c r="AA474" s="2397" t="s">
        <v>4172</v>
      </c>
      <c r="AB474" s="2398">
        <v>-18529100568</v>
      </c>
      <c r="AC474" s="2179">
        <v>-372704085</v>
      </c>
      <c r="AD474" s="2399">
        <v>-935101165</v>
      </c>
      <c r="AE474" s="2400">
        <v>-183726266</v>
      </c>
      <c r="AF474" s="2398">
        <v>0</v>
      </c>
      <c r="AG474" s="2398">
        <v>-20020632084</v>
      </c>
      <c r="AH474" s="2401">
        <v>0</v>
      </c>
      <c r="AI474" s="2401">
        <v>0</v>
      </c>
      <c r="AJ474" s="2398">
        <v>-20020632084</v>
      </c>
      <c r="AZ474" s="2396">
        <v>12171602</v>
      </c>
      <c r="BA474" s="2397" t="s">
        <v>4172</v>
      </c>
      <c r="BB474" s="2398">
        <v>-16796538574</v>
      </c>
      <c r="BC474" s="2179">
        <v>-336462494</v>
      </c>
      <c r="BD474" s="2399">
        <v>-832944915</v>
      </c>
      <c r="BE474" s="2400">
        <v>-173093194</v>
      </c>
      <c r="BF474" s="2398">
        <v>0</v>
      </c>
      <c r="BG474" s="2398">
        <v>-18139039177</v>
      </c>
      <c r="BH474" s="2401">
        <v>0</v>
      </c>
      <c r="BI474" s="2401">
        <v>0</v>
      </c>
      <c r="BJ474" s="2398">
        <v>-18139039177</v>
      </c>
      <c r="BN474" s="2396">
        <v>12171703</v>
      </c>
      <c r="BO474" s="2397" t="s">
        <v>4177</v>
      </c>
      <c r="BP474" s="2398">
        <v>0</v>
      </c>
      <c r="BQ474" s="2179">
        <v>0</v>
      </c>
      <c r="BR474" s="2399">
        <v>0</v>
      </c>
      <c r="BS474" s="2400">
        <v>0</v>
      </c>
      <c r="BT474" s="2398">
        <v>0</v>
      </c>
      <c r="BU474" s="2398">
        <v>0</v>
      </c>
      <c r="BV474" s="2401">
        <v>0</v>
      </c>
      <c r="BW474" s="2401">
        <v>0</v>
      </c>
      <c r="BX474" s="2398">
        <v>0</v>
      </c>
    </row>
    <row r="475" spans="2:76">
      <c r="B475" s="2564">
        <v>12171603</v>
      </c>
      <c r="C475" s="2565" t="s">
        <v>4173</v>
      </c>
      <c r="D475" s="2566">
        <v>0</v>
      </c>
      <c r="E475" s="1080">
        <v>-1047667</v>
      </c>
      <c r="F475" s="2567">
        <v>0</v>
      </c>
      <c r="G475" s="2568">
        <v>0</v>
      </c>
      <c r="H475" s="2566">
        <v>0</v>
      </c>
      <c r="I475" s="2566">
        <v>-1047667</v>
      </c>
      <c r="J475" s="2569">
        <v>0</v>
      </c>
      <c r="K475" s="2569">
        <v>0</v>
      </c>
      <c r="L475" s="2566">
        <v>-1047667</v>
      </c>
      <c r="N475" s="2396">
        <v>12171603</v>
      </c>
      <c r="O475" s="2397" t="s">
        <v>4173</v>
      </c>
      <c r="P475" s="2398">
        <v>0</v>
      </c>
      <c r="Q475" s="2179">
        <v>-1047667</v>
      </c>
      <c r="R475" s="2399">
        <v>0</v>
      </c>
      <c r="S475" s="2400">
        <v>0</v>
      </c>
      <c r="T475" s="2398">
        <v>0</v>
      </c>
      <c r="U475" s="2398">
        <v>-1047667</v>
      </c>
      <c r="V475" s="2401">
        <v>0</v>
      </c>
      <c r="W475" s="2401">
        <v>0</v>
      </c>
      <c r="X475" s="2398">
        <v>-1047667</v>
      </c>
      <c r="Z475" s="2396">
        <v>12171603</v>
      </c>
      <c r="AA475" s="2397" t="s">
        <v>4173</v>
      </c>
      <c r="AB475" s="2398">
        <v>0</v>
      </c>
      <c r="AC475" s="2179">
        <v>-1047667</v>
      </c>
      <c r="AD475" s="2399">
        <v>0</v>
      </c>
      <c r="AE475" s="2400">
        <v>0</v>
      </c>
      <c r="AF475" s="2398">
        <v>0</v>
      </c>
      <c r="AG475" s="2398">
        <v>-1047667</v>
      </c>
      <c r="AH475" s="2401">
        <v>0</v>
      </c>
      <c r="AI475" s="2401">
        <v>0</v>
      </c>
      <c r="AJ475" s="2398">
        <v>-1047667</v>
      </c>
      <c r="AZ475" s="2396">
        <v>12171603</v>
      </c>
      <c r="BA475" s="2397" t="s">
        <v>4173</v>
      </c>
      <c r="BB475" s="2398">
        <v>0</v>
      </c>
      <c r="BC475" s="2179">
        <v>-1047667</v>
      </c>
      <c r="BD475" s="2399">
        <v>0</v>
      </c>
      <c r="BE475" s="2400">
        <v>0</v>
      </c>
      <c r="BF475" s="2398">
        <v>0</v>
      </c>
      <c r="BG475" s="2398">
        <v>-1047667</v>
      </c>
      <c r="BH475" s="2401">
        <v>0</v>
      </c>
      <c r="BI475" s="2401">
        <v>0</v>
      </c>
      <c r="BJ475" s="2398">
        <v>-1047667</v>
      </c>
      <c r="BN475" s="2396">
        <v>12171704</v>
      </c>
      <c r="BO475" s="2397" t="s">
        <v>4178</v>
      </c>
      <c r="BP475" s="2398">
        <v>0</v>
      </c>
      <c r="BQ475" s="2179">
        <v>0</v>
      </c>
      <c r="BR475" s="2399">
        <v>0</v>
      </c>
      <c r="BS475" s="2400">
        <v>0</v>
      </c>
      <c r="BT475" s="2398">
        <v>0</v>
      </c>
      <c r="BU475" s="2398">
        <v>0</v>
      </c>
      <c r="BV475" s="2401">
        <v>0</v>
      </c>
      <c r="BW475" s="2401">
        <v>0</v>
      </c>
      <c r="BX475" s="2398">
        <v>0</v>
      </c>
    </row>
    <row r="476" spans="2:76">
      <c r="B476" s="2564">
        <v>12171604</v>
      </c>
      <c r="C476" s="2565" t="s">
        <v>4174</v>
      </c>
      <c r="D476" s="2566">
        <v>-691387</v>
      </c>
      <c r="E476" s="1080">
        <v>0</v>
      </c>
      <c r="F476" s="2567">
        <v>0</v>
      </c>
      <c r="G476" s="2568">
        <v>0</v>
      </c>
      <c r="H476" s="2566">
        <v>0</v>
      </c>
      <c r="I476" s="2566">
        <v>-691387</v>
      </c>
      <c r="J476" s="2569">
        <v>0</v>
      </c>
      <c r="K476" s="2569">
        <v>0</v>
      </c>
      <c r="L476" s="2566">
        <v>-691387</v>
      </c>
      <c r="N476" s="2396">
        <v>12171604</v>
      </c>
      <c r="O476" s="2397" t="s">
        <v>4174</v>
      </c>
      <c r="P476" s="2398">
        <v>-2765554</v>
      </c>
      <c r="Q476" s="2179">
        <v>0</v>
      </c>
      <c r="R476" s="2399">
        <v>0</v>
      </c>
      <c r="S476" s="2400">
        <v>0</v>
      </c>
      <c r="T476" s="2398">
        <v>0</v>
      </c>
      <c r="U476" s="2398">
        <v>-2765554</v>
      </c>
      <c r="V476" s="2401">
        <v>0</v>
      </c>
      <c r="W476" s="2401">
        <v>0</v>
      </c>
      <c r="X476" s="2398">
        <v>-2765554</v>
      </c>
      <c r="Z476" s="2396">
        <v>12171604</v>
      </c>
      <c r="AA476" s="2397" t="s">
        <v>4174</v>
      </c>
      <c r="AB476" s="2398">
        <v>-6913887</v>
      </c>
      <c r="AC476" s="2179">
        <v>0</v>
      </c>
      <c r="AD476" s="2399">
        <v>0</v>
      </c>
      <c r="AE476" s="2400">
        <v>0</v>
      </c>
      <c r="AF476" s="2398">
        <v>0</v>
      </c>
      <c r="AG476" s="2398">
        <v>-6913887</v>
      </c>
      <c r="AH476" s="2401">
        <v>0</v>
      </c>
      <c r="AI476" s="2401">
        <v>0</v>
      </c>
      <c r="AJ476" s="2398">
        <v>-6913887</v>
      </c>
      <c r="AZ476" s="2396">
        <v>12171604</v>
      </c>
      <c r="BA476" s="2397" t="s">
        <v>4174</v>
      </c>
      <c r="BB476" s="2398">
        <v>-15210554</v>
      </c>
      <c r="BC476" s="2179">
        <v>0</v>
      </c>
      <c r="BD476" s="2399">
        <v>0</v>
      </c>
      <c r="BE476" s="2400">
        <v>0</v>
      </c>
      <c r="BF476" s="2398">
        <v>0</v>
      </c>
      <c r="BG476" s="2398">
        <v>-15210554</v>
      </c>
      <c r="BH476" s="2401">
        <v>0</v>
      </c>
      <c r="BI476" s="2401">
        <v>0</v>
      </c>
      <c r="BJ476" s="2398">
        <v>-15210554</v>
      </c>
      <c r="BN476" s="2390">
        <v>12171800</v>
      </c>
      <c r="BO476" s="2403" t="s">
        <v>3956</v>
      </c>
      <c r="BP476" s="2392">
        <v>39533285265</v>
      </c>
      <c r="BQ476" s="2392">
        <v>1087350000</v>
      </c>
      <c r="BR476" s="2393">
        <v>571373363</v>
      </c>
      <c r="BS476" s="2394">
        <v>0</v>
      </c>
      <c r="BT476" s="2392">
        <v>0</v>
      </c>
      <c r="BU476" s="2392">
        <v>41192008628</v>
      </c>
      <c r="BV476" s="2395">
        <v>0</v>
      </c>
      <c r="BW476" s="2395">
        <v>0</v>
      </c>
      <c r="BX476" s="2392">
        <v>41208521582</v>
      </c>
    </row>
    <row r="477" spans="2:76">
      <c r="B477" s="2558">
        <v>12171700</v>
      </c>
      <c r="C477" s="2571" t="s">
        <v>4175</v>
      </c>
      <c r="D477" s="2560">
        <v>0</v>
      </c>
      <c r="E477" s="2560">
        <v>0</v>
      </c>
      <c r="F477" s="2561">
        <v>0</v>
      </c>
      <c r="G477" s="2562">
        <v>0</v>
      </c>
      <c r="H477" s="2560">
        <v>0</v>
      </c>
      <c r="I477" s="2560">
        <v>0</v>
      </c>
      <c r="J477" s="2563">
        <v>0</v>
      </c>
      <c r="K477" s="2563">
        <v>0</v>
      </c>
      <c r="L477" s="2560">
        <v>0</v>
      </c>
      <c r="N477" s="2390">
        <v>12171700</v>
      </c>
      <c r="O477" s="2403" t="s">
        <v>4175</v>
      </c>
      <c r="P477" s="2392">
        <v>0</v>
      </c>
      <c r="Q477" s="2392">
        <v>0</v>
      </c>
      <c r="R477" s="2393">
        <v>0</v>
      </c>
      <c r="S477" s="2394">
        <v>0</v>
      </c>
      <c r="T477" s="2392">
        <v>0</v>
      </c>
      <c r="U477" s="2392">
        <v>0</v>
      </c>
      <c r="V477" s="2395">
        <v>0</v>
      </c>
      <c r="W477" s="2395">
        <v>0</v>
      </c>
      <c r="X477" s="2392">
        <v>0</v>
      </c>
      <c r="Z477" s="2390">
        <v>12171700</v>
      </c>
      <c r="AA477" s="2403" t="s">
        <v>4175</v>
      </c>
      <c r="AB477" s="2392">
        <v>0</v>
      </c>
      <c r="AC477" s="2392">
        <v>0</v>
      </c>
      <c r="AD477" s="2393">
        <v>0</v>
      </c>
      <c r="AE477" s="2394">
        <v>0</v>
      </c>
      <c r="AF477" s="2392">
        <v>0</v>
      </c>
      <c r="AG477" s="2392">
        <v>0</v>
      </c>
      <c r="AH477" s="2395">
        <v>0</v>
      </c>
      <c r="AI477" s="2395">
        <v>0</v>
      </c>
      <c r="AJ477" s="2392">
        <v>0</v>
      </c>
      <c r="AZ477" s="2390">
        <v>12171700</v>
      </c>
      <c r="BA477" s="2403" t="s">
        <v>4175</v>
      </c>
      <c r="BB477" s="2392">
        <v>0</v>
      </c>
      <c r="BC477" s="2392">
        <v>0</v>
      </c>
      <c r="BD477" s="2393">
        <v>0</v>
      </c>
      <c r="BE477" s="2394">
        <v>0</v>
      </c>
      <c r="BF477" s="2392">
        <v>0</v>
      </c>
      <c r="BG477" s="2392">
        <v>0</v>
      </c>
      <c r="BH477" s="2395">
        <v>0</v>
      </c>
      <c r="BI477" s="2395">
        <v>0</v>
      </c>
      <c r="BJ477" s="2392">
        <v>0</v>
      </c>
      <c r="BN477" s="2396">
        <v>12171801</v>
      </c>
      <c r="BO477" s="2397" t="s">
        <v>3956</v>
      </c>
      <c r="BP477" s="2398">
        <v>39533285265</v>
      </c>
      <c r="BQ477" s="2179">
        <v>1087350000</v>
      </c>
      <c r="BR477" s="2399">
        <v>571373363</v>
      </c>
      <c r="BS477" s="2400">
        <v>0</v>
      </c>
      <c r="BT477" s="2398">
        <v>0</v>
      </c>
      <c r="BU477" s="2398">
        <v>41192008628</v>
      </c>
      <c r="BV477" s="2401">
        <v>0</v>
      </c>
      <c r="BW477" s="2401">
        <v>-16512954</v>
      </c>
      <c r="BX477" s="2398">
        <v>41208521582</v>
      </c>
    </row>
    <row r="478" spans="2:76">
      <c r="B478" s="2564">
        <v>12171701</v>
      </c>
      <c r="C478" s="2565" t="s">
        <v>4175</v>
      </c>
      <c r="D478" s="2566">
        <v>0</v>
      </c>
      <c r="E478" s="1080">
        <v>0</v>
      </c>
      <c r="F478" s="2567">
        <v>0</v>
      </c>
      <c r="G478" s="2568">
        <v>0</v>
      </c>
      <c r="H478" s="2566">
        <v>0</v>
      </c>
      <c r="I478" s="2566">
        <v>0</v>
      </c>
      <c r="J478" s="2569">
        <v>0</v>
      </c>
      <c r="K478" s="2569">
        <v>0</v>
      </c>
      <c r="L478" s="2566">
        <v>0</v>
      </c>
      <c r="N478" s="2396">
        <v>12171701</v>
      </c>
      <c r="O478" s="2397" t="s">
        <v>4175</v>
      </c>
      <c r="P478" s="2398">
        <v>0</v>
      </c>
      <c r="Q478" s="2179">
        <v>0</v>
      </c>
      <c r="R478" s="2399">
        <v>0</v>
      </c>
      <c r="S478" s="2400">
        <v>0</v>
      </c>
      <c r="T478" s="2398">
        <v>0</v>
      </c>
      <c r="U478" s="2398">
        <v>0</v>
      </c>
      <c r="V478" s="2401">
        <v>0</v>
      </c>
      <c r="W478" s="2401">
        <v>0</v>
      </c>
      <c r="X478" s="2398">
        <v>0</v>
      </c>
      <c r="Z478" s="2396">
        <v>12171701</v>
      </c>
      <c r="AA478" s="2397" t="s">
        <v>4175</v>
      </c>
      <c r="AB478" s="2398">
        <v>0</v>
      </c>
      <c r="AC478" s="2179">
        <v>0</v>
      </c>
      <c r="AD478" s="2399">
        <v>0</v>
      </c>
      <c r="AE478" s="2400">
        <v>0</v>
      </c>
      <c r="AF478" s="2398">
        <v>0</v>
      </c>
      <c r="AG478" s="2398">
        <v>0</v>
      </c>
      <c r="AH478" s="2401">
        <v>0</v>
      </c>
      <c r="AI478" s="2401">
        <v>0</v>
      </c>
      <c r="AJ478" s="2398">
        <v>0</v>
      </c>
      <c r="AZ478" s="2396">
        <v>12171701</v>
      </c>
      <c r="BA478" s="2397" t="s">
        <v>4175</v>
      </c>
      <c r="BB478" s="2398">
        <v>0</v>
      </c>
      <c r="BC478" s="2179">
        <v>0</v>
      </c>
      <c r="BD478" s="2399">
        <v>0</v>
      </c>
      <c r="BE478" s="2400">
        <v>0</v>
      </c>
      <c r="BF478" s="2398">
        <v>0</v>
      </c>
      <c r="BG478" s="2398">
        <v>0</v>
      </c>
      <c r="BH478" s="2401">
        <v>0</v>
      </c>
      <c r="BI478" s="2401">
        <v>0</v>
      </c>
      <c r="BJ478" s="2398">
        <v>0</v>
      </c>
      <c r="BN478" s="2396">
        <v>12171802</v>
      </c>
      <c r="BO478" s="2397" t="s">
        <v>4179</v>
      </c>
      <c r="BP478" s="2398">
        <v>0</v>
      </c>
      <c r="BQ478" s="2179">
        <v>0</v>
      </c>
      <c r="BR478" s="2399">
        <v>0</v>
      </c>
      <c r="BS478" s="2400">
        <v>0</v>
      </c>
      <c r="BT478" s="2398">
        <v>0</v>
      </c>
      <c r="BU478" s="2398">
        <v>0</v>
      </c>
      <c r="BV478" s="2401">
        <v>0</v>
      </c>
      <c r="BW478" s="2401">
        <v>0</v>
      </c>
      <c r="BX478" s="2398">
        <v>0</v>
      </c>
    </row>
    <row r="479" spans="2:76">
      <c r="B479" s="2564">
        <v>12171702</v>
      </c>
      <c r="C479" s="2565" t="s">
        <v>5026</v>
      </c>
      <c r="D479" s="2566">
        <v>0</v>
      </c>
      <c r="E479" s="1080">
        <v>0</v>
      </c>
      <c r="F479" s="2567">
        <v>0</v>
      </c>
      <c r="G479" s="2568">
        <v>0</v>
      </c>
      <c r="H479" s="2566">
        <v>0</v>
      </c>
      <c r="I479" s="2566">
        <v>0</v>
      </c>
      <c r="J479" s="2569">
        <v>0</v>
      </c>
      <c r="K479" s="2569">
        <v>0</v>
      </c>
      <c r="L479" s="2566">
        <v>0</v>
      </c>
      <c r="N479" s="2396">
        <v>12171702</v>
      </c>
      <c r="O479" s="2397" t="s">
        <v>4176</v>
      </c>
      <c r="P479" s="2398">
        <v>0</v>
      </c>
      <c r="Q479" s="2179">
        <v>0</v>
      </c>
      <c r="R479" s="2399">
        <v>0</v>
      </c>
      <c r="S479" s="2400">
        <v>0</v>
      </c>
      <c r="T479" s="2398">
        <v>0</v>
      </c>
      <c r="U479" s="2398">
        <v>0</v>
      </c>
      <c r="V479" s="2401">
        <v>0</v>
      </c>
      <c r="W479" s="2401">
        <v>0</v>
      </c>
      <c r="X479" s="2398">
        <v>0</v>
      </c>
      <c r="Z479" s="2396">
        <v>12171702</v>
      </c>
      <c r="AA479" s="2397" t="s">
        <v>4176</v>
      </c>
      <c r="AB479" s="2398">
        <v>0</v>
      </c>
      <c r="AC479" s="2179">
        <v>0</v>
      </c>
      <c r="AD479" s="2399">
        <v>0</v>
      </c>
      <c r="AE479" s="2400">
        <v>0</v>
      </c>
      <c r="AF479" s="2398">
        <v>0</v>
      </c>
      <c r="AG479" s="2398">
        <v>0</v>
      </c>
      <c r="AH479" s="2401">
        <v>0</v>
      </c>
      <c r="AI479" s="2401">
        <v>0</v>
      </c>
      <c r="AJ479" s="2398">
        <v>0</v>
      </c>
      <c r="AZ479" s="2396">
        <v>12171702</v>
      </c>
      <c r="BA479" s="2397" t="s">
        <v>4176</v>
      </c>
      <c r="BB479" s="2398">
        <v>0</v>
      </c>
      <c r="BC479" s="2179">
        <v>0</v>
      </c>
      <c r="BD479" s="2399">
        <v>0</v>
      </c>
      <c r="BE479" s="2400">
        <v>0</v>
      </c>
      <c r="BF479" s="2398">
        <v>0</v>
      </c>
      <c r="BG479" s="2398">
        <v>0</v>
      </c>
      <c r="BH479" s="2401">
        <v>0</v>
      </c>
      <c r="BI479" s="2401">
        <v>0</v>
      </c>
      <c r="BJ479" s="2398">
        <v>0</v>
      </c>
      <c r="BN479" s="2396">
        <v>12171803</v>
      </c>
      <c r="BO479" s="2397" t="s">
        <v>4180</v>
      </c>
      <c r="BP479" s="2398">
        <v>0</v>
      </c>
      <c r="BQ479" s="2179">
        <v>0</v>
      </c>
      <c r="BR479" s="2399">
        <v>0</v>
      </c>
      <c r="BS479" s="2400">
        <v>0</v>
      </c>
      <c r="BT479" s="2398">
        <v>0</v>
      </c>
      <c r="BU479" s="2398">
        <v>0</v>
      </c>
      <c r="BV479" s="2401">
        <v>0</v>
      </c>
      <c r="BW479" s="2401">
        <v>0</v>
      </c>
      <c r="BX479" s="2398">
        <v>0</v>
      </c>
    </row>
    <row r="480" spans="2:76">
      <c r="B480" s="2564">
        <v>12171703</v>
      </c>
      <c r="C480" s="2565" t="s">
        <v>4177</v>
      </c>
      <c r="D480" s="2566">
        <v>0</v>
      </c>
      <c r="E480" s="1080">
        <v>0</v>
      </c>
      <c r="F480" s="2567">
        <v>0</v>
      </c>
      <c r="G480" s="2568">
        <v>0</v>
      </c>
      <c r="H480" s="2566">
        <v>0</v>
      </c>
      <c r="I480" s="2566">
        <v>0</v>
      </c>
      <c r="J480" s="2569">
        <v>0</v>
      </c>
      <c r="K480" s="2569">
        <v>0</v>
      </c>
      <c r="L480" s="2566">
        <v>0</v>
      </c>
      <c r="N480" s="2396">
        <v>12171703</v>
      </c>
      <c r="O480" s="2397" t="s">
        <v>4177</v>
      </c>
      <c r="P480" s="2398">
        <v>0</v>
      </c>
      <c r="Q480" s="2179">
        <v>0</v>
      </c>
      <c r="R480" s="2399">
        <v>0</v>
      </c>
      <c r="S480" s="2400">
        <v>0</v>
      </c>
      <c r="T480" s="2398">
        <v>0</v>
      </c>
      <c r="U480" s="2398">
        <v>0</v>
      </c>
      <c r="V480" s="2401">
        <v>0</v>
      </c>
      <c r="W480" s="2401">
        <v>0</v>
      </c>
      <c r="X480" s="2398">
        <v>0</v>
      </c>
      <c r="Z480" s="2396">
        <v>12171703</v>
      </c>
      <c r="AA480" s="2397" t="s">
        <v>4177</v>
      </c>
      <c r="AB480" s="2398">
        <v>0</v>
      </c>
      <c r="AC480" s="2179">
        <v>0</v>
      </c>
      <c r="AD480" s="2399">
        <v>0</v>
      </c>
      <c r="AE480" s="2400">
        <v>0</v>
      </c>
      <c r="AF480" s="2398">
        <v>0</v>
      </c>
      <c r="AG480" s="2398">
        <v>0</v>
      </c>
      <c r="AH480" s="2401">
        <v>0</v>
      </c>
      <c r="AI480" s="2401">
        <v>0</v>
      </c>
      <c r="AJ480" s="2398">
        <v>0</v>
      </c>
      <c r="AZ480" s="2396">
        <v>12171703</v>
      </c>
      <c r="BA480" s="2397" t="s">
        <v>4177</v>
      </c>
      <c r="BB480" s="2398">
        <v>0</v>
      </c>
      <c r="BC480" s="2179">
        <v>0</v>
      </c>
      <c r="BD480" s="2399">
        <v>0</v>
      </c>
      <c r="BE480" s="2400">
        <v>0</v>
      </c>
      <c r="BF480" s="2398">
        <v>0</v>
      </c>
      <c r="BG480" s="2398">
        <v>0</v>
      </c>
      <c r="BH480" s="2401">
        <v>0</v>
      </c>
      <c r="BI480" s="2401">
        <v>0</v>
      </c>
      <c r="BJ480" s="2398">
        <v>0</v>
      </c>
      <c r="BN480" s="2390">
        <v>12171900</v>
      </c>
      <c r="BO480" s="2403" t="s">
        <v>4181</v>
      </c>
      <c r="BP480" s="2392">
        <v>0</v>
      </c>
      <c r="BQ480" s="2392">
        <v>215788010</v>
      </c>
      <c r="BR480" s="2393">
        <v>0</v>
      </c>
      <c r="BS480" s="2394">
        <v>4000</v>
      </c>
      <c r="BT480" s="2392">
        <v>31120767492</v>
      </c>
      <c r="BU480" s="2392">
        <v>31336559502</v>
      </c>
      <c r="BV480" s="2395">
        <v>0</v>
      </c>
      <c r="BW480" s="2395">
        <v>0</v>
      </c>
      <c r="BX480" s="2392">
        <v>31336559502</v>
      </c>
    </row>
    <row r="481" spans="2:76">
      <c r="B481" s="2564">
        <v>12171704</v>
      </c>
      <c r="C481" s="2565" t="s">
        <v>5027</v>
      </c>
      <c r="D481" s="2566">
        <v>0</v>
      </c>
      <c r="E481" s="1080">
        <v>0</v>
      </c>
      <c r="F481" s="2567">
        <v>0</v>
      </c>
      <c r="G481" s="2568">
        <v>0</v>
      </c>
      <c r="H481" s="2566">
        <v>0</v>
      </c>
      <c r="I481" s="2566">
        <v>0</v>
      </c>
      <c r="J481" s="2569">
        <v>0</v>
      </c>
      <c r="K481" s="2569">
        <v>0</v>
      </c>
      <c r="L481" s="2566">
        <v>0</v>
      </c>
      <c r="N481" s="2396">
        <v>12171704</v>
      </c>
      <c r="O481" s="2397" t="s">
        <v>4178</v>
      </c>
      <c r="P481" s="2398">
        <v>0</v>
      </c>
      <c r="Q481" s="2179">
        <v>0</v>
      </c>
      <c r="R481" s="2399">
        <v>0</v>
      </c>
      <c r="S481" s="2400">
        <v>0</v>
      </c>
      <c r="T481" s="2398">
        <v>0</v>
      </c>
      <c r="U481" s="2398">
        <v>0</v>
      </c>
      <c r="V481" s="2401">
        <v>0</v>
      </c>
      <c r="W481" s="2401">
        <v>0</v>
      </c>
      <c r="X481" s="2398">
        <v>0</v>
      </c>
      <c r="Z481" s="2396">
        <v>12171704</v>
      </c>
      <c r="AA481" s="2397" t="s">
        <v>4178</v>
      </c>
      <c r="AB481" s="2398">
        <v>0</v>
      </c>
      <c r="AC481" s="2179">
        <v>0</v>
      </c>
      <c r="AD481" s="2399">
        <v>0</v>
      </c>
      <c r="AE481" s="2400">
        <v>0</v>
      </c>
      <c r="AF481" s="2398">
        <v>0</v>
      </c>
      <c r="AG481" s="2398">
        <v>0</v>
      </c>
      <c r="AH481" s="2401">
        <v>0</v>
      </c>
      <c r="AI481" s="2401">
        <v>0</v>
      </c>
      <c r="AJ481" s="2398">
        <v>0</v>
      </c>
      <c r="AZ481" s="2396">
        <v>12171704</v>
      </c>
      <c r="BA481" s="2397" t="s">
        <v>4178</v>
      </c>
      <c r="BB481" s="2398">
        <v>0</v>
      </c>
      <c r="BC481" s="2179">
        <v>0</v>
      </c>
      <c r="BD481" s="2399">
        <v>0</v>
      </c>
      <c r="BE481" s="2400">
        <v>0</v>
      </c>
      <c r="BF481" s="2398">
        <v>0</v>
      </c>
      <c r="BG481" s="2398">
        <v>0</v>
      </c>
      <c r="BH481" s="2401">
        <v>0</v>
      </c>
      <c r="BI481" s="2401">
        <v>0</v>
      </c>
      <c r="BJ481" s="2398">
        <v>0</v>
      </c>
      <c r="BN481" s="2396">
        <v>12171901</v>
      </c>
      <c r="BO481" s="2397" t="s">
        <v>4181</v>
      </c>
      <c r="BP481" s="2398">
        <v>0</v>
      </c>
      <c r="BQ481" s="2179">
        <v>2131042660</v>
      </c>
      <c r="BR481" s="2399">
        <v>0</v>
      </c>
      <c r="BS481" s="2400">
        <v>17990830</v>
      </c>
      <c r="BT481" s="2398">
        <v>42637786630</v>
      </c>
      <c r="BU481" s="2398">
        <v>44786820120</v>
      </c>
      <c r="BV481" s="2401">
        <v>0</v>
      </c>
      <c r="BW481" s="2401">
        <v>0</v>
      </c>
      <c r="BX481" s="2398">
        <v>44786820120</v>
      </c>
    </row>
    <row r="482" spans="2:76">
      <c r="B482" s="2558">
        <v>12171800</v>
      </c>
      <c r="C482" s="2571" t="s">
        <v>3956</v>
      </c>
      <c r="D482" s="2560">
        <v>69384049116</v>
      </c>
      <c r="E482" s="2560">
        <v>1893194816</v>
      </c>
      <c r="F482" s="2561">
        <v>301792000</v>
      </c>
      <c r="G482" s="2562">
        <v>0</v>
      </c>
      <c r="H482" s="2560">
        <v>0</v>
      </c>
      <c r="I482" s="2560">
        <v>71579035932</v>
      </c>
      <c r="J482" s="2563">
        <v>0</v>
      </c>
      <c r="K482" s="2563">
        <v>0</v>
      </c>
      <c r="L482" s="2560">
        <v>72678631230</v>
      </c>
      <c r="N482" s="2390">
        <v>12171800</v>
      </c>
      <c r="O482" s="2403" t="s">
        <v>3956</v>
      </c>
      <c r="P482" s="2392">
        <v>79897585782</v>
      </c>
      <c r="Q482" s="2392">
        <v>374705427</v>
      </c>
      <c r="R482" s="2393">
        <v>173350000</v>
      </c>
      <c r="S482" s="2394">
        <v>0</v>
      </c>
      <c r="T482" s="2392">
        <v>0</v>
      </c>
      <c r="U482" s="2392">
        <v>80445641209</v>
      </c>
      <c r="V482" s="2395">
        <v>0</v>
      </c>
      <c r="W482" s="2395">
        <v>0</v>
      </c>
      <c r="X482" s="2392">
        <v>80828764209</v>
      </c>
      <c r="Z482" s="2390">
        <v>12171800</v>
      </c>
      <c r="AA482" s="2403" t="s">
        <v>3956</v>
      </c>
      <c r="AB482" s="2392">
        <v>41300768638</v>
      </c>
      <c r="AC482" s="2392">
        <v>47680000</v>
      </c>
      <c r="AD482" s="2393">
        <v>20690909</v>
      </c>
      <c r="AE482" s="2394">
        <v>0</v>
      </c>
      <c r="AF482" s="2392">
        <v>0</v>
      </c>
      <c r="AG482" s="2392">
        <v>41369139547</v>
      </c>
      <c r="AH482" s="2395">
        <v>0</v>
      </c>
      <c r="AI482" s="2395">
        <v>0</v>
      </c>
      <c r="AJ482" s="2392">
        <v>41517899790</v>
      </c>
      <c r="AZ482" s="2390">
        <v>12171800</v>
      </c>
      <c r="BA482" s="2403" t="s">
        <v>3956</v>
      </c>
      <c r="BB482" s="2392">
        <v>52452599788</v>
      </c>
      <c r="BC482" s="2392">
        <v>59000000</v>
      </c>
      <c r="BD482" s="2393">
        <v>143900000</v>
      </c>
      <c r="BE482" s="2394">
        <v>0</v>
      </c>
      <c r="BF482" s="2392">
        <v>0</v>
      </c>
      <c r="BG482" s="2392">
        <v>52655499788</v>
      </c>
      <c r="BH482" s="2395">
        <v>0</v>
      </c>
      <c r="BI482" s="2395">
        <v>0</v>
      </c>
      <c r="BJ482" s="2392">
        <v>53049297563</v>
      </c>
      <c r="BN482" s="2396">
        <v>12171902</v>
      </c>
      <c r="BO482" s="2397" t="s">
        <v>4182</v>
      </c>
      <c r="BP482" s="2398">
        <v>0</v>
      </c>
      <c r="BQ482" s="2179">
        <v>-1761178317</v>
      </c>
      <c r="BR482" s="2399">
        <v>0</v>
      </c>
      <c r="BS482" s="2400">
        <v>-17986830</v>
      </c>
      <c r="BT482" s="2398">
        <v>-11517019138</v>
      </c>
      <c r="BU482" s="2398">
        <v>-13296184285</v>
      </c>
      <c r="BV482" s="2401">
        <v>0</v>
      </c>
      <c r="BW482" s="2401">
        <v>0</v>
      </c>
      <c r="BX482" s="2398">
        <v>-13296184285</v>
      </c>
    </row>
    <row r="483" spans="2:76">
      <c r="B483" s="2564">
        <v>12171801</v>
      </c>
      <c r="C483" s="2565" t="s">
        <v>5028</v>
      </c>
      <c r="D483" s="2566">
        <v>69384049116</v>
      </c>
      <c r="E483" s="1080">
        <v>1893194816</v>
      </c>
      <c r="F483" s="2567">
        <v>301792000</v>
      </c>
      <c r="G483" s="2568">
        <v>0</v>
      </c>
      <c r="H483" s="2566">
        <v>0</v>
      </c>
      <c r="I483" s="2566">
        <v>71579035932</v>
      </c>
      <c r="J483" s="2569">
        <v>0</v>
      </c>
      <c r="K483" s="2569">
        <v>-1099595298</v>
      </c>
      <c r="L483" s="2566">
        <v>72678631230</v>
      </c>
      <c r="N483" s="2396">
        <v>12171801</v>
      </c>
      <c r="O483" s="2397" t="s">
        <v>3956</v>
      </c>
      <c r="P483" s="2398">
        <v>79897585782</v>
      </c>
      <c r="Q483" s="2179">
        <v>374705427</v>
      </c>
      <c r="R483" s="2399">
        <v>173350000</v>
      </c>
      <c r="S483" s="2400">
        <v>0</v>
      </c>
      <c r="T483" s="2398">
        <v>0</v>
      </c>
      <c r="U483" s="2398">
        <v>80445641209</v>
      </c>
      <c r="V483" s="2401">
        <v>0</v>
      </c>
      <c r="W483" s="2401">
        <v>-383123000</v>
      </c>
      <c r="X483" s="2398">
        <v>80828764209</v>
      </c>
      <c r="Z483" s="2396">
        <v>12171801</v>
      </c>
      <c r="AA483" s="2397" t="s">
        <v>3956</v>
      </c>
      <c r="AB483" s="2398">
        <v>41300768638</v>
      </c>
      <c r="AC483" s="2179">
        <v>47680000</v>
      </c>
      <c r="AD483" s="2399">
        <v>20690909</v>
      </c>
      <c r="AE483" s="2400">
        <v>0</v>
      </c>
      <c r="AF483" s="2398">
        <v>0</v>
      </c>
      <c r="AG483" s="2398">
        <v>41369139547</v>
      </c>
      <c r="AH483" s="2401">
        <v>0</v>
      </c>
      <c r="AI483" s="2401">
        <v>-148760243</v>
      </c>
      <c r="AJ483" s="2398">
        <v>41517899790</v>
      </c>
      <c r="AZ483" s="2396">
        <v>12171801</v>
      </c>
      <c r="BA483" s="2397" t="s">
        <v>3956</v>
      </c>
      <c r="BB483" s="2398">
        <v>52452599788</v>
      </c>
      <c r="BC483" s="2179">
        <v>59000000</v>
      </c>
      <c r="BD483" s="2399">
        <v>143900000</v>
      </c>
      <c r="BE483" s="2400">
        <v>0</v>
      </c>
      <c r="BF483" s="2398">
        <v>0</v>
      </c>
      <c r="BG483" s="2398">
        <v>52655499788</v>
      </c>
      <c r="BH483" s="2401">
        <v>0</v>
      </c>
      <c r="BI483" s="2401">
        <v>-393797775</v>
      </c>
      <c r="BJ483" s="2398">
        <v>53049297563</v>
      </c>
      <c r="BN483" s="2396">
        <v>12171903</v>
      </c>
      <c r="BO483" s="2397" t="s">
        <v>4183</v>
      </c>
      <c r="BP483" s="2398">
        <v>0</v>
      </c>
      <c r="BQ483" s="2179">
        <v>-153718000</v>
      </c>
      <c r="BR483" s="2399">
        <v>0</v>
      </c>
      <c r="BS483" s="2400">
        <v>0</v>
      </c>
      <c r="BT483" s="2398">
        <v>0</v>
      </c>
      <c r="BU483" s="2398">
        <v>-153718000</v>
      </c>
      <c r="BV483" s="2401">
        <v>0</v>
      </c>
      <c r="BW483" s="2401">
        <v>0</v>
      </c>
      <c r="BX483" s="2398">
        <v>-153718000</v>
      </c>
    </row>
    <row r="484" spans="2:76">
      <c r="B484" s="2564">
        <v>12171802</v>
      </c>
      <c r="C484" s="2565" t="s">
        <v>5029</v>
      </c>
      <c r="D484" s="2566">
        <v>0</v>
      </c>
      <c r="E484" s="1080">
        <v>0</v>
      </c>
      <c r="F484" s="2567">
        <v>0</v>
      </c>
      <c r="G484" s="2568">
        <v>0</v>
      </c>
      <c r="H484" s="2566">
        <v>0</v>
      </c>
      <c r="I484" s="2566">
        <v>0</v>
      </c>
      <c r="J484" s="2569">
        <v>0</v>
      </c>
      <c r="K484" s="2569">
        <v>0</v>
      </c>
      <c r="L484" s="2566">
        <v>0</v>
      </c>
      <c r="N484" s="2396">
        <v>12171802</v>
      </c>
      <c r="O484" s="2397" t="s">
        <v>4179</v>
      </c>
      <c r="P484" s="2398">
        <v>0</v>
      </c>
      <c r="Q484" s="2179">
        <v>0</v>
      </c>
      <c r="R484" s="2399">
        <v>0</v>
      </c>
      <c r="S484" s="2400">
        <v>0</v>
      </c>
      <c r="T484" s="2398">
        <v>0</v>
      </c>
      <c r="U484" s="2398">
        <v>0</v>
      </c>
      <c r="V484" s="2401">
        <v>0</v>
      </c>
      <c r="W484" s="2401">
        <v>0</v>
      </c>
      <c r="X484" s="2398">
        <v>0</v>
      </c>
      <c r="Z484" s="2396">
        <v>12171802</v>
      </c>
      <c r="AA484" s="2397" t="s">
        <v>4179</v>
      </c>
      <c r="AB484" s="2398">
        <v>0</v>
      </c>
      <c r="AC484" s="2179">
        <v>0</v>
      </c>
      <c r="AD484" s="2399">
        <v>0</v>
      </c>
      <c r="AE484" s="2400">
        <v>0</v>
      </c>
      <c r="AF484" s="2398">
        <v>0</v>
      </c>
      <c r="AG484" s="2398">
        <v>0</v>
      </c>
      <c r="AH484" s="2401">
        <v>0</v>
      </c>
      <c r="AI484" s="2401">
        <v>0</v>
      </c>
      <c r="AJ484" s="2398">
        <v>0</v>
      </c>
      <c r="AZ484" s="2396">
        <v>12171802</v>
      </c>
      <c r="BA484" s="2397" t="s">
        <v>4179</v>
      </c>
      <c r="BB484" s="2398">
        <v>0</v>
      </c>
      <c r="BC484" s="2179">
        <v>0</v>
      </c>
      <c r="BD484" s="2399">
        <v>0</v>
      </c>
      <c r="BE484" s="2400">
        <v>0</v>
      </c>
      <c r="BF484" s="2398">
        <v>0</v>
      </c>
      <c r="BG484" s="2398">
        <v>0</v>
      </c>
      <c r="BH484" s="2401">
        <v>0</v>
      </c>
      <c r="BI484" s="2401">
        <v>0</v>
      </c>
      <c r="BJ484" s="2398">
        <v>0</v>
      </c>
      <c r="BN484" s="2396">
        <v>12171904</v>
      </c>
      <c r="BO484" s="2397" t="s">
        <v>4184</v>
      </c>
      <c r="BP484" s="2398">
        <v>0</v>
      </c>
      <c r="BQ484" s="2179">
        <v>-358333</v>
      </c>
      <c r="BR484" s="2399">
        <v>0</v>
      </c>
      <c r="BS484" s="2400">
        <v>0</v>
      </c>
      <c r="BT484" s="2398">
        <v>0</v>
      </c>
      <c r="BU484" s="2398">
        <v>-358333</v>
      </c>
      <c r="BV484" s="2401">
        <v>0</v>
      </c>
      <c r="BW484" s="2401">
        <v>0</v>
      </c>
      <c r="BX484" s="2398">
        <v>-358333</v>
      </c>
    </row>
    <row r="485" spans="2:76">
      <c r="B485" s="2564">
        <v>12171803</v>
      </c>
      <c r="C485" s="2565" t="s">
        <v>5030</v>
      </c>
      <c r="D485" s="2566">
        <v>0</v>
      </c>
      <c r="E485" s="1080">
        <v>0</v>
      </c>
      <c r="F485" s="2567">
        <v>0</v>
      </c>
      <c r="G485" s="2568">
        <v>0</v>
      </c>
      <c r="H485" s="2566">
        <v>0</v>
      </c>
      <c r="I485" s="2566">
        <v>0</v>
      </c>
      <c r="J485" s="2569">
        <v>0</v>
      </c>
      <c r="K485" s="2569">
        <v>0</v>
      </c>
      <c r="L485" s="2566">
        <v>0</v>
      </c>
      <c r="N485" s="2396">
        <v>12171803</v>
      </c>
      <c r="O485" s="2397" t="s">
        <v>4180</v>
      </c>
      <c r="P485" s="2398">
        <v>0</v>
      </c>
      <c r="Q485" s="2179">
        <v>0</v>
      </c>
      <c r="R485" s="2399">
        <v>0</v>
      </c>
      <c r="S485" s="2400">
        <v>0</v>
      </c>
      <c r="T485" s="2398">
        <v>0</v>
      </c>
      <c r="U485" s="2398">
        <v>0</v>
      </c>
      <c r="V485" s="2401">
        <v>0</v>
      </c>
      <c r="W485" s="2401">
        <v>0</v>
      </c>
      <c r="X485" s="2398">
        <v>0</v>
      </c>
      <c r="Z485" s="2396">
        <v>12171803</v>
      </c>
      <c r="AA485" s="2397" t="s">
        <v>4180</v>
      </c>
      <c r="AB485" s="2398">
        <v>0</v>
      </c>
      <c r="AC485" s="2179">
        <v>0</v>
      </c>
      <c r="AD485" s="2399">
        <v>0</v>
      </c>
      <c r="AE485" s="2400">
        <v>0</v>
      </c>
      <c r="AF485" s="2398">
        <v>0</v>
      </c>
      <c r="AG485" s="2398">
        <v>0</v>
      </c>
      <c r="AH485" s="2401">
        <v>0</v>
      </c>
      <c r="AI485" s="2401">
        <v>0</v>
      </c>
      <c r="AJ485" s="2398">
        <v>0</v>
      </c>
      <c r="AZ485" s="2396">
        <v>12171803</v>
      </c>
      <c r="BA485" s="2397" t="s">
        <v>4180</v>
      </c>
      <c r="BB485" s="2398">
        <v>0</v>
      </c>
      <c r="BC485" s="2179">
        <v>0</v>
      </c>
      <c r="BD485" s="2399">
        <v>0</v>
      </c>
      <c r="BE485" s="2400">
        <v>0</v>
      </c>
      <c r="BF485" s="2398">
        <v>0</v>
      </c>
      <c r="BG485" s="2398">
        <v>0</v>
      </c>
      <c r="BH485" s="2401">
        <v>0</v>
      </c>
      <c r="BI485" s="2401">
        <v>0</v>
      </c>
      <c r="BJ485" s="2398">
        <v>0</v>
      </c>
      <c r="BN485" s="2390">
        <v>12172000</v>
      </c>
      <c r="BO485" s="2403" t="s">
        <v>4185</v>
      </c>
      <c r="BP485" s="2392">
        <v>0</v>
      </c>
      <c r="BQ485" s="2392">
        <v>0</v>
      </c>
      <c r="BR485" s="2393">
        <v>0</v>
      </c>
      <c r="BS485" s="2394">
        <v>0</v>
      </c>
      <c r="BT485" s="2392">
        <v>0</v>
      </c>
      <c r="BU485" s="2392">
        <v>0</v>
      </c>
      <c r="BV485" s="2395">
        <v>0</v>
      </c>
      <c r="BW485" s="2395">
        <v>0</v>
      </c>
      <c r="BX485" s="2392">
        <v>0</v>
      </c>
    </row>
    <row r="486" spans="2:76">
      <c r="B486" s="2558">
        <v>12171900</v>
      </c>
      <c r="C486" s="2571" t="s">
        <v>4181</v>
      </c>
      <c r="D486" s="2560">
        <v>0</v>
      </c>
      <c r="E486" s="2560">
        <v>363475523</v>
      </c>
      <c r="F486" s="2561">
        <v>0</v>
      </c>
      <c r="G486" s="2562">
        <v>4000</v>
      </c>
      <c r="H486" s="2560">
        <v>26737777889</v>
      </c>
      <c r="I486" s="2560">
        <v>27101257412</v>
      </c>
      <c r="J486" s="2563">
        <v>0</v>
      </c>
      <c r="K486" s="2563">
        <v>0</v>
      </c>
      <c r="L486" s="2560">
        <v>27101257412</v>
      </c>
      <c r="N486" s="2390">
        <v>12171900</v>
      </c>
      <c r="O486" s="2403" t="s">
        <v>4181</v>
      </c>
      <c r="P486" s="2392">
        <v>0</v>
      </c>
      <c r="Q486" s="2392">
        <v>394011409</v>
      </c>
      <c r="R486" s="2393">
        <v>0</v>
      </c>
      <c r="S486" s="2394">
        <v>4000</v>
      </c>
      <c r="T486" s="2392">
        <v>26088372715</v>
      </c>
      <c r="U486" s="2392">
        <v>26482388124</v>
      </c>
      <c r="V486" s="2395">
        <v>0</v>
      </c>
      <c r="W486" s="2395">
        <v>0</v>
      </c>
      <c r="X486" s="2392">
        <v>26482388124</v>
      </c>
      <c r="Z486" s="2390">
        <v>12171900</v>
      </c>
      <c r="AA486" s="2403" t="s">
        <v>4181</v>
      </c>
      <c r="AB486" s="2392">
        <v>0</v>
      </c>
      <c r="AC486" s="2392">
        <v>294906680</v>
      </c>
      <c r="AD486" s="2393">
        <v>0</v>
      </c>
      <c r="AE486" s="2394">
        <v>4000</v>
      </c>
      <c r="AF486" s="2392">
        <v>26253773689</v>
      </c>
      <c r="AG486" s="2392">
        <v>26548684369</v>
      </c>
      <c r="AH486" s="2395">
        <v>0</v>
      </c>
      <c r="AI486" s="2395">
        <v>0</v>
      </c>
      <c r="AJ486" s="2392">
        <v>26548684369</v>
      </c>
      <c r="AZ486" s="2390">
        <v>12171900</v>
      </c>
      <c r="BA486" s="2403" t="s">
        <v>4181</v>
      </c>
      <c r="BB486" s="2392">
        <v>0</v>
      </c>
      <c r="BC486" s="2392">
        <v>223388943</v>
      </c>
      <c r="BD486" s="2393">
        <v>0</v>
      </c>
      <c r="BE486" s="2394">
        <v>4000</v>
      </c>
      <c r="BF486" s="2392">
        <v>29775578640</v>
      </c>
      <c r="BG486" s="2392">
        <v>29998971583</v>
      </c>
      <c r="BH486" s="2395">
        <v>0</v>
      </c>
      <c r="BI486" s="2395">
        <v>0</v>
      </c>
      <c r="BJ486" s="2392">
        <v>29998971583</v>
      </c>
      <c r="BN486" s="2396">
        <v>12172001</v>
      </c>
      <c r="BO486" s="2397" t="s">
        <v>4185</v>
      </c>
      <c r="BP486" s="2398">
        <v>0</v>
      </c>
      <c r="BQ486" s="2179">
        <v>0</v>
      </c>
      <c r="BR486" s="2399">
        <v>0</v>
      </c>
      <c r="BS486" s="2400">
        <v>0</v>
      </c>
      <c r="BT486" s="2398">
        <v>0</v>
      </c>
      <c r="BU486" s="2398">
        <v>0</v>
      </c>
      <c r="BV486" s="2401">
        <v>0</v>
      </c>
      <c r="BW486" s="2401">
        <v>0</v>
      </c>
      <c r="BX486" s="2398">
        <v>0</v>
      </c>
    </row>
    <row r="487" spans="2:76">
      <c r="B487" s="2564">
        <v>12171901</v>
      </c>
      <c r="C487" s="2565" t="s">
        <v>4181</v>
      </c>
      <c r="D487" s="2566">
        <v>0</v>
      </c>
      <c r="E487" s="1080">
        <v>2308114930</v>
      </c>
      <c r="F487" s="2567">
        <v>0</v>
      </c>
      <c r="G487" s="2568">
        <v>17990830</v>
      </c>
      <c r="H487" s="2566">
        <v>44757498237</v>
      </c>
      <c r="I487" s="2566">
        <v>47083603997</v>
      </c>
      <c r="J487" s="2569">
        <v>0</v>
      </c>
      <c r="K487" s="2569">
        <v>0</v>
      </c>
      <c r="L487" s="2566">
        <v>47083603997</v>
      </c>
      <c r="N487" s="2396">
        <v>12171901</v>
      </c>
      <c r="O487" s="2397" t="s">
        <v>4181</v>
      </c>
      <c r="P487" s="2398">
        <v>0</v>
      </c>
      <c r="Q487" s="2179">
        <v>2308114930</v>
      </c>
      <c r="R487" s="2399">
        <v>0</v>
      </c>
      <c r="S487" s="2400">
        <v>17990830</v>
      </c>
      <c r="T487" s="2398">
        <v>42683748002</v>
      </c>
      <c r="U487" s="2398">
        <v>45009853762</v>
      </c>
      <c r="V487" s="2401">
        <v>0</v>
      </c>
      <c r="W487" s="2401">
        <v>0</v>
      </c>
      <c r="X487" s="2398">
        <v>45009853762</v>
      </c>
      <c r="Z487" s="2396">
        <v>12171901</v>
      </c>
      <c r="AA487" s="2397" t="s">
        <v>4181</v>
      </c>
      <c r="AB487" s="2398">
        <v>0</v>
      </c>
      <c r="AC487" s="2179">
        <v>2149034930</v>
      </c>
      <c r="AD487" s="2399">
        <v>0</v>
      </c>
      <c r="AE487" s="2400">
        <v>17990830</v>
      </c>
      <c r="AF487" s="2398">
        <v>41097272412</v>
      </c>
      <c r="AG487" s="2398">
        <v>43264298172</v>
      </c>
      <c r="AH487" s="2401">
        <v>0</v>
      </c>
      <c r="AI487" s="2401">
        <v>0</v>
      </c>
      <c r="AJ487" s="2398">
        <v>43264298172</v>
      </c>
      <c r="AZ487" s="2396">
        <v>12171901</v>
      </c>
      <c r="BA487" s="2397" t="s">
        <v>4181</v>
      </c>
      <c r="BB487" s="2398">
        <v>0</v>
      </c>
      <c r="BC487" s="2179">
        <v>2010204930</v>
      </c>
      <c r="BD487" s="2399">
        <v>0</v>
      </c>
      <c r="BE487" s="2400">
        <v>17990830</v>
      </c>
      <c r="BF487" s="2398">
        <v>44148210968</v>
      </c>
      <c r="BG487" s="2398">
        <v>46176406728</v>
      </c>
      <c r="BH487" s="2401">
        <v>0</v>
      </c>
      <c r="BI487" s="2401">
        <v>0</v>
      </c>
      <c r="BJ487" s="2398">
        <v>46176406728</v>
      </c>
      <c r="BN487" s="2384">
        <v>12180000</v>
      </c>
      <c r="BO487" s="2402" t="s">
        <v>4186</v>
      </c>
      <c r="BP487" s="2386">
        <v>0</v>
      </c>
      <c r="BQ487" s="2386">
        <v>0</v>
      </c>
      <c r="BR487" s="2387">
        <v>0</v>
      </c>
      <c r="BS487" s="2388">
        <v>2306137235</v>
      </c>
      <c r="BT487" s="2386">
        <v>0</v>
      </c>
      <c r="BU487" s="2386">
        <v>2306137235</v>
      </c>
      <c r="BV487" s="2389">
        <v>0</v>
      </c>
      <c r="BW487" s="2389">
        <v>0</v>
      </c>
      <c r="BX487" s="2386">
        <v>2306137235</v>
      </c>
    </row>
    <row r="488" spans="2:76">
      <c r="B488" s="2564">
        <v>12171902</v>
      </c>
      <c r="C488" s="2565" t="s">
        <v>4182</v>
      </c>
      <c r="D488" s="2566">
        <v>0</v>
      </c>
      <c r="E488" s="1080">
        <v>-1672741706</v>
      </c>
      <c r="F488" s="2567">
        <v>0</v>
      </c>
      <c r="G488" s="2568">
        <v>-17986830</v>
      </c>
      <c r="H488" s="2566">
        <v>-18019720348</v>
      </c>
      <c r="I488" s="2566">
        <v>-19710448884</v>
      </c>
      <c r="J488" s="2569">
        <v>0</v>
      </c>
      <c r="K488" s="2569">
        <v>0</v>
      </c>
      <c r="L488" s="2566">
        <v>-19710448884</v>
      </c>
      <c r="N488" s="2396">
        <v>12171902</v>
      </c>
      <c r="O488" s="2397" t="s">
        <v>4182</v>
      </c>
      <c r="P488" s="2398">
        <v>0</v>
      </c>
      <c r="Q488" s="2179">
        <v>-1642205820</v>
      </c>
      <c r="R488" s="2399">
        <v>0</v>
      </c>
      <c r="S488" s="2400">
        <v>-17986830</v>
      </c>
      <c r="T488" s="2398">
        <v>-16595375287</v>
      </c>
      <c r="U488" s="2398">
        <v>-18255567937</v>
      </c>
      <c r="V488" s="2401">
        <v>0</v>
      </c>
      <c r="W488" s="2401">
        <v>0</v>
      </c>
      <c r="X488" s="2398">
        <v>-18255567937</v>
      </c>
      <c r="Z488" s="2396">
        <v>12171902</v>
      </c>
      <c r="AA488" s="2397" t="s">
        <v>4182</v>
      </c>
      <c r="AB488" s="2398">
        <v>0</v>
      </c>
      <c r="AC488" s="2179">
        <v>-1582230549</v>
      </c>
      <c r="AD488" s="2399">
        <v>0</v>
      </c>
      <c r="AE488" s="2400">
        <v>-17986830</v>
      </c>
      <c r="AF488" s="2398">
        <v>-14843498723</v>
      </c>
      <c r="AG488" s="2398">
        <v>-16443716102</v>
      </c>
      <c r="AH488" s="2401">
        <v>0</v>
      </c>
      <c r="AI488" s="2401">
        <v>0</v>
      </c>
      <c r="AJ488" s="2398">
        <v>-16443716102</v>
      </c>
      <c r="AZ488" s="2396">
        <v>12171902</v>
      </c>
      <c r="BA488" s="2397" t="s">
        <v>4182</v>
      </c>
      <c r="BB488" s="2398">
        <v>0</v>
      </c>
      <c r="BC488" s="2179">
        <v>-1514918286</v>
      </c>
      <c r="BD488" s="2399">
        <v>0</v>
      </c>
      <c r="BE488" s="2400">
        <v>-17986830</v>
      </c>
      <c r="BF488" s="2398">
        <v>-14372632328</v>
      </c>
      <c r="BG488" s="2398">
        <v>-15905537444</v>
      </c>
      <c r="BH488" s="2401">
        <v>0</v>
      </c>
      <c r="BI488" s="2401">
        <v>0</v>
      </c>
      <c r="BJ488" s="2398">
        <v>-15905537444</v>
      </c>
      <c r="BN488" s="2390">
        <v>12181000</v>
      </c>
      <c r="BO488" s="2403" t="s">
        <v>4152</v>
      </c>
      <c r="BP488" s="2392">
        <v>0</v>
      </c>
      <c r="BQ488" s="2392">
        <v>0</v>
      </c>
      <c r="BR488" s="2393">
        <v>0</v>
      </c>
      <c r="BS488" s="2394">
        <v>1862202500</v>
      </c>
      <c r="BT488" s="2392">
        <v>0</v>
      </c>
      <c r="BU488" s="2392">
        <v>1862202500</v>
      </c>
      <c r="BV488" s="2395">
        <v>0</v>
      </c>
      <c r="BW488" s="2395">
        <v>0</v>
      </c>
      <c r="BX488" s="2392">
        <v>1862202500</v>
      </c>
    </row>
    <row r="489" spans="2:76">
      <c r="B489" s="2564">
        <v>12171903</v>
      </c>
      <c r="C489" s="2565" t="s">
        <v>4183</v>
      </c>
      <c r="D489" s="2566">
        <v>0</v>
      </c>
      <c r="E489" s="1080">
        <v>-271897701</v>
      </c>
      <c r="F489" s="2567">
        <v>0</v>
      </c>
      <c r="G489" s="2568">
        <v>0</v>
      </c>
      <c r="H489" s="2566">
        <v>0</v>
      </c>
      <c r="I489" s="2566">
        <v>-271897701</v>
      </c>
      <c r="J489" s="2569">
        <v>0</v>
      </c>
      <c r="K489" s="2569">
        <v>0</v>
      </c>
      <c r="L489" s="2566">
        <v>-271897701</v>
      </c>
      <c r="N489" s="2396">
        <v>12171903</v>
      </c>
      <c r="O489" s="2397" t="s">
        <v>4183</v>
      </c>
      <c r="P489" s="2398">
        <v>0</v>
      </c>
      <c r="Q489" s="2179">
        <v>-271897701</v>
      </c>
      <c r="R489" s="2399">
        <v>0</v>
      </c>
      <c r="S489" s="2400">
        <v>0</v>
      </c>
      <c r="T489" s="2398">
        <v>0</v>
      </c>
      <c r="U489" s="2398">
        <v>-271897701</v>
      </c>
      <c r="V489" s="2401">
        <v>0</v>
      </c>
      <c r="W489" s="2401">
        <v>0</v>
      </c>
      <c r="X489" s="2398">
        <v>-271897701</v>
      </c>
      <c r="Z489" s="2396">
        <v>12171903</v>
      </c>
      <c r="AA489" s="2397" t="s">
        <v>4183</v>
      </c>
      <c r="AB489" s="2398">
        <v>0</v>
      </c>
      <c r="AC489" s="2179">
        <v>-271897701</v>
      </c>
      <c r="AD489" s="2399">
        <v>0</v>
      </c>
      <c r="AE489" s="2400">
        <v>0</v>
      </c>
      <c r="AF489" s="2398">
        <v>0</v>
      </c>
      <c r="AG489" s="2398">
        <v>-271897701</v>
      </c>
      <c r="AH489" s="2401">
        <v>0</v>
      </c>
      <c r="AI489" s="2401">
        <v>0</v>
      </c>
      <c r="AJ489" s="2398">
        <v>-271897701</v>
      </c>
      <c r="AZ489" s="2396">
        <v>12171903</v>
      </c>
      <c r="BA489" s="2397" t="s">
        <v>4183</v>
      </c>
      <c r="BB489" s="2398">
        <v>0</v>
      </c>
      <c r="BC489" s="2179">
        <v>-271897701</v>
      </c>
      <c r="BD489" s="2399">
        <v>0</v>
      </c>
      <c r="BE489" s="2400">
        <v>0</v>
      </c>
      <c r="BF489" s="2398">
        <v>0</v>
      </c>
      <c r="BG489" s="2398">
        <v>-271897701</v>
      </c>
      <c r="BH489" s="2401">
        <v>0</v>
      </c>
      <c r="BI489" s="2401">
        <v>0</v>
      </c>
      <c r="BJ489" s="2398">
        <v>-271897701</v>
      </c>
      <c r="BN489" s="2396">
        <v>12181001</v>
      </c>
      <c r="BO489" s="2397" t="s">
        <v>4187</v>
      </c>
      <c r="BP489" s="2398">
        <v>0</v>
      </c>
      <c r="BQ489" s="2179">
        <v>0</v>
      </c>
      <c r="BR489" s="2399">
        <v>0</v>
      </c>
      <c r="BS489" s="2400">
        <v>1862202500</v>
      </c>
      <c r="BT489" s="2398">
        <v>0</v>
      </c>
      <c r="BU489" s="2398">
        <v>1862202500</v>
      </c>
      <c r="BV489" s="2401">
        <v>0</v>
      </c>
      <c r="BW489" s="2401">
        <v>0</v>
      </c>
      <c r="BX489" s="2398">
        <v>1862202500</v>
      </c>
    </row>
    <row r="490" spans="2:76">
      <c r="B490" s="2564">
        <v>12171904</v>
      </c>
      <c r="C490" s="2565" t="s">
        <v>5031</v>
      </c>
      <c r="D490" s="2566">
        <v>0</v>
      </c>
      <c r="E490" s="1080">
        <v>0</v>
      </c>
      <c r="F490" s="2567">
        <v>0</v>
      </c>
      <c r="G490" s="2568">
        <v>0</v>
      </c>
      <c r="H490" s="2566">
        <v>0</v>
      </c>
      <c r="I490" s="2566">
        <v>0</v>
      </c>
      <c r="J490" s="2569">
        <v>0</v>
      </c>
      <c r="K490" s="2569">
        <v>0</v>
      </c>
      <c r="L490" s="2566">
        <v>0</v>
      </c>
      <c r="N490" s="2396">
        <v>12171904</v>
      </c>
      <c r="O490" s="2397" t="s">
        <v>4184</v>
      </c>
      <c r="P490" s="2398">
        <v>0</v>
      </c>
      <c r="Q490" s="2179">
        <v>0</v>
      </c>
      <c r="R490" s="2399">
        <v>0</v>
      </c>
      <c r="S490" s="2400">
        <v>0</v>
      </c>
      <c r="T490" s="2398">
        <v>0</v>
      </c>
      <c r="U490" s="2398">
        <v>0</v>
      </c>
      <c r="V490" s="2401">
        <v>0</v>
      </c>
      <c r="W490" s="2401">
        <v>0</v>
      </c>
      <c r="X490" s="2398">
        <v>0</v>
      </c>
      <c r="Z490" s="2396">
        <v>12171904</v>
      </c>
      <c r="AA490" s="2397" t="s">
        <v>4184</v>
      </c>
      <c r="AB490" s="2398">
        <v>0</v>
      </c>
      <c r="AC490" s="2179">
        <v>0</v>
      </c>
      <c r="AD490" s="2399">
        <v>0</v>
      </c>
      <c r="AE490" s="2400">
        <v>0</v>
      </c>
      <c r="AF490" s="2398">
        <v>0</v>
      </c>
      <c r="AG490" s="2398">
        <v>0</v>
      </c>
      <c r="AH490" s="2401">
        <v>0</v>
      </c>
      <c r="AI490" s="2401">
        <v>0</v>
      </c>
      <c r="AJ490" s="2398">
        <v>0</v>
      </c>
      <c r="AZ490" s="2396">
        <v>12171904</v>
      </c>
      <c r="BA490" s="2397" t="s">
        <v>4184</v>
      </c>
      <c r="BB490" s="2398">
        <v>0</v>
      </c>
      <c r="BC490" s="2179">
        <v>0</v>
      </c>
      <c r="BD490" s="2399">
        <v>0</v>
      </c>
      <c r="BE490" s="2400">
        <v>0</v>
      </c>
      <c r="BF490" s="2398">
        <v>0</v>
      </c>
      <c r="BG490" s="2398">
        <v>0</v>
      </c>
      <c r="BH490" s="2401">
        <v>0</v>
      </c>
      <c r="BI490" s="2401">
        <v>0</v>
      </c>
      <c r="BJ490" s="2398">
        <v>0</v>
      </c>
      <c r="BN490" s="2390">
        <v>12181100</v>
      </c>
      <c r="BO490" s="2403" t="s">
        <v>4154</v>
      </c>
      <c r="BP490" s="2392">
        <v>0</v>
      </c>
      <c r="BQ490" s="2392">
        <v>0</v>
      </c>
      <c r="BR490" s="2393">
        <v>0</v>
      </c>
      <c r="BS490" s="2394">
        <v>443934735</v>
      </c>
      <c r="BT490" s="2392">
        <v>0</v>
      </c>
      <c r="BU490" s="2392">
        <v>443934735</v>
      </c>
      <c r="BV490" s="2395">
        <v>0</v>
      </c>
      <c r="BW490" s="2395">
        <v>0</v>
      </c>
      <c r="BX490" s="2392">
        <v>443934735</v>
      </c>
    </row>
    <row r="491" spans="2:76">
      <c r="B491" s="2558">
        <v>12172000</v>
      </c>
      <c r="C491" s="2571" t="s">
        <v>4185</v>
      </c>
      <c r="D491" s="2560">
        <v>0</v>
      </c>
      <c r="E491" s="2560">
        <v>0</v>
      </c>
      <c r="F491" s="2561">
        <v>0</v>
      </c>
      <c r="G491" s="2562">
        <v>0</v>
      </c>
      <c r="H491" s="2560">
        <v>0</v>
      </c>
      <c r="I491" s="2560">
        <v>0</v>
      </c>
      <c r="J491" s="2563">
        <v>0</v>
      </c>
      <c r="K491" s="2563">
        <v>0</v>
      </c>
      <c r="L491" s="2560">
        <v>0</v>
      </c>
      <c r="N491" s="2390">
        <v>12172000</v>
      </c>
      <c r="O491" s="2403" t="s">
        <v>4185</v>
      </c>
      <c r="P491" s="2392">
        <v>0</v>
      </c>
      <c r="Q491" s="2392">
        <v>0</v>
      </c>
      <c r="R491" s="2393">
        <v>0</v>
      </c>
      <c r="S491" s="2394">
        <v>0</v>
      </c>
      <c r="T491" s="2392">
        <v>0</v>
      </c>
      <c r="U491" s="2392">
        <v>0</v>
      </c>
      <c r="V491" s="2395">
        <v>0</v>
      </c>
      <c r="W491" s="2395">
        <v>0</v>
      </c>
      <c r="X491" s="2392">
        <v>0</v>
      </c>
      <c r="Z491" s="2390">
        <v>12172000</v>
      </c>
      <c r="AA491" s="2403" t="s">
        <v>4185</v>
      </c>
      <c r="AB491" s="2392">
        <v>0</v>
      </c>
      <c r="AC491" s="2392">
        <v>0</v>
      </c>
      <c r="AD491" s="2393">
        <v>0</v>
      </c>
      <c r="AE491" s="2394">
        <v>0</v>
      </c>
      <c r="AF491" s="2392">
        <v>0</v>
      </c>
      <c r="AG491" s="2392">
        <v>0</v>
      </c>
      <c r="AH491" s="2395">
        <v>0</v>
      </c>
      <c r="AI491" s="2395">
        <v>0</v>
      </c>
      <c r="AJ491" s="2392">
        <v>0</v>
      </c>
      <c r="AZ491" s="2390">
        <v>12172000</v>
      </c>
      <c r="BA491" s="2403" t="s">
        <v>4185</v>
      </c>
      <c r="BB491" s="2392">
        <v>0</v>
      </c>
      <c r="BC491" s="2392">
        <v>0</v>
      </c>
      <c r="BD491" s="2393">
        <v>0</v>
      </c>
      <c r="BE491" s="2394">
        <v>0</v>
      </c>
      <c r="BF491" s="2392">
        <v>0</v>
      </c>
      <c r="BG491" s="2392">
        <v>0</v>
      </c>
      <c r="BH491" s="2395">
        <v>0</v>
      </c>
      <c r="BI491" s="2395">
        <v>0</v>
      </c>
      <c r="BJ491" s="2392">
        <v>0</v>
      </c>
      <c r="BN491" s="2396">
        <v>12181101</v>
      </c>
      <c r="BO491" s="2397" t="s">
        <v>4188</v>
      </c>
      <c r="BP491" s="2398">
        <v>0</v>
      </c>
      <c r="BQ491" s="2179">
        <v>0</v>
      </c>
      <c r="BR491" s="2399">
        <v>0</v>
      </c>
      <c r="BS491" s="2400">
        <v>913921153</v>
      </c>
      <c r="BT491" s="2398">
        <v>0</v>
      </c>
      <c r="BU491" s="2398">
        <v>913921153</v>
      </c>
      <c r="BV491" s="2401">
        <v>0</v>
      </c>
      <c r="BW491" s="2401">
        <v>0</v>
      </c>
      <c r="BX491" s="2398">
        <v>913921153</v>
      </c>
    </row>
    <row r="492" spans="2:76">
      <c r="B492" s="2564">
        <v>12172001</v>
      </c>
      <c r="C492" s="2565" t="s">
        <v>4185</v>
      </c>
      <c r="D492" s="2566">
        <v>0</v>
      </c>
      <c r="E492" s="1080">
        <v>0</v>
      </c>
      <c r="F492" s="2567">
        <v>0</v>
      </c>
      <c r="G492" s="2568">
        <v>0</v>
      </c>
      <c r="H492" s="2566">
        <v>0</v>
      </c>
      <c r="I492" s="2566">
        <v>0</v>
      </c>
      <c r="J492" s="2569">
        <v>0</v>
      </c>
      <c r="K492" s="2569">
        <v>0</v>
      </c>
      <c r="L492" s="2566">
        <v>0</v>
      </c>
      <c r="N492" s="2396">
        <v>12172001</v>
      </c>
      <c r="O492" s="2397" t="s">
        <v>4185</v>
      </c>
      <c r="P492" s="2398">
        <v>0</v>
      </c>
      <c r="Q492" s="2179">
        <v>0</v>
      </c>
      <c r="R492" s="2399">
        <v>0</v>
      </c>
      <c r="S492" s="2400">
        <v>0</v>
      </c>
      <c r="T492" s="2398">
        <v>0</v>
      </c>
      <c r="U492" s="2398">
        <v>0</v>
      </c>
      <c r="V492" s="2401">
        <v>0</v>
      </c>
      <c r="W492" s="2401">
        <v>0</v>
      </c>
      <c r="X492" s="2398">
        <v>0</v>
      </c>
      <c r="Z492" s="2396">
        <v>12172001</v>
      </c>
      <c r="AA492" s="2397" t="s">
        <v>4185</v>
      </c>
      <c r="AB492" s="2398">
        <v>0</v>
      </c>
      <c r="AC492" s="2179">
        <v>0</v>
      </c>
      <c r="AD492" s="2399">
        <v>0</v>
      </c>
      <c r="AE492" s="2400">
        <v>0</v>
      </c>
      <c r="AF492" s="2398">
        <v>0</v>
      </c>
      <c r="AG492" s="2398">
        <v>0</v>
      </c>
      <c r="AH492" s="2401">
        <v>0</v>
      </c>
      <c r="AI492" s="2401">
        <v>0</v>
      </c>
      <c r="AJ492" s="2398">
        <v>0</v>
      </c>
      <c r="AZ492" s="2396">
        <v>12172001</v>
      </c>
      <c r="BA492" s="2397" t="s">
        <v>4185</v>
      </c>
      <c r="BB492" s="2398">
        <v>0</v>
      </c>
      <c r="BC492" s="2179">
        <v>0</v>
      </c>
      <c r="BD492" s="2399">
        <v>0</v>
      </c>
      <c r="BE492" s="2400">
        <v>0</v>
      </c>
      <c r="BF492" s="2398">
        <v>0</v>
      </c>
      <c r="BG492" s="2398">
        <v>0</v>
      </c>
      <c r="BH492" s="2401">
        <v>0</v>
      </c>
      <c r="BI492" s="2401">
        <v>0</v>
      </c>
      <c r="BJ492" s="2398">
        <v>0</v>
      </c>
      <c r="BN492" s="2396">
        <v>12181102</v>
      </c>
      <c r="BO492" s="2397" t="s">
        <v>4189</v>
      </c>
      <c r="BP492" s="2398">
        <v>0</v>
      </c>
      <c r="BQ492" s="2179">
        <v>0</v>
      </c>
      <c r="BR492" s="2399">
        <v>0</v>
      </c>
      <c r="BS492" s="2400">
        <v>-469986418</v>
      </c>
      <c r="BT492" s="2398">
        <v>0</v>
      </c>
      <c r="BU492" s="2398">
        <v>-469986418</v>
      </c>
      <c r="BV492" s="2401">
        <v>0</v>
      </c>
      <c r="BW492" s="2401">
        <v>0</v>
      </c>
      <c r="BX492" s="2398">
        <v>-469986418</v>
      </c>
    </row>
    <row r="493" spans="2:76">
      <c r="B493" s="2552">
        <v>12180000</v>
      </c>
      <c r="C493" s="2570" t="s">
        <v>4186</v>
      </c>
      <c r="D493" s="2554">
        <v>9301617490</v>
      </c>
      <c r="E493" s="2554">
        <v>0</v>
      </c>
      <c r="F493" s="2555">
        <v>0</v>
      </c>
      <c r="G493" s="2556">
        <v>2257231226</v>
      </c>
      <c r="H493" s="2554">
        <v>0</v>
      </c>
      <c r="I493" s="2554">
        <v>11558848716</v>
      </c>
      <c r="J493" s="2557">
        <v>0</v>
      </c>
      <c r="K493" s="2557">
        <v>0</v>
      </c>
      <c r="L493" s="2554">
        <v>11558848716</v>
      </c>
      <c r="N493" s="2384">
        <v>12180000</v>
      </c>
      <c r="O493" s="2402" t="s">
        <v>4186</v>
      </c>
      <c r="P493" s="2386">
        <v>9310983880</v>
      </c>
      <c r="Q493" s="2386">
        <v>0</v>
      </c>
      <c r="R493" s="2387">
        <v>0</v>
      </c>
      <c r="S493" s="2388">
        <v>2261677226</v>
      </c>
      <c r="T493" s="2386">
        <v>0</v>
      </c>
      <c r="U493" s="2386">
        <v>11572661106</v>
      </c>
      <c r="V493" s="2389">
        <v>0</v>
      </c>
      <c r="W493" s="2389">
        <v>0</v>
      </c>
      <c r="X493" s="2386">
        <v>11572661106</v>
      </c>
      <c r="Z493" s="2384">
        <v>12180000</v>
      </c>
      <c r="AA493" s="2402" t="s">
        <v>4186</v>
      </c>
      <c r="AB493" s="2386">
        <v>9329716661</v>
      </c>
      <c r="AC493" s="2386">
        <v>0</v>
      </c>
      <c r="AD493" s="2387">
        <v>0</v>
      </c>
      <c r="AE493" s="2388">
        <v>2270569226</v>
      </c>
      <c r="AF493" s="2386">
        <v>0</v>
      </c>
      <c r="AG493" s="2386">
        <v>11600285887</v>
      </c>
      <c r="AH493" s="2389">
        <v>0</v>
      </c>
      <c r="AI493" s="2389">
        <v>0</v>
      </c>
      <c r="AJ493" s="2386">
        <v>11600285887</v>
      </c>
      <c r="AZ493" s="2384">
        <v>12180000</v>
      </c>
      <c r="BA493" s="2402" t="s">
        <v>4186</v>
      </c>
      <c r="BB493" s="2386">
        <v>0</v>
      </c>
      <c r="BC493" s="2386">
        <v>0</v>
      </c>
      <c r="BD493" s="2387">
        <v>0</v>
      </c>
      <c r="BE493" s="2388">
        <v>2288353226</v>
      </c>
      <c r="BF493" s="2386">
        <v>0</v>
      </c>
      <c r="BG493" s="2386">
        <v>2288353226</v>
      </c>
      <c r="BH493" s="2389">
        <v>0</v>
      </c>
      <c r="BI493" s="2389">
        <v>0</v>
      </c>
      <c r="BJ493" s="2386">
        <v>2288353226</v>
      </c>
      <c r="BN493" s="2396">
        <v>12181103</v>
      </c>
      <c r="BO493" s="2397" t="s">
        <v>4190</v>
      </c>
      <c r="BP493" s="2398">
        <v>0</v>
      </c>
      <c r="BQ493" s="2179">
        <v>0</v>
      </c>
      <c r="BR493" s="2399">
        <v>0</v>
      </c>
      <c r="BS493" s="2400">
        <v>0</v>
      </c>
      <c r="BT493" s="2398">
        <v>0</v>
      </c>
      <c r="BU493" s="2398">
        <v>0</v>
      </c>
      <c r="BV493" s="2401">
        <v>0</v>
      </c>
      <c r="BW493" s="2401">
        <v>0</v>
      </c>
      <c r="BX493" s="2398">
        <v>0</v>
      </c>
    </row>
    <row r="494" spans="2:76">
      <c r="B494" s="2558">
        <v>12181000</v>
      </c>
      <c r="C494" s="2571" t="s">
        <v>4152</v>
      </c>
      <c r="D494" s="2560">
        <v>7531369704</v>
      </c>
      <c r="E494" s="2560">
        <v>0</v>
      </c>
      <c r="F494" s="2561">
        <v>0</v>
      </c>
      <c r="G494" s="2562">
        <v>1862202500</v>
      </c>
      <c r="H494" s="2560">
        <v>0</v>
      </c>
      <c r="I494" s="2560">
        <v>9393572204</v>
      </c>
      <c r="J494" s="2563">
        <v>0</v>
      </c>
      <c r="K494" s="2563">
        <v>0</v>
      </c>
      <c r="L494" s="2560">
        <v>9393572204</v>
      </c>
      <c r="N494" s="2390">
        <v>12181000</v>
      </c>
      <c r="O494" s="2403" t="s">
        <v>4152</v>
      </c>
      <c r="P494" s="2392">
        <v>7531369704</v>
      </c>
      <c r="Q494" s="2392">
        <v>0</v>
      </c>
      <c r="R494" s="2393">
        <v>0</v>
      </c>
      <c r="S494" s="2394">
        <v>1862202500</v>
      </c>
      <c r="T494" s="2392">
        <v>0</v>
      </c>
      <c r="U494" s="2392">
        <v>9393572204</v>
      </c>
      <c r="V494" s="2395">
        <v>0</v>
      </c>
      <c r="W494" s="2395">
        <v>0</v>
      </c>
      <c r="X494" s="2392">
        <v>9393572204</v>
      </c>
      <c r="Z494" s="2390">
        <v>12181000</v>
      </c>
      <c r="AA494" s="2403" t="s">
        <v>4152</v>
      </c>
      <c r="AB494" s="2392">
        <v>7531369704</v>
      </c>
      <c r="AC494" s="2392">
        <v>0</v>
      </c>
      <c r="AD494" s="2393">
        <v>0</v>
      </c>
      <c r="AE494" s="2394">
        <v>1862202500</v>
      </c>
      <c r="AF494" s="2392">
        <v>0</v>
      </c>
      <c r="AG494" s="2392">
        <v>9393572204</v>
      </c>
      <c r="AH494" s="2395">
        <v>0</v>
      </c>
      <c r="AI494" s="2395">
        <v>0</v>
      </c>
      <c r="AJ494" s="2392">
        <v>9393572204</v>
      </c>
      <c r="AZ494" s="2390">
        <v>12181000</v>
      </c>
      <c r="BA494" s="2403" t="s">
        <v>4152</v>
      </c>
      <c r="BB494" s="2392">
        <v>0</v>
      </c>
      <c r="BC494" s="2392">
        <v>0</v>
      </c>
      <c r="BD494" s="2393">
        <v>0</v>
      </c>
      <c r="BE494" s="2394">
        <v>1862202500</v>
      </c>
      <c r="BF494" s="2392">
        <v>0</v>
      </c>
      <c r="BG494" s="2392">
        <v>1862202500</v>
      </c>
      <c r="BH494" s="2395">
        <v>0</v>
      </c>
      <c r="BI494" s="2395">
        <v>0</v>
      </c>
      <c r="BJ494" s="2392">
        <v>1862202500</v>
      </c>
      <c r="BN494" s="2396">
        <v>12181104</v>
      </c>
      <c r="BO494" s="2397" t="s">
        <v>4191</v>
      </c>
      <c r="BP494" s="2398">
        <v>0</v>
      </c>
      <c r="BQ494" s="2179">
        <v>0</v>
      </c>
      <c r="BR494" s="2399">
        <v>0</v>
      </c>
      <c r="BS494" s="2400">
        <v>0</v>
      </c>
      <c r="BT494" s="2398">
        <v>0</v>
      </c>
      <c r="BU494" s="2398">
        <v>0</v>
      </c>
      <c r="BV494" s="2401">
        <v>0</v>
      </c>
      <c r="BW494" s="2401">
        <v>0</v>
      </c>
      <c r="BX494" s="2398">
        <v>0</v>
      </c>
    </row>
    <row r="495" spans="2:76">
      <c r="B495" s="2564">
        <v>12181001</v>
      </c>
      <c r="C495" s="2565" t="s">
        <v>4187</v>
      </c>
      <c r="D495" s="2566">
        <v>7531369704</v>
      </c>
      <c r="E495" s="1080">
        <v>0</v>
      </c>
      <c r="F495" s="2567">
        <v>0</v>
      </c>
      <c r="G495" s="2568">
        <v>1862202500</v>
      </c>
      <c r="H495" s="2566">
        <v>0</v>
      </c>
      <c r="I495" s="2566">
        <v>9393572204</v>
      </c>
      <c r="J495" s="2569">
        <v>0</v>
      </c>
      <c r="K495" s="2569">
        <v>0</v>
      </c>
      <c r="L495" s="2566">
        <v>9393572204</v>
      </c>
      <c r="N495" s="2396">
        <v>12181001</v>
      </c>
      <c r="O495" s="2397" t="s">
        <v>4187</v>
      </c>
      <c r="P495" s="2398">
        <v>7531369704</v>
      </c>
      <c r="Q495" s="2179">
        <v>0</v>
      </c>
      <c r="R495" s="2399">
        <v>0</v>
      </c>
      <c r="S495" s="2400">
        <v>1862202500</v>
      </c>
      <c r="T495" s="2398">
        <v>0</v>
      </c>
      <c r="U495" s="2398">
        <v>9393572204</v>
      </c>
      <c r="V495" s="2401">
        <v>0</v>
      </c>
      <c r="W495" s="2401">
        <v>0</v>
      </c>
      <c r="X495" s="2398">
        <v>9393572204</v>
      </c>
      <c r="Z495" s="2396">
        <v>12181001</v>
      </c>
      <c r="AA495" s="2397" t="s">
        <v>4187</v>
      </c>
      <c r="AB495" s="2398">
        <v>7531369704</v>
      </c>
      <c r="AC495" s="2179">
        <v>0</v>
      </c>
      <c r="AD495" s="2399">
        <v>0</v>
      </c>
      <c r="AE495" s="2400">
        <v>1862202500</v>
      </c>
      <c r="AF495" s="2398">
        <v>0</v>
      </c>
      <c r="AG495" s="2398">
        <v>9393572204</v>
      </c>
      <c r="AH495" s="2401">
        <v>0</v>
      </c>
      <c r="AI495" s="2401">
        <v>0</v>
      </c>
      <c r="AJ495" s="2398">
        <v>9393572204</v>
      </c>
      <c r="AZ495" s="2396">
        <v>12181001</v>
      </c>
      <c r="BA495" s="2397" t="s">
        <v>4187</v>
      </c>
      <c r="BB495" s="2398">
        <v>0</v>
      </c>
      <c r="BC495" s="2179">
        <v>0</v>
      </c>
      <c r="BD495" s="2399">
        <v>0</v>
      </c>
      <c r="BE495" s="2400">
        <v>1862202500</v>
      </c>
      <c r="BF495" s="2398">
        <v>0</v>
      </c>
      <c r="BG495" s="2398">
        <v>1862202500</v>
      </c>
      <c r="BH495" s="2401">
        <v>0</v>
      </c>
      <c r="BI495" s="2401">
        <v>0</v>
      </c>
      <c r="BJ495" s="2398">
        <v>1862202500</v>
      </c>
      <c r="BN495" s="2390">
        <v>12181200</v>
      </c>
      <c r="BO495" s="2403" t="s">
        <v>4158</v>
      </c>
      <c r="BP495" s="2392">
        <v>0</v>
      </c>
      <c r="BQ495" s="2392">
        <v>0</v>
      </c>
      <c r="BR495" s="2393">
        <v>0</v>
      </c>
      <c r="BS495" s="2394">
        <v>0</v>
      </c>
      <c r="BT495" s="2392">
        <v>0</v>
      </c>
      <c r="BU495" s="2392">
        <v>0</v>
      </c>
      <c r="BV495" s="2395">
        <v>0</v>
      </c>
      <c r="BW495" s="2395">
        <v>0</v>
      </c>
      <c r="BX495" s="2392">
        <v>0</v>
      </c>
    </row>
    <row r="496" spans="2:76">
      <c r="B496" s="2558">
        <v>12181100</v>
      </c>
      <c r="C496" s="2571" t="s">
        <v>4154</v>
      </c>
      <c r="D496" s="2560">
        <v>1770247786</v>
      </c>
      <c r="E496" s="2560">
        <v>0</v>
      </c>
      <c r="F496" s="2561">
        <v>0</v>
      </c>
      <c r="G496" s="2562">
        <v>395028726</v>
      </c>
      <c r="H496" s="2560">
        <v>0</v>
      </c>
      <c r="I496" s="2560">
        <v>2165276512</v>
      </c>
      <c r="J496" s="2563">
        <v>0</v>
      </c>
      <c r="K496" s="2563">
        <v>0</v>
      </c>
      <c r="L496" s="2560">
        <v>2165276512</v>
      </c>
      <c r="N496" s="2390">
        <v>12181100</v>
      </c>
      <c r="O496" s="2403" t="s">
        <v>4154</v>
      </c>
      <c r="P496" s="2392">
        <v>1779614176</v>
      </c>
      <c r="Q496" s="2392">
        <v>0</v>
      </c>
      <c r="R496" s="2393">
        <v>0</v>
      </c>
      <c r="S496" s="2394">
        <v>399474726</v>
      </c>
      <c r="T496" s="2392">
        <v>0</v>
      </c>
      <c r="U496" s="2392">
        <v>2179088902</v>
      </c>
      <c r="V496" s="2395">
        <v>0</v>
      </c>
      <c r="W496" s="2395">
        <v>0</v>
      </c>
      <c r="X496" s="2392">
        <v>2179088902</v>
      </c>
      <c r="Z496" s="2390">
        <v>12181100</v>
      </c>
      <c r="AA496" s="2403" t="s">
        <v>4154</v>
      </c>
      <c r="AB496" s="2392">
        <v>1798346957</v>
      </c>
      <c r="AC496" s="2392">
        <v>0</v>
      </c>
      <c r="AD496" s="2393">
        <v>0</v>
      </c>
      <c r="AE496" s="2394">
        <v>408366726</v>
      </c>
      <c r="AF496" s="2392">
        <v>0</v>
      </c>
      <c r="AG496" s="2392">
        <v>2206713683</v>
      </c>
      <c r="AH496" s="2395">
        <v>0</v>
      </c>
      <c r="AI496" s="2395">
        <v>0</v>
      </c>
      <c r="AJ496" s="2392">
        <v>2206713683</v>
      </c>
      <c r="AZ496" s="2390">
        <v>12181100</v>
      </c>
      <c r="BA496" s="2403" t="s">
        <v>4154</v>
      </c>
      <c r="BB496" s="2392">
        <v>0</v>
      </c>
      <c r="BC496" s="2392">
        <v>0</v>
      </c>
      <c r="BD496" s="2393">
        <v>0</v>
      </c>
      <c r="BE496" s="2394">
        <v>426150726</v>
      </c>
      <c r="BF496" s="2392">
        <v>0</v>
      </c>
      <c r="BG496" s="2392">
        <v>426150726</v>
      </c>
      <c r="BH496" s="2395">
        <v>0</v>
      </c>
      <c r="BI496" s="2395">
        <v>0</v>
      </c>
      <c r="BJ496" s="2392">
        <v>426150726</v>
      </c>
      <c r="BN496" s="2396">
        <v>12181201</v>
      </c>
      <c r="BO496" s="2397" t="s">
        <v>4192</v>
      </c>
      <c r="BP496" s="2398">
        <v>0</v>
      </c>
      <c r="BQ496" s="2179">
        <v>0</v>
      </c>
      <c r="BR496" s="2399">
        <v>0</v>
      </c>
      <c r="BS496" s="2400">
        <v>0</v>
      </c>
      <c r="BT496" s="2398">
        <v>0</v>
      </c>
      <c r="BU496" s="2398">
        <v>0</v>
      </c>
      <c r="BV496" s="2401">
        <v>0</v>
      </c>
      <c r="BW496" s="2401">
        <v>0</v>
      </c>
      <c r="BX496" s="2398">
        <v>0</v>
      </c>
    </row>
    <row r="497" spans="2:76">
      <c r="B497" s="2564">
        <v>12181101</v>
      </c>
      <c r="C497" s="2565" t="s">
        <v>4188</v>
      </c>
      <c r="D497" s="2566">
        <v>1873278080</v>
      </c>
      <c r="E497" s="1080">
        <v>0</v>
      </c>
      <c r="F497" s="2567">
        <v>0</v>
      </c>
      <c r="G497" s="2568">
        <v>913921153</v>
      </c>
      <c r="H497" s="2566">
        <v>0</v>
      </c>
      <c r="I497" s="2566">
        <v>2787199233</v>
      </c>
      <c r="J497" s="2569">
        <v>0</v>
      </c>
      <c r="K497" s="2569">
        <v>0</v>
      </c>
      <c r="L497" s="2566">
        <v>2787199233</v>
      </c>
      <c r="N497" s="2396">
        <v>12181101</v>
      </c>
      <c r="O497" s="2397" t="s">
        <v>4188</v>
      </c>
      <c r="P497" s="2398">
        <v>1873278080</v>
      </c>
      <c r="Q497" s="2179">
        <v>0</v>
      </c>
      <c r="R497" s="2399">
        <v>0</v>
      </c>
      <c r="S497" s="2400">
        <v>913921153</v>
      </c>
      <c r="T497" s="2398">
        <v>0</v>
      </c>
      <c r="U497" s="2398">
        <v>2787199233</v>
      </c>
      <c r="V497" s="2401">
        <v>0</v>
      </c>
      <c r="W497" s="2401">
        <v>0</v>
      </c>
      <c r="X497" s="2398">
        <v>2787199233</v>
      </c>
      <c r="Z497" s="2396">
        <v>12181101</v>
      </c>
      <c r="AA497" s="2397" t="s">
        <v>4188</v>
      </c>
      <c r="AB497" s="2398">
        <v>1873278080</v>
      </c>
      <c r="AC497" s="2179">
        <v>0</v>
      </c>
      <c r="AD497" s="2399">
        <v>0</v>
      </c>
      <c r="AE497" s="2400">
        <v>913921153</v>
      </c>
      <c r="AF497" s="2398">
        <v>0</v>
      </c>
      <c r="AG497" s="2398">
        <v>2787199233</v>
      </c>
      <c r="AH497" s="2401">
        <v>0</v>
      </c>
      <c r="AI497" s="2401">
        <v>0</v>
      </c>
      <c r="AJ497" s="2398">
        <v>2787199233</v>
      </c>
      <c r="AZ497" s="2396">
        <v>12181101</v>
      </c>
      <c r="BA497" s="2397" t="s">
        <v>4188</v>
      </c>
      <c r="BB497" s="2398">
        <v>0</v>
      </c>
      <c r="BC497" s="2179">
        <v>0</v>
      </c>
      <c r="BD497" s="2399">
        <v>0</v>
      </c>
      <c r="BE497" s="2400">
        <v>913921153</v>
      </c>
      <c r="BF497" s="2398">
        <v>0</v>
      </c>
      <c r="BG497" s="2398">
        <v>913921153</v>
      </c>
      <c r="BH497" s="2401">
        <v>0</v>
      </c>
      <c r="BI497" s="2401">
        <v>0</v>
      </c>
      <c r="BJ497" s="2398">
        <v>913921153</v>
      </c>
      <c r="BN497" s="2396">
        <v>12181202</v>
      </c>
      <c r="BO497" s="2397" t="s">
        <v>4193</v>
      </c>
      <c r="BP497" s="2398">
        <v>0</v>
      </c>
      <c r="BQ497" s="2179">
        <v>0</v>
      </c>
      <c r="BR497" s="2399">
        <v>0</v>
      </c>
      <c r="BS497" s="2400">
        <v>0</v>
      </c>
      <c r="BT497" s="2398">
        <v>0</v>
      </c>
      <c r="BU497" s="2398">
        <v>0</v>
      </c>
      <c r="BV497" s="2401">
        <v>0</v>
      </c>
      <c r="BW497" s="2401">
        <v>0</v>
      </c>
      <c r="BX497" s="2398">
        <v>0</v>
      </c>
    </row>
    <row r="498" spans="2:76">
      <c r="B498" s="2564">
        <v>12181102</v>
      </c>
      <c r="C498" s="2565" t="s">
        <v>5032</v>
      </c>
      <c r="D498" s="2566">
        <v>-103030294</v>
      </c>
      <c r="E498" s="1080">
        <v>0</v>
      </c>
      <c r="F498" s="2567">
        <v>0</v>
      </c>
      <c r="G498" s="2568">
        <v>-518892427</v>
      </c>
      <c r="H498" s="2566">
        <v>0</v>
      </c>
      <c r="I498" s="2566">
        <v>-621922721</v>
      </c>
      <c r="J498" s="2569">
        <v>0</v>
      </c>
      <c r="K498" s="2569">
        <v>0</v>
      </c>
      <c r="L498" s="2566">
        <v>-621922721</v>
      </c>
      <c r="N498" s="2396">
        <v>12181102</v>
      </c>
      <c r="O498" s="2397" t="s">
        <v>4189</v>
      </c>
      <c r="P498" s="2398">
        <v>-93663904</v>
      </c>
      <c r="Q498" s="2179">
        <v>0</v>
      </c>
      <c r="R498" s="2399">
        <v>0</v>
      </c>
      <c r="S498" s="2400">
        <v>-514446427</v>
      </c>
      <c r="T498" s="2398">
        <v>0</v>
      </c>
      <c r="U498" s="2398">
        <v>-608110331</v>
      </c>
      <c r="V498" s="2401">
        <v>0</v>
      </c>
      <c r="W498" s="2401">
        <v>0</v>
      </c>
      <c r="X498" s="2398">
        <v>-608110331</v>
      </c>
      <c r="Z498" s="2396">
        <v>12181102</v>
      </c>
      <c r="AA498" s="2397" t="s">
        <v>4189</v>
      </c>
      <c r="AB498" s="2398">
        <v>-74931123</v>
      </c>
      <c r="AC498" s="2179">
        <v>0</v>
      </c>
      <c r="AD498" s="2399">
        <v>0</v>
      </c>
      <c r="AE498" s="2400">
        <v>-505554427</v>
      </c>
      <c r="AF498" s="2398">
        <v>0</v>
      </c>
      <c r="AG498" s="2398">
        <v>-580485550</v>
      </c>
      <c r="AH498" s="2401">
        <v>0</v>
      </c>
      <c r="AI498" s="2401">
        <v>0</v>
      </c>
      <c r="AJ498" s="2398">
        <v>-580485550</v>
      </c>
      <c r="AZ498" s="2396">
        <v>12181102</v>
      </c>
      <c r="BA498" s="2397" t="s">
        <v>4189</v>
      </c>
      <c r="BB498" s="2398">
        <v>0</v>
      </c>
      <c r="BC498" s="2179">
        <v>0</v>
      </c>
      <c r="BD498" s="2399">
        <v>0</v>
      </c>
      <c r="BE498" s="2400">
        <v>-487770427</v>
      </c>
      <c r="BF498" s="2398">
        <v>0</v>
      </c>
      <c r="BG498" s="2398">
        <v>-487770427</v>
      </c>
      <c r="BH498" s="2401">
        <v>0</v>
      </c>
      <c r="BI498" s="2401">
        <v>0</v>
      </c>
      <c r="BJ498" s="2398">
        <v>-487770427</v>
      </c>
      <c r="BN498" s="2396">
        <v>12181203</v>
      </c>
      <c r="BO498" s="2397" t="s">
        <v>4194</v>
      </c>
      <c r="BP498" s="2398">
        <v>0</v>
      </c>
      <c r="BQ498" s="2179">
        <v>0</v>
      </c>
      <c r="BR498" s="2399">
        <v>0</v>
      </c>
      <c r="BS498" s="2400">
        <v>0</v>
      </c>
      <c r="BT498" s="2398">
        <v>0</v>
      </c>
      <c r="BU498" s="2398">
        <v>0</v>
      </c>
      <c r="BV498" s="2401">
        <v>0</v>
      </c>
      <c r="BW498" s="2401">
        <v>0</v>
      </c>
      <c r="BX498" s="2398">
        <v>0</v>
      </c>
    </row>
    <row r="499" spans="2:76">
      <c r="B499" s="2564">
        <v>12181103</v>
      </c>
      <c r="C499" s="2565" t="s">
        <v>5033</v>
      </c>
      <c r="D499" s="2566">
        <v>0</v>
      </c>
      <c r="E499" s="1080">
        <v>0</v>
      </c>
      <c r="F499" s="2567">
        <v>0</v>
      </c>
      <c r="G499" s="2568">
        <v>0</v>
      </c>
      <c r="H499" s="2566">
        <v>0</v>
      </c>
      <c r="I499" s="2566">
        <v>0</v>
      </c>
      <c r="J499" s="2569">
        <v>0</v>
      </c>
      <c r="K499" s="2569">
        <v>0</v>
      </c>
      <c r="L499" s="2566">
        <v>0</v>
      </c>
      <c r="N499" s="2396">
        <v>12181103</v>
      </c>
      <c r="O499" s="2397" t="s">
        <v>4190</v>
      </c>
      <c r="P499" s="2398">
        <v>0</v>
      </c>
      <c r="Q499" s="2179">
        <v>0</v>
      </c>
      <c r="R499" s="2399">
        <v>0</v>
      </c>
      <c r="S499" s="2400">
        <v>0</v>
      </c>
      <c r="T499" s="2398">
        <v>0</v>
      </c>
      <c r="U499" s="2398">
        <v>0</v>
      </c>
      <c r="V499" s="2401">
        <v>0</v>
      </c>
      <c r="W499" s="2401">
        <v>0</v>
      </c>
      <c r="X499" s="2398">
        <v>0</v>
      </c>
      <c r="Z499" s="2396">
        <v>12181103</v>
      </c>
      <c r="AA499" s="2397" t="s">
        <v>4190</v>
      </c>
      <c r="AB499" s="2398">
        <v>0</v>
      </c>
      <c r="AC499" s="2179">
        <v>0</v>
      </c>
      <c r="AD499" s="2399">
        <v>0</v>
      </c>
      <c r="AE499" s="2400">
        <v>0</v>
      </c>
      <c r="AF499" s="2398">
        <v>0</v>
      </c>
      <c r="AG499" s="2398">
        <v>0</v>
      </c>
      <c r="AH499" s="2401">
        <v>0</v>
      </c>
      <c r="AI499" s="2401">
        <v>0</v>
      </c>
      <c r="AJ499" s="2398">
        <v>0</v>
      </c>
      <c r="AZ499" s="2396">
        <v>12181103</v>
      </c>
      <c r="BA499" s="2397" t="s">
        <v>4190</v>
      </c>
      <c r="BB499" s="2398">
        <v>0</v>
      </c>
      <c r="BC499" s="2179">
        <v>0</v>
      </c>
      <c r="BD499" s="2399">
        <v>0</v>
      </c>
      <c r="BE499" s="2400">
        <v>0</v>
      </c>
      <c r="BF499" s="2398">
        <v>0</v>
      </c>
      <c r="BG499" s="2398">
        <v>0</v>
      </c>
      <c r="BH499" s="2401">
        <v>0</v>
      </c>
      <c r="BI499" s="2401">
        <v>0</v>
      </c>
      <c r="BJ499" s="2398">
        <v>0</v>
      </c>
      <c r="BN499" s="2396">
        <v>12181204</v>
      </c>
      <c r="BO499" s="2397" t="s">
        <v>4195</v>
      </c>
      <c r="BP499" s="2398">
        <v>0</v>
      </c>
      <c r="BQ499" s="2179">
        <v>0</v>
      </c>
      <c r="BR499" s="2399">
        <v>0</v>
      </c>
      <c r="BS499" s="2400">
        <v>0</v>
      </c>
      <c r="BT499" s="2398">
        <v>0</v>
      </c>
      <c r="BU499" s="2398">
        <v>0</v>
      </c>
      <c r="BV499" s="2401">
        <v>0</v>
      </c>
      <c r="BW499" s="2401">
        <v>0</v>
      </c>
      <c r="BX499" s="2398">
        <v>0</v>
      </c>
    </row>
    <row r="500" spans="2:76">
      <c r="B500" s="2564">
        <v>12181104</v>
      </c>
      <c r="C500" s="2565" t="s">
        <v>5034</v>
      </c>
      <c r="D500" s="2566">
        <v>0</v>
      </c>
      <c r="E500" s="1080">
        <v>0</v>
      </c>
      <c r="F500" s="2567">
        <v>0</v>
      </c>
      <c r="G500" s="2568">
        <v>0</v>
      </c>
      <c r="H500" s="2566">
        <v>0</v>
      </c>
      <c r="I500" s="2566">
        <v>0</v>
      </c>
      <c r="J500" s="2569">
        <v>0</v>
      </c>
      <c r="K500" s="2569">
        <v>0</v>
      </c>
      <c r="L500" s="2566">
        <v>0</v>
      </c>
      <c r="N500" s="2396">
        <v>12181104</v>
      </c>
      <c r="O500" s="2397" t="s">
        <v>4191</v>
      </c>
      <c r="P500" s="2398">
        <v>0</v>
      </c>
      <c r="Q500" s="2179">
        <v>0</v>
      </c>
      <c r="R500" s="2399">
        <v>0</v>
      </c>
      <c r="S500" s="2400">
        <v>0</v>
      </c>
      <c r="T500" s="2398">
        <v>0</v>
      </c>
      <c r="U500" s="2398">
        <v>0</v>
      </c>
      <c r="V500" s="2401">
        <v>0</v>
      </c>
      <c r="W500" s="2401">
        <v>0</v>
      </c>
      <c r="X500" s="2398">
        <v>0</v>
      </c>
      <c r="Z500" s="2396">
        <v>12181104</v>
      </c>
      <c r="AA500" s="2397" t="s">
        <v>4191</v>
      </c>
      <c r="AB500" s="2398">
        <v>0</v>
      </c>
      <c r="AC500" s="2179">
        <v>0</v>
      </c>
      <c r="AD500" s="2399">
        <v>0</v>
      </c>
      <c r="AE500" s="2400">
        <v>0</v>
      </c>
      <c r="AF500" s="2398">
        <v>0</v>
      </c>
      <c r="AG500" s="2398">
        <v>0</v>
      </c>
      <c r="AH500" s="2401">
        <v>0</v>
      </c>
      <c r="AI500" s="2401">
        <v>0</v>
      </c>
      <c r="AJ500" s="2398">
        <v>0</v>
      </c>
      <c r="AZ500" s="2396">
        <v>12181104</v>
      </c>
      <c r="BA500" s="2397" t="s">
        <v>4191</v>
      </c>
      <c r="BB500" s="2398">
        <v>0</v>
      </c>
      <c r="BC500" s="2179">
        <v>0</v>
      </c>
      <c r="BD500" s="2399">
        <v>0</v>
      </c>
      <c r="BE500" s="2400">
        <v>0</v>
      </c>
      <c r="BF500" s="2398">
        <v>0</v>
      </c>
      <c r="BG500" s="2398">
        <v>0</v>
      </c>
      <c r="BH500" s="2401">
        <v>0</v>
      </c>
      <c r="BI500" s="2401">
        <v>0</v>
      </c>
      <c r="BJ500" s="2398">
        <v>0</v>
      </c>
      <c r="BN500" s="2390">
        <v>12181300</v>
      </c>
      <c r="BO500" s="2403" t="s">
        <v>4196</v>
      </c>
      <c r="BP500" s="2392">
        <v>0</v>
      </c>
      <c r="BQ500" s="2392">
        <v>0</v>
      </c>
      <c r="BR500" s="2393">
        <v>0</v>
      </c>
      <c r="BS500" s="2394">
        <v>0</v>
      </c>
      <c r="BT500" s="2392">
        <v>0</v>
      </c>
      <c r="BU500" s="2392">
        <v>0</v>
      </c>
      <c r="BV500" s="2395">
        <v>0</v>
      </c>
      <c r="BW500" s="2395">
        <v>0</v>
      </c>
      <c r="BX500" s="2392">
        <v>0</v>
      </c>
    </row>
    <row r="501" spans="2:76">
      <c r="B501" s="2558">
        <v>12181200</v>
      </c>
      <c r="C501" s="2571" t="s">
        <v>4158</v>
      </c>
      <c r="D501" s="2560">
        <v>0</v>
      </c>
      <c r="E501" s="2560">
        <v>0</v>
      </c>
      <c r="F501" s="2561">
        <v>0</v>
      </c>
      <c r="G501" s="2562">
        <v>0</v>
      </c>
      <c r="H501" s="2560">
        <v>0</v>
      </c>
      <c r="I501" s="2560">
        <v>0</v>
      </c>
      <c r="J501" s="2563">
        <v>0</v>
      </c>
      <c r="K501" s="2563">
        <v>0</v>
      </c>
      <c r="L501" s="2560">
        <v>0</v>
      </c>
      <c r="N501" s="2390">
        <v>12181200</v>
      </c>
      <c r="O501" s="2403" t="s">
        <v>4158</v>
      </c>
      <c r="P501" s="2392">
        <v>0</v>
      </c>
      <c r="Q501" s="2392">
        <v>0</v>
      </c>
      <c r="R501" s="2393">
        <v>0</v>
      </c>
      <c r="S501" s="2394">
        <v>0</v>
      </c>
      <c r="T501" s="2392">
        <v>0</v>
      </c>
      <c r="U501" s="2392">
        <v>0</v>
      </c>
      <c r="V501" s="2395">
        <v>0</v>
      </c>
      <c r="W501" s="2395">
        <v>0</v>
      </c>
      <c r="X501" s="2392">
        <v>0</v>
      </c>
      <c r="Z501" s="2390">
        <v>12181200</v>
      </c>
      <c r="AA501" s="2403" t="s">
        <v>4158</v>
      </c>
      <c r="AB501" s="2392">
        <v>0</v>
      </c>
      <c r="AC501" s="2392">
        <v>0</v>
      </c>
      <c r="AD501" s="2393">
        <v>0</v>
      </c>
      <c r="AE501" s="2394">
        <v>0</v>
      </c>
      <c r="AF501" s="2392">
        <v>0</v>
      </c>
      <c r="AG501" s="2392">
        <v>0</v>
      </c>
      <c r="AH501" s="2395">
        <v>0</v>
      </c>
      <c r="AI501" s="2395">
        <v>0</v>
      </c>
      <c r="AJ501" s="2392">
        <v>0</v>
      </c>
      <c r="AZ501" s="2390">
        <v>12181200</v>
      </c>
      <c r="BA501" s="2403" t="s">
        <v>4158</v>
      </c>
      <c r="BB501" s="2392">
        <v>0</v>
      </c>
      <c r="BC501" s="2392">
        <v>0</v>
      </c>
      <c r="BD501" s="2393">
        <v>0</v>
      </c>
      <c r="BE501" s="2394">
        <v>0</v>
      </c>
      <c r="BF501" s="2392">
        <v>0</v>
      </c>
      <c r="BG501" s="2392">
        <v>0</v>
      </c>
      <c r="BH501" s="2395">
        <v>0</v>
      </c>
      <c r="BI501" s="2395">
        <v>0</v>
      </c>
      <c r="BJ501" s="2392">
        <v>0</v>
      </c>
      <c r="BN501" s="2396">
        <v>12181301</v>
      </c>
      <c r="BO501" s="2397" t="s">
        <v>4197</v>
      </c>
      <c r="BP501" s="2398">
        <v>0</v>
      </c>
      <c r="BQ501" s="2179">
        <v>0</v>
      </c>
      <c r="BR501" s="2399">
        <v>0</v>
      </c>
      <c r="BS501" s="2400">
        <v>0</v>
      </c>
      <c r="BT501" s="2398">
        <v>0</v>
      </c>
      <c r="BU501" s="2398">
        <v>0</v>
      </c>
      <c r="BV501" s="2401">
        <v>0</v>
      </c>
      <c r="BW501" s="2401">
        <v>0</v>
      </c>
      <c r="BX501" s="2398">
        <v>0</v>
      </c>
    </row>
    <row r="502" spans="2:76">
      <c r="B502" s="2564">
        <v>12181201</v>
      </c>
      <c r="C502" s="2565" t="s">
        <v>4192</v>
      </c>
      <c r="D502" s="2566">
        <v>0</v>
      </c>
      <c r="E502" s="1080">
        <v>0</v>
      </c>
      <c r="F502" s="2567">
        <v>0</v>
      </c>
      <c r="G502" s="2568">
        <v>0</v>
      </c>
      <c r="H502" s="2566">
        <v>0</v>
      </c>
      <c r="I502" s="2566">
        <v>0</v>
      </c>
      <c r="J502" s="2569">
        <v>0</v>
      </c>
      <c r="K502" s="2569">
        <v>0</v>
      </c>
      <c r="L502" s="2566">
        <v>0</v>
      </c>
      <c r="N502" s="2396">
        <v>12181201</v>
      </c>
      <c r="O502" s="2397" t="s">
        <v>4192</v>
      </c>
      <c r="P502" s="2398">
        <v>0</v>
      </c>
      <c r="Q502" s="2179">
        <v>0</v>
      </c>
      <c r="R502" s="2399">
        <v>0</v>
      </c>
      <c r="S502" s="2400">
        <v>0</v>
      </c>
      <c r="T502" s="2398">
        <v>0</v>
      </c>
      <c r="U502" s="2398">
        <v>0</v>
      </c>
      <c r="V502" s="2401">
        <v>0</v>
      </c>
      <c r="W502" s="2401">
        <v>0</v>
      </c>
      <c r="X502" s="2398">
        <v>0</v>
      </c>
      <c r="Z502" s="2396">
        <v>12181201</v>
      </c>
      <c r="AA502" s="2397" t="s">
        <v>4192</v>
      </c>
      <c r="AB502" s="2398">
        <v>0</v>
      </c>
      <c r="AC502" s="2179">
        <v>0</v>
      </c>
      <c r="AD502" s="2399">
        <v>0</v>
      </c>
      <c r="AE502" s="2400">
        <v>0</v>
      </c>
      <c r="AF502" s="2398">
        <v>0</v>
      </c>
      <c r="AG502" s="2398">
        <v>0</v>
      </c>
      <c r="AH502" s="2401">
        <v>0</v>
      </c>
      <c r="AI502" s="2401">
        <v>0</v>
      </c>
      <c r="AJ502" s="2398">
        <v>0</v>
      </c>
      <c r="AZ502" s="2396">
        <v>12181201</v>
      </c>
      <c r="BA502" s="2397" t="s">
        <v>4192</v>
      </c>
      <c r="BB502" s="2398">
        <v>0</v>
      </c>
      <c r="BC502" s="2179">
        <v>0</v>
      </c>
      <c r="BD502" s="2399">
        <v>0</v>
      </c>
      <c r="BE502" s="2400">
        <v>0</v>
      </c>
      <c r="BF502" s="2398">
        <v>0</v>
      </c>
      <c r="BG502" s="2398">
        <v>0</v>
      </c>
      <c r="BH502" s="2401">
        <v>0</v>
      </c>
      <c r="BI502" s="2401">
        <v>0</v>
      </c>
      <c r="BJ502" s="2398">
        <v>0</v>
      </c>
      <c r="BN502" s="2396">
        <v>12181302</v>
      </c>
      <c r="BO502" s="2397" t="s">
        <v>4198</v>
      </c>
      <c r="BP502" s="2398">
        <v>0</v>
      </c>
      <c r="BQ502" s="2179">
        <v>0</v>
      </c>
      <c r="BR502" s="2399">
        <v>0</v>
      </c>
      <c r="BS502" s="2400">
        <v>0</v>
      </c>
      <c r="BT502" s="2398">
        <v>0</v>
      </c>
      <c r="BU502" s="2398">
        <v>0</v>
      </c>
      <c r="BV502" s="2401">
        <v>0</v>
      </c>
      <c r="BW502" s="2401">
        <v>0</v>
      </c>
      <c r="BX502" s="2398">
        <v>0</v>
      </c>
    </row>
    <row r="503" spans="2:76">
      <c r="B503" s="2564">
        <v>12181202</v>
      </c>
      <c r="C503" s="2565" t="s">
        <v>4193</v>
      </c>
      <c r="D503" s="2566">
        <v>0</v>
      </c>
      <c r="E503" s="1080">
        <v>0</v>
      </c>
      <c r="F503" s="2567">
        <v>0</v>
      </c>
      <c r="G503" s="2568">
        <v>0</v>
      </c>
      <c r="H503" s="2566">
        <v>0</v>
      </c>
      <c r="I503" s="2566">
        <v>0</v>
      </c>
      <c r="J503" s="2569">
        <v>0</v>
      </c>
      <c r="K503" s="2569">
        <v>0</v>
      </c>
      <c r="L503" s="2566">
        <v>0</v>
      </c>
      <c r="N503" s="2396">
        <v>12181202</v>
      </c>
      <c r="O503" s="2397" t="s">
        <v>4193</v>
      </c>
      <c r="P503" s="2398">
        <v>0</v>
      </c>
      <c r="Q503" s="2179">
        <v>0</v>
      </c>
      <c r="R503" s="2399">
        <v>0</v>
      </c>
      <c r="S503" s="2400">
        <v>0</v>
      </c>
      <c r="T503" s="2398">
        <v>0</v>
      </c>
      <c r="U503" s="2398">
        <v>0</v>
      </c>
      <c r="V503" s="2401">
        <v>0</v>
      </c>
      <c r="W503" s="2401">
        <v>0</v>
      </c>
      <c r="X503" s="2398">
        <v>0</v>
      </c>
      <c r="Z503" s="2396">
        <v>12181202</v>
      </c>
      <c r="AA503" s="2397" t="s">
        <v>4193</v>
      </c>
      <c r="AB503" s="2398">
        <v>0</v>
      </c>
      <c r="AC503" s="2179">
        <v>0</v>
      </c>
      <c r="AD503" s="2399">
        <v>0</v>
      </c>
      <c r="AE503" s="2400">
        <v>0</v>
      </c>
      <c r="AF503" s="2398">
        <v>0</v>
      </c>
      <c r="AG503" s="2398">
        <v>0</v>
      </c>
      <c r="AH503" s="2401">
        <v>0</v>
      </c>
      <c r="AI503" s="2401">
        <v>0</v>
      </c>
      <c r="AJ503" s="2398">
        <v>0</v>
      </c>
      <c r="AZ503" s="2396">
        <v>12181202</v>
      </c>
      <c r="BA503" s="2397" t="s">
        <v>4193</v>
      </c>
      <c r="BB503" s="2398">
        <v>0</v>
      </c>
      <c r="BC503" s="2179">
        <v>0</v>
      </c>
      <c r="BD503" s="2399">
        <v>0</v>
      </c>
      <c r="BE503" s="2400">
        <v>0</v>
      </c>
      <c r="BF503" s="2398">
        <v>0</v>
      </c>
      <c r="BG503" s="2398">
        <v>0</v>
      </c>
      <c r="BH503" s="2401">
        <v>0</v>
      </c>
      <c r="BI503" s="2401">
        <v>0</v>
      </c>
      <c r="BJ503" s="2398">
        <v>0</v>
      </c>
      <c r="BN503" s="2396">
        <v>12181303</v>
      </c>
      <c r="BO503" s="2397" t="s">
        <v>4199</v>
      </c>
      <c r="BP503" s="2398">
        <v>0</v>
      </c>
      <c r="BQ503" s="2179">
        <v>0</v>
      </c>
      <c r="BR503" s="2399">
        <v>0</v>
      </c>
      <c r="BS503" s="2400">
        <v>0</v>
      </c>
      <c r="BT503" s="2398">
        <v>0</v>
      </c>
      <c r="BU503" s="2398">
        <v>0</v>
      </c>
      <c r="BV503" s="2401">
        <v>0</v>
      </c>
      <c r="BW503" s="2401">
        <v>0</v>
      </c>
      <c r="BX503" s="2398">
        <v>0</v>
      </c>
    </row>
    <row r="504" spans="2:76">
      <c r="B504" s="2564">
        <v>12181203</v>
      </c>
      <c r="C504" s="2565" t="s">
        <v>4194</v>
      </c>
      <c r="D504" s="2566">
        <v>0</v>
      </c>
      <c r="E504" s="1080">
        <v>0</v>
      </c>
      <c r="F504" s="2567">
        <v>0</v>
      </c>
      <c r="G504" s="2568">
        <v>0</v>
      </c>
      <c r="H504" s="2566">
        <v>0</v>
      </c>
      <c r="I504" s="2566">
        <v>0</v>
      </c>
      <c r="J504" s="2569">
        <v>0</v>
      </c>
      <c r="K504" s="2569">
        <v>0</v>
      </c>
      <c r="L504" s="2566">
        <v>0</v>
      </c>
      <c r="N504" s="2396">
        <v>12181203</v>
      </c>
      <c r="O504" s="2397" t="s">
        <v>4194</v>
      </c>
      <c r="P504" s="2398">
        <v>0</v>
      </c>
      <c r="Q504" s="2179">
        <v>0</v>
      </c>
      <c r="R504" s="2399">
        <v>0</v>
      </c>
      <c r="S504" s="2400">
        <v>0</v>
      </c>
      <c r="T504" s="2398">
        <v>0</v>
      </c>
      <c r="U504" s="2398">
        <v>0</v>
      </c>
      <c r="V504" s="2401">
        <v>0</v>
      </c>
      <c r="W504" s="2401">
        <v>0</v>
      </c>
      <c r="X504" s="2398">
        <v>0</v>
      </c>
      <c r="Z504" s="2396">
        <v>12181203</v>
      </c>
      <c r="AA504" s="2397" t="s">
        <v>4194</v>
      </c>
      <c r="AB504" s="2398">
        <v>0</v>
      </c>
      <c r="AC504" s="2179">
        <v>0</v>
      </c>
      <c r="AD504" s="2399">
        <v>0</v>
      </c>
      <c r="AE504" s="2400">
        <v>0</v>
      </c>
      <c r="AF504" s="2398">
        <v>0</v>
      </c>
      <c r="AG504" s="2398">
        <v>0</v>
      </c>
      <c r="AH504" s="2401">
        <v>0</v>
      </c>
      <c r="AI504" s="2401">
        <v>0</v>
      </c>
      <c r="AJ504" s="2398">
        <v>0</v>
      </c>
      <c r="AZ504" s="2396">
        <v>12181203</v>
      </c>
      <c r="BA504" s="2397" t="s">
        <v>4194</v>
      </c>
      <c r="BB504" s="2398">
        <v>0</v>
      </c>
      <c r="BC504" s="2179">
        <v>0</v>
      </c>
      <c r="BD504" s="2399">
        <v>0</v>
      </c>
      <c r="BE504" s="2400">
        <v>0</v>
      </c>
      <c r="BF504" s="2398">
        <v>0</v>
      </c>
      <c r="BG504" s="2398">
        <v>0</v>
      </c>
      <c r="BH504" s="2401">
        <v>0</v>
      </c>
      <c r="BI504" s="2401">
        <v>0</v>
      </c>
      <c r="BJ504" s="2398">
        <v>0</v>
      </c>
      <c r="BN504" s="2384">
        <v>12190000</v>
      </c>
      <c r="BO504" s="2402" t="s">
        <v>1457</v>
      </c>
      <c r="BP504" s="2386">
        <v>19499431165</v>
      </c>
      <c r="BQ504" s="2386">
        <v>109360460</v>
      </c>
      <c r="BR504" s="2387">
        <v>327992442</v>
      </c>
      <c r="BS504" s="2388">
        <v>60162882</v>
      </c>
      <c r="BT504" s="2386">
        <v>36117280</v>
      </c>
      <c r="BU504" s="2386">
        <v>20033064229</v>
      </c>
      <c r="BV504" s="2389">
        <v>0</v>
      </c>
      <c r="BW504" s="2389">
        <v>0</v>
      </c>
      <c r="BX504" s="2386">
        <v>27168244772</v>
      </c>
    </row>
    <row r="505" spans="2:76">
      <c r="B505" s="2564">
        <v>12181204</v>
      </c>
      <c r="C505" s="2565" t="s">
        <v>4195</v>
      </c>
      <c r="D505" s="2566">
        <v>0</v>
      </c>
      <c r="E505" s="1080">
        <v>0</v>
      </c>
      <c r="F505" s="2567">
        <v>0</v>
      </c>
      <c r="G505" s="2568">
        <v>0</v>
      </c>
      <c r="H505" s="2566">
        <v>0</v>
      </c>
      <c r="I505" s="2566">
        <v>0</v>
      </c>
      <c r="J505" s="2569">
        <v>0</v>
      </c>
      <c r="K505" s="2569">
        <v>0</v>
      </c>
      <c r="L505" s="2566">
        <v>0</v>
      </c>
      <c r="N505" s="2396">
        <v>12181204</v>
      </c>
      <c r="O505" s="2397" t="s">
        <v>4195</v>
      </c>
      <c r="P505" s="2398">
        <v>0</v>
      </c>
      <c r="Q505" s="2179">
        <v>0</v>
      </c>
      <c r="R505" s="2399">
        <v>0</v>
      </c>
      <c r="S505" s="2400">
        <v>0</v>
      </c>
      <c r="T505" s="2398">
        <v>0</v>
      </c>
      <c r="U505" s="2398">
        <v>0</v>
      </c>
      <c r="V505" s="2401">
        <v>0</v>
      </c>
      <c r="W505" s="2401">
        <v>0</v>
      </c>
      <c r="X505" s="2398">
        <v>0</v>
      </c>
      <c r="Z505" s="2396">
        <v>12181204</v>
      </c>
      <c r="AA505" s="2397" t="s">
        <v>4195</v>
      </c>
      <c r="AB505" s="2398">
        <v>0</v>
      </c>
      <c r="AC505" s="2179">
        <v>0</v>
      </c>
      <c r="AD505" s="2399">
        <v>0</v>
      </c>
      <c r="AE505" s="2400">
        <v>0</v>
      </c>
      <c r="AF505" s="2398">
        <v>0</v>
      </c>
      <c r="AG505" s="2398">
        <v>0</v>
      </c>
      <c r="AH505" s="2401">
        <v>0</v>
      </c>
      <c r="AI505" s="2401">
        <v>0</v>
      </c>
      <c r="AJ505" s="2398">
        <v>0</v>
      </c>
      <c r="AZ505" s="2396">
        <v>12181204</v>
      </c>
      <c r="BA505" s="2397" t="s">
        <v>4195</v>
      </c>
      <c r="BB505" s="2398">
        <v>0</v>
      </c>
      <c r="BC505" s="2179">
        <v>0</v>
      </c>
      <c r="BD505" s="2399">
        <v>0</v>
      </c>
      <c r="BE505" s="2400">
        <v>0</v>
      </c>
      <c r="BF505" s="2398">
        <v>0</v>
      </c>
      <c r="BG505" s="2398">
        <v>0</v>
      </c>
      <c r="BH505" s="2401">
        <v>0</v>
      </c>
      <c r="BI505" s="2401">
        <v>0</v>
      </c>
      <c r="BJ505" s="2398">
        <v>0</v>
      </c>
      <c r="BN505" s="2390">
        <v>12191000</v>
      </c>
      <c r="BO505" s="2403" t="s">
        <v>3586</v>
      </c>
      <c r="BP505" s="2392">
        <v>0</v>
      </c>
      <c r="BQ505" s="2392">
        <v>0</v>
      </c>
      <c r="BR505" s="2393">
        <v>6000</v>
      </c>
      <c r="BS505" s="2394">
        <v>0</v>
      </c>
      <c r="BT505" s="2392">
        <v>0</v>
      </c>
      <c r="BU505" s="2392">
        <v>6000</v>
      </c>
      <c r="BV505" s="2395">
        <v>0</v>
      </c>
      <c r="BW505" s="2395">
        <v>0</v>
      </c>
      <c r="BX505" s="2392">
        <v>6000</v>
      </c>
    </row>
    <row r="506" spans="2:76">
      <c r="B506" s="2558">
        <v>12181300</v>
      </c>
      <c r="C506" s="2571" t="s">
        <v>4196</v>
      </c>
      <c r="D506" s="2560">
        <v>0</v>
      </c>
      <c r="E506" s="2560">
        <v>0</v>
      </c>
      <c r="F506" s="2561">
        <v>0</v>
      </c>
      <c r="G506" s="2562">
        <v>0</v>
      </c>
      <c r="H506" s="2560">
        <v>0</v>
      </c>
      <c r="I506" s="2560">
        <v>0</v>
      </c>
      <c r="J506" s="2563">
        <v>0</v>
      </c>
      <c r="K506" s="2563">
        <v>0</v>
      </c>
      <c r="L506" s="2560">
        <v>0</v>
      </c>
      <c r="N506" s="2390">
        <v>12181300</v>
      </c>
      <c r="O506" s="2403" t="s">
        <v>4196</v>
      </c>
      <c r="P506" s="2392">
        <v>0</v>
      </c>
      <c r="Q506" s="2392">
        <v>0</v>
      </c>
      <c r="R506" s="2393">
        <v>0</v>
      </c>
      <c r="S506" s="2394">
        <v>0</v>
      </c>
      <c r="T506" s="2392">
        <v>0</v>
      </c>
      <c r="U506" s="2392">
        <v>0</v>
      </c>
      <c r="V506" s="2395">
        <v>0</v>
      </c>
      <c r="W506" s="2395">
        <v>0</v>
      </c>
      <c r="X506" s="2392">
        <v>0</v>
      </c>
      <c r="Z506" s="2390">
        <v>12181300</v>
      </c>
      <c r="AA506" s="2403" t="s">
        <v>4196</v>
      </c>
      <c r="AB506" s="2392">
        <v>0</v>
      </c>
      <c r="AC506" s="2392">
        <v>0</v>
      </c>
      <c r="AD506" s="2393">
        <v>0</v>
      </c>
      <c r="AE506" s="2394">
        <v>0</v>
      </c>
      <c r="AF506" s="2392">
        <v>0</v>
      </c>
      <c r="AG506" s="2392">
        <v>0</v>
      </c>
      <c r="AH506" s="2395">
        <v>0</v>
      </c>
      <c r="AI506" s="2395">
        <v>0</v>
      </c>
      <c r="AJ506" s="2392">
        <v>0</v>
      </c>
      <c r="AZ506" s="2390">
        <v>12181300</v>
      </c>
      <c r="BA506" s="2403" t="s">
        <v>4196</v>
      </c>
      <c r="BB506" s="2392">
        <v>0</v>
      </c>
      <c r="BC506" s="2392">
        <v>0</v>
      </c>
      <c r="BD506" s="2393">
        <v>0</v>
      </c>
      <c r="BE506" s="2394">
        <v>0</v>
      </c>
      <c r="BF506" s="2392">
        <v>0</v>
      </c>
      <c r="BG506" s="2392">
        <v>0</v>
      </c>
      <c r="BH506" s="2395">
        <v>0</v>
      </c>
      <c r="BI506" s="2395">
        <v>0</v>
      </c>
      <c r="BJ506" s="2392">
        <v>0</v>
      </c>
      <c r="BN506" s="2396">
        <v>12191001</v>
      </c>
      <c r="BO506" s="2397" t="s">
        <v>4200</v>
      </c>
      <c r="BP506" s="2398">
        <v>0</v>
      </c>
      <c r="BQ506" s="2179">
        <v>0</v>
      </c>
      <c r="BR506" s="2399">
        <v>6000</v>
      </c>
      <c r="BS506" s="2400">
        <v>0</v>
      </c>
      <c r="BT506" s="2398">
        <v>0</v>
      </c>
      <c r="BU506" s="2398">
        <v>6000</v>
      </c>
      <c r="BV506" s="2401">
        <v>0</v>
      </c>
      <c r="BW506" s="2401">
        <v>0</v>
      </c>
      <c r="BX506" s="2398">
        <v>6000</v>
      </c>
    </row>
    <row r="507" spans="2:76">
      <c r="B507" s="2564">
        <v>12181301</v>
      </c>
      <c r="C507" s="2565" t="s">
        <v>4197</v>
      </c>
      <c r="D507" s="2566">
        <v>0</v>
      </c>
      <c r="E507" s="1080">
        <v>0</v>
      </c>
      <c r="F507" s="2567">
        <v>0</v>
      </c>
      <c r="G507" s="2568">
        <v>0</v>
      </c>
      <c r="H507" s="2566">
        <v>0</v>
      </c>
      <c r="I507" s="2566">
        <v>0</v>
      </c>
      <c r="J507" s="2569">
        <v>0</v>
      </c>
      <c r="K507" s="2569">
        <v>0</v>
      </c>
      <c r="L507" s="2566">
        <v>0</v>
      </c>
      <c r="N507" s="2396">
        <v>12181301</v>
      </c>
      <c r="O507" s="2397" t="s">
        <v>4197</v>
      </c>
      <c r="P507" s="2398">
        <v>0</v>
      </c>
      <c r="Q507" s="2179">
        <v>0</v>
      </c>
      <c r="R507" s="2399">
        <v>0</v>
      </c>
      <c r="S507" s="2400">
        <v>0</v>
      </c>
      <c r="T507" s="2398">
        <v>0</v>
      </c>
      <c r="U507" s="2398">
        <v>0</v>
      </c>
      <c r="V507" s="2401">
        <v>0</v>
      </c>
      <c r="W507" s="2401">
        <v>0</v>
      </c>
      <c r="X507" s="2398">
        <v>0</v>
      </c>
      <c r="Z507" s="2396">
        <v>12181301</v>
      </c>
      <c r="AA507" s="2397" t="s">
        <v>4197</v>
      </c>
      <c r="AB507" s="2398">
        <v>0</v>
      </c>
      <c r="AC507" s="2179">
        <v>0</v>
      </c>
      <c r="AD507" s="2399">
        <v>0</v>
      </c>
      <c r="AE507" s="2400">
        <v>0</v>
      </c>
      <c r="AF507" s="2398">
        <v>0</v>
      </c>
      <c r="AG507" s="2398">
        <v>0</v>
      </c>
      <c r="AH507" s="2401">
        <v>0</v>
      </c>
      <c r="AI507" s="2401">
        <v>0</v>
      </c>
      <c r="AJ507" s="2398">
        <v>0</v>
      </c>
      <c r="AZ507" s="2396">
        <v>12181301</v>
      </c>
      <c r="BA507" s="2397" t="s">
        <v>4197</v>
      </c>
      <c r="BB507" s="2398">
        <v>0</v>
      </c>
      <c r="BC507" s="2179">
        <v>0</v>
      </c>
      <c r="BD507" s="2399">
        <v>0</v>
      </c>
      <c r="BE507" s="2400">
        <v>0</v>
      </c>
      <c r="BF507" s="2398">
        <v>0</v>
      </c>
      <c r="BG507" s="2398">
        <v>0</v>
      </c>
      <c r="BH507" s="2401">
        <v>0</v>
      </c>
      <c r="BI507" s="2401">
        <v>0</v>
      </c>
      <c r="BJ507" s="2398">
        <v>0</v>
      </c>
      <c r="BN507" s="2396">
        <v>12191002</v>
      </c>
      <c r="BO507" s="2397" t="s">
        <v>4201</v>
      </c>
      <c r="BP507" s="2398">
        <v>0</v>
      </c>
      <c r="BQ507" s="2179">
        <v>0</v>
      </c>
      <c r="BR507" s="2399">
        <v>0</v>
      </c>
      <c r="BS507" s="2400">
        <v>0</v>
      </c>
      <c r="BT507" s="2398">
        <v>0</v>
      </c>
      <c r="BU507" s="2398">
        <v>0</v>
      </c>
      <c r="BV507" s="2401">
        <v>0</v>
      </c>
      <c r="BW507" s="2401">
        <v>0</v>
      </c>
      <c r="BX507" s="2398">
        <v>0</v>
      </c>
    </row>
    <row r="508" spans="2:76">
      <c r="B508" s="2564">
        <v>12181302</v>
      </c>
      <c r="C508" s="2565" t="s">
        <v>4198</v>
      </c>
      <c r="D508" s="2566">
        <v>0</v>
      </c>
      <c r="E508" s="1080">
        <v>0</v>
      </c>
      <c r="F508" s="2567">
        <v>0</v>
      </c>
      <c r="G508" s="2568">
        <v>0</v>
      </c>
      <c r="H508" s="2566">
        <v>0</v>
      </c>
      <c r="I508" s="2566">
        <v>0</v>
      </c>
      <c r="J508" s="2569">
        <v>0</v>
      </c>
      <c r="K508" s="2569">
        <v>0</v>
      </c>
      <c r="L508" s="2566">
        <v>0</v>
      </c>
      <c r="N508" s="2396">
        <v>12181302</v>
      </c>
      <c r="O508" s="2397" t="s">
        <v>4198</v>
      </c>
      <c r="P508" s="2398">
        <v>0</v>
      </c>
      <c r="Q508" s="2179">
        <v>0</v>
      </c>
      <c r="R508" s="2399">
        <v>0</v>
      </c>
      <c r="S508" s="2400">
        <v>0</v>
      </c>
      <c r="T508" s="2398">
        <v>0</v>
      </c>
      <c r="U508" s="2398">
        <v>0</v>
      </c>
      <c r="V508" s="2401">
        <v>0</v>
      </c>
      <c r="W508" s="2401">
        <v>0</v>
      </c>
      <c r="X508" s="2398">
        <v>0</v>
      </c>
      <c r="Z508" s="2396">
        <v>12181302</v>
      </c>
      <c r="AA508" s="2397" t="s">
        <v>4198</v>
      </c>
      <c r="AB508" s="2398">
        <v>0</v>
      </c>
      <c r="AC508" s="2179">
        <v>0</v>
      </c>
      <c r="AD508" s="2399">
        <v>0</v>
      </c>
      <c r="AE508" s="2400">
        <v>0</v>
      </c>
      <c r="AF508" s="2398">
        <v>0</v>
      </c>
      <c r="AG508" s="2398">
        <v>0</v>
      </c>
      <c r="AH508" s="2401">
        <v>0</v>
      </c>
      <c r="AI508" s="2401">
        <v>0</v>
      </c>
      <c r="AJ508" s="2398">
        <v>0</v>
      </c>
      <c r="AZ508" s="2396">
        <v>12181302</v>
      </c>
      <c r="BA508" s="2397" t="s">
        <v>4198</v>
      </c>
      <c r="BB508" s="2398">
        <v>0</v>
      </c>
      <c r="BC508" s="2179">
        <v>0</v>
      </c>
      <c r="BD508" s="2399">
        <v>0</v>
      </c>
      <c r="BE508" s="2400">
        <v>0</v>
      </c>
      <c r="BF508" s="2398">
        <v>0</v>
      </c>
      <c r="BG508" s="2398">
        <v>0</v>
      </c>
      <c r="BH508" s="2401">
        <v>0</v>
      </c>
      <c r="BI508" s="2401">
        <v>0</v>
      </c>
      <c r="BJ508" s="2398">
        <v>0</v>
      </c>
      <c r="BN508" s="2396">
        <v>12191003</v>
      </c>
      <c r="BO508" s="2397" t="s">
        <v>4202</v>
      </c>
      <c r="BP508" s="2398">
        <v>0</v>
      </c>
      <c r="BQ508" s="2179">
        <v>0</v>
      </c>
      <c r="BR508" s="2399">
        <v>0</v>
      </c>
      <c r="BS508" s="2400">
        <v>0</v>
      </c>
      <c r="BT508" s="2398">
        <v>0</v>
      </c>
      <c r="BU508" s="2398">
        <v>0</v>
      </c>
      <c r="BV508" s="2401">
        <v>0</v>
      </c>
      <c r="BW508" s="2401">
        <v>0</v>
      </c>
      <c r="BX508" s="2398">
        <v>0</v>
      </c>
    </row>
    <row r="509" spans="2:76">
      <c r="B509" s="2564">
        <v>12181303</v>
      </c>
      <c r="C509" s="2565" t="s">
        <v>4199</v>
      </c>
      <c r="D509" s="2566">
        <v>0</v>
      </c>
      <c r="E509" s="1080">
        <v>0</v>
      </c>
      <c r="F509" s="2567">
        <v>0</v>
      </c>
      <c r="G509" s="2568">
        <v>0</v>
      </c>
      <c r="H509" s="2566">
        <v>0</v>
      </c>
      <c r="I509" s="2566">
        <v>0</v>
      </c>
      <c r="J509" s="2569">
        <v>0</v>
      </c>
      <c r="K509" s="2569">
        <v>0</v>
      </c>
      <c r="L509" s="2566">
        <v>0</v>
      </c>
      <c r="N509" s="2396">
        <v>12181303</v>
      </c>
      <c r="O509" s="2397" t="s">
        <v>4199</v>
      </c>
      <c r="P509" s="2398">
        <v>0</v>
      </c>
      <c r="Q509" s="2179">
        <v>0</v>
      </c>
      <c r="R509" s="2399">
        <v>0</v>
      </c>
      <c r="S509" s="2400">
        <v>0</v>
      </c>
      <c r="T509" s="2398">
        <v>0</v>
      </c>
      <c r="U509" s="2398">
        <v>0</v>
      </c>
      <c r="V509" s="2401">
        <v>0</v>
      </c>
      <c r="W509" s="2401">
        <v>0</v>
      </c>
      <c r="X509" s="2398">
        <v>0</v>
      </c>
      <c r="Z509" s="2396">
        <v>12181303</v>
      </c>
      <c r="AA509" s="2397" t="s">
        <v>4199</v>
      </c>
      <c r="AB509" s="2398">
        <v>0</v>
      </c>
      <c r="AC509" s="2179">
        <v>0</v>
      </c>
      <c r="AD509" s="2399">
        <v>0</v>
      </c>
      <c r="AE509" s="2400">
        <v>0</v>
      </c>
      <c r="AF509" s="2398">
        <v>0</v>
      </c>
      <c r="AG509" s="2398">
        <v>0</v>
      </c>
      <c r="AH509" s="2401">
        <v>0</v>
      </c>
      <c r="AI509" s="2401">
        <v>0</v>
      </c>
      <c r="AJ509" s="2398">
        <v>0</v>
      </c>
      <c r="AZ509" s="2396">
        <v>12181303</v>
      </c>
      <c r="BA509" s="2397" t="s">
        <v>4199</v>
      </c>
      <c r="BB509" s="2398">
        <v>0</v>
      </c>
      <c r="BC509" s="2179">
        <v>0</v>
      </c>
      <c r="BD509" s="2399">
        <v>0</v>
      </c>
      <c r="BE509" s="2400">
        <v>0</v>
      </c>
      <c r="BF509" s="2398">
        <v>0</v>
      </c>
      <c r="BG509" s="2398">
        <v>0</v>
      </c>
      <c r="BH509" s="2401">
        <v>0</v>
      </c>
      <c r="BI509" s="2401">
        <v>0</v>
      </c>
      <c r="BJ509" s="2398">
        <v>0</v>
      </c>
      <c r="BN509" s="2396">
        <v>12191004</v>
      </c>
      <c r="BO509" s="2397" t="s">
        <v>4203</v>
      </c>
      <c r="BP509" s="2398">
        <v>0</v>
      </c>
      <c r="BQ509" s="2179">
        <v>0</v>
      </c>
      <c r="BR509" s="2399">
        <v>0</v>
      </c>
      <c r="BS509" s="2400">
        <v>0</v>
      </c>
      <c r="BT509" s="2398">
        <v>0</v>
      </c>
      <c r="BU509" s="2398">
        <v>0</v>
      </c>
      <c r="BV509" s="2401">
        <v>0</v>
      </c>
      <c r="BW509" s="2401">
        <v>0</v>
      </c>
      <c r="BX509" s="2398">
        <v>0</v>
      </c>
    </row>
    <row r="510" spans="2:76">
      <c r="B510" s="2552">
        <v>12190000</v>
      </c>
      <c r="C510" s="2570" t="s">
        <v>1457</v>
      </c>
      <c r="D510" s="2554">
        <v>21031162438</v>
      </c>
      <c r="E510" s="2554">
        <v>181874269</v>
      </c>
      <c r="F510" s="2555">
        <v>361022724</v>
      </c>
      <c r="G510" s="2556">
        <v>4933992</v>
      </c>
      <c r="H510" s="2554">
        <v>5233064</v>
      </c>
      <c r="I510" s="2554">
        <v>21584226487</v>
      </c>
      <c r="J510" s="2557">
        <v>0</v>
      </c>
      <c r="K510" s="2557">
        <v>0</v>
      </c>
      <c r="L510" s="2554">
        <v>28719407030</v>
      </c>
      <c r="N510" s="2384">
        <v>12190000</v>
      </c>
      <c r="O510" s="2402" t="s">
        <v>1457</v>
      </c>
      <c r="P510" s="2386">
        <v>21189396607</v>
      </c>
      <c r="Q510" s="2386">
        <v>118310933</v>
      </c>
      <c r="R510" s="2387">
        <v>318499297</v>
      </c>
      <c r="S510" s="2388">
        <v>7248972</v>
      </c>
      <c r="T510" s="2386">
        <v>6971817</v>
      </c>
      <c r="U510" s="2386">
        <v>21640427626</v>
      </c>
      <c r="V510" s="2389">
        <v>0</v>
      </c>
      <c r="W510" s="2389">
        <v>0</v>
      </c>
      <c r="X510" s="2386">
        <v>28775608169</v>
      </c>
      <c r="Z510" s="2384">
        <v>12190000</v>
      </c>
      <c r="AA510" s="2402" t="s">
        <v>1457</v>
      </c>
      <c r="AB510" s="2386">
        <v>23975633490</v>
      </c>
      <c r="AC510" s="2386">
        <v>127988429</v>
      </c>
      <c r="AD510" s="2387">
        <v>447318857</v>
      </c>
      <c r="AE510" s="2388">
        <v>11878932</v>
      </c>
      <c r="AF510" s="2386">
        <v>10527847</v>
      </c>
      <c r="AG510" s="2386">
        <v>24573347555</v>
      </c>
      <c r="AH510" s="2389">
        <v>0</v>
      </c>
      <c r="AI510" s="2389">
        <v>0</v>
      </c>
      <c r="AJ510" s="2386">
        <v>31708528098</v>
      </c>
      <c r="AZ510" s="2384">
        <v>12190000</v>
      </c>
      <c r="BA510" s="2402" t="s">
        <v>1457</v>
      </c>
      <c r="BB510" s="2386">
        <v>18374791813</v>
      </c>
      <c r="BC510" s="2386">
        <v>96402720</v>
      </c>
      <c r="BD510" s="2387">
        <v>356231506</v>
      </c>
      <c r="BE510" s="2388">
        <v>32827867</v>
      </c>
      <c r="BF510" s="2386">
        <v>23953527</v>
      </c>
      <c r="BG510" s="2386">
        <v>18884207433</v>
      </c>
      <c r="BH510" s="2389">
        <v>0</v>
      </c>
      <c r="BI510" s="2389">
        <v>0</v>
      </c>
      <c r="BJ510" s="2386">
        <v>26019387976</v>
      </c>
      <c r="BN510" s="2396">
        <v>12191005</v>
      </c>
      <c r="BO510" s="2397" t="s">
        <v>4204</v>
      </c>
      <c r="BP510" s="2398">
        <v>0</v>
      </c>
      <c r="BQ510" s="2179">
        <v>0</v>
      </c>
      <c r="BR510" s="2399">
        <v>0</v>
      </c>
      <c r="BS510" s="2400">
        <v>0</v>
      </c>
      <c r="BT510" s="2398">
        <v>0</v>
      </c>
      <c r="BU510" s="2398">
        <v>0</v>
      </c>
      <c r="BV510" s="2401">
        <v>0</v>
      </c>
      <c r="BW510" s="2401">
        <v>0</v>
      </c>
      <c r="BX510" s="2398">
        <v>0</v>
      </c>
    </row>
    <row r="511" spans="2:76">
      <c r="B511" s="2558">
        <v>12191000</v>
      </c>
      <c r="C511" s="2571" t="s">
        <v>3586</v>
      </c>
      <c r="D511" s="2560">
        <v>0</v>
      </c>
      <c r="E511" s="2560">
        <v>0</v>
      </c>
      <c r="F511" s="2561">
        <v>1906</v>
      </c>
      <c r="G511" s="2562">
        <v>0</v>
      </c>
      <c r="H511" s="2560">
        <v>0</v>
      </c>
      <c r="I511" s="2560">
        <v>1906</v>
      </c>
      <c r="J511" s="2563">
        <v>0</v>
      </c>
      <c r="K511" s="2563">
        <v>0</v>
      </c>
      <c r="L511" s="2560">
        <v>1906</v>
      </c>
      <c r="N511" s="2390">
        <v>12191000</v>
      </c>
      <c r="O511" s="2403" t="s">
        <v>3586</v>
      </c>
      <c r="P511" s="2392">
        <v>0</v>
      </c>
      <c r="Q511" s="2392">
        <v>0</v>
      </c>
      <c r="R511" s="2393">
        <v>1906</v>
      </c>
      <c r="S511" s="2394">
        <v>0</v>
      </c>
      <c r="T511" s="2392">
        <v>0</v>
      </c>
      <c r="U511" s="2392">
        <v>1906</v>
      </c>
      <c r="V511" s="2395">
        <v>0</v>
      </c>
      <c r="W511" s="2395">
        <v>0</v>
      </c>
      <c r="X511" s="2392">
        <v>1906</v>
      </c>
      <c r="Z511" s="2390">
        <v>12191000</v>
      </c>
      <c r="AA511" s="2403" t="s">
        <v>3586</v>
      </c>
      <c r="AB511" s="2392">
        <v>0</v>
      </c>
      <c r="AC511" s="2392">
        <v>0</v>
      </c>
      <c r="AD511" s="2393">
        <v>1906</v>
      </c>
      <c r="AE511" s="2394">
        <v>0</v>
      </c>
      <c r="AF511" s="2392">
        <v>0</v>
      </c>
      <c r="AG511" s="2392">
        <v>1906</v>
      </c>
      <c r="AH511" s="2395">
        <v>0</v>
      </c>
      <c r="AI511" s="2395">
        <v>0</v>
      </c>
      <c r="AJ511" s="2392">
        <v>1906</v>
      </c>
      <c r="AZ511" s="2390">
        <v>12191000</v>
      </c>
      <c r="BA511" s="2403" t="s">
        <v>3586</v>
      </c>
      <c r="BB511" s="2392">
        <v>0</v>
      </c>
      <c r="BC511" s="2392">
        <v>0</v>
      </c>
      <c r="BD511" s="2393">
        <v>1906</v>
      </c>
      <c r="BE511" s="2394">
        <v>0</v>
      </c>
      <c r="BF511" s="2392">
        <v>0</v>
      </c>
      <c r="BG511" s="2392">
        <v>1906</v>
      </c>
      <c r="BH511" s="2395">
        <v>0</v>
      </c>
      <c r="BI511" s="2395">
        <v>0</v>
      </c>
      <c r="BJ511" s="2392">
        <v>1906</v>
      </c>
      <c r="BN511" s="2396">
        <v>12191006</v>
      </c>
      <c r="BO511" s="2397" t="s">
        <v>4205</v>
      </c>
      <c r="BP511" s="2398">
        <v>0</v>
      </c>
      <c r="BQ511" s="2179">
        <v>0</v>
      </c>
      <c r="BR511" s="2399">
        <v>0</v>
      </c>
      <c r="BS511" s="2400">
        <v>0</v>
      </c>
      <c r="BT511" s="2398">
        <v>0</v>
      </c>
      <c r="BU511" s="2398">
        <v>0</v>
      </c>
      <c r="BV511" s="2401">
        <v>0</v>
      </c>
      <c r="BW511" s="2401">
        <v>0</v>
      </c>
      <c r="BX511" s="2398">
        <v>0</v>
      </c>
    </row>
    <row r="512" spans="2:76">
      <c r="B512" s="2564">
        <v>12191001</v>
      </c>
      <c r="C512" s="2565" t="s">
        <v>4200</v>
      </c>
      <c r="D512" s="2566">
        <v>0</v>
      </c>
      <c r="E512" s="1080">
        <v>0</v>
      </c>
      <c r="F512" s="2567">
        <v>1906</v>
      </c>
      <c r="G512" s="2568">
        <v>0</v>
      </c>
      <c r="H512" s="2566">
        <v>0</v>
      </c>
      <c r="I512" s="2566">
        <v>1906</v>
      </c>
      <c r="J512" s="2569">
        <v>0</v>
      </c>
      <c r="K512" s="2569">
        <v>0</v>
      </c>
      <c r="L512" s="2566">
        <v>1906</v>
      </c>
      <c r="N512" s="2396">
        <v>12191001</v>
      </c>
      <c r="O512" s="2397" t="s">
        <v>4200</v>
      </c>
      <c r="P512" s="2398">
        <v>0</v>
      </c>
      <c r="Q512" s="2179">
        <v>0</v>
      </c>
      <c r="R512" s="2399">
        <v>1906</v>
      </c>
      <c r="S512" s="2400">
        <v>0</v>
      </c>
      <c r="T512" s="2398">
        <v>0</v>
      </c>
      <c r="U512" s="2398">
        <v>1906</v>
      </c>
      <c r="V512" s="2401">
        <v>0</v>
      </c>
      <c r="W512" s="2401">
        <v>0</v>
      </c>
      <c r="X512" s="2398">
        <v>1906</v>
      </c>
      <c r="Z512" s="2396">
        <v>12191001</v>
      </c>
      <c r="AA512" s="2397" t="s">
        <v>4200</v>
      </c>
      <c r="AB512" s="2398">
        <v>0</v>
      </c>
      <c r="AC512" s="2179">
        <v>0</v>
      </c>
      <c r="AD512" s="2399">
        <v>1906</v>
      </c>
      <c r="AE512" s="2400">
        <v>0</v>
      </c>
      <c r="AF512" s="2398">
        <v>0</v>
      </c>
      <c r="AG512" s="2398">
        <v>1906</v>
      </c>
      <c r="AH512" s="2401">
        <v>0</v>
      </c>
      <c r="AI512" s="2401">
        <v>0</v>
      </c>
      <c r="AJ512" s="2398">
        <v>1906</v>
      </c>
      <c r="AZ512" s="2396">
        <v>12191001</v>
      </c>
      <c r="BA512" s="2397" t="s">
        <v>4200</v>
      </c>
      <c r="BB512" s="2398">
        <v>0</v>
      </c>
      <c r="BC512" s="2179">
        <v>0</v>
      </c>
      <c r="BD512" s="2399">
        <v>1906</v>
      </c>
      <c r="BE512" s="2400">
        <v>0</v>
      </c>
      <c r="BF512" s="2398">
        <v>0</v>
      </c>
      <c r="BG512" s="2398">
        <v>1906</v>
      </c>
      <c r="BH512" s="2401">
        <v>0</v>
      </c>
      <c r="BI512" s="2401">
        <v>0</v>
      </c>
      <c r="BJ512" s="2398">
        <v>1906</v>
      </c>
      <c r="BN512" s="2396">
        <v>12191007</v>
      </c>
      <c r="BO512" s="2397" t="s">
        <v>4206</v>
      </c>
      <c r="BP512" s="2398">
        <v>0</v>
      </c>
      <c r="BQ512" s="2179">
        <v>0</v>
      </c>
      <c r="BR512" s="2399">
        <v>0</v>
      </c>
      <c r="BS512" s="2400">
        <v>0</v>
      </c>
      <c r="BT512" s="2398">
        <v>0</v>
      </c>
      <c r="BU512" s="2398">
        <v>0</v>
      </c>
      <c r="BV512" s="2401">
        <v>0</v>
      </c>
      <c r="BW512" s="2401">
        <v>0</v>
      </c>
      <c r="BX512" s="2398">
        <v>0</v>
      </c>
    </row>
    <row r="513" spans="2:76">
      <c r="B513" s="2564">
        <v>12191002</v>
      </c>
      <c r="C513" s="2565" t="s">
        <v>5035</v>
      </c>
      <c r="D513" s="2566">
        <v>0</v>
      </c>
      <c r="E513" s="1080">
        <v>0</v>
      </c>
      <c r="F513" s="2567">
        <v>0</v>
      </c>
      <c r="G513" s="2568">
        <v>0</v>
      </c>
      <c r="H513" s="2566">
        <v>0</v>
      </c>
      <c r="I513" s="2566">
        <v>0</v>
      </c>
      <c r="J513" s="2569">
        <v>0</v>
      </c>
      <c r="K513" s="2569">
        <v>0</v>
      </c>
      <c r="L513" s="2566">
        <v>0</v>
      </c>
      <c r="N513" s="2396">
        <v>12191002</v>
      </c>
      <c r="O513" s="2397" t="s">
        <v>4201</v>
      </c>
      <c r="P513" s="2398">
        <v>0</v>
      </c>
      <c r="Q513" s="2179">
        <v>0</v>
      </c>
      <c r="R513" s="2399">
        <v>0</v>
      </c>
      <c r="S513" s="2400">
        <v>0</v>
      </c>
      <c r="T513" s="2398">
        <v>0</v>
      </c>
      <c r="U513" s="2398">
        <v>0</v>
      </c>
      <c r="V513" s="2401">
        <v>0</v>
      </c>
      <c r="W513" s="2401">
        <v>0</v>
      </c>
      <c r="X513" s="2398">
        <v>0</v>
      </c>
      <c r="Z513" s="2396">
        <v>12191002</v>
      </c>
      <c r="AA513" s="2397" t="s">
        <v>4201</v>
      </c>
      <c r="AB513" s="2398">
        <v>0</v>
      </c>
      <c r="AC513" s="2179">
        <v>0</v>
      </c>
      <c r="AD513" s="2399">
        <v>0</v>
      </c>
      <c r="AE513" s="2400">
        <v>0</v>
      </c>
      <c r="AF513" s="2398">
        <v>0</v>
      </c>
      <c r="AG513" s="2398">
        <v>0</v>
      </c>
      <c r="AH513" s="2401">
        <v>0</v>
      </c>
      <c r="AI513" s="2401">
        <v>0</v>
      </c>
      <c r="AJ513" s="2398">
        <v>0</v>
      </c>
      <c r="AZ513" s="2396">
        <v>12191002</v>
      </c>
      <c r="BA513" s="2397" t="s">
        <v>4201</v>
      </c>
      <c r="BB513" s="2398">
        <v>0</v>
      </c>
      <c r="BC513" s="2179">
        <v>0</v>
      </c>
      <c r="BD513" s="2399">
        <v>0</v>
      </c>
      <c r="BE513" s="2400">
        <v>0</v>
      </c>
      <c r="BF513" s="2398">
        <v>0</v>
      </c>
      <c r="BG513" s="2398">
        <v>0</v>
      </c>
      <c r="BH513" s="2401">
        <v>0</v>
      </c>
      <c r="BI513" s="2401">
        <v>0</v>
      </c>
      <c r="BJ513" s="2398">
        <v>0</v>
      </c>
      <c r="BN513" s="2396">
        <v>12191008</v>
      </c>
      <c r="BO513" s="2397" t="s">
        <v>4207</v>
      </c>
      <c r="BP513" s="2398">
        <v>0</v>
      </c>
      <c r="BQ513" s="2179">
        <v>0</v>
      </c>
      <c r="BR513" s="2399">
        <v>0</v>
      </c>
      <c r="BS513" s="2400">
        <v>0</v>
      </c>
      <c r="BT513" s="2398">
        <v>0</v>
      </c>
      <c r="BU513" s="2398">
        <v>0</v>
      </c>
      <c r="BV513" s="2401">
        <v>0</v>
      </c>
      <c r="BW513" s="2401">
        <v>0</v>
      </c>
      <c r="BX513" s="2398">
        <v>0</v>
      </c>
    </row>
    <row r="514" spans="2:76">
      <c r="B514" s="2564">
        <v>12191003</v>
      </c>
      <c r="C514" s="2565" t="s">
        <v>5036</v>
      </c>
      <c r="D514" s="2566">
        <v>0</v>
      </c>
      <c r="E514" s="1080">
        <v>0</v>
      </c>
      <c r="F514" s="2567">
        <v>0</v>
      </c>
      <c r="G514" s="2568">
        <v>0</v>
      </c>
      <c r="H514" s="2566">
        <v>0</v>
      </c>
      <c r="I514" s="2566">
        <v>0</v>
      </c>
      <c r="J514" s="2569">
        <v>0</v>
      </c>
      <c r="K514" s="2569">
        <v>0</v>
      </c>
      <c r="L514" s="2566">
        <v>0</v>
      </c>
      <c r="N514" s="2396">
        <v>12191003</v>
      </c>
      <c r="O514" s="2397" t="s">
        <v>4202</v>
      </c>
      <c r="P514" s="2398">
        <v>0</v>
      </c>
      <c r="Q514" s="2179">
        <v>0</v>
      </c>
      <c r="R514" s="2399">
        <v>0</v>
      </c>
      <c r="S514" s="2400">
        <v>0</v>
      </c>
      <c r="T514" s="2398">
        <v>0</v>
      </c>
      <c r="U514" s="2398">
        <v>0</v>
      </c>
      <c r="V514" s="2401">
        <v>0</v>
      </c>
      <c r="W514" s="2401">
        <v>0</v>
      </c>
      <c r="X514" s="2398">
        <v>0</v>
      </c>
      <c r="Z514" s="2396">
        <v>12191003</v>
      </c>
      <c r="AA514" s="2397" t="s">
        <v>4202</v>
      </c>
      <c r="AB514" s="2398">
        <v>0</v>
      </c>
      <c r="AC514" s="2179">
        <v>0</v>
      </c>
      <c r="AD514" s="2399">
        <v>0</v>
      </c>
      <c r="AE514" s="2400">
        <v>0</v>
      </c>
      <c r="AF514" s="2398">
        <v>0</v>
      </c>
      <c r="AG514" s="2398">
        <v>0</v>
      </c>
      <c r="AH514" s="2401">
        <v>0</v>
      </c>
      <c r="AI514" s="2401">
        <v>0</v>
      </c>
      <c r="AJ514" s="2398">
        <v>0</v>
      </c>
      <c r="AZ514" s="2396">
        <v>12191003</v>
      </c>
      <c r="BA514" s="2397" t="s">
        <v>4202</v>
      </c>
      <c r="BB514" s="2398">
        <v>0</v>
      </c>
      <c r="BC514" s="2179">
        <v>0</v>
      </c>
      <c r="BD514" s="2399">
        <v>0</v>
      </c>
      <c r="BE514" s="2400">
        <v>0</v>
      </c>
      <c r="BF514" s="2398">
        <v>0</v>
      </c>
      <c r="BG514" s="2398">
        <v>0</v>
      </c>
      <c r="BH514" s="2401">
        <v>0</v>
      </c>
      <c r="BI514" s="2401">
        <v>0</v>
      </c>
      <c r="BJ514" s="2398">
        <v>0</v>
      </c>
      <c r="BN514" s="2396">
        <v>12191009</v>
      </c>
      <c r="BO514" s="2397" t="s">
        <v>4208</v>
      </c>
      <c r="BP514" s="2398">
        <v>0</v>
      </c>
      <c r="BQ514" s="2179">
        <v>0</v>
      </c>
      <c r="BR514" s="2399">
        <v>0</v>
      </c>
      <c r="BS514" s="2400">
        <v>0</v>
      </c>
      <c r="BT514" s="2398">
        <v>0</v>
      </c>
      <c r="BU514" s="2398">
        <v>0</v>
      </c>
      <c r="BV514" s="2401">
        <v>0</v>
      </c>
      <c r="BW514" s="2401">
        <v>0</v>
      </c>
      <c r="BX514" s="2398">
        <v>0</v>
      </c>
    </row>
    <row r="515" spans="2:76">
      <c r="B515" s="2564">
        <v>12191004</v>
      </c>
      <c r="C515" s="2565" t="s">
        <v>4203</v>
      </c>
      <c r="D515" s="2566">
        <v>0</v>
      </c>
      <c r="E515" s="1080">
        <v>0</v>
      </c>
      <c r="F515" s="2567">
        <v>0</v>
      </c>
      <c r="G515" s="2568">
        <v>0</v>
      </c>
      <c r="H515" s="2566">
        <v>0</v>
      </c>
      <c r="I515" s="2566">
        <v>0</v>
      </c>
      <c r="J515" s="2569">
        <v>0</v>
      </c>
      <c r="K515" s="2569">
        <v>0</v>
      </c>
      <c r="L515" s="2566">
        <v>0</v>
      </c>
      <c r="N515" s="2396">
        <v>12191004</v>
      </c>
      <c r="O515" s="2397" t="s">
        <v>4203</v>
      </c>
      <c r="P515" s="2398">
        <v>0</v>
      </c>
      <c r="Q515" s="2179">
        <v>0</v>
      </c>
      <c r="R515" s="2399">
        <v>0</v>
      </c>
      <c r="S515" s="2400">
        <v>0</v>
      </c>
      <c r="T515" s="2398">
        <v>0</v>
      </c>
      <c r="U515" s="2398">
        <v>0</v>
      </c>
      <c r="V515" s="2401">
        <v>0</v>
      </c>
      <c r="W515" s="2401">
        <v>0</v>
      </c>
      <c r="X515" s="2398">
        <v>0</v>
      </c>
      <c r="Z515" s="2396">
        <v>12191004</v>
      </c>
      <c r="AA515" s="2397" t="s">
        <v>4203</v>
      </c>
      <c r="AB515" s="2398">
        <v>0</v>
      </c>
      <c r="AC515" s="2179">
        <v>0</v>
      </c>
      <c r="AD515" s="2399">
        <v>0</v>
      </c>
      <c r="AE515" s="2400">
        <v>0</v>
      </c>
      <c r="AF515" s="2398">
        <v>0</v>
      </c>
      <c r="AG515" s="2398">
        <v>0</v>
      </c>
      <c r="AH515" s="2401">
        <v>0</v>
      </c>
      <c r="AI515" s="2401">
        <v>0</v>
      </c>
      <c r="AJ515" s="2398">
        <v>0</v>
      </c>
      <c r="AZ515" s="2396">
        <v>12191004</v>
      </c>
      <c r="BA515" s="2397" t="s">
        <v>4203</v>
      </c>
      <c r="BB515" s="2398">
        <v>0</v>
      </c>
      <c r="BC515" s="2179">
        <v>0</v>
      </c>
      <c r="BD515" s="2399">
        <v>0</v>
      </c>
      <c r="BE515" s="2400">
        <v>0</v>
      </c>
      <c r="BF515" s="2398">
        <v>0</v>
      </c>
      <c r="BG515" s="2398">
        <v>0</v>
      </c>
      <c r="BH515" s="2401">
        <v>0</v>
      </c>
      <c r="BI515" s="2401">
        <v>0</v>
      </c>
      <c r="BJ515" s="2398">
        <v>0</v>
      </c>
      <c r="BN515" s="2396">
        <v>12191010</v>
      </c>
      <c r="BO515" s="2397" t="s">
        <v>4209</v>
      </c>
      <c r="BP515" s="2398">
        <v>0</v>
      </c>
      <c r="BQ515" s="2179">
        <v>0</v>
      </c>
      <c r="BR515" s="2399">
        <v>0</v>
      </c>
      <c r="BS515" s="2400">
        <v>0</v>
      </c>
      <c r="BT515" s="2398">
        <v>0</v>
      </c>
      <c r="BU515" s="2398">
        <v>0</v>
      </c>
      <c r="BV515" s="2401">
        <v>0</v>
      </c>
      <c r="BW515" s="2401">
        <v>0</v>
      </c>
      <c r="BX515" s="2398">
        <v>0</v>
      </c>
    </row>
    <row r="516" spans="2:76">
      <c r="B516" s="2564">
        <v>12191005</v>
      </c>
      <c r="C516" s="2565" t="s">
        <v>5037</v>
      </c>
      <c r="D516" s="2566">
        <v>0</v>
      </c>
      <c r="E516" s="1080">
        <v>0</v>
      </c>
      <c r="F516" s="2567">
        <v>0</v>
      </c>
      <c r="G516" s="2568">
        <v>0</v>
      </c>
      <c r="H516" s="2566">
        <v>0</v>
      </c>
      <c r="I516" s="2566">
        <v>0</v>
      </c>
      <c r="J516" s="2569">
        <v>0</v>
      </c>
      <c r="K516" s="2569">
        <v>0</v>
      </c>
      <c r="L516" s="2566">
        <v>0</v>
      </c>
      <c r="N516" s="2396">
        <v>12191005</v>
      </c>
      <c r="O516" s="2397" t="s">
        <v>4204</v>
      </c>
      <c r="P516" s="2398">
        <v>0</v>
      </c>
      <c r="Q516" s="2179">
        <v>0</v>
      </c>
      <c r="R516" s="2399">
        <v>0</v>
      </c>
      <c r="S516" s="2400">
        <v>0</v>
      </c>
      <c r="T516" s="2398">
        <v>0</v>
      </c>
      <c r="U516" s="2398">
        <v>0</v>
      </c>
      <c r="V516" s="2401">
        <v>0</v>
      </c>
      <c r="W516" s="2401">
        <v>0</v>
      </c>
      <c r="X516" s="2398">
        <v>0</v>
      </c>
      <c r="Z516" s="2396">
        <v>12191005</v>
      </c>
      <c r="AA516" s="2397" t="s">
        <v>4204</v>
      </c>
      <c r="AB516" s="2398">
        <v>0</v>
      </c>
      <c r="AC516" s="2179">
        <v>0</v>
      </c>
      <c r="AD516" s="2399">
        <v>0</v>
      </c>
      <c r="AE516" s="2400">
        <v>0</v>
      </c>
      <c r="AF516" s="2398">
        <v>0</v>
      </c>
      <c r="AG516" s="2398">
        <v>0</v>
      </c>
      <c r="AH516" s="2401">
        <v>0</v>
      </c>
      <c r="AI516" s="2401">
        <v>0</v>
      </c>
      <c r="AJ516" s="2398">
        <v>0</v>
      </c>
      <c r="AZ516" s="2396">
        <v>12191005</v>
      </c>
      <c r="BA516" s="2397" t="s">
        <v>4204</v>
      </c>
      <c r="BB516" s="2398">
        <v>0</v>
      </c>
      <c r="BC516" s="2179">
        <v>0</v>
      </c>
      <c r="BD516" s="2399">
        <v>0</v>
      </c>
      <c r="BE516" s="2400">
        <v>0</v>
      </c>
      <c r="BF516" s="2398">
        <v>0</v>
      </c>
      <c r="BG516" s="2398">
        <v>0</v>
      </c>
      <c r="BH516" s="2401">
        <v>0</v>
      </c>
      <c r="BI516" s="2401">
        <v>0</v>
      </c>
      <c r="BJ516" s="2398">
        <v>0</v>
      </c>
      <c r="BN516" s="2396">
        <v>12191011</v>
      </c>
      <c r="BO516" s="2397" t="s">
        <v>4210</v>
      </c>
      <c r="BP516" s="2398">
        <v>0</v>
      </c>
      <c r="BQ516" s="2179">
        <v>0</v>
      </c>
      <c r="BR516" s="2399">
        <v>0</v>
      </c>
      <c r="BS516" s="2400">
        <v>0</v>
      </c>
      <c r="BT516" s="2398">
        <v>0</v>
      </c>
      <c r="BU516" s="2398">
        <v>0</v>
      </c>
      <c r="BV516" s="2401">
        <v>0</v>
      </c>
      <c r="BW516" s="2401">
        <v>0</v>
      </c>
      <c r="BX516" s="2398">
        <v>0</v>
      </c>
    </row>
    <row r="517" spans="2:76">
      <c r="B517" s="2564">
        <v>12191006</v>
      </c>
      <c r="C517" s="2565" t="s">
        <v>5038</v>
      </c>
      <c r="D517" s="2566">
        <v>0</v>
      </c>
      <c r="E517" s="1080">
        <v>0</v>
      </c>
      <c r="F517" s="2567">
        <v>0</v>
      </c>
      <c r="G517" s="2568">
        <v>0</v>
      </c>
      <c r="H517" s="2566">
        <v>0</v>
      </c>
      <c r="I517" s="2566">
        <v>0</v>
      </c>
      <c r="J517" s="2569">
        <v>0</v>
      </c>
      <c r="K517" s="2569">
        <v>0</v>
      </c>
      <c r="L517" s="2566">
        <v>0</v>
      </c>
      <c r="N517" s="2396">
        <v>12191006</v>
      </c>
      <c r="O517" s="2397" t="s">
        <v>4205</v>
      </c>
      <c r="P517" s="2398">
        <v>0</v>
      </c>
      <c r="Q517" s="2179">
        <v>0</v>
      </c>
      <c r="R517" s="2399">
        <v>0</v>
      </c>
      <c r="S517" s="2400">
        <v>0</v>
      </c>
      <c r="T517" s="2398">
        <v>0</v>
      </c>
      <c r="U517" s="2398">
        <v>0</v>
      </c>
      <c r="V517" s="2401">
        <v>0</v>
      </c>
      <c r="W517" s="2401">
        <v>0</v>
      </c>
      <c r="X517" s="2398">
        <v>0</v>
      </c>
      <c r="Z517" s="2396">
        <v>12191006</v>
      </c>
      <c r="AA517" s="2397" t="s">
        <v>4205</v>
      </c>
      <c r="AB517" s="2398">
        <v>0</v>
      </c>
      <c r="AC517" s="2179">
        <v>0</v>
      </c>
      <c r="AD517" s="2399">
        <v>0</v>
      </c>
      <c r="AE517" s="2400">
        <v>0</v>
      </c>
      <c r="AF517" s="2398">
        <v>0</v>
      </c>
      <c r="AG517" s="2398">
        <v>0</v>
      </c>
      <c r="AH517" s="2401">
        <v>0</v>
      </c>
      <c r="AI517" s="2401">
        <v>0</v>
      </c>
      <c r="AJ517" s="2398">
        <v>0</v>
      </c>
      <c r="AZ517" s="2396">
        <v>12191006</v>
      </c>
      <c r="BA517" s="2397" t="s">
        <v>4205</v>
      </c>
      <c r="BB517" s="2398">
        <v>0</v>
      </c>
      <c r="BC517" s="2179">
        <v>0</v>
      </c>
      <c r="BD517" s="2399">
        <v>0</v>
      </c>
      <c r="BE517" s="2400">
        <v>0</v>
      </c>
      <c r="BF517" s="2398">
        <v>0</v>
      </c>
      <c r="BG517" s="2398">
        <v>0</v>
      </c>
      <c r="BH517" s="2401">
        <v>0</v>
      </c>
      <c r="BI517" s="2401">
        <v>0</v>
      </c>
      <c r="BJ517" s="2398">
        <v>0</v>
      </c>
      <c r="BN517" s="2396">
        <v>12191012</v>
      </c>
      <c r="BO517" s="2397" t="s">
        <v>4211</v>
      </c>
      <c r="BP517" s="2398">
        <v>0</v>
      </c>
      <c r="BQ517" s="2179">
        <v>0</v>
      </c>
      <c r="BR517" s="2399">
        <v>0</v>
      </c>
      <c r="BS517" s="2400">
        <v>0</v>
      </c>
      <c r="BT517" s="2398">
        <v>0</v>
      </c>
      <c r="BU517" s="2398">
        <v>0</v>
      </c>
      <c r="BV517" s="2401">
        <v>0</v>
      </c>
      <c r="BW517" s="2401">
        <v>0</v>
      </c>
      <c r="BX517" s="2398">
        <v>0</v>
      </c>
    </row>
    <row r="518" spans="2:76">
      <c r="B518" s="2564">
        <v>12191007</v>
      </c>
      <c r="C518" s="2565" t="s">
        <v>4206</v>
      </c>
      <c r="D518" s="2566">
        <v>0</v>
      </c>
      <c r="E518" s="1080">
        <v>0</v>
      </c>
      <c r="F518" s="2567">
        <v>0</v>
      </c>
      <c r="G518" s="2568">
        <v>0</v>
      </c>
      <c r="H518" s="2566">
        <v>0</v>
      </c>
      <c r="I518" s="2566">
        <v>0</v>
      </c>
      <c r="J518" s="2569">
        <v>0</v>
      </c>
      <c r="K518" s="2569">
        <v>0</v>
      </c>
      <c r="L518" s="2566">
        <v>0</v>
      </c>
      <c r="N518" s="2396">
        <v>12191007</v>
      </c>
      <c r="O518" s="2397" t="s">
        <v>4206</v>
      </c>
      <c r="P518" s="2398">
        <v>0</v>
      </c>
      <c r="Q518" s="2179">
        <v>0</v>
      </c>
      <c r="R518" s="2399">
        <v>0</v>
      </c>
      <c r="S518" s="2400">
        <v>0</v>
      </c>
      <c r="T518" s="2398">
        <v>0</v>
      </c>
      <c r="U518" s="2398">
        <v>0</v>
      </c>
      <c r="V518" s="2401">
        <v>0</v>
      </c>
      <c r="W518" s="2401">
        <v>0</v>
      </c>
      <c r="X518" s="2398">
        <v>0</v>
      </c>
      <c r="Z518" s="2396">
        <v>12191007</v>
      </c>
      <c r="AA518" s="2397" t="s">
        <v>4206</v>
      </c>
      <c r="AB518" s="2398">
        <v>0</v>
      </c>
      <c r="AC518" s="2179">
        <v>0</v>
      </c>
      <c r="AD518" s="2399">
        <v>0</v>
      </c>
      <c r="AE518" s="2400">
        <v>0</v>
      </c>
      <c r="AF518" s="2398">
        <v>0</v>
      </c>
      <c r="AG518" s="2398">
        <v>0</v>
      </c>
      <c r="AH518" s="2401">
        <v>0</v>
      </c>
      <c r="AI518" s="2401">
        <v>0</v>
      </c>
      <c r="AJ518" s="2398">
        <v>0</v>
      </c>
      <c r="AZ518" s="2396">
        <v>12191007</v>
      </c>
      <c r="BA518" s="2397" t="s">
        <v>4206</v>
      </c>
      <c r="BB518" s="2398">
        <v>0</v>
      </c>
      <c r="BC518" s="2179">
        <v>0</v>
      </c>
      <c r="BD518" s="2399">
        <v>0</v>
      </c>
      <c r="BE518" s="2400">
        <v>0</v>
      </c>
      <c r="BF518" s="2398">
        <v>0</v>
      </c>
      <c r="BG518" s="2398">
        <v>0</v>
      </c>
      <c r="BH518" s="2401">
        <v>0</v>
      </c>
      <c r="BI518" s="2401">
        <v>0</v>
      </c>
      <c r="BJ518" s="2398">
        <v>0</v>
      </c>
      <c r="BN518" s="2390">
        <v>12191100</v>
      </c>
      <c r="BO518" s="2403" t="s">
        <v>3589</v>
      </c>
      <c r="BP518" s="2392">
        <v>9119799207</v>
      </c>
      <c r="BQ518" s="2392">
        <v>45859660</v>
      </c>
      <c r="BR518" s="2393">
        <v>235320842</v>
      </c>
      <c r="BS518" s="2394">
        <v>60162882</v>
      </c>
      <c r="BT518" s="2392">
        <v>36117280</v>
      </c>
      <c r="BU518" s="2392">
        <v>9497259871</v>
      </c>
      <c r="BV518" s="2395">
        <v>0</v>
      </c>
      <c r="BW518" s="2395">
        <v>0</v>
      </c>
      <c r="BX518" s="2392">
        <v>9497259871</v>
      </c>
    </row>
    <row r="519" spans="2:76">
      <c r="B519" s="2564">
        <v>12191008</v>
      </c>
      <c r="C519" s="2565" t="s">
        <v>5039</v>
      </c>
      <c r="D519" s="2566">
        <v>0</v>
      </c>
      <c r="E519" s="1080">
        <v>0</v>
      </c>
      <c r="F519" s="2567">
        <v>0</v>
      </c>
      <c r="G519" s="2568">
        <v>0</v>
      </c>
      <c r="H519" s="2566">
        <v>0</v>
      </c>
      <c r="I519" s="2566">
        <v>0</v>
      </c>
      <c r="J519" s="2569">
        <v>0</v>
      </c>
      <c r="K519" s="2569">
        <v>0</v>
      </c>
      <c r="L519" s="2566">
        <v>0</v>
      </c>
      <c r="N519" s="2396">
        <v>12191008</v>
      </c>
      <c r="O519" s="2397" t="s">
        <v>4207</v>
      </c>
      <c r="P519" s="2398">
        <v>0</v>
      </c>
      <c r="Q519" s="2179">
        <v>0</v>
      </c>
      <c r="R519" s="2399">
        <v>0</v>
      </c>
      <c r="S519" s="2400">
        <v>0</v>
      </c>
      <c r="T519" s="2398">
        <v>0</v>
      </c>
      <c r="U519" s="2398">
        <v>0</v>
      </c>
      <c r="V519" s="2401">
        <v>0</v>
      </c>
      <c r="W519" s="2401">
        <v>0</v>
      </c>
      <c r="X519" s="2398">
        <v>0</v>
      </c>
      <c r="Z519" s="2396">
        <v>12191008</v>
      </c>
      <c r="AA519" s="2397" t="s">
        <v>4207</v>
      </c>
      <c r="AB519" s="2398">
        <v>0</v>
      </c>
      <c r="AC519" s="2179">
        <v>0</v>
      </c>
      <c r="AD519" s="2399">
        <v>0</v>
      </c>
      <c r="AE519" s="2400">
        <v>0</v>
      </c>
      <c r="AF519" s="2398">
        <v>0</v>
      </c>
      <c r="AG519" s="2398">
        <v>0</v>
      </c>
      <c r="AH519" s="2401">
        <v>0</v>
      </c>
      <c r="AI519" s="2401">
        <v>0</v>
      </c>
      <c r="AJ519" s="2398">
        <v>0</v>
      </c>
      <c r="AZ519" s="2396">
        <v>12191008</v>
      </c>
      <c r="BA519" s="2397" t="s">
        <v>4207</v>
      </c>
      <c r="BB519" s="2398">
        <v>0</v>
      </c>
      <c r="BC519" s="2179">
        <v>0</v>
      </c>
      <c r="BD519" s="2399">
        <v>0</v>
      </c>
      <c r="BE519" s="2400">
        <v>0</v>
      </c>
      <c r="BF519" s="2398">
        <v>0</v>
      </c>
      <c r="BG519" s="2398">
        <v>0</v>
      </c>
      <c r="BH519" s="2401">
        <v>0</v>
      </c>
      <c r="BI519" s="2401">
        <v>0</v>
      </c>
      <c r="BJ519" s="2398">
        <v>0</v>
      </c>
      <c r="BN519" s="2396">
        <v>12191101</v>
      </c>
      <c r="BO519" s="2397" t="s">
        <v>3589</v>
      </c>
      <c r="BP519" s="2398">
        <v>9119799207</v>
      </c>
      <c r="BQ519" s="2179">
        <v>45859660</v>
      </c>
      <c r="BR519" s="2399">
        <v>235320842</v>
      </c>
      <c r="BS519" s="2400">
        <v>60162882</v>
      </c>
      <c r="BT519" s="2398">
        <v>36117280</v>
      </c>
      <c r="BU519" s="2398">
        <v>9497259871</v>
      </c>
      <c r="BV519" s="2401">
        <v>0</v>
      </c>
      <c r="BW519" s="2401">
        <v>0</v>
      </c>
      <c r="BX519" s="2398">
        <v>9497259871</v>
      </c>
    </row>
    <row r="520" spans="2:76">
      <c r="B520" s="2564">
        <v>12191009</v>
      </c>
      <c r="C520" s="2565" t="s">
        <v>5040</v>
      </c>
      <c r="D520" s="2566">
        <v>0</v>
      </c>
      <c r="E520" s="1080">
        <v>0</v>
      </c>
      <c r="F520" s="2567">
        <v>0</v>
      </c>
      <c r="G520" s="2568">
        <v>0</v>
      </c>
      <c r="H520" s="2566">
        <v>0</v>
      </c>
      <c r="I520" s="2566">
        <v>0</v>
      </c>
      <c r="J520" s="2569">
        <v>0</v>
      </c>
      <c r="K520" s="2569">
        <v>0</v>
      </c>
      <c r="L520" s="2566">
        <v>0</v>
      </c>
      <c r="N520" s="2396">
        <v>12191009</v>
      </c>
      <c r="O520" s="2397" t="s">
        <v>4208</v>
      </c>
      <c r="P520" s="2398">
        <v>0</v>
      </c>
      <c r="Q520" s="2179">
        <v>0</v>
      </c>
      <c r="R520" s="2399">
        <v>0</v>
      </c>
      <c r="S520" s="2400">
        <v>0</v>
      </c>
      <c r="T520" s="2398">
        <v>0</v>
      </c>
      <c r="U520" s="2398">
        <v>0</v>
      </c>
      <c r="V520" s="2401">
        <v>0</v>
      </c>
      <c r="W520" s="2401">
        <v>0</v>
      </c>
      <c r="X520" s="2398">
        <v>0</v>
      </c>
      <c r="Z520" s="2396">
        <v>12191009</v>
      </c>
      <c r="AA520" s="2397" t="s">
        <v>4208</v>
      </c>
      <c r="AB520" s="2398">
        <v>0</v>
      </c>
      <c r="AC520" s="2179">
        <v>0</v>
      </c>
      <c r="AD520" s="2399">
        <v>0</v>
      </c>
      <c r="AE520" s="2400">
        <v>0</v>
      </c>
      <c r="AF520" s="2398">
        <v>0</v>
      </c>
      <c r="AG520" s="2398">
        <v>0</v>
      </c>
      <c r="AH520" s="2401">
        <v>0</v>
      </c>
      <c r="AI520" s="2401">
        <v>0</v>
      </c>
      <c r="AJ520" s="2398">
        <v>0</v>
      </c>
      <c r="AZ520" s="2396">
        <v>12191009</v>
      </c>
      <c r="BA520" s="2397" t="s">
        <v>4208</v>
      </c>
      <c r="BB520" s="2398">
        <v>0</v>
      </c>
      <c r="BC520" s="2179">
        <v>0</v>
      </c>
      <c r="BD520" s="2399">
        <v>0</v>
      </c>
      <c r="BE520" s="2400">
        <v>0</v>
      </c>
      <c r="BF520" s="2398">
        <v>0</v>
      </c>
      <c r="BG520" s="2398">
        <v>0</v>
      </c>
      <c r="BH520" s="2401">
        <v>0</v>
      </c>
      <c r="BI520" s="2401">
        <v>0</v>
      </c>
      <c r="BJ520" s="2398">
        <v>0</v>
      </c>
      <c r="BN520" s="2396">
        <v>12191102</v>
      </c>
      <c r="BO520" s="2397" t="s">
        <v>4212</v>
      </c>
      <c r="BP520" s="2398">
        <v>0</v>
      </c>
      <c r="BQ520" s="2179">
        <v>0</v>
      </c>
      <c r="BR520" s="2399">
        <v>0</v>
      </c>
      <c r="BS520" s="2400">
        <v>0</v>
      </c>
      <c r="BT520" s="2398">
        <v>0</v>
      </c>
      <c r="BU520" s="2398">
        <v>0</v>
      </c>
      <c r="BV520" s="2401">
        <v>0</v>
      </c>
      <c r="BW520" s="2401">
        <v>0</v>
      </c>
      <c r="BX520" s="2398">
        <v>0</v>
      </c>
    </row>
    <row r="521" spans="2:76">
      <c r="B521" s="2564">
        <v>12191010</v>
      </c>
      <c r="C521" s="2565" t="s">
        <v>4209</v>
      </c>
      <c r="D521" s="2566">
        <v>0</v>
      </c>
      <c r="E521" s="1080">
        <v>0</v>
      </c>
      <c r="F521" s="2567">
        <v>0</v>
      </c>
      <c r="G521" s="2568">
        <v>0</v>
      </c>
      <c r="H521" s="2566">
        <v>0</v>
      </c>
      <c r="I521" s="2566">
        <v>0</v>
      </c>
      <c r="J521" s="2569">
        <v>0</v>
      </c>
      <c r="K521" s="2569">
        <v>0</v>
      </c>
      <c r="L521" s="2566">
        <v>0</v>
      </c>
      <c r="N521" s="2396">
        <v>12191010</v>
      </c>
      <c r="O521" s="2397" t="s">
        <v>4209</v>
      </c>
      <c r="P521" s="2398">
        <v>0</v>
      </c>
      <c r="Q521" s="2179">
        <v>0</v>
      </c>
      <c r="R521" s="2399">
        <v>0</v>
      </c>
      <c r="S521" s="2400">
        <v>0</v>
      </c>
      <c r="T521" s="2398">
        <v>0</v>
      </c>
      <c r="U521" s="2398">
        <v>0</v>
      </c>
      <c r="V521" s="2401">
        <v>0</v>
      </c>
      <c r="W521" s="2401">
        <v>0</v>
      </c>
      <c r="X521" s="2398">
        <v>0</v>
      </c>
      <c r="Z521" s="2396">
        <v>12191010</v>
      </c>
      <c r="AA521" s="2397" t="s">
        <v>4209</v>
      </c>
      <c r="AB521" s="2398">
        <v>0</v>
      </c>
      <c r="AC521" s="2179">
        <v>0</v>
      </c>
      <c r="AD521" s="2399">
        <v>0</v>
      </c>
      <c r="AE521" s="2400">
        <v>0</v>
      </c>
      <c r="AF521" s="2398">
        <v>0</v>
      </c>
      <c r="AG521" s="2398">
        <v>0</v>
      </c>
      <c r="AH521" s="2401">
        <v>0</v>
      </c>
      <c r="AI521" s="2401">
        <v>0</v>
      </c>
      <c r="AJ521" s="2398">
        <v>0</v>
      </c>
      <c r="AZ521" s="2396">
        <v>12191010</v>
      </c>
      <c r="BA521" s="2397" t="s">
        <v>4209</v>
      </c>
      <c r="BB521" s="2398">
        <v>0</v>
      </c>
      <c r="BC521" s="2179">
        <v>0</v>
      </c>
      <c r="BD521" s="2399">
        <v>0</v>
      </c>
      <c r="BE521" s="2400">
        <v>0</v>
      </c>
      <c r="BF521" s="2398">
        <v>0</v>
      </c>
      <c r="BG521" s="2398">
        <v>0</v>
      </c>
      <c r="BH521" s="2401">
        <v>0</v>
      </c>
      <c r="BI521" s="2401">
        <v>0</v>
      </c>
      <c r="BJ521" s="2398">
        <v>0</v>
      </c>
      <c r="BN521" s="2396">
        <v>12191103</v>
      </c>
      <c r="BO521" s="2397" t="s">
        <v>4213</v>
      </c>
      <c r="BP521" s="2398">
        <v>0</v>
      </c>
      <c r="BQ521" s="2179">
        <v>0</v>
      </c>
      <c r="BR521" s="2399">
        <v>0</v>
      </c>
      <c r="BS521" s="2400">
        <v>0</v>
      </c>
      <c r="BT521" s="2398">
        <v>0</v>
      </c>
      <c r="BU521" s="2398">
        <v>0</v>
      </c>
      <c r="BV521" s="2401">
        <v>0</v>
      </c>
      <c r="BW521" s="2401">
        <v>0</v>
      </c>
      <c r="BX521" s="2398">
        <v>0</v>
      </c>
    </row>
    <row r="522" spans="2:76">
      <c r="B522" s="2564">
        <v>12191011</v>
      </c>
      <c r="C522" s="2565" t="s">
        <v>5041</v>
      </c>
      <c r="D522" s="2566">
        <v>0</v>
      </c>
      <c r="E522" s="1080">
        <v>0</v>
      </c>
      <c r="F522" s="2567">
        <v>0</v>
      </c>
      <c r="G522" s="2568">
        <v>0</v>
      </c>
      <c r="H522" s="2566">
        <v>0</v>
      </c>
      <c r="I522" s="2566">
        <v>0</v>
      </c>
      <c r="J522" s="2569">
        <v>0</v>
      </c>
      <c r="K522" s="2569">
        <v>0</v>
      </c>
      <c r="L522" s="2566">
        <v>0</v>
      </c>
      <c r="N522" s="2396">
        <v>12191011</v>
      </c>
      <c r="O522" s="2397" t="s">
        <v>4210</v>
      </c>
      <c r="P522" s="2398">
        <v>0</v>
      </c>
      <c r="Q522" s="2179">
        <v>0</v>
      </c>
      <c r="R522" s="2399">
        <v>0</v>
      </c>
      <c r="S522" s="2400">
        <v>0</v>
      </c>
      <c r="T522" s="2398">
        <v>0</v>
      </c>
      <c r="U522" s="2398">
        <v>0</v>
      </c>
      <c r="V522" s="2401">
        <v>0</v>
      </c>
      <c r="W522" s="2401">
        <v>0</v>
      </c>
      <c r="X522" s="2398">
        <v>0</v>
      </c>
      <c r="Z522" s="2396">
        <v>12191011</v>
      </c>
      <c r="AA522" s="2397" t="s">
        <v>4210</v>
      </c>
      <c r="AB522" s="2398">
        <v>0</v>
      </c>
      <c r="AC522" s="2179">
        <v>0</v>
      </c>
      <c r="AD522" s="2399">
        <v>0</v>
      </c>
      <c r="AE522" s="2400">
        <v>0</v>
      </c>
      <c r="AF522" s="2398">
        <v>0</v>
      </c>
      <c r="AG522" s="2398">
        <v>0</v>
      </c>
      <c r="AH522" s="2401">
        <v>0</v>
      </c>
      <c r="AI522" s="2401">
        <v>0</v>
      </c>
      <c r="AJ522" s="2398">
        <v>0</v>
      </c>
      <c r="AZ522" s="2396">
        <v>12191011</v>
      </c>
      <c r="BA522" s="2397" t="s">
        <v>4210</v>
      </c>
      <c r="BB522" s="2398">
        <v>0</v>
      </c>
      <c r="BC522" s="2179">
        <v>0</v>
      </c>
      <c r="BD522" s="2399">
        <v>0</v>
      </c>
      <c r="BE522" s="2400">
        <v>0</v>
      </c>
      <c r="BF522" s="2398">
        <v>0</v>
      </c>
      <c r="BG522" s="2398">
        <v>0</v>
      </c>
      <c r="BH522" s="2401">
        <v>0</v>
      </c>
      <c r="BI522" s="2401">
        <v>0</v>
      </c>
      <c r="BJ522" s="2398">
        <v>0</v>
      </c>
      <c r="BN522" s="2390">
        <v>12191200</v>
      </c>
      <c r="BO522" s="2403" t="s">
        <v>3585</v>
      </c>
      <c r="BP522" s="2392">
        <v>0</v>
      </c>
      <c r="BQ522" s="2392">
        <v>0</v>
      </c>
      <c r="BR522" s="2393">
        <v>0</v>
      </c>
      <c r="BS522" s="2394">
        <v>0</v>
      </c>
      <c r="BT522" s="2392">
        <v>0</v>
      </c>
      <c r="BU522" s="2392">
        <v>0</v>
      </c>
      <c r="BV522" s="2395">
        <v>0</v>
      </c>
      <c r="BW522" s="2395">
        <v>0</v>
      </c>
      <c r="BX522" s="2392">
        <v>7135180543</v>
      </c>
    </row>
    <row r="523" spans="2:76">
      <c r="B523" s="2564">
        <v>12191012</v>
      </c>
      <c r="C523" s="2565" t="s">
        <v>5042</v>
      </c>
      <c r="D523" s="2566">
        <v>0</v>
      </c>
      <c r="E523" s="1080">
        <v>0</v>
      </c>
      <c r="F523" s="2567">
        <v>0</v>
      </c>
      <c r="G523" s="2568">
        <v>0</v>
      </c>
      <c r="H523" s="2566">
        <v>0</v>
      </c>
      <c r="I523" s="2566">
        <v>0</v>
      </c>
      <c r="J523" s="2569">
        <v>0</v>
      </c>
      <c r="K523" s="2569">
        <v>0</v>
      </c>
      <c r="L523" s="2566">
        <v>0</v>
      </c>
      <c r="N523" s="2396">
        <v>12191012</v>
      </c>
      <c r="O523" s="2397" t="s">
        <v>4211</v>
      </c>
      <c r="P523" s="2398">
        <v>0</v>
      </c>
      <c r="Q523" s="2179">
        <v>0</v>
      </c>
      <c r="R523" s="2399">
        <v>0</v>
      </c>
      <c r="S523" s="2400">
        <v>0</v>
      </c>
      <c r="T523" s="2398">
        <v>0</v>
      </c>
      <c r="U523" s="2398">
        <v>0</v>
      </c>
      <c r="V523" s="2401">
        <v>0</v>
      </c>
      <c r="W523" s="2401">
        <v>0</v>
      </c>
      <c r="X523" s="2398">
        <v>0</v>
      </c>
      <c r="Z523" s="2396">
        <v>12191012</v>
      </c>
      <c r="AA523" s="2397" t="s">
        <v>4211</v>
      </c>
      <c r="AB523" s="2398">
        <v>0</v>
      </c>
      <c r="AC523" s="2179">
        <v>0</v>
      </c>
      <c r="AD523" s="2399">
        <v>0</v>
      </c>
      <c r="AE523" s="2400">
        <v>0</v>
      </c>
      <c r="AF523" s="2398">
        <v>0</v>
      </c>
      <c r="AG523" s="2398">
        <v>0</v>
      </c>
      <c r="AH523" s="2401">
        <v>0</v>
      </c>
      <c r="AI523" s="2401">
        <v>0</v>
      </c>
      <c r="AJ523" s="2398">
        <v>0</v>
      </c>
      <c r="AZ523" s="2396">
        <v>12191012</v>
      </c>
      <c r="BA523" s="2397" t="s">
        <v>4211</v>
      </c>
      <c r="BB523" s="2398">
        <v>0</v>
      </c>
      <c r="BC523" s="2179">
        <v>0</v>
      </c>
      <c r="BD523" s="2399">
        <v>0</v>
      </c>
      <c r="BE523" s="2400">
        <v>0</v>
      </c>
      <c r="BF523" s="2398">
        <v>0</v>
      </c>
      <c r="BG523" s="2398">
        <v>0</v>
      </c>
      <c r="BH523" s="2401">
        <v>0</v>
      </c>
      <c r="BI523" s="2401">
        <v>0</v>
      </c>
      <c r="BJ523" s="2398">
        <v>0</v>
      </c>
      <c r="BN523" s="2396">
        <v>12191201</v>
      </c>
      <c r="BO523" s="2397" t="s">
        <v>3585</v>
      </c>
      <c r="BP523" s="2398">
        <v>0</v>
      </c>
      <c r="BQ523" s="2179">
        <v>0</v>
      </c>
      <c r="BR523" s="2399">
        <v>0</v>
      </c>
      <c r="BS523" s="2400">
        <v>0</v>
      </c>
      <c r="BT523" s="2398">
        <v>0</v>
      </c>
      <c r="BU523" s="2398">
        <v>0</v>
      </c>
      <c r="BV523" s="2401">
        <v>0</v>
      </c>
      <c r="BW523" s="2401">
        <v>0</v>
      </c>
      <c r="BX523" s="2398">
        <v>0</v>
      </c>
    </row>
    <row r="524" spans="2:76">
      <c r="B524" s="2558">
        <v>12191100</v>
      </c>
      <c r="C524" s="2571" t="s">
        <v>3589</v>
      </c>
      <c r="D524" s="2560">
        <v>11721152515</v>
      </c>
      <c r="E524" s="2560">
        <v>118373469</v>
      </c>
      <c r="F524" s="2561">
        <v>268355218</v>
      </c>
      <c r="G524" s="2562">
        <v>4933992</v>
      </c>
      <c r="H524" s="2560">
        <v>5233064</v>
      </c>
      <c r="I524" s="2560">
        <v>12118048258</v>
      </c>
      <c r="J524" s="2563">
        <v>0</v>
      </c>
      <c r="K524" s="2563">
        <v>0</v>
      </c>
      <c r="L524" s="2560">
        <v>12118048258</v>
      </c>
      <c r="N524" s="2390">
        <v>12191100</v>
      </c>
      <c r="O524" s="2403" t="s">
        <v>3589</v>
      </c>
      <c r="P524" s="2392">
        <v>11879386684</v>
      </c>
      <c r="Q524" s="2392">
        <v>54810133</v>
      </c>
      <c r="R524" s="2393">
        <v>225831791</v>
      </c>
      <c r="S524" s="2394">
        <v>7248972</v>
      </c>
      <c r="T524" s="2392">
        <v>6971817</v>
      </c>
      <c r="U524" s="2392">
        <v>12174249397</v>
      </c>
      <c r="V524" s="2395">
        <v>0</v>
      </c>
      <c r="W524" s="2395">
        <v>0</v>
      </c>
      <c r="X524" s="2392">
        <v>12174249397</v>
      </c>
      <c r="Z524" s="2390">
        <v>12191100</v>
      </c>
      <c r="AA524" s="2403" t="s">
        <v>3589</v>
      </c>
      <c r="AB524" s="2392">
        <v>12798627509</v>
      </c>
      <c r="AC524" s="2392">
        <v>64487629</v>
      </c>
      <c r="AD524" s="2393">
        <v>261757951</v>
      </c>
      <c r="AE524" s="2394">
        <v>11878932</v>
      </c>
      <c r="AF524" s="2392">
        <v>10527847</v>
      </c>
      <c r="AG524" s="2392">
        <v>13147279868</v>
      </c>
      <c r="AH524" s="2395">
        <v>0</v>
      </c>
      <c r="AI524" s="2395">
        <v>0</v>
      </c>
      <c r="AJ524" s="2392">
        <v>13147279868</v>
      </c>
      <c r="AZ524" s="2390">
        <v>12191100</v>
      </c>
      <c r="BA524" s="2403" t="s">
        <v>3589</v>
      </c>
      <c r="BB524" s="2392">
        <v>8134872922</v>
      </c>
      <c r="BC524" s="2392">
        <v>32901920</v>
      </c>
      <c r="BD524" s="2393">
        <v>263564000</v>
      </c>
      <c r="BE524" s="2394">
        <v>32827867</v>
      </c>
      <c r="BF524" s="2392">
        <v>23953527</v>
      </c>
      <c r="BG524" s="2392">
        <v>8488120236</v>
      </c>
      <c r="BH524" s="2395">
        <v>0</v>
      </c>
      <c r="BI524" s="2395">
        <v>0</v>
      </c>
      <c r="BJ524" s="2392">
        <v>8488120236</v>
      </c>
      <c r="BN524" s="2396">
        <v>12191202</v>
      </c>
      <c r="BO524" s="2397" t="s">
        <v>4214</v>
      </c>
      <c r="BP524" s="2398">
        <v>0</v>
      </c>
      <c r="BQ524" s="2179">
        <v>0</v>
      </c>
      <c r="BR524" s="2399">
        <v>0</v>
      </c>
      <c r="BS524" s="2400">
        <v>0</v>
      </c>
      <c r="BT524" s="2398">
        <v>0</v>
      </c>
      <c r="BU524" s="2398">
        <v>0</v>
      </c>
      <c r="BV524" s="2401">
        <v>0</v>
      </c>
      <c r="BW524" s="2401">
        <v>0</v>
      </c>
      <c r="BX524" s="2398">
        <v>0</v>
      </c>
    </row>
    <row r="525" spans="2:76">
      <c r="B525" s="2564">
        <v>12191101</v>
      </c>
      <c r="C525" s="2565" t="s">
        <v>3589</v>
      </c>
      <c r="D525" s="2566">
        <v>11721152515</v>
      </c>
      <c r="E525" s="1080">
        <v>118373469</v>
      </c>
      <c r="F525" s="2567">
        <v>268355218</v>
      </c>
      <c r="G525" s="2568">
        <v>4933992</v>
      </c>
      <c r="H525" s="2566">
        <v>5233064</v>
      </c>
      <c r="I525" s="2566">
        <v>12118048258</v>
      </c>
      <c r="J525" s="2569">
        <v>0</v>
      </c>
      <c r="K525" s="2569">
        <v>0</v>
      </c>
      <c r="L525" s="2566">
        <v>12118048258</v>
      </c>
      <c r="N525" s="2396">
        <v>12191101</v>
      </c>
      <c r="O525" s="2397" t="s">
        <v>3589</v>
      </c>
      <c r="P525" s="2398">
        <v>11879386684</v>
      </c>
      <c r="Q525" s="2179">
        <v>54810133</v>
      </c>
      <c r="R525" s="2399">
        <v>225831791</v>
      </c>
      <c r="S525" s="2400">
        <v>7248972</v>
      </c>
      <c r="T525" s="2398">
        <v>6971817</v>
      </c>
      <c r="U525" s="2398">
        <v>12174249397</v>
      </c>
      <c r="V525" s="2401">
        <v>0</v>
      </c>
      <c r="W525" s="2401">
        <v>0</v>
      </c>
      <c r="X525" s="2398">
        <v>12174249397</v>
      </c>
      <c r="Z525" s="2396">
        <v>12191101</v>
      </c>
      <c r="AA525" s="2397" t="s">
        <v>3589</v>
      </c>
      <c r="AB525" s="2398">
        <v>12798627509</v>
      </c>
      <c r="AC525" s="2179">
        <v>64487629</v>
      </c>
      <c r="AD525" s="2399">
        <v>261757951</v>
      </c>
      <c r="AE525" s="2400">
        <v>11878932</v>
      </c>
      <c r="AF525" s="2398">
        <v>10527847</v>
      </c>
      <c r="AG525" s="2398">
        <v>13147279868</v>
      </c>
      <c r="AH525" s="2401">
        <v>0</v>
      </c>
      <c r="AI525" s="2401">
        <v>0</v>
      </c>
      <c r="AJ525" s="2398">
        <v>13147279868</v>
      </c>
      <c r="AZ525" s="2396">
        <v>12191101</v>
      </c>
      <c r="BA525" s="2397" t="s">
        <v>3589</v>
      </c>
      <c r="BB525" s="2398">
        <v>8134872922</v>
      </c>
      <c r="BC525" s="2179">
        <v>32901920</v>
      </c>
      <c r="BD525" s="2399">
        <v>263564000</v>
      </c>
      <c r="BE525" s="2400">
        <v>32827867</v>
      </c>
      <c r="BF525" s="2398">
        <v>23953527</v>
      </c>
      <c r="BG525" s="2398">
        <v>8488120236</v>
      </c>
      <c r="BH525" s="2401">
        <v>0</v>
      </c>
      <c r="BI525" s="2401">
        <v>0</v>
      </c>
      <c r="BJ525" s="2398">
        <v>8488120236</v>
      </c>
      <c r="BN525" s="2396">
        <v>12191203</v>
      </c>
      <c r="BO525" s="2397" t="s">
        <v>4215</v>
      </c>
      <c r="BP525" s="2398">
        <v>0</v>
      </c>
      <c r="BQ525" s="2179">
        <v>0</v>
      </c>
      <c r="BR525" s="2399">
        <v>0</v>
      </c>
      <c r="BS525" s="2400">
        <v>0</v>
      </c>
      <c r="BT525" s="2398">
        <v>0</v>
      </c>
      <c r="BU525" s="2398">
        <v>0</v>
      </c>
      <c r="BV525" s="2401">
        <v>9022438003</v>
      </c>
      <c r="BW525" s="2401">
        <v>1887257460</v>
      </c>
      <c r="BX525" s="2398">
        <v>7135180543</v>
      </c>
    </row>
    <row r="526" spans="2:76">
      <c r="B526" s="2564">
        <v>12191102</v>
      </c>
      <c r="C526" s="2565" t="s">
        <v>5043</v>
      </c>
      <c r="D526" s="2566">
        <v>0</v>
      </c>
      <c r="E526" s="1080">
        <v>0</v>
      </c>
      <c r="F526" s="2567">
        <v>0</v>
      </c>
      <c r="G526" s="2568">
        <v>0</v>
      </c>
      <c r="H526" s="2566">
        <v>0</v>
      </c>
      <c r="I526" s="2566">
        <v>0</v>
      </c>
      <c r="J526" s="2569">
        <v>0</v>
      </c>
      <c r="K526" s="2569">
        <v>0</v>
      </c>
      <c r="L526" s="2566">
        <v>0</v>
      </c>
      <c r="N526" s="2396">
        <v>12191102</v>
      </c>
      <c r="O526" s="2397" t="s">
        <v>4212</v>
      </c>
      <c r="P526" s="2398">
        <v>0</v>
      </c>
      <c r="Q526" s="2179">
        <v>0</v>
      </c>
      <c r="R526" s="2399">
        <v>0</v>
      </c>
      <c r="S526" s="2400">
        <v>0</v>
      </c>
      <c r="T526" s="2398">
        <v>0</v>
      </c>
      <c r="U526" s="2398">
        <v>0</v>
      </c>
      <c r="V526" s="2401">
        <v>0</v>
      </c>
      <c r="W526" s="2401">
        <v>0</v>
      </c>
      <c r="X526" s="2398">
        <v>0</v>
      </c>
      <c r="Z526" s="2396">
        <v>12191102</v>
      </c>
      <c r="AA526" s="2397" t="s">
        <v>4212</v>
      </c>
      <c r="AB526" s="2398">
        <v>0</v>
      </c>
      <c r="AC526" s="2179">
        <v>0</v>
      </c>
      <c r="AD526" s="2399">
        <v>0</v>
      </c>
      <c r="AE526" s="2400">
        <v>0</v>
      </c>
      <c r="AF526" s="2398">
        <v>0</v>
      </c>
      <c r="AG526" s="2398">
        <v>0</v>
      </c>
      <c r="AH526" s="2401">
        <v>0</v>
      </c>
      <c r="AI526" s="2401">
        <v>0</v>
      </c>
      <c r="AJ526" s="2398">
        <v>0</v>
      </c>
      <c r="AZ526" s="2396">
        <v>12191102</v>
      </c>
      <c r="BA526" s="2397" t="s">
        <v>4212</v>
      </c>
      <c r="BB526" s="2398">
        <v>0</v>
      </c>
      <c r="BC526" s="2179">
        <v>0</v>
      </c>
      <c r="BD526" s="2399">
        <v>0</v>
      </c>
      <c r="BE526" s="2400">
        <v>0</v>
      </c>
      <c r="BF526" s="2398">
        <v>0</v>
      </c>
      <c r="BG526" s="2398">
        <v>0</v>
      </c>
      <c r="BH526" s="2401">
        <v>0</v>
      </c>
      <c r="BI526" s="2401">
        <v>0</v>
      </c>
      <c r="BJ526" s="2398">
        <v>0</v>
      </c>
      <c r="BN526" s="2396">
        <v>12191204</v>
      </c>
      <c r="BO526" s="2397" t="s">
        <v>4216</v>
      </c>
      <c r="BP526" s="2398">
        <v>0</v>
      </c>
      <c r="BQ526" s="2179">
        <v>0</v>
      </c>
      <c r="BR526" s="2399">
        <v>0</v>
      </c>
      <c r="BS526" s="2400">
        <v>0</v>
      </c>
      <c r="BT526" s="2398">
        <v>0</v>
      </c>
      <c r="BU526" s="2398">
        <v>0</v>
      </c>
      <c r="BV526" s="2401">
        <v>0</v>
      </c>
      <c r="BW526" s="2401">
        <v>0</v>
      </c>
      <c r="BX526" s="2398">
        <v>0</v>
      </c>
    </row>
    <row r="527" spans="2:76">
      <c r="B527" s="2564">
        <v>12191103</v>
      </c>
      <c r="C527" s="2565" t="s">
        <v>5044</v>
      </c>
      <c r="D527" s="2566">
        <v>0</v>
      </c>
      <c r="E527" s="1080">
        <v>0</v>
      </c>
      <c r="F527" s="2567">
        <v>0</v>
      </c>
      <c r="G527" s="2568">
        <v>0</v>
      </c>
      <c r="H527" s="2566">
        <v>0</v>
      </c>
      <c r="I527" s="2566">
        <v>0</v>
      </c>
      <c r="J527" s="2569">
        <v>0</v>
      </c>
      <c r="K527" s="2569">
        <v>0</v>
      </c>
      <c r="L527" s="2566">
        <v>0</v>
      </c>
      <c r="N527" s="2396">
        <v>12191103</v>
      </c>
      <c r="O527" s="2397" t="s">
        <v>4213</v>
      </c>
      <c r="P527" s="2398">
        <v>0</v>
      </c>
      <c r="Q527" s="2179">
        <v>0</v>
      </c>
      <c r="R527" s="2399">
        <v>0</v>
      </c>
      <c r="S527" s="2400">
        <v>0</v>
      </c>
      <c r="T527" s="2398">
        <v>0</v>
      </c>
      <c r="U527" s="2398">
        <v>0</v>
      </c>
      <c r="V527" s="2401">
        <v>0</v>
      </c>
      <c r="W527" s="2401">
        <v>0</v>
      </c>
      <c r="X527" s="2398">
        <v>0</v>
      </c>
      <c r="Z527" s="2396">
        <v>12191103</v>
      </c>
      <c r="AA527" s="2397" t="s">
        <v>4213</v>
      </c>
      <c r="AB527" s="2398">
        <v>0</v>
      </c>
      <c r="AC527" s="2179">
        <v>0</v>
      </c>
      <c r="AD527" s="2399">
        <v>0</v>
      </c>
      <c r="AE527" s="2400">
        <v>0</v>
      </c>
      <c r="AF527" s="2398">
        <v>0</v>
      </c>
      <c r="AG527" s="2398">
        <v>0</v>
      </c>
      <c r="AH527" s="2401">
        <v>0</v>
      </c>
      <c r="AI527" s="2401">
        <v>0</v>
      </c>
      <c r="AJ527" s="2398">
        <v>0</v>
      </c>
      <c r="AZ527" s="2396">
        <v>12191103</v>
      </c>
      <c r="BA527" s="2397" t="s">
        <v>4213</v>
      </c>
      <c r="BB527" s="2398">
        <v>0</v>
      </c>
      <c r="BC527" s="2179">
        <v>0</v>
      </c>
      <c r="BD527" s="2399">
        <v>0</v>
      </c>
      <c r="BE527" s="2400">
        <v>0</v>
      </c>
      <c r="BF527" s="2398">
        <v>0</v>
      </c>
      <c r="BG527" s="2398">
        <v>0</v>
      </c>
      <c r="BH527" s="2401">
        <v>0</v>
      </c>
      <c r="BI527" s="2401">
        <v>0</v>
      </c>
      <c r="BJ527" s="2398">
        <v>0</v>
      </c>
      <c r="BN527" s="2390">
        <v>12191300</v>
      </c>
      <c r="BO527" s="2403" t="s">
        <v>3587</v>
      </c>
      <c r="BP527" s="2392">
        <v>0</v>
      </c>
      <c r="BQ527" s="2392">
        <v>0</v>
      </c>
      <c r="BR527" s="2393">
        <v>0</v>
      </c>
      <c r="BS527" s="2394">
        <v>0</v>
      </c>
      <c r="BT527" s="2392">
        <v>0</v>
      </c>
      <c r="BU527" s="2392">
        <v>0</v>
      </c>
      <c r="BV527" s="2395">
        <v>0</v>
      </c>
      <c r="BW527" s="2395">
        <v>0</v>
      </c>
      <c r="BX527" s="2392">
        <v>0</v>
      </c>
    </row>
    <row r="528" spans="2:76">
      <c r="B528" s="2558">
        <v>12191200</v>
      </c>
      <c r="C528" s="2571" t="s">
        <v>3585</v>
      </c>
      <c r="D528" s="2560">
        <v>0</v>
      </c>
      <c r="E528" s="2560">
        <v>0</v>
      </c>
      <c r="F528" s="2561">
        <v>0</v>
      </c>
      <c r="G528" s="2562">
        <v>0</v>
      </c>
      <c r="H528" s="2560">
        <v>0</v>
      </c>
      <c r="I528" s="2560">
        <v>0</v>
      </c>
      <c r="J528" s="2563">
        <v>0</v>
      </c>
      <c r="K528" s="2563">
        <v>0</v>
      </c>
      <c r="L528" s="2560">
        <v>7135180543</v>
      </c>
      <c r="N528" s="2390">
        <v>12191200</v>
      </c>
      <c r="O528" s="2403" t="s">
        <v>3585</v>
      </c>
      <c r="P528" s="2392">
        <v>0</v>
      </c>
      <c r="Q528" s="2392">
        <v>0</v>
      </c>
      <c r="R528" s="2393">
        <v>0</v>
      </c>
      <c r="S528" s="2394">
        <v>0</v>
      </c>
      <c r="T528" s="2392">
        <v>0</v>
      </c>
      <c r="U528" s="2392">
        <v>0</v>
      </c>
      <c r="V528" s="2395">
        <v>0</v>
      </c>
      <c r="W528" s="2395">
        <v>0</v>
      </c>
      <c r="X528" s="2392">
        <v>7135180543</v>
      </c>
      <c r="Z528" s="2390">
        <v>12191200</v>
      </c>
      <c r="AA528" s="2403" t="s">
        <v>3585</v>
      </c>
      <c r="AB528" s="2392">
        <v>0</v>
      </c>
      <c r="AC528" s="2392">
        <v>0</v>
      </c>
      <c r="AD528" s="2393">
        <v>0</v>
      </c>
      <c r="AE528" s="2394">
        <v>0</v>
      </c>
      <c r="AF528" s="2392">
        <v>0</v>
      </c>
      <c r="AG528" s="2392">
        <v>0</v>
      </c>
      <c r="AH528" s="2395">
        <v>0</v>
      </c>
      <c r="AI528" s="2395">
        <v>0</v>
      </c>
      <c r="AJ528" s="2392">
        <v>7135180543</v>
      </c>
      <c r="AZ528" s="2390">
        <v>12191200</v>
      </c>
      <c r="BA528" s="2403" t="s">
        <v>3585</v>
      </c>
      <c r="BB528" s="2392">
        <v>0</v>
      </c>
      <c r="BC528" s="2392">
        <v>0</v>
      </c>
      <c r="BD528" s="2393">
        <v>0</v>
      </c>
      <c r="BE528" s="2394">
        <v>0</v>
      </c>
      <c r="BF528" s="2392">
        <v>0</v>
      </c>
      <c r="BG528" s="2392">
        <v>0</v>
      </c>
      <c r="BH528" s="2395">
        <v>0</v>
      </c>
      <c r="BI528" s="2395">
        <v>0</v>
      </c>
      <c r="BJ528" s="2392">
        <v>7135180543</v>
      </c>
      <c r="BN528" s="2396">
        <v>12191301</v>
      </c>
      <c r="BO528" s="2397" t="s">
        <v>3587</v>
      </c>
      <c r="BP528" s="2398">
        <v>0</v>
      </c>
      <c r="BQ528" s="2179">
        <v>0</v>
      </c>
      <c r="BR528" s="2399">
        <v>0</v>
      </c>
      <c r="BS528" s="2400">
        <v>0</v>
      </c>
      <c r="BT528" s="2398">
        <v>0</v>
      </c>
      <c r="BU528" s="2398">
        <v>0</v>
      </c>
      <c r="BV528" s="2401">
        <v>0</v>
      </c>
      <c r="BW528" s="2401">
        <v>0</v>
      </c>
      <c r="BX528" s="2398">
        <v>0</v>
      </c>
    </row>
    <row r="529" spans="2:76">
      <c r="B529" s="2564">
        <v>12191201</v>
      </c>
      <c r="C529" s="2565" t="s">
        <v>3585</v>
      </c>
      <c r="D529" s="2566">
        <v>0</v>
      </c>
      <c r="E529" s="1080">
        <v>0</v>
      </c>
      <c r="F529" s="2567">
        <v>0</v>
      </c>
      <c r="G529" s="2568">
        <v>0</v>
      </c>
      <c r="H529" s="2566">
        <v>0</v>
      </c>
      <c r="I529" s="2566">
        <v>0</v>
      </c>
      <c r="J529" s="2569">
        <v>0</v>
      </c>
      <c r="K529" s="2569">
        <v>0</v>
      </c>
      <c r="L529" s="2566">
        <v>0</v>
      </c>
      <c r="N529" s="2396">
        <v>12191201</v>
      </c>
      <c r="O529" s="2397" t="s">
        <v>3585</v>
      </c>
      <c r="P529" s="2398">
        <v>0</v>
      </c>
      <c r="Q529" s="2179">
        <v>0</v>
      </c>
      <c r="R529" s="2399">
        <v>0</v>
      </c>
      <c r="S529" s="2400">
        <v>0</v>
      </c>
      <c r="T529" s="2398">
        <v>0</v>
      </c>
      <c r="U529" s="2398">
        <v>0</v>
      </c>
      <c r="V529" s="2401">
        <v>0</v>
      </c>
      <c r="W529" s="2401">
        <v>0</v>
      </c>
      <c r="X529" s="2398">
        <v>0</v>
      </c>
      <c r="Z529" s="2396">
        <v>12191201</v>
      </c>
      <c r="AA529" s="2397" t="s">
        <v>3585</v>
      </c>
      <c r="AB529" s="2398">
        <v>0</v>
      </c>
      <c r="AC529" s="2179">
        <v>0</v>
      </c>
      <c r="AD529" s="2399">
        <v>0</v>
      </c>
      <c r="AE529" s="2400">
        <v>0</v>
      </c>
      <c r="AF529" s="2398">
        <v>0</v>
      </c>
      <c r="AG529" s="2398">
        <v>0</v>
      </c>
      <c r="AH529" s="2401">
        <v>0</v>
      </c>
      <c r="AI529" s="2401">
        <v>0</v>
      </c>
      <c r="AJ529" s="2398">
        <v>0</v>
      </c>
      <c r="AZ529" s="2396">
        <v>12191201</v>
      </c>
      <c r="BA529" s="2397" t="s">
        <v>3585</v>
      </c>
      <c r="BB529" s="2398">
        <v>0</v>
      </c>
      <c r="BC529" s="2179">
        <v>0</v>
      </c>
      <c r="BD529" s="2399">
        <v>0</v>
      </c>
      <c r="BE529" s="2400">
        <v>0</v>
      </c>
      <c r="BF529" s="2398">
        <v>0</v>
      </c>
      <c r="BG529" s="2398">
        <v>0</v>
      </c>
      <c r="BH529" s="2401">
        <v>0</v>
      </c>
      <c r="BI529" s="2401">
        <v>0</v>
      </c>
      <c r="BJ529" s="2398">
        <v>0</v>
      </c>
      <c r="BN529" s="2396">
        <v>12191302</v>
      </c>
      <c r="BO529" s="2397" t="s">
        <v>4217</v>
      </c>
      <c r="BP529" s="2398">
        <v>0</v>
      </c>
      <c r="BQ529" s="2179">
        <v>0</v>
      </c>
      <c r="BR529" s="2399">
        <v>0</v>
      </c>
      <c r="BS529" s="2400">
        <v>0</v>
      </c>
      <c r="BT529" s="2398">
        <v>0</v>
      </c>
      <c r="BU529" s="2398">
        <v>0</v>
      </c>
      <c r="BV529" s="2401">
        <v>0</v>
      </c>
      <c r="BW529" s="2401">
        <v>0</v>
      </c>
      <c r="BX529" s="2398">
        <v>0</v>
      </c>
    </row>
    <row r="530" spans="2:76">
      <c r="B530" s="2564">
        <v>12191202</v>
      </c>
      <c r="C530" s="2565" t="s">
        <v>5045</v>
      </c>
      <c r="D530" s="2566">
        <v>0</v>
      </c>
      <c r="E530" s="1080">
        <v>0</v>
      </c>
      <c r="F530" s="2567">
        <v>0</v>
      </c>
      <c r="G530" s="2568">
        <v>0</v>
      </c>
      <c r="H530" s="2566">
        <v>0</v>
      </c>
      <c r="I530" s="2566">
        <v>0</v>
      </c>
      <c r="J530" s="2569">
        <v>0</v>
      </c>
      <c r="K530" s="2569">
        <v>0</v>
      </c>
      <c r="L530" s="2566">
        <v>0</v>
      </c>
      <c r="N530" s="2396">
        <v>12191202</v>
      </c>
      <c r="O530" s="2397" t="s">
        <v>4214</v>
      </c>
      <c r="P530" s="2398">
        <v>0</v>
      </c>
      <c r="Q530" s="2179">
        <v>0</v>
      </c>
      <c r="R530" s="2399">
        <v>0</v>
      </c>
      <c r="S530" s="2400">
        <v>0</v>
      </c>
      <c r="T530" s="2398">
        <v>0</v>
      </c>
      <c r="U530" s="2398">
        <v>0</v>
      </c>
      <c r="V530" s="2401">
        <v>0</v>
      </c>
      <c r="W530" s="2401">
        <v>0</v>
      </c>
      <c r="X530" s="2398">
        <v>0</v>
      </c>
      <c r="Z530" s="2396">
        <v>12191202</v>
      </c>
      <c r="AA530" s="2397" t="s">
        <v>4214</v>
      </c>
      <c r="AB530" s="2398">
        <v>0</v>
      </c>
      <c r="AC530" s="2179">
        <v>0</v>
      </c>
      <c r="AD530" s="2399">
        <v>0</v>
      </c>
      <c r="AE530" s="2400">
        <v>0</v>
      </c>
      <c r="AF530" s="2398">
        <v>0</v>
      </c>
      <c r="AG530" s="2398">
        <v>0</v>
      </c>
      <c r="AH530" s="2401">
        <v>0</v>
      </c>
      <c r="AI530" s="2401">
        <v>0</v>
      </c>
      <c r="AJ530" s="2398">
        <v>0</v>
      </c>
      <c r="AZ530" s="2396">
        <v>12191202</v>
      </c>
      <c r="BA530" s="2397" t="s">
        <v>4214</v>
      </c>
      <c r="BB530" s="2398">
        <v>0</v>
      </c>
      <c r="BC530" s="2179">
        <v>0</v>
      </c>
      <c r="BD530" s="2399">
        <v>0</v>
      </c>
      <c r="BE530" s="2400">
        <v>0</v>
      </c>
      <c r="BF530" s="2398">
        <v>0</v>
      </c>
      <c r="BG530" s="2398">
        <v>0</v>
      </c>
      <c r="BH530" s="2401">
        <v>0</v>
      </c>
      <c r="BI530" s="2401">
        <v>0</v>
      </c>
      <c r="BJ530" s="2398">
        <v>0</v>
      </c>
      <c r="BN530" s="2396">
        <v>12191303</v>
      </c>
      <c r="BO530" s="2397" t="s">
        <v>4218</v>
      </c>
      <c r="BP530" s="2398">
        <v>0</v>
      </c>
      <c r="BQ530" s="2179">
        <v>0</v>
      </c>
      <c r="BR530" s="2399">
        <v>0</v>
      </c>
      <c r="BS530" s="2400">
        <v>0</v>
      </c>
      <c r="BT530" s="2398">
        <v>0</v>
      </c>
      <c r="BU530" s="2398">
        <v>0</v>
      </c>
      <c r="BV530" s="2401">
        <v>0</v>
      </c>
      <c r="BW530" s="2401">
        <v>0</v>
      </c>
      <c r="BX530" s="2398">
        <v>0</v>
      </c>
    </row>
    <row r="531" spans="2:76">
      <c r="B531" s="2564">
        <v>12191203</v>
      </c>
      <c r="C531" s="2565" t="s">
        <v>4215</v>
      </c>
      <c r="D531" s="2566">
        <v>0</v>
      </c>
      <c r="E531" s="1080">
        <v>0</v>
      </c>
      <c r="F531" s="2567">
        <v>0</v>
      </c>
      <c r="G531" s="2568">
        <v>0</v>
      </c>
      <c r="H531" s="2566">
        <v>0</v>
      </c>
      <c r="I531" s="2566">
        <v>0</v>
      </c>
      <c r="J531" s="2569">
        <v>9022438003</v>
      </c>
      <c r="K531" s="2569">
        <v>1887257460</v>
      </c>
      <c r="L531" s="2566">
        <v>7135180543</v>
      </c>
      <c r="N531" s="2396">
        <v>12191203</v>
      </c>
      <c r="O531" s="2397" t="s">
        <v>4215</v>
      </c>
      <c r="P531" s="2398">
        <v>0</v>
      </c>
      <c r="Q531" s="2179">
        <v>0</v>
      </c>
      <c r="R531" s="2399">
        <v>0</v>
      </c>
      <c r="S531" s="2400">
        <v>0</v>
      </c>
      <c r="T531" s="2398">
        <v>0</v>
      </c>
      <c r="U531" s="2398">
        <v>0</v>
      </c>
      <c r="V531" s="2401">
        <v>9022438003</v>
      </c>
      <c r="W531" s="2401">
        <v>1887257460</v>
      </c>
      <c r="X531" s="2398">
        <v>7135180543</v>
      </c>
      <c r="Z531" s="2396">
        <v>12191203</v>
      </c>
      <c r="AA531" s="2397" t="s">
        <v>4215</v>
      </c>
      <c r="AB531" s="2398">
        <v>0</v>
      </c>
      <c r="AC531" s="2179">
        <v>0</v>
      </c>
      <c r="AD531" s="2399">
        <v>0</v>
      </c>
      <c r="AE531" s="2400">
        <v>0</v>
      </c>
      <c r="AF531" s="2398">
        <v>0</v>
      </c>
      <c r="AG531" s="2398">
        <v>0</v>
      </c>
      <c r="AH531" s="2401">
        <v>9022438003</v>
      </c>
      <c r="AI531" s="2401">
        <v>1887257460</v>
      </c>
      <c r="AJ531" s="2398">
        <v>7135180543</v>
      </c>
      <c r="AZ531" s="2396">
        <v>12191203</v>
      </c>
      <c r="BA531" s="2397" t="s">
        <v>4215</v>
      </c>
      <c r="BB531" s="2398">
        <v>0</v>
      </c>
      <c r="BC531" s="2179">
        <v>0</v>
      </c>
      <c r="BD531" s="2399">
        <v>0</v>
      </c>
      <c r="BE531" s="2400">
        <v>0</v>
      </c>
      <c r="BF531" s="2398">
        <v>0</v>
      </c>
      <c r="BG531" s="2398">
        <v>0</v>
      </c>
      <c r="BH531" s="2401">
        <v>9022438003</v>
      </c>
      <c r="BI531" s="2401">
        <v>1887257460</v>
      </c>
      <c r="BJ531" s="2398">
        <v>7135180543</v>
      </c>
      <c r="BN531" s="2390">
        <v>12191400</v>
      </c>
      <c r="BO531" s="2403" t="s">
        <v>3588</v>
      </c>
      <c r="BP531" s="2392">
        <v>8820475821</v>
      </c>
      <c r="BQ531" s="2392">
        <v>63500800</v>
      </c>
      <c r="BR531" s="2393">
        <v>92665600</v>
      </c>
      <c r="BS531" s="2394">
        <v>0</v>
      </c>
      <c r="BT531" s="2392">
        <v>0</v>
      </c>
      <c r="BU531" s="2392">
        <v>8976642221</v>
      </c>
      <c r="BV531" s="2395">
        <v>0</v>
      </c>
      <c r="BW531" s="2395">
        <v>0</v>
      </c>
      <c r="BX531" s="2392">
        <v>8976642221</v>
      </c>
    </row>
    <row r="532" spans="2:76">
      <c r="B532" s="2564">
        <v>12191204</v>
      </c>
      <c r="C532" s="2565" t="s">
        <v>4216</v>
      </c>
      <c r="D532" s="2566">
        <v>0</v>
      </c>
      <c r="E532" s="1080">
        <v>0</v>
      </c>
      <c r="F532" s="2567">
        <v>0</v>
      </c>
      <c r="G532" s="2568">
        <v>0</v>
      </c>
      <c r="H532" s="2566">
        <v>0</v>
      </c>
      <c r="I532" s="2566">
        <v>0</v>
      </c>
      <c r="J532" s="2569">
        <v>0</v>
      </c>
      <c r="K532" s="2569">
        <v>0</v>
      </c>
      <c r="L532" s="2566">
        <v>0</v>
      </c>
      <c r="N532" s="2396">
        <v>12191204</v>
      </c>
      <c r="O532" s="2397" t="s">
        <v>4216</v>
      </c>
      <c r="P532" s="2398">
        <v>0</v>
      </c>
      <c r="Q532" s="2179">
        <v>0</v>
      </c>
      <c r="R532" s="2399">
        <v>0</v>
      </c>
      <c r="S532" s="2400">
        <v>0</v>
      </c>
      <c r="T532" s="2398">
        <v>0</v>
      </c>
      <c r="U532" s="2398">
        <v>0</v>
      </c>
      <c r="V532" s="2401">
        <v>0</v>
      </c>
      <c r="W532" s="2401">
        <v>0</v>
      </c>
      <c r="X532" s="2398">
        <v>0</v>
      </c>
      <c r="Z532" s="2396">
        <v>12191204</v>
      </c>
      <c r="AA532" s="2397" t="s">
        <v>4216</v>
      </c>
      <c r="AB532" s="2398">
        <v>0</v>
      </c>
      <c r="AC532" s="2179">
        <v>0</v>
      </c>
      <c r="AD532" s="2399">
        <v>0</v>
      </c>
      <c r="AE532" s="2400">
        <v>0</v>
      </c>
      <c r="AF532" s="2398">
        <v>0</v>
      </c>
      <c r="AG532" s="2398">
        <v>0</v>
      </c>
      <c r="AH532" s="2401">
        <v>0</v>
      </c>
      <c r="AI532" s="2401">
        <v>0</v>
      </c>
      <c r="AJ532" s="2398">
        <v>0</v>
      </c>
      <c r="AZ532" s="2396">
        <v>12191204</v>
      </c>
      <c r="BA532" s="2397" t="s">
        <v>4216</v>
      </c>
      <c r="BB532" s="2398">
        <v>0</v>
      </c>
      <c r="BC532" s="2179">
        <v>0</v>
      </c>
      <c r="BD532" s="2399">
        <v>0</v>
      </c>
      <c r="BE532" s="2400">
        <v>0</v>
      </c>
      <c r="BF532" s="2398">
        <v>0</v>
      </c>
      <c r="BG532" s="2398">
        <v>0</v>
      </c>
      <c r="BH532" s="2401">
        <v>0</v>
      </c>
      <c r="BI532" s="2401">
        <v>0</v>
      </c>
      <c r="BJ532" s="2398">
        <v>0</v>
      </c>
      <c r="BN532" s="2396">
        <v>12191401</v>
      </c>
      <c r="BO532" s="2397" t="s">
        <v>3588</v>
      </c>
      <c r="BP532" s="2398">
        <v>0</v>
      </c>
      <c r="BQ532" s="2179">
        <v>63500800</v>
      </c>
      <c r="BR532" s="2399">
        <v>92665600</v>
      </c>
      <c r="BS532" s="2400">
        <v>0</v>
      </c>
      <c r="BT532" s="2398">
        <v>0</v>
      </c>
      <c r="BU532" s="2398">
        <v>156166400</v>
      </c>
      <c r="BV532" s="2401">
        <v>0</v>
      </c>
      <c r="BW532" s="2401">
        <v>0</v>
      </c>
      <c r="BX532" s="2398">
        <v>156166400</v>
      </c>
    </row>
    <row r="533" spans="2:76">
      <c r="B533" s="2558">
        <v>12191300</v>
      </c>
      <c r="C533" s="2571" t="s">
        <v>3587</v>
      </c>
      <c r="D533" s="2560">
        <v>0</v>
      </c>
      <c r="E533" s="2560">
        <v>0</v>
      </c>
      <c r="F533" s="2561">
        <v>0</v>
      </c>
      <c r="G533" s="2562">
        <v>0</v>
      </c>
      <c r="H533" s="2560">
        <v>0</v>
      </c>
      <c r="I533" s="2560">
        <v>0</v>
      </c>
      <c r="J533" s="2563">
        <v>0</v>
      </c>
      <c r="K533" s="2563">
        <v>0</v>
      </c>
      <c r="L533" s="2560">
        <v>0</v>
      </c>
      <c r="N533" s="2390">
        <v>12191300</v>
      </c>
      <c r="O533" s="2403" t="s">
        <v>3587</v>
      </c>
      <c r="P533" s="2392">
        <v>0</v>
      </c>
      <c r="Q533" s="2392">
        <v>0</v>
      </c>
      <c r="R533" s="2393">
        <v>0</v>
      </c>
      <c r="S533" s="2394">
        <v>0</v>
      </c>
      <c r="T533" s="2392">
        <v>0</v>
      </c>
      <c r="U533" s="2392">
        <v>0</v>
      </c>
      <c r="V533" s="2395">
        <v>0</v>
      </c>
      <c r="W533" s="2395">
        <v>0</v>
      </c>
      <c r="X533" s="2392">
        <v>0</v>
      </c>
      <c r="Z533" s="2390">
        <v>12191300</v>
      </c>
      <c r="AA533" s="2403" t="s">
        <v>3587</v>
      </c>
      <c r="AB533" s="2392">
        <v>0</v>
      </c>
      <c r="AC533" s="2392">
        <v>0</v>
      </c>
      <c r="AD533" s="2393">
        <v>0</v>
      </c>
      <c r="AE533" s="2394">
        <v>0</v>
      </c>
      <c r="AF533" s="2392">
        <v>0</v>
      </c>
      <c r="AG533" s="2392">
        <v>0</v>
      </c>
      <c r="AH533" s="2395">
        <v>0</v>
      </c>
      <c r="AI533" s="2395">
        <v>0</v>
      </c>
      <c r="AJ533" s="2392">
        <v>0</v>
      </c>
      <c r="AZ533" s="2390">
        <v>12191300</v>
      </c>
      <c r="BA533" s="2403" t="s">
        <v>3587</v>
      </c>
      <c r="BB533" s="2392">
        <v>0</v>
      </c>
      <c r="BC533" s="2392">
        <v>0</v>
      </c>
      <c r="BD533" s="2393">
        <v>0</v>
      </c>
      <c r="BE533" s="2394">
        <v>0</v>
      </c>
      <c r="BF533" s="2392">
        <v>0</v>
      </c>
      <c r="BG533" s="2392">
        <v>0</v>
      </c>
      <c r="BH533" s="2395">
        <v>0</v>
      </c>
      <c r="BI533" s="2395">
        <v>0</v>
      </c>
      <c r="BJ533" s="2392">
        <v>0</v>
      </c>
      <c r="BN533" s="2396">
        <v>12191402</v>
      </c>
      <c r="BO533" s="2397" t="s">
        <v>4219</v>
      </c>
      <c r="BP533" s="2398">
        <v>0</v>
      </c>
      <c r="BQ533" s="2179">
        <v>0</v>
      </c>
      <c r="BR533" s="2399">
        <v>0</v>
      </c>
      <c r="BS533" s="2400">
        <v>0</v>
      </c>
      <c r="BT533" s="2398">
        <v>0</v>
      </c>
      <c r="BU533" s="2398">
        <v>0</v>
      </c>
      <c r="BV533" s="2401">
        <v>0</v>
      </c>
      <c r="BW533" s="2401">
        <v>0</v>
      </c>
      <c r="BX533" s="2398">
        <v>0</v>
      </c>
    </row>
    <row r="534" spans="2:76">
      <c r="B534" s="2564">
        <v>12191301</v>
      </c>
      <c r="C534" s="2565" t="s">
        <v>3587</v>
      </c>
      <c r="D534" s="2566">
        <v>0</v>
      </c>
      <c r="E534" s="1080">
        <v>0</v>
      </c>
      <c r="F534" s="2567">
        <v>0</v>
      </c>
      <c r="G534" s="2568">
        <v>0</v>
      </c>
      <c r="H534" s="2566">
        <v>0</v>
      </c>
      <c r="I534" s="2566">
        <v>0</v>
      </c>
      <c r="J534" s="2569">
        <v>0</v>
      </c>
      <c r="K534" s="2569">
        <v>0</v>
      </c>
      <c r="L534" s="2566">
        <v>0</v>
      </c>
      <c r="N534" s="2396">
        <v>12191301</v>
      </c>
      <c r="O534" s="2397" t="s">
        <v>3587</v>
      </c>
      <c r="P534" s="2398">
        <v>0</v>
      </c>
      <c r="Q534" s="2179">
        <v>0</v>
      </c>
      <c r="R534" s="2399">
        <v>0</v>
      </c>
      <c r="S534" s="2400">
        <v>0</v>
      </c>
      <c r="T534" s="2398">
        <v>0</v>
      </c>
      <c r="U534" s="2398">
        <v>0</v>
      </c>
      <c r="V534" s="2401">
        <v>0</v>
      </c>
      <c r="W534" s="2401">
        <v>0</v>
      </c>
      <c r="X534" s="2398">
        <v>0</v>
      </c>
      <c r="Z534" s="2396">
        <v>12191301</v>
      </c>
      <c r="AA534" s="2397" t="s">
        <v>3587</v>
      </c>
      <c r="AB534" s="2398">
        <v>0</v>
      </c>
      <c r="AC534" s="2179">
        <v>0</v>
      </c>
      <c r="AD534" s="2399">
        <v>0</v>
      </c>
      <c r="AE534" s="2400">
        <v>0</v>
      </c>
      <c r="AF534" s="2398">
        <v>0</v>
      </c>
      <c r="AG534" s="2398">
        <v>0</v>
      </c>
      <c r="AH534" s="2401">
        <v>0</v>
      </c>
      <c r="AI534" s="2401">
        <v>0</v>
      </c>
      <c r="AJ534" s="2398">
        <v>0</v>
      </c>
      <c r="AZ534" s="2396">
        <v>12191301</v>
      </c>
      <c r="BA534" s="2397" t="s">
        <v>3587</v>
      </c>
      <c r="BB534" s="2398">
        <v>0</v>
      </c>
      <c r="BC534" s="2179">
        <v>0</v>
      </c>
      <c r="BD534" s="2399">
        <v>0</v>
      </c>
      <c r="BE534" s="2400">
        <v>0</v>
      </c>
      <c r="BF534" s="2398">
        <v>0</v>
      </c>
      <c r="BG534" s="2398">
        <v>0</v>
      </c>
      <c r="BH534" s="2401">
        <v>0</v>
      </c>
      <c r="BI534" s="2401">
        <v>0</v>
      </c>
      <c r="BJ534" s="2398">
        <v>0</v>
      </c>
      <c r="BN534" s="2396">
        <v>12191403</v>
      </c>
      <c r="BO534" s="2397" t="s">
        <v>4220</v>
      </c>
      <c r="BP534" s="2398">
        <v>8820475821</v>
      </c>
      <c r="BQ534" s="2179">
        <v>0</v>
      </c>
      <c r="BR534" s="2399">
        <v>0</v>
      </c>
      <c r="BS534" s="2400">
        <v>0</v>
      </c>
      <c r="BT534" s="2398">
        <v>0</v>
      </c>
      <c r="BU534" s="2398">
        <v>8820475821</v>
      </c>
      <c r="BV534" s="2401">
        <v>0</v>
      </c>
      <c r="BW534" s="2401">
        <v>0</v>
      </c>
      <c r="BX534" s="2398">
        <v>8820475821</v>
      </c>
    </row>
    <row r="535" spans="2:76">
      <c r="B535" s="2564">
        <v>12191302</v>
      </c>
      <c r="C535" s="2565" t="s">
        <v>5046</v>
      </c>
      <c r="D535" s="2566">
        <v>0</v>
      </c>
      <c r="E535" s="1080">
        <v>0</v>
      </c>
      <c r="F535" s="2567">
        <v>0</v>
      </c>
      <c r="G535" s="2568">
        <v>0</v>
      </c>
      <c r="H535" s="2566">
        <v>0</v>
      </c>
      <c r="I535" s="2566">
        <v>0</v>
      </c>
      <c r="J535" s="2569">
        <v>0</v>
      </c>
      <c r="K535" s="2569">
        <v>0</v>
      </c>
      <c r="L535" s="2566">
        <v>0</v>
      </c>
      <c r="N535" s="2396">
        <v>12191302</v>
      </c>
      <c r="O535" s="2397" t="s">
        <v>4217</v>
      </c>
      <c r="P535" s="2398">
        <v>0</v>
      </c>
      <c r="Q535" s="2179">
        <v>0</v>
      </c>
      <c r="R535" s="2399">
        <v>0</v>
      </c>
      <c r="S535" s="2400">
        <v>0</v>
      </c>
      <c r="T535" s="2398">
        <v>0</v>
      </c>
      <c r="U535" s="2398">
        <v>0</v>
      </c>
      <c r="V535" s="2401">
        <v>0</v>
      </c>
      <c r="W535" s="2401">
        <v>0</v>
      </c>
      <c r="X535" s="2398">
        <v>0</v>
      </c>
      <c r="Z535" s="2396">
        <v>12191302</v>
      </c>
      <c r="AA535" s="2397" t="s">
        <v>4217</v>
      </c>
      <c r="AB535" s="2398">
        <v>0</v>
      </c>
      <c r="AC535" s="2179">
        <v>0</v>
      </c>
      <c r="AD535" s="2399">
        <v>0</v>
      </c>
      <c r="AE535" s="2400">
        <v>0</v>
      </c>
      <c r="AF535" s="2398">
        <v>0</v>
      </c>
      <c r="AG535" s="2398">
        <v>0</v>
      </c>
      <c r="AH535" s="2401">
        <v>0</v>
      </c>
      <c r="AI535" s="2401">
        <v>0</v>
      </c>
      <c r="AJ535" s="2398">
        <v>0</v>
      </c>
      <c r="AZ535" s="2396">
        <v>12191302</v>
      </c>
      <c r="BA535" s="2397" t="s">
        <v>4217</v>
      </c>
      <c r="BB535" s="2398">
        <v>0</v>
      </c>
      <c r="BC535" s="2179">
        <v>0</v>
      </c>
      <c r="BD535" s="2399">
        <v>0</v>
      </c>
      <c r="BE535" s="2400">
        <v>0</v>
      </c>
      <c r="BF535" s="2398">
        <v>0</v>
      </c>
      <c r="BG535" s="2398">
        <v>0</v>
      </c>
      <c r="BH535" s="2401">
        <v>0</v>
      </c>
      <c r="BI535" s="2401">
        <v>0</v>
      </c>
      <c r="BJ535" s="2398">
        <v>0</v>
      </c>
      <c r="BN535" s="2390">
        <v>12191500</v>
      </c>
      <c r="BO535" s="2403" t="s">
        <v>4221</v>
      </c>
      <c r="BP535" s="2392">
        <v>1559156137</v>
      </c>
      <c r="BQ535" s="2392">
        <v>0</v>
      </c>
      <c r="BR535" s="2393">
        <v>0</v>
      </c>
      <c r="BS535" s="2394">
        <v>0</v>
      </c>
      <c r="BT535" s="2392">
        <v>0</v>
      </c>
      <c r="BU535" s="2392">
        <v>1559156137</v>
      </c>
      <c r="BV535" s="2395">
        <v>0</v>
      </c>
      <c r="BW535" s="2395">
        <v>0</v>
      </c>
      <c r="BX535" s="2392">
        <v>1559156137</v>
      </c>
    </row>
    <row r="536" spans="2:76">
      <c r="B536" s="2564">
        <v>12191303</v>
      </c>
      <c r="C536" s="2565" t="s">
        <v>4218</v>
      </c>
      <c r="D536" s="2566">
        <v>0</v>
      </c>
      <c r="E536" s="1080">
        <v>0</v>
      </c>
      <c r="F536" s="2567">
        <v>0</v>
      </c>
      <c r="G536" s="2568">
        <v>0</v>
      </c>
      <c r="H536" s="2566">
        <v>0</v>
      </c>
      <c r="I536" s="2566">
        <v>0</v>
      </c>
      <c r="J536" s="2569">
        <v>0</v>
      </c>
      <c r="K536" s="2569">
        <v>0</v>
      </c>
      <c r="L536" s="2566">
        <v>0</v>
      </c>
      <c r="N536" s="2396">
        <v>12191303</v>
      </c>
      <c r="O536" s="2397" t="s">
        <v>4218</v>
      </c>
      <c r="P536" s="2398">
        <v>0</v>
      </c>
      <c r="Q536" s="2179">
        <v>0</v>
      </c>
      <c r="R536" s="2399">
        <v>0</v>
      </c>
      <c r="S536" s="2400">
        <v>0</v>
      </c>
      <c r="T536" s="2398">
        <v>0</v>
      </c>
      <c r="U536" s="2398">
        <v>0</v>
      </c>
      <c r="V536" s="2401">
        <v>0</v>
      </c>
      <c r="W536" s="2401">
        <v>0</v>
      </c>
      <c r="X536" s="2398">
        <v>0</v>
      </c>
      <c r="Z536" s="2396">
        <v>12191303</v>
      </c>
      <c r="AA536" s="2397" t="s">
        <v>4218</v>
      </c>
      <c r="AB536" s="2398">
        <v>0</v>
      </c>
      <c r="AC536" s="2179">
        <v>0</v>
      </c>
      <c r="AD536" s="2399">
        <v>0</v>
      </c>
      <c r="AE536" s="2400">
        <v>0</v>
      </c>
      <c r="AF536" s="2398">
        <v>0</v>
      </c>
      <c r="AG536" s="2398">
        <v>0</v>
      </c>
      <c r="AH536" s="2401">
        <v>0</v>
      </c>
      <c r="AI536" s="2401">
        <v>0</v>
      </c>
      <c r="AJ536" s="2398">
        <v>0</v>
      </c>
      <c r="AZ536" s="2396">
        <v>12191303</v>
      </c>
      <c r="BA536" s="2397" t="s">
        <v>4218</v>
      </c>
      <c r="BB536" s="2398">
        <v>0</v>
      </c>
      <c r="BC536" s="2179">
        <v>0</v>
      </c>
      <c r="BD536" s="2399">
        <v>0</v>
      </c>
      <c r="BE536" s="2400">
        <v>0</v>
      </c>
      <c r="BF536" s="2398">
        <v>0</v>
      </c>
      <c r="BG536" s="2398">
        <v>0</v>
      </c>
      <c r="BH536" s="2401">
        <v>0</v>
      </c>
      <c r="BI536" s="2401">
        <v>0</v>
      </c>
      <c r="BJ536" s="2398">
        <v>0</v>
      </c>
      <c r="BN536" s="2396">
        <v>12191501</v>
      </c>
      <c r="BO536" s="2397" t="s">
        <v>4222</v>
      </c>
      <c r="BP536" s="2398">
        <v>0</v>
      </c>
      <c r="BQ536" s="2179">
        <v>0</v>
      </c>
      <c r="BR536" s="2399">
        <v>0</v>
      </c>
      <c r="BS536" s="2400">
        <v>0</v>
      </c>
      <c r="BT536" s="2398">
        <v>0</v>
      </c>
      <c r="BU536" s="2398">
        <v>0</v>
      </c>
      <c r="BV536" s="2401">
        <v>0</v>
      </c>
      <c r="BW536" s="2401">
        <v>0</v>
      </c>
      <c r="BX536" s="2398">
        <v>0</v>
      </c>
    </row>
    <row r="537" spans="2:76">
      <c r="B537" s="2558">
        <v>12191400</v>
      </c>
      <c r="C537" s="2571" t="s">
        <v>3588</v>
      </c>
      <c r="D537" s="2560">
        <v>8499325321</v>
      </c>
      <c r="E537" s="2560">
        <v>63500800</v>
      </c>
      <c r="F537" s="2561">
        <v>92665600</v>
      </c>
      <c r="G537" s="2562">
        <v>0</v>
      </c>
      <c r="H537" s="2560">
        <v>0</v>
      </c>
      <c r="I537" s="2560">
        <v>8655491721</v>
      </c>
      <c r="J537" s="2563">
        <v>0</v>
      </c>
      <c r="K537" s="2563">
        <v>0</v>
      </c>
      <c r="L537" s="2560">
        <v>8655491721</v>
      </c>
      <c r="N537" s="2390">
        <v>12191400</v>
      </c>
      <c r="O537" s="2403" t="s">
        <v>3588</v>
      </c>
      <c r="P537" s="2392">
        <v>8499325321</v>
      </c>
      <c r="Q537" s="2392">
        <v>63500800</v>
      </c>
      <c r="R537" s="2393">
        <v>92665600</v>
      </c>
      <c r="S537" s="2394">
        <v>0</v>
      </c>
      <c r="T537" s="2392">
        <v>0</v>
      </c>
      <c r="U537" s="2392">
        <v>8655491721</v>
      </c>
      <c r="V537" s="2395">
        <v>0</v>
      </c>
      <c r="W537" s="2395">
        <v>0</v>
      </c>
      <c r="X537" s="2392">
        <v>8655491721</v>
      </c>
      <c r="Z537" s="2390">
        <v>12191400</v>
      </c>
      <c r="AA537" s="2403" t="s">
        <v>3588</v>
      </c>
      <c r="AB537" s="2392">
        <v>8684957821</v>
      </c>
      <c r="AC537" s="2392">
        <v>63500800</v>
      </c>
      <c r="AD537" s="2393">
        <v>92665600</v>
      </c>
      <c r="AE537" s="2394">
        <v>0</v>
      </c>
      <c r="AF537" s="2392">
        <v>0</v>
      </c>
      <c r="AG537" s="2392">
        <v>8841124221</v>
      </c>
      <c r="AH537" s="2395">
        <v>0</v>
      </c>
      <c r="AI537" s="2395">
        <v>0</v>
      </c>
      <c r="AJ537" s="2392">
        <v>8841124221</v>
      </c>
      <c r="AZ537" s="2390">
        <v>12191400</v>
      </c>
      <c r="BA537" s="2403" t="s">
        <v>3588</v>
      </c>
      <c r="BB537" s="2392">
        <v>8729957821</v>
      </c>
      <c r="BC537" s="2392">
        <v>63500800</v>
      </c>
      <c r="BD537" s="2393">
        <v>92665600</v>
      </c>
      <c r="BE537" s="2394">
        <v>0</v>
      </c>
      <c r="BF537" s="2392">
        <v>0</v>
      </c>
      <c r="BG537" s="2392">
        <v>8886124221</v>
      </c>
      <c r="BH537" s="2395">
        <v>0</v>
      </c>
      <c r="BI537" s="2395">
        <v>0</v>
      </c>
      <c r="BJ537" s="2392">
        <v>8886124221</v>
      </c>
      <c r="BN537" s="2396">
        <v>12191502</v>
      </c>
      <c r="BO537" s="2397" t="s">
        <v>4223</v>
      </c>
      <c r="BP537" s="2398">
        <v>0</v>
      </c>
      <c r="BQ537" s="2179">
        <v>0</v>
      </c>
      <c r="BR537" s="2399">
        <v>0</v>
      </c>
      <c r="BS537" s="2400">
        <v>0</v>
      </c>
      <c r="BT537" s="2398">
        <v>0</v>
      </c>
      <c r="BU537" s="2398">
        <v>0</v>
      </c>
      <c r="BV537" s="2401">
        <v>0</v>
      </c>
      <c r="BW537" s="2401">
        <v>0</v>
      </c>
      <c r="BX537" s="2398">
        <v>0</v>
      </c>
    </row>
    <row r="538" spans="2:76">
      <c r="B538" s="2564">
        <v>12191401</v>
      </c>
      <c r="C538" s="2565" t="s">
        <v>5047</v>
      </c>
      <c r="D538" s="2566">
        <v>0</v>
      </c>
      <c r="E538" s="1080">
        <v>63500800</v>
      </c>
      <c r="F538" s="2567">
        <v>92665600</v>
      </c>
      <c r="G538" s="2568">
        <v>0</v>
      </c>
      <c r="H538" s="2566">
        <v>0</v>
      </c>
      <c r="I538" s="2566">
        <v>156166400</v>
      </c>
      <c r="J538" s="2569">
        <v>0</v>
      </c>
      <c r="K538" s="2569">
        <v>0</v>
      </c>
      <c r="L538" s="2566">
        <v>156166400</v>
      </c>
      <c r="N538" s="2396">
        <v>12191401</v>
      </c>
      <c r="O538" s="2397" t="s">
        <v>3588</v>
      </c>
      <c r="P538" s="2398">
        <v>0</v>
      </c>
      <c r="Q538" s="2179">
        <v>63500800</v>
      </c>
      <c r="R538" s="2399">
        <v>92665600</v>
      </c>
      <c r="S538" s="2400">
        <v>0</v>
      </c>
      <c r="T538" s="2398">
        <v>0</v>
      </c>
      <c r="U538" s="2398">
        <v>156166400</v>
      </c>
      <c r="V538" s="2401">
        <v>0</v>
      </c>
      <c r="W538" s="2401">
        <v>0</v>
      </c>
      <c r="X538" s="2398">
        <v>156166400</v>
      </c>
      <c r="Z538" s="2396">
        <v>12191401</v>
      </c>
      <c r="AA538" s="2397" t="s">
        <v>3588</v>
      </c>
      <c r="AB538" s="2398">
        <v>0</v>
      </c>
      <c r="AC538" s="2179">
        <v>63500800</v>
      </c>
      <c r="AD538" s="2399">
        <v>92665600</v>
      </c>
      <c r="AE538" s="2400">
        <v>0</v>
      </c>
      <c r="AF538" s="2398">
        <v>0</v>
      </c>
      <c r="AG538" s="2398">
        <v>156166400</v>
      </c>
      <c r="AH538" s="2401">
        <v>0</v>
      </c>
      <c r="AI538" s="2401">
        <v>0</v>
      </c>
      <c r="AJ538" s="2398">
        <v>156166400</v>
      </c>
      <c r="AZ538" s="2396">
        <v>12191401</v>
      </c>
      <c r="BA538" s="2397" t="s">
        <v>3588</v>
      </c>
      <c r="BB538" s="2398">
        <v>0</v>
      </c>
      <c r="BC538" s="2179">
        <v>63500800</v>
      </c>
      <c r="BD538" s="2399">
        <v>92665600</v>
      </c>
      <c r="BE538" s="2400">
        <v>0</v>
      </c>
      <c r="BF538" s="2398">
        <v>0</v>
      </c>
      <c r="BG538" s="2398">
        <v>156166400</v>
      </c>
      <c r="BH538" s="2401">
        <v>0</v>
      </c>
      <c r="BI538" s="2401">
        <v>0</v>
      </c>
      <c r="BJ538" s="2398">
        <v>156166400</v>
      </c>
      <c r="BN538" s="2396">
        <v>12191503</v>
      </c>
      <c r="BO538" s="2397" t="s">
        <v>4224</v>
      </c>
      <c r="BP538" s="2398">
        <v>0</v>
      </c>
      <c r="BQ538" s="2179">
        <v>0</v>
      </c>
      <c r="BR538" s="2399">
        <v>0</v>
      </c>
      <c r="BS538" s="2400">
        <v>0</v>
      </c>
      <c r="BT538" s="2398">
        <v>0</v>
      </c>
      <c r="BU538" s="2398">
        <v>0</v>
      </c>
      <c r="BV538" s="2401">
        <v>0</v>
      </c>
      <c r="BW538" s="2401">
        <v>0</v>
      </c>
      <c r="BX538" s="2398">
        <v>0</v>
      </c>
    </row>
    <row r="539" spans="2:76">
      <c r="B539" s="2564">
        <v>12191402</v>
      </c>
      <c r="C539" s="2565" t="s">
        <v>5048</v>
      </c>
      <c r="D539" s="2566">
        <v>0</v>
      </c>
      <c r="E539" s="1080">
        <v>0</v>
      </c>
      <c r="F539" s="2567">
        <v>0</v>
      </c>
      <c r="G539" s="2568">
        <v>0</v>
      </c>
      <c r="H539" s="2566">
        <v>0</v>
      </c>
      <c r="I539" s="2566">
        <v>0</v>
      </c>
      <c r="J539" s="2569">
        <v>0</v>
      </c>
      <c r="K539" s="2569">
        <v>0</v>
      </c>
      <c r="L539" s="2566">
        <v>0</v>
      </c>
      <c r="N539" s="2396">
        <v>12191402</v>
      </c>
      <c r="O539" s="2397" t="s">
        <v>4219</v>
      </c>
      <c r="P539" s="2398">
        <v>0</v>
      </c>
      <c r="Q539" s="2179">
        <v>0</v>
      </c>
      <c r="R539" s="2399">
        <v>0</v>
      </c>
      <c r="S539" s="2400">
        <v>0</v>
      </c>
      <c r="T539" s="2398">
        <v>0</v>
      </c>
      <c r="U539" s="2398">
        <v>0</v>
      </c>
      <c r="V539" s="2401">
        <v>0</v>
      </c>
      <c r="W539" s="2401">
        <v>0</v>
      </c>
      <c r="X539" s="2398">
        <v>0</v>
      </c>
      <c r="Z539" s="2396">
        <v>12191402</v>
      </c>
      <c r="AA539" s="2397" t="s">
        <v>4219</v>
      </c>
      <c r="AB539" s="2398">
        <v>0</v>
      </c>
      <c r="AC539" s="2179">
        <v>0</v>
      </c>
      <c r="AD539" s="2399">
        <v>0</v>
      </c>
      <c r="AE539" s="2400">
        <v>0</v>
      </c>
      <c r="AF539" s="2398">
        <v>0</v>
      </c>
      <c r="AG539" s="2398">
        <v>0</v>
      </c>
      <c r="AH539" s="2401">
        <v>0</v>
      </c>
      <c r="AI539" s="2401">
        <v>0</v>
      </c>
      <c r="AJ539" s="2398">
        <v>0</v>
      </c>
      <c r="AZ539" s="2396">
        <v>12191402</v>
      </c>
      <c r="BA539" s="2397" t="s">
        <v>4219</v>
      </c>
      <c r="BB539" s="2398">
        <v>0</v>
      </c>
      <c r="BC539" s="2179">
        <v>0</v>
      </c>
      <c r="BD539" s="2399">
        <v>0</v>
      </c>
      <c r="BE539" s="2400">
        <v>0</v>
      </c>
      <c r="BF539" s="2398">
        <v>0</v>
      </c>
      <c r="BG539" s="2398">
        <v>0</v>
      </c>
      <c r="BH539" s="2401">
        <v>0</v>
      </c>
      <c r="BI539" s="2401">
        <v>0</v>
      </c>
      <c r="BJ539" s="2398">
        <v>0</v>
      </c>
      <c r="BN539" s="2396">
        <v>12191504</v>
      </c>
      <c r="BO539" s="2397" t="s">
        <v>4221</v>
      </c>
      <c r="BP539" s="2398">
        <v>45515360</v>
      </c>
      <c r="BQ539" s="2179">
        <v>0</v>
      </c>
      <c r="BR539" s="2399">
        <v>0</v>
      </c>
      <c r="BS539" s="2400">
        <v>0</v>
      </c>
      <c r="BT539" s="2398">
        <v>0</v>
      </c>
      <c r="BU539" s="2398">
        <v>45515360</v>
      </c>
      <c r="BV539" s="2401">
        <v>0</v>
      </c>
      <c r="BW539" s="2401">
        <v>0</v>
      </c>
      <c r="BX539" s="2398">
        <v>45515360</v>
      </c>
    </row>
    <row r="540" spans="2:76">
      <c r="B540" s="2564">
        <v>12191403</v>
      </c>
      <c r="C540" s="2565" t="s">
        <v>5049</v>
      </c>
      <c r="D540" s="2566">
        <v>8499325321</v>
      </c>
      <c r="E540" s="1080">
        <v>0</v>
      </c>
      <c r="F540" s="2567">
        <v>0</v>
      </c>
      <c r="G540" s="2568">
        <v>0</v>
      </c>
      <c r="H540" s="2566">
        <v>0</v>
      </c>
      <c r="I540" s="2566">
        <v>8499325321</v>
      </c>
      <c r="J540" s="2569">
        <v>0</v>
      </c>
      <c r="K540" s="2569">
        <v>0</v>
      </c>
      <c r="L540" s="2566">
        <v>8499325321</v>
      </c>
      <c r="N540" s="2396">
        <v>12191403</v>
      </c>
      <c r="O540" s="2397" t="s">
        <v>4220</v>
      </c>
      <c r="P540" s="2398">
        <v>8499325321</v>
      </c>
      <c r="Q540" s="2179">
        <v>0</v>
      </c>
      <c r="R540" s="2399">
        <v>0</v>
      </c>
      <c r="S540" s="2400">
        <v>0</v>
      </c>
      <c r="T540" s="2398">
        <v>0</v>
      </c>
      <c r="U540" s="2398">
        <v>8499325321</v>
      </c>
      <c r="V540" s="2401">
        <v>0</v>
      </c>
      <c r="W540" s="2401">
        <v>0</v>
      </c>
      <c r="X540" s="2398">
        <v>8499325321</v>
      </c>
      <c r="Z540" s="2396">
        <v>12191403</v>
      </c>
      <c r="AA540" s="2397" t="s">
        <v>4220</v>
      </c>
      <c r="AB540" s="2398">
        <v>8684957821</v>
      </c>
      <c r="AC540" s="2179">
        <v>0</v>
      </c>
      <c r="AD540" s="2399">
        <v>0</v>
      </c>
      <c r="AE540" s="2400">
        <v>0</v>
      </c>
      <c r="AF540" s="2398">
        <v>0</v>
      </c>
      <c r="AG540" s="2398">
        <v>8684957821</v>
      </c>
      <c r="AH540" s="2401">
        <v>0</v>
      </c>
      <c r="AI540" s="2401">
        <v>0</v>
      </c>
      <c r="AJ540" s="2398">
        <v>8684957821</v>
      </c>
      <c r="AZ540" s="2396">
        <v>12191403</v>
      </c>
      <c r="BA540" s="2397" t="s">
        <v>4220</v>
      </c>
      <c r="BB540" s="2398">
        <v>8729957821</v>
      </c>
      <c r="BC540" s="2179">
        <v>0</v>
      </c>
      <c r="BD540" s="2399">
        <v>0</v>
      </c>
      <c r="BE540" s="2400">
        <v>0</v>
      </c>
      <c r="BF540" s="2398">
        <v>0</v>
      </c>
      <c r="BG540" s="2398">
        <v>8729957821</v>
      </c>
      <c r="BH540" s="2401">
        <v>0</v>
      </c>
      <c r="BI540" s="2401">
        <v>0</v>
      </c>
      <c r="BJ540" s="2398">
        <v>8729957821</v>
      </c>
      <c r="BN540" s="2396">
        <v>12191505</v>
      </c>
      <c r="BO540" s="2397" t="s">
        <v>4225</v>
      </c>
      <c r="BP540" s="2398">
        <v>0</v>
      </c>
      <c r="BQ540" s="2179">
        <v>0</v>
      </c>
      <c r="BR540" s="2399">
        <v>0</v>
      </c>
      <c r="BS540" s="2400">
        <v>0</v>
      </c>
      <c r="BT540" s="2398">
        <v>0</v>
      </c>
      <c r="BU540" s="2398">
        <v>0</v>
      </c>
      <c r="BV540" s="2401">
        <v>0</v>
      </c>
      <c r="BW540" s="2401">
        <v>0</v>
      </c>
      <c r="BX540" s="2398">
        <v>0</v>
      </c>
    </row>
    <row r="541" spans="2:76">
      <c r="B541" s="2558">
        <v>12191500</v>
      </c>
      <c r="C541" s="2571" t="s">
        <v>4221</v>
      </c>
      <c r="D541" s="2560">
        <v>810684602</v>
      </c>
      <c r="E541" s="2560">
        <v>0</v>
      </c>
      <c r="F541" s="2561">
        <v>0</v>
      </c>
      <c r="G541" s="2562">
        <v>0</v>
      </c>
      <c r="H541" s="2560">
        <v>0</v>
      </c>
      <c r="I541" s="2560">
        <v>810684602</v>
      </c>
      <c r="J541" s="2563">
        <v>0</v>
      </c>
      <c r="K541" s="2563">
        <v>0</v>
      </c>
      <c r="L541" s="2560">
        <v>810684602</v>
      </c>
      <c r="N541" s="2390">
        <v>12191500</v>
      </c>
      <c r="O541" s="2403" t="s">
        <v>4221</v>
      </c>
      <c r="P541" s="2392">
        <v>810684602</v>
      </c>
      <c r="Q541" s="2392">
        <v>0</v>
      </c>
      <c r="R541" s="2393">
        <v>0</v>
      </c>
      <c r="S541" s="2394">
        <v>0</v>
      </c>
      <c r="T541" s="2392">
        <v>0</v>
      </c>
      <c r="U541" s="2392">
        <v>810684602</v>
      </c>
      <c r="V541" s="2395">
        <v>0</v>
      </c>
      <c r="W541" s="2395">
        <v>0</v>
      </c>
      <c r="X541" s="2392">
        <v>810684602</v>
      </c>
      <c r="Z541" s="2390">
        <v>12191500</v>
      </c>
      <c r="AA541" s="2403" t="s">
        <v>4221</v>
      </c>
      <c r="AB541" s="2392">
        <v>2492048160</v>
      </c>
      <c r="AC541" s="2392">
        <v>0</v>
      </c>
      <c r="AD541" s="2393">
        <v>92893400</v>
      </c>
      <c r="AE541" s="2394">
        <v>0</v>
      </c>
      <c r="AF541" s="2392">
        <v>0</v>
      </c>
      <c r="AG541" s="2392">
        <v>2584941560</v>
      </c>
      <c r="AH541" s="2395">
        <v>0</v>
      </c>
      <c r="AI541" s="2395">
        <v>0</v>
      </c>
      <c r="AJ541" s="2392">
        <v>2584941560</v>
      </c>
      <c r="AZ541" s="2390">
        <v>12191500</v>
      </c>
      <c r="BA541" s="2403" t="s">
        <v>4221</v>
      </c>
      <c r="BB541" s="2392">
        <v>1509961070</v>
      </c>
      <c r="BC541" s="2392">
        <v>0</v>
      </c>
      <c r="BD541" s="2393">
        <v>0</v>
      </c>
      <c r="BE541" s="2394">
        <v>0</v>
      </c>
      <c r="BF541" s="2392">
        <v>0</v>
      </c>
      <c r="BG541" s="2392">
        <v>1509961070</v>
      </c>
      <c r="BH541" s="2395">
        <v>0</v>
      </c>
      <c r="BI541" s="2395">
        <v>0</v>
      </c>
      <c r="BJ541" s="2392">
        <v>1509961070</v>
      </c>
      <c r="BN541" s="2396">
        <v>12191506</v>
      </c>
      <c r="BO541" s="2397" t="s">
        <v>4226</v>
      </c>
      <c r="BP541" s="2398">
        <v>0</v>
      </c>
      <c r="BQ541" s="2179">
        <v>0</v>
      </c>
      <c r="BR541" s="2399">
        <v>0</v>
      </c>
      <c r="BS541" s="2400">
        <v>0</v>
      </c>
      <c r="BT541" s="2398">
        <v>0</v>
      </c>
      <c r="BU541" s="2398">
        <v>0</v>
      </c>
      <c r="BV541" s="2401">
        <v>0</v>
      </c>
      <c r="BW541" s="2401">
        <v>0</v>
      </c>
      <c r="BX541" s="2398">
        <v>0</v>
      </c>
    </row>
    <row r="542" spans="2:76">
      <c r="B542" s="2564">
        <v>12191501</v>
      </c>
      <c r="C542" s="2565" t="s">
        <v>4222</v>
      </c>
      <c r="D542" s="2566">
        <v>0</v>
      </c>
      <c r="E542" s="1080">
        <v>0</v>
      </c>
      <c r="F542" s="2567">
        <v>0</v>
      </c>
      <c r="G542" s="2568">
        <v>0</v>
      </c>
      <c r="H542" s="2566">
        <v>0</v>
      </c>
      <c r="I542" s="2566">
        <v>0</v>
      </c>
      <c r="J542" s="2569">
        <v>0</v>
      </c>
      <c r="K542" s="2569">
        <v>0</v>
      </c>
      <c r="L542" s="2566">
        <v>0</v>
      </c>
      <c r="N542" s="2396">
        <v>12191501</v>
      </c>
      <c r="O542" s="2397" t="s">
        <v>4222</v>
      </c>
      <c r="P542" s="2398">
        <v>0</v>
      </c>
      <c r="Q542" s="2179">
        <v>0</v>
      </c>
      <c r="R542" s="2399">
        <v>0</v>
      </c>
      <c r="S542" s="2400">
        <v>0</v>
      </c>
      <c r="T542" s="2398">
        <v>0</v>
      </c>
      <c r="U542" s="2398">
        <v>0</v>
      </c>
      <c r="V542" s="2401">
        <v>0</v>
      </c>
      <c r="W542" s="2401">
        <v>0</v>
      </c>
      <c r="X542" s="2398">
        <v>0</v>
      </c>
      <c r="Z542" s="2396">
        <v>12191501</v>
      </c>
      <c r="AA542" s="2397" t="s">
        <v>4222</v>
      </c>
      <c r="AB542" s="2398">
        <v>0</v>
      </c>
      <c r="AC542" s="2179">
        <v>0</v>
      </c>
      <c r="AD542" s="2399">
        <v>0</v>
      </c>
      <c r="AE542" s="2400">
        <v>0</v>
      </c>
      <c r="AF542" s="2398">
        <v>0</v>
      </c>
      <c r="AG542" s="2398">
        <v>0</v>
      </c>
      <c r="AH542" s="2401">
        <v>0</v>
      </c>
      <c r="AI542" s="2401">
        <v>0</v>
      </c>
      <c r="AJ542" s="2398">
        <v>0</v>
      </c>
      <c r="AZ542" s="2396">
        <v>12191501</v>
      </c>
      <c r="BA542" s="2397" t="s">
        <v>4222</v>
      </c>
      <c r="BB542" s="2398">
        <v>0</v>
      </c>
      <c r="BC542" s="2179">
        <v>0</v>
      </c>
      <c r="BD542" s="2399">
        <v>0</v>
      </c>
      <c r="BE542" s="2400">
        <v>0</v>
      </c>
      <c r="BF542" s="2398">
        <v>0</v>
      </c>
      <c r="BG542" s="2398">
        <v>0</v>
      </c>
      <c r="BH542" s="2401">
        <v>0</v>
      </c>
      <c r="BI542" s="2401">
        <v>0</v>
      </c>
      <c r="BJ542" s="2398">
        <v>0</v>
      </c>
      <c r="BN542" s="2396">
        <v>12191550</v>
      </c>
      <c r="BO542" s="2397" t="s">
        <v>3591</v>
      </c>
      <c r="BP542" s="2398">
        <v>1513640777</v>
      </c>
      <c r="BQ542" s="2179">
        <v>0</v>
      </c>
      <c r="BR542" s="2399">
        <v>0</v>
      </c>
      <c r="BS542" s="2400">
        <v>0</v>
      </c>
      <c r="BT542" s="2398">
        <v>0</v>
      </c>
      <c r="BU542" s="2398">
        <v>1513640777</v>
      </c>
      <c r="BV542" s="2401">
        <v>0</v>
      </c>
      <c r="BW542" s="2401">
        <v>0</v>
      </c>
      <c r="BX542" s="2398">
        <v>1513640777</v>
      </c>
    </row>
    <row r="543" spans="2:76">
      <c r="B543" s="2564">
        <v>12191502</v>
      </c>
      <c r="C543" s="2565" t="s">
        <v>4223</v>
      </c>
      <c r="D543" s="2566">
        <v>0</v>
      </c>
      <c r="E543" s="1080">
        <v>0</v>
      </c>
      <c r="F543" s="2567">
        <v>0</v>
      </c>
      <c r="G543" s="2568">
        <v>0</v>
      </c>
      <c r="H543" s="2566">
        <v>0</v>
      </c>
      <c r="I543" s="2566">
        <v>0</v>
      </c>
      <c r="J543" s="2569">
        <v>0</v>
      </c>
      <c r="K543" s="2569">
        <v>0</v>
      </c>
      <c r="L543" s="2566">
        <v>0</v>
      </c>
      <c r="N543" s="2396">
        <v>12191502</v>
      </c>
      <c r="O543" s="2397" t="s">
        <v>4223</v>
      </c>
      <c r="P543" s="2398">
        <v>0</v>
      </c>
      <c r="Q543" s="2179">
        <v>0</v>
      </c>
      <c r="R543" s="2399">
        <v>0</v>
      </c>
      <c r="S543" s="2400">
        <v>0</v>
      </c>
      <c r="T543" s="2398">
        <v>0</v>
      </c>
      <c r="U543" s="2398">
        <v>0</v>
      </c>
      <c r="V543" s="2401">
        <v>0</v>
      </c>
      <c r="W543" s="2401">
        <v>0</v>
      </c>
      <c r="X543" s="2398">
        <v>0</v>
      </c>
      <c r="Z543" s="2396">
        <v>12191502</v>
      </c>
      <c r="AA543" s="2397" t="s">
        <v>4223</v>
      </c>
      <c r="AB543" s="2398">
        <v>0</v>
      </c>
      <c r="AC543" s="2179">
        <v>0</v>
      </c>
      <c r="AD543" s="2399">
        <v>0</v>
      </c>
      <c r="AE543" s="2400">
        <v>0</v>
      </c>
      <c r="AF543" s="2398">
        <v>0</v>
      </c>
      <c r="AG543" s="2398">
        <v>0</v>
      </c>
      <c r="AH543" s="2401">
        <v>0</v>
      </c>
      <c r="AI543" s="2401">
        <v>0</v>
      </c>
      <c r="AJ543" s="2398">
        <v>0</v>
      </c>
      <c r="AZ543" s="2396">
        <v>12191502</v>
      </c>
      <c r="BA543" s="2397" t="s">
        <v>4223</v>
      </c>
      <c r="BB543" s="2398">
        <v>0</v>
      </c>
      <c r="BC543" s="2179">
        <v>0</v>
      </c>
      <c r="BD543" s="2399">
        <v>0</v>
      </c>
      <c r="BE543" s="2400">
        <v>0</v>
      </c>
      <c r="BF543" s="2398">
        <v>0</v>
      </c>
      <c r="BG543" s="2398">
        <v>0</v>
      </c>
      <c r="BH543" s="2401">
        <v>0</v>
      </c>
      <c r="BI543" s="2401">
        <v>0</v>
      </c>
      <c r="BJ543" s="2398">
        <v>0</v>
      </c>
      <c r="BN543" s="2396">
        <v>12191551</v>
      </c>
      <c r="BO543" s="2397" t="s">
        <v>4227</v>
      </c>
      <c r="BP543" s="2398">
        <v>0</v>
      </c>
      <c r="BQ543" s="2179">
        <v>0</v>
      </c>
      <c r="BR543" s="2399">
        <v>0</v>
      </c>
      <c r="BS543" s="2400">
        <v>0</v>
      </c>
      <c r="BT543" s="2398">
        <v>0</v>
      </c>
      <c r="BU543" s="2398">
        <v>0</v>
      </c>
      <c r="BV543" s="2401">
        <v>0</v>
      </c>
      <c r="BW543" s="2401">
        <v>0</v>
      </c>
      <c r="BX543" s="2398">
        <v>0</v>
      </c>
    </row>
    <row r="544" spans="2:76">
      <c r="B544" s="2564">
        <v>12191503</v>
      </c>
      <c r="C544" s="2565" t="s">
        <v>4224</v>
      </c>
      <c r="D544" s="2566">
        <v>0</v>
      </c>
      <c r="E544" s="1080">
        <v>0</v>
      </c>
      <c r="F544" s="2567">
        <v>0</v>
      </c>
      <c r="G544" s="2568">
        <v>0</v>
      </c>
      <c r="H544" s="2566">
        <v>0</v>
      </c>
      <c r="I544" s="2566">
        <v>0</v>
      </c>
      <c r="J544" s="2569">
        <v>0</v>
      </c>
      <c r="K544" s="2569">
        <v>0</v>
      </c>
      <c r="L544" s="2566">
        <v>0</v>
      </c>
      <c r="N544" s="2396">
        <v>12191503</v>
      </c>
      <c r="O544" s="2397" t="s">
        <v>4224</v>
      </c>
      <c r="P544" s="2398">
        <v>0</v>
      </c>
      <c r="Q544" s="2179">
        <v>0</v>
      </c>
      <c r="R544" s="2399">
        <v>0</v>
      </c>
      <c r="S544" s="2400">
        <v>0</v>
      </c>
      <c r="T544" s="2398">
        <v>0</v>
      </c>
      <c r="U544" s="2398">
        <v>0</v>
      </c>
      <c r="V544" s="2401">
        <v>0</v>
      </c>
      <c r="W544" s="2401">
        <v>0</v>
      </c>
      <c r="X544" s="2398">
        <v>0</v>
      </c>
      <c r="Z544" s="2396">
        <v>12191503</v>
      </c>
      <c r="AA544" s="2397" t="s">
        <v>4224</v>
      </c>
      <c r="AB544" s="2398">
        <v>0</v>
      </c>
      <c r="AC544" s="2179">
        <v>0</v>
      </c>
      <c r="AD544" s="2399">
        <v>0</v>
      </c>
      <c r="AE544" s="2400">
        <v>0</v>
      </c>
      <c r="AF544" s="2398">
        <v>0</v>
      </c>
      <c r="AG544" s="2398">
        <v>0</v>
      </c>
      <c r="AH544" s="2401">
        <v>0</v>
      </c>
      <c r="AI544" s="2401">
        <v>0</v>
      </c>
      <c r="AJ544" s="2398">
        <v>0</v>
      </c>
      <c r="AZ544" s="2396">
        <v>12191503</v>
      </c>
      <c r="BA544" s="2397" t="s">
        <v>4224</v>
      </c>
      <c r="BB544" s="2398">
        <v>0</v>
      </c>
      <c r="BC544" s="2179">
        <v>0</v>
      </c>
      <c r="BD544" s="2399">
        <v>0</v>
      </c>
      <c r="BE544" s="2400">
        <v>0</v>
      </c>
      <c r="BF544" s="2398">
        <v>0</v>
      </c>
      <c r="BG544" s="2398">
        <v>0</v>
      </c>
      <c r="BH544" s="2401">
        <v>0</v>
      </c>
      <c r="BI544" s="2401">
        <v>0</v>
      </c>
      <c r="BJ544" s="2398">
        <v>0</v>
      </c>
      <c r="BN544" s="2390">
        <v>12191600</v>
      </c>
      <c r="BO544" s="2403" t="s">
        <v>4228</v>
      </c>
      <c r="BP544" s="2392">
        <v>0</v>
      </c>
      <c r="BQ544" s="2392">
        <v>0</v>
      </c>
      <c r="BR544" s="2393">
        <v>0</v>
      </c>
      <c r="BS544" s="2394">
        <v>0</v>
      </c>
      <c r="BT544" s="2392">
        <v>0</v>
      </c>
      <c r="BU544" s="2392">
        <v>0</v>
      </c>
      <c r="BV544" s="2395">
        <v>0</v>
      </c>
      <c r="BW544" s="2395">
        <v>0</v>
      </c>
      <c r="BX544" s="2392">
        <v>0</v>
      </c>
    </row>
    <row r="545" spans="2:76">
      <c r="B545" s="2564">
        <v>12191504</v>
      </c>
      <c r="C545" s="2565" t="s">
        <v>4221</v>
      </c>
      <c r="D545" s="2566">
        <v>45515360</v>
      </c>
      <c r="E545" s="1080">
        <v>0</v>
      </c>
      <c r="F545" s="2567">
        <v>0</v>
      </c>
      <c r="G545" s="2568">
        <v>0</v>
      </c>
      <c r="H545" s="2566">
        <v>0</v>
      </c>
      <c r="I545" s="2566">
        <v>45515360</v>
      </c>
      <c r="J545" s="2569">
        <v>0</v>
      </c>
      <c r="K545" s="2569">
        <v>0</v>
      </c>
      <c r="L545" s="2566">
        <v>45515360</v>
      </c>
      <c r="N545" s="2396">
        <v>12191504</v>
      </c>
      <c r="O545" s="2397" t="s">
        <v>4221</v>
      </c>
      <c r="P545" s="2398">
        <v>45515360</v>
      </c>
      <c r="Q545" s="2179">
        <v>0</v>
      </c>
      <c r="R545" s="2399">
        <v>0</v>
      </c>
      <c r="S545" s="2400">
        <v>0</v>
      </c>
      <c r="T545" s="2398">
        <v>0</v>
      </c>
      <c r="U545" s="2398">
        <v>45515360</v>
      </c>
      <c r="V545" s="2401">
        <v>0</v>
      </c>
      <c r="W545" s="2401">
        <v>0</v>
      </c>
      <c r="X545" s="2398">
        <v>45515360</v>
      </c>
      <c r="Z545" s="2396">
        <v>12191504</v>
      </c>
      <c r="AA545" s="2397" t="s">
        <v>4221</v>
      </c>
      <c r="AB545" s="2398">
        <v>45515360</v>
      </c>
      <c r="AC545" s="2179">
        <v>0</v>
      </c>
      <c r="AD545" s="2399">
        <v>0</v>
      </c>
      <c r="AE545" s="2400">
        <v>0</v>
      </c>
      <c r="AF545" s="2398">
        <v>0</v>
      </c>
      <c r="AG545" s="2398">
        <v>45515360</v>
      </c>
      <c r="AH545" s="2401">
        <v>0</v>
      </c>
      <c r="AI545" s="2401">
        <v>0</v>
      </c>
      <c r="AJ545" s="2398">
        <v>45515360</v>
      </c>
      <c r="AZ545" s="2396">
        <v>12191504</v>
      </c>
      <c r="BA545" s="2397" t="s">
        <v>4221</v>
      </c>
      <c r="BB545" s="2398">
        <v>45515360</v>
      </c>
      <c r="BC545" s="2179">
        <v>0</v>
      </c>
      <c r="BD545" s="2399">
        <v>0</v>
      </c>
      <c r="BE545" s="2400">
        <v>0</v>
      </c>
      <c r="BF545" s="2398">
        <v>0</v>
      </c>
      <c r="BG545" s="2398">
        <v>45515360</v>
      </c>
      <c r="BH545" s="2401">
        <v>0</v>
      </c>
      <c r="BI545" s="2401">
        <v>0</v>
      </c>
      <c r="BJ545" s="2398">
        <v>45515360</v>
      </c>
      <c r="BN545" s="2396">
        <v>12191601</v>
      </c>
      <c r="BO545" s="2397" t="s">
        <v>4228</v>
      </c>
      <c r="BP545" s="2398">
        <v>0</v>
      </c>
      <c r="BQ545" s="2179">
        <v>0</v>
      </c>
      <c r="BR545" s="2399">
        <v>0</v>
      </c>
      <c r="BS545" s="2400">
        <v>0</v>
      </c>
      <c r="BT545" s="2398">
        <v>0</v>
      </c>
      <c r="BU545" s="2398">
        <v>0</v>
      </c>
      <c r="BV545" s="2401">
        <v>0</v>
      </c>
      <c r="BW545" s="2401">
        <v>0</v>
      </c>
      <c r="BX545" s="2398">
        <v>0</v>
      </c>
    </row>
    <row r="546" spans="2:76">
      <c r="B546" s="2564">
        <v>12191505</v>
      </c>
      <c r="C546" s="2565" t="s">
        <v>5050</v>
      </c>
      <c r="D546" s="2566">
        <v>0</v>
      </c>
      <c r="E546" s="1080">
        <v>0</v>
      </c>
      <c r="F546" s="2567">
        <v>0</v>
      </c>
      <c r="G546" s="2568">
        <v>0</v>
      </c>
      <c r="H546" s="2566">
        <v>0</v>
      </c>
      <c r="I546" s="2566">
        <v>0</v>
      </c>
      <c r="J546" s="2569">
        <v>0</v>
      </c>
      <c r="K546" s="2569">
        <v>0</v>
      </c>
      <c r="L546" s="2566">
        <v>0</v>
      </c>
      <c r="N546" s="2396">
        <v>12191505</v>
      </c>
      <c r="O546" s="2397" t="s">
        <v>4225</v>
      </c>
      <c r="P546" s="2398">
        <v>0</v>
      </c>
      <c r="Q546" s="2179">
        <v>0</v>
      </c>
      <c r="R546" s="2399">
        <v>0</v>
      </c>
      <c r="S546" s="2400">
        <v>0</v>
      </c>
      <c r="T546" s="2398">
        <v>0</v>
      </c>
      <c r="U546" s="2398">
        <v>0</v>
      </c>
      <c r="V546" s="2401">
        <v>0</v>
      </c>
      <c r="W546" s="2401">
        <v>0</v>
      </c>
      <c r="X546" s="2398">
        <v>0</v>
      </c>
      <c r="Z546" s="2396">
        <v>12191505</v>
      </c>
      <c r="AA546" s="2397" t="s">
        <v>4225</v>
      </c>
      <c r="AB546" s="2398">
        <v>0</v>
      </c>
      <c r="AC546" s="2179">
        <v>0</v>
      </c>
      <c r="AD546" s="2399">
        <v>0</v>
      </c>
      <c r="AE546" s="2400">
        <v>0</v>
      </c>
      <c r="AF546" s="2398">
        <v>0</v>
      </c>
      <c r="AG546" s="2398">
        <v>0</v>
      </c>
      <c r="AH546" s="2401">
        <v>0</v>
      </c>
      <c r="AI546" s="2401">
        <v>0</v>
      </c>
      <c r="AJ546" s="2398">
        <v>0</v>
      </c>
      <c r="AZ546" s="2396">
        <v>12191505</v>
      </c>
      <c r="BA546" s="2397" t="s">
        <v>4225</v>
      </c>
      <c r="BB546" s="2398">
        <v>0</v>
      </c>
      <c r="BC546" s="2179">
        <v>0</v>
      </c>
      <c r="BD546" s="2399">
        <v>0</v>
      </c>
      <c r="BE546" s="2400">
        <v>0</v>
      </c>
      <c r="BF546" s="2398">
        <v>0</v>
      </c>
      <c r="BG546" s="2398">
        <v>0</v>
      </c>
      <c r="BH546" s="2401">
        <v>0</v>
      </c>
      <c r="BI546" s="2401">
        <v>0</v>
      </c>
      <c r="BJ546" s="2398">
        <v>0</v>
      </c>
      <c r="BN546" s="2396">
        <v>12191602</v>
      </c>
      <c r="BO546" s="2397" t="s">
        <v>4229</v>
      </c>
      <c r="BP546" s="2398">
        <v>0</v>
      </c>
      <c r="BQ546" s="2179">
        <v>0</v>
      </c>
      <c r="BR546" s="2399">
        <v>0</v>
      </c>
      <c r="BS546" s="2400">
        <v>0</v>
      </c>
      <c r="BT546" s="2398">
        <v>0</v>
      </c>
      <c r="BU546" s="2398">
        <v>0</v>
      </c>
      <c r="BV546" s="2401">
        <v>0</v>
      </c>
      <c r="BW546" s="2401">
        <v>0</v>
      </c>
      <c r="BX546" s="2398">
        <v>0</v>
      </c>
    </row>
    <row r="547" spans="2:76">
      <c r="B547" s="2564">
        <v>12191506</v>
      </c>
      <c r="C547" s="2565" t="s">
        <v>5051</v>
      </c>
      <c r="D547" s="2566">
        <v>0</v>
      </c>
      <c r="E547" s="1080">
        <v>0</v>
      </c>
      <c r="F547" s="2567">
        <v>0</v>
      </c>
      <c r="G547" s="2568">
        <v>0</v>
      </c>
      <c r="H547" s="2566">
        <v>0</v>
      </c>
      <c r="I547" s="2566">
        <v>0</v>
      </c>
      <c r="J547" s="2569">
        <v>0</v>
      </c>
      <c r="K547" s="2569">
        <v>0</v>
      </c>
      <c r="L547" s="2566">
        <v>0</v>
      </c>
      <c r="N547" s="2396">
        <v>12191506</v>
      </c>
      <c r="O547" s="2397" t="s">
        <v>4226</v>
      </c>
      <c r="P547" s="2398">
        <v>0</v>
      </c>
      <c r="Q547" s="2179">
        <v>0</v>
      </c>
      <c r="R547" s="2399">
        <v>0</v>
      </c>
      <c r="S547" s="2400">
        <v>0</v>
      </c>
      <c r="T547" s="2398">
        <v>0</v>
      </c>
      <c r="U547" s="2398">
        <v>0</v>
      </c>
      <c r="V547" s="2401">
        <v>0</v>
      </c>
      <c r="W547" s="2401">
        <v>0</v>
      </c>
      <c r="X547" s="2398">
        <v>0</v>
      </c>
      <c r="Z547" s="2396">
        <v>12191506</v>
      </c>
      <c r="AA547" s="2397" t="s">
        <v>4226</v>
      </c>
      <c r="AB547" s="2398">
        <v>0</v>
      </c>
      <c r="AC547" s="2179">
        <v>0</v>
      </c>
      <c r="AD547" s="2399">
        <v>0</v>
      </c>
      <c r="AE547" s="2400">
        <v>0</v>
      </c>
      <c r="AF547" s="2398">
        <v>0</v>
      </c>
      <c r="AG547" s="2398">
        <v>0</v>
      </c>
      <c r="AH547" s="2401">
        <v>0</v>
      </c>
      <c r="AI547" s="2401">
        <v>0</v>
      </c>
      <c r="AJ547" s="2398">
        <v>0</v>
      </c>
      <c r="AZ547" s="2396">
        <v>12191506</v>
      </c>
      <c r="BA547" s="2397" t="s">
        <v>4226</v>
      </c>
      <c r="BB547" s="2398">
        <v>0</v>
      </c>
      <c r="BC547" s="2179">
        <v>0</v>
      </c>
      <c r="BD547" s="2399">
        <v>0</v>
      </c>
      <c r="BE547" s="2400">
        <v>0</v>
      </c>
      <c r="BF547" s="2398">
        <v>0</v>
      </c>
      <c r="BG547" s="2398">
        <v>0</v>
      </c>
      <c r="BH547" s="2401">
        <v>0</v>
      </c>
      <c r="BI547" s="2401">
        <v>0</v>
      </c>
      <c r="BJ547" s="2398">
        <v>0</v>
      </c>
      <c r="BN547" s="2384">
        <v>12200000</v>
      </c>
      <c r="BO547" s="2402" t="s">
        <v>3922</v>
      </c>
      <c r="BP547" s="2386">
        <v>4969677833</v>
      </c>
      <c r="BQ547" s="2386">
        <v>0</v>
      </c>
      <c r="BR547" s="2387">
        <v>912552959</v>
      </c>
      <c r="BS547" s="2388">
        <v>2878547</v>
      </c>
      <c r="BT547" s="2386">
        <v>0</v>
      </c>
      <c r="BU547" s="2386">
        <v>5885109339</v>
      </c>
      <c r="BV547" s="2389">
        <v>0</v>
      </c>
      <c r="BW547" s="2389">
        <v>0</v>
      </c>
      <c r="BX547" s="2386">
        <v>7532267760</v>
      </c>
    </row>
    <row r="548" spans="2:76">
      <c r="B548" s="2564">
        <v>12191550</v>
      </c>
      <c r="C548" s="2565" t="s">
        <v>3591</v>
      </c>
      <c r="D548" s="2566">
        <v>765169242</v>
      </c>
      <c r="E548" s="1080">
        <v>0</v>
      </c>
      <c r="F548" s="2567">
        <v>0</v>
      </c>
      <c r="G548" s="2568">
        <v>0</v>
      </c>
      <c r="H548" s="2566">
        <v>0</v>
      </c>
      <c r="I548" s="2566">
        <v>765169242</v>
      </c>
      <c r="J548" s="2569">
        <v>0</v>
      </c>
      <c r="K548" s="2569">
        <v>0</v>
      </c>
      <c r="L548" s="2566">
        <v>765169242</v>
      </c>
      <c r="N548" s="2396">
        <v>12191550</v>
      </c>
      <c r="O548" s="2397" t="s">
        <v>3591</v>
      </c>
      <c r="P548" s="2398">
        <v>765169242</v>
      </c>
      <c r="Q548" s="2179">
        <v>0</v>
      </c>
      <c r="R548" s="2399">
        <v>0</v>
      </c>
      <c r="S548" s="2400">
        <v>0</v>
      </c>
      <c r="T548" s="2398">
        <v>0</v>
      </c>
      <c r="U548" s="2398">
        <v>765169242</v>
      </c>
      <c r="V548" s="2401">
        <v>0</v>
      </c>
      <c r="W548" s="2401">
        <v>0</v>
      </c>
      <c r="X548" s="2398">
        <v>765169242</v>
      </c>
      <c r="Z548" s="2396">
        <v>12191550</v>
      </c>
      <c r="AA548" s="2397" t="s">
        <v>3591</v>
      </c>
      <c r="AB548" s="2398">
        <v>2446532800</v>
      </c>
      <c r="AC548" s="2179">
        <v>0</v>
      </c>
      <c r="AD548" s="2399">
        <v>92893400</v>
      </c>
      <c r="AE548" s="2400">
        <v>0</v>
      </c>
      <c r="AF548" s="2398">
        <v>0</v>
      </c>
      <c r="AG548" s="2398">
        <v>2539426200</v>
      </c>
      <c r="AH548" s="2401">
        <v>0</v>
      </c>
      <c r="AI548" s="2401">
        <v>0</v>
      </c>
      <c r="AJ548" s="2398">
        <v>2539426200</v>
      </c>
      <c r="AZ548" s="2396">
        <v>12191550</v>
      </c>
      <c r="BA548" s="2397" t="s">
        <v>3591</v>
      </c>
      <c r="BB548" s="2398">
        <v>1464445710</v>
      </c>
      <c r="BC548" s="2179">
        <v>0</v>
      </c>
      <c r="BD548" s="2399">
        <v>0</v>
      </c>
      <c r="BE548" s="2400">
        <v>0</v>
      </c>
      <c r="BF548" s="2398">
        <v>0</v>
      </c>
      <c r="BG548" s="2398">
        <v>1464445710</v>
      </c>
      <c r="BH548" s="2401">
        <v>0</v>
      </c>
      <c r="BI548" s="2401">
        <v>0</v>
      </c>
      <c r="BJ548" s="2398">
        <v>1464445710</v>
      </c>
      <c r="BN548" s="2390">
        <v>12201000</v>
      </c>
      <c r="BO548" s="2403" t="s">
        <v>3922</v>
      </c>
      <c r="BP548" s="2392">
        <v>4969677833</v>
      </c>
      <c r="BQ548" s="2392">
        <v>0</v>
      </c>
      <c r="BR548" s="2393">
        <v>912552959</v>
      </c>
      <c r="BS548" s="2394">
        <v>2878547</v>
      </c>
      <c r="BT548" s="2392">
        <v>0</v>
      </c>
      <c r="BU548" s="2392">
        <v>5885109339</v>
      </c>
      <c r="BV548" s="2395">
        <v>0</v>
      </c>
      <c r="BW548" s="2395">
        <v>0</v>
      </c>
      <c r="BX548" s="2392">
        <v>7532267760</v>
      </c>
    </row>
    <row r="549" spans="2:76">
      <c r="B549" s="2564">
        <v>12191551</v>
      </c>
      <c r="C549" s="2565" t="s">
        <v>4227</v>
      </c>
      <c r="D549" s="2566">
        <v>0</v>
      </c>
      <c r="E549" s="1080">
        <v>0</v>
      </c>
      <c r="F549" s="2567">
        <v>0</v>
      </c>
      <c r="G549" s="2568">
        <v>0</v>
      </c>
      <c r="H549" s="2566">
        <v>0</v>
      </c>
      <c r="I549" s="2566">
        <v>0</v>
      </c>
      <c r="J549" s="2569">
        <v>0</v>
      </c>
      <c r="K549" s="2569">
        <v>0</v>
      </c>
      <c r="L549" s="2566">
        <v>0</v>
      </c>
      <c r="N549" s="2396">
        <v>12191551</v>
      </c>
      <c r="O549" s="2397" t="s">
        <v>4227</v>
      </c>
      <c r="P549" s="2398">
        <v>0</v>
      </c>
      <c r="Q549" s="2179">
        <v>0</v>
      </c>
      <c r="R549" s="2399">
        <v>0</v>
      </c>
      <c r="S549" s="2400">
        <v>0</v>
      </c>
      <c r="T549" s="2398">
        <v>0</v>
      </c>
      <c r="U549" s="2398">
        <v>0</v>
      </c>
      <c r="V549" s="2401">
        <v>0</v>
      </c>
      <c r="W549" s="2401">
        <v>0</v>
      </c>
      <c r="X549" s="2398">
        <v>0</v>
      </c>
      <c r="Z549" s="2396">
        <v>12191551</v>
      </c>
      <c r="AA549" s="2397" t="s">
        <v>4227</v>
      </c>
      <c r="AB549" s="2398">
        <v>0</v>
      </c>
      <c r="AC549" s="2179">
        <v>0</v>
      </c>
      <c r="AD549" s="2399">
        <v>0</v>
      </c>
      <c r="AE549" s="2400">
        <v>0</v>
      </c>
      <c r="AF549" s="2398">
        <v>0</v>
      </c>
      <c r="AG549" s="2398">
        <v>0</v>
      </c>
      <c r="AH549" s="2401">
        <v>0</v>
      </c>
      <c r="AI549" s="2401">
        <v>0</v>
      </c>
      <c r="AJ549" s="2398">
        <v>0</v>
      </c>
      <c r="AZ549" s="2396">
        <v>12191551</v>
      </c>
      <c r="BA549" s="2397" t="s">
        <v>4227</v>
      </c>
      <c r="BB549" s="2398">
        <v>0</v>
      </c>
      <c r="BC549" s="2179">
        <v>0</v>
      </c>
      <c r="BD549" s="2399">
        <v>0</v>
      </c>
      <c r="BE549" s="2400">
        <v>0</v>
      </c>
      <c r="BF549" s="2398">
        <v>0</v>
      </c>
      <c r="BG549" s="2398">
        <v>0</v>
      </c>
      <c r="BH549" s="2401">
        <v>0</v>
      </c>
      <c r="BI549" s="2401">
        <v>0</v>
      </c>
      <c r="BJ549" s="2398">
        <v>0</v>
      </c>
      <c r="BN549" s="2396">
        <v>12201001</v>
      </c>
      <c r="BO549" s="2397" t="s">
        <v>3922</v>
      </c>
      <c r="BP549" s="2398">
        <v>4969677833</v>
      </c>
      <c r="BQ549" s="2179">
        <v>0</v>
      </c>
      <c r="BR549" s="2399">
        <v>912552959</v>
      </c>
      <c r="BS549" s="2400">
        <v>2878547</v>
      </c>
      <c r="BT549" s="2398">
        <v>0</v>
      </c>
      <c r="BU549" s="2398">
        <v>5885109339</v>
      </c>
      <c r="BV549" s="2401">
        <v>6152303372</v>
      </c>
      <c r="BW549" s="2401">
        <v>4505144951</v>
      </c>
      <c r="BX549" s="2398">
        <v>7532267760</v>
      </c>
    </row>
    <row r="550" spans="2:76">
      <c r="B550" s="2558">
        <v>12191600</v>
      </c>
      <c r="C550" s="2571" t="s">
        <v>4228</v>
      </c>
      <c r="D550" s="2560">
        <v>0</v>
      </c>
      <c r="E550" s="2560">
        <v>0</v>
      </c>
      <c r="F550" s="2561">
        <v>0</v>
      </c>
      <c r="G550" s="2562">
        <v>0</v>
      </c>
      <c r="H550" s="2560">
        <v>0</v>
      </c>
      <c r="I550" s="2560">
        <v>0</v>
      </c>
      <c r="J550" s="2563">
        <v>0</v>
      </c>
      <c r="K550" s="2563">
        <v>0</v>
      </c>
      <c r="L550" s="2560">
        <v>0</v>
      </c>
      <c r="N550" s="2390">
        <v>12191600</v>
      </c>
      <c r="O550" s="2403" t="s">
        <v>4228</v>
      </c>
      <c r="P550" s="2392">
        <v>0</v>
      </c>
      <c r="Q550" s="2392">
        <v>0</v>
      </c>
      <c r="R550" s="2393">
        <v>0</v>
      </c>
      <c r="S550" s="2394">
        <v>0</v>
      </c>
      <c r="T550" s="2392">
        <v>0</v>
      </c>
      <c r="U550" s="2392">
        <v>0</v>
      </c>
      <c r="V550" s="2395">
        <v>0</v>
      </c>
      <c r="W550" s="2395">
        <v>0</v>
      </c>
      <c r="X550" s="2392">
        <v>0</v>
      </c>
      <c r="Z550" s="2390">
        <v>12191600</v>
      </c>
      <c r="AA550" s="2403" t="s">
        <v>4228</v>
      </c>
      <c r="AB550" s="2392">
        <v>0</v>
      </c>
      <c r="AC550" s="2392">
        <v>0</v>
      </c>
      <c r="AD550" s="2393">
        <v>0</v>
      </c>
      <c r="AE550" s="2394">
        <v>0</v>
      </c>
      <c r="AF550" s="2392">
        <v>0</v>
      </c>
      <c r="AG550" s="2392">
        <v>0</v>
      </c>
      <c r="AH550" s="2395">
        <v>0</v>
      </c>
      <c r="AI550" s="2395">
        <v>0</v>
      </c>
      <c r="AJ550" s="2392">
        <v>0</v>
      </c>
      <c r="AZ550" s="2390">
        <v>12191600</v>
      </c>
      <c r="BA550" s="2403" t="s">
        <v>4228</v>
      </c>
      <c r="BB550" s="2392">
        <v>0</v>
      </c>
      <c r="BC550" s="2392">
        <v>0</v>
      </c>
      <c r="BD550" s="2393">
        <v>0</v>
      </c>
      <c r="BE550" s="2394">
        <v>0</v>
      </c>
      <c r="BF550" s="2392">
        <v>0</v>
      </c>
      <c r="BG550" s="2392">
        <v>0</v>
      </c>
      <c r="BH550" s="2395">
        <v>0</v>
      </c>
      <c r="BI550" s="2395">
        <v>0</v>
      </c>
      <c r="BJ550" s="2392">
        <v>0</v>
      </c>
      <c r="BN550" s="2384">
        <v>12210000</v>
      </c>
      <c r="BO550" s="2402" t="s">
        <v>4246</v>
      </c>
      <c r="BP550" s="2386">
        <v>999231565</v>
      </c>
      <c r="BQ550" s="2386">
        <v>0</v>
      </c>
      <c r="BR550" s="2387">
        <v>422282950</v>
      </c>
      <c r="BS550" s="2388">
        <v>0</v>
      </c>
      <c r="BT550" s="2386">
        <v>0</v>
      </c>
      <c r="BU550" s="2386">
        <v>1421514515</v>
      </c>
      <c r="BV550" s="2389">
        <v>0</v>
      </c>
      <c r="BW550" s="2389">
        <v>0</v>
      </c>
      <c r="BX550" s="2386">
        <v>1421514515</v>
      </c>
    </row>
    <row r="551" spans="2:76">
      <c r="B551" s="2564">
        <v>12191601</v>
      </c>
      <c r="C551" s="2565" t="s">
        <v>4228</v>
      </c>
      <c r="D551" s="2566">
        <v>0</v>
      </c>
      <c r="E551" s="1080">
        <v>0</v>
      </c>
      <c r="F551" s="2567">
        <v>0</v>
      </c>
      <c r="G551" s="2568">
        <v>0</v>
      </c>
      <c r="H551" s="2566">
        <v>0</v>
      </c>
      <c r="I551" s="2566">
        <v>0</v>
      </c>
      <c r="J551" s="2569">
        <v>0</v>
      </c>
      <c r="K551" s="2569">
        <v>0</v>
      </c>
      <c r="L551" s="2566">
        <v>0</v>
      </c>
      <c r="N551" s="2396">
        <v>12191601</v>
      </c>
      <c r="O551" s="2397" t="s">
        <v>4228</v>
      </c>
      <c r="P551" s="2398">
        <v>0</v>
      </c>
      <c r="Q551" s="2179">
        <v>0</v>
      </c>
      <c r="R551" s="2399">
        <v>0</v>
      </c>
      <c r="S551" s="2400">
        <v>0</v>
      </c>
      <c r="T551" s="2398">
        <v>0</v>
      </c>
      <c r="U551" s="2398">
        <v>0</v>
      </c>
      <c r="V551" s="2401">
        <v>0</v>
      </c>
      <c r="W551" s="2401">
        <v>0</v>
      </c>
      <c r="X551" s="2398">
        <v>0</v>
      </c>
      <c r="Z551" s="2396">
        <v>12191601</v>
      </c>
      <c r="AA551" s="2397" t="s">
        <v>4228</v>
      </c>
      <c r="AB551" s="2398">
        <v>0</v>
      </c>
      <c r="AC551" s="2179">
        <v>0</v>
      </c>
      <c r="AD551" s="2399">
        <v>0</v>
      </c>
      <c r="AE551" s="2400">
        <v>0</v>
      </c>
      <c r="AF551" s="2398">
        <v>0</v>
      </c>
      <c r="AG551" s="2398">
        <v>0</v>
      </c>
      <c r="AH551" s="2401">
        <v>0</v>
      </c>
      <c r="AI551" s="2401">
        <v>0</v>
      </c>
      <c r="AJ551" s="2398">
        <v>0</v>
      </c>
      <c r="AZ551" s="2396">
        <v>12191601</v>
      </c>
      <c r="BA551" s="2397" t="s">
        <v>4228</v>
      </c>
      <c r="BB551" s="2398">
        <v>0</v>
      </c>
      <c r="BC551" s="2179">
        <v>0</v>
      </c>
      <c r="BD551" s="2399">
        <v>0</v>
      </c>
      <c r="BE551" s="2400">
        <v>0</v>
      </c>
      <c r="BF551" s="2398">
        <v>0</v>
      </c>
      <c r="BG551" s="2398">
        <v>0</v>
      </c>
      <c r="BH551" s="2401">
        <v>0</v>
      </c>
      <c r="BI551" s="2401">
        <v>0</v>
      </c>
      <c r="BJ551" s="2398">
        <v>0</v>
      </c>
      <c r="BN551" s="2390">
        <v>12211000</v>
      </c>
      <c r="BO551" s="2403" t="s">
        <v>4247</v>
      </c>
      <c r="BP551" s="2392">
        <v>0</v>
      </c>
      <c r="BQ551" s="2392">
        <v>0</v>
      </c>
      <c r="BR551" s="2393">
        <v>0</v>
      </c>
      <c r="BS551" s="2394">
        <v>0</v>
      </c>
      <c r="BT551" s="2392">
        <v>0</v>
      </c>
      <c r="BU551" s="2392">
        <v>0</v>
      </c>
      <c r="BV551" s="2395">
        <v>0</v>
      </c>
      <c r="BW551" s="2395">
        <v>0</v>
      </c>
      <c r="BX551" s="2392">
        <v>0</v>
      </c>
    </row>
    <row r="552" spans="2:76">
      <c r="B552" s="2564">
        <v>12191602</v>
      </c>
      <c r="C552" s="2565" t="s">
        <v>4229</v>
      </c>
      <c r="D552" s="2566">
        <v>0</v>
      </c>
      <c r="E552" s="1080">
        <v>0</v>
      </c>
      <c r="F552" s="2567">
        <v>0</v>
      </c>
      <c r="G552" s="2568">
        <v>0</v>
      </c>
      <c r="H552" s="2566">
        <v>0</v>
      </c>
      <c r="I552" s="2566">
        <v>0</v>
      </c>
      <c r="J552" s="2569">
        <v>0</v>
      </c>
      <c r="K552" s="2569">
        <v>0</v>
      </c>
      <c r="L552" s="2566">
        <v>0</v>
      </c>
      <c r="N552" s="2396">
        <v>12191602</v>
      </c>
      <c r="O552" s="2397" t="s">
        <v>4229</v>
      </c>
      <c r="P552" s="2398">
        <v>0</v>
      </c>
      <c r="Q552" s="2179">
        <v>0</v>
      </c>
      <c r="R552" s="2399">
        <v>0</v>
      </c>
      <c r="S552" s="2400">
        <v>0</v>
      </c>
      <c r="T552" s="2398">
        <v>0</v>
      </c>
      <c r="U552" s="2398">
        <v>0</v>
      </c>
      <c r="V552" s="2401">
        <v>0</v>
      </c>
      <c r="W552" s="2401">
        <v>0</v>
      </c>
      <c r="X552" s="2398">
        <v>0</v>
      </c>
      <c r="Z552" s="2396">
        <v>12191602</v>
      </c>
      <c r="AA552" s="2397" t="s">
        <v>4229</v>
      </c>
      <c r="AB552" s="2398">
        <v>0</v>
      </c>
      <c r="AC552" s="2179">
        <v>0</v>
      </c>
      <c r="AD552" s="2399">
        <v>0</v>
      </c>
      <c r="AE552" s="2400">
        <v>0</v>
      </c>
      <c r="AF552" s="2398">
        <v>0</v>
      </c>
      <c r="AG552" s="2398">
        <v>0</v>
      </c>
      <c r="AH552" s="2401">
        <v>0</v>
      </c>
      <c r="AI552" s="2401">
        <v>0</v>
      </c>
      <c r="AJ552" s="2398">
        <v>0</v>
      </c>
      <c r="AZ552" s="2396">
        <v>12191602</v>
      </c>
      <c r="BA552" s="2397" t="s">
        <v>4229</v>
      </c>
      <c r="BB552" s="2398">
        <v>0</v>
      </c>
      <c r="BC552" s="2179">
        <v>0</v>
      </c>
      <c r="BD552" s="2399">
        <v>0</v>
      </c>
      <c r="BE552" s="2400">
        <v>0</v>
      </c>
      <c r="BF552" s="2398">
        <v>0</v>
      </c>
      <c r="BG552" s="2398">
        <v>0</v>
      </c>
      <c r="BH552" s="2401">
        <v>0</v>
      </c>
      <c r="BI552" s="2401">
        <v>0</v>
      </c>
      <c r="BJ552" s="2398">
        <v>0</v>
      </c>
      <c r="BN552" s="2396">
        <v>12211001</v>
      </c>
      <c r="BO552" s="2397" t="s">
        <v>4247</v>
      </c>
      <c r="BP552" s="2398">
        <v>0</v>
      </c>
      <c r="BQ552" s="2179">
        <v>0</v>
      </c>
      <c r="BR552" s="2399">
        <v>0</v>
      </c>
      <c r="BS552" s="2400">
        <v>0</v>
      </c>
      <c r="BT552" s="2398">
        <v>0</v>
      </c>
      <c r="BU552" s="2398">
        <v>0</v>
      </c>
      <c r="BV552" s="2401">
        <v>0</v>
      </c>
      <c r="BW552" s="2401">
        <v>0</v>
      </c>
      <c r="BX552" s="2398">
        <v>0</v>
      </c>
    </row>
    <row r="553" spans="2:76">
      <c r="B553" s="2552">
        <v>12160000</v>
      </c>
      <c r="C553" s="2570" t="s">
        <v>1545</v>
      </c>
      <c r="D553" s="2554">
        <v>3696829471</v>
      </c>
      <c r="E553" s="2554">
        <v>181743010</v>
      </c>
      <c r="F553" s="2555">
        <v>122821264</v>
      </c>
      <c r="G553" s="2556">
        <v>79699944</v>
      </c>
      <c r="H553" s="2554">
        <v>2629317</v>
      </c>
      <c r="I553" s="2554">
        <v>4083723006</v>
      </c>
      <c r="J553" s="2557">
        <v>0</v>
      </c>
      <c r="K553" s="2557">
        <v>0</v>
      </c>
      <c r="L553" s="2554">
        <v>4083723006</v>
      </c>
      <c r="N553" s="2384">
        <v>12160000</v>
      </c>
      <c r="O553" s="2402" t="s">
        <v>1545</v>
      </c>
      <c r="P553" s="2386">
        <v>3955082337</v>
      </c>
      <c r="Q553" s="2386">
        <v>180045756</v>
      </c>
      <c r="R553" s="2387">
        <v>139210171</v>
      </c>
      <c r="S553" s="2388">
        <v>90333981</v>
      </c>
      <c r="T553" s="2386">
        <v>5014906</v>
      </c>
      <c r="U553" s="2386">
        <v>4369687151</v>
      </c>
      <c r="V553" s="2389">
        <v>0</v>
      </c>
      <c r="W553" s="2389">
        <v>0</v>
      </c>
      <c r="X553" s="2386">
        <v>4369687151</v>
      </c>
      <c r="Z553" s="2384">
        <v>12160000</v>
      </c>
      <c r="AA553" s="2402" t="s">
        <v>1545</v>
      </c>
      <c r="AB553" s="2386">
        <v>4955942065</v>
      </c>
      <c r="AC553" s="2386">
        <v>104634084</v>
      </c>
      <c r="AD553" s="2387">
        <v>105932433</v>
      </c>
      <c r="AE553" s="2388">
        <v>55020724</v>
      </c>
      <c r="AF553" s="2386">
        <v>9656946</v>
      </c>
      <c r="AG553" s="2386">
        <v>5231186252</v>
      </c>
      <c r="AH553" s="2389">
        <v>0</v>
      </c>
      <c r="AI553" s="2389">
        <v>0</v>
      </c>
      <c r="AJ553" s="2386">
        <v>5231186252</v>
      </c>
      <c r="AZ553" s="2384">
        <v>12160000</v>
      </c>
      <c r="BA553" s="2402" t="s">
        <v>1545</v>
      </c>
      <c r="BB553" s="2386">
        <v>6687403205</v>
      </c>
      <c r="BC553" s="2386">
        <v>90505769</v>
      </c>
      <c r="BD553" s="2387">
        <v>79416088</v>
      </c>
      <c r="BE553" s="2388">
        <v>73587963</v>
      </c>
      <c r="BF553" s="2386">
        <v>21486951</v>
      </c>
      <c r="BG553" s="2386">
        <v>6952399976</v>
      </c>
      <c r="BH553" s="2389">
        <v>0</v>
      </c>
      <c r="BI553" s="2389">
        <v>0</v>
      </c>
      <c r="BJ553" s="2386">
        <v>6952399976</v>
      </c>
      <c r="BN553" s="2396">
        <v>12211002</v>
      </c>
      <c r="BO553" s="2397" t="s">
        <v>4248</v>
      </c>
      <c r="BP553" s="2398">
        <v>0</v>
      </c>
      <c r="BQ553" s="2179">
        <v>0</v>
      </c>
      <c r="BR553" s="2399">
        <v>0</v>
      </c>
      <c r="BS553" s="2400">
        <v>0</v>
      </c>
      <c r="BT553" s="2398">
        <v>0</v>
      </c>
      <c r="BU553" s="2398">
        <v>0</v>
      </c>
      <c r="BV553" s="2401">
        <v>0</v>
      </c>
      <c r="BW553" s="2401">
        <v>0</v>
      </c>
      <c r="BX553" s="2398">
        <v>0</v>
      </c>
    </row>
    <row r="554" spans="2:76">
      <c r="B554" s="2558">
        <v>12161000</v>
      </c>
      <c r="C554" s="2571" t="s">
        <v>4230</v>
      </c>
      <c r="D554" s="2560">
        <v>215750277</v>
      </c>
      <c r="E554" s="2560">
        <v>0</v>
      </c>
      <c r="F554" s="2561">
        <v>0</v>
      </c>
      <c r="G554" s="2562">
        <v>0</v>
      </c>
      <c r="H554" s="2560">
        <v>0</v>
      </c>
      <c r="I554" s="2560">
        <v>215750277</v>
      </c>
      <c r="J554" s="2563">
        <v>0</v>
      </c>
      <c r="K554" s="2563">
        <v>0</v>
      </c>
      <c r="L554" s="2560">
        <v>215750277</v>
      </c>
      <c r="N554" s="2390">
        <v>12161000</v>
      </c>
      <c r="O554" s="2403" t="s">
        <v>4230</v>
      </c>
      <c r="P554" s="2392">
        <v>0</v>
      </c>
      <c r="Q554" s="2392">
        <v>0</v>
      </c>
      <c r="R554" s="2393">
        <v>0</v>
      </c>
      <c r="S554" s="2394">
        <v>0</v>
      </c>
      <c r="T554" s="2392">
        <v>0</v>
      </c>
      <c r="U554" s="2392">
        <v>0</v>
      </c>
      <c r="V554" s="2395">
        <v>0</v>
      </c>
      <c r="W554" s="2395">
        <v>0</v>
      </c>
      <c r="X554" s="2392">
        <v>0</v>
      </c>
      <c r="Z554" s="2390">
        <v>12161000</v>
      </c>
      <c r="AA554" s="2403" t="s">
        <v>4230</v>
      </c>
      <c r="AB554" s="2392">
        <v>138601127</v>
      </c>
      <c r="AC554" s="2392">
        <v>0</v>
      </c>
      <c r="AD554" s="2393">
        <v>0</v>
      </c>
      <c r="AE554" s="2394">
        <v>0</v>
      </c>
      <c r="AF554" s="2392">
        <v>0</v>
      </c>
      <c r="AG554" s="2392">
        <v>138601127</v>
      </c>
      <c r="AH554" s="2395">
        <v>0</v>
      </c>
      <c r="AI554" s="2395">
        <v>0</v>
      </c>
      <c r="AJ554" s="2392">
        <v>138601127</v>
      </c>
      <c r="AZ554" s="2390">
        <v>12161000</v>
      </c>
      <c r="BA554" s="2403" t="s">
        <v>4230</v>
      </c>
      <c r="BB554" s="2392">
        <v>139432898</v>
      </c>
      <c r="BC554" s="2392">
        <v>0</v>
      </c>
      <c r="BD554" s="2393">
        <v>0</v>
      </c>
      <c r="BE554" s="2394">
        <v>0</v>
      </c>
      <c r="BF554" s="2392">
        <v>0</v>
      </c>
      <c r="BG554" s="2392">
        <v>139432898</v>
      </c>
      <c r="BH554" s="2395">
        <v>0</v>
      </c>
      <c r="BI554" s="2395">
        <v>0</v>
      </c>
      <c r="BJ554" s="2392">
        <v>139432898</v>
      </c>
      <c r="BN554" s="2396">
        <v>12211003</v>
      </c>
      <c r="BO554" s="2397" t="s">
        <v>4249</v>
      </c>
      <c r="BP554" s="2398">
        <v>0</v>
      </c>
      <c r="BQ554" s="2179">
        <v>0</v>
      </c>
      <c r="BR554" s="2399">
        <v>0</v>
      </c>
      <c r="BS554" s="2400">
        <v>0</v>
      </c>
      <c r="BT554" s="2398">
        <v>0</v>
      </c>
      <c r="BU554" s="2398">
        <v>0</v>
      </c>
      <c r="BV554" s="2401">
        <v>0</v>
      </c>
      <c r="BW554" s="2401">
        <v>0</v>
      </c>
      <c r="BX554" s="2398">
        <v>0</v>
      </c>
    </row>
    <row r="555" spans="2:76">
      <c r="B555" s="2564">
        <v>12161001</v>
      </c>
      <c r="C555" s="2565" t="s">
        <v>4230</v>
      </c>
      <c r="D555" s="2566">
        <v>287667036</v>
      </c>
      <c r="E555" s="1080">
        <v>0</v>
      </c>
      <c r="F555" s="2567">
        <v>0</v>
      </c>
      <c r="G555" s="2568">
        <v>0</v>
      </c>
      <c r="H555" s="2566">
        <v>0</v>
      </c>
      <c r="I555" s="2566">
        <v>287667036</v>
      </c>
      <c r="J555" s="2569">
        <v>0</v>
      </c>
      <c r="K555" s="2569">
        <v>0</v>
      </c>
      <c r="L555" s="2566">
        <v>287667036</v>
      </c>
      <c r="N555" s="2396">
        <v>12161001</v>
      </c>
      <c r="O555" s="2397" t="s">
        <v>4230</v>
      </c>
      <c r="P555" s="2398">
        <v>277202249</v>
      </c>
      <c r="Q555" s="2179">
        <v>0</v>
      </c>
      <c r="R555" s="2399">
        <v>0</v>
      </c>
      <c r="S555" s="2400">
        <v>0</v>
      </c>
      <c r="T555" s="2398">
        <v>0</v>
      </c>
      <c r="U555" s="2398">
        <v>277202249</v>
      </c>
      <c r="V555" s="2401">
        <v>0</v>
      </c>
      <c r="W555" s="2401">
        <v>0</v>
      </c>
      <c r="X555" s="2398">
        <v>277202249</v>
      </c>
      <c r="Z555" s="2396">
        <v>12161001</v>
      </c>
      <c r="AA555" s="2397" t="s">
        <v>4230</v>
      </c>
      <c r="AB555" s="2398">
        <v>277202249</v>
      </c>
      <c r="AC555" s="2179">
        <v>0</v>
      </c>
      <c r="AD555" s="2399">
        <v>0</v>
      </c>
      <c r="AE555" s="2400">
        <v>0</v>
      </c>
      <c r="AF555" s="2398">
        <v>0</v>
      </c>
      <c r="AG555" s="2398">
        <v>277202249</v>
      </c>
      <c r="AH555" s="2401">
        <v>0</v>
      </c>
      <c r="AI555" s="2401">
        <v>0</v>
      </c>
      <c r="AJ555" s="2398">
        <v>277202249</v>
      </c>
      <c r="AZ555" s="2396">
        <v>12161001</v>
      </c>
      <c r="BA555" s="2397" t="s">
        <v>4230</v>
      </c>
      <c r="BB555" s="2398">
        <v>278865800</v>
      </c>
      <c r="BC555" s="2179">
        <v>0</v>
      </c>
      <c r="BD555" s="2399">
        <v>0</v>
      </c>
      <c r="BE555" s="2400">
        <v>0</v>
      </c>
      <c r="BF555" s="2398">
        <v>0</v>
      </c>
      <c r="BG555" s="2398">
        <v>278865800</v>
      </c>
      <c r="BH555" s="2401">
        <v>0</v>
      </c>
      <c r="BI555" s="2401">
        <v>0</v>
      </c>
      <c r="BJ555" s="2398">
        <v>278865800</v>
      </c>
      <c r="BN555" s="2390">
        <v>12211100</v>
      </c>
      <c r="BO555" s="2403" t="s">
        <v>4250</v>
      </c>
      <c r="BP555" s="2392">
        <v>0</v>
      </c>
      <c r="BQ555" s="2392">
        <v>0</v>
      </c>
      <c r="BR555" s="2393">
        <v>0</v>
      </c>
      <c r="BS555" s="2394">
        <v>0</v>
      </c>
      <c r="BT555" s="2392">
        <v>0</v>
      </c>
      <c r="BU555" s="2392">
        <v>0</v>
      </c>
      <c r="BV555" s="2395">
        <v>0</v>
      </c>
      <c r="BW555" s="2395">
        <v>0</v>
      </c>
      <c r="BX555" s="2392">
        <v>0</v>
      </c>
    </row>
    <row r="556" spans="2:76">
      <c r="B556" s="2564">
        <v>12161002</v>
      </c>
      <c r="C556" s="2565" t="s">
        <v>4231</v>
      </c>
      <c r="D556" s="2566">
        <v>-71916759</v>
      </c>
      <c r="E556" s="1080">
        <v>0</v>
      </c>
      <c r="F556" s="2567">
        <v>0</v>
      </c>
      <c r="G556" s="2568">
        <v>0</v>
      </c>
      <c r="H556" s="2566">
        <v>0</v>
      </c>
      <c r="I556" s="2566">
        <v>-71916759</v>
      </c>
      <c r="J556" s="2569">
        <v>0</v>
      </c>
      <c r="K556" s="2569">
        <v>0</v>
      </c>
      <c r="L556" s="2566">
        <v>-71916759</v>
      </c>
      <c r="N556" s="2396">
        <v>12161002</v>
      </c>
      <c r="O556" s="2397" t="s">
        <v>4231</v>
      </c>
      <c r="P556" s="2398">
        <v>-277202249</v>
      </c>
      <c r="Q556" s="2179">
        <v>0</v>
      </c>
      <c r="R556" s="2399">
        <v>0</v>
      </c>
      <c r="S556" s="2400">
        <v>0</v>
      </c>
      <c r="T556" s="2398">
        <v>0</v>
      </c>
      <c r="U556" s="2398">
        <v>-277202249</v>
      </c>
      <c r="V556" s="2401">
        <v>0</v>
      </c>
      <c r="W556" s="2401">
        <v>0</v>
      </c>
      <c r="X556" s="2398">
        <v>-277202249</v>
      </c>
      <c r="Z556" s="2396">
        <v>12161002</v>
      </c>
      <c r="AA556" s="2397" t="s">
        <v>4231</v>
      </c>
      <c r="AB556" s="2398">
        <v>-138601122</v>
      </c>
      <c r="AC556" s="2179">
        <v>0</v>
      </c>
      <c r="AD556" s="2399">
        <v>0</v>
      </c>
      <c r="AE556" s="2400">
        <v>0</v>
      </c>
      <c r="AF556" s="2398">
        <v>0</v>
      </c>
      <c r="AG556" s="2398">
        <v>-138601122</v>
      </c>
      <c r="AH556" s="2401">
        <v>0</v>
      </c>
      <c r="AI556" s="2401">
        <v>0</v>
      </c>
      <c r="AJ556" s="2398">
        <v>-138601122</v>
      </c>
      <c r="AZ556" s="2396">
        <v>12161002</v>
      </c>
      <c r="BA556" s="2397" t="s">
        <v>4231</v>
      </c>
      <c r="BB556" s="2398">
        <v>-139432902</v>
      </c>
      <c r="BC556" s="2179">
        <v>0</v>
      </c>
      <c r="BD556" s="2399">
        <v>0</v>
      </c>
      <c r="BE556" s="2400">
        <v>0</v>
      </c>
      <c r="BF556" s="2398">
        <v>0</v>
      </c>
      <c r="BG556" s="2398">
        <v>-139432902</v>
      </c>
      <c r="BH556" s="2401">
        <v>0</v>
      </c>
      <c r="BI556" s="2401">
        <v>0</v>
      </c>
      <c r="BJ556" s="2398">
        <v>-139432902</v>
      </c>
      <c r="BN556" s="2396">
        <v>12211101</v>
      </c>
      <c r="BO556" s="2397" t="s">
        <v>4250</v>
      </c>
      <c r="BP556" s="2398">
        <v>0</v>
      </c>
      <c r="BQ556" s="2179">
        <v>0</v>
      </c>
      <c r="BR556" s="2399">
        <v>0</v>
      </c>
      <c r="BS556" s="2400">
        <v>0</v>
      </c>
      <c r="BT556" s="2398">
        <v>0</v>
      </c>
      <c r="BU556" s="2398">
        <v>0</v>
      </c>
      <c r="BV556" s="2401">
        <v>0</v>
      </c>
      <c r="BW556" s="2401">
        <v>0</v>
      </c>
      <c r="BX556" s="2398">
        <v>0</v>
      </c>
    </row>
    <row r="557" spans="2:76">
      <c r="B557" s="2558">
        <v>12161100</v>
      </c>
      <c r="C557" s="2571" t="s">
        <v>4232</v>
      </c>
      <c r="D557" s="2560">
        <v>3223188222</v>
      </c>
      <c r="E557" s="2560">
        <v>21801930</v>
      </c>
      <c r="F557" s="2561">
        <v>0</v>
      </c>
      <c r="G557" s="2562">
        <v>457551</v>
      </c>
      <c r="H557" s="2560">
        <v>0</v>
      </c>
      <c r="I557" s="2560">
        <v>3245447703</v>
      </c>
      <c r="J557" s="2563">
        <v>0</v>
      </c>
      <c r="K557" s="2563">
        <v>0</v>
      </c>
      <c r="L557" s="2560">
        <v>3245447703</v>
      </c>
      <c r="N557" s="2390">
        <v>12161100</v>
      </c>
      <c r="O557" s="2403" t="s">
        <v>4232</v>
      </c>
      <c r="P557" s="2392">
        <v>3642983165</v>
      </c>
      <c r="Q557" s="2392">
        <v>25244340</v>
      </c>
      <c r="R557" s="2393">
        <v>0</v>
      </c>
      <c r="S557" s="2394">
        <v>1830216</v>
      </c>
      <c r="T557" s="2392">
        <v>0</v>
      </c>
      <c r="U557" s="2392">
        <v>3670057721</v>
      </c>
      <c r="V557" s="2395">
        <v>0</v>
      </c>
      <c r="W557" s="2395">
        <v>0</v>
      </c>
      <c r="X557" s="2392">
        <v>3670057721</v>
      </c>
      <c r="Z557" s="2390">
        <v>12161100</v>
      </c>
      <c r="AA557" s="2403" t="s">
        <v>4232</v>
      </c>
      <c r="AB557" s="2392">
        <v>4550430695</v>
      </c>
      <c r="AC557" s="2392">
        <v>4315520</v>
      </c>
      <c r="AD557" s="2393">
        <v>0</v>
      </c>
      <c r="AE557" s="2394">
        <v>4575546</v>
      </c>
      <c r="AF557" s="2392">
        <v>0</v>
      </c>
      <c r="AG557" s="2392">
        <v>4559321761</v>
      </c>
      <c r="AH557" s="2395">
        <v>0</v>
      </c>
      <c r="AI557" s="2395">
        <v>0</v>
      </c>
      <c r="AJ557" s="2392">
        <v>4559321761</v>
      </c>
      <c r="AZ557" s="2390">
        <v>12161100</v>
      </c>
      <c r="BA557" s="2403" t="s">
        <v>4232</v>
      </c>
      <c r="BB557" s="2392">
        <v>6185664003</v>
      </c>
      <c r="BC557" s="2392">
        <v>5478560</v>
      </c>
      <c r="BD557" s="2393">
        <v>0</v>
      </c>
      <c r="BE557" s="2394">
        <v>10066206</v>
      </c>
      <c r="BF557" s="2392">
        <v>0</v>
      </c>
      <c r="BG557" s="2392">
        <v>6201208769</v>
      </c>
      <c r="BH557" s="2395">
        <v>0</v>
      </c>
      <c r="BI557" s="2395">
        <v>0</v>
      </c>
      <c r="BJ557" s="2392">
        <v>6201208769</v>
      </c>
      <c r="BN557" s="2390">
        <v>12211200</v>
      </c>
      <c r="BO557" s="2403" t="s">
        <v>4251</v>
      </c>
      <c r="BP557" s="2392">
        <v>0</v>
      </c>
      <c r="BQ557" s="2392">
        <v>0</v>
      </c>
      <c r="BR557" s="2393">
        <v>0</v>
      </c>
      <c r="BS557" s="2394">
        <v>0</v>
      </c>
      <c r="BT557" s="2392">
        <v>0</v>
      </c>
      <c r="BU557" s="2392">
        <v>0</v>
      </c>
      <c r="BV557" s="2395">
        <v>0</v>
      </c>
      <c r="BW557" s="2395">
        <v>0</v>
      </c>
      <c r="BX557" s="2392">
        <v>0</v>
      </c>
    </row>
    <row r="558" spans="2:76">
      <c r="B558" s="2564">
        <v>12161101</v>
      </c>
      <c r="C558" s="2565" t="s">
        <v>4232</v>
      </c>
      <c r="D558" s="2566">
        <v>8006931904</v>
      </c>
      <c r="E558" s="1080">
        <v>21801930</v>
      </c>
      <c r="F558" s="2567">
        <v>0</v>
      </c>
      <c r="G558" s="2568">
        <v>10981316</v>
      </c>
      <c r="H558" s="2566">
        <v>0</v>
      </c>
      <c r="I558" s="2566">
        <v>8039715150</v>
      </c>
      <c r="J558" s="2569">
        <v>0</v>
      </c>
      <c r="K558" s="2569">
        <v>0</v>
      </c>
      <c r="L558" s="2566">
        <v>8039715150</v>
      </c>
      <c r="N558" s="2396">
        <v>12161101</v>
      </c>
      <c r="O558" s="2397" t="s">
        <v>4232</v>
      </c>
      <c r="P558" s="2398">
        <v>8009721666</v>
      </c>
      <c r="Q558" s="2179">
        <v>25244340</v>
      </c>
      <c r="R558" s="2399">
        <v>0</v>
      </c>
      <c r="S558" s="2400">
        <v>10981316</v>
      </c>
      <c r="T558" s="2398">
        <v>0</v>
      </c>
      <c r="U558" s="2398">
        <v>8045947322</v>
      </c>
      <c r="V558" s="2401">
        <v>0</v>
      </c>
      <c r="W558" s="2401">
        <v>0</v>
      </c>
      <c r="X558" s="2398">
        <v>8045947322</v>
      </c>
      <c r="Z558" s="2396">
        <v>12161101</v>
      </c>
      <c r="AA558" s="2397" t="s">
        <v>4232</v>
      </c>
      <c r="AB558" s="2398">
        <v>8009721666</v>
      </c>
      <c r="AC558" s="2179">
        <v>4315520</v>
      </c>
      <c r="AD558" s="2399">
        <v>0</v>
      </c>
      <c r="AE558" s="2400">
        <v>10981316</v>
      </c>
      <c r="AF558" s="2398">
        <v>0</v>
      </c>
      <c r="AG558" s="2398">
        <v>8025018502</v>
      </c>
      <c r="AH558" s="2401">
        <v>0</v>
      </c>
      <c r="AI558" s="2401">
        <v>0</v>
      </c>
      <c r="AJ558" s="2398">
        <v>8025018502</v>
      </c>
      <c r="AZ558" s="2396">
        <v>12161101</v>
      </c>
      <c r="BA558" s="2397" t="s">
        <v>4232</v>
      </c>
      <c r="BB558" s="2398">
        <v>7995127565</v>
      </c>
      <c r="BC558" s="2179">
        <v>5478560</v>
      </c>
      <c r="BD558" s="2399">
        <v>0</v>
      </c>
      <c r="BE558" s="2400">
        <v>10981316</v>
      </c>
      <c r="BF558" s="2398">
        <v>0</v>
      </c>
      <c r="BG558" s="2398">
        <v>8011587441</v>
      </c>
      <c r="BH558" s="2401">
        <v>0</v>
      </c>
      <c r="BI558" s="2401">
        <v>0</v>
      </c>
      <c r="BJ558" s="2398">
        <v>8011587441</v>
      </c>
      <c r="BN558" s="2396">
        <v>12211201</v>
      </c>
      <c r="BO558" s="2397" t="s">
        <v>4251</v>
      </c>
      <c r="BP558" s="2398">
        <v>0</v>
      </c>
      <c r="BQ558" s="2179">
        <v>0</v>
      </c>
      <c r="BR558" s="2399">
        <v>0</v>
      </c>
      <c r="BS558" s="2400">
        <v>0</v>
      </c>
      <c r="BT558" s="2398">
        <v>0</v>
      </c>
      <c r="BU558" s="2398">
        <v>0</v>
      </c>
      <c r="BV558" s="2401">
        <v>0</v>
      </c>
      <c r="BW558" s="2401">
        <v>0</v>
      </c>
      <c r="BX558" s="2398">
        <v>0</v>
      </c>
    </row>
    <row r="559" spans="2:76">
      <c r="B559" s="2564">
        <v>12161102</v>
      </c>
      <c r="C559" s="2565" t="s">
        <v>4233</v>
      </c>
      <c r="D559" s="2566">
        <v>-4783743682</v>
      </c>
      <c r="E559" s="1080">
        <v>0</v>
      </c>
      <c r="F559" s="2567">
        <v>0</v>
      </c>
      <c r="G559" s="2568">
        <v>-10523765</v>
      </c>
      <c r="H559" s="2566">
        <v>0</v>
      </c>
      <c r="I559" s="2566">
        <v>-4794267447</v>
      </c>
      <c r="J559" s="2569">
        <v>0</v>
      </c>
      <c r="K559" s="2569">
        <v>0</v>
      </c>
      <c r="L559" s="2566">
        <v>-4794267447</v>
      </c>
      <c r="N559" s="2396">
        <v>12161102</v>
      </c>
      <c r="O559" s="2397" t="s">
        <v>4233</v>
      </c>
      <c r="P559" s="2398">
        <v>-4366738501</v>
      </c>
      <c r="Q559" s="2179">
        <v>0</v>
      </c>
      <c r="R559" s="2399">
        <v>0</v>
      </c>
      <c r="S559" s="2400">
        <v>-9151100</v>
      </c>
      <c r="T559" s="2398">
        <v>0</v>
      </c>
      <c r="U559" s="2398">
        <v>-4375889601</v>
      </c>
      <c r="V559" s="2401">
        <v>0</v>
      </c>
      <c r="W559" s="2401">
        <v>0</v>
      </c>
      <c r="X559" s="2398">
        <v>-4375889601</v>
      </c>
      <c r="Z559" s="2396">
        <v>12161102</v>
      </c>
      <c r="AA559" s="2397" t="s">
        <v>4233</v>
      </c>
      <c r="AB559" s="2398">
        <v>-3459290971</v>
      </c>
      <c r="AC559" s="2179">
        <v>0</v>
      </c>
      <c r="AD559" s="2399">
        <v>0</v>
      </c>
      <c r="AE559" s="2400">
        <v>-6405770</v>
      </c>
      <c r="AF559" s="2398">
        <v>0</v>
      </c>
      <c r="AG559" s="2398">
        <v>-3465696741</v>
      </c>
      <c r="AH559" s="2401">
        <v>0</v>
      </c>
      <c r="AI559" s="2401">
        <v>0</v>
      </c>
      <c r="AJ559" s="2398">
        <v>-3465696741</v>
      </c>
      <c r="AZ559" s="2396">
        <v>12161102</v>
      </c>
      <c r="BA559" s="2397" t="s">
        <v>4233</v>
      </c>
      <c r="BB559" s="2398">
        <v>-1809463562</v>
      </c>
      <c r="BC559" s="2179">
        <v>0</v>
      </c>
      <c r="BD559" s="2399">
        <v>0</v>
      </c>
      <c r="BE559" s="2400">
        <v>-915110</v>
      </c>
      <c r="BF559" s="2398">
        <v>0</v>
      </c>
      <c r="BG559" s="2398">
        <v>-1810378672</v>
      </c>
      <c r="BH559" s="2401">
        <v>0</v>
      </c>
      <c r="BI559" s="2401">
        <v>0</v>
      </c>
      <c r="BJ559" s="2398">
        <v>-1810378672</v>
      </c>
      <c r="BN559" s="2390">
        <v>12211300</v>
      </c>
      <c r="BO559" s="2403" t="s">
        <v>4252</v>
      </c>
      <c r="BP559" s="2392">
        <v>0</v>
      </c>
      <c r="BQ559" s="2392">
        <v>0</v>
      </c>
      <c r="BR559" s="2393">
        <v>0</v>
      </c>
      <c r="BS559" s="2394">
        <v>0</v>
      </c>
      <c r="BT559" s="2392">
        <v>0</v>
      </c>
      <c r="BU559" s="2392">
        <v>0</v>
      </c>
      <c r="BV559" s="2395">
        <v>0</v>
      </c>
      <c r="BW559" s="2395">
        <v>0</v>
      </c>
      <c r="BX559" s="2392">
        <v>0</v>
      </c>
    </row>
    <row r="560" spans="2:76">
      <c r="B560" s="2558">
        <v>12161200</v>
      </c>
      <c r="C560" s="2571" t="s">
        <v>4234</v>
      </c>
      <c r="D560" s="2560">
        <v>0</v>
      </c>
      <c r="E560" s="2560">
        <v>0</v>
      </c>
      <c r="F560" s="2561">
        <v>0</v>
      </c>
      <c r="G560" s="2562">
        <v>0</v>
      </c>
      <c r="H560" s="2560">
        <v>0</v>
      </c>
      <c r="I560" s="2560">
        <v>0</v>
      </c>
      <c r="J560" s="2563">
        <v>0</v>
      </c>
      <c r="K560" s="2563">
        <v>0</v>
      </c>
      <c r="L560" s="2560">
        <v>0</v>
      </c>
      <c r="N560" s="2390">
        <v>12161200</v>
      </c>
      <c r="O560" s="2403" t="s">
        <v>4234</v>
      </c>
      <c r="P560" s="2392">
        <v>0</v>
      </c>
      <c r="Q560" s="2392">
        <v>0</v>
      </c>
      <c r="R560" s="2393">
        <v>0</v>
      </c>
      <c r="S560" s="2394">
        <v>0</v>
      </c>
      <c r="T560" s="2392">
        <v>0</v>
      </c>
      <c r="U560" s="2392">
        <v>0</v>
      </c>
      <c r="V560" s="2395">
        <v>0</v>
      </c>
      <c r="W560" s="2395">
        <v>0</v>
      </c>
      <c r="X560" s="2392">
        <v>0</v>
      </c>
      <c r="Z560" s="2390">
        <v>12161200</v>
      </c>
      <c r="AA560" s="2403" t="s">
        <v>4234</v>
      </c>
      <c r="AB560" s="2392">
        <v>0</v>
      </c>
      <c r="AC560" s="2392">
        <v>0</v>
      </c>
      <c r="AD560" s="2393">
        <v>0</v>
      </c>
      <c r="AE560" s="2394">
        <v>0</v>
      </c>
      <c r="AF560" s="2392">
        <v>0</v>
      </c>
      <c r="AG560" s="2392">
        <v>0</v>
      </c>
      <c r="AH560" s="2395">
        <v>0</v>
      </c>
      <c r="AI560" s="2395">
        <v>0</v>
      </c>
      <c r="AJ560" s="2392">
        <v>0</v>
      </c>
      <c r="AZ560" s="2390">
        <v>12161200</v>
      </c>
      <c r="BA560" s="2403" t="s">
        <v>4234</v>
      </c>
      <c r="BB560" s="2392">
        <v>0</v>
      </c>
      <c r="BC560" s="2392">
        <v>0</v>
      </c>
      <c r="BD560" s="2393">
        <v>0</v>
      </c>
      <c r="BE560" s="2394">
        <v>0</v>
      </c>
      <c r="BF560" s="2392">
        <v>0</v>
      </c>
      <c r="BG560" s="2392">
        <v>0</v>
      </c>
      <c r="BH560" s="2395">
        <v>0</v>
      </c>
      <c r="BI560" s="2395">
        <v>0</v>
      </c>
      <c r="BJ560" s="2392">
        <v>0</v>
      </c>
      <c r="BN560" s="2396">
        <v>12211301</v>
      </c>
      <c r="BO560" s="2397" t="s">
        <v>4252</v>
      </c>
      <c r="BP560" s="2398">
        <v>0</v>
      </c>
      <c r="BQ560" s="2179">
        <v>0</v>
      </c>
      <c r="BR560" s="2399">
        <v>0</v>
      </c>
      <c r="BS560" s="2400">
        <v>0</v>
      </c>
      <c r="BT560" s="2398">
        <v>0</v>
      </c>
      <c r="BU560" s="2398">
        <v>0</v>
      </c>
      <c r="BV560" s="2401">
        <v>0</v>
      </c>
      <c r="BW560" s="2401">
        <v>0</v>
      </c>
      <c r="BX560" s="2398">
        <v>0</v>
      </c>
    </row>
    <row r="561" spans="2:76">
      <c r="B561" s="2564">
        <v>12161201</v>
      </c>
      <c r="C561" s="2565" t="s">
        <v>4234</v>
      </c>
      <c r="D561" s="2566">
        <v>0</v>
      </c>
      <c r="E561" s="1080">
        <v>0</v>
      </c>
      <c r="F561" s="2567">
        <v>0</v>
      </c>
      <c r="G561" s="2568">
        <v>0</v>
      </c>
      <c r="H561" s="2566">
        <v>0</v>
      </c>
      <c r="I561" s="2566">
        <v>0</v>
      </c>
      <c r="J561" s="2569">
        <v>0</v>
      </c>
      <c r="K561" s="2569">
        <v>0</v>
      </c>
      <c r="L561" s="2566">
        <v>0</v>
      </c>
      <c r="N561" s="2396">
        <v>12161201</v>
      </c>
      <c r="O561" s="2397" t="s">
        <v>4234</v>
      </c>
      <c r="P561" s="2398">
        <v>0</v>
      </c>
      <c r="Q561" s="2179">
        <v>0</v>
      </c>
      <c r="R561" s="2399">
        <v>0</v>
      </c>
      <c r="S561" s="2400">
        <v>0</v>
      </c>
      <c r="T561" s="2398">
        <v>0</v>
      </c>
      <c r="U561" s="2398">
        <v>0</v>
      </c>
      <c r="V561" s="2401">
        <v>0</v>
      </c>
      <c r="W561" s="2401">
        <v>0</v>
      </c>
      <c r="X561" s="2398">
        <v>0</v>
      </c>
      <c r="Z561" s="2396">
        <v>12161201</v>
      </c>
      <c r="AA561" s="2397" t="s">
        <v>4234</v>
      </c>
      <c r="AB561" s="2398">
        <v>0</v>
      </c>
      <c r="AC561" s="2179">
        <v>0</v>
      </c>
      <c r="AD561" s="2399">
        <v>0</v>
      </c>
      <c r="AE561" s="2400">
        <v>0</v>
      </c>
      <c r="AF561" s="2398">
        <v>0</v>
      </c>
      <c r="AG561" s="2398">
        <v>0</v>
      </c>
      <c r="AH561" s="2401">
        <v>0</v>
      </c>
      <c r="AI561" s="2401">
        <v>0</v>
      </c>
      <c r="AJ561" s="2398">
        <v>0</v>
      </c>
      <c r="AZ561" s="2396">
        <v>12161201</v>
      </c>
      <c r="BA561" s="2397" t="s">
        <v>4234</v>
      </c>
      <c r="BB561" s="2398">
        <v>0</v>
      </c>
      <c r="BC561" s="2179">
        <v>0</v>
      </c>
      <c r="BD561" s="2399">
        <v>0</v>
      </c>
      <c r="BE561" s="2400">
        <v>0</v>
      </c>
      <c r="BF561" s="2398">
        <v>0</v>
      </c>
      <c r="BG561" s="2398">
        <v>0</v>
      </c>
      <c r="BH561" s="2401">
        <v>0</v>
      </c>
      <c r="BI561" s="2401">
        <v>0</v>
      </c>
      <c r="BJ561" s="2398">
        <v>0</v>
      </c>
      <c r="BN561" s="2390">
        <v>12211400</v>
      </c>
      <c r="BO561" s="2403" t="s">
        <v>4253</v>
      </c>
      <c r="BP561" s="2392">
        <v>999231565</v>
      </c>
      <c r="BQ561" s="2392">
        <v>0</v>
      </c>
      <c r="BR561" s="2393">
        <v>422282950</v>
      </c>
      <c r="BS561" s="2394">
        <v>0</v>
      </c>
      <c r="BT561" s="2392">
        <v>0</v>
      </c>
      <c r="BU561" s="2392">
        <v>1421514515</v>
      </c>
      <c r="BV561" s="2395">
        <v>0</v>
      </c>
      <c r="BW561" s="2395">
        <v>0</v>
      </c>
      <c r="BX561" s="2392">
        <v>1421514515</v>
      </c>
    </row>
    <row r="562" spans="2:76">
      <c r="B562" s="2564">
        <v>12161202</v>
      </c>
      <c r="C562" s="2565" t="s">
        <v>4235</v>
      </c>
      <c r="D562" s="2566">
        <v>0</v>
      </c>
      <c r="E562" s="1080">
        <v>0</v>
      </c>
      <c r="F562" s="2567">
        <v>0</v>
      </c>
      <c r="G562" s="2568">
        <v>0</v>
      </c>
      <c r="H562" s="2566">
        <v>0</v>
      </c>
      <c r="I562" s="2566">
        <v>0</v>
      </c>
      <c r="J562" s="2569">
        <v>0</v>
      </c>
      <c r="K562" s="2569">
        <v>0</v>
      </c>
      <c r="L562" s="2566">
        <v>0</v>
      </c>
      <c r="N562" s="2396">
        <v>12161202</v>
      </c>
      <c r="O562" s="2397" t="s">
        <v>4235</v>
      </c>
      <c r="P562" s="2398">
        <v>0</v>
      </c>
      <c r="Q562" s="2179">
        <v>0</v>
      </c>
      <c r="R562" s="2399">
        <v>0</v>
      </c>
      <c r="S562" s="2400">
        <v>0</v>
      </c>
      <c r="T562" s="2398">
        <v>0</v>
      </c>
      <c r="U562" s="2398">
        <v>0</v>
      </c>
      <c r="V562" s="2401">
        <v>0</v>
      </c>
      <c r="W562" s="2401">
        <v>0</v>
      </c>
      <c r="X562" s="2398">
        <v>0</v>
      </c>
      <c r="Z562" s="2396">
        <v>12161202</v>
      </c>
      <c r="AA562" s="2397" t="s">
        <v>4235</v>
      </c>
      <c r="AB562" s="2398">
        <v>0</v>
      </c>
      <c r="AC562" s="2179">
        <v>0</v>
      </c>
      <c r="AD562" s="2399">
        <v>0</v>
      </c>
      <c r="AE562" s="2400">
        <v>0</v>
      </c>
      <c r="AF562" s="2398">
        <v>0</v>
      </c>
      <c r="AG562" s="2398">
        <v>0</v>
      </c>
      <c r="AH562" s="2401">
        <v>0</v>
      </c>
      <c r="AI562" s="2401">
        <v>0</v>
      </c>
      <c r="AJ562" s="2398">
        <v>0</v>
      </c>
      <c r="AZ562" s="2396">
        <v>12161202</v>
      </c>
      <c r="BA562" s="2397" t="s">
        <v>4235</v>
      </c>
      <c r="BB562" s="2398">
        <v>0</v>
      </c>
      <c r="BC562" s="2179">
        <v>0</v>
      </c>
      <c r="BD562" s="2399">
        <v>0</v>
      </c>
      <c r="BE562" s="2400">
        <v>0</v>
      </c>
      <c r="BF562" s="2398">
        <v>0</v>
      </c>
      <c r="BG562" s="2398">
        <v>0</v>
      </c>
      <c r="BH562" s="2401">
        <v>0</v>
      </c>
      <c r="BI562" s="2401">
        <v>0</v>
      </c>
      <c r="BJ562" s="2398">
        <v>0</v>
      </c>
      <c r="BN562" s="2396">
        <v>12211401</v>
      </c>
      <c r="BO562" s="2397" t="s">
        <v>4253</v>
      </c>
      <c r="BP562" s="2398">
        <v>999231565</v>
      </c>
      <c r="BQ562" s="2179">
        <v>0</v>
      </c>
      <c r="BR562" s="2399">
        <v>422282950</v>
      </c>
      <c r="BS562" s="2400">
        <v>0</v>
      </c>
      <c r="BT562" s="2398">
        <v>0</v>
      </c>
      <c r="BU562" s="2398">
        <v>1421514515</v>
      </c>
      <c r="BV562" s="2401">
        <v>0</v>
      </c>
      <c r="BW562" s="2401">
        <v>0</v>
      </c>
      <c r="BX562" s="2398">
        <v>1421514515</v>
      </c>
    </row>
    <row r="563" spans="2:76">
      <c r="B563" s="2558">
        <v>12161300</v>
      </c>
      <c r="C563" s="2571" t="s">
        <v>4236</v>
      </c>
      <c r="D563" s="2560">
        <v>0</v>
      </c>
      <c r="E563" s="2560">
        <v>0</v>
      </c>
      <c r="F563" s="2561">
        <v>0</v>
      </c>
      <c r="G563" s="2562">
        <v>60882269</v>
      </c>
      <c r="H563" s="2560">
        <v>0</v>
      </c>
      <c r="I563" s="2560">
        <v>60882269</v>
      </c>
      <c r="J563" s="2563">
        <v>0</v>
      </c>
      <c r="K563" s="2563">
        <v>0</v>
      </c>
      <c r="L563" s="2560">
        <v>60882269</v>
      </c>
      <c r="N563" s="2390">
        <v>12161300</v>
      </c>
      <c r="O563" s="2403" t="s">
        <v>4236</v>
      </c>
      <c r="P563" s="2392">
        <v>0</v>
      </c>
      <c r="Q563" s="2392">
        <v>0</v>
      </c>
      <c r="R563" s="2393">
        <v>0</v>
      </c>
      <c r="S563" s="2394">
        <v>65183216</v>
      </c>
      <c r="T563" s="2392">
        <v>0</v>
      </c>
      <c r="U563" s="2392">
        <v>65183216</v>
      </c>
      <c r="V563" s="2395">
        <v>0</v>
      </c>
      <c r="W563" s="2395">
        <v>0</v>
      </c>
      <c r="X563" s="2392">
        <v>65183216</v>
      </c>
      <c r="Z563" s="2390">
        <v>12161300</v>
      </c>
      <c r="AA563" s="2403" t="s">
        <v>4236</v>
      </c>
      <c r="AB563" s="2392">
        <v>0</v>
      </c>
      <c r="AC563" s="2392">
        <v>0</v>
      </c>
      <c r="AD563" s="2393">
        <v>0</v>
      </c>
      <c r="AE563" s="2394">
        <v>17203779</v>
      </c>
      <c r="AF563" s="2392">
        <v>0</v>
      </c>
      <c r="AG563" s="2392">
        <v>17203779</v>
      </c>
      <c r="AH563" s="2395">
        <v>0</v>
      </c>
      <c r="AI563" s="2395">
        <v>0</v>
      </c>
      <c r="AJ563" s="2392">
        <v>17203779</v>
      </c>
      <c r="AZ563" s="2390">
        <v>12161300</v>
      </c>
      <c r="BA563" s="2403" t="s">
        <v>4236</v>
      </c>
      <c r="BB563" s="2392">
        <v>0</v>
      </c>
      <c r="BC563" s="2392">
        <v>0</v>
      </c>
      <c r="BD563" s="2393">
        <v>0</v>
      </c>
      <c r="BE563" s="2394">
        <v>34407567</v>
      </c>
      <c r="BF563" s="2392">
        <v>0</v>
      </c>
      <c r="BG563" s="2392">
        <v>34407567</v>
      </c>
      <c r="BH563" s="2395">
        <v>0</v>
      </c>
      <c r="BI563" s="2395">
        <v>0</v>
      </c>
      <c r="BJ563" s="2392">
        <v>34407567</v>
      </c>
      <c r="BN563" s="2396">
        <v>12211402</v>
      </c>
      <c r="BO563" s="2397" t="s">
        <v>4254</v>
      </c>
      <c r="BP563" s="2398">
        <v>0</v>
      </c>
      <c r="BQ563" s="2179">
        <v>0</v>
      </c>
      <c r="BR563" s="2399">
        <v>0</v>
      </c>
      <c r="BS563" s="2400">
        <v>0</v>
      </c>
      <c r="BT563" s="2398">
        <v>0</v>
      </c>
      <c r="BU563" s="2398">
        <v>0</v>
      </c>
      <c r="BV563" s="2401">
        <v>0</v>
      </c>
      <c r="BW563" s="2401">
        <v>0</v>
      </c>
      <c r="BX563" s="2398">
        <v>0</v>
      </c>
    </row>
    <row r="564" spans="2:76">
      <c r="B564" s="2564">
        <v>12161301</v>
      </c>
      <c r="C564" s="2565" t="s">
        <v>4236</v>
      </c>
      <c r="D564" s="2566">
        <v>0</v>
      </c>
      <c r="E564" s="1080">
        <v>0</v>
      </c>
      <c r="F564" s="2567">
        <v>0</v>
      </c>
      <c r="G564" s="2568">
        <v>108785256</v>
      </c>
      <c r="H564" s="2566">
        <v>0</v>
      </c>
      <c r="I564" s="2566">
        <v>108785256</v>
      </c>
      <c r="J564" s="2569">
        <v>0</v>
      </c>
      <c r="K564" s="2569">
        <v>0</v>
      </c>
      <c r="L564" s="2566">
        <v>108785256</v>
      </c>
      <c r="N564" s="2396">
        <v>12161301</v>
      </c>
      <c r="O564" s="2397" t="s">
        <v>4236</v>
      </c>
      <c r="P564" s="2398">
        <v>0</v>
      </c>
      <c r="Q564" s="2179">
        <v>0</v>
      </c>
      <c r="R564" s="2399">
        <v>0</v>
      </c>
      <c r="S564" s="2400">
        <v>108785256</v>
      </c>
      <c r="T564" s="2398">
        <v>0</v>
      </c>
      <c r="U564" s="2398">
        <v>108785256</v>
      </c>
      <c r="V564" s="2401">
        <v>0</v>
      </c>
      <c r="W564" s="2401">
        <v>0</v>
      </c>
      <c r="X564" s="2398">
        <v>108785256</v>
      </c>
      <c r="Z564" s="2396">
        <v>12161301</v>
      </c>
      <c r="AA564" s="2397" t="s">
        <v>4236</v>
      </c>
      <c r="AB564" s="2398">
        <v>0</v>
      </c>
      <c r="AC564" s="2179">
        <v>0</v>
      </c>
      <c r="AD564" s="2399">
        <v>0</v>
      </c>
      <c r="AE564" s="2400">
        <v>51611351</v>
      </c>
      <c r="AF564" s="2398">
        <v>0</v>
      </c>
      <c r="AG564" s="2398">
        <v>51611351</v>
      </c>
      <c r="AH564" s="2401">
        <v>0</v>
      </c>
      <c r="AI564" s="2401">
        <v>0</v>
      </c>
      <c r="AJ564" s="2398">
        <v>51611351</v>
      </c>
      <c r="AZ564" s="2396">
        <v>12161301</v>
      </c>
      <c r="BA564" s="2397" t="s">
        <v>4236</v>
      </c>
      <c r="BB564" s="2398">
        <v>0</v>
      </c>
      <c r="BC564" s="2179">
        <v>0</v>
      </c>
      <c r="BD564" s="2399">
        <v>0</v>
      </c>
      <c r="BE564" s="2400">
        <v>51611351</v>
      </c>
      <c r="BF564" s="2398">
        <v>0</v>
      </c>
      <c r="BG564" s="2398">
        <v>51611351</v>
      </c>
      <c r="BH564" s="2401">
        <v>0</v>
      </c>
      <c r="BI564" s="2401">
        <v>0</v>
      </c>
      <c r="BJ564" s="2398">
        <v>51611351</v>
      </c>
      <c r="BN564" s="2390">
        <v>12211500</v>
      </c>
      <c r="BO564" s="2403" t="s">
        <v>4255</v>
      </c>
      <c r="BP564" s="2392">
        <v>0</v>
      </c>
      <c r="BQ564" s="2392">
        <v>0</v>
      </c>
      <c r="BR564" s="2393">
        <v>0</v>
      </c>
      <c r="BS564" s="2394">
        <v>0</v>
      </c>
      <c r="BT564" s="2392">
        <v>0</v>
      </c>
      <c r="BU564" s="2392">
        <v>0</v>
      </c>
      <c r="BV564" s="2395">
        <v>0</v>
      </c>
      <c r="BW564" s="2395">
        <v>0</v>
      </c>
      <c r="BX564" s="2392">
        <v>0</v>
      </c>
    </row>
    <row r="565" spans="2:76">
      <c r="B565" s="2564">
        <v>12161302</v>
      </c>
      <c r="C565" s="2565" t="s">
        <v>4237</v>
      </c>
      <c r="D565" s="2566">
        <v>0</v>
      </c>
      <c r="E565" s="1080">
        <v>0</v>
      </c>
      <c r="F565" s="2567">
        <v>0</v>
      </c>
      <c r="G565" s="2568">
        <v>-47902987</v>
      </c>
      <c r="H565" s="2566">
        <v>0</v>
      </c>
      <c r="I565" s="2566">
        <v>-47902987</v>
      </c>
      <c r="J565" s="2569">
        <v>0</v>
      </c>
      <c r="K565" s="2569">
        <v>0</v>
      </c>
      <c r="L565" s="2566">
        <v>-47902987</v>
      </c>
      <c r="N565" s="2396">
        <v>12161302</v>
      </c>
      <c r="O565" s="2397" t="s">
        <v>4237</v>
      </c>
      <c r="P565" s="2398">
        <v>0</v>
      </c>
      <c r="Q565" s="2179">
        <v>0</v>
      </c>
      <c r="R565" s="2399">
        <v>0</v>
      </c>
      <c r="S565" s="2400">
        <v>-43602040</v>
      </c>
      <c r="T565" s="2398">
        <v>0</v>
      </c>
      <c r="U565" s="2398">
        <v>-43602040</v>
      </c>
      <c r="V565" s="2401">
        <v>0</v>
      </c>
      <c r="W565" s="2401">
        <v>0</v>
      </c>
      <c r="X565" s="2398">
        <v>-43602040</v>
      </c>
      <c r="Z565" s="2396">
        <v>12161302</v>
      </c>
      <c r="AA565" s="2397" t="s">
        <v>4237</v>
      </c>
      <c r="AB565" s="2398">
        <v>0</v>
      </c>
      <c r="AC565" s="2179">
        <v>0</v>
      </c>
      <c r="AD565" s="2399">
        <v>0</v>
      </c>
      <c r="AE565" s="2400">
        <v>-34407572</v>
      </c>
      <c r="AF565" s="2398">
        <v>0</v>
      </c>
      <c r="AG565" s="2398">
        <v>-34407572</v>
      </c>
      <c r="AH565" s="2401">
        <v>0</v>
      </c>
      <c r="AI565" s="2401">
        <v>0</v>
      </c>
      <c r="AJ565" s="2398">
        <v>-34407572</v>
      </c>
      <c r="AZ565" s="2396">
        <v>12161302</v>
      </c>
      <c r="BA565" s="2397" t="s">
        <v>4237</v>
      </c>
      <c r="BB565" s="2398">
        <v>0</v>
      </c>
      <c r="BC565" s="2179">
        <v>0</v>
      </c>
      <c r="BD565" s="2399">
        <v>0</v>
      </c>
      <c r="BE565" s="2400">
        <v>-17203784</v>
      </c>
      <c r="BF565" s="2398">
        <v>0</v>
      </c>
      <c r="BG565" s="2398">
        <v>-17203784</v>
      </c>
      <c r="BH565" s="2401">
        <v>0</v>
      </c>
      <c r="BI565" s="2401">
        <v>0</v>
      </c>
      <c r="BJ565" s="2398">
        <v>-17203784</v>
      </c>
      <c r="BN565" s="2396">
        <v>12211501</v>
      </c>
      <c r="BO565" s="2397" t="s">
        <v>4255</v>
      </c>
      <c r="BP565" s="2398">
        <v>0</v>
      </c>
      <c r="BQ565" s="2179">
        <v>0</v>
      </c>
      <c r="BR565" s="2399">
        <v>0</v>
      </c>
      <c r="BS565" s="2400">
        <v>0</v>
      </c>
      <c r="BT565" s="2398">
        <v>0</v>
      </c>
      <c r="BU565" s="2398">
        <v>0</v>
      </c>
      <c r="BV565" s="2401">
        <v>0</v>
      </c>
      <c r="BW565" s="2401">
        <v>0</v>
      </c>
      <c r="BX565" s="2398">
        <v>0</v>
      </c>
    </row>
    <row r="566" spans="2:76">
      <c r="B566" s="2558">
        <v>12161400</v>
      </c>
      <c r="C566" s="2571" t="s">
        <v>4238</v>
      </c>
      <c r="D566" s="2560">
        <v>257890972</v>
      </c>
      <c r="E566" s="2560">
        <v>159941080</v>
      </c>
      <c r="F566" s="2561">
        <v>120815210</v>
      </c>
      <c r="G566" s="2562">
        <v>18360124</v>
      </c>
      <c r="H566" s="2560">
        <v>2629317</v>
      </c>
      <c r="I566" s="2560">
        <v>559636703</v>
      </c>
      <c r="J566" s="2563">
        <v>0</v>
      </c>
      <c r="K566" s="2563">
        <v>0</v>
      </c>
      <c r="L566" s="2560">
        <v>559636703</v>
      </c>
      <c r="N566" s="2390">
        <v>12161400</v>
      </c>
      <c r="O566" s="2403" t="s">
        <v>4238</v>
      </c>
      <c r="P566" s="2392">
        <v>312099172</v>
      </c>
      <c r="Q566" s="2392">
        <v>154801416</v>
      </c>
      <c r="R566" s="2393">
        <v>136850105</v>
      </c>
      <c r="S566" s="2394">
        <v>23320549</v>
      </c>
      <c r="T566" s="2392">
        <v>5014906</v>
      </c>
      <c r="U566" s="2392">
        <v>632086148</v>
      </c>
      <c r="V566" s="2395">
        <v>0</v>
      </c>
      <c r="W566" s="2395">
        <v>0</v>
      </c>
      <c r="X566" s="2392">
        <v>632086148</v>
      </c>
      <c r="Z566" s="2390">
        <v>12161400</v>
      </c>
      <c r="AA566" s="2403" t="s">
        <v>4238</v>
      </c>
      <c r="AB566" s="2392">
        <v>266910243</v>
      </c>
      <c r="AC566" s="2392">
        <v>100318564</v>
      </c>
      <c r="AD566" s="2393">
        <v>102864343</v>
      </c>
      <c r="AE566" s="2394">
        <v>33241399</v>
      </c>
      <c r="AF566" s="2392">
        <v>9656946</v>
      </c>
      <c r="AG566" s="2392">
        <v>512991495</v>
      </c>
      <c r="AH566" s="2395">
        <v>0</v>
      </c>
      <c r="AI566" s="2395">
        <v>0</v>
      </c>
      <c r="AJ566" s="2392">
        <v>512991495</v>
      </c>
      <c r="AZ566" s="2390">
        <v>12161400</v>
      </c>
      <c r="BA566" s="2403" t="s">
        <v>4238</v>
      </c>
      <c r="BB566" s="2392">
        <v>362306304</v>
      </c>
      <c r="BC566" s="2392">
        <v>85027209</v>
      </c>
      <c r="BD566" s="2393">
        <v>79416088</v>
      </c>
      <c r="BE566" s="2394">
        <v>29114190</v>
      </c>
      <c r="BF566" s="2392">
        <v>21486951</v>
      </c>
      <c r="BG566" s="2392">
        <v>577350742</v>
      </c>
      <c r="BH566" s="2395">
        <v>0</v>
      </c>
      <c r="BI566" s="2395">
        <v>0</v>
      </c>
      <c r="BJ566" s="2392">
        <v>577350742</v>
      </c>
      <c r="BN566" s="2390">
        <v>12211600</v>
      </c>
      <c r="BO566" s="2403" t="s">
        <v>4256</v>
      </c>
      <c r="BP566" s="2392">
        <v>0</v>
      </c>
      <c r="BQ566" s="2392">
        <v>0</v>
      </c>
      <c r="BR566" s="2393">
        <v>0</v>
      </c>
      <c r="BS566" s="2394">
        <v>0</v>
      </c>
      <c r="BT566" s="2392">
        <v>0</v>
      </c>
      <c r="BU566" s="2392">
        <v>0</v>
      </c>
      <c r="BV566" s="2395">
        <v>0</v>
      </c>
      <c r="BW566" s="2395">
        <v>0</v>
      </c>
      <c r="BX566" s="2392">
        <v>0</v>
      </c>
    </row>
    <row r="567" spans="2:76">
      <c r="B567" s="2564">
        <v>12161401</v>
      </c>
      <c r="C567" s="2565" t="s">
        <v>4238</v>
      </c>
      <c r="D567" s="2566">
        <v>672463804</v>
      </c>
      <c r="E567" s="1080">
        <v>159941080</v>
      </c>
      <c r="F567" s="2567">
        <v>256929469</v>
      </c>
      <c r="G567" s="2568">
        <v>73246630</v>
      </c>
      <c r="H567" s="2566">
        <v>32774204</v>
      </c>
      <c r="I567" s="2566">
        <v>1195355187</v>
      </c>
      <c r="J567" s="2569">
        <v>0</v>
      </c>
      <c r="K567" s="2569">
        <v>0</v>
      </c>
      <c r="L567" s="2566">
        <v>1195355187</v>
      </c>
      <c r="N567" s="2396">
        <v>12161401</v>
      </c>
      <c r="O567" s="2397" t="s">
        <v>4238</v>
      </c>
      <c r="P567" s="2398">
        <v>672463804</v>
      </c>
      <c r="Q567" s="2179">
        <v>154801416</v>
      </c>
      <c r="R567" s="2399">
        <v>256929469</v>
      </c>
      <c r="S567" s="2400">
        <v>73246630</v>
      </c>
      <c r="T567" s="2398">
        <v>31255676</v>
      </c>
      <c r="U567" s="2398">
        <v>1188696995</v>
      </c>
      <c r="V567" s="2401">
        <v>0</v>
      </c>
      <c r="W567" s="2401">
        <v>0</v>
      </c>
      <c r="X567" s="2398">
        <v>1188696995</v>
      </c>
      <c r="Z567" s="2396">
        <v>12161401</v>
      </c>
      <c r="AA567" s="2397" t="s">
        <v>4238</v>
      </c>
      <c r="AB567" s="2398">
        <v>642667425</v>
      </c>
      <c r="AC567" s="2179">
        <v>100318564</v>
      </c>
      <c r="AD567" s="2399">
        <v>219344258</v>
      </c>
      <c r="AE567" s="2400">
        <v>73246630</v>
      </c>
      <c r="AF567" s="2398">
        <v>30093960</v>
      </c>
      <c r="AG567" s="2398">
        <v>1065670837</v>
      </c>
      <c r="AH567" s="2401">
        <v>0</v>
      </c>
      <c r="AI567" s="2401">
        <v>0</v>
      </c>
      <c r="AJ567" s="2398">
        <v>1065670837</v>
      </c>
      <c r="AZ567" s="2396">
        <v>12161401</v>
      </c>
      <c r="BA567" s="2397" t="s">
        <v>4238</v>
      </c>
      <c r="BB567" s="2398">
        <v>620262000</v>
      </c>
      <c r="BC567" s="2179">
        <v>85027209</v>
      </c>
      <c r="BD567" s="2399">
        <v>134560082</v>
      </c>
      <c r="BE567" s="2400">
        <v>49158942</v>
      </c>
      <c r="BF567" s="2398">
        <v>32024621</v>
      </c>
      <c r="BG567" s="2398">
        <v>921032854</v>
      </c>
      <c r="BH567" s="2401">
        <v>0</v>
      </c>
      <c r="BI567" s="2401">
        <v>0</v>
      </c>
      <c r="BJ567" s="2398">
        <v>921032854</v>
      </c>
      <c r="BN567" s="2396">
        <v>12211601</v>
      </c>
      <c r="BO567" s="2397" t="s">
        <v>4256</v>
      </c>
      <c r="BP567" s="2398">
        <v>0</v>
      </c>
      <c r="BQ567" s="2179">
        <v>0</v>
      </c>
      <c r="BR567" s="2399">
        <v>0</v>
      </c>
      <c r="BS567" s="2400">
        <v>0</v>
      </c>
      <c r="BT567" s="2398">
        <v>0</v>
      </c>
      <c r="BU567" s="2398">
        <v>0</v>
      </c>
      <c r="BV567" s="2401">
        <v>0</v>
      </c>
      <c r="BW567" s="2401">
        <v>0</v>
      </c>
      <c r="BX567" s="2398">
        <v>0</v>
      </c>
    </row>
    <row r="568" spans="2:76">
      <c r="B568" s="2564">
        <v>12161402</v>
      </c>
      <c r="C568" s="2565" t="s">
        <v>4239</v>
      </c>
      <c r="D568" s="2566">
        <v>-414572832</v>
      </c>
      <c r="E568" s="1080">
        <v>0</v>
      </c>
      <c r="F568" s="2567">
        <v>-136114259</v>
      </c>
      <c r="G568" s="2568">
        <v>-54886506</v>
      </c>
      <c r="H568" s="2566">
        <v>-30144887</v>
      </c>
      <c r="I568" s="2566">
        <v>-635718484</v>
      </c>
      <c r="J568" s="2569">
        <v>0</v>
      </c>
      <c r="K568" s="2569">
        <v>0</v>
      </c>
      <c r="L568" s="2566">
        <v>-635718484</v>
      </c>
      <c r="N568" s="2396">
        <v>12161402</v>
      </c>
      <c r="O568" s="2397" t="s">
        <v>4239</v>
      </c>
      <c r="P568" s="2398">
        <v>-360364632</v>
      </c>
      <c r="Q568" s="2179">
        <v>0</v>
      </c>
      <c r="R568" s="2399">
        <v>-120079364</v>
      </c>
      <c r="S568" s="2400">
        <v>-49926081</v>
      </c>
      <c r="T568" s="2398">
        <v>-26240770</v>
      </c>
      <c r="U568" s="2398">
        <v>-556610847</v>
      </c>
      <c r="V568" s="2401">
        <v>0</v>
      </c>
      <c r="W568" s="2401">
        <v>0</v>
      </c>
      <c r="X568" s="2398">
        <v>-556610847</v>
      </c>
      <c r="Z568" s="2396">
        <v>12161402</v>
      </c>
      <c r="AA568" s="2397" t="s">
        <v>4239</v>
      </c>
      <c r="AB568" s="2398">
        <v>-375757182</v>
      </c>
      <c r="AC568" s="2179">
        <v>0</v>
      </c>
      <c r="AD568" s="2399">
        <v>-116479915</v>
      </c>
      <c r="AE568" s="2400">
        <v>-40005231</v>
      </c>
      <c r="AF568" s="2398">
        <v>-20437014</v>
      </c>
      <c r="AG568" s="2398">
        <v>-552679342</v>
      </c>
      <c r="AH568" s="2401">
        <v>0</v>
      </c>
      <c r="AI568" s="2401">
        <v>0</v>
      </c>
      <c r="AJ568" s="2398">
        <v>-552679342</v>
      </c>
      <c r="AZ568" s="2396">
        <v>12161402</v>
      </c>
      <c r="BA568" s="2397" t="s">
        <v>4239</v>
      </c>
      <c r="BB568" s="2398">
        <v>-257955696</v>
      </c>
      <c r="BC568" s="2179">
        <v>0</v>
      </c>
      <c r="BD568" s="2399">
        <v>-55143994</v>
      </c>
      <c r="BE568" s="2400">
        <v>-20044752</v>
      </c>
      <c r="BF568" s="2398">
        <v>-10537670</v>
      </c>
      <c r="BG568" s="2398">
        <v>-343682112</v>
      </c>
      <c r="BH568" s="2401">
        <v>0</v>
      </c>
      <c r="BI568" s="2401">
        <v>0</v>
      </c>
      <c r="BJ568" s="2398">
        <v>-343682112</v>
      </c>
      <c r="BN568" s="2396">
        <v>12211602</v>
      </c>
      <c r="BO568" s="2397" t="s">
        <v>4257</v>
      </c>
      <c r="BP568" s="2398">
        <v>0</v>
      </c>
      <c r="BQ568" s="2179">
        <v>0</v>
      </c>
      <c r="BR568" s="2399">
        <v>0</v>
      </c>
      <c r="BS568" s="2400">
        <v>0</v>
      </c>
      <c r="BT568" s="2398">
        <v>0</v>
      </c>
      <c r="BU568" s="2398">
        <v>0</v>
      </c>
      <c r="BV568" s="2401">
        <v>0</v>
      </c>
      <c r="BW568" s="2401">
        <v>0</v>
      </c>
      <c r="BX568" s="2398">
        <v>0</v>
      </c>
    </row>
    <row r="569" spans="2:76">
      <c r="B569" s="2558">
        <v>12161500</v>
      </c>
      <c r="C569" s="2571" t="s">
        <v>4240</v>
      </c>
      <c r="D569" s="2560">
        <v>0</v>
      </c>
      <c r="E569" s="2560">
        <v>0</v>
      </c>
      <c r="F569" s="2561">
        <v>0</v>
      </c>
      <c r="G569" s="2562">
        <v>0</v>
      </c>
      <c r="H569" s="2560">
        <v>0</v>
      </c>
      <c r="I569" s="2560">
        <v>0</v>
      </c>
      <c r="J569" s="2563">
        <v>0</v>
      </c>
      <c r="K569" s="2563">
        <v>0</v>
      </c>
      <c r="L569" s="2560">
        <v>0</v>
      </c>
      <c r="N569" s="2390">
        <v>12161500</v>
      </c>
      <c r="O569" s="2403" t="s">
        <v>4240</v>
      </c>
      <c r="P569" s="2392">
        <v>0</v>
      </c>
      <c r="Q569" s="2392">
        <v>0</v>
      </c>
      <c r="R569" s="2393">
        <v>0</v>
      </c>
      <c r="S569" s="2394">
        <v>0</v>
      </c>
      <c r="T569" s="2392">
        <v>0</v>
      </c>
      <c r="U569" s="2392">
        <v>0</v>
      </c>
      <c r="V569" s="2395">
        <v>0</v>
      </c>
      <c r="W569" s="2395">
        <v>0</v>
      </c>
      <c r="X569" s="2392">
        <v>0</v>
      </c>
      <c r="Z569" s="2390">
        <v>12161500</v>
      </c>
      <c r="AA569" s="2403" t="s">
        <v>4240</v>
      </c>
      <c r="AB569" s="2392">
        <v>0</v>
      </c>
      <c r="AC569" s="2392">
        <v>0</v>
      </c>
      <c r="AD569" s="2393">
        <v>0</v>
      </c>
      <c r="AE569" s="2394">
        <v>0</v>
      </c>
      <c r="AF569" s="2392">
        <v>0</v>
      </c>
      <c r="AG569" s="2392">
        <v>0</v>
      </c>
      <c r="AH569" s="2395">
        <v>0</v>
      </c>
      <c r="AI569" s="2395">
        <v>0</v>
      </c>
      <c r="AJ569" s="2392">
        <v>0</v>
      </c>
      <c r="AZ569" s="2390">
        <v>12161500</v>
      </c>
      <c r="BA569" s="2403" t="s">
        <v>4240</v>
      </c>
      <c r="BB569" s="2392">
        <v>0</v>
      </c>
      <c r="BC569" s="2392">
        <v>0</v>
      </c>
      <c r="BD569" s="2393">
        <v>0</v>
      </c>
      <c r="BE569" s="2394">
        <v>0</v>
      </c>
      <c r="BF569" s="2392">
        <v>0</v>
      </c>
      <c r="BG569" s="2392">
        <v>0</v>
      </c>
      <c r="BH569" s="2395">
        <v>0</v>
      </c>
      <c r="BI569" s="2395">
        <v>0</v>
      </c>
      <c r="BJ569" s="2392">
        <v>0</v>
      </c>
      <c r="BN569" s="2384">
        <v>12211700</v>
      </c>
      <c r="BO569" s="2402" t="s">
        <v>4258</v>
      </c>
      <c r="BP569" s="2386">
        <v>3552084872</v>
      </c>
      <c r="BQ569" s="2386">
        <v>0</v>
      </c>
      <c r="BR569" s="2387">
        <v>0</v>
      </c>
      <c r="BS569" s="2388">
        <v>0</v>
      </c>
      <c r="BT569" s="2386">
        <v>0</v>
      </c>
      <c r="BU569" s="2386">
        <v>3552084872</v>
      </c>
      <c r="BV569" s="2389">
        <v>0</v>
      </c>
      <c r="BW569" s="2389">
        <v>0</v>
      </c>
      <c r="BX569" s="2386">
        <v>3552084872</v>
      </c>
    </row>
    <row r="570" spans="2:76">
      <c r="B570" s="2564">
        <v>12161501</v>
      </c>
      <c r="C570" s="2565" t="s">
        <v>4240</v>
      </c>
      <c r="D570" s="2566">
        <v>0</v>
      </c>
      <c r="E570" s="1080">
        <v>0</v>
      </c>
      <c r="F570" s="2567">
        <v>0</v>
      </c>
      <c r="G570" s="2568">
        <v>0</v>
      </c>
      <c r="H570" s="2566">
        <v>0</v>
      </c>
      <c r="I570" s="2566">
        <v>0</v>
      </c>
      <c r="J570" s="2569">
        <v>0</v>
      </c>
      <c r="K570" s="2569">
        <v>0</v>
      </c>
      <c r="L570" s="2566">
        <v>0</v>
      </c>
      <c r="N570" s="2396">
        <v>12161501</v>
      </c>
      <c r="O570" s="2397" t="s">
        <v>4240</v>
      </c>
      <c r="P570" s="2398">
        <v>0</v>
      </c>
      <c r="Q570" s="2179">
        <v>0</v>
      </c>
      <c r="R570" s="2399">
        <v>0</v>
      </c>
      <c r="S570" s="2400">
        <v>0</v>
      </c>
      <c r="T570" s="2398">
        <v>0</v>
      </c>
      <c r="U570" s="2398">
        <v>0</v>
      </c>
      <c r="V570" s="2401">
        <v>0</v>
      </c>
      <c r="W570" s="2401">
        <v>0</v>
      </c>
      <c r="X570" s="2398">
        <v>0</v>
      </c>
      <c r="Z570" s="2396">
        <v>12161501</v>
      </c>
      <c r="AA570" s="2397" t="s">
        <v>4240</v>
      </c>
      <c r="AB570" s="2398">
        <v>0</v>
      </c>
      <c r="AC570" s="2179">
        <v>0</v>
      </c>
      <c r="AD570" s="2399">
        <v>0</v>
      </c>
      <c r="AE570" s="2400">
        <v>0</v>
      </c>
      <c r="AF570" s="2398">
        <v>0</v>
      </c>
      <c r="AG570" s="2398">
        <v>0</v>
      </c>
      <c r="AH570" s="2401">
        <v>0</v>
      </c>
      <c r="AI570" s="2401">
        <v>0</v>
      </c>
      <c r="AJ570" s="2398">
        <v>0</v>
      </c>
      <c r="AZ570" s="2396">
        <v>12161501</v>
      </c>
      <c r="BA570" s="2397" t="s">
        <v>4240</v>
      </c>
      <c r="BB570" s="2398">
        <v>0</v>
      </c>
      <c r="BC570" s="2179">
        <v>0</v>
      </c>
      <c r="BD570" s="2399">
        <v>0</v>
      </c>
      <c r="BE570" s="2400">
        <v>0</v>
      </c>
      <c r="BF570" s="2398">
        <v>0</v>
      </c>
      <c r="BG570" s="2398">
        <v>0</v>
      </c>
      <c r="BH570" s="2401">
        <v>0</v>
      </c>
      <c r="BI570" s="2401">
        <v>0</v>
      </c>
      <c r="BJ570" s="2398">
        <v>0</v>
      </c>
      <c r="BN570" s="2396">
        <v>12211701</v>
      </c>
      <c r="BO570" s="2397" t="s">
        <v>4258</v>
      </c>
      <c r="BP570" s="2398">
        <v>3552084872</v>
      </c>
      <c r="BQ570" s="2179">
        <v>0</v>
      </c>
      <c r="BR570" s="2399">
        <v>0</v>
      </c>
      <c r="BS570" s="2400">
        <v>0</v>
      </c>
      <c r="BT570" s="2398">
        <v>0</v>
      </c>
      <c r="BU570" s="2398">
        <v>3552084872</v>
      </c>
      <c r="BV570" s="2401">
        <v>0</v>
      </c>
      <c r="BW570" s="2401">
        <v>0</v>
      </c>
      <c r="BX570" s="2398">
        <v>3552084872</v>
      </c>
    </row>
    <row r="571" spans="2:76">
      <c r="B571" s="2564">
        <v>12161502</v>
      </c>
      <c r="C571" s="2565" t="s">
        <v>4241</v>
      </c>
      <c r="D571" s="2566">
        <v>0</v>
      </c>
      <c r="E571" s="1080">
        <v>0</v>
      </c>
      <c r="F571" s="2567">
        <v>0</v>
      </c>
      <c r="G571" s="2568">
        <v>0</v>
      </c>
      <c r="H571" s="2566">
        <v>0</v>
      </c>
      <c r="I571" s="2566">
        <v>0</v>
      </c>
      <c r="J571" s="2569">
        <v>0</v>
      </c>
      <c r="K571" s="2569">
        <v>0</v>
      </c>
      <c r="L571" s="2566">
        <v>0</v>
      </c>
      <c r="N571" s="2396">
        <v>12161502</v>
      </c>
      <c r="O571" s="2397" t="s">
        <v>4241</v>
      </c>
      <c r="P571" s="2398">
        <v>0</v>
      </c>
      <c r="Q571" s="2179">
        <v>0</v>
      </c>
      <c r="R571" s="2399">
        <v>0</v>
      </c>
      <c r="S571" s="2400">
        <v>0</v>
      </c>
      <c r="T571" s="2398">
        <v>0</v>
      </c>
      <c r="U571" s="2398">
        <v>0</v>
      </c>
      <c r="V571" s="2401">
        <v>0</v>
      </c>
      <c r="W571" s="2401">
        <v>0</v>
      </c>
      <c r="X571" s="2398">
        <v>0</v>
      </c>
      <c r="Z571" s="2396">
        <v>12161502</v>
      </c>
      <c r="AA571" s="2397" t="s">
        <v>4241</v>
      </c>
      <c r="AB571" s="2398">
        <v>0</v>
      </c>
      <c r="AC571" s="2179">
        <v>0</v>
      </c>
      <c r="AD571" s="2399">
        <v>0</v>
      </c>
      <c r="AE571" s="2400">
        <v>0</v>
      </c>
      <c r="AF571" s="2398">
        <v>0</v>
      </c>
      <c r="AG571" s="2398">
        <v>0</v>
      </c>
      <c r="AH571" s="2401">
        <v>0</v>
      </c>
      <c r="AI571" s="2401">
        <v>0</v>
      </c>
      <c r="AJ571" s="2398">
        <v>0</v>
      </c>
      <c r="AZ571" s="2396">
        <v>12161502</v>
      </c>
      <c r="BA571" s="2397" t="s">
        <v>4241</v>
      </c>
      <c r="BB571" s="2398">
        <v>0</v>
      </c>
      <c r="BC571" s="2179">
        <v>0</v>
      </c>
      <c r="BD571" s="2399">
        <v>0</v>
      </c>
      <c r="BE571" s="2400">
        <v>0</v>
      </c>
      <c r="BF571" s="2398">
        <v>0</v>
      </c>
      <c r="BG571" s="2398">
        <v>0</v>
      </c>
      <c r="BH571" s="2401">
        <v>0</v>
      </c>
      <c r="BI571" s="2401">
        <v>0</v>
      </c>
      <c r="BJ571" s="2398">
        <v>0</v>
      </c>
      <c r="BN571" s="2384">
        <v>12990000</v>
      </c>
      <c r="BO571" s="2402" t="s">
        <v>4259</v>
      </c>
      <c r="BP571" s="2386">
        <v>0</v>
      </c>
      <c r="BQ571" s="2386">
        <v>0</v>
      </c>
      <c r="BR571" s="2387">
        <v>0</v>
      </c>
      <c r="BS571" s="2388">
        <v>0</v>
      </c>
      <c r="BT571" s="2386">
        <v>0</v>
      </c>
      <c r="BU571" s="2386">
        <v>0</v>
      </c>
      <c r="BV571" s="2389">
        <v>0</v>
      </c>
      <c r="BW571" s="2389">
        <v>0</v>
      </c>
      <c r="BX571" s="2386">
        <v>0</v>
      </c>
    </row>
    <row r="572" spans="2:76">
      <c r="B572" s="2558">
        <v>12161600</v>
      </c>
      <c r="C572" s="2571" t="s">
        <v>4242</v>
      </c>
      <c r="D572" s="2560">
        <v>0</v>
      </c>
      <c r="E572" s="2560">
        <v>0</v>
      </c>
      <c r="F572" s="2561">
        <v>0</v>
      </c>
      <c r="G572" s="2562">
        <v>0</v>
      </c>
      <c r="H572" s="2560">
        <v>0</v>
      </c>
      <c r="I572" s="2560">
        <v>0</v>
      </c>
      <c r="J572" s="2563">
        <v>0</v>
      </c>
      <c r="K572" s="2563">
        <v>0</v>
      </c>
      <c r="L572" s="2560">
        <v>0</v>
      </c>
      <c r="N572" s="2390">
        <v>12161600</v>
      </c>
      <c r="O572" s="2403" t="s">
        <v>4242</v>
      </c>
      <c r="P572" s="2392">
        <v>0</v>
      </c>
      <c r="Q572" s="2392">
        <v>0</v>
      </c>
      <c r="R572" s="2393">
        <v>0</v>
      </c>
      <c r="S572" s="2394">
        <v>0</v>
      </c>
      <c r="T572" s="2392">
        <v>0</v>
      </c>
      <c r="U572" s="2392">
        <v>0</v>
      </c>
      <c r="V572" s="2395">
        <v>0</v>
      </c>
      <c r="W572" s="2395">
        <v>0</v>
      </c>
      <c r="X572" s="2392">
        <v>0</v>
      </c>
      <c r="Z572" s="2390">
        <v>12161600</v>
      </c>
      <c r="AA572" s="2403" t="s">
        <v>4242</v>
      </c>
      <c r="AB572" s="2392">
        <v>0</v>
      </c>
      <c r="AC572" s="2392">
        <v>0</v>
      </c>
      <c r="AD572" s="2393">
        <v>0</v>
      </c>
      <c r="AE572" s="2394">
        <v>0</v>
      </c>
      <c r="AF572" s="2392">
        <v>0</v>
      </c>
      <c r="AG572" s="2392">
        <v>0</v>
      </c>
      <c r="AH572" s="2395">
        <v>0</v>
      </c>
      <c r="AI572" s="2395">
        <v>0</v>
      </c>
      <c r="AJ572" s="2392">
        <v>0</v>
      </c>
      <c r="AZ572" s="2390">
        <v>12161600</v>
      </c>
      <c r="BA572" s="2403" t="s">
        <v>4242</v>
      </c>
      <c r="BB572" s="2392">
        <v>0</v>
      </c>
      <c r="BC572" s="2392">
        <v>0</v>
      </c>
      <c r="BD572" s="2393">
        <v>0</v>
      </c>
      <c r="BE572" s="2394">
        <v>0</v>
      </c>
      <c r="BF572" s="2392">
        <v>0</v>
      </c>
      <c r="BG572" s="2392">
        <v>0</v>
      </c>
      <c r="BH572" s="2395">
        <v>0</v>
      </c>
      <c r="BI572" s="2395">
        <v>0</v>
      </c>
      <c r="BJ572" s="2392">
        <v>0</v>
      </c>
      <c r="BN572" s="2390">
        <v>12991000</v>
      </c>
      <c r="BO572" s="2403" t="s">
        <v>4260</v>
      </c>
      <c r="BP572" s="2392">
        <v>0</v>
      </c>
      <c r="BQ572" s="2392">
        <v>0</v>
      </c>
      <c r="BR572" s="2393">
        <v>0</v>
      </c>
      <c r="BS572" s="2394">
        <v>0</v>
      </c>
      <c r="BT572" s="2392">
        <v>0</v>
      </c>
      <c r="BU572" s="2392">
        <v>0</v>
      </c>
      <c r="BV572" s="2395">
        <v>0</v>
      </c>
      <c r="BW572" s="2395">
        <v>0</v>
      </c>
      <c r="BX572" s="2392">
        <v>0</v>
      </c>
    </row>
    <row r="573" spans="2:76">
      <c r="B573" s="2564">
        <v>12161601</v>
      </c>
      <c r="C573" s="2565" t="s">
        <v>4242</v>
      </c>
      <c r="D573" s="2566">
        <v>0</v>
      </c>
      <c r="E573" s="1080">
        <v>0</v>
      </c>
      <c r="F573" s="2567">
        <v>0</v>
      </c>
      <c r="G573" s="2568">
        <v>0</v>
      </c>
      <c r="H573" s="2566">
        <v>0</v>
      </c>
      <c r="I573" s="2566">
        <v>0</v>
      </c>
      <c r="J573" s="2569">
        <v>0</v>
      </c>
      <c r="K573" s="2569">
        <v>0</v>
      </c>
      <c r="L573" s="2566">
        <v>0</v>
      </c>
      <c r="N573" s="2396">
        <v>12161601</v>
      </c>
      <c r="O573" s="2397" t="s">
        <v>4242</v>
      </c>
      <c r="P573" s="2398">
        <v>0</v>
      </c>
      <c r="Q573" s="2179">
        <v>0</v>
      </c>
      <c r="R573" s="2399">
        <v>0</v>
      </c>
      <c r="S573" s="2400">
        <v>0</v>
      </c>
      <c r="T573" s="2398">
        <v>0</v>
      </c>
      <c r="U573" s="2398">
        <v>0</v>
      </c>
      <c r="V573" s="2401">
        <v>0</v>
      </c>
      <c r="W573" s="2401">
        <v>0</v>
      </c>
      <c r="X573" s="2398">
        <v>0</v>
      </c>
      <c r="Z573" s="2396">
        <v>12161601</v>
      </c>
      <c r="AA573" s="2397" t="s">
        <v>4242</v>
      </c>
      <c r="AB573" s="2398">
        <v>0</v>
      </c>
      <c r="AC573" s="2179">
        <v>0</v>
      </c>
      <c r="AD573" s="2399">
        <v>0</v>
      </c>
      <c r="AE573" s="2400">
        <v>0</v>
      </c>
      <c r="AF573" s="2398">
        <v>0</v>
      </c>
      <c r="AG573" s="2398">
        <v>0</v>
      </c>
      <c r="AH573" s="2401">
        <v>0</v>
      </c>
      <c r="AI573" s="2401">
        <v>0</v>
      </c>
      <c r="AJ573" s="2398">
        <v>0</v>
      </c>
      <c r="AZ573" s="2396">
        <v>12161601</v>
      </c>
      <c r="BA573" s="2397" t="s">
        <v>4242</v>
      </c>
      <c r="BB573" s="2398">
        <v>0</v>
      </c>
      <c r="BC573" s="2179">
        <v>0</v>
      </c>
      <c r="BD573" s="2399">
        <v>0</v>
      </c>
      <c r="BE573" s="2400">
        <v>0</v>
      </c>
      <c r="BF573" s="2398">
        <v>0</v>
      </c>
      <c r="BG573" s="2398">
        <v>0</v>
      </c>
      <c r="BH573" s="2401">
        <v>0</v>
      </c>
      <c r="BI573" s="2401">
        <v>0</v>
      </c>
      <c r="BJ573" s="2398">
        <v>0</v>
      </c>
      <c r="BN573" s="2396">
        <v>12991001</v>
      </c>
      <c r="BO573" s="2397" t="s">
        <v>4261</v>
      </c>
      <c r="BP573" s="2398">
        <v>0</v>
      </c>
      <c r="BQ573" s="2179">
        <v>0</v>
      </c>
      <c r="BR573" s="2399">
        <v>0</v>
      </c>
      <c r="BS573" s="2400">
        <v>0</v>
      </c>
      <c r="BT573" s="2398">
        <v>0</v>
      </c>
      <c r="BU573" s="2398">
        <v>0</v>
      </c>
      <c r="BV573" s="2401">
        <v>0</v>
      </c>
      <c r="BW573" s="2401">
        <v>0</v>
      </c>
      <c r="BX573" s="2398">
        <v>0</v>
      </c>
    </row>
    <row r="574" spans="2:76">
      <c r="B574" s="2564">
        <v>12161602</v>
      </c>
      <c r="C574" s="2565" t="s">
        <v>4243</v>
      </c>
      <c r="D574" s="2566">
        <v>0</v>
      </c>
      <c r="E574" s="1080">
        <v>0</v>
      </c>
      <c r="F574" s="2567">
        <v>0</v>
      </c>
      <c r="G574" s="2568">
        <v>0</v>
      </c>
      <c r="H574" s="2566">
        <v>0</v>
      </c>
      <c r="I574" s="2566">
        <v>0</v>
      </c>
      <c r="J574" s="2569">
        <v>0</v>
      </c>
      <c r="K574" s="2569">
        <v>0</v>
      </c>
      <c r="L574" s="2566">
        <v>0</v>
      </c>
      <c r="N574" s="2396">
        <v>12161602</v>
      </c>
      <c r="O574" s="2397" t="s">
        <v>4243</v>
      </c>
      <c r="P574" s="2398">
        <v>0</v>
      </c>
      <c r="Q574" s="2179">
        <v>0</v>
      </c>
      <c r="R574" s="2399">
        <v>0</v>
      </c>
      <c r="S574" s="2400">
        <v>0</v>
      </c>
      <c r="T574" s="2398">
        <v>0</v>
      </c>
      <c r="U574" s="2398">
        <v>0</v>
      </c>
      <c r="V574" s="2401">
        <v>0</v>
      </c>
      <c r="W574" s="2401">
        <v>0</v>
      </c>
      <c r="X574" s="2398">
        <v>0</v>
      </c>
      <c r="Z574" s="2396">
        <v>12161602</v>
      </c>
      <c r="AA574" s="2397" t="s">
        <v>4243</v>
      </c>
      <c r="AB574" s="2398">
        <v>0</v>
      </c>
      <c r="AC574" s="2179">
        <v>0</v>
      </c>
      <c r="AD574" s="2399">
        <v>0</v>
      </c>
      <c r="AE574" s="2400">
        <v>0</v>
      </c>
      <c r="AF574" s="2398">
        <v>0</v>
      </c>
      <c r="AG574" s="2398">
        <v>0</v>
      </c>
      <c r="AH574" s="2401">
        <v>0</v>
      </c>
      <c r="AI574" s="2401">
        <v>0</v>
      </c>
      <c r="AJ574" s="2398">
        <v>0</v>
      </c>
      <c r="AZ574" s="2396">
        <v>12161602</v>
      </c>
      <c r="BA574" s="2397" t="s">
        <v>4243</v>
      </c>
      <c r="BB574" s="2398">
        <v>0</v>
      </c>
      <c r="BC574" s="2179">
        <v>0</v>
      </c>
      <c r="BD574" s="2399">
        <v>0</v>
      </c>
      <c r="BE574" s="2400">
        <v>0</v>
      </c>
      <c r="BF574" s="2398">
        <v>0</v>
      </c>
      <c r="BG574" s="2398">
        <v>0</v>
      </c>
      <c r="BH574" s="2401">
        <v>0</v>
      </c>
      <c r="BI574" s="2401">
        <v>0</v>
      </c>
      <c r="BJ574" s="2398">
        <v>0</v>
      </c>
      <c r="BN574" s="2390">
        <v>12991100</v>
      </c>
      <c r="BO574" s="2403" t="s">
        <v>4262</v>
      </c>
      <c r="BP574" s="2392">
        <v>0</v>
      </c>
      <c r="BQ574" s="2392">
        <v>0</v>
      </c>
      <c r="BR574" s="2393">
        <v>0</v>
      </c>
      <c r="BS574" s="2394">
        <v>0</v>
      </c>
      <c r="BT574" s="2392">
        <v>0</v>
      </c>
      <c r="BU574" s="2392">
        <v>0</v>
      </c>
      <c r="BV574" s="2395">
        <v>0</v>
      </c>
      <c r="BW574" s="2395">
        <v>0</v>
      </c>
      <c r="BX574" s="2392">
        <v>0</v>
      </c>
    </row>
    <row r="575" spans="2:76">
      <c r="B575" s="2558">
        <v>12161900</v>
      </c>
      <c r="C575" s="2571" t="s">
        <v>4244</v>
      </c>
      <c r="D575" s="2560">
        <v>0</v>
      </c>
      <c r="E575" s="2560">
        <v>0</v>
      </c>
      <c r="F575" s="2561">
        <v>2006054</v>
      </c>
      <c r="G575" s="2562">
        <v>0</v>
      </c>
      <c r="H575" s="2560">
        <v>0</v>
      </c>
      <c r="I575" s="2560">
        <v>2006054</v>
      </c>
      <c r="J575" s="2563">
        <v>0</v>
      </c>
      <c r="K575" s="2563">
        <v>0</v>
      </c>
      <c r="L575" s="2560">
        <v>2006054</v>
      </c>
      <c r="N575" s="2390">
        <v>12161900</v>
      </c>
      <c r="O575" s="2403" t="s">
        <v>4244</v>
      </c>
      <c r="P575" s="2392">
        <v>0</v>
      </c>
      <c r="Q575" s="2392">
        <v>0</v>
      </c>
      <c r="R575" s="2393">
        <v>2360066</v>
      </c>
      <c r="S575" s="2394">
        <v>0</v>
      </c>
      <c r="T575" s="2392">
        <v>0</v>
      </c>
      <c r="U575" s="2392">
        <v>2360066</v>
      </c>
      <c r="V575" s="2395">
        <v>0</v>
      </c>
      <c r="W575" s="2395">
        <v>0</v>
      </c>
      <c r="X575" s="2392">
        <v>2360066</v>
      </c>
      <c r="Z575" s="2390">
        <v>12161900</v>
      </c>
      <c r="AA575" s="2403" t="s">
        <v>4244</v>
      </c>
      <c r="AB575" s="2392">
        <v>0</v>
      </c>
      <c r="AC575" s="2392">
        <v>0</v>
      </c>
      <c r="AD575" s="2393">
        <v>3068090</v>
      </c>
      <c r="AE575" s="2394">
        <v>0</v>
      </c>
      <c r="AF575" s="2392">
        <v>0</v>
      </c>
      <c r="AG575" s="2392">
        <v>3068090</v>
      </c>
      <c r="AH575" s="2395">
        <v>0</v>
      </c>
      <c r="AI575" s="2395">
        <v>0</v>
      </c>
      <c r="AJ575" s="2392">
        <v>3068090</v>
      </c>
      <c r="AZ575" s="2390">
        <v>12161900</v>
      </c>
      <c r="BA575" s="2403" t="s">
        <v>4244</v>
      </c>
      <c r="BB575" s="2392">
        <v>0</v>
      </c>
      <c r="BC575" s="2392">
        <v>0</v>
      </c>
      <c r="BD575" s="2393">
        <v>0</v>
      </c>
      <c r="BE575" s="2394">
        <v>0</v>
      </c>
      <c r="BF575" s="2392">
        <v>0</v>
      </c>
      <c r="BG575" s="2392">
        <v>0</v>
      </c>
      <c r="BH575" s="2395">
        <v>0</v>
      </c>
      <c r="BI575" s="2395">
        <v>0</v>
      </c>
      <c r="BJ575" s="2392">
        <v>0</v>
      </c>
      <c r="BN575" s="2396">
        <v>12991101</v>
      </c>
      <c r="BO575" s="2397" t="s">
        <v>4263</v>
      </c>
      <c r="BP575" s="2398">
        <v>0</v>
      </c>
      <c r="BQ575" s="2179">
        <v>0</v>
      </c>
      <c r="BR575" s="2399">
        <v>0</v>
      </c>
      <c r="BS575" s="2400">
        <v>0</v>
      </c>
      <c r="BT575" s="2398">
        <v>0</v>
      </c>
      <c r="BU575" s="2398">
        <v>0</v>
      </c>
      <c r="BV575" s="2401">
        <v>0</v>
      </c>
      <c r="BW575" s="2401">
        <v>0</v>
      </c>
      <c r="BX575" s="2398">
        <v>0</v>
      </c>
    </row>
    <row r="576" spans="2:76">
      <c r="B576" s="2564">
        <v>12161901</v>
      </c>
      <c r="C576" s="2565" t="s">
        <v>4244</v>
      </c>
      <c r="D576" s="2566">
        <v>0</v>
      </c>
      <c r="E576" s="1080">
        <v>0</v>
      </c>
      <c r="F576" s="2567">
        <v>4248130</v>
      </c>
      <c r="G576" s="2568">
        <v>0</v>
      </c>
      <c r="H576" s="2566">
        <v>0</v>
      </c>
      <c r="I576" s="2566">
        <v>4248130</v>
      </c>
      <c r="J576" s="2569">
        <v>0</v>
      </c>
      <c r="K576" s="2569">
        <v>0</v>
      </c>
      <c r="L576" s="2566">
        <v>4248130</v>
      </c>
      <c r="N576" s="2396">
        <v>12161901</v>
      </c>
      <c r="O576" s="2397" t="s">
        <v>4244</v>
      </c>
      <c r="P576" s="2398">
        <v>0</v>
      </c>
      <c r="Q576" s="2179">
        <v>0</v>
      </c>
      <c r="R576" s="2399">
        <v>4248130</v>
      </c>
      <c r="S576" s="2400">
        <v>0</v>
      </c>
      <c r="T576" s="2398">
        <v>0</v>
      </c>
      <c r="U576" s="2398">
        <v>4248130</v>
      </c>
      <c r="V576" s="2401">
        <v>0</v>
      </c>
      <c r="W576" s="2401">
        <v>0</v>
      </c>
      <c r="X576" s="2398">
        <v>4248130</v>
      </c>
      <c r="Z576" s="2396">
        <v>12161901</v>
      </c>
      <c r="AA576" s="2397" t="s">
        <v>4244</v>
      </c>
      <c r="AB576" s="2398">
        <v>0</v>
      </c>
      <c r="AC576" s="2179">
        <v>0</v>
      </c>
      <c r="AD576" s="2399">
        <v>4248130</v>
      </c>
      <c r="AE576" s="2400">
        <v>0</v>
      </c>
      <c r="AF576" s="2398">
        <v>0</v>
      </c>
      <c r="AG576" s="2398">
        <v>4248130</v>
      </c>
      <c r="AH576" s="2401">
        <v>0</v>
      </c>
      <c r="AI576" s="2401">
        <v>0</v>
      </c>
      <c r="AJ576" s="2398">
        <v>4248130</v>
      </c>
      <c r="AZ576" s="2396">
        <v>12161901</v>
      </c>
      <c r="BA576" s="2397" t="s">
        <v>4244</v>
      </c>
      <c r="BB576" s="2398">
        <v>0</v>
      </c>
      <c r="BC576" s="2179">
        <v>0</v>
      </c>
      <c r="BD576" s="2399">
        <v>0</v>
      </c>
      <c r="BE576" s="2400">
        <v>0</v>
      </c>
      <c r="BF576" s="2398">
        <v>0</v>
      </c>
      <c r="BG576" s="2398">
        <v>0</v>
      </c>
      <c r="BH576" s="2401">
        <v>0</v>
      </c>
      <c r="BI576" s="2401">
        <v>0</v>
      </c>
      <c r="BJ576" s="2398">
        <v>0</v>
      </c>
      <c r="BN576" s="2396">
        <v>12991102</v>
      </c>
      <c r="BO576" s="2397" t="s">
        <v>4264</v>
      </c>
      <c r="BP576" s="2398">
        <v>0</v>
      </c>
      <c r="BQ576" s="2179">
        <v>0</v>
      </c>
      <c r="BR576" s="2399">
        <v>0</v>
      </c>
      <c r="BS576" s="2400">
        <v>0</v>
      </c>
      <c r="BT576" s="2398">
        <v>0</v>
      </c>
      <c r="BU576" s="2398">
        <v>0</v>
      </c>
      <c r="BV576" s="2401">
        <v>0</v>
      </c>
      <c r="BW576" s="2401">
        <v>0</v>
      </c>
      <c r="BX576" s="2398">
        <v>0</v>
      </c>
    </row>
    <row r="577" spans="2:76">
      <c r="B577" s="2564">
        <v>12161902</v>
      </c>
      <c r="C577" s="2565" t="s">
        <v>4245</v>
      </c>
      <c r="D577" s="2566">
        <v>0</v>
      </c>
      <c r="E577" s="1080">
        <v>0</v>
      </c>
      <c r="F577" s="2567">
        <v>-2242076</v>
      </c>
      <c r="G577" s="2568">
        <v>0</v>
      </c>
      <c r="H577" s="2566">
        <v>0</v>
      </c>
      <c r="I577" s="2566">
        <v>-2242076</v>
      </c>
      <c r="J577" s="2569">
        <v>0</v>
      </c>
      <c r="K577" s="2569">
        <v>0</v>
      </c>
      <c r="L577" s="2566">
        <v>-2242076</v>
      </c>
      <c r="N577" s="2396">
        <v>12161902</v>
      </c>
      <c r="O577" s="2397" t="s">
        <v>4245</v>
      </c>
      <c r="P577" s="2398">
        <v>0</v>
      </c>
      <c r="Q577" s="2179">
        <v>0</v>
      </c>
      <c r="R577" s="2399">
        <v>-1888064</v>
      </c>
      <c r="S577" s="2400">
        <v>0</v>
      </c>
      <c r="T577" s="2398">
        <v>0</v>
      </c>
      <c r="U577" s="2398">
        <v>-1888064</v>
      </c>
      <c r="V577" s="2401">
        <v>0</v>
      </c>
      <c r="W577" s="2401">
        <v>0</v>
      </c>
      <c r="X577" s="2398">
        <v>-1888064</v>
      </c>
      <c r="Z577" s="2396">
        <v>12161902</v>
      </c>
      <c r="AA577" s="2397" t="s">
        <v>4245</v>
      </c>
      <c r="AB577" s="2398">
        <v>0</v>
      </c>
      <c r="AC577" s="2179">
        <v>0</v>
      </c>
      <c r="AD577" s="2399">
        <v>-1180040</v>
      </c>
      <c r="AE577" s="2400">
        <v>0</v>
      </c>
      <c r="AF577" s="2398">
        <v>0</v>
      </c>
      <c r="AG577" s="2398">
        <v>-1180040</v>
      </c>
      <c r="AH577" s="2401">
        <v>0</v>
      </c>
      <c r="AI577" s="2401">
        <v>0</v>
      </c>
      <c r="AJ577" s="2398">
        <v>-1180040</v>
      </c>
      <c r="AZ577" s="2396">
        <v>12161902</v>
      </c>
      <c r="BA577" s="2397" t="s">
        <v>4245</v>
      </c>
      <c r="BB577" s="2398">
        <v>0</v>
      </c>
      <c r="BC577" s="2179">
        <v>0</v>
      </c>
      <c r="BD577" s="2399">
        <v>0</v>
      </c>
      <c r="BE577" s="2400">
        <v>0</v>
      </c>
      <c r="BF577" s="2398">
        <v>0</v>
      </c>
      <c r="BG577" s="2398">
        <v>0</v>
      </c>
      <c r="BH577" s="2401">
        <v>0</v>
      </c>
      <c r="BI577" s="2401">
        <v>0</v>
      </c>
      <c r="BJ577" s="2398">
        <v>0</v>
      </c>
      <c r="BN577" s="2396">
        <v>12991103</v>
      </c>
      <c r="BO577" s="2397" t="s">
        <v>4265</v>
      </c>
      <c r="BP577" s="2398">
        <v>0</v>
      </c>
      <c r="BQ577" s="2179">
        <v>0</v>
      </c>
      <c r="BR577" s="2399">
        <v>0</v>
      </c>
      <c r="BS577" s="2400">
        <v>0</v>
      </c>
      <c r="BT577" s="2398">
        <v>0</v>
      </c>
      <c r="BU577" s="2398">
        <v>0</v>
      </c>
      <c r="BV577" s="2401">
        <v>0</v>
      </c>
      <c r="BW577" s="2401">
        <v>0</v>
      </c>
      <c r="BX577" s="2398">
        <v>0</v>
      </c>
    </row>
    <row r="578" spans="2:76">
      <c r="B578" s="2552">
        <v>12200000</v>
      </c>
      <c r="C578" s="2570" t="s">
        <v>3922</v>
      </c>
      <c r="D578" s="2554">
        <v>5103503087</v>
      </c>
      <c r="E578" s="2554">
        <v>0</v>
      </c>
      <c r="F578" s="2555">
        <v>93798158</v>
      </c>
      <c r="G578" s="2556">
        <v>0</v>
      </c>
      <c r="H578" s="2554">
        <v>0</v>
      </c>
      <c r="I578" s="2554">
        <v>5197301245</v>
      </c>
      <c r="J578" s="2557">
        <v>0</v>
      </c>
      <c r="K578" s="2557">
        <v>0</v>
      </c>
      <c r="L578" s="2554">
        <v>7496687854</v>
      </c>
      <c r="N578" s="2384">
        <v>12200000</v>
      </c>
      <c r="O578" s="2402" t="s">
        <v>3922</v>
      </c>
      <c r="P578" s="2386">
        <v>6574404739</v>
      </c>
      <c r="Q578" s="2386">
        <v>0</v>
      </c>
      <c r="R578" s="2387">
        <v>93798158</v>
      </c>
      <c r="S578" s="2388">
        <v>0</v>
      </c>
      <c r="T578" s="2386">
        <v>0</v>
      </c>
      <c r="U578" s="2386">
        <v>6668202897</v>
      </c>
      <c r="V578" s="2389">
        <v>0</v>
      </c>
      <c r="W578" s="2389">
        <v>0</v>
      </c>
      <c r="X578" s="2386">
        <v>9285716070</v>
      </c>
      <c r="Z578" s="2384">
        <v>12200000</v>
      </c>
      <c r="AA578" s="2402" t="s">
        <v>3922</v>
      </c>
      <c r="AB578" s="2386">
        <v>16109099258</v>
      </c>
      <c r="AC578" s="2386">
        <v>0</v>
      </c>
      <c r="AD578" s="2387">
        <v>93798158</v>
      </c>
      <c r="AE578" s="2388">
        <v>0</v>
      </c>
      <c r="AF578" s="2386">
        <v>0</v>
      </c>
      <c r="AG578" s="2386">
        <v>16202897416</v>
      </c>
      <c r="AH578" s="2389">
        <v>0</v>
      </c>
      <c r="AI578" s="2389">
        <v>0</v>
      </c>
      <c r="AJ578" s="2386">
        <v>18002644617</v>
      </c>
      <c r="AZ578" s="2384">
        <v>12200000</v>
      </c>
      <c r="BA578" s="2402" t="s">
        <v>3922</v>
      </c>
      <c r="BB578" s="2386">
        <v>8414649938</v>
      </c>
      <c r="BC578" s="2386">
        <v>0</v>
      </c>
      <c r="BD578" s="2387">
        <v>385780660</v>
      </c>
      <c r="BE578" s="2388">
        <v>69713103</v>
      </c>
      <c r="BF578" s="2386">
        <v>0</v>
      </c>
      <c r="BG578" s="2386">
        <v>8870143701</v>
      </c>
      <c r="BH578" s="2389">
        <v>0</v>
      </c>
      <c r="BI578" s="2389">
        <v>0</v>
      </c>
      <c r="BJ578" s="2386">
        <v>10994357574</v>
      </c>
      <c r="BN578" s="2396">
        <v>12991104</v>
      </c>
      <c r="BO578" s="2397" t="s">
        <v>4266</v>
      </c>
      <c r="BP578" s="2398">
        <v>0</v>
      </c>
      <c r="BQ578" s="2179">
        <v>0</v>
      </c>
      <c r="BR578" s="2399">
        <v>0</v>
      </c>
      <c r="BS578" s="2400">
        <v>0</v>
      </c>
      <c r="BT578" s="2398">
        <v>0</v>
      </c>
      <c r="BU578" s="2398">
        <v>0</v>
      </c>
      <c r="BV578" s="2401">
        <v>0</v>
      </c>
      <c r="BW578" s="2401">
        <v>0</v>
      </c>
      <c r="BX578" s="2398">
        <v>0</v>
      </c>
    </row>
    <row r="579" spans="2:76">
      <c r="B579" s="2558">
        <v>12201000</v>
      </c>
      <c r="C579" s="2571" t="s">
        <v>3922</v>
      </c>
      <c r="D579" s="2560">
        <v>5103503087</v>
      </c>
      <c r="E579" s="2560">
        <v>0</v>
      </c>
      <c r="F579" s="2561">
        <v>93798158</v>
      </c>
      <c r="G579" s="2562">
        <v>0</v>
      </c>
      <c r="H579" s="2560">
        <v>0</v>
      </c>
      <c r="I579" s="2560">
        <v>5197301245</v>
      </c>
      <c r="J579" s="2563">
        <v>0</v>
      </c>
      <c r="K579" s="2563">
        <v>0</v>
      </c>
      <c r="L579" s="2560">
        <v>7496687854</v>
      </c>
      <c r="N579" s="2390">
        <v>12201000</v>
      </c>
      <c r="O579" s="2403" t="s">
        <v>3922</v>
      </c>
      <c r="P579" s="2392">
        <v>6574404739</v>
      </c>
      <c r="Q579" s="2392">
        <v>0</v>
      </c>
      <c r="R579" s="2393">
        <v>93798158</v>
      </c>
      <c r="S579" s="2394">
        <v>0</v>
      </c>
      <c r="T579" s="2392">
        <v>0</v>
      </c>
      <c r="U579" s="2392">
        <v>6668202897</v>
      </c>
      <c r="V579" s="2395">
        <v>0</v>
      </c>
      <c r="W579" s="2395">
        <v>0</v>
      </c>
      <c r="X579" s="2392">
        <v>9285716070</v>
      </c>
      <c r="Z579" s="2390">
        <v>12201000</v>
      </c>
      <c r="AA579" s="2403" t="s">
        <v>3922</v>
      </c>
      <c r="AB579" s="2392">
        <v>16109099258</v>
      </c>
      <c r="AC579" s="2392">
        <v>0</v>
      </c>
      <c r="AD579" s="2393">
        <v>93798158</v>
      </c>
      <c r="AE579" s="2394">
        <v>0</v>
      </c>
      <c r="AF579" s="2392">
        <v>0</v>
      </c>
      <c r="AG579" s="2392">
        <v>16202897416</v>
      </c>
      <c r="AH579" s="2395">
        <v>0</v>
      </c>
      <c r="AI579" s="2395">
        <v>0</v>
      </c>
      <c r="AJ579" s="2392">
        <v>18002644617</v>
      </c>
      <c r="AZ579" s="2390">
        <v>12201000</v>
      </c>
      <c r="BA579" s="2403" t="s">
        <v>3922</v>
      </c>
      <c r="BB579" s="2392">
        <v>8414649938</v>
      </c>
      <c r="BC579" s="2392">
        <v>0</v>
      </c>
      <c r="BD579" s="2393">
        <v>385780660</v>
      </c>
      <c r="BE579" s="2394">
        <v>69713103</v>
      </c>
      <c r="BF579" s="2392">
        <v>0</v>
      </c>
      <c r="BG579" s="2392">
        <v>8870143701</v>
      </c>
      <c r="BH579" s="2395">
        <v>0</v>
      </c>
      <c r="BI579" s="2395">
        <v>0</v>
      </c>
      <c r="BJ579" s="2392">
        <v>10994357574</v>
      </c>
      <c r="BN579" s="2372">
        <v>20000000</v>
      </c>
      <c r="BO579" s="2373" t="s">
        <v>102</v>
      </c>
      <c r="BP579" s="2374">
        <v>1510764311784</v>
      </c>
      <c r="BQ579" s="2374">
        <v>18908502556</v>
      </c>
      <c r="BR579" s="2375">
        <v>14583173644</v>
      </c>
      <c r="BS579" s="2376">
        <v>7200917289</v>
      </c>
      <c r="BT579" s="2374">
        <v>2732203035</v>
      </c>
      <c r="BU579" s="2374">
        <v>1554189108308</v>
      </c>
      <c r="BV579" s="2377">
        <v>0</v>
      </c>
      <c r="BW579" s="2377">
        <v>0</v>
      </c>
      <c r="BX579" s="2374">
        <v>1546750758125</v>
      </c>
    </row>
    <row r="580" spans="2:76">
      <c r="B580" s="2564">
        <v>12201001</v>
      </c>
      <c r="C580" s="2565" t="s">
        <v>3922</v>
      </c>
      <c r="D580" s="2566">
        <v>5103503087</v>
      </c>
      <c r="E580" s="1080">
        <v>0</v>
      </c>
      <c r="F580" s="2567">
        <v>93798158</v>
      </c>
      <c r="G580" s="2568">
        <v>0</v>
      </c>
      <c r="H580" s="2566">
        <v>0</v>
      </c>
      <c r="I580" s="2566">
        <v>5197301245</v>
      </c>
      <c r="J580" s="2569">
        <v>5761535762</v>
      </c>
      <c r="K580" s="2569">
        <v>3462149153</v>
      </c>
      <c r="L580" s="2566">
        <v>7496687854</v>
      </c>
      <c r="N580" s="2396">
        <v>12201001</v>
      </c>
      <c r="O580" s="2397" t="s">
        <v>3922</v>
      </c>
      <c r="P580" s="2398">
        <v>6574404739</v>
      </c>
      <c r="Q580" s="2179">
        <v>0</v>
      </c>
      <c r="R580" s="2399">
        <v>93798158</v>
      </c>
      <c r="S580" s="2400">
        <v>0</v>
      </c>
      <c r="T580" s="2398">
        <v>0</v>
      </c>
      <c r="U580" s="2398">
        <v>6668202897</v>
      </c>
      <c r="V580" s="2401">
        <v>6100837860</v>
      </c>
      <c r="W580" s="2401">
        <v>3483324687</v>
      </c>
      <c r="X580" s="2398">
        <v>9285716070</v>
      </c>
      <c r="Z580" s="2396">
        <v>12201001</v>
      </c>
      <c r="AA580" s="2397" t="s">
        <v>3922</v>
      </c>
      <c r="AB580" s="2398">
        <v>16109099258</v>
      </c>
      <c r="AC580" s="2179">
        <v>0</v>
      </c>
      <c r="AD580" s="2399">
        <v>93798158</v>
      </c>
      <c r="AE580" s="2400">
        <v>0</v>
      </c>
      <c r="AF580" s="2398">
        <v>0</v>
      </c>
      <c r="AG580" s="2398">
        <v>16202897416</v>
      </c>
      <c r="AH580" s="2401">
        <v>6368694573</v>
      </c>
      <c r="AI580" s="2401">
        <v>4568947372</v>
      </c>
      <c r="AJ580" s="2398">
        <v>18002644617</v>
      </c>
      <c r="AZ580" s="2396">
        <v>12201001</v>
      </c>
      <c r="BA580" s="2397" t="s">
        <v>3922</v>
      </c>
      <c r="BB580" s="2398">
        <v>8414649938</v>
      </c>
      <c r="BC580" s="2179">
        <v>0</v>
      </c>
      <c r="BD580" s="2399">
        <v>385780660</v>
      </c>
      <c r="BE580" s="2400">
        <v>69713103</v>
      </c>
      <c r="BF580" s="2398">
        <v>0</v>
      </c>
      <c r="BG580" s="2398">
        <v>8870143701</v>
      </c>
      <c r="BH580" s="2401">
        <v>6203132197</v>
      </c>
      <c r="BI580" s="2401">
        <v>4078918324</v>
      </c>
      <c r="BJ580" s="2398">
        <v>10994357574</v>
      </c>
      <c r="BN580" s="2378">
        <v>21000000</v>
      </c>
      <c r="BO580" s="2379" t="s">
        <v>4267</v>
      </c>
      <c r="BP580" s="2380">
        <v>1490044185836</v>
      </c>
      <c r="BQ580" s="2380">
        <v>17250434591</v>
      </c>
      <c r="BR580" s="2381">
        <v>11490243103</v>
      </c>
      <c r="BS580" s="2382">
        <v>5722800230</v>
      </c>
      <c r="BT580" s="2380">
        <v>2679540268</v>
      </c>
      <c r="BU580" s="2380">
        <v>1527187204028</v>
      </c>
      <c r="BV580" s="2383">
        <v>0</v>
      </c>
      <c r="BW580" s="2383">
        <v>0</v>
      </c>
      <c r="BX580" s="2380">
        <v>1519748853845</v>
      </c>
    </row>
    <row r="581" spans="2:76">
      <c r="B581" s="2552">
        <v>12210000</v>
      </c>
      <c r="C581" s="2570" t="s">
        <v>4246</v>
      </c>
      <c r="D581" s="2554">
        <v>30426664</v>
      </c>
      <c r="E581" s="2554">
        <v>0</v>
      </c>
      <c r="F581" s="2555">
        <v>369497580</v>
      </c>
      <c r="G581" s="2556">
        <v>0</v>
      </c>
      <c r="H581" s="2554">
        <v>0</v>
      </c>
      <c r="I581" s="2554">
        <v>399924244</v>
      </c>
      <c r="J581" s="2557">
        <v>0</v>
      </c>
      <c r="K581" s="2557">
        <v>0</v>
      </c>
      <c r="L581" s="2554">
        <v>399924244</v>
      </c>
      <c r="N581" s="2384">
        <v>12210000</v>
      </c>
      <c r="O581" s="2402" t="s">
        <v>4246</v>
      </c>
      <c r="P581" s="2386">
        <v>30426664</v>
      </c>
      <c r="Q581" s="2386">
        <v>0</v>
      </c>
      <c r="R581" s="2387">
        <v>369497580</v>
      </c>
      <c r="S581" s="2388">
        <v>0</v>
      </c>
      <c r="T581" s="2386">
        <v>0</v>
      </c>
      <c r="U581" s="2386">
        <v>399924244</v>
      </c>
      <c r="V581" s="2389">
        <v>0</v>
      </c>
      <c r="W581" s="2389">
        <v>0</v>
      </c>
      <c r="X581" s="2386">
        <v>399924244</v>
      </c>
      <c r="Z581" s="2384">
        <v>12210000</v>
      </c>
      <c r="AA581" s="2402" t="s">
        <v>4246</v>
      </c>
      <c r="AB581" s="2386">
        <v>30426664</v>
      </c>
      <c r="AC581" s="2386">
        <v>0</v>
      </c>
      <c r="AD581" s="2387">
        <v>369497580</v>
      </c>
      <c r="AE581" s="2388">
        <v>0</v>
      </c>
      <c r="AF581" s="2386">
        <v>0</v>
      </c>
      <c r="AG581" s="2386">
        <v>399924244</v>
      </c>
      <c r="AH581" s="2389">
        <v>0</v>
      </c>
      <c r="AI581" s="2389">
        <v>0</v>
      </c>
      <c r="AJ581" s="2386">
        <v>399924244</v>
      </c>
      <c r="AZ581" s="2384">
        <v>12210000</v>
      </c>
      <c r="BA581" s="2402" t="s">
        <v>4246</v>
      </c>
      <c r="BB581" s="2386">
        <v>171206379</v>
      </c>
      <c r="BC581" s="2386">
        <v>0</v>
      </c>
      <c r="BD581" s="2387">
        <v>395890265</v>
      </c>
      <c r="BE581" s="2388">
        <v>0</v>
      </c>
      <c r="BF581" s="2386">
        <v>0</v>
      </c>
      <c r="BG581" s="2386">
        <v>567096644</v>
      </c>
      <c r="BH581" s="2389">
        <v>0</v>
      </c>
      <c r="BI581" s="2389">
        <v>0</v>
      </c>
      <c r="BJ581" s="2386">
        <v>567096644</v>
      </c>
      <c r="BN581" s="2384">
        <v>21100000</v>
      </c>
      <c r="BO581" s="2402" t="s">
        <v>4268</v>
      </c>
      <c r="BP581" s="2386">
        <v>284969477217</v>
      </c>
      <c r="BQ581" s="2386">
        <v>3625636512</v>
      </c>
      <c r="BR581" s="2387">
        <v>9035916853</v>
      </c>
      <c r="BS581" s="2388">
        <v>3515405524</v>
      </c>
      <c r="BT581" s="2386">
        <v>393675250</v>
      </c>
      <c r="BU581" s="2386">
        <v>301540111356</v>
      </c>
      <c r="BV581" s="2389">
        <v>0</v>
      </c>
      <c r="BW581" s="2389">
        <v>0</v>
      </c>
      <c r="BX581" s="2386">
        <v>295761769344</v>
      </c>
    </row>
    <row r="582" spans="2:76">
      <c r="B582" s="2558">
        <v>12211000</v>
      </c>
      <c r="C582" s="2571" t="s">
        <v>4247</v>
      </c>
      <c r="D582" s="2560">
        <v>0</v>
      </c>
      <c r="E582" s="2560">
        <v>0</v>
      </c>
      <c r="F582" s="2561">
        <v>0</v>
      </c>
      <c r="G582" s="2562">
        <v>0</v>
      </c>
      <c r="H582" s="2560">
        <v>0</v>
      </c>
      <c r="I582" s="2560">
        <v>0</v>
      </c>
      <c r="J582" s="2563">
        <v>0</v>
      </c>
      <c r="K582" s="2563">
        <v>0</v>
      </c>
      <c r="L582" s="2560">
        <v>0</v>
      </c>
      <c r="N582" s="2390">
        <v>12211000</v>
      </c>
      <c r="O582" s="2403" t="s">
        <v>4247</v>
      </c>
      <c r="P582" s="2392">
        <v>0</v>
      </c>
      <c r="Q582" s="2392">
        <v>0</v>
      </c>
      <c r="R582" s="2393">
        <v>0</v>
      </c>
      <c r="S582" s="2394">
        <v>0</v>
      </c>
      <c r="T582" s="2392">
        <v>0</v>
      </c>
      <c r="U582" s="2392">
        <v>0</v>
      </c>
      <c r="V582" s="2395">
        <v>0</v>
      </c>
      <c r="W582" s="2395">
        <v>0</v>
      </c>
      <c r="X582" s="2392">
        <v>0</v>
      </c>
      <c r="Z582" s="2390">
        <v>12211000</v>
      </c>
      <c r="AA582" s="2403" t="s">
        <v>4247</v>
      </c>
      <c r="AB582" s="2392">
        <v>0</v>
      </c>
      <c r="AC582" s="2392">
        <v>0</v>
      </c>
      <c r="AD582" s="2393">
        <v>0</v>
      </c>
      <c r="AE582" s="2394">
        <v>0</v>
      </c>
      <c r="AF582" s="2392">
        <v>0</v>
      </c>
      <c r="AG582" s="2392">
        <v>0</v>
      </c>
      <c r="AH582" s="2395">
        <v>0</v>
      </c>
      <c r="AI582" s="2395">
        <v>0</v>
      </c>
      <c r="AJ582" s="2392">
        <v>0</v>
      </c>
      <c r="AZ582" s="2390">
        <v>12211000</v>
      </c>
      <c r="BA582" s="2403" t="s">
        <v>4247</v>
      </c>
      <c r="BB582" s="2392">
        <v>0</v>
      </c>
      <c r="BC582" s="2392">
        <v>0</v>
      </c>
      <c r="BD582" s="2393">
        <v>0</v>
      </c>
      <c r="BE582" s="2394">
        <v>0</v>
      </c>
      <c r="BF582" s="2392">
        <v>0</v>
      </c>
      <c r="BG582" s="2392">
        <v>0</v>
      </c>
      <c r="BH582" s="2395">
        <v>0</v>
      </c>
      <c r="BI582" s="2395">
        <v>0</v>
      </c>
      <c r="BJ582" s="2392">
        <v>0</v>
      </c>
      <c r="BN582" s="2390">
        <v>21101000</v>
      </c>
      <c r="BO582" s="2403" t="s">
        <v>4269</v>
      </c>
      <c r="BP582" s="2392">
        <v>217021568497</v>
      </c>
      <c r="BQ582" s="2392">
        <v>2460511748</v>
      </c>
      <c r="BR582" s="2393">
        <v>5403237173</v>
      </c>
      <c r="BS582" s="2394">
        <v>2424301010</v>
      </c>
      <c r="BT582" s="2392">
        <v>0</v>
      </c>
      <c r="BU582" s="2392">
        <v>227309618428</v>
      </c>
      <c r="BV582" s="2395">
        <v>0</v>
      </c>
      <c r="BW582" s="2395">
        <v>0</v>
      </c>
      <c r="BX582" s="2392">
        <v>227196417336</v>
      </c>
    </row>
    <row r="583" spans="2:76">
      <c r="B583" s="2564">
        <v>12211001</v>
      </c>
      <c r="C583" s="2565" t="s">
        <v>4247</v>
      </c>
      <c r="D583" s="2566">
        <v>0</v>
      </c>
      <c r="E583" s="1080">
        <v>0</v>
      </c>
      <c r="F583" s="2567">
        <v>0</v>
      </c>
      <c r="G583" s="2568">
        <v>0</v>
      </c>
      <c r="H583" s="2566">
        <v>0</v>
      </c>
      <c r="I583" s="2566">
        <v>0</v>
      </c>
      <c r="J583" s="2569">
        <v>0</v>
      </c>
      <c r="K583" s="2569">
        <v>0</v>
      </c>
      <c r="L583" s="2566">
        <v>0</v>
      </c>
      <c r="N583" s="2396">
        <v>12211001</v>
      </c>
      <c r="O583" s="2397" t="s">
        <v>4247</v>
      </c>
      <c r="P583" s="2398">
        <v>0</v>
      </c>
      <c r="Q583" s="2179">
        <v>0</v>
      </c>
      <c r="R583" s="2399">
        <v>0</v>
      </c>
      <c r="S583" s="2400">
        <v>0</v>
      </c>
      <c r="T583" s="2398">
        <v>0</v>
      </c>
      <c r="U583" s="2398">
        <v>0</v>
      </c>
      <c r="V583" s="2401">
        <v>0</v>
      </c>
      <c r="W583" s="2401">
        <v>0</v>
      </c>
      <c r="X583" s="2398">
        <v>0</v>
      </c>
      <c r="Z583" s="2396">
        <v>12211001</v>
      </c>
      <c r="AA583" s="2397" t="s">
        <v>4247</v>
      </c>
      <c r="AB583" s="2398">
        <v>0</v>
      </c>
      <c r="AC583" s="2179">
        <v>0</v>
      </c>
      <c r="AD583" s="2399">
        <v>0</v>
      </c>
      <c r="AE583" s="2400">
        <v>0</v>
      </c>
      <c r="AF583" s="2398">
        <v>0</v>
      </c>
      <c r="AG583" s="2398">
        <v>0</v>
      </c>
      <c r="AH583" s="2401">
        <v>0</v>
      </c>
      <c r="AI583" s="2401">
        <v>0</v>
      </c>
      <c r="AJ583" s="2398">
        <v>0</v>
      </c>
      <c r="AZ583" s="2396">
        <v>12211001</v>
      </c>
      <c r="BA583" s="2397" t="s">
        <v>4247</v>
      </c>
      <c r="BB583" s="2398">
        <v>0</v>
      </c>
      <c r="BC583" s="2179">
        <v>0</v>
      </c>
      <c r="BD583" s="2399">
        <v>0</v>
      </c>
      <c r="BE583" s="2400">
        <v>0</v>
      </c>
      <c r="BF583" s="2398">
        <v>0</v>
      </c>
      <c r="BG583" s="2398">
        <v>0</v>
      </c>
      <c r="BH583" s="2401">
        <v>0</v>
      </c>
      <c r="BI583" s="2401">
        <v>0</v>
      </c>
      <c r="BJ583" s="2398">
        <v>0</v>
      </c>
      <c r="BN583" s="2396">
        <v>21101001</v>
      </c>
      <c r="BO583" s="2397" t="s">
        <v>3974</v>
      </c>
      <c r="BP583" s="2398">
        <v>2626683331</v>
      </c>
      <c r="BQ583" s="2179">
        <v>716638348</v>
      </c>
      <c r="BR583" s="2399">
        <v>1130796780</v>
      </c>
      <c r="BS583" s="2400">
        <v>1561197010</v>
      </c>
      <c r="BT583" s="2398">
        <v>0</v>
      </c>
      <c r="BU583" s="2398">
        <v>6035315469</v>
      </c>
      <c r="BV583" s="2401">
        <v>0</v>
      </c>
      <c r="BW583" s="2401">
        <v>-113201092</v>
      </c>
      <c r="BX583" s="2398">
        <v>5922114377</v>
      </c>
    </row>
    <row r="584" spans="2:76">
      <c r="B584" s="2564">
        <v>12211002</v>
      </c>
      <c r="C584" s="2565" t="s">
        <v>5052</v>
      </c>
      <c r="D584" s="2566">
        <v>0</v>
      </c>
      <c r="E584" s="1080">
        <v>0</v>
      </c>
      <c r="F584" s="2567">
        <v>0</v>
      </c>
      <c r="G584" s="2568">
        <v>0</v>
      </c>
      <c r="H584" s="2566">
        <v>0</v>
      </c>
      <c r="I584" s="2566">
        <v>0</v>
      </c>
      <c r="J584" s="2569">
        <v>0</v>
      </c>
      <c r="K584" s="2569">
        <v>0</v>
      </c>
      <c r="L584" s="2566">
        <v>0</v>
      </c>
      <c r="N584" s="2396">
        <v>12211002</v>
      </c>
      <c r="O584" s="2397" t="s">
        <v>4248</v>
      </c>
      <c r="P584" s="2398">
        <v>0</v>
      </c>
      <c r="Q584" s="2179">
        <v>0</v>
      </c>
      <c r="R584" s="2399">
        <v>0</v>
      </c>
      <c r="S584" s="2400">
        <v>0</v>
      </c>
      <c r="T584" s="2398">
        <v>0</v>
      </c>
      <c r="U584" s="2398">
        <v>0</v>
      </c>
      <c r="V584" s="2401">
        <v>0</v>
      </c>
      <c r="W584" s="2401">
        <v>0</v>
      </c>
      <c r="X584" s="2398">
        <v>0</v>
      </c>
      <c r="Z584" s="2396">
        <v>12211002</v>
      </c>
      <c r="AA584" s="2397" t="s">
        <v>4248</v>
      </c>
      <c r="AB584" s="2398">
        <v>0</v>
      </c>
      <c r="AC584" s="2179">
        <v>0</v>
      </c>
      <c r="AD584" s="2399">
        <v>0</v>
      </c>
      <c r="AE584" s="2400">
        <v>0</v>
      </c>
      <c r="AF584" s="2398">
        <v>0</v>
      </c>
      <c r="AG584" s="2398">
        <v>0</v>
      </c>
      <c r="AH584" s="2401">
        <v>0</v>
      </c>
      <c r="AI584" s="2401">
        <v>0</v>
      </c>
      <c r="AJ584" s="2398">
        <v>0</v>
      </c>
      <c r="AZ584" s="2396">
        <v>12211002</v>
      </c>
      <c r="BA584" s="2397" t="s">
        <v>4248</v>
      </c>
      <c r="BB584" s="2398">
        <v>0</v>
      </c>
      <c r="BC584" s="2179">
        <v>0</v>
      </c>
      <c r="BD584" s="2399">
        <v>0</v>
      </c>
      <c r="BE584" s="2400">
        <v>0</v>
      </c>
      <c r="BF584" s="2398">
        <v>0</v>
      </c>
      <c r="BG584" s="2398">
        <v>0</v>
      </c>
      <c r="BH584" s="2401">
        <v>0</v>
      </c>
      <c r="BI584" s="2401">
        <v>0</v>
      </c>
      <c r="BJ584" s="2398">
        <v>0</v>
      </c>
      <c r="BN584" s="2396">
        <v>21101002</v>
      </c>
      <c r="BO584" s="2397" t="s">
        <v>4270</v>
      </c>
      <c r="BP584" s="2398">
        <v>211972106320</v>
      </c>
      <c r="BQ584" s="2179">
        <v>1743873400</v>
      </c>
      <c r="BR584" s="2399">
        <v>4272440393</v>
      </c>
      <c r="BS584" s="2400">
        <v>0</v>
      </c>
      <c r="BT584" s="2398">
        <v>0</v>
      </c>
      <c r="BU584" s="2398">
        <v>217988420113</v>
      </c>
      <c r="BV584" s="2401">
        <v>0</v>
      </c>
      <c r="BW584" s="2401">
        <v>0</v>
      </c>
      <c r="BX584" s="2398">
        <v>217988420113</v>
      </c>
    </row>
    <row r="585" spans="2:76">
      <c r="B585" s="2564">
        <v>12211003</v>
      </c>
      <c r="C585" s="2565" t="s">
        <v>4249</v>
      </c>
      <c r="D585" s="2566">
        <v>0</v>
      </c>
      <c r="E585" s="1080">
        <v>0</v>
      </c>
      <c r="F585" s="2567">
        <v>0</v>
      </c>
      <c r="G585" s="2568">
        <v>0</v>
      </c>
      <c r="H585" s="2566">
        <v>0</v>
      </c>
      <c r="I585" s="2566">
        <v>0</v>
      </c>
      <c r="J585" s="2569">
        <v>0</v>
      </c>
      <c r="K585" s="2569">
        <v>0</v>
      </c>
      <c r="L585" s="2566">
        <v>0</v>
      </c>
      <c r="N585" s="2396">
        <v>12211003</v>
      </c>
      <c r="O585" s="2397" t="s">
        <v>4249</v>
      </c>
      <c r="P585" s="2398">
        <v>0</v>
      </c>
      <c r="Q585" s="2179">
        <v>0</v>
      </c>
      <c r="R585" s="2399">
        <v>0</v>
      </c>
      <c r="S585" s="2400">
        <v>0</v>
      </c>
      <c r="T585" s="2398">
        <v>0</v>
      </c>
      <c r="U585" s="2398">
        <v>0</v>
      </c>
      <c r="V585" s="2401">
        <v>0</v>
      </c>
      <c r="W585" s="2401">
        <v>0</v>
      </c>
      <c r="X585" s="2398">
        <v>0</v>
      </c>
      <c r="Z585" s="2396">
        <v>12211003</v>
      </c>
      <c r="AA585" s="2397" t="s">
        <v>4249</v>
      </c>
      <c r="AB585" s="2398">
        <v>0</v>
      </c>
      <c r="AC585" s="2179">
        <v>0</v>
      </c>
      <c r="AD585" s="2399">
        <v>0</v>
      </c>
      <c r="AE585" s="2400">
        <v>0</v>
      </c>
      <c r="AF585" s="2398">
        <v>0</v>
      </c>
      <c r="AG585" s="2398">
        <v>0</v>
      </c>
      <c r="AH585" s="2401">
        <v>0</v>
      </c>
      <c r="AI585" s="2401">
        <v>0</v>
      </c>
      <c r="AJ585" s="2398">
        <v>0</v>
      </c>
      <c r="AZ585" s="2396">
        <v>12211003</v>
      </c>
      <c r="BA585" s="2397" t="s">
        <v>4249</v>
      </c>
      <c r="BB585" s="2398">
        <v>0</v>
      </c>
      <c r="BC585" s="2179">
        <v>0</v>
      </c>
      <c r="BD585" s="2399">
        <v>0</v>
      </c>
      <c r="BE585" s="2400">
        <v>0</v>
      </c>
      <c r="BF585" s="2398">
        <v>0</v>
      </c>
      <c r="BG585" s="2398">
        <v>0</v>
      </c>
      <c r="BH585" s="2401">
        <v>0</v>
      </c>
      <c r="BI585" s="2401">
        <v>0</v>
      </c>
      <c r="BJ585" s="2398">
        <v>0</v>
      </c>
      <c r="BN585" s="2396">
        <v>21101003</v>
      </c>
      <c r="BO585" s="2397" t="s">
        <v>4271</v>
      </c>
      <c r="BP585" s="2398">
        <v>2422778846</v>
      </c>
      <c r="BQ585" s="2179">
        <v>0</v>
      </c>
      <c r="BR585" s="2399">
        <v>0</v>
      </c>
      <c r="BS585" s="2400">
        <v>0</v>
      </c>
      <c r="BT585" s="2398">
        <v>0</v>
      </c>
      <c r="BU585" s="2398">
        <v>2422778846</v>
      </c>
      <c r="BV585" s="2401">
        <v>0</v>
      </c>
      <c r="BW585" s="2401">
        <v>0</v>
      </c>
      <c r="BX585" s="2398">
        <v>2422778846</v>
      </c>
    </row>
    <row r="586" spans="2:76">
      <c r="B586" s="2558">
        <v>12211100</v>
      </c>
      <c r="C586" s="2571" t="s">
        <v>4250</v>
      </c>
      <c r="D586" s="2560">
        <v>0</v>
      </c>
      <c r="E586" s="2560">
        <v>0</v>
      </c>
      <c r="F586" s="2561">
        <v>0</v>
      </c>
      <c r="G586" s="2562">
        <v>0</v>
      </c>
      <c r="H586" s="2560">
        <v>0</v>
      </c>
      <c r="I586" s="2560">
        <v>0</v>
      </c>
      <c r="J586" s="2563">
        <v>0</v>
      </c>
      <c r="K586" s="2563">
        <v>0</v>
      </c>
      <c r="L586" s="2560">
        <v>0</v>
      </c>
      <c r="N586" s="2390">
        <v>12211100</v>
      </c>
      <c r="O586" s="2403" t="s">
        <v>4250</v>
      </c>
      <c r="P586" s="2392">
        <v>0</v>
      </c>
      <c r="Q586" s="2392">
        <v>0</v>
      </c>
      <c r="R586" s="2393">
        <v>0</v>
      </c>
      <c r="S586" s="2394">
        <v>0</v>
      </c>
      <c r="T586" s="2392">
        <v>0</v>
      </c>
      <c r="U586" s="2392">
        <v>0</v>
      </c>
      <c r="V586" s="2395">
        <v>0</v>
      </c>
      <c r="W586" s="2395">
        <v>0</v>
      </c>
      <c r="X586" s="2392">
        <v>0</v>
      </c>
      <c r="Z586" s="2390">
        <v>12211100</v>
      </c>
      <c r="AA586" s="2403" t="s">
        <v>4250</v>
      </c>
      <c r="AB586" s="2392">
        <v>0</v>
      </c>
      <c r="AC586" s="2392">
        <v>0</v>
      </c>
      <c r="AD586" s="2393">
        <v>0</v>
      </c>
      <c r="AE586" s="2394">
        <v>0</v>
      </c>
      <c r="AF586" s="2392">
        <v>0</v>
      </c>
      <c r="AG586" s="2392">
        <v>0</v>
      </c>
      <c r="AH586" s="2395">
        <v>0</v>
      </c>
      <c r="AI586" s="2395">
        <v>0</v>
      </c>
      <c r="AJ586" s="2392">
        <v>0</v>
      </c>
      <c r="AZ586" s="2390">
        <v>12211100</v>
      </c>
      <c r="BA586" s="2403" t="s">
        <v>4250</v>
      </c>
      <c r="BB586" s="2392">
        <v>0</v>
      </c>
      <c r="BC586" s="2392">
        <v>0</v>
      </c>
      <c r="BD586" s="2393">
        <v>0</v>
      </c>
      <c r="BE586" s="2394">
        <v>0</v>
      </c>
      <c r="BF586" s="2392">
        <v>0</v>
      </c>
      <c r="BG586" s="2392">
        <v>0</v>
      </c>
      <c r="BH586" s="2395">
        <v>0</v>
      </c>
      <c r="BI586" s="2395">
        <v>0</v>
      </c>
      <c r="BJ586" s="2392">
        <v>0</v>
      </c>
      <c r="BN586" s="2396">
        <v>21101004</v>
      </c>
      <c r="BO586" s="2397" t="s">
        <v>4272</v>
      </c>
      <c r="BP586" s="2398">
        <v>0</v>
      </c>
      <c r="BQ586" s="2179">
        <v>0</v>
      </c>
      <c r="BR586" s="2399">
        <v>0</v>
      </c>
      <c r="BS586" s="2400">
        <v>863104000</v>
      </c>
      <c r="BT586" s="2398">
        <v>0</v>
      </c>
      <c r="BU586" s="2398">
        <v>863104000</v>
      </c>
      <c r="BV586" s="2401">
        <v>0</v>
      </c>
      <c r="BW586" s="2401">
        <v>0</v>
      </c>
      <c r="BX586" s="2398">
        <v>863104000</v>
      </c>
    </row>
    <row r="587" spans="2:76">
      <c r="B587" s="2564">
        <v>12211101</v>
      </c>
      <c r="C587" s="2565" t="s">
        <v>4250</v>
      </c>
      <c r="D587" s="2566">
        <v>0</v>
      </c>
      <c r="E587" s="1080">
        <v>0</v>
      </c>
      <c r="F587" s="2567">
        <v>0</v>
      </c>
      <c r="G587" s="2568">
        <v>0</v>
      </c>
      <c r="H587" s="2566">
        <v>0</v>
      </c>
      <c r="I587" s="2566">
        <v>0</v>
      </c>
      <c r="J587" s="2569">
        <v>0</v>
      </c>
      <c r="K587" s="2569">
        <v>0</v>
      </c>
      <c r="L587" s="2566">
        <v>0</v>
      </c>
      <c r="N587" s="2396">
        <v>12211101</v>
      </c>
      <c r="O587" s="2397" t="s">
        <v>4250</v>
      </c>
      <c r="P587" s="2398">
        <v>0</v>
      </c>
      <c r="Q587" s="2179">
        <v>0</v>
      </c>
      <c r="R587" s="2399">
        <v>0</v>
      </c>
      <c r="S587" s="2400">
        <v>0</v>
      </c>
      <c r="T587" s="2398">
        <v>0</v>
      </c>
      <c r="U587" s="2398">
        <v>0</v>
      </c>
      <c r="V587" s="2401">
        <v>0</v>
      </c>
      <c r="W587" s="2401">
        <v>0</v>
      </c>
      <c r="X587" s="2398">
        <v>0</v>
      </c>
      <c r="Z587" s="2396">
        <v>12211101</v>
      </c>
      <c r="AA587" s="2397" t="s">
        <v>4250</v>
      </c>
      <c r="AB587" s="2398">
        <v>0</v>
      </c>
      <c r="AC587" s="2179">
        <v>0</v>
      </c>
      <c r="AD587" s="2399">
        <v>0</v>
      </c>
      <c r="AE587" s="2400">
        <v>0</v>
      </c>
      <c r="AF587" s="2398">
        <v>0</v>
      </c>
      <c r="AG587" s="2398">
        <v>0</v>
      </c>
      <c r="AH587" s="2401">
        <v>0</v>
      </c>
      <c r="AI587" s="2401">
        <v>0</v>
      </c>
      <c r="AJ587" s="2398">
        <v>0</v>
      </c>
      <c r="AZ587" s="2396">
        <v>12211101</v>
      </c>
      <c r="BA587" s="2397" t="s">
        <v>4250</v>
      </c>
      <c r="BB587" s="2398">
        <v>0</v>
      </c>
      <c r="BC587" s="2179">
        <v>0</v>
      </c>
      <c r="BD587" s="2399">
        <v>0</v>
      </c>
      <c r="BE587" s="2400">
        <v>0</v>
      </c>
      <c r="BF587" s="2398">
        <v>0</v>
      </c>
      <c r="BG587" s="2398">
        <v>0</v>
      </c>
      <c r="BH587" s="2401">
        <v>0</v>
      </c>
      <c r="BI587" s="2401">
        <v>0</v>
      </c>
      <c r="BJ587" s="2398">
        <v>0</v>
      </c>
      <c r="BN587" s="2390">
        <v>21101100</v>
      </c>
      <c r="BO587" s="2403" t="s">
        <v>2171</v>
      </c>
      <c r="BP587" s="2392">
        <v>56816266519</v>
      </c>
      <c r="BQ587" s="2392">
        <v>767220730</v>
      </c>
      <c r="BR587" s="2393">
        <v>3272001738</v>
      </c>
      <c r="BS587" s="2394">
        <v>118483994</v>
      </c>
      <c r="BT587" s="2392">
        <v>348075521</v>
      </c>
      <c r="BU587" s="2392">
        <v>61322048502</v>
      </c>
      <c r="BV587" s="2395">
        <v>0</v>
      </c>
      <c r="BW587" s="2395">
        <v>0</v>
      </c>
      <c r="BX587" s="2392">
        <v>55656907582</v>
      </c>
    </row>
    <row r="588" spans="2:76">
      <c r="B588" s="2558">
        <v>12211200</v>
      </c>
      <c r="C588" s="2571" t="s">
        <v>4251</v>
      </c>
      <c r="D588" s="2560">
        <v>0</v>
      </c>
      <c r="E588" s="2560">
        <v>0</v>
      </c>
      <c r="F588" s="2561">
        <v>0</v>
      </c>
      <c r="G588" s="2562">
        <v>0</v>
      </c>
      <c r="H588" s="2560">
        <v>0</v>
      </c>
      <c r="I588" s="2560">
        <v>0</v>
      </c>
      <c r="J588" s="2563">
        <v>0</v>
      </c>
      <c r="K588" s="2563">
        <v>0</v>
      </c>
      <c r="L588" s="2560">
        <v>0</v>
      </c>
      <c r="N588" s="2390">
        <v>12211200</v>
      </c>
      <c r="O588" s="2403" t="s">
        <v>4251</v>
      </c>
      <c r="P588" s="2392">
        <v>0</v>
      </c>
      <c r="Q588" s="2392">
        <v>0</v>
      </c>
      <c r="R588" s="2393">
        <v>0</v>
      </c>
      <c r="S588" s="2394">
        <v>0</v>
      </c>
      <c r="T588" s="2392">
        <v>0</v>
      </c>
      <c r="U588" s="2392">
        <v>0</v>
      </c>
      <c r="V588" s="2395">
        <v>0</v>
      </c>
      <c r="W588" s="2395">
        <v>0</v>
      </c>
      <c r="X588" s="2392">
        <v>0</v>
      </c>
      <c r="Z588" s="2390">
        <v>12211200</v>
      </c>
      <c r="AA588" s="2403" t="s">
        <v>4251</v>
      </c>
      <c r="AB588" s="2392">
        <v>0</v>
      </c>
      <c r="AC588" s="2392">
        <v>0</v>
      </c>
      <c r="AD588" s="2393">
        <v>0</v>
      </c>
      <c r="AE588" s="2394">
        <v>0</v>
      </c>
      <c r="AF588" s="2392">
        <v>0</v>
      </c>
      <c r="AG588" s="2392">
        <v>0</v>
      </c>
      <c r="AH588" s="2395">
        <v>0</v>
      </c>
      <c r="AI588" s="2395">
        <v>0</v>
      </c>
      <c r="AJ588" s="2392">
        <v>0</v>
      </c>
      <c r="AZ588" s="2390">
        <v>12211200</v>
      </c>
      <c r="BA588" s="2403" t="s">
        <v>4251</v>
      </c>
      <c r="BB588" s="2392">
        <v>0</v>
      </c>
      <c r="BC588" s="2392">
        <v>0</v>
      </c>
      <c r="BD588" s="2393">
        <v>0</v>
      </c>
      <c r="BE588" s="2394">
        <v>0</v>
      </c>
      <c r="BF588" s="2392">
        <v>0</v>
      </c>
      <c r="BG588" s="2392">
        <v>0</v>
      </c>
      <c r="BH588" s="2395">
        <v>0</v>
      </c>
      <c r="BI588" s="2395">
        <v>0</v>
      </c>
      <c r="BJ588" s="2392">
        <v>0</v>
      </c>
      <c r="BN588" s="2396">
        <v>21101101</v>
      </c>
      <c r="BO588" s="2397" t="s">
        <v>2171</v>
      </c>
      <c r="BP588" s="2398">
        <v>56816266519</v>
      </c>
      <c r="BQ588" s="2179">
        <v>767220730</v>
      </c>
      <c r="BR588" s="2399">
        <v>3272001738</v>
      </c>
      <c r="BS588" s="2400">
        <v>118483994</v>
      </c>
      <c r="BT588" s="2398">
        <v>348075521</v>
      </c>
      <c r="BU588" s="2398">
        <v>61322048502</v>
      </c>
      <c r="BV588" s="2401">
        <v>0</v>
      </c>
      <c r="BW588" s="2401">
        <v>-5665140920</v>
      </c>
      <c r="BX588" s="2398">
        <v>55656907582</v>
      </c>
    </row>
    <row r="589" spans="2:76">
      <c r="B589" s="2564">
        <v>12211201</v>
      </c>
      <c r="C589" s="2565" t="s">
        <v>4251</v>
      </c>
      <c r="D589" s="2566">
        <v>0</v>
      </c>
      <c r="E589" s="1080">
        <v>0</v>
      </c>
      <c r="F589" s="2567">
        <v>0</v>
      </c>
      <c r="G589" s="2568">
        <v>0</v>
      </c>
      <c r="H589" s="2566">
        <v>0</v>
      </c>
      <c r="I589" s="2566">
        <v>0</v>
      </c>
      <c r="J589" s="2569">
        <v>0</v>
      </c>
      <c r="K589" s="2569">
        <v>0</v>
      </c>
      <c r="L589" s="2566">
        <v>0</v>
      </c>
      <c r="N589" s="2396">
        <v>12211201</v>
      </c>
      <c r="O589" s="2397" t="s">
        <v>4251</v>
      </c>
      <c r="P589" s="2398">
        <v>0</v>
      </c>
      <c r="Q589" s="2179">
        <v>0</v>
      </c>
      <c r="R589" s="2399">
        <v>0</v>
      </c>
      <c r="S589" s="2400">
        <v>0</v>
      </c>
      <c r="T589" s="2398">
        <v>0</v>
      </c>
      <c r="U589" s="2398">
        <v>0</v>
      </c>
      <c r="V589" s="2401">
        <v>0</v>
      </c>
      <c r="W589" s="2401">
        <v>0</v>
      </c>
      <c r="X589" s="2398">
        <v>0</v>
      </c>
      <c r="Z589" s="2396">
        <v>12211201</v>
      </c>
      <c r="AA589" s="2397" t="s">
        <v>4251</v>
      </c>
      <c r="AB589" s="2398">
        <v>0</v>
      </c>
      <c r="AC589" s="2179">
        <v>0</v>
      </c>
      <c r="AD589" s="2399">
        <v>0</v>
      </c>
      <c r="AE589" s="2400">
        <v>0</v>
      </c>
      <c r="AF589" s="2398">
        <v>0</v>
      </c>
      <c r="AG589" s="2398">
        <v>0</v>
      </c>
      <c r="AH589" s="2401">
        <v>0</v>
      </c>
      <c r="AI589" s="2401">
        <v>0</v>
      </c>
      <c r="AJ589" s="2398">
        <v>0</v>
      </c>
      <c r="AZ589" s="2396">
        <v>12211201</v>
      </c>
      <c r="BA589" s="2397" t="s">
        <v>4251</v>
      </c>
      <c r="BB589" s="2398">
        <v>0</v>
      </c>
      <c r="BC589" s="2179">
        <v>0</v>
      </c>
      <c r="BD589" s="2399">
        <v>0</v>
      </c>
      <c r="BE589" s="2400">
        <v>0</v>
      </c>
      <c r="BF589" s="2398">
        <v>0</v>
      </c>
      <c r="BG589" s="2398">
        <v>0</v>
      </c>
      <c r="BH589" s="2401">
        <v>0</v>
      </c>
      <c r="BI589" s="2401">
        <v>0</v>
      </c>
      <c r="BJ589" s="2398">
        <v>0</v>
      </c>
      <c r="BN589" s="2390">
        <v>21101200</v>
      </c>
      <c r="BO589" s="2403" t="s">
        <v>4273</v>
      </c>
      <c r="BP589" s="2392">
        <v>11131642201</v>
      </c>
      <c r="BQ589" s="2392">
        <v>397904034</v>
      </c>
      <c r="BR589" s="2393">
        <v>360677942</v>
      </c>
      <c r="BS589" s="2394">
        <v>947620520</v>
      </c>
      <c r="BT589" s="2392">
        <v>45599729</v>
      </c>
      <c r="BU589" s="2392">
        <v>12883444426</v>
      </c>
      <c r="BV589" s="2395">
        <v>0</v>
      </c>
      <c r="BW589" s="2395">
        <v>0</v>
      </c>
      <c r="BX589" s="2392">
        <v>12883444426</v>
      </c>
    </row>
    <row r="590" spans="2:76">
      <c r="B590" s="2558">
        <v>12211300</v>
      </c>
      <c r="C590" s="2571" t="s">
        <v>4252</v>
      </c>
      <c r="D590" s="2560">
        <v>0</v>
      </c>
      <c r="E590" s="2560">
        <v>0</v>
      </c>
      <c r="F590" s="2561">
        <v>0</v>
      </c>
      <c r="G590" s="2562">
        <v>0</v>
      </c>
      <c r="H590" s="2560">
        <v>0</v>
      </c>
      <c r="I590" s="2560">
        <v>0</v>
      </c>
      <c r="J590" s="2563">
        <v>0</v>
      </c>
      <c r="K590" s="2563">
        <v>0</v>
      </c>
      <c r="L590" s="2560">
        <v>0</v>
      </c>
      <c r="N590" s="2390">
        <v>12211300</v>
      </c>
      <c r="O590" s="2403" t="s">
        <v>4252</v>
      </c>
      <c r="P590" s="2392">
        <v>0</v>
      </c>
      <c r="Q590" s="2392">
        <v>0</v>
      </c>
      <c r="R590" s="2393">
        <v>0</v>
      </c>
      <c r="S590" s="2394">
        <v>0</v>
      </c>
      <c r="T590" s="2392">
        <v>0</v>
      </c>
      <c r="U590" s="2392">
        <v>0</v>
      </c>
      <c r="V590" s="2395">
        <v>0</v>
      </c>
      <c r="W590" s="2395">
        <v>0</v>
      </c>
      <c r="X590" s="2392">
        <v>0</v>
      </c>
      <c r="Z590" s="2390">
        <v>12211300</v>
      </c>
      <c r="AA590" s="2403" t="s">
        <v>4252</v>
      </c>
      <c r="AB590" s="2392">
        <v>0</v>
      </c>
      <c r="AC590" s="2392">
        <v>0</v>
      </c>
      <c r="AD590" s="2393">
        <v>0</v>
      </c>
      <c r="AE590" s="2394">
        <v>0</v>
      </c>
      <c r="AF590" s="2392">
        <v>0</v>
      </c>
      <c r="AG590" s="2392">
        <v>0</v>
      </c>
      <c r="AH590" s="2395">
        <v>0</v>
      </c>
      <c r="AI590" s="2395">
        <v>0</v>
      </c>
      <c r="AJ590" s="2392">
        <v>0</v>
      </c>
      <c r="AZ590" s="2390">
        <v>12211300</v>
      </c>
      <c r="BA590" s="2403" t="s">
        <v>4252</v>
      </c>
      <c r="BB590" s="2392">
        <v>0</v>
      </c>
      <c r="BC590" s="2392">
        <v>0</v>
      </c>
      <c r="BD590" s="2393">
        <v>0</v>
      </c>
      <c r="BE590" s="2394">
        <v>0</v>
      </c>
      <c r="BF590" s="2392">
        <v>0</v>
      </c>
      <c r="BG590" s="2392">
        <v>0</v>
      </c>
      <c r="BH590" s="2395">
        <v>0</v>
      </c>
      <c r="BI590" s="2395">
        <v>0</v>
      </c>
      <c r="BJ590" s="2392">
        <v>0</v>
      </c>
      <c r="BN590" s="2396">
        <v>21101201</v>
      </c>
      <c r="BO590" s="2397" t="s">
        <v>4273</v>
      </c>
      <c r="BP590" s="2398">
        <v>11131642201</v>
      </c>
      <c r="BQ590" s="2179">
        <v>397904034</v>
      </c>
      <c r="BR590" s="2399">
        <v>360677942</v>
      </c>
      <c r="BS590" s="2400">
        <v>947620520</v>
      </c>
      <c r="BT590" s="2398">
        <v>45599729</v>
      </c>
      <c r="BU590" s="2398">
        <v>12883444426</v>
      </c>
      <c r="BV590" s="2401">
        <v>0</v>
      </c>
      <c r="BW590" s="2401">
        <v>0</v>
      </c>
      <c r="BX590" s="2398">
        <v>12883444426</v>
      </c>
    </row>
    <row r="591" spans="2:76">
      <c r="B591" s="2564">
        <v>12211301</v>
      </c>
      <c r="C591" s="2565" t="s">
        <v>4252</v>
      </c>
      <c r="D591" s="2566">
        <v>0</v>
      </c>
      <c r="E591" s="1080">
        <v>0</v>
      </c>
      <c r="F591" s="2567">
        <v>0</v>
      </c>
      <c r="G591" s="2568">
        <v>0</v>
      </c>
      <c r="H591" s="2566">
        <v>0</v>
      </c>
      <c r="I591" s="2566">
        <v>0</v>
      </c>
      <c r="J591" s="2569">
        <v>0</v>
      </c>
      <c r="K591" s="2569">
        <v>0</v>
      </c>
      <c r="L591" s="2566">
        <v>0</v>
      </c>
      <c r="N591" s="2396">
        <v>12211301</v>
      </c>
      <c r="O591" s="2397" t="s">
        <v>4252</v>
      </c>
      <c r="P591" s="2398">
        <v>0</v>
      </c>
      <c r="Q591" s="2179">
        <v>0</v>
      </c>
      <c r="R591" s="2399">
        <v>0</v>
      </c>
      <c r="S591" s="2400">
        <v>0</v>
      </c>
      <c r="T591" s="2398">
        <v>0</v>
      </c>
      <c r="U591" s="2398">
        <v>0</v>
      </c>
      <c r="V591" s="2401">
        <v>0</v>
      </c>
      <c r="W591" s="2401">
        <v>0</v>
      </c>
      <c r="X591" s="2398">
        <v>0</v>
      </c>
      <c r="Z591" s="2396">
        <v>12211301</v>
      </c>
      <c r="AA591" s="2397" t="s">
        <v>4252</v>
      </c>
      <c r="AB591" s="2398">
        <v>0</v>
      </c>
      <c r="AC591" s="2179">
        <v>0</v>
      </c>
      <c r="AD591" s="2399">
        <v>0</v>
      </c>
      <c r="AE591" s="2400">
        <v>0</v>
      </c>
      <c r="AF591" s="2398">
        <v>0</v>
      </c>
      <c r="AG591" s="2398">
        <v>0</v>
      </c>
      <c r="AH591" s="2401">
        <v>0</v>
      </c>
      <c r="AI591" s="2401">
        <v>0</v>
      </c>
      <c r="AJ591" s="2398">
        <v>0</v>
      </c>
      <c r="AZ591" s="2396">
        <v>12211301</v>
      </c>
      <c r="BA591" s="2397" t="s">
        <v>4252</v>
      </c>
      <c r="BB591" s="2398">
        <v>0</v>
      </c>
      <c r="BC591" s="2179">
        <v>0</v>
      </c>
      <c r="BD591" s="2399">
        <v>0</v>
      </c>
      <c r="BE591" s="2400">
        <v>0</v>
      </c>
      <c r="BF591" s="2398">
        <v>0</v>
      </c>
      <c r="BG591" s="2398">
        <v>0</v>
      </c>
      <c r="BH591" s="2401">
        <v>0</v>
      </c>
      <c r="BI591" s="2401">
        <v>0</v>
      </c>
      <c r="BJ591" s="2398">
        <v>0</v>
      </c>
      <c r="BN591" s="2390">
        <v>21101300</v>
      </c>
      <c r="BO591" s="2403" t="s">
        <v>4274</v>
      </c>
      <c r="BP591" s="2392">
        <v>0</v>
      </c>
      <c r="BQ591" s="2392">
        <v>0</v>
      </c>
      <c r="BR591" s="2393">
        <v>0</v>
      </c>
      <c r="BS591" s="2394">
        <v>25000000</v>
      </c>
      <c r="BT591" s="2392">
        <v>0</v>
      </c>
      <c r="BU591" s="2392">
        <v>25000000</v>
      </c>
      <c r="BV591" s="2395">
        <v>0</v>
      </c>
      <c r="BW591" s="2395">
        <v>0</v>
      </c>
      <c r="BX591" s="2392">
        <v>25000000</v>
      </c>
    </row>
    <row r="592" spans="2:76">
      <c r="B592" s="2558">
        <v>12211400</v>
      </c>
      <c r="C592" s="2571" t="s">
        <v>4253</v>
      </c>
      <c r="D592" s="2560">
        <v>30426664</v>
      </c>
      <c r="E592" s="2560">
        <v>0</v>
      </c>
      <c r="F592" s="2561">
        <v>369497580</v>
      </c>
      <c r="G592" s="2562">
        <v>0</v>
      </c>
      <c r="H592" s="2560">
        <v>0</v>
      </c>
      <c r="I592" s="2560">
        <v>399924244</v>
      </c>
      <c r="J592" s="2563">
        <v>0</v>
      </c>
      <c r="K592" s="2563">
        <v>0</v>
      </c>
      <c r="L592" s="2560">
        <v>399924244</v>
      </c>
      <c r="N592" s="2390">
        <v>12211400</v>
      </c>
      <c r="O592" s="2403" t="s">
        <v>4253</v>
      </c>
      <c r="P592" s="2392">
        <v>30426664</v>
      </c>
      <c r="Q592" s="2392">
        <v>0</v>
      </c>
      <c r="R592" s="2393">
        <v>369497580</v>
      </c>
      <c r="S592" s="2394">
        <v>0</v>
      </c>
      <c r="T592" s="2392">
        <v>0</v>
      </c>
      <c r="U592" s="2392">
        <v>399924244</v>
      </c>
      <c r="V592" s="2395">
        <v>0</v>
      </c>
      <c r="W592" s="2395">
        <v>0</v>
      </c>
      <c r="X592" s="2392">
        <v>399924244</v>
      </c>
      <c r="Z592" s="2390">
        <v>12211400</v>
      </c>
      <c r="AA592" s="2403" t="s">
        <v>4253</v>
      </c>
      <c r="AB592" s="2392">
        <v>30426664</v>
      </c>
      <c r="AC592" s="2392">
        <v>0</v>
      </c>
      <c r="AD592" s="2393">
        <v>369497580</v>
      </c>
      <c r="AE592" s="2394">
        <v>0</v>
      </c>
      <c r="AF592" s="2392">
        <v>0</v>
      </c>
      <c r="AG592" s="2392">
        <v>399924244</v>
      </c>
      <c r="AH592" s="2395">
        <v>0</v>
      </c>
      <c r="AI592" s="2395">
        <v>0</v>
      </c>
      <c r="AJ592" s="2392">
        <v>399924244</v>
      </c>
      <c r="AZ592" s="2390">
        <v>12211400</v>
      </c>
      <c r="BA592" s="2403" t="s">
        <v>4253</v>
      </c>
      <c r="BB592" s="2392">
        <v>171206379</v>
      </c>
      <c r="BC592" s="2392">
        <v>0</v>
      </c>
      <c r="BD592" s="2393">
        <v>395890265</v>
      </c>
      <c r="BE592" s="2394">
        <v>0</v>
      </c>
      <c r="BF592" s="2392">
        <v>0</v>
      </c>
      <c r="BG592" s="2392">
        <v>567096644</v>
      </c>
      <c r="BH592" s="2395">
        <v>0</v>
      </c>
      <c r="BI592" s="2395">
        <v>0</v>
      </c>
      <c r="BJ592" s="2392">
        <v>567096644</v>
      </c>
      <c r="BN592" s="2396">
        <v>21101301</v>
      </c>
      <c r="BO592" s="2397" t="s">
        <v>4274</v>
      </c>
      <c r="BP592" s="2398">
        <v>0</v>
      </c>
      <c r="BQ592" s="2179">
        <v>0</v>
      </c>
      <c r="BR592" s="2399">
        <v>0</v>
      </c>
      <c r="BS592" s="2400">
        <v>25000000</v>
      </c>
      <c r="BT592" s="2398">
        <v>0</v>
      </c>
      <c r="BU592" s="2398">
        <v>25000000</v>
      </c>
      <c r="BV592" s="2401">
        <v>0</v>
      </c>
      <c r="BW592" s="2401">
        <v>0</v>
      </c>
      <c r="BX592" s="2398">
        <v>25000000</v>
      </c>
    </row>
    <row r="593" spans="2:76">
      <c r="B593" s="2564">
        <v>12211401</v>
      </c>
      <c r="C593" s="2565" t="s">
        <v>4253</v>
      </c>
      <c r="D593" s="2566">
        <v>30426664</v>
      </c>
      <c r="E593" s="1080">
        <v>0</v>
      </c>
      <c r="F593" s="2567">
        <v>369497580</v>
      </c>
      <c r="G593" s="2568">
        <v>0</v>
      </c>
      <c r="H593" s="2566">
        <v>0</v>
      </c>
      <c r="I593" s="2566">
        <v>399924244</v>
      </c>
      <c r="J593" s="2569">
        <v>0</v>
      </c>
      <c r="K593" s="2569">
        <v>0</v>
      </c>
      <c r="L593" s="2566">
        <v>399924244</v>
      </c>
      <c r="N593" s="2396">
        <v>12211401</v>
      </c>
      <c r="O593" s="2397" t="s">
        <v>4253</v>
      </c>
      <c r="P593" s="2398">
        <v>30426664</v>
      </c>
      <c r="Q593" s="2179">
        <v>0</v>
      </c>
      <c r="R593" s="2399">
        <v>369497580</v>
      </c>
      <c r="S593" s="2400">
        <v>0</v>
      </c>
      <c r="T593" s="2398">
        <v>0</v>
      </c>
      <c r="U593" s="2398">
        <v>399924244</v>
      </c>
      <c r="V593" s="2401">
        <v>0</v>
      </c>
      <c r="W593" s="2401">
        <v>0</v>
      </c>
      <c r="X593" s="2398">
        <v>399924244</v>
      </c>
      <c r="Z593" s="2396">
        <v>12211401</v>
      </c>
      <c r="AA593" s="2397" t="s">
        <v>4253</v>
      </c>
      <c r="AB593" s="2398">
        <v>30426664</v>
      </c>
      <c r="AC593" s="2179">
        <v>0</v>
      </c>
      <c r="AD593" s="2399">
        <v>369497580</v>
      </c>
      <c r="AE593" s="2400">
        <v>0</v>
      </c>
      <c r="AF593" s="2398">
        <v>0</v>
      </c>
      <c r="AG593" s="2398">
        <v>399924244</v>
      </c>
      <c r="AH593" s="2401">
        <v>0</v>
      </c>
      <c r="AI593" s="2401">
        <v>0</v>
      </c>
      <c r="AJ593" s="2398">
        <v>399924244</v>
      </c>
      <c r="AZ593" s="2396">
        <v>12211401</v>
      </c>
      <c r="BA593" s="2397" t="s">
        <v>4253</v>
      </c>
      <c r="BB593" s="2398">
        <v>171206379</v>
      </c>
      <c r="BC593" s="2179">
        <v>0</v>
      </c>
      <c r="BD593" s="2399">
        <v>395890265</v>
      </c>
      <c r="BE593" s="2400">
        <v>0</v>
      </c>
      <c r="BF593" s="2398">
        <v>0</v>
      </c>
      <c r="BG593" s="2398">
        <v>567096644</v>
      </c>
      <c r="BH593" s="2401">
        <v>0</v>
      </c>
      <c r="BI593" s="2401">
        <v>0</v>
      </c>
      <c r="BJ593" s="2398">
        <v>567096644</v>
      </c>
      <c r="BN593" s="2384">
        <v>21110000</v>
      </c>
      <c r="BO593" s="2402" t="s">
        <v>4275</v>
      </c>
      <c r="BP593" s="2386">
        <v>32950000</v>
      </c>
      <c r="BQ593" s="2386">
        <v>668472455</v>
      </c>
      <c r="BR593" s="2387">
        <v>0</v>
      </c>
      <c r="BS593" s="2388">
        <v>0</v>
      </c>
      <c r="BT593" s="2386">
        <v>0</v>
      </c>
      <c r="BU593" s="2386">
        <v>701422455</v>
      </c>
      <c r="BV593" s="2389">
        <v>0</v>
      </c>
      <c r="BW593" s="2389">
        <v>0</v>
      </c>
      <c r="BX593" s="2386">
        <v>701422455</v>
      </c>
    </row>
    <row r="594" spans="2:76">
      <c r="B594" s="2564">
        <v>12211402</v>
      </c>
      <c r="C594" s="2565" t="s">
        <v>4254</v>
      </c>
      <c r="D594" s="2566">
        <v>0</v>
      </c>
      <c r="E594" s="1080">
        <v>0</v>
      </c>
      <c r="F594" s="2567">
        <v>0</v>
      </c>
      <c r="G594" s="2568">
        <v>0</v>
      </c>
      <c r="H594" s="2566">
        <v>0</v>
      </c>
      <c r="I594" s="2566">
        <v>0</v>
      </c>
      <c r="J594" s="2569">
        <v>0</v>
      </c>
      <c r="K594" s="2569">
        <v>0</v>
      </c>
      <c r="L594" s="2566">
        <v>0</v>
      </c>
      <c r="N594" s="2396">
        <v>12211402</v>
      </c>
      <c r="O594" s="2397" t="s">
        <v>4254</v>
      </c>
      <c r="P594" s="2398">
        <v>0</v>
      </c>
      <c r="Q594" s="2179">
        <v>0</v>
      </c>
      <c r="R594" s="2399">
        <v>0</v>
      </c>
      <c r="S594" s="2400">
        <v>0</v>
      </c>
      <c r="T594" s="2398">
        <v>0</v>
      </c>
      <c r="U594" s="2398">
        <v>0</v>
      </c>
      <c r="V594" s="2401">
        <v>0</v>
      </c>
      <c r="W594" s="2401">
        <v>0</v>
      </c>
      <c r="X594" s="2398">
        <v>0</v>
      </c>
      <c r="Z594" s="2396">
        <v>12211402</v>
      </c>
      <c r="AA594" s="2397" t="s">
        <v>4254</v>
      </c>
      <c r="AB594" s="2398">
        <v>0</v>
      </c>
      <c r="AC594" s="2179">
        <v>0</v>
      </c>
      <c r="AD594" s="2399">
        <v>0</v>
      </c>
      <c r="AE594" s="2400">
        <v>0</v>
      </c>
      <c r="AF594" s="2398">
        <v>0</v>
      </c>
      <c r="AG594" s="2398">
        <v>0</v>
      </c>
      <c r="AH594" s="2401">
        <v>0</v>
      </c>
      <c r="AI594" s="2401">
        <v>0</v>
      </c>
      <c r="AJ594" s="2398">
        <v>0</v>
      </c>
      <c r="AZ594" s="2396">
        <v>12211402</v>
      </c>
      <c r="BA594" s="2397" t="s">
        <v>4254</v>
      </c>
      <c r="BB594" s="2398">
        <v>0</v>
      </c>
      <c r="BC594" s="2179">
        <v>0</v>
      </c>
      <c r="BD594" s="2399">
        <v>0</v>
      </c>
      <c r="BE594" s="2400">
        <v>0</v>
      </c>
      <c r="BF594" s="2398">
        <v>0</v>
      </c>
      <c r="BG594" s="2398">
        <v>0</v>
      </c>
      <c r="BH594" s="2401">
        <v>0</v>
      </c>
      <c r="BI594" s="2401">
        <v>0</v>
      </c>
      <c r="BJ594" s="2398">
        <v>0</v>
      </c>
      <c r="BN594" s="2390">
        <v>21111000</v>
      </c>
      <c r="BO594" s="2403" t="s">
        <v>4276</v>
      </c>
      <c r="BP594" s="2392">
        <v>0</v>
      </c>
      <c r="BQ594" s="2392">
        <v>0</v>
      </c>
      <c r="BR594" s="2393">
        <v>0</v>
      </c>
      <c r="BS594" s="2394">
        <v>0</v>
      </c>
      <c r="BT594" s="2392">
        <v>0</v>
      </c>
      <c r="BU594" s="2392">
        <v>0</v>
      </c>
      <c r="BV594" s="2395">
        <v>0</v>
      </c>
      <c r="BW594" s="2395">
        <v>0</v>
      </c>
      <c r="BX594" s="2392">
        <v>0</v>
      </c>
    </row>
    <row r="595" spans="2:76">
      <c r="B595" s="2558">
        <v>12211500</v>
      </c>
      <c r="C595" s="2571" t="s">
        <v>4255</v>
      </c>
      <c r="D595" s="2560">
        <v>0</v>
      </c>
      <c r="E595" s="2560">
        <v>0</v>
      </c>
      <c r="F595" s="2561">
        <v>0</v>
      </c>
      <c r="G595" s="2562">
        <v>0</v>
      </c>
      <c r="H595" s="2560">
        <v>0</v>
      </c>
      <c r="I595" s="2560">
        <v>0</v>
      </c>
      <c r="J595" s="2563">
        <v>0</v>
      </c>
      <c r="K595" s="2563">
        <v>0</v>
      </c>
      <c r="L595" s="2560">
        <v>0</v>
      </c>
      <c r="N595" s="2390">
        <v>12211500</v>
      </c>
      <c r="O595" s="2403" t="s">
        <v>4255</v>
      </c>
      <c r="P595" s="2392">
        <v>0</v>
      </c>
      <c r="Q595" s="2392">
        <v>0</v>
      </c>
      <c r="R595" s="2393">
        <v>0</v>
      </c>
      <c r="S595" s="2394">
        <v>0</v>
      </c>
      <c r="T595" s="2392">
        <v>0</v>
      </c>
      <c r="U595" s="2392">
        <v>0</v>
      </c>
      <c r="V595" s="2395">
        <v>0</v>
      </c>
      <c r="W595" s="2395">
        <v>0</v>
      </c>
      <c r="X595" s="2392">
        <v>0</v>
      </c>
      <c r="Z595" s="2390">
        <v>12211500</v>
      </c>
      <c r="AA595" s="2403" t="s">
        <v>4255</v>
      </c>
      <c r="AB595" s="2392">
        <v>0</v>
      </c>
      <c r="AC595" s="2392">
        <v>0</v>
      </c>
      <c r="AD595" s="2393">
        <v>0</v>
      </c>
      <c r="AE595" s="2394">
        <v>0</v>
      </c>
      <c r="AF595" s="2392">
        <v>0</v>
      </c>
      <c r="AG595" s="2392">
        <v>0</v>
      </c>
      <c r="AH595" s="2395">
        <v>0</v>
      </c>
      <c r="AI595" s="2395">
        <v>0</v>
      </c>
      <c r="AJ595" s="2392">
        <v>0</v>
      </c>
      <c r="AZ595" s="2390">
        <v>12211500</v>
      </c>
      <c r="BA595" s="2403" t="s">
        <v>4255</v>
      </c>
      <c r="BB595" s="2392">
        <v>0</v>
      </c>
      <c r="BC595" s="2392">
        <v>0</v>
      </c>
      <c r="BD595" s="2393">
        <v>0</v>
      </c>
      <c r="BE595" s="2394">
        <v>0</v>
      </c>
      <c r="BF595" s="2392">
        <v>0</v>
      </c>
      <c r="BG595" s="2392">
        <v>0</v>
      </c>
      <c r="BH595" s="2395">
        <v>0</v>
      </c>
      <c r="BI595" s="2395">
        <v>0</v>
      </c>
      <c r="BJ595" s="2392">
        <v>0</v>
      </c>
      <c r="BN595" s="2396">
        <v>21111001</v>
      </c>
      <c r="BO595" s="2397" t="s">
        <v>4276</v>
      </c>
      <c r="BP595" s="2398">
        <v>0</v>
      </c>
      <c r="BQ595" s="2179">
        <v>0</v>
      </c>
      <c r="BR595" s="2399">
        <v>0</v>
      </c>
      <c r="BS595" s="2400">
        <v>0</v>
      </c>
      <c r="BT595" s="2398">
        <v>0</v>
      </c>
      <c r="BU595" s="2398">
        <v>0</v>
      </c>
      <c r="BV595" s="2401">
        <v>0</v>
      </c>
      <c r="BW595" s="2401">
        <v>0</v>
      </c>
      <c r="BX595" s="2398">
        <v>0</v>
      </c>
    </row>
    <row r="596" spans="2:76">
      <c r="B596" s="2564">
        <v>12211501</v>
      </c>
      <c r="C596" s="2565" t="s">
        <v>4255</v>
      </c>
      <c r="D596" s="2566">
        <v>0</v>
      </c>
      <c r="E596" s="1080">
        <v>0</v>
      </c>
      <c r="F596" s="2567">
        <v>0</v>
      </c>
      <c r="G596" s="2568">
        <v>0</v>
      </c>
      <c r="H596" s="2566">
        <v>0</v>
      </c>
      <c r="I596" s="2566">
        <v>0</v>
      </c>
      <c r="J596" s="2569">
        <v>0</v>
      </c>
      <c r="K596" s="2569">
        <v>0</v>
      </c>
      <c r="L596" s="2566">
        <v>0</v>
      </c>
      <c r="N596" s="2396">
        <v>12211501</v>
      </c>
      <c r="O596" s="2397" t="s">
        <v>4255</v>
      </c>
      <c r="P596" s="2398">
        <v>0</v>
      </c>
      <c r="Q596" s="2179">
        <v>0</v>
      </c>
      <c r="R596" s="2399">
        <v>0</v>
      </c>
      <c r="S596" s="2400">
        <v>0</v>
      </c>
      <c r="T596" s="2398">
        <v>0</v>
      </c>
      <c r="U596" s="2398">
        <v>0</v>
      </c>
      <c r="V596" s="2401">
        <v>0</v>
      </c>
      <c r="W596" s="2401">
        <v>0</v>
      </c>
      <c r="X596" s="2398">
        <v>0</v>
      </c>
      <c r="Z596" s="2396">
        <v>12211501</v>
      </c>
      <c r="AA596" s="2397" t="s">
        <v>4255</v>
      </c>
      <c r="AB596" s="2398">
        <v>0</v>
      </c>
      <c r="AC596" s="2179">
        <v>0</v>
      </c>
      <c r="AD596" s="2399">
        <v>0</v>
      </c>
      <c r="AE596" s="2400">
        <v>0</v>
      </c>
      <c r="AF596" s="2398">
        <v>0</v>
      </c>
      <c r="AG596" s="2398">
        <v>0</v>
      </c>
      <c r="AH596" s="2401">
        <v>0</v>
      </c>
      <c r="AI596" s="2401">
        <v>0</v>
      </c>
      <c r="AJ596" s="2398">
        <v>0</v>
      </c>
      <c r="AZ596" s="2396">
        <v>12211501</v>
      </c>
      <c r="BA596" s="2397" t="s">
        <v>4255</v>
      </c>
      <c r="BB596" s="2398">
        <v>0</v>
      </c>
      <c r="BC596" s="2179">
        <v>0</v>
      </c>
      <c r="BD596" s="2399">
        <v>0</v>
      </c>
      <c r="BE596" s="2400">
        <v>0</v>
      </c>
      <c r="BF596" s="2398">
        <v>0</v>
      </c>
      <c r="BG596" s="2398">
        <v>0</v>
      </c>
      <c r="BH596" s="2401">
        <v>0</v>
      </c>
      <c r="BI596" s="2401">
        <v>0</v>
      </c>
      <c r="BJ596" s="2398">
        <v>0</v>
      </c>
      <c r="BN596" s="2390">
        <v>21111100</v>
      </c>
      <c r="BO596" s="2403" t="s">
        <v>4277</v>
      </c>
      <c r="BP596" s="2392">
        <v>32950000</v>
      </c>
      <c r="BQ596" s="2392">
        <v>668472455</v>
      </c>
      <c r="BR596" s="2393">
        <v>0</v>
      </c>
      <c r="BS596" s="2394">
        <v>0</v>
      </c>
      <c r="BT596" s="2392">
        <v>0</v>
      </c>
      <c r="BU596" s="2392">
        <v>701422455</v>
      </c>
      <c r="BV596" s="2395">
        <v>0</v>
      </c>
      <c r="BW596" s="2395">
        <v>0</v>
      </c>
      <c r="BX596" s="2392">
        <v>701422455</v>
      </c>
    </row>
    <row r="597" spans="2:76">
      <c r="B597" s="2558">
        <v>12211600</v>
      </c>
      <c r="C597" s="2571" t="s">
        <v>4256</v>
      </c>
      <c r="D597" s="2560">
        <v>0</v>
      </c>
      <c r="E597" s="2560">
        <v>0</v>
      </c>
      <c r="F597" s="2561">
        <v>0</v>
      </c>
      <c r="G597" s="2562">
        <v>0</v>
      </c>
      <c r="H597" s="2560">
        <v>0</v>
      </c>
      <c r="I597" s="2560">
        <v>0</v>
      </c>
      <c r="J597" s="2563">
        <v>0</v>
      </c>
      <c r="K597" s="2563">
        <v>0</v>
      </c>
      <c r="L597" s="2560">
        <v>0</v>
      </c>
      <c r="N597" s="2390">
        <v>12211600</v>
      </c>
      <c r="O597" s="2403" t="s">
        <v>4256</v>
      </c>
      <c r="P597" s="2392">
        <v>0</v>
      </c>
      <c r="Q597" s="2392">
        <v>0</v>
      </c>
      <c r="R597" s="2393">
        <v>0</v>
      </c>
      <c r="S597" s="2394">
        <v>0</v>
      </c>
      <c r="T597" s="2392">
        <v>0</v>
      </c>
      <c r="U597" s="2392">
        <v>0</v>
      </c>
      <c r="V597" s="2395">
        <v>0</v>
      </c>
      <c r="W597" s="2395">
        <v>0</v>
      </c>
      <c r="X597" s="2392">
        <v>0</v>
      </c>
      <c r="Z597" s="2390">
        <v>12211600</v>
      </c>
      <c r="AA597" s="2403" t="s">
        <v>4256</v>
      </c>
      <c r="AB597" s="2392">
        <v>0</v>
      </c>
      <c r="AC597" s="2392">
        <v>0</v>
      </c>
      <c r="AD597" s="2393">
        <v>0</v>
      </c>
      <c r="AE597" s="2394">
        <v>0</v>
      </c>
      <c r="AF597" s="2392">
        <v>0</v>
      </c>
      <c r="AG597" s="2392">
        <v>0</v>
      </c>
      <c r="AH597" s="2395">
        <v>0</v>
      </c>
      <c r="AI597" s="2395">
        <v>0</v>
      </c>
      <c r="AJ597" s="2392">
        <v>0</v>
      </c>
      <c r="AZ597" s="2390">
        <v>12211600</v>
      </c>
      <c r="BA597" s="2403" t="s">
        <v>4256</v>
      </c>
      <c r="BB597" s="2392">
        <v>0</v>
      </c>
      <c r="BC597" s="2392">
        <v>0</v>
      </c>
      <c r="BD597" s="2393">
        <v>0</v>
      </c>
      <c r="BE597" s="2394">
        <v>0</v>
      </c>
      <c r="BF597" s="2392">
        <v>0</v>
      </c>
      <c r="BG597" s="2392">
        <v>0</v>
      </c>
      <c r="BH597" s="2395">
        <v>0</v>
      </c>
      <c r="BI597" s="2395">
        <v>0</v>
      </c>
      <c r="BJ597" s="2392">
        <v>0</v>
      </c>
      <c r="BN597" s="2396">
        <v>21111101</v>
      </c>
      <c r="BO597" s="2397" t="s">
        <v>4278</v>
      </c>
      <c r="BP597" s="2398">
        <v>32950000</v>
      </c>
      <c r="BQ597" s="2179">
        <v>0</v>
      </c>
      <c r="BR597" s="2399">
        <v>0</v>
      </c>
      <c r="BS597" s="2400">
        <v>0</v>
      </c>
      <c r="BT597" s="2398">
        <v>0</v>
      </c>
      <c r="BU597" s="2398">
        <v>32950000</v>
      </c>
      <c r="BV597" s="2401">
        <v>0</v>
      </c>
      <c r="BW597" s="2401">
        <v>0</v>
      </c>
      <c r="BX597" s="2398">
        <v>32950000</v>
      </c>
    </row>
    <row r="598" spans="2:76">
      <c r="B598" s="2564">
        <v>12211601</v>
      </c>
      <c r="C598" s="2565" t="s">
        <v>4256</v>
      </c>
      <c r="D598" s="2566">
        <v>0</v>
      </c>
      <c r="E598" s="1080">
        <v>0</v>
      </c>
      <c r="F598" s="2567">
        <v>0</v>
      </c>
      <c r="G598" s="2568">
        <v>0</v>
      </c>
      <c r="H598" s="2566">
        <v>0</v>
      </c>
      <c r="I598" s="2566">
        <v>0</v>
      </c>
      <c r="J598" s="2569">
        <v>0</v>
      </c>
      <c r="K598" s="2569">
        <v>0</v>
      </c>
      <c r="L598" s="2566">
        <v>0</v>
      </c>
      <c r="N598" s="2396">
        <v>12211601</v>
      </c>
      <c r="O598" s="2397" t="s">
        <v>4256</v>
      </c>
      <c r="P598" s="2398">
        <v>0</v>
      </c>
      <c r="Q598" s="2179">
        <v>0</v>
      </c>
      <c r="R598" s="2399">
        <v>0</v>
      </c>
      <c r="S598" s="2400">
        <v>0</v>
      </c>
      <c r="T598" s="2398">
        <v>0</v>
      </c>
      <c r="U598" s="2398">
        <v>0</v>
      </c>
      <c r="V598" s="2401">
        <v>0</v>
      </c>
      <c r="W598" s="2401">
        <v>0</v>
      </c>
      <c r="X598" s="2398">
        <v>0</v>
      </c>
      <c r="Z598" s="2396">
        <v>12211601</v>
      </c>
      <c r="AA598" s="2397" t="s">
        <v>4256</v>
      </c>
      <c r="AB598" s="2398">
        <v>0</v>
      </c>
      <c r="AC598" s="2179">
        <v>0</v>
      </c>
      <c r="AD598" s="2399">
        <v>0</v>
      </c>
      <c r="AE598" s="2400">
        <v>0</v>
      </c>
      <c r="AF598" s="2398">
        <v>0</v>
      </c>
      <c r="AG598" s="2398">
        <v>0</v>
      </c>
      <c r="AH598" s="2401">
        <v>0</v>
      </c>
      <c r="AI598" s="2401">
        <v>0</v>
      </c>
      <c r="AJ598" s="2398">
        <v>0</v>
      </c>
      <c r="AZ598" s="2396">
        <v>12211601</v>
      </c>
      <c r="BA598" s="2397" t="s">
        <v>4256</v>
      </c>
      <c r="BB598" s="2398">
        <v>0</v>
      </c>
      <c r="BC598" s="2179">
        <v>0</v>
      </c>
      <c r="BD598" s="2399">
        <v>0</v>
      </c>
      <c r="BE598" s="2400">
        <v>0</v>
      </c>
      <c r="BF598" s="2398">
        <v>0</v>
      </c>
      <c r="BG598" s="2398">
        <v>0</v>
      </c>
      <c r="BH598" s="2401">
        <v>0</v>
      </c>
      <c r="BI598" s="2401">
        <v>0</v>
      </c>
      <c r="BJ598" s="2398">
        <v>0</v>
      </c>
      <c r="BN598" s="2396">
        <v>21111102</v>
      </c>
      <c r="BO598" s="2397" t="s">
        <v>4279</v>
      </c>
      <c r="BP598" s="2398">
        <v>0</v>
      </c>
      <c r="BQ598" s="2179">
        <v>668472455</v>
      </c>
      <c r="BR598" s="2399">
        <v>0</v>
      </c>
      <c r="BS598" s="2400">
        <v>0</v>
      </c>
      <c r="BT598" s="2398">
        <v>0</v>
      </c>
      <c r="BU598" s="2398">
        <v>668472455</v>
      </c>
      <c r="BV598" s="2401">
        <v>0</v>
      </c>
      <c r="BW598" s="2401">
        <v>0</v>
      </c>
      <c r="BX598" s="2398">
        <v>668472455</v>
      </c>
    </row>
    <row r="599" spans="2:76">
      <c r="B599" s="2564">
        <v>12211602</v>
      </c>
      <c r="C599" s="2565" t="s">
        <v>4257</v>
      </c>
      <c r="D599" s="2566">
        <v>0</v>
      </c>
      <c r="E599" s="1080">
        <v>0</v>
      </c>
      <c r="F599" s="2567">
        <v>0</v>
      </c>
      <c r="G599" s="2568">
        <v>0</v>
      </c>
      <c r="H599" s="2566">
        <v>0</v>
      </c>
      <c r="I599" s="2566">
        <v>0</v>
      </c>
      <c r="J599" s="2569">
        <v>0</v>
      </c>
      <c r="K599" s="2569">
        <v>0</v>
      </c>
      <c r="L599" s="2566">
        <v>0</v>
      </c>
      <c r="N599" s="2396">
        <v>12211602</v>
      </c>
      <c r="O599" s="2397" t="s">
        <v>4257</v>
      </c>
      <c r="P599" s="2398">
        <v>0</v>
      </c>
      <c r="Q599" s="2179">
        <v>0</v>
      </c>
      <c r="R599" s="2399">
        <v>0</v>
      </c>
      <c r="S599" s="2400">
        <v>0</v>
      </c>
      <c r="T599" s="2398">
        <v>0</v>
      </c>
      <c r="U599" s="2398">
        <v>0</v>
      </c>
      <c r="V599" s="2401">
        <v>0</v>
      </c>
      <c r="W599" s="2401">
        <v>0</v>
      </c>
      <c r="X599" s="2398">
        <v>0</v>
      </c>
      <c r="Z599" s="2396">
        <v>12211602</v>
      </c>
      <c r="AA599" s="2397" t="s">
        <v>4257</v>
      </c>
      <c r="AB599" s="2398">
        <v>0</v>
      </c>
      <c r="AC599" s="2179">
        <v>0</v>
      </c>
      <c r="AD599" s="2399">
        <v>0</v>
      </c>
      <c r="AE599" s="2400">
        <v>0</v>
      </c>
      <c r="AF599" s="2398">
        <v>0</v>
      </c>
      <c r="AG599" s="2398">
        <v>0</v>
      </c>
      <c r="AH599" s="2401">
        <v>0</v>
      </c>
      <c r="AI599" s="2401">
        <v>0</v>
      </c>
      <c r="AJ599" s="2398">
        <v>0</v>
      </c>
      <c r="AZ599" s="2396">
        <v>12211602</v>
      </c>
      <c r="BA599" s="2397" t="s">
        <v>4257</v>
      </c>
      <c r="BB599" s="2398">
        <v>0</v>
      </c>
      <c r="BC599" s="2179">
        <v>0</v>
      </c>
      <c r="BD599" s="2399">
        <v>0</v>
      </c>
      <c r="BE599" s="2400">
        <v>0</v>
      </c>
      <c r="BF599" s="2398">
        <v>0</v>
      </c>
      <c r="BG599" s="2398">
        <v>0</v>
      </c>
      <c r="BH599" s="2401">
        <v>0</v>
      </c>
      <c r="BI599" s="2401">
        <v>0</v>
      </c>
      <c r="BJ599" s="2398">
        <v>0</v>
      </c>
      <c r="BN599" s="2384">
        <v>21120000</v>
      </c>
      <c r="BO599" s="2402" t="s">
        <v>4280</v>
      </c>
      <c r="BP599" s="2386">
        <v>4834969740</v>
      </c>
      <c r="BQ599" s="2386">
        <v>0</v>
      </c>
      <c r="BR599" s="2387">
        <v>0</v>
      </c>
      <c r="BS599" s="2388">
        <v>0</v>
      </c>
      <c r="BT599" s="2386">
        <v>0</v>
      </c>
      <c r="BU599" s="2386">
        <v>4834969740</v>
      </c>
      <c r="BV599" s="2389">
        <v>0</v>
      </c>
      <c r="BW599" s="2389">
        <v>0</v>
      </c>
      <c r="BX599" s="2386">
        <v>4834969740</v>
      </c>
    </row>
    <row r="600" spans="2:76">
      <c r="B600" s="2552">
        <v>12211700</v>
      </c>
      <c r="C600" s="2570" t="s">
        <v>4258</v>
      </c>
      <c r="D600" s="2554">
        <v>0</v>
      </c>
      <c r="E600" s="2554">
        <v>0</v>
      </c>
      <c r="F600" s="2555">
        <v>0</v>
      </c>
      <c r="G600" s="2556">
        <v>0</v>
      </c>
      <c r="H600" s="2554">
        <v>0</v>
      </c>
      <c r="I600" s="2554">
        <v>0</v>
      </c>
      <c r="J600" s="2557">
        <v>0</v>
      </c>
      <c r="K600" s="2557">
        <v>0</v>
      </c>
      <c r="L600" s="2554">
        <v>0</v>
      </c>
      <c r="N600" s="2384">
        <v>12211700</v>
      </c>
      <c r="O600" s="2402" t="s">
        <v>4258</v>
      </c>
      <c r="P600" s="2386">
        <v>0</v>
      </c>
      <c r="Q600" s="2386">
        <v>0</v>
      </c>
      <c r="R600" s="2387">
        <v>74087023</v>
      </c>
      <c r="S600" s="2388">
        <v>0</v>
      </c>
      <c r="T600" s="2386">
        <v>0</v>
      </c>
      <c r="U600" s="2386">
        <v>74087023</v>
      </c>
      <c r="V600" s="2389">
        <v>0</v>
      </c>
      <c r="W600" s="2389">
        <v>0</v>
      </c>
      <c r="X600" s="2386">
        <v>74087023</v>
      </c>
      <c r="Z600" s="2384">
        <v>12211700</v>
      </c>
      <c r="AA600" s="2402" t="s">
        <v>4258</v>
      </c>
      <c r="AB600" s="2386">
        <v>4843672161</v>
      </c>
      <c r="AC600" s="2386">
        <v>0</v>
      </c>
      <c r="AD600" s="2387">
        <v>362433631</v>
      </c>
      <c r="AE600" s="2388">
        <v>0</v>
      </c>
      <c r="AF600" s="2386">
        <v>0</v>
      </c>
      <c r="AG600" s="2386">
        <v>5206105792</v>
      </c>
      <c r="AH600" s="2389">
        <v>0</v>
      </c>
      <c r="AI600" s="2389">
        <v>0</v>
      </c>
      <c r="AJ600" s="2386">
        <v>5206105792</v>
      </c>
      <c r="AZ600" s="2384">
        <v>12211700</v>
      </c>
      <c r="BA600" s="2402" t="s">
        <v>4258</v>
      </c>
      <c r="BB600" s="2386">
        <v>2748747678</v>
      </c>
      <c r="BC600" s="2386">
        <v>0</v>
      </c>
      <c r="BD600" s="2387">
        <v>0</v>
      </c>
      <c r="BE600" s="2388">
        <v>0</v>
      </c>
      <c r="BF600" s="2386">
        <v>0</v>
      </c>
      <c r="BG600" s="2386">
        <v>2748747678</v>
      </c>
      <c r="BH600" s="2389">
        <v>0</v>
      </c>
      <c r="BI600" s="2389">
        <v>0</v>
      </c>
      <c r="BJ600" s="2386">
        <v>2748747678</v>
      </c>
      <c r="BN600" s="2390">
        <v>21121000</v>
      </c>
      <c r="BO600" s="2403" t="s">
        <v>4281</v>
      </c>
      <c r="BP600" s="2392">
        <v>483442401</v>
      </c>
      <c r="BQ600" s="2392">
        <v>0</v>
      </c>
      <c r="BR600" s="2393">
        <v>0</v>
      </c>
      <c r="BS600" s="2394">
        <v>0</v>
      </c>
      <c r="BT600" s="2392">
        <v>0</v>
      </c>
      <c r="BU600" s="2392">
        <v>483442401</v>
      </c>
      <c r="BV600" s="2395">
        <v>0</v>
      </c>
      <c r="BW600" s="2395">
        <v>0</v>
      </c>
      <c r="BX600" s="2392">
        <v>483442401</v>
      </c>
    </row>
    <row r="601" spans="2:76">
      <c r="B601" s="2564">
        <v>12211701</v>
      </c>
      <c r="C601" s="2565" t="s">
        <v>4258</v>
      </c>
      <c r="D601" s="2566">
        <v>0</v>
      </c>
      <c r="E601" s="1080">
        <v>0</v>
      </c>
      <c r="F601" s="2567">
        <v>0</v>
      </c>
      <c r="G601" s="2568">
        <v>0</v>
      </c>
      <c r="H601" s="2566">
        <v>0</v>
      </c>
      <c r="I601" s="2566">
        <v>0</v>
      </c>
      <c r="J601" s="2569">
        <v>0</v>
      </c>
      <c r="K601" s="2569">
        <v>0</v>
      </c>
      <c r="L601" s="2566">
        <v>0</v>
      </c>
      <c r="N601" s="2396">
        <v>12211701</v>
      </c>
      <c r="O601" s="2397" t="s">
        <v>4258</v>
      </c>
      <c r="P601" s="2398">
        <v>0</v>
      </c>
      <c r="Q601" s="2179">
        <v>0</v>
      </c>
      <c r="R601" s="2399">
        <v>74087023</v>
      </c>
      <c r="S601" s="2400">
        <v>0</v>
      </c>
      <c r="T601" s="2398">
        <v>0</v>
      </c>
      <c r="U601" s="2398">
        <v>74087023</v>
      </c>
      <c r="V601" s="2401">
        <v>0</v>
      </c>
      <c r="W601" s="2401">
        <v>0</v>
      </c>
      <c r="X601" s="2398">
        <v>74087023</v>
      </c>
      <c r="Z601" s="2396">
        <v>12211701</v>
      </c>
      <c r="AA601" s="2397" t="s">
        <v>4258</v>
      </c>
      <c r="AB601" s="2398">
        <v>4843672161</v>
      </c>
      <c r="AC601" s="2179">
        <v>0</v>
      </c>
      <c r="AD601" s="2399">
        <v>362433631</v>
      </c>
      <c r="AE601" s="2400">
        <v>0</v>
      </c>
      <c r="AF601" s="2398">
        <v>0</v>
      </c>
      <c r="AG601" s="2398">
        <v>5206105792</v>
      </c>
      <c r="AH601" s="2401">
        <v>0</v>
      </c>
      <c r="AI601" s="2401">
        <v>0</v>
      </c>
      <c r="AJ601" s="2398">
        <v>5206105792</v>
      </c>
      <c r="AZ601" s="2396">
        <v>12211701</v>
      </c>
      <c r="BA601" s="2397" t="s">
        <v>4258</v>
      </c>
      <c r="BB601" s="2398">
        <v>2748747678</v>
      </c>
      <c r="BC601" s="2179">
        <v>0</v>
      </c>
      <c r="BD601" s="2399">
        <v>0</v>
      </c>
      <c r="BE601" s="2400">
        <v>0</v>
      </c>
      <c r="BF601" s="2398">
        <v>0</v>
      </c>
      <c r="BG601" s="2398">
        <v>2748747678</v>
      </c>
      <c r="BH601" s="2401">
        <v>0</v>
      </c>
      <c r="BI601" s="2401">
        <v>0</v>
      </c>
      <c r="BJ601" s="2398">
        <v>2748747678</v>
      </c>
      <c r="BN601" s="2396">
        <v>21121001</v>
      </c>
      <c r="BO601" s="2397" t="s">
        <v>4282</v>
      </c>
      <c r="BP601" s="2398">
        <v>0</v>
      </c>
      <c r="BQ601" s="2179">
        <v>0</v>
      </c>
      <c r="BR601" s="2399">
        <v>0</v>
      </c>
      <c r="BS601" s="2400">
        <v>0</v>
      </c>
      <c r="BT601" s="2398">
        <v>0</v>
      </c>
      <c r="BU601" s="2398">
        <v>0</v>
      </c>
      <c r="BV601" s="2401">
        <v>0</v>
      </c>
      <c r="BW601" s="2401">
        <v>0</v>
      </c>
      <c r="BX601" s="2398">
        <v>0</v>
      </c>
    </row>
    <row r="602" spans="2:76">
      <c r="B602" s="2552">
        <v>12990000</v>
      </c>
      <c r="C602" s="2570" t="s">
        <v>4259</v>
      </c>
      <c r="D602" s="2554">
        <v>0</v>
      </c>
      <c r="E602" s="2554">
        <v>0</v>
      </c>
      <c r="F602" s="2555">
        <v>0</v>
      </c>
      <c r="G602" s="2556">
        <v>0</v>
      </c>
      <c r="H602" s="2554">
        <v>0</v>
      </c>
      <c r="I602" s="2554">
        <v>0</v>
      </c>
      <c r="J602" s="2557">
        <v>0</v>
      </c>
      <c r="K602" s="2557">
        <v>0</v>
      </c>
      <c r="L602" s="2554">
        <v>0</v>
      </c>
      <c r="N602" s="2384">
        <v>12990000</v>
      </c>
      <c r="O602" s="2402" t="s">
        <v>4259</v>
      </c>
      <c r="P602" s="2386">
        <v>0</v>
      </c>
      <c r="Q602" s="2386">
        <v>0</v>
      </c>
      <c r="R602" s="2387">
        <v>0</v>
      </c>
      <c r="S602" s="2388">
        <v>0</v>
      </c>
      <c r="T602" s="2386">
        <v>0</v>
      </c>
      <c r="U602" s="2386">
        <v>0</v>
      </c>
      <c r="V602" s="2389">
        <v>0</v>
      </c>
      <c r="W602" s="2389">
        <v>0</v>
      </c>
      <c r="X602" s="2386">
        <v>0</v>
      </c>
      <c r="Z602" s="2384">
        <v>12990000</v>
      </c>
      <c r="AA602" s="2402" t="s">
        <v>4259</v>
      </c>
      <c r="AB602" s="2386">
        <v>0</v>
      </c>
      <c r="AC602" s="2386">
        <v>0</v>
      </c>
      <c r="AD602" s="2387">
        <v>0</v>
      </c>
      <c r="AE602" s="2388">
        <v>0</v>
      </c>
      <c r="AF602" s="2386">
        <v>0</v>
      </c>
      <c r="AG602" s="2386">
        <v>0</v>
      </c>
      <c r="AH602" s="2389">
        <v>0</v>
      </c>
      <c r="AI602" s="2389">
        <v>0</v>
      </c>
      <c r="AJ602" s="2386">
        <v>0</v>
      </c>
      <c r="AZ602" s="2384">
        <v>12990000</v>
      </c>
      <c r="BA602" s="2402" t="s">
        <v>4259</v>
      </c>
      <c r="BB602" s="2386">
        <v>0</v>
      </c>
      <c r="BC602" s="2386">
        <v>0</v>
      </c>
      <c r="BD602" s="2387">
        <v>0</v>
      </c>
      <c r="BE602" s="2388">
        <v>0</v>
      </c>
      <c r="BF602" s="2386">
        <v>0</v>
      </c>
      <c r="BG602" s="2386">
        <v>0</v>
      </c>
      <c r="BH602" s="2389">
        <v>0</v>
      </c>
      <c r="BI602" s="2389">
        <v>0</v>
      </c>
      <c r="BJ602" s="2386">
        <v>0</v>
      </c>
      <c r="BN602" s="2396">
        <v>21121002</v>
      </c>
      <c r="BO602" s="2397" t="s">
        <v>4283</v>
      </c>
      <c r="BP602" s="2398">
        <v>483442401</v>
      </c>
      <c r="BQ602" s="2179">
        <v>0</v>
      </c>
      <c r="BR602" s="2399">
        <v>0</v>
      </c>
      <c r="BS602" s="2400">
        <v>0</v>
      </c>
      <c r="BT602" s="2398">
        <v>0</v>
      </c>
      <c r="BU602" s="2398">
        <v>483442401</v>
      </c>
      <c r="BV602" s="2401">
        <v>0</v>
      </c>
      <c r="BW602" s="2401">
        <v>0</v>
      </c>
      <c r="BX602" s="2398">
        <v>483442401</v>
      </c>
    </row>
    <row r="603" spans="2:76">
      <c r="B603" s="2558">
        <v>12991000</v>
      </c>
      <c r="C603" s="2571" t="s">
        <v>4260</v>
      </c>
      <c r="D603" s="2560">
        <v>0</v>
      </c>
      <c r="E603" s="2560">
        <v>0</v>
      </c>
      <c r="F603" s="2561">
        <v>0</v>
      </c>
      <c r="G603" s="2562">
        <v>0</v>
      </c>
      <c r="H603" s="2560">
        <v>0</v>
      </c>
      <c r="I603" s="2560">
        <v>0</v>
      </c>
      <c r="J603" s="2563">
        <v>0</v>
      </c>
      <c r="K603" s="2563">
        <v>0</v>
      </c>
      <c r="L603" s="2560">
        <v>0</v>
      </c>
      <c r="N603" s="2390">
        <v>12991000</v>
      </c>
      <c r="O603" s="2403" t="s">
        <v>4260</v>
      </c>
      <c r="P603" s="2392">
        <v>0</v>
      </c>
      <c r="Q603" s="2392">
        <v>0</v>
      </c>
      <c r="R603" s="2393">
        <v>0</v>
      </c>
      <c r="S603" s="2394">
        <v>0</v>
      </c>
      <c r="T603" s="2392">
        <v>0</v>
      </c>
      <c r="U603" s="2392">
        <v>0</v>
      </c>
      <c r="V603" s="2395">
        <v>0</v>
      </c>
      <c r="W603" s="2395">
        <v>0</v>
      </c>
      <c r="X603" s="2392">
        <v>0</v>
      </c>
      <c r="Z603" s="2390">
        <v>12991000</v>
      </c>
      <c r="AA603" s="2403" t="s">
        <v>4260</v>
      </c>
      <c r="AB603" s="2392">
        <v>0</v>
      </c>
      <c r="AC603" s="2392">
        <v>0</v>
      </c>
      <c r="AD603" s="2393">
        <v>0</v>
      </c>
      <c r="AE603" s="2394">
        <v>0</v>
      </c>
      <c r="AF603" s="2392">
        <v>0</v>
      </c>
      <c r="AG603" s="2392">
        <v>0</v>
      </c>
      <c r="AH603" s="2395">
        <v>0</v>
      </c>
      <c r="AI603" s="2395">
        <v>0</v>
      </c>
      <c r="AJ603" s="2392">
        <v>0</v>
      </c>
      <c r="AZ603" s="2390">
        <v>12991000</v>
      </c>
      <c r="BA603" s="2403" t="s">
        <v>4260</v>
      </c>
      <c r="BB603" s="2392">
        <v>0</v>
      </c>
      <c r="BC603" s="2392">
        <v>0</v>
      </c>
      <c r="BD603" s="2393">
        <v>0</v>
      </c>
      <c r="BE603" s="2394">
        <v>0</v>
      </c>
      <c r="BF603" s="2392">
        <v>0</v>
      </c>
      <c r="BG603" s="2392">
        <v>0</v>
      </c>
      <c r="BH603" s="2395">
        <v>0</v>
      </c>
      <c r="BI603" s="2395">
        <v>0</v>
      </c>
      <c r="BJ603" s="2392">
        <v>0</v>
      </c>
      <c r="BN603" s="2396">
        <v>21121003</v>
      </c>
      <c r="BO603" s="2397" t="s">
        <v>4284</v>
      </c>
      <c r="BP603" s="2398">
        <v>0</v>
      </c>
      <c r="BQ603" s="2179">
        <v>0</v>
      </c>
      <c r="BR603" s="2399">
        <v>0</v>
      </c>
      <c r="BS603" s="2400">
        <v>0</v>
      </c>
      <c r="BT603" s="2398">
        <v>0</v>
      </c>
      <c r="BU603" s="2398">
        <v>0</v>
      </c>
      <c r="BV603" s="2401">
        <v>0</v>
      </c>
      <c r="BW603" s="2401">
        <v>0</v>
      </c>
      <c r="BX603" s="2398">
        <v>0</v>
      </c>
    </row>
    <row r="604" spans="2:76">
      <c r="B604" s="2564">
        <v>12991001</v>
      </c>
      <c r="C604" s="2565" t="s">
        <v>4261</v>
      </c>
      <c r="D604" s="2566">
        <v>0</v>
      </c>
      <c r="E604" s="1080">
        <v>0</v>
      </c>
      <c r="F604" s="2567">
        <v>0</v>
      </c>
      <c r="G604" s="2568">
        <v>0</v>
      </c>
      <c r="H604" s="2566">
        <v>0</v>
      </c>
      <c r="I604" s="2566">
        <v>0</v>
      </c>
      <c r="J604" s="2569">
        <v>0</v>
      </c>
      <c r="K604" s="2569">
        <v>0</v>
      </c>
      <c r="L604" s="2566">
        <v>0</v>
      </c>
      <c r="N604" s="2396">
        <v>12991001</v>
      </c>
      <c r="O604" s="2397" t="s">
        <v>4261</v>
      </c>
      <c r="P604" s="2398">
        <v>0</v>
      </c>
      <c r="Q604" s="2179">
        <v>0</v>
      </c>
      <c r="R604" s="2399">
        <v>0</v>
      </c>
      <c r="S604" s="2400">
        <v>0</v>
      </c>
      <c r="T604" s="2398">
        <v>0</v>
      </c>
      <c r="U604" s="2398">
        <v>0</v>
      </c>
      <c r="V604" s="2401">
        <v>0</v>
      </c>
      <c r="W604" s="2401">
        <v>0</v>
      </c>
      <c r="X604" s="2398">
        <v>0</v>
      </c>
      <c r="Z604" s="2396">
        <v>12991001</v>
      </c>
      <c r="AA604" s="2397" t="s">
        <v>4261</v>
      </c>
      <c r="AB604" s="2398">
        <v>0</v>
      </c>
      <c r="AC604" s="2179">
        <v>0</v>
      </c>
      <c r="AD604" s="2399">
        <v>0</v>
      </c>
      <c r="AE604" s="2400">
        <v>0</v>
      </c>
      <c r="AF604" s="2398">
        <v>0</v>
      </c>
      <c r="AG604" s="2398">
        <v>0</v>
      </c>
      <c r="AH604" s="2401">
        <v>0</v>
      </c>
      <c r="AI604" s="2401">
        <v>0</v>
      </c>
      <c r="AJ604" s="2398">
        <v>0</v>
      </c>
      <c r="AZ604" s="2396">
        <v>12991001</v>
      </c>
      <c r="BA604" s="2397" t="s">
        <v>4261</v>
      </c>
      <c r="BB604" s="2398">
        <v>0</v>
      </c>
      <c r="BC604" s="2179">
        <v>0</v>
      </c>
      <c r="BD604" s="2399">
        <v>0</v>
      </c>
      <c r="BE604" s="2400">
        <v>0</v>
      </c>
      <c r="BF604" s="2398">
        <v>0</v>
      </c>
      <c r="BG604" s="2398">
        <v>0</v>
      </c>
      <c r="BH604" s="2401">
        <v>0</v>
      </c>
      <c r="BI604" s="2401">
        <v>0</v>
      </c>
      <c r="BJ604" s="2398">
        <v>0</v>
      </c>
      <c r="BN604" s="2390">
        <v>21121100</v>
      </c>
      <c r="BO604" s="2403" t="s">
        <v>4285</v>
      </c>
      <c r="BP604" s="2392">
        <v>4351527339</v>
      </c>
      <c r="BQ604" s="2392">
        <v>0</v>
      </c>
      <c r="BR604" s="2393">
        <v>0</v>
      </c>
      <c r="BS604" s="2394">
        <v>0</v>
      </c>
      <c r="BT604" s="2392">
        <v>0</v>
      </c>
      <c r="BU604" s="2392">
        <v>4351527339</v>
      </c>
      <c r="BV604" s="2395">
        <v>0</v>
      </c>
      <c r="BW604" s="2395">
        <v>0</v>
      </c>
      <c r="BX604" s="2392">
        <v>4351527339</v>
      </c>
    </row>
    <row r="605" spans="2:76">
      <c r="B605" s="2558">
        <v>12991100</v>
      </c>
      <c r="C605" s="2571" t="s">
        <v>4262</v>
      </c>
      <c r="D605" s="2560">
        <v>0</v>
      </c>
      <c r="E605" s="2560">
        <v>0</v>
      </c>
      <c r="F605" s="2561">
        <v>0</v>
      </c>
      <c r="G605" s="2562">
        <v>0</v>
      </c>
      <c r="H605" s="2560">
        <v>0</v>
      </c>
      <c r="I605" s="2560">
        <v>0</v>
      </c>
      <c r="J605" s="2563">
        <v>0</v>
      </c>
      <c r="K605" s="2563">
        <v>0</v>
      </c>
      <c r="L605" s="2560">
        <v>0</v>
      </c>
      <c r="N605" s="2390">
        <v>12991100</v>
      </c>
      <c r="O605" s="2403" t="s">
        <v>4262</v>
      </c>
      <c r="P605" s="2392">
        <v>0</v>
      </c>
      <c r="Q605" s="2392">
        <v>0</v>
      </c>
      <c r="R605" s="2393">
        <v>0</v>
      </c>
      <c r="S605" s="2394">
        <v>0</v>
      </c>
      <c r="T605" s="2392">
        <v>0</v>
      </c>
      <c r="U605" s="2392">
        <v>0</v>
      </c>
      <c r="V605" s="2395">
        <v>0</v>
      </c>
      <c r="W605" s="2395">
        <v>0</v>
      </c>
      <c r="X605" s="2392">
        <v>0</v>
      </c>
      <c r="Z605" s="2390">
        <v>12991100</v>
      </c>
      <c r="AA605" s="2403" t="s">
        <v>4262</v>
      </c>
      <c r="AB605" s="2392">
        <v>0</v>
      </c>
      <c r="AC605" s="2392">
        <v>0</v>
      </c>
      <c r="AD605" s="2393">
        <v>0</v>
      </c>
      <c r="AE605" s="2394">
        <v>0</v>
      </c>
      <c r="AF605" s="2392">
        <v>0</v>
      </c>
      <c r="AG605" s="2392">
        <v>0</v>
      </c>
      <c r="AH605" s="2395">
        <v>0</v>
      </c>
      <c r="AI605" s="2395">
        <v>0</v>
      </c>
      <c r="AJ605" s="2392">
        <v>0</v>
      </c>
      <c r="AZ605" s="2390">
        <v>12991100</v>
      </c>
      <c r="BA605" s="2403" t="s">
        <v>4262</v>
      </c>
      <c r="BB605" s="2392">
        <v>0</v>
      </c>
      <c r="BC605" s="2392">
        <v>0</v>
      </c>
      <c r="BD605" s="2393">
        <v>0</v>
      </c>
      <c r="BE605" s="2394">
        <v>0</v>
      </c>
      <c r="BF605" s="2392">
        <v>0</v>
      </c>
      <c r="BG605" s="2392">
        <v>0</v>
      </c>
      <c r="BH605" s="2395">
        <v>0</v>
      </c>
      <c r="BI605" s="2395">
        <v>0</v>
      </c>
      <c r="BJ605" s="2392">
        <v>0</v>
      </c>
      <c r="BN605" s="2396">
        <v>21121101</v>
      </c>
      <c r="BO605" s="2397" t="s">
        <v>4286</v>
      </c>
      <c r="BP605" s="2398">
        <v>17040905</v>
      </c>
      <c r="BQ605" s="2179">
        <v>0</v>
      </c>
      <c r="BR605" s="2399">
        <v>0</v>
      </c>
      <c r="BS605" s="2400">
        <v>0</v>
      </c>
      <c r="BT605" s="2398">
        <v>0</v>
      </c>
      <c r="BU605" s="2398">
        <v>17040905</v>
      </c>
      <c r="BV605" s="2401">
        <v>0</v>
      </c>
      <c r="BW605" s="2401">
        <v>0</v>
      </c>
      <c r="BX605" s="2398">
        <v>17040905</v>
      </c>
    </row>
    <row r="606" spans="2:76">
      <c r="B606" s="2564">
        <v>12991101</v>
      </c>
      <c r="C606" s="2565" t="s">
        <v>4263</v>
      </c>
      <c r="D606" s="2566">
        <v>0</v>
      </c>
      <c r="E606" s="1080">
        <v>0</v>
      </c>
      <c r="F606" s="2567">
        <v>0</v>
      </c>
      <c r="G606" s="2568">
        <v>0</v>
      </c>
      <c r="H606" s="2566">
        <v>0</v>
      </c>
      <c r="I606" s="2566">
        <v>0</v>
      </c>
      <c r="J606" s="2569">
        <v>0</v>
      </c>
      <c r="K606" s="2569">
        <v>0</v>
      </c>
      <c r="L606" s="2566">
        <v>0</v>
      </c>
      <c r="N606" s="2396">
        <v>12991101</v>
      </c>
      <c r="O606" s="2397" t="s">
        <v>4263</v>
      </c>
      <c r="P606" s="2398">
        <v>0</v>
      </c>
      <c r="Q606" s="2179">
        <v>0</v>
      </c>
      <c r="R606" s="2399">
        <v>0</v>
      </c>
      <c r="S606" s="2400">
        <v>0</v>
      </c>
      <c r="T606" s="2398">
        <v>0</v>
      </c>
      <c r="U606" s="2398">
        <v>0</v>
      </c>
      <c r="V606" s="2401">
        <v>0</v>
      </c>
      <c r="W606" s="2401">
        <v>0</v>
      </c>
      <c r="X606" s="2398">
        <v>0</v>
      </c>
      <c r="Z606" s="2396">
        <v>12991101</v>
      </c>
      <c r="AA606" s="2397" t="s">
        <v>4263</v>
      </c>
      <c r="AB606" s="2398">
        <v>0</v>
      </c>
      <c r="AC606" s="2179">
        <v>0</v>
      </c>
      <c r="AD606" s="2399">
        <v>0</v>
      </c>
      <c r="AE606" s="2400">
        <v>0</v>
      </c>
      <c r="AF606" s="2398">
        <v>0</v>
      </c>
      <c r="AG606" s="2398">
        <v>0</v>
      </c>
      <c r="AH606" s="2401">
        <v>0</v>
      </c>
      <c r="AI606" s="2401">
        <v>0</v>
      </c>
      <c r="AJ606" s="2398">
        <v>0</v>
      </c>
      <c r="AZ606" s="2396">
        <v>12991101</v>
      </c>
      <c r="BA606" s="2397" t="s">
        <v>4263</v>
      </c>
      <c r="BB606" s="2398">
        <v>0</v>
      </c>
      <c r="BC606" s="2179">
        <v>0</v>
      </c>
      <c r="BD606" s="2399">
        <v>0</v>
      </c>
      <c r="BE606" s="2400">
        <v>0</v>
      </c>
      <c r="BF606" s="2398">
        <v>0</v>
      </c>
      <c r="BG606" s="2398">
        <v>0</v>
      </c>
      <c r="BH606" s="2401">
        <v>0</v>
      </c>
      <c r="BI606" s="2401">
        <v>0</v>
      </c>
      <c r="BJ606" s="2398">
        <v>0</v>
      </c>
      <c r="BN606" s="2396">
        <v>21121102</v>
      </c>
      <c r="BO606" s="2397" t="s">
        <v>4287</v>
      </c>
      <c r="BP606" s="2398">
        <v>4334486434</v>
      </c>
      <c r="BQ606" s="2179">
        <v>0</v>
      </c>
      <c r="BR606" s="2399">
        <v>0</v>
      </c>
      <c r="BS606" s="2400">
        <v>0</v>
      </c>
      <c r="BT606" s="2398">
        <v>0</v>
      </c>
      <c r="BU606" s="2398">
        <v>4334486434</v>
      </c>
      <c r="BV606" s="2401">
        <v>0</v>
      </c>
      <c r="BW606" s="2401">
        <v>0</v>
      </c>
      <c r="BX606" s="2398">
        <v>4334486434</v>
      </c>
    </row>
    <row r="607" spans="2:76">
      <c r="B607" s="2564">
        <v>12991102</v>
      </c>
      <c r="C607" s="2565" t="s">
        <v>4264</v>
      </c>
      <c r="D607" s="2566">
        <v>0</v>
      </c>
      <c r="E607" s="1080">
        <v>0</v>
      </c>
      <c r="F607" s="2567">
        <v>0</v>
      </c>
      <c r="G607" s="2568">
        <v>0</v>
      </c>
      <c r="H607" s="2566">
        <v>0</v>
      </c>
      <c r="I607" s="2566">
        <v>0</v>
      </c>
      <c r="J607" s="2569">
        <v>0</v>
      </c>
      <c r="K607" s="2569">
        <v>0</v>
      </c>
      <c r="L607" s="2566">
        <v>0</v>
      </c>
      <c r="N607" s="2396">
        <v>12991102</v>
      </c>
      <c r="O607" s="2397" t="s">
        <v>4264</v>
      </c>
      <c r="P607" s="2398">
        <v>0</v>
      </c>
      <c r="Q607" s="2179">
        <v>0</v>
      </c>
      <c r="R607" s="2399">
        <v>0</v>
      </c>
      <c r="S607" s="2400">
        <v>0</v>
      </c>
      <c r="T607" s="2398">
        <v>0</v>
      </c>
      <c r="U607" s="2398">
        <v>0</v>
      </c>
      <c r="V607" s="2401">
        <v>0</v>
      </c>
      <c r="W607" s="2401">
        <v>0</v>
      </c>
      <c r="X607" s="2398">
        <v>0</v>
      </c>
      <c r="Z607" s="2396">
        <v>12991102</v>
      </c>
      <c r="AA607" s="2397" t="s">
        <v>4264</v>
      </c>
      <c r="AB607" s="2398">
        <v>0</v>
      </c>
      <c r="AC607" s="2179">
        <v>0</v>
      </c>
      <c r="AD607" s="2399">
        <v>0</v>
      </c>
      <c r="AE607" s="2400">
        <v>0</v>
      </c>
      <c r="AF607" s="2398">
        <v>0</v>
      </c>
      <c r="AG607" s="2398">
        <v>0</v>
      </c>
      <c r="AH607" s="2401">
        <v>0</v>
      </c>
      <c r="AI607" s="2401">
        <v>0</v>
      </c>
      <c r="AJ607" s="2398">
        <v>0</v>
      </c>
      <c r="AZ607" s="2396">
        <v>12991102</v>
      </c>
      <c r="BA607" s="2397" t="s">
        <v>4264</v>
      </c>
      <c r="BB607" s="2398">
        <v>0</v>
      </c>
      <c r="BC607" s="2179">
        <v>0</v>
      </c>
      <c r="BD607" s="2399">
        <v>0</v>
      </c>
      <c r="BE607" s="2400">
        <v>0</v>
      </c>
      <c r="BF607" s="2398">
        <v>0</v>
      </c>
      <c r="BG607" s="2398">
        <v>0</v>
      </c>
      <c r="BH607" s="2401">
        <v>0</v>
      </c>
      <c r="BI607" s="2401">
        <v>0</v>
      </c>
      <c r="BJ607" s="2398">
        <v>0</v>
      </c>
      <c r="BN607" s="2384">
        <v>21130000</v>
      </c>
      <c r="BO607" s="2402" t="s">
        <v>4288</v>
      </c>
      <c r="BP607" s="2386">
        <v>1147800422294</v>
      </c>
      <c r="BQ607" s="2386">
        <v>12846000000</v>
      </c>
      <c r="BR607" s="2387">
        <v>0</v>
      </c>
      <c r="BS607" s="2388">
        <v>0</v>
      </c>
      <c r="BT607" s="2386">
        <v>0</v>
      </c>
      <c r="BU607" s="2386">
        <v>1160646422294</v>
      </c>
      <c r="BV607" s="2389">
        <v>0</v>
      </c>
      <c r="BW607" s="2389">
        <v>0</v>
      </c>
      <c r="BX607" s="2386">
        <v>1160646422294</v>
      </c>
    </row>
    <row r="608" spans="2:76">
      <c r="B608" s="2564">
        <v>12991103</v>
      </c>
      <c r="C608" s="2565" t="s">
        <v>4265</v>
      </c>
      <c r="D608" s="2566">
        <v>0</v>
      </c>
      <c r="E608" s="1080">
        <v>0</v>
      </c>
      <c r="F608" s="2567">
        <v>0</v>
      </c>
      <c r="G608" s="2568">
        <v>0</v>
      </c>
      <c r="H608" s="2566">
        <v>0</v>
      </c>
      <c r="I608" s="2566">
        <v>0</v>
      </c>
      <c r="J608" s="2569">
        <v>0</v>
      </c>
      <c r="K608" s="2569">
        <v>0</v>
      </c>
      <c r="L608" s="2566">
        <v>0</v>
      </c>
      <c r="N608" s="2396">
        <v>12991103</v>
      </c>
      <c r="O608" s="2397" t="s">
        <v>4265</v>
      </c>
      <c r="P608" s="2398">
        <v>0</v>
      </c>
      <c r="Q608" s="2179">
        <v>0</v>
      </c>
      <c r="R608" s="2399">
        <v>0</v>
      </c>
      <c r="S608" s="2400">
        <v>0</v>
      </c>
      <c r="T608" s="2398">
        <v>0</v>
      </c>
      <c r="U608" s="2398">
        <v>0</v>
      </c>
      <c r="V608" s="2401">
        <v>0</v>
      </c>
      <c r="W608" s="2401">
        <v>0</v>
      </c>
      <c r="X608" s="2398">
        <v>0</v>
      </c>
      <c r="Z608" s="2396">
        <v>12991103</v>
      </c>
      <c r="AA608" s="2397" t="s">
        <v>4265</v>
      </c>
      <c r="AB608" s="2398">
        <v>0</v>
      </c>
      <c r="AC608" s="2179">
        <v>0</v>
      </c>
      <c r="AD608" s="2399">
        <v>0</v>
      </c>
      <c r="AE608" s="2400">
        <v>0</v>
      </c>
      <c r="AF608" s="2398">
        <v>0</v>
      </c>
      <c r="AG608" s="2398">
        <v>0</v>
      </c>
      <c r="AH608" s="2401">
        <v>0</v>
      </c>
      <c r="AI608" s="2401">
        <v>0</v>
      </c>
      <c r="AJ608" s="2398">
        <v>0</v>
      </c>
      <c r="AZ608" s="2396">
        <v>12991103</v>
      </c>
      <c r="BA608" s="2397" t="s">
        <v>4265</v>
      </c>
      <c r="BB608" s="2398">
        <v>0</v>
      </c>
      <c r="BC608" s="2179">
        <v>0</v>
      </c>
      <c r="BD608" s="2399">
        <v>0</v>
      </c>
      <c r="BE608" s="2400">
        <v>0</v>
      </c>
      <c r="BF608" s="2398">
        <v>0</v>
      </c>
      <c r="BG608" s="2398">
        <v>0</v>
      </c>
      <c r="BH608" s="2401">
        <v>0</v>
      </c>
      <c r="BI608" s="2401">
        <v>0</v>
      </c>
      <c r="BJ608" s="2398">
        <v>0</v>
      </c>
      <c r="BN608" s="2390">
        <v>21131000</v>
      </c>
      <c r="BO608" s="2403" t="s">
        <v>4288</v>
      </c>
      <c r="BP608" s="2392">
        <v>1147800422294</v>
      </c>
      <c r="BQ608" s="2392">
        <v>12846000000</v>
      </c>
      <c r="BR608" s="2393">
        <v>0</v>
      </c>
      <c r="BS608" s="2394">
        <v>0</v>
      </c>
      <c r="BT608" s="2392">
        <v>0</v>
      </c>
      <c r="BU608" s="2392">
        <v>1160646422294</v>
      </c>
      <c r="BV608" s="2395">
        <v>0</v>
      </c>
      <c r="BW608" s="2395">
        <v>0</v>
      </c>
      <c r="BX608" s="2392">
        <v>1160646422294</v>
      </c>
    </row>
    <row r="609" spans="2:76">
      <c r="B609" s="2564">
        <v>12991104</v>
      </c>
      <c r="C609" s="2565" t="s">
        <v>4266</v>
      </c>
      <c r="D609" s="2566">
        <v>0</v>
      </c>
      <c r="E609" s="1080">
        <v>0</v>
      </c>
      <c r="F609" s="2567">
        <v>0</v>
      </c>
      <c r="G609" s="2568">
        <v>0</v>
      </c>
      <c r="H609" s="2566">
        <v>0</v>
      </c>
      <c r="I609" s="2566">
        <v>0</v>
      </c>
      <c r="J609" s="2569">
        <v>0</v>
      </c>
      <c r="K609" s="2569">
        <v>0</v>
      </c>
      <c r="L609" s="2566">
        <v>0</v>
      </c>
      <c r="N609" s="2396">
        <v>12991104</v>
      </c>
      <c r="O609" s="2397" t="s">
        <v>4266</v>
      </c>
      <c r="P609" s="2398">
        <v>0</v>
      </c>
      <c r="Q609" s="2179">
        <v>0</v>
      </c>
      <c r="R609" s="2399">
        <v>0</v>
      </c>
      <c r="S609" s="2400">
        <v>0</v>
      </c>
      <c r="T609" s="2398">
        <v>0</v>
      </c>
      <c r="U609" s="2398">
        <v>0</v>
      </c>
      <c r="V609" s="2401">
        <v>0</v>
      </c>
      <c r="W609" s="2401">
        <v>0</v>
      </c>
      <c r="X609" s="2398">
        <v>0</v>
      </c>
      <c r="Z609" s="2396">
        <v>12991104</v>
      </c>
      <c r="AA609" s="2397" t="s">
        <v>4266</v>
      </c>
      <c r="AB609" s="2398">
        <v>0</v>
      </c>
      <c r="AC609" s="2179">
        <v>0</v>
      </c>
      <c r="AD609" s="2399">
        <v>0</v>
      </c>
      <c r="AE609" s="2400">
        <v>0</v>
      </c>
      <c r="AF609" s="2398">
        <v>0</v>
      </c>
      <c r="AG609" s="2398">
        <v>0</v>
      </c>
      <c r="AH609" s="2401">
        <v>0</v>
      </c>
      <c r="AI609" s="2401">
        <v>0</v>
      </c>
      <c r="AJ609" s="2398">
        <v>0</v>
      </c>
      <c r="AZ609" s="2396">
        <v>12991104</v>
      </c>
      <c r="BA609" s="2397" t="s">
        <v>4266</v>
      </c>
      <c r="BB609" s="2398">
        <v>0</v>
      </c>
      <c r="BC609" s="2179">
        <v>0</v>
      </c>
      <c r="BD609" s="2399">
        <v>0</v>
      </c>
      <c r="BE609" s="2400">
        <v>0</v>
      </c>
      <c r="BF609" s="2398">
        <v>0</v>
      </c>
      <c r="BG609" s="2398">
        <v>0</v>
      </c>
      <c r="BH609" s="2401">
        <v>0</v>
      </c>
      <c r="BI609" s="2401">
        <v>0</v>
      </c>
      <c r="BJ609" s="2398">
        <v>0</v>
      </c>
      <c r="BN609" s="2396">
        <v>21131001</v>
      </c>
      <c r="BO609" s="2397" t="s">
        <v>4289</v>
      </c>
      <c r="BP609" s="2398">
        <v>0</v>
      </c>
      <c r="BQ609" s="2179">
        <v>12846000000</v>
      </c>
      <c r="BR609" s="2399">
        <v>0</v>
      </c>
      <c r="BS609" s="2400">
        <v>0</v>
      </c>
      <c r="BT609" s="2398">
        <v>0</v>
      </c>
      <c r="BU609" s="2398">
        <v>12846000000</v>
      </c>
      <c r="BV609" s="2401">
        <v>0</v>
      </c>
      <c r="BW609" s="2401">
        <v>0</v>
      </c>
      <c r="BX609" s="2398">
        <v>12846000000</v>
      </c>
    </row>
    <row r="610" spans="2:76">
      <c r="B610" s="2540">
        <v>20000000</v>
      </c>
      <c r="C610" s="2541" t="s">
        <v>5053</v>
      </c>
      <c r="D610" s="2542">
        <v>1598492943656</v>
      </c>
      <c r="E610" s="2542">
        <v>21314940507</v>
      </c>
      <c r="F610" s="2543">
        <v>19105931922</v>
      </c>
      <c r="G610" s="2544">
        <v>9405474005</v>
      </c>
      <c r="H610" s="2542">
        <v>1044087964</v>
      </c>
      <c r="I610" s="2542">
        <v>1649363378054</v>
      </c>
      <c r="J610" s="2545">
        <v>0</v>
      </c>
      <c r="K610" s="2545">
        <v>0</v>
      </c>
      <c r="L610" s="2542">
        <v>1642192098132</v>
      </c>
      <c r="N610" s="2372">
        <v>20000000</v>
      </c>
      <c r="O610" s="2373" t="s">
        <v>102</v>
      </c>
      <c r="P610" s="2374">
        <v>1645735882246</v>
      </c>
      <c r="Q610" s="2374">
        <v>21916098797</v>
      </c>
      <c r="R610" s="2375">
        <v>19358812693</v>
      </c>
      <c r="S610" s="2376">
        <v>17107666270</v>
      </c>
      <c r="T610" s="2374">
        <v>1107316901</v>
      </c>
      <c r="U610" s="2374">
        <v>1705225776907</v>
      </c>
      <c r="V610" s="2377">
        <v>0</v>
      </c>
      <c r="W610" s="2377">
        <v>0</v>
      </c>
      <c r="X610" s="2374">
        <v>1686390167416</v>
      </c>
      <c r="Z610" s="2372">
        <v>20000000</v>
      </c>
      <c r="AA610" s="2373" t="s">
        <v>102</v>
      </c>
      <c r="AB610" s="2374">
        <v>1679725277707</v>
      </c>
      <c r="AC610" s="2374">
        <v>17383144574</v>
      </c>
      <c r="AD610" s="2375">
        <v>18585295077</v>
      </c>
      <c r="AE610" s="2376">
        <v>16957681035</v>
      </c>
      <c r="AF610" s="2374">
        <v>3022168107</v>
      </c>
      <c r="AG610" s="2374">
        <v>1735673566500</v>
      </c>
      <c r="AH610" s="2377">
        <v>0</v>
      </c>
      <c r="AI610" s="2377">
        <v>0</v>
      </c>
      <c r="AJ610" s="2374">
        <v>1713056816770</v>
      </c>
      <c r="AZ610" s="2372">
        <v>20000000</v>
      </c>
      <c r="BA610" s="2373" t="s">
        <v>102</v>
      </c>
      <c r="BB610" s="2374">
        <v>1199037361467</v>
      </c>
      <c r="BC610" s="2374">
        <v>21992778553</v>
      </c>
      <c r="BD610" s="2375">
        <v>17556080511</v>
      </c>
      <c r="BE610" s="2376">
        <v>11191056599</v>
      </c>
      <c r="BF610" s="2374">
        <v>516424788</v>
      </c>
      <c r="BG610" s="2374">
        <v>1250293701918</v>
      </c>
      <c r="BH610" s="2377">
        <v>0</v>
      </c>
      <c r="BI610" s="2377">
        <v>0</v>
      </c>
      <c r="BJ610" s="2374">
        <v>1240100286387</v>
      </c>
      <c r="BN610" s="2396">
        <v>21131002</v>
      </c>
      <c r="BO610" s="2397" t="s">
        <v>4290</v>
      </c>
      <c r="BP610" s="2398">
        <v>1147800422294</v>
      </c>
      <c r="BQ610" s="2179">
        <v>0</v>
      </c>
      <c r="BR610" s="2399">
        <v>0</v>
      </c>
      <c r="BS610" s="2400">
        <v>0</v>
      </c>
      <c r="BT610" s="2398">
        <v>0</v>
      </c>
      <c r="BU610" s="2398">
        <v>1147800422294</v>
      </c>
      <c r="BV610" s="2401">
        <v>0</v>
      </c>
      <c r="BW610" s="2401">
        <v>0</v>
      </c>
      <c r="BX610" s="2398">
        <v>1147800422294</v>
      </c>
    </row>
    <row r="611" spans="2:76">
      <c r="B611" s="2546">
        <v>21000000</v>
      </c>
      <c r="C611" s="2547" t="s">
        <v>5054</v>
      </c>
      <c r="D611" s="2548">
        <v>1589697880206</v>
      </c>
      <c r="E611" s="2548">
        <v>18462759204</v>
      </c>
      <c r="F611" s="2549">
        <v>18921765092</v>
      </c>
      <c r="G611" s="2550">
        <v>8125412440</v>
      </c>
      <c r="H611" s="2548">
        <v>962241731</v>
      </c>
      <c r="I611" s="2548">
        <v>1636170058673</v>
      </c>
      <c r="J611" s="2551">
        <v>0</v>
      </c>
      <c r="K611" s="2551">
        <v>0</v>
      </c>
      <c r="L611" s="2548">
        <v>1628998778751</v>
      </c>
      <c r="N611" s="2378">
        <v>21000000</v>
      </c>
      <c r="O611" s="2379" t="s">
        <v>4267</v>
      </c>
      <c r="P611" s="2380">
        <v>1638389797848</v>
      </c>
      <c r="Q611" s="2380">
        <v>19123243460</v>
      </c>
      <c r="R611" s="2381">
        <v>19230041872</v>
      </c>
      <c r="S611" s="2382">
        <v>15900729090</v>
      </c>
      <c r="T611" s="2380">
        <v>997506835</v>
      </c>
      <c r="U611" s="2380">
        <v>1693641319105</v>
      </c>
      <c r="V611" s="2383">
        <v>0</v>
      </c>
      <c r="W611" s="2383">
        <v>0</v>
      </c>
      <c r="X611" s="2380">
        <v>1674805709614</v>
      </c>
      <c r="Z611" s="2378">
        <v>21000000</v>
      </c>
      <c r="AA611" s="2379" t="s">
        <v>4267</v>
      </c>
      <c r="AB611" s="2380">
        <v>1669969208618</v>
      </c>
      <c r="AC611" s="2380">
        <v>15433304262</v>
      </c>
      <c r="AD611" s="2381">
        <v>18474205606</v>
      </c>
      <c r="AE611" s="2382">
        <v>15946182822</v>
      </c>
      <c r="AF611" s="2380">
        <v>2924638416</v>
      </c>
      <c r="AG611" s="2380">
        <v>1722747539724</v>
      </c>
      <c r="AH611" s="2383">
        <v>0</v>
      </c>
      <c r="AI611" s="2383">
        <v>0</v>
      </c>
      <c r="AJ611" s="2380">
        <v>1700130789994</v>
      </c>
      <c r="AZ611" s="2378">
        <v>21000000</v>
      </c>
      <c r="BA611" s="2379" t="s">
        <v>4267</v>
      </c>
      <c r="BB611" s="2380">
        <v>1191991275711</v>
      </c>
      <c r="BC611" s="2380">
        <v>20380724019</v>
      </c>
      <c r="BD611" s="2381">
        <v>17124608148</v>
      </c>
      <c r="BE611" s="2382">
        <v>9605769441</v>
      </c>
      <c r="BF611" s="2380">
        <v>424266420</v>
      </c>
      <c r="BG611" s="2380">
        <v>1239526643739</v>
      </c>
      <c r="BH611" s="2383">
        <v>0</v>
      </c>
      <c r="BI611" s="2383">
        <v>0</v>
      </c>
      <c r="BJ611" s="2380">
        <v>1229333228208</v>
      </c>
      <c r="BN611" s="2396">
        <v>21131003</v>
      </c>
      <c r="BO611" s="2397" t="s">
        <v>4291</v>
      </c>
      <c r="BP611" s="2398">
        <v>0</v>
      </c>
      <c r="BQ611" s="2179">
        <v>0</v>
      </c>
      <c r="BR611" s="2399">
        <v>0</v>
      </c>
      <c r="BS611" s="2400">
        <v>0</v>
      </c>
      <c r="BT611" s="2398">
        <v>0</v>
      </c>
      <c r="BU611" s="2398">
        <v>0</v>
      </c>
      <c r="BV611" s="2401">
        <v>0</v>
      </c>
      <c r="BW611" s="2401">
        <v>0</v>
      </c>
      <c r="BX611" s="2398">
        <v>0</v>
      </c>
    </row>
    <row r="612" spans="2:76">
      <c r="B612" s="2552">
        <v>21100000</v>
      </c>
      <c r="C612" s="2570" t="s">
        <v>4268</v>
      </c>
      <c r="D612" s="2554">
        <v>260492517063</v>
      </c>
      <c r="E612" s="2554">
        <v>3875935943</v>
      </c>
      <c r="F612" s="2555">
        <v>17759366154</v>
      </c>
      <c r="G612" s="2556">
        <v>6389935165</v>
      </c>
      <c r="H612" s="2554">
        <v>229689416</v>
      </c>
      <c r="I612" s="2554">
        <v>288747443741</v>
      </c>
      <c r="J612" s="2557">
        <v>0</v>
      </c>
      <c r="K612" s="2557">
        <v>0</v>
      </c>
      <c r="L612" s="2554">
        <v>282731518912</v>
      </c>
      <c r="N612" s="2384">
        <v>21100000</v>
      </c>
      <c r="O612" s="2402" t="s">
        <v>4268</v>
      </c>
      <c r="P612" s="2386">
        <v>471484345124</v>
      </c>
      <c r="Q612" s="2386">
        <v>2915164514</v>
      </c>
      <c r="R612" s="2387">
        <v>16190545058</v>
      </c>
      <c r="S612" s="2388">
        <v>11725017125</v>
      </c>
      <c r="T612" s="2386">
        <v>242971312</v>
      </c>
      <c r="U612" s="2386">
        <v>502558043133</v>
      </c>
      <c r="V612" s="2389">
        <v>0</v>
      </c>
      <c r="W612" s="2389">
        <v>0</v>
      </c>
      <c r="X612" s="2386">
        <v>486777750150</v>
      </c>
      <c r="Z612" s="2384">
        <v>21100000</v>
      </c>
      <c r="AA612" s="2402" t="s">
        <v>4268</v>
      </c>
      <c r="AB612" s="2386">
        <v>494874628127</v>
      </c>
      <c r="AC612" s="2386">
        <v>4963572054</v>
      </c>
      <c r="AD612" s="2387">
        <v>12354207575</v>
      </c>
      <c r="AE612" s="2388">
        <v>8786755804</v>
      </c>
      <c r="AF612" s="2386">
        <v>1704353643</v>
      </c>
      <c r="AG612" s="2386">
        <v>522683517203</v>
      </c>
      <c r="AH612" s="2389">
        <v>0</v>
      </c>
      <c r="AI612" s="2389">
        <v>0</v>
      </c>
      <c r="AJ612" s="2386">
        <v>507262046485</v>
      </c>
      <c r="AZ612" s="2384">
        <v>21100000</v>
      </c>
      <c r="BA612" s="2402" t="s">
        <v>4268</v>
      </c>
      <c r="BB612" s="2386">
        <v>297996599894</v>
      </c>
      <c r="BC612" s="2386">
        <v>6693314273</v>
      </c>
      <c r="BD612" s="2387">
        <v>13076000901</v>
      </c>
      <c r="BE612" s="2388">
        <v>6738185020</v>
      </c>
      <c r="BF612" s="2386">
        <v>269170623</v>
      </c>
      <c r="BG612" s="2386">
        <v>324773270711</v>
      </c>
      <c r="BH612" s="2389">
        <v>0</v>
      </c>
      <c r="BI612" s="2389">
        <v>0</v>
      </c>
      <c r="BJ612" s="2386">
        <v>316535070973</v>
      </c>
      <c r="BN612" s="2396">
        <v>21131004</v>
      </c>
      <c r="BO612" s="2397" t="s">
        <v>4292</v>
      </c>
      <c r="BP612" s="2398">
        <v>0</v>
      </c>
      <c r="BQ612" s="2179">
        <v>0</v>
      </c>
      <c r="BR612" s="2399">
        <v>0</v>
      </c>
      <c r="BS612" s="2400">
        <v>0</v>
      </c>
      <c r="BT612" s="2398">
        <v>0</v>
      </c>
      <c r="BU612" s="2398">
        <v>0</v>
      </c>
      <c r="BV612" s="2401">
        <v>0</v>
      </c>
      <c r="BW612" s="2401">
        <v>0</v>
      </c>
      <c r="BX612" s="2398">
        <v>0</v>
      </c>
    </row>
    <row r="613" spans="2:76">
      <c r="B613" s="2558">
        <v>21101000</v>
      </c>
      <c r="C613" s="2571" t="s">
        <v>4269</v>
      </c>
      <c r="D613" s="2560">
        <v>205863536023</v>
      </c>
      <c r="E613" s="2560">
        <v>2352065325</v>
      </c>
      <c r="F613" s="2561">
        <v>13109306563</v>
      </c>
      <c r="G613" s="2562">
        <v>5285197560</v>
      </c>
      <c r="H613" s="2560">
        <v>0</v>
      </c>
      <c r="I613" s="2560">
        <v>226610105471</v>
      </c>
      <c r="J613" s="2563">
        <v>0</v>
      </c>
      <c r="K613" s="2563">
        <v>0</v>
      </c>
      <c r="L613" s="2560">
        <v>223173487120</v>
      </c>
      <c r="N613" s="2390">
        <v>21101000</v>
      </c>
      <c r="O613" s="2403" t="s">
        <v>4269</v>
      </c>
      <c r="P613" s="2392">
        <v>333397528537</v>
      </c>
      <c r="Q613" s="2392">
        <v>1702672205</v>
      </c>
      <c r="R613" s="2393">
        <v>12560449616</v>
      </c>
      <c r="S613" s="2394">
        <v>10513393286</v>
      </c>
      <c r="T613" s="2392">
        <v>0</v>
      </c>
      <c r="U613" s="2392">
        <v>358174043644</v>
      </c>
      <c r="V613" s="2395">
        <v>0</v>
      </c>
      <c r="W613" s="2395">
        <v>0</v>
      </c>
      <c r="X613" s="2392">
        <v>354122997475</v>
      </c>
      <c r="Z613" s="2390">
        <v>21101000</v>
      </c>
      <c r="AA613" s="2403" t="s">
        <v>4269</v>
      </c>
      <c r="AB613" s="2392">
        <v>370323374233</v>
      </c>
      <c r="AC613" s="2392">
        <v>3417510029</v>
      </c>
      <c r="AD613" s="2393">
        <v>8773004550</v>
      </c>
      <c r="AE613" s="2394">
        <v>6462881156</v>
      </c>
      <c r="AF613" s="2392">
        <v>0</v>
      </c>
      <c r="AG613" s="2392">
        <v>388976769968</v>
      </c>
      <c r="AH613" s="2395">
        <v>0</v>
      </c>
      <c r="AI613" s="2395">
        <v>0</v>
      </c>
      <c r="AJ613" s="2392">
        <v>388902777783</v>
      </c>
      <c r="AZ613" s="2390">
        <v>21101000</v>
      </c>
      <c r="BA613" s="2403" t="s">
        <v>4269</v>
      </c>
      <c r="BB613" s="2392">
        <v>222744216489</v>
      </c>
      <c r="BC613" s="2392">
        <v>5516559042</v>
      </c>
      <c r="BD613" s="2393">
        <v>8710016832</v>
      </c>
      <c r="BE613" s="2394">
        <v>5254770334</v>
      </c>
      <c r="BF613" s="2392">
        <v>0</v>
      </c>
      <c r="BG613" s="2392">
        <v>242225562697</v>
      </c>
      <c r="BH613" s="2395">
        <v>0</v>
      </c>
      <c r="BI613" s="2395">
        <v>0</v>
      </c>
      <c r="BJ613" s="2392">
        <v>242010159363</v>
      </c>
      <c r="BN613" s="2396">
        <v>21131005</v>
      </c>
      <c r="BO613" s="2397" t="s">
        <v>4293</v>
      </c>
      <c r="BP613" s="2398">
        <v>0</v>
      </c>
      <c r="BQ613" s="2179">
        <v>0</v>
      </c>
      <c r="BR613" s="2399">
        <v>0</v>
      </c>
      <c r="BS613" s="2400">
        <v>0</v>
      </c>
      <c r="BT613" s="2398">
        <v>0</v>
      </c>
      <c r="BU613" s="2398">
        <v>0</v>
      </c>
      <c r="BV613" s="2401">
        <v>0</v>
      </c>
      <c r="BW613" s="2401">
        <v>0</v>
      </c>
      <c r="BX613" s="2398">
        <v>0</v>
      </c>
    </row>
    <row r="614" spans="2:76">
      <c r="B614" s="2564">
        <v>21101001</v>
      </c>
      <c r="C614" s="2565" t="s">
        <v>3974</v>
      </c>
      <c r="D614" s="2566">
        <v>9529065961</v>
      </c>
      <c r="E614" s="1080">
        <v>2352065325</v>
      </c>
      <c r="F614" s="2567">
        <v>595216076</v>
      </c>
      <c r="G614" s="2568">
        <v>1535204654</v>
      </c>
      <c r="H614" s="2566">
        <v>0</v>
      </c>
      <c r="I614" s="2566">
        <v>14011552016</v>
      </c>
      <c r="J614" s="2569">
        <v>0</v>
      </c>
      <c r="K614" s="2569">
        <v>-3436618351</v>
      </c>
      <c r="L614" s="2566">
        <v>10574933665</v>
      </c>
      <c r="N614" s="2396">
        <v>21101001</v>
      </c>
      <c r="O614" s="2397" t="s">
        <v>3974</v>
      </c>
      <c r="P614" s="2398">
        <v>10208332529</v>
      </c>
      <c r="Q614" s="2179">
        <v>1702672205</v>
      </c>
      <c r="R614" s="2399">
        <v>4069749639</v>
      </c>
      <c r="S614" s="2400">
        <v>4978183936</v>
      </c>
      <c r="T614" s="2398">
        <v>0</v>
      </c>
      <c r="U614" s="2398">
        <v>20958938309</v>
      </c>
      <c r="V614" s="2401">
        <v>0</v>
      </c>
      <c r="W614" s="2401">
        <v>-4051046169</v>
      </c>
      <c r="X614" s="2398">
        <v>16907892140</v>
      </c>
      <c r="Z614" s="2396">
        <v>21101001</v>
      </c>
      <c r="AA614" s="2397" t="s">
        <v>3974</v>
      </c>
      <c r="AB614" s="2398">
        <v>3617075057</v>
      </c>
      <c r="AC614" s="2179">
        <v>3417510029</v>
      </c>
      <c r="AD614" s="2399">
        <v>3843653724</v>
      </c>
      <c r="AE614" s="2400">
        <v>2509787946</v>
      </c>
      <c r="AF614" s="2398">
        <v>0</v>
      </c>
      <c r="AG614" s="2398">
        <v>13388026756</v>
      </c>
      <c r="AH614" s="2401">
        <v>0</v>
      </c>
      <c r="AI614" s="2401">
        <v>-73992185</v>
      </c>
      <c r="AJ614" s="2398">
        <v>13314034571</v>
      </c>
      <c r="AZ614" s="2396">
        <v>21101001</v>
      </c>
      <c r="BA614" s="2397" t="s">
        <v>3974</v>
      </c>
      <c r="BB614" s="2398">
        <v>2818250596</v>
      </c>
      <c r="BC614" s="2179">
        <v>5516559042</v>
      </c>
      <c r="BD614" s="2399">
        <v>1540050217</v>
      </c>
      <c r="BE614" s="2400">
        <v>2851775883</v>
      </c>
      <c r="BF614" s="2398">
        <v>0</v>
      </c>
      <c r="BG614" s="2398">
        <v>12726635738</v>
      </c>
      <c r="BH614" s="2401">
        <v>0</v>
      </c>
      <c r="BI614" s="2401">
        <v>-215403334</v>
      </c>
      <c r="BJ614" s="2398">
        <v>12511232404</v>
      </c>
      <c r="BN614" s="2384">
        <v>21140000</v>
      </c>
      <c r="BO614" s="2402" t="s">
        <v>4294</v>
      </c>
      <c r="BP614" s="2386">
        <v>0</v>
      </c>
      <c r="BQ614" s="2386">
        <v>0</v>
      </c>
      <c r="BR614" s="2387">
        <v>0</v>
      </c>
      <c r="BS614" s="2388">
        <v>0</v>
      </c>
      <c r="BT614" s="2386">
        <v>0</v>
      </c>
      <c r="BU614" s="2386">
        <v>0</v>
      </c>
      <c r="BV614" s="2389">
        <v>0</v>
      </c>
      <c r="BW614" s="2389">
        <v>0</v>
      </c>
      <c r="BX614" s="2386">
        <v>0</v>
      </c>
    </row>
    <row r="615" spans="2:76">
      <c r="B615" s="2564">
        <v>21101002</v>
      </c>
      <c r="C615" s="2565" t="s">
        <v>4270</v>
      </c>
      <c r="D615" s="2566">
        <v>195827699801</v>
      </c>
      <c r="E615" s="1080">
        <v>0</v>
      </c>
      <c r="F615" s="2567">
        <v>12514090487</v>
      </c>
      <c r="G615" s="2568">
        <v>0</v>
      </c>
      <c r="H615" s="2566">
        <v>0</v>
      </c>
      <c r="I615" s="2566">
        <v>208341790288</v>
      </c>
      <c r="J615" s="2569">
        <v>0</v>
      </c>
      <c r="K615" s="2569">
        <v>0</v>
      </c>
      <c r="L615" s="2566">
        <v>208341790288</v>
      </c>
      <c r="N615" s="2396">
        <v>21101002</v>
      </c>
      <c r="O615" s="2397" t="s">
        <v>4270</v>
      </c>
      <c r="P615" s="2398">
        <v>322653366567</v>
      </c>
      <c r="Q615" s="2179">
        <v>0</v>
      </c>
      <c r="R615" s="2399">
        <v>8490699977</v>
      </c>
      <c r="S615" s="2400">
        <v>0</v>
      </c>
      <c r="T615" s="2398">
        <v>0</v>
      </c>
      <c r="U615" s="2398">
        <v>331144066544</v>
      </c>
      <c r="V615" s="2401">
        <v>0</v>
      </c>
      <c r="W615" s="2401">
        <v>0</v>
      </c>
      <c r="X615" s="2398">
        <v>331144066544</v>
      </c>
      <c r="Z615" s="2396">
        <v>21101002</v>
      </c>
      <c r="AA615" s="2397" t="s">
        <v>4270</v>
      </c>
      <c r="AB615" s="2398">
        <v>366028808796</v>
      </c>
      <c r="AC615" s="2179">
        <v>0</v>
      </c>
      <c r="AD615" s="2399">
        <v>4929350826</v>
      </c>
      <c r="AE615" s="2400">
        <v>0</v>
      </c>
      <c r="AF615" s="2398">
        <v>0</v>
      </c>
      <c r="AG615" s="2398">
        <v>370958159622</v>
      </c>
      <c r="AH615" s="2401">
        <v>0</v>
      </c>
      <c r="AI615" s="2401">
        <v>0</v>
      </c>
      <c r="AJ615" s="2398">
        <v>370958159622</v>
      </c>
      <c r="AZ615" s="2396">
        <v>21101002</v>
      </c>
      <c r="BA615" s="2397" t="s">
        <v>4270</v>
      </c>
      <c r="BB615" s="2398">
        <v>219454359936</v>
      </c>
      <c r="BC615" s="2179">
        <v>0</v>
      </c>
      <c r="BD615" s="2399">
        <v>7169966615</v>
      </c>
      <c r="BE615" s="2400">
        <v>0</v>
      </c>
      <c r="BF615" s="2398">
        <v>0</v>
      </c>
      <c r="BG615" s="2398">
        <v>226624326551</v>
      </c>
      <c r="BH615" s="2401">
        <v>0</v>
      </c>
      <c r="BI615" s="2401">
        <v>0</v>
      </c>
      <c r="BJ615" s="2398">
        <v>226624326551</v>
      </c>
      <c r="BN615" s="2390">
        <v>21141000</v>
      </c>
      <c r="BO615" s="2403" t="s">
        <v>4294</v>
      </c>
      <c r="BP615" s="2392">
        <v>0</v>
      </c>
      <c r="BQ615" s="2392">
        <v>0</v>
      </c>
      <c r="BR615" s="2393">
        <v>0</v>
      </c>
      <c r="BS615" s="2394">
        <v>0</v>
      </c>
      <c r="BT615" s="2392">
        <v>0</v>
      </c>
      <c r="BU615" s="2392">
        <v>0</v>
      </c>
      <c r="BV615" s="2395">
        <v>0</v>
      </c>
      <c r="BW615" s="2395">
        <v>0</v>
      </c>
      <c r="BX615" s="2392">
        <v>0</v>
      </c>
    </row>
    <row r="616" spans="2:76">
      <c r="B616" s="2564">
        <v>21101003</v>
      </c>
      <c r="C616" s="2565" t="s">
        <v>4271</v>
      </c>
      <c r="D616" s="2566">
        <v>506770261</v>
      </c>
      <c r="E616" s="1080">
        <v>0</v>
      </c>
      <c r="F616" s="2567">
        <v>0</v>
      </c>
      <c r="G616" s="2568">
        <v>0</v>
      </c>
      <c r="H616" s="2566">
        <v>0</v>
      </c>
      <c r="I616" s="2566">
        <v>506770261</v>
      </c>
      <c r="J616" s="2569">
        <v>0</v>
      </c>
      <c r="K616" s="2569">
        <v>0</v>
      </c>
      <c r="L616" s="2566">
        <v>506770261</v>
      </c>
      <c r="N616" s="2396">
        <v>21101003</v>
      </c>
      <c r="O616" s="2397" t="s">
        <v>4271</v>
      </c>
      <c r="P616" s="2398">
        <v>535829441</v>
      </c>
      <c r="Q616" s="2179">
        <v>0</v>
      </c>
      <c r="R616" s="2399">
        <v>0</v>
      </c>
      <c r="S616" s="2400">
        <v>0</v>
      </c>
      <c r="T616" s="2398">
        <v>0</v>
      </c>
      <c r="U616" s="2398">
        <v>535829441</v>
      </c>
      <c r="V616" s="2401">
        <v>0</v>
      </c>
      <c r="W616" s="2401">
        <v>0</v>
      </c>
      <c r="X616" s="2398">
        <v>535829441</v>
      </c>
      <c r="Z616" s="2396">
        <v>21101003</v>
      </c>
      <c r="AA616" s="2397" t="s">
        <v>4271</v>
      </c>
      <c r="AB616" s="2398">
        <v>677490380</v>
      </c>
      <c r="AC616" s="2179">
        <v>0</v>
      </c>
      <c r="AD616" s="2399">
        <v>0</v>
      </c>
      <c r="AE616" s="2400">
        <v>0</v>
      </c>
      <c r="AF616" s="2398">
        <v>0</v>
      </c>
      <c r="AG616" s="2398">
        <v>677490380</v>
      </c>
      <c r="AH616" s="2401">
        <v>0</v>
      </c>
      <c r="AI616" s="2401">
        <v>0</v>
      </c>
      <c r="AJ616" s="2398">
        <v>677490380</v>
      </c>
      <c r="AZ616" s="2396">
        <v>21101003</v>
      </c>
      <c r="BA616" s="2397" t="s">
        <v>4271</v>
      </c>
      <c r="BB616" s="2398">
        <v>471605957</v>
      </c>
      <c r="BC616" s="2179">
        <v>0</v>
      </c>
      <c r="BD616" s="2399">
        <v>0</v>
      </c>
      <c r="BE616" s="2400">
        <v>0</v>
      </c>
      <c r="BF616" s="2398">
        <v>0</v>
      </c>
      <c r="BG616" s="2398">
        <v>471605957</v>
      </c>
      <c r="BH616" s="2401">
        <v>0</v>
      </c>
      <c r="BI616" s="2401">
        <v>0</v>
      </c>
      <c r="BJ616" s="2398">
        <v>471605957</v>
      </c>
      <c r="BN616" s="2396">
        <v>21141001</v>
      </c>
      <c r="BO616" s="2397" t="s">
        <v>4294</v>
      </c>
      <c r="BP616" s="2398">
        <v>0</v>
      </c>
      <c r="BQ616" s="2179">
        <v>0</v>
      </c>
      <c r="BR616" s="2399">
        <v>0</v>
      </c>
      <c r="BS616" s="2400">
        <v>0</v>
      </c>
      <c r="BT616" s="2398">
        <v>0</v>
      </c>
      <c r="BU616" s="2398">
        <v>0</v>
      </c>
      <c r="BV616" s="2401">
        <v>0</v>
      </c>
      <c r="BW616" s="2401">
        <v>0</v>
      </c>
      <c r="BX616" s="2398">
        <v>0</v>
      </c>
    </row>
    <row r="617" spans="2:76">
      <c r="B617" s="2564">
        <v>21101004</v>
      </c>
      <c r="C617" s="2565" t="s">
        <v>4272</v>
      </c>
      <c r="D617" s="2566">
        <v>0</v>
      </c>
      <c r="E617" s="1080">
        <v>0</v>
      </c>
      <c r="F617" s="2567">
        <v>0</v>
      </c>
      <c r="G617" s="2568">
        <v>3749992906</v>
      </c>
      <c r="H617" s="2566">
        <v>0</v>
      </c>
      <c r="I617" s="2566">
        <v>3749992906</v>
      </c>
      <c r="J617" s="2569">
        <v>0</v>
      </c>
      <c r="K617" s="2569">
        <v>0</v>
      </c>
      <c r="L617" s="2566">
        <v>3749992906</v>
      </c>
      <c r="N617" s="2396">
        <v>21101004</v>
      </c>
      <c r="O617" s="2397" t="s">
        <v>4272</v>
      </c>
      <c r="P617" s="2398">
        <v>0</v>
      </c>
      <c r="Q617" s="2179">
        <v>0</v>
      </c>
      <c r="R617" s="2399">
        <v>0</v>
      </c>
      <c r="S617" s="2400">
        <v>5535209350</v>
      </c>
      <c r="T617" s="2398">
        <v>0</v>
      </c>
      <c r="U617" s="2398">
        <v>5535209350</v>
      </c>
      <c r="V617" s="2401">
        <v>0</v>
      </c>
      <c r="W617" s="2401">
        <v>0</v>
      </c>
      <c r="X617" s="2398">
        <v>5535209350</v>
      </c>
      <c r="Z617" s="2396">
        <v>21101004</v>
      </c>
      <c r="AA617" s="2397" t="s">
        <v>4272</v>
      </c>
      <c r="AB617" s="2398">
        <v>0</v>
      </c>
      <c r="AC617" s="2179">
        <v>0</v>
      </c>
      <c r="AD617" s="2399">
        <v>0</v>
      </c>
      <c r="AE617" s="2400">
        <v>3953093210</v>
      </c>
      <c r="AF617" s="2398">
        <v>0</v>
      </c>
      <c r="AG617" s="2398">
        <v>3953093210</v>
      </c>
      <c r="AH617" s="2401">
        <v>0</v>
      </c>
      <c r="AI617" s="2401">
        <v>0</v>
      </c>
      <c r="AJ617" s="2398">
        <v>3953093210</v>
      </c>
      <c r="AZ617" s="2396">
        <v>21101004</v>
      </c>
      <c r="BA617" s="2397" t="s">
        <v>4272</v>
      </c>
      <c r="BB617" s="2398">
        <v>0</v>
      </c>
      <c r="BC617" s="2179">
        <v>0</v>
      </c>
      <c r="BD617" s="2399">
        <v>0</v>
      </c>
      <c r="BE617" s="2400">
        <v>2402994451</v>
      </c>
      <c r="BF617" s="2398">
        <v>0</v>
      </c>
      <c r="BG617" s="2398">
        <v>2402994451</v>
      </c>
      <c r="BH617" s="2401">
        <v>0</v>
      </c>
      <c r="BI617" s="2401">
        <v>0</v>
      </c>
      <c r="BJ617" s="2398">
        <v>2402994451</v>
      </c>
      <c r="BN617" s="2384">
        <v>21150000</v>
      </c>
      <c r="BO617" s="2402" t="s">
        <v>4295</v>
      </c>
      <c r="BP617" s="2386">
        <v>0</v>
      </c>
      <c r="BQ617" s="2386">
        <v>0</v>
      </c>
      <c r="BR617" s="2387">
        <v>0</v>
      </c>
      <c r="BS617" s="2388">
        <v>0</v>
      </c>
      <c r="BT617" s="2386">
        <v>0</v>
      </c>
      <c r="BU617" s="2386">
        <v>0</v>
      </c>
      <c r="BV617" s="2389">
        <v>0</v>
      </c>
      <c r="BW617" s="2389">
        <v>0</v>
      </c>
      <c r="BX617" s="2386">
        <v>0</v>
      </c>
    </row>
    <row r="618" spans="2:76">
      <c r="B618" s="2558">
        <v>21101100</v>
      </c>
      <c r="C618" s="2571" t="s">
        <v>2171</v>
      </c>
      <c r="D618" s="2560">
        <v>44704173949</v>
      </c>
      <c r="E618" s="2560">
        <v>1051411172</v>
      </c>
      <c r="F618" s="2561">
        <v>3916360119</v>
      </c>
      <c r="G618" s="2562">
        <v>44059062</v>
      </c>
      <c r="H618" s="2560">
        <v>156297611</v>
      </c>
      <c r="I618" s="2560">
        <v>49872301913</v>
      </c>
      <c r="J618" s="2563">
        <v>0</v>
      </c>
      <c r="K618" s="2563">
        <v>0</v>
      </c>
      <c r="L618" s="2560">
        <v>47292995435</v>
      </c>
      <c r="N618" s="2390">
        <v>21101100</v>
      </c>
      <c r="O618" s="2403" t="s">
        <v>2171</v>
      </c>
      <c r="P618" s="2392">
        <v>127595148017</v>
      </c>
      <c r="Q618" s="2392">
        <v>830287598</v>
      </c>
      <c r="R618" s="2393">
        <v>3010958051</v>
      </c>
      <c r="S618" s="2394">
        <v>51968977</v>
      </c>
      <c r="T618" s="2392">
        <v>174620324</v>
      </c>
      <c r="U618" s="2392">
        <v>131662982967</v>
      </c>
      <c r="V618" s="2395">
        <v>0</v>
      </c>
      <c r="W618" s="2395">
        <v>0</v>
      </c>
      <c r="X618" s="2392">
        <v>119933736153</v>
      </c>
      <c r="Z618" s="2390">
        <v>21101100</v>
      </c>
      <c r="AA618" s="2403" t="s">
        <v>2171</v>
      </c>
      <c r="AB618" s="2392">
        <v>115299826464</v>
      </c>
      <c r="AC618" s="2392">
        <v>933292037</v>
      </c>
      <c r="AD618" s="2393">
        <v>3129899748</v>
      </c>
      <c r="AE618" s="2394">
        <v>61144107</v>
      </c>
      <c r="AF618" s="2392">
        <v>1616723207</v>
      </c>
      <c r="AG618" s="2392">
        <v>121040885563</v>
      </c>
      <c r="AH618" s="2395">
        <v>0</v>
      </c>
      <c r="AI618" s="2395">
        <v>0</v>
      </c>
      <c r="AJ618" s="2392">
        <v>105693407030</v>
      </c>
      <c r="AZ618" s="2390">
        <v>21101100</v>
      </c>
      <c r="BA618" s="2403" t="s">
        <v>2171</v>
      </c>
      <c r="BB618" s="2392">
        <v>59629107329</v>
      </c>
      <c r="BC618" s="2392">
        <v>618939672</v>
      </c>
      <c r="BD618" s="2393">
        <v>3855603024</v>
      </c>
      <c r="BE618" s="2394">
        <v>123418708</v>
      </c>
      <c r="BF618" s="2392">
        <v>174913859</v>
      </c>
      <c r="BG618" s="2392">
        <v>64401982592</v>
      </c>
      <c r="BH618" s="2395">
        <v>0</v>
      </c>
      <c r="BI618" s="2395">
        <v>0</v>
      </c>
      <c r="BJ618" s="2392">
        <v>56379186188</v>
      </c>
      <c r="BN618" s="2390">
        <v>21151000</v>
      </c>
      <c r="BO618" s="2403" t="s">
        <v>4296</v>
      </c>
      <c r="BP618" s="2392">
        <v>0</v>
      </c>
      <c r="BQ618" s="2392">
        <v>0</v>
      </c>
      <c r="BR618" s="2393">
        <v>0</v>
      </c>
      <c r="BS618" s="2394">
        <v>0</v>
      </c>
      <c r="BT618" s="2392">
        <v>0</v>
      </c>
      <c r="BU618" s="2392">
        <v>0</v>
      </c>
      <c r="BV618" s="2395">
        <v>0</v>
      </c>
      <c r="BW618" s="2395">
        <v>0</v>
      </c>
      <c r="BX618" s="2392">
        <v>0</v>
      </c>
    </row>
    <row r="619" spans="2:76">
      <c r="B619" s="2564">
        <v>21101101</v>
      </c>
      <c r="C619" s="2565" t="s">
        <v>2171</v>
      </c>
      <c r="D619" s="2566">
        <v>44704173949</v>
      </c>
      <c r="E619" s="1080">
        <v>1051411172</v>
      </c>
      <c r="F619" s="2567">
        <v>3916360119</v>
      </c>
      <c r="G619" s="2568">
        <v>44059062</v>
      </c>
      <c r="H619" s="2566">
        <v>156297611</v>
      </c>
      <c r="I619" s="2566">
        <v>49872301913</v>
      </c>
      <c r="J619" s="2569">
        <v>0</v>
      </c>
      <c r="K619" s="2569">
        <v>-2579306478</v>
      </c>
      <c r="L619" s="2566">
        <v>47292995435</v>
      </c>
      <c r="N619" s="2396">
        <v>21101101</v>
      </c>
      <c r="O619" s="2397" t="s">
        <v>2171</v>
      </c>
      <c r="P619" s="2398">
        <v>127595148017</v>
      </c>
      <c r="Q619" s="2179">
        <v>830287598</v>
      </c>
      <c r="R619" s="2399">
        <v>3010958051</v>
      </c>
      <c r="S619" s="2400">
        <v>51968977</v>
      </c>
      <c r="T619" s="2398">
        <v>174620324</v>
      </c>
      <c r="U619" s="2398">
        <v>131662982967</v>
      </c>
      <c r="V619" s="2401">
        <v>0</v>
      </c>
      <c r="W619" s="2401">
        <v>-11729246814</v>
      </c>
      <c r="X619" s="2398">
        <v>119933736153</v>
      </c>
      <c r="Z619" s="2396">
        <v>21101101</v>
      </c>
      <c r="AA619" s="2397" t="s">
        <v>2171</v>
      </c>
      <c r="AB619" s="2398">
        <v>115299826464</v>
      </c>
      <c r="AC619" s="2179">
        <v>933292037</v>
      </c>
      <c r="AD619" s="2399">
        <v>3129899748</v>
      </c>
      <c r="AE619" s="2400">
        <v>61144107</v>
      </c>
      <c r="AF619" s="2398">
        <v>1616723207</v>
      </c>
      <c r="AG619" s="2398">
        <v>121040885563</v>
      </c>
      <c r="AH619" s="2401">
        <v>0</v>
      </c>
      <c r="AI619" s="2401">
        <v>-15347478533</v>
      </c>
      <c r="AJ619" s="2398">
        <v>105693407030</v>
      </c>
      <c r="AZ619" s="2396">
        <v>21101101</v>
      </c>
      <c r="BA619" s="2397" t="s">
        <v>2171</v>
      </c>
      <c r="BB619" s="2398">
        <v>59629107329</v>
      </c>
      <c r="BC619" s="2179">
        <v>618939672</v>
      </c>
      <c r="BD619" s="2399">
        <v>3855603024</v>
      </c>
      <c r="BE619" s="2400">
        <v>123418708</v>
      </c>
      <c r="BF619" s="2398">
        <v>174913859</v>
      </c>
      <c r="BG619" s="2398">
        <v>64401982592</v>
      </c>
      <c r="BH619" s="2401">
        <v>0</v>
      </c>
      <c r="BI619" s="2401">
        <v>-8022796404</v>
      </c>
      <c r="BJ619" s="2398">
        <v>56379186188</v>
      </c>
      <c r="BN619" s="2396">
        <v>21151001</v>
      </c>
      <c r="BO619" s="2397" t="s">
        <v>4296</v>
      </c>
      <c r="BP619" s="2398">
        <v>0</v>
      </c>
      <c r="BQ619" s="2179">
        <v>0</v>
      </c>
      <c r="BR619" s="2399">
        <v>0</v>
      </c>
      <c r="BS619" s="2400">
        <v>0</v>
      </c>
      <c r="BT619" s="2398">
        <v>0</v>
      </c>
      <c r="BU619" s="2398">
        <v>0</v>
      </c>
      <c r="BV619" s="2401">
        <v>0</v>
      </c>
      <c r="BW619" s="2401">
        <v>0</v>
      </c>
      <c r="BX619" s="2398">
        <v>0</v>
      </c>
    </row>
    <row r="620" spans="2:76">
      <c r="B620" s="2558">
        <v>21101200</v>
      </c>
      <c r="C620" s="2571" t="s">
        <v>4273</v>
      </c>
      <c r="D620" s="2560">
        <v>9924807091</v>
      </c>
      <c r="E620" s="2560">
        <v>472459446</v>
      </c>
      <c r="F620" s="2561">
        <v>733699472</v>
      </c>
      <c r="G620" s="2562">
        <v>1035678543</v>
      </c>
      <c r="H620" s="2560">
        <v>73391805</v>
      </c>
      <c r="I620" s="2560">
        <v>12240036357</v>
      </c>
      <c r="J620" s="2563">
        <v>0</v>
      </c>
      <c r="K620" s="2563">
        <v>0</v>
      </c>
      <c r="L620" s="2560">
        <v>12240036357</v>
      </c>
      <c r="N620" s="2390">
        <v>21101200</v>
      </c>
      <c r="O620" s="2403" t="s">
        <v>4273</v>
      </c>
      <c r="P620" s="2392">
        <v>10491668570</v>
      </c>
      <c r="Q620" s="2392">
        <v>382204711</v>
      </c>
      <c r="R620" s="2393">
        <v>619137391</v>
      </c>
      <c r="S620" s="2394">
        <v>1134654862</v>
      </c>
      <c r="T620" s="2392">
        <v>68350988</v>
      </c>
      <c r="U620" s="2392">
        <v>12696016522</v>
      </c>
      <c r="V620" s="2395">
        <v>0</v>
      </c>
      <c r="W620" s="2395">
        <v>0</v>
      </c>
      <c r="X620" s="2392">
        <v>12696016522</v>
      </c>
      <c r="Z620" s="2390">
        <v>21101200</v>
      </c>
      <c r="AA620" s="2403" t="s">
        <v>4273</v>
      </c>
      <c r="AB620" s="2392">
        <v>9251427430</v>
      </c>
      <c r="AC620" s="2392">
        <v>612769988</v>
      </c>
      <c r="AD620" s="2393">
        <v>451303277</v>
      </c>
      <c r="AE620" s="2394">
        <v>2237730541</v>
      </c>
      <c r="AF620" s="2392">
        <v>87630436</v>
      </c>
      <c r="AG620" s="2392">
        <v>12640861672</v>
      </c>
      <c r="AH620" s="2395">
        <v>0</v>
      </c>
      <c r="AI620" s="2395">
        <v>0</v>
      </c>
      <c r="AJ620" s="2392">
        <v>12640861672</v>
      </c>
      <c r="AZ620" s="2390">
        <v>21101200</v>
      </c>
      <c r="BA620" s="2403" t="s">
        <v>4273</v>
      </c>
      <c r="BB620" s="2392">
        <v>15623276076</v>
      </c>
      <c r="BC620" s="2392">
        <v>557815559</v>
      </c>
      <c r="BD620" s="2393">
        <v>510381045</v>
      </c>
      <c r="BE620" s="2394">
        <v>1334995978</v>
      </c>
      <c r="BF620" s="2392">
        <v>94256764</v>
      </c>
      <c r="BG620" s="2392">
        <v>18120725422</v>
      </c>
      <c r="BH620" s="2395">
        <v>0</v>
      </c>
      <c r="BI620" s="2395">
        <v>0</v>
      </c>
      <c r="BJ620" s="2392">
        <v>18120725422</v>
      </c>
      <c r="BN620" s="2396">
        <v>21151002</v>
      </c>
      <c r="BO620" s="2397" t="s">
        <v>4297</v>
      </c>
      <c r="BP620" s="2398">
        <v>0</v>
      </c>
      <c r="BQ620" s="2179">
        <v>0</v>
      </c>
      <c r="BR620" s="2399">
        <v>0</v>
      </c>
      <c r="BS620" s="2400">
        <v>0</v>
      </c>
      <c r="BT620" s="2398">
        <v>0</v>
      </c>
      <c r="BU620" s="2398">
        <v>0</v>
      </c>
      <c r="BV620" s="2401">
        <v>0</v>
      </c>
      <c r="BW620" s="2401">
        <v>0</v>
      </c>
      <c r="BX620" s="2398">
        <v>0</v>
      </c>
    </row>
    <row r="621" spans="2:76">
      <c r="B621" s="2564">
        <v>21101201</v>
      </c>
      <c r="C621" s="2565" t="s">
        <v>4273</v>
      </c>
      <c r="D621" s="2566">
        <v>9924807091</v>
      </c>
      <c r="E621" s="1080">
        <v>472459446</v>
      </c>
      <c r="F621" s="2567">
        <v>733699472</v>
      </c>
      <c r="G621" s="2568">
        <v>1035678543</v>
      </c>
      <c r="H621" s="2566">
        <v>73391805</v>
      </c>
      <c r="I621" s="2566">
        <v>12240036357</v>
      </c>
      <c r="J621" s="2569">
        <v>0</v>
      </c>
      <c r="K621" s="2569">
        <v>0</v>
      </c>
      <c r="L621" s="2566">
        <v>12240036357</v>
      </c>
      <c r="N621" s="2396">
        <v>21101201</v>
      </c>
      <c r="O621" s="2397" t="s">
        <v>4273</v>
      </c>
      <c r="P621" s="2398">
        <v>10491668570</v>
      </c>
      <c r="Q621" s="2179">
        <v>382204711</v>
      </c>
      <c r="R621" s="2399">
        <v>619137391</v>
      </c>
      <c r="S621" s="2400">
        <v>1134654862</v>
      </c>
      <c r="T621" s="2398">
        <v>68350988</v>
      </c>
      <c r="U621" s="2398">
        <v>12696016522</v>
      </c>
      <c r="V621" s="2401">
        <v>0</v>
      </c>
      <c r="W621" s="2401">
        <v>0</v>
      </c>
      <c r="X621" s="2398">
        <v>12696016522</v>
      </c>
      <c r="Z621" s="2396">
        <v>21101201</v>
      </c>
      <c r="AA621" s="2397" t="s">
        <v>4273</v>
      </c>
      <c r="AB621" s="2398">
        <v>9251427430</v>
      </c>
      <c r="AC621" s="2179">
        <v>612769988</v>
      </c>
      <c r="AD621" s="2399">
        <v>451303277</v>
      </c>
      <c r="AE621" s="2400">
        <v>2237730541</v>
      </c>
      <c r="AF621" s="2398">
        <v>87630436</v>
      </c>
      <c r="AG621" s="2398">
        <v>12640861672</v>
      </c>
      <c r="AH621" s="2401">
        <v>0</v>
      </c>
      <c r="AI621" s="2401">
        <v>0</v>
      </c>
      <c r="AJ621" s="2398">
        <v>12640861672</v>
      </c>
      <c r="AZ621" s="2396">
        <v>21101201</v>
      </c>
      <c r="BA621" s="2397" t="s">
        <v>4273</v>
      </c>
      <c r="BB621" s="2398">
        <v>15623276076</v>
      </c>
      <c r="BC621" s="2179">
        <v>557815559</v>
      </c>
      <c r="BD621" s="2399">
        <v>510381045</v>
      </c>
      <c r="BE621" s="2400">
        <v>1334995978</v>
      </c>
      <c r="BF621" s="2398">
        <v>94256764</v>
      </c>
      <c r="BG621" s="2398">
        <v>18120725422</v>
      </c>
      <c r="BH621" s="2401">
        <v>0</v>
      </c>
      <c r="BI621" s="2401">
        <v>0</v>
      </c>
      <c r="BJ621" s="2398">
        <v>18120725422</v>
      </c>
      <c r="BN621" s="2396">
        <v>21151003</v>
      </c>
      <c r="BO621" s="2397" t="s">
        <v>4298</v>
      </c>
      <c r="BP621" s="2398">
        <v>0</v>
      </c>
      <c r="BQ621" s="2179">
        <v>0</v>
      </c>
      <c r="BR621" s="2399">
        <v>0</v>
      </c>
      <c r="BS621" s="2400">
        <v>0</v>
      </c>
      <c r="BT621" s="2398">
        <v>0</v>
      </c>
      <c r="BU621" s="2398">
        <v>0</v>
      </c>
      <c r="BV621" s="2401">
        <v>0</v>
      </c>
      <c r="BW621" s="2401">
        <v>0</v>
      </c>
      <c r="BX621" s="2398">
        <v>0</v>
      </c>
    </row>
    <row r="622" spans="2:76">
      <c r="B622" s="2558">
        <v>21101300</v>
      </c>
      <c r="C622" s="2571" t="s">
        <v>4274</v>
      </c>
      <c r="D622" s="2560">
        <v>0</v>
      </c>
      <c r="E622" s="2560">
        <v>0</v>
      </c>
      <c r="F622" s="2561">
        <v>0</v>
      </c>
      <c r="G622" s="2562">
        <v>25000000</v>
      </c>
      <c r="H622" s="2560">
        <v>0</v>
      </c>
      <c r="I622" s="2560">
        <v>25000000</v>
      </c>
      <c r="J622" s="2563">
        <v>0</v>
      </c>
      <c r="K622" s="2563">
        <v>0</v>
      </c>
      <c r="L622" s="2560">
        <v>25000000</v>
      </c>
      <c r="N622" s="2390">
        <v>21101300</v>
      </c>
      <c r="O622" s="2403" t="s">
        <v>4274</v>
      </c>
      <c r="P622" s="2392">
        <v>0</v>
      </c>
      <c r="Q622" s="2392">
        <v>0</v>
      </c>
      <c r="R622" s="2393">
        <v>0</v>
      </c>
      <c r="S622" s="2394">
        <v>25000000</v>
      </c>
      <c r="T622" s="2392">
        <v>0</v>
      </c>
      <c r="U622" s="2392">
        <v>25000000</v>
      </c>
      <c r="V622" s="2395">
        <v>0</v>
      </c>
      <c r="W622" s="2395">
        <v>0</v>
      </c>
      <c r="X622" s="2392">
        <v>25000000</v>
      </c>
      <c r="Z622" s="2390">
        <v>21101300</v>
      </c>
      <c r="AA622" s="2403" t="s">
        <v>4274</v>
      </c>
      <c r="AB622" s="2392">
        <v>0</v>
      </c>
      <c r="AC622" s="2392">
        <v>0</v>
      </c>
      <c r="AD622" s="2393">
        <v>0</v>
      </c>
      <c r="AE622" s="2394">
        <v>25000000</v>
      </c>
      <c r="AF622" s="2392">
        <v>0</v>
      </c>
      <c r="AG622" s="2392">
        <v>25000000</v>
      </c>
      <c r="AH622" s="2395">
        <v>0</v>
      </c>
      <c r="AI622" s="2395">
        <v>0</v>
      </c>
      <c r="AJ622" s="2392">
        <v>25000000</v>
      </c>
      <c r="AZ622" s="2390">
        <v>21101300</v>
      </c>
      <c r="BA622" s="2403" t="s">
        <v>4274</v>
      </c>
      <c r="BB622" s="2392">
        <v>0</v>
      </c>
      <c r="BC622" s="2392">
        <v>0</v>
      </c>
      <c r="BD622" s="2393">
        <v>0</v>
      </c>
      <c r="BE622" s="2394">
        <v>25000000</v>
      </c>
      <c r="BF622" s="2392">
        <v>0</v>
      </c>
      <c r="BG622" s="2392">
        <v>25000000</v>
      </c>
      <c r="BH622" s="2395">
        <v>0</v>
      </c>
      <c r="BI622" s="2395">
        <v>0</v>
      </c>
      <c r="BJ622" s="2392">
        <v>25000000</v>
      </c>
      <c r="BN622" s="2396">
        <v>21151004</v>
      </c>
      <c r="BO622" s="2397" t="s">
        <v>4299</v>
      </c>
      <c r="BP622" s="2398">
        <v>0</v>
      </c>
      <c r="BQ622" s="2179">
        <v>0</v>
      </c>
      <c r="BR622" s="2399">
        <v>0</v>
      </c>
      <c r="BS622" s="2400">
        <v>0</v>
      </c>
      <c r="BT622" s="2398">
        <v>0</v>
      </c>
      <c r="BU622" s="2398">
        <v>0</v>
      </c>
      <c r="BV622" s="2401">
        <v>0</v>
      </c>
      <c r="BW622" s="2401">
        <v>0</v>
      </c>
      <c r="BX622" s="2398">
        <v>0</v>
      </c>
    </row>
    <row r="623" spans="2:76">
      <c r="B623" s="2564">
        <v>21101301</v>
      </c>
      <c r="C623" s="2565" t="s">
        <v>4274</v>
      </c>
      <c r="D623" s="2566">
        <v>0</v>
      </c>
      <c r="E623" s="1080">
        <v>0</v>
      </c>
      <c r="F623" s="2567">
        <v>0</v>
      </c>
      <c r="G623" s="2568">
        <v>25000000</v>
      </c>
      <c r="H623" s="2566">
        <v>0</v>
      </c>
      <c r="I623" s="2566">
        <v>25000000</v>
      </c>
      <c r="J623" s="2569">
        <v>0</v>
      </c>
      <c r="K623" s="2569">
        <v>0</v>
      </c>
      <c r="L623" s="2566">
        <v>25000000</v>
      </c>
      <c r="N623" s="2396">
        <v>21101301</v>
      </c>
      <c r="O623" s="2397" t="s">
        <v>4274</v>
      </c>
      <c r="P623" s="2398">
        <v>0</v>
      </c>
      <c r="Q623" s="2179">
        <v>0</v>
      </c>
      <c r="R623" s="2399">
        <v>0</v>
      </c>
      <c r="S623" s="2400">
        <v>25000000</v>
      </c>
      <c r="T623" s="2398">
        <v>0</v>
      </c>
      <c r="U623" s="2398">
        <v>25000000</v>
      </c>
      <c r="V623" s="2401">
        <v>0</v>
      </c>
      <c r="W623" s="2401">
        <v>0</v>
      </c>
      <c r="X623" s="2398">
        <v>25000000</v>
      </c>
      <c r="Z623" s="2396">
        <v>21101301</v>
      </c>
      <c r="AA623" s="2397" t="s">
        <v>4274</v>
      </c>
      <c r="AB623" s="2398">
        <v>0</v>
      </c>
      <c r="AC623" s="2179">
        <v>0</v>
      </c>
      <c r="AD623" s="2399">
        <v>0</v>
      </c>
      <c r="AE623" s="2400">
        <v>25000000</v>
      </c>
      <c r="AF623" s="2398">
        <v>0</v>
      </c>
      <c r="AG623" s="2398">
        <v>25000000</v>
      </c>
      <c r="AH623" s="2401">
        <v>0</v>
      </c>
      <c r="AI623" s="2401">
        <v>0</v>
      </c>
      <c r="AJ623" s="2398">
        <v>25000000</v>
      </c>
      <c r="AZ623" s="2396">
        <v>21101301</v>
      </c>
      <c r="BA623" s="2397" t="s">
        <v>4274</v>
      </c>
      <c r="BB623" s="2398">
        <v>0</v>
      </c>
      <c r="BC623" s="2179">
        <v>0</v>
      </c>
      <c r="BD623" s="2399">
        <v>0</v>
      </c>
      <c r="BE623" s="2400">
        <v>25000000</v>
      </c>
      <c r="BF623" s="2398">
        <v>0</v>
      </c>
      <c r="BG623" s="2398">
        <v>25000000</v>
      </c>
      <c r="BH623" s="2401">
        <v>0</v>
      </c>
      <c r="BI623" s="2401">
        <v>0</v>
      </c>
      <c r="BJ623" s="2398">
        <v>25000000</v>
      </c>
      <c r="BN623" s="2396">
        <v>21151005</v>
      </c>
      <c r="BO623" s="2397" t="s">
        <v>4300</v>
      </c>
      <c r="BP623" s="2398">
        <v>0</v>
      </c>
      <c r="BQ623" s="2179">
        <v>0</v>
      </c>
      <c r="BR623" s="2399">
        <v>0</v>
      </c>
      <c r="BS623" s="2400">
        <v>0</v>
      </c>
      <c r="BT623" s="2398">
        <v>0</v>
      </c>
      <c r="BU623" s="2398">
        <v>0</v>
      </c>
      <c r="BV623" s="2401">
        <v>0</v>
      </c>
      <c r="BW623" s="2401">
        <v>0</v>
      </c>
      <c r="BX623" s="2398">
        <v>0</v>
      </c>
    </row>
    <row r="624" spans="2:76">
      <c r="B624" s="2552">
        <v>21110000</v>
      </c>
      <c r="C624" s="2570" t="s">
        <v>4275</v>
      </c>
      <c r="D624" s="2554">
        <v>4184096159</v>
      </c>
      <c r="E624" s="2554">
        <v>0</v>
      </c>
      <c r="F624" s="2555">
        <v>0</v>
      </c>
      <c r="G624" s="2556">
        <v>0</v>
      </c>
      <c r="H624" s="2554">
        <v>0</v>
      </c>
      <c r="I624" s="2554">
        <v>4184096159</v>
      </c>
      <c r="J624" s="2557">
        <v>0</v>
      </c>
      <c r="K624" s="2557">
        <v>0</v>
      </c>
      <c r="L624" s="2554">
        <v>4184096159</v>
      </c>
      <c r="N624" s="2384">
        <v>21110000</v>
      </c>
      <c r="O624" s="2402" t="s">
        <v>4275</v>
      </c>
      <c r="P624" s="2386">
        <v>1219043942</v>
      </c>
      <c r="Q624" s="2386">
        <v>0</v>
      </c>
      <c r="R624" s="2387">
        <v>0</v>
      </c>
      <c r="S624" s="2388">
        <v>0</v>
      </c>
      <c r="T624" s="2386">
        <v>0</v>
      </c>
      <c r="U624" s="2386">
        <v>1219043942</v>
      </c>
      <c r="V624" s="2389">
        <v>0</v>
      </c>
      <c r="W624" s="2389">
        <v>0</v>
      </c>
      <c r="X624" s="2386">
        <v>1219043942</v>
      </c>
      <c r="Z624" s="2384">
        <v>21110000</v>
      </c>
      <c r="AA624" s="2402" t="s">
        <v>4275</v>
      </c>
      <c r="AB624" s="2386">
        <v>136941081</v>
      </c>
      <c r="AC624" s="2386">
        <v>0</v>
      </c>
      <c r="AD624" s="2387">
        <v>0</v>
      </c>
      <c r="AE624" s="2388">
        <v>0</v>
      </c>
      <c r="AF624" s="2386">
        <v>0</v>
      </c>
      <c r="AG624" s="2386">
        <v>136941081</v>
      </c>
      <c r="AH624" s="2389">
        <v>0</v>
      </c>
      <c r="AI624" s="2389">
        <v>0</v>
      </c>
      <c r="AJ624" s="2386">
        <v>136941081</v>
      </c>
      <c r="AZ624" s="2384">
        <v>21110000</v>
      </c>
      <c r="BA624" s="2402" t="s">
        <v>4275</v>
      </c>
      <c r="BB624" s="2386">
        <v>7740000</v>
      </c>
      <c r="BC624" s="2386">
        <v>699313268</v>
      </c>
      <c r="BD624" s="2387">
        <v>0</v>
      </c>
      <c r="BE624" s="2388">
        <v>0</v>
      </c>
      <c r="BF624" s="2386">
        <v>0</v>
      </c>
      <c r="BG624" s="2386">
        <v>707053268</v>
      </c>
      <c r="BH624" s="2389">
        <v>0</v>
      </c>
      <c r="BI624" s="2389">
        <v>0</v>
      </c>
      <c r="BJ624" s="2386">
        <v>707053268</v>
      </c>
      <c r="BN624" s="2384">
        <v>21160000</v>
      </c>
      <c r="BO624" s="2402" t="s">
        <v>4301</v>
      </c>
      <c r="BP624" s="2386">
        <v>1211181668</v>
      </c>
      <c r="BQ624" s="2386">
        <v>0</v>
      </c>
      <c r="BR624" s="2387">
        <v>0</v>
      </c>
      <c r="BS624" s="2388">
        <v>0</v>
      </c>
      <c r="BT624" s="2386">
        <v>2223887852</v>
      </c>
      <c r="BU624" s="2386">
        <v>3435069520</v>
      </c>
      <c r="BV624" s="2389">
        <v>0</v>
      </c>
      <c r="BW624" s="2389">
        <v>0</v>
      </c>
      <c r="BX624" s="2386">
        <v>3435069520</v>
      </c>
    </row>
    <row r="625" spans="2:76">
      <c r="B625" s="2558">
        <v>21111000</v>
      </c>
      <c r="C625" s="2571" t="s">
        <v>4276</v>
      </c>
      <c r="D625" s="2560">
        <v>0</v>
      </c>
      <c r="E625" s="2560">
        <v>0</v>
      </c>
      <c r="F625" s="2561">
        <v>0</v>
      </c>
      <c r="G625" s="2562">
        <v>0</v>
      </c>
      <c r="H625" s="2560">
        <v>0</v>
      </c>
      <c r="I625" s="2560">
        <v>0</v>
      </c>
      <c r="J625" s="2563">
        <v>0</v>
      </c>
      <c r="K625" s="2563">
        <v>0</v>
      </c>
      <c r="L625" s="2560">
        <v>0</v>
      </c>
      <c r="N625" s="2390">
        <v>21111000</v>
      </c>
      <c r="O625" s="2403" t="s">
        <v>4276</v>
      </c>
      <c r="P625" s="2392">
        <v>0</v>
      </c>
      <c r="Q625" s="2392">
        <v>0</v>
      </c>
      <c r="R625" s="2393">
        <v>0</v>
      </c>
      <c r="S625" s="2394">
        <v>0</v>
      </c>
      <c r="T625" s="2392">
        <v>0</v>
      </c>
      <c r="U625" s="2392">
        <v>0</v>
      </c>
      <c r="V625" s="2395">
        <v>0</v>
      </c>
      <c r="W625" s="2395">
        <v>0</v>
      </c>
      <c r="X625" s="2392">
        <v>0</v>
      </c>
      <c r="Z625" s="2390">
        <v>21111000</v>
      </c>
      <c r="AA625" s="2403" t="s">
        <v>4276</v>
      </c>
      <c r="AB625" s="2392">
        <v>0</v>
      </c>
      <c r="AC625" s="2392">
        <v>0</v>
      </c>
      <c r="AD625" s="2393">
        <v>0</v>
      </c>
      <c r="AE625" s="2394">
        <v>0</v>
      </c>
      <c r="AF625" s="2392">
        <v>0</v>
      </c>
      <c r="AG625" s="2392">
        <v>0</v>
      </c>
      <c r="AH625" s="2395">
        <v>0</v>
      </c>
      <c r="AI625" s="2395">
        <v>0</v>
      </c>
      <c r="AJ625" s="2392">
        <v>0</v>
      </c>
      <c r="AZ625" s="2390">
        <v>21111000</v>
      </c>
      <c r="BA625" s="2403" t="s">
        <v>4276</v>
      </c>
      <c r="BB625" s="2392">
        <v>0</v>
      </c>
      <c r="BC625" s="2392">
        <v>0</v>
      </c>
      <c r="BD625" s="2393">
        <v>0</v>
      </c>
      <c r="BE625" s="2394">
        <v>0</v>
      </c>
      <c r="BF625" s="2392">
        <v>0</v>
      </c>
      <c r="BG625" s="2392">
        <v>0</v>
      </c>
      <c r="BH625" s="2395">
        <v>0</v>
      </c>
      <c r="BI625" s="2395">
        <v>0</v>
      </c>
      <c r="BJ625" s="2392">
        <v>0</v>
      </c>
      <c r="BN625" s="2390">
        <v>21161000</v>
      </c>
      <c r="BO625" s="2403" t="s">
        <v>4301</v>
      </c>
      <c r="BP625" s="2392">
        <v>1211181668</v>
      </c>
      <c r="BQ625" s="2392">
        <v>0</v>
      </c>
      <c r="BR625" s="2393">
        <v>0</v>
      </c>
      <c r="BS625" s="2394">
        <v>0</v>
      </c>
      <c r="BT625" s="2392">
        <v>2223887852</v>
      </c>
      <c r="BU625" s="2392">
        <v>3435069520</v>
      </c>
      <c r="BV625" s="2395">
        <v>0</v>
      </c>
      <c r="BW625" s="2395">
        <v>0</v>
      </c>
      <c r="BX625" s="2392">
        <v>3435069520</v>
      </c>
    </row>
    <row r="626" spans="2:76">
      <c r="B626" s="2564">
        <v>21111001</v>
      </c>
      <c r="C626" s="2565" t="s">
        <v>5055</v>
      </c>
      <c r="D626" s="2566">
        <v>0</v>
      </c>
      <c r="E626" s="1080">
        <v>0</v>
      </c>
      <c r="F626" s="2567">
        <v>0</v>
      </c>
      <c r="G626" s="2568">
        <v>0</v>
      </c>
      <c r="H626" s="2566">
        <v>0</v>
      </c>
      <c r="I626" s="2566">
        <v>0</v>
      </c>
      <c r="J626" s="2569">
        <v>0</v>
      </c>
      <c r="K626" s="2569">
        <v>0</v>
      </c>
      <c r="L626" s="2566">
        <v>0</v>
      </c>
      <c r="N626" s="2396">
        <v>21111001</v>
      </c>
      <c r="O626" s="2397" t="s">
        <v>4276</v>
      </c>
      <c r="P626" s="2398">
        <v>0</v>
      </c>
      <c r="Q626" s="2179">
        <v>0</v>
      </c>
      <c r="R626" s="2399">
        <v>0</v>
      </c>
      <c r="S626" s="2400">
        <v>0</v>
      </c>
      <c r="T626" s="2398">
        <v>0</v>
      </c>
      <c r="U626" s="2398">
        <v>0</v>
      </c>
      <c r="V626" s="2401">
        <v>0</v>
      </c>
      <c r="W626" s="2401">
        <v>0</v>
      </c>
      <c r="X626" s="2398">
        <v>0</v>
      </c>
      <c r="Z626" s="2396">
        <v>21111001</v>
      </c>
      <c r="AA626" s="2397" t="s">
        <v>4276</v>
      </c>
      <c r="AB626" s="2398">
        <v>0</v>
      </c>
      <c r="AC626" s="2179">
        <v>0</v>
      </c>
      <c r="AD626" s="2399">
        <v>0</v>
      </c>
      <c r="AE626" s="2400">
        <v>0</v>
      </c>
      <c r="AF626" s="2398">
        <v>0</v>
      </c>
      <c r="AG626" s="2398">
        <v>0</v>
      </c>
      <c r="AH626" s="2401">
        <v>0</v>
      </c>
      <c r="AI626" s="2401">
        <v>0</v>
      </c>
      <c r="AJ626" s="2398">
        <v>0</v>
      </c>
      <c r="AZ626" s="2396">
        <v>21111001</v>
      </c>
      <c r="BA626" s="2397" t="s">
        <v>4276</v>
      </c>
      <c r="BB626" s="2398">
        <v>0</v>
      </c>
      <c r="BC626" s="2179">
        <v>0</v>
      </c>
      <c r="BD626" s="2399">
        <v>0</v>
      </c>
      <c r="BE626" s="2400">
        <v>0</v>
      </c>
      <c r="BF626" s="2398">
        <v>0</v>
      </c>
      <c r="BG626" s="2398">
        <v>0</v>
      </c>
      <c r="BH626" s="2401">
        <v>0</v>
      </c>
      <c r="BI626" s="2401">
        <v>0</v>
      </c>
      <c r="BJ626" s="2398">
        <v>0</v>
      </c>
      <c r="BN626" s="2396">
        <v>21161001</v>
      </c>
      <c r="BO626" s="2397" t="s">
        <v>4301</v>
      </c>
      <c r="BP626" s="2398">
        <v>1211181668</v>
      </c>
      <c r="BQ626" s="2179">
        <v>0</v>
      </c>
      <c r="BR626" s="2399">
        <v>0</v>
      </c>
      <c r="BS626" s="2400">
        <v>0</v>
      </c>
      <c r="BT626" s="2398">
        <v>2223887852</v>
      </c>
      <c r="BU626" s="2398">
        <v>3435069520</v>
      </c>
      <c r="BV626" s="2401">
        <v>0</v>
      </c>
      <c r="BW626" s="2401">
        <v>0</v>
      </c>
      <c r="BX626" s="2398">
        <v>3435069520</v>
      </c>
    </row>
    <row r="627" spans="2:76">
      <c r="B627" s="2558">
        <v>21111100</v>
      </c>
      <c r="C627" s="2571" t="s">
        <v>4277</v>
      </c>
      <c r="D627" s="2560">
        <v>4184096159</v>
      </c>
      <c r="E627" s="2560">
        <v>0</v>
      </c>
      <c r="F627" s="2561">
        <v>0</v>
      </c>
      <c r="G627" s="2562">
        <v>0</v>
      </c>
      <c r="H627" s="2560">
        <v>0</v>
      </c>
      <c r="I627" s="2560">
        <v>4184096159</v>
      </c>
      <c r="J627" s="2563">
        <v>0</v>
      </c>
      <c r="K627" s="2563">
        <v>0</v>
      </c>
      <c r="L627" s="2560">
        <v>4184096159</v>
      </c>
      <c r="N627" s="2390">
        <v>21111100</v>
      </c>
      <c r="O627" s="2403" t="s">
        <v>4277</v>
      </c>
      <c r="P627" s="2392">
        <v>1219043942</v>
      </c>
      <c r="Q627" s="2392">
        <v>0</v>
      </c>
      <c r="R627" s="2393">
        <v>0</v>
      </c>
      <c r="S627" s="2394">
        <v>0</v>
      </c>
      <c r="T627" s="2392">
        <v>0</v>
      </c>
      <c r="U627" s="2392">
        <v>1219043942</v>
      </c>
      <c r="V627" s="2395">
        <v>0</v>
      </c>
      <c r="W627" s="2395">
        <v>0</v>
      </c>
      <c r="X627" s="2392">
        <v>1219043942</v>
      </c>
      <c r="Z627" s="2390">
        <v>21111100</v>
      </c>
      <c r="AA627" s="2403" t="s">
        <v>4277</v>
      </c>
      <c r="AB627" s="2392">
        <v>136941081</v>
      </c>
      <c r="AC627" s="2392">
        <v>0</v>
      </c>
      <c r="AD627" s="2393">
        <v>0</v>
      </c>
      <c r="AE627" s="2394">
        <v>0</v>
      </c>
      <c r="AF627" s="2392">
        <v>0</v>
      </c>
      <c r="AG627" s="2392">
        <v>136941081</v>
      </c>
      <c r="AH627" s="2395">
        <v>0</v>
      </c>
      <c r="AI627" s="2395">
        <v>0</v>
      </c>
      <c r="AJ627" s="2392">
        <v>136941081</v>
      </c>
      <c r="AZ627" s="2390">
        <v>21111100</v>
      </c>
      <c r="BA627" s="2403" t="s">
        <v>4277</v>
      </c>
      <c r="BB627" s="2392">
        <v>7740000</v>
      </c>
      <c r="BC627" s="2392">
        <v>699313268</v>
      </c>
      <c r="BD627" s="2393">
        <v>0</v>
      </c>
      <c r="BE627" s="2394">
        <v>0</v>
      </c>
      <c r="BF627" s="2392">
        <v>0</v>
      </c>
      <c r="BG627" s="2392">
        <v>707053268</v>
      </c>
      <c r="BH627" s="2395">
        <v>0</v>
      </c>
      <c r="BI627" s="2395">
        <v>0</v>
      </c>
      <c r="BJ627" s="2392">
        <v>707053268</v>
      </c>
      <c r="BN627" s="2396">
        <v>21161002</v>
      </c>
      <c r="BO627" s="2397" t="s">
        <v>4302</v>
      </c>
      <c r="BP627" s="2398">
        <v>0</v>
      </c>
      <c r="BQ627" s="2179">
        <v>0</v>
      </c>
      <c r="BR627" s="2399">
        <v>0</v>
      </c>
      <c r="BS627" s="2400">
        <v>0</v>
      </c>
      <c r="BT627" s="2398">
        <v>0</v>
      </c>
      <c r="BU627" s="2398">
        <v>0</v>
      </c>
      <c r="BV627" s="2401">
        <v>0</v>
      </c>
      <c r="BW627" s="2401">
        <v>0</v>
      </c>
      <c r="BX627" s="2398">
        <v>0</v>
      </c>
    </row>
    <row r="628" spans="2:76">
      <c r="B628" s="2564">
        <v>21111101</v>
      </c>
      <c r="C628" s="2565" t="s">
        <v>5056</v>
      </c>
      <c r="D628" s="2566">
        <v>4184096159</v>
      </c>
      <c r="E628" s="1080">
        <v>0</v>
      </c>
      <c r="F628" s="2567">
        <v>0</v>
      </c>
      <c r="G628" s="2568">
        <v>0</v>
      </c>
      <c r="H628" s="2566">
        <v>0</v>
      </c>
      <c r="I628" s="2566">
        <v>4184096159</v>
      </c>
      <c r="J628" s="2569">
        <v>0</v>
      </c>
      <c r="K628" s="2569">
        <v>0</v>
      </c>
      <c r="L628" s="2566">
        <v>4184096159</v>
      </c>
      <c r="N628" s="2396">
        <v>21111101</v>
      </c>
      <c r="O628" s="2397" t="s">
        <v>4278</v>
      </c>
      <c r="P628" s="2398">
        <v>1219043942</v>
      </c>
      <c r="Q628" s="2179">
        <v>0</v>
      </c>
      <c r="R628" s="2399">
        <v>0</v>
      </c>
      <c r="S628" s="2400">
        <v>0</v>
      </c>
      <c r="T628" s="2398">
        <v>0</v>
      </c>
      <c r="U628" s="2398">
        <v>1219043942</v>
      </c>
      <c r="V628" s="2401">
        <v>0</v>
      </c>
      <c r="W628" s="2401">
        <v>0</v>
      </c>
      <c r="X628" s="2398">
        <v>1219043942</v>
      </c>
      <c r="Z628" s="2396">
        <v>21111101</v>
      </c>
      <c r="AA628" s="2397" t="s">
        <v>4278</v>
      </c>
      <c r="AB628" s="2398">
        <v>136941081</v>
      </c>
      <c r="AC628" s="2179">
        <v>0</v>
      </c>
      <c r="AD628" s="2399">
        <v>0</v>
      </c>
      <c r="AE628" s="2400">
        <v>0</v>
      </c>
      <c r="AF628" s="2398">
        <v>0</v>
      </c>
      <c r="AG628" s="2398">
        <v>136941081</v>
      </c>
      <c r="AH628" s="2401">
        <v>0</v>
      </c>
      <c r="AI628" s="2401">
        <v>0</v>
      </c>
      <c r="AJ628" s="2398">
        <v>136941081</v>
      </c>
      <c r="AZ628" s="2396">
        <v>21111101</v>
      </c>
      <c r="BA628" s="2397" t="s">
        <v>4278</v>
      </c>
      <c r="BB628" s="2398">
        <v>7740000</v>
      </c>
      <c r="BC628" s="2179">
        <v>0</v>
      </c>
      <c r="BD628" s="2399">
        <v>0</v>
      </c>
      <c r="BE628" s="2400">
        <v>0</v>
      </c>
      <c r="BF628" s="2398">
        <v>0</v>
      </c>
      <c r="BG628" s="2398">
        <v>7740000</v>
      </c>
      <c r="BH628" s="2401">
        <v>0</v>
      </c>
      <c r="BI628" s="2401">
        <v>0</v>
      </c>
      <c r="BJ628" s="2398">
        <v>7740000</v>
      </c>
      <c r="BN628" s="2396">
        <v>21161003</v>
      </c>
      <c r="BO628" s="2397" t="s">
        <v>4303</v>
      </c>
      <c r="BP628" s="2398">
        <v>0</v>
      </c>
      <c r="BQ628" s="2179">
        <v>0</v>
      </c>
      <c r="BR628" s="2399">
        <v>0</v>
      </c>
      <c r="BS628" s="2400">
        <v>0</v>
      </c>
      <c r="BT628" s="2398">
        <v>0</v>
      </c>
      <c r="BU628" s="2398">
        <v>0</v>
      </c>
      <c r="BV628" s="2401">
        <v>0</v>
      </c>
      <c r="BW628" s="2401">
        <v>0</v>
      </c>
      <c r="BX628" s="2398">
        <v>0</v>
      </c>
    </row>
    <row r="629" spans="2:76">
      <c r="B629" s="2564">
        <v>21111102</v>
      </c>
      <c r="C629" s="2565" t="s">
        <v>5057</v>
      </c>
      <c r="D629" s="2566">
        <v>0</v>
      </c>
      <c r="E629" s="1080">
        <v>0</v>
      </c>
      <c r="F629" s="2567">
        <v>0</v>
      </c>
      <c r="G629" s="2568">
        <v>0</v>
      </c>
      <c r="H629" s="2566">
        <v>0</v>
      </c>
      <c r="I629" s="2566">
        <v>0</v>
      </c>
      <c r="J629" s="2569">
        <v>0</v>
      </c>
      <c r="K629" s="2569">
        <v>0</v>
      </c>
      <c r="L629" s="2566">
        <v>0</v>
      </c>
      <c r="N629" s="2396">
        <v>21111102</v>
      </c>
      <c r="O629" s="2397" t="s">
        <v>4279</v>
      </c>
      <c r="P629" s="2398">
        <v>0</v>
      </c>
      <c r="Q629" s="2179">
        <v>0</v>
      </c>
      <c r="R629" s="2399">
        <v>0</v>
      </c>
      <c r="S629" s="2400">
        <v>0</v>
      </c>
      <c r="T629" s="2398">
        <v>0</v>
      </c>
      <c r="U629" s="2398">
        <v>0</v>
      </c>
      <c r="V629" s="2401">
        <v>0</v>
      </c>
      <c r="W629" s="2401">
        <v>0</v>
      </c>
      <c r="X629" s="2398">
        <v>0</v>
      </c>
      <c r="Z629" s="2396">
        <v>21111102</v>
      </c>
      <c r="AA629" s="2397" t="s">
        <v>4279</v>
      </c>
      <c r="AB629" s="2398">
        <v>0</v>
      </c>
      <c r="AC629" s="2179">
        <v>0</v>
      </c>
      <c r="AD629" s="2399">
        <v>0</v>
      </c>
      <c r="AE629" s="2400">
        <v>0</v>
      </c>
      <c r="AF629" s="2398">
        <v>0</v>
      </c>
      <c r="AG629" s="2398">
        <v>0</v>
      </c>
      <c r="AH629" s="2401">
        <v>0</v>
      </c>
      <c r="AI629" s="2401">
        <v>0</v>
      </c>
      <c r="AJ629" s="2398">
        <v>0</v>
      </c>
      <c r="AZ629" s="2396">
        <v>21111102</v>
      </c>
      <c r="BA629" s="2397" t="s">
        <v>4279</v>
      </c>
      <c r="BB629" s="2398">
        <v>0</v>
      </c>
      <c r="BC629" s="2179">
        <v>699313268</v>
      </c>
      <c r="BD629" s="2399">
        <v>0</v>
      </c>
      <c r="BE629" s="2400">
        <v>0</v>
      </c>
      <c r="BF629" s="2398">
        <v>0</v>
      </c>
      <c r="BG629" s="2398">
        <v>699313268</v>
      </c>
      <c r="BH629" s="2401">
        <v>0</v>
      </c>
      <c r="BI629" s="2401">
        <v>0</v>
      </c>
      <c r="BJ629" s="2398">
        <v>699313268</v>
      </c>
      <c r="BN629" s="2384">
        <v>21170000</v>
      </c>
      <c r="BO629" s="2402" t="s">
        <v>4304</v>
      </c>
      <c r="BP629" s="2386">
        <v>0</v>
      </c>
      <c r="BQ629" s="2386">
        <v>0</v>
      </c>
      <c r="BR629" s="2387">
        <v>0</v>
      </c>
      <c r="BS629" s="2388">
        <v>0</v>
      </c>
      <c r="BT629" s="2386">
        <v>0</v>
      </c>
      <c r="BU629" s="2386">
        <v>0</v>
      </c>
      <c r="BV629" s="2389">
        <v>0</v>
      </c>
      <c r="BW629" s="2389">
        <v>0</v>
      </c>
      <c r="BX629" s="2386">
        <v>0</v>
      </c>
    </row>
    <row r="630" spans="2:76">
      <c r="B630" s="2552">
        <v>21120000</v>
      </c>
      <c r="C630" s="2570" t="s">
        <v>4280</v>
      </c>
      <c r="D630" s="2554">
        <v>5624580844</v>
      </c>
      <c r="E630" s="2554">
        <v>339775802</v>
      </c>
      <c r="F630" s="2555">
        <v>0</v>
      </c>
      <c r="G630" s="2556">
        <v>0</v>
      </c>
      <c r="H630" s="2554">
        <v>0</v>
      </c>
      <c r="I630" s="2554">
        <v>5964356646</v>
      </c>
      <c r="J630" s="2557">
        <v>0</v>
      </c>
      <c r="K630" s="2557">
        <v>0</v>
      </c>
      <c r="L630" s="2554">
        <v>5964356646</v>
      </c>
      <c r="N630" s="2384">
        <v>21120000</v>
      </c>
      <c r="O630" s="2402" t="s">
        <v>4280</v>
      </c>
      <c r="P630" s="2386">
        <v>7272625275</v>
      </c>
      <c r="Q630" s="2386">
        <v>165309760</v>
      </c>
      <c r="R630" s="2387">
        <v>0</v>
      </c>
      <c r="S630" s="2388">
        <v>0</v>
      </c>
      <c r="T630" s="2386">
        <v>0</v>
      </c>
      <c r="U630" s="2386">
        <v>7437935035</v>
      </c>
      <c r="V630" s="2389">
        <v>0</v>
      </c>
      <c r="W630" s="2389">
        <v>0</v>
      </c>
      <c r="X630" s="2386">
        <v>7437935035</v>
      </c>
      <c r="Z630" s="2384">
        <v>21120000</v>
      </c>
      <c r="AA630" s="2402" t="s">
        <v>4280</v>
      </c>
      <c r="AB630" s="2386">
        <v>6337149154</v>
      </c>
      <c r="AC630" s="2386">
        <v>630303271</v>
      </c>
      <c r="AD630" s="2387">
        <v>0</v>
      </c>
      <c r="AE630" s="2388">
        <v>0</v>
      </c>
      <c r="AF630" s="2386">
        <v>0</v>
      </c>
      <c r="AG630" s="2386">
        <v>6967452425</v>
      </c>
      <c r="AH630" s="2389">
        <v>0</v>
      </c>
      <c r="AI630" s="2389">
        <v>0</v>
      </c>
      <c r="AJ630" s="2386">
        <v>6967452425</v>
      </c>
      <c r="AZ630" s="2384">
        <v>21120000</v>
      </c>
      <c r="BA630" s="2402" t="s">
        <v>4280</v>
      </c>
      <c r="BB630" s="2386">
        <v>8008588046</v>
      </c>
      <c r="BC630" s="2386">
        <v>0</v>
      </c>
      <c r="BD630" s="2387">
        <v>0</v>
      </c>
      <c r="BE630" s="2388">
        <v>0</v>
      </c>
      <c r="BF630" s="2386">
        <v>0</v>
      </c>
      <c r="BG630" s="2386">
        <v>8008588046</v>
      </c>
      <c r="BH630" s="2389">
        <v>0</v>
      </c>
      <c r="BI630" s="2389">
        <v>0</v>
      </c>
      <c r="BJ630" s="2386">
        <v>8008588046</v>
      </c>
      <c r="BN630" s="2390">
        <v>21171000</v>
      </c>
      <c r="BO630" s="2403" t="s">
        <v>4304</v>
      </c>
      <c r="BP630" s="2392">
        <v>0</v>
      </c>
      <c r="BQ630" s="2392">
        <v>0</v>
      </c>
      <c r="BR630" s="2393">
        <v>0</v>
      </c>
      <c r="BS630" s="2394">
        <v>0</v>
      </c>
      <c r="BT630" s="2392">
        <v>0</v>
      </c>
      <c r="BU630" s="2392">
        <v>0</v>
      </c>
      <c r="BV630" s="2395">
        <v>0</v>
      </c>
      <c r="BW630" s="2395">
        <v>0</v>
      </c>
      <c r="BX630" s="2392">
        <v>0</v>
      </c>
    </row>
    <row r="631" spans="2:76">
      <c r="B631" s="2558">
        <v>21121000</v>
      </c>
      <c r="C631" s="2571" t="s">
        <v>4281</v>
      </c>
      <c r="D631" s="2560">
        <v>982059932</v>
      </c>
      <c r="E631" s="2560">
        <v>0</v>
      </c>
      <c r="F631" s="2561">
        <v>0</v>
      </c>
      <c r="G631" s="2562">
        <v>0</v>
      </c>
      <c r="H631" s="2560">
        <v>0</v>
      </c>
      <c r="I631" s="2560">
        <v>982059932</v>
      </c>
      <c r="J631" s="2563">
        <v>0</v>
      </c>
      <c r="K631" s="2563">
        <v>0</v>
      </c>
      <c r="L631" s="2560">
        <v>982059932</v>
      </c>
      <c r="N631" s="2390">
        <v>21121000</v>
      </c>
      <c r="O631" s="2403" t="s">
        <v>4281</v>
      </c>
      <c r="P631" s="2392">
        <v>756795014</v>
      </c>
      <c r="Q631" s="2392">
        <v>0</v>
      </c>
      <c r="R631" s="2393">
        <v>0</v>
      </c>
      <c r="S631" s="2394">
        <v>0</v>
      </c>
      <c r="T631" s="2392">
        <v>0</v>
      </c>
      <c r="U631" s="2392">
        <v>756795014</v>
      </c>
      <c r="V631" s="2395">
        <v>0</v>
      </c>
      <c r="W631" s="2395">
        <v>0</v>
      </c>
      <c r="X631" s="2392">
        <v>756795014</v>
      </c>
      <c r="Z631" s="2390">
        <v>21121000</v>
      </c>
      <c r="AA631" s="2403" t="s">
        <v>4281</v>
      </c>
      <c r="AB631" s="2392">
        <v>412920480</v>
      </c>
      <c r="AC631" s="2392">
        <v>0</v>
      </c>
      <c r="AD631" s="2393">
        <v>0</v>
      </c>
      <c r="AE631" s="2394">
        <v>0</v>
      </c>
      <c r="AF631" s="2392">
        <v>0</v>
      </c>
      <c r="AG631" s="2392">
        <v>412920480</v>
      </c>
      <c r="AH631" s="2395">
        <v>0</v>
      </c>
      <c r="AI631" s="2395">
        <v>0</v>
      </c>
      <c r="AJ631" s="2392">
        <v>412920480</v>
      </c>
      <c r="AZ631" s="2390">
        <v>21121000</v>
      </c>
      <c r="BA631" s="2403" t="s">
        <v>4281</v>
      </c>
      <c r="BB631" s="2392">
        <v>1013598615</v>
      </c>
      <c r="BC631" s="2392">
        <v>0</v>
      </c>
      <c r="BD631" s="2393">
        <v>0</v>
      </c>
      <c r="BE631" s="2394">
        <v>0</v>
      </c>
      <c r="BF631" s="2392">
        <v>0</v>
      </c>
      <c r="BG631" s="2392">
        <v>1013598615</v>
      </c>
      <c r="BH631" s="2395">
        <v>0</v>
      </c>
      <c r="BI631" s="2395">
        <v>0</v>
      </c>
      <c r="BJ631" s="2392">
        <v>1013598615</v>
      </c>
      <c r="BN631" s="2396">
        <v>21171001</v>
      </c>
      <c r="BO631" s="2397" t="s">
        <v>4304</v>
      </c>
      <c r="BP631" s="2398">
        <v>0</v>
      </c>
      <c r="BQ631" s="2179">
        <v>0</v>
      </c>
      <c r="BR631" s="2399">
        <v>0</v>
      </c>
      <c r="BS631" s="2400">
        <v>0</v>
      </c>
      <c r="BT631" s="2398">
        <v>0</v>
      </c>
      <c r="BU631" s="2398">
        <v>0</v>
      </c>
      <c r="BV631" s="2401">
        <v>0</v>
      </c>
      <c r="BW631" s="2401">
        <v>0</v>
      </c>
      <c r="BX631" s="2398">
        <v>0</v>
      </c>
    </row>
    <row r="632" spans="2:76">
      <c r="B632" s="2564">
        <v>21121001</v>
      </c>
      <c r="C632" s="2565" t="s">
        <v>5058</v>
      </c>
      <c r="D632" s="2566">
        <v>0</v>
      </c>
      <c r="E632" s="1080">
        <v>0</v>
      </c>
      <c r="F632" s="2567">
        <v>0</v>
      </c>
      <c r="G632" s="2568">
        <v>0</v>
      </c>
      <c r="H632" s="2566">
        <v>0</v>
      </c>
      <c r="I632" s="2566">
        <v>0</v>
      </c>
      <c r="J632" s="2569">
        <v>0</v>
      </c>
      <c r="K632" s="2569">
        <v>0</v>
      </c>
      <c r="L632" s="2566">
        <v>0</v>
      </c>
      <c r="N632" s="2396">
        <v>21121001</v>
      </c>
      <c r="O632" s="2397" t="s">
        <v>4282</v>
      </c>
      <c r="P632" s="2398">
        <v>0</v>
      </c>
      <c r="Q632" s="2179">
        <v>0</v>
      </c>
      <c r="R632" s="2399">
        <v>0</v>
      </c>
      <c r="S632" s="2400">
        <v>0</v>
      </c>
      <c r="T632" s="2398">
        <v>0</v>
      </c>
      <c r="U632" s="2398">
        <v>0</v>
      </c>
      <c r="V632" s="2401">
        <v>0</v>
      </c>
      <c r="W632" s="2401">
        <v>0</v>
      </c>
      <c r="X632" s="2398">
        <v>0</v>
      </c>
      <c r="Z632" s="2396">
        <v>21121001</v>
      </c>
      <c r="AA632" s="2397" t="s">
        <v>4282</v>
      </c>
      <c r="AB632" s="2398">
        <v>0</v>
      </c>
      <c r="AC632" s="2179">
        <v>0</v>
      </c>
      <c r="AD632" s="2399">
        <v>0</v>
      </c>
      <c r="AE632" s="2400">
        <v>0</v>
      </c>
      <c r="AF632" s="2398">
        <v>0</v>
      </c>
      <c r="AG632" s="2398">
        <v>0</v>
      </c>
      <c r="AH632" s="2401">
        <v>0</v>
      </c>
      <c r="AI632" s="2401">
        <v>0</v>
      </c>
      <c r="AJ632" s="2398">
        <v>0</v>
      </c>
      <c r="AZ632" s="2396">
        <v>21121001</v>
      </c>
      <c r="BA632" s="2397" t="s">
        <v>4282</v>
      </c>
      <c r="BB632" s="2398">
        <v>0</v>
      </c>
      <c r="BC632" s="2179">
        <v>0</v>
      </c>
      <c r="BD632" s="2399">
        <v>0</v>
      </c>
      <c r="BE632" s="2400">
        <v>0</v>
      </c>
      <c r="BF632" s="2398">
        <v>0</v>
      </c>
      <c r="BG632" s="2398">
        <v>0</v>
      </c>
      <c r="BH632" s="2401">
        <v>0</v>
      </c>
      <c r="BI632" s="2401">
        <v>0</v>
      </c>
      <c r="BJ632" s="2398">
        <v>0</v>
      </c>
      <c r="BN632" s="2384">
        <v>21180000</v>
      </c>
      <c r="BO632" s="2402" t="s">
        <v>4305</v>
      </c>
      <c r="BP632" s="2386">
        <v>2307088918</v>
      </c>
      <c r="BQ632" s="2386">
        <v>0</v>
      </c>
      <c r="BR632" s="2387">
        <v>0</v>
      </c>
      <c r="BS632" s="2388">
        <v>0</v>
      </c>
      <c r="BT632" s="2386">
        <v>0</v>
      </c>
      <c r="BU632" s="2386">
        <v>2307088918</v>
      </c>
      <c r="BV632" s="2389">
        <v>0</v>
      </c>
      <c r="BW632" s="2389">
        <v>0</v>
      </c>
      <c r="BX632" s="2386">
        <v>2307088918</v>
      </c>
    </row>
    <row r="633" spans="2:76">
      <c r="B633" s="2564">
        <v>21121002</v>
      </c>
      <c r="C633" s="2565" t="s">
        <v>5059</v>
      </c>
      <c r="D633" s="2566">
        <v>982059932</v>
      </c>
      <c r="E633" s="1080">
        <v>0</v>
      </c>
      <c r="F633" s="2567">
        <v>0</v>
      </c>
      <c r="G633" s="2568">
        <v>0</v>
      </c>
      <c r="H633" s="2566">
        <v>0</v>
      </c>
      <c r="I633" s="2566">
        <v>982059932</v>
      </c>
      <c r="J633" s="2569">
        <v>0</v>
      </c>
      <c r="K633" s="2569">
        <v>0</v>
      </c>
      <c r="L633" s="2566">
        <v>982059932</v>
      </c>
      <c r="N633" s="2396">
        <v>21121002</v>
      </c>
      <c r="O633" s="2397" t="s">
        <v>4283</v>
      </c>
      <c r="P633" s="2398">
        <v>756795014</v>
      </c>
      <c r="Q633" s="2179">
        <v>0</v>
      </c>
      <c r="R633" s="2399">
        <v>0</v>
      </c>
      <c r="S633" s="2400">
        <v>0</v>
      </c>
      <c r="T633" s="2398">
        <v>0</v>
      </c>
      <c r="U633" s="2398">
        <v>756795014</v>
      </c>
      <c r="V633" s="2401">
        <v>0</v>
      </c>
      <c r="W633" s="2401">
        <v>0</v>
      </c>
      <c r="X633" s="2398">
        <v>756795014</v>
      </c>
      <c r="Z633" s="2396">
        <v>21121002</v>
      </c>
      <c r="AA633" s="2397" t="s">
        <v>4283</v>
      </c>
      <c r="AB633" s="2398">
        <v>412920480</v>
      </c>
      <c r="AC633" s="2179">
        <v>0</v>
      </c>
      <c r="AD633" s="2399">
        <v>0</v>
      </c>
      <c r="AE633" s="2400">
        <v>0</v>
      </c>
      <c r="AF633" s="2398">
        <v>0</v>
      </c>
      <c r="AG633" s="2398">
        <v>412920480</v>
      </c>
      <c r="AH633" s="2401">
        <v>0</v>
      </c>
      <c r="AI633" s="2401">
        <v>0</v>
      </c>
      <c r="AJ633" s="2398">
        <v>412920480</v>
      </c>
      <c r="AZ633" s="2396">
        <v>21121002</v>
      </c>
      <c r="BA633" s="2397" t="s">
        <v>4283</v>
      </c>
      <c r="BB633" s="2398">
        <v>1013598615</v>
      </c>
      <c r="BC633" s="2179">
        <v>0</v>
      </c>
      <c r="BD633" s="2399">
        <v>0</v>
      </c>
      <c r="BE633" s="2400">
        <v>0</v>
      </c>
      <c r="BF633" s="2398">
        <v>0</v>
      </c>
      <c r="BG633" s="2398">
        <v>1013598615</v>
      </c>
      <c r="BH633" s="2401">
        <v>0</v>
      </c>
      <c r="BI633" s="2401">
        <v>0</v>
      </c>
      <c r="BJ633" s="2398">
        <v>1013598615</v>
      </c>
      <c r="BN633" s="2390">
        <v>21181000</v>
      </c>
      <c r="BO633" s="2403" t="s">
        <v>4306</v>
      </c>
      <c r="BP633" s="2392">
        <v>0</v>
      </c>
      <c r="BQ633" s="2392">
        <v>0</v>
      </c>
      <c r="BR633" s="2393">
        <v>0</v>
      </c>
      <c r="BS633" s="2394">
        <v>0</v>
      </c>
      <c r="BT633" s="2392">
        <v>0</v>
      </c>
      <c r="BU633" s="2392">
        <v>0</v>
      </c>
      <c r="BV633" s="2395">
        <v>0</v>
      </c>
      <c r="BW633" s="2395">
        <v>0</v>
      </c>
      <c r="BX633" s="2392">
        <v>0</v>
      </c>
    </row>
    <row r="634" spans="2:76">
      <c r="B634" s="2564">
        <v>21121003</v>
      </c>
      <c r="C634" s="2565" t="s">
        <v>5060</v>
      </c>
      <c r="D634" s="2566">
        <v>0</v>
      </c>
      <c r="E634" s="1080">
        <v>0</v>
      </c>
      <c r="F634" s="2567">
        <v>0</v>
      </c>
      <c r="G634" s="2568">
        <v>0</v>
      </c>
      <c r="H634" s="2566">
        <v>0</v>
      </c>
      <c r="I634" s="2566">
        <v>0</v>
      </c>
      <c r="J634" s="2569">
        <v>0</v>
      </c>
      <c r="K634" s="2569">
        <v>0</v>
      </c>
      <c r="L634" s="2566">
        <v>0</v>
      </c>
      <c r="N634" s="2396">
        <v>21121003</v>
      </c>
      <c r="O634" s="2397" t="s">
        <v>4284</v>
      </c>
      <c r="P634" s="2398">
        <v>0</v>
      </c>
      <c r="Q634" s="2179">
        <v>0</v>
      </c>
      <c r="R634" s="2399">
        <v>0</v>
      </c>
      <c r="S634" s="2400">
        <v>0</v>
      </c>
      <c r="T634" s="2398">
        <v>0</v>
      </c>
      <c r="U634" s="2398">
        <v>0</v>
      </c>
      <c r="V634" s="2401">
        <v>0</v>
      </c>
      <c r="W634" s="2401">
        <v>0</v>
      </c>
      <c r="X634" s="2398">
        <v>0</v>
      </c>
      <c r="Z634" s="2396">
        <v>21121003</v>
      </c>
      <c r="AA634" s="2397" t="s">
        <v>4284</v>
      </c>
      <c r="AB634" s="2398">
        <v>0</v>
      </c>
      <c r="AC634" s="2179">
        <v>0</v>
      </c>
      <c r="AD634" s="2399">
        <v>0</v>
      </c>
      <c r="AE634" s="2400">
        <v>0</v>
      </c>
      <c r="AF634" s="2398">
        <v>0</v>
      </c>
      <c r="AG634" s="2398">
        <v>0</v>
      </c>
      <c r="AH634" s="2401">
        <v>0</v>
      </c>
      <c r="AI634" s="2401">
        <v>0</v>
      </c>
      <c r="AJ634" s="2398">
        <v>0</v>
      </c>
      <c r="AZ634" s="2396">
        <v>21121003</v>
      </c>
      <c r="BA634" s="2397" t="s">
        <v>4284</v>
      </c>
      <c r="BB634" s="2398">
        <v>0</v>
      </c>
      <c r="BC634" s="2179">
        <v>0</v>
      </c>
      <c r="BD634" s="2399">
        <v>0</v>
      </c>
      <c r="BE634" s="2400">
        <v>0</v>
      </c>
      <c r="BF634" s="2398">
        <v>0</v>
      </c>
      <c r="BG634" s="2398">
        <v>0</v>
      </c>
      <c r="BH634" s="2401">
        <v>0</v>
      </c>
      <c r="BI634" s="2401">
        <v>0</v>
      </c>
      <c r="BJ634" s="2398">
        <v>0</v>
      </c>
      <c r="BN634" s="2396">
        <v>21181001</v>
      </c>
      <c r="BO634" s="2397" t="s">
        <v>4306</v>
      </c>
      <c r="BP634" s="2398">
        <v>0</v>
      </c>
      <c r="BQ634" s="2179">
        <v>0</v>
      </c>
      <c r="BR634" s="2399">
        <v>0</v>
      </c>
      <c r="BS634" s="2400">
        <v>0</v>
      </c>
      <c r="BT634" s="2398">
        <v>0</v>
      </c>
      <c r="BU634" s="2398">
        <v>0</v>
      </c>
      <c r="BV634" s="2401">
        <v>0</v>
      </c>
      <c r="BW634" s="2401">
        <v>0</v>
      </c>
      <c r="BX634" s="2398">
        <v>0</v>
      </c>
    </row>
    <row r="635" spans="2:76">
      <c r="B635" s="2558">
        <v>21121100</v>
      </c>
      <c r="C635" s="2571" t="s">
        <v>4285</v>
      </c>
      <c r="D635" s="2560">
        <v>4642520912</v>
      </c>
      <c r="E635" s="2560">
        <v>339775802</v>
      </c>
      <c r="F635" s="2561">
        <v>0</v>
      </c>
      <c r="G635" s="2562">
        <v>0</v>
      </c>
      <c r="H635" s="2560">
        <v>0</v>
      </c>
      <c r="I635" s="2560">
        <v>4982296714</v>
      </c>
      <c r="J635" s="2563">
        <v>0</v>
      </c>
      <c r="K635" s="2563">
        <v>0</v>
      </c>
      <c r="L635" s="2560">
        <v>4982296714</v>
      </c>
      <c r="N635" s="2390">
        <v>21121100</v>
      </c>
      <c r="O635" s="2403" t="s">
        <v>4285</v>
      </c>
      <c r="P635" s="2392">
        <v>6515830261</v>
      </c>
      <c r="Q635" s="2392">
        <v>165309760</v>
      </c>
      <c r="R635" s="2393">
        <v>0</v>
      </c>
      <c r="S635" s="2394">
        <v>0</v>
      </c>
      <c r="T635" s="2392">
        <v>0</v>
      </c>
      <c r="U635" s="2392">
        <v>6681140021</v>
      </c>
      <c r="V635" s="2395">
        <v>0</v>
      </c>
      <c r="W635" s="2395">
        <v>0</v>
      </c>
      <c r="X635" s="2392">
        <v>6681140021</v>
      </c>
      <c r="Z635" s="2390">
        <v>21121100</v>
      </c>
      <c r="AA635" s="2403" t="s">
        <v>4285</v>
      </c>
      <c r="AB635" s="2392">
        <v>5924228674</v>
      </c>
      <c r="AC635" s="2392">
        <v>630303271</v>
      </c>
      <c r="AD635" s="2393">
        <v>0</v>
      </c>
      <c r="AE635" s="2394">
        <v>0</v>
      </c>
      <c r="AF635" s="2392">
        <v>0</v>
      </c>
      <c r="AG635" s="2392">
        <v>6554531945</v>
      </c>
      <c r="AH635" s="2395">
        <v>0</v>
      </c>
      <c r="AI635" s="2395">
        <v>0</v>
      </c>
      <c r="AJ635" s="2392">
        <v>6554531945</v>
      </c>
      <c r="AZ635" s="2390">
        <v>21121100</v>
      </c>
      <c r="BA635" s="2403" t="s">
        <v>4285</v>
      </c>
      <c r="BB635" s="2392">
        <v>6994989431</v>
      </c>
      <c r="BC635" s="2392">
        <v>0</v>
      </c>
      <c r="BD635" s="2393">
        <v>0</v>
      </c>
      <c r="BE635" s="2394">
        <v>0</v>
      </c>
      <c r="BF635" s="2392">
        <v>0</v>
      </c>
      <c r="BG635" s="2392">
        <v>6994989431</v>
      </c>
      <c r="BH635" s="2395">
        <v>0</v>
      </c>
      <c r="BI635" s="2395">
        <v>0</v>
      </c>
      <c r="BJ635" s="2392">
        <v>6994989431</v>
      </c>
      <c r="BN635" s="2390">
        <v>21181100</v>
      </c>
      <c r="BO635" s="2403" t="s">
        <v>4307</v>
      </c>
      <c r="BP635" s="2392">
        <v>0</v>
      </c>
      <c r="BQ635" s="2392">
        <v>0</v>
      </c>
      <c r="BR635" s="2393">
        <v>0</v>
      </c>
      <c r="BS635" s="2394">
        <v>0</v>
      </c>
      <c r="BT635" s="2392">
        <v>0</v>
      </c>
      <c r="BU635" s="2392">
        <v>0</v>
      </c>
      <c r="BV635" s="2395">
        <v>0</v>
      </c>
      <c r="BW635" s="2395">
        <v>0</v>
      </c>
      <c r="BX635" s="2392">
        <v>0</v>
      </c>
    </row>
    <row r="636" spans="2:76">
      <c r="B636" s="2564">
        <v>21121101</v>
      </c>
      <c r="C636" s="2565" t="s">
        <v>5061</v>
      </c>
      <c r="D636" s="2566">
        <v>2271977422</v>
      </c>
      <c r="E636" s="1080">
        <v>0</v>
      </c>
      <c r="F636" s="2567">
        <v>0</v>
      </c>
      <c r="G636" s="2568">
        <v>0</v>
      </c>
      <c r="H636" s="2566">
        <v>0</v>
      </c>
      <c r="I636" s="2566">
        <v>2271977422</v>
      </c>
      <c r="J636" s="2569">
        <v>0</v>
      </c>
      <c r="K636" s="2569">
        <v>0</v>
      </c>
      <c r="L636" s="2566">
        <v>2271977422</v>
      </c>
      <c r="N636" s="2396">
        <v>21121101</v>
      </c>
      <c r="O636" s="2397" t="s">
        <v>4286</v>
      </c>
      <c r="P636" s="2398">
        <v>66000000</v>
      </c>
      <c r="Q636" s="2179">
        <v>0</v>
      </c>
      <c r="R636" s="2399">
        <v>0</v>
      </c>
      <c r="S636" s="2400">
        <v>0</v>
      </c>
      <c r="T636" s="2398">
        <v>0</v>
      </c>
      <c r="U636" s="2398">
        <v>66000000</v>
      </c>
      <c r="V636" s="2401">
        <v>0</v>
      </c>
      <c r="W636" s="2401">
        <v>0</v>
      </c>
      <c r="X636" s="2398">
        <v>66000000</v>
      </c>
      <c r="Z636" s="2396">
        <v>21121101</v>
      </c>
      <c r="AA636" s="2397" t="s">
        <v>4286</v>
      </c>
      <c r="AB636" s="2398">
        <v>0</v>
      </c>
      <c r="AC636" s="2179">
        <v>0</v>
      </c>
      <c r="AD636" s="2399">
        <v>0</v>
      </c>
      <c r="AE636" s="2400">
        <v>0</v>
      </c>
      <c r="AF636" s="2398">
        <v>0</v>
      </c>
      <c r="AG636" s="2398">
        <v>0</v>
      </c>
      <c r="AH636" s="2401">
        <v>0</v>
      </c>
      <c r="AI636" s="2401">
        <v>0</v>
      </c>
      <c r="AJ636" s="2398">
        <v>0</v>
      </c>
      <c r="AZ636" s="2396">
        <v>21121101</v>
      </c>
      <c r="BA636" s="2397" t="s">
        <v>4286</v>
      </c>
      <c r="BB636" s="2398">
        <v>0</v>
      </c>
      <c r="BC636" s="2179">
        <v>0</v>
      </c>
      <c r="BD636" s="2399">
        <v>0</v>
      </c>
      <c r="BE636" s="2400">
        <v>0</v>
      </c>
      <c r="BF636" s="2398">
        <v>0</v>
      </c>
      <c r="BG636" s="2398">
        <v>0</v>
      </c>
      <c r="BH636" s="2401">
        <v>0</v>
      </c>
      <c r="BI636" s="2401">
        <v>0</v>
      </c>
      <c r="BJ636" s="2398">
        <v>0</v>
      </c>
      <c r="BN636" s="2396">
        <v>21181101</v>
      </c>
      <c r="BO636" s="2397" t="s">
        <v>4308</v>
      </c>
      <c r="BP636" s="2398">
        <v>0</v>
      </c>
      <c r="BQ636" s="2179">
        <v>0</v>
      </c>
      <c r="BR636" s="2399">
        <v>0</v>
      </c>
      <c r="BS636" s="2400">
        <v>0</v>
      </c>
      <c r="BT636" s="2398">
        <v>0</v>
      </c>
      <c r="BU636" s="2398">
        <v>0</v>
      </c>
      <c r="BV636" s="2401">
        <v>0</v>
      </c>
      <c r="BW636" s="2401">
        <v>0</v>
      </c>
      <c r="BX636" s="2398">
        <v>0</v>
      </c>
    </row>
    <row r="637" spans="2:76">
      <c r="B637" s="2564">
        <v>21121102</v>
      </c>
      <c r="C637" s="2565" t="s">
        <v>5062</v>
      </c>
      <c r="D637" s="2566">
        <v>2370543490</v>
      </c>
      <c r="E637" s="1080">
        <v>339775802</v>
      </c>
      <c r="F637" s="2567">
        <v>0</v>
      </c>
      <c r="G637" s="2568">
        <v>0</v>
      </c>
      <c r="H637" s="2566">
        <v>0</v>
      </c>
      <c r="I637" s="2566">
        <v>2710319292</v>
      </c>
      <c r="J637" s="2569">
        <v>0</v>
      </c>
      <c r="K637" s="2569">
        <v>0</v>
      </c>
      <c r="L637" s="2566">
        <v>2710319292</v>
      </c>
      <c r="N637" s="2396">
        <v>21121102</v>
      </c>
      <c r="O637" s="2397" t="s">
        <v>4287</v>
      </c>
      <c r="P637" s="2398">
        <v>6449830261</v>
      </c>
      <c r="Q637" s="2179">
        <v>165309760</v>
      </c>
      <c r="R637" s="2399">
        <v>0</v>
      </c>
      <c r="S637" s="2400">
        <v>0</v>
      </c>
      <c r="T637" s="2398">
        <v>0</v>
      </c>
      <c r="U637" s="2398">
        <v>6615140021</v>
      </c>
      <c r="V637" s="2401">
        <v>0</v>
      </c>
      <c r="W637" s="2401">
        <v>0</v>
      </c>
      <c r="X637" s="2398">
        <v>6615140021</v>
      </c>
      <c r="Z637" s="2396">
        <v>21121102</v>
      </c>
      <c r="AA637" s="2397" t="s">
        <v>4287</v>
      </c>
      <c r="AB637" s="2398">
        <v>5924228674</v>
      </c>
      <c r="AC637" s="2179">
        <v>630303271</v>
      </c>
      <c r="AD637" s="2399">
        <v>0</v>
      </c>
      <c r="AE637" s="2400">
        <v>0</v>
      </c>
      <c r="AF637" s="2398">
        <v>0</v>
      </c>
      <c r="AG637" s="2398">
        <v>6554531945</v>
      </c>
      <c r="AH637" s="2401">
        <v>0</v>
      </c>
      <c r="AI637" s="2401">
        <v>0</v>
      </c>
      <c r="AJ637" s="2398">
        <v>6554531945</v>
      </c>
      <c r="AZ637" s="2396">
        <v>21121102</v>
      </c>
      <c r="BA637" s="2397" t="s">
        <v>4287</v>
      </c>
      <c r="BB637" s="2398">
        <v>6994989431</v>
      </c>
      <c r="BC637" s="2179">
        <v>0</v>
      </c>
      <c r="BD637" s="2399">
        <v>0</v>
      </c>
      <c r="BE637" s="2400">
        <v>0</v>
      </c>
      <c r="BF637" s="2398">
        <v>0</v>
      </c>
      <c r="BG637" s="2398">
        <v>6994989431</v>
      </c>
      <c r="BH637" s="2401">
        <v>0</v>
      </c>
      <c r="BI637" s="2401">
        <v>0</v>
      </c>
      <c r="BJ637" s="2398">
        <v>6994989431</v>
      </c>
      <c r="BN637" s="2390">
        <v>21181200</v>
      </c>
      <c r="BO637" s="2403" t="s">
        <v>4309</v>
      </c>
      <c r="BP637" s="2392">
        <v>0</v>
      </c>
      <c r="BQ637" s="2392">
        <v>0</v>
      </c>
      <c r="BR637" s="2393">
        <v>0</v>
      </c>
      <c r="BS637" s="2394">
        <v>0</v>
      </c>
      <c r="BT637" s="2392">
        <v>0</v>
      </c>
      <c r="BU637" s="2392">
        <v>0</v>
      </c>
      <c r="BV637" s="2395">
        <v>0</v>
      </c>
      <c r="BW637" s="2395">
        <v>0</v>
      </c>
      <c r="BX637" s="2392">
        <v>0</v>
      </c>
    </row>
    <row r="638" spans="2:76">
      <c r="B638" s="2552">
        <v>21130000</v>
      </c>
      <c r="C638" s="2570" t="s">
        <v>4288</v>
      </c>
      <c r="D638" s="2554">
        <v>1285706078326</v>
      </c>
      <c r="E638" s="2554">
        <v>13430000000</v>
      </c>
      <c r="F638" s="2555">
        <v>0</v>
      </c>
      <c r="G638" s="2556">
        <v>0</v>
      </c>
      <c r="H638" s="2554">
        <v>0</v>
      </c>
      <c r="I638" s="2554">
        <v>1299136078326</v>
      </c>
      <c r="J638" s="2557">
        <v>0</v>
      </c>
      <c r="K638" s="2557">
        <v>0</v>
      </c>
      <c r="L638" s="2554">
        <v>1299136078326</v>
      </c>
      <c r="N638" s="2384">
        <v>21130000</v>
      </c>
      <c r="O638" s="2402" t="s">
        <v>4288</v>
      </c>
      <c r="P638" s="2386">
        <v>1135293710578</v>
      </c>
      <c r="Q638" s="2386">
        <v>15473000000</v>
      </c>
      <c r="R638" s="2387">
        <v>0</v>
      </c>
      <c r="S638" s="2388">
        <v>0</v>
      </c>
      <c r="T638" s="2386">
        <v>0</v>
      </c>
      <c r="U638" s="2386">
        <v>1150766710578</v>
      </c>
      <c r="V638" s="2389">
        <v>0</v>
      </c>
      <c r="W638" s="2389">
        <v>0</v>
      </c>
      <c r="X638" s="2386">
        <v>1150766710578</v>
      </c>
      <c r="Z638" s="2384">
        <v>21130000</v>
      </c>
      <c r="AA638" s="2402" t="s">
        <v>4288</v>
      </c>
      <c r="AB638" s="2386">
        <v>1087792478104</v>
      </c>
      <c r="AC638" s="2386">
        <v>9100000000</v>
      </c>
      <c r="AD638" s="2387">
        <v>0</v>
      </c>
      <c r="AE638" s="2388">
        <v>0</v>
      </c>
      <c r="AF638" s="2386">
        <v>0</v>
      </c>
      <c r="AG638" s="2386">
        <v>1096892478104</v>
      </c>
      <c r="AH638" s="2389">
        <v>0</v>
      </c>
      <c r="AI638" s="2389">
        <v>0</v>
      </c>
      <c r="AJ638" s="2386">
        <v>1096892478104</v>
      </c>
      <c r="AZ638" s="2384">
        <v>21130000</v>
      </c>
      <c r="BA638" s="2402" t="s">
        <v>4288</v>
      </c>
      <c r="BB638" s="2386">
        <v>828419093262</v>
      </c>
      <c r="BC638" s="2386">
        <v>12547000000</v>
      </c>
      <c r="BD638" s="2387">
        <v>0</v>
      </c>
      <c r="BE638" s="2388">
        <v>0</v>
      </c>
      <c r="BF638" s="2386">
        <v>0</v>
      </c>
      <c r="BG638" s="2386">
        <v>840966093262</v>
      </c>
      <c r="BH638" s="2389">
        <v>0</v>
      </c>
      <c r="BI638" s="2389">
        <v>0</v>
      </c>
      <c r="BJ638" s="2386">
        <v>840966093262</v>
      </c>
      <c r="BN638" s="2396">
        <v>21181201</v>
      </c>
      <c r="BO638" s="2397" t="s">
        <v>4310</v>
      </c>
      <c r="BP638" s="2398">
        <v>0</v>
      </c>
      <c r="BQ638" s="2179">
        <v>0</v>
      </c>
      <c r="BR638" s="2399">
        <v>0</v>
      </c>
      <c r="BS638" s="2400">
        <v>0</v>
      </c>
      <c r="BT638" s="2398">
        <v>0</v>
      </c>
      <c r="BU638" s="2398">
        <v>0</v>
      </c>
      <c r="BV638" s="2401">
        <v>0</v>
      </c>
      <c r="BW638" s="2401">
        <v>0</v>
      </c>
      <c r="BX638" s="2398">
        <v>0</v>
      </c>
    </row>
    <row r="639" spans="2:76">
      <c r="B639" s="2558">
        <v>21131000</v>
      </c>
      <c r="C639" s="2571" t="s">
        <v>4288</v>
      </c>
      <c r="D639" s="2560">
        <v>1285706078326</v>
      </c>
      <c r="E639" s="2560">
        <v>13430000000</v>
      </c>
      <c r="F639" s="2561">
        <v>0</v>
      </c>
      <c r="G639" s="2562">
        <v>0</v>
      </c>
      <c r="H639" s="2560">
        <v>0</v>
      </c>
      <c r="I639" s="2560">
        <v>1299136078326</v>
      </c>
      <c r="J639" s="2563">
        <v>0</v>
      </c>
      <c r="K639" s="2563">
        <v>0</v>
      </c>
      <c r="L639" s="2560">
        <v>1299136078326</v>
      </c>
      <c r="N639" s="2390">
        <v>21131000</v>
      </c>
      <c r="O639" s="2403" t="s">
        <v>4288</v>
      </c>
      <c r="P639" s="2392">
        <v>1135293710578</v>
      </c>
      <c r="Q639" s="2392">
        <v>15473000000</v>
      </c>
      <c r="R639" s="2393">
        <v>0</v>
      </c>
      <c r="S639" s="2394">
        <v>0</v>
      </c>
      <c r="T639" s="2392">
        <v>0</v>
      </c>
      <c r="U639" s="2392">
        <v>1150766710578</v>
      </c>
      <c r="V639" s="2395">
        <v>0</v>
      </c>
      <c r="W639" s="2395">
        <v>0</v>
      </c>
      <c r="X639" s="2392">
        <v>1150766710578</v>
      </c>
      <c r="Z639" s="2390">
        <v>21131000</v>
      </c>
      <c r="AA639" s="2403" t="s">
        <v>4288</v>
      </c>
      <c r="AB639" s="2392">
        <v>1087792478104</v>
      </c>
      <c r="AC639" s="2392">
        <v>9100000000</v>
      </c>
      <c r="AD639" s="2393">
        <v>0</v>
      </c>
      <c r="AE639" s="2394">
        <v>0</v>
      </c>
      <c r="AF639" s="2392">
        <v>0</v>
      </c>
      <c r="AG639" s="2392">
        <v>1096892478104</v>
      </c>
      <c r="AH639" s="2395">
        <v>0</v>
      </c>
      <c r="AI639" s="2395">
        <v>0</v>
      </c>
      <c r="AJ639" s="2392">
        <v>1096892478104</v>
      </c>
      <c r="AZ639" s="2390">
        <v>21131000</v>
      </c>
      <c r="BA639" s="2403" t="s">
        <v>4288</v>
      </c>
      <c r="BB639" s="2392">
        <v>828419093262</v>
      </c>
      <c r="BC639" s="2392">
        <v>12547000000</v>
      </c>
      <c r="BD639" s="2393">
        <v>0</v>
      </c>
      <c r="BE639" s="2394">
        <v>0</v>
      </c>
      <c r="BF639" s="2392">
        <v>0</v>
      </c>
      <c r="BG639" s="2392">
        <v>840966093262</v>
      </c>
      <c r="BH639" s="2395">
        <v>0</v>
      </c>
      <c r="BI639" s="2395">
        <v>0</v>
      </c>
      <c r="BJ639" s="2392">
        <v>840966093262</v>
      </c>
      <c r="BN639" s="2390">
        <v>21181300</v>
      </c>
      <c r="BO639" s="2403" t="s">
        <v>4311</v>
      </c>
      <c r="BP639" s="2392">
        <v>0</v>
      </c>
      <c r="BQ639" s="2392">
        <v>0</v>
      </c>
      <c r="BR639" s="2393">
        <v>0</v>
      </c>
      <c r="BS639" s="2394">
        <v>0</v>
      </c>
      <c r="BT639" s="2392">
        <v>0</v>
      </c>
      <c r="BU639" s="2392">
        <v>0</v>
      </c>
      <c r="BV639" s="2395">
        <v>0</v>
      </c>
      <c r="BW639" s="2395">
        <v>0</v>
      </c>
      <c r="BX639" s="2392">
        <v>0</v>
      </c>
    </row>
    <row r="640" spans="2:76">
      <c r="B640" s="2564">
        <v>21131001</v>
      </c>
      <c r="C640" s="2565" t="s">
        <v>4289</v>
      </c>
      <c r="D640" s="2566">
        <v>0</v>
      </c>
      <c r="E640" s="1080">
        <v>13430000000</v>
      </c>
      <c r="F640" s="2567">
        <v>0</v>
      </c>
      <c r="G640" s="2568">
        <v>0</v>
      </c>
      <c r="H640" s="2566">
        <v>0</v>
      </c>
      <c r="I640" s="2566">
        <v>13430000000</v>
      </c>
      <c r="J640" s="2569">
        <v>0</v>
      </c>
      <c r="K640" s="2569">
        <v>0</v>
      </c>
      <c r="L640" s="2566">
        <v>13430000000</v>
      </c>
      <c r="N640" s="2396">
        <v>21131001</v>
      </c>
      <c r="O640" s="2397" t="s">
        <v>4289</v>
      </c>
      <c r="P640" s="2398">
        <v>0</v>
      </c>
      <c r="Q640" s="2179">
        <v>15473000000</v>
      </c>
      <c r="R640" s="2399">
        <v>0</v>
      </c>
      <c r="S640" s="2400">
        <v>0</v>
      </c>
      <c r="T640" s="2398">
        <v>0</v>
      </c>
      <c r="U640" s="2398">
        <v>15473000000</v>
      </c>
      <c r="V640" s="2401">
        <v>0</v>
      </c>
      <c r="W640" s="2401">
        <v>0</v>
      </c>
      <c r="X640" s="2398">
        <v>15473000000</v>
      </c>
      <c r="Z640" s="2396">
        <v>21131001</v>
      </c>
      <c r="AA640" s="2397" t="s">
        <v>4289</v>
      </c>
      <c r="AB640" s="2398">
        <v>0</v>
      </c>
      <c r="AC640" s="2179">
        <v>9100000000</v>
      </c>
      <c r="AD640" s="2399">
        <v>0</v>
      </c>
      <c r="AE640" s="2400">
        <v>0</v>
      </c>
      <c r="AF640" s="2398">
        <v>0</v>
      </c>
      <c r="AG640" s="2398">
        <v>9100000000</v>
      </c>
      <c r="AH640" s="2401">
        <v>0</v>
      </c>
      <c r="AI640" s="2401">
        <v>0</v>
      </c>
      <c r="AJ640" s="2398">
        <v>9100000000</v>
      </c>
      <c r="AZ640" s="2396">
        <v>21131001</v>
      </c>
      <c r="BA640" s="2397" t="s">
        <v>4289</v>
      </c>
      <c r="BB640" s="2398">
        <v>0</v>
      </c>
      <c r="BC640" s="2179">
        <v>12547000000</v>
      </c>
      <c r="BD640" s="2399">
        <v>0</v>
      </c>
      <c r="BE640" s="2400">
        <v>0</v>
      </c>
      <c r="BF640" s="2398">
        <v>0</v>
      </c>
      <c r="BG640" s="2398">
        <v>12547000000</v>
      </c>
      <c r="BH640" s="2401">
        <v>0</v>
      </c>
      <c r="BI640" s="2401">
        <v>0</v>
      </c>
      <c r="BJ640" s="2398">
        <v>12547000000</v>
      </c>
      <c r="BN640" s="2396">
        <v>21181301</v>
      </c>
      <c r="BO640" s="2397" t="s">
        <v>4311</v>
      </c>
      <c r="BP640" s="2398">
        <v>0</v>
      </c>
      <c r="BQ640" s="2179">
        <v>0</v>
      </c>
      <c r="BR640" s="2399">
        <v>0</v>
      </c>
      <c r="BS640" s="2400">
        <v>0</v>
      </c>
      <c r="BT640" s="2398">
        <v>0</v>
      </c>
      <c r="BU640" s="2398">
        <v>0</v>
      </c>
      <c r="BV640" s="2401">
        <v>0</v>
      </c>
      <c r="BW640" s="2401">
        <v>0</v>
      </c>
      <c r="BX640" s="2398">
        <v>0</v>
      </c>
    </row>
    <row r="641" spans="2:76">
      <c r="B641" s="2564">
        <v>21131002</v>
      </c>
      <c r="C641" s="2565" t="s">
        <v>4290</v>
      </c>
      <c r="D641" s="2566">
        <v>1285706078326</v>
      </c>
      <c r="E641" s="1080">
        <v>0</v>
      </c>
      <c r="F641" s="2567">
        <v>0</v>
      </c>
      <c r="G641" s="2568">
        <v>0</v>
      </c>
      <c r="H641" s="2566">
        <v>0</v>
      </c>
      <c r="I641" s="2566">
        <v>1285706078326</v>
      </c>
      <c r="J641" s="2569">
        <v>0</v>
      </c>
      <c r="K641" s="2569">
        <v>0</v>
      </c>
      <c r="L641" s="2566">
        <v>1285706078326</v>
      </c>
      <c r="N641" s="2396">
        <v>21131002</v>
      </c>
      <c r="O641" s="2397" t="s">
        <v>4290</v>
      </c>
      <c r="P641" s="2398">
        <v>1135293710578</v>
      </c>
      <c r="Q641" s="2179">
        <v>0</v>
      </c>
      <c r="R641" s="2399">
        <v>0</v>
      </c>
      <c r="S641" s="2400">
        <v>0</v>
      </c>
      <c r="T641" s="2398">
        <v>0</v>
      </c>
      <c r="U641" s="2398">
        <v>1135293710578</v>
      </c>
      <c r="V641" s="2401">
        <v>0</v>
      </c>
      <c r="W641" s="2401">
        <v>0</v>
      </c>
      <c r="X641" s="2398">
        <v>1135293710578</v>
      </c>
      <c r="Z641" s="2396">
        <v>21131002</v>
      </c>
      <c r="AA641" s="2397" t="s">
        <v>4290</v>
      </c>
      <c r="AB641" s="2398">
        <v>1087792478104</v>
      </c>
      <c r="AC641" s="2179">
        <v>0</v>
      </c>
      <c r="AD641" s="2399">
        <v>0</v>
      </c>
      <c r="AE641" s="2400">
        <v>0</v>
      </c>
      <c r="AF641" s="2398">
        <v>0</v>
      </c>
      <c r="AG641" s="2398">
        <v>1087792478104</v>
      </c>
      <c r="AH641" s="2401">
        <v>0</v>
      </c>
      <c r="AI641" s="2401">
        <v>0</v>
      </c>
      <c r="AJ641" s="2398">
        <v>1087792478104</v>
      </c>
      <c r="AZ641" s="2396">
        <v>21131002</v>
      </c>
      <c r="BA641" s="2397" t="s">
        <v>4290</v>
      </c>
      <c r="BB641" s="2398">
        <v>828419093262</v>
      </c>
      <c r="BC641" s="2179">
        <v>0</v>
      </c>
      <c r="BD641" s="2399">
        <v>0</v>
      </c>
      <c r="BE641" s="2400">
        <v>0</v>
      </c>
      <c r="BF641" s="2398">
        <v>0</v>
      </c>
      <c r="BG641" s="2398">
        <v>828419093262</v>
      </c>
      <c r="BH641" s="2401">
        <v>0</v>
      </c>
      <c r="BI641" s="2401">
        <v>0</v>
      </c>
      <c r="BJ641" s="2398">
        <v>828419093262</v>
      </c>
      <c r="BN641" s="2390">
        <v>21181400</v>
      </c>
      <c r="BO641" s="2403" t="s">
        <v>4312</v>
      </c>
      <c r="BP641" s="2392">
        <v>2307088918</v>
      </c>
      <c r="BQ641" s="2392">
        <v>0</v>
      </c>
      <c r="BR641" s="2393">
        <v>0</v>
      </c>
      <c r="BS641" s="2394">
        <v>0</v>
      </c>
      <c r="BT641" s="2392">
        <v>0</v>
      </c>
      <c r="BU641" s="2392">
        <v>2307088918</v>
      </c>
      <c r="BV641" s="2395">
        <v>0</v>
      </c>
      <c r="BW641" s="2395">
        <v>0</v>
      </c>
      <c r="BX641" s="2392">
        <v>2307088918</v>
      </c>
    </row>
    <row r="642" spans="2:76">
      <c r="B642" s="2564">
        <v>21131003</v>
      </c>
      <c r="C642" s="2565" t="s">
        <v>4291</v>
      </c>
      <c r="D642" s="2566">
        <v>0</v>
      </c>
      <c r="E642" s="1080">
        <v>0</v>
      </c>
      <c r="F642" s="2567">
        <v>0</v>
      </c>
      <c r="G642" s="2568">
        <v>0</v>
      </c>
      <c r="H642" s="2566">
        <v>0</v>
      </c>
      <c r="I642" s="2566">
        <v>0</v>
      </c>
      <c r="J642" s="2569">
        <v>0</v>
      </c>
      <c r="K642" s="2569">
        <v>0</v>
      </c>
      <c r="L642" s="2566">
        <v>0</v>
      </c>
      <c r="N642" s="2396">
        <v>21131003</v>
      </c>
      <c r="O642" s="2397" t="s">
        <v>4291</v>
      </c>
      <c r="P642" s="2398">
        <v>0</v>
      </c>
      <c r="Q642" s="2179">
        <v>0</v>
      </c>
      <c r="R642" s="2399">
        <v>0</v>
      </c>
      <c r="S642" s="2400">
        <v>0</v>
      </c>
      <c r="T642" s="2398">
        <v>0</v>
      </c>
      <c r="U642" s="2398">
        <v>0</v>
      </c>
      <c r="V642" s="2401">
        <v>0</v>
      </c>
      <c r="W642" s="2401">
        <v>0</v>
      </c>
      <c r="X642" s="2398">
        <v>0</v>
      </c>
      <c r="Z642" s="2396">
        <v>21131003</v>
      </c>
      <c r="AA642" s="2397" t="s">
        <v>4291</v>
      </c>
      <c r="AB642" s="2398">
        <v>0</v>
      </c>
      <c r="AC642" s="2179">
        <v>0</v>
      </c>
      <c r="AD642" s="2399">
        <v>0</v>
      </c>
      <c r="AE642" s="2400">
        <v>0</v>
      </c>
      <c r="AF642" s="2398">
        <v>0</v>
      </c>
      <c r="AG642" s="2398">
        <v>0</v>
      </c>
      <c r="AH642" s="2401">
        <v>0</v>
      </c>
      <c r="AI642" s="2401">
        <v>0</v>
      </c>
      <c r="AJ642" s="2398">
        <v>0</v>
      </c>
      <c r="AZ642" s="2396">
        <v>21131003</v>
      </c>
      <c r="BA642" s="2397" t="s">
        <v>4291</v>
      </c>
      <c r="BB642" s="2398">
        <v>0</v>
      </c>
      <c r="BC642" s="2179">
        <v>0</v>
      </c>
      <c r="BD642" s="2399">
        <v>0</v>
      </c>
      <c r="BE642" s="2400">
        <v>0</v>
      </c>
      <c r="BF642" s="2398">
        <v>0</v>
      </c>
      <c r="BG642" s="2398">
        <v>0</v>
      </c>
      <c r="BH642" s="2401">
        <v>0</v>
      </c>
      <c r="BI642" s="2401">
        <v>0</v>
      </c>
      <c r="BJ642" s="2398">
        <v>0</v>
      </c>
      <c r="BN642" s="2396">
        <v>21181401</v>
      </c>
      <c r="BO642" s="2397" t="s">
        <v>4312</v>
      </c>
      <c r="BP642" s="2398">
        <v>2307088918</v>
      </c>
      <c r="BQ642" s="2179">
        <v>0</v>
      </c>
      <c r="BR642" s="2399">
        <v>0</v>
      </c>
      <c r="BS642" s="2400">
        <v>0</v>
      </c>
      <c r="BT642" s="2398">
        <v>0</v>
      </c>
      <c r="BU642" s="2398">
        <v>2307088918</v>
      </c>
      <c r="BV642" s="2401">
        <v>0</v>
      </c>
      <c r="BW642" s="2401">
        <v>0</v>
      </c>
      <c r="BX642" s="2398">
        <v>2307088918</v>
      </c>
    </row>
    <row r="643" spans="2:76">
      <c r="B643" s="2564">
        <v>21131004</v>
      </c>
      <c r="C643" s="2565" t="s">
        <v>5063</v>
      </c>
      <c r="D643" s="2566">
        <v>0</v>
      </c>
      <c r="E643" s="1080">
        <v>0</v>
      </c>
      <c r="F643" s="2567">
        <v>0</v>
      </c>
      <c r="G643" s="2568">
        <v>0</v>
      </c>
      <c r="H643" s="2566">
        <v>0</v>
      </c>
      <c r="I643" s="2566">
        <v>0</v>
      </c>
      <c r="J643" s="2569">
        <v>0</v>
      </c>
      <c r="K643" s="2569">
        <v>0</v>
      </c>
      <c r="L643" s="2566">
        <v>0</v>
      </c>
      <c r="N643" s="2396">
        <v>21131004</v>
      </c>
      <c r="O643" s="2397" t="s">
        <v>4292</v>
      </c>
      <c r="P643" s="2398">
        <v>0</v>
      </c>
      <c r="Q643" s="2179">
        <v>0</v>
      </c>
      <c r="R643" s="2399">
        <v>0</v>
      </c>
      <c r="S643" s="2400">
        <v>0</v>
      </c>
      <c r="T643" s="2398">
        <v>0</v>
      </c>
      <c r="U643" s="2398">
        <v>0</v>
      </c>
      <c r="V643" s="2401">
        <v>0</v>
      </c>
      <c r="W643" s="2401">
        <v>0</v>
      </c>
      <c r="X643" s="2398">
        <v>0</v>
      </c>
      <c r="Z643" s="2396">
        <v>21131004</v>
      </c>
      <c r="AA643" s="2397" t="s">
        <v>4292</v>
      </c>
      <c r="AB643" s="2398">
        <v>0</v>
      </c>
      <c r="AC643" s="2179">
        <v>0</v>
      </c>
      <c r="AD643" s="2399">
        <v>0</v>
      </c>
      <c r="AE643" s="2400">
        <v>0</v>
      </c>
      <c r="AF643" s="2398">
        <v>0</v>
      </c>
      <c r="AG643" s="2398">
        <v>0</v>
      </c>
      <c r="AH643" s="2401">
        <v>0</v>
      </c>
      <c r="AI643" s="2401">
        <v>0</v>
      </c>
      <c r="AJ643" s="2398">
        <v>0</v>
      </c>
      <c r="AZ643" s="2396">
        <v>21131004</v>
      </c>
      <c r="BA643" s="2397" t="s">
        <v>4292</v>
      </c>
      <c r="BB643" s="2398">
        <v>0</v>
      </c>
      <c r="BC643" s="2179">
        <v>0</v>
      </c>
      <c r="BD643" s="2399">
        <v>0</v>
      </c>
      <c r="BE643" s="2400">
        <v>0</v>
      </c>
      <c r="BF643" s="2398">
        <v>0</v>
      </c>
      <c r="BG643" s="2398">
        <v>0</v>
      </c>
      <c r="BH643" s="2401">
        <v>0</v>
      </c>
      <c r="BI643" s="2401">
        <v>0</v>
      </c>
      <c r="BJ643" s="2398">
        <v>0</v>
      </c>
      <c r="BN643" s="2390">
        <v>21181900</v>
      </c>
      <c r="BO643" s="2403" t="s">
        <v>4313</v>
      </c>
      <c r="BP643" s="2392">
        <v>0</v>
      </c>
      <c r="BQ643" s="2392">
        <v>0</v>
      </c>
      <c r="BR643" s="2393">
        <v>0</v>
      </c>
      <c r="BS643" s="2394">
        <v>0</v>
      </c>
      <c r="BT643" s="2392">
        <v>0</v>
      </c>
      <c r="BU643" s="2392">
        <v>0</v>
      </c>
      <c r="BV643" s="2395">
        <v>0</v>
      </c>
      <c r="BW643" s="2395">
        <v>0</v>
      </c>
      <c r="BX643" s="2392">
        <v>0</v>
      </c>
    </row>
    <row r="644" spans="2:76">
      <c r="B644" s="2564">
        <v>21131005</v>
      </c>
      <c r="C644" s="2565" t="s">
        <v>4293</v>
      </c>
      <c r="D644" s="2566">
        <v>0</v>
      </c>
      <c r="E644" s="1080">
        <v>0</v>
      </c>
      <c r="F644" s="2567">
        <v>0</v>
      </c>
      <c r="G644" s="2568">
        <v>0</v>
      </c>
      <c r="H644" s="2566">
        <v>0</v>
      </c>
      <c r="I644" s="2566">
        <v>0</v>
      </c>
      <c r="J644" s="2569">
        <v>0</v>
      </c>
      <c r="K644" s="2569">
        <v>0</v>
      </c>
      <c r="L644" s="2566">
        <v>0</v>
      </c>
      <c r="N644" s="2396">
        <v>21131005</v>
      </c>
      <c r="O644" s="2397" t="s">
        <v>4293</v>
      </c>
      <c r="P644" s="2398">
        <v>0</v>
      </c>
      <c r="Q644" s="2179">
        <v>0</v>
      </c>
      <c r="R644" s="2399">
        <v>0</v>
      </c>
      <c r="S644" s="2400">
        <v>0</v>
      </c>
      <c r="T644" s="2398">
        <v>0</v>
      </c>
      <c r="U644" s="2398">
        <v>0</v>
      </c>
      <c r="V644" s="2401">
        <v>0</v>
      </c>
      <c r="W644" s="2401">
        <v>0</v>
      </c>
      <c r="X644" s="2398">
        <v>0</v>
      </c>
      <c r="Z644" s="2396">
        <v>21131005</v>
      </c>
      <c r="AA644" s="2397" t="s">
        <v>4293</v>
      </c>
      <c r="AB644" s="2398">
        <v>0</v>
      </c>
      <c r="AC644" s="2179">
        <v>0</v>
      </c>
      <c r="AD644" s="2399">
        <v>0</v>
      </c>
      <c r="AE644" s="2400">
        <v>0</v>
      </c>
      <c r="AF644" s="2398">
        <v>0</v>
      </c>
      <c r="AG644" s="2398">
        <v>0</v>
      </c>
      <c r="AH644" s="2401">
        <v>0</v>
      </c>
      <c r="AI644" s="2401">
        <v>0</v>
      </c>
      <c r="AJ644" s="2398">
        <v>0</v>
      </c>
      <c r="AZ644" s="2396">
        <v>21131005</v>
      </c>
      <c r="BA644" s="2397" t="s">
        <v>4293</v>
      </c>
      <c r="BB644" s="2398">
        <v>0</v>
      </c>
      <c r="BC644" s="2179">
        <v>0</v>
      </c>
      <c r="BD644" s="2399">
        <v>0</v>
      </c>
      <c r="BE644" s="2400">
        <v>0</v>
      </c>
      <c r="BF644" s="2398">
        <v>0</v>
      </c>
      <c r="BG644" s="2398">
        <v>0</v>
      </c>
      <c r="BH644" s="2401">
        <v>0</v>
      </c>
      <c r="BI644" s="2401">
        <v>0</v>
      </c>
      <c r="BJ644" s="2398">
        <v>0</v>
      </c>
      <c r="BN644" s="2396">
        <v>21181901</v>
      </c>
      <c r="BO644" s="2397" t="s">
        <v>4313</v>
      </c>
      <c r="BP644" s="2398">
        <v>0</v>
      </c>
      <c r="BQ644" s="2179">
        <v>0</v>
      </c>
      <c r="BR644" s="2399">
        <v>0</v>
      </c>
      <c r="BS644" s="2400">
        <v>0</v>
      </c>
      <c r="BT644" s="2398">
        <v>0</v>
      </c>
      <c r="BU644" s="2398">
        <v>0</v>
      </c>
      <c r="BV644" s="2401">
        <v>0</v>
      </c>
      <c r="BW644" s="2401">
        <v>0</v>
      </c>
      <c r="BX644" s="2398">
        <v>0</v>
      </c>
    </row>
    <row r="645" spans="2:76">
      <c r="B645" s="2552">
        <v>21140000</v>
      </c>
      <c r="C645" s="2570" t="s">
        <v>4294</v>
      </c>
      <c r="D645" s="2554">
        <v>1533222349</v>
      </c>
      <c r="E645" s="2554">
        <v>21921356</v>
      </c>
      <c r="F645" s="2555">
        <v>60108974</v>
      </c>
      <c r="G645" s="2556">
        <v>13068713</v>
      </c>
      <c r="H645" s="2554">
        <v>2728955</v>
      </c>
      <c r="I645" s="2554">
        <v>1631050347</v>
      </c>
      <c r="J645" s="2557">
        <v>0</v>
      </c>
      <c r="K645" s="2557">
        <v>0</v>
      </c>
      <c r="L645" s="2554">
        <v>1631050347</v>
      </c>
      <c r="N645" s="2384">
        <v>21140000</v>
      </c>
      <c r="O645" s="2402" t="s">
        <v>4294</v>
      </c>
      <c r="P645" s="2386">
        <v>1542272437</v>
      </c>
      <c r="Q645" s="2386">
        <v>39813467</v>
      </c>
      <c r="R645" s="2387">
        <v>61933114</v>
      </c>
      <c r="S645" s="2388">
        <v>24002032</v>
      </c>
      <c r="T645" s="2386">
        <v>5204950</v>
      </c>
      <c r="U645" s="2386">
        <v>1673226000</v>
      </c>
      <c r="V645" s="2389">
        <v>0</v>
      </c>
      <c r="W645" s="2389">
        <v>0</v>
      </c>
      <c r="X645" s="2386">
        <v>1673226000</v>
      </c>
      <c r="Z645" s="2384">
        <v>21140000</v>
      </c>
      <c r="AA645" s="2402" t="s">
        <v>4294</v>
      </c>
      <c r="AB645" s="2386">
        <v>1512945897</v>
      </c>
      <c r="AC645" s="2386">
        <v>55670084</v>
      </c>
      <c r="AD645" s="2387">
        <v>51385482</v>
      </c>
      <c r="AE645" s="2388">
        <v>37799544</v>
      </c>
      <c r="AF645" s="2386">
        <v>10022906</v>
      </c>
      <c r="AG645" s="2386">
        <v>1667823913</v>
      </c>
      <c r="AH645" s="2389">
        <v>0</v>
      </c>
      <c r="AI645" s="2389">
        <v>0</v>
      </c>
      <c r="AJ645" s="2386">
        <v>1667823913</v>
      </c>
      <c r="AZ645" s="2384">
        <v>21140000</v>
      </c>
      <c r="BA645" s="2402" t="s">
        <v>4294</v>
      </c>
      <c r="BB645" s="2386">
        <v>1654311882</v>
      </c>
      <c r="BC645" s="2386">
        <v>58964282</v>
      </c>
      <c r="BD645" s="2387">
        <v>45519568</v>
      </c>
      <c r="BE645" s="2388">
        <v>17621710</v>
      </c>
      <c r="BF645" s="2386">
        <v>10830108</v>
      </c>
      <c r="BG645" s="2386">
        <v>1787247550</v>
      </c>
      <c r="BH645" s="2389">
        <v>0</v>
      </c>
      <c r="BI645" s="2389">
        <v>0</v>
      </c>
      <c r="BJ645" s="2386">
        <v>1787247550</v>
      </c>
      <c r="BN645" s="2384">
        <v>21190000</v>
      </c>
      <c r="BO645" s="2402" t="s">
        <v>4314</v>
      </c>
      <c r="BP645" s="2386">
        <v>48888095999</v>
      </c>
      <c r="BQ645" s="2386">
        <v>110325624</v>
      </c>
      <c r="BR645" s="2387">
        <v>2454326250</v>
      </c>
      <c r="BS645" s="2388">
        <v>2207394706</v>
      </c>
      <c r="BT645" s="2386">
        <v>61977166</v>
      </c>
      <c r="BU645" s="2386">
        <v>53722119745</v>
      </c>
      <c r="BV645" s="2389">
        <v>0</v>
      </c>
      <c r="BW645" s="2389">
        <v>0</v>
      </c>
      <c r="BX645" s="2386">
        <v>52062111574</v>
      </c>
    </row>
    <row r="646" spans="2:76">
      <c r="B646" s="2558">
        <v>21141000</v>
      </c>
      <c r="C646" s="2571" t="s">
        <v>4294</v>
      </c>
      <c r="D646" s="2560">
        <v>1533222349</v>
      </c>
      <c r="E646" s="2560">
        <v>21921356</v>
      </c>
      <c r="F646" s="2561">
        <v>60108974</v>
      </c>
      <c r="G646" s="2562">
        <v>13068713</v>
      </c>
      <c r="H646" s="2560">
        <v>2728955</v>
      </c>
      <c r="I646" s="2560">
        <v>1631050347</v>
      </c>
      <c r="J646" s="2563">
        <v>0</v>
      </c>
      <c r="K646" s="2563">
        <v>0</v>
      </c>
      <c r="L646" s="2560">
        <v>1631050347</v>
      </c>
      <c r="N646" s="2390">
        <v>21141000</v>
      </c>
      <c r="O646" s="2403" t="s">
        <v>4294</v>
      </c>
      <c r="P646" s="2392">
        <v>1542272437</v>
      </c>
      <c r="Q646" s="2392">
        <v>39813467</v>
      </c>
      <c r="R646" s="2393">
        <v>61933114</v>
      </c>
      <c r="S646" s="2394">
        <v>24002032</v>
      </c>
      <c r="T646" s="2392">
        <v>5204950</v>
      </c>
      <c r="U646" s="2392">
        <v>1673226000</v>
      </c>
      <c r="V646" s="2395">
        <v>0</v>
      </c>
      <c r="W646" s="2395">
        <v>0</v>
      </c>
      <c r="X646" s="2392">
        <v>1673226000</v>
      </c>
      <c r="Z646" s="2390">
        <v>21141000</v>
      </c>
      <c r="AA646" s="2403" t="s">
        <v>4294</v>
      </c>
      <c r="AB646" s="2392">
        <v>1512945897</v>
      </c>
      <c r="AC646" s="2392">
        <v>55670084</v>
      </c>
      <c r="AD646" s="2393">
        <v>51385482</v>
      </c>
      <c r="AE646" s="2394">
        <v>37799544</v>
      </c>
      <c r="AF646" s="2392">
        <v>10022906</v>
      </c>
      <c r="AG646" s="2392">
        <v>1667823913</v>
      </c>
      <c r="AH646" s="2395">
        <v>0</v>
      </c>
      <c r="AI646" s="2395">
        <v>0</v>
      </c>
      <c r="AJ646" s="2392">
        <v>1667823913</v>
      </c>
      <c r="AZ646" s="2390">
        <v>21141000</v>
      </c>
      <c r="BA646" s="2403" t="s">
        <v>4294</v>
      </c>
      <c r="BB646" s="2392">
        <v>1654311882</v>
      </c>
      <c r="BC646" s="2392">
        <v>58964282</v>
      </c>
      <c r="BD646" s="2393">
        <v>45519568</v>
      </c>
      <c r="BE646" s="2394">
        <v>17621710</v>
      </c>
      <c r="BF646" s="2392">
        <v>10830108</v>
      </c>
      <c r="BG646" s="2392">
        <v>1787247550</v>
      </c>
      <c r="BH646" s="2395">
        <v>0</v>
      </c>
      <c r="BI646" s="2395">
        <v>0</v>
      </c>
      <c r="BJ646" s="2392">
        <v>1787247550</v>
      </c>
      <c r="BN646" s="2390">
        <v>21191000</v>
      </c>
      <c r="BO646" s="2403" t="s">
        <v>4315</v>
      </c>
      <c r="BP646" s="2392">
        <v>0</v>
      </c>
      <c r="BQ646" s="2392">
        <v>0</v>
      </c>
      <c r="BR646" s="2393">
        <v>0</v>
      </c>
      <c r="BS646" s="2394">
        <v>1596471304</v>
      </c>
      <c r="BT646" s="2392">
        <v>0</v>
      </c>
      <c r="BU646" s="2392">
        <v>1596471304</v>
      </c>
      <c r="BV646" s="2395">
        <v>0</v>
      </c>
      <c r="BW646" s="2395">
        <v>0</v>
      </c>
      <c r="BX646" s="2392">
        <v>1596471304</v>
      </c>
    </row>
    <row r="647" spans="2:76">
      <c r="B647" s="2564">
        <v>21141001</v>
      </c>
      <c r="C647" s="2565" t="s">
        <v>4294</v>
      </c>
      <c r="D647" s="2566">
        <v>1533222349</v>
      </c>
      <c r="E647" s="1080">
        <v>21921356</v>
      </c>
      <c r="F647" s="2567">
        <v>60108974</v>
      </c>
      <c r="G647" s="2568">
        <v>13068713</v>
      </c>
      <c r="H647" s="2566">
        <v>2728955</v>
      </c>
      <c r="I647" s="2566">
        <v>1631050347</v>
      </c>
      <c r="J647" s="2569">
        <v>0</v>
      </c>
      <c r="K647" s="2569">
        <v>0</v>
      </c>
      <c r="L647" s="2566">
        <v>1631050347</v>
      </c>
      <c r="N647" s="2396">
        <v>21141001</v>
      </c>
      <c r="O647" s="2397" t="s">
        <v>4294</v>
      </c>
      <c r="P647" s="2398">
        <v>1542272437</v>
      </c>
      <c r="Q647" s="2179">
        <v>39813467</v>
      </c>
      <c r="R647" s="2399">
        <v>61933114</v>
      </c>
      <c r="S647" s="2400">
        <v>24002032</v>
      </c>
      <c r="T647" s="2398">
        <v>5204950</v>
      </c>
      <c r="U647" s="2398">
        <v>1673226000</v>
      </c>
      <c r="V647" s="2401">
        <v>0</v>
      </c>
      <c r="W647" s="2401">
        <v>0</v>
      </c>
      <c r="X647" s="2398">
        <v>1673226000</v>
      </c>
      <c r="Z647" s="2396">
        <v>21141001</v>
      </c>
      <c r="AA647" s="2397" t="s">
        <v>4294</v>
      </c>
      <c r="AB647" s="2398">
        <v>1512945897</v>
      </c>
      <c r="AC647" s="2179">
        <v>55670084</v>
      </c>
      <c r="AD647" s="2399">
        <v>51385482</v>
      </c>
      <c r="AE647" s="2400">
        <v>37799544</v>
      </c>
      <c r="AF647" s="2398">
        <v>10022906</v>
      </c>
      <c r="AG647" s="2398">
        <v>1667823913</v>
      </c>
      <c r="AH647" s="2401">
        <v>0</v>
      </c>
      <c r="AI647" s="2401">
        <v>0</v>
      </c>
      <c r="AJ647" s="2398">
        <v>1667823913</v>
      </c>
      <c r="AZ647" s="2396">
        <v>21141001</v>
      </c>
      <c r="BA647" s="2397" t="s">
        <v>4294</v>
      </c>
      <c r="BB647" s="2398">
        <v>1654311882</v>
      </c>
      <c r="BC647" s="2179">
        <v>58964282</v>
      </c>
      <c r="BD647" s="2399">
        <v>45519568</v>
      </c>
      <c r="BE647" s="2400">
        <v>17621710</v>
      </c>
      <c r="BF647" s="2398">
        <v>10830108</v>
      </c>
      <c r="BG647" s="2398">
        <v>1787247550</v>
      </c>
      <c r="BH647" s="2401">
        <v>0</v>
      </c>
      <c r="BI647" s="2401">
        <v>0</v>
      </c>
      <c r="BJ647" s="2398">
        <v>1787247550</v>
      </c>
      <c r="BN647" s="2396">
        <v>21191001</v>
      </c>
      <c r="BO647" s="2397" t="s">
        <v>4315</v>
      </c>
      <c r="BP647" s="2398">
        <v>0</v>
      </c>
      <c r="BQ647" s="2179">
        <v>0</v>
      </c>
      <c r="BR647" s="2399">
        <v>0</v>
      </c>
      <c r="BS647" s="2400">
        <v>1596471304</v>
      </c>
      <c r="BT647" s="2398">
        <v>0</v>
      </c>
      <c r="BU647" s="2398">
        <v>1596471304</v>
      </c>
      <c r="BV647" s="2401">
        <v>0</v>
      </c>
      <c r="BW647" s="2401">
        <v>0</v>
      </c>
      <c r="BX647" s="2398">
        <v>1596471304</v>
      </c>
    </row>
    <row r="648" spans="2:76">
      <c r="B648" s="2552">
        <v>21150000</v>
      </c>
      <c r="C648" s="2570" t="s">
        <v>4295</v>
      </c>
      <c r="D648" s="2554">
        <v>0</v>
      </c>
      <c r="E648" s="2554">
        <v>0</v>
      </c>
      <c r="F648" s="2555">
        <v>0</v>
      </c>
      <c r="G648" s="2556">
        <v>0</v>
      </c>
      <c r="H648" s="2554">
        <v>0</v>
      </c>
      <c r="I648" s="2554">
        <v>0</v>
      </c>
      <c r="J648" s="2557">
        <v>0</v>
      </c>
      <c r="K648" s="2557">
        <v>0</v>
      </c>
      <c r="L648" s="2554">
        <v>0</v>
      </c>
      <c r="N648" s="2384">
        <v>21150000</v>
      </c>
      <c r="O648" s="2402" t="s">
        <v>4295</v>
      </c>
      <c r="P648" s="2386">
        <v>0</v>
      </c>
      <c r="Q648" s="2386">
        <v>0</v>
      </c>
      <c r="R648" s="2387">
        <v>0</v>
      </c>
      <c r="S648" s="2388">
        <v>0</v>
      </c>
      <c r="T648" s="2386">
        <v>0</v>
      </c>
      <c r="U648" s="2386">
        <v>0</v>
      </c>
      <c r="V648" s="2389">
        <v>0</v>
      </c>
      <c r="W648" s="2389">
        <v>0</v>
      </c>
      <c r="X648" s="2386">
        <v>0</v>
      </c>
      <c r="Z648" s="2384">
        <v>21150000</v>
      </c>
      <c r="AA648" s="2402" t="s">
        <v>4295</v>
      </c>
      <c r="AB648" s="2386">
        <v>0</v>
      </c>
      <c r="AC648" s="2386">
        <v>0</v>
      </c>
      <c r="AD648" s="2387">
        <v>0</v>
      </c>
      <c r="AE648" s="2388">
        <v>0</v>
      </c>
      <c r="AF648" s="2386">
        <v>0</v>
      </c>
      <c r="AG648" s="2386">
        <v>0</v>
      </c>
      <c r="AH648" s="2389">
        <v>0</v>
      </c>
      <c r="AI648" s="2389">
        <v>0</v>
      </c>
      <c r="AJ648" s="2386">
        <v>0</v>
      </c>
      <c r="AZ648" s="2384">
        <v>21150000</v>
      </c>
      <c r="BA648" s="2402" t="s">
        <v>4295</v>
      </c>
      <c r="BB648" s="2386">
        <v>0</v>
      </c>
      <c r="BC648" s="2386">
        <v>0</v>
      </c>
      <c r="BD648" s="2387">
        <v>0</v>
      </c>
      <c r="BE648" s="2388">
        <v>0</v>
      </c>
      <c r="BF648" s="2386">
        <v>0</v>
      </c>
      <c r="BG648" s="2386">
        <v>0</v>
      </c>
      <c r="BH648" s="2389">
        <v>0</v>
      </c>
      <c r="BI648" s="2389">
        <v>0</v>
      </c>
      <c r="BJ648" s="2386">
        <v>0</v>
      </c>
      <c r="BN648" s="2396">
        <v>21191002</v>
      </c>
      <c r="BO648" s="2397" t="s">
        <v>4316</v>
      </c>
      <c r="BP648" s="2398">
        <v>0</v>
      </c>
      <c r="BQ648" s="2179">
        <v>0</v>
      </c>
      <c r="BR648" s="2399">
        <v>0</v>
      </c>
      <c r="BS648" s="2400">
        <v>0</v>
      </c>
      <c r="BT648" s="2398">
        <v>0</v>
      </c>
      <c r="BU648" s="2398">
        <v>0</v>
      </c>
      <c r="BV648" s="2401">
        <v>0</v>
      </c>
      <c r="BW648" s="2401">
        <v>0</v>
      </c>
      <c r="BX648" s="2398">
        <v>0</v>
      </c>
    </row>
    <row r="649" spans="2:76">
      <c r="B649" s="2558">
        <v>21151000</v>
      </c>
      <c r="C649" s="2571" t="s">
        <v>4296</v>
      </c>
      <c r="D649" s="2560">
        <v>0</v>
      </c>
      <c r="E649" s="2560">
        <v>0</v>
      </c>
      <c r="F649" s="2561">
        <v>0</v>
      </c>
      <c r="G649" s="2562">
        <v>0</v>
      </c>
      <c r="H649" s="2560">
        <v>0</v>
      </c>
      <c r="I649" s="2560">
        <v>0</v>
      </c>
      <c r="J649" s="2563">
        <v>0</v>
      </c>
      <c r="K649" s="2563">
        <v>0</v>
      </c>
      <c r="L649" s="2560">
        <v>0</v>
      </c>
      <c r="N649" s="2390">
        <v>21151000</v>
      </c>
      <c r="O649" s="2403" t="s">
        <v>4296</v>
      </c>
      <c r="P649" s="2392">
        <v>0</v>
      </c>
      <c r="Q649" s="2392">
        <v>0</v>
      </c>
      <c r="R649" s="2393">
        <v>0</v>
      </c>
      <c r="S649" s="2394">
        <v>0</v>
      </c>
      <c r="T649" s="2392">
        <v>0</v>
      </c>
      <c r="U649" s="2392">
        <v>0</v>
      </c>
      <c r="V649" s="2395">
        <v>0</v>
      </c>
      <c r="W649" s="2395">
        <v>0</v>
      </c>
      <c r="X649" s="2392">
        <v>0</v>
      </c>
      <c r="Z649" s="2390">
        <v>21151000</v>
      </c>
      <c r="AA649" s="2403" t="s">
        <v>4296</v>
      </c>
      <c r="AB649" s="2392">
        <v>0</v>
      </c>
      <c r="AC649" s="2392">
        <v>0</v>
      </c>
      <c r="AD649" s="2393">
        <v>0</v>
      </c>
      <c r="AE649" s="2394">
        <v>0</v>
      </c>
      <c r="AF649" s="2392">
        <v>0</v>
      </c>
      <c r="AG649" s="2392">
        <v>0</v>
      </c>
      <c r="AH649" s="2395">
        <v>0</v>
      </c>
      <c r="AI649" s="2395">
        <v>0</v>
      </c>
      <c r="AJ649" s="2392">
        <v>0</v>
      </c>
      <c r="AZ649" s="2390">
        <v>21151000</v>
      </c>
      <c r="BA649" s="2403" t="s">
        <v>4296</v>
      </c>
      <c r="BB649" s="2392">
        <v>0</v>
      </c>
      <c r="BC649" s="2392">
        <v>0</v>
      </c>
      <c r="BD649" s="2393">
        <v>0</v>
      </c>
      <c r="BE649" s="2394">
        <v>0</v>
      </c>
      <c r="BF649" s="2392">
        <v>0</v>
      </c>
      <c r="BG649" s="2392">
        <v>0</v>
      </c>
      <c r="BH649" s="2395">
        <v>0</v>
      </c>
      <c r="BI649" s="2395">
        <v>0</v>
      </c>
      <c r="BJ649" s="2392">
        <v>0</v>
      </c>
      <c r="BN649" s="2390">
        <v>21191100</v>
      </c>
      <c r="BO649" s="2403" t="s">
        <v>3955</v>
      </c>
      <c r="BP649" s="2392">
        <v>1082827364</v>
      </c>
      <c r="BQ649" s="2392">
        <v>0</v>
      </c>
      <c r="BR649" s="2393">
        <v>0</v>
      </c>
      <c r="BS649" s="2394">
        <v>35774470</v>
      </c>
      <c r="BT649" s="2392">
        <v>0</v>
      </c>
      <c r="BU649" s="2392">
        <v>1118601834</v>
      </c>
      <c r="BV649" s="2395">
        <v>0</v>
      </c>
      <c r="BW649" s="2395">
        <v>0</v>
      </c>
      <c r="BX649" s="2392">
        <v>-477869470</v>
      </c>
    </row>
    <row r="650" spans="2:76">
      <c r="B650" s="2564">
        <v>21151001</v>
      </c>
      <c r="C650" s="2565" t="s">
        <v>4296</v>
      </c>
      <c r="D650" s="2566">
        <v>0</v>
      </c>
      <c r="E650" s="1080">
        <v>0</v>
      </c>
      <c r="F650" s="2567">
        <v>0</v>
      </c>
      <c r="G650" s="2568">
        <v>0</v>
      </c>
      <c r="H650" s="2566">
        <v>0</v>
      </c>
      <c r="I650" s="2566">
        <v>0</v>
      </c>
      <c r="J650" s="2569">
        <v>0</v>
      </c>
      <c r="K650" s="2569">
        <v>0</v>
      </c>
      <c r="L650" s="2566">
        <v>0</v>
      </c>
      <c r="N650" s="2396">
        <v>21151001</v>
      </c>
      <c r="O650" s="2397" t="s">
        <v>4296</v>
      </c>
      <c r="P650" s="2398">
        <v>0</v>
      </c>
      <c r="Q650" s="2179">
        <v>0</v>
      </c>
      <c r="R650" s="2399">
        <v>0</v>
      </c>
      <c r="S650" s="2400">
        <v>0</v>
      </c>
      <c r="T650" s="2398">
        <v>0</v>
      </c>
      <c r="U650" s="2398">
        <v>0</v>
      </c>
      <c r="V650" s="2401">
        <v>0</v>
      </c>
      <c r="W650" s="2401">
        <v>0</v>
      </c>
      <c r="X650" s="2398">
        <v>0</v>
      </c>
      <c r="Z650" s="2396">
        <v>21151001</v>
      </c>
      <c r="AA650" s="2397" t="s">
        <v>4296</v>
      </c>
      <c r="AB650" s="2398">
        <v>0</v>
      </c>
      <c r="AC650" s="2179">
        <v>0</v>
      </c>
      <c r="AD650" s="2399">
        <v>0</v>
      </c>
      <c r="AE650" s="2400">
        <v>0</v>
      </c>
      <c r="AF650" s="2398">
        <v>0</v>
      </c>
      <c r="AG650" s="2398">
        <v>0</v>
      </c>
      <c r="AH650" s="2401">
        <v>0</v>
      </c>
      <c r="AI650" s="2401">
        <v>0</v>
      </c>
      <c r="AJ650" s="2398">
        <v>0</v>
      </c>
      <c r="AZ650" s="2396">
        <v>21151001</v>
      </c>
      <c r="BA650" s="2397" t="s">
        <v>4296</v>
      </c>
      <c r="BB650" s="2398">
        <v>0</v>
      </c>
      <c r="BC650" s="2179">
        <v>0</v>
      </c>
      <c r="BD650" s="2399">
        <v>0</v>
      </c>
      <c r="BE650" s="2400">
        <v>0</v>
      </c>
      <c r="BF650" s="2398">
        <v>0</v>
      </c>
      <c r="BG650" s="2398">
        <v>0</v>
      </c>
      <c r="BH650" s="2401">
        <v>0</v>
      </c>
      <c r="BI650" s="2401">
        <v>0</v>
      </c>
      <c r="BJ650" s="2398">
        <v>0</v>
      </c>
      <c r="BN650" s="2396">
        <v>21191101</v>
      </c>
      <c r="BO650" s="2397" t="s">
        <v>3955</v>
      </c>
      <c r="BP650" s="2398">
        <v>1082827364</v>
      </c>
      <c r="BQ650" s="2179">
        <v>0</v>
      </c>
      <c r="BR650" s="2399">
        <v>0</v>
      </c>
      <c r="BS650" s="2400">
        <v>35774470</v>
      </c>
      <c r="BT650" s="2398">
        <v>0</v>
      </c>
      <c r="BU650" s="2398">
        <v>1118601834</v>
      </c>
      <c r="BV650" s="2401">
        <v>0</v>
      </c>
      <c r="BW650" s="2401">
        <v>-1596471304</v>
      </c>
      <c r="BX650" s="2398">
        <v>-477869470</v>
      </c>
    </row>
    <row r="651" spans="2:76">
      <c r="B651" s="2564">
        <v>21151002</v>
      </c>
      <c r="C651" s="2565" t="s">
        <v>4297</v>
      </c>
      <c r="D651" s="2566">
        <v>0</v>
      </c>
      <c r="E651" s="1080">
        <v>0</v>
      </c>
      <c r="F651" s="2567">
        <v>0</v>
      </c>
      <c r="G651" s="2568">
        <v>0</v>
      </c>
      <c r="H651" s="2566">
        <v>0</v>
      </c>
      <c r="I651" s="2566">
        <v>0</v>
      </c>
      <c r="J651" s="2569">
        <v>0</v>
      </c>
      <c r="K651" s="2569">
        <v>0</v>
      </c>
      <c r="L651" s="2566">
        <v>0</v>
      </c>
      <c r="N651" s="2396">
        <v>21151002</v>
      </c>
      <c r="O651" s="2397" t="s">
        <v>4297</v>
      </c>
      <c r="P651" s="2398">
        <v>0</v>
      </c>
      <c r="Q651" s="2179">
        <v>0</v>
      </c>
      <c r="R651" s="2399">
        <v>0</v>
      </c>
      <c r="S651" s="2400">
        <v>0</v>
      </c>
      <c r="T651" s="2398">
        <v>0</v>
      </c>
      <c r="U651" s="2398">
        <v>0</v>
      </c>
      <c r="V651" s="2401">
        <v>0</v>
      </c>
      <c r="W651" s="2401">
        <v>0</v>
      </c>
      <c r="X651" s="2398">
        <v>0</v>
      </c>
      <c r="Z651" s="2396">
        <v>21151002</v>
      </c>
      <c r="AA651" s="2397" t="s">
        <v>4297</v>
      </c>
      <c r="AB651" s="2398">
        <v>0</v>
      </c>
      <c r="AC651" s="2179">
        <v>0</v>
      </c>
      <c r="AD651" s="2399">
        <v>0</v>
      </c>
      <c r="AE651" s="2400">
        <v>0</v>
      </c>
      <c r="AF651" s="2398">
        <v>0</v>
      </c>
      <c r="AG651" s="2398">
        <v>0</v>
      </c>
      <c r="AH651" s="2401">
        <v>0</v>
      </c>
      <c r="AI651" s="2401">
        <v>0</v>
      </c>
      <c r="AJ651" s="2398">
        <v>0</v>
      </c>
      <c r="AZ651" s="2396">
        <v>21151002</v>
      </c>
      <c r="BA651" s="2397" t="s">
        <v>4297</v>
      </c>
      <c r="BB651" s="2398">
        <v>0</v>
      </c>
      <c r="BC651" s="2179">
        <v>0</v>
      </c>
      <c r="BD651" s="2399">
        <v>0</v>
      </c>
      <c r="BE651" s="2400">
        <v>0</v>
      </c>
      <c r="BF651" s="2398">
        <v>0</v>
      </c>
      <c r="BG651" s="2398">
        <v>0</v>
      </c>
      <c r="BH651" s="2401">
        <v>0</v>
      </c>
      <c r="BI651" s="2401">
        <v>0</v>
      </c>
      <c r="BJ651" s="2398">
        <v>0</v>
      </c>
      <c r="BN651" s="2390">
        <v>21191200</v>
      </c>
      <c r="BO651" s="2403" t="s">
        <v>4317</v>
      </c>
      <c r="BP651" s="2392">
        <v>5397583838</v>
      </c>
      <c r="BQ651" s="2392">
        <v>50634911</v>
      </c>
      <c r="BR651" s="2393">
        <v>166325770</v>
      </c>
      <c r="BS651" s="2394">
        <v>43800923</v>
      </c>
      <c r="BT651" s="2392">
        <v>0</v>
      </c>
      <c r="BU651" s="2392">
        <v>5658345442</v>
      </c>
      <c r="BV651" s="2395">
        <v>0</v>
      </c>
      <c r="BW651" s="2395">
        <v>0</v>
      </c>
      <c r="BX651" s="2392">
        <v>5658345442</v>
      </c>
    </row>
    <row r="652" spans="2:76">
      <c r="B652" s="2564">
        <v>21151003</v>
      </c>
      <c r="C652" s="2565" t="s">
        <v>4298</v>
      </c>
      <c r="D652" s="2566">
        <v>0</v>
      </c>
      <c r="E652" s="1080">
        <v>0</v>
      </c>
      <c r="F652" s="2567">
        <v>0</v>
      </c>
      <c r="G652" s="2568">
        <v>0</v>
      </c>
      <c r="H652" s="2566">
        <v>0</v>
      </c>
      <c r="I652" s="2566">
        <v>0</v>
      </c>
      <c r="J652" s="2569">
        <v>0</v>
      </c>
      <c r="K652" s="2569">
        <v>0</v>
      </c>
      <c r="L652" s="2566">
        <v>0</v>
      </c>
      <c r="N652" s="2396">
        <v>21151003</v>
      </c>
      <c r="O652" s="2397" t="s">
        <v>4298</v>
      </c>
      <c r="P652" s="2398">
        <v>0</v>
      </c>
      <c r="Q652" s="2179">
        <v>0</v>
      </c>
      <c r="R652" s="2399">
        <v>0</v>
      </c>
      <c r="S652" s="2400">
        <v>0</v>
      </c>
      <c r="T652" s="2398">
        <v>0</v>
      </c>
      <c r="U652" s="2398">
        <v>0</v>
      </c>
      <c r="V652" s="2401">
        <v>0</v>
      </c>
      <c r="W652" s="2401">
        <v>0</v>
      </c>
      <c r="X652" s="2398">
        <v>0</v>
      </c>
      <c r="Z652" s="2396">
        <v>21151003</v>
      </c>
      <c r="AA652" s="2397" t="s">
        <v>4298</v>
      </c>
      <c r="AB652" s="2398">
        <v>0</v>
      </c>
      <c r="AC652" s="2179">
        <v>0</v>
      </c>
      <c r="AD652" s="2399">
        <v>0</v>
      </c>
      <c r="AE652" s="2400">
        <v>0</v>
      </c>
      <c r="AF652" s="2398">
        <v>0</v>
      </c>
      <c r="AG652" s="2398">
        <v>0</v>
      </c>
      <c r="AH652" s="2401">
        <v>0</v>
      </c>
      <c r="AI652" s="2401">
        <v>0</v>
      </c>
      <c r="AJ652" s="2398">
        <v>0</v>
      </c>
      <c r="AZ652" s="2396">
        <v>21151003</v>
      </c>
      <c r="BA652" s="2397" t="s">
        <v>4298</v>
      </c>
      <c r="BB652" s="2398">
        <v>0</v>
      </c>
      <c r="BC652" s="2179">
        <v>0</v>
      </c>
      <c r="BD652" s="2399">
        <v>0</v>
      </c>
      <c r="BE652" s="2400">
        <v>0</v>
      </c>
      <c r="BF652" s="2398">
        <v>0</v>
      </c>
      <c r="BG652" s="2398">
        <v>0</v>
      </c>
      <c r="BH652" s="2401">
        <v>0</v>
      </c>
      <c r="BI652" s="2401">
        <v>0</v>
      </c>
      <c r="BJ652" s="2398">
        <v>0</v>
      </c>
      <c r="BN652" s="2396">
        <v>21191201</v>
      </c>
      <c r="BO652" s="2397" t="s">
        <v>4317</v>
      </c>
      <c r="BP652" s="2398">
        <v>5397583838</v>
      </c>
      <c r="BQ652" s="2179">
        <v>50634911</v>
      </c>
      <c r="BR652" s="2399">
        <v>166325770</v>
      </c>
      <c r="BS652" s="2400">
        <v>43800923</v>
      </c>
      <c r="BT652" s="2398">
        <v>0</v>
      </c>
      <c r="BU652" s="2398">
        <v>5658345442</v>
      </c>
      <c r="BV652" s="2401">
        <v>0</v>
      </c>
      <c r="BW652" s="2401">
        <v>0</v>
      </c>
      <c r="BX652" s="2398">
        <v>5658345442</v>
      </c>
    </row>
    <row r="653" spans="2:76">
      <c r="B653" s="2564">
        <v>21151004</v>
      </c>
      <c r="C653" s="2565" t="s">
        <v>4299</v>
      </c>
      <c r="D653" s="2566">
        <v>0</v>
      </c>
      <c r="E653" s="1080">
        <v>0</v>
      </c>
      <c r="F653" s="2567">
        <v>0</v>
      </c>
      <c r="G653" s="2568">
        <v>0</v>
      </c>
      <c r="H653" s="2566">
        <v>0</v>
      </c>
      <c r="I653" s="2566">
        <v>0</v>
      </c>
      <c r="J653" s="2569">
        <v>0</v>
      </c>
      <c r="K653" s="2569">
        <v>0</v>
      </c>
      <c r="L653" s="2566">
        <v>0</v>
      </c>
      <c r="N653" s="2396">
        <v>21151004</v>
      </c>
      <c r="O653" s="2397" t="s">
        <v>4299</v>
      </c>
      <c r="P653" s="2398">
        <v>0</v>
      </c>
      <c r="Q653" s="2179">
        <v>0</v>
      </c>
      <c r="R653" s="2399">
        <v>0</v>
      </c>
      <c r="S653" s="2400">
        <v>0</v>
      </c>
      <c r="T653" s="2398">
        <v>0</v>
      </c>
      <c r="U653" s="2398">
        <v>0</v>
      </c>
      <c r="V653" s="2401">
        <v>0</v>
      </c>
      <c r="W653" s="2401">
        <v>0</v>
      </c>
      <c r="X653" s="2398">
        <v>0</v>
      </c>
      <c r="Z653" s="2396">
        <v>21151004</v>
      </c>
      <c r="AA653" s="2397" t="s">
        <v>4299</v>
      </c>
      <c r="AB653" s="2398">
        <v>0</v>
      </c>
      <c r="AC653" s="2179">
        <v>0</v>
      </c>
      <c r="AD653" s="2399">
        <v>0</v>
      </c>
      <c r="AE653" s="2400">
        <v>0</v>
      </c>
      <c r="AF653" s="2398">
        <v>0</v>
      </c>
      <c r="AG653" s="2398">
        <v>0</v>
      </c>
      <c r="AH653" s="2401">
        <v>0</v>
      </c>
      <c r="AI653" s="2401">
        <v>0</v>
      </c>
      <c r="AJ653" s="2398">
        <v>0</v>
      </c>
      <c r="AZ653" s="2396">
        <v>21151004</v>
      </c>
      <c r="BA653" s="2397" t="s">
        <v>4299</v>
      </c>
      <c r="BB653" s="2398">
        <v>0</v>
      </c>
      <c r="BC653" s="2179">
        <v>0</v>
      </c>
      <c r="BD653" s="2399">
        <v>0</v>
      </c>
      <c r="BE653" s="2400">
        <v>0</v>
      </c>
      <c r="BF653" s="2398">
        <v>0</v>
      </c>
      <c r="BG653" s="2398">
        <v>0</v>
      </c>
      <c r="BH653" s="2401">
        <v>0</v>
      </c>
      <c r="BI653" s="2401">
        <v>0</v>
      </c>
      <c r="BJ653" s="2398">
        <v>0</v>
      </c>
      <c r="BN653" s="2390">
        <v>21191300</v>
      </c>
      <c r="BO653" s="2403" t="s">
        <v>3952</v>
      </c>
      <c r="BP653" s="2392">
        <v>233655341</v>
      </c>
      <c r="BQ653" s="2392">
        <v>0</v>
      </c>
      <c r="BR653" s="2393">
        <v>0</v>
      </c>
      <c r="BS653" s="2394">
        <v>0</v>
      </c>
      <c r="BT653" s="2392">
        <v>59148619</v>
      </c>
      <c r="BU653" s="2392">
        <v>292803960</v>
      </c>
      <c r="BV653" s="2395">
        <v>0</v>
      </c>
      <c r="BW653" s="2395">
        <v>0</v>
      </c>
      <c r="BX653" s="2392">
        <v>229267093</v>
      </c>
    </row>
    <row r="654" spans="2:76">
      <c r="B654" s="2564">
        <v>21151005</v>
      </c>
      <c r="C654" s="2565" t="s">
        <v>4300</v>
      </c>
      <c r="D654" s="2566">
        <v>0</v>
      </c>
      <c r="E654" s="1080">
        <v>0</v>
      </c>
      <c r="F654" s="2567">
        <v>0</v>
      </c>
      <c r="G654" s="2568">
        <v>0</v>
      </c>
      <c r="H654" s="2566">
        <v>0</v>
      </c>
      <c r="I654" s="2566">
        <v>0</v>
      </c>
      <c r="J654" s="2569">
        <v>0</v>
      </c>
      <c r="K654" s="2569">
        <v>0</v>
      </c>
      <c r="L654" s="2566">
        <v>0</v>
      </c>
      <c r="N654" s="2396">
        <v>21151005</v>
      </c>
      <c r="O654" s="2397" t="s">
        <v>4300</v>
      </c>
      <c r="P654" s="2398">
        <v>0</v>
      </c>
      <c r="Q654" s="2179">
        <v>0</v>
      </c>
      <c r="R654" s="2399">
        <v>0</v>
      </c>
      <c r="S654" s="2400">
        <v>0</v>
      </c>
      <c r="T654" s="2398">
        <v>0</v>
      </c>
      <c r="U654" s="2398">
        <v>0</v>
      </c>
      <c r="V654" s="2401">
        <v>0</v>
      </c>
      <c r="W654" s="2401">
        <v>0</v>
      </c>
      <c r="X654" s="2398">
        <v>0</v>
      </c>
      <c r="Z654" s="2396">
        <v>21151005</v>
      </c>
      <c r="AA654" s="2397" t="s">
        <v>4300</v>
      </c>
      <c r="AB654" s="2398">
        <v>0</v>
      </c>
      <c r="AC654" s="2179">
        <v>0</v>
      </c>
      <c r="AD654" s="2399">
        <v>0</v>
      </c>
      <c r="AE654" s="2400">
        <v>0</v>
      </c>
      <c r="AF654" s="2398">
        <v>0</v>
      </c>
      <c r="AG654" s="2398">
        <v>0</v>
      </c>
      <c r="AH654" s="2401">
        <v>0</v>
      </c>
      <c r="AI654" s="2401">
        <v>0</v>
      </c>
      <c r="AJ654" s="2398">
        <v>0</v>
      </c>
      <c r="AZ654" s="2396">
        <v>21151005</v>
      </c>
      <c r="BA654" s="2397" t="s">
        <v>4300</v>
      </c>
      <c r="BB654" s="2398">
        <v>0</v>
      </c>
      <c r="BC654" s="2179">
        <v>0</v>
      </c>
      <c r="BD654" s="2399">
        <v>0</v>
      </c>
      <c r="BE654" s="2400">
        <v>0</v>
      </c>
      <c r="BF654" s="2398">
        <v>0</v>
      </c>
      <c r="BG654" s="2398">
        <v>0</v>
      </c>
      <c r="BH654" s="2401">
        <v>0</v>
      </c>
      <c r="BI654" s="2401">
        <v>0</v>
      </c>
      <c r="BJ654" s="2398">
        <v>0</v>
      </c>
      <c r="BN654" s="2396">
        <v>21191301</v>
      </c>
      <c r="BO654" s="2397" t="s">
        <v>3952</v>
      </c>
      <c r="BP654" s="2398">
        <v>233655341</v>
      </c>
      <c r="BQ654" s="2179">
        <v>0</v>
      </c>
      <c r="BR654" s="2399">
        <v>0</v>
      </c>
      <c r="BS654" s="2400">
        <v>0</v>
      </c>
      <c r="BT654" s="2398">
        <v>59148619</v>
      </c>
      <c r="BU654" s="2398">
        <v>292803960</v>
      </c>
      <c r="BV654" s="2401">
        <v>63536867</v>
      </c>
      <c r="BW654" s="2401">
        <v>0</v>
      </c>
      <c r="BX654" s="2398">
        <v>229267093</v>
      </c>
    </row>
    <row r="655" spans="2:76">
      <c r="B655" s="2552">
        <v>21160000</v>
      </c>
      <c r="C655" s="2570" t="s">
        <v>4301</v>
      </c>
      <c r="D655" s="2554">
        <v>0</v>
      </c>
      <c r="E655" s="2554">
        <v>0</v>
      </c>
      <c r="F655" s="2555">
        <v>0</v>
      </c>
      <c r="G655" s="2556">
        <v>0</v>
      </c>
      <c r="H655" s="2554">
        <v>0</v>
      </c>
      <c r="I655" s="2554">
        <v>0</v>
      </c>
      <c r="J655" s="2557">
        <v>0</v>
      </c>
      <c r="K655" s="2557">
        <v>0</v>
      </c>
      <c r="L655" s="2554">
        <v>0</v>
      </c>
      <c r="N655" s="2384">
        <v>21160000</v>
      </c>
      <c r="O655" s="2402" t="s">
        <v>4301</v>
      </c>
      <c r="P655" s="2386">
        <v>0</v>
      </c>
      <c r="Q655" s="2386">
        <v>0</v>
      </c>
      <c r="R655" s="2387">
        <v>0</v>
      </c>
      <c r="S655" s="2388">
        <v>0</v>
      </c>
      <c r="T655" s="2386">
        <v>0</v>
      </c>
      <c r="U655" s="2386">
        <v>0</v>
      </c>
      <c r="V655" s="2389">
        <v>0</v>
      </c>
      <c r="W655" s="2389">
        <v>0</v>
      </c>
      <c r="X655" s="2386">
        <v>0</v>
      </c>
      <c r="Z655" s="2384">
        <v>21160000</v>
      </c>
      <c r="AA655" s="2402" t="s">
        <v>4301</v>
      </c>
      <c r="AB655" s="2386">
        <v>0</v>
      </c>
      <c r="AC655" s="2386">
        <v>0</v>
      </c>
      <c r="AD655" s="2387">
        <v>0</v>
      </c>
      <c r="AE655" s="2388">
        <v>0</v>
      </c>
      <c r="AF655" s="2386">
        <v>0</v>
      </c>
      <c r="AG655" s="2386">
        <v>0</v>
      </c>
      <c r="AH655" s="2389">
        <v>0</v>
      </c>
      <c r="AI655" s="2389">
        <v>0</v>
      </c>
      <c r="AJ655" s="2386">
        <v>0</v>
      </c>
      <c r="AZ655" s="2384">
        <v>21160000</v>
      </c>
      <c r="BA655" s="2402" t="s">
        <v>4301</v>
      </c>
      <c r="BB655" s="2386">
        <v>0</v>
      </c>
      <c r="BC655" s="2386">
        <v>0</v>
      </c>
      <c r="BD655" s="2387">
        <v>0</v>
      </c>
      <c r="BE655" s="2388">
        <v>0</v>
      </c>
      <c r="BF655" s="2386">
        <v>0</v>
      </c>
      <c r="BG655" s="2386">
        <v>0</v>
      </c>
      <c r="BH655" s="2389">
        <v>0</v>
      </c>
      <c r="BI655" s="2389">
        <v>0</v>
      </c>
      <c r="BJ655" s="2386">
        <v>0</v>
      </c>
      <c r="BN655" s="2390">
        <v>21191400</v>
      </c>
      <c r="BO655" s="2403" t="s">
        <v>4318</v>
      </c>
      <c r="BP655" s="2392">
        <v>0</v>
      </c>
      <c r="BQ655" s="2392">
        <v>0</v>
      </c>
      <c r="BR655" s="2393">
        <v>0</v>
      </c>
      <c r="BS655" s="2394">
        <v>402615834</v>
      </c>
      <c r="BT655" s="2392">
        <v>0</v>
      </c>
      <c r="BU655" s="2392">
        <v>402615834</v>
      </c>
      <c r="BV655" s="2395">
        <v>0</v>
      </c>
      <c r="BW655" s="2395">
        <v>0</v>
      </c>
      <c r="BX655" s="2392">
        <v>402615834</v>
      </c>
    </row>
    <row r="656" spans="2:76">
      <c r="B656" s="2558">
        <v>21161000</v>
      </c>
      <c r="C656" s="2571" t="s">
        <v>4301</v>
      </c>
      <c r="D656" s="2560">
        <v>0</v>
      </c>
      <c r="E656" s="2560">
        <v>0</v>
      </c>
      <c r="F656" s="2561">
        <v>0</v>
      </c>
      <c r="G656" s="2562">
        <v>0</v>
      </c>
      <c r="H656" s="2560">
        <v>0</v>
      </c>
      <c r="I656" s="2560">
        <v>0</v>
      </c>
      <c r="J656" s="2563">
        <v>0</v>
      </c>
      <c r="K656" s="2563">
        <v>0</v>
      </c>
      <c r="L656" s="2560">
        <v>0</v>
      </c>
      <c r="N656" s="2390">
        <v>21161000</v>
      </c>
      <c r="O656" s="2403" t="s">
        <v>4301</v>
      </c>
      <c r="P656" s="2392">
        <v>0</v>
      </c>
      <c r="Q656" s="2392">
        <v>0</v>
      </c>
      <c r="R656" s="2393">
        <v>0</v>
      </c>
      <c r="S656" s="2394">
        <v>0</v>
      </c>
      <c r="T656" s="2392">
        <v>0</v>
      </c>
      <c r="U656" s="2392">
        <v>0</v>
      </c>
      <c r="V656" s="2395">
        <v>0</v>
      </c>
      <c r="W656" s="2395">
        <v>0</v>
      </c>
      <c r="X656" s="2392">
        <v>0</v>
      </c>
      <c r="Z656" s="2390">
        <v>21161000</v>
      </c>
      <c r="AA656" s="2403" t="s">
        <v>4301</v>
      </c>
      <c r="AB656" s="2392">
        <v>0</v>
      </c>
      <c r="AC656" s="2392">
        <v>0</v>
      </c>
      <c r="AD656" s="2393">
        <v>0</v>
      </c>
      <c r="AE656" s="2394">
        <v>0</v>
      </c>
      <c r="AF656" s="2392">
        <v>0</v>
      </c>
      <c r="AG656" s="2392">
        <v>0</v>
      </c>
      <c r="AH656" s="2395">
        <v>0</v>
      </c>
      <c r="AI656" s="2395">
        <v>0</v>
      </c>
      <c r="AJ656" s="2392">
        <v>0</v>
      </c>
      <c r="AZ656" s="2390">
        <v>21161000</v>
      </c>
      <c r="BA656" s="2403" t="s">
        <v>4301</v>
      </c>
      <c r="BB656" s="2392">
        <v>0</v>
      </c>
      <c r="BC656" s="2392">
        <v>0</v>
      </c>
      <c r="BD656" s="2393">
        <v>0</v>
      </c>
      <c r="BE656" s="2394">
        <v>0</v>
      </c>
      <c r="BF656" s="2392">
        <v>0</v>
      </c>
      <c r="BG656" s="2392">
        <v>0</v>
      </c>
      <c r="BH656" s="2395">
        <v>0</v>
      </c>
      <c r="BI656" s="2395">
        <v>0</v>
      </c>
      <c r="BJ656" s="2392">
        <v>0</v>
      </c>
      <c r="BN656" s="2396">
        <v>21191401</v>
      </c>
      <c r="BO656" s="2397" t="s">
        <v>4319</v>
      </c>
      <c r="BP656" s="2398">
        <v>0</v>
      </c>
      <c r="BQ656" s="2179">
        <v>0</v>
      </c>
      <c r="BR656" s="2399">
        <v>0</v>
      </c>
      <c r="BS656" s="2404">
        <v>402615834</v>
      </c>
      <c r="BT656" s="2398">
        <v>0</v>
      </c>
      <c r="BU656" s="2398">
        <v>402615834</v>
      </c>
      <c r="BV656" s="2401">
        <v>0</v>
      </c>
      <c r="BW656" s="2401">
        <v>0</v>
      </c>
      <c r="BX656" s="2398">
        <v>402615834</v>
      </c>
    </row>
    <row r="657" spans="2:76">
      <c r="B657" s="2564">
        <v>21161001</v>
      </c>
      <c r="C657" s="2565" t="s">
        <v>4301</v>
      </c>
      <c r="D657" s="2566">
        <v>0</v>
      </c>
      <c r="E657" s="1080">
        <v>0</v>
      </c>
      <c r="F657" s="2567">
        <v>0</v>
      </c>
      <c r="G657" s="2568">
        <v>0</v>
      </c>
      <c r="H657" s="2566">
        <v>0</v>
      </c>
      <c r="I657" s="2566">
        <v>0</v>
      </c>
      <c r="J657" s="2569">
        <v>0</v>
      </c>
      <c r="K657" s="2569">
        <v>0</v>
      </c>
      <c r="L657" s="2566">
        <v>0</v>
      </c>
      <c r="N657" s="2396">
        <v>21161001</v>
      </c>
      <c r="O657" s="2397" t="s">
        <v>4301</v>
      </c>
      <c r="P657" s="2398">
        <v>0</v>
      </c>
      <c r="Q657" s="2179">
        <v>0</v>
      </c>
      <c r="R657" s="2399">
        <v>0</v>
      </c>
      <c r="S657" s="2400">
        <v>0</v>
      </c>
      <c r="T657" s="2398">
        <v>0</v>
      </c>
      <c r="U657" s="2398">
        <v>0</v>
      </c>
      <c r="V657" s="2401">
        <v>0</v>
      </c>
      <c r="W657" s="2401">
        <v>0</v>
      </c>
      <c r="X657" s="2398">
        <v>0</v>
      </c>
      <c r="Z657" s="2396">
        <v>21161001</v>
      </c>
      <c r="AA657" s="2397" t="s">
        <v>4301</v>
      </c>
      <c r="AB657" s="2398">
        <v>0</v>
      </c>
      <c r="AC657" s="2179">
        <v>0</v>
      </c>
      <c r="AD657" s="2399">
        <v>0</v>
      </c>
      <c r="AE657" s="2400">
        <v>0</v>
      </c>
      <c r="AF657" s="2398">
        <v>0</v>
      </c>
      <c r="AG657" s="2398">
        <v>0</v>
      </c>
      <c r="AH657" s="2401">
        <v>0</v>
      </c>
      <c r="AI657" s="2401">
        <v>0</v>
      </c>
      <c r="AJ657" s="2398">
        <v>0</v>
      </c>
      <c r="AZ657" s="2396">
        <v>21161001</v>
      </c>
      <c r="BA657" s="2397" t="s">
        <v>4301</v>
      </c>
      <c r="BB657" s="2398">
        <v>0</v>
      </c>
      <c r="BC657" s="2179">
        <v>0</v>
      </c>
      <c r="BD657" s="2399">
        <v>0</v>
      </c>
      <c r="BE657" s="2400">
        <v>0</v>
      </c>
      <c r="BF657" s="2398">
        <v>0</v>
      </c>
      <c r="BG657" s="2398">
        <v>0</v>
      </c>
      <c r="BH657" s="2401">
        <v>0</v>
      </c>
      <c r="BI657" s="2401">
        <v>0</v>
      </c>
      <c r="BJ657" s="2398">
        <v>0</v>
      </c>
      <c r="BN657" s="2390">
        <v>21191500</v>
      </c>
      <c r="BO657" s="2403" t="s">
        <v>4320</v>
      </c>
      <c r="BP657" s="2392">
        <v>41360636583</v>
      </c>
      <c r="BQ657" s="2392">
        <v>59690713</v>
      </c>
      <c r="BR657" s="2393">
        <v>2288000480</v>
      </c>
      <c r="BS657" s="2394">
        <v>128732175</v>
      </c>
      <c r="BT657" s="2392">
        <v>2828547</v>
      </c>
      <c r="BU657" s="2392">
        <v>43839888498</v>
      </c>
      <c r="BV657" s="2395">
        <v>0</v>
      </c>
      <c r="BW657" s="2395">
        <v>0</v>
      </c>
      <c r="BX657" s="2392">
        <v>43839888498</v>
      </c>
    </row>
    <row r="658" spans="2:76">
      <c r="B658" s="2564">
        <v>21161002</v>
      </c>
      <c r="C658" s="2565" t="s">
        <v>4302</v>
      </c>
      <c r="D658" s="2566">
        <v>0</v>
      </c>
      <c r="E658" s="1080">
        <v>0</v>
      </c>
      <c r="F658" s="2567">
        <v>0</v>
      </c>
      <c r="G658" s="2568">
        <v>0</v>
      </c>
      <c r="H658" s="2566">
        <v>0</v>
      </c>
      <c r="I658" s="2566">
        <v>0</v>
      </c>
      <c r="J658" s="2569">
        <v>0</v>
      </c>
      <c r="K658" s="2569">
        <v>0</v>
      </c>
      <c r="L658" s="2566">
        <v>0</v>
      </c>
      <c r="N658" s="2396">
        <v>21161002</v>
      </c>
      <c r="O658" s="2397" t="s">
        <v>4302</v>
      </c>
      <c r="P658" s="2398">
        <v>0</v>
      </c>
      <c r="Q658" s="2179">
        <v>0</v>
      </c>
      <c r="R658" s="2399">
        <v>0</v>
      </c>
      <c r="S658" s="2400">
        <v>0</v>
      </c>
      <c r="T658" s="2398">
        <v>0</v>
      </c>
      <c r="U658" s="2398">
        <v>0</v>
      </c>
      <c r="V658" s="2401">
        <v>0</v>
      </c>
      <c r="W658" s="2401">
        <v>0</v>
      </c>
      <c r="X658" s="2398">
        <v>0</v>
      </c>
      <c r="Z658" s="2396">
        <v>21161002</v>
      </c>
      <c r="AA658" s="2397" t="s">
        <v>4302</v>
      </c>
      <c r="AB658" s="2398">
        <v>0</v>
      </c>
      <c r="AC658" s="2179">
        <v>0</v>
      </c>
      <c r="AD658" s="2399">
        <v>0</v>
      </c>
      <c r="AE658" s="2400">
        <v>0</v>
      </c>
      <c r="AF658" s="2398">
        <v>0</v>
      </c>
      <c r="AG658" s="2398">
        <v>0</v>
      </c>
      <c r="AH658" s="2401">
        <v>0</v>
      </c>
      <c r="AI658" s="2401">
        <v>0</v>
      </c>
      <c r="AJ658" s="2398">
        <v>0</v>
      </c>
      <c r="AZ658" s="2396">
        <v>21161002</v>
      </c>
      <c r="BA658" s="2397" t="s">
        <v>4302</v>
      </c>
      <c r="BB658" s="2398">
        <v>0</v>
      </c>
      <c r="BC658" s="2179">
        <v>0</v>
      </c>
      <c r="BD658" s="2399">
        <v>0</v>
      </c>
      <c r="BE658" s="2400">
        <v>0</v>
      </c>
      <c r="BF658" s="2398">
        <v>0</v>
      </c>
      <c r="BG658" s="2398">
        <v>0</v>
      </c>
      <c r="BH658" s="2401">
        <v>0</v>
      </c>
      <c r="BI658" s="2401">
        <v>0</v>
      </c>
      <c r="BJ658" s="2398">
        <v>0</v>
      </c>
      <c r="BN658" s="2396">
        <v>21191501</v>
      </c>
      <c r="BO658" s="2397" t="s">
        <v>4320</v>
      </c>
      <c r="BP658" s="2398">
        <v>41360636583</v>
      </c>
      <c r="BQ658" s="2179">
        <v>59690713</v>
      </c>
      <c r="BR658" s="2399">
        <v>2288000480</v>
      </c>
      <c r="BS658" s="2400">
        <v>128732175</v>
      </c>
      <c r="BT658" s="2398">
        <v>2828547</v>
      </c>
      <c r="BU658" s="2398">
        <v>43839888498</v>
      </c>
      <c r="BV658" s="2401">
        <v>0</v>
      </c>
      <c r="BW658" s="2401">
        <v>0</v>
      </c>
      <c r="BX658" s="2398">
        <v>43839888498</v>
      </c>
    </row>
    <row r="659" spans="2:76">
      <c r="B659" s="2564">
        <v>21161003</v>
      </c>
      <c r="C659" s="2565" t="s">
        <v>4303</v>
      </c>
      <c r="D659" s="2566">
        <v>0</v>
      </c>
      <c r="E659" s="1080">
        <v>0</v>
      </c>
      <c r="F659" s="2567">
        <v>0</v>
      </c>
      <c r="G659" s="2568">
        <v>0</v>
      </c>
      <c r="H659" s="2566">
        <v>0</v>
      </c>
      <c r="I659" s="2566">
        <v>0</v>
      </c>
      <c r="J659" s="2569">
        <v>0</v>
      </c>
      <c r="K659" s="2569">
        <v>0</v>
      </c>
      <c r="L659" s="2566">
        <v>0</v>
      </c>
      <c r="N659" s="2396">
        <v>21161003</v>
      </c>
      <c r="O659" s="2397" t="s">
        <v>4303</v>
      </c>
      <c r="P659" s="2398">
        <v>0</v>
      </c>
      <c r="Q659" s="2179">
        <v>0</v>
      </c>
      <c r="R659" s="2399">
        <v>0</v>
      </c>
      <c r="S659" s="2400">
        <v>0</v>
      </c>
      <c r="T659" s="2398">
        <v>0</v>
      </c>
      <c r="U659" s="2398">
        <v>0</v>
      </c>
      <c r="V659" s="2401">
        <v>0</v>
      </c>
      <c r="W659" s="2401">
        <v>0</v>
      </c>
      <c r="X659" s="2398">
        <v>0</v>
      </c>
      <c r="Z659" s="2396">
        <v>21161003</v>
      </c>
      <c r="AA659" s="2397" t="s">
        <v>4303</v>
      </c>
      <c r="AB659" s="2398">
        <v>0</v>
      </c>
      <c r="AC659" s="2179">
        <v>0</v>
      </c>
      <c r="AD659" s="2399">
        <v>0</v>
      </c>
      <c r="AE659" s="2400">
        <v>0</v>
      </c>
      <c r="AF659" s="2398">
        <v>0</v>
      </c>
      <c r="AG659" s="2398">
        <v>0</v>
      </c>
      <c r="AH659" s="2401">
        <v>0</v>
      </c>
      <c r="AI659" s="2401">
        <v>0</v>
      </c>
      <c r="AJ659" s="2398">
        <v>0</v>
      </c>
      <c r="AZ659" s="2396">
        <v>21161003</v>
      </c>
      <c r="BA659" s="2397" t="s">
        <v>4303</v>
      </c>
      <c r="BB659" s="2398">
        <v>0</v>
      </c>
      <c r="BC659" s="2179">
        <v>0</v>
      </c>
      <c r="BD659" s="2399">
        <v>0</v>
      </c>
      <c r="BE659" s="2400">
        <v>0</v>
      </c>
      <c r="BF659" s="2398">
        <v>0</v>
      </c>
      <c r="BG659" s="2398">
        <v>0</v>
      </c>
      <c r="BH659" s="2401">
        <v>0</v>
      </c>
      <c r="BI659" s="2401">
        <v>0</v>
      </c>
      <c r="BJ659" s="2398">
        <v>0</v>
      </c>
      <c r="BN659" s="2390">
        <v>21191600</v>
      </c>
      <c r="BO659" s="2403" t="s">
        <v>4314</v>
      </c>
      <c r="BP659" s="2392">
        <v>813392873</v>
      </c>
      <c r="BQ659" s="2392">
        <v>0</v>
      </c>
      <c r="BR659" s="2393">
        <v>0</v>
      </c>
      <c r="BS659" s="2394">
        <v>0</v>
      </c>
      <c r="BT659" s="2392">
        <v>0</v>
      </c>
      <c r="BU659" s="2392">
        <v>813392873</v>
      </c>
      <c r="BV659" s="2395">
        <v>0</v>
      </c>
      <c r="BW659" s="2395">
        <v>0</v>
      </c>
      <c r="BX659" s="2392">
        <v>813392873</v>
      </c>
    </row>
    <row r="660" spans="2:76">
      <c r="B660" s="2552">
        <v>21170000</v>
      </c>
      <c r="C660" s="2570" t="s">
        <v>4304</v>
      </c>
      <c r="D660" s="2554">
        <v>0</v>
      </c>
      <c r="E660" s="2554">
        <v>0</v>
      </c>
      <c r="F660" s="2555">
        <v>0</v>
      </c>
      <c r="G660" s="2556">
        <v>0</v>
      </c>
      <c r="H660" s="2554">
        <v>0</v>
      </c>
      <c r="I660" s="2554">
        <v>0</v>
      </c>
      <c r="J660" s="2557">
        <v>0</v>
      </c>
      <c r="K660" s="2557">
        <v>0</v>
      </c>
      <c r="L660" s="2554">
        <v>0</v>
      </c>
      <c r="N660" s="2384">
        <v>21170000</v>
      </c>
      <c r="O660" s="2402" t="s">
        <v>4304</v>
      </c>
      <c r="P660" s="2386">
        <v>0</v>
      </c>
      <c r="Q660" s="2386">
        <v>0</v>
      </c>
      <c r="R660" s="2387">
        <v>0</v>
      </c>
      <c r="S660" s="2388">
        <v>0</v>
      </c>
      <c r="T660" s="2386">
        <v>0</v>
      </c>
      <c r="U660" s="2386">
        <v>0</v>
      </c>
      <c r="V660" s="2389">
        <v>0</v>
      </c>
      <c r="W660" s="2389">
        <v>0</v>
      </c>
      <c r="X660" s="2386">
        <v>0</v>
      </c>
      <c r="Z660" s="2384">
        <v>21170000</v>
      </c>
      <c r="AA660" s="2402" t="s">
        <v>4304</v>
      </c>
      <c r="AB660" s="2386">
        <v>0</v>
      </c>
      <c r="AC660" s="2386">
        <v>0</v>
      </c>
      <c r="AD660" s="2387">
        <v>0</v>
      </c>
      <c r="AE660" s="2388">
        <v>0</v>
      </c>
      <c r="AF660" s="2386">
        <v>0</v>
      </c>
      <c r="AG660" s="2386">
        <v>0</v>
      </c>
      <c r="AH660" s="2389">
        <v>0</v>
      </c>
      <c r="AI660" s="2389">
        <v>0</v>
      </c>
      <c r="AJ660" s="2386">
        <v>0</v>
      </c>
      <c r="AZ660" s="2384">
        <v>21170000</v>
      </c>
      <c r="BA660" s="2402" t="s">
        <v>4304</v>
      </c>
      <c r="BB660" s="2386">
        <v>0</v>
      </c>
      <c r="BC660" s="2386">
        <v>0</v>
      </c>
      <c r="BD660" s="2387">
        <v>0</v>
      </c>
      <c r="BE660" s="2388">
        <v>0</v>
      </c>
      <c r="BF660" s="2386">
        <v>0</v>
      </c>
      <c r="BG660" s="2386">
        <v>0</v>
      </c>
      <c r="BH660" s="2389">
        <v>0</v>
      </c>
      <c r="BI660" s="2389">
        <v>0</v>
      </c>
      <c r="BJ660" s="2386">
        <v>0</v>
      </c>
      <c r="BN660" s="2396">
        <v>21191601</v>
      </c>
      <c r="BO660" s="2397" t="s">
        <v>4314</v>
      </c>
      <c r="BP660" s="2398">
        <v>813392873</v>
      </c>
      <c r="BQ660" s="2179">
        <v>0</v>
      </c>
      <c r="BR660" s="2399">
        <v>0</v>
      </c>
      <c r="BS660" s="2400">
        <v>0</v>
      </c>
      <c r="BT660" s="2398">
        <v>0</v>
      </c>
      <c r="BU660" s="2398">
        <v>813392873</v>
      </c>
      <c r="BV660" s="2401">
        <v>0</v>
      </c>
      <c r="BW660" s="2401">
        <v>0</v>
      </c>
      <c r="BX660" s="2398">
        <v>813392873</v>
      </c>
    </row>
    <row r="661" spans="2:76">
      <c r="B661" s="2558">
        <v>21171000</v>
      </c>
      <c r="C661" s="2571" t="s">
        <v>4304</v>
      </c>
      <c r="D661" s="2560">
        <v>0</v>
      </c>
      <c r="E661" s="2560">
        <v>0</v>
      </c>
      <c r="F661" s="2561">
        <v>0</v>
      </c>
      <c r="G661" s="2562">
        <v>0</v>
      </c>
      <c r="H661" s="2560">
        <v>0</v>
      </c>
      <c r="I661" s="2560">
        <v>0</v>
      </c>
      <c r="J661" s="2563">
        <v>0</v>
      </c>
      <c r="K661" s="2563">
        <v>0</v>
      </c>
      <c r="L661" s="2560">
        <v>0</v>
      </c>
      <c r="N661" s="2390">
        <v>21171000</v>
      </c>
      <c r="O661" s="2403" t="s">
        <v>4304</v>
      </c>
      <c r="P661" s="2392">
        <v>0</v>
      </c>
      <c r="Q661" s="2392">
        <v>0</v>
      </c>
      <c r="R661" s="2393">
        <v>0</v>
      </c>
      <c r="S661" s="2394">
        <v>0</v>
      </c>
      <c r="T661" s="2392">
        <v>0</v>
      </c>
      <c r="U661" s="2392">
        <v>0</v>
      </c>
      <c r="V661" s="2395">
        <v>0</v>
      </c>
      <c r="W661" s="2395">
        <v>0</v>
      </c>
      <c r="X661" s="2392">
        <v>0</v>
      </c>
      <c r="Z661" s="2390">
        <v>21171000</v>
      </c>
      <c r="AA661" s="2403" t="s">
        <v>4304</v>
      </c>
      <c r="AB661" s="2392">
        <v>0</v>
      </c>
      <c r="AC661" s="2392">
        <v>0</v>
      </c>
      <c r="AD661" s="2393">
        <v>0</v>
      </c>
      <c r="AE661" s="2394">
        <v>0</v>
      </c>
      <c r="AF661" s="2392">
        <v>0</v>
      </c>
      <c r="AG661" s="2392">
        <v>0</v>
      </c>
      <c r="AH661" s="2395">
        <v>0</v>
      </c>
      <c r="AI661" s="2395">
        <v>0</v>
      </c>
      <c r="AJ661" s="2392">
        <v>0</v>
      </c>
      <c r="AZ661" s="2390">
        <v>21171000</v>
      </c>
      <c r="BA661" s="2403" t="s">
        <v>4304</v>
      </c>
      <c r="BB661" s="2392">
        <v>0</v>
      </c>
      <c r="BC661" s="2392">
        <v>0</v>
      </c>
      <c r="BD661" s="2393">
        <v>0</v>
      </c>
      <c r="BE661" s="2394">
        <v>0</v>
      </c>
      <c r="BF661" s="2392">
        <v>0</v>
      </c>
      <c r="BG661" s="2392">
        <v>0</v>
      </c>
      <c r="BH661" s="2395">
        <v>0</v>
      </c>
      <c r="BI661" s="2395">
        <v>0</v>
      </c>
      <c r="BJ661" s="2392">
        <v>0</v>
      </c>
      <c r="BN661" s="2384">
        <v>21200000</v>
      </c>
      <c r="BO661" s="2402" t="s">
        <v>4321</v>
      </c>
      <c r="BP661" s="2386">
        <v>0</v>
      </c>
      <c r="BQ661" s="2386">
        <v>0</v>
      </c>
      <c r="BR661" s="2387">
        <v>0</v>
      </c>
      <c r="BS661" s="2388">
        <v>0</v>
      </c>
      <c r="BT661" s="2386">
        <v>0</v>
      </c>
      <c r="BU661" s="2386">
        <v>0</v>
      </c>
      <c r="BV661" s="2389">
        <v>0</v>
      </c>
      <c r="BW661" s="2389">
        <v>0</v>
      </c>
      <c r="BX661" s="2386">
        <v>0</v>
      </c>
    </row>
    <row r="662" spans="2:76">
      <c r="B662" s="2564">
        <v>21171001</v>
      </c>
      <c r="C662" s="2565" t="s">
        <v>4304</v>
      </c>
      <c r="D662" s="2566">
        <v>0</v>
      </c>
      <c r="E662" s="1080">
        <v>0</v>
      </c>
      <c r="F662" s="2567">
        <v>0</v>
      </c>
      <c r="G662" s="2568">
        <v>0</v>
      </c>
      <c r="H662" s="2566">
        <v>0</v>
      </c>
      <c r="I662" s="2566">
        <v>0</v>
      </c>
      <c r="J662" s="2569">
        <v>0</v>
      </c>
      <c r="K662" s="2569">
        <v>0</v>
      </c>
      <c r="L662" s="2566">
        <v>0</v>
      </c>
      <c r="N662" s="2396">
        <v>21171001</v>
      </c>
      <c r="O662" s="2397" t="s">
        <v>4304</v>
      </c>
      <c r="P662" s="2398">
        <v>0</v>
      </c>
      <c r="Q662" s="2179">
        <v>0</v>
      </c>
      <c r="R662" s="2399">
        <v>0</v>
      </c>
      <c r="S662" s="2400">
        <v>0</v>
      </c>
      <c r="T662" s="2398">
        <v>0</v>
      </c>
      <c r="U662" s="2398">
        <v>0</v>
      </c>
      <c r="V662" s="2401">
        <v>0</v>
      </c>
      <c r="W662" s="2401">
        <v>0</v>
      </c>
      <c r="X662" s="2398">
        <v>0</v>
      </c>
      <c r="Z662" s="2396">
        <v>21171001</v>
      </c>
      <c r="AA662" s="2397" t="s">
        <v>4304</v>
      </c>
      <c r="AB662" s="2398">
        <v>0</v>
      </c>
      <c r="AC662" s="2179">
        <v>0</v>
      </c>
      <c r="AD662" s="2399">
        <v>0</v>
      </c>
      <c r="AE662" s="2400">
        <v>0</v>
      </c>
      <c r="AF662" s="2398">
        <v>0</v>
      </c>
      <c r="AG662" s="2398">
        <v>0</v>
      </c>
      <c r="AH662" s="2401">
        <v>0</v>
      </c>
      <c r="AI662" s="2401">
        <v>0</v>
      </c>
      <c r="AJ662" s="2398">
        <v>0</v>
      </c>
      <c r="AZ662" s="2396">
        <v>21171001</v>
      </c>
      <c r="BA662" s="2397" t="s">
        <v>4304</v>
      </c>
      <c r="BB662" s="2398">
        <v>0</v>
      </c>
      <c r="BC662" s="2179">
        <v>0</v>
      </c>
      <c r="BD662" s="2399">
        <v>0</v>
      </c>
      <c r="BE662" s="2400">
        <v>0</v>
      </c>
      <c r="BF662" s="2398">
        <v>0</v>
      </c>
      <c r="BG662" s="2398">
        <v>0</v>
      </c>
      <c r="BH662" s="2401">
        <v>0</v>
      </c>
      <c r="BI662" s="2401">
        <v>0</v>
      </c>
      <c r="BJ662" s="2398">
        <v>0</v>
      </c>
      <c r="BN662" s="2390">
        <v>21201000</v>
      </c>
      <c r="BO662" s="2403" t="s">
        <v>4322</v>
      </c>
      <c r="BP662" s="2392">
        <v>0</v>
      </c>
      <c r="BQ662" s="2392">
        <v>0</v>
      </c>
      <c r="BR662" s="2393">
        <v>0</v>
      </c>
      <c r="BS662" s="2394">
        <v>0</v>
      </c>
      <c r="BT662" s="2392">
        <v>0</v>
      </c>
      <c r="BU662" s="2392">
        <v>0</v>
      </c>
      <c r="BV662" s="2395">
        <v>0</v>
      </c>
      <c r="BW662" s="2395">
        <v>0</v>
      </c>
      <c r="BX662" s="2392">
        <v>0</v>
      </c>
    </row>
    <row r="663" spans="2:76">
      <c r="B663" s="2552">
        <v>21180000</v>
      </c>
      <c r="C663" s="2570" t="s">
        <v>4305</v>
      </c>
      <c r="D663" s="2554">
        <v>119067648</v>
      </c>
      <c r="E663" s="2554">
        <v>0</v>
      </c>
      <c r="F663" s="2555">
        <v>0</v>
      </c>
      <c r="G663" s="2556">
        <v>0</v>
      </c>
      <c r="H663" s="2554">
        <v>0</v>
      </c>
      <c r="I663" s="2554">
        <v>119067648</v>
      </c>
      <c r="J663" s="2557">
        <v>0</v>
      </c>
      <c r="K663" s="2557">
        <v>0</v>
      </c>
      <c r="L663" s="2554">
        <v>119067648</v>
      </c>
      <c r="N663" s="2384">
        <v>21180000</v>
      </c>
      <c r="O663" s="2402" t="s">
        <v>4305</v>
      </c>
      <c r="P663" s="2386">
        <v>103413653</v>
      </c>
      <c r="Q663" s="2386">
        <v>0</v>
      </c>
      <c r="R663" s="2387">
        <v>0</v>
      </c>
      <c r="S663" s="2388">
        <v>0</v>
      </c>
      <c r="T663" s="2386">
        <v>0</v>
      </c>
      <c r="U663" s="2386">
        <v>103413653</v>
      </c>
      <c r="V663" s="2389">
        <v>0</v>
      </c>
      <c r="W663" s="2389">
        <v>0</v>
      </c>
      <c r="X663" s="2386">
        <v>103413653</v>
      </c>
      <c r="Z663" s="2384">
        <v>21180000</v>
      </c>
      <c r="AA663" s="2402" t="s">
        <v>4305</v>
      </c>
      <c r="AB663" s="2386">
        <v>1880161988</v>
      </c>
      <c r="AC663" s="2386">
        <v>0</v>
      </c>
      <c r="AD663" s="2387">
        <v>0</v>
      </c>
      <c r="AE663" s="2388">
        <v>0</v>
      </c>
      <c r="AF663" s="2386">
        <v>0</v>
      </c>
      <c r="AG663" s="2386">
        <v>1880161988</v>
      </c>
      <c r="AH663" s="2389">
        <v>0</v>
      </c>
      <c r="AI663" s="2389">
        <v>0</v>
      </c>
      <c r="AJ663" s="2386">
        <v>1880161988</v>
      </c>
      <c r="AZ663" s="2384">
        <v>21180000</v>
      </c>
      <c r="BA663" s="2402" t="s">
        <v>4305</v>
      </c>
      <c r="BB663" s="2386">
        <v>1278692889</v>
      </c>
      <c r="BC663" s="2386">
        <v>0</v>
      </c>
      <c r="BD663" s="2387">
        <v>0</v>
      </c>
      <c r="BE663" s="2388">
        <v>0</v>
      </c>
      <c r="BF663" s="2386">
        <v>0</v>
      </c>
      <c r="BG663" s="2386">
        <v>1278692889</v>
      </c>
      <c r="BH663" s="2389">
        <v>0</v>
      </c>
      <c r="BI663" s="2389">
        <v>0</v>
      </c>
      <c r="BJ663" s="2386">
        <v>1278692889</v>
      </c>
      <c r="BN663" s="2396">
        <v>21201001</v>
      </c>
      <c r="BO663" s="2397" t="s">
        <v>4322</v>
      </c>
      <c r="BP663" s="2398">
        <v>0</v>
      </c>
      <c r="BQ663" s="2179">
        <v>0</v>
      </c>
      <c r="BR663" s="2399">
        <v>0</v>
      </c>
      <c r="BS663" s="2400">
        <v>0</v>
      </c>
      <c r="BT663" s="2398">
        <v>0</v>
      </c>
      <c r="BU663" s="2398">
        <v>0</v>
      </c>
      <c r="BV663" s="2401">
        <v>0</v>
      </c>
      <c r="BW663" s="2401">
        <v>0</v>
      </c>
      <c r="BX663" s="2398">
        <v>0</v>
      </c>
    </row>
    <row r="664" spans="2:76">
      <c r="B664" s="2558">
        <v>21181000</v>
      </c>
      <c r="C664" s="2571" t="s">
        <v>4306</v>
      </c>
      <c r="D664" s="2560">
        <v>0</v>
      </c>
      <c r="E664" s="2560">
        <v>0</v>
      </c>
      <c r="F664" s="2561">
        <v>0</v>
      </c>
      <c r="G664" s="2562">
        <v>0</v>
      </c>
      <c r="H664" s="2560">
        <v>0</v>
      </c>
      <c r="I664" s="2560">
        <v>0</v>
      </c>
      <c r="J664" s="2563">
        <v>0</v>
      </c>
      <c r="K664" s="2563">
        <v>0</v>
      </c>
      <c r="L664" s="2560">
        <v>0</v>
      </c>
      <c r="N664" s="2390">
        <v>21181000</v>
      </c>
      <c r="O664" s="2403" t="s">
        <v>4306</v>
      </c>
      <c r="P664" s="2392">
        <v>0</v>
      </c>
      <c r="Q664" s="2392">
        <v>0</v>
      </c>
      <c r="R664" s="2393">
        <v>0</v>
      </c>
      <c r="S664" s="2394">
        <v>0</v>
      </c>
      <c r="T664" s="2392">
        <v>0</v>
      </c>
      <c r="U664" s="2392">
        <v>0</v>
      </c>
      <c r="V664" s="2395">
        <v>0</v>
      </c>
      <c r="W664" s="2395">
        <v>0</v>
      </c>
      <c r="X664" s="2392">
        <v>0</v>
      </c>
      <c r="Z664" s="2390">
        <v>21181000</v>
      </c>
      <c r="AA664" s="2403" t="s">
        <v>4306</v>
      </c>
      <c r="AB664" s="2392">
        <v>0</v>
      </c>
      <c r="AC664" s="2392">
        <v>0</v>
      </c>
      <c r="AD664" s="2393">
        <v>0</v>
      </c>
      <c r="AE664" s="2394">
        <v>0</v>
      </c>
      <c r="AF664" s="2392">
        <v>0</v>
      </c>
      <c r="AG664" s="2392">
        <v>0</v>
      </c>
      <c r="AH664" s="2395">
        <v>0</v>
      </c>
      <c r="AI664" s="2395">
        <v>0</v>
      </c>
      <c r="AJ664" s="2392">
        <v>0</v>
      </c>
      <c r="AZ664" s="2390">
        <v>21181000</v>
      </c>
      <c r="BA664" s="2403" t="s">
        <v>4306</v>
      </c>
      <c r="BB664" s="2392">
        <v>0</v>
      </c>
      <c r="BC664" s="2392">
        <v>0</v>
      </c>
      <c r="BD664" s="2393">
        <v>0</v>
      </c>
      <c r="BE664" s="2394">
        <v>0</v>
      </c>
      <c r="BF664" s="2392">
        <v>0</v>
      </c>
      <c r="BG664" s="2392">
        <v>0</v>
      </c>
      <c r="BH664" s="2395">
        <v>0</v>
      </c>
      <c r="BI664" s="2395">
        <v>0</v>
      </c>
      <c r="BJ664" s="2392">
        <v>0</v>
      </c>
      <c r="BN664" s="2390">
        <v>21201100</v>
      </c>
      <c r="BO664" s="2403" t="s">
        <v>4321</v>
      </c>
      <c r="BP664" s="2392">
        <v>0</v>
      </c>
      <c r="BQ664" s="2392">
        <v>0</v>
      </c>
      <c r="BR664" s="2393">
        <v>0</v>
      </c>
      <c r="BS664" s="2394">
        <v>0</v>
      </c>
      <c r="BT664" s="2392">
        <v>0</v>
      </c>
      <c r="BU664" s="2392">
        <v>0</v>
      </c>
      <c r="BV664" s="2395">
        <v>0</v>
      </c>
      <c r="BW664" s="2395">
        <v>0</v>
      </c>
      <c r="BX664" s="2392">
        <v>0</v>
      </c>
    </row>
    <row r="665" spans="2:76">
      <c r="B665" s="2564">
        <v>21181001</v>
      </c>
      <c r="C665" s="2565" t="s">
        <v>4306</v>
      </c>
      <c r="D665" s="2566">
        <v>0</v>
      </c>
      <c r="E665" s="1080">
        <v>0</v>
      </c>
      <c r="F665" s="2567">
        <v>0</v>
      </c>
      <c r="G665" s="2568">
        <v>0</v>
      </c>
      <c r="H665" s="2566">
        <v>0</v>
      </c>
      <c r="I665" s="2566">
        <v>0</v>
      </c>
      <c r="J665" s="2569">
        <v>0</v>
      </c>
      <c r="K665" s="2569">
        <v>0</v>
      </c>
      <c r="L665" s="2566">
        <v>0</v>
      </c>
      <c r="N665" s="2396">
        <v>21181001</v>
      </c>
      <c r="O665" s="2397" t="s">
        <v>4306</v>
      </c>
      <c r="P665" s="2398">
        <v>0</v>
      </c>
      <c r="Q665" s="2179">
        <v>0</v>
      </c>
      <c r="R665" s="2399">
        <v>0</v>
      </c>
      <c r="S665" s="2400">
        <v>0</v>
      </c>
      <c r="T665" s="2398">
        <v>0</v>
      </c>
      <c r="U665" s="2398">
        <v>0</v>
      </c>
      <c r="V665" s="2401">
        <v>0</v>
      </c>
      <c r="W665" s="2401">
        <v>0</v>
      </c>
      <c r="X665" s="2398">
        <v>0</v>
      </c>
      <c r="Z665" s="2396">
        <v>21181001</v>
      </c>
      <c r="AA665" s="2397" t="s">
        <v>4306</v>
      </c>
      <c r="AB665" s="2398">
        <v>0</v>
      </c>
      <c r="AC665" s="2179">
        <v>0</v>
      </c>
      <c r="AD665" s="2399">
        <v>0</v>
      </c>
      <c r="AE665" s="2400">
        <v>0</v>
      </c>
      <c r="AF665" s="2398">
        <v>0</v>
      </c>
      <c r="AG665" s="2398">
        <v>0</v>
      </c>
      <c r="AH665" s="2401">
        <v>0</v>
      </c>
      <c r="AI665" s="2401">
        <v>0</v>
      </c>
      <c r="AJ665" s="2398">
        <v>0</v>
      </c>
      <c r="AZ665" s="2396">
        <v>21181001</v>
      </c>
      <c r="BA665" s="2397" t="s">
        <v>4306</v>
      </c>
      <c r="BB665" s="2398">
        <v>0</v>
      </c>
      <c r="BC665" s="2179">
        <v>0</v>
      </c>
      <c r="BD665" s="2399">
        <v>0</v>
      </c>
      <c r="BE665" s="2400">
        <v>0</v>
      </c>
      <c r="BF665" s="2398">
        <v>0</v>
      </c>
      <c r="BG665" s="2398">
        <v>0</v>
      </c>
      <c r="BH665" s="2401">
        <v>0</v>
      </c>
      <c r="BI665" s="2401">
        <v>0</v>
      </c>
      <c r="BJ665" s="2398">
        <v>0</v>
      </c>
      <c r="BN665" s="2396">
        <v>21201101</v>
      </c>
      <c r="BO665" s="2397" t="s">
        <v>4323</v>
      </c>
      <c r="BP665" s="2398">
        <v>0</v>
      </c>
      <c r="BQ665" s="2179">
        <v>0</v>
      </c>
      <c r="BR665" s="2399">
        <v>0</v>
      </c>
      <c r="BS665" s="2400">
        <v>0</v>
      </c>
      <c r="BT665" s="2398">
        <v>0</v>
      </c>
      <c r="BU665" s="2398">
        <v>0</v>
      </c>
      <c r="BV665" s="2401">
        <v>0</v>
      </c>
      <c r="BW665" s="2401">
        <v>0</v>
      </c>
      <c r="BX665" s="2398">
        <v>0</v>
      </c>
    </row>
    <row r="666" spans="2:76">
      <c r="B666" s="2558">
        <v>21181100</v>
      </c>
      <c r="C666" s="2571" t="s">
        <v>4307</v>
      </c>
      <c r="D666" s="2560">
        <v>0</v>
      </c>
      <c r="E666" s="2560">
        <v>0</v>
      </c>
      <c r="F666" s="2561">
        <v>0</v>
      </c>
      <c r="G666" s="2562">
        <v>0</v>
      </c>
      <c r="H666" s="2560">
        <v>0</v>
      </c>
      <c r="I666" s="2560">
        <v>0</v>
      </c>
      <c r="J666" s="2563">
        <v>0</v>
      </c>
      <c r="K666" s="2563">
        <v>0</v>
      </c>
      <c r="L666" s="2560">
        <v>0</v>
      </c>
      <c r="N666" s="2390">
        <v>21181100</v>
      </c>
      <c r="O666" s="2403" t="s">
        <v>4307</v>
      </c>
      <c r="P666" s="2392">
        <v>0</v>
      </c>
      <c r="Q666" s="2392">
        <v>0</v>
      </c>
      <c r="R666" s="2393">
        <v>0</v>
      </c>
      <c r="S666" s="2394">
        <v>0</v>
      </c>
      <c r="T666" s="2392">
        <v>0</v>
      </c>
      <c r="U666" s="2392">
        <v>0</v>
      </c>
      <c r="V666" s="2395">
        <v>0</v>
      </c>
      <c r="W666" s="2395">
        <v>0</v>
      </c>
      <c r="X666" s="2392">
        <v>0</v>
      </c>
      <c r="Z666" s="2390">
        <v>21181100</v>
      </c>
      <c r="AA666" s="2403" t="s">
        <v>4307</v>
      </c>
      <c r="AB666" s="2392">
        <v>0</v>
      </c>
      <c r="AC666" s="2392">
        <v>0</v>
      </c>
      <c r="AD666" s="2393">
        <v>0</v>
      </c>
      <c r="AE666" s="2394">
        <v>0</v>
      </c>
      <c r="AF666" s="2392">
        <v>0</v>
      </c>
      <c r="AG666" s="2392">
        <v>0</v>
      </c>
      <c r="AH666" s="2395">
        <v>0</v>
      </c>
      <c r="AI666" s="2395">
        <v>0</v>
      </c>
      <c r="AJ666" s="2392">
        <v>0</v>
      </c>
      <c r="AZ666" s="2390">
        <v>21181100</v>
      </c>
      <c r="BA666" s="2403" t="s">
        <v>4307</v>
      </c>
      <c r="BB666" s="2392">
        <v>0</v>
      </c>
      <c r="BC666" s="2392">
        <v>0</v>
      </c>
      <c r="BD666" s="2393">
        <v>0</v>
      </c>
      <c r="BE666" s="2394">
        <v>0</v>
      </c>
      <c r="BF666" s="2392">
        <v>0</v>
      </c>
      <c r="BG666" s="2392">
        <v>0</v>
      </c>
      <c r="BH666" s="2395">
        <v>0</v>
      </c>
      <c r="BI666" s="2395">
        <v>0</v>
      </c>
      <c r="BJ666" s="2392">
        <v>0</v>
      </c>
      <c r="BN666" s="2384">
        <v>21210000</v>
      </c>
      <c r="BO666" s="2402" t="s">
        <v>4324</v>
      </c>
      <c r="BP666" s="2386">
        <v>0</v>
      </c>
      <c r="BQ666" s="2386">
        <v>0</v>
      </c>
      <c r="BR666" s="2387">
        <v>0</v>
      </c>
      <c r="BS666" s="2388">
        <v>0</v>
      </c>
      <c r="BT666" s="2386">
        <v>0</v>
      </c>
      <c r="BU666" s="2386">
        <v>0</v>
      </c>
      <c r="BV666" s="2389">
        <v>0</v>
      </c>
      <c r="BW666" s="2389">
        <v>0</v>
      </c>
      <c r="BX666" s="2386">
        <v>0</v>
      </c>
    </row>
    <row r="667" spans="2:76">
      <c r="B667" s="2564">
        <v>21181101</v>
      </c>
      <c r="C667" s="2565" t="s">
        <v>4308</v>
      </c>
      <c r="D667" s="2566">
        <v>0</v>
      </c>
      <c r="E667" s="1080">
        <v>0</v>
      </c>
      <c r="F667" s="2567">
        <v>0</v>
      </c>
      <c r="G667" s="2568">
        <v>0</v>
      </c>
      <c r="H667" s="2566">
        <v>0</v>
      </c>
      <c r="I667" s="2566">
        <v>0</v>
      </c>
      <c r="J667" s="2569">
        <v>0</v>
      </c>
      <c r="K667" s="2569">
        <v>0</v>
      </c>
      <c r="L667" s="2566">
        <v>0</v>
      </c>
      <c r="N667" s="2396">
        <v>21181101</v>
      </c>
      <c r="O667" s="2397" t="s">
        <v>4308</v>
      </c>
      <c r="P667" s="2398">
        <v>0</v>
      </c>
      <c r="Q667" s="2179">
        <v>0</v>
      </c>
      <c r="R667" s="2399">
        <v>0</v>
      </c>
      <c r="S667" s="2400">
        <v>0</v>
      </c>
      <c r="T667" s="2398">
        <v>0</v>
      </c>
      <c r="U667" s="2398">
        <v>0</v>
      </c>
      <c r="V667" s="2401">
        <v>0</v>
      </c>
      <c r="W667" s="2401">
        <v>0</v>
      </c>
      <c r="X667" s="2398">
        <v>0</v>
      </c>
      <c r="Z667" s="2396">
        <v>21181101</v>
      </c>
      <c r="AA667" s="2397" t="s">
        <v>4308</v>
      </c>
      <c r="AB667" s="2398">
        <v>0</v>
      </c>
      <c r="AC667" s="2179">
        <v>0</v>
      </c>
      <c r="AD667" s="2399">
        <v>0</v>
      </c>
      <c r="AE667" s="2400">
        <v>0</v>
      </c>
      <c r="AF667" s="2398">
        <v>0</v>
      </c>
      <c r="AG667" s="2398">
        <v>0</v>
      </c>
      <c r="AH667" s="2401">
        <v>0</v>
      </c>
      <c r="AI667" s="2401">
        <v>0</v>
      </c>
      <c r="AJ667" s="2398">
        <v>0</v>
      </c>
      <c r="AZ667" s="2396">
        <v>21181101</v>
      </c>
      <c r="BA667" s="2397" t="s">
        <v>4308</v>
      </c>
      <c r="BB667" s="2398">
        <v>0</v>
      </c>
      <c r="BC667" s="2179">
        <v>0</v>
      </c>
      <c r="BD667" s="2399">
        <v>0</v>
      </c>
      <c r="BE667" s="2400">
        <v>0</v>
      </c>
      <c r="BF667" s="2398">
        <v>0</v>
      </c>
      <c r="BG667" s="2398">
        <v>0</v>
      </c>
      <c r="BH667" s="2401">
        <v>0</v>
      </c>
      <c r="BI667" s="2401">
        <v>0</v>
      </c>
      <c r="BJ667" s="2398">
        <v>0</v>
      </c>
      <c r="BN667" s="2390">
        <v>21211000</v>
      </c>
      <c r="BO667" s="2403" t="s">
        <v>4324</v>
      </c>
      <c r="BP667" s="2392">
        <v>0</v>
      </c>
      <c r="BQ667" s="2392">
        <v>0</v>
      </c>
      <c r="BR667" s="2393">
        <v>0</v>
      </c>
      <c r="BS667" s="2394">
        <v>0</v>
      </c>
      <c r="BT667" s="2392">
        <v>0</v>
      </c>
      <c r="BU667" s="2392">
        <v>0</v>
      </c>
      <c r="BV667" s="2395">
        <v>0</v>
      </c>
      <c r="BW667" s="2395">
        <v>0</v>
      </c>
      <c r="BX667" s="2392">
        <v>0</v>
      </c>
    </row>
    <row r="668" spans="2:76">
      <c r="B668" s="2558">
        <v>21181200</v>
      </c>
      <c r="C668" s="2571" t="s">
        <v>4309</v>
      </c>
      <c r="D668" s="2560">
        <v>0</v>
      </c>
      <c r="E668" s="2560">
        <v>0</v>
      </c>
      <c r="F668" s="2561">
        <v>0</v>
      </c>
      <c r="G668" s="2562">
        <v>0</v>
      </c>
      <c r="H668" s="2560">
        <v>0</v>
      </c>
      <c r="I668" s="2560">
        <v>0</v>
      </c>
      <c r="J668" s="2563">
        <v>0</v>
      </c>
      <c r="K668" s="2563">
        <v>0</v>
      </c>
      <c r="L668" s="2560">
        <v>0</v>
      </c>
      <c r="N668" s="2390">
        <v>21181200</v>
      </c>
      <c r="O668" s="2403" t="s">
        <v>4309</v>
      </c>
      <c r="P668" s="2392">
        <v>0</v>
      </c>
      <c r="Q668" s="2392">
        <v>0</v>
      </c>
      <c r="R668" s="2393">
        <v>0</v>
      </c>
      <c r="S668" s="2394">
        <v>0</v>
      </c>
      <c r="T668" s="2392">
        <v>0</v>
      </c>
      <c r="U668" s="2392">
        <v>0</v>
      </c>
      <c r="V668" s="2395">
        <v>0</v>
      </c>
      <c r="W668" s="2395">
        <v>0</v>
      </c>
      <c r="X668" s="2392">
        <v>0</v>
      </c>
      <c r="Z668" s="2390">
        <v>21181200</v>
      </c>
      <c r="AA668" s="2403" t="s">
        <v>4309</v>
      </c>
      <c r="AB668" s="2392">
        <v>0</v>
      </c>
      <c r="AC668" s="2392">
        <v>0</v>
      </c>
      <c r="AD668" s="2393">
        <v>0</v>
      </c>
      <c r="AE668" s="2394">
        <v>0</v>
      </c>
      <c r="AF668" s="2392">
        <v>0</v>
      </c>
      <c r="AG668" s="2392">
        <v>0</v>
      </c>
      <c r="AH668" s="2395">
        <v>0</v>
      </c>
      <c r="AI668" s="2395">
        <v>0</v>
      </c>
      <c r="AJ668" s="2392">
        <v>0</v>
      </c>
      <c r="AZ668" s="2390">
        <v>21181200</v>
      </c>
      <c r="BA668" s="2403" t="s">
        <v>4309</v>
      </c>
      <c r="BB668" s="2392">
        <v>0</v>
      </c>
      <c r="BC668" s="2392">
        <v>0</v>
      </c>
      <c r="BD668" s="2393">
        <v>0</v>
      </c>
      <c r="BE668" s="2394">
        <v>0</v>
      </c>
      <c r="BF668" s="2392">
        <v>0</v>
      </c>
      <c r="BG668" s="2392">
        <v>0</v>
      </c>
      <c r="BH668" s="2395">
        <v>0</v>
      </c>
      <c r="BI668" s="2395">
        <v>0</v>
      </c>
      <c r="BJ668" s="2392">
        <v>0</v>
      </c>
      <c r="BN668" s="2396">
        <v>21211001</v>
      </c>
      <c r="BO668" s="2397" t="s">
        <v>4324</v>
      </c>
      <c r="BP668" s="2398">
        <v>0</v>
      </c>
      <c r="BQ668" s="2179">
        <v>0</v>
      </c>
      <c r="BR668" s="2399">
        <v>0</v>
      </c>
      <c r="BS668" s="2400">
        <v>0</v>
      </c>
      <c r="BT668" s="2398">
        <v>0</v>
      </c>
      <c r="BU668" s="2398">
        <v>0</v>
      </c>
      <c r="BV668" s="2401">
        <v>0</v>
      </c>
      <c r="BW668" s="2401">
        <v>0</v>
      </c>
      <c r="BX668" s="2398">
        <v>0</v>
      </c>
    </row>
    <row r="669" spans="2:76">
      <c r="B669" s="2564">
        <v>21181201</v>
      </c>
      <c r="C669" s="2565" t="s">
        <v>4310</v>
      </c>
      <c r="D669" s="2566">
        <v>0</v>
      </c>
      <c r="E669" s="1080">
        <v>0</v>
      </c>
      <c r="F669" s="2567">
        <v>0</v>
      </c>
      <c r="G669" s="2568">
        <v>0</v>
      </c>
      <c r="H669" s="2566">
        <v>0</v>
      </c>
      <c r="I669" s="2566">
        <v>0</v>
      </c>
      <c r="J669" s="2569">
        <v>0</v>
      </c>
      <c r="K669" s="2569">
        <v>0</v>
      </c>
      <c r="L669" s="2566">
        <v>0</v>
      </c>
      <c r="N669" s="2396">
        <v>21181201</v>
      </c>
      <c r="O669" s="2397" t="s">
        <v>4310</v>
      </c>
      <c r="P669" s="2398">
        <v>0</v>
      </c>
      <c r="Q669" s="2179">
        <v>0</v>
      </c>
      <c r="R669" s="2399">
        <v>0</v>
      </c>
      <c r="S669" s="2400">
        <v>0</v>
      </c>
      <c r="T669" s="2398">
        <v>0</v>
      </c>
      <c r="U669" s="2398">
        <v>0</v>
      </c>
      <c r="V669" s="2401">
        <v>0</v>
      </c>
      <c r="W669" s="2401">
        <v>0</v>
      </c>
      <c r="X669" s="2398">
        <v>0</v>
      </c>
      <c r="Z669" s="2396">
        <v>21181201</v>
      </c>
      <c r="AA669" s="2397" t="s">
        <v>4310</v>
      </c>
      <c r="AB669" s="2398">
        <v>0</v>
      </c>
      <c r="AC669" s="2179">
        <v>0</v>
      </c>
      <c r="AD669" s="2399">
        <v>0</v>
      </c>
      <c r="AE669" s="2400">
        <v>0</v>
      </c>
      <c r="AF669" s="2398">
        <v>0</v>
      </c>
      <c r="AG669" s="2398">
        <v>0</v>
      </c>
      <c r="AH669" s="2401">
        <v>0</v>
      </c>
      <c r="AI669" s="2401">
        <v>0</v>
      </c>
      <c r="AJ669" s="2398">
        <v>0</v>
      </c>
      <c r="AZ669" s="2396">
        <v>21181201</v>
      </c>
      <c r="BA669" s="2397" t="s">
        <v>4310</v>
      </c>
      <c r="BB669" s="2398">
        <v>0</v>
      </c>
      <c r="BC669" s="2179">
        <v>0</v>
      </c>
      <c r="BD669" s="2399">
        <v>0</v>
      </c>
      <c r="BE669" s="2400">
        <v>0</v>
      </c>
      <c r="BF669" s="2398">
        <v>0</v>
      </c>
      <c r="BG669" s="2398">
        <v>0</v>
      </c>
      <c r="BH669" s="2401">
        <v>0</v>
      </c>
      <c r="BI669" s="2401">
        <v>0</v>
      </c>
      <c r="BJ669" s="2398">
        <v>0</v>
      </c>
      <c r="BN669" s="2378">
        <v>22000000</v>
      </c>
      <c r="BO669" s="2379" t="s">
        <v>4325</v>
      </c>
      <c r="BP669" s="2380">
        <v>20720125948</v>
      </c>
      <c r="BQ669" s="2380">
        <v>1658067965</v>
      </c>
      <c r="BR669" s="2381">
        <v>3092930541</v>
      </c>
      <c r="BS669" s="2382">
        <v>1478117059</v>
      </c>
      <c r="BT669" s="2380">
        <v>52662767</v>
      </c>
      <c r="BU669" s="2380">
        <v>27001904280</v>
      </c>
      <c r="BV669" s="2383">
        <v>0</v>
      </c>
      <c r="BW669" s="2383">
        <v>0</v>
      </c>
      <c r="BX669" s="2380">
        <v>27001904280</v>
      </c>
    </row>
    <row r="670" spans="2:76">
      <c r="B670" s="2558">
        <v>21181300</v>
      </c>
      <c r="C670" s="2571" t="s">
        <v>4311</v>
      </c>
      <c r="D670" s="2560">
        <v>0</v>
      </c>
      <c r="E670" s="2560">
        <v>0</v>
      </c>
      <c r="F670" s="2561">
        <v>0</v>
      </c>
      <c r="G670" s="2562">
        <v>0</v>
      </c>
      <c r="H670" s="2560">
        <v>0</v>
      </c>
      <c r="I670" s="2560">
        <v>0</v>
      </c>
      <c r="J670" s="2563">
        <v>0</v>
      </c>
      <c r="K670" s="2563">
        <v>0</v>
      </c>
      <c r="L670" s="2560">
        <v>0</v>
      </c>
      <c r="N670" s="2390">
        <v>21181300</v>
      </c>
      <c r="O670" s="2403" t="s">
        <v>4311</v>
      </c>
      <c r="P670" s="2392">
        <v>0</v>
      </c>
      <c r="Q670" s="2392">
        <v>0</v>
      </c>
      <c r="R670" s="2393">
        <v>0</v>
      </c>
      <c r="S670" s="2394">
        <v>0</v>
      </c>
      <c r="T670" s="2392">
        <v>0</v>
      </c>
      <c r="U670" s="2392">
        <v>0</v>
      </c>
      <c r="V670" s="2395">
        <v>0</v>
      </c>
      <c r="W670" s="2395">
        <v>0</v>
      </c>
      <c r="X670" s="2392">
        <v>0</v>
      </c>
      <c r="Z670" s="2390">
        <v>21181300</v>
      </c>
      <c r="AA670" s="2403" t="s">
        <v>4311</v>
      </c>
      <c r="AB670" s="2392">
        <v>0</v>
      </c>
      <c r="AC670" s="2392">
        <v>0</v>
      </c>
      <c r="AD670" s="2393">
        <v>0</v>
      </c>
      <c r="AE670" s="2394">
        <v>0</v>
      </c>
      <c r="AF670" s="2392">
        <v>0</v>
      </c>
      <c r="AG670" s="2392">
        <v>0</v>
      </c>
      <c r="AH670" s="2395">
        <v>0</v>
      </c>
      <c r="AI670" s="2395">
        <v>0</v>
      </c>
      <c r="AJ670" s="2392">
        <v>0</v>
      </c>
      <c r="AZ670" s="2390">
        <v>21181300</v>
      </c>
      <c r="BA670" s="2403" t="s">
        <v>4311</v>
      </c>
      <c r="BB670" s="2392">
        <v>0</v>
      </c>
      <c r="BC670" s="2392">
        <v>0</v>
      </c>
      <c r="BD670" s="2393">
        <v>0</v>
      </c>
      <c r="BE670" s="2394">
        <v>0</v>
      </c>
      <c r="BF670" s="2392">
        <v>0</v>
      </c>
      <c r="BG670" s="2392">
        <v>0</v>
      </c>
      <c r="BH670" s="2395">
        <v>0</v>
      </c>
      <c r="BI670" s="2395">
        <v>0</v>
      </c>
      <c r="BJ670" s="2392">
        <v>0</v>
      </c>
      <c r="BN670" s="2384">
        <v>22100000</v>
      </c>
      <c r="BO670" s="2402" t="s">
        <v>4326</v>
      </c>
      <c r="BP670" s="2386">
        <v>3653144879</v>
      </c>
      <c r="BQ670" s="2386">
        <v>0</v>
      </c>
      <c r="BR670" s="2387">
        <v>0</v>
      </c>
      <c r="BS670" s="2388">
        <v>0</v>
      </c>
      <c r="BT670" s="2386">
        <v>0</v>
      </c>
      <c r="BU670" s="2386">
        <v>3653144879</v>
      </c>
      <c r="BV670" s="2389">
        <v>0</v>
      </c>
      <c r="BW670" s="2389">
        <v>0</v>
      </c>
      <c r="BX670" s="2386">
        <v>3653144879</v>
      </c>
    </row>
    <row r="671" spans="2:76">
      <c r="B671" s="2564">
        <v>21181301</v>
      </c>
      <c r="C671" s="2565" t="s">
        <v>4311</v>
      </c>
      <c r="D671" s="2566">
        <v>0</v>
      </c>
      <c r="E671" s="1080">
        <v>0</v>
      </c>
      <c r="F671" s="2567">
        <v>0</v>
      </c>
      <c r="G671" s="2568">
        <v>0</v>
      </c>
      <c r="H671" s="2566">
        <v>0</v>
      </c>
      <c r="I671" s="2566">
        <v>0</v>
      </c>
      <c r="J671" s="2569">
        <v>0</v>
      </c>
      <c r="K671" s="2569">
        <v>0</v>
      </c>
      <c r="L671" s="2566">
        <v>0</v>
      </c>
      <c r="N671" s="2396">
        <v>21181301</v>
      </c>
      <c r="O671" s="2397" t="s">
        <v>4311</v>
      </c>
      <c r="P671" s="2398">
        <v>0</v>
      </c>
      <c r="Q671" s="2179">
        <v>0</v>
      </c>
      <c r="R671" s="2399">
        <v>0</v>
      </c>
      <c r="S671" s="2400">
        <v>0</v>
      </c>
      <c r="T671" s="2398">
        <v>0</v>
      </c>
      <c r="U671" s="2398">
        <v>0</v>
      </c>
      <c r="V671" s="2401">
        <v>0</v>
      </c>
      <c r="W671" s="2401">
        <v>0</v>
      </c>
      <c r="X671" s="2398">
        <v>0</v>
      </c>
      <c r="Z671" s="2396">
        <v>21181301</v>
      </c>
      <c r="AA671" s="2397" t="s">
        <v>4311</v>
      </c>
      <c r="AB671" s="2398">
        <v>0</v>
      </c>
      <c r="AC671" s="2179">
        <v>0</v>
      </c>
      <c r="AD671" s="2399">
        <v>0</v>
      </c>
      <c r="AE671" s="2400">
        <v>0</v>
      </c>
      <c r="AF671" s="2398">
        <v>0</v>
      </c>
      <c r="AG671" s="2398">
        <v>0</v>
      </c>
      <c r="AH671" s="2401">
        <v>0</v>
      </c>
      <c r="AI671" s="2401">
        <v>0</v>
      </c>
      <c r="AJ671" s="2398">
        <v>0</v>
      </c>
      <c r="AZ671" s="2396">
        <v>21181301</v>
      </c>
      <c r="BA671" s="2397" t="s">
        <v>4311</v>
      </c>
      <c r="BB671" s="2398">
        <v>0</v>
      </c>
      <c r="BC671" s="2179">
        <v>0</v>
      </c>
      <c r="BD671" s="2399">
        <v>0</v>
      </c>
      <c r="BE671" s="2400">
        <v>0</v>
      </c>
      <c r="BF671" s="2398">
        <v>0</v>
      </c>
      <c r="BG671" s="2398">
        <v>0</v>
      </c>
      <c r="BH671" s="2401">
        <v>0</v>
      </c>
      <c r="BI671" s="2401">
        <v>0</v>
      </c>
      <c r="BJ671" s="2398">
        <v>0</v>
      </c>
      <c r="BN671" s="2390">
        <v>22101000</v>
      </c>
      <c r="BO671" s="2403" t="s">
        <v>4327</v>
      </c>
      <c r="BP671" s="2392">
        <v>0</v>
      </c>
      <c r="BQ671" s="2392">
        <v>0</v>
      </c>
      <c r="BR671" s="2393">
        <v>0</v>
      </c>
      <c r="BS671" s="2394">
        <v>0</v>
      </c>
      <c r="BT671" s="2392">
        <v>0</v>
      </c>
      <c r="BU671" s="2392">
        <v>0</v>
      </c>
      <c r="BV671" s="2395">
        <v>0</v>
      </c>
      <c r="BW671" s="2395">
        <v>0</v>
      </c>
      <c r="BX671" s="2392">
        <v>0</v>
      </c>
    </row>
    <row r="672" spans="2:76">
      <c r="B672" s="2558">
        <v>21181400</v>
      </c>
      <c r="C672" s="2571" t="s">
        <v>5064</v>
      </c>
      <c r="D672" s="2560">
        <v>84432811</v>
      </c>
      <c r="E672" s="2560">
        <v>0</v>
      </c>
      <c r="F672" s="2561">
        <v>0</v>
      </c>
      <c r="G672" s="2562">
        <v>0</v>
      </c>
      <c r="H672" s="2560">
        <v>0</v>
      </c>
      <c r="I672" s="2560">
        <v>84432811</v>
      </c>
      <c r="J672" s="2563">
        <v>0</v>
      </c>
      <c r="K672" s="2563">
        <v>0</v>
      </c>
      <c r="L672" s="2560">
        <v>84432811</v>
      </c>
      <c r="N672" s="2390">
        <v>21181400</v>
      </c>
      <c r="O672" s="2403" t="s">
        <v>4312</v>
      </c>
      <c r="P672" s="2392">
        <v>68778816</v>
      </c>
      <c r="Q672" s="2392">
        <v>0</v>
      </c>
      <c r="R672" s="2393">
        <v>0</v>
      </c>
      <c r="S672" s="2394">
        <v>0</v>
      </c>
      <c r="T672" s="2392">
        <v>0</v>
      </c>
      <c r="U672" s="2392">
        <v>68778816</v>
      </c>
      <c r="V672" s="2395">
        <v>0</v>
      </c>
      <c r="W672" s="2395">
        <v>0</v>
      </c>
      <c r="X672" s="2392">
        <v>68778816</v>
      </c>
      <c r="Z672" s="2390">
        <v>21181400</v>
      </c>
      <c r="AA672" s="2403" t="s">
        <v>4312</v>
      </c>
      <c r="AB672" s="2392">
        <v>1754281696</v>
      </c>
      <c r="AC672" s="2392">
        <v>0</v>
      </c>
      <c r="AD672" s="2393">
        <v>0</v>
      </c>
      <c r="AE672" s="2394">
        <v>0</v>
      </c>
      <c r="AF672" s="2392">
        <v>0</v>
      </c>
      <c r="AG672" s="2392">
        <v>1754281696</v>
      </c>
      <c r="AH672" s="2395">
        <v>0</v>
      </c>
      <c r="AI672" s="2395">
        <v>0</v>
      </c>
      <c r="AJ672" s="2392">
        <v>1754281696</v>
      </c>
      <c r="AZ672" s="2390">
        <v>21181400</v>
      </c>
      <c r="BA672" s="2403" t="s">
        <v>4312</v>
      </c>
      <c r="BB672" s="2392">
        <v>1278692889</v>
      </c>
      <c r="BC672" s="2392">
        <v>0</v>
      </c>
      <c r="BD672" s="2393">
        <v>0</v>
      </c>
      <c r="BE672" s="2394">
        <v>0</v>
      </c>
      <c r="BF672" s="2392">
        <v>0</v>
      </c>
      <c r="BG672" s="2392">
        <v>1278692889</v>
      </c>
      <c r="BH672" s="2395">
        <v>0</v>
      </c>
      <c r="BI672" s="2395">
        <v>0</v>
      </c>
      <c r="BJ672" s="2392">
        <v>1278692889</v>
      </c>
      <c r="BN672" s="2396">
        <v>22101001</v>
      </c>
      <c r="BO672" s="2397" t="s">
        <v>4328</v>
      </c>
      <c r="BP672" s="2398">
        <v>0</v>
      </c>
      <c r="BQ672" s="2179">
        <v>0</v>
      </c>
      <c r="BR672" s="2399">
        <v>0</v>
      </c>
      <c r="BS672" s="2400">
        <v>0</v>
      </c>
      <c r="BT672" s="2398">
        <v>0</v>
      </c>
      <c r="BU672" s="2398">
        <v>0</v>
      </c>
      <c r="BV672" s="2401">
        <v>0</v>
      </c>
      <c r="BW672" s="2401">
        <v>0</v>
      </c>
      <c r="BX672" s="2398">
        <v>0</v>
      </c>
    </row>
    <row r="673" spans="2:76">
      <c r="B673" s="2564">
        <v>21181401</v>
      </c>
      <c r="C673" s="2565" t="s">
        <v>5064</v>
      </c>
      <c r="D673" s="2566">
        <v>84432811</v>
      </c>
      <c r="E673" s="1080">
        <v>0</v>
      </c>
      <c r="F673" s="2567">
        <v>0</v>
      </c>
      <c r="G673" s="2568">
        <v>0</v>
      </c>
      <c r="H673" s="2566">
        <v>0</v>
      </c>
      <c r="I673" s="2566">
        <v>84432811</v>
      </c>
      <c r="J673" s="2569">
        <v>0</v>
      </c>
      <c r="K673" s="2569">
        <v>0</v>
      </c>
      <c r="L673" s="2566">
        <v>84432811</v>
      </c>
      <c r="N673" s="2396">
        <v>21181401</v>
      </c>
      <c r="O673" s="2397" t="s">
        <v>4312</v>
      </c>
      <c r="P673" s="2398">
        <v>68778816</v>
      </c>
      <c r="Q673" s="2179">
        <v>0</v>
      </c>
      <c r="R673" s="2399">
        <v>0</v>
      </c>
      <c r="S673" s="2400">
        <v>0</v>
      </c>
      <c r="T673" s="2398">
        <v>0</v>
      </c>
      <c r="U673" s="2398">
        <v>68778816</v>
      </c>
      <c r="V673" s="2401">
        <v>0</v>
      </c>
      <c r="W673" s="2401">
        <v>0</v>
      </c>
      <c r="X673" s="2398">
        <v>68778816</v>
      </c>
      <c r="Z673" s="2396">
        <v>21181401</v>
      </c>
      <c r="AA673" s="2397" t="s">
        <v>4312</v>
      </c>
      <c r="AB673" s="2398">
        <v>1754281696</v>
      </c>
      <c r="AC673" s="2179">
        <v>0</v>
      </c>
      <c r="AD673" s="2399">
        <v>0</v>
      </c>
      <c r="AE673" s="2400">
        <v>0</v>
      </c>
      <c r="AF673" s="2398">
        <v>0</v>
      </c>
      <c r="AG673" s="2398">
        <v>1754281696</v>
      </c>
      <c r="AH673" s="2401">
        <v>0</v>
      </c>
      <c r="AI673" s="2401">
        <v>0</v>
      </c>
      <c r="AJ673" s="2398">
        <v>1754281696</v>
      </c>
      <c r="AZ673" s="2396">
        <v>21181401</v>
      </c>
      <c r="BA673" s="2397" t="s">
        <v>4312</v>
      </c>
      <c r="BB673" s="2398">
        <v>1278692889</v>
      </c>
      <c r="BC673" s="2179">
        <v>0</v>
      </c>
      <c r="BD673" s="2399">
        <v>0</v>
      </c>
      <c r="BE673" s="2400">
        <v>0</v>
      </c>
      <c r="BF673" s="2398">
        <v>0</v>
      </c>
      <c r="BG673" s="2398">
        <v>1278692889</v>
      </c>
      <c r="BH673" s="2401">
        <v>0</v>
      </c>
      <c r="BI673" s="2401">
        <v>0</v>
      </c>
      <c r="BJ673" s="2398">
        <v>1278692889</v>
      </c>
      <c r="BN673" s="2396">
        <v>22101002</v>
      </c>
      <c r="BO673" s="2397" t="s">
        <v>4329</v>
      </c>
      <c r="BP673" s="2398">
        <v>0</v>
      </c>
      <c r="BQ673" s="2179">
        <v>0</v>
      </c>
      <c r="BR673" s="2399">
        <v>0</v>
      </c>
      <c r="BS673" s="2400">
        <v>0</v>
      </c>
      <c r="BT673" s="2398">
        <v>0</v>
      </c>
      <c r="BU673" s="2398">
        <v>0</v>
      </c>
      <c r="BV673" s="2401">
        <v>0</v>
      </c>
      <c r="BW673" s="2401">
        <v>0</v>
      </c>
      <c r="BX673" s="2398">
        <v>0</v>
      </c>
    </row>
    <row r="674" spans="2:76">
      <c r="B674" s="2558">
        <v>21181900</v>
      </c>
      <c r="C674" s="2571" t="s">
        <v>4313</v>
      </c>
      <c r="D674" s="2560">
        <v>34634837</v>
      </c>
      <c r="E674" s="2560">
        <v>0</v>
      </c>
      <c r="F674" s="2561">
        <v>0</v>
      </c>
      <c r="G674" s="2562">
        <v>0</v>
      </c>
      <c r="H674" s="2560">
        <v>0</v>
      </c>
      <c r="I674" s="2560">
        <v>34634837</v>
      </c>
      <c r="J674" s="2563">
        <v>0</v>
      </c>
      <c r="K674" s="2563">
        <v>0</v>
      </c>
      <c r="L674" s="2560">
        <v>34634837</v>
      </c>
      <c r="N674" s="2390">
        <v>21181900</v>
      </c>
      <c r="O674" s="2403" t="s">
        <v>4313</v>
      </c>
      <c r="P674" s="2392">
        <v>34634837</v>
      </c>
      <c r="Q674" s="2392">
        <v>0</v>
      </c>
      <c r="R674" s="2393">
        <v>0</v>
      </c>
      <c r="S674" s="2394">
        <v>0</v>
      </c>
      <c r="T674" s="2392">
        <v>0</v>
      </c>
      <c r="U674" s="2392">
        <v>34634837</v>
      </c>
      <c r="V674" s="2395">
        <v>0</v>
      </c>
      <c r="W674" s="2395">
        <v>0</v>
      </c>
      <c r="X674" s="2392">
        <v>34634837</v>
      </c>
      <c r="Z674" s="2390">
        <v>21181900</v>
      </c>
      <c r="AA674" s="2403" t="s">
        <v>4313</v>
      </c>
      <c r="AB674" s="2392">
        <v>125880292</v>
      </c>
      <c r="AC674" s="2392">
        <v>0</v>
      </c>
      <c r="AD674" s="2393">
        <v>0</v>
      </c>
      <c r="AE674" s="2394">
        <v>0</v>
      </c>
      <c r="AF674" s="2392">
        <v>0</v>
      </c>
      <c r="AG674" s="2392">
        <v>125880292</v>
      </c>
      <c r="AH674" s="2395">
        <v>0</v>
      </c>
      <c r="AI674" s="2395">
        <v>0</v>
      </c>
      <c r="AJ674" s="2392">
        <v>125880292</v>
      </c>
      <c r="AZ674" s="2390">
        <v>21181900</v>
      </c>
      <c r="BA674" s="2403" t="s">
        <v>4313</v>
      </c>
      <c r="BB674" s="2392">
        <v>0</v>
      </c>
      <c r="BC674" s="2392">
        <v>0</v>
      </c>
      <c r="BD674" s="2393">
        <v>0</v>
      </c>
      <c r="BE674" s="2394">
        <v>0</v>
      </c>
      <c r="BF674" s="2392">
        <v>0</v>
      </c>
      <c r="BG674" s="2392">
        <v>0</v>
      </c>
      <c r="BH674" s="2395">
        <v>0</v>
      </c>
      <c r="BI674" s="2395">
        <v>0</v>
      </c>
      <c r="BJ674" s="2392">
        <v>0</v>
      </c>
      <c r="BN674" s="2390">
        <v>22101100</v>
      </c>
      <c r="BO674" s="2403" t="s">
        <v>4330</v>
      </c>
      <c r="BP674" s="2392">
        <v>0</v>
      </c>
      <c r="BQ674" s="2392">
        <v>0</v>
      </c>
      <c r="BR674" s="2393">
        <v>0</v>
      </c>
      <c r="BS674" s="2394">
        <v>0</v>
      </c>
      <c r="BT674" s="2392">
        <v>0</v>
      </c>
      <c r="BU674" s="2392">
        <v>0</v>
      </c>
      <c r="BV674" s="2395">
        <v>0</v>
      </c>
      <c r="BW674" s="2395">
        <v>0</v>
      </c>
      <c r="BX674" s="2392">
        <v>0</v>
      </c>
    </row>
    <row r="675" spans="2:76">
      <c r="B675" s="2564">
        <v>21181901</v>
      </c>
      <c r="C675" s="2565" t="s">
        <v>4313</v>
      </c>
      <c r="D675" s="2566">
        <v>34634837</v>
      </c>
      <c r="E675" s="1080">
        <v>0</v>
      </c>
      <c r="F675" s="2567">
        <v>0</v>
      </c>
      <c r="G675" s="2568">
        <v>0</v>
      </c>
      <c r="H675" s="2566">
        <v>0</v>
      </c>
      <c r="I675" s="2566">
        <v>34634837</v>
      </c>
      <c r="J675" s="2569">
        <v>0</v>
      </c>
      <c r="K675" s="2569">
        <v>0</v>
      </c>
      <c r="L675" s="2566">
        <v>34634837</v>
      </c>
      <c r="N675" s="2396">
        <v>21181901</v>
      </c>
      <c r="O675" s="2397" t="s">
        <v>4313</v>
      </c>
      <c r="P675" s="2398">
        <v>34634837</v>
      </c>
      <c r="Q675" s="2179">
        <v>0</v>
      </c>
      <c r="R675" s="2399">
        <v>0</v>
      </c>
      <c r="S675" s="2400">
        <v>0</v>
      </c>
      <c r="T675" s="2398">
        <v>0</v>
      </c>
      <c r="U675" s="2398">
        <v>34634837</v>
      </c>
      <c r="V675" s="2401">
        <v>0</v>
      </c>
      <c r="W675" s="2401">
        <v>0</v>
      </c>
      <c r="X675" s="2398">
        <v>34634837</v>
      </c>
      <c r="Z675" s="2396">
        <v>21181901</v>
      </c>
      <c r="AA675" s="2397" t="s">
        <v>4313</v>
      </c>
      <c r="AB675" s="2398">
        <v>125880292</v>
      </c>
      <c r="AC675" s="2179">
        <v>0</v>
      </c>
      <c r="AD675" s="2399">
        <v>0</v>
      </c>
      <c r="AE675" s="2400">
        <v>0</v>
      </c>
      <c r="AF675" s="2398">
        <v>0</v>
      </c>
      <c r="AG675" s="2398">
        <v>125880292</v>
      </c>
      <c r="AH675" s="2401">
        <v>0</v>
      </c>
      <c r="AI675" s="2401">
        <v>0</v>
      </c>
      <c r="AJ675" s="2398">
        <v>125880292</v>
      </c>
      <c r="AZ675" s="2396">
        <v>21181901</v>
      </c>
      <c r="BA675" s="2397" t="s">
        <v>4313</v>
      </c>
      <c r="BB675" s="2398">
        <v>0</v>
      </c>
      <c r="BC675" s="2179">
        <v>0</v>
      </c>
      <c r="BD675" s="2399">
        <v>0</v>
      </c>
      <c r="BE675" s="2400">
        <v>0</v>
      </c>
      <c r="BF675" s="2398">
        <v>0</v>
      </c>
      <c r="BG675" s="2398">
        <v>0</v>
      </c>
      <c r="BH675" s="2401">
        <v>0</v>
      </c>
      <c r="BI675" s="2401">
        <v>0</v>
      </c>
      <c r="BJ675" s="2398">
        <v>0</v>
      </c>
      <c r="BN675" s="2396">
        <v>22101101</v>
      </c>
      <c r="BO675" s="2397" t="s">
        <v>4330</v>
      </c>
      <c r="BP675" s="2398">
        <v>0</v>
      </c>
      <c r="BQ675" s="2179">
        <v>0</v>
      </c>
      <c r="BR675" s="2399">
        <v>0</v>
      </c>
      <c r="BS675" s="2400">
        <v>0</v>
      </c>
      <c r="BT675" s="2398">
        <v>0</v>
      </c>
      <c r="BU675" s="2398">
        <v>0</v>
      </c>
      <c r="BV675" s="2401">
        <v>0</v>
      </c>
      <c r="BW675" s="2401">
        <v>0</v>
      </c>
      <c r="BX675" s="2398">
        <v>0</v>
      </c>
    </row>
    <row r="676" spans="2:76">
      <c r="B676" s="2552">
        <v>21190000</v>
      </c>
      <c r="C676" s="2570" t="s">
        <v>4314</v>
      </c>
      <c r="D676" s="2554">
        <v>32038317817</v>
      </c>
      <c r="E676" s="2554">
        <v>795126103</v>
      </c>
      <c r="F676" s="2555">
        <v>1102289964</v>
      </c>
      <c r="G676" s="2556">
        <v>1722408562</v>
      </c>
      <c r="H676" s="2554">
        <v>729823360</v>
      </c>
      <c r="I676" s="2554">
        <v>36387965806</v>
      </c>
      <c r="J676" s="2557">
        <v>0</v>
      </c>
      <c r="K676" s="2557">
        <v>0</v>
      </c>
      <c r="L676" s="2554">
        <v>35232610713</v>
      </c>
      <c r="N676" s="2384">
        <v>21190000</v>
      </c>
      <c r="O676" s="2402" t="s">
        <v>4314</v>
      </c>
      <c r="P676" s="2386">
        <v>21474386839</v>
      </c>
      <c r="Q676" s="2386">
        <v>529955719</v>
      </c>
      <c r="R676" s="2387">
        <v>2977563700</v>
      </c>
      <c r="S676" s="2388">
        <v>4151709933</v>
      </c>
      <c r="T676" s="2386">
        <v>749330573</v>
      </c>
      <c r="U676" s="2386">
        <v>29882946764</v>
      </c>
      <c r="V676" s="2389">
        <v>0</v>
      </c>
      <c r="W676" s="2389">
        <v>0</v>
      </c>
      <c r="X676" s="2386">
        <v>26827630256</v>
      </c>
      <c r="Z676" s="2384">
        <v>21190000</v>
      </c>
      <c r="AA676" s="2402" t="s">
        <v>4314</v>
      </c>
      <c r="AB676" s="2386">
        <v>77434904267</v>
      </c>
      <c r="AC676" s="2386">
        <v>683758853</v>
      </c>
      <c r="AD676" s="2387">
        <v>6068612549</v>
      </c>
      <c r="AE676" s="2388">
        <v>7121627474</v>
      </c>
      <c r="AF676" s="2386">
        <v>1210261867</v>
      </c>
      <c r="AG676" s="2386">
        <v>92519165010</v>
      </c>
      <c r="AH676" s="2389">
        <v>0</v>
      </c>
      <c r="AI676" s="2389">
        <v>0</v>
      </c>
      <c r="AJ676" s="2386">
        <v>85323885998</v>
      </c>
      <c r="AZ676" s="2384">
        <v>21190000</v>
      </c>
      <c r="BA676" s="2402" t="s">
        <v>4314</v>
      </c>
      <c r="BB676" s="2386">
        <v>54626249738</v>
      </c>
      <c r="BC676" s="2386">
        <v>382132196</v>
      </c>
      <c r="BD676" s="2387">
        <v>4003087679</v>
      </c>
      <c r="BE676" s="2388">
        <v>2849962711</v>
      </c>
      <c r="BF676" s="2386">
        <v>144265689</v>
      </c>
      <c r="BG676" s="2386">
        <v>62005698013</v>
      </c>
      <c r="BH676" s="2389">
        <v>0</v>
      </c>
      <c r="BI676" s="2389">
        <v>0</v>
      </c>
      <c r="BJ676" s="2386">
        <v>60050482220</v>
      </c>
      <c r="BN676" s="2390">
        <v>22101200</v>
      </c>
      <c r="BO676" s="2403" t="s">
        <v>4331</v>
      </c>
      <c r="BP676" s="2392">
        <v>0</v>
      </c>
      <c r="BQ676" s="2392">
        <v>0</v>
      </c>
      <c r="BR676" s="2393">
        <v>0</v>
      </c>
      <c r="BS676" s="2394">
        <v>0</v>
      </c>
      <c r="BT676" s="2392">
        <v>0</v>
      </c>
      <c r="BU676" s="2392">
        <v>0</v>
      </c>
      <c r="BV676" s="2395">
        <v>0</v>
      </c>
      <c r="BW676" s="2395">
        <v>0</v>
      </c>
      <c r="BX676" s="2392">
        <v>0</v>
      </c>
    </row>
    <row r="677" spans="2:76">
      <c r="B677" s="2558">
        <v>21191000</v>
      </c>
      <c r="C677" s="2571" t="s">
        <v>4315</v>
      </c>
      <c r="D677" s="2560">
        <v>0</v>
      </c>
      <c r="E677" s="2560">
        <v>0</v>
      </c>
      <c r="F677" s="2561">
        <v>0</v>
      </c>
      <c r="G677" s="2562">
        <v>1132154594</v>
      </c>
      <c r="H677" s="2560">
        <v>0</v>
      </c>
      <c r="I677" s="2560">
        <v>1132154594</v>
      </c>
      <c r="J677" s="2563">
        <v>0</v>
      </c>
      <c r="K677" s="2563">
        <v>0</v>
      </c>
      <c r="L677" s="2560">
        <v>1132154594</v>
      </c>
      <c r="N677" s="2390">
        <v>21191000</v>
      </c>
      <c r="O677" s="2403" t="s">
        <v>4315</v>
      </c>
      <c r="P677" s="2392">
        <v>0</v>
      </c>
      <c r="Q677" s="2392">
        <v>0</v>
      </c>
      <c r="R677" s="2393">
        <v>0</v>
      </c>
      <c r="S677" s="2394">
        <v>3032116009</v>
      </c>
      <c r="T677" s="2392">
        <v>0</v>
      </c>
      <c r="U677" s="2392">
        <v>3032116009</v>
      </c>
      <c r="V677" s="2395">
        <v>0</v>
      </c>
      <c r="W677" s="2395">
        <v>0</v>
      </c>
      <c r="X677" s="2392">
        <v>3032116009</v>
      </c>
      <c r="Z677" s="2390">
        <v>21191000</v>
      </c>
      <c r="AA677" s="2403" t="s">
        <v>4315</v>
      </c>
      <c r="AB677" s="2392">
        <v>0</v>
      </c>
      <c r="AC677" s="2392">
        <v>0</v>
      </c>
      <c r="AD677" s="2393">
        <v>0</v>
      </c>
      <c r="AE677" s="2394">
        <v>5964320482</v>
      </c>
      <c r="AF677" s="2392">
        <v>0</v>
      </c>
      <c r="AG677" s="2392">
        <v>5964320482</v>
      </c>
      <c r="AH677" s="2395">
        <v>0</v>
      </c>
      <c r="AI677" s="2395">
        <v>0</v>
      </c>
      <c r="AJ677" s="2392">
        <v>5964320482</v>
      </c>
      <c r="AZ677" s="2390">
        <v>21191000</v>
      </c>
      <c r="BA677" s="2403" t="s">
        <v>4315</v>
      </c>
      <c r="BB677" s="2392">
        <v>0</v>
      </c>
      <c r="BC677" s="2392">
        <v>0</v>
      </c>
      <c r="BD677" s="2393">
        <v>0</v>
      </c>
      <c r="BE677" s="2394">
        <v>2050138882</v>
      </c>
      <c r="BF677" s="2392">
        <v>0</v>
      </c>
      <c r="BG677" s="2392">
        <v>2050138882</v>
      </c>
      <c r="BH677" s="2395">
        <v>0</v>
      </c>
      <c r="BI677" s="2395">
        <v>0</v>
      </c>
      <c r="BJ677" s="2392">
        <v>2050138882</v>
      </c>
      <c r="BN677" s="2396">
        <v>22101201</v>
      </c>
      <c r="BO677" s="2397" t="s">
        <v>4331</v>
      </c>
      <c r="BP677" s="2398">
        <v>0</v>
      </c>
      <c r="BQ677" s="2179">
        <v>0</v>
      </c>
      <c r="BR677" s="2399">
        <v>0</v>
      </c>
      <c r="BS677" s="2400">
        <v>0</v>
      </c>
      <c r="BT677" s="2398">
        <v>0</v>
      </c>
      <c r="BU677" s="2398">
        <v>0</v>
      </c>
      <c r="BV677" s="2401">
        <v>0</v>
      </c>
      <c r="BW677" s="2401">
        <v>0</v>
      </c>
      <c r="BX677" s="2398">
        <v>0</v>
      </c>
    </row>
    <row r="678" spans="2:76">
      <c r="B678" s="2564">
        <v>21191001</v>
      </c>
      <c r="C678" s="2565" t="s">
        <v>5065</v>
      </c>
      <c r="D678" s="2566">
        <v>0</v>
      </c>
      <c r="E678" s="1080">
        <v>0</v>
      </c>
      <c r="F678" s="2567">
        <v>0</v>
      </c>
      <c r="G678" s="2568">
        <v>1132154594</v>
      </c>
      <c r="H678" s="2566">
        <v>0</v>
      </c>
      <c r="I678" s="2566">
        <v>1132154594</v>
      </c>
      <c r="J678" s="2569">
        <v>0</v>
      </c>
      <c r="K678" s="2569">
        <v>0</v>
      </c>
      <c r="L678" s="2566">
        <v>1132154594</v>
      </c>
      <c r="N678" s="2396">
        <v>21191001</v>
      </c>
      <c r="O678" s="2397" t="s">
        <v>4315</v>
      </c>
      <c r="P678" s="2398">
        <v>0</v>
      </c>
      <c r="Q678" s="2179">
        <v>0</v>
      </c>
      <c r="R678" s="2399">
        <v>0</v>
      </c>
      <c r="S678" s="2400">
        <v>3032116009</v>
      </c>
      <c r="T678" s="2398">
        <v>0</v>
      </c>
      <c r="U678" s="2398">
        <v>3032116009</v>
      </c>
      <c r="V678" s="2401">
        <v>0</v>
      </c>
      <c r="W678" s="2401">
        <v>0</v>
      </c>
      <c r="X678" s="2398">
        <v>3032116009</v>
      </c>
      <c r="Z678" s="2396">
        <v>21191001</v>
      </c>
      <c r="AA678" s="2397" t="s">
        <v>4315</v>
      </c>
      <c r="AB678" s="2398">
        <v>0</v>
      </c>
      <c r="AC678" s="2179">
        <v>0</v>
      </c>
      <c r="AD678" s="2399">
        <v>0</v>
      </c>
      <c r="AE678" s="2400">
        <v>5964320482</v>
      </c>
      <c r="AF678" s="2398">
        <v>0</v>
      </c>
      <c r="AG678" s="2398">
        <v>5964320482</v>
      </c>
      <c r="AH678" s="2401">
        <v>0</v>
      </c>
      <c r="AI678" s="2401">
        <v>0</v>
      </c>
      <c r="AJ678" s="2398">
        <v>5964320482</v>
      </c>
      <c r="AZ678" s="2396">
        <v>21191001</v>
      </c>
      <c r="BA678" s="2397" t="s">
        <v>4315</v>
      </c>
      <c r="BB678" s="2398">
        <v>0</v>
      </c>
      <c r="BC678" s="2179">
        <v>0</v>
      </c>
      <c r="BD678" s="2399">
        <v>0</v>
      </c>
      <c r="BE678" s="2400">
        <v>2050138882</v>
      </c>
      <c r="BF678" s="2398">
        <v>0</v>
      </c>
      <c r="BG678" s="2398">
        <v>2050138882</v>
      </c>
      <c r="BH678" s="2401">
        <v>0</v>
      </c>
      <c r="BI678" s="2401">
        <v>0</v>
      </c>
      <c r="BJ678" s="2398">
        <v>2050138882</v>
      </c>
      <c r="BN678" s="2390">
        <v>22101300</v>
      </c>
      <c r="BO678" s="2403" t="s">
        <v>4332</v>
      </c>
      <c r="BP678" s="2392">
        <v>0</v>
      </c>
      <c r="BQ678" s="2392">
        <v>0</v>
      </c>
      <c r="BR678" s="2393">
        <v>0</v>
      </c>
      <c r="BS678" s="2394">
        <v>0</v>
      </c>
      <c r="BT678" s="2392">
        <v>0</v>
      </c>
      <c r="BU678" s="2392">
        <v>0</v>
      </c>
      <c r="BV678" s="2395">
        <v>0</v>
      </c>
      <c r="BW678" s="2395">
        <v>0</v>
      </c>
      <c r="BX678" s="2392">
        <v>0</v>
      </c>
    </row>
    <row r="679" spans="2:76">
      <c r="B679" s="2564">
        <v>21191002</v>
      </c>
      <c r="C679" s="2565" t="s">
        <v>5066</v>
      </c>
      <c r="D679" s="2566">
        <v>0</v>
      </c>
      <c r="E679" s="1080">
        <v>0</v>
      </c>
      <c r="F679" s="2567">
        <v>0</v>
      </c>
      <c r="G679" s="2568">
        <v>0</v>
      </c>
      <c r="H679" s="2566">
        <v>0</v>
      </c>
      <c r="I679" s="2566">
        <v>0</v>
      </c>
      <c r="J679" s="2569">
        <v>0</v>
      </c>
      <c r="K679" s="2569">
        <v>0</v>
      </c>
      <c r="L679" s="2566">
        <v>0</v>
      </c>
      <c r="N679" s="2396">
        <v>21191002</v>
      </c>
      <c r="O679" s="2397" t="s">
        <v>4316</v>
      </c>
      <c r="P679" s="2398">
        <v>0</v>
      </c>
      <c r="Q679" s="2179">
        <v>0</v>
      </c>
      <c r="R679" s="2399">
        <v>0</v>
      </c>
      <c r="S679" s="2400">
        <v>0</v>
      </c>
      <c r="T679" s="2398">
        <v>0</v>
      </c>
      <c r="U679" s="2398">
        <v>0</v>
      </c>
      <c r="V679" s="2401">
        <v>0</v>
      </c>
      <c r="W679" s="2401">
        <v>0</v>
      </c>
      <c r="X679" s="2398">
        <v>0</v>
      </c>
      <c r="Z679" s="2396">
        <v>21191002</v>
      </c>
      <c r="AA679" s="2397" t="s">
        <v>4316</v>
      </c>
      <c r="AB679" s="2398">
        <v>0</v>
      </c>
      <c r="AC679" s="2179">
        <v>0</v>
      </c>
      <c r="AD679" s="2399">
        <v>0</v>
      </c>
      <c r="AE679" s="2400">
        <v>0</v>
      </c>
      <c r="AF679" s="2398">
        <v>0</v>
      </c>
      <c r="AG679" s="2398">
        <v>0</v>
      </c>
      <c r="AH679" s="2401">
        <v>0</v>
      </c>
      <c r="AI679" s="2401">
        <v>0</v>
      </c>
      <c r="AJ679" s="2398">
        <v>0</v>
      </c>
      <c r="AZ679" s="2396">
        <v>21191002</v>
      </c>
      <c r="BA679" s="2397" t="s">
        <v>4316</v>
      </c>
      <c r="BB679" s="2398">
        <v>0</v>
      </c>
      <c r="BC679" s="2179">
        <v>0</v>
      </c>
      <c r="BD679" s="2399">
        <v>0</v>
      </c>
      <c r="BE679" s="2400">
        <v>0</v>
      </c>
      <c r="BF679" s="2398">
        <v>0</v>
      </c>
      <c r="BG679" s="2398">
        <v>0</v>
      </c>
      <c r="BH679" s="2401">
        <v>0</v>
      </c>
      <c r="BI679" s="2401">
        <v>0</v>
      </c>
      <c r="BJ679" s="2398">
        <v>0</v>
      </c>
      <c r="BN679" s="2396">
        <v>22101301</v>
      </c>
      <c r="BO679" s="2397" t="s">
        <v>4332</v>
      </c>
      <c r="BP679" s="2398">
        <v>0</v>
      </c>
      <c r="BQ679" s="2179">
        <v>0</v>
      </c>
      <c r="BR679" s="2399">
        <v>0</v>
      </c>
      <c r="BS679" s="2400">
        <v>0</v>
      </c>
      <c r="BT679" s="2398">
        <v>0</v>
      </c>
      <c r="BU679" s="2398">
        <v>0</v>
      </c>
      <c r="BV679" s="2401">
        <v>0</v>
      </c>
      <c r="BW679" s="2401">
        <v>0</v>
      </c>
      <c r="BX679" s="2398">
        <v>0</v>
      </c>
    </row>
    <row r="680" spans="2:76">
      <c r="B680" s="2558">
        <v>21191100</v>
      </c>
      <c r="C680" s="2571" t="s">
        <v>3955</v>
      </c>
      <c r="D680" s="2560">
        <v>6529516885</v>
      </c>
      <c r="E680" s="2560">
        <v>0</v>
      </c>
      <c r="F680" s="2561">
        <v>0</v>
      </c>
      <c r="G680" s="2562">
        <v>0</v>
      </c>
      <c r="H680" s="2560">
        <v>550360041</v>
      </c>
      <c r="I680" s="2560">
        <v>7079876926</v>
      </c>
      <c r="J680" s="2563">
        <v>0</v>
      </c>
      <c r="K680" s="2563">
        <v>0</v>
      </c>
      <c r="L680" s="2560">
        <v>5947722332</v>
      </c>
      <c r="N680" s="2390">
        <v>21191100</v>
      </c>
      <c r="O680" s="2403" t="s">
        <v>3955</v>
      </c>
      <c r="P680" s="2392">
        <v>392376175</v>
      </c>
      <c r="Q680" s="2392">
        <v>0</v>
      </c>
      <c r="R680" s="2393">
        <v>0</v>
      </c>
      <c r="S680" s="2394">
        <v>0</v>
      </c>
      <c r="T680" s="2392">
        <v>656195215</v>
      </c>
      <c r="U680" s="2392">
        <v>1048571390</v>
      </c>
      <c r="V680" s="2395">
        <v>0</v>
      </c>
      <c r="W680" s="2395">
        <v>0</v>
      </c>
      <c r="X680" s="2392">
        <v>-1983544619</v>
      </c>
      <c r="Z680" s="2390">
        <v>21191100</v>
      </c>
      <c r="AA680" s="2403" t="s">
        <v>3955</v>
      </c>
      <c r="AB680" s="2392">
        <v>24141599729</v>
      </c>
      <c r="AC680" s="2392">
        <v>0</v>
      </c>
      <c r="AD680" s="2393">
        <v>0</v>
      </c>
      <c r="AE680" s="2394">
        <v>0</v>
      </c>
      <c r="AF680" s="2392">
        <v>0</v>
      </c>
      <c r="AG680" s="2392">
        <v>24141599729</v>
      </c>
      <c r="AH680" s="2395">
        <v>0</v>
      </c>
      <c r="AI680" s="2395">
        <v>0</v>
      </c>
      <c r="AJ680" s="2392">
        <v>18177279247</v>
      </c>
      <c r="AZ680" s="2390">
        <v>21191100</v>
      </c>
      <c r="BA680" s="2403" t="s">
        <v>3955</v>
      </c>
      <c r="BB680" s="2392">
        <v>232016431</v>
      </c>
      <c r="BC680" s="2392">
        <v>0</v>
      </c>
      <c r="BD680" s="2393">
        <v>0</v>
      </c>
      <c r="BE680" s="2394">
        <v>0</v>
      </c>
      <c r="BF680" s="2392">
        <v>0</v>
      </c>
      <c r="BG680" s="2392">
        <v>232016431</v>
      </c>
      <c r="BH680" s="2395">
        <v>0</v>
      </c>
      <c r="BI680" s="2395">
        <v>0</v>
      </c>
      <c r="BJ680" s="2392">
        <v>-1782347981</v>
      </c>
      <c r="BN680" s="2390">
        <v>22101400</v>
      </c>
      <c r="BO680" s="2403" t="s">
        <v>4333</v>
      </c>
      <c r="BP680" s="2392">
        <v>2791528565</v>
      </c>
      <c r="BQ680" s="2392">
        <v>0</v>
      </c>
      <c r="BR680" s="2393">
        <v>0</v>
      </c>
      <c r="BS680" s="2394">
        <v>0</v>
      </c>
      <c r="BT680" s="2392">
        <v>0</v>
      </c>
      <c r="BU680" s="2392">
        <v>2791528565</v>
      </c>
      <c r="BV680" s="2395">
        <v>0</v>
      </c>
      <c r="BW680" s="2395">
        <v>0</v>
      </c>
      <c r="BX680" s="2392">
        <v>2791528565</v>
      </c>
    </row>
    <row r="681" spans="2:76">
      <c r="B681" s="2564">
        <v>21191101</v>
      </c>
      <c r="C681" s="2565" t="s">
        <v>3955</v>
      </c>
      <c r="D681" s="2566">
        <v>6529516885</v>
      </c>
      <c r="E681" s="1080">
        <v>0</v>
      </c>
      <c r="F681" s="2567">
        <v>0</v>
      </c>
      <c r="G681" s="2568">
        <v>0</v>
      </c>
      <c r="H681" s="2566">
        <v>550360041</v>
      </c>
      <c r="I681" s="2566">
        <v>7079876926</v>
      </c>
      <c r="J681" s="2569">
        <v>0</v>
      </c>
      <c r="K681" s="2569">
        <v>-1132154594</v>
      </c>
      <c r="L681" s="2566">
        <v>5947722332</v>
      </c>
      <c r="N681" s="2396">
        <v>21191101</v>
      </c>
      <c r="O681" s="2397" t="s">
        <v>3955</v>
      </c>
      <c r="P681" s="2398">
        <v>392376175</v>
      </c>
      <c r="Q681" s="2179">
        <v>0</v>
      </c>
      <c r="R681" s="2399">
        <v>0</v>
      </c>
      <c r="S681" s="2400">
        <v>0</v>
      </c>
      <c r="T681" s="2398">
        <v>656195215</v>
      </c>
      <c r="U681" s="2398">
        <v>1048571390</v>
      </c>
      <c r="V681" s="2401">
        <v>0</v>
      </c>
      <c r="W681" s="2401">
        <v>-3032116009</v>
      </c>
      <c r="X681" s="2398">
        <v>-1983544619</v>
      </c>
      <c r="Z681" s="2396">
        <v>21191101</v>
      </c>
      <c r="AA681" s="2397" t="s">
        <v>3955</v>
      </c>
      <c r="AB681" s="2398">
        <v>24141599729</v>
      </c>
      <c r="AC681" s="2179">
        <v>0</v>
      </c>
      <c r="AD681" s="2399">
        <v>0</v>
      </c>
      <c r="AE681" s="2400">
        <v>0</v>
      </c>
      <c r="AF681" s="2398">
        <v>0</v>
      </c>
      <c r="AG681" s="2398">
        <v>24141599729</v>
      </c>
      <c r="AH681" s="2401">
        <v>0</v>
      </c>
      <c r="AI681" s="2401">
        <v>-5964320482</v>
      </c>
      <c r="AJ681" s="2398">
        <v>18177279247</v>
      </c>
      <c r="AZ681" s="2396">
        <v>21191101</v>
      </c>
      <c r="BA681" s="2397" t="s">
        <v>3955</v>
      </c>
      <c r="BB681" s="2398">
        <v>232016431</v>
      </c>
      <c r="BC681" s="2179">
        <v>0</v>
      </c>
      <c r="BD681" s="2399">
        <v>0</v>
      </c>
      <c r="BE681" s="2400">
        <v>0</v>
      </c>
      <c r="BF681" s="2398">
        <v>0</v>
      </c>
      <c r="BG681" s="2398">
        <v>232016431</v>
      </c>
      <c r="BH681" s="2401">
        <v>0</v>
      </c>
      <c r="BI681" s="2401">
        <v>-2014364412</v>
      </c>
      <c r="BJ681" s="2398">
        <v>-1782347981</v>
      </c>
      <c r="BN681" s="2396">
        <v>22101401</v>
      </c>
      <c r="BO681" s="2397" t="s">
        <v>4333</v>
      </c>
      <c r="BP681" s="2398">
        <v>2791528565</v>
      </c>
      <c r="BQ681" s="2179">
        <v>0</v>
      </c>
      <c r="BR681" s="2399">
        <v>0</v>
      </c>
      <c r="BS681" s="2400">
        <v>0</v>
      </c>
      <c r="BT681" s="2398">
        <v>0</v>
      </c>
      <c r="BU681" s="2398">
        <v>2791528565</v>
      </c>
      <c r="BV681" s="2401">
        <v>0</v>
      </c>
      <c r="BW681" s="2401">
        <v>0</v>
      </c>
      <c r="BX681" s="2398">
        <v>2791528565</v>
      </c>
    </row>
    <row r="682" spans="2:76">
      <c r="B682" s="2558">
        <v>21191200</v>
      </c>
      <c r="C682" s="2571" t="s">
        <v>4317</v>
      </c>
      <c r="D682" s="2560">
        <v>2513176667</v>
      </c>
      <c r="E682" s="2560">
        <v>54758926</v>
      </c>
      <c r="F682" s="2561">
        <v>38914540</v>
      </c>
      <c r="G682" s="2562">
        <v>139917413</v>
      </c>
      <c r="H682" s="2560">
        <v>2856486</v>
      </c>
      <c r="I682" s="2560">
        <v>2749624032</v>
      </c>
      <c r="J682" s="2563">
        <v>0</v>
      </c>
      <c r="K682" s="2563">
        <v>0</v>
      </c>
      <c r="L682" s="2560">
        <v>2749624032</v>
      </c>
      <c r="N682" s="2390">
        <v>21191200</v>
      </c>
      <c r="O682" s="2403" t="s">
        <v>4317</v>
      </c>
      <c r="P682" s="2392">
        <v>2098203325</v>
      </c>
      <c r="Q682" s="2392">
        <v>52705506</v>
      </c>
      <c r="R682" s="2393">
        <v>54716770</v>
      </c>
      <c r="S682" s="2394">
        <v>140851823</v>
      </c>
      <c r="T682" s="2392">
        <v>2428359</v>
      </c>
      <c r="U682" s="2392">
        <v>2348905783</v>
      </c>
      <c r="V682" s="2395">
        <v>0</v>
      </c>
      <c r="W682" s="2395">
        <v>0</v>
      </c>
      <c r="X682" s="2392">
        <v>2348905783</v>
      </c>
      <c r="Z682" s="2390">
        <v>21191200</v>
      </c>
      <c r="AA682" s="2403" t="s">
        <v>4317</v>
      </c>
      <c r="AB682" s="2392">
        <v>4835746587</v>
      </c>
      <c r="AC682" s="2392">
        <v>49509756</v>
      </c>
      <c r="AD682" s="2393">
        <v>212613870</v>
      </c>
      <c r="AE682" s="2394">
        <v>166471361</v>
      </c>
      <c r="AF682" s="2392">
        <v>0</v>
      </c>
      <c r="AG682" s="2392">
        <v>5264341574</v>
      </c>
      <c r="AH682" s="2395">
        <v>0</v>
      </c>
      <c r="AI682" s="2395">
        <v>0</v>
      </c>
      <c r="AJ682" s="2392">
        <v>5264341574</v>
      </c>
      <c r="AZ682" s="2390">
        <v>21191200</v>
      </c>
      <c r="BA682" s="2403" t="s">
        <v>4317</v>
      </c>
      <c r="BB682" s="2392">
        <v>5890830562</v>
      </c>
      <c r="BC682" s="2392">
        <v>54525292</v>
      </c>
      <c r="BD682" s="2393">
        <v>158758950</v>
      </c>
      <c r="BE682" s="2394">
        <v>54637903</v>
      </c>
      <c r="BF682" s="2392">
        <v>0</v>
      </c>
      <c r="BG682" s="2392">
        <v>6158752707</v>
      </c>
      <c r="BH682" s="2395">
        <v>0</v>
      </c>
      <c r="BI682" s="2395">
        <v>0</v>
      </c>
      <c r="BJ682" s="2392">
        <v>6158752707</v>
      </c>
      <c r="BN682" s="2390">
        <v>22101500</v>
      </c>
      <c r="BO682" s="2403" t="s">
        <v>4334</v>
      </c>
      <c r="BP682" s="2392">
        <v>888657910</v>
      </c>
      <c r="BQ682" s="2392">
        <v>0</v>
      </c>
      <c r="BR682" s="2393">
        <v>0</v>
      </c>
      <c r="BS682" s="2394">
        <v>0</v>
      </c>
      <c r="BT682" s="2392">
        <v>0</v>
      </c>
      <c r="BU682" s="2392">
        <v>888657910</v>
      </c>
      <c r="BV682" s="2395">
        <v>0</v>
      </c>
      <c r="BW682" s="2395">
        <v>0</v>
      </c>
      <c r="BX682" s="2392">
        <v>888657910</v>
      </c>
    </row>
    <row r="683" spans="2:76">
      <c r="B683" s="2564">
        <v>21191201</v>
      </c>
      <c r="C683" s="2565" t="s">
        <v>4317</v>
      </c>
      <c r="D683" s="2566">
        <v>2513176667</v>
      </c>
      <c r="E683" s="1080">
        <v>54758926</v>
      </c>
      <c r="F683" s="2567">
        <v>38914540</v>
      </c>
      <c r="G683" s="2568">
        <v>139917413</v>
      </c>
      <c r="H683" s="2566">
        <v>2856486</v>
      </c>
      <c r="I683" s="2566">
        <v>2749624032</v>
      </c>
      <c r="J683" s="2569">
        <v>0</v>
      </c>
      <c r="K683" s="2569">
        <v>0</v>
      </c>
      <c r="L683" s="2566">
        <v>2749624032</v>
      </c>
      <c r="N683" s="2396">
        <v>21191201</v>
      </c>
      <c r="O683" s="2397" t="s">
        <v>4317</v>
      </c>
      <c r="P683" s="2398">
        <v>2098203325</v>
      </c>
      <c r="Q683" s="2179">
        <v>52705506</v>
      </c>
      <c r="R683" s="2399">
        <v>54716770</v>
      </c>
      <c r="S683" s="2400">
        <v>140851823</v>
      </c>
      <c r="T683" s="2398">
        <v>2428359</v>
      </c>
      <c r="U683" s="2398">
        <v>2348905783</v>
      </c>
      <c r="V683" s="2401">
        <v>0</v>
      </c>
      <c r="W683" s="2401">
        <v>0</v>
      </c>
      <c r="X683" s="2398">
        <v>2348905783</v>
      </c>
      <c r="Z683" s="2396">
        <v>21191201</v>
      </c>
      <c r="AA683" s="2397" t="s">
        <v>4317</v>
      </c>
      <c r="AB683" s="2398">
        <v>4835746587</v>
      </c>
      <c r="AC683" s="2179">
        <v>49509756</v>
      </c>
      <c r="AD683" s="2399">
        <v>212613870</v>
      </c>
      <c r="AE683" s="2400">
        <v>166471361</v>
      </c>
      <c r="AF683" s="2398">
        <v>0</v>
      </c>
      <c r="AG683" s="2398">
        <v>5264341574</v>
      </c>
      <c r="AH683" s="2401">
        <v>0</v>
      </c>
      <c r="AI683" s="2401">
        <v>0</v>
      </c>
      <c r="AJ683" s="2398">
        <v>5264341574</v>
      </c>
      <c r="AZ683" s="2396">
        <v>21191201</v>
      </c>
      <c r="BA683" s="2397" t="s">
        <v>4317</v>
      </c>
      <c r="BB683" s="2398">
        <v>5890830562</v>
      </c>
      <c r="BC683" s="2179">
        <v>54525292</v>
      </c>
      <c r="BD683" s="2399">
        <v>158758950</v>
      </c>
      <c r="BE683" s="2400">
        <v>54637903</v>
      </c>
      <c r="BF683" s="2398">
        <v>0</v>
      </c>
      <c r="BG683" s="2398">
        <v>6158752707</v>
      </c>
      <c r="BH683" s="2401">
        <v>0</v>
      </c>
      <c r="BI683" s="2401">
        <v>0</v>
      </c>
      <c r="BJ683" s="2398">
        <v>6158752707</v>
      </c>
      <c r="BN683" s="2396">
        <v>22101501</v>
      </c>
      <c r="BO683" s="2397" t="s">
        <v>4334</v>
      </c>
      <c r="BP683" s="2398">
        <v>888657910</v>
      </c>
      <c r="BQ683" s="2179">
        <v>0</v>
      </c>
      <c r="BR683" s="2399">
        <v>0</v>
      </c>
      <c r="BS683" s="2400">
        <v>0</v>
      </c>
      <c r="BT683" s="2398">
        <v>0</v>
      </c>
      <c r="BU683" s="2398">
        <v>888657910</v>
      </c>
      <c r="BV683" s="2401">
        <v>0</v>
      </c>
      <c r="BW683" s="2401">
        <v>0</v>
      </c>
      <c r="BX683" s="2398">
        <v>888657910</v>
      </c>
    </row>
    <row r="684" spans="2:76">
      <c r="B684" s="2558">
        <v>21191300</v>
      </c>
      <c r="C684" s="2571" t="s">
        <v>3952</v>
      </c>
      <c r="D684" s="2560">
        <v>166924682</v>
      </c>
      <c r="E684" s="2560">
        <v>0</v>
      </c>
      <c r="F684" s="2561">
        <v>0</v>
      </c>
      <c r="G684" s="2562">
        <v>0</v>
      </c>
      <c r="H684" s="2560">
        <v>175225109</v>
      </c>
      <c r="I684" s="2560">
        <v>342149791</v>
      </c>
      <c r="J684" s="2563">
        <v>0</v>
      </c>
      <c r="K684" s="2563">
        <v>0</v>
      </c>
      <c r="L684" s="2560">
        <v>318949292</v>
      </c>
      <c r="N684" s="2390">
        <v>21191300</v>
      </c>
      <c r="O684" s="2403" t="s">
        <v>3952</v>
      </c>
      <c r="P684" s="2392">
        <v>177836074</v>
      </c>
      <c r="Q684" s="2392">
        <v>0</v>
      </c>
      <c r="R684" s="2393">
        <v>0</v>
      </c>
      <c r="S684" s="2394">
        <v>0</v>
      </c>
      <c r="T684" s="2392">
        <v>88396996</v>
      </c>
      <c r="U684" s="2392">
        <v>266233070</v>
      </c>
      <c r="V684" s="2395">
        <v>0</v>
      </c>
      <c r="W684" s="2395">
        <v>0</v>
      </c>
      <c r="X684" s="2392">
        <v>243032571</v>
      </c>
      <c r="Z684" s="2390">
        <v>21191300</v>
      </c>
      <c r="AA684" s="2403" t="s">
        <v>3952</v>
      </c>
      <c r="AB684" s="2392">
        <v>1278359986</v>
      </c>
      <c r="AC684" s="2392">
        <v>0</v>
      </c>
      <c r="AD684" s="2393">
        <v>0</v>
      </c>
      <c r="AE684" s="2394">
        <v>0</v>
      </c>
      <c r="AF684" s="2392">
        <v>1207758031</v>
      </c>
      <c r="AG684" s="2392">
        <v>2486118017</v>
      </c>
      <c r="AH684" s="2395">
        <v>0</v>
      </c>
      <c r="AI684" s="2395">
        <v>0</v>
      </c>
      <c r="AJ684" s="2392">
        <v>1255159487</v>
      </c>
      <c r="AZ684" s="2390">
        <v>21191300</v>
      </c>
      <c r="BA684" s="2403" t="s">
        <v>3952</v>
      </c>
      <c r="BB684" s="2392">
        <v>225222262</v>
      </c>
      <c r="BC684" s="2392">
        <v>0</v>
      </c>
      <c r="BD684" s="2393">
        <v>0</v>
      </c>
      <c r="BE684" s="2394">
        <v>0</v>
      </c>
      <c r="BF684" s="2392">
        <v>142277075</v>
      </c>
      <c r="BG684" s="2392">
        <v>367499337</v>
      </c>
      <c r="BH684" s="2395">
        <v>0</v>
      </c>
      <c r="BI684" s="2395">
        <v>0</v>
      </c>
      <c r="BJ684" s="2392">
        <v>426647956</v>
      </c>
      <c r="BN684" s="2390">
        <v>22101600</v>
      </c>
      <c r="BO684" s="2403" t="s">
        <v>4335</v>
      </c>
      <c r="BP684" s="2392">
        <v>-27041596</v>
      </c>
      <c r="BQ684" s="2392">
        <v>0</v>
      </c>
      <c r="BR684" s="2393">
        <v>0</v>
      </c>
      <c r="BS684" s="2394">
        <v>0</v>
      </c>
      <c r="BT684" s="2392">
        <v>0</v>
      </c>
      <c r="BU684" s="2392">
        <v>-27041596</v>
      </c>
      <c r="BV684" s="2395">
        <v>0</v>
      </c>
      <c r="BW684" s="2395">
        <v>0</v>
      </c>
      <c r="BX684" s="2392">
        <v>-27041596</v>
      </c>
    </row>
    <row r="685" spans="2:76">
      <c r="B685" s="2564">
        <v>21191301</v>
      </c>
      <c r="C685" s="2565" t="s">
        <v>3952</v>
      </c>
      <c r="D685" s="2566">
        <v>166924682</v>
      </c>
      <c r="E685" s="1080">
        <v>0</v>
      </c>
      <c r="F685" s="2567">
        <v>0</v>
      </c>
      <c r="G685" s="2568">
        <v>0</v>
      </c>
      <c r="H685" s="2566">
        <v>175225109</v>
      </c>
      <c r="I685" s="2566">
        <v>342149791</v>
      </c>
      <c r="J685" s="2569">
        <v>23200499</v>
      </c>
      <c r="K685" s="2569">
        <v>0</v>
      </c>
      <c r="L685" s="2566">
        <v>318949292</v>
      </c>
      <c r="N685" s="2396">
        <v>21191301</v>
      </c>
      <c r="O685" s="2397" t="s">
        <v>3952</v>
      </c>
      <c r="P685" s="2398">
        <v>177836074</v>
      </c>
      <c r="Q685" s="2179">
        <v>0</v>
      </c>
      <c r="R685" s="2399">
        <v>0</v>
      </c>
      <c r="S685" s="2400">
        <v>0</v>
      </c>
      <c r="T685" s="2398">
        <v>88396996</v>
      </c>
      <c r="U685" s="2398">
        <v>266233070</v>
      </c>
      <c r="V685" s="2401">
        <v>23200499</v>
      </c>
      <c r="W685" s="2401">
        <v>0</v>
      </c>
      <c r="X685" s="2398">
        <v>243032571</v>
      </c>
      <c r="Z685" s="2396">
        <v>21191301</v>
      </c>
      <c r="AA685" s="2397" t="s">
        <v>3952</v>
      </c>
      <c r="AB685" s="2398">
        <v>1278359986</v>
      </c>
      <c r="AC685" s="2179">
        <v>0</v>
      </c>
      <c r="AD685" s="2399">
        <v>0</v>
      </c>
      <c r="AE685" s="2400">
        <v>0</v>
      </c>
      <c r="AF685" s="2398">
        <v>1207758031</v>
      </c>
      <c r="AG685" s="2398">
        <v>2486118017</v>
      </c>
      <c r="AH685" s="2401">
        <v>1230958530</v>
      </c>
      <c r="AI685" s="2401">
        <v>0</v>
      </c>
      <c r="AJ685" s="2398">
        <v>1255159487</v>
      </c>
      <c r="AZ685" s="2396">
        <v>21191301</v>
      </c>
      <c r="BA685" s="2397" t="s">
        <v>3952</v>
      </c>
      <c r="BB685" s="2398">
        <v>225222262</v>
      </c>
      <c r="BC685" s="2179">
        <v>0</v>
      </c>
      <c r="BD685" s="2399">
        <v>0</v>
      </c>
      <c r="BE685" s="2400">
        <v>0</v>
      </c>
      <c r="BF685" s="2398">
        <v>142277075</v>
      </c>
      <c r="BG685" s="2398">
        <v>367499337</v>
      </c>
      <c r="BH685" s="2401">
        <v>-59148619</v>
      </c>
      <c r="BI685" s="2401">
        <v>0</v>
      </c>
      <c r="BJ685" s="2398">
        <v>426647956</v>
      </c>
      <c r="BN685" s="2396">
        <v>22101601</v>
      </c>
      <c r="BO685" s="2397" t="s">
        <v>4335</v>
      </c>
      <c r="BP685" s="2398">
        <v>-27041596</v>
      </c>
      <c r="BQ685" s="2179">
        <v>0</v>
      </c>
      <c r="BR685" s="2399">
        <v>0</v>
      </c>
      <c r="BS685" s="2400">
        <v>0</v>
      </c>
      <c r="BT685" s="2398">
        <v>0</v>
      </c>
      <c r="BU685" s="2398">
        <v>-27041596</v>
      </c>
      <c r="BV685" s="2401">
        <v>0</v>
      </c>
      <c r="BW685" s="2401">
        <v>0</v>
      </c>
      <c r="BX685" s="2398">
        <v>-27041596</v>
      </c>
    </row>
    <row r="686" spans="2:76">
      <c r="B686" s="2558">
        <v>21191400</v>
      </c>
      <c r="C686" s="2571" t="s">
        <v>4318</v>
      </c>
      <c r="D686" s="2560">
        <v>0</v>
      </c>
      <c r="E686" s="2560">
        <v>0</v>
      </c>
      <c r="F686" s="2561">
        <v>0</v>
      </c>
      <c r="G686" s="2562">
        <v>0</v>
      </c>
      <c r="H686" s="2560">
        <v>0</v>
      </c>
      <c r="I686" s="2560">
        <v>0</v>
      </c>
      <c r="J686" s="2563">
        <v>0</v>
      </c>
      <c r="K686" s="2563">
        <v>0</v>
      </c>
      <c r="L686" s="2560">
        <v>0</v>
      </c>
      <c r="N686" s="2390">
        <v>21191400</v>
      </c>
      <c r="O686" s="2403" t="s">
        <v>4318</v>
      </c>
      <c r="P686" s="2392">
        <v>0</v>
      </c>
      <c r="Q686" s="2392">
        <v>0</v>
      </c>
      <c r="R686" s="2393">
        <v>0</v>
      </c>
      <c r="S686" s="2394">
        <v>644790162</v>
      </c>
      <c r="T686" s="2392">
        <v>0</v>
      </c>
      <c r="U686" s="2392">
        <v>644790162</v>
      </c>
      <c r="V686" s="2395">
        <v>0</v>
      </c>
      <c r="W686" s="2395">
        <v>0</v>
      </c>
      <c r="X686" s="2392">
        <v>644790162</v>
      </c>
      <c r="Z686" s="2390">
        <v>21191400</v>
      </c>
      <c r="AA686" s="2403" t="s">
        <v>4318</v>
      </c>
      <c r="AB686" s="2392">
        <v>0</v>
      </c>
      <c r="AC686" s="2392">
        <v>0</v>
      </c>
      <c r="AD686" s="2393">
        <v>0</v>
      </c>
      <c r="AE686" s="2394">
        <v>952988022</v>
      </c>
      <c r="AF686" s="2392">
        <v>0</v>
      </c>
      <c r="AG686" s="2392">
        <v>952988022</v>
      </c>
      <c r="AH686" s="2395">
        <v>0</v>
      </c>
      <c r="AI686" s="2395">
        <v>0</v>
      </c>
      <c r="AJ686" s="2392">
        <v>952988022</v>
      </c>
      <c r="AZ686" s="2390">
        <v>21191400</v>
      </c>
      <c r="BA686" s="2403" t="s">
        <v>4318</v>
      </c>
      <c r="BB686" s="2392">
        <v>0</v>
      </c>
      <c r="BC686" s="2392">
        <v>0</v>
      </c>
      <c r="BD686" s="2393">
        <v>0</v>
      </c>
      <c r="BE686" s="2394">
        <v>264245993</v>
      </c>
      <c r="BF686" s="2392">
        <v>0</v>
      </c>
      <c r="BG686" s="2392">
        <v>264245993</v>
      </c>
      <c r="BH686" s="2395">
        <v>0</v>
      </c>
      <c r="BI686" s="2395">
        <v>0</v>
      </c>
      <c r="BJ686" s="2392">
        <v>264245993</v>
      </c>
      <c r="BN686" s="2390">
        <v>22101700</v>
      </c>
      <c r="BO686" s="2403" t="s">
        <v>4336</v>
      </c>
      <c r="BP686" s="2392">
        <v>0</v>
      </c>
      <c r="BQ686" s="2392">
        <v>0</v>
      </c>
      <c r="BR686" s="2393">
        <v>0</v>
      </c>
      <c r="BS686" s="2394">
        <v>0</v>
      </c>
      <c r="BT686" s="2392">
        <v>0</v>
      </c>
      <c r="BU686" s="2392">
        <v>0</v>
      </c>
      <c r="BV686" s="2395">
        <v>0</v>
      </c>
      <c r="BW686" s="2395">
        <v>0</v>
      </c>
      <c r="BX686" s="2392">
        <v>0</v>
      </c>
    </row>
    <row r="687" spans="2:76">
      <c r="B687" s="2564">
        <v>21191401</v>
      </c>
      <c r="C687" s="2565" t="s">
        <v>4319</v>
      </c>
      <c r="D687" s="2566">
        <v>0</v>
      </c>
      <c r="E687" s="1080">
        <v>0</v>
      </c>
      <c r="F687" s="2567">
        <v>0</v>
      </c>
      <c r="G687" s="2572">
        <v>0</v>
      </c>
      <c r="H687" s="2566">
        <v>0</v>
      </c>
      <c r="I687" s="2566">
        <v>0</v>
      </c>
      <c r="J687" s="2569">
        <v>0</v>
      </c>
      <c r="K687" s="2569">
        <v>0</v>
      </c>
      <c r="L687" s="2566">
        <v>0</v>
      </c>
      <c r="N687" s="2396">
        <v>21191401</v>
      </c>
      <c r="O687" s="2397" t="s">
        <v>4319</v>
      </c>
      <c r="P687" s="2398">
        <v>0</v>
      </c>
      <c r="Q687" s="2179">
        <v>0</v>
      </c>
      <c r="R687" s="2399">
        <v>0</v>
      </c>
      <c r="S687" s="2404">
        <v>644790162</v>
      </c>
      <c r="T687" s="2398">
        <v>0</v>
      </c>
      <c r="U687" s="2398">
        <v>644790162</v>
      </c>
      <c r="V687" s="2401">
        <v>0</v>
      </c>
      <c r="W687" s="2401">
        <v>0</v>
      </c>
      <c r="X687" s="2398">
        <v>644790162</v>
      </c>
      <c r="Z687" s="2396">
        <v>21191401</v>
      </c>
      <c r="AA687" s="2397" t="s">
        <v>4319</v>
      </c>
      <c r="AB687" s="2398">
        <v>0</v>
      </c>
      <c r="AC687" s="2179">
        <v>0</v>
      </c>
      <c r="AD687" s="2399">
        <v>0</v>
      </c>
      <c r="AE687" s="2404">
        <v>952988022</v>
      </c>
      <c r="AF687" s="2398">
        <v>0</v>
      </c>
      <c r="AG687" s="2398">
        <v>952988022</v>
      </c>
      <c r="AH687" s="2401">
        <v>0</v>
      </c>
      <c r="AI687" s="2401">
        <v>0</v>
      </c>
      <c r="AJ687" s="2398">
        <v>952988022</v>
      </c>
      <c r="AZ687" s="2396">
        <v>21191401</v>
      </c>
      <c r="BA687" s="2397" t="s">
        <v>4319</v>
      </c>
      <c r="BB687" s="2398">
        <v>0</v>
      </c>
      <c r="BC687" s="2179">
        <v>0</v>
      </c>
      <c r="BD687" s="2399">
        <v>0</v>
      </c>
      <c r="BE687" s="2404">
        <v>264245993</v>
      </c>
      <c r="BF687" s="2398">
        <v>0</v>
      </c>
      <c r="BG687" s="2398">
        <v>264245993</v>
      </c>
      <c r="BH687" s="2401">
        <v>0</v>
      </c>
      <c r="BI687" s="2401">
        <v>0</v>
      </c>
      <c r="BJ687" s="2398">
        <v>264245993</v>
      </c>
      <c r="BN687" s="2396">
        <v>22101701</v>
      </c>
      <c r="BO687" s="2397" t="s">
        <v>4336</v>
      </c>
      <c r="BP687" s="2398">
        <v>0</v>
      </c>
      <c r="BQ687" s="2179">
        <v>0</v>
      </c>
      <c r="BR687" s="2399">
        <v>0</v>
      </c>
      <c r="BS687" s="2400">
        <v>0</v>
      </c>
      <c r="BT687" s="2398">
        <v>0</v>
      </c>
      <c r="BU687" s="2398">
        <v>0</v>
      </c>
      <c r="BV687" s="2401">
        <v>0</v>
      </c>
      <c r="BW687" s="2401">
        <v>0</v>
      </c>
      <c r="BX687" s="2398">
        <v>0</v>
      </c>
    </row>
    <row r="688" spans="2:76">
      <c r="B688" s="2558">
        <v>21191500</v>
      </c>
      <c r="C688" s="2571" t="s">
        <v>4320</v>
      </c>
      <c r="D688" s="2560">
        <v>20079478311</v>
      </c>
      <c r="E688" s="2560">
        <v>740367177</v>
      </c>
      <c r="F688" s="2561">
        <v>1063375424</v>
      </c>
      <c r="G688" s="2562">
        <v>450336555</v>
      </c>
      <c r="H688" s="2560">
        <v>1381724</v>
      </c>
      <c r="I688" s="2560">
        <v>22334939191</v>
      </c>
      <c r="J688" s="2563">
        <v>0</v>
      </c>
      <c r="K688" s="2563">
        <v>0</v>
      </c>
      <c r="L688" s="2560">
        <v>22334939191</v>
      </c>
      <c r="N688" s="2390">
        <v>21191500</v>
      </c>
      <c r="O688" s="2403" t="s">
        <v>4320</v>
      </c>
      <c r="P688" s="2392">
        <v>11796626758</v>
      </c>
      <c r="Q688" s="2392">
        <v>477250213</v>
      </c>
      <c r="R688" s="2393">
        <v>2922846930</v>
      </c>
      <c r="S688" s="2394">
        <v>333951939</v>
      </c>
      <c r="T688" s="2392">
        <v>2310003</v>
      </c>
      <c r="U688" s="2392">
        <v>15532985843</v>
      </c>
      <c r="V688" s="2395">
        <v>0</v>
      </c>
      <c r="W688" s="2395">
        <v>0</v>
      </c>
      <c r="X688" s="2392">
        <v>15532985843</v>
      </c>
      <c r="Z688" s="2390">
        <v>21191500</v>
      </c>
      <c r="AA688" s="2403" t="s">
        <v>4320</v>
      </c>
      <c r="AB688" s="2392">
        <v>44113273261</v>
      </c>
      <c r="AC688" s="2392">
        <v>634249097</v>
      </c>
      <c r="AD688" s="2393">
        <v>5855998679</v>
      </c>
      <c r="AE688" s="2394">
        <v>37847609</v>
      </c>
      <c r="AF688" s="2392">
        <v>2503836</v>
      </c>
      <c r="AG688" s="2392">
        <v>50643872482</v>
      </c>
      <c r="AH688" s="2395">
        <v>0</v>
      </c>
      <c r="AI688" s="2395">
        <v>0</v>
      </c>
      <c r="AJ688" s="2392">
        <v>50643872482</v>
      </c>
      <c r="AZ688" s="2390">
        <v>21191500</v>
      </c>
      <c r="BA688" s="2403" t="s">
        <v>4320</v>
      </c>
      <c r="BB688" s="2392">
        <v>47600863141</v>
      </c>
      <c r="BC688" s="2392">
        <v>327606904</v>
      </c>
      <c r="BD688" s="2393">
        <v>3844328729</v>
      </c>
      <c r="BE688" s="2394">
        <v>480939933</v>
      </c>
      <c r="BF688" s="2392">
        <v>1988614</v>
      </c>
      <c r="BG688" s="2392">
        <v>52255727321</v>
      </c>
      <c r="BH688" s="2395">
        <v>0</v>
      </c>
      <c r="BI688" s="2395">
        <v>0</v>
      </c>
      <c r="BJ688" s="2392">
        <v>52255727321</v>
      </c>
      <c r="BN688" s="2390">
        <v>22101800</v>
      </c>
      <c r="BO688" s="2403" t="s">
        <v>4337</v>
      </c>
      <c r="BP688" s="2392">
        <v>0</v>
      </c>
      <c r="BQ688" s="2392">
        <v>0</v>
      </c>
      <c r="BR688" s="2393">
        <v>0</v>
      </c>
      <c r="BS688" s="2394">
        <v>0</v>
      </c>
      <c r="BT688" s="2392">
        <v>0</v>
      </c>
      <c r="BU688" s="2392">
        <v>0</v>
      </c>
      <c r="BV688" s="2395">
        <v>0</v>
      </c>
      <c r="BW688" s="2395">
        <v>0</v>
      </c>
      <c r="BX688" s="2392">
        <v>0</v>
      </c>
    </row>
    <row r="689" spans="2:76">
      <c r="B689" s="2564">
        <v>21191501</v>
      </c>
      <c r="C689" s="2565" t="s">
        <v>4320</v>
      </c>
      <c r="D689" s="2566">
        <v>20079478311</v>
      </c>
      <c r="E689" s="1080">
        <v>740367177</v>
      </c>
      <c r="F689" s="2567">
        <v>1063375424</v>
      </c>
      <c r="G689" s="2568">
        <v>450336555</v>
      </c>
      <c r="H689" s="2566">
        <v>1381724</v>
      </c>
      <c r="I689" s="2566">
        <v>22334939191</v>
      </c>
      <c r="J689" s="2569">
        <v>0</v>
      </c>
      <c r="K689" s="2569">
        <v>0</v>
      </c>
      <c r="L689" s="2566">
        <v>22334939191</v>
      </c>
      <c r="N689" s="2396">
        <v>21191501</v>
      </c>
      <c r="O689" s="2397" t="s">
        <v>4320</v>
      </c>
      <c r="P689" s="2398">
        <v>11796626758</v>
      </c>
      <c r="Q689" s="2179">
        <v>477250213</v>
      </c>
      <c r="R689" s="2399">
        <v>2922846930</v>
      </c>
      <c r="S689" s="2400">
        <v>333951939</v>
      </c>
      <c r="T689" s="2398">
        <v>2310003</v>
      </c>
      <c r="U689" s="2398">
        <v>15532985843</v>
      </c>
      <c r="V689" s="2401">
        <v>0</v>
      </c>
      <c r="W689" s="2401">
        <v>0</v>
      </c>
      <c r="X689" s="2398">
        <v>15532985843</v>
      </c>
      <c r="Z689" s="2396">
        <v>21191501</v>
      </c>
      <c r="AA689" s="2397" t="s">
        <v>4320</v>
      </c>
      <c r="AB689" s="2398">
        <v>44113273261</v>
      </c>
      <c r="AC689" s="2179">
        <v>634249097</v>
      </c>
      <c r="AD689" s="2399">
        <v>5855998679</v>
      </c>
      <c r="AE689" s="2400">
        <v>37847609</v>
      </c>
      <c r="AF689" s="2398">
        <v>2503836</v>
      </c>
      <c r="AG689" s="2398">
        <v>50643872482</v>
      </c>
      <c r="AH689" s="2401">
        <v>0</v>
      </c>
      <c r="AI689" s="2401">
        <v>0</v>
      </c>
      <c r="AJ689" s="2398">
        <v>50643872482</v>
      </c>
      <c r="AZ689" s="2396">
        <v>21191501</v>
      </c>
      <c r="BA689" s="2397" t="s">
        <v>4320</v>
      </c>
      <c r="BB689" s="2398">
        <v>47600863141</v>
      </c>
      <c r="BC689" s="2179">
        <v>327606904</v>
      </c>
      <c r="BD689" s="2399">
        <v>3844328729</v>
      </c>
      <c r="BE689" s="2400">
        <v>480939933</v>
      </c>
      <c r="BF689" s="2398">
        <v>1988614</v>
      </c>
      <c r="BG689" s="2398">
        <v>52255727321</v>
      </c>
      <c r="BH689" s="2401">
        <v>0</v>
      </c>
      <c r="BI689" s="2401">
        <v>0</v>
      </c>
      <c r="BJ689" s="2398">
        <v>52255727321</v>
      </c>
      <c r="BN689" s="2396">
        <v>22101801</v>
      </c>
      <c r="BO689" s="2397" t="s">
        <v>4337</v>
      </c>
      <c r="BP689" s="2398">
        <v>0</v>
      </c>
      <c r="BQ689" s="2179">
        <v>0</v>
      </c>
      <c r="BR689" s="2399">
        <v>0</v>
      </c>
      <c r="BS689" s="2400">
        <v>0</v>
      </c>
      <c r="BT689" s="2398">
        <v>0</v>
      </c>
      <c r="BU689" s="2398">
        <v>0</v>
      </c>
      <c r="BV689" s="2401">
        <v>0</v>
      </c>
      <c r="BW689" s="2401">
        <v>0</v>
      </c>
      <c r="BX689" s="2398">
        <v>0</v>
      </c>
    </row>
    <row r="690" spans="2:76">
      <c r="B690" s="2558">
        <v>21191600</v>
      </c>
      <c r="C690" s="2571" t="s">
        <v>4314</v>
      </c>
      <c r="D690" s="2560">
        <v>2749221272</v>
      </c>
      <c r="E690" s="2560">
        <v>0</v>
      </c>
      <c r="F690" s="2561">
        <v>0</v>
      </c>
      <c r="G690" s="2562">
        <v>0</v>
      </c>
      <c r="H690" s="2560">
        <v>0</v>
      </c>
      <c r="I690" s="2560">
        <v>2749221272</v>
      </c>
      <c r="J690" s="2563">
        <v>0</v>
      </c>
      <c r="K690" s="2563">
        <v>0</v>
      </c>
      <c r="L690" s="2560">
        <v>2749221272</v>
      </c>
      <c r="N690" s="2390">
        <v>21191600</v>
      </c>
      <c r="O690" s="2403" t="s">
        <v>4314</v>
      </c>
      <c r="P690" s="2392">
        <v>7009344507</v>
      </c>
      <c r="Q690" s="2392">
        <v>0</v>
      </c>
      <c r="R690" s="2393">
        <v>0</v>
      </c>
      <c r="S690" s="2394">
        <v>0</v>
      </c>
      <c r="T690" s="2392">
        <v>0</v>
      </c>
      <c r="U690" s="2392">
        <v>7009344507</v>
      </c>
      <c r="V690" s="2395">
        <v>0</v>
      </c>
      <c r="W690" s="2395">
        <v>0</v>
      </c>
      <c r="X690" s="2392">
        <v>7009344507</v>
      </c>
      <c r="Z690" s="2390">
        <v>21191600</v>
      </c>
      <c r="AA690" s="2403" t="s">
        <v>4314</v>
      </c>
      <c r="AB690" s="2392">
        <v>3065924704</v>
      </c>
      <c r="AC690" s="2392">
        <v>0</v>
      </c>
      <c r="AD690" s="2393">
        <v>0</v>
      </c>
      <c r="AE690" s="2394">
        <v>0</v>
      </c>
      <c r="AF690" s="2392">
        <v>0</v>
      </c>
      <c r="AG690" s="2392">
        <v>3065924704</v>
      </c>
      <c r="AH690" s="2395">
        <v>0</v>
      </c>
      <c r="AI690" s="2395">
        <v>0</v>
      </c>
      <c r="AJ690" s="2392">
        <v>3065924704</v>
      </c>
      <c r="AZ690" s="2390">
        <v>21191600</v>
      </c>
      <c r="BA690" s="2403" t="s">
        <v>4314</v>
      </c>
      <c r="BB690" s="2392">
        <v>677317342</v>
      </c>
      <c r="BC690" s="2392">
        <v>0</v>
      </c>
      <c r="BD690" s="2393">
        <v>0</v>
      </c>
      <c r="BE690" s="2394">
        <v>0</v>
      </c>
      <c r="BF690" s="2392">
        <v>0</v>
      </c>
      <c r="BG690" s="2392">
        <v>677317342</v>
      </c>
      <c r="BH690" s="2395">
        <v>0</v>
      </c>
      <c r="BI690" s="2395">
        <v>0</v>
      </c>
      <c r="BJ690" s="2392">
        <v>677317342</v>
      </c>
      <c r="BN690" s="2384">
        <v>22110000</v>
      </c>
      <c r="BO690" s="2402" t="s">
        <v>4338</v>
      </c>
      <c r="BP690" s="2386">
        <v>0</v>
      </c>
      <c r="BQ690" s="2386">
        <v>0</v>
      </c>
      <c r="BR690" s="2387">
        <v>0</v>
      </c>
      <c r="BS690" s="2388">
        <v>0</v>
      </c>
      <c r="BT690" s="2386">
        <v>0</v>
      </c>
      <c r="BU690" s="2386">
        <v>0</v>
      </c>
      <c r="BV690" s="2389">
        <v>0</v>
      </c>
      <c r="BW690" s="2389">
        <v>0</v>
      </c>
      <c r="BX690" s="2386">
        <v>0</v>
      </c>
    </row>
    <row r="691" spans="2:76">
      <c r="B691" s="2564">
        <v>21191601</v>
      </c>
      <c r="C691" s="2565" t="s">
        <v>4314</v>
      </c>
      <c r="D691" s="2566">
        <v>2749221272</v>
      </c>
      <c r="E691" s="1080">
        <v>0</v>
      </c>
      <c r="F691" s="2567">
        <v>0</v>
      </c>
      <c r="G691" s="2568">
        <v>0</v>
      </c>
      <c r="H691" s="2566">
        <v>0</v>
      </c>
      <c r="I691" s="2566">
        <v>2749221272</v>
      </c>
      <c r="J691" s="2569">
        <v>0</v>
      </c>
      <c r="K691" s="2569">
        <v>0</v>
      </c>
      <c r="L691" s="2566">
        <v>2749221272</v>
      </c>
      <c r="N691" s="2396">
        <v>21191601</v>
      </c>
      <c r="O691" s="2397" t="s">
        <v>4314</v>
      </c>
      <c r="P691" s="2398">
        <v>7009344507</v>
      </c>
      <c r="Q691" s="2179">
        <v>0</v>
      </c>
      <c r="R691" s="2399">
        <v>0</v>
      </c>
      <c r="S691" s="2400">
        <v>0</v>
      </c>
      <c r="T691" s="2398">
        <v>0</v>
      </c>
      <c r="U691" s="2398">
        <v>7009344507</v>
      </c>
      <c r="V691" s="2401">
        <v>0</v>
      </c>
      <c r="W691" s="2401">
        <v>0</v>
      </c>
      <c r="X691" s="2398">
        <v>7009344507</v>
      </c>
      <c r="Z691" s="2396">
        <v>21191601</v>
      </c>
      <c r="AA691" s="2397" t="s">
        <v>4314</v>
      </c>
      <c r="AB691" s="2398">
        <v>3065924704</v>
      </c>
      <c r="AC691" s="2179">
        <v>0</v>
      </c>
      <c r="AD691" s="2399">
        <v>0</v>
      </c>
      <c r="AE691" s="2400">
        <v>0</v>
      </c>
      <c r="AF691" s="2398">
        <v>0</v>
      </c>
      <c r="AG691" s="2398">
        <v>3065924704</v>
      </c>
      <c r="AH691" s="2401">
        <v>0</v>
      </c>
      <c r="AI691" s="2401">
        <v>0</v>
      </c>
      <c r="AJ691" s="2398">
        <v>3065924704</v>
      </c>
      <c r="AZ691" s="2396">
        <v>21191601</v>
      </c>
      <c r="BA691" s="2397" t="s">
        <v>4314</v>
      </c>
      <c r="BB691" s="2398">
        <v>677317342</v>
      </c>
      <c r="BC691" s="2179">
        <v>0</v>
      </c>
      <c r="BD691" s="2399">
        <v>0</v>
      </c>
      <c r="BE691" s="2400">
        <v>0</v>
      </c>
      <c r="BF691" s="2398">
        <v>0</v>
      </c>
      <c r="BG691" s="2398">
        <v>677317342</v>
      </c>
      <c r="BH691" s="2401">
        <v>0</v>
      </c>
      <c r="BI691" s="2401">
        <v>0</v>
      </c>
      <c r="BJ691" s="2398">
        <v>677317342</v>
      </c>
      <c r="BN691" s="2390">
        <v>22111000</v>
      </c>
      <c r="BO691" s="2403" t="s">
        <v>4339</v>
      </c>
      <c r="BP691" s="2392">
        <v>0</v>
      </c>
      <c r="BQ691" s="2392">
        <v>0</v>
      </c>
      <c r="BR691" s="2393">
        <v>0</v>
      </c>
      <c r="BS691" s="2394">
        <v>0</v>
      </c>
      <c r="BT691" s="2392">
        <v>0</v>
      </c>
      <c r="BU691" s="2392">
        <v>0</v>
      </c>
      <c r="BV691" s="2395">
        <v>0</v>
      </c>
      <c r="BW691" s="2395">
        <v>0</v>
      </c>
      <c r="BX691" s="2392">
        <v>0</v>
      </c>
    </row>
    <row r="692" spans="2:76">
      <c r="B692" s="2552">
        <v>21200000</v>
      </c>
      <c r="C692" s="2570" t="s">
        <v>4321</v>
      </c>
      <c r="D692" s="2554">
        <v>0</v>
      </c>
      <c r="E692" s="2554">
        <v>0</v>
      </c>
      <c r="F692" s="2555">
        <v>0</v>
      </c>
      <c r="G692" s="2556">
        <v>0</v>
      </c>
      <c r="H692" s="2554">
        <v>0</v>
      </c>
      <c r="I692" s="2554">
        <v>0</v>
      </c>
      <c r="J692" s="2557">
        <v>0</v>
      </c>
      <c r="K692" s="2557">
        <v>0</v>
      </c>
      <c r="L692" s="2554">
        <v>0</v>
      </c>
      <c r="N692" s="2384">
        <v>21200000</v>
      </c>
      <c r="O692" s="2402" t="s">
        <v>4321</v>
      </c>
      <c r="P692" s="2386">
        <v>0</v>
      </c>
      <c r="Q692" s="2386">
        <v>0</v>
      </c>
      <c r="R692" s="2387">
        <v>0</v>
      </c>
      <c r="S692" s="2388">
        <v>0</v>
      </c>
      <c r="T692" s="2386">
        <v>0</v>
      </c>
      <c r="U692" s="2386">
        <v>0</v>
      </c>
      <c r="V692" s="2389">
        <v>0</v>
      </c>
      <c r="W692" s="2389">
        <v>0</v>
      </c>
      <c r="X692" s="2386">
        <v>0</v>
      </c>
      <c r="Z692" s="2384">
        <v>21200000</v>
      </c>
      <c r="AA692" s="2402" t="s">
        <v>4321</v>
      </c>
      <c r="AB692" s="2386">
        <v>0</v>
      </c>
      <c r="AC692" s="2386">
        <v>0</v>
      </c>
      <c r="AD692" s="2387">
        <v>0</v>
      </c>
      <c r="AE692" s="2388">
        <v>0</v>
      </c>
      <c r="AF692" s="2386">
        <v>0</v>
      </c>
      <c r="AG692" s="2386">
        <v>0</v>
      </c>
      <c r="AH692" s="2389">
        <v>0</v>
      </c>
      <c r="AI692" s="2389">
        <v>0</v>
      </c>
      <c r="AJ692" s="2386">
        <v>0</v>
      </c>
      <c r="AZ692" s="2384">
        <v>21200000</v>
      </c>
      <c r="BA692" s="2402" t="s">
        <v>4321</v>
      </c>
      <c r="BB692" s="2386">
        <v>0</v>
      </c>
      <c r="BC692" s="2386">
        <v>0</v>
      </c>
      <c r="BD692" s="2387">
        <v>0</v>
      </c>
      <c r="BE692" s="2388">
        <v>0</v>
      </c>
      <c r="BF692" s="2386">
        <v>0</v>
      </c>
      <c r="BG692" s="2386">
        <v>0</v>
      </c>
      <c r="BH692" s="2389">
        <v>0</v>
      </c>
      <c r="BI692" s="2389">
        <v>0</v>
      </c>
      <c r="BJ692" s="2386">
        <v>0</v>
      </c>
      <c r="BN692" s="2396">
        <v>22111001</v>
      </c>
      <c r="BO692" s="2397" t="s">
        <v>4339</v>
      </c>
      <c r="BP692" s="2398">
        <v>0</v>
      </c>
      <c r="BQ692" s="2179">
        <v>0</v>
      </c>
      <c r="BR692" s="2399">
        <v>0</v>
      </c>
      <c r="BS692" s="2400">
        <v>0</v>
      </c>
      <c r="BT692" s="2398">
        <v>0</v>
      </c>
      <c r="BU692" s="2398">
        <v>0</v>
      </c>
      <c r="BV692" s="2401">
        <v>0</v>
      </c>
      <c r="BW692" s="2401">
        <v>0</v>
      </c>
      <c r="BX692" s="2398">
        <v>0</v>
      </c>
    </row>
    <row r="693" spans="2:76">
      <c r="B693" s="2558">
        <v>21201000</v>
      </c>
      <c r="C693" s="2571" t="s">
        <v>4322</v>
      </c>
      <c r="D693" s="2560">
        <v>0</v>
      </c>
      <c r="E693" s="2560">
        <v>0</v>
      </c>
      <c r="F693" s="2561">
        <v>0</v>
      </c>
      <c r="G693" s="2562">
        <v>0</v>
      </c>
      <c r="H693" s="2560">
        <v>0</v>
      </c>
      <c r="I693" s="2560">
        <v>0</v>
      </c>
      <c r="J693" s="2563">
        <v>0</v>
      </c>
      <c r="K693" s="2563">
        <v>0</v>
      </c>
      <c r="L693" s="2560">
        <v>0</v>
      </c>
      <c r="N693" s="2390">
        <v>21201000</v>
      </c>
      <c r="O693" s="2403" t="s">
        <v>4322</v>
      </c>
      <c r="P693" s="2392">
        <v>0</v>
      </c>
      <c r="Q693" s="2392">
        <v>0</v>
      </c>
      <c r="R693" s="2393">
        <v>0</v>
      </c>
      <c r="S693" s="2394">
        <v>0</v>
      </c>
      <c r="T693" s="2392">
        <v>0</v>
      </c>
      <c r="U693" s="2392">
        <v>0</v>
      </c>
      <c r="V693" s="2395">
        <v>0</v>
      </c>
      <c r="W693" s="2395">
        <v>0</v>
      </c>
      <c r="X693" s="2392">
        <v>0</v>
      </c>
      <c r="Z693" s="2390">
        <v>21201000</v>
      </c>
      <c r="AA693" s="2403" t="s">
        <v>4322</v>
      </c>
      <c r="AB693" s="2392">
        <v>0</v>
      </c>
      <c r="AC693" s="2392">
        <v>0</v>
      </c>
      <c r="AD693" s="2393">
        <v>0</v>
      </c>
      <c r="AE693" s="2394">
        <v>0</v>
      </c>
      <c r="AF693" s="2392">
        <v>0</v>
      </c>
      <c r="AG693" s="2392">
        <v>0</v>
      </c>
      <c r="AH693" s="2395">
        <v>0</v>
      </c>
      <c r="AI693" s="2395">
        <v>0</v>
      </c>
      <c r="AJ693" s="2392">
        <v>0</v>
      </c>
      <c r="AZ693" s="2390">
        <v>21201000</v>
      </c>
      <c r="BA693" s="2403" t="s">
        <v>4322</v>
      </c>
      <c r="BB693" s="2392">
        <v>0</v>
      </c>
      <c r="BC693" s="2392">
        <v>0</v>
      </c>
      <c r="BD693" s="2393">
        <v>0</v>
      </c>
      <c r="BE693" s="2394">
        <v>0</v>
      </c>
      <c r="BF693" s="2392">
        <v>0</v>
      </c>
      <c r="BG693" s="2392">
        <v>0</v>
      </c>
      <c r="BH693" s="2395">
        <v>0</v>
      </c>
      <c r="BI693" s="2395">
        <v>0</v>
      </c>
      <c r="BJ693" s="2392">
        <v>0</v>
      </c>
      <c r="BN693" s="2390">
        <v>22111100</v>
      </c>
      <c r="BO693" s="2403" t="s">
        <v>4340</v>
      </c>
      <c r="BP693" s="2392">
        <v>0</v>
      </c>
      <c r="BQ693" s="2392">
        <v>0</v>
      </c>
      <c r="BR693" s="2393">
        <v>0</v>
      </c>
      <c r="BS693" s="2394">
        <v>0</v>
      </c>
      <c r="BT693" s="2392">
        <v>0</v>
      </c>
      <c r="BU693" s="2392">
        <v>0</v>
      </c>
      <c r="BV693" s="2395">
        <v>0</v>
      </c>
      <c r="BW693" s="2395">
        <v>0</v>
      </c>
      <c r="BX693" s="2392">
        <v>0</v>
      </c>
    </row>
    <row r="694" spans="2:76">
      <c r="B694" s="2564">
        <v>21201001</v>
      </c>
      <c r="C694" s="2565" t="s">
        <v>5067</v>
      </c>
      <c r="D694" s="2566">
        <v>0</v>
      </c>
      <c r="E694" s="1080">
        <v>0</v>
      </c>
      <c r="F694" s="2567">
        <v>0</v>
      </c>
      <c r="G694" s="2568">
        <v>0</v>
      </c>
      <c r="H694" s="2566">
        <v>0</v>
      </c>
      <c r="I694" s="2566">
        <v>0</v>
      </c>
      <c r="J694" s="2569">
        <v>0</v>
      </c>
      <c r="K694" s="2569">
        <v>0</v>
      </c>
      <c r="L694" s="2566">
        <v>0</v>
      </c>
      <c r="N694" s="2396">
        <v>21201001</v>
      </c>
      <c r="O694" s="2397" t="s">
        <v>4322</v>
      </c>
      <c r="P694" s="2398">
        <v>0</v>
      </c>
      <c r="Q694" s="2179">
        <v>0</v>
      </c>
      <c r="R694" s="2399">
        <v>0</v>
      </c>
      <c r="S694" s="2400">
        <v>0</v>
      </c>
      <c r="T694" s="2398">
        <v>0</v>
      </c>
      <c r="U694" s="2398">
        <v>0</v>
      </c>
      <c r="V694" s="2401">
        <v>0</v>
      </c>
      <c r="W694" s="2401">
        <v>0</v>
      </c>
      <c r="X694" s="2398">
        <v>0</v>
      </c>
      <c r="Z694" s="2396">
        <v>21201001</v>
      </c>
      <c r="AA694" s="2397" t="s">
        <v>4322</v>
      </c>
      <c r="AB694" s="2398">
        <v>0</v>
      </c>
      <c r="AC694" s="2179">
        <v>0</v>
      </c>
      <c r="AD694" s="2399">
        <v>0</v>
      </c>
      <c r="AE694" s="2400">
        <v>0</v>
      </c>
      <c r="AF694" s="2398">
        <v>0</v>
      </c>
      <c r="AG694" s="2398">
        <v>0</v>
      </c>
      <c r="AH694" s="2401">
        <v>0</v>
      </c>
      <c r="AI694" s="2401">
        <v>0</v>
      </c>
      <c r="AJ694" s="2398">
        <v>0</v>
      </c>
      <c r="AZ694" s="2396">
        <v>21201001</v>
      </c>
      <c r="BA694" s="2397" t="s">
        <v>4322</v>
      </c>
      <c r="BB694" s="2398">
        <v>0</v>
      </c>
      <c r="BC694" s="2179">
        <v>0</v>
      </c>
      <c r="BD694" s="2399">
        <v>0</v>
      </c>
      <c r="BE694" s="2400">
        <v>0</v>
      </c>
      <c r="BF694" s="2398">
        <v>0</v>
      </c>
      <c r="BG694" s="2398">
        <v>0</v>
      </c>
      <c r="BH694" s="2401">
        <v>0</v>
      </c>
      <c r="BI694" s="2401">
        <v>0</v>
      </c>
      <c r="BJ694" s="2398">
        <v>0</v>
      </c>
      <c r="BN694" s="2396">
        <v>22111101</v>
      </c>
      <c r="BO694" s="2397" t="s">
        <v>4341</v>
      </c>
      <c r="BP694" s="2398">
        <v>0</v>
      </c>
      <c r="BQ694" s="2179">
        <v>0</v>
      </c>
      <c r="BR694" s="2399">
        <v>0</v>
      </c>
      <c r="BS694" s="2400">
        <v>0</v>
      </c>
      <c r="BT694" s="2398">
        <v>0</v>
      </c>
      <c r="BU694" s="2398">
        <v>0</v>
      </c>
      <c r="BV694" s="2401">
        <v>0</v>
      </c>
      <c r="BW694" s="2401">
        <v>0</v>
      </c>
      <c r="BX694" s="2398">
        <v>0</v>
      </c>
    </row>
    <row r="695" spans="2:76">
      <c r="B695" s="2558">
        <v>21201100</v>
      </c>
      <c r="C695" s="2571" t="s">
        <v>4321</v>
      </c>
      <c r="D695" s="2560">
        <v>0</v>
      </c>
      <c r="E695" s="2560">
        <v>0</v>
      </c>
      <c r="F695" s="2561">
        <v>0</v>
      </c>
      <c r="G695" s="2562">
        <v>0</v>
      </c>
      <c r="H695" s="2560">
        <v>0</v>
      </c>
      <c r="I695" s="2560">
        <v>0</v>
      </c>
      <c r="J695" s="2563">
        <v>0</v>
      </c>
      <c r="K695" s="2563">
        <v>0</v>
      </c>
      <c r="L695" s="2560">
        <v>0</v>
      </c>
      <c r="N695" s="2390">
        <v>21201100</v>
      </c>
      <c r="O695" s="2403" t="s">
        <v>4321</v>
      </c>
      <c r="P695" s="2392">
        <v>0</v>
      </c>
      <c r="Q695" s="2392">
        <v>0</v>
      </c>
      <c r="R695" s="2393">
        <v>0</v>
      </c>
      <c r="S695" s="2394">
        <v>0</v>
      </c>
      <c r="T695" s="2392">
        <v>0</v>
      </c>
      <c r="U695" s="2392">
        <v>0</v>
      </c>
      <c r="V695" s="2395">
        <v>0</v>
      </c>
      <c r="W695" s="2395">
        <v>0</v>
      </c>
      <c r="X695" s="2392">
        <v>0</v>
      </c>
      <c r="Z695" s="2390">
        <v>21201100</v>
      </c>
      <c r="AA695" s="2403" t="s">
        <v>4321</v>
      </c>
      <c r="AB695" s="2392">
        <v>0</v>
      </c>
      <c r="AC695" s="2392">
        <v>0</v>
      </c>
      <c r="AD695" s="2393">
        <v>0</v>
      </c>
      <c r="AE695" s="2394">
        <v>0</v>
      </c>
      <c r="AF695" s="2392">
        <v>0</v>
      </c>
      <c r="AG695" s="2392">
        <v>0</v>
      </c>
      <c r="AH695" s="2395">
        <v>0</v>
      </c>
      <c r="AI695" s="2395">
        <v>0</v>
      </c>
      <c r="AJ695" s="2392">
        <v>0</v>
      </c>
      <c r="AZ695" s="2390">
        <v>21201100</v>
      </c>
      <c r="BA695" s="2403" t="s">
        <v>4321</v>
      </c>
      <c r="BB695" s="2392">
        <v>0</v>
      </c>
      <c r="BC695" s="2392">
        <v>0</v>
      </c>
      <c r="BD695" s="2393">
        <v>0</v>
      </c>
      <c r="BE695" s="2394">
        <v>0</v>
      </c>
      <c r="BF695" s="2392">
        <v>0</v>
      </c>
      <c r="BG695" s="2392">
        <v>0</v>
      </c>
      <c r="BH695" s="2395">
        <v>0</v>
      </c>
      <c r="BI695" s="2395">
        <v>0</v>
      </c>
      <c r="BJ695" s="2392">
        <v>0</v>
      </c>
      <c r="BN695" s="2396">
        <v>22111102</v>
      </c>
      <c r="BO695" s="2397" t="s">
        <v>4342</v>
      </c>
      <c r="BP695" s="2398">
        <v>0</v>
      </c>
      <c r="BQ695" s="2179">
        <v>0</v>
      </c>
      <c r="BR695" s="2399">
        <v>0</v>
      </c>
      <c r="BS695" s="2400">
        <v>0</v>
      </c>
      <c r="BT695" s="2398">
        <v>0</v>
      </c>
      <c r="BU695" s="2398">
        <v>0</v>
      </c>
      <c r="BV695" s="2401">
        <v>0</v>
      </c>
      <c r="BW695" s="2401">
        <v>0</v>
      </c>
      <c r="BX695" s="2398">
        <v>0</v>
      </c>
    </row>
    <row r="696" spans="2:76">
      <c r="B696" s="2564">
        <v>21201101</v>
      </c>
      <c r="C696" s="2565" t="s">
        <v>4323</v>
      </c>
      <c r="D696" s="2566">
        <v>0</v>
      </c>
      <c r="E696" s="1080">
        <v>0</v>
      </c>
      <c r="F696" s="2567">
        <v>0</v>
      </c>
      <c r="G696" s="2568">
        <v>0</v>
      </c>
      <c r="H696" s="2566">
        <v>0</v>
      </c>
      <c r="I696" s="2566">
        <v>0</v>
      </c>
      <c r="J696" s="2569">
        <v>0</v>
      </c>
      <c r="K696" s="2569">
        <v>0</v>
      </c>
      <c r="L696" s="2566">
        <v>0</v>
      </c>
      <c r="N696" s="2396">
        <v>21201101</v>
      </c>
      <c r="O696" s="2397" t="s">
        <v>4323</v>
      </c>
      <c r="P696" s="2398">
        <v>0</v>
      </c>
      <c r="Q696" s="2179">
        <v>0</v>
      </c>
      <c r="R696" s="2399">
        <v>0</v>
      </c>
      <c r="S696" s="2400">
        <v>0</v>
      </c>
      <c r="T696" s="2398">
        <v>0</v>
      </c>
      <c r="U696" s="2398">
        <v>0</v>
      </c>
      <c r="V696" s="2401">
        <v>0</v>
      </c>
      <c r="W696" s="2401">
        <v>0</v>
      </c>
      <c r="X696" s="2398">
        <v>0</v>
      </c>
      <c r="Z696" s="2396">
        <v>21201101</v>
      </c>
      <c r="AA696" s="2397" t="s">
        <v>4323</v>
      </c>
      <c r="AB696" s="2398">
        <v>0</v>
      </c>
      <c r="AC696" s="2179">
        <v>0</v>
      </c>
      <c r="AD696" s="2399">
        <v>0</v>
      </c>
      <c r="AE696" s="2400">
        <v>0</v>
      </c>
      <c r="AF696" s="2398">
        <v>0</v>
      </c>
      <c r="AG696" s="2398">
        <v>0</v>
      </c>
      <c r="AH696" s="2401">
        <v>0</v>
      </c>
      <c r="AI696" s="2401">
        <v>0</v>
      </c>
      <c r="AJ696" s="2398">
        <v>0</v>
      </c>
      <c r="AZ696" s="2396">
        <v>21201101</v>
      </c>
      <c r="BA696" s="2397" t="s">
        <v>4323</v>
      </c>
      <c r="BB696" s="2398">
        <v>0</v>
      </c>
      <c r="BC696" s="2179">
        <v>0</v>
      </c>
      <c r="BD696" s="2399">
        <v>0</v>
      </c>
      <c r="BE696" s="2400">
        <v>0</v>
      </c>
      <c r="BF696" s="2398">
        <v>0</v>
      </c>
      <c r="BG696" s="2398">
        <v>0</v>
      </c>
      <c r="BH696" s="2401">
        <v>0</v>
      </c>
      <c r="BI696" s="2401">
        <v>0</v>
      </c>
      <c r="BJ696" s="2398">
        <v>0</v>
      </c>
      <c r="BN696" s="2384">
        <v>22120000</v>
      </c>
      <c r="BO696" s="2402" t="s">
        <v>4343</v>
      </c>
      <c r="BP696" s="2386">
        <v>0</v>
      </c>
      <c r="BQ696" s="2386">
        <v>0</v>
      </c>
      <c r="BR696" s="2387">
        <v>0</v>
      </c>
      <c r="BS696" s="2388">
        <v>0</v>
      </c>
      <c r="BT696" s="2386">
        <v>0</v>
      </c>
      <c r="BU696" s="2386">
        <v>0</v>
      </c>
      <c r="BV696" s="2389">
        <v>0</v>
      </c>
      <c r="BW696" s="2389">
        <v>0</v>
      </c>
      <c r="BX696" s="2386">
        <v>0</v>
      </c>
    </row>
    <row r="697" spans="2:76">
      <c r="B697" s="2552">
        <v>21210000</v>
      </c>
      <c r="C697" s="2570" t="s">
        <v>4324</v>
      </c>
      <c r="D697" s="2554">
        <v>0</v>
      </c>
      <c r="E697" s="2554">
        <v>0</v>
      </c>
      <c r="F697" s="2555">
        <v>0</v>
      </c>
      <c r="G697" s="2556">
        <v>0</v>
      </c>
      <c r="H697" s="2554">
        <v>0</v>
      </c>
      <c r="I697" s="2554">
        <v>0</v>
      </c>
      <c r="J697" s="2557">
        <v>0</v>
      </c>
      <c r="K697" s="2557">
        <v>0</v>
      </c>
      <c r="L697" s="2554">
        <v>0</v>
      </c>
      <c r="N697" s="2384">
        <v>21210000</v>
      </c>
      <c r="O697" s="2402" t="s">
        <v>4324</v>
      </c>
      <c r="P697" s="2386">
        <v>0</v>
      </c>
      <c r="Q697" s="2386">
        <v>0</v>
      </c>
      <c r="R697" s="2387">
        <v>0</v>
      </c>
      <c r="S697" s="2388">
        <v>0</v>
      </c>
      <c r="T697" s="2386">
        <v>0</v>
      </c>
      <c r="U697" s="2386">
        <v>0</v>
      </c>
      <c r="V697" s="2389">
        <v>0</v>
      </c>
      <c r="W697" s="2389">
        <v>0</v>
      </c>
      <c r="X697" s="2386">
        <v>0</v>
      </c>
      <c r="Z697" s="2384">
        <v>21210000</v>
      </c>
      <c r="AA697" s="2402" t="s">
        <v>4324</v>
      </c>
      <c r="AB697" s="2386">
        <v>0</v>
      </c>
      <c r="AC697" s="2386">
        <v>0</v>
      </c>
      <c r="AD697" s="2387">
        <v>0</v>
      </c>
      <c r="AE697" s="2388">
        <v>0</v>
      </c>
      <c r="AF697" s="2386">
        <v>0</v>
      </c>
      <c r="AG697" s="2386">
        <v>0</v>
      </c>
      <c r="AH697" s="2389">
        <v>0</v>
      </c>
      <c r="AI697" s="2389">
        <v>0</v>
      </c>
      <c r="AJ697" s="2386">
        <v>0</v>
      </c>
      <c r="AZ697" s="2384">
        <v>21210000</v>
      </c>
      <c r="BA697" s="2402" t="s">
        <v>4324</v>
      </c>
      <c r="BB697" s="2386">
        <v>0</v>
      </c>
      <c r="BC697" s="2386">
        <v>0</v>
      </c>
      <c r="BD697" s="2387">
        <v>0</v>
      </c>
      <c r="BE697" s="2388">
        <v>0</v>
      </c>
      <c r="BF697" s="2386">
        <v>0</v>
      </c>
      <c r="BG697" s="2386">
        <v>0</v>
      </c>
      <c r="BH697" s="2389">
        <v>0</v>
      </c>
      <c r="BI697" s="2389">
        <v>0</v>
      </c>
      <c r="BJ697" s="2386">
        <v>0</v>
      </c>
      <c r="BN697" s="2390">
        <v>22121000</v>
      </c>
      <c r="BO697" s="2403" t="s">
        <v>4344</v>
      </c>
      <c r="BP697" s="2392">
        <v>0</v>
      </c>
      <c r="BQ697" s="2392">
        <v>0</v>
      </c>
      <c r="BR697" s="2393">
        <v>0</v>
      </c>
      <c r="BS697" s="2394">
        <v>0</v>
      </c>
      <c r="BT697" s="2392">
        <v>0</v>
      </c>
      <c r="BU697" s="2392">
        <v>0</v>
      </c>
      <c r="BV697" s="2395">
        <v>0</v>
      </c>
      <c r="BW697" s="2395">
        <v>0</v>
      </c>
      <c r="BX697" s="2392">
        <v>0</v>
      </c>
    </row>
    <row r="698" spans="2:76">
      <c r="B698" s="2558">
        <v>21211000</v>
      </c>
      <c r="C698" s="2571" t="s">
        <v>4324</v>
      </c>
      <c r="D698" s="2560">
        <v>0</v>
      </c>
      <c r="E698" s="2560">
        <v>0</v>
      </c>
      <c r="F698" s="2561">
        <v>0</v>
      </c>
      <c r="G698" s="2562">
        <v>0</v>
      </c>
      <c r="H698" s="2560">
        <v>0</v>
      </c>
      <c r="I698" s="2560">
        <v>0</v>
      </c>
      <c r="J698" s="2563">
        <v>0</v>
      </c>
      <c r="K698" s="2563">
        <v>0</v>
      </c>
      <c r="L698" s="2560">
        <v>0</v>
      </c>
      <c r="N698" s="2390">
        <v>21211000</v>
      </c>
      <c r="O698" s="2403" t="s">
        <v>4324</v>
      </c>
      <c r="P698" s="2392">
        <v>0</v>
      </c>
      <c r="Q698" s="2392">
        <v>0</v>
      </c>
      <c r="R698" s="2393">
        <v>0</v>
      </c>
      <c r="S698" s="2394">
        <v>0</v>
      </c>
      <c r="T698" s="2392">
        <v>0</v>
      </c>
      <c r="U698" s="2392">
        <v>0</v>
      </c>
      <c r="V698" s="2395">
        <v>0</v>
      </c>
      <c r="W698" s="2395">
        <v>0</v>
      </c>
      <c r="X698" s="2392">
        <v>0</v>
      </c>
      <c r="Z698" s="2390">
        <v>21211000</v>
      </c>
      <c r="AA698" s="2403" t="s">
        <v>4324</v>
      </c>
      <c r="AB698" s="2392">
        <v>0</v>
      </c>
      <c r="AC698" s="2392">
        <v>0</v>
      </c>
      <c r="AD698" s="2393">
        <v>0</v>
      </c>
      <c r="AE698" s="2394">
        <v>0</v>
      </c>
      <c r="AF698" s="2392">
        <v>0</v>
      </c>
      <c r="AG698" s="2392">
        <v>0</v>
      </c>
      <c r="AH698" s="2395">
        <v>0</v>
      </c>
      <c r="AI698" s="2395">
        <v>0</v>
      </c>
      <c r="AJ698" s="2392">
        <v>0</v>
      </c>
      <c r="AZ698" s="2390">
        <v>21211000</v>
      </c>
      <c r="BA698" s="2403" t="s">
        <v>4324</v>
      </c>
      <c r="BB698" s="2392">
        <v>0</v>
      </c>
      <c r="BC698" s="2392">
        <v>0</v>
      </c>
      <c r="BD698" s="2393">
        <v>0</v>
      </c>
      <c r="BE698" s="2394">
        <v>0</v>
      </c>
      <c r="BF698" s="2392">
        <v>0</v>
      </c>
      <c r="BG698" s="2392">
        <v>0</v>
      </c>
      <c r="BH698" s="2395">
        <v>0</v>
      </c>
      <c r="BI698" s="2395">
        <v>0</v>
      </c>
      <c r="BJ698" s="2392">
        <v>0</v>
      </c>
      <c r="BN698" s="2396">
        <v>22121001</v>
      </c>
      <c r="BO698" s="2397" t="s">
        <v>4345</v>
      </c>
      <c r="BP698" s="2398">
        <v>0</v>
      </c>
      <c r="BQ698" s="2179">
        <v>0</v>
      </c>
      <c r="BR698" s="2399">
        <v>0</v>
      </c>
      <c r="BS698" s="2400">
        <v>0</v>
      </c>
      <c r="BT698" s="2398">
        <v>0</v>
      </c>
      <c r="BU698" s="2398">
        <v>0</v>
      </c>
      <c r="BV698" s="2401">
        <v>0</v>
      </c>
      <c r="BW698" s="2401">
        <v>0</v>
      </c>
      <c r="BX698" s="2398">
        <v>0</v>
      </c>
    </row>
    <row r="699" spans="2:76">
      <c r="B699" s="2564">
        <v>21211001</v>
      </c>
      <c r="C699" s="2565" t="s">
        <v>4324</v>
      </c>
      <c r="D699" s="2566">
        <v>0</v>
      </c>
      <c r="E699" s="1080">
        <v>0</v>
      </c>
      <c r="F699" s="2567">
        <v>0</v>
      </c>
      <c r="G699" s="2568">
        <v>0</v>
      </c>
      <c r="H699" s="2566">
        <v>0</v>
      </c>
      <c r="I699" s="2566">
        <v>0</v>
      </c>
      <c r="J699" s="2569">
        <v>0</v>
      </c>
      <c r="K699" s="2569">
        <v>0</v>
      </c>
      <c r="L699" s="2566">
        <v>0</v>
      </c>
      <c r="N699" s="2396">
        <v>21211001</v>
      </c>
      <c r="O699" s="2397" t="s">
        <v>4324</v>
      </c>
      <c r="P699" s="2398">
        <v>0</v>
      </c>
      <c r="Q699" s="2179">
        <v>0</v>
      </c>
      <c r="R699" s="2399">
        <v>0</v>
      </c>
      <c r="S699" s="2400">
        <v>0</v>
      </c>
      <c r="T699" s="2398">
        <v>0</v>
      </c>
      <c r="U699" s="2398">
        <v>0</v>
      </c>
      <c r="V699" s="2401">
        <v>0</v>
      </c>
      <c r="W699" s="2401">
        <v>0</v>
      </c>
      <c r="X699" s="2398">
        <v>0</v>
      </c>
      <c r="Z699" s="2396">
        <v>21211001</v>
      </c>
      <c r="AA699" s="2397" t="s">
        <v>4324</v>
      </c>
      <c r="AB699" s="2398">
        <v>0</v>
      </c>
      <c r="AC699" s="2179">
        <v>0</v>
      </c>
      <c r="AD699" s="2399">
        <v>0</v>
      </c>
      <c r="AE699" s="2400">
        <v>0</v>
      </c>
      <c r="AF699" s="2398">
        <v>0</v>
      </c>
      <c r="AG699" s="2398">
        <v>0</v>
      </c>
      <c r="AH699" s="2401">
        <v>0</v>
      </c>
      <c r="AI699" s="2401">
        <v>0</v>
      </c>
      <c r="AJ699" s="2398">
        <v>0</v>
      </c>
      <c r="AZ699" s="2396">
        <v>21211001</v>
      </c>
      <c r="BA699" s="2397" t="s">
        <v>4324</v>
      </c>
      <c r="BB699" s="2398">
        <v>0</v>
      </c>
      <c r="BC699" s="2179">
        <v>0</v>
      </c>
      <c r="BD699" s="2399">
        <v>0</v>
      </c>
      <c r="BE699" s="2400">
        <v>0</v>
      </c>
      <c r="BF699" s="2398">
        <v>0</v>
      </c>
      <c r="BG699" s="2398">
        <v>0</v>
      </c>
      <c r="BH699" s="2401">
        <v>0</v>
      </c>
      <c r="BI699" s="2401">
        <v>0</v>
      </c>
      <c r="BJ699" s="2398">
        <v>0</v>
      </c>
      <c r="BN699" s="2396">
        <v>22121002</v>
      </c>
      <c r="BO699" s="2397" t="s">
        <v>4346</v>
      </c>
      <c r="BP699" s="2398">
        <v>0</v>
      </c>
      <c r="BQ699" s="2179">
        <v>0</v>
      </c>
      <c r="BR699" s="2399">
        <v>0</v>
      </c>
      <c r="BS699" s="2400">
        <v>0</v>
      </c>
      <c r="BT699" s="2398">
        <v>0</v>
      </c>
      <c r="BU699" s="2398">
        <v>0</v>
      </c>
      <c r="BV699" s="2401">
        <v>0</v>
      </c>
      <c r="BW699" s="2401">
        <v>0</v>
      </c>
      <c r="BX699" s="2398">
        <v>0</v>
      </c>
    </row>
    <row r="700" spans="2:76">
      <c r="B700" s="2546">
        <v>22000000</v>
      </c>
      <c r="C700" s="2547" t="s">
        <v>4325</v>
      </c>
      <c r="D700" s="2548">
        <v>8795063450</v>
      </c>
      <c r="E700" s="2548">
        <v>2852181303</v>
      </c>
      <c r="F700" s="2549">
        <v>184166830</v>
      </c>
      <c r="G700" s="2550">
        <v>1280061565</v>
      </c>
      <c r="H700" s="2548">
        <v>81846233</v>
      </c>
      <c r="I700" s="2548">
        <v>13193319381</v>
      </c>
      <c r="J700" s="2551">
        <v>0</v>
      </c>
      <c r="K700" s="2551">
        <v>0</v>
      </c>
      <c r="L700" s="2548">
        <v>13193319381</v>
      </c>
      <c r="N700" s="2378">
        <v>22000000</v>
      </c>
      <c r="O700" s="2379" t="s">
        <v>4325</v>
      </c>
      <c r="P700" s="2380">
        <v>7346084398</v>
      </c>
      <c r="Q700" s="2380">
        <v>2792855337</v>
      </c>
      <c r="R700" s="2381">
        <v>128770821</v>
      </c>
      <c r="S700" s="2382">
        <v>1206937180</v>
      </c>
      <c r="T700" s="2380">
        <v>109810066</v>
      </c>
      <c r="U700" s="2380">
        <v>11584457802</v>
      </c>
      <c r="V700" s="2383">
        <v>0</v>
      </c>
      <c r="W700" s="2383">
        <v>0</v>
      </c>
      <c r="X700" s="2380">
        <v>11584457802</v>
      </c>
      <c r="Z700" s="2378">
        <v>22000000</v>
      </c>
      <c r="AA700" s="2379" t="s">
        <v>4325</v>
      </c>
      <c r="AB700" s="2380">
        <v>9756069089</v>
      </c>
      <c r="AC700" s="2380">
        <v>1949840312</v>
      </c>
      <c r="AD700" s="2381">
        <v>111089471</v>
      </c>
      <c r="AE700" s="2382">
        <v>1011498213</v>
      </c>
      <c r="AF700" s="2380">
        <v>97529691</v>
      </c>
      <c r="AG700" s="2380">
        <v>12926026776</v>
      </c>
      <c r="AH700" s="2383">
        <v>0</v>
      </c>
      <c r="AI700" s="2383">
        <v>0</v>
      </c>
      <c r="AJ700" s="2380">
        <v>12926026776</v>
      </c>
      <c r="AZ700" s="2378">
        <v>22000000</v>
      </c>
      <c r="BA700" s="2379" t="s">
        <v>4325</v>
      </c>
      <c r="BB700" s="2380">
        <v>7046085756</v>
      </c>
      <c r="BC700" s="2380">
        <v>1612054534</v>
      </c>
      <c r="BD700" s="2381">
        <v>431472363</v>
      </c>
      <c r="BE700" s="2382">
        <v>1585287158</v>
      </c>
      <c r="BF700" s="2380">
        <v>92158368</v>
      </c>
      <c r="BG700" s="2380">
        <v>10767058179</v>
      </c>
      <c r="BH700" s="2383">
        <v>0</v>
      </c>
      <c r="BI700" s="2383">
        <v>0</v>
      </c>
      <c r="BJ700" s="2380">
        <v>10767058179</v>
      </c>
      <c r="BN700" s="2396">
        <v>22121003</v>
      </c>
      <c r="BO700" s="2397" t="s">
        <v>4347</v>
      </c>
      <c r="BP700" s="2398">
        <v>0</v>
      </c>
      <c r="BQ700" s="2179">
        <v>0</v>
      </c>
      <c r="BR700" s="2399">
        <v>0</v>
      </c>
      <c r="BS700" s="2400">
        <v>0</v>
      </c>
      <c r="BT700" s="2398">
        <v>0</v>
      </c>
      <c r="BU700" s="2398">
        <v>0</v>
      </c>
      <c r="BV700" s="2401">
        <v>0</v>
      </c>
      <c r="BW700" s="2401">
        <v>0</v>
      </c>
      <c r="BX700" s="2398">
        <v>0</v>
      </c>
    </row>
    <row r="701" spans="2:76">
      <c r="B701" s="2552">
        <v>22100000</v>
      </c>
      <c r="C701" s="2570" t="s">
        <v>4326</v>
      </c>
      <c r="D701" s="2554">
        <v>1360181476</v>
      </c>
      <c r="E701" s="2554">
        <v>0</v>
      </c>
      <c r="F701" s="2555">
        <v>0</v>
      </c>
      <c r="G701" s="2556">
        <v>0</v>
      </c>
      <c r="H701" s="2554">
        <v>0</v>
      </c>
      <c r="I701" s="2554">
        <v>1360181476</v>
      </c>
      <c r="J701" s="2557">
        <v>0</v>
      </c>
      <c r="K701" s="2557">
        <v>0</v>
      </c>
      <c r="L701" s="2554">
        <v>1360181476</v>
      </c>
      <c r="N701" s="2384">
        <v>22100000</v>
      </c>
      <c r="O701" s="2402" t="s">
        <v>4326</v>
      </c>
      <c r="P701" s="2386">
        <v>1252937131</v>
      </c>
      <c r="Q701" s="2386">
        <v>0</v>
      </c>
      <c r="R701" s="2387">
        <v>0</v>
      </c>
      <c r="S701" s="2388">
        <v>0</v>
      </c>
      <c r="T701" s="2386">
        <v>0</v>
      </c>
      <c r="U701" s="2386">
        <v>1252937131</v>
      </c>
      <c r="V701" s="2389">
        <v>0</v>
      </c>
      <c r="W701" s="2389">
        <v>0</v>
      </c>
      <c r="X701" s="2386">
        <v>1252937131</v>
      </c>
      <c r="Z701" s="2384">
        <v>22100000</v>
      </c>
      <c r="AA701" s="2402" t="s">
        <v>4326</v>
      </c>
      <c r="AB701" s="2386">
        <v>6563459989</v>
      </c>
      <c r="AC701" s="2386">
        <v>54533412</v>
      </c>
      <c r="AD701" s="2387">
        <v>55591703</v>
      </c>
      <c r="AE701" s="2388">
        <v>34808086</v>
      </c>
      <c r="AF701" s="2386">
        <v>5719660</v>
      </c>
      <c r="AG701" s="2386">
        <v>6714112850</v>
      </c>
      <c r="AH701" s="2389">
        <v>0</v>
      </c>
      <c r="AI701" s="2389">
        <v>0</v>
      </c>
      <c r="AJ701" s="2386">
        <v>6714112850</v>
      </c>
      <c r="AZ701" s="2384">
        <v>22100000</v>
      </c>
      <c r="BA701" s="2402" t="s">
        <v>4326</v>
      </c>
      <c r="BB701" s="2386">
        <v>1969497731</v>
      </c>
      <c r="BC701" s="2386">
        <v>0</v>
      </c>
      <c r="BD701" s="2387">
        <v>0</v>
      </c>
      <c r="BE701" s="2388">
        <v>0</v>
      </c>
      <c r="BF701" s="2386">
        <v>0</v>
      </c>
      <c r="BG701" s="2386">
        <v>1969497731</v>
      </c>
      <c r="BH701" s="2389">
        <v>0</v>
      </c>
      <c r="BI701" s="2389">
        <v>0</v>
      </c>
      <c r="BJ701" s="2386">
        <v>1969497731</v>
      </c>
      <c r="BN701" s="2390">
        <v>22121100</v>
      </c>
      <c r="BO701" s="2403" t="s">
        <v>4348</v>
      </c>
      <c r="BP701" s="2392">
        <v>0</v>
      </c>
      <c r="BQ701" s="2392">
        <v>0</v>
      </c>
      <c r="BR701" s="2393">
        <v>0</v>
      </c>
      <c r="BS701" s="2394">
        <v>0</v>
      </c>
      <c r="BT701" s="2392">
        <v>0</v>
      </c>
      <c r="BU701" s="2392">
        <v>0</v>
      </c>
      <c r="BV701" s="2395">
        <v>0</v>
      </c>
      <c r="BW701" s="2395">
        <v>0</v>
      </c>
      <c r="BX701" s="2392">
        <v>0</v>
      </c>
    </row>
    <row r="702" spans="2:76">
      <c r="B702" s="2558">
        <v>22101000</v>
      </c>
      <c r="C702" s="2571" t="s">
        <v>4327</v>
      </c>
      <c r="D702" s="2560">
        <v>0</v>
      </c>
      <c r="E702" s="2560">
        <v>0</v>
      </c>
      <c r="F702" s="2561">
        <v>0</v>
      </c>
      <c r="G702" s="2562">
        <v>0</v>
      </c>
      <c r="H702" s="2560">
        <v>0</v>
      </c>
      <c r="I702" s="2560">
        <v>0</v>
      </c>
      <c r="J702" s="2563">
        <v>0</v>
      </c>
      <c r="K702" s="2563">
        <v>0</v>
      </c>
      <c r="L702" s="2560">
        <v>0</v>
      </c>
      <c r="N702" s="2390">
        <v>22101000</v>
      </c>
      <c r="O702" s="2403" t="s">
        <v>4327</v>
      </c>
      <c r="P702" s="2392">
        <v>0</v>
      </c>
      <c r="Q702" s="2392">
        <v>0</v>
      </c>
      <c r="R702" s="2393">
        <v>0</v>
      </c>
      <c r="S702" s="2394">
        <v>0</v>
      </c>
      <c r="T702" s="2392">
        <v>0</v>
      </c>
      <c r="U702" s="2392">
        <v>0</v>
      </c>
      <c r="V702" s="2395">
        <v>0</v>
      </c>
      <c r="W702" s="2395">
        <v>0</v>
      </c>
      <c r="X702" s="2392">
        <v>0</v>
      </c>
      <c r="Z702" s="2390">
        <v>22101000</v>
      </c>
      <c r="AA702" s="2403" t="s">
        <v>4327</v>
      </c>
      <c r="AB702" s="2392">
        <v>0</v>
      </c>
      <c r="AC702" s="2392">
        <v>0</v>
      </c>
      <c r="AD702" s="2393">
        <v>0</v>
      </c>
      <c r="AE702" s="2394">
        <v>0</v>
      </c>
      <c r="AF702" s="2392">
        <v>0</v>
      </c>
      <c r="AG702" s="2392">
        <v>0</v>
      </c>
      <c r="AH702" s="2395">
        <v>0</v>
      </c>
      <c r="AI702" s="2395">
        <v>0</v>
      </c>
      <c r="AJ702" s="2392">
        <v>0</v>
      </c>
      <c r="AZ702" s="2390">
        <v>22101000</v>
      </c>
      <c r="BA702" s="2403" t="s">
        <v>4327</v>
      </c>
      <c r="BB702" s="2392">
        <v>0</v>
      </c>
      <c r="BC702" s="2392">
        <v>0</v>
      </c>
      <c r="BD702" s="2393">
        <v>0</v>
      </c>
      <c r="BE702" s="2394">
        <v>0</v>
      </c>
      <c r="BF702" s="2392">
        <v>0</v>
      </c>
      <c r="BG702" s="2392">
        <v>0</v>
      </c>
      <c r="BH702" s="2395">
        <v>0</v>
      </c>
      <c r="BI702" s="2395">
        <v>0</v>
      </c>
      <c r="BJ702" s="2392">
        <v>0</v>
      </c>
      <c r="BN702" s="2396">
        <v>22121101</v>
      </c>
      <c r="BO702" s="2397" t="s">
        <v>4349</v>
      </c>
      <c r="BP702" s="2398">
        <v>0</v>
      </c>
      <c r="BQ702" s="2179">
        <v>0</v>
      </c>
      <c r="BR702" s="2399">
        <v>0</v>
      </c>
      <c r="BS702" s="2400">
        <v>0</v>
      </c>
      <c r="BT702" s="2398">
        <v>0</v>
      </c>
      <c r="BU702" s="2398">
        <v>0</v>
      </c>
      <c r="BV702" s="2401">
        <v>0</v>
      </c>
      <c r="BW702" s="2401">
        <v>0</v>
      </c>
      <c r="BX702" s="2398">
        <v>0</v>
      </c>
    </row>
    <row r="703" spans="2:76">
      <c r="B703" s="2564">
        <v>22101001</v>
      </c>
      <c r="C703" s="2565" t="s">
        <v>4328</v>
      </c>
      <c r="D703" s="2566">
        <v>0</v>
      </c>
      <c r="E703" s="1080">
        <v>0</v>
      </c>
      <c r="F703" s="2567">
        <v>0</v>
      </c>
      <c r="G703" s="2568">
        <v>0</v>
      </c>
      <c r="H703" s="2566">
        <v>0</v>
      </c>
      <c r="I703" s="2566">
        <v>0</v>
      </c>
      <c r="J703" s="2569">
        <v>0</v>
      </c>
      <c r="K703" s="2569">
        <v>0</v>
      </c>
      <c r="L703" s="2566">
        <v>0</v>
      </c>
      <c r="N703" s="2396">
        <v>22101001</v>
      </c>
      <c r="O703" s="2397" t="s">
        <v>4328</v>
      </c>
      <c r="P703" s="2398">
        <v>0</v>
      </c>
      <c r="Q703" s="2179">
        <v>0</v>
      </c>
      <c r="R703" s="2399">
        <v>0</v>
      </c>
      <c r="S703" s="2400">
        <v>0</v>
      </c>
      <c r="T703" s="2398">
        <v>0</v>
      </c>
      <c r="U703" s="2398">
        <v>0</v>
      </c>
      <c r="V703" s="2401">
        <v>0</v>
      </c>
      <c r="W703" s="2401">
        <v>0</v>
      </c>
      <c r="X703" s="2398">
        <v>0</v>
      </c>
      <c r="Z703" s="2396">
        <v>22101001</v>
      </c>
      <c r="AA703" s="2397" t="s">
        <v>4328</v>
      </c>
      <c r="AB703" s="2398">
        <v>0</v>
      </c>
      <c r="AC703" s="2179">
        <v>0</v>
      </c>
      <c r="AD703" s="2399">
        <v>0</v>
      </c>
      <c r="AE703" s="2400">
        <v>0</v>
      </c>
      <c r="AF703" s="2398">
        <v>0</v>
      </c>
      <c r="AG703" s="2398">
        <v>0</v>
      </c>
      <c r="AH703" s="2401">
        <v>0</v>
      </c>
      <c r="AI703" s="2401">
        <v>0</v>
      </c>
      <c r="AJ703" s="2398">
        <v>0</v>
      </c>
      <c r="AZ703" s="2396">
        <v>22101001</v>
      </c>
      <c r="BA703" s="2397" t="s">
        <v>4328</v>
      </c>
      <c r="BB703" s="2398">
        <v>0</v>
      </c>
      <c r="BC703" s="2179">
        <v>0</v>
      </c>
      <c r="BD703" s="2399">
        <v>0</v>
      </c>
      <c r="BE703" s="2400">
        <v>0</v>
      </c>
      <c r="BF703" s="2398">
        <v>0</v>
      </c>
      <c r="BG703" s="2398">
        <v>0</v>
      </c>
      <c r="BH703" s="2401">
        <v>0</v>
      </c>
      <c r="BI703" s="2401">
        <v>0</v>
      </c>
      <c r="BJ703" s="2398">
        <v>0</v>
      </c>
      <c r="BN703" s="2396">
        <v>22121102</v>
      </c>
      <c r="BO703" s="2397" t="s">
        <v>4350</v>
      </c>
      <c r="BP703" s="2398">
        <v>0</v>
      </c>
      <c r="BQ703" s="2179">
        <v>0</v>
      </c>
      <c r="BR703" s="2399">
        <v>0</v>
      </c>
      <c r="BS703" s="2400">
        <v>0</v>
      </c>
      <c r="BT703" s="2398">
        <v>0</v>
      </c>
      <c r="BU703" s="2398">
        <v>0</v>
      </c>
      <c r="BV703" s="2401">
        <v>0</v>
      </c>
      <c r="BW703" s="2401">
        <v>0</v>
      </c>
      <c r="BX703" s="2398">
        <v>0</v>
      </c>
    </row>
    <row r="704" spans="2:76">
      <c r="B704" s="2564">
        <v>22101002</v>
      </c>
      <c r="C704" s="2565" t="s">
        <v>4329</v>
      </c>
      <c r="D704" s="2566">
        <v>0</v>
      </c>
      <c r="E704" s="1080">
        <v>0</v>
      </c>
      <c r="F704" s="2567">
        <v>0</v>
      </c>
      <c r="G704" s="2568">
        <v>0</v>
      </c>
      <c r="H704" s="2566">
        <v>0</v>
      </c>
      <c r="I704" s="2566">
        <v>0</v>
      </c>
      <c r="J704" s="2569">
        <v>0</v>
      </c>
      <c r="K704" s="2569">
        <v>0</v>
      </c>
      <c r="L704" s="2566">
        <v>0</v>
      </c>
      <c r="N704" s="2396">
        <v>22101002</v>
      </c>
      <c r="O704" s="2397" t="s">
        <v>4329</v>
      </c>
      <c r="P704" s="2398">
        <v>0</v>
      </c>
      <c r="Q704" s="2179">
        <v>0</v>
      </c>
      <c r="R704" s="2399">
        <v>0</v>
      </c>
      <c r="S704" s="2400">
        <v>0</v>
      </c>
      <c r="T704" s="2398">
        <v>0</v>
      </c>
      <c r="U704" s="2398">
        <v>0</v>
      </c>
      <c r="V704" s="2401">
        <v>0</v>
      </c>
      <c r="W704" s="2401">
        <v>0</v>
      </c>
      <c r="X704" s="2398">
        <v>0</v>
      </c>
      <c r="Z704" s="2396">
        <v>22101002</v>
      </c>
      <c r="AA704" s="2397" t="s">
        <v>4329</v>
      </c>
      <c r="AB704" s="2398">
        <v>0</v>
      </c>
      <c r="AC704" s="2179">
        <v>0</v>
      </c>
      <c r="AD704" s="2399">
        <v>0</v>
      </c>
      <c r="AE704" s="2400">
        <v>0</v>
      </c>
      <c r="AF704" s="2398">
        <v>0</v>
      </c>
      <c r="AG704" s="2398">
        <v>0</v>
      </c>
      <c r="AH704" s="2401">
        <v>0</v>
      </c>
      <c r="AI704" s="2401">
        <v>0</v>
      </c>
      <c r="AJ704" s="2398">
        <v>0</v>
      </c>
      <c r="AZ704" s="2396">
        <v>22101002</v>
      </c>
      <c r="BA704" s="2397" t="s">
        <v>4329</v>
      </c>
      <c r="BB704" s="2398">
        <v>0</v>
      </c>
      <c r="BC704" s="2179">
        <v>0</v>
      </c>
      <c r="BD704" s="2399">
        <v>0</v>
      </c>
      <c r="BE704" s="2400">
        <v>0</v>
      </c>
      <c r="BF704" s="2398">
        <v>0</v>
      </c>
      <c r="BG704" s="2398">
        <v>0</v>
      </c>
      <c r="BH704" s="2401">
        <v>0</v>
      </c>
      <c r="BI704" s="2401">
        <v>0</v>
      </c>
      <c r="BJ704" s="2398">
        <v>0</v>
      </c>
      <c r="BN704" s="2384">
        <v>22130000</v>
      </c>
      <c r="BO704" s="2402" t="s">
        <v>4351</v>
      </c>
      <c r="BP704" s="2386">
        <v>14129666766</v>
      </c>
      <c r="BQ704" s="2386">
        <v>0</v>
      </c>
      <c r="BR704" s="2387">
        <v>0</v>
      </c>
      <c r="BS704" s="2388">
        <v>0</v>
      </c>
      <c r="BT704" s="2386">
        <v>0</v>
      </c>
      <c r="BU704" s="2386">
        <v>14129666766</v>
      </c>
      <c r="BV704" s="2389">
        <v>0</v>
      </c>
      <c r="BW704" s="2389">
        <v>0</v>
      </c>
      <c r="BX704" s="2386">
        <v>14129666766</v>
      </c>
    </row>
    <row r="705" spans="2:76">
      <c r="B705" s="2558">
        <v>22101100</v>
      </c>
      <c r="C705" s="2571" t="s">
        <v>4330</v>
      </c>
      <c r="D705" s="2560">
        <v>0</v>
      </c>
      <c r="E705" s="2560">
        <v>0</v>
      </c>
      <c r="F705" s="2561">
        <v>0</v>
      </c>
      <c r="G705" s="2562">
        <v>0</v>
      </c>
      <c r="H705" s="2560">
        <v>0</v>
      </c>
      <c r="I705" s="2560">
        <v>0</v>
      </c>
      <c r="J705" s="2563">
        <v>0</v>
      </c>
      <c r="K705" s="2563">
        <v>0</v>
      </c>
      <c r="L705" s="2560">
        <v>0</v>
      </c>
      <c r="N705" s="2390">
        <v>22101100</v>
      </c>
      <c r="O705" s="2403" t="s">
        <v>4330</v>
      </c>
      <c r="P705" s="2392">
        <v>0</v>
      </c>
      <c r="Q705" s="2392">
        <v>0</v>
      </c>
      <c r="R705" s="2393">
        <v>0</v>
      </c>
      <c r="S705" s="2394">
        <v>0</v>
      </c>
      <c r="T705" s="2392">
        <v>0</v>
      </c>
      <c r="U705" s="2392">
        <v>0</v>
      </c>
      <c r="V705" s="2395">
        <v>0</v>
      </c>
      <c r="W705" s="2395">
        <v>0</v>
      </c>
      <c r="X705" s="2392">
        <v>0</v>
      </c>
      <c r="Z705" s="2390">
        <v>22101100</v>
      </c>
      <c r="AA705" s="2403" t="s">
        <v>4330</v>
      </c>
      <c r="AB705" s="2392">
        <v>0</v>
      </c>
      <c r="AC705" s="2392">
        <v>0</v>
      </c>
      <c r="AD705" s="2393">
        <v>0</v>
      </c>
      <c r="AE705" s="2394">
        <v>0</v>
      </c>
      <c r="AF705" s="2392">
        <v>0</v>
      </c>
      <c r="AG705" s="2392">
        <v>0</v>
      </c>
      <c r="AH705" s="2395">
        <v>0</v>
      </c>
      <c r="AI705" s="2395">
        <v>0</v>
      </c>
      <c r="AJ705" s="2392">
        <v>0</v>
      </c>
      <c r="AZ705" s="2390">
        <v>22101100</v>
      </c>
      <c r="BA705" s="2403" t="s">
        <v>4330</v>
      </c>
      <c r="BB705" s="2392">
        <v>0</v>
      </c>
      <c r="BC705" s="2392">
        <v>0</v>
      </c>
      <c r="BD705" s="2393">
        <v>0</v>
      </c>
      <c r="BE705" s="2394">
        <v>0</v>
      </c>
      <c r="BF705" s="2392">
        <v>0</v>
      </c>
      <c r="BG705" s="2392">
        <v>0</v>
      </c>
      <c r="BH705" s="2395">
        <v>0</v>
      </c>
      <c r="BI705" s="2395">
        <v>0</v>
      </c>
      <c r="BJ705" s="2392">
        <v>0</v>
      </c>
      <c r="BN705" s="2390">
        <v>22131000</v>
      </c>
      <c r="BO705" s="2403" t="s">
        <v>4351</v>
      </c>
      <c r="BP705" s="2392">
        <v>14129666766</v>
      </c>
      <c r="BQ705" s="2392">
        <v>0</v>
      </c>
      <c r="BR705" s="2393">
        <v>0</v>
      </c>
      <c r="BS705" s="2394">
        <v>0</v>
      </c>
      <c r="BT705" s="2392">
        <v>0</v>
      </c>
      <c r="BU705" s="2392">
        <v>14129666766</v>
      </c>
      <c r="BV705" s="2395">
        <v>0</v>
      </c>
      <c r="BW705" s="2395">
        <v>0</v>
      </c>
      <c r="BX705" s="2392">
        <v>14129666766</v>
      </c>
    </row>
    <row r="706" spans="2:76">
      <c r="B706" s="2564">
        <v>22101101</v>
      </c>
      <c r="C706" s="2565" t="s">
        <v>4330</v>
      </c>
      <c r="D706" s="2566">
        <v>0</v>
      </c>
      <c r="E706" s="1080">
        <v>0</v>
      </c>
      <c r="F706" s="2567">
        <v>0</v>
      </c>
      <c r="G706" s="2568">
        <v>0</v>
      </c>
      <c r="H706" s="2566">
        <v>0</v>
      </c>
      <c r="I706" s="2566">
        <v>0</v>
      </c>
      <c r="J706" s="2569">
        <v>0</v>
      </c>
      <c r="K706" s="2569">
        <v>0</v>
      </c>
      <c r="L706" s="2566">
        <v>0</v>
      </c>
      <c r="N706" s="2396">
        <v>22101101</v>
      </c>
      <c r="O706" s="2397" t="s">
        <v>4330</v>
      </c>
      <c r="P706" s="2398">
        <v>0</v>
      </c>
      <c r="Q706" s="2179">
        <v>0</v>
      </c>
      <c r="R706" s="2399">
        <v>0</v>
      </c>
      <c r="S706" s="2400">
        <v>0</v>
      </c>
      <c r="T706" s="2398">
        <v>0</v>
      </c>
      <c r="U706" s="2398">
        <v>0</v>
      </c>
      <c r="V706" s="2401">
        <v>0</v>
      </c>
      <c r="W706" s="2401">
        <v>0</v>
      </c>
      <c r="X706" s="2398">
        <v>0</v>
      </c>
      <c r="Z706" s="2396">
        <v>22101101</v>
      </c>
      <c r="AA706" s="2397" t="s">
        <v>4330</v>
      </c>
      <c r="AB706" s="2398">
        <v>0</v>
      </c>
      <c r="AC706" s="2179">
        <v>0</v>
      </c>
      <c r="AD706" s="2399">
        <v>0</v>
      </c>
      <c r="AE706" s="2400">
        <v>0</v>
      </c>
      <c r="AF706" s="2398">
        <v>0</v>
      </c>
      <c r="AG706" s="2398">
        <v>0</v>
      </c>
      <c r="AH706" s="2401">
        <v>0</v>
      </c>
      <c r="AI706" s="2401">
        <v>0</v>
      </c>
      <c r="AJ706" s="2398">
        <v>0</v>
      </c>
      <c r="AZ706" s="2396">
        <v>22101101</v>
      </c>
      <c r="BA706" s="2397" t="s">
        <v>4330</v>
      </c>
      <c r="BB706" s="2398">
        <v>0</v>
      </c>
      <c r="BC706" s="2179">
        <v>0</v>
      </c>
      <c r="BD706" s="2399">
        <v>0</v>
      </c>
      <c r="BE706" s="2400">
        <v>0</v>
      </c>
      <c r="BF706" s="2398">
        <v>0</v>
      </c>
      <c r="BG706" s="2398">
        <v>0</v>
      </c>
      <c r="BH706" s="2401">
        <v>0</v>
      </c>
      <c r="BI706" s="2401">
        <v>0</v>
      </c>
      <c r="BJ706" s="2398">
        <v>0</v>
      </c>
      <c r="BN706" s="2396">
        <v>22131001</v>
      </c>
      <c r="BO706" s="2397" t="s">
        <v>4352</v>
      </c>
      <c r="BP706" s="2398">
        <v>8241908700</v>
      </c>
      <c r="BQ706" s="2179">
        <v>0</v>
      </c>
      <c r="BR706" s="2399">
        <v>0</v>
      </c>
      <c r="BS706" s="2400">
        <v>0</v>
      </c>
      <c r="BT706" s="2398">
        <v>0</v>
      </c>
      <c r="BU706" s="2398">
        <v>8241908700</v>
      </c>
      <c r="BV706" s="2401">
        <v>0</v>
      </c>
      <c r="BW706" s="2401">
        <v>0</v>
      </c>
      <c r="BX706" s="2398">
        <v>8241908700</v>
      </c>
    </row>
    <row r="707" spans="2:76">
      <c r="B707" s="2558">
        <v>22101200</v>
      </c>
      <c r="C707" s="2571" t="s">
        <v>4331</v>
      </c>
      <c r="D707" s="2560">
        <v>99884057</v>
      </c>
      <c r="E707" s="2560">
        <v>0</v>
      </c>
      <c r="F707" s="2561">
        <v>0</v>
      </c>
      <c r="G707" s="2562">
        <v>0</v>
      </c>
      <c r="H707" s="2560">
        <v>0</v>
      </c>
      <c r="I707" s="2560">
        <v>99884057</v>
      </c>
      <c r="J707" s="2563">
        <v>0</v>
      </c>
      <c r="K707" s="2563">
        <v>0</v>
      </c>
      <c r="L707" s="2560">
        <v>99884057</v>
      </c>
      <c r="N707" s="2390">
        <v>22101200</v>
      </c>
      <c r="O707" s="2403" t="s">
        <v>4331</v>
      </c>
      <c r="P707" s="2392">
        <v>0</v>
      </c>
      <c r="Q707" s="2392">
        <v>0</v>
      </c>
      <c r="R707" s="2393">
        <v>0</v>
      </c>
      <c r="S707" s="2394">
        <v>0</v>
      </c>
      <c r="T707" s="2392">
        <v>0</v>
      </c>
      <c r="U707" s="2392">
        <v>0</v>
      </c>
      <c r="V707" s="2395">
        <v>0</v>
      </c>
      <c r="W707" s="2395">
        <v>0</v>
      </c>
      <c r="X707" s="2392">
        <v>0</v>
      </c>
      <c r="Z707" s="2390">
        <v>22101200</v>
      </c>
      <c r="AA707" s="2403" t="s">
        <v>4331</v>
      </c>
      <c r="AB707" s="2392">
        <v>0</v>
      </c>
      <c r="AC707" s="2392">
        <v>0</v>
      </c>
      <c r="AD707" s="2393">
        <v>0</v>
      </c>
      <c r="AE707" s="2394">
        <v>0</v>
      </c>
      <c r="AF707" s="2392">
        <v>0</v>
      </c>
      <c r="AG707" s="2392">
        <v>0</v>
      </c>
      <c r="AH707" s="2395">
        <v>0</v>
      </c>
      <c r="AI707" s="2395">
        <v>0</v>
      </c>
      <c r="AJ707" s="2392">
        <v>0</v>
      </c>
      <c r="AZ707" s="2390">
        <v>22101200</v>
      </c>
      <c r="BA707" s="2403" t="s">
        <v>4331</v>
      </c>
      <c r="BB707" s="2392">
        <v>0</v>
      </c>
      <c r="BC707" s="2392">
        <v>0</v>
      </c>
      <c r="BD707" s="2393">
        <v>0</v>
      </c>
      <c r="BE707" s="2394">
        <v>0</v>
      </c>
      <c r="BF707" s="2392">
        <v>0</v>
      </c>
      <c r="BG707" s="2392">
        <v>0</v>
      </c>
      <c r="BH707" s="2395">
        <v>0</v>
      </c>
      <c r="BI707" s="2395">
        <v>0</v>
      </c>
      <c r="BJ707" s="2392">
        <v>0</v>
      </c>
      <c r="BN707" s="2396">
        <v>22131002</v>
      </c>
      <c r="BO707" s="2397" t="s">
        <v>4353</v>
      </c>
      <c r="BP707" s="2398">
        <v>5887758066</v>
      </c>
      <c r="BQ707" s="2179">
        <v>0</v>
      </c>
      <c r="BR707" s="2399">
        <v>0</v>
      </c>
      <c r="BS707" s="2400">
        <v>0</v>
      </c>
      <c r="BT707" s="2398">
        <v>0</v>
      </c>
      <c r="BU707" s="2398">
        <v>5887758066</v>
      </c>
      <c r="BV707" s="2401">
        <v>0</v>
      </c>
      <c r="BW707" s="2401">
        <v>0</v>
      </c>
      <c r="BX707" s="2398">
        <v>5887758066</v>
      </c>
    </row>
    <row r="708" spans="2:76">
      <c r="B708" s="2564">
        <v>22101201</v>
      </c>
      <c r="C708" s="2565" t="s">
        <v>4331</v>
      </c>
      <c r="D708" s="2566">
        <v>99884057</v>
      </c>
      <c r="E708" s="1080">
        <v>0</v>
      </c>
      <c r="F708" s="2567">
        <v>0</v>
      </c>
      <c r="G708" s="2568">
        <v>0</v>
      </c>
      <c r="H708" s="2566">
        <v>0</v>
      </c>
      <c r="I708" s="2566">
        <v>99884057</v>
      </c>
      <c r="J708" s="2569">
        <v>0</v>
      </c>
      <c r="K708" s="2569">
        <v>0</v>
      </c>
      <c r="L708" s="2566">
        <v>99884057</v>
      </c>
      <c r="N708" s="2396">
        <v>22101201</v>
      </c>
      <c r="O708" s="2397" t="s">
        <v>4331</v>
      </c>
      <c r="P708" s="2398">
        <v>0</v>
      </c>
      <c r="Q708" s="2179">
        <v>0</v>
      </c>
      <c r="R708" s="2399">
        <v>0</v>
      </c>
      <c r="S708" s="2400">
        <v>0</v>
      </c>
      <c r="T708" s="2398">
        <v>0</v>
      </c>
      <c r="U708" s="2398">
        <v>0</v>
      </c>
      <c r="V708" s="2401">
        <v>0</v>
      </c>
      <c r="W708" s="2401">
        <v>0</v>
      </c>
      <c r="X708" s="2398">
        <v>0</v>
      </c>
      <c r="Z708" s="2396">
        <v>22101201</v>
      </c>
      <c r="AA708" s="2397" t="s">
        <v>4331</v>
      </c>
      <c r="AB708" s="2398">
        <v>0</v>
      </c>
      <c r="AC708" s="2179">
        <v>0</v>
      </c>
      <c r="AD708" s="2399">
        <v>0</v>
      </c>
      <c r="AE708" s="2400">
        <v>0</v>
      </c>
      <c r="AF708" s="2398">
        <v>0</v>
      </c>
      <c r="AG708" s="2398">
        <v>0</v>
      </c>
      <c r="AH708" s="2401">
        <v>0</v>
      </c>
      <c r="AI708" s="2401">
        <v>0</v>
      </c>
      <c r="AJ708" s="2398">
        <v>0</v>
      </c>
      <c r="AZ708" s="2396">
        <v>22101201</v>
      </c>
      <c r="BA708" s="2397" t="s">
        <v>4331</v>
      </c>
      <c r="BB708" s="2398">
        <v>0</v>
      </c>
      <c r="BC708" s="2179">
        <v>0</v>
      </c>
      <c r="BD708" s="2399">
        <v>0</v>
      </c>
      <c r="BE708" s="2400">
        <v>0</v>
      </c>
      <c r="BF708" s="2398">
        <v>0</v>
      </c>
      <c r="BG708" s="2398">
        <v>0</v>
      </c>
      <c r="BH708" s="2401">
        <v>0</v>
      </c>
      <c r="BI708" s="2401">
        <v>0</v>
      </c>
      <c r="BJ708" s="2398">
        <v>0</v>
      </c>
      <c r="BN708" s="2396">
        <v>22131003</v>
      </c>
      <c r="BO708" s="2397" t="s">
        <v>4354</v>
      </c>
      <c r="BP708" s="2398">
        <v>0</v>
      </c>
      <c r="BQ708" s="2179">
        <v>0</v>
      </c>
      <c r="BR708" s="2399">
        <v>0</v>
      </c>
      <c r="BS708" s="2400">
        <v>0</v>
      </c>
      <c r="BT708" s="2398">
        <v>0</v>
      </c>
      <c r="BU708" s="2398">
        <v>0</v>
      </c>
      <c r="BV708" s="2401">
        <v>0</v>
      </c>
      <c r="BW708" s="2401">
        <v>0</v>
      </c>
      <c r="BX708" s="2398">
        <v>0</v>
      </c>
    </row>
    <row r="709" spans="2:76">
      <c r="B709" s="2558">
        <v>22101300</v>
      </c>
      <c r="C709" s="2571" t="s">
        <v>4332</v>
      </c>
      <c r="D709" s="2560">
        <v>0</v>
      </c>
      <c r="E709" s="2560">
        <v>0</v>
      </c>
      <c r="F709" s="2561">
        <v>0</v>
      </c>
      <c r="G709" s="2562">
        <v>0</v>
      </c>
      <c r="H709" s="2560">
        <v>0</v>
      </c>
      <c r="I709" s="2560">
        <v>0</v>
      </c>
      <c r="J709" s="2563">
        <v>0</v>
      </c>
      <c r="K709" s="2563">
        <v>0</v>
      </c>
      <c r="L709" s="2560">
        <v>0</v>
      </c>
      <c r="N709" s="2390">
        <v>22101300</v>
      </c>
      <c r="O709" s="2403" t="s">
        <v>4332</v>
      </c>
      <c r="P709" s="2392">
        <v>0</v>
      </c>
      <c r="Q709" s="2392">
        <v>0</v>
      </c>
      <c r="R709" s="2393">
        <v>0</v>
      </c>
      <c r="S709" s="2394">
        <v>0</v>
      </c>
      <c r="T709" s="2392">
        <v>0</v>
      </c>
      <c r="U709" s="2392">
        <v>0</v>
      </c>
      <c r="V709" s="2395">
        <v>0</v>
      </c>
      <c r="W709" s="2395">
        <v>0</v>
      </c>
      <c r="X709" s="2392">
        <v>0</v>
      </c>
      <c r="Z709" s="2390">
        <v>22101300</v>
      </c>
      <c r="AA709" s="2403" t="s">
        <v>4332</v>
      </c>
      <c r="AB709" s="2392">
        <v>0</v>
      </c>
      <c r="AC709" s="2392">
        <v>0</v>
      </c>
      <c r="AD709" s="2393">
        <v>0</v>
      </c>
      <c r="AE709" s="2394">
        <v>0</v>
      </c>
      <c r="AF709" s="2392">
        <v>0</v>
      </c>
      <c r="AG709" s="2392">
        <v>0</v>
      </c>
      <c r="AH709" s="2395">
        <v>0</v>
      </c>
      <c r="AI709" s="2395">
        <v>0</v>
      </c>
      <c r="AJ709" s="2392">
        <v>0</v>
      </c>
      <c r="AZ709" s="2390">
        <v>22101300</v>
      </c>
      <c r="BA709" s="2403" t="s">
        <v>4332</v>
      </c>
      <c r="BB709" s="2392">
        <v>0</v>
      </c>
      <c r="BC709" s="2392">
        <v>0</v>
      </c>
      <c r="BD709" s="2393">
        <v>0</v>
      </c>
      <c r="BE709" s="2394">
        <v>0</v>
      </c>
      <c r="BF709" s="2392">
        <v>0</v>
      </c>
      <c r="BG709" s="2392">
        <v>0</v>
      </c>
      <c r="BH709" s="2395">
        <v>0</v>
      </c>
      <c r="BI709" s="2395">
        <v>0</v>
      </c>
      <c r="BJ709" s="2392">
        <v>0</v>
      </c>
      <c r="BN709" s="2384">
        <v>22140000</v>
      </c>
      <c r="BO709" s="2402" t="s">
        <v>4355</v>
      </c>
      <c r="BP709" s="2386">
        <v>0</v>
      </c>
      <c r="BQ709" s="2386">
        <v>0</v>
      </c>
      <c r="BR709" s="2387">
        <v>0</v>
      </c>
      <c r="BS709" s="2388">
        <v>0</v>
      </c>
      <c r="BT709" s="2386">
        <v>0</v>
      </c>
      <c r="BU709" s="2386">
        <v>0</v>
      </c>
      <c r="BV709" s="2389">
        <v>0</v>
      </c>
      <c r="BW709" s="2389">
        <v>0</v>
      </c>
      <c r="BX709" s="2386">
        <v>0</v>
      </c>
    </row>
    <row r="710" spans="2:76">
      <c r="B710" s="2564">
        <v>22101301</v>
      </c>
      <c r="C710" s="2565" t="s">
        <v>4332</v>
      </c>
      <c r="D710" s="2566">
        <v>0</v>
      </c>
      <c r="E710" s="1080">
        <v>0</v>
      </c>
      <c r="F710" s="2567">
        <v>0</v>
      </c>
      <c r="G710" s="2568">
        <v>0</v>
      </c>
      <c r="H710" s="2566">
        <v>0</v>
      </c>
      <c r="I710" s="2566">
        <v>0</v>
      </c>
      <c r="J710" s="2569">
        <v>0</v>
      </c>
      <c r="K710" s="2569">
        <v>0</v>
      </c>
      <c r="L710" s="2566">
        <v>0</v>
      </c>
      <c r="N710" s="2396">
        <v>22101301</v>
      </c>
      <c r="O710" s="2397" t="s">
        <v>4332</v>
      </c>
      <c r="P710" s="2398">
        <v>0</v>
      </c>
      <c r="Q710" s="2179">
        <v>0</v>
      </c>
      <c r="R710" s="2399">
        <v>0</v>
      </c>
      <c r="S710" s="2400">
        <v>0</v>
      </c>
      <c r="T710" s="2398">
        <v>0</v>
      </c>
      <c r="U710" s="2398">
        <v>0</v>
      </c>
      <c r="V710" s="2401">
        <v>0</v>
      </c>
      <c r="W710" s="2401">
        <v>0</v>
      </c>
      <c r="X710" s="2398">
        <v>0</v>
      </c>
      <c r="Z710" s="2396">
        <v>22101301</v>
      </c>
      <c r="AA710" s="2397" t="s">
        <v>4332</v>
      </c>
      <c r="AB710" s="2398">
        <v>0</v>
      </c>
      <c r="AC710" s="2179">
        <v>0</v>
      </c>
      <c r="AD710" s="2399">
        <v>0</v>
      </c>
      <c r="AE710" s="2400">
        <v>0</v>
      </c>
      <c r="AF710" s="2398">
        <v>0</v>
      </c>
      <c r="AG710" s="2398">
        <v>0</v>
      </c>
      <c r="AH710" s="2401">
        <v>0</v>
      </c>
      <c r="AI710" s="2401">
        <v>0</v>
      </c>
      <c r="AJ710" s="2398">
        <v>0</v>
      </c>
      <c r="AZ710" s="2396">
        <v>22101301</v>
      </c>
      <c r="BA710" s="2397" t="s">
        <v>4332</v>
      </c>
      <c r="BB710" s="2398">
        <v>0</v>
      </c>
      <c r="BC710" s="2179">
        <v>0</v>
      </c>
      <c r="BD710" s="2399">
        <v>0</v>
      </c>
      <c r="BE710" s="2400">
        <v>0</v>
      </c>
      <c r="BF710" s="2398">
        <v>0</v>
      </c>
      <c r="BG710" s="2398">
        <v>0</v>
      </c>
      <c r="BH710" s="2401">
        <v>0</v>
      </c>
      <c r="BI710" s="2401">
        <v>0</v>
      </c>
      <c r="BJ710" s="2398">
        <v>0</v>
      </c>
      <c r="BN710" s="2390">
        <v>22141000</v>
      </c>
      <c r="BO710" s="2403" t="s">
        <v>4355</v>
      </c>
      <c r="BP710" s="2392">
        <v>0</v>
      </c>
      <c r="BQ710" s="2392">
        <v>0</v>
      </c>
      <c r="BR710" s="2393">
        <v>0</v>
      </c>
      <c r="BS710" s="2394">
        <v>0</v>
      </c>
      <c r="BT710" s="2392">
        <v>0</v>
      </c>
      <c r="BU710" s="2392">
        <v>0</v>
      </c>
      <c r="BV710" s="2395">
        <v>0</v>
      </c>
      <c r="BW710" s="2395">
        <v>0</v>
      </c>
      <c r="BX710" s="2392">
        <v>0</v>
      </c>
    </row>
    <row r="711" spans="2:76">
      <c r="B711" s="2558">
        <v>22101400</v>
      </c>
      <c r="C711" s="2571" t="s">
        <v>4333</v>
      </c>
      <c r="D711" s="2560">
        <v>0</v>
      </c>
      <c r="E711" s="2560">
        <v>0</v>
      </c>
      <c r="F711" s="2561">
        <v>0</v>
      </c>
      <c r="G711" s="2562">
        <v>0</v>
      </c>
      <c r="H711" s="2560">
        <v>0</v>
      </c>
      <c r="I711" s="2560">
        <v>0</v>
      </c>
      <c r="J711" s="2563">
        <v>0</v>
      </c>
      <c r="K711" s="2563">
        <v>0</v>
      </c>
      <c r="L711" s="2560">
        <v>0</v>
      </c>
      <c r="N711" s="2390">
        <v>22101400</v>
      </c>
      <c r="O711" s="2403" t="s">
        <v>4333</v>
      </c>
      <c r="P711" s="2392">
        <v>0</v>
      </c>
      <c r="Q711" s="2392">
        <v>0</v>
      </c>
      <c r="R711" s="2393">
        <v>0</v>
      </c>
      <c r="S711" s="2394">
        <v>0</v>
      </c>
      <c r="T711" s="2392">
        <v>0</v>
      </c>
      <c r="U711" s="2392">
        <v>0</v>
      </c>
      <c r="V711" s="2395">
        <v>0</v>
      </c>
      <c r="W711" s="2395">
        <v>0</v>
      </c>
      <c r="X711" s="2392">
        <v>0</v>
      </c>
      <c r="Z711" s="2390">
        <v>22101400</v>
      </c>
      <c r="AA711" s="2403" t="s">
        <v>4333</v>
      </c>
      <c r="AB711" s="2392">
        <v>5336006130</v>
      </c>
      <c r="AC711" s="2392">
        <v>54533412</v>
      </c>
      <c r="AD711" s="2393">
        <v>55591703</v>
      </c>
      <c r="AE711" s="2394">
        <v>34808086</v>
      </c>
      <c r="AF711" s="2392">
        <v>5719660</v>
      </c>
      <c r="AG711" s="2392">
        <v>5486658991</v>
      </c>
      <c r="AH711" s="2395">
        <v>0</v>
      </c>
      <c r="AI711" s="2395">
        <v>0</v>
      </c>
      <c r="AJ711" s="2392">
        <v>5486658991</v>
      </c>
      <c r="AZ711" s="2390">
        <v>22101400</v>
      </c>
      <c r="BA711" s="2403" t="s">
        <v>4333</v>
      </c>
      <c r="BB711" s="2392">
        <v>0</v>
      </c>
      <c r="BC711" s="2392">
        <v>0</v>
      </c>
      <c r="BD711" s="2393">
        <v>0</v>
      </c>
      <c r="BE711" s="2394">
        <v>0</v>
      </c>
      <c r="BF711" s="2392">
        <v>0</v>
      </c>
      <c r="BG711" s="2392">
        <v>0</v>
      </c>
      <c r="BH711" s="2395">
        <v>0</v>
      </c>
      <c r="BI711" s="2395">
        <v>0</v>
      </c>
      <c r="BJ711" s="2392">
        <v>0</v>
      </c>
      <c r="BN711" s="2396">
        <v>22141001</v>
      </c>
      <c r="BO711" s="2397" t="s">
        <v>4355</v>
      </c>
      <c r="BP711" s="2398">
        <v>0</v>
      </c>
      <c r="BQ711" s="2179">
        <v>0</v>
      </c>
      <c r="BR711" s="2399">
        <v>0</v>
      </c>
      <c r="BS711" s="2400">
        <v>0</v>
      </c>
      <c r="BT711" s="2398">
        <v>0</v>
      </c>
      <c r="BU711" s="2398">
        <v>0</v>
      </c>
      <c r="BV711" s="2401">
        <v>0</v>
      </c>
      <c r="BW711" s="2401">
        <v>0</v>
      </c>
      <c r="BX711" s="2398">
        <v>0</v>
      </c>
    </row>
    <row r="712" spans="2:76">
      <c r="B712" s="2564">
        <v>22101401</v>
      </c>
      <c r="C712" s="2565" t="s">
        <v>4333</v>
      </c>
      <c r="D712" s="2566">
        <v>0</v>
      </c>
      <c r="E712" s="1080">
        <v>0</v>
      </c>
      <c r="F712" s="2567">
        <v>0</v>
      </c>
      <c r="G712" s="2568">
        <v>0</v>
      </c>
      <c r="H712" s="2566">
        <v>0</v>
      </c>
      <c r="I712" s="2566">
        <v>0</v>
      </c>
      <c r="J712" s="2569">
        <v>0</v>
      </c>
      <c r="K712" s="2569">
        <v>0</v>
      </c>
      <c r="L712" s="2566">
        <v>0</v>
      </c>
      <c r="N712" s="2396">
        <v>22101401</v>
      </c>
      <c r="O712" s="2397" t="s">
        <v>4333</v>
      </c>
      <c r="P712" s="2398">
        <v>0</v>
      </c>
      <c r="Q712" s="2179">
        <v>0</v>
      </c>
      <c r="R712" s="2399">
        <v>0</v>
      </c>
      <c r="S712" s="2400">
        <v>0</v>
      </c>
      <c r="T712" s="2398">
        <v>0</v>
      </c>
      <c r="U712" s="2398">
        <v>0</v>
      </c>
      <c r="V712" s="2401">
        <v>0</v>
      </c>
      <c r="W712" s="2401">
        <v>0</v>
      </c>
      <c r="X712" s="2398">
        <v>0</v>
      </c>
      <c r="Z712" s="2396">
        <v>22101401</v>
      </c>
      <c r="AA712" s="2397" t="s">
        <v>4333</v>
      </c>
      <c r="AB712" s="2398">
        <v>5336006130</v>
      </c>
      <c r="AC712" s="2179">
        <v>54533412</v>
      </c>
      <c r="AD712" s="2399">
        <v>55591703</v>
      </c>
      <c r="AE712" s="2400">
        <v>34808086</v>
      </c>
      <c r="AF712" s="2398">
        <v>5719660</v>
      </c>
      <c r="AG712" s="2398">
        <v>5486658991</v>
      </c>
      <c r="AH712" s="2401">
        <v>0</v>
      </c>
      <c r="AI712" s="2401">
        <v>0</v>
      </c>
      <c r="AJ712" s="2398">
        <v>5486658991</v>
      </c>
      <c r="AZ712" s="2396">
        <v>22101401</v>
      </c>
      <c r="BA712" s="2397" t="s">
        <v>4333</v>
      </c>
      <c r="BB712" s="2398">
        <v>0</v>
      </c>
      <c r="BC712" s="2179">
        <v>0</v>
      </c>
      <c r="BD712" s="2399">
        <v>0</v>
      </c>
      <c r="BE712" s="2400">
        <v>0</v>
      </c>
      <c r="BF712" s="2398">
        <v>0</v>
      </c>
      <c r="BG712" s="2398">
        <v>0</v>
      </c>
      <c r="BH712" s="2401">
        <v>0</v>
      </c>
      <c r="BI712" s="2401">
        <v>0</v>
      </c>
      <c r="BJ712" s="2398">
        <v>0</v>
      </c>
      <c r="BN712" s="2384">
        <v>22150000</v>
      </c>
      <c r="BO712" s="2402" t="s">
        <v>4356</v>
      </c>
      <c r="BP712" s="2386">
        <v>0</v>
      </c>
      <c r="BQ712" s="2386">
        <v>0</v>
      </c>
      <c r="BR712" s="2387">
        <v>0</v>
      </c>
      <c r="BS712" s="2388">
        <v>0</v>
      </c>
      <c r="BT712" s="2386">
        <v>0</v>
      </c>
      <c r="BU712" s="2386">
        <v>0</v>
      </c>
      <c r="BV712" s="2389">
        <v>0</v>
      </c>
      <c r="BW712" s="2389">
        <v>0</v>
      </c>
      <c r="BX712" s="2386">
        <v>0</v>
      </c>
    </row>
    <row r="713" spans="2:76">
      <c r="B713" s="2558">
        <v>22101500</v>
      </c>
      <c r="C713" s="2571" t="s">
        <v>4334</v>
      </c>
      <c r="D713" s="2560">
        <v>882089480</v>
      </c>
      <c r="E713" s="2560">
        <v>0</v>
      </c>
      <c r="F713" s="2561">
        <v>0</v>
      </c>
      <c r="G713" s="2562">
        <v>0</v>
      </c>
      <c r="H713" s="2560">
        <v>0</v>
      </c>
      <c r="I713" s="2560">
        <v>882089480</v>
      </c>
      <c r="J713" s="2563">
        <v>0</v>
      </c>
      <c r="K713" s="2563">
        <v>0</v>
      </c>
      <c r="L713" s="2560">
        <v>882089480</v>
      </c>
      <c r="N713" s="2390">
        <v>22101500</v>
      </c>
      <c r="O713" s="2403" t="s">
        <v>4334</v>
      </c>
      <c r="P713" s="2392">
        <v>882089480</v>
      </c>
      <c r="Q713" s="2392">
        <v>0</v>
      </c>
      <c r="R713" s="2393">
        <v>0</v>
      </c>
      <c r="S713" s="2394">
        <v>0</v>
      </c>
      <c r="T713" s="2392">
        <v>0</v>
      </c>
      <c r="U713" s="2392">
        <v>882089480</v>
      </c>
      <c r="V713" s="2395">
        <v>0</v>
      </c>
      <c r="W713" s="2395">
        <v>0</v>
      </c>
      <c r="X713" s="2392">
        <v>882089480</v>
      </c>
      <c r="Z713" s="2390">
        <v>22101500</v>
      </c>
      <c r="AA713" s="2403" t="s">
        <v>4334</v>
      </c>
      <c r="AB713" s="2392">
        <v>882089480</v>
      </c>
      <c r="AC713" s="2392">
        <v>0</v>
      </c>
      <c r="AD713" s="2393">
        <v>0</v>
      </c>
      <c r="AE713" s="2394">
        <v>0</v>
      </c>
      <c r="AF713" s="2392">
        <v>0</v>
      </c>
      <c r="AG713" s="2392">
        <v>882089480</v>
      </c>
      <c r="AH713" s="2395">
        <v>0</v>
      </c>
      <c r="AI713" s="2395">
        <v>0</v>
      </c>
      <c r="AJ713" s="2392">
        <v>882089480</v>
      </c>
      <c r="AZ713" s="2390">
        <v>22101500</v>
      </c>
      <c r="BA713" s="2403" t="s">
        <v>4334</v>
      </c>
      <c r="BB713" s="2392">
        <v>882089480</v>
      </c>
      <c r="BC713" s="2392">
        <v>0</v>
      </c>
      <c r="BD713" s="2393">
        <v>0</v>
      </c>
      <c r="BE713" s="2394">
        <v>0</v>
      </c>
      <c r="BF713" s="2392">
        <v>0</v>
      </c>
      <c r="BG713" s="2392">
        <v>882089480</v>
      </c>
      <c r="BH713" s="2395">
        <v>0</v>
      </c>
      <c r="BI713" s="2395">
        <v>0</v>
      </c>
      <c r="BJ713" s="2392">
        <v>882089480</v>
      </c>
      <c r="BN713" s="2390">
        <v>22151000</v>
      </c>
      <c r="BO713" s="2403" t="s">
        <v>4356</v>
      </c>
      <c r="BP713" s="2392">
        <v>0</v>
      </c>
      <c r="BQ713" s="2392">
        <v>0</v>
      </c>
      <c r="BR713" s="2393">
        <v>0</v>
      </c>
      <c r="BS713" s="2394">
        <v>0</v>
      </c>
      <c r="BT713" s="2392">
        <v>0</v>
      </c>
      <c r="BU713" s="2392">
        <v>0</v>
      </c>
      <c r="BV713" s="2395">
        <v>0</v>
      </c>
      <c r="BW713" s="2395">
        <v>0</v>
      </c>
      <c r="BX713" s="2392">
        <v>0</v>
      </c>
    </row>
    <row r="714" spans="2:76">
      <c r="B714" s="2564">
        <v>22101501</v>
      </c>
      <c r="C714" s="2565" t="s">
        <v>5068</v>
      </c>
      <c r="D714" s="2566">
        <v>882089480</v>
      </c>
      <c r="E714" s="1080">
        <v>0</v>
      </c>
      <c r="F714" s="2567">
        <v>0</v>
      </c>
      <c r="G714" s="2568">
        <v>0</v>
      </c>
      <c r="H714" s="2566">
        <v>0</v>
      </c>
      <c r="I714" s="2566">
        <v>882089480</v>
      </c>
      <c r="J714" s="2569">
        <v>0</v>
      </c>
      <c r="K714" s="2569">
        <v>0</v>
      </c>
      <c r="L714" s="2566">
        <v>882089480</v>
      </c>
      <c r="N714" s="2396">
        <v>22101501</v>
      </c>
      <c r="O714" s="2397" t="s">
        <v>4334</v>
      </c>
      <c r="P714" s="2398">
        <v>882089480</v>
      </c>
      <c r="Q714" s="2179">
        <v>0</v>
      </c>
      <c r="R714" s="2399">
        <v>0</v>
      </c>
      <c r="S714" s="2400">
        <v>0</v>
      </c>
      <c r="T714" s="2398">
        <v>0</v>
      </c>
      <c r="U714" s="2398">
        <v>882089480</v>
      </c>
      <c r="V714" s="2401">
        <v>0</v>
      </c>
      <c r="W714" s="2401">
        <v>0</v>
      </c>
      <c r="X714" s="2398">
        <v>882089480</v>
      </c>
      <c r="Z714" s="2396">
        <v>22101501</v>
      </c>
      <c r="AA714" s="2397" t="s">
        <v>4334</v>
      </c>
      <c r="AB714" s="2398">
        <v>882089480</v>
      </c>
      <c r="AC714" s="2179">
        <v>0</v>
      </c>
      <c r="AD714" s="2399">
        <v>0</v>
      </c>
      <c r="AE714" s="2400">
        <v>0</v>
      </c>
      <c r="AF714" s="2398">
        <v>0</v>
      </c>
      <c r="AG714" s="2398">
        <v>882089480</v>
      </c>
      <c r="AH714" s="2401">
        <v>0</v>
      </c>
      <c r="AI714" s="2401">
        <v>0</v>
      </c>
      <c r="AJ714" s="2398">
        <v>882089480</v>
      </c>
      <c r="AZ714" s="2396">
        <v>22101501</v>
      </c>
      <c r="BA714" s="2397" t="s">
        <v>4334</v>
      </c>
      <c r="BB714" s="2398">
        <v>882089480</v>
      </c>
      <c r="BC714" s="2179">
        <v>0</v>
      </c>
      <c r="BD714" s="2399">
        <v>0</v>
      </c>
      <c r="BE714" s="2400">
        <v>0</v>
      </c>
      <c r="BF714" s="2398">
        <v>0</v>
      </c>
      <c r="BG714" s="2398">
        <v>882089480</v>
      </c>
      <c r="BH714" s="2401">
        <v>0</v>
      </c>
      <c r="BI714" s="2401">
        <v>0</v>
      </c>
      <c r="BJ714" s="2398">
        <v>882089480</v>
      </c>
      <c r="BN714" s="2396">
        <v>22151001</v>
      </c>
      <c r="BO714" s="2397" t="s">
        <v>4356</v>
      </c>
      <c r="BP714" s="2398">
        <v>0</v>
      </c>
      <c r="BQ714" s="2179">
        <v>0</v>
      </c>
      <c r="BR714" s="2399">
        <v>0</v>
      </c>
      <c r="BS714" s="2400">
        <v>0</v>
      </c>
      <c r="BT714" s="2398">
        <v>0</v>
      </c>
      <c r="BU714" s="2398">
        <v>0</v>
      </c>
      <c r="BV714" s="2401">
        <v>0</v>
      </c>
      <c r="BW714" s="2401">
        <v>0</v>
      </c>
      <c r="BX714" s="2398">
        <v>0</v>
      </c>
    </row>
    <row r="715" spans="2:76">
      <c r="B715" s="2558">
        <v>22101600</v>
      </c>
      <c r="C715" s="2571" t="s">
        <v>4335</v>
      </c>
      <c r="D715" s="2560">
        <v>-2494061</v>
      </c>
      <c r="E715" s="2560">
        <v>0</v>
      </c>
      <c r="F715" s="2561">
        <v>0</v>
      </c>
      <c r="G715" s="2562">
        <v>0</v>
      </c>
      <c r="H715" s="2560">
        <v>0</v>
      </c>
      <c r="I715" s="2560">
        <v>-2494061</v>
      </c>
      <c r="J715" s="2563">
        <v>0</v>
      </c>
      <c r="K715" s="2563">
        <v>0</v>
      </c>
      <c r="L715" s="2560">
        <v>-2494061</v>
      </c>
      <c r="N715" s="2390">
        <v>22101600</v>
      </c>
      <c r="O715" s="2403" t="s">
        <v>4335</v>
      </c>
      <c r="P715" s="2392">
        <v>-9854349</v>
      </c>
      <c r="Q715" s="2392">
        <v>0</v>
      </c>
      <c r="R715" s="2393">
        <v>0</v>
      </c>
      <c r="S715" s="2394">
        <v>0</v>
      </c>
      <c r="T715" s="2392">
        <v>0</v>
      </c>
      <c r="U715" s="2392">
        <v>-9854349</v>
      </c>
      <c r="V715" s="2395">
        <v>0</v>
      </c>
      <c r="W715" s="2395">
        <v>0</v>
      </c>
      <c r="X715" s="2392">
        <v>-9854349</v>
      </c>
      <c r="Z715" s="2390">
        <v>22101600</v>
      </c>
      <c r="AA715" s="2403" t="s">
        <v>4335</v>
      </c>
      <c r="AB715" s="2392">
        <v>-24155621</v>
      </c>
      <c r="AC715" s="2392">
        <v>0</v>
      </c>
      <c r="AD715" s="2393">
        <v>0</v>
      </c>
      <c r="AE715" s="2394">
        <v>0</v>
      </c>
      <c r="AF715" s="2392">
        <v>0</v>
      </c>
      <c r="AG715" s="2392">
        <v>-24155621</v>
      </c>
      <c r="AH715" s="2395">
        <v>0</v>
      </c>
      <c r="AI715" s="2395">
        <v>0</v>
      </c>
      <c r="AJ715" s="2392">
        <v>-24155621</v>
      </c>
      <c r="AZ715" s="2390">
        <v>22101600</v>
      </c>
      <c r="BA715" s="2403" t="s">
        <v>4335</v>
      </c>
      <c r="BB715" s="2392">
        <v>-52361749</v>
      </c>
      <c r="BC715" s="2392">
        <v>0</v>
      </c>
      <c r="BD715" s="2393">
        <v>0</v>
      </c>
      <c r="BE715" s="2394">
        <v>0</v>
      </c>
      <c r="BF715" s="2392">
        <v>0</v>
      </c>
      <c r="BG715" s="2392">
        <v>-52361749</v>
      </c>
      <c r="BH715" s="2395">
        <v>0</v>
      </c>
      <c r="BI715" s="2395">
        <v>0</v>
      </c>
      <c r="BJ715" s="2392">
        <v>-52361749</v>
      </c>
      <c r="BN715" s="2390">
        <v>22151100</v>
      </c>
      <c r="BO715" s="2403" t="s">
        <v>4357</v>
      </c>
      <c r="BP715" s="2392">
        <v>0</v>
      </c>
      <c r="BQ715" s="2392">
        <v>0</v>
      </c>
      <c r="BR715" s="2393">
        <v>0</v>
      </c>
      <c r="BS715" s="2394">
        <v>0</v>
      </c>
      <c r="BT715" s="2392">
        <v>0</v>
      </c>
      <c r="BU715" s="2392">
        <v>0</v>
      </c>
      <c r="BV715" s="2395">
        <v>0</v>
      </c>
      <c r="BW715" s="2395">
        <v>0</v>
      </c>
      <c r="BX715" s="2392">
        <v>0</v>
      </c>
    </row>
    <row r="716" spans="2:76">
      <c r="B716" s="2564">
        <v>22101601</v>
      </c>
      <c r="C716" s="2565" t="s">
        <v>4335</v>
      </c>
      <c r="D716" s="2566">
        <v>-2494061</v>
      </c>
      <c r="E716" s="1080">
        <v>0</v>
      </c>
      <c r="F716" s="2567">
        <v>0</v>
      </c>
      <c r="G716" s="2568">
        <v>0</v>
      </c>
      <c r="H716" s="2566">
        <v>0</v>
      </c>
      <c r="I716" s="2566">
        <v>-2494061</v>
      </c>
      <c r="J716" s="2569">
        <v>0</v>
      </c>
      <c r="K716" s="2569">
        <v>0</v>
      </c>
      <c r="L716" s="2566">
        <v>-2494061</v>
      </c>
      <c r="N716" s="2396">
        <v>22101601</v>
      </c>
      <c r="O716" s="2397" t="s">
        <v>4335</v>
      </c>
      <c r="P716" s="2398">
        <v>-9854349</v>
      </c>
      <c r="Q716" s="2179">
        <v>0</v>
      </c>
      <c r="R716" s="2399">
        <v>0</v>
      </c>
      <c r="S716" s="2400">
        <v>0</v>
      </c>
      <c r="T716" s="2398">
        <v>0</v>
      </c>
      <c r="U716" s="2398">
        <v>-9854349</v>
      </c>
      <c r="V716" s="2401">
        <v>0</v>
      </c>
      <c r="W716" s="2401">
        <v>0</v>
      </c>
      <c r="X716" s="2398">
        <v>-9854349</v>
      </c>
      <c r="Z716" s="2396">
        <v>22101601</v>
      </c>
      <c r="AA716" s="2397" t="s">
        <v>4335</v>
      </c>
      <c r="AB716" s="2398">
        <v>-24155621</v>
      </c>
      <c r="AC716" s="2179">
        <v>0</v>
      </c>
      <c r="AD716" s="2399">
        <v>0</v>
      </c>
      <c r="AE716" s="2400">
        <v>0</v>
      </c>
      <c r="AF716" s="2398">
        <v>0</v>
      </c>
      <c r="AG716" s="2398">
        <v>-24155621</v>
      </c>
      <c r="AH716" s="2401">
        <v>0</v>
      </c>
      <c r="AI716" s="2401">
        <v>0</v>
      </c>
      <c r="AJ716" s="2398">
        <v>-24155621</v>
      </c>
      <c r="AZ716" s="2396">
        <v>22101601</v>
      </c>
      <c r="BA716" s="2397" t="s">
        <v>4335</v>
      </c>
      <c r="BB716" s="2398">
        <v>-52361749</v>
      </c>
      <c r="BC716" s="2179">
        <v>0</v>
      </c>
      <c r="BD716" s="2399">
        <v>0</v>
      </c>
      <c r="BE716" s="2400">
        <v>0</v>
      </c>
      <c r="BF716" s="2398">
        <v>0</v>
      </c>
      <c r="BG716" s="2398">
        <v>-52361749</v>
      </c>
      <c r="BH716" s="2401">
        <v>0</v>
      </c>
      <c r="BI716" s="2401">
        <v>0</v>
      </c>
      <c r="BJ716" s="2398">
        <v>-52361749</v>
      </c>
      <c r="BN716" s="2396">
        <v>22151101</v>
      </c>
      <c r="BO716" s="2397" t="s">
        <v>4357</v>
      </c>
      <c r="BP716" s="2398">
        <v>0</v>
      </c>
      <c r="BQ716" s="2179">
        <v>0</v>
      </c>
      <c r="BR716" s="2399">
        <v>0</v>
      </c>
      <c r="BS716" s="2400">
        <v>0</v>
      </c>
      <c r="BT716" s="2398">
        <v>0</v>
      </c>
      <c r="BU716" s="2398">
        <v>0</v>
      </c>
      <c r="BV716" s="2401">
        <v>0</v>
      </c>
      <c r="BW716" s="2401">
        <v>0</v>
      </c>
      <c r="BX716" s="2398">
        <v>0</v>
      </c>
    </row>
    <row r="717" spans="2:76">
      <c r="B717" s="2558">
        <v>22101700</v>
      </c>
      <c r="C717" s="2571" t="s">
        <v>4336</v>
      </c>
      <c r="D717" s="2560">
        <v>380702000</v>
      </c>
      <c r="E717" s="2560">
        <v>0</v>
      </c>
      <c r="F717" s="2561">
        <v>0</v>
      </c>
      <c r="G717" s="2562">
        <v>0</v>
      </c>
      <c r="H717" s="2560">
        <v>0</v>
      </c>
      <c r="I717" s="2560">
        <v>380702000</v>
      </c>
      <c r="J717" s="2563">
        <v>0</v>
      </c>
      <c r="K717" s="2563">
        <v>0</v>
      </c>
      <c r="L717" s="2560">
        <v>380702000</v>
      </c>
      <c r="N717" s="2390">
        <v>22101700</v>
      </c>
      <c r="O717" s="2403" t="s">
        <v>4336</v>
      </c>
      <c r="P717" s="2392">
        <v>380702000</v>
      </c>
      <c r="Q717" s="2392">
        <v>0</v>
      </c>
      <c r="R717" s="2393">
        <v>0</v>
      </c>
      <c r="S717" s="2394">
        <v>0</v>
      </c>
      <c r="T717" s="2392">
        <v>0</v>
      </c>
      <c r="U717" s="2392">
        <v>380702000</v>
      </c>
      <c r="V717" s="2395">
        <v>0</v>
      </c>
      <c r="W717" s="2395">
        <v>0</v>
      </c>
      <c r="X717" s="2392">
        <v>380702000</v>
      </c>
      <c r="Z717" s="2390">
        <v>22101700</v>
      </c>
      <c r="AA717" s="2403" t="s">
        <v>4336</v>
      </c>
      <c r="AB717" s="2392">
        <v>369520000</v>
      </c>
      <c r="AC717" s="2392">
        <v>0</v>
      </c>
      <c r="AD717" s="2393">
        <v>0</v>
      </c>
      <c r="AE717" s="2394">
        <v>0</v>
      </c>
      <c r="AF717" s="2392">
        <v>0</v>
      </c>
      <c r="AG717" s="2392">
        <v>369520000</v>
      </c>
      <c r="AH717" s="2395">
        <v>0</v>
      </c>
      <c r="AI717" s="2395">
        <v>0</v>
      </c>
      <c r="AJ717" s="2392">
        <v>369520000</v>
      </c>
      <c r="AZ717" s="2390">
        <v>22101700</v>
      </c>
      <c r="BA717" s="2403" t="s">
        <v>4336</v>
      </c>
      <c r="BB717" s="2392">
        <v>1139770000</v>
      </c>
      <c r="BC717" s="2392">
        <v>0</v>
      </c>
      <c r="BD717" s="2393">
        <v>0</v>
      </c>
      <c r="BE717" s="2394">
        <v>0</v>
      </c>
      <c r="BF717" s="2392">
        <v>0</v>
      </c>
      <c r="BG717" s="2392">
        <v>1139770000</v>
      </c>
      <c r="BH717" s="2395">
        <v>0</v>
      </c>
      <c r="BI717" s="2395">
        <v>0</v>
      </c>
      <c r="BJ717" s="2392">
        <v>1139770000</v>
      </c>
      <c r="BN717" s="2390">
        <v>22151200</v>
      </c>
      <c r="BO717" s="2403" t="s">
        <v>4358</v>
      </c>
      <c r="BP717" s="2392">
        <v>0</v>
      </c>
      <c r="BQ717" s="2392">
        <v>0</v>
      </c>
      <c r="BR717" s="2393">
        <v>0</v>
      </c>
      <c r="BS717" s="2394">
        <v>0</v>
      </c>
      <c r="BT717" s="2392">
        <v>0</v>
      </c>
      <c r="BU717" s="2392">
        <v>0</v>
      </c>
      <c r="BV717" s="2395">
        <v>0</v>
      </c>
      <c r="BW717" s="2395">
        <v>0</v>
      </c>
      <c r="BX717" s="2392">
        <v>0</v>
      </c>
    </row>
    <row r="718" spans="2:76">
      <c r="B718" s="2564">
        <v>22101701</v>
      </c>
      <c r="C718" s="2565" t="s">
        <v>4336</v>
      </c>
      <c r="D718" s="2566">
        <v>380702000</v>
      </c>
      <c r="E718" s="1080">
        <v>0</v>
      </c>
      <c r="F718" s="2567">
        <v>0</v>
      </c>
      <c r="G718" s="2568">
        <v>0</v>
      </c>
      <c r="H718" s="2566">
        <v>0</v>
      </c>
      <c r="I718" s="2566">
        <v>380702000</v>
      </c>
      <c r="J718" s="2569">
        <v>0</v>
      </c>
      <c r="K718" s="2569">
        <v>0</v>
      </c>
      <c r="L718" s="2566">
        <v>380702000</v>
      </c>
      <c r="N718" s="2396">
        <v>22101701</v>
      </c>
      <c r="O718" s="2397" t="s">
        <v>4336</v>
      </c>
      <c r="P718" s="2398">
        <v>380702000</v>
      </c>
      <c r="Q718" s="2179">
        <v>0</v>
      </c>
      <c r="R718" s="2399">
        <v>0</v>
      </c>
      <c r="S718" s="2400">
        <v>0</v>
      </c>
      <c r="T718" s="2398">
        <v>0</v>
      </c>
      <c r="U718" s="2398">
        <v>380702000</v>
      </c>
      <c r="V718" s="2401">
        <v>0</v>
      </c>
      <c r="W718" s="2401">
        <v>0</v>
      </c>
      <c r="X718" s="2398">
        <v>380702000</v>
      </c>
      <c r="Z718" s="2396">
        <v>22101701</v>
      </c>
      <c r="AA718" s="2397" t="s">
        <v>4336</v>
      </c>
      <c r="AB718" s="2398">
        <v>369520000</v>
      </c>
      <c r="AC718" s="2179">
        <v>0</v>
      </c>
      <c r="AD718" s="2399">
        <v>0</v>
      </c>
      <c r="AE718" s="2400">
        <v>0</v>
      </c>
      <c r="AF718" s="2398">
        <v>0</v>
      </c>
      <c r="AG718" s="2398">
        <v>369520000</v>
      </c>
      <c r="AH718" s="2401">
        <v>0</v>
      </c>
      <c r="AI718" s="2401">
        <v>0</v>
      </c>
      <c r="AJ718" s="2398">
        <v>369520000</v>
      </c>
      <c r="AZ718" s="2396">
        <v>22101701</v>
      </c>
      <c r="BA718" s="2397" t="s">
        <v>4336</v>
      </c>
      <c r="BB718" s="2398">
        <v>1139770000</v>
      </c>
      <c r="BC718" s="2179">
        <v>0</v>
      </c>
      <c r="BD718" s="2399">
        <v>0</v>
      </c>
      <c r="BE718" s="2400">
        <v>0</v>
      </c>
      <c r="BF718" s="2398">
        <v>0</v>
      </c>
      <c r="BG718" s="2398">
        <v>1139770000</v>
      </c>
      <c r="BH718" s="2401">
        <v>0</v>
      </c>
      <c r="BI718" s="2401">
        <v>0</v>
      </c>
      <c r="BJ718" s="2398">
        <v>1139770000</v>
      </c>
      <c r="BN718" s="2396">
        <v>22151201</v>
      </c>
      <c r="BO718" s="2397" t="s">
        <v>4358</v>
      </c>
      <c r="BP718" s="2398">
        <v>0</v>
      </c>
      <c r="BQ718" s="2179">
        <v>0</v>
      </c>
      <c r="BR718" s="2399">
        <v>0</v>
      </c>
      <c r="BS718" s="2400">
        <v>0</v>
      </c>
      <c r="BT718" s="2398">
        <v>0</v>
      </c>
      <c r="BU718" s="2398">
        <v>0</v>
      </c>
      <c r="BV718" s="2401">
        <v>0</v>
      </c>
      <c r="BW718" s="2401">
        <v>0</v>
      </c>
      <c r="BX718" s="2398">
        <v>0</v>
      </c>
    </row>
    <row r="719" spans="2:76">
      <c r="B719" s="2558">
        <v>22101800</v>
      </c>
      <c r="C719" s="2571" t="s">
        <v>4337</v>
      </c>
      <c r="D719" s="2560">
        <v>0</v>
      </c>
      <c r="E719" s="2560">
        <v>0</v>
      </c>
      <c r="F719" s="2561">
        <v>0</v>
      </c>
      <c r="G719" s="2562">
        <v>0</v>
      </c>
      <c r="H719" s="2560">
        <v>0</v>
      </c>
      <c r="I719" s="2560">
        <v>0</v>
      </c>
      <c r="J719" s="2563">
        <v>0</v>
      </c>
      <c r="K719" s="2563">
        <v>0</v>
      </c>
      <c r="L719" s="2560">
        <v>0</v>
      </c>
      <c r="N719" s="2390">
        <v>22101800</v>
      </c>
      <c r="O719" s="2403" t="s">
        <v>4337</v>
      </c>
      <c r="P719" s="2392">
        <v>0</v>
      </c>
      <c r="Q719" s="2392">
        <v>0</v>
      </c>
      <c r="R719" s="2393">
        <v>0</v>
      </c>
      <c r="S719" s="2394">
        <v>0</v>
      </c>
      <c r="T719" s="2392">
        <v>0</v>
      </c>
      <c r="U719" s="2392">
        <v>0</v>
      </c>
      <c r="V719" s="2395">
        <v>0</v>
      </c>
      <c r="W719" s="2395">
        <v>0</v>
      </c>
      <c r="X719" s="2392">
        <v>0</v>
      </c>
      <c r="Z719" s="2390">
        <v>22101800</v>
      </c>
      <c r="AA719" s="2403" t="s">
        <v>4337</v>
      </c>
      <c r="AB719" s="2392">
        <v>0</v>
      </c>
      <c r="AC719" s="2392">
        <v>0</v>
      </c>
      <c r="AD719" s="2393">
        <v>0</v>
      </c>
      <c r="AE719" s="2394">
        <v>0</v>
      </c>
      <c r="AF719" s="2392">
        <v>0</v>
      </c>
      <c r="AG719" s="2392">
        <v>0</v>
      </c>
      <c r="AH719" s="2395">
        <v>0</v>
      </c>
      <c r="AI719" s="2395">
        <v>0</v>
      </c>
      <c r="AJ719" s="2392">
        <v>0</v>
      </c>
      <c r="AZ719" s="2390">
        <v>22101800</v>
      </c>
      <c r="BA719" s="2403" t="s">
        <v>4337</v>
      </c>
      <c r="BB719" s="2392">
        <v>0</v>
      </c>
      <c r="BC719" s="2392">
        <v>0</v>
      </c>
      <c r="BD719" s="2393">
        <v>0</v>
      </c>
      <c r="BE719" s="2394">
        <v>0</v>
      </c>
      <c r="BF719" s="2392">
        <v>0</v>
      </c>
      <c r="BG719" s="2392">
        <v>0</v>
      </c>
      <c r="BH719" s="2395">
        <v>0</v>
      </c>
      <c r="BI719" s="2395">
        <v>0</v>
      </c>
      <c r="BJ719" s="2392">
        <v>0</v>
      </c>
      <c r="BN719" s="2390">
        <v>22151300</v>
      </c>
      <c r="BO719" s="2403" t="s">
        <v>4359</v>
      </c>
      <c r="BP719" s="2392">
        <v>0</v>
      </c>
      <c r="BQ719" s="2392">
        <v>0</v>
      </c>
      <c r="BR719" s="2393">
        <v>0</v>
      </c>
      <c r="BS719" s="2394">
        <v>0</v>
      </c>
      <c r="BT719" s="2392">
        <v>0</v>
      </c>
      <c r="BU719" s="2392">
        <v>0</v>
      </c>
      <c r="BV719" s="2395">
        <v>0</v>
      </c>
      <c r="BW719" s="2395">
        <v>0</v>
      </c>
      <c r="BX719" s="2392">
        <v>0</v>
      </c>
    </row>
    <row r="720" spans="2:76">
      <c r="B720" s="2564">
        <v>22101801</v>
      </c>
      <c r="C720" s="2565" t="s">
        <v>4337</v>
      </c>
      <c r="D720" s="2566">
        <v>0</v>
      </c>
      <c r="E720" s="1080">
        <v>0</v>
      </c>
      <c r="F720" s="2567">
        <v>0</v>
      </c>
      <c r="G720" s="2568">
        <v>0</v>
      </c>
      <c r="H720" s="2566">
        <v>0</v>
      </c>
      <c r="I720" s="2566">
        <v>0</v>
      </c>
      <c r="J720" s="2569">
        <v>0</v>
      </c>
      <c r="K720" s="2569">
        <v>0</v>
      </c>
      <c r="L720" s="2566">
        <v>0</v>
      </c>
      <c r="N720" s="2396">
        <v>22101801</v>
      </c>
      <c r="O720" s="2397" t="s">
        <v>4337</v>
      </c>
      <c r="P720" s="2398">
        <v>0</v>
      </c>
      <c r="Q720" s="2179">
        <v>0</v>
      </c>
      <c r="R720" s="2399">
        <v>0</v>
      </c>
      <c r="S720" s="2400">
        <v>0</v>
      </c>
      <c r="T720" s="2398">
        <v>0</v>
      </c>
      <c r="U720" s="2398">
        <v>0</v>
      </c>
      <c r="V720" s="2401">
        <v>0</v>
      </c>
      <c r="W720" s="2401">
        <v>0</v>
      </c>
      <c r="X720" s="2398">
        <v>0</v>
      </c>
      <c r="Z720" s="2396">
        <v>22101801</v>
      </c>
      <c r="AA720" s="2397" t="s">
        <v>4337</v>
      </c>
      <c r="AB720" s="2398">
        <v>0</v>
      </c>
      <c r="AC720" s="2179">
        <v>0</v>
      </c>
      <c r="AD720" s="2399">
        <v>0</v>
      </c>
      <c r="AE720" s="2400">
        <v>0</v>
      </c>
      <c r="AF720" s="2398">
        <v>0</v>
      </c>
      <c r="AG720" s="2398">
        <v>0</v>
      </c>
      <c r="AH720" s="2401">
        <v>0</v>
      </c>
      <c r="AI720" s="2401">
        <v>0</v>
      </c>
      <c r="AJ720" s="2398">
        <v>0</v>
      </c>
      <c r="AZ720" s="2396">
        <v>22101801</v>
      </c>
      <c r="BA720" s="2397" t="s">
        <v>4337</v>
      </c>
      <c r="BB720" s="2398">
        <v>0</v>
      </c>
      <c r="BC720" s="2179">
        <v>0</v>
      </c>
      <c r="BD720" s="2399">
        <v>0</v>
      </c>
      <c r="BE720" s="2400">
        <v>0</v>
      </c>
      <c r="BF720" s="2398">
        <v>0</v>
      </c>
      <c r="BG720" s="2398">
        <v>0</v>
      </c>
      <c r="BH720" s="2401">
        <v>0</v>
      </c>
      <c r="BI720" s="2401">
        <v>0</v>
      </c>
      <c r="BJ720" s="2398">
        <v>0</v>
      </c>
      <c r="BN720" s="2396">
        <v>22151301</v>
      </c>
      <c r="BO720" s="2397" t="s">
        <v>4359</v>
      </c>
      <c r="BP720" s="2398">
        <v>0</v>
      </c>
      <c r="BQ720" s="2179">
        <v>0</v>
      </c>
      <c r="BR720" s="2399">
        <v>0</v>
      </c>
      <c r="BS720" s="2400">
        <v>0</v>
      </c>
      <c r="BT720" s="2398">
        <v>0</v>
      </c>
      <c r="BU720" s="2398">
        <v>0</v>
      </c>
      <c r="BV720" s="2401">
        <v>0</v>
      </c>
      <c r="BW720" s="2401">
        <v>0</v>
      </c>
      <c r="BX720" s="2398">
        <v>0</v>
      </c>
    </row>
    <row r="721" spans="2:76">
      <c r="B721" s="2552">
        <v>22110000</v>
      </c>
      <c r="C721" s="2570" t="s">
        <v>4338</v>
      </c>
      <c r="D721" s="2554">
        <v>0</v>
      </c>
      <c r="E721" s="2554">
        <v>0</v>
      </c>
      <c r="F721" s="2555">
        <v>0</v>
      </c>
      <c r="G721" s="2556">
        <v>0</v>
      </c>
      <c r="H721" s="2554">
        <v>0</v>
      </c>
      <c r="I721" s="2554">
        <v>0</v>
      </c>
      <c r="J721" s="2557">
        <v>0</v>
      </c>
      <c r="K721" s="2557">
        <v>0</v>
      </c>
      <c r="L721" s="2554">
        <v>0</v>
      </c>
      <c r="N721" s="2384">
        <v>22110000</v>
      </c>
      <c r="O721" s="2402" t="s">
        <v>4338</v>
      </c>
      <c r="P721" s="2386">
        <v>0</v>
      </c>
      <c r="Q721" s="2386">
        <v>0</v>
      </c>
      <c r="R721" s="2387">
        <v>0</v>
      </c>
      <c r="S721" s="2388">
        <v>0</v>
      </c>
      <c r="T721" s="2386">
        <v>0</v>
      </c>
      <c r="U721" s="2386">
        <v>0</v>
      </c>
      <c r="V721" s="2389">
        <v>0</v>
      </c>
      <c r="W721" s="2389">
        <v>0</v>
      </c>
      <c r="X721" s="2386">
        <v>0</v>
      </c>
      <c r="Z721" s="2384">
        <v>22110000</v>
      </c>
      <c r="AA721" s="2402" t="s">
        <v>4338</v>
      </c>
      <c r="AB721" s="2386">
        <v>0</v>
      </c>
      <c r="AC721" s="2386">
        <v>0</v>
      </c>
      <c r="AD721" s="2387">
        <v>0</v>
      </c>
      <c r="AE721" s="2388">
        <v>0</v>
      </c>
      <c r="AF721" s="2386">
        <v>0</v>
      </c>
      <c r="AG721" s="2386">
        <v>0</v>
      </c>
      <c r="AH721" s="2389">
        <v>0</v>
      </c>
      <c r="AI721" s="2389">
        <v>0</v>
      </c>
      <c r="AJ721" s="2386">
        <v>0</v>
      </c>
      <c r="AZ721" s="2384">
        <v>22110000</v>
      </c>
      <c r="BA721" s="2402" t="s">
        <v>4338</v>
      </c>
      <c r="BB721" s="2386">
        <v>0</v>
      </c>
      <c r="BC721" s="2386">
        <v>0</v>
      </c>
      <c r="BD721" s="2387">
        <v>0</v>
      </c>
      <c r="BE721" s="2388">
        <v>0</v>
      </c>
      <c r="BF721" s="2386">
        <v>0</v>
      </c>
      <c r="BG721" s="2386">
        <v>0</v>
      </c>
      <c r="BH721" s="2389">
        <v>0</v>
      </c>
      <c r="BI721" s="2389">
        <v>0</v>
      </c>
      <c r="BJ721" s="2386">
        <v>0</v>
      </c>
      <c r="BN721" s="2390">
        <v>22151400</v>
      </c>
      <c r="BO721" s="2403" t="s">
        <v>4360</v>
      </c>
      <c r="BP721" s="2392">
        <v>0</v>
      </c>
      <c r="BQ721" s="2392">
        <v>0</v>
      </c>
      <c r="BR721" s="2393">
        <v>0</v>
      </c>
      <c r="BS721" s="2394">
        <v>0</v>
      </c>
      <c r="BT721" s="2392">
        <v>0</v>
      </c>
      <c r="BU721" s="2392">
        <v>0</v>
      </c>
      <c r="BV721" s="2395">
        <v>0</v>
      </c>
      <c r="BW721" s="2395">
        <v>0</v>
      </c>
      <c r="BX721" s="2392">
        <v>0</v>
      </c>
    </row>
    <row r="722" spans="2:76">
      <c r="B722" s="2558">
        <v>22111000</v>
      </c>
      <c r="C722" s="2571" t="s">
        <v>4339</v>
      </c>
      <c r="D722" s="2560">
        <v>0</v>
      </c>
      <c r="E722" s="2560">
        <v>0</v>
      </c>
      <c r="F722" s="2561">
        <v>0</v>
      </c>
      <c r="G722" s="2562">
        <v>0</v>
      </c>
      <c r="H722" s="2560">
        <v>0</v>
      </c>
      <c r="I722" s="2560">
        <v>0</v>
      </c>
      <c r="J722" s="2563">
        <v>0</v>
      </c>
      <c r="K722" s="2563">
        <v>0</v>
      </c>
      <c r="L722" s="2560">
        <v>0</v>
      </c>
      <c r="N722" s="2390">
        <v>22111000</v>
      </c>
      <c r="O722" s="2403" t="s">
        <v>4339</v>
      </c>
      <c r="P722" s="2392">
        <v>0</v>
      </c>
      <c r="Q722" s="2392">
        <v>0</v>
      </c>
      <c r="R722" s="2393">
        <v>0</v>
      </c>
      <c r="S722" s="2394">
        <v>0</v>
      </c>
      <c r="T722" s="2392">
        <v>0</v>
      </c>
      <c r="U722" s="2392">
        <v>0</v>
      </c>
      <c r="V722" s="2395">
        <v>0</v>
      </c>
      <c r="W722" s="2395">
        <v>0</v>
      </c>
      <c r="X722" s="2392">
        <v>0</v>
      </c>
      <c r="Z722" s="2390">
        <v>22111000</v>
      </c>
      <c r="AA722" s="2403" t="s">
        <v>4339</v>
      </c>
      <c r="AB722" s="2392">
        <v>0</v>
      </c>
      <c r="AC722" s="2392">
        <v>0</v>
      </c>
      <c r="AD722" s="2393">
        <v>0</v>
      </c>
      <c r="AE722" s="2394">
        <v>0</v>
      </c>
      <c r="AF722" s="2392">
        <v>0</v>
      </c>
      <c r="AG722" s="2392">
        <v>0</v>
      </c>
      <c r="AH722" s="2395">
        <v>0</v>
      </c>
      <c r="AI722" s="2395">
        <v>0</v>
      </c>
      <c r="AJ722" s="2392">
        <v>0</v>
      </c>
      <c r="AZ722" s="2390">
        <v>22111000</v>
      </c>
      <c r="BA722" s="2403" t="s">
        <v>4339</v>
      </c>
      <c r="BB722" s="2392">
        <v>0</v>
      </c>
      <c r="BC722" s="2392">
        <v>0</v>
      </c>
      <c r="BD722" s="2393">
        <v>0</v>
      </c>
      <c r="BE722" s="2394">
        <v>0</v>
      </c>
      <c r="BF722" s="2392">
        <v>0</v>
      </c>
      <c r="BG722" s="2392">
        <v>0</v>
      </c>
      <c r="BH722" s="2395">
        <v>0</v>
      </c>
      <c r="BI722" s="2395">
        <v>0</v>
      </c>
      <c r="BJ722" s="2392">
        <v>0</v>
      </c>
      <c r="BN722" s="2396">
        <v>22151401</v>
      </c>
      <c r="BO722" s="2397" t="s">
        <v>4360</v>
      </c>
      <c r="BP722" s="2398">
        <v>0</v>
      </c>
      <c r="BQ722" s="2179">
        <v>0</v>
      </c>
      <c r="BR722" s="2399">
        <v>0</v>
      </c>
      <c r="BS722" s="2400">
        <v>0</v>
      </c>
      <c r="BT722" s="2398">
        <v>0</v>
      </c>
      <c r="BU722" s="2398">
        <v>0</v>
      </c>
      <c r="BV722" s="2401">
        <v>0</v>
      </c>
      <c r="BW722" s="2401">
        <v>0</v>
      </c>
      <c r="BX722" s="2398">
        <v>0</v>
      </c>
    </row>
    <row r="723" spans="2:76">
      <c r="B723" s="2564">
        <v>22111001</v>
      </c>
      <c r="C723" s="2565" t="s">
        <v>5069</v>
      </c>
      <c r="D723" s="2566">
        <v>0</v>
      </c>
      <c r="E723" s="1080">
        <v>0</v>
      </c>
      <c r="F723" s="2567">
        <v>0</v>
      </c>
      <c r="G723" s="2568">
        <v>0</v>
      </c>
      <c r="H723" s="2566">
        <v>0</v>
      </c>
      <c r="I723" s="2566">
        <v>0</v>
      </c>
      <c r="J723" s="2569">
        <v>0</v>
      </c>
      <c r="K723" s="2569">
        <v>0</v>
      </c>
      <c r="L723" s="2566">
        <v>0</v>
      </c>
      <c r="N723" s="2396">
        <v>22111001</v>
      </c>
      <c r="O723" s="2397" t="s">
        <v>4339</v>
      </c>
      <c r="P723" s="2398">
        <v>0</v>
      </c>
      <c r="Q723" s="2179">
        <v>0</v>
      </c>
      <c r="R723" s="2399">
        <v>0</v>
      </c>
      <c r="S723" s="2400">
        <v>0</v>
      </c>
      <c r="T723" s="2398">
        <v>0</v>
      </c>
      <c r="U723" s="2398">
        <v>0</v>
      </c>
      <c r="V723" s="2401">
        <v>0</v>
      </c>
      <c r="W723" s="2401">
        <v>0</v>
      </c>
      <c r="X723" s="2398">
        <v>0</v>
      </c>
      <c r="Z723" s="2396">
        <v>22111001</v>
      </c>
      <c r="AA723" s="2397" t="s">
        <v>4339</v>
      </c>
      <c r="AB723" s="2398">
        <v>0</v>
      </c>
      <c r="AC723" s="2179">
        <v>0</v>
      </c>
      <c r="AD723" s="2399">
        <v>0</v>
      </c>
      <c r="AE723" s="2400">
        <v>0</v>
      </c>
      <c r="AF723" s="2398">
        <v>0</v>
      </c>
      <c r="AG723" s="2398">
        <v>0</v>
      </c>
      <c r="AH723" s="2401">
        <v>0</v>
      </c>
      <c r="AI723" s="2401">
        <v>0</v>
      </c>
      <c r="AJ723" s="2398">
        <v>0</v>
      </c>
      <c r="AZ723" s="2396">
        <v>22111001</v>
      </c>
      <c r="BA723" s="2397" t="s">
        <v>4339</v>
      </c>
      <c r="BB723" s="2398">
        <v>0</v>
      </c>
      <c r="BC723" s="2179">
        <v>0</v>
      </c>
      <c r="BD723" s="2399">
        <v>0</v>
      </c>
      <c r="BE723" s="2400">
        <v>0</v>
      </c>
      <c r="BF723" s="2398">
        <v>0</v>
      </c>
      <c r="BG723" s="2398">
        <v>0</v>
      </c>
      <c r="BH723" s="2401">
        <v>0</v>
      </c>
      <c r="BI723" s="2401">
        <v>0</v>
      </c>
      <c r="BJ723" s="2398">
        <v>0</v>
      </c>
      <c r="BN723" s="2384">
        <v>22160000</v>
      </c>
      <c r="BO723" s="2402" t="s">
        <v>4361</v>
      </c>
      <c r="BP723" s="2386">
        <v>0</v>
      </c>
      <c r="BQ723" s="2386">
        <v>372412431</v>
      </c>
      <c r="BR723" s="2387">
        <v>0</v>
      </c>
      <c r="BS723" s="2388">
        <v>0</v>
      </c>
      <c r="BT723" s="2386">
        <v>0</v>
      </c>
      <c r="BU723" s="2386">
        <v>372412431</v>
      </c>
      <c r="BV723" s="2389">
        <v>0</v>
      </c>
      <c r="BW723" s="2389">
        <v>0</v>
      </c>
      <c r="BX723" s="2386">
        <v>372412431</v>
      </c>
    </row>
    <row r="724" spans="2:76">
      <c r="B724" s="2558">
        <v>22111100</v>
      </c>
      <c r="C724" s="2571" t="s">
        <v>4340</v>
      </c>
      <c r="D724" s="2560">
        <v>0</v>
      </c>
      <c r="E724" s="2560">
        <v>0</v>
      </c>
      <c r="F724" s="2561">
        <v>0</v>
      </c>
      <c r="G724" s="2562">
        <v>0</v>
      </c>
      <c r="H724" s="2560">
        <v>0</v>
      </c>
      <c r="I724" s="2560">
        <v>0</v>
      </c>
      <c r="J724" s="2563">
        <v>0</v>
      </c>
      <c r="K724" s="2563">
        <v>0</v>
      </c>
      <c r="L724" s="2560">
        <v>0</v>
      </c>
      <c r="N724" s="2390">
        <v>22111100</v>
      </c>
      <c r="O724" s="2403" t="s">
        <v>4340</v>
      </c>
      <c r="P724" s="2392">
        <v>0</v>
      </c>
      <c r="Q724" s="2392">
        <v>0</v>
      </c>
      <c r="R724" s="2393">
        <v>0</v>
      </c>
      <c r="S724" s="2394">
        <v>0</v>
      </c>
      <c r="T724" s="2392">
        <v>0</v>
      </c>
      <c r="U724" s="2392">
        <v>0</v>
      </c>
      <c r="V724" s="2395">
        <v>0</v>
      </c>
      <c r="W724" s="2395">
        <v>0</v>
      </c>
      <c r="X724" s="2392">
        <v>0</v>
      </c>
      <c r="Z724" s="2390">
        <v>22111100</v>
      </c>
      <c r="AA724" s="2403" t="s">
        <v>4340</v>
      </c>
      <c r="AB724" s="2392">
        <v>0</v>
      </c>
      <c r="AC724" s="2392">
        <v>0</v>
      </c>
      <c r="AD724" s="2393">
        <v>0</v>
      </c>
      <c r="AE724" s="2394">
        <v>0</v>
      </c>
      <c r="AF724" s="2392">
        <v>0</v>
      </c>
      <c r="AG724" s="2392">
        <v>0</v>
      </c>
      <c r="AH724" s="2395">
        <v>0</v>
      </c>
      <c r="AI724" s="2395">
        <v>0</v>
      </c>
      <c r="AJ724" s="2392">
        <v>0</v>
      </c>
      <c r="AZ724" s="2390">
        <v>22111100</v>
      </c>
      <c r="BA724" s="2403" t="s">
        <v>4340</v>
      </c>
      <c r="BB724" s="2392">
        <v>0</v>
      </c>
      <c r="BC724" s="2392">
        <v>0</v>
      </c>
      <c r="BD724" s="2393">
        <v>0</v>
      </c>
      <c r="BE724" s="2394">
        <v>0</v>
      </c>
      <c r="BF724" s="2392">
        <v>0</v>
      </c>
      <c r="BG724" s="2392">
        <v>0</v>
      </c>
      <c r="BH724" s="2395">
        <v>0</v>
      </c>
      <c r="BI724" s="2395">
        <v>0</v>
      </c>
      <c r="BJ724" s="2392">
        <v>0</v>
      </c>
      <c r="BN724" s="2390">
        <v>22161000</v>
      </c>
      <c r="BO724" s="2403" t="s">
        <v>4361</v>
      </c>
      <c r="BP724" s="2392">
        <v>0</v>
      </c>
      <c r="BQ724" s="2392">
        <v>372412431</v>
      </c>
      <c r="BR724" s="2393">
        <v>0</v>
      </c>
      <c r="BS724" s="2394">
        <v>0</v>
      </c>
      <c r="BT724" s="2392">
        <v>0</v>
      </c>
      <c r="BU724" s="2392">
        <v>372412431</v>
      </c>
      <c r="BV724" s="2395">
        <v>0</v>
      </c>
      <c r="BW724" s="2395">
        <v>0</v>
      </c>
      <c r="BX724" s="2392">
        <v>372412431</v>
      </c>
    </row>
    <row r="725" spans="2:76">
      <c r="B725" s="2564">
        <v>22111101</v>
      </c>
      <c r="C725" s="2565" t="s">
        <v>5070</v>
      </c>
      <c r="D725" s="2566">
        <v>0</v>
      </c>
      <c r="E725" s="1080">
        <v>0</v>
      </c>
      <c r="F725" s="2567">
        <v>0</v>
      </c>
      <c r="G725" s="2568">
        <v>0</v>
      </c>
      <c r="H725" s="2566">
        <v>0</v>
      </c>
      <c r="I725" s="2566">
        <v>0</v>
      </c>
      <c r="J725" s="2569">
        <v>0</v>
      </c>
      <c r="K725" s="2569">
        <v>0</v>
      </c>
      <c r="L725" s="2566">
        <v>0</v>
      </c>
      <c r="N725" s="2396">
        <v>22111101</v>
      </c>
      <c r="O725" s="2397" t="s">
        <v>4341</v>
      </c>
      <c r="P725" s="2398">
        <v>0</v>
      </c>
      <c r="Q725" s="2179">
        <v>0</v>
      </c>
      <c r="R725" s="2399">
        <v>0</v>
      </c>
      <c r="S725" s="2400">
        <v>0</v>
      </c>
      <c r="T725" s="2398">
        <v>0</v>
      </c>
      <c r="U725" s="2398">
        <v>0</v>
      </c>
      <c r="V725" s="2401">
        <v>0</v>
      </c>
      <c r="W725" s="2401">
        <v>0</v>
      </c>
      <c r="X725" s="2398">
        <v>0</v>
      </c>
      <c r="Z725" s="2396">
        <v>22111101</v>
      </c>
      <c r="AA725" s="2397" t="s">
        <v>4341</v>
      </c>
      <c r="AB725" s="2398">
        <v>0</v>
      </c>
      <c r="AC725" s="2179">
        <v>0</v>
      </c>
      <c r="AD725" s="2399">
        <v>0</v>
      </c>
      <c r="AE725" s="2400">
        <v>0</v>
      </c>
      <c r="AF725" s="2398">
        <v>0</v>
      </c>
      <c r="AG725" s="2398">
        <v>0</v>
      </c>
      <c r="AH725" s="2401">
        <v>0</v>
      </c>
      <c r="AI725" s="2401">
        <v>0</v>
      </c>
      <c r="AJ725" s="2398">
        <v>0</v>
      </c>
      <c r="AZ725" s="2396">
        <v>22111101</v>
      </c>
      <c r="BA725" s="2397" t="s">
        <v>4341</v>
      </c>
      <c r="BB725" s="2398">
        <v>0</v>
      </c>
      <c r="BC725" s="2179">
        <v>0</v>
      </c>
      <c r="BD725" s="2399">
        <v>0</v>
      </c>
      <c r="BE725" s="2400">
        <v>0</v>
      </c>
      <c r="BF725" s="2398">
        <v>0</v>
      </c>
      <c r="BG725" s="2398">
        <v>0</v>
      </c>
      <c r="BH725" s="2401">
        <v>0</v>
      </c>
      <c r="BI725" s="2401">
        <v>0</v>
      </c>
      <c r="BJ725" s="2398">
        <v>0</v>
      </c>
      <c r="BN725" s="2396">
        <v>22161001</v>
      </c>
      <c r="BO725" s="2397" t="s">
        <v>4361</v>
      </c>
      <c r="BP725" s="2398">
        <v>0</v>
      </c>
      <c r="BQ725" s="2179">
        <v>372412431</v>
      </c>
      <c r="BR725" s="2399">
        <v>0</v>
      </c>
      <c r="BS725" s="2400">
        <v>0</v>
      </c>
      <c r="BT725" s="2398">
        <v>0</v>
      </c>
      <c r="BU725" s="2398">
        <v>372412431</v>
      </c>
      <c r="BV725" s="2401">
        <v>0</v>
      </c>
      <c r="BW725" s="2401">
        <v>0</v>
      </c>
      <c r="BX725" s="2398">
        <v>372412431</v>
      </c>
    </row>
    <row r="726" spans="2:76">
      <c r="B726" s="2564">
        <v>22111102</v>
      </c>
      <c r="C726" s="2565" t="s">
        <v>5071</v>
      </c>
      <c r="D726" s="2566">
        <v>0</v>
      </c>
      <c r="E726" s="1080">
        <v>0</v>
      </c>
      <c r="F726" s="2567">
        <v>0</v>
      </c>
      <c r="G726" s="2568">
        <v>0</v>
      </c>
      <c r="H726" s="2566">
        <v>0</v>
      </c>
      <c r="I726" s="2566">
        <v>0</v>
      </c>
      <c r="J726" s="2569">
        <v>0</v>
      </c>
      <c r="K726" s="2569">
        <v>0</v>
      </c>
      <c r="L726" s="2566">
        <v>0</v>
      </c>
      <c r="N726" s="2396">
        <v>22111102</v>
      </c>
      <c r="O726" s="2397" t="s">
        <v>4342</v>
      </c>
      <c r="P726" s="2398">
        <v>0</v>
      </c>
      <c r="Q726" s="2179">
        <v>0</v>
      </c>
      <c r="R726" s="2399">
        <v>0</v>
      </c>
      <c r="S726" s="2400">
        <v>0</v>
      </c>
      <c r="T726" s="2398">
        <v>0</v>
      </c>
      <c r="U726" s="2398">
        <v>0</v>
      </c>
      <c r="V726" s="2401">
        <v>0</v>
      </c>
      <c r="W726" s="2401">
        <v>0</v>
      </c>
      <c r="X726" s="2398">
        <v>0</v>
      </c>
      <c r="Z726" s="2396">
        <v>22111102</v>
      </c>
      <c r="AA726" s="2397" t="s">
        <v>4342</v>
      </c>
      <c r="AB726" s="2398">
        <v>0</v>
      </c>
      <c r="AC726" s="2179">
        <v>0</v>
      </c>
      <c r="AD726" s="2399">
        <v>0</v>
      </c>
      <c r="AE726" s="2400">
        <v>0</v>
      </c>
      <c r="AF726" s="2398">
        <v>0</v>
      </c>
      <c r="AG726" s="2398">
        <v>0</v>
      </c>
      <c r="AH726" s="2401">
        <v>0</v>
      </c>
      <c r="AI726" s="2401">
        <v>0</v>
      </c>
      <c r="AJ726" s="2398">
        <v>0</v>
      </c>
      <c r="AZ726" s="2396">
        <v>22111102</v>
      </c>
      <c r="BA726" s="2397" t="s">
        <v>4342</v>
      </c>
      <c r="BB726" s="2398">
        <v>0</v>
      </c>
      <c r="BC726" s="2179">
        <v>0</v>
      </c>
      <c r="BD726" s="2399">
        <v>0</v>
      </c>
      <c r="BE726" s="2400">
        <v>0</v>
      </c>
      <c r="BF726" s="2398">
        <v>0</v>
      </c>
      <c r="BG726" s="2398">
        <v>0</v>
      </c>
      <c r="BH726" s="2401">
        <v>0</v>
      </c>
      <c r="BI726" s="2401">
        <v>0</v>
      </c>
      <c r="BJ726" s="2398">
        <v>0</v>
      </c>
      <c r="BN726" s="2384">
        <v>22170000</v>
      </c>
      <c r="BO726" s="2402" t="s">
        <v>4305</v>
      </c>
      <c r="BP726" s="2386">
        <v>2937314303</v>
      </c>
      <c r="BQ726" s="2386">
        <v>0</v>
      </c>
      <c r="BR726" s="2387">
        <v>0</v>
      </c>
      <c r="BS726" s="2388">
        <v>0</v>
      </c>
      <c r="BT726" s="2386">
        <v>0</v>
      </c>
      <c r="BU726" s="2386">
        <v>2937314303</v>
      </c>
      <c r="BV726" s="2389">
        <v>0</v>
      </c>
      <c r="BW726" s="2389">
        <v>0</v>
      </c>
      <c r="BX726" s="2386">
        <v>2937314303</v>
      </c>
    </row>
    <row r="727" spans="2:76">
      <c r="B727" s="2552">
        <v>22120000</v>
      </c>
      <c r="C727" s="2570" t="s">
        <v>4343</v>
      </c>
      <c r="D727" s="2554">
        <v>60170703</v>
      </c>
      <c r="E727" s="2554">
        <v>0</v>
      </c>
      <c r="F727" s="2555">
        <v>0</v>
      </c>
      <c r="G727" s="2556">
        <v>0</v>
      </c>
      <c r="H727" s="2554">
        <v>0</v>
      </c>
      <c r="I727" s="2554">
        <v>60170703</v>
      </c>
      <c r="J727" s="2557">
        <v>0</v>
      </c>
      <c r="K727" s="2557">
        <v>0</v>
      </c>
      <c r="L727" s="2554">
        <v>60170703</v>
      </c>
      <c r="N727" s="2384">
        <v>22120000</v>
      </c>
      <c r="O727" s="2402" t="s">
        <v>4343</v>
      </c>
      <c r="P727" s="2386">
        <v>58590500</v>
      </c>
      <c r="Q727" s="2386">
        <v>0</v>
      </c>
      <c r="R727" s="2387">
        <v>0</v>
      </c>
      <c r="S727" s="2388">
        <v>0</v>
      </c>
      <c r="T727" s="2386">
        <v>0</v>
      </c>
      <c r="U727" s="2386">
        <v>58590500</v>
      </c>
      <c r="V727" s="2389">
        <v>0</v>
      </c>
      <c r="W727" s="2389">
        <v>0</v>
      </c>
      <c r="X727" s="2386">
        <v>58590500</v>
      </c>
      <c r="Z727" s="2384">
        <v>22120000</v>
      </c>
      <c r="AA727" s="2402" t="s">
        <v>4343</v>
      </c>
      <c r="AB727" s="2386">
        <v>329963200</v>
      </c>
      <c r="AC727" s="2386">
        <v>0</v>
      </c>
      <c r="AD727" s="2387">
        <v>0</v>
      </c>
      <c r="AE727" s="2388">
        <v>0</v>
      </c>
      <c r="AF727" s="2386">
        <v>0</v>
      </c>
      <c r="AG727" s="2386">
        <v>329963200</v>
      </c>
      <c r="AH727" s="2389">
        <v>0</v>
      </c>
      <c r="AI727" s="2389">
        <v>0</v>
      </c>
      <c r="AJ727" s="2386">
        <v>329963200</v>
      </c>
      <c r="AZ727" s="2384">
        <v>22120000</v>
      </c>
      <c r="BA727" s="2402" t="s">
        <v>4343</v>
      </c>
      <c r="BB727" s="2386">
        <v>0</v>
      </c>
      <c r="BC727" s="2386">
        <v>0</v>
      </c>
      <c r="BD727" s="2387">
        <v>0</v>
      </c>
      <c r="BE727" s="2388">
        <v>0</v>
      </c>
      <c r="BF727" s="2386">
        <v>0</v>
      </c>
      <c r="BG727" s="2386">
        <v>0</v>
      </c>
      <c r="BH727" s="2389">
        <v>0</v>
      </c>
      <c r="BI727" s="2389">
        <v>0</v>
      </c>
      <c r="BJ727" s="2386">
        <v>0</v>
      </c>
      <c r="BN727" s="2390">
        <v>22171000</v>
      </c>
      <c r="BO727" s="2403" t="s">
        <v>4362</v>
      </c>
      <c r="BP727" s="2392">
        <v>0</v>
      </c>
      <c r="BQ727" s="2392">
        <v>0</v>
      </c>
      <c r="BR727" s="2393">
        <v>0</v>
      </c>
      <c r="BS727" s="2394">
        <v>0</v>
      </c>
      <c r="BT727" s="2392">
        <v>0</v>
      </c>
      <c r="BU727" s="2392">
        <v>0</v>
      </c>
      <c r="BV727" s="2395">
        <v>0</v>
      </c>
      <c r="BW727" s="2395">
        <v>0</v>
      </c>
      <c r="BX727" s="2392">
        <v>0</v>
      </c>
    </row>
    <row r="728" spans="2:76">
      <c r="B728" s="2558">
        <v>22121000</v>
      </c>
      <c r="C728" s="2571" t="s">
        <v>4344</v>
      </c>
      <c r="D728" s="2560">
        <v>60170703</v>
      </c>
      <c r="E728" s="2560">
        <v>0</v>
      </c>
      <c r="F728" s="2561">
        <v>0</v>
      </c>
      <c r="G728" s="2562">
        <v>0</v>
      </c>
      <c r="H728" s="2560">
        <v>0</v>
      </c>
      <c r="I728" s="2560">
        <v>60170703</v>
      </c>
      <c r="J728" s="2563">
        <v>0</v>
      </c>
      <c r="K728" s="2563">
        <v>0</v>
      </c>
      <c r="L728" s="2560">
        <v>60170703</v>
      </c>
      <c r="N728" s="2390">
        <v>22121000</v>
      </c>
      <c r="O728" s="2403" t="s">
        <v>4344</v>
      </c>
      <c r="P728" s="2392">
        <v>58590500</v>
      </c>
      <c r="Q728" s="2392">
        <v>0</v>
      </c>
      <c r="R728" s="2393">
        <v>0</v>
      </c>
      <c r="S728" s="2394">
        <v>0</v>
      </c>
      <c r="T728" s="2392">
        <v>0</v>
      </c>
      <c r="U728" s="2392">
        <v>58590500</v>
      </c>
      <c r="V728" s="2395">
        <v>0</v>
      </c>
      <c r="W728" s="2395">
        <v>0</v>
      </c>
      <c r="X728" s="2392">
        <v>58590500</v>
      </c>
      <c r="Z728" s="2390">
        <v>22121000</v>
      </c>
      <c r="AA728" s="2403" t="s">
        <v>4344</v>
      </c>
      <c r="AB728" s="2392">
        <v>0</v>
      </c>
      <c r="AC728" s="2392">
        <v>0</v>
      </c>
      <c r="AD728" s="2393">
        <v>0</v>
      </c>
      <c r="AE728" s="2394">
        <v>0</v>
      </c>
      <c r="AF728" s="2392">
        <v>0</v>
      </c>
      <c r="AG728" s="2392">
        <v>0</v>
      </c>
      <c r="AH728" s="2395">
        <v>0</v>
      </c>
      <c r="AI728" s="2395">
        <v>0</v>
      </c>
      <c r="AJ728" s="2392">
        <v>0</v>
      </c>
      <c r="AZ728" s="2390">
        <v>22121000</v>
      </c>
      <c r="BA728" s="2403" t="s">
        <v>4344</v>
      </c>
      <c r="BB728" s="2392">
        <v>0</v>
      </c>
      <c r="BC728" s="2392">
        <v>0</v>
      </c>
      <c r="BD728" s="2393">
        <v>0</v>
      </c>
      <c r="BE728" s="2394">
        <v>0</v>
      </c>
      <c r="BF728" s="2392">
        <v>0</v>
      </c>
      <c r="BG728" s="2392">
        <v>0</v>
      </c>
      <c r="BH728" s="2395">
        <v>0</v>
      </c>
      <c r="BI728" s="2395">
        <v>0</v>
      </c>
      <c r="BJ728" s="2392">
        <v>0</v>
      </c>
      <c r="BN728" s="2396">
        <v>22171001</v>
      </c>
      <c r="BO728" s="2397" t="s">
        <v>4363</v>
      </c>
      <c r="BP728" s="2398">
        <v>0</v>
      </c>
      <c r="BQ728" s="2179">
        <v>0</v>
      </c>
      <c r="BR728" s="2399">
        <v>0</v>
      </c>
      <c r="BS728" s="2400">
        <v>0</v>
      </c>
      <c r="BT728" s="2398">
        <v>0</v>
      </c>
      <c r="BU728" s="2398">
        <v>0</v>
      </c>
      <c r="BV728" s="2401">
        <v>0</v>
      </c>
      <c r="BW728" s="2401">
        <v>0</v>
      </c>
      <c r="BX728" s="2398">
        <v>0</v>
      </c>
    </row>
    <row r="729" spans="2:76">
      <c r="B729" s="2564">
        <v>22121001</v>
      </c>
      <c r="C729" s="2565" t="s">
        <v>5072</v>
      </c>
      <c r="D729" s="2566">
        <v>0</v>
      </c>
      <c r="E729" s="1080">
        <v>0</v>
      </c>
      <c r="F729" s="2567">
        <v>0</v>
      </c>
      <c r="G729" s="2568">
        <v>0</v>
      </c>
      <c r="H729" s="2566">
        <v>0</v>
      </c>
      <c r="I729" s="2566">
        <v>0</v>
      </c>
      <c r="J729" s="2569">
        <v>0</v>
      </c>
      <c r="K729" s="2569">
        <v>0</v>
      </c>
      <c r="L729" s="2566">
        <v>0</v>
      </c>
      <c r="N729" s="2396">
        <v>22121001</v>
      </c>
      <c r="O729" s="2397" t="s">
        <v>4345</v>
      </c>
      <c r="P729" s="2398">
        <v>0</v>
      </c>
      <c r="Q729" s="2179">
        <v>0</v>
      </c>
      <c r="R729" s="2399">
        <v>0</v>
      </c>
      <c r="S729" s="2400">
        <v>0</v>
      </c>
      <c r="T729" s="2398">
        <v>0</v>
      </c>
      <c r="U729" s="2398">
        <v>0</v>
      </c>
      <c r="V729" s="2401">
        <v>0</v>
      </c>
      <c r="W729" s="2401">
        <v>0</v>
      </c>
      <c r="X729" s="2398">
        <v>0</v>
      </c>
      <c r="Z729" s="2396">
        <v>22121001</v>
      </c>
      <c r="AA729" s="2397" t="s">
        <v>4345</v>
      </c>
      <c r="AB729" s="2398">
        <v>0</v>
      </c>
      <c r="AC729" s="2179">
        <v>0</v>
      </c>
      <c r="AD729" s="2399">
        <v>0</v>
      </c>
      <c r="AE729" s="2400">
        <v>0</v>
      </c>
      <c r="AF729" s="2398">
        <v>0</v>
      </c>
      <c r="AG729" s="2398">
        <v>0</v>
      </c>
      <c r="AH729" s="2401">
        <v>0</v>
      </c>
      <c r="AI729" s="2401">
        <v>0</v>
      </c>
      <c r="AJ729" s="2398">
        <v>0</v>
      </c>
      <c r="AZ729" s="2396">
        <v>22121001</v>
      </c>
      <c r="BA729" s="2397" t="s">
        <v>4345</v>
      </c>
      <c r="BB729" s="2398">
        <v>0</v>
      </c>
      <c r="BC729" s="2179">
        <v>0</v>
      </c>
      <c r="BD729" s="2399">
        <v>0</v>
      </c>
      <c r="BE729" s="2400">
        <v>0</v>
      </c>
      <c r="BF729" s="2398">
        <v>0</v>
      </c>
      <c r="BG729" s="2398">
        <v>0</v>
      </c>
      <c r="BH729" s="2401">
        <v>0</v>
      </c>
      <c r="BI729" s="2401">
        <v>0</v>
      </c>
      <c r="BJ729" s="2398">
        <v>0</v>
      </c>
      <c r="BN729" s="2390">
        <v>22171100</v>
      </c>
      <c r="BO729" s="2403" t="s">
        <v>4364</v>
      </c>
      <c r="BP729" s="2392">
        <v>0</v>
      </c>
      <c r="BQ729" s="2392">
        <v>0</v>
      </c>
      <c r="BR729" s="2393">
        <v>0</v>
      </c>
      <c r="BS729" s="2394">
        <v>0</v>
      </c>
      <c r="BT729" s="2392">
        <v>0</v>
      </c>
      <c r="BU729" s="2392">
        <v>0</v>
      </c>
      <c r="BV729" s="2395">
        <v>0</v>
      </c>
      <c r="BW729" s="2395">
        <v>0</v>
      </c>
      <c r="BX729" s="2392">
        <v>0</v>
      </c>
    </row>
    <row r="730" spans="2:76">
      <c r="B730" s="2564">
        <v>22121002</v>
      </c>
      <c r="C730" s="2565" t="s">
        <v>5073</v>
      </c>
      <c r="D730" s="2566">
        <v>60170703</v>
      </c>
      <c r="E730" s="1080">
        <v>0</v>
      </c>
      <c r="F730" s="2567">
        <v>0</v>
      </c>
      <c r="G730" s="2568">
        <v>0</v>
      </c>
      <c r="H730" s="2566">
        <v>0</v>
      </c>
      <c r="I730" s="2566">
        <v>60170703</v>
      </c>
      <c r="J730" s="2569">
        <v>0</v>
      </c>
      <c r="K730" s="2569">
        <v>0</v>
      </c>
      <c r="L730" s="2566">
        <v>60170703</v>
      </c>
      <c r="N730" s="2396">
        <v>22121002</v>
      </c>
      <c r="O730" s="2397" t="s">
        <v>4346</v>
      </c>
      <c r="P730" s="2398">
        <v>58590500</v>
      </c>
      <c r="Q730" s="2179">
        <v>0</v>
      </c>
      <c r="R730" s="2399">
        <v>0</v>
      </c>
      <c r="S730" s="2400">
        <v>0</v>
      </c>
      <c r="T730" s="2398">
        <v>0</v>
      </c>
      <c r="U730" s="2398">
        <v>58590500</v>
      </c>
      <c r="V730" s="2401">
        <v>0</v>
      </c>
      <c r="W730" s="2401">
        <v>0</v>
      </c>
      <c r="X730" s="2398">
        <v>58590500</v>
      </c>
      <c r="Z730" s="2396">
        <v>22121002</v>
      </c>
      <c r="AA730" s="2397" t="s">
        <v>4346</v>
      </c>
      <c r="AB730" s="2398">
        <v>0</v>
      </c>
      <c r="AC730" s="2179">
        <v>0</v>
      </c>
      <c r="AD730" s="2399">
        <v>0</v>
      </c>
      <c r="AE730" s="2400">
        <v>0</v>
      </c>
      <c r="AF730" s="2398">
        <v>0</v>
      </c>
      <c r="AG730" s="2398">
        <v>0</v>
      </c>
      <c r="AH730" s="2401">
        <v>0</v>
      </c>
      <c r="AI730" s="2401">
        <v>0</v>
      </c>
      <c r="AJ730" s="2398">
        <v>0</v>
      </c>
      <c r="AZ730" s="2396">
        <v>22121002</v>
      </c>
      <c r="BA730" s="2397" t="s">
        <v>4346</v>
      </c>
      <c r="BB730" s="2398">
        <v>0</v>
      </c>
      <c r="BC730" s="2179">
        <v>0</v>
      </c>
      <c r="BD730" s="2399">
        <v>0</v>
      </c>
      <c r="BE730" s="2400">
        <v>0</v>
      </c>
      <c r="BF730" s="2398">
        <v>0</v>
      </c>
      <c r="BG730" s="2398">
        <v>0</v>
      </c>
      <c r="BH730" s="2401">
        <v>0</v>
      </c>
      <c r="BI730" s="2401">
        <v>0</v>
      </c>
      <c r="BJ730" s="2398">
        <v>0</v>
      </c>
      <c r="BN730" s="2396">
        <v>22171101</v>
      </c>
      <c r="BO730" s="2397" t="s">
        <v>4364</v>
      </c>
      <c r="BP730" s="2398">
        <v>0</v>
      </c>
      <c r="BQ730" s="2179">
        <v>0</v>
      </c>
      <c r="BR730" s="2399">
        <v>0</v>
      </c>
      <c r="BS730" s="2400">
        <v>0</v>
      </c>
      <c r="BT730" s="2398">
        <v>0</v>
      </c>
      <c r="BU730" s="2398">
        <v>0</v>
      </c>
      <c r="BV730" s="2401">
        <v>0</v>
      </c>
      <c r="BW730" s="2401">
        <v>0</v>
      </c>
      <c r="BX730" s="2398">
        <v>0</v>
      </c>
    </row>
    <row r="731" spans="2:76">
      <c r="B731" s="2564">
        <v>22121003</v>
      </c>
      <c r="C731" s="2565" t="s">
        <v>5074</v>
      </c>
      <c r="D731" s="2566">
        <v>0</v>
      </c>
      <c r="E731" s="1080">
        <v>0</v>
      </c>
      <c r="F731" s="2567">
        <v>0</v>
      </c>
      <c r="G731" s="2568">
        <v>0</v>
      </c>
      <c r="H731" s="2566">
        <v>0</v>
      </c>
      <c r="I731" s="2566">
        <v>0</v>
      </c>
      <c r="J731" s="2569">
        <v>0</v>
      </c>
      <c r="K731" s="2569">
        <v>0</v>
      </c>
      <c r="L731" s="2566">
        <v>0</v>
      </c>
      <c r="N731" s="2396">
        <v>22121003</v>
      </c>
      <c r="O731" s="2397" t="s">
        <v>4347</v>
      </c>
      <c r="P731" s="2398">
        <v>0</v>
      </c>
      <c r="Q731" s="2179">
        <v>0</v>
      </c>
      <c r="R731" s="2399">
        <v>0</v>
      </c>
      <c r="S731" s="2400">
        <v>0</v>
      </c>
      <c r="T731" s="2398">
        <v>0</v>
      </c>
      <c r="U731" s="2398">
        <v>0</v>
      </c>
      <c r="V731" s="2401">
        <v>0</v>
      </c>
      <c r="W731" s="2401">
        <v>0</v>
      </c>
      <c r="X731" s="2398">
        <v>0</v>
      </c>
      <c r="Z731" s="2396">
        <v>22121003</v>
      </c>
      <c r="AA731" s="2397" t="s">
        <v>4347</v>
      </c>
      <c r="AB731" s="2398">
        <v>0</v>
      </c>
      <c r="AC731" s="2179">
        <v>0</v>
      </c>
      <c r="AD731" s="2399">
        <v>0</v>
      </c>
      <c r="AE731" s="2400">
        <v>0</v>
      </c>
      <c r="AF731" s="2398">
        <v>0</v>
      </c>
      <c r="AG731" s="2398">
        <v>0</v>
      </c>
      <c r="AH731" s="2401">
        <v>0</v>
      </c>
      <c r="AI731" s="2401">
        <v>0</v>
      </c>
      <c r="AJ731" s="2398">
        <v>0</v>
      </c>
      <c r="AZ731" s="2396">
        <v>22121003</v>
      </c>
      <c r="BA731" s="2397" t="s">
        <v>4347</v>
      </c>
      <c r="BB731" s="2398">
        <v>0</v>
      </c>
      <c r="BC731" s="2179">
        <v>0</v>
      </c>
      <c r="BD731" s="2399">
        <v>0</v>
      </c>
      <c r="BE731" s="2400">
        <v>0</v>
      </c>
      <c r="BF731" s="2398">
        <v>0</v>
      </c>
      <c r="BG731" s="2398">
        <v>0</v>
      </c>
      <c r="BH731" s="2401">
        <v>0</v>
      </c>
      <c r="BI731" s="2401">
        <v>0</v>
      </c>
      <c r="BJ731" s="2398">
        <v>0</v>
      </c>
      <c r="BN731" s="2390">
        <v>22171200</v>
      </c>
      <c r="BO731" s="2403" t="s">
        <v>4365</v>
      </c>
      <c r="BP731" s="2392">
        <v>0</v>
      </c>
      <c r="BQ731" s="2392">
        <v>0</v>
      </c>
      <c r="BR731" s="2393">
        <v>0</v>
      </c>
      <c r="BS731" s="2394">
        <v>0</v>
      </c>
      <c r="BT731" s="2392">
        <v>0</v>
      </c>
      <c r="BU731" s="2392">
        <v>0</v>
      </c>
      <c r="BV731" s="2395">
        <v>0</v>
      </c>
      <c r="BW731" s="2395">
        <v>0</v>
      </c>
      <c r="BX731" s="2392">
        <v>0</v>
      </c>
    </row>
    <row r="732" spans="2:76">
      <c r="B732" s="2558">
        <v>22121100</v>
      </c>
      <c r="C732" s="2571" t="s">
        <v>4348</v>
      </c>
      <c r="D732" s="2560">
        <v>0</v>
      </c>
      <c r="E732" s="2560">
        <v>0</v>
      </c>
      <c r="F732" s="2561">
        <v>0</v>
      </c>
      <c r="G732" s="2562">
        <v>0</v>
      </c>
      <c r="H732" s="2560">
        <v>0</v>
      </c>
      <c r="I732" s="2560">
        <v>0</v>
      </c>
      <c r="J732" s="2563">
        <v>0</v>
      </c>
      <c r="K732" s="2563">
        <v>0</v>
      </c>
      <c r="L732" s="2560">
        <v>0</v>
      </c>
      <c r="N732" s="2390">
        <v>22121100</v>
      </c>
      <c r="O732" s="2403" t="s">
        <v>4348</v>
      </c>
      <c r="P732" s="2392">
        <v>0</v>
      </c>
      <c r="Q732" s="2392">
        <v>0</v>
      </c>
      <c r="R732" s="2393">
        <v>0</v>
      </c>
      <c r="S732" s="2394">
        <v>0</v>
      </c>
      <c r="T732" s="2392">
        <v>0</v>
      </c>
      <c r="U732" s="2392">
        <v>0</v>
      </c>
      <c r="V732" s="2395">
        <v>0</v>
      </c>
      <c r="W732" s="2395">
        <v>0</v>
      </c>
      <c r="X732" s="2392">
        <v>0</v>
      </c>
      <c r="Z732" s="2390">
        <v>22121100</v>
      </c>
      <c r="AA732" s="2403" t="s">
        <v>4348</v>
      </c>
      <c r="AB732" s="2392">
        <v>329963200</v>
      </c>
      <c r="AC732" s="2392">
        <v>0</v>
      </c>
      <c r="AD732" s="2393">
        <v>0</v>
      </c>
      <c r="AE732" s="2394">
        <v>0</v>
      </c>
      <c r="AF732" s="2392">
        <v>0</v>
      </c>
      <c r="AG732" s="2392">
        <v>329963200</v>
      </c>
      <c r="AH732" s="2395">
        <v>0</v>
      </c>
      <c r="AI732" s="2395">
        <v>0</v>
      </c>
      <c r="AJ732" s="2392">
        <v>329963200</v>
      </c>
      <c r="AZ732" s="2390">
        <v>22121100</v>
      </c>
      <c r="BA732" s="2403" t="s">
        <v>4348</v>
      </c>
      <c r="BB732" s="2392">
        <v>0</v>
      </c>
      <c r="BC732" s="2392">
        <v>0</v>
      </c>
      <c r="BD732" s="2393">
        <v>0</v>
      </c>
      <c r="BE732" s="2394">
        <v>0</v>
      </c>
      <c r="BF732" s="2392">
        <v>0</v>
      </c>
      <c r="BG732" s="2392">
        <v>0</v>
      </c>
      <c r="BH732" s="2395">
        <v>0</v>
      </c>
      <c r="BI732" s="2395">
        <v>0</v>
      </c>
      <c r="BJ732" s="2392">
        <v>0</v>
      </c>
      <c r="BN732" s="2396">
        <v>22171201</v>
      </c>
      <c r="BO732" s="2397" t="s">
        <v>4366</v>
      </c>
      <c r="BP732" s="2398">
        <v>0</v>
      </c>
      <c r="BQ732" s="2179">
        <v>0</v>
      </c>
      <c r="BR732" s="2399">
        <v>0</v>
      </c>
      <c r="BS732" s="2400">
        <v>0</v>
      </c>
      <c r="BT732" s="2398">
        <v>0</v>
      </c>
      <c r="BU732" s="2398">
        <v>0</v>
      </c>
      <c r="BV732" s="2401">
        <v>0</v>
      </c>
      <c r="BW732" s="2401">
        <v>0</v>
      </c>
      <c r="BX732" s="2398">
        <v>0</v>
      </c>
    </row>
    <row r="733" spans="2:76">
      <c r="B733" s="2564">
        <v>22121101</v>
      </c>
      <c r="C733" s="2565" t="s">
        <v>5075</v>
      </c>
      <c r="D733" s="2566">
        <v>0</v>
      </c>
      <c r="E733" s="1080">
        <v>0</v>
      </c>
      <c r="F733" s="2567">
        <v>0</v>
      </c>
      <c r="G733" s="2568">
        <v>0</v>
      </c>
      <c r="H733" s="2566">
        <v>0</v>
      </c>
      <c r="I733" s="2566">
        <v>0</v>
      </c>
      <c r="J733" s="2569">
        <v>0</v>
      </c>
      <c r="K733" s="2569">
        <v>0</v>
      </c>
      <c r="L733" s="2566">
        <v>0</v>
      </c>
      <c r="N733" s="2396">
        <v>22121101</v>
      </c>
      <c r="O733" s="2397" t="s">
        <v>4349</v>
      </c>
      <c r="P733" s="2398">
        <v>0</v>
      </c>
      <c r="Q733" s="2179">
        <v>0</v>
      </c>
      <c r="R733" s="2399">
        <v>0</v>
      </c>
      <c r="S733" s="2400">
        <v>0</v>
      </c>
      <c r="T733" s="2398">
        <v>0</v>
      </c>
      <c r="U733" s="2398">
        <v>0</v>
      </c>
      <c r="V733" s="2401">
        <v>0</v>
      </c>
      <c r="W733" s="2401">
        <v>0</v>
      </c>
      <c r="X733" s="2398">
        <v>0</v>
      </c>
      <c r="Z733" s="2396">
        <v>22121101</v>
      </c>
      <c r="AA733" s="2397" t="s">
        <v>4349</v>
      </c>
      <c r="AB733" s="2398">
        <v>0</v>
      </c>
      <c r="AC733" s="2179">
        <v>0</v>
      </c>
      <c r="AD733" s="2399">
        <v>0</v>
      </c>
      <c r="AE733" s="2400">
        <v>0</v>
      </c>
      <c r="AF733" s="2398">
        <v>0</v>
      </c>
      <c r="AG733" s="2398">
        <v>0</v>
      </c>
      <c r="AH733" s="2401">
        <v>0</v>
      </c>
      <c r="AI733" s="2401">
        <v>0</v>
      </c>
      <c r="AJ733" s="2398">
        <v>0</v>
      </c>
      <c r="AZ733" s="2396">
        <v>22121101</v>
      </c>
      <c r="BA733" s="2397" t="s">
        <v>4349</v>
      </c>
      <c r="BB733" s="2398">
        <v>0</v>
      </c>
      <c r="BC733" s="2179">
        <v>0</v>
      </c>
      <c r="BD733" s="2399">
        <v>0</v>
      </c>
      <c r="BE733" s="2400">
        <v>0</v>
      </c>
      <c r="BF733" s="2398">
        <v>0</v>
      </c>
      <c r="BG733" s="2398">
        <v>0</v>
      </c>
      <c r="BH733" s="2401">
        <v>0</v>
      </c>
      <c r="BI733" s="2401">
        <v>0</v>
      </c>
      <c r="BJ733" s="2398">
        <v>0</v>
      </c>
      <c r="BN733" s="2390">
        <v>22171500</v>
      </c>
      <c r="BO733" s="2403" t="s">
        <v>4367</v>
      </c>
      <c r="BP733" s="2392">
        <v>0</v>
      </c>
      <c r="BQ733" s="2392">
        <v>0</v>
      </c>
      <c r="BR733" s="2393">
        <v>0</v>
      </c>
      <c r="BS733" s="2394">
        <v>0</v>
      </c>
      <c r="BT733" s="2392">
        <v>0</v>
      </c>
      <c r="BU733" s="2392">
        <v>0</v>
      </c>
      <c r="BV733" s="2395">
        <v>0</v>
      </c>
      <c r="BW733" s="2395">
        <v>0</v>
      </c>
      <c r="BX733" s="2392">
        <v>0</v>
      </c>
    </row>
    <row r="734" spans="2:76">
      <c r="B734" s="2564">
        <v>22121102</v>
      </c>
      <c r="C734" s="2565" t="s">
        <v>5076</v>
      </c>
      <c r="D734" s="2566">
        <v>0</v>
      </c>
      <c r="E734" s="1080">
        <v>0</v>
      </c>
      <c r="F734" s="2567">
        <v>0</v>
      </c>
      <c r="G734" s="2568">
        <v>0</v>
      </c>
      <c r="H734" s="2566">
        <v>0</v>
      </c>
      <c r="I734" s="2566">
        <v>0</v>
      </c>
      <c r="J734" s="2569">
        <v>0</v>
      </c>
      <c r="K734" s="2569">
        <v>0</v>
      </c>
      <c r="L734" s="2566">
        <v>0</v>
      </c>
      <c r="N734" s="2396">
        <v>22121102</v>
      </c>
      <c r="O734" s="2397" t="s">
        <v>4350</v>
      </c>
      <c r="P734" s="2398">
        <v>0</v>
      </c>
      <c r="Q734" s="2179">
        <v>0</v>
      </c>
      <c r="R734" s="2399">
        <v>0</v>
      </c>
      <c r="S734" s="2400">
        <v>0</v>
      </c>
      <c r="T734" s="2398">
        <v>0</v>
      </c>
      <c r="U734" s="2398">
        <v>0</v>
      </c>
      <c r="V734" s="2401">
        <v>0</v>
      </c>
      <c r="W734" s="2401">
        <v>0</v>
      </c>
      <c r="X734" s="2398">
        <v>0</v>
      </c>
      <c r="Z734" s="2396">
        <v>22121102</v>
      </c>
      <c r="AA734" s="2397" t="s">
        <v>4350</v>
      </c>
      <c r="AB734" s="2398">
        <v>329963200</v>
      </c>
      <c r="AC734" s="2179">
        <v>0</v>
      </c>
      <c r="AD734" s="2399">
        <v>0</v>
      </c>
      <c r="AE734" s="2400">
        <v>0</v>
      </c>
      <c r="AF734" s="2398">
        <v>0</v>
      </c>
      <c r="AG734" s="2398">
        <v>329963200</v>
      </c>
      <c r="AH734" s="2401">
        <v>0</v>
      </c>
      <c r="AI734" s="2401">
        <v>0</v>
      </c>
      <c r="AJ734" s="2398">
        <v>329963200</v>
      </c>
      <c r="AZ734" s="2396">
        <v>22121102</v>
      </c>
      <c r="BA734" s="2397" t="s">
        <v>4350</v>
      </c>
      <c r="BB734" s="2398">
        <v>0</v>
      </c>
      <c r="BC734" s="2179">
        <v>0</v>
      </c>
      <c r="BD734" s="2399">
        <v>0</v>
      </c>
      <c r="BE734" s="2400">
        <v>0</v>
      </c>
      <c r="BF734" s="2398">
        <v>0</v>
      </c>
      <c r="BG734" s="2398">
        <v>0</v>
      </c>
      <c r="BH734" s="2401">
        <v>0</v>
      </c>
      <c r="BI734" s="2401">
        <v>0</v>
      </c>
      <c r="BJ734" s="2398">
        <v>0</v>
      </c>
      <c r="BN734" s="2396">
        <v>22171501</v>
      </c>
      <c r="BO734" s="2397" t="s">
        <v>4367</v>
      </c>
      <c r="BP734" s="2398">
        <v>0</v>
      </c>
      <c r="BQ734" s="2179">
        <v>0</v>
      </c>
      <c r="BR734" s="2399">
        <v>0</v>
      </c>
      <c r="BS734" s="2400">
        <v>0</v>
      </c>
      <c r="BT734" s="2398">
        <v>0</v>
      </c>
      <c r="BU734" s="2398">
        <v>0</v>
      </c>
      <c r="BV734" s="2401">
        <v>0</v>
      </c>
      <c r="BW734" s="2401">
        <v>0</v>
      </c>
      <c r="BX734" s="2398">
        <v>0</v>
      </c>
    </row>
    <row r="735" spans="2:76">
      <c r="B735" s="2552">
        <v>22130000</v>
      </c>
      <c r="C735" s="2570" t="s">
        <v>4351</v>
      </c>
      <c r="D735" s="2554">
        <v>0</v>
      </c>
      <c r="E735" s="2554">
        <v>600000000</v>
      </c>
      <c r="F735" s="2555">
        <v>0</v>
      </c>
      <c r="G735" s="2556">
        <v>0</v>
      </c>
      <c r="H735" s="2554">
        <v>0</v>
      </c>
      <c r="I735" s="2554">
        <v>600000000</v>
      </c>
      <c r="J735" s="2557">
        <v>0</v>
      </c>
      <c r="K735" s="2557">
        <v>0</v>
      </c>
      <c r="L735" s="2554">
        <v>600000000</v>
      </c>
      <c r="N735" s="2384">
        <v>22130000</v>
      </c>
      <c r="O735" s="2402" t="s">
        <v>4351</v>
      </c>
      <c r="P735" s="2386">
        <v>0</v>
      </c>
      <c r="Q735" s="2386">
        <v>600000000</v>
      </c>
      <c r="R735" s="2387">
        <v>0</v>
      </c>
      <c r="S735" s="2388">
        <v>0</v>
      </c>
      <c r="T735" s="2386">
        <v>0</v>
      </c>
      <c r="U735" s="2386">
        <v>600000000</v>
      </c>
      <c r="V735" s="2389">
        <v>0</v>
      </c>
      <c r="W735" s="2389">
        <v>0</v>
      </c>
      <c r="X735" s="2386">
        <v>600000000</v>
      </c>
      <c r="Z735" s="2384">
        <v>22130000</v>
      </c>
      <c r="AA735" s="2402" t="s">
        <v>4351</v>
      </c>
      <c r="AB735" s="2386">
        <v>0</v>
      </c>
      <c r="AC735" s="2386">
        <v>0</v>
      </c>
      <c r="AD735" s="2387">
        <v>0</v>
      </c>
      <c r="AE735" s="2388">
        <v>0</v>
      </c>
      <c r="AF735" s="2386">
        <v>0</v>
      </c>
      <c r="AG735" s="2386">
        <v>0</v>
      </c>
      <c r="AH735" s="2389">
        <v>0</v>
      </c>
      <c r="AI735" s="2389">
        <v>0</v>
      </c>
      <c r="AJ735" s="2386">
        <v>0</v>
      </c>
      <c r="AZ735" s="2384">
        <v>22130000</v>
      </c>
      <c r="BA735" s="2402" t="s">
        <v>4351</v>
      </c>
      <c r="BB735" s="2386">
        <v>0</v>
      </c>
      <c r="BC735" s="2386">
        <v>0</v>
      </c>
      <c r="BD735" s="2387">
        <v>0</v>
      </c>
      <c r="BE735" s="2388">
        <v>0</v>
      </c>
      <c r="BF735" s="2386">
        <v>0</v>
      </c>
      <c r="BG735" s="2386">
        <v>0</v>
      </c>
      <c r="BH735" s="2389">
        <v>0</v>
      </c>
      <c r="BI735" s="2389">
        <v>0</v>
      </c>
      <c r="BJ735" s="2386">
        <v>0</v>
      </c>
      <c r="BN735" s="2390">
        <v>22171900</v>
      </c>
      <c r="BO735" s="2403" t="s">
        <v>6550</v>
      </c>
      <c r="BP735" s="2392">
        <v>2937314303</v>
      </c>
      <c r="BQ735" s="2392">
        <v>0</v>
      </c>
      <c r="BR735" s="2393">
        <v>0</v>
      </c>
      <c r="BS735" s="2394">
        <v>0</v>
      </c>
      <c r="BT735" s="2392">
        <v>0</v>
      </c>
      <c r="BU735" s="2392">
        <v>2937314303</v>
      </c>
      <c r="BV735" s="2395">
        <v>0</v>
      </c>
      <c r="BW735" s="2395">
        <v>0</v>
      </c>
      <c r="BX735" s="2392">
        <v>2937314303</v>
      </c>
    </row>
    <row r="736" spans="2:76">
      <c r="B736" s="2558">
        <v>22131000</v>
      </c>
      <c r="C736" s="2571" t="s">
        <v>4351</v>
      </c>
      <c r="D736" s="2560">
        <v>0</v>
      </c>
      <c r="E736" s="2560">
        <v>600000000</v>
      </c>
      <c r="F736" s="2561">
        <v>0</v>
      </c>
      <c r="G736" s="2562">
        <v>0</v>
      </c>
      <c r="H736" s="2560">
        <v>0</v>
      </c>
      <c r="I736" s="2560">
        <v>600000000</v>
      </c>
      <c r="J736" s="2563">
        <v>0</v>
      </c>
      <c r="K736" s="2563">
        <v>0</v>
      </c>
      <c r="L736" s="2560">
        <v>600000000</v>
      </c>
      <c r="N736" s="2390">
        <v>22131000</v>
      </c>
      <c r="O736" s="2403" t="s">
        <v>4351</v>
      </c>
      <c r="P736" s="2392">
        <v>0</v>
      </c>
      <c r="Q736" s="2392">
        <v>600000000</v>
      </c>
      <c r="R736" s="2393">
        <v>0</v>
      </c>
      <c r="S736" s="2394">
        <v>0</v>
      </c>
      <c r="T736" s="2392">
        <v>0</v>
      </c>
      <c r="U736" s="2392">
        <v>600000000</v>
      </c>
      <c r="V736" s="2395">
        <v>0</v>
      </c>
      <c r="W736" s="2395">
        <v>0</v>
      </c>
      <c r="X736" s="2392">
        <v>600000000</v>
      </c>
      <c r="Z736" s="2390">
        <v>22131000</v>
      </c>
      <c r="AA736" s="2403" t="s">
        <v>4351</v>
      </c>
      <c r="AB736" s="2392">
        <v>0</v>
      </c>
      <c r="AC736" s="2392">
        <v>0</v>
      </c>
      <c r="AD736" s="2393">
        <v>0</v>
      </c>
      <c r="AE736" s="2394">
        <v>0</v>
      </c>
      <c r="AF736" s="2392">
        <v>0</v>
      </c>
      <c r="AG736" s="2392">
        <v>0</v>
      </c>
      <c r="AH736" s="2395">
        <v>0</v>
      </c>
      <c r="AI736" s="2395">
        <v>0</v>
      </c>
      <c r="AJ736" s="2392">
        <v>0</v>
      </c>
      <c r="AZ736" s="2390">
        <v>22131000</v>
      </c>
      <c r="BA736" s="2403" t="s">
        <v>4351</v>
      </c>
      <c r="BB736" s="2392">
        <v>0</v>
      </c>
      <c r="BC736" s="2392">
        <v>0</v>
      </c>
      <c r="BD736" s="2393">
        <v>0</v>
      </c>
      <c r="BE736" s="2394">
        <v>0</v>
      </c>
      <c r="BF736" s="2392">
        <v>0</v>
      </c>
      <c r="BG736" s="2392">
        <v>0</v>
      </c>
      <c r="BH736" s="2395">
        <v>0</v>
      </c>
      <c r="BI736" s="2395">
        <v>0</v>
      </c>
      <c r="BJ736" s="2392">
        <v>0</v>
      </c>
      <c r="BN736" s="2396">
        <v>22171901</v>
      </c>
      <c r="BO736" s="2397" t="s">
        <v>6550</v>
      </c>
      <c r="BP736" s="2398">
        <v>2937314303</v>
      </c>
      <c r="BQ736" s="2398">
        <v>0</v>
      </c>
      <c r="BR736" s="2399">
        <v>0</v>
      </c>
      <c r="BS736" s="2400">
        <v>0</v>
      </c>
      <c r="BT736" s="2398">
        <v>0</v>
      </c>
      <c r="BU736" s="2398">
        <v>2937314303</v>
      </c>
      <c r="BV736" s="2401">
        <v>0</v>
      </c>
      <c r="BW736" s="2401">
        <v>0</v>
      </c>
      <c r="BX736" s="2398">
        <v>2937314303</v>
      </c>
    </row>
    <row r="737" spans="2:76">
      <c r="B737" s="2564">
        <v>22131001</v>
      </c>
      <c r="C737" s="2565" t="s">
        <v>4352</v>
      </c>
      <c r="D737" s="2566">
        <v>0</v>
      </c>
      <c r="E737" s="1080">
        <v>600000000</v>
      </c>
      <c r="F737" s="2567">
        <v>0</v>
      </c>
      <c r="G737" s="2568">
        <v>0</v>
      </c>
      <c r="H737" s="2566">
        <v>0</v>
      </c>
      <c r="I737" s="2566">
        <v>600000000</v>
      </c>
      <c r="J737" s="2569">
        <v>0</v>
      </c>
      <c r="K737" s="2569">
        <v>0</v>
      </c>
      <c r="L737" s="2566">
        <v>600000000</v>
      </c>
      <c r="N737" s="2396">
        <v>22131001</v>
      </c>
      <c r="O737" s="2397" t="s">
        <v>4352</v>
      </c>
      <c r="P737" s="2398">
        <v>0</v>
      </c>
      <c r="Q737" s="2179">
        <v>600000000</v>
      </c>
      <c r="R737" s="2399">
        <v>0</v>
      </c>
      <c r="S737" s="2400">
        <v>0</v>
      </c>
      <c r="T737" s="2398">
        <v>0</v>
      </c>
      <c r="U737" s="2398">
        <v>600000000</v>
      </c>
      <c r="V737" s="2401">
        <v>0</v>
      </c>
      <c r="W737" s="2401">
        <v>0</v>
      </c>
      <c r="X737" s="2398">
        <v>600000000</v>
      </c>
      <c r="Z737" s="2396">
        <v>22131001</v>
      </c>
      <c r="AA737" s="2397" t="s">
        <v>4352</v>
      </c>
      <c r="AB737" s="2398">
        <v>0</v>
      </c>
      <c r="AC737" s="2179">
        <v>0</v>
      </c>
      <c r="AD737" s="2399">
        <v>0</v>
      </c>
      <c r="AE737" s="2400">
        <v>0</v>
      </c>
      <c r="AF737" s="2398">
        <v>0</v>
      </c>
      <c r="AG737" s="2398">
        <v>0</v>
      </c>
      <c r="AH737" s="2401">
        <v>0</v>
      </c>
      <c r="AI737" s="2401">
        <v>0</v>
      </c>
      <c r="AJ737" s="2398">
        <v>0</v>
      </c>
      <c r="AZ737" s="2396">
        <v>22131001</v>
      </c>
      <c r="BA737" s="2397" t="s">
        <v>4352</v>
      </c>
      <c r="BB737" s="2398">
        <v>0</v>
      </c>
      <c r="BC737" s="2179">
        <v>0</v>
      </c>
      <c r="BD737" s="2399">
        <v>0</v>
      </c>
      <c r="BE737" s="2400">
        <v>0</v>
      </c>
      <c r="BF737" s="2398">
        <v>0</v>
      </c>
      <c r="BG737" s="2398">
        <v>0</v>
      </c>
      <c r="BH737" s="2401">
        <v>0</v>
      </c>
      <c r="BI737" s="2401">
        <v>0</v>
      </c>
      <c r="BJ737" s="2398">
        <v>0</v>
      </c>
      <c r="BN737" s="2390">
        <v>22171300</v>
      </c>
      <c r="BO737" s="2403" t="s">
        <v>4369</v>
      </c>
      <c r="BP737" s="2392">
        <v>0</v>
      </c>
      <c r="BQ737" s="2392">
        <v>0</v>
      </c>
      <c r="BR737" s="2393">
        <v>0</v>
      </c>
      <c r="BS737" s="2394">
        <v>0</v>
      </c>
      <c r="BT737" s="2392">
        <v>0</v>
      </c>
      <c r="BU737" s="2392">
        <v>0</v>
      </c>
      <c r="BV737" s="2395">
        <v>0</v>
      </c>
      <c r="BW737" s="2395">
        <v>0</v>
      </c>
      <c r="BX737" s="2392">
        <v>0</v>
      </c>
    </row>
    <row r="738" spans="2:76">
      <c r="B738" s="2564">
        <v>22131002</v>
      </c>
      <c r="C738" s="2565" t="s">
        <v>4353</v>
      </c>
      <c r="D738" s="2566">
        <v>0</v>
      </c>
      <c r="E738" s="1080">
        <v>0</v>
      </c>
      <c r="F738" s="2567">
        <v>0</v>
      </c>
      <c r="G738" s="2568">
        <v>0</v>
      </c>
      <c r="H738" s="2566">
        <v>0</v>
      </c>
      <c r="I738" s="2566">
        <v>0</v>
      </c>
      <c r="J738" s="2569">
        <v>0</v>
      </c>
      <c r="K738" s="2569">
        <v>0</v>
      </c>
      <c r="L738" s="2566">
        <v>0</v>
      </c>
      <c r="N738" s="2396">
        <v>22131002</v>
      </c>
      <c r="O738" s="2397" t="s">
        <v>4353</v>
      </c>
      <c r="P738" s="2398">
        <v>0</v>
      </c>
      <c r="Q738" s="2179">
        <v>0</v>
      </c>
      <c r="R738" s="2399">
        <v>0</v>
      </c>
      <c r="S738" s="2400">
        <v>0</v>
      </c>
      <c r="T738" s="2398">
        <v>0</v>
      </c>
      <c r="U738" s="2398">
        <v>0</v>
      </c>
      <c r="V738" s="2401">
        <v>0</v>
      </c>
      <c r="W738" s="2401">
        <v>0</v>
      </c>
      <c r="X738" s="2398">
        <v>0</v>
      </c>
      <c r="Z738" s="2396">
        <v>22131002</v>
      </c>
      <c r="AA738" s="2397" t="s">
        <v>4353</v>
      </c>
      <c r="AB738" s="2398">
        <v>0</v>
      </c>
      <c r="AC738" s="2179">
        <v>0</v>
      </c>
      <c r="AD738" s="2399">
        <v>0</v>
      </c>
      <c r="AE738" s="2400">
        <v>0</v>
      </c>
      <c r="AF738" s="2398">
        <v>0</v>
      </c>
      <c r="AG738" s="2398">
        <v>0</v>
      </c>
      <c r="AH738" s="2401">
        <v>0</v>
      </c>
      <c r="AI738" s="2401">
        <v>0</v>
      </c>
      <c r="AJ738" s="2398">
        <v>0</v>
      </c>
      <c r="AZ738" s="2396">
        <v>22131002</v>
      </c>
      <c r="BA738" s="2397" t="s">
        <v>4353</v>
      </c>
      <c r="BB738" s="2398">
        <v>0</v>
      </c>
      <c r="BC738" s="2179">
        <v>0</v>
      </c>
      <c r="BD738" s="2399">
        <v>0</v>
      </c>
      <c r="BE738" s="2400">
        <v>0</v>
      </c>
      <c r="BF738" s="2398">
        <v>0</v>
      </c>
      <c r="BG738" s="2398">
        <v>0</v>
      </c>
      <c r="BH738" s="2401">
        <v>0</v>
      </c>
      <c r="BI738" s="2401">
        <v>0</v>
      </c>
      <c r="BJ738" s="2398">
        <v>0</v>
      </c>
      <c r="BN738" s="2396">
        <v>22171301</v>
      </c>
      <c r="BO738" s="2397" t="s">
        <v>4369</v>
      </c>
      <c r="BP738" s="2398">
        <v>0</v>
      </c>
      <c r="BQ738" s="2179">
        <v>0</v>
      </c>
      <c r="BR738" s="2399">
        <v>0</v>
      </c>
      <c r="BS738" s="2400">
        <v>0</v>
      </c>
      <c r="BT738" s="2398">
        <v>0</v>
      </c>
      <c r="BU738" s="2398">
        <v>0</v>
      </c>
      <c r="BV738" s="2401">
        <v>0</v>
      </c>
      <c r="BW738" s="2401">
        <v>0</v>
      </c>
      <c r="BX738" s="2398">
        <v>0</v>
      </c>
    </row>
    <row r="739" spans="2:76">
      <c r="B739" s="2564">
        <v>22131003</v>
      </c>
      <c r="C739" s="2565" t="s">
        <v>4354</v>
      </c>
      <c r="D739" s="2566">
        <v>0</v>
      </c>
      <c r="E739" s="1080">
        <v>0</v>
      </c>
      <c r="F739" s="2567">
        <v>0</v>
      </c>
      <c r="G739" s="2568">
        <v>0</v>
      </c>
      <c r="H739" s="2566">
        <v>0</v>
      </c>
      <c r="I739" s="2566">
        <v>0</v>
      </c>
      <c r="J739" s="2569">
        <v>0</v>
      </c>
      <c r="K739" s="2569">
        <v>0</v>
      </c>
      <c r="L739" s="2566">
        <v>0</v>
      </c>
      <c r="N739" s="2396">
        <v>22131003</v>
      </c>
      <c r="O739" s="2397" t="s">
        <v>4354</v>
      </c>
      <c r="P739" s="2398">
        <v>0</v>
      </c>
      <c r="Q739" s="2179">
        <v>0</v>
      </c>
      <c r="R739" s="2399">
        <v>0</v>
      </c>
      <c r="S739" s="2400">
        <v>0</v>
      </c>
      <c r="T739" s="2398">
        <v>0</v>
      </c>
      <c r="U739" s="2398">
        <v>0</v>
      </c>
      <c r="V739" s="2401">
        <v>0</v>
      </c>
      <c r="W739" s="2401">
        <v>0</v>
      </c>
      <c r="X739" s="2398">
        <v>0</v>
      </c>
      <c r="Z739" s="2396">
        <v>22131003</v>
      </c>
      <c r="AA739" s="2397" t="s">
        <v>4354</v>
      </c>
      <c r="AB739" s="2398">
        <v>0</v>
      </c>
      <c r="AC739" s="2179">
        <v>0</v>
      </c>
      <c r="AD739" s="2399">
        <v>0</v>
      </c>
      <c r="AE739" s="2400">
        <v>0</v>
      </c>
      <c r="AF739" s="2398">
        <v>0</v>
      </c>
      <c r="AG739" s="2398">
        <v>0</v>
      </c>
      <c r="AH739" s="2401">
        <v>0</v>
      </c>
      <c r="AI739" s="2401">
        <v>0</v>
      </c>
      <c r="AJ739" s="2398">
        <v>0</v>
      </c>
      <c r="AZ739" s="2396">
        <v>22131003</v>
      </c>
      <c r="BA739" s="2397" t="s">
        <v>4354</v>
      </c>
      <c r="BB739" s="2398">
        <v>0</v>
      </c>
      <c r="BC739" s="2179">
        <v>0</v>
      </c>
      <c r="BD739" s="2399">
        <v>0</v>
      </c>
      <c r="BE739" s="2400">
        <v>0</v>
      </c>
      <c r="BF739" s="2398">
        <v>0</v>
      </c>
      <c r="BG739" s="2398">
        <v>0</v>
      </c>
      <c r="BH739" s="2401">
        <v>0</v>
      </c>
      <c r="BI739" s="2401">
        <v>0</v>
      </c>
      <c r="BJ739" s="2398">
        <v>0</v>
      </c>
      <c r="BN739" s="2384">
        <v>22180000</v>
      </c>
      <c r="BO739" s="2402" t="s">
        <v>4370</v>
      </c>
      <c r="BP739" s="2386">
        <v>0</v>
      </c>
      <c r="BQ739" s="2386">
        <v>1285655534</v>
      </c>
      <c r="BR739" s="2387">
        <v>3092930541</v>
      </c>
      <c r="BS739" s="2388">
        <v>1478117059</v>
      </c>
      <c r="BT739" s="2386">
        <v>52662767</v>
      </c>
      <c r="BU739" s="2386">
        <v>5909365901</v>
      </c>
      <c r="BV739" s="2389">
        <v>0</v>
      </c>
      <c r="BW739" s="2389">
        <v>0</v>
      </c>
      <c r="BX739" s="2386">
        <v>5909365901</v>
      </c>
    </row>
    <row r="740" spans="2:76">
      <c r="B740" s="2552">
        <v>22140000</v>
      </c>
      <c r="C740" s="2570" t="s">
        <v>4355</v>
      </c>
      <c r="D740" s="2554">
        <v>1836116300</v>
      </c>
      <c r="E740" s="2554">
        <v>161095208</v>
      </c>
      <c r="F740" s="2555">
        <v>63588640</v>
      </c>
      <c r="G740" s="2556">
        <v>64316487</v>
      </c>
      <c r="H740" s="2554">
        <v>0</v>
      </c>
      <c r="I740" s="2554">
        <v>2125116635</v>
      </c>
      <c r="J740" s="2557">
        <v>0</v>
      </c>
      <c r="K740" s="2557">
        <v>0</v>
      </c>
      <c r="L740" s="2554">
        <v>2125116635</v>
      </c>
      <c r="N740" s="2384">
        <v>22140000</v>
      </c>
      <c r="O740" s="2402" t="s">
        <v>4355</v>
      </c>
      <c r="P740" s="2386">
        <v>2214848900</v>
      </c>
      <c r="Q740" s="2386">
        <v>140669338</v>
      </c>
      <c r="R740" s="2387">
        <v>78012314</v>
      </c>
      <c r="S740" s="2388">
        <v>64316487</v>
      </c>
      <c r="T740" s="2386">
        <v>0</v>
      </c>
      <c r="U740" s="2386">
        <v>2497847039</v>
      </c>
      <c r="V740" s="2389">
        <v>0</v>
      </c>
      <c r="W740" s="2389">
        <v>0</v>
      </c>
      <c r="X740" s="2386">
        <v>2497847039</v>
      </c>
      <c r="Z740" s="2384">
        <v>22140000</v>
      </c>
      <c r="AA740" s="2402" t="s">
        <v>4355</v>
      </c>
      <c r="AB740" s="2386">
        <v>2859361500</v>
      </c>
      <c r="AC740" s="2386">
        <v>49682401</v>
      </c>
      <c r="AD740" s="2387">
        <v>55497768</v>
      </c>
      <c r="AE740" s="2388">
        <v>12954920</v>
      </c>
      <c r="AF740" s="2386">
        <v>0</v>
      </c>
      <c r="AG740" s="2386">
        <v>2977496589</v>
      </c>
      <c r="AH740" s="2389">
        <v>0</v>
      </c>
      <c r="AI740" s="2389">
        <v>0</v>
      </c>
      <c r="AJ740" s="2386">
        <v>2977496589</v>
      </c>
      <c r="AZ740" s="2384">
        <v>22140000</v>
      </c>
      <c r="BA740" s="2402" t="s">
        <v>4355</v>
      </c>
      <c r="BB740" s="2386">
        <v>4099521428</v>
      </c>
      <c r="BC740" s="2386">
        <v>32668217</v>
      </c>
      <c r="BD740" s="2387">
        <v>33267513</v>
      </c>
      <c r="BE740" s="2388">
        <v>46220832</v>
      </c>
      <c r="BF740" s="2386">
        <v>10665920</v>
      </c>
      <c r="BG740" s="2386">
        <v>4222343910</v>
      </c>
      <c r="BH740" s="2389">
        <v>0</v>
      </c>
      <c r="BI740" s="2389">
        <v>0</v>
      </c>
      <c r="BJ740" s="2386">
        <v>4222343910</v>
      </c>
      <c r="BN740" s="2390">
        <v>22181000</v>
      </c>
      <c r="BO740" s="2403" t="s">
        <v>4370</v>
      </c>
      <c r="BP740" s="2392">
        <v>0</v>
      </c>
      <c r="BQ740" s="2392">
        <v>1285655534</v>
      </c>
      <c r="BR740" s="2393">
        <v>3092930541</v>
      </c>
      <c r="BS740" s="2394">
        <v>1478117059</v>
      </c>
      <c r="BT740" s="2392">
        <v>52662767</v>
      </c>
      <c r="BU740" s="2392">
        <v>5909365901</v>
      </c>
      <c r="BV740" s="2395">
        <v>0</v>
      </c>
      <c r="BW740" s="2395">
        <v>0</v>
      </c>
      <c r="BX740" s="2392">
        <v>5909365901</v>
      </c>
    </row>
    <row r="741" spans="2:76">
      <c r="B741" s="2558">
        <v>22141000</v>
      </c>
      <c r="C741" s="2571" t="s">
        <v>4355</v>
      </c>
      <c r="D741" s="2560">
        <v>1836116300</v>
      </c>
      <c r="E741" s="2560">
        <v>161095208</v>
      </c>
      <c r="F741" s="2561">
        <v>63588640</v>
      </c>
      <c r="G741" s="2562">
        <v>64316487</v>
      </c>
      <c r="H741" s="2560">
        <v>0</v>
      </c>
      <c r="I741" s="2560">
        <v>2125116635</v>
      </c>
      <c r="J741" s="2563">
        <v>0</v>
      </c>
      <c r="K741" s="2563">
        <v>0</v>
      </c>
      <c r="L741" s="2560">
        <v>2125116635</v>
      </c>
      <c r="N741" s="2390">
        <v>22141000</v>
      </c>
      <c r="O741" s="2403" t="s">
        <v>4355</v>
      </c>
      <c r="P741" s="2392">
        <v>2214848900</v>
      </c>
      <c r="Q741" s="2392">
        <v>140669338</v>
      </c>
      <c r="R741" s="2393">
        <v>78012314</v>
      </c>
      <c r="S741" s="2394">
        <v>64316487</v>
      </c>
      <c r="T741" s="2392">
        <v>0</v>
      </c>
      <c r="U741" s="2392">
        <v>2497847039</v>
      </c>
      <c r="V741" s="2395">
        <v>0</v>
      </c>
      <c r="W741" s="2395">
        <v>0</v>
      </c>
      <c r="X741" s="2392">
        <v>2497847039</v>
      </c>
      <c r="Z741" s="2390">
        <v>22141000</v>
      </c>
      <c r="AA741" s="2403" t="s">
        <v>4355</v>
      </c>
      <c r="AB741" s="2392">
        <v>2859361500</v>
      </c>
      <c r="AC741" s="2392">
        <v>49682401</v>
      </c>
      <c r="AD741" s="2393">
        <v>55497768</v>
      </c>
      <c r="AE741" s="2394">
        <v>12954920</v>
      </c>
      <c r="AF741" s="2392">
        <v>0</v>
      </c>
      <c r="AG741" s="2392">
        <v>2977496589</v>
      </c>
      <c r="AH741" s="2395">
        <v>0</v>
      </c>
      <c r="AI741" s="2395">
        <v>0</v>
      </c>
      <c r="AJ741" s="2392">
        <v>2977496589</v>
      </c>
      <c r="AZ741" s="2390">
        <v>22141000</v>
      </c>
      <c r="BA741" s="2403" t="s">
        <v>4355</v>
      </c>
      <c r="BB741" s="2392">
        <v>4099521428</v>
      </c>
      <c r="BC741" s="2392">
        <v>32668217</v>
      </c>
      <c r="BD741" s="2393">
        <v>33267513</v>
      </c>
      <c r="BE741" s="2394">
        <v>46220832</v>
      </c>
      <c r="BF741" s="2392">
        <v>10665920</v>
      </c>
      <c r="BG741" s="2392">
        <v>4222343910</v>
      </c>
      <c r="BH741" s="2395">
        <v>0</v>
      </c>
      <c r="BI741" s="2395">
        <v>0</v>
      </c>
      <c r="BJ741" s="2392">
        <v>4222343910</v>
      </c>
      <c r="BN741" s="2396">
        <v>22181001</v>
      </c>
      <c r="BO741" s="2397" t="s">
        <v>4370</v>
      </c>
      <c r="BP741" s="2398">
        <v>0</v>
      </c>
      <c r="BQ741" s="2179">
        <v>1285655534</v>
      </c>
      <c r="BR741" s="2399">
        <v>3092930541</v>
      </c>
      <c r="BS741" s="2400">
        <v>1478117059</v>
      </c>
      <c r="BT741" s="2398">
        <v>52662767</v>
      </c>
      <c r="BU741" s="2398">
        <v>5909365901</v>
      </c>
      <c r="BV741" s="2401">
        <v>0</v>
      </c>
      <c r="BW741" s="2401">
        <v>0</v>
      </c>
      <c r="BX741" s="2398">
        <v>5909365901</v>
      </c>
    </row>
    <row r="742" spans="2:76">
      <c r="B742" s="2564">
        <v>22141001</v>
      </c>
      <c r="C742" s="2565" t="s">
        <v>4355</v>
      </c>
      <c r="D742" s="2566">
        <v>1836116300</v>
      </c>
      <c r="E742" s="1080">
        <v>161095208</v>
      </c>
      <c r="F742" s="2567">
        <v>63588640</v>
      </c>
      <c r="G742" s="2568">
        <v>64316487</v>
      </c>
      <c r="H742" s="2566">
        <v>0</v>
      </c>
      <c r="I742" s="2566">
        <v>2125116635</v>
      </c>
      <c r="J742" s="2569">
        <v>0</v>
      </c>
      <c r="K742" s="2569">
        <v>0</v>
      </c>
      <c r="L742" s="2566">
        <v>2125116635</v>
      </c>
      <c r="N742" s="2396">
        <v>22141001</v>
      </c>
      <c r="O742" s="2397" t="s">
        <v>4355</v>
      </c>
      <c r="P742" s="2398">
        <v>2214848900</v>
      </c>
      <c r="Q742" s="2179">
        <v>140669338</v>
      </c>
      <c r="R742" s="2399">
        <v>78012314</v>
      </c>
      <c r="S742" s="2400">
        <v>64316487</v>
      </c>
      <c r="T742" s="2398">
        <v>0</v>
      </c>
      <c r="U742" s="2398">
        <v>2497847039</v>
      </c>
      <c r="V742" s="2401">
        <v>0</v>
      </c>
      <c r="W742" s="2401">
        <v>0</v>
      </c>
      <c r="X742" s="2398">
        <v>2497847039</v>
      </c>
      <c r="Z742" s="2396">
        <v>22141001</v>
      </c>
      <c r="AA742" s="2397" t="s">
        <v>4355</v>
      </c>
      <c r="AB742" s="2398">
        <v>2859361500</v>
      </c>
      <c r="AC742" s="2179">
        <v>49682401</v>
      </c>
      <c r="AD742" s="2399">
        <v>55497768</v>
      </c>
      <c r="AE742" s="2400">
        <v>12954920</v>
      </c>
      <c r="AF742" s="2398">
        <v>0</v>
      </c>
      <c r="AG742" s="2398">
        <v>2977496589</v>
      </c>
      <c r="AH742" s="2401">
        <v>0</v>
      </c>
      <c r="AI742" s="2401">
        <v>0</v>
      </c>
      <c r="AJ742" s="2398">
        <v>2977496589</v>
      </c>
      <c r="AZ742" s="2396">
        <v>22141001</v>
      </c>
      <c r="BA742" s="2397" t="s">
        <v>4355</v>
      </c>
      <c r="BB742" s="2398">
        <v>4099521428</v>
      </c>
      <c r="BC742" s="2179">
        <v>32668217</v>
      </c>
      <c r="BD742" s="2399">
        <v>33267513</v>
      </c>
      <c r="BE742" s="2400">
        <v>46220832</v>
      </c>
      <c r="BF742" s="2398">
        <v>10665920</v>
      </c>
      <c r="BG742" s="2398">
        <v>4222343910</v>
      </c>
      <c r="BH742" s="2401">
        <v>0</v>
      </c>
      <c r="BI742" s="2401">
        <v>0</v>
      </c>
      <c r="BJ742" s="2398">
        <v>4222343910</v>
      </c>
      <c r="BN742" s="2396">
        <v>22181002</v>
      </c>
      <c r="BO742" s="2397" t="s">
        <v>4371</v>
      </c>
      <c r="BP742" s="2398">
        <v>0</v>
      </c>
      <c r="BQ742" s="2179">
        <v>0</v>
      </c>
      <c r="BR742" s="2399">
        <v>0</v>
      </c>
      <c r="BS742" s="2400">
        <v>0</v>
      </c>
      <c r="BT742" s="2398">
        <v>0</v>
      </c>
      <c r="BU742" s="2398">
        <v>0</v>
      </c>
      <c r="BV742" s="2401">
        <v>0</v>
      </c>
      <c r="BW742" s="2401">
        <v>0</v>
      </c>
      <c r="BX742" s="2398">
        <v>0</v>
      </c>
    </row>
    <row r="743" spans="2:76">
      <c r="B743" s="2552">
        <v>22150000</v>
      </c>
      <c r="C743" s="2570" t="s">
        <v>4356</v>
      </c>
      <c r="D743" s="2554">
        <v>0</v>
      </c>
      <c r="E743" s="2554">
        <v>0</v>
      </c>
      <c r="F743" s="2555">
        <v>0</v>
      </c>
      <c r="G743" s="2556">
        <v>0</v>
      </c>
      <c r="H743" s="2554">
        <v>0</v>
      </c>
      <c r="I743" s="2554">
        <v>0</v>
      </c>
      <c r="J743" s="2557">
        <v>0</v>
      </c>
      <c r="K743" s="2557">
        <v>0</v>
      </c>
      <c r="L743" s="2554">
        <v>0</v>
      </c>
      <c r="N743" s="2384">
        <v>22150000</v>
      </c>
      <c r="O743" s="2402" t="s">
        <v>4356</v>
      </c>
      <c r="P743" s="2386">
        <v>0</v>
      </c>
      <c r="Q743" s="2386">
        <v>0</v>
      </c>
      <c r="R743" s="2387">
        <v>0</v>
      </c>
      <c r="S743" s="2388">
        <v>0</v>
      </c>
      <c r="T743" s="2386">
        <v>0</v>
      </c>
      <c r="U743" s="2386">
        <v>0</v>
      </c>
      <c r="V743" s="2389">
        <v>0</v>
      </c>
      <c r="W743" s="2389">
        <v>0</v>
      </c>
      <c r="X743" s="2386">
        <v>0</v>
      </c>
      <c r="Z743" s="2384">
        <v>22150000</v>
      </c>
      <c r="AA743" s="2402" t="s">
        <v>4356</v>
      </c>
      <c r="AB743" s="2386">
        <v>0</v>
      </c>
      <c r="AC743" s="2386">
        <v>0</v>
      </c>
      <c r="AD743" s="2387">
        <v>0</v>
      </c>
      <c r="AE743" s="2388">
        <v>0</v>
      </c>
      <c r="AF743" s="2386">
        <v>0</v>
      </c>
      <c r="AG743" s="2386">
        <v>0</v>
      </c>
      <c r="AH743" s="2389">
        <v>0</v>
      </c>
      <c r="AI743" s="2389">
        <v>0</v>
      </c>
      <c r="AJ743" s="2386">
        <v>0</v>
      </c>
      <c r="AZ743" s="2384">
        <v>22150000</v>
      </c>
      <c r="BA743" s="2402" t="s">
        <v>4356</v>
      </c>
      <c r="BB743" s="2386">
        <v>0</v>
      </c>
      <c r="BC743" s="2386">
        <v>0</v>
      </c>
      <c r="BD743" s="2387">
        <v>0</v>
      </c>
      <c r="BE743" s="2388">
        <v>0</v>
      </c>
      <c r="BF743" s="2386">
        <v>0</v>
      </c>
      <c r="BG743" s="2386">
        <v>0</v>
      </c>
      <c r="BH743" s="2389">
        <v>0</v>
      </c>
      <c r="BI743" s="2389">
        <v>0</v>
      </c>
      <c r="BJ743" s="2386">
        <v>0</v>
      </c>
      <c r="BN743" s="2396">
        <v>22181003</v>
      </c>
      <c r="BO743" s="2397" t="s">
        <v>4372</v>
      </c>
      <c r="BP743" s="2398">
        <v>0</v>
      </c>
      <c r="BQ743" s="2179">
        <v>0</v>
      </c>
      <c r="BR743" s="2399">
        <v>0</v>
      </c>
      <c r="BS743" s="2400">
        <v>0</v>
      </c>
      <c r="BT743" s="2398">
        <v>0</v>
      </c>
      <c r="BU743" s="2398">
        <v>0</v>
      </c>
      <c r="BV743" s="2401">
        <v>0</v>
      </c>
      <c r="BW743" s="2401">
        <v>0</v>
      </c>
      <c r="BX743" s="2398">
        <v>0</v>
      </c>
    </row>
    <row r="744" spans="2:76">
      <c r="B744" s="2558">
        <v>22151000</v>
      </c>
      <c r="C744" s="2571" t="s">
        <v>4356</v>
      </c>
      <c r="D744" s="2560">
        <v>0</v>
      </c>
      <c r="E744" s="2560">
        <v>0</v>
      </c>
      <c r="F744" s="2561">
        <v>0</v>
      </c>
      <c r="G744" s="2562">
        <v>0</v>
      </c>
      <c r="H744" s="2560">
        <v>0</v>
      </c>
      <c r="I744" s="2560">
        <v>0</v>
      </c>
      <c r="J744" s="2563">
        <v>0</v>
      </c>
      <c r="K744" s="2563">
        <v>0</v>
      </c>
      <c r="L744" s="2560">
        <v>0</v>
      </c>
      <c r="N744" s="2390">
        <v>22151000</v>
      </c>
      <c r="O744" s="2403" t="s">
        <v>4356</v>
      </c>
      <c r="P744" s="2392">
        <v>0</v>
      </c>
      <c r="Q744" s="2392">
        <v>0</v>
      </c>
      <c r="R744" s="2393">
        <v>0</v>
      </c>
      <c r="S744" s="2394">
        <v>0</v>
      </c>
      <c r="T744" s="2392">
        <v>0</v>
      </c>
      <c r="U744" s="2392">
        <v>0</v>
      </c>
      <c r="V744" s="2395">
        <v>0</v>
      </c>
      <c r="W744" s="2395">
        <v>0</v>
      </c>
      <c r="X744" s="2392">
        <v>0</v>
      </c>
      <c r="Z744" s="2390">
        <v>22151000</v>
      </c>
      <c r="AA744" s="2403" t="s">
        <v>4356</v>
      </c>
      <c r="AB744" s="2392">
        <v>0</v>
      </c>
      <c r="AC744" s="2392">
        <v>0</v>
      </c>
      <c r="AD744" s="2393">
        <v>0</v>
      </c>
      <c r="AE744" s="2394">
        <v>0</v>
      </c>
      <c r="AF744" s="2392">
        <v>0</v>
      </c>
      <c r="AG744" s="2392">
        <v>0</v>
      </c>
      <c r="AH744" s="2395">
        <v>0</v>
      </c>
      <c r="AI744" s="2395">
        <v>0</v>
      </c>
      <c r="AJ744" s="2392">
        <v>0</v>
      </c>
      <c r="AZ744" s="2390">
        <v>22151000</v>
      </c>
      <c r="BA744" s="2403" t="s">
        <v>4356</v>
      </c>
      <c r="BB744" s="2392">
        <v>0</v>
      </c>
      <c r="BC744" s="2392">
        <v>0</v>
      </c>
      <c r="BD744" s="2393">
        <v>0</v>
      </c>
      <c r="BE744" s="2394">
        <v>0</v>
      </c>
      <c r="BF744" s="2392">
        <v>0</v>
      </c>
      <c r="BG744" s="2392">
        <v>0</v>
      </c>
      <c r="BH744" s="2395">
        <v>0</v>
      </c>
      <c r="BI744" s="2395">
        <v>0</v>
      </c>
      <c r="BJ744" s="2392">
        <v>0</v>
      </c>
      <c r="BN744" s="2396">
        <v>22181004</v>
      </c>
      <c r="BO744" s="2397" t="s">
        <v>4373</v>
      </c>
      <c r="BP744" s="2398">
        <v>0</v>
      </c>
      <c r="BQ744" s="2179">
        <v>0</v>
      </c>
      <c r="BR744" s="2399">
        <v>0</v>
      </c>
      <c r="BS744" s="2400">
        <v>0</v>
      </c>
      <c r="BT744" s="2398">
        <v>0</v>
      </c>
      <c r="BU744" s="2398">
        <v>0</v>
      </c>
      <c r="BV744" s="2401">
        <v>0</v>
      </c>
      <c r="BW744" s="2401">
        <v>0</v>
      </c>
      <c r="BX744" s="2398">
        <v>0</v>
      </c>
    </row>
    <row r="745" spans="2:76">
      <c r="B745" s="2564">
        <v>22151001</v>
      </c>
      <c r="C745" s="2565" t="s">
        <v>4356</v>
      </c>
      <c r="D745" s="2566">
        <v>0</v>
      </c>
      <c r="E745" s="1080">
        <v>0</v>
      </c>
      <c r="F745" s="2567">
        <v>0</v>
      </c>
      <c r="G745" s="2568">
        <v>0</v>
      </c>
      <c r="H745" s="2566">
        <v>0</v>
      </c>
      <c r="I745" s="2566">
        <v>0</v>
      </c>
      <c r="J745" s="2569">
        <v>0</v>
      </c>
      <c r="K745" s="2569">
        <v>0</v>
      </c>
      <c r="L745" s="2566">
        <v>0</v>
      </c>
      <c r="N745" s="2396">
        <v>22151001</v>
      </c>
      <c r="O745" s="2397" t="s">
        <v>4356</v>
      </c>
      <c r="P745" s="2398">
        <v>0</v>
      </c>
      <c r="Q745" s="2179">
        <v>0</v>
      </c>
      <c r="R745" s="2399">
        <v>0</v>
      </c>
      <c r="S745" s="2400">
        <v>0</v>
      </c>
      <c r="T745" s="2398">
        <v>0</v>
      </c>
      <c r="U745" s="2398">
        <v>0</v>
      </c>
      <c r="V745" s="2401">
        <v>0</v>
      </c>
      <c r="W745" s="2401">
        <v>0</v>
      </c>
      <c r="X745" s="2398">
        <v>0</v>
      </c>
      <c r="Z745" s="2396">
        <v>22151001</v>
      </c>
      <c r="AA745" s="2397" t="s">
        <v>4356</v>
      </c>
      <c r="AB745" s="2398">
        <v>0</v>
      </c>
      <c r="AC745" s="2179">
        <v>0</v>
      </c>
      <c r="AD745" s="2399">
        <v>0</v>
      </c>
      <c r="AE745" s="2400">
        <v>0</v>
      </c>
      <c r="AF745" s="2398">
        <v>0</v>
      </c>
      <c r="AG745" s="2398">
        <v>0</v>
      </c>
      <c r="AH745" s="2401">
        <v>0</v>
      </c>
      <c r="AI745" s="2401">
        <v>0</v>
      </c>
      <c r="AJ745" s="2398">
        <v>0</v>
      </c>
      <c r="AZ745" s="2396">
        <v>22151001</v>
      </c>
      <c r="BA745" s="2397" t="s">
        <v>4356</v>
      </c>
      <c r="BB745" s="2398">
        <v>0</v>
      </c>
      <c r="BC745" s="2179">
        <v>0</v>
      </c>
      <c r="BD745" s="2399">
        <v>0</v>
      </c>
      <c r="BE745" s="2400">
        <v>0</v>
      </c>
      <c r="BF745" s="2398">
        <v>0</v>
      </c>
      <c r="BG745" s="2398">
        <v>0</v>
      </c>
      <c r="BH745" s="2401">
        <v>0</v>
      </c>
      <c r="BI745" s="2401">
        <v>0</v>
      </c>
      <c r="BJ745" s="2398">
        <v>0</v>
      </c>
      <c r="BN745" s="2384">
        <v>22190000</v>
      </c>
      <c r="BO745" s="2402" t="s">
        <v>4374</v>
      </c>
      <c r="BP745" s="2386">
        <v>0</v>
      </c>
      <c r="BQ745" s="2386">
        <v>0</v>
      </c>
      <c r="BR745" s="2387">
        <v>0</v>
      </c>
      <c r="BS745" s="2388">
        <v>0</v>
      </c>
      <c r="BT745" s="2386">
        <v>0</v>
      </c>
      <c r="BU745" s="2386">
        <v>0</v>
      </c>
      <c r="BV745" s="2389">
        <v>0</v>
      </c>
      <c r="BW745" s="2389">
        <v>0</v>
      </c>
      <c r="BX745" s="2386">
        <v>0</v>
      </c>
    </row>
    <row r="746" spans="2:76">
      <c r="B746" s="2558">
        <v>22151100</v>
      </c>
      <c r="C746" s="2571" t="s">
        <v>4357</v>
      </c>
      <c r="D746" s="2560">
        <v>0</v>
      </c>
      <c r="E746" s="2560">
        <v>0</v>
      </c>
      <c r="F746" s="2561">
        <v>0</v>
      </c>
      <c r="G746" s="2562">
        <v>0</v>
      </c>
      <c r="H746" s="2560">
        <v>0</v>
      </c>
      <c r="I746" s="2560">
        <v>0</v>
      </c>
      <c r="J746" s="2563">
        <v>0</v>
      </c>
      <c r="K746" s="2563">
        <v>0</v>
      </c>
      <c r="L746" s="2560">
        <v>0</v>
      </c>
      <c r="N746" s="2390">
        <v>22151100</v>
      </c>
      <c r="O746" s="2403" t="s">
        <v>4357</v>
      </c>
      <c r="P746" s="2392">
        <v>0</v>
      </c>
      <c r="Q746" s="2392">
        <v>0</v>
      </c>
      <c r="R746" s="2393">
        <v>0</v>
      </c>
      <c r="S746" s="2394">
        <v>0</v>
      </c>
      <c r="T746" s="2392">
        <v>0</v>
      </c>
      <c r="U746" s="2392">
        <v>0</v>
      </c>
      <c r="V746" s="2395">
        <v>0</v>
      </c>
      <c r="W746" s="2395">
        <v>0</v>
      </c>
      <c r="X746" s="2392">
        <v>0</v>
      </c>
      <c r="Z746" s="2390">
        <v>22151100</v>
      </c>
      <c r="AA746" s="2403" t="s">
        <v>4357</v>
      </c>
      <c r="AB746" s="2392">
        <v>0</v>
      </c>
      <c r="AC746" s="2392">
        <v>0</v>
      </c>
      <c r="AD746" s="2393">
        <v>0</v>
      </c>
      <c r="AE746" s="2394">
        <v>0</v>
      </c>
      <c r="AF746" s="2392">
        <v>0</v>
      </c>
      <c r="AG746" s="2392">
        <v>0</v>
      </c>
      <c r="AH746" s="2395">
        <v>0</v>
      </c>
      <c r="AI746" s="2395">
        <v>0</v>
      </c>
      <c r="AJ746" s="2392">
        <v>0</v>
      </c>
      <c r="AZ746" s="2390">
        <v>22151100</v>
      </c>
      <c r="BA746" s="2403" t="s">
        <v>4357</v>
      </c>
      <c r="BB746" s="2392">
        <v>0</v>
      </c>
      <c r="BC746" s="2392">
        <v>0</v>
      </c>
      <c r="BD746" s="2393">
        <v>0</v>
      </c>
      <c r="BE746" s="2394">
        <v>0</v>
      </c>
      <c r="BF746" s="2392">
        <v>0</v>
      </c>
      <c r="BG746" s="2392">
        <v>0</v>
      </c>
      <c r="BH746" s="2395">
        <v>0</v>
      </c>
      <c r="BI746" s="2395">
        <v>0</v>
      </c>
      <c r="BJ746" s="2392">
        <v>0</v>
      </c>
      <c r="BN746" s="2390">
        <v>22191000</v>
      </c>
      <c r="BO746" s="2403" t="s">
        <v>4375</v>
      </c>
      <c r="BP746" s="2392">
        <v>0</v>
      </c>
      <c r="BQ746" s="2392">
        <v>0</v>
      </c>
      <c r="BR746" s="2393">
        <v>0</v>
      </c>
      <c r="BS746" s="2394">
        <v>0</v>
      </c>
      <c r="BT746" s="2392">
        <v>0</v>
      </c>
      <c r="BU746" s="2392">
        <v>0</v>
      </c>
      <c r="BV746" s="2395">
        <v>0</v>
      </c>
      <c r="BW746" s="2395">
        <v>0</v>
      </c>
      <c r="BX746" s="2392">
        <v>0</v>
      </c>
    </row>
    <row r="747" spans="2:76">
      <c r="B747" s="2564">
        <v>22151101</v>
      </c>
      <c r="C747" s="2565" t="s">
        <v>4357</v>
      </c>
      <c r="D747" s="2566">
        <v>0</v>
      </c>
      <c r="E747" s="1080">
        <v>0</v>
      </c>
      <c r="F747" s="2567">
        <v>0</v>
      </c>
      <c r="G747" s="2568">
        <v>0</v>
      </c>
      <c r="H747" s="2566">
        <v>0</v>
      </c>
      <c r="I747" s="2566">
        <v>0</v>
      </c>
      <c r="J747" s="2569">
        <v>0</v>
      </c>
      <c r="K747" s="2569">
        <v>0</v>
      </c>
      <c r="L747" s="2566">
        <v>0</v>
      </c>
      <c r="N747" s="2396">
        <v>22151101</v>
      </c>
      <c r="O747" s="2397" t="s">
        <v>4357</v>
      </c>
      <c r="P747" s="2398">
        <v>0</v>
      </c>
      <c r="Q747" s="2179">
        <v>0</v>
      </c>
      <c r="R747" s="2399">
        <v>0</v>
      </c>
      <c r="S747" s="2400">
        <v>0</v>
      </c>
      <c r="T747" s="2398">
        <v>0</v>
      </c>
      <c r="U747" s="2398">
        <v>0</v>
      </c>
      <c r="V747" s="2401">
        <v>0</v>
      </c>
      <c r="W747" s="2401">
        <v>0</v>
      </c>
      <c r="X747" s="2398">
        <v>0</v>
      </c>
      <c r="Z747" s="2396">
        <v>22151101</v>
      </c>
      <c r="AA747" s="2397" t="s">
        <v>4357</v>
      </c>
      <c r="AB747" s="2398">
        <v>0</v>
      </c>
      <c r="AC747" s="2179">
        <v>0</v>
      </c>
      <c r="AD747" s="2399">
        <v>0</v>
      </c>
      <c r="AE747" s="2400">
        <v>0</v>
      </c>
      <c r="AF747" s="2398">
        <v>0</v>
      </c>
      <c r="AG747" s="2398">
        <v>0</v>
      </c>
      <c r="AH747" s="2401">
        <v>0</v>
      </c>
      <c r="AI747" s="2401">
        <v>0</v>
      </c>
      <c r="AJ747" s="2398">
        <v>0</v>
      </c>
      <c r="AZ747" s="2396">
        <v>22151101</v>
      </c>
      <c r="BA747" s="2397" t="s">
        <v>4357</v>
      </c>
      <c r="BB747" s="2398">
        <v>0</v>
      </c>
      <c r="BC747" s="2179">
        <v>0</v>
      </c>
      <c r="BD747" s="2399">
        <v>0</v>
      </c>
      <c r="BE747" s="2400">
        <v>0</v>
      </c>
      <c r="BF747" s="2398">
        <v>0</v>
      </c>
      <c r="BG747" s="2398">
        <v>0</v>
      </c>
      <c r="BH747" s="2401">
        <v>0</v>
      </c>
      <c r="BI747" s="2401">
        <v>0</v>
      </c>
      <c r="BJ747" s="2398">
        <v>0</v>
      </c>
      <c r="BN747" s="2396">
        <v>22191001</v>
      </c>
      <c r="BO747" s="2397" t="s">
        <v>4375</v>
      </c>
      <c r="BP747" s="2398">
        <v>0</v>
      </c>
      <c r="BQ747" s="2179">
        <v>0</v>
      </c>
      <c r="BR747" s="2399">
        <v>0</v>
      </c>
      <c r="BS747" s="2400">
        <v>0</v>
      </c>
      <c r="BT747" s="2398">
        <v>0</v>
      </c>
      <c r="BU747" s="2398">
        <v>0</v>
      </c>
      <c r="BV747" s="2401">
        <v>0</v>
      </c>
      <c r="BW747" s="2401">
        <v>0</v>
      </c>
      <c r="BX747" s="2398">
        <v>0</v>
      </c>
    </row>
    <row r="748" spans="2:76">
      <c r="B748" s="2558">
        <v>22151200</v>
      </c>
      <c r="C748" s="2571" t="s">
        <v>4358</v>
      </c>
      <c r="D748" s="2560">
        <v>0</v>
      </c>
      <c r="E748" s="2560">
        <v>0</v>
      </c>
      <c r="F748" s="2561">
        <v>0</v>
      </c>
      <c r="G748" s="2562">
        <v>0</v>
      </c>
      <c r="H748" s="2560">
        <v>0</v>
      </c>
      <c r="I748" s="2560">
        <v>0</v>
      </c>
      <c r="J748" s="2563">
        <v>0</v>
      </c>
      <c r="K748" s="2563">
        <v>0</v>
      </c>
      <c r="L748" s="2560">
        <v>0</v>
      </c>
      <c r="N748" s="2390">
        <v>22151200</v>
      </c>
      <c r="O748" s="2403" t="s">
        <v>4358</v>
      </c>
      <c r="P748" s="2392">
        <v>0</v>
      </c>
      <c r="Q748" s="2392">
        <v>0</v>
      </c>
      <c r="R748" s="2393">
        <v>0</v>
      </c>
      <c r="S748" s="2394">
        <v>0</v>
      </c>
      <c r="T748" s="2392">
        <v>0</v>
      </c>
      <c r="U748" s="2392">
        <v>0</v>
      </c>
      <c r="V748" s="2395">
        <v>0</v>
      </c>
      <c r="W748" s="2395">
        <v>0</v>
      </c>
      <c r="X748" s="2392">
        <v>0</v>
      </c>
      <c r="Z748" s="2390">
        <v>22151200</v>
      </c>
      <c r="AA748" s="2403" t="s">
        <v>4358</v>
      </c>
      <c r="AB748" s="2392">
        <v>0</v>
      </c>
      <c r="AC748" s="2392">
        <v>0</v>
      </c>
      <c r="AD748" s="2393">
        <v>0</v>
      </c>
      <c r="AE748" s="2394">
        <v>0</v>
      </c>
      <c r="AF748" s="2392">
        <v>0</v>
      </c>
      <c r="AG748" s="2392">
        <v>0</v>
      </c>
      <c r="AH748" s="2395">
        <v>0</v>
      </c>
      <c r="AI748" s="2395">
        <v>0</v>
      </c>
      <c r="AJ748" s="2392">
        <v>0</v>
      </c>
      <c r="AZ748" s="2390">
        <v>22151200</v>
      </c>
      <c r="BA748" s="2403" t="s">
        <v>4358</v>
      </c>
      <c r="BB748" s="2392">
        <v>0</v>
      </c>
      <c r="BC748" s="2392">
        <v>0</v>
      </c>
      <c r="BD748" s="2393">
        <v>0</v>
      </c>
      <c r="BE748" s="2394">
        <v>0</v>
      </c>
      <c r="BF748" s="2392">
        <v>0</v>
      </c>
      <c r="BG748" s="2392">
        <v>0</v>
      </c>
      <c r="BH748" s="2395">
        <v>0</v>
      </c>
      <c r="BI748" s="2395">
        <v>0</v>
      </c>
      <c r="BJ748" s="2392">
        <v>0</v>
      </c>
      <c r="BN748" s="2390">
        <v>22191100</v>
      </c>
      <c r="BO748" s="2403" t="s">
        <v>4376</v>
      </c>
      <c r="BP748" s="2392">
        <v>0</v>
      </c>
      <c r="BQ748" s="2392">
        <v>0</v>
      </c>
      <c r="BR748" s="2393">
        <v>0</v>
      </c>
      <c r="BS748" s="2394">
        <v>0</v>
      </c>
      <c r="BT748" s="2392">
        <v>0</v>
      </c>
      <c r="BU748" s="2392">
        <v>0</v>
      </c>
      <c r="BV748" s="2395">
        <v>0</v>
      </c>
      <c r="BW748" s="2395">
        <v>0</v>
      </c>
      <c r="BX748" s="2392">
        <v>0</v>
      </c>
    </row>
    <row r="749" spans="2:76">
      <c r="B749" s="2564">
        <v>22151201</v>
      </c>
      <c r="C749" s="2565" t="s">
        <v>4358</v>
      </c>
      <c r="D749" s="2566">
        <v>0</v>
      </c>
      <c r="E749" s="1080">
        <v>0</v>
      </c>
      <c r="F749" s="2567">
        <v>0</v>
      </c>
      <c r="G749" s="2568">
        <v>0</v>
      </c>
      <c r="H749" s="2566">
        <v>0</v>
      </c>
      <c r="I749" s="2566">
        <v>0</v>
      </c>
      <c r="J749" s="2569">
        <v>0</v>
      </c>
      <c r="K749" s="2569">
        <v>0</v>
      </c>
      <c r="L749" s="2566">
        <v>0</v>
      </c>
      <c r="N749" s="2396">
        <v>22151201</v>
      </c>
      <c r="O749" s="2397" t="s">
        <v>4358</v>
      </c>
      <c r="P749" s="2398">
        <v>0</v>
      </c>
      <c r="Q749" s="2179">
        <v>0</v>
      </c>
      <c r="R749" s="2399">
        <v>0</v>
      </c>
      <c r="S749" s="2400">
        <v>0</v>
      </c>
      <c r="T749" s="2398">
        <v>0</v>
      </c>
      <c r="U749" s="2398">
        <v>0</v>
      </c>
      <c r="V749" s="2401">
        <v>0</v>
      </c>
      <c r="W749" s="2401">
        <v>0</v>
      </c>
      <c r="X749" s="2398">
        <v>0</v>
      </c>
      <c r="Z749" s="2396">
        <v>22151201</v>
      </c>
      <c r="AA749" s="2397" t="s">
        <v>4358</v>
      </c>
      <c r="AB749" s="2398">
        <v>0</v>
      </c>
      <c r="AC749" s="2179">
        <v>0</v>
      </c>
      <c r="AD749" s="2399">
        <v>0</v>
      </c>
      <c r="AE749" s="2400">
        <v>0</v>
      </c>
      <c r="AF749" s="2398">
        <v>0</v>
      </c>
      <c r="AG749" s="2398">
        <v>0</v>
      </c>
      <c r="AH749" s="2401">
        <v>0</v>
      </c>
      <c r="AI749" s="2401">
        <v>0</v>
      </c>
      <c r="AJ749" s="2398">
        <v>0</v>
      </c>
      <c r="AZ749" s="2396">
        <v>22151201</v>
      </c>
      <c r="BA749" s="2397" t="s">
        <v>4358</v>
      </c>
      <c r="BB749" s="2398">
        <v>0</v>
      </c>
      <c r="BC749" s="2179">
        <v>0</v>
      </c>
      <c r="BD749" s="2399">
        <v>0</v>
      </c>
      <c r="BE749" s="2400">
        <v>0</v>
      </c>
      <c r="BF749" s="2398">
        <v>0</v>
      </c>
      <c r="BG749" s="2398">
        <v>0</v>
      </c>
      <c r="BH749" s="2401">
        <v>0</v>
      </c>
      <c r="BI749" s="2401">
        <v>0</v>
      </c>
      <c r="BJ749" s="2398">
        <v>0</v>
      </c>
      <c r="BN749" s="2396">
        <v>22191101</v>
      </c>
      <c r="BO749" s="2397" t="s">
        <v>4376</v>
      </c>
      <c r="BP749" s="2398">
        <v>0</v>
      </c>
      <c r="BQ749" s="2179">
        <v>0</v>
      </c>
      <c r="BR749" s="2399">
        <v>0</v>
      </c>
      <c r="BS749" s="2400">
        <v>0</v>
      </c>
      <c r="BT749" s="2398">
        <v>0</v>
      </c>
      <c r="BU749" s="2398">
        <v>0</v>
      </c>
      <c r="BV749" s="2401">
        <v>0</v>
      </c>
      <c r="BW749" s="2401">
        <v>0</v>
      </c>
      <c r="BX749" s="2398">
        <v>0</v>
      </c>
    </row>
    <row r="750" spans="2:76">
      <c r="B750" s="2558">
        <v>22151300</v>
      </c>
      <c r="C750" s="2571" t="s">
        <v>4359</v>
      </c>
      <c r="D750" s="2560">
        <v>0</v>
      </c>
      <c r="E750" s="2560">
        <v>0</v>
      </c>
      <c r="F750" s="2561">
        <v>0</v>
      </c>
      <c r="G750" s="2562">
        <v>0</v>
      </c>
      <c r="H750" s="2560">
        <v>0</v>
      </c>
      <c r="I750" s="2560">
        <v>0</v>
      </c>
      <c r="J750" s="2563">
        <v>0</v>
      </c>
      <c r="K750" s="2563">
        <v>0</v>
      </c>
      <c r="L750" s="2560">
        <v>0</v>
      </c>
      <c r="N750" s="2390">
        <v>22151300</v>
      </c>
      <c r="O750" s="2403" t="s">
        <v>4359</v>
      </c>
      <c r="P750" s="2392">
        <v>0</v>
      </c>
      <c r="Q750" s="2392">
        <v>0</v>
      </c>
      <c r="R750" s="2393">
        <v>0</v>
      </c>
      <c r="S750" s="2394">
        <v>0</v>
      </c>
      <c r="T750" s="2392">
        <v>0</v>
      </c>
      <c r="U750" s="2392">
        <v>0</v>
      </c>
      <c r="V750" s="2395">
        <v>0</v>
      </c>
      <c r="W750" s="2395">
        <v>0</v>
      </c>
      <c r="X750" s="2392">
        <v>0</v>
      </c>
      <c r="Z750" s="2390">
        <v>22151300</v>
      </c>
      <c r="AA750" s="2403" t="s">
        <v>4359</v>
      </c>
      <c r="AB750" s="2392">
        <v>0</v>
      </c>
      <c r="AC750" s="2392">
        <v>0</v>
      </c>
      <c r="AD750" s="2393">
        <v>0</v>
      </c>
      <c r="AE750" s="2394">
        <v>0</v>
      </c>
      <c r="AF750" s="2392">
        <v>0</v>
      </c>
      <c r="AG750" s="2392">
        <v>0</v>
      </c>
      <c r="AH750" s="2395">
        <v>0</v>
      </c>
      <c r="AI750" s="2395">
        <v>0</v>
      </c>
      <c r="AJ750" s="2392">
        <v>0</v>
      </c>
      <c r="AZ750" s="2390">
        <v>22151300</v>
      </c>
      <c r="BA750" s="2403" t="s">
        <v>4359</v>
      </c>
      <c r="BB750" s="2392">
        <v>0</v>
      </c>
      <c r="BC750" s="2392">
        <v>0</v>
      </c>
      <c r="BD750" s="2393">
        <v>0</v>
      </c>
      <c r="BE750" s="2394">
        <v>0</v>
      </c>
      <c r="BF750" s="2392">
        <v>0</v>
      </c>
      <c r="BG750" s="2392">
        <v>0</v>
      </c>
      <c r="BH750" s="2395">
        <v>0</v>
      </c>
      <c r="BI750" s="2395">
        <v>0</v>
      </c>
      <c r="BJ750" s="2392">
        <v>0</v>
      </c>
      <c r="BN750" s="2390">
        <v>22191200</v>
      </c>
      <c r="BO750" s="2403" t="s">
        <v>4377</v>
      </c>
      <c r="BP750" s="2392">
        <v>0</v>
      </c>
      <c r="BQ750" s="2392">
        <v>0</v>
      </c>
      <c r="BR750" s="2393">
        <v>0</v>
      </c>
      <c r="BS750" s="2394">
        <v>0</v>
      </c>
      <c r="BT750" s="2392">
        <v>0</v>
      </c>
      <c r="BU750" s="2392">
        <v>0</v>
      </c>
      <c r="BV750" s="2395">
        <v>0</v>
      </c>
      <c r="BW750" s="2395">
        <v>0</v>
      </c>
      <c r="BX750" s="2392">
        <v>0</v>
      </c>
    </row>
    <row r="751" spans="2:76">
      <c r="B751" s="2564">
        <v>22151301</v>
      </c>
      <c r="C751" s="2565" t="s">
        <v>4359</v>
      </c>
      <c r="D751" s="2566">
        <v>0</v>
      </c>
      <c r="E751" s="1080">
        <v>0</v>
      </c>
      <c r="F751" s="2567">
        <v>0</v>
      </c>
      <c r="G751" s="2568">
        <v>0</v>
      </c>
      <c r="H751" s="2566">
        <v>0</v>
      </c>
      <c r="I751" s="2566">
        <v>0</v>
      </c>
      <c r="J751" s="2569">
        <v>0</v>
      </c>
      <c r="K751" s="2569">
        <v>0</v>
      </c>
      <c r="L751" s="2566">
        <v>0</v>
      </c>
      <c r="N751" s="2396">
        <v>22151301</v>
      </c>
      <c r="O751" s="2397" t="s">
        <v>4359</v>
      </c>
      <c r="P751" s="2398">
        <v>0</v>
      </c>
      <c r="Q751" s="2179">
        <v>0</v>
      </c>
      <c r="R751" s="2399">
        <v>0</v>
      </c>
      <c r="S751" s="2400">
        <v>0</v>
      </c>
      <c r="T751" s="2398">
        <v>0</v>
      </c>
      <c r="U751" s="2398">
        <v>0</v>
      </c>
      <c r="V751" s="2401">
        <v>0</v>
      </c>
      <c r="W751" s="2401">
        <v>0</v>
      </c>
      <c r="X751" s="2398">
        <v>0</v>
      </c>
      <c r="Z751" s="2396">
        <v>22151301</v>
      </c>
      <c r="AA751" s="2397" t="s">
        <v>4359</v>
      </c>
      <c r="AB751" s="2398">
        <v>0</v>
      </c>
      <c r="AC751" s="2179">
        <v>0</v>
      </c>
      <c r="AD751" s="2399">
        <v>0</v>
      </c>
      <c r="AE751" s="2400">
        <v>0</v>
      </c>
      <c r="AF751" s="2398">
        <v>0</v>
      </c>
      <c r="AG751" s="2398">
        <v>0</v>
      </c>
      <c r="AH751" s="2401">
        <v>0</v>
      </c>
      <c r="AI751" s="2401">
        <v>0</v>
      </c>
      <c r="AJ751" s="2398">
        <v>0</v>
      </c>
      <c r="AZ751" s="2396">
        <v>22151301</v>
      </c>
      <c r="BA751" s="2397" t="s">
        <v>4359</v>
      </c>
      <c r="BB751" s="2398">
        <v>0</v>
      </c>
      <c r="BC751" s="2179">
        <v>0</v>
      </c>
      <c r="BD751" s="2399">
        <v>0</v>
      </c>
      <c r="BE751" s="2400">
        <v>0</v>
      </c>
      <c r="BF751" s="2398">
        <v>0</v>
      </c>
      <c r="BG751" s="2398">
        <v>0</v>
      </c>
      <c r="BH751" s="2401">
        <v>0</v>
      </c>
      <c r="BI751" s="2401">
        <v>0</v>
      </c>
      <c r="BJ751" s="2398">
        <v>0</v>
      </c>
      <c r="BN751" s="2396">
        <v>22191201</v>
      </c>
      <c r="BO751" s="2397" t="s">
        <v>4378</v>
      </c>
      <c r="BP751" s="2398">
        <v>0</v>
      </c>
      <c r="BQ751" s="2179">
        <v>0</v>
      </c>
      <c r="BR751" s="2399">
        <v>0</v>
      </c>
      <c r="BS751" s="2400">
        <v>0</v>
      </c>
      <c r="BT751" s="2398">
        <v>0</v>
      </c>
      <c r="BU751" s="2398">
        <v>0</v>
      </c>
      <c r="BV751" s="2401">
        <v>0</v>
      </c>
      <c r="BW751" s="2401">
        <v>0</v>
      </c>
      <c r="BX751" s="2398">
        <v>0</v>
      </c>
    </row>
    <row r="752" spans="2:76">
      <c r="B752" s="2558">
        <v>22151400</v>
      </c>
      <c r="C752" s="2571" t="s">
        <v>4360</v>
      </c>
      <c r="D752" s="2560">
        <v>0</v>
      </c>
      <c r="E752" s="2560">
        <v>0</v>
      </c>
      <c r="F752" s="2561">
        <v>0</v>
      </c>
      <c r="G752" s="2562">
        <v>0</v>
      </c>
      <c r="H752" s="2560">
        <v>0</v>
      </c>
      <c r="I752" s="2560">
        <v>0</v>
      </c>
      <c r="J752" s="2563">
        <v>0</v>
      </c>
      <c r="K752" s="2563">
        <v>0</v>
      </c>
      <c r="L752" s="2560">
        <v>0</v>
      </c>
      <c r="N752" s="2390">
        <v>22151400</v>
      </c>
      <c r="O752" s="2403" t="s">
        <v>4360</v>
      </c>
      <c r="P752" s="2392">
        <v>0</v>
      </c>
      <c r="Q752" s="2392">
        <v>0</v>
      </c>
      <c r="R752" s="2393">
        <v>0</v>
      </c>
      <c r="S752" s="2394">
        <v>0</v>
      </c>
      <c r="T752" s="2392">
        <v>0</v>
      </c>
      <c r="U752" s="2392">
        <v>0</v>
      </c>
      <c r="V752" s="2395">
        <v>0</v>
      </c>
      <c r="W752" s="2395">
        <v>0</v>
      </c>
      <c r="X752" s="2392">
        <v>0</v>
      </c>
      <c r="Z752" s="2390">
        <v>22151400</v>
      </c>
      <c r="AA752" s="2403" t="s">
        <v>4360</v>
      </c>
      <c r="AB752" s="2392">
        <v>0</v>
      </c>
      <c r="AC752" s="2392">
        <v>0</v>
      </c>
      <c r="AD752" s="2393">
        <v>0</v>
      </c>
      <c r="AE752" s="2394">
        <v>0</v>
      </c>
      <c r="AF752" s="2392">
        <v>0</v>
      </c>
      <c r="AG752" s="2392">
        <v>0</v>
      </c>
      <c r="AH752" s="2395">
        <v>0</v>
      </c>
      <c r="AI752" s="2395">
        <v>0</v>
      </c>
      <c r="AJ752" s="2392">
        <v>0</v>
      </c>
      <c r="AZ752" s="2390">
        <v>22151400</v>
      </c>
      <c r="BA752" s="2403" t="s">
        <v>4360</v>
      </c>
      <c r="BB752" s="2392">
        <v>0</v>
      </c>
      <c r="BC752" s="2392">
        <v>0</v>
      </c>
      <c r="BD752" s="2393">
        <v>0</v>
      </c>
      <c r="BE752" s="2394">
        <v>0</v>
      </c>
      <c r="BF752" s="2392">
        <v>0</v>
      </c>
      <c r="BG752" s="2392">
        <v>0</v>
      </c>
      <c r="BH752" s="2395">
        <v>0</v>
      </c>
      <c r="BI752" s="2395">
        <v>0</v>
      </c>
      <c r="BJ752" s="2392">
        <v>0</v>
      </c>
      <c r="BN752" s="2390">
        <v>22191300</v>
      </c>
      <c r="BO752" s="2403" t="s">
        <v>4374</v>
      </c>
      <c r="BP752" s="2392">
        <v>0</v>
      </c>
      <c r="BQ752" s="2392">
        <v>0</v>
      </c>
      <c r="BR752" s="2393">
        <v>0</v>
      </c>
      <c r="BS752" s="2394">
        <v>0</v>
      </c>
      <c r="BT752" s="2392">
        <v>0</v>
      </c>
      <c r="BU752" s="2392">
        <v>0</v>
      </c>
      <c r="BV752" s="2395">
        <v>0</v>
      </c>
      <c r="BW752" s="2395">
        <v>0</v>
      </c>
      <c r="BX752" s="2392">
        <v>0</v>
      </c>
    </row>
    <row r="753" spans="2:76">
      <c r="B753" s="2564">
        <v>22151401</v>
      </c>
      <c r="C753" s="2565" t="s">
        <v>4360</v>
      </c>
      <c r="D753" s="2566">
        <v>0</v>
      </c>
      <c r="E753" s="1080">
        <v>0</v>
      </c>
      <c r="F753" s="2567">
        <v>0</v>
      </c>
      <c r="G753" s="2568">
        <v>0</v>
      </c>
      <c r="H753" s="2566">
        <v>0</v>
      </c>
      <c r="I753" s="2566">
        <v>0</v>
      </c>
      <c r="J753" s="2569">
        <v>0</v>
      </c>
      <c r="K753" s="2569">
        <v>0</v>
      </c>
      <c r="L753" s="2566">
        <v>0</v>
      </c>
      <c r="N753" s="2396">
        <v>22151401</v>
      </c>
      <c r="O753" s="2397" t="s">
        <v>4360</v>
      </c>
      <c r="P753" s="2398">
        <v>0</v>
      </c>
      <c r="Q753" s="2179">
        <v>0</v>
      </c>
      <c r="R753" s="2399">
        <v>0</v>
      </c>
      <c r="S753" s="2400">
        <v>0</v>
      </c>
      <c r="T753" s="2398">
        <v>0</v>
      </c>
      <c r="U753" s="2398">
        <v>0</v>
      </c>
      <c r="V753" s="2401">
        <v>0</v>
      </c>
      <c r="W753" s="2401">
        <v>0</v>
      </c>
      <c r="X753" s="2398">
        <v>0</v>
      </c>
      <c r="Z753" s="2396">
        <v>22151401</v>
      </c>
      <c r="AA753" s="2397" t="s">
        <v>4360</v>
      </c>
      <c r="AB753" s="2398">
        <v>0</v>
      </c>
      <c r="AC753" s="2179">
        <v>0</v>
      </c>
      <c r="AD753" s="2399">
        <v>0</v>
      </c>
      <c r="AE753" s="2400">
        <v>0</v>
      </c>
      <c r="AF753" s="2398">
        <v>0</v>
      </c>
      <c r="AG753" s="2398">
        <v>0</v>
      </c>
      <c r="AH753" s="2401">
        <v>0</v>
      </c>
      <c r="AI753" s="2401">
        <v>0</v>
      </c>
      <c r="AJ753" s="2398">
        <v>0</v>
      </c>
      <c r="AZ753" s="2396">
        <v>22151401</v>
      </c>
      <c r="BA753" s="2397" t="s">
        <v>4360</v>
      </c>
      <c r="BB753" s="2398">
        <v>0</v>
      </c>
      <c r="BC753" s="2179">
        <v>0</v>
      </c>
      <c r="BD753" s="2399">
        <v>0</v>
      </c>
      <c r="BE753" s="2400">
        <v>0</v>
      </c>
      <c r="BF753" s="2398">
        <v>0</v>
      </c>
      <c r="BG753" s="2398">
        <v>0</v>
      </c>
      <c r="BH753" s="2401">
        <v>0</v>
      </c>
      <c r="BI753" s="2401">
        <v>0</v>
      </c>
      <c r="BJ753" s="2398">
        <v>0</v>
      </c>
      <c r="BN753" s="2396">
        <v>22191301</v>
      </c>
      <c r="BO753" s="2397" t="s">
        <v>4374</v>
      </c>
      <c r="BP753" s="2398">
        <v>0</v>
      </c>
      <c r="BQ753" s="2179">
        <v>0</v>
      </c>
      <c r="BR753" s="2399">
        <v>0</v>
      </c>
      <c r="BS753" s="2400">
        <v>0</v>
      </c>
      <c r="BT753" s="2398">
        <v>0</v>
      </c>
      <c r="BU753" s="2398">
        <v>0</v>
      </c>
      <c r="BV753" s="2401">
        <v>0</v>
      </c>
      <c r="BW753" s="2401">
        <v>0</v>
      </c>
      <c r="BX753" s="2398">
        <v>0</v>
      </c>
    </row>
    <row r="754" spans="2:76">
      <c r="B754" s="2552">
        <v>22160000</v>
      </c>
      <c r="C754" s="2570" t="s">
        <v>4361</v>
      </c>
      <c r="D754" s="2554">
        <v>0</v>
      </c>
      <c r="E754" s="2554">
        <v>542171388</v>
      </c>
      <c r="F754" s="2555">
        <v>0</v>
      </c>
      <c r="G754" s="2556">
        <v>61048138</v>
      </c>
      <c r="H754" s="2554">
        <v>0</v>
      </c>
      <c r="I754" s="2554">
        <v>603219526</v>
      </c>
      <c r="J754" s="2557">
        <v>0</v>
      </c>
      <c r="K754" s="2557">
        <v>0</v>
      </c>
      <c r="L754" s="2554">
        <v>603219526</v>
      </c>
      <c r="N754" s="2384">
        <v>22160000</v>
      </c>
      <c r="O754" s="2402" t="s">
        <v>4361</v>
      </c>
      <c r="P754" s="2386">
        <v>0</v>
      </c>
      <c r="Q754" s="2386">
        <v>542171388</v>
      </c>
      <c r="R754" s="2387">
        <v>0</v>
      </c>
      <c r="S754" s="2388">
        <v>61048138</v>
      </c>
      <c r="T754" s="2386">
        <v>0</v>
      </c>
      <c r="U754" s="2386">
        <v>603219526</v>
      </c>
      <c r="V754" s="2389">
        <v>0</v>
      </c>
      <c r="W754" s="2389">
        <v>0</v>
      </c>
      <c r="X754" s="2386">
        <v>603219526</v>
      </c>
      <c r="Z754" s="2384">
        <v>22160000</v>
      </c>
      <c r="AA754" s="2402" t="s">
        <v>4361</v>
      </c>
      <c r="AB754" s="2386">
        <v>0</v>
      </c>
      <c r="AC754" s="2386">
        <v>542171388</v>
      </c>
      <c r="AD754" s="2387">
        <v>0</v>
      </c>
      <c r="AE754" s="2388">
        <v>61048138</v>
      </c>
      <c r="AF754" s="2386">
        <v>0</v>
      </c>
      <c r="AG754" s="2386">
        <v>603219526</v>
      </c>
      <c r="AH754" s="2389">
        <v>0</v>
      </c>
      <c r="AI754" s="2389">
        <v>0</v>
      </c>
      <c r="AJ754" s="2386">
        <v>603219526</v>
      </c>
      <c r="AZ754" s="2384">
        <v>22160000</v>
      </c>
      <c r="BA754" s="2402" t="s">
        <v>4361</v>
      </c>
      <c r="BB754" s="2386">
        <v>0</v>
      </c>
      <c r="BC754" s="2386">
        <v>305274263</v>
      </c>
      <c r="BD754" s="2387">
        <v>0</v>
      </c>
      <c r="BE754" s="2388">
        <v>0</v>
      </c>
      <c r="BF754" s="2386">
        <v>0</v>
      </c>
      <c r="BG754" s="2386">
        <v>305274263</v>
      </c>
      <c r="BH754" s="2389">
        <v>0</v>
      </c>
      <c r="BI754" s="2389">
        <v>0</v>
      </c>
      <c r="BJ754" s="2386">
        <v>305274263</v>
      </c>
      <c r="BN754" s="2384">
        <v>22200000</v>
      </c>
      <c r="BO754" s="2402" t="s">
        <v>4379</v>
      </c>
      <c r="BP754" s="2386">
        <v>0</v>
      </c>
      <c r="BQ754" s="2386">
        <v>0</v>
      </c>
      <c r="BR754" s="2387">
        <v>0</v>
      </c>
      <c r="BS754" s="2388">
        <v>0</v>
      </c>
      <c r="BT754" s="2386">
        <v>0</v>
      </c>
      <c r="BU754" s="2386">
        <v>0</v>
      </c>
      <c r="BV754" s="2389">
        <v>0</v>
      </c>
      <c r="BW754" s="2389">
        <v>0</v>
      </c>
      <c r="BX754" s="2386">
        <v>0</v>
      </c>
    </row>
    <row r="755" spans="2:76">
      <c r="B755" s="2558">
        <v>22161000</v>
      </c>
      <c r="C755" s="2571" t="s">
        <v>4361</v>
      </c>
      <c r="D755" s="2560">
        <v>0</v>
      </c>
      <c r="E755" s="2560">
        <v>542171388</v>
      </c>
      <c r="F755" s="2561">
        <v>0</v>
      </c>
      <c r="G755" s="2562">
        <v>61048138</v>
      </c>
      <c r="H755" s="2560">
        <v>0</v>
      </c>
      <c r="I755" s="2560">
        <v>603219526</v>
      </c>
      <c r="J755" s="2563">
        <v>0</v>
      </c>
      <c r="K755" s="2563">
        <v>0</v>
      </c>
      <c r="L755" s="2560">
        <v>603219526</v>
      </c>
      <c r="N755" s="2390">
        <v>22161000</v>
      </c>
      <c r="O755" s="2403" t="s">
        <v>4361</v>
      </c>
      <c r="P755" s="2392">
        <v>0</v>
      </c>
      <c r="Q755" s="2392">
        <v>542171388</v>
      </c>
      <c r="R755" s="2393">
        <v>0</v>
      </c>
      <c r="S755" s="2394">
        <v>61048138</v>
      </c>
      <c r="T755" s="2392">
        <v>0</v>
      </c>
      <c r="U755" s="2392">
        <v>603219526</v>
      </c>
      <c r="V755" s="2395">
        <v>0</v>
      </c>
      <c r="W755" s="2395">
        <v>0</v>
      </c>
      <c r="X755" s="2392">
        <v>603219526</v>
      </c>
      <c r="Z755" s="2390">
        <v>22161000</v>
      </c>
      <c r="AA755" s="2403" t="s">
        <v>4361</v>
      </c>
      <c r="AB755" s="2392">
        <v>0</v>
      </c>
      <c r="AC755" s="2392">
        <v>542171388</v>
      </c>
      <c r="AD755" s="2393">
        <v>0</v>
      </c>
      <c r="AE755" s="2394">
        <v>61048138</v>
      </c>
      <c r="AF755" s="2392">
        <v>0</v>
      </c>
      <c r="AG755" s="2392">
        <v>603219526</v>
      </c>
      <c r="AH755" s="2395">
        <v>0</v>
      </c>
      <c r="AI755" s="2395">
        <v>0</v>
      </c>
      <c r="AJ755" s="2392">
        <v>603219526</v>
      </c>
      <c r="AZ755" s="2390">
        <v>22161000</v>
      </c>
      <c r="BA755" s="2403" t="s">
        <v>4361</v>
      </c>
      <c r="BB755" s="2392">
        <v>0</v>
      </c>
      <c r="BC755" s="2392">
        <v>305274263</v>
      </c>
      <c r="BD755" s="2393">
        <v>0</v>
      </c>
      <c r="BE755" s="2394">
        <v>0</v>
      </c>
      <c r="BF755" s="2392">
        <v>0</v>
      </c>
      <c r="BG755" s="2392">
        <v>305274263</v>
      </c>
      <c r="BH755" s="2395">
        <v>0</v>
      </c>
      <c r="BI755" s="2395">
        <v>0</v>
      </c>
      <c r="BJ755" s="2392">
        <v>305274263</v>
      </c>
      <c r="BN755" s="2390">
        <v>22201000</v>
      </c>
      <c r="BO755" s="2403" t="s">
        <v>4379</v>
      </c>
      <c r="BP755" s="2392">
        <v>0</v>
      </c>
      <c r="BQ755" s="2392">
        <v>0</v>
      </c>
      <c r="BR755" s="2393">
        <v>0</v>
      </c>
      <c r="BS755" s="2394">
        <v>0</v>
      </c>
      <c r="BT755" s="2392">
        <v>0</v>
      </c>
      <c r="BU755" s="2392">
        <v>0</v>
      </c>
      <c r="BV755" s="2395">
        <v>0</v>
      </c>
      <c r="BW755" s="2395">
        <v>0</v>
      </c>
      <c r="BX755" s="2392">
        <v>0</v>
      </c>
    </row>
    <row r="756" spans="2:76">
      <c r="B756" s="2564">
        <v>22161001</v>
      </c>
      <c r="C756" s="2565" t="s">
        <v>4361</v>
      </c>
      <c r="D756" s="2566">
        <v>0</v>
      </c>
      <c r="E756" s="1080">
        <v>542171388</v>
      </c>
      <c r="F756" s="2567">
        <v>0</v>
      </c>
      <c r="G756" s="2568">
        <v>61048138</v>
      </c>
      <c r="H756" s="2566">
        <v>0</v>
      </c>
      <c r="I756" s="2566">
        <v>603219526</v>
      </c>
      <c r="J756" s="2569">
        <v>0</v>
      </c>
      <c r="K756" s="2569">
        <v>0</v>
      </c>
      <c r="L756" s="2566">
        <v>603219526</v>
      </c>
      <c r="N756" s="2396">
        <v>22161001</v>
      </c>
      <c r="O756" s="2397" t="s">
        <v>4361</v>
      </c>
      <c r="P756" s="2398">
        <v>0</v>
      </c>
      <c r="Q756" s="2179">
        <v>542171388</v>
      </c>
      <c r="R756" s="2399">
        <v>0</v>
      </c>
      <c r="S756" s="2400">
        <v>61048138</v>
      </c>
      <c r="T756" s="2398">
        <v>0</v>
      </c>
      <c r="U756" s="2398">
        <v>603219526</v>
      </c>
      <c r="V756" s="2401">
        <v>0</v>
      </c>
      <c r="W756" s="2401">
        <v>0</v>
      </c>
      <c r="X756" s="2398">
        <v>603219526</v>
      </c>
      <c r="Z756" s="2396">
        <v>22161001</v>
      </c>
      <c r="AA756" s="2397" t="s">
        <v>4361</v>
      </c>
      <c r="AB756" s="2398">
        <v>0</v>
      </c>
      <c r="AC756" s="2179">
        <v>542171388</v>
      </c>
      <c r="AD756" s="2399">
        <v>0</v>
      </c>
      <c r="AE756" s="2400">
        <v>61048138</v>
      </c>
      <c r="AF756" s="2398">
        <v>0</v>
      </c>
      <c r="AG756" s="2398">
        <v>603219526</v>
      </c>
      <c r="AH756" s="2401">
        <v>0</v>
      </c>
      <c r="AI756" s="2401">
        <v>0</v>
      </c>
      <c r="AJ756" s="2398">
        <v>603219526</v>
      </c>
      <c r="AZ756" s="2396">
        <v>22161001</v>
      </c>
      <c r="BA756" s="2397" t="s">
        <v>4361</v>
      </c>
      <c r="BB756" s="2398">
        <v>0</v>
      </c>
      <c r="BC756" s="2179">
        <v>305274263</v>
      </c>
      <c r="BD756" s="2399">
        <v>0</v>
      </c>
      <c r="BE756" s="2400">
        <v>0</v>
      </c>
      <c r="BF756" s="2398">
        <v>0</v>
      </c>
      <c r="BG756" s="2398">
        <v>305274263</v>
      </c>
      <c r="BH756" s="2401">
        <v>0</v>
      </c>
      <c r="BI756" s="2401">
        <v>0</v>
      </c>
      <c r="BJ756" s="2398">
        <v>305274263</v>
      </c>
      <c r="BN756" s="2396">
        <v>22201001</v>
      </c>
      <c r="BO756" s="2397" t="s">
        <v>4380</v>
      </c>
      <c r="BP756" s="2398">
        <v>0</v>
      </c>
      <c r="BQ756" s="2179">
        <v>0</v>
      </c>
      <c r="BR756" s="2399">
        <v>0</v>
      </c>
      <c r="BS756" s="2400">
        <v>0</v>
      </c>
      <c r="BT756" s="2398">
        <v>0</v>
      </c>
      <c r="BU756" s="2398">
        <v>0</v>
      </c>
      <c r="BV756" s="2401">
        <v>0</v>
      </c>
      <c r="BW756" s="2401">
        <v>0</v>
      </c>
      <c r="BX756" s="2398">
        <v>0</v>
      </c>
    </row>
    <row r="757" spans="2:76">
      <c r="B757" s="2552">
        <v>22170000</v>
      </c>
      <c r="C757" s="2570" t="s">
        <v>4305</v>
      </c>
      <c r="D757" s="2554">
        <v>3481629838</v>
      </c>
      <c r="E757" s="2554">
        <v>60270505</v>
      </c>
      <c r="F757" s="2555">
        <v>50491909</v>
      </c>
      <c r="G757" s="2556">
        <v>28808086</v>
      </c>
      <c r="H757" s="2554">
        <v>6229067</v>
      </c>
      <c r="I757" s="2554">
        <v>3627429405</v>
      </c>
      <c r="J757" s="2557">
        <v>0</v>
      </c>
      <c r="K757" s="2557">
        <v>0</v>
      </c>
      <c r="L757" s="2554">
        <v>3627429405</v>
      </c>
      <c r="N757" s="2384">
        <v>22170000</v>
      </c>
      <c r="O757" s="2402" t="s">
        <v>4305</v>
      </c>
      <c r="P757" s="2386">
        <v>3473036602</v>
      </c>
      <c r="Q757" s="2386">
        <v>58328410</v>
      </c>
      <c r="R757" s="2387">
        <v>50758507</v>
      </c>
      <c r="S757" s="2388">
        <v>29808086</v>
      </c>
      <c r="T757" s="2386">
        <v>5940455</v>
      </c>
      <c r="U757" s="2386">
        <v>3617872060</v>
      </c>
      <c r="V757" s="2389">
        <v>0</v>
      </c>
      <c r="W757" s="2389">
        <v>0</v>
      </c>
      <c r="X757" s="2386">
        <v>3617872060</v>
      </c>
      <c r="Z757" s="2384">
        <v>22170000</v>
      </c>
      <c r="AA757" s="2402" t="s">
        <v>4305</v>
      </c>
      <c r="AB757" s="2386">
        <v>0</v>
      </c>
      <c r="AC757" s="2386">
        <v>0</v>
      </c>
      <c r="AD757" s="2387">
        <v>0</v>
      </c>
      <c r="AE757" s="2388">
        <v>0</v>
      </c>
      <c r="AF757" s="2386">
        <v>0</v>
      </c>
      <c r="AG757" s="2386">
        <v>0</v>
      </c>
      <c r="AH757" s="2389">
        <v>0</v>
      </c>
      <c r="AI757" s="2389">
        <v>0</v>
      </c>
      <c r="AJ757" s="2386">
        <v>0</v>
      </c>
      <c r="AZ757" s="2384">
        <v>22170000</v>
      </c>
      <c r="BA757" s="2402" t="s">
        <v>4305</v>
      </c>
      <c r="BB757" s="2386">
        <v>952832618</v>
      </c>
      <c r="BC757" s="2386">
        <v>0</v>
      </c>
      <c r="BD757" s="2387">
        <v>0</v>
      </c>
      <c r="BE757" s="2388">
        <v>0</v>
      </c>
      <c r="BF757" s="2386">
        <v>0</v>
      </c>
      <c r="BG757" s="2386">
        <v>952832618</v>
      </c>
      <c r="BH757" s="2389">
        <v>0</v>
      </c>
      <c r="BI757" s="2389">
        <v>0</v>
      </c>
      <c r="BJ757" s="2386">
        <v>952832618</v>
      </c>
      <c r="BN757" s="2384">
        <v>22990000</v>
      </c>
      <c r="BO757" s="2402" t="s">
        <v>4381</v>
      </c>
      <c r="BP757" s="2386">
        <v>0</v>
      </c>
      <c r="BQ757" s="2386">
        <v>0</v>
      </c>
      <c r="BR757" s="2387">
        <v>0</v>
      </c>
      <c r="BS757" s="2388">
        <v>0</v>
      </c>
      <c r="BT757" s="2386">
        <v>0</v>
      </c>
      <c r="BU757" s="2386">
        <v>0</v>
      </c>
      <c r="BV757" s="2389">
        <v>0</v>
      </c>
      <c r="BW757" s="2389">
        <v>0</v>
      </c>
      <c r="BX757" s="2386">
        <v>0</v>
      </c>
    </row>
    <row r="758" spans="2:76">
      <c r="B758" s="2558">
        <v>22171000</v>
      </c>
      <c r="C758" s="2571" t="s">
        <v>4362</v>
      </c>
      <c r="D758" s="2560">
        <v>0</v>
      </c>
      <c r="E758" s="2560">
        <v>0</v>
      </c>
      <c r="F758" s="2561">
        <v>0</v>
      </c>
      <c r="G758" s="2562">
        <v>0</v>
      </c>
      <c r="H758" s="2560">
        <v>0</v>
      </c>
      <c r="I758" s="2560">
        <v>0</v>
      </c>
      <c r="J758" s="2563">
        <v>0</v>
      </c>
      <c r="K758" s="2563">
        <v>0</v>
      </c>
      <c r="L758" s="2560">
        <v>0</v>
      </c>
      <c r="N758" s="2390">
        <v>22171000</v>
      </c>
      <c r="O758" s="2403" t="s">
        <v>4362</v>
      </c>
      <c r="P758" s="2392">
        <v>0</v>
      </c>
      <c r="Q758" s="2392">
        <v>0</v>
      </c>
      <c r="R758" s="2393">
        <v>0</v>
      </c>
      <c r="S758" s="2394">
        <v>0</v>
      </c>
      <c r="T758" s="2392">
        <v>0</v>
      </c>
      <c r="U758" s="2392">
        <v>0</v>
      </c>
      <c r="V758" s="2395">
        <v>0</v>
      </c>
      <c r="W758" s="2395">
        <v>0</v>
      </c>
      <c r="X758" s="2392">
        <v>0</v>
      </c>
      <c r="Z758" s="2390">
        <v>22171000</v>
      </c>
      <c r="AA758" s="2403" t="s">
        <v>4362</v>
      </c>
      <c r="AB758" s="2392">
        <v>0</v>
      </c>
      <c r="AC758" s="2392">
        <v>0</v>
      </c>
      <c r="AD758" s="2393">
        <v>0</v>
      </c>
      <c r="AE758" s="2394">
        <v>0</v>
      </c>
      <c r="AF758" s="2392">
        <v>0</v>
      </c>
      <c r="AG758" s="2392">
        <v>0</v>
      </c>
      <c r="AH758" s="2395">
        <v>0</v>
      </c>
      <c r="AI758" s="2395">
        <v>0</v>
      </c>
      <c r="AJ758" s="2392">
        <v>0</v>
      </c>
      <c r="AZ758" s="2390">
        <v>22171000</v>
      </c>
      <c r="BA758" s="2403" t="s">
        <v>4362</v>
      </c>
      <c r="BB758" s="2392">
        <v>0</v>
      </c>
      <c r="BC758" s="2392">
        <v>0</v>
      </c>
      <c r="BD758" s="2393">
        <v>0</v>
      </c>
      <c r="BE758" s="2394">
        <v>0</v>
      </c>
      <c r="BF758" s="2392">
        <v>0</v>
      </c>
      <c r="BG758" s="2392">
        <v>0</v>
      </c>
      <c r="BH758" s="2395">
        <v>0</v>
      </c>
      <c r="BI758" s="2395">
        <v>0</v>
      </c>
      <c r="BJ758" s="2392">
        <v>0</v>
      </c>
      <c r="BN758" s="2390">
        <v>22991000</v>
      </c>
      <c r="BO758" s="2403" t="s">
        <v>4382</v>
      </c>
      <c r="BP758" s="2392">
        <v>0</v>
      </c>
      <c r="BQ758" s="2392">
        <v>0</v>
      </c>
      <c r="BR758" s="2393">
        <v>0</v>
      </c>
      <c r="BS758" s="2394">
        <v>0</v>
      </c>
      <c r="BT758" s="2392">
        <v>0</v>
      </c>
      <c r="BU758" s="2392">
        <v>0</v>
      </c>
      <c r="BV758" s="2395">
        <v>0</v>
      </c>
      <c r="BW758" s="2395">
        <v>0</v>
      </c>
      <c r="BX758" s="2392">
        <v>0</v>
      </c>
    </row>
    <row r="759" spans="2:76">
      <c r="B759" s="2564">
        <v>22171001</v>
      </c>
      <c r="C759" s="2565" t="s">
        <v>4363</v>
      </c>
      <c r="D759" s="2566">
        <v>0</v>
      </c>
      <c r="E759" s="1080">
        <v>0</v>
      </c>
      <c r="F759" s="2567">
        <v>0</v>
      </c>
      <c r="G759" s="2568">
        <v>0</v>
      </c>
      <c r="H759" s="2566">
        <v>0</v>
      </c>
      <c r="I759" s="2566">
        <v>0</v>
      </c>
      <c r="J759" s="2569">
        <v>0</v>
      </c>
      <c r="K759" s="2569">
        <v>0</v>
      </c>
      <c r="L759" s="2566">
        <v>0</v>
      </c>
      <c r="N759" s="2396">
        <v>22171001</v>
      </c>
      <c r="O759" s="2397" t="s">
        <v>4363</v>
      </c>
      <c r="P759" s="2398">
        <v>0</v>
      </c>
      <c r="Q759" s="2179">
        <v>0</v>
      </c>
      <c r="R759" s="2399">
        <v>0</v>
      </c>
      <c r="S759" s="2400">
        <v>0</v>
      </c>
      <c r="T759" s="2398">
        <v>0</v>
      </c>
      <c r="U759" s="2398">
        <v>0</v>
      </c>
      <c r="V759" s="2401">
        <v>0</v>
      </c>
      <c r="W759" s="2401">
        <v>0</v>
      </c>
      <c r="X759" s="2398">
        <v>0</v>
      </c>
      <c r="Z759" s="2396">
        <v>22171001</v>
      </c>
      <c r="AA759" s="2397" t="s">
        <v>4363</v>
      </c>
      <c r="AB759" s="2398">
        <v>0</v>
      </c>
      <c r="AC759" s="2179">
        <v>0</v>
      </c>
      <c r="AD759" s="2399">
        <v>0</v>
      </c>
      <c r="AE759" s="2400">
        <v>0</v>
      </c>
      <c r="AF759" s="2398">
        <v>0</v>
      </c>
      <c r="AG759" s="2398">
        <v>0</v>
      </c>
      <c r="AH759" s="2401">
        <v>0</v>
      </c>
      <c r="AI759" s="2401">
        <v>0</v>
      </c>
      <c r="AJ759" s="2398">
        <v>0</v>
      </c>
      <c r="AZ759" s="2396">
        <v>22171001</v>
      </c>
      <c r="BA759" s="2397" t="s">
        <v>4363</v>
      </c>
      <c r="BB759" s="2398">
        <v>0</v>
      </c>
      <c r="BC759" s="2179">
        <v>0</v>
      </c>
      <c r="BD759" s="2399">
        <v>0</v>
      </c>
      <c r="BE759" s="2400">
        <v>0</v>
      </c>
      <c r="BF759" s="2398">
        <v>0</v>
      </c>
      <c r="BG759" s="2398">
        <v>0</v>
      </c>
      <c r="BH759" s="2401">
        <v>0</v>
      </c>
      <c r="BI759" s="2401">
        <v>0</v>
      </c>
      <c r="BJ759" s="2398">
        <v>0</v>
      </c>
      <c r="BN759" s="2396">
        <v>22991001</v>
      </c>
      <c r="BO759" s="2397" t="s">
        <v>4382</v>
      </c>
      <c r="BP759" s="2398">
        <v>0</v>
      </c>
      <c r="BQ759" s="2179">
        <v>0</v>
      </c>
      <c r="BR759" s="2399">
        <v>0</v>
      </c>
      <c r="BS759" s="2400">
        <v>0</v>
      </c>
      <c r="BT759" s="2398">
        <v>0</v>
      </c>
      <c r="BU759" s="2398">
        <v>0</v>
      </c>
      <c r="BV759" s="2401">
        <v>0</v>
      </c>
      <c r="BW759" s="2401">
        <v>0</v>
      </c>
      <c r="BX759" s="2398">
        <v>0</v>
      </c>
    </row>
    <row r="760" spans="2:76">
      <c r="B760" s="2558">
        <v>22171100</v>
      </c>
      <c r="C760" s="2571" t="s">
        <v>4364</v>
      </c>
      <c r="D760" s="2560">
        <v>0</v>
      </c>
      <c r="E760" s="2560">
        <v>0</v>
      </c>
      <c r="F760" s="2561">
        <v>0</v>
      </c>
      <c r="G760" s="2562">
        <v>0</v>
      </c>
      <c r="H760" s="2560">
        <v>0</v>
      </c>
      <c r="I760" s="2560">
        <v>0</v>
      </c>
      <c r="J760" s="2563">
        <v>0</v>
      </c>
      <c r="K760" s="2563">
        <v>0</v>
      </c>
      <c r="L760" s="2560">
        <v>0</v>
      </c>
      <c r="N760" s="2390">
        <v>22171100</v>
      </c>
      <c r="O760" s="2403" t="s">
        <v>4364</v>
      </c>
      <c r="P760" s="2392">
        <v>0</v>
      </c>
      <c r="Q760" s="2392">
        <v>0</v>
      </c>
      <c r="R760" s="2393">
        <v>0</v>
      </c>
      <c r="S760" s="2394">
        <v>0</v>
      </c>
      <c r="T760" s="2392">
        <v>0</v>
      </c>
      <c r="U760" s="2392">
        <v>0</v>
      </c>
      <c r="V760" s="2395">
        <v>0</v>
      </c>
      <c r="W760" s="2395">
        <v>0</v>
      </c>
      <c r="X760" s="2392">
        <v>0</v>
      </c>
      <c r="Z760" s="2390">
        <v>22171100</v>
      </c>
      <c r="AA760" s="2403" t="s">
        <v>4364</v>
      </c>
      <c r="AB760" s="2392">
        <v>0</v>
      </c>
      <c r="AC760" s="2392">
        <v>0</v>
      </c>
      <c r="AD760" s="2393">
        <v>0</v>
      </c>
      <c r="AE760" s="2394">
        <v>0</v>
      </c>
      <c r="AF760" s="2392">
        <v>0</v>
      </c>
      <c r="AG760" s="2392">
        <v>0</v>
      </c>
      <c r="AH760" s="2395">
        <v>0</v>
      </c>
      <c r="AI760" s="2395">
        <v>0</v>
      </c>
      <c r="AJ760" s="2392">
        <v>0</v>
      </c>
      <c r="AZ760" s="2390">
        <v>22171100</v>
      </c>
      <c r="BA760" s="2403" t="s">
        <v>4364</v>
      </c>
      <c r="BB760" s="2392">
        <v>0</v>
      </c>
      <c r="BC760" s="2392">
        <v>0</v>
      </c>
      <c r="BD760" s="2393">
        <v>0</v>
      </c>
      <c r="BE760" s="2394">
        <v>0</v>
      </c>
      <c r="BF760" s="2392">
        <v>0</v>
      </c>
      <c r="BG760" s="2392">
        <v>0</v>
      </c>
      <c r="BH760" s="2395">
        <v>0</v>
      </c>
      <c r="BI760" s="2395">
        <v>0</v>
      </c>
      <c r="BJ760" s="2392">
        <v>0</v>
      </c>
      <c r="BN760" s="2372">
        <v>30000000</v>
      </c>
      <c r="BO760" s="2373" t="s">
        <v>116</v>
      </c>
      <c r="BP760" s="2374">
        <v>1942060543519</v>
      </c>
      <c r="BQ760" s="2374">
        <v>21963028565</v>
      </c>
      <c r="BR760" s="2375">
        <v>99725488086</v>
      </c>
      <c r="BS760" s="2376">
        <v>10628235721</v>
      </c>
      <c r="BT760" s="2374">
        <v>30995669781</v>
      </c>
      <c r="BU760" s="2374">
        <v>2105372965672</v>
      </c>
      <c r="BV760" s="2377">
        <v>0</v>
      </c>
      <c r="BW760" s="2377">
        <v>0</v>
      </c>
      <c r="BX760" s="2374">
        <v>1993626814617</v>
      </c>
    </row>
    <row r="761" spans="2:76">
      <c r="B761" s="2564">
        <v>22171101</v>
      </c>
      <c r="C761" s="2565" t="s">
        <v>4364</v>
      </c>
      <c r="D761" s="2566">
        <v>0</v>
      </c>
      <c r="E761" s="1080">
        <v>0</v>
      </c>
      <c r="F761" s="2567">
        <v>0</v>
      </c>
      <c r="G761" s="2568">
        <v>0</v>
      </c>
      <c r="H761" s="2566">
        <v>0</v>
      </c>
      <c r="I761" s="2566">
        <v>0</v>
      </c>
      <c r="J761" s="2569">
        <v>0</v>
      </c>
      <c r="K761" s="2569">
        <v>0</v>
      </c>
      <c r="L761" s="2566">
        <v>0</v>
      </c>
      <c r="N761" s="2396">
        <v>22171101</v>
      </c>
      <c r="O761" s="2397" t="s">
        <v>4364</v>
      </c>
      <c r="P761" s="2398">
        <v>0</v>
      </c>
      <c r="Q761" s="2179">
        <v>0</v>
      </c>
      <c r="R761" s="2399">
        <v>0</v>
      </c>
      <c r="S761" s="2400">
        <v>0</v>
      </c>
      <c r="T761" s="2398">
        <v>0</v>
      </c>
      <c r="U761" s="2398">
        <v>0</v>
      </c>
      <c r="V761" s="2401">
        <v>0</v>
      </c>
      <c r="W761" s="2401">
        <v>0</v>
      </c>
      <c r="X761" s="2398">
        <v>0</v>
      </c>
      <c r="Z761" s="2396">
        <v>22171101</v>
      </c>
      <c r="AA761" s="2397" t="s">
        <v>4364</v>
      </c>
      <c r="AB761" s="2398">
        <v>0</v>
      </c>
      <c r="AC761" s="2179">
        <v>0</v>
      </c>
      <c r="AD761" s="2399">
        <v>0</v>
      </c>
      <c r="AE761" s="2400">
        <v>0</v>
      </c>
      <c r="AF761" s="2398">
        <v>0</v>
      </c>
      <c r="AG761" s="2398">
        <v>0</v>
      </c>
      <c r="AH761" s="2401">
        <v>0</v>
      </c>
      <c r="AI761" s="2401">
        <v>0</v>
      </c>
      <c r="AJ761" s="2398">
        <v>0</v>
      </c>
      <c r="AZ761" s="2396">
        <v>22171101</v>
      </c>
      <c r="BA761" s="2397" t="s">
        <v>4364</v>
      </c>
      <c r="BB761" s="2398">
        <v>0</v>
      </c>
      <c r="BC761" s="2179">
        <v>0</v>
      </c>
      <c r="BD761" s="2399">
        <v>0</v>
      </c>
      <c r="BE761" s="2400">
        <v>0</v>
      </c>
      <c r="BF761" s="2398">
        <v>0</v>
      </c>
      <c r="BG761" s="2398">
        <v>0</v>
      </c>
      <c r="BH761" s="2401">
        <v>0</v>
      </c>
      <c r="BI761" s="2401">
        <v>0</v>
      </c>
      <c r="BJ761" s="2398">
        <v>0</v>
      </c>
      <c r="BN761" s="2378">
        <v>31000000</v>
      </c>
      <c r="BO761" s="2379" t="s">
        <v>4383</v>
      </c>
      <c r="BP761" s="2380">
        <v>1942060543519</v>
      </c>
      <c r="BQ761" s="2380">
        <v>21963028565</v>
      </c>
      <c r="BR761" s="2381">
        <v>99725488086</v>
      </c>
      <c r="BS761" s="2382">
        <v>10628235721</v>
      </c>
      <c r="BT761" s="2380">
        <v>30995659070</v>
      </c>
      <c r="BU761" s="2380">
        <v>2105372954961</v>
      </c>
      <c r="BV761" s="2383">
        <v>0</v>
      </c>
      <c r="BW761" s="2383">
        <v>0</v>
      </c>
      <c r="BX761" s="2380">
        <v>1993626803906</v>
      </c>
    </row>
    <row r="762" spans="2:76">
      <c r="B762" s="2558">
        <v>22171200</v>
      </c>
      <c r="C762" s="2571" t="s">
        <v>4365</v>
      </c>
      <c r="D762" s="2560">
        <v>0</v>
      </c>
      <c r="E762" s="2560">
        <v>0</v>
      </c>
      <c r="F762" s="2561">
        <v>0</v>
      </c>
      <c r="G762" s="2562">
        <v>0</v>
      </c>
      <c r="H762" s="2560">
        <v>0</v>
      </c>
      <c r="I762" s="2560">
        <v>0</v>
      </c>
      <c r="J762" s="2563">
        <v>0</v>
      </c>
      <c r="K762" s="2563">
        <v>0</v>
      </c>
      <c r="L762" s="2560">
        <v>0</v>
      </c>
      <c r="N762" s="2390">
        <v>22171200</v>
      </c>
      <c r="O762" s="2403" t="s">
        <v>4365</v>
      </c>
      <c r="P762" s="2392">
        <v>0</v>
      </c>
      <c r="Q762" s="2392">
        <v>0</v>
      </c>
      <c r="R762" s="2393">
        <v>0</v>
      </c>
      <c r="S762" s="2394">
        <v>0</v>
      </c>
      <c r="T762" s="2392">
        <v>0</v>
      </c>
      <c r="U762" s="2392">
        <v>0</v>
      </c>
      <c r="V762" s="2395">
        <v>0</v>
      </c>
      <c r="W762" s="2395">
        <v>0</v>
      </c>
      <c r="X762" s="2392">
        <v>0</v>
      </c>
      <c r="Z762" s="2390">
        <v>22171200</v>
      </c>
      <c r="AA762" s="2403" t="s">
        <v>4365</v>
      </c>
      <c r="AB762" s="2392">
        <v>0</v>
      </c>
      <c r="AC762" s="2392">
        <v>0</v>
      </c>
      <c r="AD762" s="2393">
        <v>0</v>
      </c>
      <c r="AE762" s="2394">
        <v>0</v>
      </c>
      <c r="AF762" s="2392">
        <v>0</v>
      </c>
      <c r="AG762" s="2392">
        <v>0</v>
      </c>
      <c r="AH762" s="2395">
        <v>0</v>
      </c>
      <c r="AI762" s="2395">
        <v>0</v>
      </c>
      <c r="AJ762" s="2392">
        <v>0</v>
      </c>
      <c r="AZ762" s="2390">
        <v>22171200</v>
      </c>
      <c r="BA762" s="2403" t="s">
        <v>4365</v>
      </c>
      <c r="BB762" s="2392">
        <v>0</v>
      </c>
      <c r="BC762" s="2392">
        <v>0</v>
      </c>
      <c r="BD762" s="2393">
        <v>0</v>
      </c>
      <c r="BE762" s="2394">
        <v>0</v>
      </c>
      <c r="BF762" s="2392">
        <v>0</v>
      </c>
      <c r="BG762" s="2392">
        <v>0</v>
      </c>
      <c r="BH762" s="2395">
        <v>0</v>
      </c>
      <c r="BI762" s="2395">
        <v>0</v>
      </c>
      <c r="BJ762" s="2392">
        <v>0</v>
      </c>
      <c r="BN762" s="2384">
        <v>31100000</v>
      </c>
      <c r="BO762" s="2402" t="s">
        <v>4384</v>
      </c>
      <c r="BP762" s="2386">
        <v>258204000000</v>
      </c>
      <c r="BQ762" s="2386">
        <v>7503315000</v>
      </c>
      <c r="BR762" s="2387">
        <v>73927870000</v>
      </c>
      <c r="BS762" s="2388">
        <v>1000000000</v>
      </c>
      <c r="BT762" s="2386">
        <v>16000000000</v>
      </c>
      <c r="BU762" s="2386">
        <v>356635185000</v>
      </c>
      <c r="BV762" s="2389">
        <v>0</v>
      </c>
      <c r="BW762" s="2389">
        <v>0</v>
      </c>
      <c r="BX762" s="2386">
        <v>258204000000</v>
      </c>
    </row>
    <row r="763" spans="2:76">
      <c r="B763" s="2564">
        <v>22171201</v>
      </c>
      <c r="C763" s="2565" t="s">
        <v>5077</v>
      </c>
      <c r="D763" s="2566">
        <v>0</v>
      </c>
      <c r="E763" s="1080">
        <v>0</v>
      </c>
      <c r="F763" s="2567">
        <v>0</v>
      </c>
      <c r="G763" s="2568">
        <v>0</v>
      </c>
      <c r="H763" s="2566">
        <v>0</v>
      </c>
      <c r="I763" s="2566">
        <v>0</v>
      </c>
      <c r="J763" s="2569">
        <v>0</v>
      </c>
      <c r="K763" s="2569">
        <v>0</v>
      </c>
      <c r="L763" s="2566">
        <v>0</v>
      </c>
      <c r="N763" s="2396">
        <v>22171201</v>
      </c>
      <c r="O763" s="2397" t="s">
        <v>4366</v>
      </c>
      <c r="P763" s="2398">
        <v>0</v>
      </c>
      <c r="Q763" s="2179">
        <v>0</v>
      </c>
      <c r="R763" s="2399">
        <v>0</v>
      </c>
      <c r="S763" s="2400">
        <v>0</v>
      </c>
      <c r="T763" s="2398">
        <v>0</v>
      </c>
      <c r="U763" s="2398">
        <v>0</v>
      </c>
      <c r="V763" s="2401">
        <v>0</v>
      </c>
      <c r="W763" s="2401">
        <v>0</v>
      </c>
      <c r="X763" s="2398">
        <v>0</v>
      </c>
      <c r="Z763" s="2396">
        <v>22171201</v>
      </c>
      <c r="AA763" s="2397" t="s">
        <v>4366</v>
      </c>
      <c r="AB763" s="2398">
        <v>0</v>
      </c>
      <c r="AC763" s="2179">
        <v>0</v>
      </c>
      <c r="AD763" s="2399">
        <v>0</v>
      </c>
      <c r="AE763" s="2400">
        <v>0</v>
      </c>
      <c r="AF763" s="2398">
        <v>0</v>
      </c>
      <c r="AG763" s="2398">
        <v>0</v>
      </c>
      <c r="AH763" s="2401">
        <v>0</v>
      </c>
      <c r="AI763" s="2401">
        <v>0</v>
      </c>
      <c r="AJ763" s="2398">
        <v>0</v>
      </c>
      <c r="AZ763" s="2396">
        <v>22171201</v>
      </c>
      <c r="BA763" s="2397" t="s">
        <v>4366</v>
      </c>
      <c r="BB763" s="2398">
        <v>0</v>
      </c>
      <c r="BC763" s="2179">
        <v>0</v>
      </c>
      <c r="BD763" s="2399">
        <v>0</v>
      </c>
      <c r="BE763" s="2400">
        <v>0</v>
      </c>
      <c r="BF763" s="2398">
        <v>0</v>
      </c>
      <c r="BG763" s="2398">
        <v>0</v>
      </c>
      <c r="BH763" s="2401">
        <v>0</v>
      </c>
      <c r="BI763" s="2401">
        <v>0</v>
      </c>
      <c r="BJ763" s="2398">
        <v>0</v>
      </c>
      <c r="BN763" s="2390">
        <v>31101000</v>
      </c>
      <c r="BO763" s="2403" t="s">
        <v>4384</v>
      </c>
      <c r="BP763" s="2392">
        <v>258204000000</v>
      </c>
      <c r="BQ763" s="2392">
        <v>7503315000</v>
      </c>
      <c r="BR763" s="2393">
        <v>73927870000</v>
      </c>
      <c r="BS763" s="2394">
        <v>1000000000</v>
      </c>
      <c r="BT763" s="2392">
        <v>16000000000</v>
      </c>
      <c r="BU763" s="2392">
        <v>356635185000</v>
      </c>
      <c r="BV763" s="2395">
        <v>0</v>
      </c>
      <c r="BW763" s="2395">
        <v>0</v>
      </c>
      <c r="BX763" s="2392">
        <v>258204000000</v>
      </c>
    </row>
    <row r="764" spans="2:76">
      <c r="B764" s="2558">
        <v>22171500</v>
      </c>
      <c r="C764" s="2571" t="s">
        <v>4367</v>
      </c>
      <c r="D764" s="2560">
        <v>0</v>
      </c>
      <c r="E764" s="2560">
        <v>0</v>
      </c>
      <c r="F764" s="2561">
        <v>0</v>
      </c>
      <c r="G764" s="2562">
        <v>0</v>
      </c>
      <c r="H764" s="2560">
        <v>0</v>
      </c>
      <c r="I764" s="2560">
        <v>0</v>
      </c>
      <c r="J764" s="2563">
        <v>0</v>
      </c>
      <c r="K764" s="2563">
        <v>0</v>
      </c>
      <c r="L764" s="2560">
        <v>0</v>
      </c>
      <c r="N764" s="2390">
        <v>22171500</v>
      </c>
      <c r="O764" s="2403" t="s">
        <v>4367</v>
      </c>
      <c r="P764" s="2392">
        <v>0</v>
      </c>
      <c r="Q764" s="2392">
        <v>0</v>
      </c>
      <c r="R764" s="2393">
        <v>0</v>
      </c>
      <c r="S764" s="2394">
        <v>0</v>
      </c>
      <c r="T764" s="2392">
        <v>0</v>
      </c>
      <c r="U764" s="2392">
        <v>0</v>
      </c>
      <c r="V764" s="2395">
        <v>0</v>
      </c>
      <c r="W764" s="2395">
        <v>0</v>
      </c>
      <c r="X764" s="2392">
        <v>0</v>
      </c>
      <c r="Z764" s="2390">
        <v>22171500</v>
      </c>
      <c r="AA764" s="2403" t="s">
        <v>4367</v>
      </c>
      <c r="AB764" s="2392">
        <v>0</v>
      </c>
      <c r="AC764" s="2392">
        <v>0</v>
      </c>
      <c r="AD764" s="2393">
        <v>0</v>
      </c>
      <c r="AE764" s="2394">
        <v>0</v>
      </c>
      <c r="AF764" s="2392">
        <v>0</v>
      </c>
      <c r="AG764" s="2392">
        <v>0</v>
      </c>
      <c r="AH764" s="2395">
        <v>0</v>
      </c>
      <c r="AI764" s="2395">
        <v>0</v>
      </c>
      <c r="AJ764" s="2392">
        <v>0</v>
      </c>
      <c r="AZ764" s="2390">
        <v>22171500</v>
      </c>
      <c r="BA764" s="2403" t="s">
        <v>4367</v>
      </c>
      <c r="BB764" s="2392">
        <v>0</v>
      </c>
      <c r="BC764" s="2392">
        <v>0</v>
      </c>
      <c r="BD764" s="2393">
        <v>0</v>
      </c>
      <c r="BE764" s="2394">
        <v>0</v>
      </c>
      <c r="BF764" s="2392">
        <v>0</v>
      </c>
      <c r="BG764" s="2392">
        <v>0</v>
      </c>
      <c r="BH764" s="2395">
        <v>0</v>
      </c>
      <c r="BI764" s="2395">
        <v>0</v>
      </c>
      <c r="BJ764" s="2392">
        <v>0</v>
      </c>
      <c r="BN764" s="2396">
        <v>31101001</v>
      </c>
      <c r="BO764" s="2397" t="s">
        <v>4385</v>
      </c>
      <c r="BP764" s="2398">
        <v>258204000000</v>
      </c>
      <c r="BQ764" s="2179">
        <v>7503315000</v>
      </c>
      <c r="BR764" s="2399">
        <v>73927870000</v>
      </c>
      <c r="BS764" s="2400">
        <v>1000000000</v>
      </c>
      <c r="BT764" s="2398">
        <v>16000000000</v>
      </c>
      <c r="BU764" s="2398">
        <v>356635185000</v>
      </c>
      <c r="BV764" s="2401">
        <v>133689000000</v>
      </c>
      <c r="BW764" s="2401">
        <v>35257815000</v>
      </c>
      <c r="BX764" s="2398">
        <v>258204000000</v>
      </c>
    </row>
    <row r="765" spans="2:76">
      <c r="B765" s="2564">
        <v>22171501</v>
      </c>
      <c r="C765" s="2565" t="s">
        <v>4367</v>
      </c>
      <c r="D765" s="2566">
        <v>0</v>
      </c>
      <c r="E765" s="1080">
        <v>0</v>
      </c>
      <c r="F765" s="2567">
        <v>0</v>
      </c>
      <c r="G765" s="2568">
        <v>0</v>
      </c>
      <c r="H765" s="2566">
        <v>0</v>
      </c>
      <c r="I765" s="2566">
        <v>0</v>
      </c>
      <c r="J765" s="2569">
        <v>0</v>
      </c>
      <c r="K765" s="2569">
        <v>0</v>
      </c>
      <c r="L765" s="2566">
        <v>0</v>
      </c>
      <c r="N765" s="2396">
        <v>22171501</v>
      </c>
      <c r="O765" s="2397" t="s">
        <v>4367</v>
      </c>
      <c r="P765" s="2398">
        <v>0</v>
      </c>
      <c r="Q765" s="2179">
        <v>0</v>
      </c>
      <c r="R765" s="2399">
        <v>0</v>
      </c>
      <c r="S765" s="2400">
        <v>0</v>
      </c>
      <c r="T765" s="2398">
        <v>0</v>
      </c>
      <c r="U765" s="2398">
        <v>0</v>
      </c>
      <c r="V765" s="2401">
        <v>0</v>
      </c>
      <c r="W765" s="2401">
        <v>0</v>
      </c>
      <c r="X765" s="2398">
        <v>0</v>
      </c>
      <c r="Z765" s="2396">
        <v>22171501</v>
      </c>
      <c r="AA765" s="2397" t="s">
        <v>4367</v>
      </c>
      <c r="AB765" s="2398">
        <v>0</v>
      </c>
      <c r="AC765" s="2179">
        <v>0</v>
      </c>
      <c r="AD765" s="2399">
        <v>0</v>
      </c>
      <c r="AE765" s="2400">
        <v>0</v>
      </c>
      <c r="AF765" s="2398">
        <v>0</v>
      </c>
      <c r="AG765" s="2398">
        <v>0</v>
      </c>
      <c r="AH765" s="2401">
        <v>0</v>
      </c>
      <c r="AI765" s="2401">
        <v>0</v>
      </c>
      <c r="AJ765" s="2398">
        <v>0</v>
      </c>
      <c r="AZ765" s="2396">
        <v>22171501</v>
      </c>
      <c r="BA765" s="2397" t="s">
        <v>4367</v>
      </c>
      <c r="BB765" s="2398">
        <v>0</v>
      </c>
      <c r="BC765" s="2179">
        <v>0</v>
      </c>
      <c r="BD765" s="2399">
        <v>0</v>
      </c>
      <c r="BE765" s="2400">
        <v>0</v>
      </c>
      <c r="BF765" s="2398">
        <v>0</v>
      </c>
      <c r="BG765" s="2398">
        <v>0</v>
      </c>
      <c r="BH765" s="2401">
        <v>0</v>
      </c>
      <c r="BI765" s="2401">
        <v>0</v>
      </c>
      <c r="BJ765" s="2398">
        <v>0</v>
      </c>
      <c r="BN765" s="2396">
        <v>31101002</v>
      </c>
      <c r="BO765" s="2397" t="s">
        <v>4386</v>
      </c>
      <c r="BP765" s="2398">
        <v>0</v>
      </c>
      <c r="BQ765" s="2179">
        <v>0</v>
      </c>
      <c r="BR765" s="2399">
        <v>0</v>
      </c>
      <c r="BS765" s="2400">
        <v>0</v>
      </c>
      <c r="BT765" s="2398">
        <v>0</v>
      </c>
      <c r="BU765" s="2398">
        <v>0</v>
      </c>
      <c r="BV765" s="2401">
        <v>0</v>
      </c>
      <c r="BW765" s="2401">
        <v>0</v>
      </c>
      <c r="BX765" s="2398">
        <v>0</v>
      </c>
    </row>
    <row r="766" spans="2:76">
      <c r="B766" s="2558">
        <v>22171900</v>
      </c>
      <c r="C766" s="2571" t="s">
        <v>4368</v>
      </c>
      <c r="D766" s="2560">
        <v>3481629838</v>
      </c>
      <c r="E766" s="2560">
        <v>60270505</v>
      </c>
      <c r="F766" s="2561">
        <v>50491909</v>
      </c>
      <c r="G766" s="2562">
        <v>28808086</v>
      </c>
      <c r="H766" s="2560">
        <v>6229067</v>
      </c>
      <c r="I766" s="2560">
        <v>3627429405</v>
      </c>
      <c r="J766" s="2563">
        <v>0</v>
      </c>
      <c r="K766" s="2563">
        <v>0</v>
      </c>
      <c r="L766" s="2560">
        <v>3627429405</v>
      </c>
      <c r="N766" s="2390">
        <v>22171900</v>
      </c>
      <c r="O766" s="2403" t="s">
        <v>4368</v>
      </c>
      <c r="P766" s="2392">
        <v>3473036602</v>
      </c>
      <c r="Q766" s="2392">
        <v>58328410</v>
      </c>
      <c r="R766" s="2393">
        <v>50758507</v>
      </c>
      <c r="S766" s="2394">
        <v>29808086</v>
      </c>
      <c r="T766" s="2392">
        <v>5940455</v>
      </c>
      <c r="U766" s="2392">
        <v>3617872060</v>
      </c>
      <c r="V766" s="2395">
        <v>0</v>
      </c>
      <c r="W766" s="2395">
        <v>0</v>
      </c>
      <c r="X766" s="2392">
        <v>3617872060</v>
      </c>
      <c r="Z766" s="2390">
        <v>22171900</v>
      </c>
      <c r="AA766" s="2403" t="s">
        <v>4368</v>
      </c>
      <c r="AB766" s="2392">
        <v>0</v>
      </c>
      <c r="AC766" s="2392">
        <v>0</v>
      </c>
      <c r="AD766" s="2393">
        <v>0</v>
      </c>
      <c r="AE766" s="2394">
        <v>0</v>
      </c>
      <c r="AF766" s="2392">
        <v>0</v>
      </c>
      <c r="AG766" s="2392">
        <v>0</v>
      </c>
      <c r="AH766" s="2395">
        <v>0</v>
      </c>
      <c r="AI766" s="2395">
        <v>0</v>
      </c>
      <c r="AJ766" s="2392">
        <v>0</v>
      </c>
      <c r="AZ766" s="2390">
        <v>22171900</v>
      </c>
      <c r="BA766" s="2403" t="s">
        <v>6550</v>
      </c>
      <c r="BB766" s="2392">
        <v>952832618</v>
      </c>
      <c r="BC766" s="2392">
        <v>0</v>
      </c>
      <c r="BD766" s="2393">
        <v>0</v>
      </c>
      <c r="BE766" s="2394">
        <v>0</v>
      </c>
      <c r="BF766" s="2392">
        <v>0</v>
      </c>
      <c r="BG766" s="2392">
        <v>952832618</v>
      </c>
      <c r="BH766" s="2395">
        <v>0</v>
      </c>
      <c r="BI766" s="2395">
        <v>0</v>
      </c>
      <c r="BJ766" s="2392">
        <v>952832618</v>
      </c>
      <c r="BN766" s="2384">
        <v>31110000</v>
      </c>
      <c r="BO766" s="2402" t="s">
        <v>4387</v>
      </c>
      <c r="BP766" s="2386">
        <v>-296335913</v>
      </c>
      <c r="BQ766" s="2386">
        <v>583275000</v>
      </c>
      <c r="BR766" s="2387">
        <v>-10394765769</v>
      </c>
      <c r="BS766" s="2388">
        <v>-2476100</v>
      </c>
      <c r="BT766" s="2386">
        <v>0</v>
      </c>
      <c r="BU766" s="2386">
        <v>-10110302782</v>
      </c>
      <c r="BV766" s="2389">
        <v>0</v>
      </c>
      <c r="BW766" s="2389">
        <v>0</v>
      </c>
      <c r="BX766" s="2386">
        <v>-793367416</v>
      </c>
    </row>
    <row r="767" spans="2:76">
      <c r="B767" s="2564">
        <v>22171901</v>
      </c>
      <c r="C767" s="2565" t="s">
        <v>5078</v>
      </c>
      <c r="D767" s="2566">
        <v>3481629838</v>
      </c>
      <c r="E767" s="2566">
        <v>60270505</v>
      </c>
      <c r="F767" s="2567">
        <v>50491909</v>
      </c>
      <c r="G767" s="2568">
        <v>28808086</v>
      </c>
      <c r="H767" s="2566">
        <v>6229067</v>
      </c>
      <c r="I767" s="2566">
        <v>3627429405</v>
      </c>
      <c r="J767" s="2569">
        <v>0</v>
      </c>
      <c r="K767" s="2569">
        <v>0</v>
      </c>
      <c r="L767" s="2566">
        <v>3627429405</v>
      </c>
      <c r="N767" s="2396">
        <v>22171901</v>
      </c>
      <c r="O767" s="2397" t="s">
        <v>4368</v>
      </c>
      <c r="P767" s="2398">
        <v>3473036602</v>
      </c>
      <c r="Q767" s="2398">
        <v>58328410</v>
      </c>
      <c r="R767" s="2399">
        <v>50758507</v>
      </c>
      <c r="S767" s="2400">
        <v>29808086</v>
      </c>
      <c r="T767" s="2398">
        <v>5940455</v>
      </c>
      <c r="U767" s="2398">
        <v>3617872060</v>
      </c>
      <c r="V767" s="2401">
        <v>0</v>
      </c>
      <c r="W767" s="2401">
        <v>0</v>
      </c>
      <c r="X767" s="2398">
        <v>3617872060</v>
      </c>
      <c r="Z767" s="2396">
        <v>22171901</v>
      </c>
      <c r="AA767" s="2397" t="s">
        <v>4368</v>
      </c>
      <c r="AB767" s="2398">
        <v>0</v>
      </c>
      <c r="AC767" s="2398">
        <v>0</v>
      </c>
      <c r="AD767" s="2399">
        <v>0</v>
      </c>
      <c r="AE767" s="2400">
        <v>0</v>
      </c>
      <c r="AF767" s="2398">
        <v>0</v>
      </c>
      <c r="AG767" s="2398">
        <v>0</v>
      </c>
      <c r="AH767" s="2401">
        <v>0</v>
      </c>
      <c r="AI767" s="2401">
        <v>0</v>
      </c>
      <c r="AJ767" s="2398">
        <v>0</v>
      </c>
      <c r="AZ767" s="2396">
        <v>22171901</v>
      </c>
      <c r="BA767" s="2397" t="s">
        <v>6550</v>
      </c>
      <c r="BB767" s="2398">
        <v>952832618</v>
      </c>
      <c r="BC767" s="2398">
        <v>0</v>
      </c>
      <c r="BD767" s="2399">
        <v>0</v>
      </c>
      <c r="BE767" s="2400">
        <v>0</v>
      </c>
      <c r="BF767" s="2398">
        <v>0</v>
      </c>
      <c r="BG767" s="2398">
        <v>952832618</v>
      </c>
      <c r="BH767" s="2401">
        <v>0</v>
      </c>
      <c r="BI767" s="2401">
        <v>0</v>
      </c>
      <c r="BJ767" s="2398">
        <v>952832618</v>
      </c>
      <c r="BN767" s="2390">
        <v>31111000</v>
      </c>
      <c r="BO767" s="2403" t="s">
        <v>4387</v>
      </c>
      <c r="BP767" s="2392">
        <v>-296335913</v>
      </c>
      <c r="BQ767" s="2392">
        <v>583275000</v>
      </c>
      <c r="BR767" s="2393">
        <v>-10394765769</v>
      </c>
      <c r="BS767" s="2394">
        <v>-2476100</v>
      </c>
      <c r="BT767" s="2392">
        <v>0</v>
      </c>
      <c r="BU767" s="2392">
        <v>-10110302782</v>
      </c>
      <c r="BV767" s="2395">
        <v>0</v>
      </c>
      <c r="BW767" s="2395">
        <v>0</v>
      </c>
      <c r="BX767" s="2392">
        <v>-793367416</v>
      </c>
    </row>
    <row r="768" spans="2:76">
      <c r="B768" s="2558">
        <v>22171300</v>
      </c>
      <c r="C768" s="2571" t="s">
        <v>4369</v>
      </c>
      <c r="D768" s="2560">
        <v>0</v>
      </c>
      <c r="E768" s="2560">
        <v>0</v>
      </c>
      <c r="F768" s="2561">
        <v>0</v>
      </c>
      <c r="G768" s="2562">
        <v>0</v>
      </c>
      <c r="H768" s="2560">
        <v>0</v>
      </c>
      <c r="I768" s="2560">
        <v>0</v>
      </c>
      <c r="J768" s="2563">
        <v>0</v>
      </c>
      <c r="K768" s="2563">
        <v>0</v>
      </c>
      <c r="L768" s="2560">
        <v>0</v>
      </c>
      <c r="N768" s="2390">
        <v>22171300</v>
      </c>
      <c r="O768" s="2403" t="s">
        <v>4369</v>
      </c>
      <c r="P768" s="2392">
        <v>0</v>
      </c>
      <c r="Q768" s="2392">
        <v>0</v>
      </c>
      <c r="R768" s="2393">
        <v>0</v>
      </c>
      <c r="S768" s="2394">
        <v>0</v>
      </c>
      <c r="T768" s="2392">
        <v>0</v>
      </c>
      <c r="U768" s="2392">
        <v>0</v>
      </c>
      <c r="V768" s="2395">
        <v>0</v>
      </c>
      <c r="W768" s="2395">
        <v>0</v>
      </c>
      <c r="X768" s="2392">
        <v>0</v>
      </c>
      <c r="Z768" s="2390">
        <v>22171300</v>
      </c>
      <c r="AA768" s="2403" t="s">
        <v>4369</v>
      </c>
      <c r="AB768" s="2392">
        <v>0</v>
      </c>
      <c r="AC768" s="2392">
        <v>0</v>
      </c>
      <c r="AD768" s="2393">
        <v>0</v>
      </c>
      <c r="AE768" s="2394">
        <v>0</v>
      </c>
      <c r="AF768" s="2392">
        <v>0</v>
      </c>
      <c r="AG768" s="2392">
        <v>0</v>
      </c>
      <c r="AH768" s="2395">
        <v>0</v>
      </c>
      <c r="AI768" s="2395">
        <v>0</v>
      </c>
      <c r="AJ768" s="2392">
        <v>0</v>
      </c>
      <c r="AZ768" s="2390">
        <v>22171300</v>
      </c>
      <c r="BA768" s="2403" t="s">
        <v>4369</v>
      </c>
      <c r="BB768" s="2392">
        <v>0</v>
      </c>
      <c r="BC768" s="2392">
        <v>0</v>
      </c>
      <c r="BD768" s="2393">
        <v>0</v>
      </c>
      <c r="BE768" s="2394">
        <v>0</v>
      </c>
      <c r="BF768" s="2392">
        <v>0</v>
      </c>
      <c r="BG768" s="2392">
        <v>0</v>
      </c>
      <c r="BH768" s="2395">
        <v>0</v>
      </c>
      <c r="BI768" s="2395">
        <v>0</v>
      </c>
      <c r="BJ768" s="2392">
        <v>0</v>
      </c>
      <c r="BN768" s="2396">
        <v>31111001</v>
      </c>
      <c r="BO768" s="2397" t="s">
        <v>4388</v>
      </c>
      <c r="BP768" s="2398">
        <v>0</v>
      </c>
      <c r="BQ768" s="2179">
        <v>583275000</v>
      </c>
      <c r="BR768" s="2399">
        <v>0</v>
      </c>
      <c r="BS768" s="2400">
        <v>0</v>
      </c>
      <c r="BT768" s="2398">
        <v>0</v>
      </c>
      <c r="BU768" s="2398">
        <v>583275000</v>
      </c>
      <c r="BV768" s="2401">
        <v>625159000</v>
      </c>
      <c r="BW768" s="2401">
        <v>41884000</v>
      </c>
      <c r="BX768" s="2398">
        <v>0</v>
      </c>
    </row>
    <row r="769" spans="2:76">
      <c r="B769" s="2564">
        <v>22171301</v>
      </c>
      <c r="C769" s="2565" t="s">
        <v>4369</v>
      </c>
      <c r="D769" s="2566">
        <v>0</v>
      </c>
      <c r="E769" s="1080">
        <v>0</v>
      </c>
      <c r="F769" s="2567">
        <v>0</v>
      </c>
      <c r="G769" s="2568">
        <v>0</v>
      </c>
      <c r="H769" s="2566">
        <v>0</v>
      </c>
      <c r="I769" s="2566">
        <v>0</v>
      </c>
      <c r="J769" s="2569">
        <v>0</v>
      </c>
      <c r="K769" s="2569">
        <v>0</v>
      </c>
      <c r="L769" s="2566">
        <v>0</v>
      </c>
      <c r="N769" s="2396">
        <v>22171301</v>
      </c>
      <c r="O769" s="2397" t="s">
        <v>4369</v>
      </c>
      <c r="P769" s="2398">
        <v>0</v>
      </c>
      <c r="Q769" s="2179">
        <v>0</v>
      </c>
      <c r="R769" s="2399">
        <v>0</v>
      </c>
      <c r="S769" s="2400">
        <v>0</v>
      </c>
      <c r="T769" s="2398">
        <v>0</v>
      </c>
      <c r="U769" s="2398">
        <v>0</v>
      </c>
      <c r="V769" s="2401">
        <v>0</v>
      </c>
      <c r="W769" s="2401">
        <v>0</v>
      </c>
      <c r="X769" s="2398">
        <v>0</v>
      </c>
      <c r="Z769" s="2396">
        <v>22171301</v>
      </c>
      <c r="AA769" s="2397" t="s">
        <v>4369</v>
      </c>
      <c r="AB769" s="2398">
        <v>0</v>
      </c>
      <c r="AC769" s="2179">
        <v>0</v>
      </c>
      <c r="AD769" s="2399">
        <v>0</v>
      </c>
      <c r="AE769" s="2400">
        <v>0</v>
      </c>
      <c r="AF769" s="2398">
        <v>0</v>
      </c>
      <c r="AG769" s="2398">
        <v>0</v>
      </c>
      <c r="AH769" s="2401">
        <v>0</v>
      </c>
      <c r="AI769" s="2401">
        <v>0</v>
      </c>
      <c r="AJ769" s="2398">
        <v>0</v>
      </c>
      <c r="AZ769" s="2396">
        <v>22171301</v>
      </c>
      <c r="BA769" s="2397" t="s">
        <v>4369</v>
      </c>
      <c r="BB769" s="2398">
        <v>0</v>
      </c>
      <c r="BC769" s="2179">
        <v>0</v>
      </c>
      <c r="BD769" s="2399">
        <v>0</v>
      </c>
      <c r="BE769" s="2400">
        <v>0</v>
      </c>
      <c r="BF769" s="2398">
        <v>0</v>
      </c>
      <c r="BG769" s="2398">
        <v>0</v>
      </c>
      <c r="BH769" s="2401">
        <v>0</v>
      </c>
      <c r="BI769" s="2401">
        <v>0</v>
      </c>
      <c r="BJ769" s="2398">
        <v>0</v>
      </c>
      <c r="BN769" s="2396">
        <v>31111002</v>
      </c>
      <c r="BO769" s="2397" t="s">
        <v>4389</v>
      </c>
      <c r="BP769" s="2398">
        <v>0</v>
      </c>
      <c r="BQ769" s="2179">
        <v>0</v>
      </c>
      <c r="BR769" s="2399">
        <v>-42138626</v>
      </c>
      <c r="BS769" s="2400">
        <v>-2476100</v>
      </c>
      <c r="BT769" s="2398">
        <v>0</v>
      </c>
      <c r="BU769" s="2398">
        <v>-44614726</v>
      </c>
      <c r="BV769" s="2401">
        <v>56403000</v>
      </c>
      <c r="BW769" s="2401">
        <v>42138626</v>
      </c>
      <c r="BX769" s="2398">
        <v>-58879100</v>
      </c>
    </row>
    <row r="770" spans="2:76">
      <c r="B770" s="2552">
        <v>22180000</v>
      </c>
      <c r="C770" s="2570" t="s">
        <v>4370</v>
      </c>
      <c r="D770" s="2554">
        <v>2056965133</v>
      </c>
      <c r="E770" s="2554">
        <v>1488644202</v>
      </c>
      <c r="F770" s="2555">
        <v>70086281</v>
      </c>
      <c r="G770" s="2556">
        <v>1125888854</v>
      </c>
      <c r="H770" s="2554">
        <v>75617166</v>
      </c>
      <c r="I770" s="2554">
        <v>4817201636</v>
      </c>
      <c r="J770" s="2557">
        <v>0</v>
      </c>
      <c r="K770" s="2557">
        <v>0</v>
      </c>
      <c r="L770" s="2554">
        <v>4817201636</v>
      </c>
      <c r="N770" s="2384">
        <v>22180000</v>
      </c>
      <c r="O770" s="2402" t="s">
        <v>4370</v>
      </c>
      <c r="P770" s="2386">
        <v>346671265</v>
      </c>
      <c r="Q770" s="2386">
        <v>1451686201</v>
      </c>
      <c r="R770" s="2387">
        <v>0</v>
      </c>
      <c r="S770" s="2388">
        <v>1051764469</v>
      </c>
      <c r="T770" s="2386">
        <v>103869611</v>
      </c>
      <c r="U770" s="2386">
        <v>2953991546</v>
      </c>
      <c r="V770" s="2389">
        <v>0</v>
      </c>
      <c r="W770" s="2389">
        <v>0</v>
      </c>
      <c r="X770" s="2386">
        <v>2953991546</v>
      </c>
      <c r="Z770" s="2384">
        <v>22180000</v>
      </c>
      <c r="AA770" s="2402" t="s">
        <v>4370</v>
      </c>
      <c r="AB770" s="2386">
        <v>0</v>
      </c>
      <c r="AC770" s="2386">
        <v>1303453111</v>
      </c>
      <c r="AD770" s="2387">
        <v>0</v>
      </c>
      <c r="AE770" s="2388">
        <v>902687069</v>
      </c>
      <c r="AF770" s="2386">
        <v>91810031</v>
      </c>
      <c r="AG770" s="2386">
        <v>2297950211</v>
      </c>
      <c r="AH770" s="2389">
        <v>0</v>
      </c>
      <c r="AI770" s="2389">
        <v>0</v>
      </c>
      <c r="AJ770" s="2386">
        <v>2297950211</v>
      </c>
      <c r="AZ770" s="2384">
        <v>22180000</v>
      </c>
      <c r="BA770" s="2402" t="s">
        <v>4370</v>
      </c>
      <c r="BB770" s="2386">
        <v>0</v>
      </c>
      <c r="BC770" s="2386">
        <v>1274112054</v>
      </c>
      <c r="BD770" s="2387">
        <v>398204850</v>
      </c>
      <c r="BE770" s="2388">
        <v>1539066326</v>
      </c>
      <c r="BF770" s="2386">
        <v>81492448</v>
      </c>
      <c r="BG770" s="2386">
        <v>3292875678</v>
      </c>
      <c r="BH770" s="2389">
        <v>0</v>
      </c>
      <c r="BI770" s="2389">
        <v>0</v>
      </c>
      <c r="BJ770" s="2386">
        <v>3292875678</v>
      </c>
      <c r="BN770" s="2396">
        <v>31111003</v>
      </c>
      <c r="BO770" s="2397" t="s">
        <v>4390</v>
      </c>
      <c r="BP770" s="2398">
        <v>0</v>
      </c>
      <c r="BQ770" s="2179">
        <v>0</v>
      </c>
      <c r="BR770" s="2399">
        <v>0</v>
      </c>
      <c r="BS770" s="2400">
        <v>0</v>
      </c>
      <c r="BT770" s="2398">
        <v>0</v>
      </c>
      <c r="BU770" s="2398">
        <v>0</v>
      </c>
      <c r="BV770" s="2401">
        <v>0</v>
      </c>
      <c r="BW770" s="2401">
        <v>0</v>
      </c>
      <c r="BX770" s="2398">
        <v>0</v>
      </c>
    </row>
    <row r="771" spans="2:76">
      <c r="B771" s="2558">
        <v>22181000</v>
      </c>
      <c r="C771" s="2571" t="s">
        <v>4370</v>
      </c>
      <c r="D771" s="2560">
        <v>2056965133</v>
      </c>
      <c r="E771" s="2560">
        <v>1488644202</v>
      </c>
      <c r="F771" s="2561">
        <v>70086281</v>
      </c>
      <c r="G771" s="2562">
        <v>1125888854</v>
      </c>
      <c r="H771" s="2560">
        <v>75617166</v>
      </c>
      <c r="I771" s="2560">
        <v>4817201636</v>
      </c>
      <c r="J771" s="2563">
        <v>0</v>
      </c>
      <c r="K771" s="2563">
        <v>0</v>
      </c>
      <c r="L771" s="2560">
        <v>4817201636</v>
      </c>
      <c r="N771" s="2390">
        <v>22181000</v>
      </c>
      <c r="O771" s="2403" t="s">
        <v>4370</v>
      </c>
      <c r="P771" s="2392">
        <v>346671265</v>
      </c>
      <c r="Q771" s="2392">
        <v>1451686201</v>
      </c>
      <c r="R771" s="2393">
        <v>0</v>
      </c>
      <c r="S771" s="2394">
        <v>1051764469</v>
      </c>
      <c r="T771" s="2392">
        <v>103869611</v>
      </c>
      <c r="U771" s="2392">
        <v>2953991546</v>
      </c>
      <c r="V771" s="2395">
        <v>0</v>
      </c>
      <c r="W771" s="2395">
        <v>0</v>
      </c>
      <c r="X771" s="2392">
        <v>2953991546</v>
      </c>
      <c r="Z771" s="2390">
        <v>22181000</v>
      </c>
      <c r="AA771" s="2403" t="s">
        <v>4370</v>
      </c>
      <c r="AB771" s="2392">
        <v>0</v>
      </c>
      <c r="AC771" s="2392">
        <v>1303453111</v>
      </c>
      <c r="AD771" s="2393">
        <v>0</v>
      </c>
      <c r="AE771" s="2394">
        <v>902687069</v>
      </c>
      <c r="AF771" s="2392">
        <v>91810031</v>
      </c>
      <c r="AG771" s="2392">
        <v>2297950211</v>
      </c>
      <c r="AH771" s="2395">
        <v>0</v>
      </c>
      <c r="AI771" s="2395">
        <v>0</v>
      </c>
      <c r="AJ771" s="2392">
        <v>2297950211</v>
      </c>
      <c r="AZ771" s="2390">
        <v>22181000</v>
      </c>
      <c r="BA771" s="2403" t="s">
        <v>4370</v>
      </c>
      <c r="BB771" s="2392">
        <v>0</v>
      </c>
      <c r="BC771" s="2392">
        <v>1274112054</v>
      </c>
      <c r="BD771" s="2393">
        <v>398204850</v>
      </c>
      <c r="BE771" s="2394">
        <v>1539066326</v>
      </c>
      <c r="BF771" s="2392">
        <v>81492448</v>
      </c>
      <c r="BG771" s="2392">
        <v>3292875678</v>
      </c>
      <c r="BH771" s="2395">
        <v>0</v>
      </c>
      <c r="BI771" s="2395">
        <v>0</v>
      </c>
      <c r="BJ771" s="2392">
        <v>3292875678</v>
      </c>
      <c r="BN771" s="2396">
        <v>31111004</v>
      </c>
      <c r="BO771" s="2397" t="s">
        <v>4391</v>
      </c>
      <c r="BP771" s="2398">
        <v>0</v>
      </c>
      <c r="BQ771" s="2179">
        <v>0</v>
      </c>
      <c r="BR771" s="2399">
        <v>0</v>
      </c>
      <c r="BS771" s="2400">
        <v>0</v>
      </c>
      <c r="BT771" s="2398">
        <v>0</v>
      </c>
      <c r="BU771" s="2398">
        <v>0</v>
      </c>
      <c r="BV771" s="2401">
        <v>0</v>
      </c>
      <c r="BW771" s="2401">
        <v>0</v>
      </c>
      <c r="BX771" s="2398">
        <v>0</v>
      </c>
    </row>
    <row r="772" spans="2:76">
      <c r="B772" s="2564">
        <v>22181001</v>
      </c>
      <c r="C772" s="2565" t="s">
        <v>5079</v>
      </c>
      <c r="D772" s="2566">
        <v>76216998353</v>
      </c>
      <c r="E772" s="1080">
        <v>1488644202</v>
      </c>
      <c r="F772" s="2567">
        <v>4265202322</v>
      </c>
      <c r="G772" s="2568">
        <v>1125888854</v>
      </c>
      <c r="H772" s="2566">
        <v>75617166</v>
      </c>
      <c r="I772" s="2566">
        <v>83172350897</v>
      </c>
      <c r="J772" s="2569">
        <v>0</v>
      </c>
      <c r="K772" s="2569">
        <v>0</v>
      </c>
      <c r="L772" s="2566">
        <v>83172350897</v>
      </c>
      <c r="N772" s="2396">
        <v>22181001</v>
      </c>
      <c r="O772" s="2397" t="s">
        <v>4370</v>
      </c>
      <c r="P772" s="2398">
        <v>75294540593</v>
      </c>
      <c r="Q772" s="2179">
        <v>1451686201</v>
      </c>
      <c r="R772" s="2399">
        <v>3816291496</v>
      </c>
      <c r="S772" s="2400">
        <v>1051764469</v>
      </c>
      <c r="T772" s="2398">
        <v>103869611</v>
      </c>
      <c r="U772" s="2398">
        <v>81718152370</v>
      </c>
      <c r="V772" s="2401">
        <v>0</v>
      </c>
      <c r="W772" s="2401">
        <v>0</v>
      </c>
      <c r="X772" s="2398">
        <v>81718152370</v>
      </c>
      <c r="Z772" s="2396">
        <v>22181001</v>
      </c>
      <c r="AA772" s="2397" t="s">
        <v>4370</v>
      </c>
      <c r="AB772" s="2398">
        <v>0</v>
      </c>
      <c r="AC772" s="2179">
        <v>1303453111</v>
      </c>
      <c r="AD772" s="2399">
        <v>3637758048</v>
      </c>
      <c r="AE772" s="2400">
        <v>902687069</v>
      </c>
      <c r="AF772" s="2398">
        <v>91810031</v>
      </c>
      <c r="AG772" s="2398">
        <v>5935708259</v>
      </c>
      <c r="AH772" s="2401">
        <v>0</v>
      </c>
      <c r="AI772" s="2401">
        <v>0</v>
      </c>
      <c r="AJ772" s="2398">
        <v>5935708259</v>
      </c>
      <c r="AZ772" s="2396">
        <v>22181001</v>
      </c>
      <c r="BA772" s="2397" t="s">
        <v>4370</v>
      </c>
      <c r="BB772" s="2398">
        <v>0</v>
      </c>
      <c r="BC772" s="2179">
        <v>1274112054</v>
      </c>
      <c r="BD772" s="2399">
        <v>3799296250</v>
      </c>
      <c r="BE772" s="2400">
        <v>1539066326</v>
      </c>
      <c r="BF772" s="2398">
        <v>81492448</v>
      </c>
      <c r="BG772" s="2398">
        <v>6693967078</v>
      </c>
      <c r="BH772" s="2401">
        <v>0</v>
      </c>
      <c r="BI772" s="2401">
        <v>0</v>
      </c>
      <c r="BJ772" s="2398">
        <v>6693967078</v>
      </c>
      <c r="BN772" s="2396">
        <v>31111005</v>
      </c>
      <c r="BO772" s="2397" t="s">
        <v>4392</v>
      </c>
      <c r="BP772" s="2398">
        <v>0</v>
      </c>
      <c r="BQ772" s="2179">
        <v>0</v>
      </c>
      <c r="BR772" s="2399">
        <v>0</v>
      </c>
      <c r="BS772" s="2400">
        <v>0</v>
      </c>
      <c r="BT772" s="2398">
        <v>0</v>
      </c>
      <c r="BU772" s="2398">
        <v>0</v>
      </c>
      <c r="BV772" s="2401">
        <v>0</v>
      </c>
      <c r="BW772" s="2401">
        <v>0</v>
      </c>
      <c r="BX772" s="2398">
        <v>0</v>
      </c>
    </row>
    <row r="773" spans="2:76">
      <c r="B773" s="2564">
        <v>22181002</v>
      </c>
      <c r="C773" s="2565" t="s">
        <v>4371</v>
      </c>
      <c r="D773" s="2566">
        <v>0</v>
      </c>
      <c r="E773" s="1080">
        <v>0</v>
      </c>
      <c r="F773" s="2567">
        <v>0</v>
      </c>
      <c r="G773" s="2568">
        <v>0</v>
      </c>
      <c r="H773" s="2566">
        <v>0</v>
      </c>
      <c r="I773" s="2566">
        <v>0</v>
      </c>
      <c r="J773" s="2569">
        <v>0</v>
      </c>
      <c r="K773" s="2569">
        <v>0</v>
      </c>
      <c r="L773" s="2566">
        <v>0</v>
      </c>
      <c r="N773" s="2396">
        <v>22181002</v>
      </c>
      <c r="O773" s="2397" t="s">
        <v>4371</v>
      </c>
      <c r="P773" s="2398">
        <v>0</v>
      </c>
      <c r="Q773" s="2179">
        <v>0</v>
      </c>
      <c r="R773" s="2399">
        <v>0</v>
      </c>
      <c r="S773" s="2400">
        <v>0</v>
      </c>
      <c r="T773" s="2398">
        <v>0</v>
      </c>
      <c r="U773" s="2398">
        <v>0</v>
      </c>
      <c r="V773" s="2401">
        <v>0</v>
      </c>
      <c r="W773" s="2401">
        <v>0</v>
      </c>
      <c r="X773" s="2398">
        <v>0</v>
      </c>
      <c r="Z773" s="2396">
        <v>22181002</v>
      </c>
      <c r="AA773" s="2397" t="s">
        <v>4371</v>
      </c>
      <c r="AB773" s="2398">
        <v>0</v>
      </c>
      <c r="AC773" s="2179">
        <v>0</v>
      </c>
      <c r="AD773" s="2399">
        <v>0</v>
      </c>
      <c r="AE773" s="2400">
        <v>0</v>
      </c>
      <c r="AF773" s="2398">
        <v>0</v>
      </c>
      <c r="AG773" s="2398">
        <v>0</v>
      </c>
      <c r="AH773" s="2401">
        <v>0</v>
      </c>
      <c r="AI773" s="2401">
        <v>0</v>
      </c>
      <c r="AJ773" s="2398">
        <v>0</v>
      </c>
      <c r="AZ773" s="2396">
        <v>22181002</v>
      </c>
      <c r="BA773" s="2397" t="s">
        <v>4371</v>
      </c>
      <c r="BB773" s="2398">
        <v>0</v>
      </c>
      <c r="BC773" s="2179">
        <v>0</v>
      </c>
      <c r="BD773" s="2399">
        <v>0</v>
      </c>
      <c r="BE773" s="2400">
        <v>0</v>
      </c>
      <c r="BF773" s="2398">
        <v>0</v>
      </c>
      <c r="BG773" s="2398">
        <v>0</v>
      </c>
      <c r="BH773" s="2401">
        <v>0</v>
      </c>
      <c r="BI773" s="2401">
        <v>0</v>
      </c>
      <c r="BJ773" s="2398">
        <v>0</v>
      </c>
      <c r="BN773" s="2396">
        <v>31111006</v>
      </c>
      <c r="BO773" s="2397" t="s">
        <v>4393</v>
      </c>
      <c r="BP773" s="2398">
        <v>0</v>
      </c>
      <c r="BQ773" s="2179">
        <v>0</v>
      </c>
      <c r="BR773" s="2399">
        <v>0</v>
      </c>
      <c r="BS773" s="2400">
        <v>0</v>
      </c>
      <c r="BT773" s="2398">
        <v>0</v>
      </c>
      <c r="BU773" s="2398">
        <v>0</v>
      </c>
      <c r="BV773" s="2401">
        <v>0</v>
      </c>
      <c r="BW773" s="2401">
        <v>0</v>
      </c>
      <c r="BX773" s="2398">
        <v>0</v>
      </c>
    </row>
    <row r="774" spans="2:76">
      <c r="B774" s="2564">
        <v>22181003</v>
      </c>
      <c r="C774" s="2565" t="s">
        <v>4372</v>
      </c>
      <c r="D774" s="2566">
        <v>-67548100</v>
      </c>
      <c r="E774" s="1080">
        <v>0</v>
      </c>
      <c r="F774" s="2567">
        <v>0</v>
      </c>
      <c r="G774" s="2568">
        <v>0</v>
      </c>
      <c r="H774" s="2566">
        <v>0</v>
      </c>
      <c r="I774" s="2566">
        <v>-67548100</v>
      </c>
      <c r="J774" s="2569">
        <v>0</v>
      </c>
      <c r="K774" s="2569">
        <v>0</v>
      </c>
      <c r="L774" s="2566">
        <v>-67548100</v>
      </c>
      <c r="N774" s="2396">
        <v>22181003</v>
      </c>
      <c r="O774" s="2397" t="s">
        <v>4372</v>
      </c>
      <c r="P774" s="2398">
        <v>-67548100</v>
      </c>
      <c r="Q774" s="2179">
        <v>0</v>
      </c>
      <c r="R774" s="2399">
        <v>0</v>
      </c>
      <c r="S774" s="2400">
        <v>0</v>
      </c>
      <c r="T774" s="2398">
        <v>0</v>
      </c>
      <c r="U774" s="2398">
        <v>-67548100</v>
      </c>
      <c r="V774" s="2401">
        <v>0</v>
      </c>
      <c r="W774" s="2401">
        <v>0</v>
      </c>
      <c r="X774" s="2398">
        <v>-67548100</v>
      </c>
      <c r="Z774" s="2396">
        <v>22181003</v>
      </c>
      <c r="AA774" s="2397" t="s">
        <v>4372</v>
      </c>
      <c r="AB774" s="2398">
        <v>0</v>
      </c>
      <c r="AC774" s="2179">
        <v>0</v>
      </c>
      <c r="AD774" s="2399">
        <v>0</v>
      </c>
      <c r="AE774" s="2400">
        <v>0</v>
      </c>
      <c r="AF774" s="2398">
        <v>0</v>
      </c>
      <c r="AG774" s="2398">
        <v>0</v>
      </c>
      <c r="AH774" s="2401">
        <v>0</v>
      </c>
      <c r="AI774" s="2401">
        <v>0</v>
      </c>
      <c r="AJ774" s="2398">
        <v>0</v>
      </c>
      <c r="AZ774" s="2396">
        <v>22181003</v>
      </c>
      <c r="BA774" s="2397" t="s">
        <v>4372</v>
      </c>
      <c r="BB774" s="2398">
        <v>0</v>
      </c>
      <c r="BC774" s="2179">
        <v>0</v>
      </c>
      <c r="BD774" s="2399">
        <v>0</v>
      </c>
      <c r="BE774" s="2400">
        <v>0</v>
      </c>
      <c r="BF774" s="2398">
        <v>0</v>
      </c>
      <c r="BG774" s="2398">
        <v>0</v>
      </c>
      <c r="BH774" s="2401">
        <v>0</v>
      </c>
      <c r="BI774" s="2401">
        <v>0</v>
      </c>
      <c r="BJ774" s="2398">
        <v>0</v>
      </c>
      <c r="BN774" s="2396">
        <v>31111007</v>
      </c>
      <c r="BO774" s="2397" t="s">
        <v>4394</v>
      </c>
      <c r="BP774" s="2398">
        <v>0</v>
      </c>
      <c r="BQ774" s="2179">
        <v>0</v>
      </c>
      <c r="BR774" s="2399">
        <v>0</v>
      </c>
      <c r="BS774" s="2400">
        <v>0</v>
      </c>
      <c r="BT774" s="2398">
        <v>0</v>
      </c>
      <c r="BU774" s="2398">
        <v>0</v>
      </c>
      <c r="BV774" s="2401">
        <v>0</v>
      </c>
      <c r="BW774" s="2401">
        <v>0</v>
      </c>
      <c r="BX774" s="2398">
        <v>0</v>
      </c>
    </row>
    <row r="775" spans="2:76">
      <c r="B775" s="2564">
        <v>22181004</v>
      </c>
      <c r="C775" s="2565" t="s">
        <v>4373</v>
      </c>
      <c r="D775" s="2566">
        <v>-74092485120</v>
      </c>
      <c r="E775" s="1080">
        <v>0</v>
      </c>
      <c r="F775" s="2567">
        <v>-4195116041</v>
      </c>
      <c r="G775" s="2568">
        <v>0</v>
      </c>
      <c r="H775" s="2566">
        <v>0</v>
      </c>
      <c r="I775" s="2566">
        <v>-78287601161</v>
      </c>
      <c r="J775" s="2569">
        <v>0</v>
      </c>
      <c r="K775" s="2569">
        <v>0</v>
      </c>
      <c r="L775" s="2566">
        <v>-78287601161</v>
      </c>
      <c r="N775" s="2396">
        <v>22181004</v>
      </c>
      <c r="O775" s="2397" t="s">
        <v>4373</v>
      </c>
      <c r="P775" s="2398">
        <v>-74880321228</v>
      </c>
      <c r="Q775" s="2179">
        <v>0</v>
      </c>
      <c r="R775" s="2399">
        <v>-3816291496</v>
      </c>
      <c r="S775" s="2400">
        <v>0</v>
      </c>
      <c r="T775" s="2398">
        <v>0</v>
      </c>
      <c r="U775" s="2398">
        <v>-78696612724</v>
      </c>
      <c r="V775" s="2401">
        <v>0</v>
      </c>
      <c r="W775" s="2401">
        <v>0</v>
      </c>
      <c r="X775" s="2398">
        <v>-78696612724</v>
      </c>
      <c r="Z775" s="2396">
        <v>22181004</v>
      </c>
      <c r="AA775" s="2397" t="s">
        <v>4373</v>
      </c>
      <c r="AB775" s="2398">
        <v>0</v>
      </c>
      <c r="AC775" s="2179">
        <v>0</v>
      </c>
      <c r="AD775" s="2399">
        <v>-3637758048</v>
      </c>
      <c r="AE775" s="2400">
        <v>0</v>
      </c>
      <c r="AF775" s="2398">
        <v>0</v>
      </c>
      <c r="AG775" s="2398">
        <v>-3637758048</v>
      </c>
      <c r="AH775" s="2401">
        <v>0</v>
      </c>
      <c r="AI775" s="2401">
        <v>0</v>
      </c>
      <c r="AJ775" s="2398">
        <v>-3637758048</v>
      </c>
      <c r="AZ775" s="2396">
        <v>22181004</v>
      </c>
      <c r="BA775" s="2397" t="s">
        <v>4373</v>
      </c>
      <c r="BB775" s="2398">
        <v>0</v>
      </c>
      <c r="BC775" s="2179">
        <v>0</v>
      </c>
      <c r="BD775" s="2399">
        <v>-3401091400</v>
      </c>
      <c r="BE775" s="2400">
        <v>0</v>
      </c>
      <c r="BF775" s="2398">
        <v>0</v>
      </c>
      <c r="BG775" s="2398">
        <v>-3401091400</v>
      </c>
      <c r="BH775" s="2401">
        <v>0</v>
      </c>
      <c r="BI775" s="2401">
        <v>0</v>
      </c>
      <c r="BJ775" s="2398">
        <v>-3401091400</v>
      </c>
      <c r="BN775" s="2396">
        <v>31111008</v>
      </c>
      <c r="BO775" s="2397" t="s">
        <v>4395</v>
      </c>
      <c r="BP775" s="2398">
        <v>-296335913</v>
      </c>
      <c r="BQ775" s="2179">
        <v>0</v>
      </c>
      <c r="BR775" s="2399">
        <v>-10352627143</v>
      </c>
      <c r="BS775" s="2400">
        <v>0</v>
      </c>
      <c r="BT775" s="2398">
        <v>0</v>
      </c>
      <c r="BU775" s="2398">
        <v>-10648963056</v>
      </c>
      <c r="BV775" s="2401">
        <v>57092395</v>
      </c>
      <c r="BW775" s="2401">
        <v>10393194143</v>
      </c>
      <c r="BX775" s="2398">
        <v>-312861308</v>
      </c>
    </row>
    <row r="776" spans="2:76">
      <c r="B776" s="2552">
        <v>22190000</v>
      </c>
      <c r="C776" s="2570" t="s">
        <v>4374</v>
      </c>
      <c r="D776" s="2554">
        <v>0</v>
      </c>
      <c r="E776" s="2554">
        <v>0</v>
      </c>
      <c r="F776" s="2555">
        <v>0</v>
      </c>
      <c r="G776" s="2556">
        <v>0</v>
      </c>
      <c r="H776" s="2554">
        <v>0</v>
      </c>
      <c r="I776" s="2554">
        <v>0</v>
      </c>
      <c r="J776" s="2557">
        <v>0</v>
      </c>
      <c r="K776" s="2557">
        <v>0</v>
      </c>
      <c r="L776" s="2554">
        <v>0</v>
      </c>
      <c r="N776" s="2384">
        <v>22190000</v>
      </c>
      <c r="O776" s="2402" t="s">
        <v>4374</v>
      </c>
      <c r="P776" s="2386">
        <v>0</v>
      </c>
      <c r="Q776" s="2386">
        <v>0</v>
      </c>
      <c r="R776" s="2387">
        <v>0</v>
      </c>
      <c r="S776" s="2388">
        <v>0</v>
      </c>
      <c r="T776" s="2386">
        <v>0</v>
      </c>
      <c r="U776" s="2386">
        <v>0</v>
      </c>
      <c r="V776" s="2389">
        <v>0</v>
      </c>
      <c r="W776" s="2389">
        <v>0</v>
      </c>
      <c r="X776" s="2386">
        <v>0</v>
      </c>
      <c r="Z776" s="2384">
        <v>22190000</v>
      </c>
      <c r="AA776" s="2402" t="s">
        <v>4374</v>
      </c>
      <c r="AB776" s="2386">
        <v>3284400</v>
      </c>
      <c r="AC776" s="2386">
        <v>0</v>
      </c>
      <c r="AD776" s="2387">
        <v>0</v>
      </c>
      <c r="AE776" s="2388">
        <v>0</v>
      </c>
      <c r="AF776" s="2386">
        <v>0</v>
      </c>
      <c r="AG776" s="2386">
        <v>3284400</v>
      </c>
      <c r="AH776" s="2389">
        <v>0</v>
      </c>
      <c r="AI776" s="2389">
        <v>0</v>
      </c>
      <c r="AJ776" s="2386">
        <v>3284400</v>
      </c>
      <c r="AZ776" s="2384">
        <v>22190000</v>
      </c>
      <c r="BA776" s="2402" t="s">
        <v>4374</v>
      </c>
      <c r="BB776" s="2386">
        <v>24233979</v>
      </c>
      <c r="BC776" s="2386">
        <v>0</v>
      </c>
      <c r="BD776" s="2387">
        <v>0</v>
      </c>
      <c r="BE776" s="2388">
        <v>0</v>
      </c>
      <c r="BF776" s="2386">
        <v>0</v>
      </c>
      <c r="BG776" s="2386">
        <v>24233979</v>
      </c>
      <c r="BH776" s="2389">
        <v>0</v>
      </c>
      <c r="BI776" s="2389">
        <v>0</v>
      </c>
      <c r="BJ776" s="2386">
        <v>24233979</v>
      </c>
      <c r="BN776" s="2396">
        <v>31111009</v>
      </c>
      <c r="BO776" s="2397" t="s">
        <v>4396</v>
      </c>
      <c r="BP776" s="2398">
        <v>0</v>
      </c>
      <c r="BQ776" s="2179">
        <v>0</v>
      </c>
      <c r="BR776" s="2399">
        <v>0</v>
      </c>
      <c r="BS776" s="2400">
        <v>0</v>
      </c>
      <c r="BT776" s="2398">
        <v>0</v>
      </c>
      <c r="BU776" s="2398">
        <v>0</v>
      </c>
      <c r="BV776" s="2401">
        <v>383597264</v>
      </c>
      <c r="BW776" s="2401">
        <v>-38029744</v>
      </c>
      <c r="BX776" s="2398">
        <v>-421627008</v>
      </c>
    </row>
    <row r="777" spans="2:76">
      <c r="B777" s="2558">
        <v>22191000</v>
      </c>
      <c r="C777" s="2571" t="s">
        <v>4375</v>
      </c>
      <c r="D777" s="2560">
        <v>0</v>
      </c>
      <c r="E777" s="2560">
        <v>0</v>
      </c>
      <c r="F777" s="2561">
        <v>0</v>
      </c>
      <c r="G777" s="2562">
        <v>0</v>
      </c>
      <c r="H777" s="2560">
        <v>0</v>
      </c>
      <c r="I777" s="2560">
        <v>0</v>
      </c>
      <c r="J777" s="2563">
        <v>0</v>
      </c>
      <c r="K777" s="2563">
        <v>0</v>
      </c>
      <c r="L777" s="2560">
        <v>0</v>
      </c>
      <c r="N777" s="2390">
        <v>22191000</v>
      </c>
      <c r="O777" s="2403" t="s">
        <v>4375</v>
      </c>
      <c r="P777" s="2392">
        <v>0</v>
      </c>
      <c r="Q777" s="2392">
        <v>0</v>
      </c>
      <c r="R777" s="2393">
        <v>0</v>
      </c>
      <c r="S777" s="2394">
        <v>0</v>
      </c>
      <c r="T777" s="2392">
        <v>0</v>
      </c>
      <c r="U777" s="2392">
        <v>0</v>
      </c>
      <c r="V777" s="2395">
        <v>0</v>
      </c>
      <c r="W777" s="2395">
        <v>0</v>
      </c>
      <c r="X777" s="2392">
        <v>0</v>
      </c>
      <c r="Z777" s="2390">
        <v>22191000</v>
      </c>
      <c r="AA777" s="2403" t="s">
        <v>4375</v>
      </c>
      <c r="AB777" s="2392">
        <v>0</v>
      </c>
      <c r="AC777" s="2392">
        <v>0</v>
      </c>
      <c r="AD777" s="2393">
        <v>0</v>
      </c>
      <c r="AE777" s="2394">
        <v>0</v>
      </c>
      <c r="AF777" s="2392">
        <v>0</v>
      </c>
      <c r="AG777" s="2392">
        <v>0</v>
      </c>
      <c r="AH777" s="2395">
        <v>0</v>
      </c>
      <c r="AI777" s="2395">
        <v>0</v>
      </c>
      <c r="AJ777" s="2392">
        <v>0</v>
      </c>
      <c r="AZ777" s="2390">
        <v>22191000</v>
      </c>
      <c r="BA777" s="2403" t="s">
        <v>4375</v>
      </c>
      <c r="BB777" s="2392">
        <v>0</v>
      </c>
      <c r="BC777" s="2392">
        <v>0</v>
      </c>
      <c r="BD777" s="2393">
        <v>0</v>
      </c>
      <c r="BE777" s="2394">
        <v>0</v>
      </c>
      <c r="BF777" s="2392">
        <v>0</v>
      </c>
      <c r="BG777" s="2392">
        <v>0</v>
      </c>
      <c r="BH777" s="2395">
        <v>0</v>
      </c>
      <c r="BI777" s="2395">
        <v>0</v>
      </c>
      <c r="BJ777" s="2392">
        <v>0</v>
      </c>
      <c r="BN777" s="2384">
        <v>31120000</v>
      </c>
      <c r="BO777" s="2402" t="s">
        <v>4397</v>
      </c>
      <c r="BP777" s="2386">
        <v>0</v>
      </c>
      <c r="BQ777" s="2386">
        <v>0</v>
      </c>
      <c r="BR777" s="2387">
        <v>0</v>
      </c>
      <c r="BS777" s="2388">
        <v>0</v>
      </c>
      <c r="BT777" s="2386">
        <v>0</v>
      </c>
      <c r="BU777" s="2386">
        <v>0</v>
      </c>
      <c r="BV777" s="2389">
        <v>0</v>
      </c>
      <c r="BW777" s="2389">
        <v>0</v>
      </c>
      <c r="BX777" s="2386">
        <v>0</v>
      </c>
    </row>
    <row r="778" spans="2:76">
      <c r="B778" s="2564">
        <v>22191001</v>
      </c>
      <c r="C778" s="2565" t="s">
        <v>4375</v>
      </c>
      <c r="D778" s="2566">
        <v>0</v>
      </c>
      <c r="E778" s="1080">
        <v>0</v>
      </c>
      <c r="F778" s="2567">
        <v>0</v>
      </c>
      <c r="G778" s="2568">
        <v>0</v>
      </c>
      <c r="H778" s="2566">
        <v>0</v>
      </c>
      <c r="I778" s="2566">
        <v>0</v>
      </c>
      <c r="J778" s="2569">
        <v>0</v>
      </c>
      <c r="K778" s="2569">
        <v>0</v>
      </c>
      <c r="L778" s="2566">
        <v>0</v>
      </c>
      <c r="N778" s="2396">
        <v>22191001</v>
      </c>
      <c r="O778" s="2397" t="s">
        <v>4375</v>
      </c>
      <c r="P778" s="2398">
        <v>0</v>
      </c>
      <c r="Q778" s="2179">
        <v>0</v>
      </c>
      <c r="R778" s="2399">
        <v>0</v>
      </c>
      <c r="S778" s="2400">
        <v>0</v>
      </c>
      <c r="T778" s="2398">
        <v>0</v>
      </c>
      <c r="U778" s="2398">
        <v>0</v>
      </c>
      <c r="V778" s="2401">
        <v>0</v>
      </c>
      <c r="W778" s="2401">
        <v>0</v>
      </c>
      <c r="X778" s="2398">
        <v>0</v>
      </c>
      <c r="Z778" s="2396">
        <v>22191001</v>
      </c>
      <c r="AA778" s="2397" t="s">
        <v>4375</v>
      </c>
      <c r="AB778" s="2398">
        <v>0</v>
      </c>
      <c r="AC778" s="2179">
        <v>0</v>
      </c>
      <c r="AD778" s="2399">
        <v>0</v>
      </c>
      <c r="AE778" s="2400">
        <v>0</v>
      </c>
      <c r="AF778" s="2398">
        <v>0</v>
      </c>
      <c r="AG778" s="2398">
        <v>0</v>
      </c>
      <c r="AH778" s="2401">
        <v>0</v>
      </c>
      <c r="AI778" s="2401">
        <v>0</v>
      </c>
      <c r="AJ778" s="2398">
        <v>0</v>
      </c>
      <c r="AZ778" s="2396">
        <v>22191001</v>
      </c>
      <c r="BA778" s="2397" t="s">
        <v>4375</v>
      </c>
      <c r="BB778" s="2398">
        <v>0</v>
      </c>
      <c r="BC778" s="2179">
        <v>0</v>
      </c>
      <c r="BD778" s="2399">
        <v>0</v>
      </c>
      <c r="BE778" s="2400">
        <v>0</v>
      </c>
      <c r="BF778" s="2398">
        <v>0</v>
      </c>
      <c r="BG778" s="2398">
        <v>0</v>
      </c>
      <c r="BH778" s="2401">
        <v>0</v>
      </c>
      <c r="BI778" s="2401">
        <v>0</v>
      </c>
      <c r="BJ778" s="2398">
        <v>0</v>
      </c>
      <c r="BN778" s="2390">
        <v>31121000</v>
      </c>
      <c r="BO778" s="2403" t="s">
        <v>4397</v>
      </c>
      <c r="BP778" s="2392">
        <v>0</v>
      </c>
      <c r="BQ778" s="2392">
        <v>0</v>
      </c>
      <c r="BR778" s="2393">
        <v>0</v>
      </c>
      <c r="BS778" s="2394">
        <v>0</v>
      </c>
      <c r="BT778" s="2392">
        <v>0</v>
      </c>
      <c r="BU778" s="2392">
        <v>0</v>
      </c>
      <c r="BV778" s="2395">
        <v>0</v>
      </c>
      <c r="BW778" s="2395">
        <v>0</v>
      </c>
      <c r="BX778" s="2392">
        <v>0</v>
      </c>
    </row>
    <row r="779" spans="2:76">
      <c r="B779" s="2558">
        <v>22191100</v>
      </c>
      <c r="C779" s="2571" t="s">
        <v>4376</v>
      </c>
      <c r="D779" s="2560">
        <v>0</v>
      </c>
      <c r="E779" s="2560">
        <v>0</v>
      </c>
      <c r="F779" s="2561">
        <v>0</v>
      </c>
      <c r="G779" s="2562">
        <v>0</v>
      </c>
      <c r="H779" s="2560">
        <v>0</v>
      </c>
      <c r="I779" s="2560">
        <v>0</v>
      </c>
      <c r="J779" s="2563">
        <v>0</v>
      </c>
      <c r="K779" s="2563">
        <v>0</v>
      </c>
      <c r="L779" s="2560">
        <v>0</v>
      </c>
      <c r="N779" s="2390">
        <v>22191100</v>
      </c>
      <c r="O779" s="2403" t="s">
        <v>4376</v>
      </c>
      <c r="P779" s="2392">
        <v>0</v>
      </c>
      <c r="Q779" s="2392">
        <v>0</v>
      </c>
      <c r="R779" s="2393">
        <v>0</v>
      </c>
      <c r="S779" s="2394">
        <v>0</v>
      </c>
      <c r="T779" s="2392">
        <v>0</v>
      </c>
      <c r="U779" s="2392">
        <v>0</v>
      </c>
      <c r="V779" s="2395">
        <v>0</v>
      </c>
      <c r="W779" s="2395">
        <v>0</v>
      </c>
      <c r="X779" s="2392">
        <v>0</v>
      </c>
      <c r="Z779" s="2390">
        <v>22191100</v>
      </c>
      <c r="AA779" s="2403" t="s">
        <v>4376</v>
      </c>
      <c r="AB779" s="2392">
        <v>0</v>
      </c>
      <c r="AC779" s="2392">
        <v>0</v>
      </c>
      <c r="AD779" s="2393">
        <v>0</v>
      </c>
      <c r="AE779" s="2394">
        <v>0</v>
      </c>
      <c r="AF779" s="2392">
        <v>0</v>
      </c>
      <c r="AG779" s="2392">
        <v>0</v>
      </c>
      <c r="AH779" s="2395">
        <v>0</v>
      </c>
      <c r="AI779" s="2395">
        <v>0</v>
      </c>
      <c r="AJ779" s="2392">
        <v>0</v>
      </c>
      <c r="AZ779" s="2390">
        <v>22191100</v>
      </c>
      <c r="BA779" s="2403" t="s">
        <v>4376</v>
      </c>
      <c r="BB779" s="2392">
        <v>24233979</v>
      </c>
      <c r="BC779" s="2392">
        <v>0</v>
      </c>
      <c r="BD779" s="2393">
        <v>0</v>
      </c>
      <c r="BE779" s="2394">
        <v>0</v>
      </c>
      <c r="BF779" s="2392">
        <v>0</v>
      </c>
      <c r="BG779" s="2392">
        <v>24233979</v>
      </c>
      <c r="BH779" s="2395">
        <v>0</v>
      </c>
      <c r="BI779" s="2395">
        <v>0</v>
      </c>
      <c r="BJ779" s="2392">
        <v>24233979</v>
      </c>
      <c r="BN779" s="2396">
        <v>31121001</v>
      </c>
      <c r="BO779" s="2397" t="s">
        <v>4398</v>
      </c>
      <c r="BP779" s="2398">
        <v>0</v>
      </c>
      <c r="BQ779" s="2179">
        <v>0</v>
      </c>
      <c r="BR779" s="2399">
        <v>0</v>
      </c>
      <c r="BS779" s="2400">
        <v>0</v>
      </c>
      <c r="BT779" s="2398">
        <v>0</v>
      </c>
      <c r="BU779" s="2398">
        <v>0</v>
      </c>
      <c r="BV779" s="2401">
        <v>0</v>
      </c>
      <c r="BW779" s="2401">
        <v>0</v>
      </c>
      <c r="BX779" s="2398">
        <v>0</v>
      </c>
    </row>
    <row r="780" spans="2:76">
      <c r="B780" s="2564">
        <v>22191101</v>
      </c>
      <c r="C780" s="2565" t="s">
        <v>4376</v>
      </c>
      <c r="D780" s="2566">
        <v>0</v>
      </c>
      <c r="E780" s="1080">
        <v>0</v>
      </c>
      <c r="F780" s="2567">
        <v>0</v>
      </c>
      <c r="G780" s="2568">
        <v>0</v>
      </c>
      <c r="H780" s="2566">
        <v>0</v>
      </c>
      <c r="I780" s="2566">
        <v>0</v>
      </c>
      <c r="J780" s="2569">
        <v>0</v>
      </c>
      <c r="K780" s="2569">
        <v>0</v>
      </c>
      <c r="L780" s="2566">
        <v>0</v>
      </c>
      <c r="N780" s="2396">
        <v>22191101</v>
      </c>
      <c r="O780" s="2397" t="s">
        <v>4376</v>
      </c>
      <c r="P780" s="2398">
        <v>0</v>
      </c>
      <c r="Q780" s="2179">
        <v>0</v>
      </c>
      <c r="R780" s="2399">
        <v>0</v>
      </c>
      <c r="S780" s="2400">
        <v>0</v>
      </c>
      <c r="T780" s="2398">
        <v>0</v>
      </c>
      <c r="U780" s="2398">
        <v>0</v>
      </c>
      <c r="V780" s="2401">
        <v>0</v>
      </c>
      <c r="W780" s="2401">
        <v>0</v>
      </c>
      <c r="X780" s="2398">
        <v>0</v>
      </c>
      <c r="Z780" s="2396">
        <v>22191101</v>
      </c>
      <c r="AA780" s="2397" t="s">
        <v>4376</v>
      </c>
      <c r="AB780" s="2398">
        <v>0</v>
      </c>
      <c r="AC780" s="2179">
        <v>0</v>
      </c>
      <c r="AD780" s="2399">
        <v>0</v>
      </c>
      <c r="AE780" s="2400">
        <v>0</v>
      </c>
      <c r="AF780" s="2398">
        <v>0</v>
      </c>
      <c r="AG780" s="2398">
        <v>0</v>
      </c>
      <c r="AH780" s="2401">
        <v>0</v>
      </c>
      <c r="AI780" s="2401">
        <v>0</v>
      </c>
      <c r="AJ780" s="2398">
        <v>0</v>
      </c>
      <c r="AZ780" s="2396">
        <v>22191101</v>
      </c>
      <c r="BA780" s="2397" t="s">
        <v>4376</v>
      </c>
      <c r="BB780" s="2398">
        <v>24233979</v>
      </c>
      <c r="BC780" s="2179">
        <v>0</v>
      </c>
      <c r="BD780" s="2399">
        <v>0</v>
      </c>
      <c r="BE780" s="2400">
        <v>0</v>
      </c>
      <c r="BF780" s="2398">
        <v>0</v>
      </c>
      <c r="BG780" s="2398">
        <v>24233979</v>
      </c>
      <c r="BH780" s="2401">
        <v>0</v>
      </c>
      <c r="BI780" s="2401">
        <v>0</v>
      </c>
      <c r="BJ780" s="2398">
        <v>24233979</v>
      </c>
      <c r="BN780" s="2396">
        <v>31121002</v>
      </c>
      <c r="BO780" s="2397" t="s">
        <v>4399</v>
      </c>
      <c r="BP780" s="2398">
        <v>0</v>
      </c>
      <c r="BQ780" s="2179">
        <v>0</v>
      </c>
      <c r="BR780" s="2399">
        <v>0</v>
      </c>
      <c r="BS780" s="2400">
        <v>0</v>
      </c>
      <c r="BT780" s="2398">
        <v>0</v>
      </c>
      <c r="BU780" s="2398">
        <v>0</v>
      </c>
      <c r="BV780" s="2401">
        <v>0</v>
      </c>
      <c r="BW780" s="2401">
        <v>0</v>
      </c>
      <c r="BX780" s="2398">
        <v>0</v>
      </c>
    </row>
    <row r="781" spans="2:76">
      <c r="B781" s="2558">
        <v>22191200</v>
      </c>
      <c r="C781" s="2571" t="s">
        <v>4377</v>
      </c>
      <c r="D781" s="2560">
        <v>0</v>
      </c>
      <c r="E781" s="2560">
        <v>0</v>
      </c>
      <c r="F781" s="2561">
        <v>0</v>
      </c>
      <c r="G781" s="2562">
        <v>0</v>
      </c>
      <c r="H781" s="2560">
        <v>0</v>
      </c>
      <c r="I781" s="2560">
        <v>0</v>
      </c>
      <c r="J781" s="2563">
        <v>0</v>
      </c>
      <c r="K781" s="2563">
        <v>0</v>
      </c>
      <c r="L781" s="2560">
        <v>0</v>
      </c>
      <c r="N781" s="2390">
        <v>22191200</v>
      </c>
      <c r="O781" s="2403" t="s">
        <v>4377</v>
      </c>
      <c r="P781" s="2392">
        <v>0</v>
      </c>
      <c r="Q781" s="2392">
        <v>0</v>
      </c>
      <c r="R781" s="2393">
        <v>0</v>
      </c>
      <c r="S781" s="2394">
        <v>0</v>
      </c>
      <c r="T781" s="2392">
        <v>0</v>
      </c>
      <c r="U781" s="2392">
        <v>0</v>
      </c>
      <c r="V781" s="2395">
        <v>0</v>
      </c>
      <c r="W781" s="2395">
        <v>0</v>
      </c>
      <c r="X781" s="2392">
        <v>0</v>
      </c>
      <c r="Z781" s="2390">
        <v>22191200</v>
      </c>
      <c r="AA781" s="2403" t="s">
        <v>4377</v>
      </c>
      <c r="AB781" s="2392">
        <v>0</v>
      </c>
      <c r="AC781" s="2392">
        <v>0</v>
      </c>
      <c r="AD781" s="2393">
        <v>0</v>
      </c>
      <c r="AE781" s="2394">
        <v>0</v>
      </c>
      <c r="AF781" s="2392">
        <v>0</v>
      </c>
      <c r="AG781" s="2392">
        <v>0</v>
      </c>
      <c r="AH781" s="2395">
        <v>0</v>
      </c>
      <c r="AI781" s="2395">
        <v>0</v>
      </c>
      <c r="AJ781" s="2392">
        <v>0</v>
      </c>
      <c r="AZ781" s="2390">
        <v>22191200</v>
      </c>
      <c r="BA781" s="2403" t="s">
        <v>4377</v>
      </c>
      <c r="BB781" s="2392">
        <v>0</v>
      </c>
      <c r="BC781" s="2392">
        <v>0</v>
      </c>
      <c r="BD781" s="2393">
        <v>0</v>
      </c>
      <c r="BE781" s="2394">
        <v>0</v>
      </c>
      <c r="BF781" s="2392">
        <v>0</v>
      </c>
      <c r="BG781" s="2392">
        <v>0</v>
      </c>
      <c r="BH781" s="2395">
        <v>0</v>
      </c>
      <c r="BI781" s="2395">
        <v>0</v>
      </c>
      <c r="BJ781" s="2392">
        <v>0</v>
      </c>
      <c r="BN781" s="2396">
        <v>31121003</v>
      </c>
      <c r="BO781" s="2397" t="s">
        <v>4400</v>
      </c>
      <c r="BP781" s="2398">
        <v>0</v>
      </c>
      <c r="BQ781" s="2179">
        <v>0</v>
      </c>
      <c r="BR781" s="2399">
        <v>0</v>
      </c>
      <c r="BS781" s="2400">
        <v>0</v>
      </c>
      <c r="BT781" s="2398">
        <v>0</v>
      </c>
      <c r="BU781" s="2398">
        <v>0</v>
      </c>
      <c r="BV781" s="2401">
        <v>0</v>
      </c>
      <c r="BW781" s="2401">
        <v>0</v>
      </c>
      <c r="BX781" s="2398">
        <v>0</v>
      </c>
    </row>
    <row r="782" spans="2:76">
      <c r="B782" s="2564">
        <v>22191201</v>
      </c>
      <c r="C782" s="2565" t="s">
        <v>5080</v>
      </c>
      <c r="D782" s="2566">
        <v>0</v>
      </c>
      <c r="E782" s="1080">
        <v>0</v>
      </c>
      <c r="F782" s="2567">
        <v>0</v>
      </c>
      <c r="G782" s="2568">
        <v>0</v>
      </c>
      <c r="H782" s="2566">
        <v>0</v>
      </c>
      <c r="I782" s="2566">
        <v>0</v>
      </c>
      <c r="J782" s="2569">
        <v>0</v>
      </c>
      <c r="K782" s="2569">
        <v>0</v>
      </c>
      <c r="L782" s="2566">
        <v>0</v>
      </c>
      <c r="N782" s="2396">
        <v>22191201</v>
      </c>
      <c r="O782" s="2397" t="s">
        <v>4378</v>
      </c>
      <c r="P782" s="2398">
        <v>0</v>
      </c>
      <c r="Q782" s="2179">
        <v>0</v>
      </c>
      <c r="R782" s="2399">
        <v>0</v>
      </c>
      <c r="S782" s="2400">
        <v>0</v>
      </c>
      <c r="T782" s="2398">
        <v>0</v>
      </c>
      <c r="U782" s="2398">
        <v>0</v>
      </c>
      <c r="V782" s="2401">
        <v>0</v>
      </c>
      <c r="W782" s="2401">
        <v>0</v>
      </c>
      <c r="X782" s="2398">
        <v>0</v>
      </c>
      <c r="Z782" s="2396">
        <v>22191201</v>
      </c>
      <c r="AA782" s="2397" t="s">
        <v>4378</v>
      </c>
      <c r="AB782" s="2398">
        <v>0</v>
      </c>
      <c r="AC782" s="2179">
        <v>0</v>
      </c>
      <c r="AD782" s="2399">
        <v>0</v>
      </c>
      <c r="AE782" s="2400">
        <v>0</v>
      </c>
      <c r="AF782" s="2398">
        <v>0</v>
      </c>
      <c r="AG782" s="2398">
        <v>0</v>
      </c>
      <c r="AH782" s="2401">
        <v>0</v>
      </c>
      <c r="AI782" s="2401">
        <v>0</v>
      </c>
      <c r="AJ782" s="2398">
        <v>0</v>
      </c>
      <c r="AZ782" s="2396">
        <v>22191201</v>
      </c>
      <c r="BA782" s="2397" t="s">
        <v>4378</v>
      </c>
      <c r="BB782" s="2398">
        <v>0</v>
      </c>
      <c r="BC782" s="2179">
        <v>0</v>
      </c>
      <c r="BD782" s="2399">
        <v>0</v>
      </c>
      <c r="BE782" s="2400">
        <v>0</v>
      </c>
      <c r="BF782" s="2398">
        <v>0</v>
      </c>
      <c r="BG782" s="2398">
        <v>0</v>
      </c>
      <c r="BH782" s="2401">
        <v>0</v>
      </c>
      <c r="BI782" s="2401">
        <v>0</v>
      </c>
      <c r="BJ782" s="2398">
        <v>0</v>
      </c>
      <c r="BN782" s="2396">
        <v>31121004</v>
      </c>
      <c r="BO782" s="2397" t="s">
        <v>4401</v>
      </c>
      <c r="BP782" s="2398">
        <v>0</v>
      </c>
      <c r="BQ782" s="2179">
        <v>0</v>
      </c>
      <c r="BR782" s="2399">
        <v>0</v>
      </c>
      <c r="BS782" s="2400">
        <v>0</v>
      </c>
      <c r="BT782" s="2398">
        <v>0</v>
      </c>
      <c r="BU782" s="2398">
        <v>0</v>
      </c>
      <c r="BV782" s="2401">
        <v>0</v>
      </c>
      <c r="BW782" s="2401">
        <v>0</v>
      </c>
      <c r="BX782" s="2398">
        <v>0</v>
      </c>
    </row>
    <row r="783" spans="2:76">
      <c r="B783" s="2558">
        <v>22191300</v>
      </c>
      <c r="C783" s="2571" t="s">
        <v>4374</v>
      </c>
      <c r="D783" s="2560">
        <v>0</v>
      </c>
      <c r="E783" s="2560">
        <v>0</v>
      </c>
      <c r="F783" s="2561">
        <v>0</v>
      </c>
      <c r="G783" s="2562">
        <v>0</v>
      </c>
      <c r="H783" s="2560">
        <v>0</v>
      </c>
      <c r="I783" s="2560">
        <v>0</v>
      </c>
      <c r="J783" s="2563">
        <v>0</v>
      </c>
      <c r="K783" s="2563">
        <v>0</v>
      </c>
      <c r="L783" s="2560">
        <v>0</v>
      </c>
      <c r="N783" s="2390">
        <v>22191300</v>
      </c>
      <c r="O783" s="2403" t="s">
        <v>4374</v>
      </c>
      <c r="P783" s="2392">
        <v>0</v>
      </c>
      <c r="Q783" s="2392">
        <v>0</v>
      </c>
      <c r="R783" s="2393">
        <v>0</v>
      </c>
      <c r="S783" s="2394">
        <v>0</v>
      </c>
      <c r="T783" s="2392">
        <v>0</v>
      </c>
      <c r="U783" s="2392">
        <v>0</v>
      </c>
      <c r="V783" s="2395">
        <v>0</v>
      </c>
      <c r="W783" s="2395">
        <v>0</v>
      </c>
      <c r="X783" s="2392">
        <v>0</v>
      </c>
      <c r="Z783" s="2390">
        <v>22191300</v>
      </c>
      <c r="AA783" s="2403" t="s">
        <v>4374</v>
      </c>
      <c r="AB783" s="2392">
        <v>3284400</v>
      </c>
      <c r="AC783" s="2392">
        <v>0</v>
      </c>
      <c r="AD783" s="2393">
        <v>0</v>
      </c>
      <c r="AE783" s="2394">
        <v>0</v>
      </c>
      <c r="AF783" s="2392">
        <v>0</v>
      </c>
      <c r="AG783" s="2392">
        <v>3284400</v>
      </c>
      <c r="AH783" s="2395">
        <v>0</v>
      </c>
      <c r="AI783" s="2395">
        <v>0</v>
      </c>
      <c r="AJ783" s="2392">
        <v>3284400</v>
      </c>
      <c r="AZ783" s="2390">
        <v>22191300</v>
      </c>
      <c r="BA783" s="2403" t="s">
        <v>4374</v>
      </c>
      <c r="BB783" s="2392">
        <v>0</v>
      </c>
      <c r="BC783" s="2392">
        <v>0</v>
      </c>
      <c r="BD783" s="2393">
        <v>0</v>
      </c>
      <c r="BE783" s="2394">
        <v>0</v>
      </c>
      <c r="BF783" s="2392">
        <v>0</v>
      </c>
      <c r="BG783" s="2392">
        <v>0</v>
      </c>
      <c r="BH783" s="2395">
        <v>0</v>
      </c>
      <c r="BI783" s="2395">
        <v>0</v>
      </c>
      <c r="BJ783" s="2392">
        <v>0</v>
      </c>
      <c r="BN783" s="2396">
        <v>31121005</v>
      </c>
      <c r="BO783" s="2397" t="s">
        <v>4402</v>
      </c>
      <c r="BP783" s="2398">
        <v>0</v>
      </c>
      <c r="BQ783" s="2179">
        <v>0</v>
      </c>
      <c r="BR783" s="2399">
        <v>0</v>
      </c>
      <c r="BS783" s="2400">
        <v>0</v>
      </c>
      <c r="BT783" s="2398">
        <v>0</v>
      </c>
      <c r="BU783" s="2398">
        <v>0</v>
      </c>
      <c r="BV783" s="2401">
        <v>0</v>
      </c>
      <c r="BW783" s="2401">
        <v>0</v>
      </c>
      <c r="BX783" s="2398">
        <v>0</v>
      </c>
    </row>
    <row r="784" spans="2:76">
      <c r="B784" s="2564">
        <v>22191301</v>
      </c>
      <c r="C784" s="2565" t="s">
        <v>4374</v>
      </c>
      <c r="D784" s="2566">
        <v>0</v>
      </c>
      <c r="E784" s="1080">
        <v>0</v>
      </c>
      <c r="F784" s="2567">
        <v>0</v>
      </c>
      <c r="G784" s="2568">
        <v>0</v>
      </c>
      <c r="H784" s="2566">
        <v>0</v>
      </c>
      <c r="I784" s="2566">
        <v>0</v>
      </c>
      <c r="J784" s="2569">
        <v>0</v>
      </c>
      <c r="K784" s="2569">
        <v>0</v>
      </c>
      <c r="L784" s="2566">
        <v>0</v>
      </c>
      <c r="N784" s="2396">
        <v>22191301</v>
      </c>
      <c r="O784" s="2397" t="s">
        <v>4374</v>
      </c>
      <c r="P784" s="2398">
        <v>0</v>
      </c>
      <c r="Q784" s="2179">
        <v>0</v>
      </c>
      <c r="R784" s="2399">
        <v>0</v>
      </c>
      <c r="S784" s="2400">
        <v>0</v>
      </c>
      <c r="T784" s="2398">
        <v>0</v>
      </c>
      <c r="U784" s="2398">
        <v>0</v>
      </c>
      <c r="V784" s="2401">
        <v>0</v>
      </c>
      <c r="W784" s="2401">
        <v>0</v>
      </c>
      <c r="X784" s="2398">
        <v>0</v>
      </c>
      <c r="Z784" s="2396">
        <v>22191301</v>
      </c>
      <c r="AA784" s="2397" t="s">
        <v>4374</v>
      </c>
      <c r="AB784" s="2398">
        <v>3284400</v>
      </c>
      <c r="AC784" s="2179">
        <v>0</v>
      </c>
      <c r="AD784" s="2399">
        <v>0</v>
      </c>
      <c r="AE784" s="2400">
        <v>0</v>
      </c>
      <c r="AF784" s="2398">
        <v>0</v>
      </c>
      <c r="AG784" s="2398">
        <v>3284400</v>
      </c>
      <c r="AH784" s="2401">
        <v>0</v>
      </c>
      <c r="AI784" s="2401">
        <v>0</v>
      </c>
      <c r="AJ784" s="2398">
        <v>3284400</v>
      </c>
      <c r="AZ784" s="2396">
        <v>22191301</v>
      </c>
      <c r="BA784" s="2397" t="s">
        <v>4374</v>
      </c>
      <c r="BB784" s="2398">
        <v>0</v>
      </c>
      <c r="BC784" s="2179">
        <v>0</v>
      </c>
      <c r="BD784" s="2399">
        <v>0</v>
      </c>
      <c r="BE784" s="2400">
        <v>0</v>
      </c>
      <c r="BF784" s="2398">
        <v>0</v>
      </c>
      <c r="BG784" s="2398">
        <v>0</v>
      </c>
      <c r="BH784" s="2401">
        <v>0</v>
      </c>
      <c r="BI784" s="2401">
        <v>0</v>
      </c>
      <c r="BJ784" s="2398">
        <v>0</v>
      </c>
      <c r="BN784" s="2396">
        <v>31121006</v>
      </c>
      <c r="BO784" s="2397" t="s">
        <v>4403</v>
      </c>
      <c r="BP784" s="2398">
        <v>0</v>
      </c>
      <c r="BQ784" s="2179">
        <v>0</v>
      </c>
      <c r="BR784" s="2399">
        <v>0</v>
      </c>
      <c r="BS784" s="2400">
        <v>0</v>
      </c>
      <c r="BT784" s="2398">
        <v>0</v>
      </c>
      <c r="BU784" s="2398">
        <v>0</v>
      </c>
      <c r="BV784" s="2401">
        <v>0</v>
      </c>
      <c r="BW784" s="2401">
        <v>0</v>
      </c>
      <c r="BX784" s="2398">
        <v>0</v>
      </c>
    </row>
    <row r="785" spans="2:76">
      <c r="B785" s="2552">
        <v>22200000</v>
      </c>
      <c r="C785" s="2570" t="s">
        <v>4379</v>
      </c>
      <c r="D785" s="2554">
        <v>0</v>
      </c>
      <c r="E785" s="2554">
        <v>0</v>
      </c>
      <c r="F785" s="2555">
        <v>0</v>
      </c>
      <c r="G785" s="2556">
        <v>0</v>
      </c>
      <c r="H785" s="2554">
        <v>0</v>
      </c>
      <c r="I785" s="2554">
        <v>0</v>
      </c>
      <c r="J785" s="2557">
        <v>0</v>
      </c>
      <c r="K785" s="2557">
        <v>0</v>
      </c>
      <c r="L785" s="2554">
        <v>0</v>
      </c>
      <c r="N785" s="2384">
        <v>22200000</v>
      </c>
      <c r="O785" s="2402" t="s">
        <v>4379</v>
      </c>
      <c r="P785" s="2386">
        <v>0</v>
      </c>
      <c r="Q785" s="2386">
        <v>0</v>
      </c>
      <c r="R785" s="2387">
        <v>0</v>
      </c>
      <c r="S785" s="2388">
        <v>0</v>
      </c>
      <c r="T785" s="2386">
        <v>0</v>
      </c>
      <c r="U785" s="2386">
        <v>0</v>
      </c>
      <c r="V785" s="2389">
        <v>0</v>
      </c>
      <c r="W785" s="2389">
        <v>0</v>
      </c>
      <c r="X785" s="2386">
        <v>0</v>
      </c>
      <c r="Z785" s="2384">
        <v>22200000</v>
      </c>
      <c r="AA785" s="2402" t="s">
        <v>4379</v>
      </c>
      <c r="AB785" s="2386">
        <v>0</v>
      </c>
      <c r="AC785" s="2386">
        <v>0</v>
      </c>
      <c r="AD785" s="2387">
        <v>0</v>
      </c>
      <c r="AE785" s="2388">
        <v>0</v>
      </c>
      <c r="AF785" s="2386">
        <v>0</v>
      </c>
      <c r="AG785" s="2386">
        <v>0</v>
      </c>
      <c r="AH785" s="2389">
        <v>0</v>
      </c>
      <c r="AI785" s="2389">
        <v>0</v>
      </c>
      <c r="AJ785" s="2386">
        <v>0</v>
      </c>
      <c r="AZ785" s="2384">
        <v>22200000</v>
      </c>
      <c r="BA785" s="2402" t="s">
        <v>4379</v>
      </c>
      <c r="BB785" s="2386">
        <v>0</v>
      </c>
      <c r="BC785" s="2386">
        <v>0</v>
      </c>
      <c r="BD785" s="2387">
        <v>0</v>
      </c>
      <c r="BE785" s="2388">
        <v>0</v>
      </c>
      <c r="BF785" s="2386">
        <v>0</v>
      </c>
      <c r="BG785" s="2386">
        <v>0</v>
      </c>
      <c r="BH785" s="2389">
        <v>0</v>
      </c>
      <c r="BI785" s="2389">
        <v>0</v>
      </c>
      <c r="BJ785" s="2386">
        <v>0</v>
      </c>
      <c r="BN785" s="2384">
        <v>31130000</v>
      </c>
      <c r="BO785" s="2402" t="s">
        <v>4404</v>
      </c>
      <c r="BP785" s="2386">
        <v>1849971717</v>
      </c>
      <c r="BQ785" s="2386">
        <v>0</v>
      </c>
      <c r="BR785" s="2387">
        <v>0</v>
      </c>
      <c r="BS785" s="2388">
        <v>0</v>
      </c>
      <c r="BT785" s="2386">
        <v>1036794421</v>
      </c>
      <c r="BU785" s="2386">
        <v>2886766138</v>
      </c>
      <c r="BV785" s="2389">
        <v>0</v>
      </c>
      <c r="BW785" s="2389">
        <v>0</v>
      </c>
      <c r="BX785" s="2386">
        <v>-667944028</v>
      </c>
    </row>
    <row r="786" spans="2:76">
      <c r="B786" s="2558">
        <v>22201000</v>
      </c>
      <c r="C786" s="2571" t="s">
        <v>4379</v>
      </c>
      <c r="D786" s="2560">
        <v>0</v>
      </c>
      <c r="E786" s="2560">
        <v>0</v>
      </c>
      <c r="F786" s="2561">
        <v>0</v>
      </c>
      <c r="G786" s="2562">
        <v>0</v>
      </c>
      <c r="H786" s="2560">
        <v>0</v>
      </c>
      <c r="I786" s="2560">
        <v>0</v>
      </c>
      <c r="J786" s="2563">
        <v>0</v>
      </c>
      <c r="K786" s="2563">
        <v>0</v>
      </c>
      <c r="L786" s="2560">
        <v>0</v>
      </c>
      <c r="N786" s="2390">
        <v>22201000</v>
      </c>
      <c r="O786" s="2403" t="s">
        <v>4379</v>
      </c>
      <c r="P786" s="2392">
        <v>0</v>
      </c>
      <c r="Q786" s="2392">
        <v>0</v>
      </c>
      <c r="R786" s="2393">
        <v>0</v>
      </c>
      <c r="S786" s="2394">
        <v>0</v>
      </c>
      <c r="T786" s="2392">
        <v>0</v>
      </c>
      <c r="U786" s="2392">
        <v>0</v>
      </c>
      <c r="V786" s="2395">
        <v>0</v>
      </c>
      <c r="W786" s="2395">
        <v>0</v>
      </c>
      <c r="X786" s="2392">
        <v>0</v>
      </c>
      <c r="Z786" s="2390">
        <v>22201000</v>
      </c>
      <c r="AA786" s="2403" t="s">
        <v>4379</v>
      </c>
      <c r="AB786" s="2392">
        <v>0</v>
      </c>
      <c r="AC786" s="2392">
        <v>0</v>
      </c>
      <c r="AD786" s="2393">
        <v>0</v>
      </c>
      <c r="AE786" s="2394">
        <v>0</v>
      </c>
      <c r="AF786" s="2392">
        <v>0</v>
      </c>
      <c r="AG786" s="2392">
        <v>0</v>
      </c>
      <c r="AH786" s="2395">
        <v>0</v>
      </c>
      <c r="AI786" s="2395">
        <v>0</v>
      </c>
      <c r="AJ786" s="2392">
        <v>0</v>
      </c>
      <c r="AZ786" s="2390">
        <v>22201000</v>
      </c>
      <c r="BA786" s="2403" t="s">
        <v>4379</v>
      </c>
      <c r="BB786" s="2392">
        <v>0</v>
      </c>
      <c r="BC786" s="2392">
        <v>0</v>
      </c>
      <c r="BD786" s="2393">
        <v>0</v>
      </c>
      <c r="BE786" s="2394">
        <v>0</v>
      </c>
      <c r="BF786" s="2392">
        <v>0</v>
      </c>
      <c r="BG786" s="2392">
        <v>0</v>
      </c>
      <c r="BH786" s="2395">
        <v>0</v>
      </c>
      <c r="BI786" s="2395">
        <v>0</v>
      </c>
      <c r="BJ786" s="2392">
        <v>0</v>
      </c>
      <c r="BN786" s="2390">
        <v>31131000</v>
      </c>
      <c r="BO786" s="2403" t="s">
        <v>4404</v>
      </c>
      <c r="BP786" s="2392">
        <v>1849971717</v>
      </c>
      <c r="BQ786" s="2392">
        <v>0</v>
      </c>
      <c r="BR786" s="2393">
        <v>0</v>
      </c>
      <c r="BS786" s="2394">
        <v>0</v>
      </c>
      <c r="BT786" s="2392">
        <v>1036794421</v>
      </c>
      <c r="BU786" s="2392">
        <v>2886766138</v>
      </c>
      <c r="BV786" s="2395">
        <v>0</v>
      </c>
      <c r="BW786" s="2395">
        <v>0</v>
      </c>
      <c r="BX786" s="2392">
        <v>-667944028</v>
      </c>
    </row>
    <row r="787" spans="2:76">
      <c r="B787" s="2564">
        <v>22201001</v>
      </c>
      <c r="C787" s="2565" t="s">
        <v>5081</v>
      </c>
      <c r="D787" s="2566">
        <v>0</v>
      </c>
      <c r="E787" s="1080">
        <v>0</v>
      </c>
      <c r="F787" s="2567">
        <v>0</v>
      </c>
      <c r="G787" s="2568">
        <v>0</v>
      </c>
      <c r="H787" s="2566">
        <v>0</v>
      </c>
      <c r="I787" s="2566">
        <v>0</v>
      </c>
      <c r="J787" s="2569">
        <v>0</v>
      </c>
      <c r="K787" s="2569">
        <v>0</v>
      </c>
      <c r="L787" s="2566">
        <v>0</v>
      </c>
      <c r="N787" s="2396">
        <v>22201001</v>
      </c>
      <c r="O787" s="2397" t="s">
        <v>4380</v>
      </c>
      <c r="P787" s="2398">
        <v>0</v>
      </c>
      <c r="Q787" s="2179">
        <v>0</v>
      </c>
      <c r="R787" s="2399">
        <v>0</v>
      </c>
      <c r="S787" s="2400">
        <v>0</v>
      </c>
      <c r="T787" s="2398">
        <v>0</v>
      </c>
      <c r="U787" s="2398">
        <v>0</v>
      </c>
      <c r="V787" s="2401">
        <v>0</v>
      </c>
      <c r="W787" s="2401">
        <v>0</v>
      </c>
      <c r="X787" s="2398">
        <v>0</v>
      </c>
      <c r="Z787" s="2396">
        <v>22201001</v>
      </c>
      <c r="AA787" s="2397" t="s">
        <v>4380</v>
      </c>
      <c r="AB787" s="2398">
        <v>0</v>
      </c>
      <c r="AC787" s="2179">
        <v>0</v>
      </c>
      <c r="AD787" s="2399">
        <v>0</v>
      </c>
      <c r="AE787" s="2400">
        <v>0</v>
      </c>
      <c r="AF787" s="2398">
        <v>0</v>
      </c>
      <c r="AG787" s="2398">
        <v>0</v>
      </c>
      <c r="AH787" s="2401">
        <v>0</v>
      </c>
      <c r="AI787" s="2401">
        <v>0</v>
      </c>
      <c r="AJ787" s="2398">
        <v>0</v>
      </c>
      <c r="AZ787" s="2396">
        <v>22201001</v>
      </c>
      <c r="BA787" s="2397" t="s">
        <v>4380</v>
      </c>
      <c r="BB787" s="2398">
        <v>0</v>
      </c>
      <c r="BC787" s="2179">
        <v>0</v>
      </c>
      <c r="BD787" s="2399">
        <v>0</v>
      </c>
      <c r="BE787" s="2400">
        <v>0</v>
      </c>
      <c r="BF787" s="2398">
        <v>0</v>
      </c>
      <c r="BG787" s="2398">
        <v>0</v>
      </c>
      <c r="BH787" s="2401">
        <v>0</v>
      </c>
      <c r="BI787" s="2401">
        <v>0</v>
      </c>
      <c r="BJ787" s="2398">
        <v>0</v>
      </c>
      <c r="BN787" s="2396">
        <v>31131001</v>
      </c>
      <c r="BO787" s="2397" t="s">
        <v>4405</v>
      </c>
      <c r="BP787" s="2398">
        <v>-4926186292</v>
      </c>
      <c r="BQ787" s="2179">
        <v>0</v>
      </c>
      <c r="BR787" s="2399">
        <v>0</v>
      </c>
      <c r="BS787" s="2400">
        <v>0</v>
      </c>
      <c r="BT787" s="2398">
        <v>0</v>
      </c>
      <c r="BU787" s="2398">
        <v>-4926186292</v>
      </c>
      <c r="BV787" s="2401">
        <v>0</v>
      </c>
      <c r="BW787" s="2401">
        <v>0</v>
      </c>
      <c r="BX787" s="2398">
        <v>-4926186292</v>
      </c>
    </row>
    <row r="788" spans="2:76">
      <c r="B788" s="2552">
        <v>22990000</v>
      </c>
      <c r="C788" s="2570" t="s">
        <v>4381</v>
      </c>
      <c r="D788" s="2554">
        <v>0</v>
      </c>
      <c r="E788" s="2554">
        <v>0</v>
      </c>
      <c r="F788" s="2555">
        <v>0</v>
      </c>
      <c r="G788" s="2556">
        <v>0</v>
      </c>
      <c r="H788" s="2554">
        <v>0</v>
      </c>
      <c r="I788" s="2554">
        <v>0</v>
      </c>
      <c r="J788" s="2557">
        <v>0</v>
      </c>
      <c r="K788" s="2557">
        <v>0</v>
      </c>
      <c r="L788" s="2554">
        <v>0</v>
      </c>
      <c r="N788" s="2384">
        <v>22990000</v>
      </c>
      <c r="O788" s="2402" t="s">
        <v>4381</v>
      </c>
      <c r="P788" s="2386">
        <v>0</v>
      </c>
      <c r="Q788" s="2386">
        <v>0</v>
      </c>
      <c r="R788" s="2387">
        <v>0</v>
      </c>
      <c r="S788" s="2388">
        <v>0</v>
      </c>
      <c r="T788" s="2386">
        <v>0</v>
      </c>
      <c r="U788" s="2386">
        <v>0</v>
      </c>
      <c r="V788" s="2389">
        <v>0</v>
      </c>
      <c r="W788" s="2389">
        <v>0</v>
      </c>
      <c r="X788" s="2386">
        <v>0</v>
      </c>
      <c r="Z788" s="2384">
        <v>22990000</v>
      </c>
      <c r="AA788" s="2402" t="s">
        <v>4381</v>
      </c>
      <c r="AB788" s="2386">
        <v>0</v>
      </c>
      <c r="AC788" s="2386">
        <v>0</v>
      </c>
      <c r="AD788" s="2387">
        <v>0</v>
      </c>
      <c r="AE788" s="2388">
        <v>0</v>
      </c>
      <c r="AF788" s="2386">
        <v>0</v>
      </c>
      <c r="AG788" s="2386">
        <v>0</v>
      </c>
      <c r="AH788" s="2389">
        <v>0</v>
      </c>
      <c r="AI788" s="2389">
        <v>0</v>
      </c>
      <c r="AJ788" s="2386">
        <v>0</v>
      </c>
      <c r="AZ788" s="2384">
        <v>22990000</v>
      </c>
      <c r="BA788" s="2402" t="s">
        <v>4381</v>
      </c>
      <c r="BB788" s="2386">
        <v>0</v>
      </c>
      <c r="BC788" s="2386">
        <v>0</v>
      </c>
      <c r="BD788" s="2387">
        <v>0</v>
      </c>
      <c r="BE788" s="2388">
        <v>0</v>
      </c>
      <c r="BF788" s="2386">
        <v>0</v>
      </c>
      <c r="BG788" s="2386">
        <v>0</v>
      </c>
      <c r="BH788" s="2389">
        <v>0</v>
      </c>
      <c r="BI788" s="2389">
        <v>0</v>
      </c>
      <c r="BJ788" s="2386">
        <v>0</v>
      </c>
      <c r="BN788" s="2396">
        <v>31131002</v>
      </c>
      <c r="BO788" s="2397" t="s">
        <v>4406</v>
      </c>
      <c r="BP788" s="2398">
        <v>182233217</v>
      </c>
      <c r="BQ788" s="2179">
        <v>0</v>
      </c>
      <c r="BR788" s="2399">
        <v>0</v>
      </c>
      <c r="BS788" s="2400">
        <v>0</v>
      </c>
      <c r="BT788" s="2398">
        <v>0</v>
      </c>
      <c r="BU788" s="2398">
        <v>182233217</v>
      </c>
      <c r="BV788" s="2401">
        <v>85537932</v>
      </c>
      <c r="BW788" s="2401">
        <v>0</v>
      </c>
      <c r="BX788" s="2398">
        <v>96695285</v>
      </c>
    </row>
    <row r="789" spans="2:76">
      <c r="B789" s="2558">
        <v>22991000</v>
      </c>
      <c r="C789" s="2571" t="s">
        <v>4382</v>
      </c>
      <c r="D789" s="2560">
        <v>0</v>
      </c>
      <c r="E789" s="2560">
        <v>0</v>
      </c>
      <c r="F789" s="2561">
        <v>0</v>
      </c>
      <c r="G789" s="2562">
        <v>0</v>
      </c>
      <c r="H789" s="2560">
        <v>0</v>
      </c>
      <c r="I789" s="2560">
        <v>0</v>
      </c>
      <c r="J789" s="2563">
        <v>0</v>
      </c>
      <c r="K789" s="2563">
        <v>0</v>
      </c>
      <c r="L789" s="2560">
        <v>0</v>
      </c>
      <c r="N789" s="2390">
        <v>22991000</v>
      </c>
      <c r="O789" s="2403" t="s">
        <v>4382</v>
      </c>
      <c r="P789" s="2392">
        <v>0</v>
      </c>
      <c r="Q789" s="2392">
        <v>0</v>
      </c>
      <c r="R789" s="2393">
        <v>0</v>
      </c>
      <c r="S789" s="2394">
        <v>0</v>
      </c>
      <c r="T789" s="2392">
        <v>0</v>
      </c>
      <c r="U789" s="2392">
        <v>0</v>
      </c>
      <c r="V789" s="2395">
        <v>0</v>
      </c>
      <c r="W789" s="2395">
        <v>0</v>
      </c>
      <c r="X789" s="2392">
        <v>0</v>
      </c>
      <c r="Z789" s="2390">
        <v>22991000</v>
      </c>
      <c r="AA789" s="2403" t="s">
        <v>4382</v>
      </c>
      <c r="AB789" s="2392">
        <v>0</v>
      </c>
      <c r="AC789" s="2392">
        <v>0</v>
      </c>
      <c r="AD789" s="2393">
        <v>0</v>
      </c>
      <c r="AE789" s="2394">
        <v>0</v>
      </c>
      <c r="AF789" s="2392">
        <v>0</v>
      </c>
      <c r="AG789" s="2392">
        <v>0</v>
      </c>
      <c r="AH789" s="2395">
        <v>0</v>
      </c>
      <c r="AI789" s="2395">
        <v>0</v>
      </c>
      <c r="AJ789" s="2392">
        <v>0</v>
      </c>
      <c r="AZ789" s="2390">
        <v>22991000</v>
      </c>
      <c r="BA789" s="2403" t="s">
        <v>4382</v>
      </c>
      <c r="BB789" s="2392">
        <v>0</v>
      </c>
      <c r="BC789" s="2392">
        <v>0</v>
      </c>
      <c r="BD789" s="2393">
        <v>0</v>
      </c>
      <c r="BE789" s="2394">
        <v>0</v>
      </c>
      <c r="BF789" s="2392">
        <v>0</v>
      </c>
      <c r="BG789" s="2392">
        <v>0</v>
      </c>
      <c r="BH789" s="2395">
        <v>0</v>
      </c>
      <c r="BI789" s="2395">
        <v>0</v>
      </c>
      <c r="BJ789" s="2392">
        <v>0</v>
      </c>
      <c r="BN789" s="2396">
        <v>31131003</v>
      </c>
      <c r="BO789" s="2397" t="s">
        <v>4407</v>
      </c>
      <c r="BP789" s="2398">
        <v>0</v>
      </c>
      <c r="BQ789" s="2179">
        <v>0</v>
      </c>
      <c r="BR789" s="2399">
        <v>0</v>
      </c>
      <c r="BS789" s="2400">
        <v>0</v>
      </c>
      <c r="BT789" s="2398">
        <v>0</v>
      </c>
      <c r="BU789" s="2398">
        <v>0</v>
      </c>
      <c r="BV789" s="2401">
        <v>30423900841</v>
      </c>
      <c r="BW789" s="2401">
        <v>31430403884</v>
      </c>
      <c r="BX789" s="2398">
        <v>1006503043</v>
      </c>
    </row>
    <row r="790" spans="2:76">
      <c r="B790" s="2564">
        <v>22991001</v>
      </c>
      <c r="C790" s="2565" t="s">
        <v>4382</v>
      </c>
      <c r="D790" s="2566">
        <v>0</v>
      </c>
      <c r="E790" s="1080">
        <v>0</v>
      </c>
      <c r="F790" s="2567">
        <v>0</v>
      </c>
      <c r="G790" s="2568">
        <v>0</v>
      </c>
      <c r="H790" s="2566">
        <v>0</v>
      </c>
      <c r="I790" s="2566">
        <v>0</v>
      </c>
      <c r="J790" s="2569">
        <v>0</v>
      </c>
      <c r="K790" s="2569">
        <v>0</v>
      </c>
      <c r="L790" s="2566">
        <v>0</v>
      </c>
      <c r="N790" s="2396">
        <v>22991001</v>
      </c>
      <c r="O790" s="2397" t="s">
        <v>4382</v>
      </c>
      <c r="P790" s="2398">
        <v>0</v>
      </c>
      <c r="Q790" s="2179">
        <v>0</v>
      </c>
      <c r="R790" s="2399">
        <v>0</v>
      </c>
      <c r="S790" s="2400">
        <v>0</v>
      </c>
      <c r="T790" s="2398">
        <v>0</v>
      </c>
      <c r="U790" s="2398">
        <v>0</v>
      </c>
      <c r="V790" s="2401">
        <v>0</v>
      </c>
      <c r="W790" s="2401">
        <v>0</v>
      </c>
      <c r="X790" s="2398">
        <v>0</v>
      </c>
      <c r="Z790" s="2396">
        <v>22991001</v>
      </c>
      <c r="AA790" s="2397" t="s">
        <v>4382</v>
      </c>
      <c r="AB790" s="2398">
        <v>0</v>
      </c>
      <c r="AC790" s="2179">
        <v>0</v>
      </c>
      <c r="AD790" s="2399">
        <v>0</v>
      </c>
      <c r="AE790" s="2400">
        <v>0</v>
      </c>
      <c r="AF790" s="2398">
        <v>0</v>
      </c>
      <c r="AG790" s="2398">
        <v>0</v>
      </c>
      <c r="AH790" s="2401">
        <v>0</v>
      </c>
      <c r="AI790" s="2401">
        <v>0</v>
      </c>
      <c r="AJ790" s="2398">
        <v>0</v>
      </c>
      <c r="AZ790" s="2396">
        <v>22991001</v>
      </c>
      <c r="BA790" s="2397" t="s">
        <v>4382</v>
      </c>
      <c r="BB790" s="2398">
        <v>0</v>
      </c>
      <c r="BC790" s="2179">
        <v>0</v>
      </c>
      <c r="BD790" s="2399">
        <v>0</v>
      </c>
      <c r="BE790" s="2400">
        <v>0</v>
      </c>
      <c r="BF790" s="2398">
        <v>0</v>
      </c>
      <c r="BG790" s="2398">
        <v>0</v>
      </c>
      <c r="BH790" s="2401">
        <v>0</v>
      </c>
      <c r="BI790" s="2401">
        <v>0</v>
      </c>
      <c r="BJ790" s="2398">
        <v>0</v>
      </c>
      <c r="BN790" s="2396">
        <v>31131004</v>
      </c>
      <c r="BO790" s="2397" t="s">
        <v>4408</v>
      </c>
      <c r="BP790" s="2398">
        <v>0</v>
      </c>
      <c r="BQ790" s="2179">
        <v>0</v>
      </c>
      <c r="BR790" s="2399">
        <v>0</v>
      </c>
      <c r="BS790" s="2400">
        <v>0</v>
      </c>
      <c r="BT790" s="2398">
        <v>0</v>
      </c>
      <c r="BU790" s="2398">
        <v>0</v>
      </c>
      <c r="BV790" s="2401">
        <v>85146947993</v>
      </c>
      <c r="BW790" s="2401">
        <v>80671272716</v>
      </c>
      <c r="BX790" s="2398">
        <v>-4475675277</v>
      </c>
    </row>
    <row r="791" spans="2:76">
      <c r="B791" s="2540">
        <v>30000000</v>
      </c>
      <c r="C791" s="2541" t="s">
        <v>5082</v>
      </c>
      <c r="D791" s="2542">
        <v>2114798839657</v>
      </c>
      <c r="E791" s="2542">
        <v>31045459485</v>
      </c>
      <c r="F791" s="2543">
        <v>125878538320</v>
      </c>
      <c r="G791" s="2544">
        <v>10061035953</v>
      </c>
      <c r="H791" s="2542">
        <v>36746621519</v>
      </c>
      <c r="I791" s="2542">
        <v>2318530494934</v>
      </c>
      <c r="J791" s="2545">
        <v>0</v>
      </c>
      <c r="K791" s="2545">
        <v>0</v>
      </c>
      <c r="L791" s="2542">
        <v>2232813733900.2266</v>
      </c>
      <c r="N791" s="2372">
        <v>30000000</v>
      </c>
      <c r="O791" s="2373" t="s">
        <v>116</v>
      </c>
      <c r="P791" s="2374">
        <v>2053546002127</v>
      </c>
      <c r="Q791" s="2374">
        <v>29864949753</v>
      </c>
      <c r="R791" s="2375">
        <v>122466559803</v>
      </c>
      <c r="S791" s="2376">
        <v>9648399585</v>
      </c>
      <c r="T791" s="2374">
        <v>33899726222</v>
      </c>
      <c r="U791" s="2374">
        <v>2249425637490</v>
      </c>
      <c r="V791" s="2377">
        <v>0</v>
      </c>
      <c r="W791" s="2377">
        <v>0</v>
      </c>
      <c r="X791" s="2374">
        <v>2160878675574.2268</v>
      </c>
      <c r="Z791" s="2372">
        <v>30000000</v>
      </c>
      <c r="AA791" s="2373" t="s">
        <v>116</v>
      </c>
      <c r="AB791" s="2374">
        <v>2101944807431</v>
      </c>
      <c r="AC791" s="2374">
        <v>27086127231</v>
      </c>
      <c r="AD791" s="2375">
        <v>117461814770</v>
      </c>
      <c r="AE791" s="2376">
        <v>8462608182</v>
      </c>
      <c r="AF791" s="2374">
        <v>31231389900</v>
      </c>
      <c r="AG791" s="2374">
        <v>2286186747514</v>
      </c>
      <c r="AH791" s="2377">
        <v>0</v>
      </c>
      <c r="AI791" s="2377">
        <v>0</v>
      </c>
      <c r="AJ791" s="2374">
        <v>2196251932678.2268</v>
      </c>
      <c r="AZ791" s="2372">
        <v>30000000</v>
      </c>
      <c r="BA791" s="2373" t="s">
        <v>116</v>
      </c>
      <c r="BB791" s="2374">
        <v>2031177445733</v>
      </c>
      <c r="BC791" s="2374">
        <v>23279059205</v>
      </c>
      <c r="BD791" s="2375">
        <v>93929282569</v>
      </c>
      <c r="BE791" s="2376">
        <v>9160555958</v>
      </c>
      <c r="BF791" s="2374">
        <v>34857849334</v>
      </c>
      <c r="BG791" s="2374">
        <v>2192404192799</v>
      </c>
      <c r="BH791" s="2377">
        <v>0</v>
      </c>
      <c r="BI791" s="2377">
        <v>0</v>
      </c>
      <c r="BJ791" s="2374">
        <v>2101478429311.2268</v>
      </c>
      <c r="BN791" s="2396">
        <v>31131005</v>
      </c>
      <c r="BO791" s="2397" t="s">
        <v>4409</v>
      </c>
      <c r="BP791" s="2398">
        <v>-3298457723</v>
      </c>
      <c r="BQ791" s="2179">
        <v>0</v>
      </c>
      <c r="BR791" s="2399">
        <v>0</v>
      </c>
      <c r="BS791" s="2400">
        <v>0</v>
      </c>
      <c r="BT791" s="2398">
        <v>0</v>
      </c>
      <c r="BU791" s="2398">
        <v>-3298457723</v>
      </c>
      <c r="BV791" s="2401">
        <v>0</v>
      </c>
      <c r="BW791" s="2401">
        <v>0</v>
      </c>
      <c r="BX791" s="2398">
        <v>-3298457723</v>
      </c>
    </row>
    <row r="792" spans="2:76">
      <c r="B792" s="2546">
        <v>31000000</v>
      </c>
      <c r="C792" s="2547" t="s">
        <v>5083</v>
      </c>
      <c r="D792" s="2548">
        <v>2114798839657</v>
      </c>
      <c r="E792" s="2548">
        <v>31045459485</v>
      </c>
      <c r="F792" s="2549">
        <v>125878538320</v>
      </c>
      <c r="G792" s="2550">
        <v>10061035953</v>
      </c>
      <c r="H792" s="2548">
        <v>36746621519</v>
      </c>
      <c r="I792" s="2548">
        <v>2318530494934</v>
      </c>
      <c r="J792" s="2551">
        <v>0</v>
      </c>
      <c r="K792" s="2551">
        <v>0</v>
      </c>
      <c r="L792" s="2548">
        <v>2232813733900.2266</v>
      </c>
      <c r="N792" s="2378">
        <v>31000000</v>
      </c>
      <c r="O792" s="2379" t="s">
        <v>4383</v>
      </c>
      <c r="P792" s="2380">
        <v>2053546002127</v>
      </c>
      <c r="Q792" s="2380">
        <v>29864949753</v>
      </c>
      <c r="R792" s="2381">
        <v>122466559803</v>
      </c>
      <c r="S792" s="2382">
        <v>9648399585</v>
      </c>
      <c r="T792" s="2380">
        <v>33899726222</v>
      </c>
      <c r="U792" s="2380">
        <v>2249425637490</v>
      </c>
      <c r="V792" s="2383">
        <v>0</v>
      </c>
      <c r="W792" s="2383">
        <v>0</v>
      </c>
      <c r="X792" s="2380">
        <v>2160878675574.2268</v>
      </c>
      <c r="Z792" s="2378">
        <v>31000000</v>
      </c>
      <c r="AA792" s="2379" t="s">
        <v>4383</v>
      </c>
      <c r="AB792" s="2380">
        <v>2101944807431</v>
      </c>
      <c r="AC792" s="2380">
        <v>27086127231</v>
      </c>
      <c r="AD792" s="2381">
        <v>117461814770</v>
      </c>
      <c r="AE792" s="2382">
        <v>8462608182</v>
      </c>
      <c r="AF792" s="2380">
        <v>31231389900</v>
      </c>
      <c r="AG792" s="2380">
        <v>2286186747514</v>
      </c>
      <c r="AH792" s="2383">
        <v>0</v>
      </c>
      <c r="AI792" s="2383">
        <v>0</v>
      </c>
      <c r="AJ792" s="2380">
        <v>2196251932678.2268</v>
      </c>
      <c r="AZ792" s="2378">
        <v>31000000</v>
      </c>
      <c r="BA792" s="2379" t="s">
        <v>4383</v>
      </c>
      <c r="BB792" s="2380">
        <v>2031177445733</v>
      </c>
      <c r="BC792" s="2380">
        <v>23279059205</v>
      </c>
      <c r="BD792" s="2381">
        <v>93929282569</v>
      </c>
      <c r="BE792" s="2382">
        <v>9160555958</v>
      </c>
      <c r="BF792" s="2380">
        <v>34857849334</v>
      </c>
      <c r="BG792" s="2380">
        <v>2192404192799</v>
      </c>
      <c r="BH792" s="2383">
        <v>0</v>
      </c>
      <c r="BI792" s="2383">
        <v>0</v>
      </c>
      <c r="BJ792" s="2380">
        <v>2101478429311.2268</v>
      </c>
      <c r="BN792" s="2396">
        <v>31131006</v>
      </c>
      <c r="BO792" s="2397" t="s">
        <v>4410</v>
      </c>
      <c r="BP792" s="2398">
        <v>4086686731</v>
      </c>
      <c r="BQ792" s="2179">
        <v>0</v>
      </c>
      <c r="BR792" s="2399">
        <v>0</v>
      </c>
      <c r="BS792" s="2400">
        <v>0</v>
      </c>
      <c r="BT792" s="2398">
        <v>0</v>
      </c>
      <c r="BU792" s="2398">
        <v>4086686731</v>
      </c>
      <c r="BV792" s="2401">
        <v>393211</v>
      </c>
      <c r="BW792" s="2401">
        <v>393211</v>
      </c>
      <c r="BX792" s="2398">
        <v>4086686731</v>
      </c>
    </row>
    <row r="793" spans="2:76">
      <c r="B793" s="2552">
        <v>31100000</v>
      </c>
      <c r="C793" s="2570" t="s">
        <v>4384</v>
      </c>
      <c r="D793" s="2554">
        <v>258204000000</v>
      </c>
      <c r="E793" s="2554">
        <v>7503315000</v>
      </c>
      <c r="F793" s="2555">
        <v>53927870000</v>
      </c>
      <c r="G793" s="2556">
        <v>1300000000</v>
      </c>
      <c r="H793" s="2554">
        <v>16000000000</v>
      </c>
      <c r="I793" s="2554">
        <v>336935185000</v>
      </c>
      <c r="J793" s="2557">
        <v>0</v>
      </c>
      <c r="K793" s="2557">
        <v>0</v>
      </c>
      <c r="L793" s="2554">
        <v>258204000000</v>
      </c>
      <c r="N793" s="2384">
        <v>31100000</v>
      </c>
      <c r="O793" s="2402" t="s">
        <v>4384</v>
      </c>
      <c r="P793" s="2386">
        <v>258204000000</v>
      </c>
      <c r="Q793" s="2386">
        <v>7503315000</v>
      </c>
      <c r="R793" s="2387">
        <v>53927870000</v>
      </c>
      <c r="S793" s="2388">
        <v>1300000000</v>
      </c>
      <c r="T793" s="2386">
        <v>16000000000</v>
      </c>
      <c r="U793" s="2386">
        <v>336935185000</v>
      </c>
      <c r="V793" s="2389">
        <v>0</v>
      </c>
      <c r="W793" s="2389">
        <v>0</v>
      </c>
      <c r="X793" s="2386">
        <v>258204000000</v>
      </c>
      <c r="Z793" s="2384">
        <v>31100000</v>
      </c>
      <c r="AA793" s="2402" t="s">
        <v>4384</v>
      </c>
      <c r="AB793" s="2386">
        <v>258204000000</v>
      </c>
      <c r="AC793" s="2386">
        <v>7503315000</v>
      </c>
      <c r="AD793" s="2387">
        <v>53927870000</v>
      </c>
      <c r="AE793" s="2388">
        <v>1300000000</v>
      </c>
      <c r="AF793" s="2386">
        <v>16000000000</v>
      </c>
      <c r="AG793" s="2386">
        <v>336935185000</v>
      </c>
      <c r="AH793" s="2389">
        <v>0</v>
      </c>
      <c r="AI793" s="2389">
        <v>0</v>
      </c>
      <c r="AJ793" s="2386">
        <v>258204000000</v>
      </c>
      <c r="AZ793" s="2384">
        <v>31100000</v>
      </c>
      <c r="BA793" s="2402" t="s">
        <v>4384</v>
      </c>
      <c r="BB793" s="2386">
        <v>258204000000</v>
      </c>
      <c r="BC793" s="2386">
        <v>7503315000</v>
      </c>
      <c r="BD793" s="2387">
        <v>53927870000</v>
      </c>
      <c r="BE793" s="2388">
        <v>1000000000</v>
      </c>
      <c r="BF793" s="2386">
        <v>16000000000</v>
      </c>
      <c r="BG793" s="2386">
        <v>336635185000</v>
      </c>
      <c r="BH793" s="2389">
        <v>0</v>
      </c>
      <c r="BI793" s="2389">
        <v>0</v>
      </c>
      <c r="BJ793" s="2386">
        <v>258204000000</v>
      </c>
      <c r="BN793" s="2396">
        <v>31131007</v>
      </c>
      <c r="BO793" s="2397" t="s">
        <v>4411</v>
      </c>
      <c r="BP793" s="2398">
        <v>0</v>
      </c>
      <c r="BQ793" s="2179">
        <v>0</v>
      </c>
      <c r="BR793" s="2399">
        <v>0</v>
      </c>
      <c r="BS793" s="2400">
        <v>0</v>
      </c>
      <c r="BT793" s="2398">
        <v>1036794421</v>
      </c>
      <c r="BU793" s="2398">
        <v>1036794421</v>
      </c>
      <c r="BV793" s="2401">
        <v>0</v>
      </c>
      <c r="BW793" s="2401">
        <v>0</v>
      </c>
      <c r="BX793" s="2398">
        <v>1036794421</v>
      </c>
    </row>
    <row r="794" spans="2:76">
      <c r="B794" s="2558">
        <v>31101000</v>
      </c>
      <c r="C794" s="2571" t="s">
        <v>4384</v>
      </c>
      <c r="D794" s="2560">
        <v>258204000000</v>
      </c>
      <c r="E794" s="2560">
        <v>7503315000</v>
      </c>
      <c r="F794" s="2561">
        <v>53927870000</v>
      </c>
      <c r="G794" s="2562">
        <v>1300000000</v>
      </c>
      <c r="H794" s="2560">
        <v>16000000000</v>
      </c>
      <c r="I794" s="2560">
        <v>336935185000</v>
      </c>
      <c r="J794" s="2563">
        <v>0</v>
      </c>
      <c r="K794" s="2563">
        <v>0</v>
      </c>
      <c r="L794" s="2560">
        <v>258204000000</v>
      </c>
      <c r="N794" s="2390">
        <v>31101000</v>
      </c>
      <c r="O794" s="2403" t="s">
        <v>4384</v>
      </c>
      <c r="P794" s="2392">
        <v>258204000000</v>
      </c>
      <c r="Q794" s="2392">
        <v>7503315000</v>
      </c>
      <c r="R794" s="2393">
        <v>53927870000</v>
      </c>
      <c r="S794" s="2394">
        <v>1300000000</v>
      </c>
      <c r="T794" s="2392">
        <v>16000000000</v>
      </c>
      <c r="U794" s="2392">
        <v>336935185000</v>
      </c>
      <c r="V794" s="2395">
        <v>0</v>
      </c>
      <c r="W794" s="2395">
        <v>0</v>
      </c>
      <c r="X794" s="2392">
        <v>258204000000</v>
      </c>
      <c r="Z794" s="2390">
        <v>31101000</v>
      </c>
      <c r="AA794" s="2403" t="s">
        <v>4384</v>
      </c>
      <c r="AB794" s="2392">
        <v>258204000000</v>
      </c>
      <c r="AC794" s="2392">
        <v>7503315000</v>
      </c>
      <c r="AD794" s="2393">
        <v>53927870000</v>
      </c>
      <c r="AE794" s="2394">
        <v>1300000000</v>
      </c>
      <c r="AF794" s="2392">
        <v>16000000000</v>
      </c>
      <c r="AG794" s="2392">
        <v>336935185000</v>
      </c>
      <c r="AH794" s="2395">
        <v>0</v>
      </c>
      <c r="AI794" s="2395">
        <v>0</v>
      </c>
      <c r="AJ794" s="2392">
        <v>258204000000</v>
      </c>
      <c r="AZ794" s="2390">
        <v>31101000</v>
      </c>
      <c r="BA794" s="2403" t="s">
        <v>4384</v>
      </c>
      <c r="BB794" s="2392">
        <v>258204000000</v>
      </c>
      <c r="BC794" s="2392">
        <v>7503315000</v>
      </c>
      <c r="BD794" s="2393">
        <v>53927870000</v>
      </c>
      <c r="BE794" s="2394">
        <v>1000000000</v>
      </c>
      <c r="BF794" s="2392">
        <v>16000000000</v>
      </c>
      <c r="BG794" s="2392">
        <v>336635185000</v>
      </c>
      <c r="BH794" s="2395">
        <v>0</v>
      </c>
      <c r="BI794" s="2395">
        <v>0</v>
      </c>
      <c r="BJ794" s="2392">
        <v>258204000000</v>
      </c>
      <c r="BN794" s="2396">
        <v>31131008</v>
      </c>
      <c r="BO794" s="2397" t="s">
        <v>4412</v>
      </c>
      <c r="BP794" s="2398">
        <v>0</v>
      </c>
      <c r="BQ794" s="2179">
        <v>0</v>
      </c>
      <c r="BR794" s="2399">
        <v>0</v>
      </c>
      <c r="BS794" s="2400">
        <v>0</v>
      </c>
      <c r="BT794" s="2398">
        <v>0</v>
      </c>
      <c r="BU794" s="2398">
        <v>0</v>
      </c>
      <c r="BV794" s="2401">
        <v>0</v>
      </c>
      <c r="BW794" s="2401">
        <v>0</v>
      </c>
      <c r="BX794" s="2398">
        <v>0</v>
      </c>
    </row>
    <row r="795" spans="2:76">
      <c r="B795" s="2564">
        <v>31101001</v>
      </c>
      <c r="C795" s="2565" t="s">
        <v>5084</v>
      </c>
      <c r="D795" s="2566">
        <v>258204000000</v>
      </c>
      <c r="E795" s="1080">
        <v>7503315000</v>
      </c>
      <c r="F795" s="2567">
        <v>53927870000</v>
      </c>
      <c r="G795" s="2568">
        <v>1300000000</v>
      </c>
      <c r="H795" s="2566">
        <v>16000000000</v>
      </c>
      <c r="I795" s="2566">
        <v>336935185000</v>
      </c>
      <c r="J795" s="2569">
        <v>133989000000</v>
      </c>
      <c r="K795" s="2569">
        <v>55257815000</v>
      </c>
      <c r="L795" s="2566">
        <v>258204000000</v>
      </c>
      <c r="N795" s="2396">
        <v>31101001</v>
      </c>
      <c r="O795" s="2397" t="s">
        <v>4385</v>
      </c>
      <c r="P795" s="2398">
        <v>258204000000</v>
      </c>
      <c r="Q795" s="2179">
        <v>7503315000</v>
      </c>
      <c r="R795" s="2399">
        <v>53927870000</v>
      </c>
      <c r="S795" s="2400">
        <v>1300000000</v>
      </c>
      <c r="T795" s="2398">
        <v>16000000000</v>
      </c>
      <c r="U795" s="2398">
        <v>336935185000</v>
      </c>
      <c r="V795" s="2401">
        <v>133989000000</v>
      </c>
      <c r="W795" s="2401">
        <v>55257815000</v>
      </c>
      <c r="X795" s="2398">
        <v>258204000000</v>
      </c>
      <c r="Z795" s="2396">
        <v>31101001</v>
      </c>
      <c r="AA795" s="2397" t="s">
        <v>4385</v>
      </c>
      <c r="AB795" s="2398">
        <v>258204000000</v>
      </c>
      <c r="AC795" s="2179">
        <v>7503315000</v>
      </c>
      <c r="AD795" s="2399">
        <v>53927870000</v>
      </c>
      <c r="AE795" s="2400">
        <v>1300000000</v>
      </c>
      <c r="AF795" s="2398">
        <v>16000000000</v>
      </c>
      <c r="AG795" s="2398">
        <v>336935185000</v>
      </c>
      <c r="AH795" s="2401">
        <v>133989000000</v>
      </c>
      <c r="AI795" s="2401">
        <v>55257815000</v>
      </c>
      <c r="AJ795" s="2398">
        <v>258204000000</v>
      </c>
      <c r="AZ795" s="2396">
        <v>31101001</v>
      </c>
      <c r="BA795" s="2397" t="s">
        <v>4385</v>
      </c>
      <c r="BB795" s="2398">
        <v>258204000000</v>
      </c>
      <c r="BC795" s="2179">
        <v>7503315000</v>
      </c>
      <c r="BD795" s="2399">
        <v>53927870000</v>
      </c>
      <c r="BE795" s="2400">
        <v>1000000000</v>
      </c>
      <c r="BF795" s="2398">
        <v>16000000000</v>
      </c>
      <c r="BG795" s="2398">
        <v>336635185000</v>
      </c>
      <c r="BH795" s="2401">
        <v>133689000000</v>
      </c>
      <c r="BI795" s="2401">
        <v>55257815000</v>
      </c>
      <c r="BJ795" s="2398">
        <v>258204000000</v>
      </c>
      <c r="BN795" s="2396">
        <v>31131009</v>
      </c>
      <c r="BO795" s="2397" t="s">
        <v>4413</v>
      </c>
      <c r="BP795" s="2398">
        <v>0</v>
      </c>
      <c r="BQ795" s="2179">
        <v>0</v>
      </c>
      <c r="BR795" s="2399">
        <v>0</v>
      </c>
      <c r="BS795" s="2400">
        <v>0</v>
      </c>
      <c r="BT795" s="2398">
        <v>0</v>
      </c>
      <c r="BU795" s="2398">
        <v>0</v>
      </c>
      <c r="BV795" s="2401">
        <v>0</v>
      </c>
      <c r="BW795" s="2401">
        <v>0</v>
      </c>
      <c r="BX795" s="2398">
        <v>0</v>
      </c>
    </row>
    <row r="796" spans="2:76">
      <c r="B796" s="2564">
        <v>31101002</v>
      </c>
      <c r="C796" s="2565" t="s">
        <v>4386</v>
      </c>
      <c r="D796" s="2566">
        <v>0</v>
      </c>
      <c r="E796" s="1080">
        <v>0</v>
      </c>
      <c r="F796" s="2567">
        <v>0</v>
      </c>
      <c r="G796" s="2568">
        <v>0</v>
      </c>
      <c r="H796" s="2566">
        <v>0</v>
      </c>
      <c r="I796" s="2566">
        <v>0</v>
      </c>
      <c r="J796" s="2569">
        <v>0</v>
      </c>
      <c r="K796" s="2569">
        <v>0</v>
      </c>
      <c r="L796" s="2566">
        <v>0</v>
      </c>
      <c r="N796" s="2396">
        <v>31101002</v>
      </c>
      <c r="O796" s="2397" t="s">
        <v>4386</v>
      </c>
      <c r="P796" s="2398">
        <v>0</v>
      </c>
      <c r="Q796" s="2179">
        <v>0</v>
      </c>
      <c r="R796" s="2399">
        <v>0</v>
      </c>
      <c r="S796" s="2400">
        <v>0</v>
      </c>
      <c r="T796" s="2398">
        <v>0</v>
      </c>
      <c r="U796" s="2398">
        <v>0</v>
      </c>
      <c r="V796" s="2401">
        <v>0</v>
      </c>
      <c r="W796" s="2401">
        <v>0</v>
      </c>
      <c r="X796" s="2398">
        <v>0</v>
      </c>
      <c r="Z796" s="2396">
        <v>31101002</v>
      </c>
      <c r="AA796" s="2397" t="s">
        <v>4386</v>
      </c>
      <c r="AB796" s="2398">
        <v>0</v>
      </c>
      <c r="AC796" s="2179">
        <v>0</v>
      </c>
      <c r="AD796" s="2399">
        <v>0</v>
      </c>
      <c r="AE796" s="2400">
        <v>0</v>
      </c>
      <c r="AF796" s="2398">
        <v>0</v>
      </c>
      <c r="AG796" s="2398">
        <v>0</v>
      </c>
      <c r="AH796" s="2401">
        <v>0</v>
      </c>
      <c r="AI796" s="2401">
        <v>0</v>
      </c>
      <c r="AJ796" s="2398">
        <v>0</v>
      </c>
      <c r="AZ796" s="2396">
        <v>31101002</v>
      </c>
      <c r="BA796" s="2397" t="s">
        <v>4386</v>
      </c>
      <c r="BB796" s="2398">
        <v>0</v>
      </c>
      <c r="BC796" s="2179">
        <v>0</v>
      </c>
      <c r="BD796" s="2399">
        <v>0</v>
      </c>
      <c r="BE796" s="2400">
        <v>0</v>
      </c>
      <c r="BF796" s="2398">
        <v>0</v>
      </c>
      <c r="BG796" s="2398">
        <v>0</v>
      </c>
      <c r="BH796" s="2401">
        <v>0</v>
      </c>
      <c r="BI796" s="2401">
        <v>0</v>
      </c>
      <c r="BJ796" s="2398">
        <v>0</v>
      </c>
      <c r="BN796" s="2396">
        <v>31131010</v>
      </c>
      <c r="BO796" s="2397" t="s">
        <v>4414</v>
      </c>
      <c r="BP796" s="2398">
        <v>0</v>
      </c>
      <c r="BQ796" s="2179">
        <v>0</v>
      </c>
      <c r="BR796" s="2399">
        <v>0</v>
      </c>
      <c r="BS796" s="2400">
        <v>0</v>
      </c>
      <c r="BT796" s="2398">
        <v>0</v>
      </c>
      <c r="BU796" s="2398">
        <v>0</v>
      </c>
      <c r="BV796" s="2401">
        <v>0</v>
      </c>
      <c r="BW796" s="2401">
        <v>0</v>
      </c>
      <c r="BX796" s="2398">
        <v>0</v>
      </c>
    </row>
    <row r="797" spans="2:76">
      <c r="B797" s="2552">
        <v>31110000</v>
      </c>
      <c r="C797" s="2570" t="s">
        <v>4387</v>
      </c>
      <c r="D797" s="2554">
        <v>-296335913</v>
      </c>
      <c r="E797" s="2554">
        <v>583275000</v>
      </c>
      <c r="F797" s="2555">
        <v>0</v>
      </c>
      <c r="G797" s="2556">
        <v>-4446100</v>
      </c>
      <c r="H797" s="2554">
        <v>0</v>
      </c>
      <c r="I797" s="2554">
        <v>282492987</v>
      </c>
      <c r="J797" s="2557">
        <v>0</v>
      </c>
      <c r="K797" s="2557">
        <v>0</v>
      </c>
      <c r="L797" s="2554">
        <v>-795337416</v>
      </c>
      <c r="N797" s="2384">
        <v>31110000</v>
      </c>
      <c r="O797" s="2402" t="s">
        <v>4387</v>
      </c>
      <c r="P797" s="2386">
        <v>-296335913</v>
      </c>
      <c r="Q797" s="2386">
        <v>583275000</v>
      </c>
      <c r="R797" s="2387">
        <v>0</v>
      </c>
      <c r="S797" s="2388">
        <v>-4446100</v>
      </c>
      <c r="T797" s="2386">
        <v>0</v>
      </c>
      <c r="U797" s="2386">
        <v>282492987</v>
      </c>
      <c r="V797" s="2389">
        <v>0</v>
      </c>
      <c r="W797" s="2389">
        <v>0</v>
      </c>
      <c r="X797" s="2386">
        <v>-795337416</v>
      </c>
      <c r="Z797" s="2384">
        <v>31110000</v>
      </c>
      <c r="AA797" s="2402" t="s">
        <v>4387</v>
      </c>
      <c r="AB797" s="2386">
        <v>-296335913</v>
      </c>
      <c r="AC797" s="2386">
        <v>583275000</v>
      </c>
      <c r="AD797" s="2387">
        <v>0</v>
      </c>
      <c r="AE797" s="2388">
        <v>-4446100</v>
      </c>
      <c r="AF797" s="2386">
        <v>0</v>
      </c>
      <c r="AG797" s="2386">
        <v>282492987</v>
      </c>
      <c r="AH797" s="2389">
        <v>0</v>
      </c>
      <c r="AI797" s="2389">
        <v>0</v>
      </c>
      <c r="AJ797" s="2386">
        <v>-795337416</v>
      </c>
      <c r="AZ797" s="2384">
        <v>31110000</v>
      </c>
      <c r="BA797" s="2402" t="s">
        <v>4387</v>
      </c>
      <c r="BB797" s="2386">
        <v>-296335913</v>
      </c>
      <c r="BC797" s="2386">
        <v>583275000</v>
      </c>
      <c r="BD797" s="2387">
        <v>0</v>
      </c>
      <c r="BE797" s="2388">
        <v>-2476100</v>
      </c>
      <c r="BF797" s="2386">
        <v>0</v>
      </c>
      <c r="BG797" s="2386">
        <v>284462987</v>
      </c>
      <c r="BH797" s="2389">
        <v>0</v>
      </c>
      <c r="BI797" s="2389">
        <v>0</v>
      </c>
      <c r="BJ797" s="2386">
        <v>-793367416</v>
      </c>
      <c r="BN797" s="2396">
        <v>31131011</v>
      </c>
      <c r="BO797" s="2397" t="s">
        <v>246</v>
      </c>
      <c r="BP797" s="2398">
        <v>0</v>
      </c>
      <c r="BQ797" s="2179">
        <v>0</v>
      </c>
      <c r="BR797" s="2399">
        <v>0</v>
      </c>
      <c r="BS797" s="2400">
        <v>0</v>
      </c>
      <c r="BT797" s="2398">
        <v>0</v>
      </c>
      <c r="BU797" s="2398">
        <v>0</v>
      </c>
      <c r="BV797" s="2401">
        <v>0</v>
      </c>
      <c r="BW797" s="2401">
        <v>0</v>
      </c>
      <c r="BX797" s="2398">
        <v>0</v>
      </c>
    </row>
    <row r="798" spans="2:76">
      <c r="B798" s="2558">
        <v>31111000</v>
      </c>
      <c r="C798" s="2571" t="s">
        <v>4387</v>
      </c>
      <c r="D798" s="2560">
        <v>-296335913</v>
      </c>
      <c r="E798" s="2560">
        <v>583275000</v>
      </c>
      <c r="F798" s="2561">
        <v>0</v>
      </c>
      <c r="G798" s="2562">
        <v>-4446100</v>
      </c>
      <c r="H798" s="2560">
        <v>0</v>
      </c>
      <c r="I798" s="2560">
        <v>282492987</v>
      </c>
      <c r="J798" s="2563">
        <v>0</v>
      </c>
      <c r="K798" s="2563">
        <v>0</v>
      </c>
      <c r="L798" s="2560">
        <v>-795337416</v>
      </c>
      <c r="N798" s="2390">
        <v>31111000</v>
      </c>
      <c r="O798" s="2403" t="s">
        <v>4387</v>
      </c>
      <c r="P798" s="2392">
        <v>-296335913</v>
      </c>
      <c r="Q798" s="2392">
        <v>583275000</v>
      </c>
      <c r="R798" s="2393">
        <v>0</v>
      </c>
      <c r="S798" s="2394">
        <v>-4446100</v>
      </c>
      <c r="T798" s="2392">
        <v>0</v>
      </c>
      <c r="U798" s="2392">
        <v>282492987</v>
      </c>
      <c r="V798" s="2395">
        <v>0</v>
      </c>
      <c r="W798" s="2395">
        <v>0</v>
      </c>
      <c r="X798" s="2392">
        <v>-795337416</v>
      </c>
      <c r="Z798" s="2390">
        <v>31111000</v>
      </c>
      <c r="AA798" s="2403" t="s">
        <v>4387</v>
      </c>
      <c r="AB798" s="2392">
        <v>-296335913</v>
      </c>
      <c r="AC798" s="2392">
        <v>583275000</v>
      </c>
      <c r="AD798" s="2393">
        <v>0</v>
      </c>
      <c r="AE798" s="2394">
        <v>-4446100</v>
      </c>
      <c r="AF798" s="2392">
        <v>0</v>
      </c>
      <c r="AG798" s="2392">
        <v>282492987</v>
      </c>
      <c r="AH798" s="2395">
        <v>0</v>
      </c>
      <c r="AI798" s="2395">
        <v>0</v>
      </c>
      <c r="AJ798" s="2392">
        <v>-795337416</v>
      </c>
      <c r="AZ798" s="2390">
        <v>31111000</v>
      </c>
      <c r="BA798" s="2403" t="s">
        <v>4387</v>
      </c>
      <c r="BB798" s="2392">
        <v>-296335913</v>
      </c>
      <c r="BC798" s="2392">
        <v>583275000</v>
      </c>
      <c r="BD798" s="2393">
        <v>0</v>
      </c>
      <c r="BE798" s="2394">
        <v>-2476100</v>
      </c>
      <c r="BF798" s="2392">
        <v>0</v>
      </c>
      <c r="BG798" s="2392">
        <v>284462987</v>
      </c>
      <c r="BH798" s="2395">
        <v>0</v>
      </c>
      <c r="BI798" s="2395">
        <v>0</v>
      </c>
      <c r="BJ798" s="2392">
        <v>-793367416</v>
      </c>
      <c r="BN798" s="2396">
        <v>31131012</v>
      </c>
      <c r="BO798" s="2397" t="s">
        <v>4415</v>
      </c>
      <c r="BP798" s="2398">
        <v>8076264544</v>
      </c>
      <c r="BQ798" s="2179">
        <v>0</v>
      </c>
      <c r="BR798" s="2399">
        <v>0</v>
      </c>
      <c r="BS798" s="2400">
        <v>0</v>
      </c>
      <c r="BT798" s="2398">
        <v>0</v>
      </c>
      <c r="BU798" s="2398">
        <v>8076264544</v>
      </c>
      <c r="BV798" s="2401">
        <v>0</v>
      </c>
      <c r="BW798" s="2401">
        <v>0</v>
      </c>
      <c r="BX798" s="2398">
        <v>8076264544</v>
      </c>
    </row>
    <row r="799" spans="2:76">
      <c r="B799" s="2564">
        <v>31111001</v>
      </c>
      <c r="C799" s="2565" t="s">
        <v>5085</v>
      </c>
      <c r="D799" s="2566">
        <v>0</v>
      </c>
      <c r="E799" s="1080">
        <v>583275000</v>
      </c>
      <c r="F799" s="2567">
        <v>0</v>
      </c>
      <c r="G799" s="2568">
        <v>0</v>
      </c>
      <c r="H799" s="2566">
        <v>0</v>
      </c>
      <c r="I799" s="2566">
        <v>583275000</v>
      </c>
      <c r="J799" s="2569">
        <v>625159000</v>
      </c>
      <c r="K799" s="2569">
        <v>41884000</v>
      </c>
      <c r="L799" s="2566">
        <v>0</v>
      </c>
      <c r="N799" s="2396">
        <v>31111001</v>
      </c>
      <c r="O799" s="2397" t="s">
        <v>4388</v>
      </c>
      <c r="P799" s="2398">
        <v>0</v>
      </c>
      <c r="Q799" s="2179">
        <v>583275000</v>
      </c>
      <c r="R799" s="2399">
        <v>0</v>
      </c>
      <c r="S799" s="2400">
        <v>0</v>
      </c>
      <c r="T799" s="2398">
        <v>0</v>
      </c>
      <c r="U799" s="2398">
        <v>583275000</v>
      </c>
      <c r="V799" s="2401">
        <v>625159000</v>
      </c>
      <c r="W799" s="2401">
        <v>41884000</v>
      </c>
      <c r="X799" s="2398">
        <v>0</v>
      </c>
      <c r="Z799" s="2396">
        <v>31111001</v>
      </c>
      <c r="AA799" s="2397" t="s">
        <v>4388</v>
      </c>
      <c r="AB799" s="2398">
        <v>0</v>
      </c>
      <c r="AC799" s="2179">
        <v>583275000</v>
      </c>
      <c r="AD799" s="2399">
        <v>0</v>
      </c>
      <c r="AE799" s="2400">
        <v>0</v>
      </c>
      <c r="AF799" s="2398">
        <v>0</v>
      </c>
      <c r="AG799" s="2398">
        <v>583275000</v>
      </c>
      <c r="AH799" s="2401">
        <v>625159000</v>
      </c>
      <c r="AI799" s="2401">
        <v>41884000</v>
      </c>
      <c r="AJ799" s="2398">
        <v>0</v>
      </c>
      <c r="AZ799" s="2396">
        <v>31111001</v>
      </c>
      <c r="BA799" s="2397" t="s">
        <v>4388</v>
      </c>
      <c r="BB799" s="2398">
        <v>0</v>
      </c>
      <c r="BC799" s="2179">
        <v>583275000</v>
      </c>
      <c r="BD799" s="2399">
        <v>0</v>
      </c>
      <c r="BE799" s="2400">
        <v>0</v>
      </c>
      <c r="BF799" s="2398">
        <v>0</v>
      </c>
      <c r="BG799" s="2398">
        <v>583275000</v>
      </c>
      <c r="BH799" s="2401">
        <v>625159000</v>
      </c>
      <c r="BI799" s="2401">
        <v>41884000</v>
      </c>
      <c r="BJ799" s="2398">
        <v>0</v>
      </c>
      <c r="BN799" s="2396">
        <v>31131013</v>
      </c>
      <c r="BO799" s="2397" t="s">
        <v>4416</v>
      </c>
      <c r="BP799" s="2398">
        <v>-2270568760</v>
      </c>
      <c r="BQ799" s="2179">
        <v>0</v>
      </c>
      <c r="BR799" s="2399">
        <v>0</v>
      </c>
      <c r="BS799" s="2400">
        <v>0</v>
      </c>
      <c r="BT799" s="2398">
        <v>0</v>
      </c>
      <c r="BU799" s="2398">
        <v>-2270568760</v>
      </c>
      <c r="BV799" s="2401">
        <v>0</v>
      </c>
      <c r="BW799" s="2401">
        <v>0</v>
      </c>
      <c r="BX799" s="2398">
        <v>-2270568760</v>
      </c>
    </row>
    <row r="800" spans="2:76">
      <c r="B800" s="2564">
        <v>31111002</v>
      </c>
      <c r="C800" s="2565" t="s">
        <v>5086</v>
      </c>
      <c r="D800" s="2566">
        <v>0</v>
      </c>
      <c r="E800" s="1080">
        <v>0</v>
      </c>
      <c r="F800" s="2567">
        <v>0</v>
      </c>
      <c r="G800" s="2568">
        <v>-4446100</v>
      </c>
      <c r="H800" s="2566">
        <v>0</v>
      </c>
      <c r="I800" s="2566">
        <v>-4446100</v>
      </c>
      <c r="J800" s="2569">
        <v>56403000</v>
      </c>
      <c r="K800" s="2569">
        <v>0</v>
      </c>
      <c r="L800" s="2566">
        <v>-60849100</v>
      </c>
      <c r="N800" s="2396">
        <v>31111002</v>
      </c>
      <c r="O800" s="2397" t="s">
        <v>4389</v>
      </c>
      <c r="P800" s="2398">
        <v>0</v>
      </c>
      <c r="Q800" s="2179">
        <v>0</v>
      </c>
      <c r="R800" s="2399">
        <v>0</v>
      </c>
      <c r="S800" s="2400">
        <v>-4446100</v>
      </c>
      <c r="T800" s="2398">
        <v>0</v>
      </c>
      <c r="U800" s="2398">
        <v>-4446100</v>
      </c>
      <c r="V800" s="2401">
        <v>56403000</v>
      </c>
      <c r="W800" s="2401">
        <v>0</v>
      </c>
      <c r="X800" s="2398">
        <v>-60849100</v>
      </c>
      <c r="Z800" s="2396">
        <v>31111002</v>
      </c>
      <c r="AA800" s="2397" t="s">
        <v>4389</v>
      </c>
      <c r="AB800" s="2398">
        <v>0</v>
      </c>
      <c r="AC800" s="2179">
        <v>0</v>
      </c>
      <c r="AD800" s="2399">
        <v>0</v>
      </c>
      <c r="AE800" s="2400">
        <v>-4446100</v>
      </c>
      <c r="AF800" s="2398">
        <v>0</v>
      </c>
      <c r="AG800" s="2398">
        <v>-4446100</v>
      </c>
      <c r="AH800" s="2401">
        <v>56403000</v>
      </c>
      <c r="AI800" s="2401">
        <v>0</v>
      </c>
      <c r="AJ800" s="2398">
        <v>-60849100</v>
      </c>
      <c r="AZ800" s="2396">
        <v>31111002</v>
      </c>
      <c r="BA800" s="2397" t="s">
        <v>4389</v>
      </c>
      <c r="BB800" s="2398">
        <v>0</v>
      </c>
      <c r="BC800" s="2179">
        <v>0</v>
      </c>
      <c r="BD800" s="2399">
        <v>0</v>
      </c>
      <c r="BE800" s="2400">
        <v>-2476100</v>
      </c>
      <c r="BF800" s="2398">
        <v>0</v>
      </c>
      <c r="BG800" s="2398">
        <v>-2476100</v>
      </c>
      <c r="BH800" s="2401">
        <v>56403000</v>
      </c>
      <c r="BI800" s="2401">
        <v>0</v>
      </c>
      <c r="BJ800" s="2398">
        <v>-58879100</v>
      </c>
      <c r="BN800" s="2384">
        <v>31140000</v>
      </c>
      <c r="BO800" s="2402" t="s">
        <v>4417</v>
      </c>
      <c r="BP800" s="2386">
        <v>1682302907715</v>
      </c>
      <c r="BQ800" s="2386">
        <v>13876438565</v>
      </c>
      <c r="BR800" s="2387">
        <v>36192383855</v>
      </c>
      <c r="BS800" s="2388">
        <v>9630711821</v>
      </c>
      <c r="BT800" s="2386">
        <v>13958864649</v>
      </c>
      <c r="BU800" s="2386">
        <v>1755961306605</v>
      </c>
      <c r="BV800" s="2389">
        <v>0</v>
      </c>
      <c r="BW800" s="2389">
        <v>0</v>
      </c>
      <c r="BX800" s="2386">
        <v>1736884115350</v>
      </c>
    </row>
    <row r="801" spans="2:76">
      <c r="B801" s="2564">
        <v>31111003</v>
      </c>
      <c r="C801" s="2565" t="s">
        <v>5087</v>
      </c>
      <c r="D801" s="2566">
        <v>0</v>
      </c>
      <c r="E801" s="1080">
        <v>0</v>
      </c>
      <c r="F801" s="2567">
        <v>0</v>
      </c>
      <c r="G801" s="2568">
        <v>0</v>
      </c>
      <c r="H801" s="2566">
        <v>0</v>
      </c>
      <c r="I801" s="2566">
        <v>0</v>
      </c>
      <c r="J801" s="2569">
        <v>0</v>
      </c>
      <c r="K801" s="2569">
        <v>0</v>
      </c>
      <c r="L801" s="2566">
        <v>0</v>
      </c>
      <c r="N801" s="2396">
        <v>31111003</v>
      </c>
      <c r="O801" s="2397" t="s">
        <v>4390</v>
      </c>
      <c r="P801" s="2398">
        <v>0</v>
      </c>
      <c r="Q801" s="2179">
        <v>0</v>
      </c>
      <c r="R801" s="2399">
        <v>0</v>
      </c>
      <c r="S801" s="2400">
        <v>0</v>
      </c>
      <c r="T801" s="2398">
        <v>0</v>
      </c>
      <c r="U801" s="2398">
        <v>0</v>
      </c>
      <c r="V801" s="2401">
        <v>0</v>
      </c>
      <c r="W801" s="2401">
        <v>0</v>
      </c>
      <c r="X801" s="2398">
        <v>0</v>
      </c>
      <c r="Z801" s="2396">
        <v>31111003</v>
      </c>
      <c r="AA801" s="2397" t="s">
        <v>4390</v>
      </c>
      <c r="AB801" s="2398">
        <v>0</v>
      </c>
      <c r="AC801" s="2179">
        <v>0</v>
      </c>
      <c r="AD801" s="2399">
        <v>0</v>
      </c>
      <c r="AE801" s="2400">
        <v>0</v>
      </c>
      <c r="AF801" s="2398">
        <v>0</v>
      </c>
      <c r="AG801" s="2398">
        <v>0</v>
      </c>
      <c r="AH801" s="2401">
        <v>0</v>
      </c>
      <c r="AI801" s="2401">
        <v>0</v>
      </c>
      <c r="AJ801" s="2398">
        <v>0</v>
      </c>
      <c r="AZ801" s="2396">
        <v>31111003</v>
      </c>
      <c r="BA801" s="2397" t="s">
        <v>4390</v>
      </c>
      <c r="BB801" s="2398">
        <v>0</v>
      </c>
      <c r="BC801" s="2179">
        <v>0</v>
      </c>
      <c r="BD801" s="2399">
        <v>0</v>
      </c>
      <c r="BE801" s="2400">
        <v>0</v>
      </c>
      <c r="BF801" s="2398">
        <v>0</v>
      </c>
      <c r="BG801" s="2398">
        <v>0</v>
      </c>
      <c r="BH801" s="2401">
        <v>0</v>
      </c>
      <c r="BI801" s="2401">
        <v>0</v>
      </c>
      <c r="BJ801" s="2398">
        <v>0</v>
      </c>
      <c r="BN801" s="2390">
        <v>31141000</v>
      </c>
      <c r="BO801" s="2403" t="s">
        <v>4417</v>
      </c>
      <c r="BP801" s="2392">
        <v>1682302907715</v>
      </c>
      <c r="BQ801" s="2392">
        <v>13876438565</v>
      </c>
      <c r="BR801" s="2393">
        <v>36192383855</v>
      </c>
      <c r="BS801" s="2394">
        <v>9630711821</v>
      </c>
      <c r="BT801" s="2392">
        <v>13958864649</v>
      </c>
      <c r="BU801" s="2392">
        <v>1755961306605</v>
      </c>
      <c r="BV801" s="2395">
        <v>0</v>
      </c>
      <c r="BW801" s="2395">
        <v>0</v>
      </c>
      <c r="BX801" s="2392">
        <v>1736884115350</v>
      </c>
    </row>
    <row r="802" spans="2:76">
      <c r="B802" s="2564">
        <v>31111004</v>
      </c>
      <c r="C802" s="2565" t="s">
        <v>5088</v>
      </c>
      <c r="D802" s="2566">
        <v>0</v>
      </c>
      <c r="E802" s="1080">
        <v>0</v>
      </c>
      <c r="F802" s="2567">
        <v>0</v>
      </c>
      <c r="G802" s="2568">
        <v>0</v>
      </c>
      <c r="H802" s="2566">
        <v>0</v>
      </c>
      <c r="I802" s="2566">
        <v>0</v>
      </c>
      <c r="J802" s="2569">
        <v>0</v>
      </c>
      <c r="K802" s="2569">
        <v>0</v>
      </c>
      <c r="L802" s="2566">
        <v>0</v>
      </c>
      <c r="N802" s="2396">
        <v>31111004</v>
      </c>
      <c r="O802" s="2397" t="s">
        <v>4391</v>
      </c>
      <c r="P802" s="2398">
        <v>0</v>
      </c>
      <c r="Q802" s="2179">
        <v>0</v>
      </c>
      <c r="R802" s="2399">
        <v>0</v>
      </c>
      <c r="S802" s="2400">
        <v>0</v>
      </c>
      <c r="T802" s="2398">
        <v>0</v>
      </c>
      <c r="U802" s="2398">
        <v>0</v>
      </c>
      <c r="V802" s="2401">
        <v>0</v>
      </c>
      <c r="W802" s="2401">
        <v>0</v>
      </c>
      <c r="X802" s="2398">
        <v>0</v>
      </c>
      <c r="Z802" s="2396">
        <v>31111004</v>
      </c>
      <c r="AA802" s="2397" t="s">
        <v>4391</v>
      </c>
      <c r="AB802" s="2398">
        <v>0</v>
      </c>
      <c r="AC802" s="2179">
        <v>0</v>
      </c>
      <c r="AD802" s="2399">
        <v>0</v>
      </c>
      <c r="AE802" s="2400">
        <v>0</v>
      </c>
      <c r="AF802" s="2398">
        <v>0</v>
      </c>
      <c r="AG802" s="2398">
        <v>0</v>
      </c>
      <c r="AH802" s="2401">
        <v>0</v>
      </c>
      <c r="AI802" s="2401">
        <v>0</v>
      </c>
      <c r="AJ802" s="2398">
        <v>0</v>
      </c>
      <c r="AZ802" s="2396">
        <v>31111004</v>
      </c>
      <c r="BA802" s="2397" t="s">
        <v>4391</v>
      </c>
      <c r="BB802" s="2398">
        <v>0</v>
      </c>
      <c r="BC802" s="2179">
        <v>0</v>
      </c>
      <c r="BD802" s="2399">
        <v>0</v>
      </c>
      <c r="BE802" s="2400">
        <v>0</v>
      </c>
      <c r="BF802" s="2398">
        <v>0</v>
      </c>
      <c r="BG802" s="2398">
        <v>0</v>
      </c>
      <c r="BH802" s="2401">
        <v>0</v>
      </c>
      <c r="BI802" s="2401">
        <v>0</v>
      </c>
      <c r="BJ802" s="2398">
        <v>0</v>
      </c>
      <c r="BN802" s="2396">
        <v>31141001</v>
      </c>
      <c r="BO802" s="2397" t="s">
        <v>4418</v>
      </c>
      <c r="BP802" s="2398">
        <v>101400000000</v>
      </c>
      <c r="BQ802" s="2179">
        <v>0</v>
      </c>
      <c r="BR802" s="2399">
        <v>0</v>
      </c>
      <c r="BS802" s="2400">
        <v>11000000</v>
      </c>
      <c r="BT802" s="2398">
        <v>0</v>
      </c>
      <c r="BU802" s="2398">
        <v>101411000000</v>
      </c>
      <c r="BV802" s="2401">
        <v>11000000</v>
      </c>
      <c r="BW802" s="2401">
        <v>0</v>
      </c>
      <c r="BX802" s="2398">
        <v>101400000000</v>
      </c>
    </row>
    <row r="803" spans="2:76">
      <c r="B803" s="2564">
        <v>31111005</v>
      </c>
      <c r="C803" s="2565" t="s">
        <v>5089</v>
      </c>
      <c r="D803" s="2566">
        <v>0</v>
      </c>
      <c r="E803" s="1080">
        <v>0</v>
      </c>
      <c r="F803" s="2567">
        <v>0</v>
      </c>
      <c r="G803" s="2568">
        <v>0</v>
      </c>
      <c r="H803" s="2566">
        <v>0</v>
      </c>
      <c r="I803" s="2566">
        <v>0</v>
      </c>
      <c r="J803" s="2569">
        <v>0</v>
      </c>
      <c r="K803" s="2569">
        <v>0</v>
      </c>
      <c r="L803" s="2566">
        <v>0</v>
      </c>
      <c r="N803" s="2396">
        <v>31111005</v>
      </c>
      <c r="O803" s="2397" t="s">
        <v>4392</v>
      </c>
      <c r="P803" s="2398">
        <v>0</v>
      </c>
      <c r="Q803" s="2179">
        <v>0</v>
      </c>
      <c r="R803" s="2399">
        <v>0</v>
      </c>
      <c r="S803" s="2400">
        <v>0</v>
      </c>
      <c r="T803" s="2398">
        <v>0</v>
      </c>
      <c r="U803" s="2398">
        <v>0</v>
      </c>
      <c r="V803" s="2401">
        <v>0</v>
      </c>
      <c r="W803" s="2401">
        <v>0</v>
      </c>
      <c r="X803" s="2398">
        <v>0</v>
      </c>
      <c r="Z803" s="2396">
        <v>31111005</v>
      </c>
      <c r="AA803" s="2397" t="s">
        <v>4392</v>
      </c>
      <c r="AB803" s="2398">
        <v>0</v>
      </c>
      <c r="AC803" s="2179">
        <v>0</v>
      </c>
      <c r="AD803" s="2399">
        <v>0</v>
      </c>
      <c r="AE803" s="2400">
        <v>0</v>
      </c>
      <c r="AF803" s="2398">
        <v>0</v>
      </c>
      <c r="AG803" s="2398">
        <v>0</v>
      </c>
      <c r="AH803" s="2401">
        <v>0</v>
      </c>
      <c r="AI803" s="2401">
        <v>0</v>
      </c>
      <c r="AJ803" s="2398">
        <v>0</v>
      </c>
      <c r="AZ803" s="2396">
        <v>31111005</v>
      </c>
      <c r="BA803" s="2397" t="s">
        <v>4392</v>
      </c>
      <c r="BB803" s="2398">
        <v>0</v>
      </c>
      <c r="BC803" s="2179">
        <v>0</v>
      </c>
      <c r="BD803" s="2399">
        <v>0</v>
      </c>
      <c r="BE803" s="2400">
        <v>0</v>
      </c>
      <c r="BF803" s="2398">
        <v>0</v>
      </c>
      <c r="BG803" s="2398">
        <v>0</v>
      </c>
      <c r="BH803" s="2401">
        <v>0</v>
      </c>
      <c r="BI803" s="2401">
        <v>0</v>
      </c>
      <c r="BJ803" s="2398">
        <v>0</v>
      </c>
      <c r="BN803" s="2396">
        <v>31141002</v>
      </c>
      <c r="BO803" s="2397" t="s">
        <v>4419</v>
      </c>
      <c r="BP803" s="2398">
        <v>2000000000</v>
      </c>
      <c r="BQ803" s="2179">
        <v>0</v>
      </c>
      <c r="BR803" s="2399">
        <v>0</v>
      </c>
      <c r="BS803" s="2400">
        <v>0</v>
      </c>
      <c r="BT803" s="2398">
        <v>0</v>
      </c>
      <c r="BU803" s="2398">
        <v>2000000000</v>
      </c>
      <c r="BV803" s="2401">
        <v>0</v>
      </c>
      <c r="BW803" s="2401">
        <v>0</v>
      </c>
      <c r="BX803" s="2398">
        <v>2000000000</v>
      </c>
    </row>
    <row r="804" spans="2:76">
      <c r="B804" s="2564">
        <v>31111006</v>
      </c>
      <c r="C804" s="2565" t="s">
        <v>5090</v>
      </c>
      <c r="D804" s="2566">
        <v>0</v>
      </c>
      <c r="E804" s="1080">
        <v>0</v>
      </c>
      <c r="F804" s="2567">
        <v>0</v>
      </c>
      <c r="G804" s="2568">
        <v>0</v>
      </c>
      <c r="H804" s="2566">
        <v>0</v>
      </c>
      <c r="I804" s="2566">
        <v>0</v>
      </c>
      <c r="J804" s="2569">
        <v>0</v>
      </c>
      <c r="K804" s="2569">
        <v>0</v>
      </c>
      <c r="L804" s="2566">
        <v>0</v>
      </c>
      <c r="N804" s="2396">
        <v>31111006</v>
      </c>
      <c r="O804" s="2397" t="s">
        <v>4393</v>
      </c>
      <c r="P804" s="2398">
        <v>0</v>
      </c>
      <c r="Q804" s="2179">
        <v>0</v>
      </c>
      <c r="R804" s="2399">
        <v>0</v>
      </c>
      <c r="S804" s="2400">
        <v>0</v>
      </c>
      <c r="T804" s="2398">
        <v>0</v>
      </c>
      <c r="U804" s="2398">
        <v>0</v>
      </c>
      <c r="V804" s="2401">
        <v>0</v>
      </c>
      <c r="W804" s="2401">
        <v>0</v>
      </c>
      <c r="X804" s="2398">
        <v>0</v>
      </c>
      <c r="Z804" s="2396">
        <v>31111006</v>
      </c>
      <c r="AA804" s="2397" t="s">
        <v>4393</v>
      </c>
      <c r="AB804" s="2398">
        <v>0</v>
      </c>
      <c r="AC804" s="2179">
        <v>0</v>
      </c>
      <c r="AD804" s="2399">
        <v>0</v>
      </c>
      <c r="AE804" s="2400">
        <v>0</v>
      </c>
      <c r="AF804" s="2398">
        <v>0</v>
      </c>
      <c r="AG804" s="2398">
        <v>0</v>
      </c>
      <c r="AH804" s="2401">
        <v>0</v>
      </c>
      <c r="AI804" s="2401">
        <v>0</v>
      </c>
      <c r="AJ804" s="2398">
        <v>0</v>
      </c>
      <c r="AZ804" s="2396">
        <v>31111006</v>
      </c>
      <c r="BA804" s="2397" t="s">
        <v>4393</v>
      </c>
      <c r="BB804" s="2398">
        <v>0</v>
      </c>
      <c r="BC804" s="2179">
        <v>0</v>
      </c>
      <c r="BD804" s="2399">
        <v>0</v>
      </c>
      <c r="BE804" s="2400">
        <v>0</v>
      </c>
      <c r="BF804" s="2398">
        <v>0</v>
      </c>
      <c r="BG804" s="2398">
        <v>0</v>
      </c>
      <c r="BH804" s="2401">
        <v>0</v>
      </c>
      <c r="BI804" s="2401">
        <v>0</v>
      </c>
      <c r="BJ804" s="2398">
        <v>0</v>
      </c>
      <c r="BN804" s="2396">
        <v>31141003</v>
      </c>
      <c r="BO804" s="2397" t="s">
        <v>4420</v>
      </c>
      <c r="BP804" s="2398">
        <v>708700000000</v>
      </c>
      <c r="BQ804" s="2179">
        <v>0</v>
      </c>
      <c r="BR804" s="2399">
        <v>0</v>
      </c>
      <c r="BS804" s="2400">
        <v>0</v>
      </c>
      <c r="BT804" s="2398">
        <v>0</v>
      </c>
      <c r="BU804" s="2398">
        <v>708700000000</v>
      </c>
      <c r="BV804" s="2401">
        <v>0</v>
      </c>
      <c r="BW804" s="2401">
        <v>0</v>
      </c>
      <c r="BX804" s="2398">
        <v>708700000000</v>
      </c>
    </row>
    <row r="805" spans="2:76">
      <c r="B805" s="2564">
        <v>31111007</v>
      </c>
      <c r="C805" s="2565" t="s">
        <v>5091</v>
      </c>
      <c r="D805" s="2566">
        <v>0</v>
      </c>
      <c r="E805" s="1080">
        <v>0</v>
      </c>
      <c r="F805" s="2567">
        <v>0</v>
      </c>
      <c r="G805" s="2568">
        <v>0</v>
      </c>
      <c r="H805" s="2566">
        <v>0</v>
      </c>
      <c r="I805" s="2566">
        <v>0</v>
      </c>
      <c r="J805" s="2569">
        <v>0</v>
      </c>
      <c r="K805" s="2569">
        <v>0</v>
      </c>
      <c r="L805" s="2566">
        <v>0</v>
      </c>
      <c r="N805" s="2396">
        <v>31111007</v>
      </c>
      <c r="O805" s="2397" t="s">
        <v>4394</v>
      </c>
      <c r="P805" s="2398">
        <v>0</v>
      </c>
      <c r="Q805" s="2179">
        <v>0</v>
      </c>
      <c r="R805" s="2399">
        <v>0</v>
      </c>
      <c r="S805" s="2400">
        <v>0</v>
      </c>
      <c r="T805" s="2398">
        <v>0</v>
      </c>
      <c r="U805" s="2398">
        <v>0</v>
      </c>
      <c r="V805" s="2401">
        <v>0</v>
      </c>
      <c r="W805" s="2401">
        <v>0</v>
      </c>
      <c r="X805" s="2398">
        <v>0</v>
      </c>
      <c r="Z805" s="2396">
        <v>31111007</v>
      </c>
      <c r="AA805" s="2397" t="s">
        <v>4394</v>
      </c>
      <c r="AB805" s="2398">
        <v>0</v>
      </c>
      <c r="AC805" s="2179">
        <v>0</v>
      </c>
      <c r="AD805" s="2399">
        <v>0</v>
      </c>
      <c r="AE805" s="2400">
        <v>0</v>
      </c>
      <c r="AF805" s="2398">
        <v>0</v>
      </c>
      <c r="AG805" s="2398">
        <v>0</v>
      </c>
      <c r="AH805" s="2401">
        <v>0</v>
      </c>
      <c r="AI805" s="2401">
        <v>0</v>
      </c>
      <c r="AJ805" s="2398">
        <v>0</v>
      </c>
      <c r="AZ805" s="2396">
        <v>31111007</v>
      </c>
      <c r="BA805" s="2397" t="s">
        <v>4394</v>
      </c>
      <c r="BB805" s="2398">
        <v>0</v>
      </c>
      <c r="BC805" s="2179">
        <v>0</v>
      </c>
      <c r="BD805" s="2399">
        <v>0</v>
      </c>
      <c r="BE805" s="2400">
        <v>0</v>
      </c>
      <c r="BF805" s="2398">
        <v>0</v>
      </c>
      <c r="BG805" s="2398">
        <v>0</v>
      </c>
      <c r="BH805" s="2401">
        <v>0</v>
      </c>
      <c r="BI805" s="2401">
        <v>0</v>
      </c>
      <c r="BJ805" s="2398">
        <v>0</v>
      </c>
      <c r="BN805" s="2396">
        <v>31141004</v>
      </c>
      <c r="BO805" s="2397" t="s">
        <v>4421</v>
      </c>
      <c r="BP805" s="2398">
        <v>0</v>
      </c>
      <c r="BQ805" s="2179">
        <v>0</v>
      </c>
      <c r="BR805" s="2399">
        <v>0</v>
      </c>
      <c r="BS805" s="2400">
        <v>0</v>
      </c>
      <c r="BT805" s="2398">
        <v>0</v>
      </c>
      <c r="BU805" s="2398">
        <v>0</v>
      </c>
      <c r="BV805" s="2401">
        <v>0</v>
      </c>
      <c r="BW805" s="2401">
        <v>0</v>
      </c>
      <c r="BX805" s="2398">
        <v>0</v>
      </c>
    </row>
    <row r="806" spans="2:76">
      <c r="B806" s="2564">
        <v>31111008</v>
      </c>
      <c r="C806" s="2565" t="s">
        <v>4395</v>
      </c>
      <c r="D806" s="2566">
        <v>-296335913</v>
      </c>
      <c r="E806" s="1080">
        <v>0</v>
      </c>
      <c r="F806" s="2567">
        <v>0</v>
      </c>
      <c r="G806" s="2568">
        <v>0</v>
      </c>
      <c r="H806" s="2566">
        <v>0</v>
      </c>
      <c r="I806" s="2566">
        <v>-296335913</v>
      </c>
      <c r="J806" s="2569">
        <v>57092395</v>
      </c>
      <c r="K806" s="2569">
        <v>40567000</v>
      </c>
      <c r="L806" s="2566">
        <v>-312861308</v>
      </c>
      <c r="N806" s="2396">
        <v>31111008</v>
      </c>
      <c r="O806" s="2397" t="s">
        <v>4395</v>
      </c>
      <c r="P806" s="2398">
        <v>-296335913</v>
      </c>
      <c r="Q806" s="2179">
        <v>0</v>
      </c>
      <c r="R806" s="2399">
        <v>0</v>
      </c>
      <c r="S806" s="2400">
        <v>0</v>
      </c>
      <c r="T806" s="2398">
        <v>0</v>
      </c>
      <c r="U806" s="2398">
        <v>-296335913</v>
      </c>
      <c r="V806" s="2401">
        <v>57092395</v>
      </c>
      <c r="W806" s="2401">
        <v>40567000</v>
      </c>
      <c r="X806" s="2398">
        <v>-312861308</v>
      </c>
      <c r="Z806" s="2396">
        <v>31111008</v>
      </c>
      <c r="AA806" s="2397" t="s">
        <v>4395</v>
      </c>
      <c r="AB806" s="2398">
        <v>-296335913</v>
      </c>
      <c r="AC806" s="2179">
        <v>0</v>
      </c>
      <c r="AD806" s="2399">
        <v>0</v>
      </c>
      <c r="AE806" s="2400">
        <v>0</v>
      </c>
      <c r="AF806" s="2398">
        <v>0</v>
      </c>
      <c r="AG806" s="2398">
        <v>-296335913</v>
      </c>
      <c r="AH806" s="2401">
        <v>57092395</v>
      </c>
      <c r="AI806" s="2401">
        <v>40567000</v>
      </c>
      <c r="AJ806" s="2398">
        <v>-312861308</v>
      </c>
      <c r="AZ806" s="2396">
        <v>31111008</v>
      </c>
      <c r="BA806" s="2397" t="s">
        <v>4395</v>
      </c>
      <c r="BB806" s="2398">
        <v>-296335913</v>
      </c>
      <c r="BC806" s="2179">
        <v>0</v>
      </c>
      <c r="BD806" s="2399">
        <v>0</v>
      </c>
      <c r="BE806" s="2400">
        <v>0</v>
      </c>
      <c r="BF806" s="2398">
        <v>0</v>
      </c>
      <c r="BG806" s="2398">
        <v>-296335913</v>
      </c>
      <c r="BH806" s="2401">
        <v>57092395</v>
      </c>
      <c r="BI806" s="2401">
        <v>40567000</v>
      </c>
      <c r="BJ806" s="2398">
        <v>-312861308</v>
      </c>
      <c r="BN806" s="2396">
        <v>31141005</v>
      </c>
      <c r="BO806" s="2397" t="s">
        <v>4422</v>
      </c>
      <c r="BP806" s="2398">
        <v>0</v>
      </c>
      <c r="BQ806" s="2179">
        <v>0</v>
      </c>
      <c r="BR806" s="2399">
        <v>0</v>
      </c>
      <c r="BS806" s="2400">
        <v>0</v>
      </c>
      <c r="BT806" s="2398">
        <v>0</v>
      </c>
      <c r="BU806" s="2398">
        <v>0</v>
      </c>
      <c r="BV806" s="2401">
        <v>0</v>
      </c>
      <c r="BW806" s="2401">
        <v>0</v>
      </c>
      <c r="BX806" s="2398">
        <v>0</v>
      </c>
    </row>
    <row r="807" spans="2:76">
      <c r="B807" s="2564">
        <v>31111009</v>
      </c>
      <c r="C807" s="2565" t="s">
        <v>5092</v>
      </c>
      <c r="D807" s="2566">
        <v>0</v>
      </c>
      <c r="E807" s="1080">
        <v>0</v>
      </c>
      <c r="F807" s="2567">
        <v>0</v>
      </c>
      <c r="G807" s="2568">
        <v>0</v>
      </c>
      <c r="H807" s="2566">
        <v>0</v>
      </c>
      <c r="I807" s="2566">
        <v>0</v>
      </c>
      <c r="J807" s="2569">
        <v>383597264</v>
      </c>
      <c r="K807" s="2569">
        <v>-38029744</v>
      </c>
      <c r="L807" s="2566">
        <v>-421627008</v>
      </c>
      <c r="N807" s="2396">
        <v>31111009</v>
      </c>
      <c r="O807" s="2397" t="s">
        <v>4396</v>
      </c>
      <c r="P807" s="2398">
        <v>0</v>
      </c>
      <c r="Q807" s="2179">
        <v>0</v>
      </c>
      <c r="R807" s="2399">
        <v>0</v>
      </c>
      <c r="S807" s="2400">
        <v>0</v>
      </c>
      <c r="T807" s="2398">
        <v>0</v>
      </c>
      <c r="U807" s="2398">
        <v>0</v>
      </c>
      <c r="V807" s="2401">
        <v>383597264</v>
      </c>
      <c r="W807" s="2401">
        <v>-38029744</v>
      </c>
      <c r="X807" s="2398">
        <v>-421627008</v>
      </c>
      <c r="Z807" s="2396">
        <v>31111009</v>
      </c>
      <c r="AA807" s="2397" t="s">
        <v>4396</v>
      </c>
      <c r="AB807" s="2398">
        <v>0</v>
      </c>
      <c r="AC807" s="2179">
        <v>0</v>
      </c>
      <c r="AD807" s="2399">
        <v>0</v>
      </c>
      <c r="AE807" s="2400">
        <v>0</v>
      </c>
      <c r="AF807" s="2398">
        <v>0</v>
      </c>
      <c r="AG807" s="2398">
        <v>0</v>
      </c>
      <c r="AH807" s="2401">
        <v>383597264</v>
      </c>
      <c r="AI807" s="2401">
        <v>-38029744</v>
      </c>
      <c r="AJ807" s="2398">
        <v>-421627008</v>
      </c>
      <c r="AZ807" s="2396">
        <v>31111009</v>
      </c>
      <c r="BA807" s="2397" t="s">
        <v>4396</v>
      </c>
      <c r="BB807" s="2398">
        <v>0</v>
      </c>
      <c r="BC807" s="2179">
        <v>0</v>
      </c>
      <c r="BD807" s="2399">
        <v>0</v>
      </c>
      <c r="BE807" s="2400">
        <v>0</v>
      </c>
      <c r="BF807" s="2398">
        <v>0</v>
      </c>
      <c r="BG807" s="2398">
        <v>0</v>
      </c>
      <c r="BH807" s="2401">
        <v>383597264</v>
      </c>
      <c r="BI807" s="2401">
        <v>-38029744</v>
      </c>
      <c r="BJ807" s="2398">
        <v>-421627008</v>
      </c>
      <c r="BN807" s="2396">
        <v>31141006</v>
      </c>
      <c r="BO807" s="2397" t="s">
        <v>4423</v>
      </c>
      <c r="BP807" s="2398">
        <v>20000000000</v>
      </c>
      <c r="BQ807" s="2179">
        <v>0</v>
      </c>
      <c r="BR807" s="2399">
        <v>0</v>
      </c>
      <c r="BS807" s="2400">
        <v>0</v>
      </c>
      <c r="BT807" s="2398">
        <v>0</v>
      </c>
      <c r="BU807" s="2398">
        <v>20000000000</v>
      </c>
      <c r="BV807" s="2401">
        <v>97930227</v>
      </c>
      <c r="BW807" s="2401">
        <v>97930227</v>
      </c>
      <c r="BX807" s="2398">
        <v>20000000000</v>
      </c>
    </row>
    <row r="808" spans="2:76">
      <c r="B808" s="2552">
        <v>31120000</v>
      </c>
      <c r="C808" s="2570" t="s">
        <v>4397</v>
      </c>
      <c r="D808" s="2554">
        <v>0</v>
      </c>
      <c r="E808" s="2554">
        <v>0</v>
      </c>
      <c r="F808" s="2555">
        <v>0</v>
      </c>
      <c r="G808" s="2556">
        <v>0</v>
      </c>
      <c r="H808" s="2554">
        <v>0</v>
      </c>
      <c r="I808" s="2554">
        <v>0</v>
      </c>
      <c r="J808" s="2557">
        <v>0</v>
      </c>
      <c r="K808" s="2557">
        <v>0</v>
      </c>
      <c r="L808" s="2554">
        <v>0</v>
      </c>
      <c r="N808" s="2384">
        <v>31120000</v>
      </c>
      <c r="O808" s="2402" t="s">
        <v>4397</v>
      </c>
      <c r="P808" s="2386">
        <v>0</v>
      </c>
      <c r="Q808" s="2386">
        <v>0</v>
      </c>
      <c r="R808" s="2387">
        <v>0</v>
      </c>
      <c r="S808" s="2388">
        <v>0</v>
      </c>
      <c r="T808" s="2386">
        <v>0</v>
      </c>
      <c r="U808" s="2386">
        <v>0</v>
      </c>
      <c r="V808" s="2389">
        <v>0</v>
      </c>
      <c r="W808" s="2389">
        <v>0</v>
      </c>
      <c r="X808" s="2386">
        <v>0</v>
      </c>
      <c r="Z808" s="2384">
        <v>31120000</v>
      </c>
      <c r="AA808" s="2402" t="s">
        <v>4397</v>
      </c>
      <c r="AB808" s="2386">
        <v>0</v>
      </c>
      <c r="AC808" s="2386">
        <v>0</v>
      </c>
      <c r="AD808" s="2387">
        <v>0</v>
      </c>
      <c r="AE808" s="2388">
        <v>0</v>
      </c>
      <c r="AF808" s="2386">
        <v>0</v>
      </c>
      <c r="AG808" s="2386">
        <v>0</v>
      </c>
      <c r="AH808" s="2389">
        <v>0</v>
      </c>
      <c r="AI808" s="2389">
        <v>0</v>
      </c>
      <c r="AJ808" s="2386">
        <v>0</v>
      </c>
      <c r="AZ808" s="2384">
        <v>31120000</v>
      </c>
      <c r="BA808" s="2402" t="s">
        <v>4397</v>
      </c>
      <c r="BB808" s="2386">
        <v>0</v>
      </c>
      <c r="BC808" s="2386">
        <v>0</v>
      </c>
      <c r="BD808" s="2387">
        <v>0</v>
      </c>
      <c r="BE808" s="2388">
        <v>0</v>
      </c>
      <c r="BF808" s="2386">
        <v>0</v>
      </c>
      <c r="BG808" s="2386">
        <v>0</v>
      </c>
      <c r="BH808" s="2389">
        <v>0</v>
      </c>
      <c r="BI808" s="2389">
        <v>0</v>
      </c>
      <c r="BJ808" s="2386">
        <v>0</v>
      </c>
      <c r="BN808" s="2396">
        <v>31141007</v>
      </c>
      <c r="BO808" s="2397" t="s">
        <v>4424</v>
      </c>
      <c r="BP808" s="2398">
        <v>0</v>
      </c>
      <c r="BQ808" s="2179">
        <v>0</v>
      </c>
      <c r="BR808" s="2399">
        <v>0</v>
      </c>
      <c r="BS808" s="2400">
        <v>0</v>
      </c>
      <c r="BT808" s="2398">
        <v>0</v>
      </c>
      <c r="BU808" s="2398">
        <v>0</v>
      </c>
      <c r="BV808" s="2401">
        <v>0</v>
      </c>
      <c r="BW808" s="2401">
        <v>0</v>
      </c>
      <c r="BX808" s="2398">
        <v>0</v>
      </c>
    </row>
    <row r="809" spans="2:76">
      <c r="B809" s="2558">
        <v>31121000</v>
      </c>
      <c r="C809" s="2571" t="s">
        <v>4397</v>
      </c>
      <c r="D809" s="2560">
        <v>0</v>
      </c>
      <c r="E809" s="2560">
        <v>0</v>
      </c>
      <c r="F809" s="2561">
        <v>0</v>
      </c>
      <c r="G809" s="2562">
        <v>0</v>
      </c>
      <c r="H809" s="2560">
        <v>0</v>
      </c>
      <c r="I809" s="2560">
        <v>0</v>
      </c>
      <c r="J809" s="2563">
        <v>0</v>
      </c>
      <c r="K809" s="2563">
        <v>0</v>
      </c>
      <c r="L809" s="2560">
        <v>0</v>
      </c>
      <c r="N809" s="2390">
        <v>31121000</v>
      </c>
      <c r="O809" s="2403" t="s">
        <v>4397</v>
      </c>
      <c r="P809" s="2392">
        <v>0</v>
      </c>
      <c r="Q809" s="2392">
        <v>0</v>
      </c>
      <c r="R809" s="2393">
        <v>0</v>
      </c>
      <c r="S809" s="2394">
        <v>0</v>
      </c>
      <c r="T809" s="2392">
        <v>0</v>
      </c>
      <c r="U809" s="2392">
        <v>0</v>
      </c>
      <c r="V809" s="2395">
        <v>0</v>
      </c>
      <c r="W809" s="2395">
        <v>0</v>
      </c>
      <c r="X809" s="2392">
        <v>0</v>
      </c>
      <c r="Z809" s="2390">
        <v>31121000</v>
      </c>
      <c r="AA809" s="2403" t="s">
        <v>4397</v>
      </c>
      <c r="AB809" s="2392">
        <v>0</v>
      </c>
      <c r="AC809" s="2392">
        <v>0</v>
      </c>
      <c r="AD809" s="2393">
        <v>0</v>
      </c>
      <c r="AE809" s="2394">
        <v>0</v>
      </c>
      <c r="AF809" s="2392">
        <v>0</v>
      </c>
      <c r="AG809" s="2392">
        <v>0</v>
      </c>
      <c r="AH809" s="2395">
        <v>0</v>
      </c>
      <c r="AI809" s="2395">
        <v>0</v>
      </c>
      <c r="AJ809" s="2392">
        <v>0</v>
      </c>
      <c r="AZ809" s="2390">
        <v>31121000</v>
      </c>
      <c r="BA809" s="2403" t="s">
        <v>4397</v>
      </c>
      <c r="BB809" s="2392">
        <v>0</v>
      </c>
      <c r="BC809" s="2392">
        <v>0</v>
      </c>
      <c r="BD809" s="2393">
        <v>0</v>
      </c>
      <c r="BE809" s="2394">
        <v>0</v>
      </c>
      <c r="BF809" s="2392">
        <v>0</v>
      </c>
      <c r="BG809" s="2392">
        <v>0</v>
      </c>
      <c r="BH809" s="2395">
        <v>0</v>
      </c>
      <c r="BI809" s="2395">
        <v>0</v>
      </c>
      <c r="BJ809" s="2392">
        <v>0</v>
      </c>
      <c r="BN809" s="2396">
        <v>31141008</v>
      </c>
      <c r="BO809" s="2397" t="s">
        <v>4425</v>
      </c>
      <c r="BP809" s="2398">
        <v>0</v>
      </c>
      <c r="BQ809" s="2179">
        <v>0</v>
      </c>
      <c r="BR809" s="2399">
        <v>0</v>
      </c>
      <c r="BS809" s="2400">
        <v>0</v>
      </c>
      <c r="BT809" s="2398">
        <v>0</v>
      </c>
      <c r="BU809" s="2398">
        <v>0</v>
      </c>
      <c r="BV809" s="2401">
        <v>0</v>
      </c>
      <c r="BW809" s="2401">
        <v>0</v>
      </c>
      <c r="BX809" s="2398">
        <v>0</v>
      </c>
    </row>
    <row r="810" spans="2:76">
      <c r="B810" s="2564">
        <v>31121001</v>
      </c>
      <c r="C810" s="2565" t="s">
        <v>4398</v>
      </c>
      <c r="D810" s="2566">
        <v>0</v>
      </c>
      <c r="E810" s="1080">
        <v>0</v>
      </c>
      <c r="F810" s="2567">
        <v>0</v>
      </c>
      <c r="G810" s="2568">
        <v>0</v>
      </c>
      <c r="H810" s="2566">
        <v>0</v>
      </c>
      <c r="I810" s="2566">
        <v>0</v>
      </c>
      <c r="J810" s="2569">
        <v>0</v>
      </c>
      <c r="K810" s="2569">
        <v>0</v>
      </c>
      <c r="L810" s="2566">
        <v>0</v>
      </c>
      <c r="N810" s="2396">
        <v>31121001</v>
      </c>
      <c r="O810" s="2397" t="s">
        <v>4398</v>
      </c>
      <c r="P810" s="2398">
        <v>0</v>
      </c>
      <c r="Q810" s="2179">
        <v>0</v>
      </c>
      <c r="R810" s="2399">
        <v>0</v>
      </c>
      <c r="S810" s="2400">
        <v>0</v>
      </c>
      <c r="T810" s="2398">
        <v>0</v>
      </c>
      <c r="U810" s="2398">
        <v>0</v>
      </c>
      <c r="V810" s="2401">
        <v>0</v>
      </c>
      <c r="W810" s="2401">
        <v>0</v>
      </c>
      <c r="X810" s="2398">
        <v>0</v>
      </c>
      <c r="Z810" s="2396">
        <v>31121001</v>
      </c>
      <c r="AA810" s="2397" t="s">
        <v>4398</v>
      </c>
      <c r="AB810" s="2398">
        <v>0</v>
      </c>
      <c r="AC810" s="2179">
        <v>0</v>
      </c>
      <c r="AD810" s="2399">
        <v>0</v>
      </c>
      <c r="AE810" s="2400">
        <v>0</v>
      </c>
      <c r="AF810" s="2398">
        <v>0</v>
      </c>
      <c r="AG810" s="2398">
        <v>0</v>
      </c>
      <c r="AH810" s="2401">
        <v>0</v>
      </c>
      <c r="AI810" s="2401">
        <v>0</v>
      </c>
      <c r="AJ810" s="2398">
        <v>0</v>
      </c>
      <c r="AZ810" s="2396">
        <v>31121001</v>
      </c>
      <c r="BA810" s="2397" t="s">
        <v>4398</v>
      </c>
      <c r="BB810" s="2398">
        <v>0</v>
      </c>
      <c r="BC810" s="2179">
        <v>0</v>
      </c>
      <c r="BD810" s="2399">
        <v>0</v>
      </c>
      <c r="BE810" s="2400">
        <v>0</v>
      </c>
      <c r="BF810" s="2398">
        <v>0</v>
      </c>
      <c r="BG810" s="2398">
        <v>0</v>
      </c>
      <c r="BH810" s="2401">
        <v>0</v>
      </c>
      <c r="BI810" s="2401">
        <v>0</v>
      </c>
      <c r="BJ810" s="2398">
        <v>0</v>
      </c>
      <c r="BN810" s="2396">
        <v>31141009</v>
      </c>
      <c r="BO810" s="2397" t="s">
        <v>4426</v>
      </c>
      <c r="BP810" s="2398">
        <v>669600000000</v>
      </c>
      <c r="BQ810" s="2179">
        <v>0</v>
      </c>
      <c r="BR810" s="2399">
        <v>0</v>
      </c>
      <c r="BS810" s="2400">
        <v>0</v>
      </c>
      <c r="BT810" s="2398">
        <v>0</v>
      </c>
      <c r="BU810" s="2398">
        <v>669600000000</v>
      </c>
      <c r="BV810" s="2401">
        <v>0</v>
      </c>
      <c r="BW810" s="2401">
        <v>0</v>
      </c>
      <c r="BX810" s="2398">
        <v>669600000000</v>
      </c>
    </row>
    <row r="811" spans="2:76">
      <c r="B811" s="2564">
        <v>31121002</v>
      </c>
      <c r="C811" s="2565" t="s">
        <v>4399</v>
      </c>
      <c r="D811" s="2566">
        <v>0</v>
      </c>
      <c r="E811" s="1080">
        <v>0</v>
      </c>
      <c r="F811" s="2567">
        <v>0</v>
      </c>
      <c r="G811" s="2568">
        <v>0</v>
      </c>
      <c r="H811" s="2566">
        <v>0</v>
      </c>
      <c r="I811" s="2566">
        <v>0</v>
      </c>
      <c r="J811" s="2569">
        <v>0</v>
      </c>
      <c r="K811" s="2569">
        <v>0</v>
      </c>
      <c r="L811" s="2566">
        <v>0</v>
      </c>
      <c r="N811" s="2396">
        <v>31121002</v>
      </c>
      <c r="O811" s="2397" t="s">
        <v>4399</v>
      </c>
      <c r="P811" s="2398">
        <v>0</v>
      </c>
      <c r="Q811" s="2179">
        <v>0</v>
      </c>
      <c r="R811" s="2399">
        <v>0</v>
      </c>
      <c r="S811" s="2400">
        <v>0</v>
      </c>
      <c r="T811" s="2398">
        <v>0</v>
      </c>
      <c r="U811" s="2398">
        <v>0</v>
      </c>
      <c r="V811" s="2401">
        <v>0</v>
      </c>
      <c r="W811" s="2401">
        <v>0</v>
      </c>
      <c r="X811" s="2398">
        <v>0</v>
      </c>
      <c r="Z811" s="2396">
        <v>31121002</v>
      </c>
      <c r="AA811" s="2397" t="s">
        <v>4399</v>
      </c>
      <c r="AB811" s="2398">
        <v>0</v>
      </c>
      <c r="AC811" s="2179">
        <v>0</v>
      </c>
      <c r="AD811" s="2399">
        <v>0</v>
      </c>
      <c r="AE811" s="2400">
        <v>0</v>
      </c>
      <c r="AF811" s="2398">
        <v>0</v>
      </c>
      <c r="AG811" s="2398">
        <v>0</v>
      </c>
      <c r="AH811" s="2401">
        <v>0</v>
      </c>
      <c r="AI811" s="2401">
        <v>0</v>
      </c>
      <c r="AJ811" s="2398">
        <v>0</v>
      </c>
      <c r="AZ811" s="2396">
        <v>31121002</v>
      </c>
      <c r="BA811" s="2397" t="s">
        <v>4399</v>
      </c>
      <c r="BB811" s="2398">
        <v>0</v>
      </c>
      <c r="BC811" s="2179">
        <v>0</v>
      </c>
      <c r="BD811" s="2399">
        <v>0</v>
      </c>
      <c r="BE811" s="2400">
        <v>0</v>
      </c>
      <c r="BF811" s="2398">
        <v>0</v>
      </c>
      <c r="BG811" s="2398">
        <v>0</v>
      </c>
      <c r="BH811" s="2401">
        <v>0</v>
      </c>
      <c r="BI811" s="2401">
        <v>0</v>
      </c>
      <c r="BJ811" s="2398">
        <v>0</v>
      </c>
      <c r="BN811" s="2396">
        <v>31141010</v>
      </c>
      <c r="BO811" s="2397" t="s">
        <v>4427</v>
      </c>
      <c r="BP811" s="2398">
        <v>0</v>
      </c>
      <c r="BQ811" s="2179">
        <v>0</v>
      </c>
      <c r="BR811" s="2399">
        <v>0</v>
      </c>
      <c r="BS811" s="2400">
        <v>0</v>
      </c>
      <c r="BT811" s="2398">
        <v>0</v>
      </c>
      <c r="BU811" s="2398">
        <v>0</v>
      </c>
      <c r="BV811" s="2401">
        <v>0</v>
      </c>
      <c r="BW811" s="2401">
        <v>0</v>
      </c>
      <c r="BX811" s="2398">
        <v>0</v>
      </c>
    </row>
    <row r="812" spans="2:76">
      <c r="B812" s="2564">
        <v>31121003</v>
      </c>
      <c r="C812" s="2565" t="s">
        <v>4400</v>
      </c>
      <c r="D812" s="2566">
        <v>0</v>
      </c>
      <c r="E812" s="1080">
        <v>0</v>
      </c>
      <c r="F812" s="2567">
        <v>0</v>
      </c>
      <c r="G812" s="2568">
        <v>0</v>
      </c>
      <c r="H812" s="2566">
        <v>0</v>
      </c>
      <c r="I812" s="2566">
        <v>0</v>
      </c>
      <c r="J812" s="2569">
        <v>0</v>
      </c>
      <c r="K812" s="2569">
        <v>0</v>
      </c>
      <c r="L812" s="2566">
        <v>0</v>
      </c>
      <c r="N812" s="2396">
        <v>31121003</v>
      </c>
      <c r="O812" s="2397" t="s">
        <v>4400</v>
      </c>
      <c r="P812" s="2398">
        <v>0</v>
      </c>
      <c r="Q812" s="2179">
        <v>0</v>
      </c>
      <c r="R812" s="2399">
        <v>0</v>
      </c>
      <c r="S812" s="2400">
        <v>0</v>
      </c>
      <c r="T812" s="2398">
        <v>0</v>
      </c>
      <c r="U812" s="2398">
        <v>0</v>
      </c>
      <c r="V812" s="2401">
        <v>0</v>
      </c>
      <c r="W812" s="2401">
        <v>0</v>
      </c>
      <c r="X812" s="2398">
        <v>0</v>
      </c>
      <c r="Z812" s="2396">
        <v>31121003</v>
      </c>
      <c r="AA812" s="2397" t="s">
        <v>4400</v>
      </c>
      <c r="AB812" s="2398">
        <v>0</v>
      </c>
      <c r="AC812" s="2179">
        <v>0</v>
      </c>
      <c r="AD812" s="2399">
        <v>0</v>
      </c>
      <c r="AE812" s="2400">
        <v>0</v>
      </c>
      <c r="AF812" s="2398">
        <v>0</v>
      </c>
      <c r="AG812" s="2398">
        <v>0</v>
      </c>
      <c r="AH812" s="2401">
        <v>0</v>
      </c>
      <c r="AI812" s="2401">
        <v>0</v>
      </c>
      <c r="AJ812" s="2398">
        <v>0</v>
      </c>
      <c r="AZ812" s="2396">
        <v>31121003</v>
      </c>
      <c r="BA812" s="2397" t="s">
        <v>4400</v>
      </c>
      <c r="BB812" s="2398">
        <v>0</v>
      </c>
      <c r="BC812" s="2179">
        <v>0</v>
      </c>
      <c r="BD812" s="2399">
        <v>0</v>
      </c>
      <c r="BE812" s="2400">
        <v>0</v>
      </c>
      <c r="BF812" s="2398">
        <v>0</v>
      </c>
      <c r="BG812" s="2398">
        <v>0</v>
      </c>
      <c r="BH812" s="2401">
        <v>0</v>
      </c>
      <c r="BI812" s="2401">
        <v>0</v>
      </c>
      <c r="BJ812" s="2398">
        <v>0</v>
      </c>
      <c r="BN812" s="2396">
        <v>31141011</v>
      </c>
      <c r="BO812" s="2397" t="s">
        <v>4428</v>
      </c>
      <c r="BP812" s="2398">
        <v>0</v>
      </c>
      <c r="BQ812" s="2179">
        <v>11900000000</v>
      </c>
      <c r="BR812" s="2399">
        <v>0</v>
      </c>
      <c r="BS812" s="2400">
        <v>0</v>
      </c>
      <c r="BT812" s="2398">
        <v>0</v>
      </c>
      <c r="BU812" s="2398">
        <v>11900000000</v>
      </c>
      <c r="BV812" s="2401">
        <v>0</v>
      </c>
      <c r="BW812" s="2401">
        <v>0</v>
      </c>
      <c r="BX812" s="2398">
        <v>11900000000</v>
      </c>
    </row>
    <row r="813" spans="2:76">
      <c r="B813" s="2564">
        <v>31121004</v>
      </c>
      <c r="C813" s="2565" t="s">
        <v>4401</v>
      </c>
      <c r="D813" s="2566">
        <v>0</v>
      </c>
      <c r="E813" s="1080">
        <v>0</v>
      </c>
      <c r="F813" s="2567">
        <v>0</v>
      </c>
      <c r="G813" s="2568">
        <v>0</v>
      </c>
      <c r="H813" s="2566">
        <v>0</v>
      </c>
      <c r="I813" s="2566">
        <v>0</v>
      </c>
      <c r="J813" s="2569">
        <v>0</v>
      </c>
      <c r="K813" s="2569">
        <v>0</v>
      </c>
      <c r="L813" s="2566">
        <v>0</v>
      </c>
      <c r="N813" s="2396">
        <v>31121004</v>
      </c>
      <c r="O813" s="2397" t="s">
        <v>4401</v>
      </c>
      <c r="P813" s="2398">
        <v>0</v>
      </c>
      <c r="Q813" s="2179">
        <v>0</v>
      </c>
      <c r="R813" s="2399">
        <v>0</v>
      </c>
      <c r="S813" s="2400">
        <v>0</v>
      </c>
      <c r="T813" s="2398">
        <v>0</v>
      </c>
      <c r="U813" s="2398">
        <v>0</v>
      </c>
      <c r="V813" s="2401">
        <v>0</v>
      </c>
      <c r="W813" s="2401">
        <v>0</v>
      </c>
      <c r="X813" s="2398">
        <v>0</v>
      </c>
      <c r="Z813" s="2396">
        <v>31121004</v>
      </c>
      <c r="AA813" s="2397" t="s">
        <v>4401</v>
      </c>
      <c r="AB813" s="2398">
        <v>0</v>
      </c>
      <c r="AC813" s="2179">
        <v>0</v>
      </c>
      <c r="AD813" s="2399">
        <v>0</v>
      </c>
      <c r="AE813" s="2400">
        <v>0</v>
      </c>
      <c r="AF813" s="2398">
        <v>0</v>
      </c>
      <c r="AG813" s="2398">
        <v>0</v>
      </c>
      <c r="AH813" s="2401">
        <v>0</v>
      </c>
      <c r="AI813" s="2401">
        <v>0</v>
      </c>
      <c r="AJ813" s="2398">
        <v>0</v>
      </c>
      <c r="AZ813" s="2396">
        <v>31121004</v>
      </c>
      <c r="BA813" s="2397" t="s">
        <v>4401</v>
      </c>
      <c r="BB813" s="2398">
        <v>0</v>
      </c>
      <c r="BC813" s="2179">
        <v>0</v>
      </c>
      <c r="BD813" s="2399">
        <v>0</v>
      </c>
      <c r="BE813" s="2400">
        <v>0</v>
      </c>
      <c r="BF813" s="2398">
        <v>0</v>
      </c>
      <c r="BG813" s="2398">
        <v>0</v>
      </c>
      <c r="BH813" s="2401">
        <v>0</v>
      </c>
      <c r="BI813" s="2401">
        <v>0</v>
      </c>
      <c r="BJ813" s="2398">
        <v>0</v>
      </c>
      <c r="BN813" s="2396">
        <v>31141012</v>
      </c>
      <c r="BO813" s="2397" t="s">
        <v>4429</v>
      </c>
      <c r="BP813" s="2398">
        <v>-17179377343</v>
      </c>
      <c r="BQ813" s="2179">
        <v>-327000290</v>
      </c>
      <c r="BR813" s="2399">
        <v>-645494368</v>
      </c>
      <c r="BS813" s="2400">
        <v>75086723</v>
      </c>
      <c r="BT813" s="2398">
        <v>-12500272</v>
      </c>
      <c r="BU813" s="2398">
        <v>-18089285550</v>
      </c>
      <c r="BV813" s="2401">
        <v>647759976</v>
      </c>
      <c r="BW813" s="2401">
        <v>365978469</v>
      </c>
      <c r="BX813" s="2398">
        <v>-18371067057</v>
      </c>
    </row>
    <row r="814" spans="2:76">
      <c r="B814" s="2564">
        <v>31121005</v>
      </c>
      <c r="C814" s="2565" t="s">
        <v>4402</v>
      </c>
      <c r="D814" s="2566">
        <v>0</v>
      </c>
      <c r="E814" s="1080">
        <v>0</v>
      </c>
      <c r="F814" s="2567">
        <v>0</v>
      </c>
      <c r="G814" s="2568">
        <v>0</v>
      </c>
      <c r="H814" s="2566">
        <v>0</v>
      </c>
      <c r="I814" s="2566">
        <v>0</v>
      </c>
      <c r="J814" s="2569">
        <v>0</v>
      </c>
      <c r="K814" s="2569">
        <v>0</v>
      </c>
      <c r="L814" s="2566">
        <v>0</v>
      </c>
      <c r="N814" s="2396">
        <v>31121005</v>
      </c>
      <c r="O814" s="2397" t="s">
        <v>4402</v>
      </c>
      <c r="P814" s="2398">
        <v>0</v>
      </c>
      <c r="Q814" s="2179">
        <v>0</v>
      </c>
      <c r="R814" s="2399">
        <v>0</v>
      </c>
      <c r="S814" s="2400">
        <v>0</v>
      </c>
      <c r="T814" s="2398">
        <v>0</v>
      </c>
      <c r="U814" s="2398">
        <v>0</v>
      </c>
      <c r="V814" s="2401">
        <v>0</v>
      </c>
      <c r="W814" s="2401">
        <v>0</v>
      </c>
      <c r="X814" s="2398">
        <v>0</v>
      </c>
      <c r="Z814" s="2396">
        <v>31121005</v>
      </c>
      <c r="AA814" s="2397" t="s">
        <v>4402</v>
      </c>
      <c r="AB814" s="2398">
        <v>0</v>
      </c>
      <c r="AC814" s="2179">
        <v>0</v>
      </c>
      <c r="AD814" s="2399">
        <v>0</v>
      </c>
      <c r="AE814" s="2400">
        <v>0</v>
      </c>
      <c r="AF814" s="2398">
        <v>0</v>
      </c>
      <c r="AG814" s="2398">
        <v>0</v>
      </c>
      <c r="AH814" s="2401">
        <v>0</v>
      </c>
      <c r="AI814" s="2401">
        <v>0</v>
      </c>
      <c r="AJ814" s="2398">
        <v>0</v>
      </c>
      <c r="AZ814" s="2396">
        <v>31121005</v>
      </c>
      <c r="BA814" s="2397" t="s">
        <v>4402</v>
      </c>
      <c r="BB814" s="2398">
        <v>0</v>
      </c>
      <c r="BC814" s="2179">
        <v>0</v>
      </c>
      <c r="BD814" s="2399">
        <v>0</v>
      </c>
      <c r="BE814" s="2400">
        <v>0</v>
      </c>
      <c r="BF814" s="2398">
        <v>0</v>
      </c>
      <c r="BG814" s="2398">
        <v>0</v>
      </c>
      <c r="BH814" s="2401">
        <v>0</v>
      </c>
      <c r="BI814" s="2401">
        <v>0</v>
      </c>
      <c r="BJ814" s="2398">
        <v>0</v>
      </c>
      <c r="BN814" s="2396">
        <v>31141013</v>
      </c>
      <c r="BO814" s="2397" t="s">
        <v>4430</v>
      </c>
      <c r="BP814" s="2398">
        <v>0</v>
      </c>
      <c r="BQ814" s="2179">
        <v>0</v>
      </c>
      <c r="BR814" s="2399">
        <v>0</v>
      </c>
      <c r="BS814" s="2400">
        <v>0</v>
      </c>
      <c r="BT814" s="2398">
        <v>0</v>
      </c>
      <c r="BU814" s="2398">
        <v>0</v>
      </c>
      <c r="BV814" s="2401">
        <v>0</v>
      </c>
      <c r="BW814" s="2401">
        <v>0</v>
      </c>
      <c r="BX814" s="2398">
        <v>0</v>
      </c>
    </row>
    <row r="815" spans="2:76">
      <c r="B815" s="2564">
        <v>31121006</v>
      </c>
      <c r="C815" s="2565" t="s">
        <v>4403</v>
      </c>
      <c r="D815" s="2566">
        <v>0</v>
      </c>
      <c r="E815" s="1080">
        <v>0</v>
      </c>
      <c r="F815" s="2567">
        <v>0</v>
      </c>
      <c r="G815" s="2568">
        <v>0</v>
      </c>
      <c r="H815" s="2566">
        <v>0</v>
      </c>
      <c r="I815" s="2566">
        <v>0</v>
      </c>
      <c r="J815" s="2569">
        <v>0</v>
      </c>
      <c r="K815" s="2569">
        <v>0</v>
      </c>
      <c r="L815" s="2566">
        <v>0</v>
      </c>
      <c r="N815" s="2396">
        <v>31121006</v>
      </c>
      <c r="O815" s="2397" t="s">
        <v>4403</v>
      </c>
      <c r="P815" s="2398">
        <v>0</v>
      </c>
      <c r="Q815" s="2179">
        <v>0</v>
      </c>
      <c r="R815" s="2399">
        <v>0</v>
      </c>
      <c r="S815" s="2400">
        <v>0</v>
      </c>
      <c r="T815" s="2398">
        <v>0</v>
      </c>
      <c r="U815" s="2398">
        <v>0</v>
      </c>
      <c r="V815" s="2401">
        <v>0</v>
      </c>
      <c r="W815" s="2401">
        <v>0</v>
      </c>
      <c r="X815" s="2398">
        <v>0</v>
      </c>
      <c r="Z815" s="2396">
        <v>31121006</v>
      </c>
      <c r="AA815" s="2397" t="s">
        <v>4403</v>
      </c>
      <c r="AB815" s="2398">
        <v>0</v>
      </c>
      <c r="AC815" s="2179">
        <v>0</v>
      </c>
      <c r="AD815" s="2399">
        <v>0</v>
      </c>
      <c r="AE815" s="2400">
        <v>0</v>
      </c>
      <c r="AF815" s="2398">
        <v>0</v>
      </c>
      <c r="AG815" s="2398">
        <v>0</v>
      </c>
      <c r="AH815" s="2401">
        <v>0</v>
      </c>
      <c r="AI815" s="2401">
        <v>0</v>
      </c>
      <c r="AJ815" s="2398">
        <v>0</v>
      </c>
      <c r="AZ815" s="2396">
        <v>31121006</v>
      </c>
      <c r="BA815" s="2397" t="s">
        <v>4403</v>
      </c>
      <c r="BB815" s="2398">
        <v>0</v>
      </c>
      <c r="BC815" s="2179">
        <v>0</v>
      </c>
      <c r="BD815" s="2399">
        <v>0</v>
      </c>
      <c r="BE815" s="2400">
        <v>0</v>
      </c>
      <c r="BF815" s="2398">
        <v>0</v>
      </c>
      <c r="BG815" s="2398">
        <v>0</v>
      </c>
      <c r="BH815" s="2401">
        <v>0</v>
      </c>
      <c r="BI815" s="2401">
        <v>0</v>
      </c>
      <c r="BJ815" s="2398">
        <v>0</v>
      </c>
      <c r="BN815" s="2396">
        <v>31141014</v>
      </c>
      <c r="BO815" s="2397" t="s">
        <v>4431</v>
      </c>
      <c r="BP815" s="2398">
        <v>0</v>
      </c>
      <c r="BQ815" s="2179">
        <v>0</v>
      </c>
      <c r="BR815" s="2399">
        <v>0</v>
      </c>
      <c r="BS815" s="2400">
        <v>0</v>
      </c>
      <c r="BT815" s="2398">
        <v>0</v>
      </c>
      <c r="BU815" s="2398">
        <v>0</v>
      </c>
      <c r="BV815" s="2401">
        <v>0</v>
      </c>
      <c r="BW815" s="2401">
        <v>0</v>
      </c>
      <c r="BX815" s="2398">
        <v>0</v>
      </c>
    </row>
    <row r="816" spans="2:76">
      <c r="B816" s="2552">
        <v>31130000</v>
      </c>
      <c r="C816" s="2570" t="s">
        <v>4404</v>
      </c>
      <c r="D816" s="2554">
        <v>-16239293895</v>
      </c>
      <c r="E816" s="2554">
        <v>843483192</v>
      </c>
      <c r="F816" s="2555">
        <v>0</v>
      </c>
      <c r="G816" s="2556">
        <v>0</v>
      </c>
      <c r="H816" s="2554">
        <v>3240010723</v>
      </c>
      <c r="I816" s="2554">
        <v>-12155799980</v>
      </c>
      <c r="J816" s="2557">
        <v>0</v>
      </c>
      <c r="K816" s="2557">
        <v>0</v>
      </c>
      <c r="L816" s="2554">
        <v>-13800588460.773254</v>
      </c>
      <c r="N816" s="2384">
        <v>31130000</v>
      </c>
      <c r="O816" s="2402" t="s">
        <v>4404</v>
      </c>
      <c r="P816" s="2386">
        <v>-13560887347</v>
      </c>
      <c r="Q816" s="2386">
        <v>595842698</v>
      </c>
      <c r="R816" s="2387">
        <v>0</v>
      </c>
      <c r="S816" s="2388">
        <v>0</v>
      </c>
      <c r="T816" s="2386">
        <v>1665323699</v>
      </c>
      <c r="U816" s="2386">
        <v>-11299720950</v>
      </c>
      <c r="V816" s="2389">
        <v>0</v>
      </c>
      <c r="W816" s="2389">
        <v>0</v>
      </c>
      <c r="X816" s="2386">
        <v>-14721640972.773254</v>
      </c>
      <c r="Z816" s="2384">
        <v>31130000</v>
      </c>
      <c r="AA816" s="2402" t="s">
        <v>4404</v>
      </c>
      <c r="AB816" s="2386">
        <v>-1974339570</v>
      </c>
      <c r="AC816" s="2386">
        <v>-288798432</v>
      </c>
      <c r="AD816" s="2387">
        <v>0</v>
      </c>
      <c r="AE816" s="2388">
        <v>0</v>
      </c>
      <c r="AF816" s="2386">
        <v>292463719</v>
      </c>
      <c r="AG816" s="2386">
        <v>-1970674283</v>
      </c>
      <c r="AH816" s="2389">
        <v>0</v>
      </c>
      <c r="AI816" s="2389">
        <v>0</v>
      </c>
      <c r="AJ816" s="2386">
        <v>-6699436558.7732544</v>
      </c>
      <c r="AZ816" s="2384">
        <v>31130000</v>
      </c>
      <c r="BA816" s="2402" t="s">
        <v>4404</v>
      </c>
      <c r="BB816" s="2386">
        <v>-7513418155</v>
      </c>
      <c r="BC816" s="2386">
        <v>0</v>
      </c>
      <c r="BD816" s="2387">
        <v>0</v>
      </c>
      <c r="BE816" s="2388">
        <v>0</v>
      </c>
      <c r="BF816" s="2386">
        <v>2118604151</v>
      </c>
      <c r="BG816" s="2386">
        <v>-5394814004</v>
      </c>
      <c r="BH816" s="2389">
        <v>0</v>
      </c>
      <c r="BI816" s="2389">
        <v>0</v>
      </c>
      <c r="BJ816" s="2386">
        <v>-7919174535.7732544</v>
      </c>
      <c r="BN816" s="2396">
        <v>31141015</v>
      </c>
      <c r="BO816" s="2397" t="s">
        <v>3897</v>
      </c>
      <c r="BP816" s="2398">
        <v>18530465516</v>
      </c>
      <c r="BQ816" s="2179">
        <v>-312379905</v>
      </c>
      <c r="BR816" s="2399">
        <v>7691836812</v>
      </c>
      <c r="BS816" s="2400">
        <v>8990343511</v>
      </c>
      <c r="BT816" s="2398">
        <v>11364696807</v>
      </c>
      <c r="BU816" s="2398">
        <v>46264962741</v>
      </c>
      <c r="BV816" s="2401">
        <v>46085314400</v>
      </c>
      <c r="BW816" s="2401">
        <v>50781218562</v>
      </c>
      <c r="BX816" s="2398">
        <v>50960866903</v>
      </c>
    </row>
    <row r="817" spans="2:76">
      <c r="B817" s="2558">
        <v>31131000</v>
      </c>
      <c r="C817" s="2571" t="s">
        <v>4404</v>
      </c>
      <c r="D817" s="2560">
        <v>-16239293895</v>
      </c>
      <c r="E817" s="2560">
        <v>843483192</v>
      </c>
      <c r="F817" s="2561">
        <v>0</v>
      </c>
      <c r="G817" s="2562">
        <v>0</v>
      </c>
      <c r="H817" s="2560">
        <v>3240010723</v>
      </c>
      <c r="I817" s="2560">
        <v>-12155799980</v>
      </c>
      <c r="J817" s="2563">
        <v>0</v>
      </c>
      <c r="K817" s="2563">
        <v>0</v>
      </c>
      <c r="L817" s="2560">
        <v>-13800588460.773254</v>
      </c>
      <c r="N817" s="2390">
        <v>31131000</v>
      </c>
      <c r="O817" s="2403" t="s">
        <v>4404</v>
      </c>
      <c r="P817" s="2392">
        <v>-13560887347</v>
      </c>
      <c r="Q817" s="2392">
        <v>595842698</v>
      </c>
      <c r="R817" s="2393">
        <v>0</v>
      </c>
      <c r="S817" s="2394">
        <v>0</v>
      </c>
      <c r="T817" s="2392">
        <v>1665323699</v>
      </c>
      <c r="U817" s="2392">
        <v>-11299720950</v>
      </c>
      <c r="V817" s="2395">
        <v>0</v>
      </c>
      <c r="W817" s="2395">
        <v>0</v>
      </c>
      <c r="X817" s="2392">
        <v>-14721640972.773254</v>
      </c>
      <c r="Z817" s="2390">
        <v>31131000</v>
      </c>
      <c r="AA817" s="2403" t="s">
        <v>4404</v>
      </c>
      <c r="AB817" s="2392">
        <v>-1974339570</v>
      </c>
      <c r="AC817" s="2392">
        <v>-288798432</v>
      </c>
      <c r="AD817" s="2393">
        <v>0</v>
      </c>
      <c r="AE817" s="2394">
        <v>0</v>
      </c>
      <c r="AF817" s="2392">
        <v>292463719</v>
      </c>
      <c r="AG817" s="2392">
        <v>-1970674283</v>
      </c>
      <c r="AH817" s="2395">
        <v>0</v>
      </c>
      <c r="AI817" s="2395">
        <v>0</v>
      </c>
      <c r="AJ817" s="2392">
        <v>-6699436558.7732544</v>
      </c>
      <c r="AZ817" s="2390">
        <v>31131000</v>
      </c>
      <c r="BA817" s="2403" t="s">
        <v>4404</v>
      </c>
      <c r="BB817" s="2392">
        <v>-7513418155</v>
      </c>
      <c r="BC817" s="2392">
        <v>0</v>
      </c>
      <c r="BD817" s="2393">
        <v>0</v>
      </c>
      <c r="BE817" s="2394">
        <v>0</v>
      </c>
      <c r="BF817" s="2392">
        <v>2118604151</v>
      </c>
      <c r="BG817" s="2392">
        <v>-5394814004</v>
      </c>
      <c r="BH817" s="2395">
        <v>0</v>
      </c>
      <c r="BI817" s="2395">
        <v>0</v>
      </c>
      <c r="BJ817" s="2392">
        <v>-7919174535.7732544</v>
      </c>
      <c r="BN817" s="2396">
        <v>31141016</v>
      </c>
      <c r="BO817" s="2397" t="s">
        <v>153</v>
      </c>
      <c r="BP817" s="2398">
        <v>179251819542</v>
      </c>
      <c r="BQ817" s="2179">
        <v>2615818760</v>
      </c>
      <c r="BR817" s="2399">
        <v>29146041411</v>
      </c>
      <c r="BS817" s="2408">
        <v>554281587</v>
      </c>
      <c r="BT817" s="2409">
        <v>2606668114</v>
      </c>
      <c r="BU817" s="2409">
        <v>214174629414</v>
      </c>
      <c r="BV817" s="2410">
        <v>0</v>
      </c>
      <c r="BW817" s="2410">
        <v>-23480313910</v>
      </c>
      <c r="BX817" s="2409">
        <v>190694315504</v>
      </c>
    </row>
    <row r="818" spans="2:76">
      <c r="B818" s="2564">
        <v>31131001</v>
      </c>
      <c r="C818" s="2565" t="s">
        <v>4405</v>
      </c>
      <c r="D818" s="2566">
        <v>-10328000000</v>
      </c>
      <c r="E818" s="1080">
        <v>0</v>
      </c>
      <c r="F818" s="2567">
        <v>0</v>
      </c>
      <c r="G818" s="2568">
        <v>0</v>
      </c>
      <c r="H818" s="2566">
        <v>0</v>
      </c>
      <c r="I818" s="2566">
        <v>-10328000000</v>
      </c>
      <c r="J818" s="2569">
        <v>0</v>
      </c>
      <c r="K818" s="2569">
        <v>0</v>
      </c>
      <c r="L818" s="2566">
        <v>-10328000000</v>
      </c>
      <c r="N818" s="2396">
        <v>31131001</v>
      </c>
      <c r="O818" s="2397" t="s">
        <v>4405</v>
      </c>
      <c r="P818" s="2398">
        <v>-10328000000</v>
      </c>
      <c r="Q818" s="2179">
        <v>0</v>
      </c>
      <c r="R818" s="2399">
        <v>0</v>
      </c>
      <c r="S818" s="2400">
        <v>0</v>
      </c>
      <c r="T818" s="2398">
        <v>0</v>
      </c>
      <c r="U818" s="2398">
        <v>-10328000000</v>
      </c>
      <c r="V818" s="2401">
        <v>0</v>
      </c>
      <c r="W818" s="2401">
        <v>0</v>
      </c>
      <c r="X818" s="2398">
        <v>-10328000000</v>
      </c>
      <c r="Z818" s="2396">
        <v>31131001</v>
      </c>
      <c r="AA818" s="2397" t="s">
        <v>4405</v>
      </c>
      <c r="AB818" s="2398">
        <v>-10328000000</v>
      </c>
      <c r="AC818" s="2179">
        <v>0</v>
      </c>
      <c r="AD818" s="2399">
        <v>0</v>
      </c>
      <c r="AE818" s="2400">
        <v>0</v>
      </c>
      <c r="AF818" s="2398">
        <v>0</v>
      </c>
      <c r="AG818" s="2398">
        <v>-10328000000</v>
      </c>
      <c r="AH818" s="2401">
        <v>0</v>
      </c>
      <c r="AI818" s="2401">
        <v>0</v>
      </c>
      <c r="AJ818" s="2398">
        <v>-10328000000</v>
      </c>
      <c r="AZ818" s="2396">
        <v>31131001</v>
      </c>
      <c r="BA818" s="2397" t="s">
        <v>4405</v>
      </c>
      <c r="BB818" s="2398">
        <v>-10328000000</v>
      </c>
      <c r="BC818" s="2179">
        <v>0</v>
      </c>
      <c r="BD818" s="2399">
        <v>0</v>
      </c>
      <c r="BE818" s="2400">
        <v>0</v>
      </c>
      <c r="BF818" s="2398">
        <v>0</v>
      </c>
      <c r="BG818" s="2398">
        <v>-10328000000</v>
      </c>
      <c r="BH818" s="2401">
        <v>0</v>
      </c>
      <c r="BI818" s="2401">
        <v>0</v>
      </c>
      <c r="BJ818" s="2398">
        <v>-10328000000</v>
      </c>
      <c r="BN818" s="2378">
        <v>32000000</v>
      </c>
      <c r="BO818" s="2379" t="s">
        <v>4432</v>
      </c>
      <c r="BP818" s="2380">
        <v>0</v>
      </c>
      <c r="BQ818" s="2380">
        <v>0</v>
      </c>
      <c r="BR818" s="2381">
        <v>0</v>
      </c>
      <c r="BS818" s="2382">
        <v>0</v>
      </c>
      <c r="BT818" s="2380">
        <v>10711</v>
      </c>
      <c r="BU818" s="2380">
        <v>10711</v>
      </c>
      <c r="BV818" s="2383">
        <v>0</v>
      </c>
      <c r="BW818" s="2383">
        <v>0</v>
      </c>
      <c r="BX818" s="2380">
        <v>10711</v>
      </c>
    </row>
    <row r="819" spans="2:76">
      <c r="B819" s="2564">
        <v>31131002</v>
      </c>
      <c r="C819" s="2565" t="s">
        <v>4406</v>
      </c>
      <c r="D819" s="2566">
        <v>182233217</v>
      </c>
      <c r="E819" s="1080">
        <v>0</v>
      </c>
      <c r="F819" s="2567">
        <v>0</v>
      </c>
      <c r="G819" s="2568">
        <v>0</v>
      </c>
      <c r="H819" s="2566">
        <v>0</v>
      </c>
      <c r="I819" s="2566">
        <v>182233217</v>
      </c>
      <c r="J819" s="2569">
        <v>85537932</v>
      </c>
      <c r="K819" s="2569">
        <v>0</v>
      </c>
      <c r="L819" s="2566">
        <v>96695285</v>
      </c>
      <c r="N819" s="2396">
        <v>31131002</v>
      </c>
      <c r="O819" s="2397" t="s">
        <v>4406</v>
      </c>
      <c r="P819" s="2398">
        <v>182233217</v>
      </c>
      <c r="Q819" s="2179">
        <v>0</v>
      </c>
      <c r="R819" s="2399">
        <v>0</v>
      </c>
      <c r="S819" s="2400">
        <v>0</v>
      </c>
      <c r="T819" s="2398">
        <v>0</v>
      </c>
      <c r="U819" s="2398">
        <v>182233217</v>
      </c>
      <c r="V819" s="2401">
        <v>85537932</v>
      </c>
      <c r="W819" s="2401">
        <v>0</v>
      </c>
      <c r="X819" s="2398">
        <v>96695285</v>
      </c>
      <c r="Z819" s="2396">
        <v>31131002</v>
      </c>
      <c r="AA819" s="2397" t="s">
        <v>4406</v>
      </c>
      <c r="AB819" s="2398">
        <v>182233217</v>
      </c>
      <c r="AC819" s="2179">
        <v>0</v>
      </c>
      <c r="AD819" s="2399">
        <v>0</v>
      </c>
      <c r="AE819" s="2400">
        <v>0</v>
      </c>
      <c r="AF819" s="2398">
        <v>0</v>
      </c>
      <c r="AG819" s="2398">
        <v>182233217</v>
      </c>
      <c r="AH819" s="2401">
        <v>85537932</v>
      </c>
      <c r="AI819" s="2401">
        <v>0</v>
      </c>
      <c r="AJ819" s="2398">
        <v>96695285</v>
      </c>
      <c r="AZ819" s="2396">
        <v>31131002</v>
      </c>
      <c r="BA819" s="2397" t="s">
        <v>4406</v>
      </c>
      <c r="BB819" s="2398">
        <v>182233217</v>
      </c>
      <c r="BC819" s="2179">
        <v>0</v>
      </c>
      <c r="BD819" s="2399">
        <v>0</v>
      </c>
      <c r="BE819" s="2400">
        <v>0</v>
      </c>
      <c r="BF819" s="2398">
        <v>0</v>
      </c>
      <c r="BG819" s="2398">
        <v>182233217</v>
      </c>
      <c r="BH819" s="2401">
        <v>85537932</v>
      </c>
      <c r="BI819" s="2401">
        <v>0</v>
      </c>
      <c r="BJ819" s="2398">
        <v>96695285</v>
      </c>
      <c r="BN819" s="2384">
        <v>32100000</v>
      </c>
      <c r="BO819" s="2402" t="s">
        <v>4432</v>
      </c>
      <c r="BP819" s="2386">
        <v>0</v>
      </c>
      <c r="BQ819" s="2386">
        <v>0</v>
      </c>
      <c r="BR819" s="2387">
        <v>0</v>
      </c>
      <c r="BS819" s="2388">
        <v>0</v>
      </c>
      <c r="BT819" s="2386">
        <v>10711</v>
      </c>
      <c r="BU819" s="2386">
        <v>10711</v>
      </c>
      <c r="BV819" s="2389">
        <v>0</v>
      </c>
      <c r="BW819" s="2389">
        <v>0</v>
      </c>
      <c r="BX819" s="2386">
        <v>10711</v>
      </c>
    </row>
    <row r="820" spans="2:76">
      <c r="B820" s="2564">
        <v>31131003</v>
      </c>
      <c r="C820" s="2565" t="s">
        <v>4407</v>
      </c>
      <c r="D820" s="2566">
        <v>0</v>
      </c>
      <c r="E820" s="1080">
        <v>0</v>
      </c>
      <c r="F820" s="2567">
        <v>0</v>
      </c>
      <c r="G820" s="2568">
        <v>0</v>
      </c>
      <c r="H820" s="2566">
        <v>0</v>
      </c>
      <c r="I820" s="2566">
        <v>0</v>
      </c>
      <c r="J820" s="2569">
        <v>30423900841</v>
      </c>
      <c r="K820" s="2569">
        <v>32903543153</v>
      </c>
      <c r="L820" s="2566">
        <v>2479642312</v>
      </c>
      <c r="N820" s="2396">
        <v>31131003</v>
      </c>
      <c r="O820" s="2397" t="s">
        <v>4407</v>
      </c>
      <c r="P820" s="2398">
        <v>0</v>
      </c>
      <c r="Q820" s="2179">
        <v>0</v>
      </c>
      <c r="R820" s="2399">
        <v>0</v>
      </c>
      <c r="S820" s="2400">
        <v>0</v>
      </c>
      <c r="T820" s="2398">
        <v>0</v>
      </c>
      <c r="U820" s="2398">
        <v>0</v>
      </c>
      <c r="V820" s="2401">
        <v>30423900841</v>
      </c>
      <c r="W820" s="2401">
        <v>31522365836</v>
      </c>
      <c r="X820" s="2398">
        <v>1098464995</v>
      </c>
      <c r="Z820" s="2396">
        <v>31131003</v>
      </c>
      <c r="AA820" s="2397" t="s">
        <v>4407</v>
      </c>
      <c r="AB820" s="2398">
        <v>0</v>
      </c>
      <c r="AC820" s="2179">
        <v>0</v>
      </c>
      <c r="AD820" s="2399">
        <v>0</v>
      </c>
      <c r="AE820" s="2400">
        <v>0</v>
      </c>
      <c r="AF820" s="2398">
        <v>0</v>
      </c>
      <c r="AG820" s="2398">
        <v>0</v>
      </c>
      <c r="AH820" s="2401">
        <v>30423900841</v>
      </c>
      <c r="AI820" s="2401">
        <v>30509043111</v>
      </c>
      <c r="AJ820" s="2398">
        <v>85142270</v>
      </c>
      <c r="AZ820" s="2396">
        <v>31131003</v>
      </c>
      <c r="BA820" s="2397" t="s">
        <v>4407</v>
      </c>
      <c r="BB820" s="2398">
        <v>0</v>
      </c>
      <c r="BC820" s="2179">
        <v>0</v>
      </c>
      <c r="BD820" s="2399">
        <v>0</v>
      </c>
      <c r="BE820" s="2400">
        <v>0</v>
      </c>
      <c r="BF820" s="2398">
        <v>0</v>
      </c>
      <c r="BG820" s="2398">
        <v>0</v>
      </c>
      <c r="BH820" s="2401">
        <v>30423900841</v>
      </c>
      <c r="BI820" s="2401">
        <v>32220829702</v>
      </c>
      <c r="BJ820" s="2398">
        <v>1796928861</v>
      </c>
      <c r="BN820" s="2390">
        <v>32101000</v>
      </c>
      <c r="BO820" s="2403" t="s">
        <v>4432</v>
      </c>
      <c r="BP820" s="2392">
        <v>0</v>
      </c>
      <c r="BQ820" s="2392">
        <v>0</v>
      </c>
      <c r="BR820" s="2393">
        <v>0</v>
      </c>
      <c r="BS820" s="2394">
        <v>0</v>
      </c>
      <c r="BT820" s="2392">
        <v>10711</v>
      </c>
      <c r="BU820" s="2392">
        <v>10711</v>
      </c>
      <c r="BV820" s="2395">
        <v>0</v>
      </c>
      <c r="BW820" s="2395">
        <v>0</v>
      </c>
      <c r="BX820" s="2392">
        <v>10711</v>
      </c>
    </row>
    <row r="821" spans="2:76">
      <c r="B821" s="2564">
        <v>31131004</v>
      </c>
      <c r="C821" s="2565" t="s">
        <v>4408</v>
      </c>
      <c r="D821" s="2566">
        <v>0</v>
      </c>
      <c r="E821" s="1080">
        <v>0</v>
      </c>
      <c r="F821" s="2567">
        <v>0</v>
      </c>
      <c r="G821" s="2568">
        <v>0</v>
      </c>
      <c r="H821" s="2566">
        <v>0</v>
      </c>
      <c r="I821" s="2566">
        <v>0</v>
      </c>
      <c r="J821" s="2569">
        <v>84570717891.773254</v>
      </c>
      <c r="K821" s="2569">
        <v>80531825031</v>
      </c>
      <c r="L821" s="2566">
        <v>-4038892860.7732544</v>
      </c>
      <c r="N821" s="2396">
        <v>31131004</v>
      </c>
      <c r="O821" s="2397" t="s">
        <v>4408</v>
      </c>
      <c r="P821" s="2398">
        <v>0</v>
      </c>
      <c r="Q821" s="2179">
        <v>0</v>
      </c>
      <c r="R821" s="2399">
        <v>0</v>
      </c>
      <c r="S821" s="2400">
        <v>0</v>
      </c>
      <c r="T821" s="2398">
        <v>0</v>
      </c>
      <c r="U821" s="2398">
        <v>0</v>
      </c>
      <c r="V821" s="2401">
        <v>85093084942.773254</v>
      </c>
      <c r="W821" s="2401">
        <v>80658237857</v>
      </c>
      <c r="X821" s="2398">
        <v>-4434847085.7732544</v>
      </c>
      <c r="Z821" s="2396">
        <v>31131004</v>
      </c>
      <c r="AA821" s="2397" t="s">
        <v>4408</v>
      </c>
      <c r="AB821" s="2398">
        <v>0</v>
      </c>
      <c r="AC821" s="2179">
        <v>0</v>
      </c>
      <c r="AD821" s="2399">
        <v>0</v>
      </c>
      <c r="AE821" s="2400">
        <v>0</v>
      </c>
      <c r="AF821" s="2398">
        <v>0</v>
      </c>
      <c r="AG821" s="2398">
        <v>0</v>
      </c>
      <c r="AH821" s="2401">
        <v>85480313871.773254</v>
      </c>
      <c r="AI821" s="2401">
        <v>80751947258</v>
      </c>
      <c r="AJ821" s="2398">
        <v>-4728366613.7732544</v>
      </c>
      <c r="AZ821" s="2396">
        <v>31131004</v>
      </c>
      <c r="BA821" s="2397" t="s">
        <v>4408</v>
      </c>
      <c r="BB821" s="2398">
        <v>0</v>
      </c>
      <c r="BC821" s="2179">
        <v>0</v>
      </c>
      <c r="BD821" s="2399">
        <v>0</v>
      </c>
      <c r="BE821" s="2400">
        <v>0</v>
      </c>
      <c r="BF821" s="2398">
        <v>0</v>
      </c>
      <c r="BG821" s="2398">
        <v>0</v>
      </c>
      <c r="BH821" s="2401">
        <v>84830425806.773254</v>
      </c>
      <c r="BI821" s="2401">
        <v>80594674346</v>
      </c>
      <c r="BJ821" s="2398">
        <v>-4235751460.7732544</v>
      </c>
      <c r="BN821" s="2396">
        <v>32101001</v>
      </c>
      <c r="BO821" s="2397" t="s">
        <v>4433</v>
      </c>
      <c r="BP821" s="2398">
        <v>0</v>
      </c>
      <c r="BQ821" s="2179">
        <v>0</v>
      </c>
      <c r="BR821" s="2399">
        <v>0</v>
      </c>
      <c r="BS821" s="2400">
        <v>0</v>
      </c>
      <c r="BT821" s="2398">
        <v>0</v>
      </c>
      <c r="BU821" s="2398">
        <v>0</v>
      </c>
      <c r="BV821" s="2401">
        <v>43604580</v>
      </c>
      <c r="BW821" s="2401">
        <v>43604580</v>
      </c>
      <c r="BX821" s="2398">
        <v>0</v>
      </c>
    </row>
    <row r="822" spans="2:76">
      <c r="B822" s="2564">
        <v>31131005</v>
      </c>
      <c r="C822" s="2565" t="s">
        <v>4409</v>
      </c>
      <c r="D822" s="2566">
        <v>-3519030851</v>
      </c>
      <c r="E822" s="1080">
        <v>-339775802</v>
      </c>
      <c r="F822" s="2567">
        <v>0</v>
      </c>
      <c r="G822" s="2568">
        <v>0</v>
      </c>
      <c r="H822" s="2566">
        <v>0</v>
      </c>
      <c r="I822" s="2566">
        <v>-3858806653</v>
      </c>
      <c r="J822" s="2569">
        <v>0</v>
      </c>
      <c r="K822" s="2569">
        <v>0</v>
      </c>
      <c r="L822" s="2566">
        <v>-3858806653</v>
      </c>
      <c r="N822" s="2396">
        <v>31131005</v>
      </c>
      <c r="O822" s="2397" t="s">
        <v>4409</v>
      </c>
      <c r="P822" s="2398">
        <v>-4938999338</v>
      </c>
      <c r="Q822" s="2179">
        <v>-175185580</v>
      </c>
      <c r="R822" s="2399">
        <v>0</v>
      </c>
      <c r="S822" s="2400">
        <v>0</v>
      </c>
      <c r="T822" s="2398">
        <v>0</v>
      </c>
      <c r="U822" s="2398">
        <v>-5114184918</v>
      </c>
      <c r="V822" s="2401">
        <v>0</v>
      </c>
      <c r="W822" s="2401">
        <v>0</v>
      </c>
      <c r="X822" s="2398">
        <v>-5114184918</v>
      </c>
      <c r="Z822" s="2396">
        <v>31131005</v>
      </c>
      <c r="AA822" s="2397" t="s">
        <v>4409</v>
      </c>
      <c r="AB822" s="2398">
        <v>-4740677441</v>
      </c>
      <c r="AC822" s="2179">
        <v>-491636551</v>
      </c>
      <c r="AD822" s="2399">
        <v>0</v>
      </c>
      <c r="AE822" s="2400">
        <v>0</v>
      </c>
      <c r="AF822" s="2398">
        <v>0</v>
      </c>
      <c r="AG822" s="2398">
        <v>-5232313992</v>
      </c>
      <c r="AH822" s="2401">
        <v>0</v>
      </c>
      <c r="AI822" s="2401">
        <v>0</v>
      </c>
      <c r="AJ822" s="2398">
        <v>-5232313992</v>
      </c>
      <c r="AZ822" s="2396">
        <v>31131005</v>
      </c>
      <c r="BA822" s="2397" t="s">
        <v>4409</v>
      </c>
      <c r="BB822" s="2398">
        <v>-5302201989</v>
      </c>
      <c r="BC822" s="2179">
        <v>0</v>
      </c>
      <c r="BD822" s="2399">
        <v>0</v>
      </c>
      <c r="BE822" s="2400">
        <v>0</v>
      </c>
      <c r="BF822" s="2398">
        <v>0</v>
      </c>
      <c r="BG822" s="2398">
        <v>-5302201989</v>
      </c>
      <c r="BH822" s="2401">
        <v>0</v>
      </c>
      <c r="BI822" s="2401">
        <v>0</v>
      </c>
      <c r="BJ822" s="2398">
        <v>-5302201989</v>
      </c>
      <c r="BN822" s="2396">
        <v>32101002</v>
      </c>
      <c r="BO822" s="2397" t="s">
        <v>4434</v>
      </c>
      <c r="BP822" s="2398">
        <v>0</v>
      </c>
      <c r="BQ822" s="2179">
        <v>0</v>
      </c>
      <c r="BR822" s="2399">
        <v>0</v>
      </c>
      <c r="BS822" s="2400">
        <v>0</v>
      </c>
      <c r="BT822" s="2398">
        <v>10711</v>
      </c>
      <c r="BU822" s="2398">
        <v>10711</v>
      </c>
      <c r="BV822" s="2401">
        <v>0</v>
      </c>
      <c r="BW822" s="2401">
        <v>0</v>
      </c>
      <c r="BX822" s="2398">
        <v>10711</v>
      </c>
    </row>
    <row r="823" spans="2:76">
      <c r="B823" s="2564">
        <v>31131006</v>
      </c>
      <c r="C823" s="2565" t="s">
        <v>4410</v>
      </c>
      <c r="D823" s="2566">
        <v>10906076920</v>
      </c>
      <c r="E823" s="1080">
        <v>1183258994</v>
      </c>
      <c r="F823" s="2567">
        <v>0</v>
      </c>
      <c r="G823" s="2568">
        <v>0</v>
      </c>
      <c r="H823" s="2566">
        <v>134351071</v>
      </c>
      <c r="I823" s="2566">
        <v>12223686985</v>
      </c>
      <c r="J823" s="2569">
        <v>393211</v>
      </c>
      <c r="K823" s="2569">
        <v>393211</v>
      </c>
      <c r="L823" s="2566">
        <v>12223686985</v>
      </c>
      <c r="N823" s="2396">
        <v>31131006</v>
      </c>
      <c r="O823" s="2397" t="s">
        <v>4410</v>
      </c>
      <c r="P823" s="2398">
        <v>6005422514</v>
      </c>
      <c r="Q823" s="2179">
        <v>771028278</v>
      </c>
      <c r="R823" s="2399">
        <v>0</v>
      </c>
      <c r="S823" s="2400">
        <v>0</v>
      </c>
      <c r="T823" s="2398">
        <v>239747580</v>
      </c>
      <c r="U823" s="2398">
        <v>7016198372</v>
      </c>
      <c r="V823" s="2401">
        <v>393211</v>
      </c>
      <c r="W823" s="2401">
        <v>393211</v>
      </c>
      <c r="X823" s="2398">
        <v>7016198372</v>
      </c>
      <c r="Z823" s="2396">
        <v>31131006</v>
      </c>
      <c r="AA823" s="2397" t="s">
        <v>4410</v>
      </c>
      <c r="AB823" s="2398">
        <v>1440564549</v>
      </c>
      <c r="AC823" s="2179">
        <v>202838119</v>
      </c>
      <c r="AD823" s="2399">
        <v>0</v>
      </c>
      <c r="AE823" s="2400">
        <v>0</v>
      </c>
      <c r="AF823" s="2398">
        <v>83779482</v>
      </c>
      <c r="AG823" s="2398">
        <v>1727182150</v>
      </c>
      <c r="AH823" s="2401">
        <v>393211</v>
      </c>
      <c r="AI823" s="2401">
        <v>393211</v>
      </c>
      <c r="AJ823" s="2398">
        <v>1727182150</v>
      </c>
      <c r="AZ823" s="2396">
        <v>31131006</v>
      </c>
      <c r="BA823" s="2397" t="s">
        <v>4410</v>
      </c>
      <c r="BB823" s="2398">
        <v>1269281227</v>
      </c>
      <c r="BC823" s="2179">
        <v>0</v>
      </c>
      <c r="BD823" s="2399">
        <v>0</v>
      </c>
      <c r="BE823" s="2400">
        <v>0</v>
      </c>
      <c r="BF823" s="2398">
        <v>0</v>
      </c>
      <c r="BG823" s="2398">
        <v>1269281227</v>
      </c>
      <c r="BH823" s="2401">
        <v>393211</v>
      </c>
      <c r="BI823" s="2401">
        <v>393211</v>
      </c>
      <c r="BJ823" s="2398">
        <v>1269281227</v>
      </c>
      <c r="BN823" s="2396">
        <v>32101003</v>
      </c>
      <c r="BO823" s="2397" t="s">
        <v>4435</v>
      </c>
      <c r="BP823" s="2398">
        <v>0</v>
      </c>
      <c r="BQ823" s="2179">
        <v>0</v>
      </c>
      <c r="BR823" s="2399">
        <v>0</v>
      </c>
      <c r="BS823" s="2400">
        <v>0</v>
      </c>
      <c r="BT823" s="2398">
        <v>0</v>
      </c>
      <c r="BU823" s="2398">
        <v>0</v>
      </c>
      <c r="BV823" s="2401">
        <v>0</v>
      </c>
      <c r="BW823" s="2401">
        <v>0</v>
      </c>
      <c r="BX823" s="2398">
        <v>0</v>
      </c>
    </row>
    <row r="824" spans="2:76">
      <c r="B824" s="2564">
        <v>31131007</v>
      </c>
      <c r="C824" s="2565" t="s">
        <v>4411</v>
      </c>
      <c r="D824" s="2566">
        <v>0</v>
      </c>
      <c r="E824" s="1080">
        <v>0</v>
      </c>
      <c r="F824" s="2567">
        <v>0</v>
      </c>
      <c r="G824" s="2568">
        <v>0</v>
      </c>
      <c r="H824" s="2566">
        <v>3105659652</v>
      </c>
      <c r="I824" s="2566">
        <v>3105659652</v>
      </c>
      <c r="J824" s="2569">
        <v>0</v>
      </c>
      <c r="K824" s="2569">
        <v>0</v>
      </c>
      <c r="L824" s="2566">
        <v>3105659652</v>
      </c>
      <c r="N824" s="2396">
        <v>31131007</v>
      </c>
      <c r="O824" s="2397" t="s">
        <v>4411</v>
      </c>
      <c r="P824" s="2398">
        <v>0</v>
      </c>
      <c r="Q824" s="2179">
        <v>0</v>
      </c>
      <c r="R824" s="2399">
        <v>0</v>
      </c>
      <c r="S824" s="2400">
        <v>0</v>
      </c>
      <c r="T824" s="2398">
        <v>1425576119</v>
      </c>
      <c r="U824" s="2398">
        <v>1425576119</v>
      </c>
      <c r="V824" s="2401">
        <v>0</v>
      </c>
      <c r="W824" s="2401">
        <v>0</v>
      </c>
      <c r="X824" s="2398">
        <v>1425576119</v>
      </c>
      <c r="Z824" s="2396">
        <v>31131007</v>
      </c>
      <c r="AA824" s="2397" t="s">
        <v>4411</v>
      </c>
      <c r="AB824" s="2398">
        <v>0</v>
      </c>
      <c r="AC824" s="2179">
        <v>0</v>
      </c>
      <c r="AD824" s="2399">
        <v>0</v>
      </c>
      <c r="AE824" s="2400">
        <v>0</v>
      </c>
      <c r="AF824" s="2398">
        <v>208684237</v>
      </c>
      <c r="AG824" s="2398">
        <v>208684237</v>
      </c>
      <c r="AH824" s="2401">
        <v>0</v>
      </c>
      <c r="AI824" s="2401">
        <v>0</v>
      </c>
      <c r="AJ824" s="2398">
        <v>208684237</v>
      </c>
      <c r="AZ824" s="2396">
        <v>31131007</v>
      </c>
      <c r="BA824" s="2397" t="s">
        <v>4411</v>
      </c>
      <c r="BB824" s="2398">
        <v>0</v>
      </c>
      <c r="BC824" s="2179">
        <v>0</v>
      </c>
      <c r="BD824" s="2399">
        <v>0</v>
      </c>
      <c r="BE824" s="2400">
        <v>0</v>
      </c>
      <c r="BF824" s="2398">
        <v>2118604151</v>
      </c>
      <c r="BG824" s="2398">
        <v>2118604151</v>
      </c>
      <c r="BH824" s="2401">
        <v>0</v>
      </c>
      <c r="BI824" s="2401">
        <v>0</v>
      </c>
      <c r="BJ824" s="2398">
        <v>2118604151</v>
      </c>
      <c r="BN824" s="2396">
        <v>32101004</v>
      </c>
      <c r="BO824" s="2397" t="s">
        <v>4436</v>
      </c>
      <c r="BP824" s="2398">
        <v>0</v>
      </c>
      <c r="BQ824" s="2179">
        <v>0</v>
      </c>
      <c r="BR824" s="2399">
        <v>0</v>
      </c>
      <c r="BS824" s="2400">
        <v>0</v>
      </c>
      <c r="BT824" s="2398">
        <v>0</v>
      </c>
      <c r="BU824" s="2398">
        <v>0</v>
      </c>
      <c r="BV824" s="2401">
        <v>0</v>
      </c>
      <c r="BW824" s="2401">
        <v>0</v>
      </c>
      <c r="BX824" s="2398">
        <v>0</v>
      </c>
    </row>
    <row r="825" spans="2:76">
      <c r="B825" s="2564">
        <v>31131008</v>
      </c>
      <c r="C825" s="2565" t="s">
        <v>4412</v>
      </c>
      <c r="D825" s="2566">
        <v>0</v>
      </c>
      <c r="E825" s="1080">
        <v>0</v>
      </c>
      <c r="F825" s="2567">
        <v>0</v>
      </c>
      <c r="G825" s="2568">
        <v>0</v>
      </c>
      <c r="H825" s="2566">
        <v>0</v>
      </c>
      <c r="I825" s="2566">
        <v>0</v>
      </c>
      <c r="J825" s="2569">
        <v>0</v>
      </c>
      <c r="K825" s="2569">
        <v>0</v>
      </c>
      <c r="L825" s="2566">
        <v>0</v>
      </c>
      <c r="N825" s="2396">
        <v>31131008</v>
      </c>
      <c r="O825" s="2397" t="s">
        <v>4412</v>
      </c>
      <c r="P825" s="2398">
        <v>0</v>
      </c>
      <c r="Q825" s="2179">
        <v>0</v>
      </c>
      <c r="R825" s="2399">
        <v>0</v>
      </c>
      <c r="S825" s="2400">
        <v>0</v>
      </c>
      <c r="T825" s="2398">
        <v>0</v>
      </c>
      <c r="U825" s="2398">
        <v>0</v>
      </c>
      <c r="V825" s="2401">
        <v>0</v>
      </c>
      <c r="W825" s="2401">
        <v>0</v>
      </c>
      <c r="X825" s="2398">
        <v>0</v>
      </c>
      <c r="Z825" s="2396">
        <v>31131008</v>
      </c>
      <c r="AA825" s="2397" t="s">
        <v>4412</v>
      </c>
      <c r="AB825" s="2398">
        <v>0</v>
      </c>
      <c r="AC825" s="2179">
        <v>0</v>
      </c>
      <c r="AD825" s="2399">
        <v>0</v>
      </c>
      <c r="AE825" s="2400">
        <v>0</v>
      </c>
      <c r="AF825" s="2398">
        <v>0</v>
      </c>
      <c r="AG825" s="2398">
        <v>0</v>
      </c>
      <c r="AH825" s="2401">
        <v>0</v>
      </c>
      <c r="AI825" s="2401">
        <v>0</v>
      </c>
      <c r="AJ825" s="2398">
        <v>0</v>
      </c>
      <c r="AZ825" s="2396">
        <v>31131008</v>
      </c>
      <c r="BA825" s="2397" t="s">
        <v>4412</v>
      </c>
      <c r="BB825" s="2398">
        <v>0</v>
      </c>
      <c r="BC825" s="2179">
        <v>0</v>
      </c>
      <c r="BD825" s="2399">
        <v>0</v>
      </c>
      <c r="BE825" s="2400">
        <v>0</v>
      </c>
      <c r="BF825" s="2398">
        <v>0</v>
      </c>
      <c r="BG825" s="2398">
        <v>0</v>
      </c>
      <c r="BH825" s="2401">
        <v>0</v>
      </c>
      <c r="BI825" s="2401">
        <v>0</v>
      </c>
      <c r="BJ825" s="2398">
        <v>0</v>
      </c>
      <c r="BN825" s="2396">
        <v>32101005</v>
      </c>
      <c r="BO825" s="2397" t="s">
        <v>4437</v>
      </c>
      <c r="BP825" s="2398">
        <v>0</v>
      </c>
      <c r="BQ825" s="2179">
        <v>0</v>
      </c>
      <c r="BR825" s="2399">
        <v>0</v>
      </c>
      <c r="BS825" s="2400">
        <v>0</v>
      </c>
      <c r="BT825" s="2398">
        <v>0</v>
      </c>
      <c r="BU825" s="2398">
        <v>0</v>
      </c>
      <c r="BV825" s="2401">
        <v>0</v>
      </c>
      <c r="BW825" s="2401">
        <v>0</v>
      </c>
      <c r="BX825" s="2398">
        <v>0</v>
      </c>
    </row>
    <row r="826" spans="2:76">
      <c r="B826" s="2564">
        <v>31131009</v>
      </c>
      <c r="C826" s="2565" t="s">
        <v>5093</v>
      </c>
      <c r="D826" s="2566">
        <v>0</v>
      </c>
      <c r="E826" s="1080">
        <v>0</v>
      </c>
      <c r="F826" s="2567">
        <v>0</v>
      </c>
      <c r="G826" s="2568">
        <v>0</v>
      </c>
      <c r="H826" s="2566">
        <v>0</v>
      </c>
      <c r="I826" s="2566">
        <v>0</v>
      </c>
      <c r="J826" s="2569">
        <v>0</v>
      </c>
      <c r="K826" s="2569">
        <v>0</v>
      </c>
      <c r="L826" s="2566">
        <v>0</v>
      </c>
      <c r="N826" s="2396">
        <v>31131009</v>
      </c>
      <c r="O826" s="2397" t="s">
        <v>4413</v>
      </c>
      <c r="P826" s="2398">
        <v>0</v>
      </c>
      <c r="Q826" s="2179">
        <v>0</v>
      </c>
      <c r="R826" s="2399">
        <v>0</v>
      </c>
      <c r="S826" s="2400">
        <v>0</v>
      </c>
      <c r="T826" s="2398">
        <v>0</v>
      </c>
      <c r="U826" s="2398">
        <v>0</v>
      </c>
      <c r="V826" s="2401">
        <v>0</v>
      </c>
      <c r="W826" s="2401">
        <v>0</v>
      </c>
      <c r="X826" s="2398">
        <v>0</v>
      </c>
      <c r="Z826" s="2396">
        <v>31131009</v>
      </c>
      <c r="AA826" s="2397" t="s">
        <v>4413</v>
      </c>
      <c r="AB826" s="2398">
        <v>0</v>
      </c>
      <c r="AC826" s="2179">
        <v>0</v>
      </c>
      <c r="AD826" s="2399">
        <v>0</v>
      </c>
      <c r="AE826" s="2400">
        <v>0</v>
      </c>
      <c r="AF826" s="2398">
        <v>0</v>
      </c>
      <c r="AG826" s="2398">
        <v>0</v>
      </c>
      <c r="AH826" s="2401">
        <v>0</v>
      </c>
      <c r="AI826" s="2401">
        <v>0</v>
      </c>
      <c r="AJ826" s="2398">
        <v>0</v>
      </c>
      <c r="AZ826" s="2396">
        <v>31131009</v>
      </c>
      <c r="BA826" s="2397" t="s">
        <v>4413</v>
      </c>
      <c r="BB826" s="2398">
        <v>0</v>
      </c>
      <c r="BC826" s="2179">
        <v>0</v>
      </c>
      <c r="BD826" s="2399">
        <v>0</v>
      </c>
      <c r="BE826" s="2400">
        <v>0</v>
      </c>
      <c r="BF826" s="2398">
        <v>0</v>
      </c>
      <c r="BG826" s="2398">
        <v>0</v>
      </c>
      <c r="BH826" s="2401">
        <v>0</v>
      </c>
      <c r="BI826" s="2401">
        <v>0</v>
      </c>
      <c r="BJ826" s="2398">
        <v>0</v>
      </c>
      <c r="BN826" s="2411">
        <v>32101006</v>
      </c>
      <c r="BO826" s="2412" t="s">
        <v>4438</v>
      </c>
      <c r="BP826" s="2398">
        <v>0</v>
      </c>
      <c r="BQ826" s="2179">
        <v>0</v>
      </c>
      <c r="BR826" s="2399">
        <v>0</v>
      </c>
      <c r="BS826" s="2400">
        <v>0</v>
      </c>
      <c r="BT826" s="2398">
        <v>0</v>
      </c>
      <c r="BU826" s="2413">
        <v>0</v>
      </c>
      <c r="BV826" s="2414">
        <v>0</v>
      </c>
      <c r="BW826" s="2414">
        <v>0</v>
      </c>
      <c r="BX826" s="2413">
        <v>0</v>
      </c>
    </row>
    <row r="827" spans="2:76">
      <c r="B827" s="2564">
        <v>31131010</v>
      </c>
      <c r="C827" s="2565" t="s">
        <v>4414</v>
      </c>
      <c r="D827" s="2566">
        <v>0</v>
      </c>
      <c r="E827" s="1080">
        <v>0</v>
      </c>
      <c r="F827" s="2567">
        <v>0</v>
      </c>
      <c r="G827" s="2568">
        <v>0</v>
      </c>
      <c r="H827" s="2566">
        <v>0</v>
      </c>
      <c r="I827" s="2566">
        <v>0</v>
      </c>
      <c r="J827" s="2569">
        <v>0</v>
      </c>
      <c r="K827" s="2569">
        <v>0</v>
      </c>
      <c r="L827" s="2566">
        <v>0</v>
      </c>
      <c r="N827" s="2396">
        <v>31131010</v>
      </c>
      <c r="O827" s="2397" t="s">
        <v>4414</v>
      </c>
      <c r="P827" s="2398">
        <v>0</v>
      </c>
      <c r="Q827" s="2179">
        <v>0</v>
      </c>
      <c r="R827" s="2399">
        <v>0</v>
      </c>
      <c r="S827" s="2400">
        <v>0</v>
      </c>
      <c r="T827" s="2398">
        <v>0</v>
      </c>
      <c r="U827" s="2398">
        <v>0</v>
      </c>
      <c r="V827" s="2401">
        <v>0</v>
      </c>
      <c r="W827" s="2401">
        <v>0</v>
      </c>
      <c r="X827" s="2398">
        <v>0</v>
      </c>
      <c r="Z827" s="2396">
        <v>31131010</v>
      </c>
      <c r="AA827" s="2397" t="s">
        <v>4414</v>
      </c>
      <c r="AB827" s="2398">
        <v>0</v>
      </c>
      <c r="AC827" s="2179">
        <v>0</v>
      </c>
      <c r="AD827" s="2399">
        <v>0</v>
      </c>
      <c r="AE827" s="2400">
        <v>0</v>
      </c>
      <c r="AF827" s="2398">
        <v>0</v>
      </c>
      <c r="AG827" s="2398">
        <v>0</v>
      </c>
      <c r="AH827" s="2401">
        <v>0</v>
      </c>
      <c r="AI827" s="2401">
        <v>0</v>
      </c>
      <c r="AJ827" s="2398">
        <v>0</v>
      </c>
      <c r="AZ827" s="2396">
        <v>31131010</v>
      </c>
      <c r="BA827" s="2397" t="s">
        <v>4414</v>
      </c>
      <c r="BB827" s="2398">
        <v>0</v>
      </c>
      <c r="BC827" s="2179">
        <v>0</v>
      </c>
      <c r="BD827" s="2399">
        <v>0</v>
      </c>
      <c r="BE827" s="2400">
        <v>0</v>
      </c>
      <c r="BF827" s="2398">
        <v>0</v>
      </c>
      <c r="BG827" s="2398">
        <v>0</v>
      </c>
      <c r="BH827" s="2401">
        <v>0</v>
      </c>
      <c r="BI827" s="2401">
        <v>0</v>
      </c>
      <c r="BJ827" s="2398">
        <v>0</v>
      </c>
      <c r="BN827" s="2384">
        <v>32990000</v>
      </c>
      <c r="BO827" s="2402" t="s">
        <v>4439</v>
      </c>
      <c r="BP827" s="2386">
        <v>0</v>
      </c>
      <c r="BQ827" s="2386">
        <v>0</v>
      </c>
      <c r="BR827" s="2387">
        <v>0</v>
      </c>
      <c r="BS827" s="2388">
        <v>0</v>
      </c>
      <c r="BT827" s="2386">
        <v>0</v>
      </c>
      <c r="BU827" s="2386">
        <v>0</v>
      </c>
      <c r="BV827" s="2389">
        <v>0</v>
      </c>
      <c r="BW827" s="2389">
        <v>0</v>
      </c>
      <c r="BX827" s="2386">
        <v>0</v>
      </c>
    </row>
    <row r="828" spans="2:76">
      <c r="B828" s="2564">
        <v>31131011</v>
      </c>
      <c r="C828" s="2565" t="s">
        <v>246</v>
      </c>
      <c r="D828" s="2566">
        <v>0</v>
      </c>
      <c r="E828" s="1080">
        <v>0</v>
      </c>
      <c r="F828" s="2567">
        <v>0</v>
      </c>
      <c r="G828" s="2568">
        <v>0</v>
      </c>
      <c r="H828" s="2566">
        <v>0</v>
      </c>
      <c r="I828" s="2566">
        <v>0</v>
      </c>
      <c r="J828" s="2569">
        <v>0</v>
      </c>
      <c r="K828" s="2569">
        <v>0</v>
      </c>
      <c r="L828" s="2566">
        <v>0</v>
      </c>
      <c r="N828" s="2396">
        <v>31131011</v>
      </c>
      <c r="O828" s="2397" t="s">
        <v>246</v>
      </c>
      <c r="P828" s="2398">
        <v>0</v>
      </c>
      <c r="Q828" s="2179">
        <v>0</v>
      </c>
      <c r="R828" s="2399">
        <v>0</v>
      </c>
      <c r="S828" s="2400">
        <v>0</v>
      </c>
      <c r="T828" s="2398">
        <v>0</v>
      </c>
      <c r="U828" s="2398">
        <v>0</v>
      </c>
      <c r="V828" s="2401">
        <v>0</v>
      </c>
      <c r="W828" s="2401">
        <v>0</v>
      </c>
      <c r="X828" s="2398">
        <v>0</v>
      </c>
      <c r="Z828" s="2396">
        <v>31131011</v>
      </c>
      <c r="AA828" s="2397" t="s">
        <v>246</v>
      </c>
      <c r="AB828" s="2398">
        <v>0</v>
      </c>
      <c r="AC828" s="2179">
        <v>0</v>
      </c>
      <c r="AD828" s="2399">
        <v>0</v>
      </c>
      <c r="AE828" s="2400">
        <v>0</v>
      </c>
      <c r="AF828" s="2398">
        <v>0</v>
      </c>
      <c r="AG828" s="2398">
        <v>0</v>
      </c>
      <c r="AH828" s="2401">
        <v>0</v>
      </c>
      <c r="AI828" s="2401">
        <v>0</v>
      </c>
      <c r="AJ828" s="2398">
        <v>0</v>
      </c>
      <c r="AZ828" s="2396">
        <v>31131011</v>
      </c>
      <c r="BA828" s="2397" t="s">
        <v>246</v>
      </c>
      <c r="BB828" s="2398">
        <v>0</v>
      </c>
      <c r="BC828" s="2179">
        <v>0</v>
      </c>
      <c r="BD828" s="2399">
        <v>0</v>
      </c>
      <c r="BE828" s="2400">
        <v>0</v>
      </c>
      <c r="BF828" s="2398">
        <v>0</v>
      </c>
      <c r="BG828" s="2398">
        <v>0</v>
      </c>
      <c r="BH828" s="2401">
        <v>0</v>
      </c>
      <c r="BI828" s="2401">
        <v>0</v>
      </c>
      <c r="BJ828" s="2398">
        <v>0</v>
      </c>
      <c r="BN828" s="2390">
        <v>32991000</v>
      </c>
      <c r="BO828" s="2403" t="s">
        <v>4439</v>
      </c>
      <c r="BP828" s="2392">
        <v>0</v>
      </c>
      <c r="BQ828" s="2392">
        <v>0</v>
      </c>
      <c r="BR828" s="2393">
        <v>0</v>
      </c>
      <c r="BS828" s="2394">
        <v>0</v>
      </c>
      <c r="BT828" s="2392">
        <v>0</v>
      </c>
      <c r="BU828" s="2392">
        <v>0</v>
      </c>
      <c r="BV828" s="2395">
        <v>0</v>
      </c>
      <c r="BW828" s="2395">
        <v>0</v>
      </c>
      <c r="BX828" s="2392">
        <v>0</v>
      </c>
    </row>
    <row r="829" spans="2:76">
      <c r="B829" s="2564">
        <v>31131012</v>
      </c>
      <c r="C829" s="2565" t="s">
        <v>4415</v>
      </c>
      <c r="D829" s="2566">
        <v>2883859226</v>
      </c>
      <c r="E829" s="1080">
        <v>0</v>
      </c>
      <c r="F829" s="2567">
        <v>0</v>
      </c>
      <c r="G829" s="2568">
        <v>0</v>
      </c>
      <c r="H829" s="2566">
        <v>0</v>
      </c>
      <c r="I829" s="2566">
        <v>2883859226</v>
      </c>
      <c r="J829" s="2569">
        <v>0</v>
      </c>
      <c r="K829" s="2569">
        <v>0</v>
      </c>
      <c r="L829" s="2566">
        <v>2883859226</v>
      </c>
      <c r="N829" s="2396">
        <v>31131012</v>
      </c>
      <c r="O829" s="2397" t="s">
        <v>4415</v>
      </c>
      <c r="P829" s="2398">
        <v>3801541598</v>
      </c>
      <c r="Q829" s="2179">
        <v>0</v>
      </c>
      <c r="R829" s="2399">
        <v>0</v>
      </c>
      <c r="S829" s="2400">
        <v>0</v>
      </c>
      <c r="T829" s="2398">
        <v>0</v>
      </c>
      <c r="U829" s="2398">
        <v>3801541598</v>
      </c>
      <c r="V829" s="2401">
        <v>0</v>
      </c>
      <c r="W829" s="2401">
        <v>0</v>
      </c>
      <c r="X829" s="2398">
        <v>3801541598</v>
      </c>
      <c r="Z829" s="2396">
        <v>31131012</v>
      </c>
      <c r="AA829" s="2397" t="s">
        <v>4415</v>
      </c>
      <c r="AB829" s="2398">
        <v>14907617936</v>
      </c>
      <c r="AC829" s="2179">
        <v>0</v>
      </c>
      <c r="AD829" s="2399">
        <v>0</v>
      </c>
      <c r="AE829" s="2400">
        <v>0</v>
      </c>
      <c r="AF829" s="2398">
        <v>0</v>
      </c>
      <c r="AG829" s="2398">
        <v>14907617936</v>
      </c>
      <c r="AH829" s="2401">
        <v>0</v>
      </c>
      <c r="AI829" s="2401">
        <v>0</v>
      </c>
      <c r="AJ829" s="2398">
        <v>14907617936</v>
      </c>
      <c r="AZ829" s="2396">
        <v>31131012</v>
      </c>
      <c r="BA829" s="2397" t="s">
        <v>4415</v>
      </c>
      <c r="BB829" s="2398">
        <v>6673204592</v>
      </c>
      <c r="BC829" s="2179">
        <v>0</v>
      </c>
      <c r="BD829" s="2399">
        <v>0</v>
      </c>
      <c r="BE829" s="2400">
        <v>0</v>
      </c>
      <c r="BF829" s="2398">
        <v>0</v>
      </c>
      <c r="BG829" s="2398">
        <v>6673204592</v>
      </c>
      <c r="BH829" s="2401">
        <v>0</v>
      </c>
      <c r="BI829" s="2401">
        <v>0</v>
      </c>
      <c r="BJ829" s="2398">
        <v>6673204592</v>
      </c>
      <c r="BN829" s="2396">
        <v>32991001</v>
      </c>
      <c r="BO829" s="2397" t="s">
        <v>4440</v>
      </c>
      <c r="BP829" s="2398">
        <v>0</v>
      </c>
      <c r="BQ829" s="2398">
        <v>0</v>
      </c>
      <c r="BR829" s="2415">
        <v>0</v>
      </c>
      <c r="BS829" s="2400">
        <v>0</v>
      </c>
      <c r="BT829" s="2398">
        <v>0</v>
      </c>
      <c r="BU829" s="2398">
        <v>0</v>
      </c>
      <c r="BV829" s="2401">
        <v>0</v>
      </c>
      <c r="BW829" s="2401">
        <v>0</v>
      </c>
      <c r="BX829" s="2398">
        <v>0</v>
      </c>
    </row>
    <row r="830" spans="2:76" ht="14.25" thickBot="1">
      <c r="B830" s="2564">
        <v>31131013</v>
      </c>
      <c r="C830" s="2565" t="s">
        <v>4416</v>
      </c>
      <c r="D830" s="2566">
        <v>-16364432407</v>
      </c>
      <c r="E830" s="1080">
        <v>0</v>
      </c>
      <c r="F830" s="2567">
        <v>0</v>
      </c>
      <c r="G830" s="2568">
        <v>0</v>
      </c>
      <c r="H830" s="2566">
        <v>0</v>
      </c>
      <c r="I830" s="2566">
        <v>-16364432407</v>
      </c>
      <c r="J830" s="2569">
        <v>0</v>
      </c>
      <c r="K830" s="2569">
        <v>0</v>
      </c>
      <c r="L830" s="2566">
        <v>-16364432407</v>
      </c>
      <c r="N830" s="2396">
        <v>31131013</v>
      </c>
      <c r="O830" s="2397" t="s">
        <v>4416</v>
      </c>
      <c r="P830" s="2398">
        <v>-8283085338</v>
      </c>
      <c r="Q830" s="2179">
        <v>0</v>
      </c>
      <c r="R830" s="2399">
        <v>0</v>
      </c>
      <c r="S830" s="2400">
        <v>0</v>
      </c>
      <c r="T830" s="2398">
        <v>0</v>
      </c>
      <c r="U830" s="2398">
        <v>-8283085338</v>
      </c>
      <c r="V830" s="2401">
        <v>0</v>
      </c>
      <c r="W830" s="2401">
        <v>0</v>
      </c>
      <c r="X830" s="2398">
        <v>-8283085338</v>
      </c>
      <c r="Z830" s="2396">
        <v>31131013</v>
      </c>
      <c r="AA830" s="2397" t="s">
        <v>4416</v>
      </c>
      <c r="AB830" s="2398">
        <v>-3436077831</v>
      </c>
      <c r="AC830" s="2179">
        <v>0</v>
      </c>
      <c r="AD830" s="2399">
        <v>0</v>
      </c>
      <c r="AE830" s="2400">
        <v>0</v>
      </c>
      <c r="AF830" s="2398">
        <v>0</v>
      </c>
      <c r="AG830" s="2398">
        <v>-3436077831</v>
      </c>
      <c r="AH830" s="2401">
        <v>0</v>
      </c>
      <c r="AI830" s="2401">
        <v>0</v>
      </c>
      <c r="AJ830" s="2398">
        <v>-3436077831</v>
      </c>
      <c r="AZ830" s="2396">
        <v>31131013</v>
      </c>
      <c r="BA830" s="2397" t="s">
        <v>4416</v>
      </c>
      <c r="BB830" s="2398">
        <v>-7935202</v>
      </c>
      <c r="BC830" s="2179">
        <v>0</v>
      </c>
      <c r="BD830" s="2399">
        <v>0</v>
      </c>
      <c r="BE830" s="2400">
        <v>0</v>
      </c>
      <c r="BF830" s="2398">
        <v>0</v>
      </c>
      <c r="BG830" s="2398">
        <v>-7935202</v>
      </c>
      <c r="BH830" s="2401">
        <v>0</v>
      </c>
      <c r="BI830" s="2401">
        <v>0</v>
      </c>
      <c r="BJ830" s="2398">
        <v>-7935202</v>
      </c>
      <c r="BN830" s="2360"/>
      <c r="BO830" s="2361"/>
      <c r="BP830" s="4365">
        <v>0</v>
      </c>
      <c r="BQ830" s="4365">
        <v>0</v>
      </c>
      <c r="BR830" s="4365">
        <v>0</v>
      </c>
      <c r="BS830" s="4365">
        <v>0</v>
      </c>
      <c r="BT830" s="4365">
        <v>0</v>
      </c>
      <c r="BU830" s="4365">
        <v>0</v>
      </c>
      <c r="BV830" s="2362">
        <v>0</v>
      </c>
      <c r="BW830" s="2362">
        <v>0</v>
      </c>
      <c r="BX830" s="4365">
        <v>0</v>
      </c>
    </row>
    <row r="831" spans="2:76">
      <c r="B831" s="2552">
        <v>31140000</v>
      </c>
      <c r="C831" s="2570" t="s">
        <v>4417</v>
      </c>
      <c r="D831" s="2554">
        <v>1873130469465</v>
      </c>
      <c r="E831" s="2554">
        <v>22115386293</v>
      </c>
      <c r="F831" s="2555">
        <v>71950668320</v>
      </c>
      <c r="G831" s="2556">
        <v>8765482053</v>
      </c>
      <c r="H831" s="2554">
        <v>17506610796</v>
      </c>
      <c r="I831" s="2554">
        <v>1993468616927</v>
      </c>
      <c r="J831" s="2557">
        <v>0</v>
      </c>
      <c r="K831" s="2557">
        <v>0</v>
      </c>
      <c r="L831" s="2554">
        <v>1989205659777</v>
      </c>
      <c r="N831" s="2384">
        <v>31140000</v>
      </c>
      <c r="O831" s="2402" t="s">
        <v>4417</v>
      </c>
      <c r="P831" s="2386">
        <v>1809199225387</v>
      </c>
      <c r="Q831" s="2386">
        <v>21182517055</v>
      </c>
      <c r="R831" s="2387">
        <v>68538689803</v>
      </c>
      <c r="S831" s="2388">
        <v>8352845685</v>
      </c>
      <c r="T831" s="2386">
        <v>16234402523</v>
      </c>
      <c r="U831" s="2386">
        <v>1923507680453</v>
      </c>
      <c r="V831" s="2389">
        <v>0</v>
      </c>
      <c r="W831" s="2389">
        <v>0</v>
      </c>
      <c r="X831" s="2386">
        <v>1918191653963</v>
      </c>
      <c r="Z831" s="2384">
        <v>31140000</v>
      </c>
      <c r="AA831" s="2402" t="s">
        <v>4417</v>
      </c>
      <c r="AB831" s="2386">
        <v>1846011482914</v>
      </c>
      <c r="AC831" s="2386">
        <v>19288335663</v>
      </c>
      <c r="AD831" s="2387">
        <v>63533944770</v>
      </c>
      <c r="AE831" s="2388">
        <v>7167054282</v>
      </c>
      <c r="AF831" s="2386">
        <v>14938926181</v>
      </c>
      <c r="AG831" s="2386">
        <v>1950939743810</v>
      </c>
      <c r="AH831" s="2389">
        <v>0</v>
      </c>
      <c r="AI831" s="2389">
        <v>0</v>
      </c>
      <c r="AJ831" s="2386">
        <v>1945542706653</v>
      </c>
      <c r="AZ831" s="2384">
        <v>31140000</v>
      </c>
      <c r="BA831" s="2402" t="s">
        <v>4417</v>
      </c>
      <c r="BB831" s="2386">
        <v>1780783199801</v>
      </c>
      <c r="BC831" s="2386">
        <v>15192469205</v>
      </c>
      <c r="BD831" s="2387">
        <v>40001412569</v>
      </c>
      <c r="BE831" s="2388">
        <v>8163032058</v>
      </c>
      <c r="BF831" s="2386">
        <v>16739245183</v>
      </c>
      <c r="BG831" s="2386">
        <v>1860879358816</v>
      </c>
      <c r="BH831" s="2389">
        <v>0</v>
      </c>
      <c r="BI831" s="2389">
        <v>0</v>
      </c>
      <c r="BJ831" s="2386">
        <v>1851986971263</v>
      </c>
      <c r="BN831" s="2360"/>
      <c r="BO831" s="4366" t="s">
        <v>6711</v>
      </c>
      <c r="BP831" s="4367">
        <v>0</v>
      </c>
      <c r="BQ831" s="4367">
        <v>0</v>
      </c>
      <c r="BR831" s="4367">
        <v>0</v>
      </c>
      <c r="BS831" s="4367">
        <v>0</v>
      </c>
      <c r="BT831" s="4367">
        <v>0</v>
      </c>
      <c r="BU831" s="4367">
        <v>0</v>
      </c>
      <c r="BV831" s="4368">
        <v>517584355428</v>
      </c>
      <c r="BW831" s="4368">
        <v>517584355428</v>
      </c>
      <c r="BX831" s="4369">
        <v>0</v>
      </c>
    </row>
    <row r="832" spans="2:76" ht="14.25" thickBot="1">
      <c r="B832" s="2558">
        <v>31141000</v>
      </c>
      <c r="C832" s="2571" t="s">
        <v>4417</v>
      </c>
      <c r="D832" s="2560">
        <v>1873130469465</v>
      </c>
      <c r="E832" s="2560">
        <v>22115386293</v>
      </c>
      <c r="F832" s="2561">
        <v>71950668320</v>
      </c>
      <c r="G832" s="2562">
        <v>8765482053</v>
      </c>
      <c r="H832" s="2560">
        <v>17506610796</v>
      </c>
      <c r="I832" s="2560">
        <v>1993468616927</v>
      </c>
      <c r="J832" s="2563">
        <v>0</v>
      </c>
      <c r="K832" s="2563">
        <v>0</v>
      </c>
      <c r="L832" s="2560">
        <v>1989205659777</v>
      </c>
      <c r="N832" s="2390">
        <v>31141000</v>
      </c>
      <c r="O832" s="2403" t="s">
        <v>4417</v>
      </c>
      <c r="P832" s="2392">
        <v>1809199225387</v>
      </c>
      <c r="Q832" s="2392">
        <v>21182517055</v>
      </c>
      <c r="R832" s="2393">
        <v>68538689803</v>
      </c>
      <c r="S832" s="2394">
        <v>8352845685</v>
      </c>
      <c r="T832" s="2392">
        <v>16234402523</v>
      </c>
      <c r="U832" s="2392">
        <v>1923507680453</v>
      </c>
      <c r="V832" s="2395">
        <v>0</v>
      </c>
      <c r="W832" s="2395">
        <v>0</v>
      </c>
      <c r="X832" s="2392">
        <v>1918191653963</v>
      </c>
      <c r="Z832" s="2390">
        <v>31141000</v>
      </c>
      <c r="AA832" s="2403" t="s">
        <v>4417</v>
      </c>
      <c r="AB832" s="2392">
        <v>1846011482914</v>
      </c>
      <c r="AC832" s="2392">
        <v>19288335663</v>
      </c>
      <c r="AD832" s="2393">
        <v>63533944770</v>
      </c>
      <c r="AE832" s="2394">
        <v>7167054282</v>
      </c>
      <c r="AF832" s="2392">
        <v>14938926181</v>
      </c>
      <c r="AG832" s="2392">
        <v>1950939743810</v>
      </c>
      <c r="AH832" s="2395">
        <v>0</v>
      </c>
      <c r="AI832" s="2395">
        <v>0</v>
      </c>
      <c r="AJ832" s="2392">
        <v>1945542706653</v>
      </c>
      <c r="AZ832" s="2390">
        <v>31141000</v>
      </c>
      <c r="BA832" s="2403" t="s">
        <v>4417</v>
      </c>
      <c r="BB832" s="2392">
        <v>1780783199801</v>
      </c>
      <c r="BC832" s="2392">
        <v>15192469205</v>
      </c>
      <c r="BD832" s="2393">
        <v>40001412569</v>
      </c>
      <c r="BE832" s="2394">
        <v>8163032058</v>
      </c>
      <c r="BF832" s="2392">
        <v>16739245183</v>
      </c>
      <c r="BG832" s="2392">
        <v>1860879358816</v>
      </c>
      <c r="BH832" s="2395">
        <v>0</v>
      </c>
      <c r="BI832" s="2395">
        <v>0</v>
      </c>
      <c r="BJ832" s="2392">
        <v>1851986971263</v>
      </c>
      <c r="BN832" s="2360"/>
      <c r="BO832" s="4370" t="s">
        <v>6712</v>
      </c>
      <c r="BP832" s="4371">
        <v>0</v>
      </c>
      <c r="BQ832" s="4371">
        <v>0</v>
      </c>
      <c r="BR832" s="4371">
        <v>0</v>
      </c>
      <c r="BS832" s="4371">
        <v>0</v>
      </c>
      <c r="BT832" s="4371">
        <v>0</v>
      </c>
      <c r="BU832" s="4371">
        <v>0</v>
      </c>
      <c r="BV832" s="4372"/>
      <c r="BW832" s="4372"/>
      <c r="BX832" s="4373">
        <v>0</v>
      </c>
    </row>
    <row r="833" spans="2:62">
      <c r="B833" s="2564">
        <v>31141001</v>
      </c>
      <c r="C833" s="2565" t="s">
        <v>4418</v>
      </c>
      <c r="D833" s="2566">
        <v>129102000000</v>
      </c>
      <c r="E833" s="1080">
        <v>0</v>
      </c>
      <c r="F833" s="2567">
        <v>500450634</v>
      </c>
      <c r="G833" s="2568">
        <v>211000000</v>
      </c>
      <c r="H833" s="2566">
        <v>300000000</v>
      </c>
      <c r="I833" s="2566">
        <v>130113450634</v>
      </c>
      <c r="J833" s="2569">
        <v>11000000</v>
      </c>
      <c r="K833" s="2569">
        <v>0</v>
      </c>
      <c r="L833" s="2566">
        <v>130102450634</v>
      </c>
      <c r="N833" s="2396">
        <v>31141001</v>
      </c>
      <c r="O833" s="2397" t="s">
        <v>4418</v>
      </c>
      <c r="P833" s="2398">
        <v>129102000000</v>
      </c>
      <c r="Q833" s="2179">
        <v>0</v>
      </c>
      <c r="R833" s="2399">
        <v>500450634</v>
      </c>
      <c r="S833" s="2400">
        <v>211000000</v>
      </c>
      <c r="T833" s="2398">
        <v>300000000</v>
      </c>
      <c r="U833" s="2398">
        <v>130113450634</v>
      </c>
      <c r="V833" s="2401">
        <v>11000000</v>
      </c>
      <c r="W833" s="2401">
        <v>0</v>
      </c>
      <c r="X833" s="2398">
        <v>130102450634</v>
      </c>
      <c r="Z833" s="2396">
        <v>31141001</v>
      </c>
      <c r="AA833" s="2397" t="s">
        <v>4418</v>
      </c>
      <c r="AB833" s="2398">
        <v>122700000000</v>
      </c>
      <c r="AC833" s="2179">
        <v>0</v>
      </c>
      <c r="AD833" s="2399">
        <v>0</v>
      </c>
      <c r="AE833" s="2400">
        <v>211000000</v>
      </c>
      <c r="AF833" s="2398">
        <v>300000000</v>
      </c>
      <c r="AG833" s="2398">
        <v>123211000000</v>
      </c>
      <c r="AH833" s="2401">
        <v>11000000</v>
      </c>
      <c r="AI833" s="2401">
        <v>0</v>
      </c>
      <c r="AJ833" s="2398">
        <v>123200000000</v>
      </c>
      <c r="AZ833" s="2396">
        <v>31141001</v>
      </c>
      <c r="BA833" s="2397" t="s">
        <v>4418</v>
      </c>
      <c r="BB833" s="2398">
        <v>111900000000</v>
      </c>
      <c r="BC833" s="2179">
        <v>0</v>
      </c>
      <c r="BD833" s="2399">
        <v>0</v>
      </c>
      <c r="BE833" s="2400">
        <v>311000000</v>
      </c>
      <c r="BF833" s="2398">
        <v>0</v>
      </c>
      <c r="BG833" s="2398">
        <v>112211000000</v>
      </c>
      <c r="BH833" s="2401">
        <v>11000000</v>
      </c>
      <c r="BI833" s="2401">
        <v>0</v>
      </c>
      <c r="BJ833" s="2398">
        <v>112200000000</v>
      </c>
    </row>
    <row r="834" spans="2:62">
      <c r="B834" s="2564">
        <v>31141002</v>
      </c>
      <c r="C834" s="2565" t="s">
        <v>4419</v>
      </c>
      <c r="D834" s="2566">
        <v>2000000000</v>
      </c>
      <c r="E834" s="1080">
        <v>0</v>
      </c>
      <c r="F834" s="2567">
        <v>0</v>
      </c>
      <c r="G834" s="2568">
        <v>0</v>
      </c>
      <c r="H834" s="2566">
        <v>0</v>
      </c>
      <c r="I834" s="2566">
        <v>2000000000</v>
      </c>
      <c r="J834" s="2569">
        <v>0</v>
      </c>
      <c r="K834" s="2569">
        <v>0</v>
      </c>
      <c r="L834" s="2566">
        <v>2000000000</v>
      </c>
      <c r="N834" s="2396">
        <v>31141002</v>
      </c>
      <c r="O834" s="2397" t="s">
        <v>4419</v>
      </c>
      <c r="P834" s="2398">
        <v>2000000000</v>
      </c>
      <c r="Q834" s="2179">
        <v>0</v>
      </c>
      <c r="R834" s="2399">
        <v>0</v>
      </c>
      <c r="S834" s="2400">
        <v>0</v>
      </c>
      <c r="T834" s="2398">
        <v>0</v>
      </c>
      <c r="U834" s="2398">
        <v>2000000000</v>
      </c>
      <c r="V834" s="2401">
        <v>0</v>
      </c>
      <c r="W834" s="2401">
        <v>0</v>
      </c>
      <c r="X834" s="2398">
        <v>2000000000</v>
      </c>
      <c r="Z834" s="2396">
        <v>31141002</v>
      </c>
      <c r="AA834" s="2397" t="s">
        <v>4419</v>
      </c>
      <c r="AB834" s="2398">
        <v>2000000000</v>
      </c>
      <c r="AC834" s="2179">
        <v>0</v>
      </c>
      <c r="AD834" s="2399">
        <v>0</v>
      </c>
      <c r="AE834" s="2400">
        <v>0</v>
      </c>
      <c r="AF834" s="2398">
        <v>0</v>
      </c>
      <c r="AG834" s="2398">
        <v>2000000000</v>
      </c>
      <c r="AH834" s="2401">
        <v>0</v>
      </c>
      <c r="AI834" s="2401">
        <v>0</v>
      </c>
      <c r="AJ834" s="2398">
        <v>2000000000</v>
      </c>
      <c r="AZ834" s="2396">
        <v>31141002</v>
      </c>
      <c r="BA834" s="2397" t="s">
        <v>4419</v>
      </c>
      <c r="BB834" s="2398">
        <v>2000000000</v>
      </c>
      <c r="BC834" s="2179">
        <v>0</v>
      </c>
      <c r="BD834" s="2399">
        <v>0</v>
      </c>
      <c r="BE834" s="2400">
        <v>0</v>
      </c>
      <c r="BF834" s="2398">
        <v>0</v>
      </c>
      <c r="BG834" s="2398">
        <v>2000000000</v>
      </c>
      <c r="BH834" s="2401">
        <v>0</v>
      </c>
      <c r="BI834" s="2401">
        <v>0</v>
      </c>
      <c r="BJ834" s="2398">
        <v>2000000000</v>
      </c>
    </row>
    <row r="835" spans="2:62">
      <c r="B835" s="2564">
        <v>31141003</v>
      </c>
      <c r="C835" s="2565" t="s">
        <v>4420</v>
      </c>
      <c r="D835" s="2566">
        <v>708700000000</v>
      </c>
      <c r="E835" s="1080">
        <v>0</v>
      </c>
      <c r="F835" s="2567">
        <v>0</v>
      </c>
      <c r="G835" s="2568">
        <v>0</v>
      </c>
      <c r="H835" s="2566">
        <v>0</v>
      </c>
      <c r="I835" s="2566">
        <v>708700000000</v>
      </c>
      <c r="J835" s="2569">
        <v>0</v>
      </c>
      <c r="K835" s="2569">
        <v>0</v>
      </c>
      <c r="L835" s="2566">
        <v>708700000000</v>
      </c>
      <c r="N835" s="2396">
        <v>31141003</v>
      </c>
      <c r="O835" s="2397" t="s">
        <v>4420</v>
      </c>
      <c r="P835" s="2398">
        <v>708700000000</v>
      </c>
      <c r="Q835" s="2179">
        <v>0</v>
      </c>
      <c r="R835" s="2399">
        <v>0</v>
      </c>
      <c r="S835" s="2400">
        <v>0</v>
      </c>
      <c r="T835" s="2398">
        <v>0</v>
      </c>
      <c r="U835" s="2398">
        <v>708700000000</v>
      </c>
      <c r="V835" s="2401">
        <v>0</v>
      </c>
      <c r="W835" s="2401">
        <v>0</v>
      </c>
      <c r="X835" s="2398">
        <v>708700000000</v>
      </c>
      <c r="Z835" s="2396">
        <v>31141003</v>
      </c>
      <c r="AA835" s="2397" t="s">
        <v>4420</v>
      </c>
      <c r="AB835" s="2398">
        <v>708700000000</v>
      </c>
      <c r="AC835" s="2179">
        <v>0</v>
      </c>
      <c r="AD835" s="2399">
        <v>0</v>
      </c>
      <c r="AE835" s="2400">
        <v>0</v>
      </c>
      <c r="AF835" s="2398">
        <v>0</v>
      </c>
      <c r="AG835" s="2398">
        <v>708700000000</v>
      </c>
      <c r="AH835" s="2401">
        <v>0</v>
      </c>
      <c r="AI835" s="2401">
        <v>0</v>
      </c>
      <c r="AJ835" s="2398">
        <v>708700000000</v>
      </c>
      <c r="AZ835" s="2396">
        <v>31141003</v>
      </c>
      <c r="BA835" s="2397" t="s">
        <v>4420</v>
      </c>
      <c r="BB835" s="2398">
        <v>708700000000</v>
      </c>
      <c r="BC835" s="2179">
        <v>0</v>
      </c>
      <c r="BD835" s="2399">
        <v>0</v>
      </c>
      <c r="BE835" s="2400">
        <v>0</v>
      </c>
      <c r="BF835" s="2398">
        <v>0</v>
      </c>
      <c r="BG835" s="2398">
        <v>708700000000</v>
      </c>
      <c r="BH835" s="2401">
        <v>0</v>
      </c>
      <c r="BI835" s="2401">
        <v>0</v>
      </c>
      <c r="BJ835" s="2398">
        <v>708700000000</v>
      </c>
    </row>
    <row r="836" spans="2:62">
      <c r="B836" s="2564">
        <v>31141004</v>
      </c>
      <c r="C836" s="2565" t="s">
        <v>4421</v>
      </c>
      <c r="D836" s="2566">
        <v>0</v>
      </c>
      <c r="E836" s="1080">
        <v>0</v>
      </c>
      <c r="F836" s="2567">
        <v>0</v>
      </c>
      <c r="G836" s="2568">
        <v>0</v>
      </c>
      <c r="H836" s="2566">
        <v>0</v>
      </c>
      <c r="I836" s="2566">
        <v>0</v>
      </c>
      <c r="J836" s="2569">
        <v>0</v>
      </c>
      <c r="K836" s="2569">
        <v>0</v>
      </c>
      <c r="L836" s="2566">
        <v>0</v>
      </c>
      <c r="N836" s="2396">
        <v>31141004</v>
      </c>
      <c r="O836" s="2397" t="s">
        <v>4421</v>
      </c>
      <c r="P836" s="2398">
        <v>0</v>
      </c>
      <c r="Q836" s="2179">
        <v>0</v>
      </c>
      <c r="R836" s="2399">
        <v>0</v>
      </c>
      <c r="S836" s="2400">
        <v>0</v>
      </c>
      <c r="T836" s="2398">
        <v>0</v>
      </c>
      <c r="U836" s="2398">
        <v>0</v>
      </c>
      <c r="V836" s="2401">
        <v>0</v>
      </c>
      <c r="W836" s="2401">
        <v>0</v>
      </c>
      <c r="X836" s="2398">
        <v>0</v>
      </c>
      <c r="Z836" s="2396">
        <v>31141004</v>
      </c>
      <c r="AA836" s="2397" t="s">
        <v>4421</v>
      </c>
      <c r="AB836" s="2398">
        <v>0</v>
      </c>
      <c r="AC836" s="2179">
        <v>0</v>
      </c>
      <c r="AD836" s="2399">
        <v>0</v>
      </c>
      <c r="AE836" s="2400">
        <v>0</v>
      </c>
      <c r="AF836" s="2398">
        <v>0</v>
      </c>
      <c r="AG836" s="2398">
        <v>0</v>
      </c>
      <c r="AH836" s="2401">
        <v>0</v>
      </c>
      <c r="AI836" s="2401">
        <v>0</v>
      </c>
      <c r="AJ836" s="2398">
        <v>0</v>
      </c>
      <c r="AZ836" s="2396">
        <v>31141004</v>
      </c>
      <c r="BA836" s="2397" t="s">
        <v>4421</v>
      </c>
      <c r="BB836" s="2398">
        <v>0</v>
      </c>
      <c r="BC836" s="2179">
        <v>0</v>
      </c>
      <c r="BD836" s="2399">
        <v>0</v>
      </c>
      <c r="BE836" s="2400">
        <v>0</v>
      </c>
      <c r="BF836" s="2398">
        <v>0</v>
      </c>
      <c r="BG836" s="2398">
        <v>0</v>
      </c>
      <c r="BH836" s="2401">
        <v>0</v>
      </c>
      <c r="BI836" s="2401">
        <v>0</v>
      </c>
      <c r="BJ836" s="2398">
        <v>0</v>
      </c>
    </row>
    <row r="837" spans="2:62">
      <c r="B837" s="2564">
        <v>31141005</v>
      </c>
      <c r="C837" s="2565" t="s">
        <v>4422</v>
      </c>
      <c r="D837" s="2566">
        <v>0</v>
      </c>
      <c r="E837" s="1080">
        <v>0</v>
      </c>
      <c r="F837" s="2567">
        <v>0</v>
      </c>
      <c r="G837" s="2568">
        <v>0</v>
      </c>
      <c r="H837" s="2566">
        <v>0</v>
      </c>
      <c r="I837" s="2566">
        <v>0</v>
      </c>
      <c r="J837" s="2569">
        <v>0</v>
      </c>
      <c r="K837" s="2569">
        <v>0</v>
      </c>
      <c r="L837" s="2566">
        <v>0</v>
      </c>
      <c r="N837" s="2396">
        <v>31141005</v>
      </c>
      <c r="O837" s="2397" t="s">
        <v>4422</v>
      </c>
      <c r="P837" s="2398">
        <v>0</v>
      </c>
      <c r="Q837" s="2179">
        <v>0</v>
      </c>
      <c r="R837" s="2399">
        <v>0</v>
      </c>
      <c r="S837" s="2400">
        <v>0</v>
      </c>
      <c r="T837" s="2398">
        <v>0</v>
      </c>
      <c r="U837" s="2398">
        <v>0</v>
      </c>
      <c r="V837" s="2401">
        <v>0</v>
      </c>
      <c r="W837" s="2401">
        <v>0</v>
      </c>
      <c r="X837" s="2398">
        <v>0</v>
      </c>
      <c r="Z837" s="2396">
        <v>31141005</v>
      </c>
      <c r="AA837" s="2397" t="s">
        <v>4422</v>
      </c>
      <c r="AB837" s="2398">
        <v>0</v>
      </c>
      <c r="AC837" s="2179">
        <v>0</v>
      </c>
      <c r="AD837" s="2399">
        <v>0</v>
      </c>
      <c r="AE837" s="2400">
        <v>0</v>
      </c>
      <c r="AF837" s="2398">
        <v>0</v>
      </c>
      <c r="AG837" s="2398">
        <v>0</v>
      </c>
      <c r="AH837" s="2401">
        <v>0</v>
      </c>
      <c r="AI837" s="2401">
        <v>0</v>
      </c>
      <c r="AJ837" s="2398">
        <v>0</v>
      </c>
      <c r="AZ837" s="2396">
        <v>31141005</v>
      </c>
      <c r="BA837" s="2397" t="s">
        <v>4422</v>
      </c>
      <c r="BB837" s="2398">
        <v>0</v>
      </c>
      <c r="BC837" s="2179">
        <v>0</v>
      </c>
      <c r="BD837" s="2399">
        <v>0</v>
      </c>
      <c r="BE837" s="2400">
        <v>0</v>
      </c>
      <c r="BF837" s="2398">
        <v>0</v>
      </c>
      <c r="BG837" s="2398">
        <v>0</v>
      </c>
      <c r="BH837" s="2401">
        <v>0</v>
      </c>
      <c r="BI837" s="2401">
        <v>0</v>
      </c>
      <c r="BJ837" s="2398">
        <v>0</v>
      </c>
    </row>
    <row r="838" spans="2:62">
      <c r="B838" s="2564">
        <v>31141006</v>
      </c>
      <c r="C838" s="2565" t="s">
        <v>4423</v>
      </c>
      <c r="D838" s="2566">
        <v>20000000000</v>
      </c>
      <c r="E838" s="1080">
        <v>0</v>
      </c>
      <c r="F838" s="2567">
        <v>0</v>
      </c>
      <c r="G838" s="2568">
        <v>0</v>
      </c>
      <c r="H838" s="2566">
        <v>0</v>
      </c>
      <c r="I838" s="2566">
        <v>20000000000</v>
      </c>
      <c r="J838" s="2569">
        <v>97930227</v>
      </c>
      <c r="K838" s="2569">
        <v>97930227</v>
      </c>
      <c r="L838" s="2566">
        <v>20000000000</v>
      </c>
      <c r="N838" s="2396">
        <v>31141006</v>
      </c>
      <c r="O838" s="2397" t="s">
        <v>4423</v>
      </c>
      <c r="P838" s="2398">
        <v>20000000000</v>
      </c>
      <c r="Q838" s="2179">
        <v>0</v>
      </c>
      <c r="R838" s="2399">
        <v>0</v>
      </c>
      <c r="S838" s="2400">
        <v>0</v>
      </c>
      <c r="T838" s="2398">
        <v>0</v>
      </c>
      <c r="U838" s="2398">
        <v>20000000000</v>
      </c>
      <c r="V838" s="2401">
        <v>97930227</v>
      </c>
      <c r="W838" s="2401">
        <v>97930227</v>
      </c>
      <c r="X838" s="2398">
        <v>20000000000</v>
      </c>
      <c r="Z838" s="2396">
        <v>31141006</v>
      </c>
      <c r="AA838" s="2397" t="s">
        <v>4423</v>
      </c>
      <c r="AB838" s="2398">
        <v>20000000000</v>
      </c>
      <c r="AC838" s="2179">
        <v>0</v>
      </c>
      <c r="AD838" s="2399">
        <v>0</v>
      </c>
      <c r="AE838" s="2400">
        <v>0</v>
      </c>
      <c r="AF838" s="2398">
        <v>0</v>
      </c>
      <c r="AG838" s="2398">
        <v>20000000000</v>
      </c>
      <c r="AH838" s="2401">
        <v>97930227</v>
      </c>
      <c r="AI838" s="2401">
        <v>97930227</v>
      </c>
      <c r="AJ838" s="2398">
        <v>20000000000</v>
      </c>
      <c r="AZ838" s="2396">
        <v>31141006</v>
      </c>
      <c r="BA838" s="2397" t="s">
        <v>4423</v>
      </c>
      <c r="BB838" s="2398">
        <v>20000000000</v>
      </c>
      <c r="BC838" s="2179">
        <v>0</v>
      </c>
      <c r="BD838" s="2399">
        <v>0</v>
      </c>
      <c r="BE838" s="2400">
        <v>0</v>
      </c>
      <c r="BF838" s="2398">
        <v>0</v>
      </c>
      <c r="BG838" s="2398">
        <v>20000000000</v>
      </c>
      <c r="BH838" s="2401">
        <v>97930227</v>
      </c>
      <c r="BI838" s="2401">
        <v>97930227</v>
      </c>
      <c r="BJ838" s="2398">
        <v>20000000000</v>
      </c>
    </row>
    <row r="839" spans="2:62">
      <c r="B839" s="2564">
        <v>31141007</v>
      </c>
      <c r="C839" s="2565" t="s">
        <v>4424</v>
      </c>
      <c r="D839" s="2566">
        <v>0</v>
      </c>
      <c r="E839" s="1080">
        <v>0</v>
      </c>
      <c r="F839" s="2567">
        <v>0</v>
      </c>
      <c r="G839" s="2568">
        <v>0</v>
      </c>
      <c r="H839" s="2566">
        <v>0</v>
      </c>
      <c r="I839" s="2566">
        <v>0</v>
      </c>
      <c r="J839" s="2569">
        <v>0</v>
      </c>
      <c r="K839" s="2569">
        <v>0</v>
      </c>
      <c r="L839" s="2566">
        <v>0</v>
      </c>
      <c r="N839" s="2396">
        <v>31141007</v>
      </c>
      <c r="O839" s="2397" t="s">
        <v>4424</v>
      </c>
      <c r="P839" s="2398">
        <v>0</v>
      </c>
      <c r="Q839" s="2179">
        <v>0</v>
      </c>
      <c r="R839" s="2399">
        <v>0</v>
      </c>
      <c r="S839" s="2400">
        <v>0</v>
      </c>
      <c r="T839" s="2398">
        <v>0</v>
      </c>
      <c r="U839" s="2398">
        <v>0</v>
      </c>
      <c r="V839" s="2401">
        <v>0</v>
      </c>
      <c r="W839" s="2401">
        <v>0</v>
      </c>
      <c r="X839" s="2398">
        <v>0</v>
      </c>
      <c r="Z839" s="2396">
        <v>31141007</v>
      </c>
      <c r="AA839" s="2397" t="s">
        <v>4424</v>
      </c>
      <c r="AB839" s="2398">
        <v>0</v>
      </c>
      <c r="AC839" s="2179">
        <v>0</v>
      </c>
      <c r="AD839" s="2399">
        <v>0</v>
      </c>
      <c r="AE839" s="2400">
        <v>0</v>
      </c>
      <c r="AF839" s="2398">
        <v>0</v>
      </c>
      <c r="AG839" s="2398">
        <v>0</v>
      </c>
      <c r="AH839" s="2401">
        <v>0</v>
      </c>
      <c r="AI839" s="2401">
        <v>0</v>
      </c>
      <c r="AJ839" s="2398">
        <v>0</v>
      </c>
      <c r="AZ839" s="2396">
        <v>31141007</v>
      </c>
      <c r="BA839" s="2397" t="s">
        <v>4424</v>
      </c>
      <c r="BB839" s="2398">
        <v>0</v>
      </c>
      <c r="BC839" s="2179">
        <v>0</v>
      </c>
      <c r="BD839" s="2399">
        <v>0</v>
      </c>
      <c r="BE839" s="2400">
        <v>0</v>
      </c>
      <c r="BF839" s="2398">
        <v>0</v>
      </c>
      <c r="BG839" s="2398">
        <v>0</v>
      </c>
      <c r="BH839" s="2401">
        <v>0</v>
      </c>
      <c r="BI839" s="2401">
        <v>0</v>
      </c>
      <c r="BJ839" s="2398">
        <v>0</v>
      </c>
    </row>
    <row r="840" spans="2:62">
      <c r="B840" s="2564">
        <v>31141008</v>
      </c>
      <c r="C840" s="2565" t="s">
        <v>4425</v>
      </c>
      <c r="D840" s="2566">
        <v>0</v>
      </c>
      <c r="E840" s="1080">
        <v>0</v>
      </c>
      <c r="F840" s="2567">
        <v>0</v>
      </c>
      <c r="G840" s="2568">
        <v>0</v>
      </c>
      <c r="H840" s="2566">
        <v>0</v>
      </c>
      <c r="I840" s="2566">
        <v>0</v>
      </c>
      <c r="J840" s="2569">
        <v>0</v>
      </c>
      <c r="K840" s="2569">
        <v>0</v>
      </c>
      <c r="L840" s="2566">
        <v>0</v>
      </c>
      <c r="N840" s="2396">
        <v>31141008</v>
      </c>
      <c r="O840" s="2397" t="s">
        <v>4425</v>
      </c>
      <c r="P840" s="2398">
        <v>0</v>
      </c>
      <c r="Q840" s="2179">
        <v>0</v>
      </c>
      <c r="R840" s="2399">
        <v>0</v>
      </c>
      <c r="S840" s="2400">
        <v>0</v>
      </c>
      <c r="T840" s="2398">
        <v>0</v>
      </c>
      <c r="U840" s="2398">
        <v>0</v>
      </c>
      <c r="V840" s="2401">
        <v>0</v>
      </c>
      <c r="W840" s="2401">
        <v>0</v>
      </c>
      <c r="X840" s="2398">
        <v>0</v>
      </c>
      <c r="Z840" s="2396">
        <v>31141008</v>
      </c>
      <c r="AA840" s="2397" t="s">
        <v>4425</v>
      </c>
      <c r="AB840" s="2398">
        <v>0</v>
      </c>
      <c r="AC840" s="2179">
        <v>0</v>
      </c>
      <c r="AD840" s="2399">
        <v>0</v>
      </c>
      <c r="AE840" s="2400">
        <v>0</v>
      </c>
      <c r="AF840" s="2398">
        <v>0</v>
      </c>
      <c r="AG840" s="2398">
        <v>0</v>
      </c>
      <c r="AH840" s="2401">
        <v>0</v>
      </c>
      <c r="AI840" s="2401">
        <v>0</v>
      </c>
      <c r="AJ840" s="2398">
        <v>0</v>
      </c>
      <c r="AZ840" s="2396">
        <v>31141008</v>
      </c>
      <c r="BA840" s="2397" t="s">
        <v>4425</v>
      </c>
      <c r="BB840" s="2398">
        <v>0</v>
      </c>
      <c r="BC840" s="2179">
        <v>0</v>
      </c>
      <c r="BD840" s="2399">
        <v>0</v>
      </c>
      <c r="BE840" s="2400">
        <v>0</v>
      </c>
      <c r="BF840" s="2398">
        <v>0</v>
      </c>
      <c r="BG840" s="2398">
        <v>0</v>
      </c>
      <c r="BH840" s="2401">
        <v>0</v>
      </c>
      <c r="BI840" s="2401">
        <v>0</v>
      </c>
      <c r="BJ840" s="2398">
        <v>0</v>
      </c>
    </row>
    <row r="841" spans="2:62">
      <c r="B841" s="2564">
        <v>31141009</v>
      </c>
      <c r="C841" s="2565" t="s">
        <v>4426</v>
      </c>
      <c r="D841" s="2566">
        <v>865600000000</v>
      </c>
      <c r="E841" s="1080">
        <v>0</v>
      </c>
      <c r="F841" s="2567">
        <v>0</v>
      </c>
      <c r="G841" s="2568">
        <v>0</v>
      </c>
      <c r="H841" s="2566">
        <v>0</v>
      </c>
      <c r="I841" s="2566">
        <v>865600000000</v>
      </c>
      <c r="J841" s="2569">
        <v>0</v>
      </c>
      <c r="K841" s="2569">
        <v>0</v>
      </c>
      <c r="L841" s="2566">
        <v>865600000000</v>
      </c>
      <c r="N841" s="2396">
        <v>31141009</v>
      </c>
      <c r="O841" s="2397" t="s">
        <v>4426</v>
      </c>
      <c r="P841" s="2398">
        <v>865600000000</v>
      </c>
      <c r="Q841" s="2179">
        <v>0</v>
      </c>
      <c r="R841" s="2399">
        <v>0</v>
      </c>
      <c r="S841" s="2400">
        <v>0</v>
      </c>
      <c r="T841" s="2398">
        <v>0</v>
      </c>
      <c r="U841" s="2398">
        <v>865600000000</v>
      </c>
      <c r="V841" s="2401">
        <v>0</v>
      </c>
      <c r="W841" s="2401">
        <v>0</v>
      </c>
      <c r="X841" s="2398">
        <v>865600000000</v>
      </c>
      <c r="Z841" s="2396">
        <v>31141009</v>
      </c>
      <c r="AA841" s="2397" t="s">
        <v>4426</v>
      </c>
      <c r="AB841" s="2398">
        <v>820300000000</v>
      </c>
      <c r="AC841" s="2179">
        <v>0</v>
      </c>
      <c r="AD841" s="2399">
        <v>0</v>
      </c>
      <c r="AE841" s="2400">
        <v>0</v>
      </c>
      <c r="AF841" s="2398">
        <v>0</v>
      </c>
      <c r="AG841" s="2398">
        <v>820300000000</v>
      </c>
      <c r="AH841" s="2401">
        <v>0</v>
      </c>
      <c r="AI841" s="2401">
        <v>0</v>
      </c>
      <c r="AJ841" s="2398">
        <v>820300000000</v>
      </c>
      <c r="AZ841" s="2396">
        <v>31141009</v>
      </c>
      <c r="BA841" s="2397" t="s">
        <v>4426</v>
      </c>
      <c r="BB841" s="2398">
        <v>735600000000</v>
      </c>
      <c r="BC841" s="2179">
        <v>0</v>
      </c>
      <c r="BD841" s="2399">
        <v>0</v>
      </c>
      <c r="BE841" s="2400">
        <v>0</v>
      </c>
      <c r="BF841" s="2398">
        <v>0</v>
      </c>
      <c r="BG841" s="2398">
        <v>735600000000</v>
      </c>
      <c r="BH841" s="2401">
        <v>0</v>
      </c>
      <c r="BI841" s="2401">
        <v>0</v>
      </c>
      <c r="BJ841" s="2398">
        <v>735600000000</v>
      </c>
    </row>
    <row r="842" spans="2:62">
      <c r="B842" s="2564">
        <v>31141010</v>
      </c>
      <c r="C842" s="2565" t="s">
        <v>4427</v>
      </c>
      <c r="D842" s="2566">
        <v>0</v>
      </c>
      <c r="E842" s="1080">
        <v>0</v>
      </c>
      <c r="F842" s="2567">
        <v>0</v>
      </c>
      <c r="G842" s="2568">
        <v>0</v>
      </c>
      <c r="H842" s="2566">
        <v>0</v>
      </c>
      <c r="I842" s="2566">
        <v>0</v>
      </c>
      <c r="J842" s="2569">
        <v>0</v>
      </c>
      <c r="K842" s="2569">
        <v>0</v>
      </c>
      <c r="L842" s="2566">
        <v>0</v>
      </c>
      <c r="N842" s="2396">
        <v>31141010</v>
      </c>
      <c r="O842" s="2397" t="s">
        <v>4427</v>
      </c>
      <c r="P842" s="2398">
        <v>0</v>
      </c>
      <c r="Q842" s="2179">
        <v>0</v>
      </c>
      <c r="R842" s="2399">
        <v>0</v>
      </c>
      <c r="S842" s="2400">
        <v>0</v>
      </c>
      <c r="T842" s="2398">
        <v>0</v>
      </c>
      <c r="U842" s="2398">
        <v>0</v>
      </c>
      <c r="V842" s="2401">
        <v>0</v>
      </c>
      <c r="W842" s="2401">
        <v>0</v>
      </c>
      <c r="X842" s="2398">
        <v>0</v>
      </c>
      <c r="Z842" s="2396">
        <v>31141010</v>
      </c>
      <c r="AA842" s="2397" t="s">
        <v>4427</v>
      </c>
      <c r="AB842" s="2398">
        <v>0</v>
      </c>
      <c r="AC842" s="2179">
        <v>0</v>
      </c>
      <c r="AD842" s="2399">
        <v>0</v>
      </c>
      <c r="AE842" s="2400">
        <v>0</v>
      </c>
      <c r="AF842" s="2398">
        <v>0</v>
      </c>
      <c r="AG842" s="2398">
        <v>0</v>
      </c>
      <c r="AH842" s="2401">
        <v>0</v>
      </c>
      <c r="AI842" s="2401">
        <v>0</v>
      </c>
      <c r="AJ842" s="2398">
        <v>0</v>
      </c>
      <c r="AZ842" s="2396">
        <v>31141010</v>
      </c>
      <c r="BA842" s="2397" t="s">
        <v>4427</v>
      </c>
      <c r="BB842" s="2398">
        <v>0</v>
      </c>
      <c r="BC842" s="2179">
        <v>0</v>
      </c>
      <c r="BD842" s="2399">
        <v>0</v>
      </c>
      <c r="BE842" s="2400">
        <v>0</v>
      </c>
      <c r="BF842" s="2398">
        <v>0</v>
      </c>
      <c r="BG842" s="2398">
        <v>0</v>
      </c>
      <c r="BH842" s="2401">
        <v>0</v>
      </c>
      <c r="BI842" s="2401">
        <v>0</v>
      </c>
      <c r="BJ842" s="2398">
        <v>0</v>
      </c>
    </row>
    <row r="843" spans="2:62">
      <c r="B843" s="2564">
        <v>31141011</v>
      </c>
      <c r="C843" s="2565" t="s">
        <v>4428</v>
      </c>
      <c r="D843" s="2566">
        <v>200000000</v>
      </c>
      <c r="E843" s="1080">
        <v>11900000000</v>
      </c>
      <c r="F843" s="2567">
        <v>0</v>
      </c>
      <c r="G843" s="2568">
        <v>0</v>
      </c>
      <c r="H843" s="2566">
        <v>0</v>
      </c>
      <c r="I843" s="2566">
        <v>12100000000</v>
      </c>
      <c r="J843" s="2569">
        <v>0</v>
      </c>
      <c r="K843" s="2569">
        <v>0</v>
      </c>
      <c r="L843" s="2566">
        <v>12100000000</v>
      </c>
      <c r="N843" s="2396">
        <v>31141011</v>
      </c>
      <c r="O843" s="2397" t="s">
        <v>4428</v>
      </c>
      <c r="P843" s="2398">
        <v>200000000</v>
      </c>
      <c r="Q843" s="2179">
        <v>11900000000</v>
      </c>
      <c r="R843" s="2399">
        <v>0</v>
      </c>
      <c r="S843" s="2400">
        <v>0</v>
      </c>
      <c r="T843" s="2398">
        <v>0</v>
      </c>
      <c r="U843" s="2398">
        <v>12100000000</v>
      </c>
      <c r="V843" s="2401">
        <v>0</v>
      </c>
      <c r="W843" s="2401">
        <v>0</v>
      </c>
      <c r="X843" s="2398">
        <v>12100000000</v>
      </c>
      <c r="Z843" s="2396">
        <v>31141011</v>
      </c>
      <c r="AA843" s="2397" t="s">
        <v>4428</v>
      </c>
      <c r="AB843" s="2398">
        <v>0</v>
      </c>
      <c r="AC843" s="2179">
        <v>11900000000</v>
      </c>
      <c r="AD843" s="2399">
        <v>0</v>
      </c>
      <c r="AE843" s="2400">
        <v>0</v>
      </c>
      <c r="AF843" s="2398">
        <v>0</v>
      </c>
      <c r="AG843" s="2398">
        <v>11900000000</v>
      </c>
      <c r="AH843" s="2401">
        <v>0</v>
      </c>
      <c r="AI843" s="2401">
        <v>0</v>
      </c>
      <c r="AJ843" s="2398">
        <v>11900000000</v>
      </c>
      <c r="AZ843" s="2396">
        <v>31141011</v>
      </c>
      <c r="BA843" s="2397" t="s">
        <v>4428</v>
      </c>
      <c r="BB843" s="2398">
        <v>0</v>
      </c>
      <c r="BC843" s="2179">
        <v>11900000000</v>
      </c>
      <c r="BD843" s="2399">
        <v>0</v>
      </c>
      <c r="BE843" s="2400">
        <v>0</v>
      </c>
      <c r="BF843" s="2398">
        <v>0</v>
      </c>
      <c r="BG843" s="2398">
        <v>11900000000</v>
      </c>
      <c r="BH843" s="2401">
        <v>0</v>
      </c>
      <c r="BI843" s="2401">
        <v>0</v>
      </c>
      <c r="BJ843" s="2398">
        <v>11900000000</v>
      </c>
    </row>
    <row r="844" spans="2:62">
      <c r="B844" s="2564">
        <v>31141012</v>
      </c>
      <c r="C844" s="2565" t="s">
        <v>4429</v>
      </c>
      <c r="D844" s="2566">
        <v>-18535626014</v>
      </c>
      <c r="E844" s="1080">
        <v>-194850501</v>
      </c>
      <c r="F844" s="2567">
        <v>-602803375</v>
      </c>
      <c r="G844" s="2568">
        <v>-119617087</v>
      </c>
      <c r="H844" s="2566">
        <v>-7430279</v>
      </c>
      <c r="I844" s="2566">
        <v>-19460327256</v>
      </c>
      <c r="J844" s="2569">
        <v>647759976</v>
      </c>
      <c r="K844" s="2569">
        <v>365978469</v>
      </c>
      <c r="L844" s="2566">
        <v>-19742108763</v>
      </c>
      <c r="N844" s="2396">
        <v>31141012</v>
      </c>
      <c r="O844" s="2397" t="s">
        <v>4429</v>
      </c>
      <c r="P844" s="2398">
        <v>-18360383906</v>
      </c>
      <c r="Q844" s="2179">
        <v>-194850501</v>
      </c>
      <c r="R844" s="2399">
        <v>-602803375</v>
      </c>
      <c r="S844" s="2400">
        <v>-119617087</v>
      </c>
      <c r="T844" s="2398">
        <v>-7430279</v>
      </c>
      <c r="U844" s="2398">
        <v>-19285085148</v>
      </c>
      <c r="V844" s="2401">
        <v>647759976</v>
      </c>
      <c r="W844" s="2401">
        <v>365978469</v>
      </c>
      <c r="X844" s="2398">
        <v>-19566866655</v>
      </c>
      <c r="Z844" s="2396">
        <v>31141012</v>
      </c>
      <c r="AA844" s="2397" t="s">
        <v>4429</v>
      </c>
      <c r="AB844" s="2398">
        <v>-18010632436</v>
      </c>
      <c r="AC844" s="2179">
        <v>-194850501</v>
      </c>
      <c r="AD844" s="2399">
        <v>-602803375</v>
      </c>
      <c r="AE844" s="2400">
        <v>-119617087</v>
      </c>
      <c r="AF844" s="2398">
        <v>-7430279</v>
      </c>
      <c r="AG844" s="2398">
        <v>-18935333678</v>
      </c>
      <c r="AH844" s="2401">
        <v>647759976</v>
      </c>
      <c r="AI844" s="2401">
        <v>365978469</v>
      </c>
      <c r="AJ844" s="2398">
        <v>-19217115185</v>
      </c>
      <c r="AZ844" s="2396">
        <v>31141012</v>
      </c>
      <c r="BA844" s="2397" t="s">
        <v>4429</v>
      </c>
      <c r="BB844" s="2398">
        <v>-19358366238</v>
      </c>
      <c r="BC844" s="2179">
        <v>-193333038</v>
      </c>
      <c r="BD844" s="2399">
        <v>-776948928</v>
      </c>
      <c r="BE844" s="2400">
        <v>52147307</v>
      </c>
      <c r="BF844" s="2398">
        <v>-15148908</v>
      </c>
      <c r="BG844" s="2398">
        <v>-20291649805</v>
      </c>
      <c r="BH844" s="2401">
        <v>647759976</v>
      </c>
      <c r="BI844" s="2401">
        <v>365978469</v>
      </c>
      <c r="BJ844" s="2398">
        <v>-20573431312</v>
      </c>
    </row>
    <row r="845" spans="2:62">
      <c r="B845" s="2564">
        <v>31141013</v>
      </c>
      <c r="C845" s="2565" t="s">
        <v>5094</v>
      </c>
      <c r="D845" s="2566">
        <v>0</v>
      </c>
      <c r="E845" s="1080">
        <v>0</v>
      </c>
      <c r="F845" s="2567">
        <v>0</v>
      </c>
      <c r="G845" s="2568">
        <v>0</v>
      </c>
      <c r="H845" s="2566">
        <v>0</v>
      </c>
      <c r="I845" s="2566">
        <v>0</v>
      </c>
      <c r="J845" s="2569">
        <v>0</v>
      </c>
      <c r="K845" s="2569">
        <v>0</v>
      </c>
      <c r="L845" s="2566">
        <v>0</v>
      </c>
      <c r="N845" s="2396">
        <v>31141013</v>
      </c>
      <c r="O845" s="2397" t="s">
        <v>4430</v>
      </c>
      <c r="P845" s="2398">
        <v>0</v>
      </c>
      <c r="Q845" s="2179">
        <v>0</v>
      </c>
      <c r="R845" s="2399">
        <v>0</v>
      </c>
      <c r="S845" s="2400">
        <v>0</v>
      </c>
      <c r="T845" s="2398">
        <v>0</v>
      </c>
      <c r="U845" s="2398">
        <v>0</v>
      </c>
      <c r="V845" s="2401">
        <v>0</v>
      </c>
      <c r="W845" s="2401">
        <v>0</v>
      </c>
      <c r="X845" s="2398">
        <v>0</v>
      </c>
      <c r="Z845" s="2396">
        <v>31141013</v>
      </c>
      <c r="AA845" s="2397" t="s">
        <v>4430</v>
      </c>
      <c r="AB845" s="2398">
        <v>0</v>
      </c>
      <c r="AC845" s="2179">
        <v>0</v>
      </c>
      <c r="AD845" s="2399">
        <v>0</v>
      </c>
      <c r="AE845" s="2400">
        <v>0</v>
      </c>
      <c r="AF845" s="2398">
        <v>0</v>
      </c>
      <c r="AG845" s="2398">
        <v>0</v>
      </c>
      <c r="AH845" s="2401">
        <v>0</v>
      </c>
      <c r="AI845" s="2401">
        <v>0</v>
      </c>
      <c r="AJ845" s="2398">
        <v>0</v>
      </c>
      <c r="AZ845" s="2396">
        <v>31141013</v>
      </c>
      <c r="BA845" s="2397" t="s">
        <v>4430</v>
      </c>
      <c r="BB845" s="2398">
        <v>0</v>
      </c>
      <c r="BC845" s="2179">
        <v>0</v>
      </c>
      <c r="BD845" s="2399">
        <v>0</v>
      </c>
      <c r="BE845" s="2400">
        <v>0</v>
      </c>
      <c r="BF845" s="2398">
        <v>0</v>
      </c>
      <c r="BG845" s="2398">
        <v>0</v>
      </c>
      <c r="BH845" s="2401">
        <v>0</v>
      </c>
      <c r="BI845" s="2401">
        <v>0</v>
      </c>
      <c r="BJ845" s="2398">
        <v>0</v>
      </c>
    </row>
    <row r="846" spans="2:62">
      <c r="B846" s="2564">
        <v>31141014</v>
      </c>
      <c r="C846" s="2565" t="s">
        <v>4431</v>
      </c>
      <c r="D846" s="2566">
        <v>0</v>
      </c>
      <c r="E846" s="1080">
        <v>0</v>
      </c>
      <c r="F846" s="2567">
        <v>0</v>
      </c>
      <c r="G846" s="2568">
        <v>0</v>
      </c>
      <c r="H846" s="2566">
        <v>0</v>
      </c>
      <c r="I846" s="2566">
        <v>0</v>
      </c>
      <c r="J846" s="2569">
        <v>0</v>
      </c>
      <c r="K846" s="2569">
        <v>0</v>
      </c>
      <c r="L846" s="2566">
        <v>0</v>
      </c>
      <c r="N846" s="2396">
        <v>31141014</v>
      </c>
      <c r="O846" s="2397" t="s">
        <v>4431</v>
      </c>
      <c r="P846" s="2398">
        <v>0</v>
      </c>
      <c r="Q846" s="2179">
        <v>0</v>
      </c>
      <c r="R846" s="2399">
        <v>0</v>
      </c>
      <c r="S846" s="2400">
        <v>0</v>
      </c>
      <c r="T846" s="2398">
        <v>0</v>
      </c>
      <c r="U846" s="2398">
        <v>0</v>
      </c>
      <c r="V846" s="2401">
        <v>0</v>
      </c>
      <c r="W846" s="2401">
        <v>0</v>
      </c>
      <c r="X846" s="2398">
        <v>0</v>
      </c>
      <c r="Z846" s="2396">
        <v>31141014</v>
      </c>
      <c r="AA846" s="2397" t="s">
        <v>4431</v>
      </c>
      <c r="AB846" s="2398">
        <v>0</v>
      </c>
      <c r="AC846" s="2179">
        <v>0</v>
      </c>
      <c r="AD846" s="2399">
        <v>0</v>
      </c>
      <c r="AE846" s="2400">
        <v>0</v>
      </c>
      <c r="AF846" s="2398">
        <v>0</v>
      </c>
      <c r="AG846" s="2398">
        <v>0</v>
      </c>
      <c r="AH846" s="2401">
        <v>0</v>
      </c>
      <c r="AI846" s="2401">
        <v>0</v>
      </c>
      <c r="AJ846" s="2398">
        <v>0</v>
      </c>
      <c r="AZ846" s="2396">
        <v>31141014</v>
      </c>
      <c r="BA846" s="2397" t="s">
        <v>4431</v>
      </c>
      <c r="BB846" s="2398">
        <v>0</v>
      </c>
      <c r="BC846" s="2179">
        <v>0</v>
      </c>
      <c r="BD846" s="2399">
        <v>0</v>
      </c>
      <c r="BE846" s="2400">
        <v>0</v>
      </c>
      <c r="BF846" s="2398">
        <v>0</v>
      </c>
      <c r="BG846" s="2398">
        <v>0</v>
      </c>
      <c r="BH846" s="2401">
        <v>0</v>
      </c>
      <c r="BI846" s="2401">
        <v>0</v>
      </c>
      <c r="BJ846" s="2398">
        <v>0</v>
      </c>
    </row>
    <row r="847" spans="2:62">
      <c r="B847" s="2564">
        <v>31141015</v>
      </c>
      <c r="C847" s="2565" t="s">
        <v>3897</v>
      </c>
      <c r="D847" s="2566">
        <v>18097051350</v>
      </c>
      <c r="E847" s="1080">
        <v>7583186164</v>
      </c>
      <c r="F847" s="2567">
        <v>58631791175</v>
      </c>
      <c r="G847" s="2568">
        <v>7075671369</v>
      </c>
      <c r="H847" s="2566">
        <v>14646356460</v>
      </c>
      <c r="I847" s="2566">
        <v>106034056518</v>
      </c>
      <c r="J847" s="2569">
        <v>69281607084</v>
      </c>
      <c r="K847" s="2569">
        <v>69181857770</v>
      </c>
      <c r="L847" s="2566">
        <v>105934307204</v>
      </c>
      <c r="N847" s="2396">
        <v>31141015</v>
      </c>
      <c r="O847" s="2397" t="s">
        <v>3897</v>
      </c>
      <c r="P847" s="2398">
        <v>18097051350</v>
      </c>
      <c r="Q847" s="2179">
        <v>7583186164</v>
      </c>
      <c r="R847" s="2399">
        <v>58631791175</v>
      </c>
      <c r="S847" s="2400">
        <v>7075671369</v>
      </c>
      <c r="T847" s="2398">
        <v>14646356460</v>
      </c>
      <c r="U847" s="2398">
        <v>106034056518</v>
      </c>
      <c r="V847" s="2401">
        <v>69281607084</v>
      </c>
      <c r="W847" s="2401">
        <v>69181857770</v>
      </c>
      <c r="X847" s="2398">
        <v>105934307204</v>
      </c>
      <c r="Z847" s="2396">
        <v>31141015</v>
      </c>
      <c r="AA847" s="2397" t="s">
        <v>3897</v>
      </c>
      <c r="AB847" s="2398">
        <v>19390187639</v>
      </c>
      <c r="AC847" s="2179">
        <v>3485802243</v>
      </c>
      <c r="AD847" s="2399">
        <v>40778361497</v>
      </c>
      <c r="AE847" s="2400">
        <v>5599884751</v>
      </c>
      <c r="AF847" s="2398">
        <v>13454394091</v>
      </c>
      <c r="AG847" s="2398">
        <v>82708630221</v>
      </c>
      <c r="AH847" s="2401">
        <v>61462409397</v>
      </c>
      <c r="AI847" s="2401">
        <v>58162803351</v>
      </c>
      <c r="AJ847" s="2398">
        <v>79409024175</v>
      </c>
      <c r="AZ847" s="2396">
        <v>31141015</v>
      </c>
      <c r="BA847" s="2397" t="s">
        <v>3897</v>
      </c>
      <c r="BB847" s="2398">
        <v>17277713858</v>
      </c>
      <c r="BC847" s="2179">
        <v>2303438855</v>
      </c>
      <c r="BD847" s="2399">
        <v>26443112454</v>
      </c>
      <c r="BE847" s="2400">
        <v>6244625098</v>
      </c>
      <c r="BF847" s="2398">
        <v>13971364921</v>
      </c>
      <c r="BG847" s="2398">
        <v>66240255186</v>
      </c>
      <c r="BH847" s="2401">
        <v>58191359603</v>
      </c>
      <c r="BI847" s="2401">
        <v>52801715624</v>
      </c>
      <c r="BJ847" s="2398">
        <v>60850611207</v>
      </c>
    </row>
    <row r="848" spans="2:62">
      <c r="B848" s="2564">
        <v>31141016</v>
      </c>
      <c r="C848" s="2565" t="s">
        <v>153</v>
      </c>
      <c r="D848" s="2566">
        <v>147967044129</v>
      </c>
      <c r="E848" s="1080">
        <v>2827050630</v>
      </c>
      <c r="F848" s="2567">
        <v>13421229886</v>
      </c>
      <c r="G848" s="2576">
        <v>1598427771</v>
      </c>
      <c r="H848" s="2577">
        <v>2567684615</v>
      </c>
      <c r="I848" s="2577">
        <v>168381437031</v>
      </c>
      <c r="J848" s="2578">
        <v>0</v>
      </c>
      <c r="K848" s="2578">
        <v>-3870426329</v>
      </c>
      <c r="L848" s="2577">
        <v>164511010702</v>
      </c>
      <c r="N848" s="2396">
        <v>31141016</v>
      </c>
      <c r="O848" s="2397" t="s">
        <v>153</v>
      </c>
      <c r="P848" s="2398">
        <v>83860557943</v>
      </c>
      <c r="Q848" s="2179">
        <v>1894181392</v>
      </c>
      <c r="R848" s="2399">
        <v>10009251369</v>
      </c>
      <c r="S848" s="2408">
        <v>1185791403</v>
      </c>
      <c r="T848" s="2409">
        <v>1295476342</v>
      </c>
      <c r="U848" s="2409">
        <v>98245258449</v>
      </c>
      <c r="V848" s="2410">
        <v>0</v>
      </c>
      <c r="W848" s="2410">
        <v>-4923495669</v>
      </c>
      <c r="X848" s="2409">
        <v>93321762780</v>
      </c>
      <c r="Z848" s="2396">
        <v>31141016</v>
      </c>
      <c r="AA848" s="2397" t="s">
        <v>153</v>
      </c>
      <c r="AB848" s="2398">
        <v>170931927711</v>
      </c>
      <c r="AC848" s="2179">
        <v>4097383921</v>
      </c>
      <c r="AD848" s="2399">
        <v>23358386648</v>
      </c>
      <c r="AE848" s="2408">
        <v>1475786618</v>
      </c>
      <c r="AF848" s="2409">
        <v>1191962369</v>
      </c>
      <c r="AG848" s="2409">
        <v>201055447267</v>
      </c>
      <c r="AH848" s="2410">
        <v>0</v>
      </c>
      <c r="AI848" s="2410">
        <v>-1804649604</v>
      </c>
      <c r="AJ848" s="2409">
        <v>199250797663</v>
      </c>
      <c r="AZ848" s="2396">
        <v>31141016</v>
      </c>
      <c r="BA848" s="2397" t="s">
        <v>153</v>
      </c>
      <c r="BB848" s="2398">
        <v>204663852181</v>
      </c>
      <c r="BC848" s="2179">
        <v>1182363388</v>
      </c>
      <c r="BD848" s="2399">
        <v>14335249043</v>
      </c>
      <c r="BE848" s="2408">
        <v>1555259653</v>
      </c>
      <c r="BF848" s="2409">
        <v>2783029170</v>
      </c>
      <c r="BG848" s="2409">
        <v>224519753435</v>
      </c>
      <c r="BH848" s="2410">
        <v>0</v>
      </c>
      <c r="BI848" s="2410">
        <v>-3209962067</v>
      </c>
      <c r="BJ848" s="2409">
        <v>221309791368</v>
      </c>
    </row>
    <row r="849" spans="2:62">
      <c r="B849" s="2546">
        <v>32000000</v>
      </c>
      <c r="C849" s="2547" t="s">
        <v>4432</v>
      </c>
      <c r="D849" s="2548">
        <v>0</v>
      </c>
      <c r="E849" s="2548">
        <v>0</v>
      </c>
      <c r="F849" s="2549">
        <v>0</v>
      </c>
      <c r="G849" s="2550">
        <v>0</v>
      </c>
      <c r="H849" s="2548">
        <v>0</v>
      </c>
      <c r="I849" s="2548">
        <v>0</v>
      </c>
      <c r="J849" s="2551">
        <v>0</v>
      </c>
      <c r="K849" s="2551">
        <v>0</v>
      </c>
      <c r="L849" s="2548">
        <v>0</v>
      </c>
      <c r="N849" s="2378">
        <v>32000000</v>
      </c>
      <c r="O849" s="2379" t="s">
        <v>4432</v>
      </c>
      <c r="P849" s="2380">
        <v>0</v>
      </c>
      <c r="Q849" s="2380">
        <v>0</v>
      </c>
      <c r="R849" s="2381">
        <v>0</v>
      </c>
      <c r="S849" s="2382">
        <v>0</v>
      </c>
      <c r="T849" s="2380">
        <v>0</v>
      </c>
      <c r="U849" s="2380">
        <v>0</v>
      </c>
      <c r="V849" s="2383">
        <v>0</v>
      </c>
      <c r="W849" s="2383">
        <v>0</v>
      </c>
      <c r="X849" s="2380">
        <v>0</v>
      </c>
      <c r="Z849" s="2378">
        <v>32000000</v>
      </c>
      <c r="AA849" s="2379" t="s">
        <v>4432</v>
      </c>
      <c r="AB849" s="2380">
        <v>0</v>
      </c>
      <c r="AC849" s="2380">
        <v>0</v>
      </c>
      <c r="AD849" s="2381">
        <v>0</v>
      </c>
      <c r="AE849" s="2382">
        <v>0</v>
      </c>
      <c r="AF849" s="2380">
        <v>0</v>
      </c>
      <c r="AG849" s="2380">
        <v>0</v>
      </c>
      <c r="AH849" s="2383">
        <v>0</v>
      </c>
      <c r="AI849" s="2383">
        <v>0</v>
      </c>
      <c r="AJ849" s="2380">
        <v>0</v>
      </c>
      <c r="AZ849" s="2378">
        <v>32000000</v>
      </c>
      <c r="BA849" s="2379" t="s">
        <v>4432</v>
      </c>
      <c r="BB849" s="2380">
        <v>0</v>
      </c>
      <c r="BC849" s="2380">
        <v>0</v>
      </c>
      <c r="BD849" s="2381">
        <v>0</v>
      </c>
      <c r="BE849" s="2382">
        <v>0</v>
      </c>
      <c r="BF849" s="2380">
        <v>0</v>
      </c>
      <c r="BG849" s="2380">
        <v>0</v>
      </c>
      <c r="BH849" s="2383">
        <v>0</v>
      </c>
      <c r="BI849" s="2383">
        <v>0</v>
      </c>
      <c r="BJ849" s="2380">
        <v>0</v>
      </c>
    </row>
    <row r="850" spans="2:62">
      <c r="B850" s="2552">
        <v>32100000</v>
      </c>
      <c r="C850" s="2570" t="s">
        <v>4432</v>
      </c>
      <c r="D850" s="2554">
        <v>0</v>
      </c>
      <c r="E850" s="2554">
        <v>0</v>
      </c>
      <c r="F850" s="2555">
        <v>0</v>
      </c>
      <c r="G850" s="2556">
        <v>0</v>
      </c>
      <c r="H850" s="2554">
        <v>0</v>
      </c>
      <c r="I850" s="2554">
        <v>0</v>
      </c>
      <c r="J850" s="2557">
        <v>0</v>
      </c>
      <c r="K850" s="2557">
        <v>0</v>
      </c>
      <c r="L850" s="2554">
        <v>0</v>
      </c>
      <c r="N850" s="2384">
        <v>32100000</v>
      </c>
      <c r="O850" s="2402" t="s">
        <v>4432</v>
      </c>
      <c r="P850" s="2386">
        <v>0</v>
      </c>
      <c r="Q850" s="2386">
        <v>0</v>
      </c>
      <c r="R850" s="2387">
        <v>0</v>
      </c>
      <c r="S850" s="2388">
        <v>0</v>
      </c>
      <c r="T850" s="2386">
        <v>0</v>
      </c>
      <c r="U850" s="2386">
        <v>0</v>
      </c>
      <c r="V850" s="2389">
        <v>0</v>
      </c>
      <c r="W850" s="2389">
        <v>0</v>
      </c>
      <c r="X850" s="2386">
        <v>0</v>
      </c>
      <c r="Z850" s="2384">
        <v>32100000</v>
      </c>
      <c r="AA850" s="2402" t="s">
        <v>4432</v>
      </c>
      <c r="AB850" s="2386">
        <v>0</v>
      </c>
      <c r="AC850" s="2386">
        <v>0</v>
      </c>
      <c r="AD850" s="2387">
        <v>0</v>
      </c>
      <c r="AE850" s="2388">
        <v>0</v>
      </c>
      <c r="AF850" s="2386">
        <v>0</v>
      </c>
      <c r="AG850" s="2386">
        <v>0</v>
      </c>
      <c r="AH850" s="2389">
        <v>0</v>
      </c>
      <c r="AI850" s="2389">
        <v>0</v>
      </c>
      <c r="AJ850" s="2386">
        <v>0</v>
      </c>
      <c r="AZ850" s="2384">
        <v>32100000</v>
      </c>
      <c r="BA850" s="2402" t="s">
        <v>4432</v>
      </c>
      <c r="BB850" s="2386">
        <v>0</v>
      </c>
      <c r="BC850" s="2386">
        <v>0</v>
      </c>
      <c r="BD850" s="2387">
        <v>0</v>
      </c>
      <c r="BE850" s="2388">
        <v>0</v>
      </c>
      <c r="BF850" s="2386">
        <v>0</v>
      </c>
      <c r="BG850" s="2386">
        <v>0</v>
      </c>
      <c r="BH850" s="2389">
        <v>0</v>
      </c>
      <c r="BI850" s="2389">
        <v>0</v>
      </c>
      <c r="BJ850" s="2386">
        <v>0</v>
      </c>
    </row>
    <row r="851" spans="2:62">
      <c r="B851" s="2558">
        <v>32101000</v>
      </c>
      <c r="C851" s="2571" t="s">
        <v>4432</v>
      </c>
      <c r="D851" s="2560">
        <v>0</v>
      </c>
      <c r="E851" s="2560">
        <v>0</v>
      </c>
      <c r="F851" s="2561">
        <v>0</v>
      </c>
      <c r="G851" s="2562">
        <v>0</v>
      </c>
      <c r="H851" s="2560">
        <v>0</v>
      </c>
      <c r="I851" s="2560">
        <v>0</v>
      </c>
      <c r="J851" s="2563">
        <v>0</v>
      </c>
      <c r="K851" s="2563">
        <v>0</v>
      </c>
      <c r="L851" s="2560">
        <v>0</v>
      </c>
      <c r="N851" s="2390">
        <v>32101000</v>
      </c>
      <c r="O851" s="2403" t="s">
        <v>4432</v>
      </c>
      <c r="P851" s="2392">
        <v>0</v>
      </c>
      <c r="Q851" s="2392">
        <v>0</v>
      </c>
      <c r="R851" s="2393">
        <v>0</v>
      </c>
      <c r="S851" s="2394">
        <v>0</v>
      </c>
      <c r="T851" s="2392">
        <v>0</v>
      </c>
      <c r="U851" s="2392">
        <v>0</v>
      </c>
      <c r="V851" s="2395">
        <v>0</v>
      </c>
      <c r="W851" s="2395">
        <v>0</v>
      </c>
      <c r="X851" s="2392">
        <v>0</v>
      </c>
      <c r="Z851" s="2390">
        <v>32101000</v>
      </c>
      <c r="AA851" s="2403" t="s">
        <v>4432</v>
      </c>
      <c r="AB851" s="2392">
        <v>0</v>
      </c>
      <c r="AC851" s="2392">
        <v>0</v>
      </c>
      <c r="AD851" s="2393">
        <v>0</v>
      </c>
      <c r="AE851" s="2394">
        <v>0</v>
      </c>
      <c r="AF851" s="2392">
        <v>0</v>
      </c>
      <c r="AG851" s="2392">
        <v>0</v>
      </c>
      <c r="AH851" s="2395">
        <v>0</v>
      </c>
      <c r="AI851" s="2395">
        <v>0</v>
      </c>
      <c r="AJ851" s="2392">
        <v>0</v>
      </c>
      <c r="AZ851" s="2390">
        <v>32101000</v>
      </c>
      <c r="BA851" s="2403" t="s">
        <v>4432</v>
      </c>
      <c r="BB851" s="2392">
        <v>0</v>
      </c>
      <c r="BC851" s="2392">
        <v>0</v>
      </c>
      <c r="BD851" s="2393">
        <v>0</v>
      </c>
      <c r="BE851" s="2394">
        <v>0</v>
      </c>
      <c r="BF851" s="2392">
        <v>0</v>
      </c>
      <c r="BG851" s="2392">
        <v>0</v>
      </c>
      <c r="BH851" s="2395">
        <v>0</v>
      </c>
      <c r="BI851" s="2395">
        <v>0</v>
      </c>
      <c r="BJ851" s="2392">
        <v>0</v>
      </c>
    </row>
    <row r="852" spans="2:62">
      <c r="B852" s="2564">
        <v>32101001</v>
      </c>
      <c r="C852" s="2565" t="s">
        <v>5095</v>
      </c>
      <c r="D852" s="2566">
        <v>0</v>
      </c>
      <c r="E852" s="1080">
        <v>0</v>
      </c>
      <c r="F852" s="2567">
        <v>0</v>
      </c>
      <c r="G852" s="2568">
        <v>0</v>
      </c>
      <c r="H852" s="2566">
        <v>0</v>
      </c>
      <c r="I852" s="2566">
        <v>0</v>
      </c>
      <c r="J852" s="2569">
        <v>43604580</v>
      </c>
      <c r="K852" s="2569">
        <v>43604580</v>
      </c>
      <c r="L852" s="2566">
        <v>0</v>
      </c>
      <c r="N852" s="2396">
        <v>32101001</v>
      </c>
      <c r="O852" s="2397" t="s">
        <v>4433</v>
      </c>
      <c r="P852" s="2398">
        <v>0</v>
      </c>
      <c r="Q852" s="2179">
        <v>0</v>
      </c>
      <c r="R852" s="2399">
        <v>0</v>
      </c>
      <c r="S852" s="2400">
        <v>0</v>
      </c>
      <c r="T852" s="2398">
        <v>0</v>
      </c>
      <c r="U852" s="2398">
        <v>0</v>
      </c>
      <c r="V852" s="2401">
        <v>43604580</v>
      </c>
      <c r="W852" s="2401">
        <v>43604580</v>
      </c>
      <c r="X852" s="2398">
        <v>0</v>
      </c>
      <c r="Z852" s="2396">
        <v>32101001</v>
      </c>
      <c r="AA852" s="2397" t="s">
        <v>4433</v>
      </c>
      <c r="AB852" s="2398">
        <v>0</v>
      </c>
      <c r="AC852" s="2179">
        <v>0</v>
      </c>
      <c r="AD852" s="2399">
        <v>0</v>
      </c>
      <c r="AE852" s="2400">
        <v>0</v>
      </c>
      <c r="AF852" s="2398">
        <v>0</v>
      </c>
      <c r="AG852" s="2398">
        <v>0</v>
      </c>
      <c r="AH852" s="2401">
        <v>43604580</v>
      </c>
      <c r="AI852" s="2401">
        <v>43604580</v>
      </c>
      <c r="AJ852" s="2398">
        <v>0</v>
      </c>
      <c r="AZ852" s="2396">
        <v>32101001</v>
      </c>
      <c r="BA852" s="2397" t="s">
        <v>4433</v>
      </c>
      <c r="BB852" s="2398">
        <v>0</v>
      </c>
      <c r="BC852" s="2179">
        <v>0</v>
      </c>
      <c r="BD852" s="2399">
        <v>0</v>
      </c>
      <c r="BE852" s="2400">
        <v>0</v>
      </c>
      <c r="BF852" s="2398">
        <v>0</v>
      </c>
      <c r="BG852" s="2398">
        <v>0</v>
      </c>
      <c r="BH852" s="2401">
        <v>43604580</v>
      </c>
      <c r="BI852" s="2401">
        <v>43604580</v>
      </c>
      <c r="BJ852" s="2398">
        <v>0</v>
      </c>
    </row>
    <row r="853" spans="2:62">
      <c r="B853" s="2564">
        <v>32101002</v>
      </c>
      <c r="C853" s="2565" t="s">
        <v>5096</v>
      </c>
      <c r="D853" s="2566">
        <v>0</v>
      </c>
      <c r="E853" s="1080">
        <v>0</v>
      </c>
      <c r="F853" s="2567">
        <v>0</v>
      </c>
      <c r="G853" s="2568">
        <v>0</v>
      </c>
      <c r="H853" s="2566">
        <v>0</v>
      </c>
      <c r="I853" s="2566">
        <v>0</v>
      </c>
      <c r="J853" s="2569">
        <v>0</v>
      </c>
      <c r="K853" s="2569">
        <v>0</v>
      </c>
      <c r="L853" s="2566">
        <v>0</v>
      </c>
      <c r="N853" s="2396">
        <v>32101002</v>
      </c>
      <c r="O853" s="2397" t="s">
        <v>4434</v>
      </c>
      <c r="P853" s="2398">
        <v>0</v>
      </c>
      <c r="Q853" s="2179">
        <v>0</v>
      </c>
      <c r="R853" s="2399">
        <v>0</v>
      </c>
      <c r="S853" s="2400">
        <v>0</v>
      </c>
      <c r="T853" s="2398">
        <v>0</v>
      </c>
      <c r="U853" s="2398">
        <v>0</v>
      </c>
      <c r="V853" s="2401">
        <v>0</v>
      </c>
      <c r="W853" s="2401">
        <v>0</v>
      </c>
      <c r="X853" s="2398">
        <v>0</v>
      </c>
      <c r="Z853" s="2396">
        <v>32101002</v>
      </c>
      <c r="AA853" s="2397" t="s">
        <v>4434</v>
      </c>
      <c r="AB853" s="2398">
        <v>0</v>
      </c>
      <c r="AC853" s="2179">
        <v>0</v>
      </c>
      <c r="AD853" s="2399">
        <v>0</v>
      </c>
      <c r="AE853" s="2400">
        <v>0</v>
      </c>
      <c r="AF853" s="2398">
        <v>0</v>
      </c>
      <c r="AG853" s="2398">
        <v>0</v>
      </c>
      <c r="AH853" s="2401">
        <v>0</v>
      </c>
      <c r="AI853" s="2401">
        <v>0</v>
      </c>
      <c r="AJ853" s="2398">
        <v>0</v>
      </c>
      <c r="AZ853" s="2396">
        <v>32101002</v>
      </c>
      <c r="BA853" s="2397" t="s">
        <v>4434</v>
      </c>
      <c r="BB853" s="2398">
        <v>0</v>
      </c>
      <c r="BC853" s="2179">
        <v>0</v>
      </c>
      <c r="BD853" s="2399">
        <v>0</v>
      </c>
      <c r="BE853" s="2400">
        <v>0</v>
      </c>
      <c r="BF853" s="2398">
        <v>0</v>
      </c>
      <c r="BG853" s="2398">
        <v>0</v>
      </c>
      <c r="BH853" s="2401">
        <v>0</v>
      </c>
      <c r="BI853" s="2401">
        <v>0</v>
      </c>
      <c r="BJ853" s="2398">
        <v>0</v>
      </c>
    </row>
    <row r="854" spans="2:62">
      <c r="B854" s="2564">
        <v>32101003</v>
      </c>
      <c r="C854" s="2565" t="s">
        <v>5097</v>
      </c>
      <c r="D854" s="2566">
        <v>0</v>
      </c>
      <c r="E854" s="1080">
        <v>0</v>
      </c>
      <c r="F854" s="2567">
        <v>0</v>
      </c>
      <c r="G854" s="2568">
        <v>0</v>
      </c>
      <c r="H854" s="2566">
        <v>0</v>
      </c>
      <c r="I854" s="2566">
        <v>0</v>
      </c>
      <c r="J854" s="2569">
        <v>0</v>
      </c>
      <c r="K854" s="2569">
        <v>0</v>
      </c>
      <c r="L854" s="2566">
        <v>0</v>
      </c>
      <c r="N854" s="2396">
        <v>32101003</v>
      </c>
      <c r="O854" s="2397" t="s">
        <v>4435</v>
      </c>
      <c r="P854" s="2398">
        <v>0</v>
      </c>
      <c r="Q854" s="2179">
        <v>0</v>
      </c>
      <c r="R854" s="2399">
        <v>0</v>
      </c>
      <c r="S854" s="2400">
        <v>0</v>
      </c>
      <c r="T854" s="2398">
        <v>0</v>
      </c>
      <c r="U854" s="2398">
        <v>0</v>
      </c>
      <c r="V854" s="2401">
        <v>0</v>
      </c>
      <c r="W854" s="2401">
        <v>0</v>
      </c>
      <c r="X854" s="2398">
        <v>0</v>
      </c>
      <c r="Z854" s="2396">
        <v>32101003</v>
      </c>
      <c r="AA854" s="2397" t="s">
        <v>4435</v>
      </c>
      <c r="AB854" s="2398">
        <v>0</v>
      </c>
      <c r="AC854" s="2179">
        <v>0</v>
      </c>
      <c r="AD854" s="2399">
        <v>0</v>
      </c>
      <c r="AE854" s="2400">
        <v>0</v>
      </c>
      <c r="AF854" s="2398">
        <v>0</v>
      </c>
      <c r="AG854" s="2398">
        <v>0</v>
      </c>
      <c r="AH854" s="2401">
        <v>0</v>
      </c>
      <c r="AI854" s="2401">
        <v>0</v>
      </c>
      <c r="AJ854" s="2398">
        <v>0</v>
      </c>
      <c r="AZ854" s="2396">
        <v>32101003</v>
      </c>
      <c r="BA854" s="2397" t="s">
        <v>4435</v>
      </c>
      <c r="BB854" s="2398">
        <v>0</v>
      </c>
      <c r="BC854" s="2179">
        <v>0</v>
      </c>
      <c r="BD854" s="2399">
        <v>0</v>
      </c>
      <c r="BE854" s="2400">
        <v>0</v>
      </c>
      <c r="BF854" s="2398">
        <v>0</v>
      </c>
      <c r="BG854" s="2398">
        <v>0</v>
      </c>
      <c r="BH854" s="2401">
        <v>0</v>
      </c>
      <c r="BI854" s="2401">
        <v>0</v>
      </c>
      <c r="BJ854" s="2398">
        <v>0</v>
      </c>
    </row>
    <row r="855" spans="2:62">
      <c r="B855" s="2564">
        <v>32101004</v>
      </c>
      <c r="C855" s="2565" t="s">
        <v>5098</v>
      </c>
      <c r="D855" s="2566">
        <v>0</v>
      </c>
      <c r="E855" s="1080">
        <v>0</v>
      </c>
      <c r="F855" s="2567">
        <v>0</v>
      </c>
      <c r="G855" s="2568">
        <v>0</v>
      </c>
      <c r="H855" s="2566">
        <v>0</v>
      </c>
      <c r="I855" s="2566">
        <v>0</v>
      </c>
      <c r="J855" s="2569">
        <v>0</v>
      </c>
      <c r="K855" s="2569">
        <v>0</v>
      </c>
      <c r="L855" s="2566">
        <v>0</v>
      </c>
      <c r="N855" s="2396">
        <v>32101004</v>
      </c>
      <c r="O855" s="2397" t="s">
        <v>4436</v>
      </c>
      <c r="P855" s="2398">
        <v>0</v>
      </c>
      <c r="Q855" s="2179">
        <v>0</v>
      </c>
      <c r="R855" s="2399">
        <v>0</v>
      </c>
      <c r="S855" s="2400">
        <v>0</v>
      </c>
      <c r="T855" s="2398">
        <v>0</v>
      </c>
      <c r="U855" s="2398">
        <v>0</v>
      </c>
      <c r="V855" s="2401">
        <v>0</v>
      </c>
      <c r="W855" s="2401">
        <v>0</v>
      </c>
      <c r="X855" s="2398">
        <v>0</v>
      </c>
      <c r="Z855" s="2396">
        <v>32101004</v>
      </c>
      <c r="AA855" s="2397" t="s">
        <v>4436</v>
      </c>
      <c r="AB855" s="2398">
        <v>0</v>
      </c>
      <c r="AC855" s="2179">
        <v>0</v>
      </c>
      <c r="AD855" s="2399">
        <v>0</v>
      </c>
      <c r="AE855" s="2400">
        <v>0</v>
      </c>
      <c r="AF855" s="2398">
        <v>0</v>
      </c>
      <c r="AG855" s="2398">
        <v>0</v>
      </c>
      <c r="AH855" s="2401">
        <v>0</v>
      </c>
      <c r="AI855" s="2401">
        <v>0</v>
      </c>
      <c r="AJ855" s="2398">
        <v>0</v>
      </c>
      <c r="AZ855" s="2396">
        <v>32101004</v>
      </c>
      <c r="BA855" s="2397" t="s">
        <v>4436</v>
      </c>
      <c r="BB855" s="2398">
        <v>0</v>
      </c>
      <c r="BC855" s="2179">
        <v>0</v>
      </c>
      <c r="BD855" s="2399">
        <v>0</v>
      </c>
      <c r="BE855" s="2400">
        <v>0</v>
      </c>
      <c r="BF855" s="2398">
        <v>0</v>
      </c>
      <c r="BG855" s="2398">
        <v>0</v>
      </c>
      <c r="BH855" s="2401">
        <v>0</v>
      </c>
      <c r="BI855" s="2401">
        <v>0</v>
      </c>
      <c r="BJ855" s="2398">
        <v>0</v>
      </c>
    </row>
    <row r="856" spans="2:62">
      <c r="B856" s="2564">
        <v>32101005</v>
      </c>
      <c r="C856" s="2565" t="s">
        <v>5099</v>
      </c>
      <c r="D856" s="2566">
        <v>0</v>
      </c>
      <c r="E856" s="1080">
        <v>0</v>
      </c>
      <c r="F856" s="2567">
        <v>0</v>
      </c>
      <c r="G856" s="2568">
        <v>0</v>
      </c>
      <c r="H856" s="2566">
        <v>0</v>
      </c>
      <c r="I856" s="2566">
        <v>0</v>
      </c>
      <c r="J856" s="2569">
        <v>0</v>
      </c>
      <c r="K856" s="2569">
        <v>0</v>
      </c>
      <c r="L856" s="2566">
        <v>0</v>
      </c>
      <c r="N856" s="2396">
        <v>32101005</v>
      </c>
      <c r="O856" s="2397" t="s">
        <v>4437</v>
      </c>
      <c r="P856" s="2398">
        <v>0</v>
      </c>
      <c r="Q856" s="2179">
        <v>0</v>
      </c>
      <c r="R856" s="2399">
        <v>0</v>
      </c>
      <c r="S856" s="2400">
        <v>0</v>
      </c>
      <c r="T856" s="2398">
        <v>0</v>
      </c>
      <c r="U856" s="2398">
        <v>0</v>
      </c>
      <c r="V856" s="2401">
        <v>0</v>
      </c>
      <c r="W856" s="2401">
        <v>0</v>
      </c>
      <c r="X856" s="2398">
        <v>0</v>
      </c>
      <c r="Z856" s="2396">
        <v>32101005</v>
      </c>
      <c r="AA856" s="2397" t="s">
        <v>4437</v>
      </c>
      <c r="AB856" s="2398">
        <v>0</v>
      </c>
      <c r="AC856" s="2179">
        <v>0</v>
      </c>
      <c r="AD856" s="2399">
        <v>0</v>
      </c>
      <c r="AE856" s="2400">
        <v>0</v>
      </c>
      <c r="AF856" s="2398">
        <v>0</v>
      </c>
      <c r="AG856" s="2398">
        <v>0</v>
      </c>
      <c r="AH856" s="2401">
        <v>0</v>
      </c>
      <c r="AI856" s="2401">
        <v>0</v>
      </c>
      <c r="AJ856" s="2398">
        <v>0</v>
      </c>
      <c r="AZ856" s="2396">
        <v>32101005</v>
      </c>
      <c r="BA856" s="2397" t="s">
        <v>4437</v>
      </c>
      <c r="BB856" s="2398">
        <v>0</v>
      </c>
      <c r="BC856" s="2179">
        <v>0</v>
      </c>
      <c r="BD856" s="2399">
        <v>0</v>
      </c>
      <c r="BE856" s="2400">
        <v>0</v>
      </c>
      <c r="BF856" s="2398">
        <v>0</v>
      </c>
      <c r="BG856" s="2398">
        <v>0</v>
      </c>
      <c r="BH856" s="2401">
        <v>0</v>
      </c>
      <c r="BI856" s="2401">
        <v>0</v>
      </c>
      <c r="BJ856" s="2398">
        <v>0</v>
      </c>
    </row>
    <row r="857" spans="2:62">
      <c r="B857" s="2579">
        <v>32101006</v>
      </c>
      <c r="C857" s="2580" t="s">
        <v>5100</v>
      </c>
      <c r="D857" s="2566">
        <v>0</v>
      </c>
      <c r="E857" s="1080">
        <v>0</v>
      </c>
      <c r="F857" s="2567">
        <v>0</v>
      </c>
      <c r="G857" s="2568">
        <v>0</v>
      </c>
      <c r="H857" s="2566">
        <v>0</v>
      </c>
      <c r="I857" s="2581">
        <v>0</v>
      </c>
      <c r="J857" s="2582">
        <v>0</v>
      </c>
      <c r="K857" s="2582">
        <v>0</v>
      </c>
      <c r="L857" s="2581">
        <v>0</v>
      </c>
      <c r="N857" s="2411">
        <v>32101006</v>
      </c>
      <c r="O857" s="2412" t="s">
        <v>4438</v>
      </c>
      <c r="P857" s="2398">
        <v>0</v>
      </c>
      <c r="Q857" s="2179">
        <v>0</v>
      </c>
      <c r="R857" s="2399">
        <v>0</v>
      </c>
      <c r="S857" s="2400">
        <v>0</v>
      </c>
      <c r="T857" s="2398">
        <v>0</v>
      </c>
      <c r="U857" s="2413">
        <v>0</v>
      </c>
      <c r="V857" s="2414">
        <v>0</v>
      </c>
      <c r="W857" s="2414">
        <v>0</v>
      </c>
      <c r="X857" s="2413">
        <v>0</v>
      </c>
      <c r="Z857" s="2411">
        <v>32101006</v>
      </c>
      <c r="AA857" s="2412" t="s">
        <v>4438</v>
      </c>
      <c r="AB857" s="2398">
        <v>0</v>
      </c>
      <c r="AC857" s="2179">
        <v>0</v>
      </c>
      <c r="AD857" s="2399">
        <v>0</v>
      </c>
      <c r="AE857" s="2400">
        <v>0</v>
      </c>
      <c r="AF857" s="2398">
        <v>0</v>
      </c>
      <c r="AG857" s="2413">
        <v>0</v>
      </c>
      <c r="AH857" s="2414">
        <v>0</v>
      </c>
      <c r="AI857" s="2414">
        <v>0</v>
      </c>
      <c r="AJ857" s="2413">
        <v>0</v>
      </c>
      <c r="AZ857" s="2411">
        <v>32101006</v>
      </c>
      <c r="BA857" s="2412" t="s">
        <v>4438</v>
      </c>
      <c r="BB857" s="2398">
        <v>0</v>
      </c>
      <c r="BC857" s="2179">
        <v>0</v>
      </c>
      <c r="BD857" s="2399">
        <v>0</v>
      </c>
      <c r="BE857" s="2400">
        <v>0</v>
      </c>
      <c r="BF857" s="2398">
        <v>0</v>
      </c>
      <c r="BG857" s="2413">
        <v>0</v>
      </c>
      <c r="BH857" s="2414">
        <v>0</v>
      </c>
      <c r="BI857" s="2414">
        <v>0</v>
      </c>
      <c r="BJ857" s="2413">
        <v>0</v>
      </c>
    </row>
    <row r="858" spans="2:62">
      <c r="B858" s="2552">
        <v>32990000</v>
      </c>
      <c r="C858" s="2570" t="s">
        <v>4439</v>
      </c>
      <c r="D858" s="2554">
        <v>0</v>
      </c>
      <c r="E858" s="2554">
        <v>0</v>
      </c>
      <c r="F858" s="2555">
        <v>0</v>
      </c>
      <c r="G858" s="2556">
        <v>0</v>
      </c>
      <c r="H858" s="2554">
        <v>0</v>
      </c>
      <c r="I858" s="2554">
        <v>0</v>
      </c>
      <c r="J858" s="2557">
        <v>0</v>
      </c>
      <c r="K858" s="2557">
        <v>0</v>
      </c>
      <c r="L858" s="2554">
        <v>0</v>
      </c>
      <c r="N858" s="2384">
        <v>32990000</v>
      </c>
      <c r="O858" s="2402" t="s">
        <v>4439</v>
      </c>
      <c r="P858" s="2386">
        <v>0</v>
      </c>
      <c r="Q858" s="2386">
        <v>0</v>
      </c>
      <c r="R858" s="2387">
        <v>0</v>
      </c>
      <c r="S858" s="2388">
        <v>0</v>
      </c>
      <c r="T858" s="2386">
        <v>0</v>
      </c>
      <c r="U858" s="2386">
        <v>0</v>
      </c>
      <c r="V858" s="2389">
        <v>0</v>
      </c>
      <c r="W858" s="2389">
        <v>0</v>
      </c>
      <c r="X858" s="2386">
        <v>0</v>
      </c>
      <c r="Z858" s="2384">
        <v>32990000</v>
      </c>
      <c r="AA858" s="2402" t="s">
        <v>4439</v>
      </c>
      <c r="AB858" s="2386">
        <v>0</v>
      </c>
      <c r="AC858" s="2386">
        <v>0</v>
      </c>
      <c r="AD858" s="2387">
        <v>0</v>
      </c>
      <c r="AE858" s="2388">
        <v>0</v>
      </c>
      <c r="AF858" s="2386">
        <v>0</v>
      </c>
      <c r="AG858" s="2386">
        <v>0</v>
      </c>
      <c r="AH858" s="2389">
        <v>0</v>
      </c>
      <c r="AI858" s="2389">
        <v>0</v>
      </c>
      <c r="AJ858" s="2386">
        <v>0</v>
      </c>
      <c r="AZ858" s="2384">
        <v>32990000</v>
      </c>
      <c r="BA858" s="2402" t="s">
        <v>4439</v>
      </c>
      <c r="BB858" s="2386">
        <v>0</v>
      </c>
      <c r="BC858" s="2386">
        <v>0</v>
      </c>
      <c r="BD858" s="2387">
        <v>0</v>
      </c>
      <c r="BE858" s="2388">
        <v>0</v>
      </c>
      <c r="BF858" s="2386">
        <v>0</v>
      </c>
      <c r="BG858" s="2386">
        <v>0</v>
      </c>
      <c r="BH858" s="2389">
        <v>0</v>
      </c>
      <c r="BI858" s="2389">
        <v>0</v>
      </c>
      <c r="BJ858" s="2386">
        <v>0</v>
      </c>
    </row>
    <row r="859" spans="2:62">
      <c r="B859" s="2558">
        <v>32991000</v>
      </c>
      <c r="C859" s="2571" t="s">
        <v>4439</v>
      </c>
      <c r="D859" s="2560">
        <v>0</v>
      </c>
      <c r="E859" s="2560">
        <v>0</v>
      </c>
      <c r="F859" s="2561">
        <v>0</v>
      </c>
      <c r="G859" s="2562">
        <v>0</v>
      </c>
      <c r="H859" s="2560">
        <v>0</v>
      </c>
      <c r="I859" s="2560">
        <v>0</v>
      </c>
      <c r="J859" s="2563">
        <v>0</v>
      </c>
      <c r="K859" s="2563">
        <v>0</v>
      </c>
      <c r="L859" s="2560">
        <v>0</v>
      </c>
      <c r="N859" s="2390">
        <v>32991000</v>
      </c>
      <c r="O859" s="2403" t="s">
        <v>4439</v>
      </c>
      <c r="P859" s="2392">
        <v>0</v>
      </c>
      <c r="Q859" s="2392">
        <v>0</v>
      </c>
      <c r="R859" s="2393">
        <v>0</v>
      </c>
      <c r="S859" s="2394">
        <v>0</v>
      </c>
      <c r="T859" s="2392">
        <v>0</v>
      </c>
      <c r="U859" s="2392">
        <v>0</v>
      </c>
      <c r="V859" s="2395">
        <v>0</v>
      </c>
      <c r="W859" s="2395">
        <v>0</v>
      </c>
      <c r="X859" s="2392">
        <v>0</v>
      </c>
      <c r="Z859" s="2390">
        <v>32991000</v>
      </c>
      <c r="AA859" s="2403" t="s">
        <v>4439</v>
      </c>
      <c r="AB859" s="2392">
        <v>0</v>
      </c>
      <c r="AC859" s="2392">
        <v>0</v>
      </c>
      <c r="AD859" s="2393">
        <v>0</v>
      </c>
      <c r="AE859" s="2394">
        <v>0</v>
      </c>
      <c r="AF859" s="2392">
        <v>0</v>
      </c>
      <c r="AG859" s="2392">
        <v>0</v>
      </c>
      <c r="AH859" s="2395">
        <v>0</v>
      </c>
      <c r="AI859" s="2395">
        <v>0</v>
      </c>
      <c r="AJ859" s="2392">
        <v>0</v>
      </c>
      <c r="AZ859" s="2390">
        <v>32991000</v>
      </c>
      <c r="BA859" s="2403" t="s">
        <v>4439</v>
      </c>
      <c r="BB859" s="2392">
        <v>0</v>
      </c>
      <c r="BC859" s="2392">
        <v>0</v>
      </c>
      <c r="BD859" s="2393">
        <v>0</v>
      </c>
      <c r="BE859" s="2394">
        <v>0</v>
      </c>
      <c r="BF859" s="2392">
        <v>0</v>
      </c>
      <c r="BG859" s="2392">
        <v>0</v>
      </c>
      <c r="BH859" s="2395">
        <v>0</v>
      </c>
      <c r="BI859" s="2395">
        <v>0</v>
      </c>
      <c r="BJ859" s="2392">
        <v>0</v>
      </c>
    </row>
    <row r="860" spans="2:62">
      <c r="B860" s="2564">
        <v>32991001</v>
      </c>
      <c r="C860" s="2565" t="s">
        <v>4440</v>
      </c>
      <c r="D860" s="2566">
        <v>0</v>
      </c>
      <c r="E860" s="2566">
        <v>0</v>
      </c>
      <c r="F860" s="2583">
        <v>0</v>
      </c>
      <c r="G860" s="2568">
        <v>0</v>
      </c>
      <c r="H860" s="2566">
        <v>0</v>
      </c>
      <c r="I860" s="2566">
        <v>0</v>
      </c>
      <c r="J860" s="2569">
        <v>0</v>
      </c>
      <c r="K860" s="2569">
        <v>0</v>
      </c>
      <c r="L860" s="2566">
        <v>0</v>
      </c>
      <c r="N860" s="2396">
        <v>32991001</v>
      </c>
      <c r="O860" s="2397" t="s">
        <v>4440</v>
      </c>
      <c r="P860" s="2398">
        <v>0</v>
      </c>
      <c r="Q860" s="2398">
        <v>0</v>
      </c>
      <c r="R860" s="2415">
        <v>0</v>
      </c>
      <c r="S860" s="2400">
        <v>0</v>
      </c>
      <c r="T860" s="2398">
        <v>0</v>
      </c>
      <c r="U860" s="2398">
        <v>0</v>
      </c>
      <c r="V860" s="2401">
        <v>0</v>
      </c>
      <c r="W860" s="2401">
        <v>0</v>
      </c>
      <c r="X860" s="2398">
        <v>0</v>
      </c>
      <c r="Z860" s="2396">
        <v>32991001</v>
      </c>
      <c r="AA860" s="2397" t="s">
        <v>4440</v>
      </c>
      <c r="AB860" s="2398">
        <v>0</v>
      </c>
      <c r="AC860" s="2398">
        <v>0</v>
      </c>
      <c r="AD860" s="2415">
        <v>0</v>
      </c>
      <c r="AE860" s="2400">
        <v>0</v>
      </c>
      <c r="AF860" s="2398">
        <v>0</v>
      </c>
      <c r="AG860" s="2398">
        <v>0</v>
      </c>
      <c r="AH860" s="2401">
        <v>0</v>
      </c>
      <c r="AI860" s="2401">
        <v>0</v>
      </c>
      <c r="AJ860" s="2398">
        <v>0</v>
      </c>
      <c r="AZ860" s="2396">
        <v>32991001</v>
      </c>
      <c r="BA860" s="2397" t="s">
        <v>4440</v>
      </c>
      <c r="BB860" s="2398">
        <v>0</v>
      </c>
      <c r="BC860" s="2398">
        <v>0</v>
      </c>
      <c r="BD860" s="2415">
        <v>0</v>
      </c>
      <c r="BE860" s="2400">
        <v>0</v>
      </c>
      <c r="BF860" s="2398">
        <v>0</v>
      </c>
      <c r="BG860" s="2398">
        <v>0</v>
      </c>
      <c r="BH860" s="2401">
        <v>0</v>
      </c>
      <c r="BI860" s="2401">
        <v>0</v>
      </c>
      <c r="BJ860" s="2398">
        <v>0</v>
      </c>
    </row>
    <row r="861" spans="2:62" ht="14.25" thickBot="1">
      <c r="Z861" s="2360"/>
      <c r="AA861" s="2361"/>
      <c r="AB861" s="4365">
        <v>0</v>
      </c>
      <c r="AC861" s="4365">
        <v>0</v>
      </c>
      <c r="AD861" s="4365">
        <v>0</v>
      </c>
      <c r="AE861" s="4365">
        <v>0</v>
      </c>
      <c r="AF861" s="4365">
        <v>0</v>
      </c>
      <c r="AG861" s="4365">
        <v>0</v>
      </c>
      <c r="AH861" s="2362">
        <v>0</v>
      </c>
      <c r="AI861" s="2362">
        <v>0</v>
      </c>
      <c r="AJ861" s="4365">
        <v>0</v>
      </c>
      <c r="AZ861" s="2360"/>
      <c r="BA861" s="2361"/>
      <c r="BB861" s="4365">
        <v>0</v>
      </c>
      <c r="BC861" s="4365">
        <v>0</v>
      </c>
      <c r="BD861" s="4365">
        <v>0</v>
      </c>
      <c r="BE861" s="4365">
        <v>0</v>
      </c>
      <c r="BF861" s="4365">
        <v>0</v>
      </c>
      <c r="BG861" s="4365">
        <v>0</v>
      </c>
      <c r="BH861" s="2362">
        <v>0</v>
      </c>
      <c r="BI861" s="2362">
        <v>0</v>
      </c>
      <c r="BJ861" s="4365">
        <v>0</v>
      </c>
    </row>
    <row r="862" spans="2:62">
      <c r="Z862" s="2360"/>
      <c r="AA862" s="4366" t="s">
        <v>6711</v>
      </c>
      <c r="AB862" s="4367">
        <v>0</v>
      </c>
      <c r="AC862" s="4367">
        <v>0</v>
      </c>
      <c r="AD862" s="4367">
        <v>0</v>
      </c>
      <c r="AE862" s="4367">
        <v>0</v>
      </c>
      <c r="AF862" s="4367">
        <v>0</v>
      </c>
      <c r="AG862" s="4367">
        <v>0</v>
      </c>
      <c r="AH862" s="4368">
        <v>552539541029.77319</v>
      </c>
      <c r="AI862" s="4368">
        <v>552539541029.77319</v>
      </c>
      <c r="AJ862" s="4369">
        <v>0</v>
      </c>
      <c r="AZ862" s="2360"/>
      <c r="BA862" s="4366" t="s">
        <v>6711</v>
      </c>
      <c r="BB862" s="4367">
        <v>0</v>
      </c>
      <c r="BC862" s="4367">
        <v>0</v>
      </c>
      <c r="BD862" s="4367">
        <v>0</v>
      </c>
      <c r="BE862" s="4367">
        <v>0</v>
      </c>
      <c r="BF862" s="4367">
        <v>0</v>
      </c>
      <c r="BG862" s="4367">
        <v>0</v>
      </c>
      <c r="BH862" s="4368">
        <v>549482496813.77325</v>
      </c>
      <c r="BI862" s="4368">
        <v>549482496813.77319</v>
      </c>
      <c r="BJ862" s="4369">
        <v>0</v>
      </c>
    </row>
    <row r="863" spans="2:62" ht="14.25" thickBot="1">
      <c r="Z863" s="2360"/>
      <c r="AA863" s="4370" t="s">
        <v>6712</v>
      </c>
      <c r="AB863" s="4371">
        <v>0</v>
      </c>
      <c r="AC863" s="4371">
        <v>0</v>
      </c>
      <c r="AD863" s="4371">
        <v>0</v>
      </c>
      <c r="AE863" s="4371">
        <v>0</v>
      </c>
      <c r="AF863" s="4371">
        <v>0</v>
      </c>
      <c r="AG863" s="4371">
        <v>0</v>
      </c>
      <c r="AH863" s="4372"/>
      <c r="AI863" s="4372"/>
      <c r="AJ863" s="4373">
        <v>0</v>
      </c>
      <c r="AZ863" s="2360"/>
      <c r="BA863" s="4370" t="s">
        <v>6712</v>
      </c>
      <c r="BB863" s="4371">
        <v>0</v>
      </c>
      <c r="BC863" s="4371">
        <v>0</v>
      </c>
      <c r="BD863" s="4371">
        <v>0</v>
      </c>
      <c r="BE863" s="4371">
        <v>0</v>
      </c>
      <c r="BF863" s="4371">
        <v>0</v>
      </c>
      <c r="BG863" s="4371">
        <v>0</v>
      </c>
      <c r="BH863" s="4372"/>
      <c r="BI863" s="4372"/>
      <c r="BJ863" s="4373">
        <v>0</v>
      </c>
    </row>
  </sheetData>
  <mergeCells count="48">
    <mergeCell ref="U210:U211"/>
    <mergeCell ref="O212:O213"/>
    <mergeCell ref="U212:U213"/>
    <mergeCell ref="V212:W212"/>
    <mergeCell ref="X212:X213"/>
    <mergeCell ref="N4:N5"/>
    <mergeCell ref="O4:O5"/>
    <mergeCell ref="U4:U5"/>
    <mergeCell ref="V4:W4"/>
    <mergeCell ref="X4:X5"/>
    <mergeCell ref="Z4:Z5"/>
    <mergeCell ref="AA4:AA5"/>
    <mergeCell ref="AG4:AG5"/>
    <mergeCell ref="AH4:AI4"/>
    <mergeCell ref="AJ4:AJ5"/>
    <mergeCell ref="CP4:CP5"/>
    <mergeCell ref="BN4:BN5"/>
    <mergeCell ref="BO4:BO5"/>
    <mergeCell ref="BU4:BU5"/>
    <mergeCell ref="BV4:BW4"/>
    <mergeCell ref="BX4:BX5"/>
    <mergeCell ref="BZ4:BZ5"/>
    <mergeCell ref="CB4:CB5"/>
    <mergeCell ref="CC4:CC5"/>
    <mergeCell ref="CK4:CK5"/>
    <mergeCell ref="CL4:CM4"/>
    <mergeCell ref="CN4:CN5"/>
    <mergeCell ref="BL4:BL5"/>
    <mergeCell ref="AL4:AL5"/>
    <mergeCell ref="AM4:AM5"/>
    <mergeCell ref="AS4:AS5"/>
    <mergeCell ref="AT4:AU4"/>
    <mergeCell ref="AV4:AV5"/>
    <mergeCell ref="AX4:AX5"/>
    <mergeCell ref="AZ4:AZ5"/>
    <mergeCell ref="BA4:BA5"/>
    <mergeCell ref="BG4:BG5"/>
    <mergeCell ref="BH4:BI4"/>
    <mergeCell ref="BJ4:BJ5"/>
    <mergeCell ref="C212:C213"/>
    <mergeCell ref="I212:I213"/>
    <mergeCell ref="J212:K212"/>
    <mergeCell ref="L212:L213"/>
    <mergeCell ref="B4:B5"/>
    <mergeCell ref="C4:C5"/>
    <mergeCell ref="I4:I5"/>
    <mergeCell ref="J4:K4"/>
    <mergeCell ref="L4:L5"/>
  </mergeCells>
  <phoneticPr fontId="1" type="noConversion"/>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B1:AY118"/>
  <sheetViews>
    <sheetView workbookViewId="0"/>
  </sheetViews>
  <sheetFormatPr defaultColWidth="9" defaultRowHeight="12" customHeight="1"/>
  <cols>
    <col min="1" max="1" width="1.625" style="115" customWidth="1"/>
    <col min="2" max="2" width="41.5" style="115" bestFit="1" customWidth="1"/>
    <col min="3" max="6" width="18.75" style="115" bestFit="1" customWidth="1"/>
    <col min="7" max="7" width="18.75" style="115" customWidth="1"/>
    <col min="8" max="8" width="1.625" style="115" customWidth="1"/>
    <col min="9" max="9" width="31.25" style="115" customWidth="1"/>
    <col min="10" max="13" width="17.75" style="115" bestFit="1" customWidth="1"/>
    <col min="14" max="14" width="17.75" style="115" customWidth="1"/>
    <col min="15" max="15" width="9" style="115"/>
    <col min="16" max="16" width="30" style="115" customWidth="1"/>
    <col min="17" max="20" width="15" style="115" customWidth="1"/>
    <col min="21" max="21" width="9" style="115"/>
    <col min="22" max="22" width="23.25" style="115" customWidth="1"/>
    <col min="23" max="26" width="9" style="115"/>
    <col min="27" max="31" width="15.875" style="115" customWidth="1"/>
    <col min="32" max="37" width="9" style="115"/>
    <col min="38" max="41" width="1.875" style="3" customWidth="1"/>
    <col min="42" max="42" width="24.375" style="3" customWidth="1"/>
    <col min="43" max="43" width="14.875" style="3" bestFit="1" customWidth="1"/>
    <col min="44" max="45" width="17.375" style="3" bestFit="1" customWidth="1"/>
    <col min="46" max="46" width="17.375" style="3" customWidth="1"/>
    <col min="47" max="47" width="10.125" style="3" bestFit="1" customWidth="1"/>
    <col min="48" max="50" width="13.625" style="3" customWidth="1"/>
    <col min="51" max="51" width="13.125" style="3" bestFit="1" customWidth="1"/>
    <col min="52" max="16384" width="9" style="115"/>
  </cols>
  <sheetData>
    <row r="1" spans="2:51" ht="12" customHeight="1">
      <c r="B1" s="114" t="s">
        <v>139</v>
      </c>
      <c r="I1" s="114" t="s">
        <v>170</v>
      </c>
      <c r="P1" s="114" t="s">
        <v>1454</v>
      </c>
      <c r="AA1" s="114" t="s">
        <v>1594</v>
      </c>
      <c r="AR1" s="278">
        <f>AR48/AQ48-1</f>
        <v>0.27871640587503421</v>
      </c>
      <c r="AS1" s="278">
        <f>AS48/AR48-1</f>
        <v>0.17620756366397305</v>
      </c>
      <c r="AT1" s="278">
        <f>(AT48/0.75)/AS48-1</f>
        <v>-0.18968461018821636</v>
      </c>
    </row>
    <row r="2" spans="2:51" ht="12" customHeight="1">
      <c r="B2" s="116" t="s">
        <v>81</v>
      </c>
      <c r="C2" s="117" t="s">
        <v>136</v>
      </c>
      <c r="D2" s="117" t="s">
        <v>134</v>
      </c>
      <c r="E2" s="117" t="s">
        <v>129</v>
      </c>
      <c r="F2" s="118" t="s">
        <v>127</v>
      </c>
      <c r="G2" s="118" t="s">
        <v>2063</v>
      </c>
      <c r="I2" s="116" t="s">
        <v>81</v>
      </c>
      <c r="J2" s="117" t="s">
        <v>136</v>
      </c>
      <c r="K2" s="117" t="s">
        <v>134</v>
      </c>
      <c r="L2" s="117" t="s">
        <v>129</v>
      </c>
      <c r="M2" s="118" t="s">
        <v>127</v>
      </c>
      <c r="N2" s="118" t="s">
        <v>2063</v>
      </c>
      <c r="P2" s="116" t="s">
        <v>1407</v>
      </c>
      <c r="Q2" s="117" t="s">
        <v>134</v>
      </c>
      <c r="R2" s="117" t="s">
        <v>129</v>
      </c>
      <c r="S2" s="118" t="s">
        <v>127</v>
      </c>
      <c r="T2" s="118" t="s">
        <v>2063</v>
      </c>
      <c r="V2" s="387" t="s">
        <v>1547</v>
      </c>
      <c r="AA2" s="116" t="s">
        <v>81</v>
      </c>
      <c r="AB2" s="117" t="s">
        <v>136</v>
      </c>
      <c r="AC2" s="117" t="s">
        <v>134</v>
      </c>
      <c r="AD2" s="117" t="s">
        <v>129</v>
      </c>
      <c r="AE2" s="118" t="s">
        <v>127</v>
      </c>
    </row>
    <row r="3" spans="2:51" ht="12" customHeight="1">
      <c r="B3" s="119" t="s">
        <v>82</v>
      </c>
      <c r="C3" s="120"/>
      <c r="D3" s="120"/>
      <c r="E3" s="120"/>
      <c r="F3" s="121"/>
      <c r="G3" s="121"/>
      <c r="I3" s="119" t="s">
        <v>140</v>
      </c>
      <c r="J3" s="123">
        <v>7440528627249</v>
      </c>
      <c r="K3" s="123">
        <v>7448913712310</v>
      </c>
      <c r="L3" s="123">
        <v>7874716817560</v>
      </c>
      <c r="M3" s="122">
        <v>7979812466262</v>
      </c>
      <c r="N3" s="122">
        <v>9901511301666</v>
      </c>
      <c r="P3" s="119" t="s">
        <v>1424</v>
      </c>
      <c r="Q3" s="123">
        <v>5713959744</v>
      </c>
      <c r="R3" s="123">
        <v>459812779109</v>
      </c>
      <c r="S3" s="122">
        <v>-21620182553</v>
      </c>
      <c r="T3" s="122">
        <v>258797176557</v>
      </c>
      <c r="V3" s="387"/>
      <c r="AA3" s="115" t="s">
        <v>1583</v>
      </c>
      <c r="AB3" s="545">
        <f>C7/10^6</f>
        <v>508255.63163399999</v>
      </c>
      <c r="AC3" s="545">
        <f>D7/10^6</f>
        <v>497200.726066</v>
      </c>
      <c r="AD3" s="545">
        <f>E7/10^6</f>
        <v>558294.03653499996</v>
      </c>
      <c r="AE3" s="545">
        <f>F7/10^6</f>
        <v>647010.17082400003</v>
      </c>
      <c r="AQ3" s="1981">
        <f>AQ71/AQ6</f>
        <v>3.6558573826974528E-2</v>
      </c>
      <c r="AR3" s="1981">
        <f>AR71/AR6</f>
        <v>3.4605967213581834E-2</v>
      </c>
      <c r="AS3" s="1981">
        <f>AS71/AS6</f>
        <v>3.6704963267943917E-2</v>
      </c>
      <c r="AT3" s="1981">
        <f>AT71/AT6</f>
        <v>3.2880753709204971E-2</v>
      </c>
      <c r="AV3" s="1981"/>
      <c r="AW3" s="1981"/>
      <c r="AX3" s="1981"/>
      <c r="AY3" s="1981"/>
    </row>
    <row r="4" spans="2:51" ht="12" customHeight="1">
      <c r="B4" s="119" t="s">
        <v>83</v>
      </c>
      <c r="C4" s="123">
        <v>2401752124159</v>
      </c>
      <c r="D4" s="123">
        <v>2477921237043</v>
      </c>
      <c r="E4" s="123">
        <v>2353925815466</v>
      </c>
      <c r="F4" s="122">
        <v>2996885740879</v>
      </c>
      <c r="G4" s="122">
        <v>2944892157434</v>
      </c>
      <c r="I4" s="119" t="s">
        <v>141</v>
      </c>
      <c r="J4" s="123">
        <v>7144512248154</v>
      </c>
      <c r="K4" s="123">
        <v>7100110913868</v>
      </c>
      <c r="L4" s="123">
        <v>7463355757518</v>
      </c>
      <c r="M4" s="122">
        <v>7656346202509</v>
      </c>
      <c r="N4" s="122">
        <v>9453228706379</v>
      </c>
      <c r="P4" s="119" t="s">
        <v>1425</v>
      </c>
      <c r="Q4" s="123">
        <v>88388700055</v>
      </c>
      <c r="R4" s="123">
        <v>534248000064</v>
      </c>
      <c r="S4" s="122">
        <v>66348355990</v>
      </c>
      <c r="T4" s="122">
        <v>320504878649</v>
      </c>
      <c r="V4" s="387" t="s">
        <v>1548</v>
      </c>
      <c r="AA4" s="543" t="s">
        <v>1595</v>
      </c>
      <c r="AB4" s="545">
        <v>268014</v>
      </c>
      <c r="AC4" s="545">
        <v>298129</v>
      </c>
      <c r="AD4" s="545">
        <v>402018</v>
      </c>
      <c r="AE4" s="545">
        <v>476789</v>
      </c>
      <c r="AL4" s="24"/>
      <c r="AM4" s="24"/>
      <c r="AN4" s="24"/>
      <c r="AO4" s="24"/>
      <c r="AP4" s="24"/>
      <c r="AQ4" s="26" t="s">
        <v>3567</v>
      </c>
      <c r="AR4" s="26"/>
      <c r="AS4" s="26"/>
      <c r="AT4" s="26"/>
      <c r="AV4" s="26" t="s">
        <v>3568</v>
      </c>
      <c r="AW4" s="26"/>
      <c r="AX4" s="26"/>
      <c r="AY4" s="26"/>
    </row>
    <row r="5" spans="2:51" ht="12" customHeight="1">
      <c r="B5" s="119" t="s">
        <v>84</v>
      </c>
      <c r="C5" s="123">
        <v>330578310831</v>
      </c>
      <c r="D5" s="123">
        <v>286836077550</v>
      </c>
      <c r="E5" s="123">
        <v>324259583969</v>
      </c>
      <c r="F5" s="122">
        <v>447645051048</v>
      </c>
      <c r="G5" s="122">
        <v>575561645857</v>
      </c>
      <c r="I5" s="119" t="s">
        <v>142</v>
      </c>
      <c r="J5" s="123">
        <v>296016379095</v>
      </c>
      <c r="K5" s="123">
        <v>348802798442</v>
      </c>
      <c r="L5" s="123">
        <v>411361060042</v>
      </c>
      <c r="M5" s="122">
        <v>323466263753</v>
      </c>
      <c r="N5" s="122">
        <v>448282595287</v>
      </c>
      <c r="P5" s="119" t="s">
        <v>1426</v>
      </c>
      <c r="Q5" s="123">
        <v>3474977001</v>
      </c>
      <c r="R5" s="123">
        <v>14192433074</v>
      </c>
      <c r="S5" s="122">
        <v>6946356809</v>
      </c>
      <c r="T5" s="122">
        <v>8435627418</v>
      </c>
      <c r="V5" s="538"/>
      <c r="AA5" s="543" t="s">
        <v>320</v>
      </c>
      <c r="AB5" s="545">
        <f t="shared" ref="AB5:AC5" si="0">AB3-AB4</f>
        <v>240241.63163399999</v>
      </c>
      <c r="AC5" s="545">
        <f t="shared" si="0"/>
        <v>199071.726066</v>
      </c>
      <c r="AD5" s="545">
        <f>AD3-AD4</f>
        <v>156276.03653499996</v>
      </c>
      <c r="AE5" s="545">
        <f>AE3-AE4</f>
        <v>170221.17082400003</v>
      </c>
      <c r="AL5" s="28"/>
      <c r="AM5" s="28"/>
      <c r="AN5" s="28"/>
      <c r="AO5" s="28"/>
      <c r="AP5" s="28"/>
      <c r="AQ5" s="1982">
        <v>2017</v>
      </c>
      <c r="AR5" s="1982">
        <v>2018</v>
      </c>
      <c r="AS5" s="1982">
        <v>2019</v>
      </c>
      <c r="AT5" s="1982" t="s">
        <v>3569</v>
      </c>
      <c r="AV5" s="1982">
        <v>2017</v>
      </c>
      <c r="AW5" s="1982">
        <v>2018</v>
      </c>
      <c r="AX5" s="1982">
        <v>2019</v>
      </c>
      <c r="AY5" s="1982" t="s">
        <v>3569</v>
      </c>
    </row>
    <row r="6" spans="2:51" ht="12" customHeight="1">
      <c r="B6" s="119" t="s">
        <v>85</v>
      </c>
      <c r="C6" s="123">
        <v>14000000000</v>
      </c>
      <c r="D6" s="123">
        <v>14000000000</v>
      </c>
      <c r="E6" s="123">
        <v>13000000000</v>
      </c>
      <c r="F6" s="122">
        <v>52353478542</v>
      </c>
      <c r="G6" s="122">
        <v>13000000000</v>
      </c>
      <c r="I6" s="119" t="s">
        <v>143</v>
      </c>
      <c r="J6" s="123">
        <v>86289186329</v>
      </c>
      <c r="K6" s="123">
        <v>80621196294</v>
      </c>
      <c r="L6" s="123">
        <v>95923831160</v>
      </c>
      <c r="M6" s="122">
        <v>94880853171</v>
      </c>
      <c r="N6" s="122">
        <v>93889725225</v>
      </c>
      <c r="P6" s="119" t="s">
        <v>1427</v>
      </c>
      <c r="Q6" s="123">
        <v>-25371071681</v>
      </c>
      <c r="R6" s="123">
        <v>-26737606919</v>
      </c>
      <c r="S6" s="122">
        <v>-13072564752</v>
      </c>
      <c r="T6" s="122">
        <v>-5037400021</v>
      </c>
      <c r="V6" s="388" t="s">
        <v>1406</v>
      </c>
      <c r="AA6" s="115" t="s">
        <v>1589</v>
      </c>
      <c r="AB6" s="545">
        <f>C10/10^6</f>
        <v>1305809.171482</v>
      </c>
      <c r="AC6" s="545">
        <f>D10/10^6</f>
        <v>1522715.9296939999</v>
      </c>
      <c r="AD6" s="545">
        <f>E10/10^6</f>
        <v>1253565.831209</v>
      </c>
      <c r="AE6" s="545">
        <f>F10/10^6</f>
        <v>1648923.778095</v>
      </c>
      <c r="AL6" s="1983" t="s">
        <v>140</v>
      </c>
      <c r="AQ6" s="1984">
        <v>7440528627249</v>
      </c>
      <c r="AR6" s="1984">
        <v>7448913712310</v>
      </c>
      <c r="AS6" s="1984">
        <v>7874716817560</v>
      </c>
      <c r="AT6" s="1984">
        <v>5817341551859</v>
      </c>
      <c r="AU6" s="1984"/>
      <c r="AV6" s="1984">
        <f>ROUND(AQ6/10^6,)</f>
        <v>7440529</v>
      </c>
      <c r="AW6" s="1984">
        <f>ROUND(AR6/10^6,)</f>
        <v>7448914</v>
      </c>
      <c r="AX6" s="1984">
        <f>ROUND(AS6/10^6,)</f>
        <v>7874717</v>
      </c>
      <c r="AY6" s="1984">
        <f>ROUND(AT6/10^6,)</f>
        <v>5817342</v>
      </c>
    </row>
    <row r="7" spans="2:51" ht="12" customHeight="1">
      <c r="B7" s="119" t="s">
        <v>86</v>
      </c>
      <c r="C7" s="123">
        <v>508255631634</v>
      </c>
      <c r="D7" s="123">
        <v>497200726066</v>
      </c>
      <c r="E7" s="123">
        <v>558294036535</v>
      </c>
      <c r="F7" s="122">
        <v>647010170824</v>
      </c>
      <c r="G7" s="122">
        <v>471574278921</v>
      </c>
      <c r="I7" s="119" t="s">
        <v>144</v>
      </c>
      <c r="J7" s="123">
        <v>209727192766</v>
      </c>
      <c r="K7" s="123">
        <v>268181602148</v>
      </c>
      <c r="L7" s="123">
        <v>315437228882</v>
      </c>
      <c r="M7" s="122">
        <v>228585410582</v>
      </c>
      <c r="N7" s="122">
        <v>354392870062</v>
      </c>
      <c r="P7" s="119" t="s">
        <v>1428</v>
      </c>
      <c r="Q7" s="123">
        <v>-60778645631</v>
      </c>
      <c r="R7" s="123">
        <v>-61890047110</v>
      </c>
      <c r="S7" s="122">
        <v>-81842330600</v>
      </c>
      <c r="T7" s="122">
        <v>-65105929489</v>
      </c>
      <c r="V7" s="116" t="s">
        <v>1407</v>
      </c>
      <c r="W7" s="118">
        <v>2020</v>
      </c>
      <c r="X7" s="117">
        <v>2019</v>
      </c>
      <c r="AA7" s="115" t="s">
        <v>1592</v>
      </c>
      <c r="AB7" s="545">
        <f>C30/10^6</f>
        <v>229213.508122</v>
      </c>
      <c r="AC7" s="545">
        <f>D30/10^6</f>
        <v>227196.41733600001</v>
      </c>
      <c r="AD7" s="545">
        <f>E30/10^6</f>
        <v>242010.15936300001</v>
      </c>
      <c r="AE7" s="545">
        <f>F30/10^6</f>
        <v>388902.77778300003</v>
      </c>
      <c r="AM7" s="1983" t="s">
        <v>2476</v>
      </c>
      <c r="AQ7" s="1984">
        <v>7216235625742</v>
      </c>
      <c r="AR7" s="1984">
        <v>7253536029949</v>
      </c>
      <c r="AS7" s="1984">
        <v>7702996890234</v>
      </c>
      <c r="AT7" s="1984">
        <v>5749555718580</v>
      </c>
      <c r="AU7" s="1984"/>
      <c r="AV7" s="1984">
        <f t="shared" ref="AV7:AY54" si="1">ROUND(AQ7/10^6,)</f>
        <v>7216236</v>
      </c>
      <c r="AW7" s="1984">
        <f t="shared" si="1"/>
        <v>7253536</v>
      </c>
      <c r="AX7" s="1984">
        <f t="shared" si="1"/>
        <v>7702997</v>
      </c>
      <c r="AY7" s="1984">
        <f t="shared" si="1"/>
        <v>5749556</v>
      </c>
    </row>
    <row r="8" spans="2:51" ht="12" customHeight="1">
      <c r="B8" s="119" t="s">
        <v>87</v>
      </c>
      <c r="C8" s="123">
        <v>224810726634</v>
      </c>
      <c r="D8" s="123">
        <v>134343272600</v>
      </c>
      <c r="E8" s="123">
        <v>119261840419</v>
      </c>
      <c r="F8" s="122">
        <v>130264952465</v>
      </c>
      <c r="G8" s="122">
        <v>21279431421</v>
      </c>
      <c r="I8" s="119" t="s">
        <v>145</v>
      </c>
      <c r="J8" s="123">
        <v>130961422324</v>
      </c>
      <c r="K8" s="123">
        <v>71504697789</v>
      </c>
      <c r="L8" s="123">
        <v>71936876441</v>
      </c>
      <c r="M8" s="122">
        <v>140148825092</v>
      </c>
      <c r="N8" s="122">
        <v>67017473412</v>
      </c>
      <c r="P8" s="119" t="s">
        <v>1429</v>
      </c>
      <c r="Q8" s="123">
        <v>117458897356</v>
      </c>
      <c r="R8" s="123">
        <v>19388932569</v>
      </c>
      <c r="S8" s="122">
        <v>-10497251131</v>
      </c>
      <c r="T8" s="122">
        <v>45718892200</v>
      </c>
      <c r="V8" s="125" t="s">
        <v>1549</v>
      </c>
      <c r="W8" s="121"/>
      <c r="X8" s="120"/>
      <c r="AA8" s="544" t="s">
        <v>1593</v>
      </c>
      <c r="AB8" s="546">
        <v>1084783</v>
      </c>
      <c r="AC8" s="546">
        <v>1114257</v>
      </c>
      <c r="AD8" s="546">
        <v>828419</v>
      </c>
      <c r="AE8" s="547">
        <v>1087792</v>
      </c>
      <c r="AM8" s="1983" t="s">
        <v>2479</v>
      </c>
      <c r="AQ8" s="1984">
        <v>215833403143</v>
      </c>
      <c r="AR8" s="1984">
        <v>173128205261</v>
      </c>
      <c r="AS8" s="1984">
        <v>152432127258</v>
      </c>
      <c r="AT8" s="1984">
        <v>55698740037</v>
      </c>
      <c r="AU8" s="1984"/>
      <c r="AV8" s="1984">
        <f t="shared" si="1"/>
        <v>215833</v>
      </c>
      <c r="AW8" s="1984">
        <f t="shared" si="1"/>
        <v>173128</v>
      </c>
      <c r="AX8" s="1984">
        <f t="shared" si="1"/>
        <v>152432</v>
      </c>
      <c r="AY8" s="1984">
        <f t="shared" si="1"/>
        <v>55699</v>
      </c>
    </row>
    <row r="9" spans="2:51" ht="12" customHeight="1">
      <c r="B9" s="119" t="s">
        <v>88</v>
      </c>
      <c r="C9" s="123">
        <v>8539072351</v>
      </c>
      <c r="D9" s="123">
        <v>7410127451</v>
      </c>
      <c r="E9" s="123">
        <v>4871086901</v>
      </c>
      <c r="F9" s="122">
        <v>9553453739</v>
      </c>
      <c r="G9" s="122">
        <v>1613168442</v>
      </c>
      <c r="I9" s="119" t="s">
        <v>146</v>
      </c>
      <c r="J9" s="123">
        <v>68673499959</v>
      </c>
      <c r="K9" s="123">
        <v>81909436232</v>
      </c>
      <c r="L9" s="123">
        <v>98332913789</v>
      </c>
      <c r="M9" s="122">
        <v>94655113832</v>
      </c>
      <c r="N9" s="122">
        <v>138538197059</v>
      </c>
      <c r="P9" s="119" t="s">
        <v>1430</v>
      </c>
      <c r="Q9" s="123">
        <v>14500000000</v>
      </c>
      <c r="R9" s="123">
        <v>4000000000</v>
      </c>
      <c r="S9" s="122">
        <v>13000000000</v>
      </c>
      <c r="T9" s="122">
        <v>49140978542</v>
      </c>
      <c r="V9" s="125" t="s">
        <v>1550</v>
      </c>
      <c r="W9" s="121" t="s">
        <v>1562</v>
      </c>
      <c r="X9" s="120" t="s">
        <v>1563</v>
      </c>
      <c r="AM9" s="1983" t="s">
        <v>2482</v>
      </c>
      <c r="AQ9" s="1984">
        <v>1588149810</v>
      </c>
      <c r="AR9" s="1984">
        <v>-1383167649</v>
      </c>
      <c r="AS9" s="1984">
        <v>-139072463</v>
      </c>
      <c r="AT9" s="1984">
        <v>1427959811</v>
      </c>
      <c r="AU9" s="1984"/>
      <c r="AV9" s="1984">
        <f t="shared" si="1"/>
        <v>1588</v>
      </c>
      <c r="AW9" s="1984">
        <f t="shared" si="1"/>
        <v>-1383</v>
      </c>
      <c r="AX9" s="1984">
        <f t="shared" si="1"/>
        <v>-139</v>
      </c>
      <c r="AY9" s="1984">
        <f t="shared" si="1"/>
        <v>1428</v>
      </c>
    </row>
    <row r="10" spans="2:51" ht="12" customHeight="1">
      <c r="B10" s="119" t="s">
        <v>89</v>
      </c>
      <c r="C10" s="123">
        <v>1305809171482</v>
      </c>
      <c r="D10" s="123">
        <v>1522715929694</v>
      </c>
      <c r="E10" s="123">
        <v>1253565831209</v>
      </c>
      <c r="F10" s="122">
        <v>1648923778095</v>
      </c>
      <c r="G10" s="122">
        <v>1782739627747</v>
      </c>
      <c r="I10" s="119" t="s">
        <v>147</v>
      </c>
      <c r="J10" s="123">
        <v>62246639717</v>
      </c>
      <c r="K10" s="123">
        <v>24246065566</v>
      </c>
      <c r="L10" s="123">
        <v>22208719902</v>
      </c>
      <c r="M10" s="122">
        <v>17626239960</v>
      </c>
      <c r="N10" s="122">
        <v>12921381337</v>
      </c>
      <c r="P10" s="119" t="s">
        <v>1431</v>
      </c>
      <c r="Q10" s="123">
        <v>157513204</v>
      </c>
      <c r="R10" s="123">
        <v>49385000</v>
      </c>
      <c r="S10" s="121" t="s">
        <v>125</v>
      </c>
      <c r="T10" s="121">
        <v>0</v>
      </c>
      <c r="V10" s="125" t="s">
        <v>1502</v>
      </c>
      <c r="W10" s="121" t="s">
        <v>1564</v>
      </c>
      <c r="X10" s="120" t="s">
        <v>1565</v>
      </c>
      <c r="AA10" s="114" t="s">
        <v>1594</v>
      </c>
      <c r="AM10" s="1983" t="s">
        <v>2189</v>
      </c>
      <c r="AQ10" s="1984">
        <v>6871448554</v>
      </c>
      <c r="AR10" s="1984">
        <v>23632644749</v>
      </c>
      <c r="AS10" s="1984">
        <v>19426872531</v>
      </c>
      <c r="AT10" s="1984">
        <v>10659133431</v>
      </c>
      <c r="AU10" s="1984"/>
      <c r="AV10" s="1984">
        <f t="shared" si="1"/>
        <v>6871</v>
      </c>
      <c r="AW10" s="1984">
        <f t="shared" si="1"/>
        <v>23633</v>
      </c>
      <c r="AX10" s="1984">
        <f t="shared" si="1"/>
        <v>19427</v>
      </c>
      <c r="AY10" s="1984">
        <f t="shared" si="1"/>
        <v>10659</v>
      </c>
    </row>
    <row r="11" spans="2:51" ht="12" customHeight="1">
      <c r="B11" s="119" t="s">
        <v>90</v>
      </c>
      <c r="C11" s="123">
        <v>9759211227</v>
      </c>
      <c r="D11" s="123">
        <v>15415103682</v>
      </c>
      <c r="E11" s="123">
        <v>80673436433</v>
      </c>
      <c r="F11" s="122">
        <v>61134856166</v>
      </c>
      <c r="G11" s="122">
        <v>79124005046</v>
      </c>
      <c r="I11" s="119" t="s">
        <v>148</v>
      </c>
      <c r="J11" s="123">
        <v>24823666797</v>
      </c>
      <c r="K11" s="123">
        <v>29042620185</v>
      </c>
      <c r="L11" s="123">
        <v>26567635167</v>
      </c>
      <c r="M11" s="122">
        <v>13230610608</v>
      </c>
      <c r="N11" s="122">
        <v>5476845111</v>
      </c>
      <c r="P11" s="119" t="s">
        <v>1433</v>
      </c>
      <c r="Q11" s="123">
        <v>199520474170</v>
      </c>
      <c r="R11" s="123">
        <v>112518760448</v>
      </c>
      <c r="S11" s="122">
        <v>116513671788</v>
      </c>
      <c r="T11" s="122">
        <v>112427574233</v>
      </c>
      <c r="V11" s="125" t="s">
        <v>1566</v>
      </c>
      <c r="W11" s="121" t="s">
        <v>1567</v>
      </c>
      <c r="X11" s="120" t="s">
        <v>1568</v>
      </c>
      <c r="AA11" s="116" t="s">
        <v>81</v>
      </c>
      <c r="AB11" s="117" t="s">
        <v>136</v>
      </c>
      <c r="AC11" s="117" t="s">
        <v>134</v>
      </c>
      <c r="AD11" s="117" t="s">
        <v>129</v>
      </c>
      <c r="AE11" s="118" t="s">
        <v>127</v>
      </c>
      <c r="AL11" s="1983" t="s">
        <v>141</v>
      </c>
      <c r="AQ11" s="1984">
        <v>7144512248154</v>
      </c>
      <c r="AR11" s="1984">
        <v>7100110913868</v>
      </c>
      <c r="AS11" s="1984">
        <v>7463355757518</v>
      </c>
      <c r="AT11" s="1984">
        <v>5557487152683</v>
      </c>
      <c r="AU11" s="1984"/>
      <c r="AV11" s="1984">
        <f t="shared" si="1"/>
        <v>7144512</v>
      </c>
      <c r="AW11" s="1984">
        <f t="shared" si="1"/>
        <v>7100111</v>
      </c>
      <c r="AX11" s="1984">
        <f t="shared" si="1"/>
        <v>7463356</v>
      </c>
      <c r="AY11" s="1984">
        <f t="shared" si="1"/>
        <v>5557487</v>
      </c>
    </row>
    <row r="12" spans="2:51" ht="12" customHeight="1">
      <c r="B12" s="119" t="s">
        <v>91</v>
      </c>
      <c r="C12" s="123">
        <v>1131110904575</v>
      </c>
      <c r="D12" s="123">
        <v>1062456335699</v>
      </c>
      <c r="E12" s="123">
        <v>987652900232</v>
      </c>
      <c r="F12" s="122">
        <v>912423008569</v>
      </c>
      <c r="G12" s="122">
        <v>961070079937</v>
      </c>
      <c r="I12" s="119" t="s">
        <v>149</v>
      </c>
      <c r="J12" s="123">
        <v>-566450224</v>
      </c>
      <c r="K12" s="123">
        <v>-1031714302</v>
      </c>
      <c r="L12" s="123">
        <v>2109446746</v>
      </c>
      <c r="M12" s="122">
        <v>3576658965</v>
      </c>
      <c r="N12" s="122">
        <v>5481090653</v>
      </c>
      <c r="P12" s="119" t="s">
        <v>1434</v>
      </c>
      <c r="Q12" s="123">
        <v>495854137</v>
      </c>
      <c r="R12" s="123">
        <v>658879172</v>
      </c>
      <c r="S12" s="122">
        <v>45258113</v>
      </c>
      <c r="T12" s="122">
        <v>1798620862</v>
      </c>
      <c r="V12" s="125" t="s">
        <v>1413</v>
      </c>
      <c r="W12" s="121" t="s">
        <v>1569</v>
      </c>
      <c r="X12" s="120" t="s">
        <v>1570</v>
      </c>
      <c r="AA12" s="115" t="s">
        <v>1597</v>
      </c>
      <c r="AB12" s="545">
        <f>J3/10^6</f>
        <v>7440528.6272489997</v>
      </c>
      <c r="AC12" s="545">
        <f>K3/10^6</f>
        <v>7448913.7123100003</v>
      </c>
      <c r="AD12" s="545">
        <f>L3/10^6</f>
        <v>7874716.8175600003</v>
      </c>
      <c r="AE12" s="545">
        <f>M3/10^6</f>
        <v>7979812.4662619997</v>
      </c>
      <c r="AM12" s="1983" t="s">
        <v>2165</v>
      </c>
      <c r="AQ12" s="1984">
        <v>6907776814388</v>
      </c>
      <c r="AR12" s="1984">
        <v>6889645904449</v>
      </c>
      <c r="AS12" s="1984">
        <v>7287857258732</v>
      </c>
      <c r="AT12" s="1984">
        <v>5483667287576</v>
      </c>
      <c r="AU12" s="1984"/>
      <c r="AV12" s="1984">
        <f t="shared" si="1"/>
        <v>6907777</v>
      </c>
      <c r="AW12" s="1984">
        <f t="shared" si="1"/>
        <v>6889646</v>
      </c>
      <c r="AX12" s="1984">
        <f t="shared" si="1"/>
        <v>7287857</v>
      </c>
      <c r="AY12" s="1984">
        <f t="shared" si="1"/>
        <v>5483667</v>
      </c>
    </row>
    <row r="13" spans="2:51" ht="12" customHeight="1">
      <c r="B13" s="119" t="s">
        <v>92</v>
      </c>
      <c r="C13" s="123">
        <v>712792754890</v>
      </c>
      <c r="D13" s="123">
        <v>725083215260</v>
      </c>
      <c r="E13" s="123">
        <v>737624503211</v>
      </c>
      <c r="F13" s="122">
        <v>746851754116</v>
      </c>
      <c r="G13" s="122">
        <v>793907853012</v>
      </c>
      <c r="I13" s="119" t="s">
        <v>150</v>
      </c>
      <c r="J13" s="123">
        <v>19000488780</v>
      </c>
      <c r="K13" s="123">
        <v>-3089736024</v>
      </c>
      <c r="L13" s="123">
        <v>3882472309</v>
      </c>
      <c r="M13" s="122">
        <v>-10424692070</v>
      </c>
      <c r="N13" s="122">
        <v>8108986315</v>
      </c>
      <c r="P13" s="119" t="s">
        <v>1435</v>
      </c>
      <c r="Q13" s="123">
        <v>258408398</v>
      </c>
      <c r="R13" s="123">
        <v>94478000</v>
      </c>
      <c r="S13" s="122">
        <v>51215842</v>
      </c>
      <c r="T13" s="122">
        <v>77090758</v>
      </c>
      <c r="V13" s="125" t="s">
        <v>1551</v>
      </c>
      <c r="W13" s="121" t="s">
        <v>1571</v>
      </c>
      <c r="X13" s="120" t="s">
        <v>1572</v>
      </c>
      <c r="AA13" s="115" t="s">
        <v>1596</v>
      </c>
      <c r="AB13" s="545">
        <v>1262006</v>
      </c>
      <c r="AC13" s="545">
        <v>1414686</v>
      </c>
      <c r="AD13" s="545">
        <v>1267828</v>
      </c>
      <c r="AE13" s="545">
        <v>1376692</v>
      </c>
      <c r="AM13" s="1983" t="s">
        <v>2496</v>
      </c>
      <c r="AQ13" s="1984">
        <v>213454592687</v>
      </c>
      <c r="AR13" s="1984">
        <v>170016000201</v>
      </c>
      <c r="AS13" s="1984">
        <v>150071860197</v>
      </c>
      <c r="AT13" s="1984">
        <v>53990438343</v>
      </c>
      <c r="AU13" s="1984"/>
      <c r="AV13" s="1984">
        <f t="shared" si="1"/>
        <v>213455</v>
      </c>
      <c r="AW13" s="1984">
        <f t="shared" si="1"/>
        <v>170016</v>
      </c>
      <c r="AX13" s="1984">
        <f t="shared" si="1"/>
        <v>150072</v>
      </c>
      <c r="AY13" s="1984">
        <f t="shared" si="1"/>
        <v>53990</v>
      </c>
    </row>
    <row r="14" spans="2:51" ht="12" customHeight="1">
      <c r="B14" s="119" t="s">
        <v>93</v>
      </c>
      <c r="C14" s="123">
        <v>2327996171</v>
      </c>
      <c r="D14" s="123">
        <v>2306137235</v>
      </c>
      <c r="E14" s="123">
        <v>2288353226</v>
      </c>
      <c r="F14" s="122">
        <v>11600285887</v>
      </c>
      <c r="G14" s="122">
        <v>11545036325</v>
      </c>
      <c r="I14" s="119" t="s">
        <v>151</v>
      </c>
      <c r="J14" s="123">
        <v>327872126607</v>
      </c>
      <c r="K14" s="123">
        <v>248858858760</v>
      </c>
      <c r="L14" s="123">
        <v>290674195324</v>
      </c>
      <c r="M14" s="122">
        <v>271626718089</v>
      </c>
      <c r="N14" s="122">
        <v>303906759609</v>
      </c>
      <c r="P14" s="119" t="s">
        <v>1437</v>
      </c>
      <c r="Q14" s="123">
        <v>-14531463841</v>
      </c>
      <c r="R14" s="123">
        <v>-3029324629</v>
      </c>
      <c r="S14" s="122">
        <v>-52238013832</v>
      </c>
      <c r="T14" s="122">
        <v>-10000000000</v>
      </c>
      <c r="V14" s="125" t="s">
        <v>1573</v>
      </c>
      <c r="W14" s="121" t="s">
        <v>1574</v>
      </c>
      <c r="X14" s="120" t="s">
        <v>1575</v>
      </c>
      <c r="AA14" s="544" t="s">
        <v>320</v>
      </c>
      <c r="AB14" s="546">
        <f t="shared" ref="AB14:AD14" si="2">AB12-AB13</f>
        <v>6178522.6272489997</v>
      </c>
      <c r="AC14" s="546">
        <f t="shared" si="2"/>
        <v>6034227.7123100003</v>
      </c>
      <c r="AD14" s="546">
        <f t="shared" si="2"/>
        <v>6606888.8175600003</v>
      </c>
      <c r="AE14" s="546">
        <f>AE12-AE13</f>
        <v>6603120.4662619997</v>
      </c>
      <c r="AM14" s="1983" t="s">
        <v>2497</v>
      </c>
      <c r="AQ14" s="1984">
        <v>11444642182</v>
      </c>
      <c r="AR14" s="1984">
        <v>10039423327</v>
      </c>
      <c r="AS14" s="1984">
        <v>10010324105</v>
      </c>
      <c r="AT14" s="1984">
        <v>10981802594</v>
      </c>
      <c r="AU14" s="1984"/>
      <c r="AV14" s="1984">
        <f t="shared" si="1"/>
        <v>11445</v>
      </c>
      <c r="AW14" s="1984">
        <f t="shared" si="1"/>
        <v>10039</v>
      </c>
      <c r="AX14" s="1984">
        <f t="shared" si="1"/>
        <v>10010</v>
      </c>
      <c r="AY14" s="1984">
        <f t="shared" si="1"/>
        <v>10982</v>
      </c>
    </row>
    <row r="15" spans="2:51" ht="12" customHeight="1">
      <c r="B15" s="119" t="s">
        <v>94</v>
      </c>
      <c r="C15" s="123">
        <v>22509655602</v>
      </c>
      <c r="D15" s="123">
        <v>27168244772</v>
      </c>
      <c r="E15" s="123">
        <v>26019387976</v>
      </c>
      <c r="F15" s="122">
        <v>31708528098</v>
      </c>
      <c r="G15" s="122">
        <v>28769627069</v>
      </c>
      <c r="I15" s="119" t="s">
        <v>152</v>
      </c>
      <c r="J15" s="123">
        <v>77562513420</v>
      </c>
      <c r="K15" s="123">
        <v>58164543256</v>
      </c>
      <c r="L15" s="123">
        <v>69364403956</v>
      </c>
      <c r="M15" s="122">
        <v>72375920426</v>
      </c>
      <c r="N15" s="122">
        <v>74616700290</v>
      </c>
      <c r="P15" s="119" t="s">
        <v>1438</v>
      </c>
      <c r="Q15" s="123">
        <v>-171497188</v>
      </c>
      <c r="R15" s="123">
        <v>-76162464</v>
      </c>
      <c r="S15" s="121" t="s">
        <v>125</v>
      </c>
      <c r="T15" s="121">
        <v>0</v>
      </c>
      <c r="V15" s="539" t="s">
        <v>1553</v>
      </c>
      <c r="W15" s="409" t="s">
        <v>1576</v>
      </c>
      <c r="X15" s="410" t="s">
        <v>1577</v>
      </c>
      <c r="AM15" s="1983" t="s">
        <v>2185</v>
      </c>
      <c r="AQ15" s="1984">
        <v>11836198897</v>
      </c>
      <c r="AR15" s="1984">
        <v>30409585891</v>
      </c>
      <c r="AS15" s="1984">
        <v>15416314484</v>
      </c>
      <c r="AT15" s="1984">
        <v>8847624170</v>
      </c>
      <c r="AU15" s="1984"/>
      <c r="AV15" s="1984">
        <f t="shared" si="1"/>
        <v>11836</v>
      </c>
      <c r="AW15" s="1984">
        <f t="shared" si="1"/>
        <v>30410</v>
      </c>
      <c r="AX15" s="1984">
        <f t="shared" si="1"/>
        <v>15416</v>
      </c>
      <c r="AY15" s="1984">
        <f t="shared" si="1"/>
        <v>8848</v>
      </c>
    </row>
    <row r="16" spans="2:51" ht="12" customHeight="1">
      <c r="B16" s="119" t="s">
        <v>95</v>
      </c>
      <c r="C16" s="123">
        <v>0</v>
      </c>
      <c r="D16" s="123">
        <v>0</v>
      </c>
      <c r="E16" s="123">
        <v>6952399976</v>
      </c>
      <c r="F16" s="122">
        <v>5231186252</v>
      </c>
      <c r="G16" s="122">
        <v>3496175049</v>
      </c>
      <c r="I16" s="119" t="s">
        <v>153</v>
      </c>
      <c r="J16" s="123">
        <v>250309613187</v>
      </c>
      <c r="K16" s="123">
        <v>190694315504</v>
      </c>
      <c r="L16" s="123">
        <v>221309791368</v>
      </c>
      <c r="M16" s="122">
        <v>199250797663</v>
      </c>
      <c r="N16" s="122">
        <v>229290059319</v>
      </c>
      <c r="P16" s="119" t="s">
        <v>1439</v>
      </c>
      <c r="Q16" s="123">
        <v>-4534563639</v>
      </c>
      <c r="R16" s="123">
        <v>-278139687</v>
      </c>
      <c r="S16" s="122">
        <v>-796075042</v>
      </c>
      <c r="T16" s="122">
        <v>-705456988</v>
      </c>
      <c r="V16" s="521"/>
      <c r="W16" s="115">
        <v>2202</v>
      </c>
      <c r="X16" s="115">
        <v>2279</v>
      </c>
      <c r="Z16" s="1991"/>
      <c r="AA16" s="114" t="s">
        <v>3584</v>
      </c>
      <c r="AL16" s="1983" t="s">
        <v>142</v>
      </c>
      <c r="AQ16" s="1984">
        <v>296016379095</v>
      </c>
      <c r="AR16" s="1984">
        <v>348802798442</v>
      </c>
      <c r="AS16" s="1984">
        <v>411361060042</v>
      </c>
      <c r="AT16" s="1984">
        <v>259854399176</v>
      </c>
      <c r="AU16" s="1984"/>
      <c r="AV16" s="1984">
        <f t="shared" si="1"/>
        <v>296016</v>
      </c>
      <c r="AW16" s="1984">
        <f t="shared" si="1"/>
        <v>348803</v>
      </c>
      <c r="AX16" s="1984">
        <f t="shared" si="1"/>
        <v>411361</v>
      </c>
      <c r="AY16" s="1984">
        <f t="shared" si="1"/>
        <v>259854</v>
      </c>
    </row>
    <row r="17" spans="2:51" ht="12" customHeight="1">
      <c r="B17" s="119" t="s">
        <v>85</v>
      </c>
      <c r="C17" s="123">
        <v>72776240</v>
      </c>
      <c r="D17" s="123">
        <v>104240081</v>
      </c>
      <c r="E17" s="123">
        <v>133564710</v>
      </c>
      <c r="F17" s="122">
        <v>18100000</v>
      </c>
      <c r="G17" s="122">
        <v>230600000</v>
      </c>
      <c r="I17" s="119" t="s">
        <v>154</v>
      </c>
      <c r="J17" s="120">
        <v>0</v>
      </c>
      <c r="K17" s="120">
        <v>0</v>
      </c>
      <c r="L17" s="120"/>
      <c r="M17" s="121"/>
      <c r="N17" s="121"/>
      <c r="P17" s="119" t="s">
        <v>1440</v>
      </c>
      <c r="Q17" s="123">
        <v>-76244570413</v>
      </c>
      <c r="R17" s="123">
        <v>-92928838666</v>
      </c>
      <c r="S17" s="122">
        <v>-84404385087</v>
      </c>
      <c r="T17" s="122">
        <v>-106069985789</v>
      </c>
      <c r="V17" s="537" t="s">
        <v>1578</v>
      </c>
      <c r="Z17" s="1991"/>
      <c r="AA17" s="1992" t="s">
        <v>1407</v>
      </c>
      <c r="AB17" s="1993" t="s">
        <v>3585</v>
      </c>
      <c r="AC17" s="1993" t="s">
        <v>3586</v>
      </c>
      <c r="AD17" s="1993" t="s">
        <v>3587</v>
      </c>
      <c r="AE17" s="1993" t="s">
        <v>3588</v>
      </c>
      <c r="AF17" s="1993" t="s">
        <v>3589</v>
      </c>
      <c r="AG17" s="1993" t="s">
        <v>3590</v>
      </c>
      <c r="AH17" s="1993" t="s">
        <v>3591</v>
      </c>
      <c r="AI17" s="1994" t="s">
        <v>1413</v>
      </c>
      <c r="AL17" s="1983" t="s">
        <v>143</v>
      </c>
      <c r="AQ17" s="1984">
        <v>86289186329</v>
      </c>
      <c r="AR17" s="1984">
        <v>80621196294</v>
      </c>
      <c r="AS17" s="1984">
        <v>95923831160</v>
      </c>
      <c r="AT17" s="1984">
        <v>68151668364</v>
      </c>
      <c r="AU17" s="1984"/>
      <c r="AV17" s="1984">
        <f t="shared" si="1"/>
        <v>86289</v>
      </c>
      <c r="AW17" s="1984">
        <f t="shared" si="1"/>
        <v>80621</v>
      </c>
      <c r="AX17" s="1984">
        <f t="shared" si="1"/>
        <v>95924</v>
      </c>
      <c r="AY17" s="1984">
        <f t="shared" si="1"/>
        <v>68152</v>
      </c>
    </row>
    <row r="18" spans="2:51" ht="12" customHeight="1">
      <c r="B18" s="119" t="s">
        <v>87</v>
      </c>
      <c r="C18" s="123">
        <v>338463464808</v>
      </c>
      <c r="D18" s="123">
        <v>255902253358</v>
      </c>
      <c r="E18" s="123">
        <v>163018151322</v>
      </c>
      <c r="F18" s="122">
        <v>54908747514</v>
      </c>
      <c r="G18" s="122">
        <v>50387964943</v>
      </c>
      <c r="I18" s="119" t="s">
        <v>155</v>
      </c>
      <c r="J18" s="120">
        <v>0</v>
      </c>
      <c r="K18" s="120">
        <v>0</v>
      </c>
      <c r="L18" s="120"/>
      <c r="M18" s="121"/>
      <c r="N18" s="121"/>
      <c r="P18" s="119" t="s">
        <v>1441</v>
      </c>
      <c r="Q18" s="123">
        <v>-1991257472</v>
      </c>
      <c r="R18" s="123">
        <v>-1303022651</v>
      </c>
      <c r="S18" s="122">
        <v>-2355385900</v>
      </c>
      <c r="T18" s="122">
        <v>-629031000</v>
      </c>
      <c r="Z18" s="1991"/>
      <c r="AA18" s="1995" t="s">
        <v>3592</v>
      </c>
      <c r="AB18" s="1996" t="s">
        <v>3593</v>
      </c>
      <c r="AC18" s="1996" t="s">
        <v>1432</v>
      </c>
      <c r="AD18" s="1996" t="s">
        <v>1432</v>
      </c>
      <c r="AE18" s="1997">
        <v>8886</v>
      </c>
      <c r="AF18" s="1996" t="s">
        <v>3594</v>
      </c>
      <c r="AG18" s="1996" t="s">
        <v>3595</v>
      </c>
      <c r="AH18" s="1996" t="s">
        <v>3596</v>
      </c>
      <c r="AI18" s="1998" t="s">
        <v>3597</v>
      </c>
      <c r="AM18" s="1983" t="s">
        <v>2502</v>
      </c>
      <c r="AQ18" s="1984">
        <v>12350453096</v>
      </c>
      <c r="AR18" s="1984">
        <v>12902843740</v>
      </c>
      <c r="AS18" s="1984">
        <v>13356744073</v>
      </c>
      <c r="AT18" s="1984">
        <v>9897508876</v>
      </c>
      <c r="AU18" s="1984"/>
      <c r="AV18" s="1984">
        <f t="shared" si="1"/>
        <v>12350</v>
      </c>
      <c r="AW18" s="1984">
        <f t="shared" si="1"/>
        <v>12903</v>
      </c>
      <c r="AX18" s="1984">
        <f t="shared" si="1"/>
        <v>13357</v>
      </c>
      <c r="AY18" s="1984">
        <f t="shared" si="1"/>
        <v>9898</v>
      </c>
    </row>
    <row r="19" spans="2:51" ht="12" customHeight="1">
      <c r="B19" s="119" t="s">
        <v>96</v>
      </c>
      <c r="C19" s="123" t="s">
        <v>125</v>
      </c>
      <c r="D19" s="123">
        <v>413874840</v>
      </c>
      <c r="E19" s="123">
        <v>418905264</v>
      </c>
      <c r="F19" s="122">
        <v>423730236</v>
      </c>
      <c r="G19" s="122">
        <v>427994092</v>
      </c>
      <c r="I19" s="119" t="s">
        <v>156</v>
      </c>
      <c r="J19" s="123">
        <v>347785000</v>
      </c>
      <c r="K19" s="123">
        <v>-2867008638</v>
      </c>
      <c r="L19" s="123">
        <v>-2202364255</v>
      </c>
      <c r="M19" s="122">
        <v>1356316127</v>
      </c>
      <c r="N19" s="122">
        <v>27580845</v>
      </c>
      <c r="P19" s="119" t="s">
        <v>1442</v>
      </c>
      <c r="Q19" s="123">
        <v>0</v>
      </c>
      <c r="R19" s="123">
        <v>-317081954</v>
      </c>
      <c r="S19" s="122">
        <v>-313537013</v>
      </c>
      <c r="T19" s="122">
        <v>-320898418</v>
      </c>
      <c r="Z19" s="1991"/>
      <c r="AA19" s="1995" t="s">
        <v>3598</v>
      </c>
      <c r="AB19" s="1996" t="s">
        <v>1432</v>
      </c>
      <c r="AC19" s="1996" t="s">
        <v>1432</v>
      </c>
      <c r="AD19" s="1996" t="s">
        <v>1432</v>
      </c>
      <c r="AE19" s="1996"/>
      <c r="AF19" s="1996" t="s">
        <v>3599</v>
      </c>
      <c r="AG19" s="1996" t="s">
        <v>1432</v>
      </c>
      <c r="AH19" s="1996" t="s">
        <v>3600</v>
      </c>
      <c r="AI19" s="1998" t="s">
        <v>3601</v>
      </c>
      <c r="AM19" s="1983" t="s">
        <v>1377</v>
      </c>
      <c r="AQ19" s="1984">
        <v>10694504076</v>
      </c>
      <c r="AR19" s="1984">
        <v>14225533614</v>
      </c>
      <c r="AS19" s="1984">
        <v>16129903101</v>
      </c>
      <c r="AT19" s="1984">
        <v>11075474693</v>
      </c>
      <c r="AU19" s="1984"/>
      <c r="AV19" s="1984">
        <f t="shared" si="1"/>
        <v>10695</v>
      </c>
      <c r="AW19" s="1984">
        <f t="shared" si="1"/>
        <v>14226</v>
      </c>
      <c r="AX19" s="1984">
        <f t="shared" si="1"/>
        <v>16130</v>
      </c>
      <c r="AY19" s="1984">
        <f t="shared" si="1"/>
        <v>11075</v>
      </c>
    </row>
    <row r="20" spans="2:51" ht="12" customHeight="1">
      <c r="B20" s="119" t="s">
        <v>138</v>
      </c>
      <c r="C20" s="123">
        <v>7036830591</v>
      </c>
      <c r="D20" s="123">
        <v>0</v>
      </c>
      <c r="E20" s="123">
        <v>0</v>
      </c>
      <c r="F20" s="122">
        <v>0</v>
      </c>
      <c r="G20" s="122">
        <v>0</v>
      </c>
      <c r="I20" s="119" t="s">
        <v>157</v>
      </c>
      <c r="J20" s="123" t="s">
        <v>125</v>
      </c>
      <c r="K20" s="123">
        <v>878498435</v>
      </c>
      <c r="L20" s="123">
        <v>-5401813708</v>
      </c>
      <c r="M20" s="121" t="s">
        <v>125</v>
      </c>
      <c r="N20" s="121"/>
      <c r="P20" s="119" t="s">
        <v>1443</v>
      </c>
      <c r="Q20" s="123">
        <v>-166955955161</v>
      </c>
      <c r="R20" s="123">
        <v>-441807975715</v>
      </c>
      <c r="S20" s="122">
        <v>155866280190</v>
      </c>
      <c r="T20" s="122">
        <v>-177360528429</v>
      </c>
      <c r="Z20" s="1991"/>
      <c r="AA20" s="1995" t="s">
        <v>3602</v>
      </c>
      <c r="AB20" s="1996" t="s">
        <v>1432</v>
      </c>
      <c r="AC20" s="1996" t="s">
        <v>1432</v>
      </c>
      <c r="AD20" s="1996" t="s">
        <v>1432</v>
      </c>
      <c r="AE20" s="1996"/>
      <c r="AF20" s="1996" t="s">
        <v>3603</v>
      </c>
      <c r="AG20" s="1996" t="s">
        <v>1432</v>
      </c>
      <c r="AH20" s="1996" t="s">
        <v>1432</v>
      </c>
      <c r="AI20" s="1998" t="s">
        <v>3603</v>
      </c>
      <c r="AM20" s="1983" t="s">
        <v>1378</v>
      </c>
      <c r="AQ20" s="1984">
        <v>2789387079</v>
      </c>
      <c r="AR20" s="1984">
        <v>2379173932</v>
      </c>
      <c r="AS20" s="1984">
        <v>2443883370</v>
      </c>
      <c r="AT20" s="1984">
        <v>1759718198</v>
      </c>
      <c r="AU20" s="1984"/>
      <c r="AV20" s="1984">
        <f t="shared" si="1"/>
        <v>2789</v>
      </c>
      <c r="AW20" s="1984">
        <f t="shared" si="1"/>
        <v>2379</v>
      </c>
      <c r="AX20" s="1984">
        <f t="shared" si="1"/>
        <v>2444</v>
      </c>
      <c r="AY20" s="1984">
        <f t="shared" si="1"/>
        <v>1760</v>
      </c>
    </row>
    <row r="21" spans="2:51" ht="12" customHeight="1">
      <c r="B21" s="119" t="s">
        <v>97</v>
      </c>
      <c r="C21" s="123" t="s">
        <v>125</v>
      </c>
      <c r="D21" s="123">
        <v>7521812342</v>
      </c>
      <c r="E21" s="123">
        <v>2201504042</v>
      </c>
      <c r="F21" s="122">
        <v>2186647690</v>
      </c>
      <c r="G21" s="122">
        <v>2207399758</v>
      </c>
      <c r="I21" s="119" t="s">
        <v>158</v>
      </c>
      <c r="J21" s="120">
        <v>0</v>
      </c>
      <c r="K21" s="120">
        <v>0</v>
      </c>
      <c r="L21" s="120"/>
      <c r="M21" s="121"/>
      <c r="N21" s="121"/>
      <c r="P21" s="119" t="s">
        <v>1444</v>
      </c>
      <c r="Q21" s="123">
        <v>7456661952597</v>
      </c>
      <c r="R21" s="123">
        <v>5967978312957</v>
      </c>
      <c r="S21" s="122">
        <v>6655817964033</v>
      </c>
      <c r="T21" s="122">
        <v>7191793831875</v>
      </c>
      <c r="Z21" s="1991"/>
      <c r="AA21" s="1995" t="s">
        <v>3604</v>
      </c>
      <c r="AB21" s="1996" t="s">
        <v>1432</v>
      </c>
      <c r="AC21" s="1996" t="s">
        <v>1432</v>
      </c>
      <c r="AD21" s="1996" t="s">
        <v>1432</v>
      </c>
      <c r="AE21" s="1996">
        <v>-45</v>
      </c>
      <c r="AF21" s="1996">
        <v>-7</v>
      </c>
      <c r="AG21" s="1996" t="s">
        <v>1432</v>
      </c>
      <c r="AH21" s="1997">
        <v>-1155</v>
      </c>
      <c r="AI21" s="1999">
        <v>-1207</v>
      </c>
      <c r="AM21" s="1983" t="s">
        <v>1379</v>
      </c>
      <c r="AQ21" s="1984">
        <v>774045682</v>
      </c>
      <c r="AR21" s="1984">
        <v>825348700</v>
      </c>
      <c r="AS21" s="1984">
        <v>760345358</v>
      </c>
      <c r="AT21" s="1984">
        <v>571618621</v>
      </c>
      <c r="AU21" s="1984"/>
      <c r="AV21" s="1984">
        <f t="shared" si="1"/>
        <v>774</v>
      </c>
      <c r="AW21" s="1984">
        <f t="shared" si="1"/>
        <v>825</v>
      </c>
      <c r="AX21" s="1984">
        <f t="shared" si="1"/>
        <v>760</v>
      </c>
      <c r="AY21" s="1984">
        <f t="shared" si="1"/>
        <v>572</v>
      </c>
    </row>
    <row r="22" spans="2:51" ht="12" customHeight="1">
      <c r="B22" s="119" t="s">
        <v>88</v>
      </c>
      <c r="C22" s="123">
        <v>0</v>
      </c>
      <c r="D22" s="123">
        <v>0</v>
      </c>
      <c r="E22" s="123">
        <v>18843195</v>
      </c>
      <c r="F22" s="122">
        <v>3284400</v>
      </c>
      <c r="G22" s="122">
        <v>43418938</v>
      </c>
      <c r="I22" s="119" t="s">
        <v>169</v>
      </c>
      <c r="J22" s="120">
        <v>1240106</v>
      </c>
      <c r="K22" s="120" t="s">
        <v>125</v>
      </c>
      <c r="L22" s="120"/>
      <c r="M22" s="121"/>
      <c r="N22" s="121"/>
      <c r="P22" s="119" t="s">
        <v>1445</v>
      </c>
      <c r="Q22" s="123">
        <v>-7533599095188</v>
      </c>
      <c r="R22" s="123">
        <v>-6304183952552</v>
      </c>
      <c r="S22" s="122">
        <v>-6391217049416</v>
      </c>
      <c r="T22" s="122">
        <v>-7246169688422</v>
      </c>
      <c r="V22" s="204" t="s">
        <v>1579</v>
      </c>
      <c r="W22" s="204">
        <v>2018</v>
      </c>
      <c r="X22" s="204">
        <v>2019</v>
      </c>
      <c r="Y22" s="204">
        <v>2020</v>
      </c>
      <c r="Z22" s="1991"/>
      <c r="AA22" s="1995" t="s">
        <v>3605</v>
      </c>
      <c r="AB22" s="1996" t="s">
        <v>1432</v>
      </c>
      <c r="AC22" s="1996" t="s">
        <v>1432</v>
      </c>
      <c r="AD22" s="1996" t="s">
        <v>1432</v>
      </c>
      <c r="AE22" s="1996"/>
      <c r="AF22" s="1997">
        <v>-2921</v>
      </c>
      <c r="AG22" s="1996" t="s">
        <v>1432</v>
      </c>
      <c r="AH22" s="1996" t="s">
        <v>1432</v>
      </c>
      <c r="AI22" s="1999">
        <v>-2921</v>
      </c>
      <c r="AM22" s="1985" t="s">
        <v>1380</v>
      </c>
      <c r="AP22" s="3" t="s">
        <v>3570</v>
      </c>
      <c r="AQ22" s="1984">
        <v>29107231234</v>
      </c>
      <c r="AR22" s="1984">
        <v>8011743174</v>
      </c>
      <c r="AS22" s="1984">
        <v>17625385967</v>
      </c>
      <c r="AT22" s="1984">
        <v>11920933614</v>
      </c>
      <c r="AU22" s="1984"/>
      <c r="AV22" s="1984">
        <f t="shared" si="1"/>
        <v>29107</v>
      </c>
      <c r="AW22" s="1984">
        <f t="shared" si="1"/>
        <v>8012</v>
      </c>
      <c r="AX22" s="1984">
        <f t="shared" si="1"/>
        <v>17625</v>
      </c>
      <c r="AY22" s="1984">
        <f t="shared" si="1"/>
        <v>11921</v>
      </c>
    </row>
    <row r="23" spans="2:51" ht="12" customHeight="1">
      <c r="B23" s="119" t="s">
        <v>98</v>
      </c>
      <c r="C23" s="123">
        <v>31112955924</v>
      </c>
      <c r="D23" s="123">
        <v>31450690664</v>
      </c>
      <c r="E23" s="123">
        <v>34667085414</v>
      </c>
      <c r="F23" s="122">
        <v>35882069723</v>
      </c>
      <c r="G23" s="122">
        <v>44771192286</v>
      </c>
      <c r="I23" s="119" t="s">
        <v>159</v>
      </c>
      <c r="J23" s="123">
        <v>-3378709490</v>
      </c>
      <c r="K23" s="123">
        <v>1226374504</v>
      </c>
      <c r="L23" s="123">
        <v>1081809730</v>
      </c>
      <c r="M23" s="122">
        <v>-1909919914</v>
      </c>
      <c r="N23" s="122">
        <v>2920562791</v>
      </c>
      <c r="P23" s="119" t="s">
        <v>1446</v>
      </c>
      <c r="Q23" s="123" t="s">
        <v>125</v>
      </c>
      <c r="R23" s="123">
        <v>-1591184966</v>
      </c>
      <c r="S23" s="122">
        <v>-1681286027</v>
      </c>
      <c r="T23" s="122">
        <v>-1779518402</v>
      </c>
      <c r="V23" s="323" t="s">
        <v>1456</v>
      </c>
      <c r="W23" s="324">
        <v>70061</v>
      </c>
      <c r="X23" s="324">
        <v>74138</v>
      </c>
      <c r="Y23" s="324">
        <v>73321</v>
      </c>
      <c r="Z23" s="1991"/>
      <c r="AA23" s="1995" t="s">
        <v>3606</v>
      </c>
      <c r="AB23" s="1996" t="s">
        <v>3593</v>
      </c>
      <c r="AC23" s="1996" t="s">
        <v>1432</v>
      </c>
      <c r="AD23" s="1996" t="s">
        <v>1432</v>
      </c>
      <c r="AE23" s="1997">
        <v>8841</v>
      </c>
      <c r="AF23" s="1996" t="s">
        <v>3607</v>
      </c>
      <c r="AG23" s="1996" t="s">
        <v>3595</v>
      </c>
      <c r="AH23" s="1996" t="s">
        <v>3608</v>
      </c>
      <c r="AI23" s="1998" t="s">
        <v>3609</v>
      </c>
      <c r="AM23" s="1983" t="s">
        <v>1381</v>
      </c>
      <c r="AQ23" s="1984">
        <v>333870517</v>
      </c>
      <c r="AR23" s="1984">
        <v>356578338</v>
      </c>
      <c r="AS23" s="1984">
        <v>932625443</v>
      </c>
      <c r="AT23" s="1984">
        <v>744262818</v>
      </c>
      <c r="AU23" s="1984"/>
      <c r="AV23" s="1984">
        <f t="shared" si="1"/>
        <v>334</v>
      </c>
      <c r="AW23" s="1984">
        <f t="shared" si="1"/>
        <v>357</v>
      </c>
      <c r="AX23" s="1984">
        <f t="shared" si="1"/>
        <v>933</v>
      </c>
      <c r="AY23" s="1984">
        <f t="shared" si="1"/>
        <v>744</v>
      </c>
    </row>
    <row r="24" spans="2:51" ht="12" customHeight="1">
      <c r="B24" s="119" t="s">
        <v>99</v>
      </c>
      <c r="C24" s="123">
        <v>11408164709</v>
      </c>
      <c r="D24" s="123">
        <v>7532267760</v>
      </c>
      <c r="E24" s="123">
        <v>10994357574</v>
      </c>
      <c r="F24" s="122">
        <v>18002644617</v>
      </c>
      <c r="G24" s="122">
        <v>9649685981</v>
      </c>
      <c r="I24" s="119" t="s">
        <v>160</v>
      </c>
      <c r="J24" s="123">
        <v>-17299234095</v>
      </c>
      <c r="K24" s="123">
        <v>1281616111</v>
      </c>
      <c r="L24" s="123">
        <v>1030349634</v>
      </c>
      <c r="M24" s="122">
        <v>-2204401744</v>
      </c>
      <c r="N24" s="122">
        <v>3186606806</v>
      </c>
      <c r="P24" s="119" t="s">
        <v>1447</v>
      </c>
      <c r="Q24" s="123">
        <v>-90009914400</v>
      </c>
      <c r="R24" s="123">
        <v>-104004571200</v>
      </c>
      <c r="S24" s="122">
        <v>-107051378400</v>
      </c>
      <c r="T24" s="122">
        <v>-120323064000</v>
      </c>
      <c r="V24" s="1" t="s">
        <v>1458</v>
      </c>
      <c r="W24" s="205">
        <v>2333</v>
      </c>
      <c r="X24" s="205">
        <v>2491</v>
      </c>
      <c r="Y24" s="205">
        <v>2921</v>
      </c>
      <c r="Z24" s="1991"/>
      <c r="AA24" s="1995" t="s">
        <v>3610</v>
      </c>
      <c r="AB24" s="1996" t="s">
        <v>3611</v>
      </c>
      <c r="AC24" s="1996" t="s">
        <v>3612</v>
      </c>
      <c r="AD24" s="1996" t="s">
        <v>3613</v>
      </c>
      <c r="AE24" s="1997">
        <v>8861</v>
      </c>
      <c r="AF24" s="1996" t="s">
        <v>3614</v>
      </c>
      <c r="AG24" s="1996" t="s">
        <v>3595</v>
      </c>
      <c r="AH24" s="1996" t="s">
        <v>3608</v>
      </c>
      <c r="AI24" s="1998" t="s">
        <v>3615</v>
      </c>
      <c r="AM24" s="1983" t="s">
        <v>1382</v>
      </c>
      <c r="AQ24" s="1984">
        <v>0</v>
      </c>
      <c r="AR24" s="1984">
        <v>0</v>
      </c>
      <c r="AS24" s="1984">
        <v>1770028462</v>
      </c>
      <c r="AT24" s="1984">
        <v>1331349953</v>
      </c>
      <c r="AU24" s="1984"/>
      <c r="AV24" s="1984">
        <f t="shared" si="1"/>
        <v>0</v>
      </c>
      <c r="AW24" s="1984">
        <f t="shared" si="1"/>
        <v>0</v>
      </c>
      <c r="AX24" s="1984">
        <f t="shared" si="1"/>
        <v>1770</v>
      </c>
      <c r="AY24" s="1984">
        <f t="shared" si="1"/>
        <v>1331</v>
      </c>
    </row>
    <row r="25" spans="2:51" ht="12" customHeight="1">
      <c r="B25" s="119" t="s">
        <v>100</v>
      </c>
      <c r="C25" s="123" t="s">
        <v>125</v>
      </c>
      <c r="D25" s="123">
        <v>3552084872</v>
      </c>
      <c r="E25" s="123">
        <v>2748747678</v>
      </c>
      <c r="F25" s="122">
        <v>5206105792</v>
      </c>
      <c r="G25" s="122">
        <v>15290027589</v>
      </c>
      <c r="I25" s="119" t="s">
        <v>161</v>
      </c>
      <c r="J25" s="123">
        <v>39019416134</v>
      </c>
      <c r="K25" s="123">
        <v>-10244068925</v>
      </c>
      <c r="L25" s="123">
        <v>-3961576164</v>
      </c>
      <c r="M25" s="122">
        <v>5334059635</v>
      </c>
      <c r="N25" s="122">
        <v>-16952496350</v>
      </c>
      <c r="P25" s="119" t="s">
        <v>1448</v>
      </c>
      <c r="Q25" s="123">
        <v>-8898170</v>
      </c>
      <c r="R25" s="123">
        <v>-6568430</v>
      </c>
      <c r="S25" s="121" t="s">
        <v>125</v>
      </c>
      <c r="T25" s="122">
        <v>-882089480</v>
      </c>
      <c r="V25" s="68" t="s">
        <v>1546</v>
      </c>
      <c r="W25" s="208">
        <v>0</v>
      </c>
      <c r="X25" s="208">
        <v>2378</v>
      </c>
      <c r="Y25" s="208">
        <v>2525</v>
      </c>
      <c r="Z25" s="1991"/>
      <c r="AA25" s="1995" t="s">
        <v>3616</v>
      </c>
      <c r="AB25" s="1996" t="s">
        <v>1432</v>
      </c>
      <c r="AC25" s="1996">
        <v>-60</v>
      </c>
      <c r="AD25" s="1996">
        <v>-868</v>
      </c>
      <c r="AE25" s="1996"/>
      <c r="AF25" s="1997">
        <v>-22414</v>
      </c>
      <c r="AG25" s="1996" t="s">
        <v>1432</v>
      </c>
      <c r="AH25" s="1996" t="s">
        <v>1432</v>
      </c>
      <c r="AI25" s="1999">
        <v>-23342</v>
      </c>
      <c r="AM25" s="1983" t="s">
        <v>1383</v>
      </c>
      <c r="AQ25" s="1984">
        <v>540987388</v>
      </c>
      <c r="AR25" s="1984">
        <v>402795900</v>
      </c>
      <c r="AS25" s="1984">
        <v>29574500</v>
      </c>
      <c r="AT25" s="1984">
        <v>42804990</v>
      </c>
      <c r="AU25" s="1984"/>
      <c r="AV25" s="1984">
        <f t="shared" si="1"/>
        <v>541</v>
      </c>
      <c r="AW25" s="1984">
        <f t="shared" si="1"/>
        <v>403</v>
      </c>
      <c r="AX25" s="1984">
        <f t="shared" si="1"/>
        <v>30</v>
      </c>
      <c r="AY25" s="1984">
        <f t="shared" si="1"/>
        <v>43</v>
      </c>
    </row>
    <row r="26" spans="2:51" ht="12" customHeight="1">
      <c r="B26" s="119" t="s">
        <v>90</v>
      </c>
      <c r="C26" s="123">
        <v>5386305640</v>
      </c>
      <c r="D26" s="123">
        <v>1421514515</v>
      </c>
      <c r="E26" s="123">
        <v>567096644</v>
      </c>
      <c r="F26" s="122">
        <v>399924244</v>
      </c>
      <c r="G26" s="122">
        <v>343104895</v>
      </c>
      <c r="I26" s="119" t="s">
        <v>162</v>
      </c>
      <c r="J26" s="123">
        <v>18690497655</v>
      </c>
      <c r="K26" s="123">
        <v>-9724588513</v>
      </c>
      <c r="L26" s="123">
        <v>-9453594763</v>
      </c>
      <c r="M26" s="122">
        <v>2576054104</v>
      </c>
      <c r="N26" s="122">
        <v>-10817745908</v>
      </c>
      <c r="P26" s="119" t="s">
        <v>1449</v>
      </c>
      <c r="Q26" s="123" t="s">
        <v>125</v>
      </c>
      <c r="R26" s="123">
        <v>-11524</v>
      </c>
      <c r="S26" s="122">
        <v>-1970000</v>
      </c>
      <c r="T26" s="122" t="s">
        <v>1432</v>
      </c>
      <c r="Z26" s="1991"/>
      <c r="AA26" s="2000" t="s">
        <v>3617</v>
      </c>
      <c r="AB26" s="2001">
        <v>-13975</v>
      </c>
      <c r="AC26" s="2002" t="s">
        <v>1432</v>
      </c>
      <c r="AD26" s="2002">
        <v>-23</v>
      </c>
      <c r="AE26" s="2002">
        <v>-20</v>
      </c>
      <c r="AF26" s="2002" t="s">
        <v>1432</v>
      </c>
      <c r="AG26" s="2002" t="s">
        <v>1432</v>
      </c>
      <c r="AH26" s="2002" t="s">
        <v>1432</v>
      </c>
      <c r="AI26" s="2003">
        <v>-14018</v>
      </c>
      <c r="AM26" s="1983" t="s">
        <v>1384</v>
      </c>
      <c r="AQ26" s="1984">
        <v>145145402</v>
      </c>
      <c r="AR26" s="1984">
        <v>111667646</v>
      </c>
      <c r="AS26" s="1984">
        <v>36549992</v>
      </c>
      <c r="AT26" s="1984">
        <v>82194306</v>
      </c>
      <c r="AU26" s="1984"/>
      <c r="AV26" s="1984">
        <f t="shared" si="1"/>
        <v>145</v>
      </c>
      <c r="AW26" s="1984">
        <f t="shared" si="1"/>
        <v>112</v>
      </c>
      <c r="AX26" s="1984">
        <f t="shared" si="1"/>
        <v>37</v>
      </c>
      <c r="AY26" s="1984">
        <f t="shared" si="1"/>
        <v>82</v>
      </c>
    </row>
    <row r="27" spans="2:51" ht="12" customHeight="1">
      <c r="B27" s="124" t="s">
        <v>101</v>
      </c>
      <c r="C27" s="123">
        <v>3532863028734</v>
      </c>
      <c r="D27" s="123">
        <v>3540377572742</v>
      </c>
      <c r="E27" s="123">
        <v>3341578715698</v>
      </c>
      <c r="F27" s="122">
        <v>3909308749448</v>
      </c>
      <c r="G27" s="122">
        <v>3905962237371</v>
      </c>
      <c r="I27" s="119" t="s">
        <v>163</v>
      </c>
      <c r="J27" s="123">
        <v>269000110842</v>
      </c>
      <c r="K27" s="123">
        <v>180969726991</v>
      </c>
      <c r="L27" s="123">
        <v>211856196605</v>
      </c>
      <c r="M27" s="122">
        <v>201826851767</v>
      </c>
      <c r="N27" s="122">
        <v>218472313411</v>
      </c>
      <c r="P27" s="119" t="s">
        <v>1450</v>
      </c>
      <c r="Q27" s="123">
        <v>-43783098061</v>
      </c>
      <c r="R27" s="123">
        <v>37393735963</v>
      </c>
      <c r="S27" s="122">
        <v>123748846506</v>
      </c>
      <c r="T27" s="122">
        <v>127155540328</v>
      </c>
      <c r="Z27" s="1991"/>
      <c r="AM27" s="1983" t="s">
        <v>1385</v>
      </c>
      <c r="AQ27" s="1984">
        <v>-16211696808</v>
      </c>
      <c r="AR27" s="1984">
        <v>-4660554953</v>
      </c>
      <c r="AS27" s="1984">
        <v>835802763</v>
      </c>
      <c r="AT27" s="1984">
        <v>864919663</v>
      </c>
      <c r="AU27" s="1984"/>
      <c r="AV27" s="1984">
        <f t="shared" si="1"/>
        <v>-16212</v>
      </c>
      <c r="AW27" s="1984">
        <f t="shared" si="1"/>
        <v>-4661</v>
      </c>
      <c r="AX27" s="1984">
        <f t="shared" si="1"/>
        <v>836</v>
      </c>
      <c r="AY27" s="1984">
        <f t="shared" si="1"/>
        <v>865</v>
      </c>
    </row>
    <row r="28" spans="2:51" ht="12" customHeight="1">
      <c r="B28" s="125" t="s">
        <v>102</v>
      </c>
      <c r="C28" s="120"/>
      <c r="D28" s="120"/>
      <c r="E28" s="120"/>
      <c r="F28" s="121"/>
      <c r="G28" s="121"/>
      <c r="I28" s="119" t="s">
        <v>164</v>
      </c>
      <c r="J28" s="120">
        <v>0</v>
      </c>
      <c r="K28" s="120">
        <v>0</v>
      </c>
      <c r="L28" s="120"/>
      <c r="M28" s="121"/>
      <c r="N28" s="121"/>
      <c r="P28" s="119" t="s">
        <v>1451</v>
      </c>
      <c r="Q28" s="123">
        <v>330578310831</v>
      </c>
      <c r="R28" s="123">
        <v>286836077550</v>
      </c>
      <c r="S28" s="122">
        <v>324259583969</v>
      </c>
      <c r="T28" s="122">
        <v>447645051048</v>
      </c>
      <c r="Z28" s="1991"/>
      <c r="AA28" s="2004" t="s">
        <v>3618</v>
      </c>
      <c r="AB28" s="2005"/>
      <c r="AC28" s="2005"/>
      <c r="AD28" s="2005"/>
      <c r="AE28" s="2005"/>
      <c r="AF28" s="2005"/>
      <c r="AM28" s="1983" t="s">
        <v>1386</v>
      </c>
      <c r="AQ28" s="1984">
        <v>2358559515</v>
      </c>
      <c r="AR28" s="1984">
        <v>2432233998</v>
      </c>
      <c r="AS28" s="1984">
        <v>173347742</v>
      </c>
      <c r="AT28" s="1984">
        <v>53094551</v>
      </c>
      <c r="AU28" s="1984"/>
      <c r="AV28" s="1984">
        <f t="shared" si="1"/>
        <v>2359</v>
      </c>
      <c r="AW28" s="1984">
        <f t="shared" si="1"/>
        <v>2432</v>
      </c>
      <c r="AX28" s="1984">
        <f t="shared" si="1"/>
        <v>173</v>
      </c>
      <c r="AY28" s="1984">
        <f t="shared" si="1"/>
        <v>53</v>
      </c>
    </row>
    <row r="29" spans="2:51" ht="12" customHeight="1">
      <c r="B29" s="119" t="s">
        <v>103</v>
      </c>
      <c r="C29" s="123">
        <v>1542242570634</v>
      </c>
      <c r="D29" s="123">
        <v>1519748853845</v>
      </c>
      <c r="E29" s="123">
        <v>1229333228208</v>
      </c>
      <c r="F29" s="122">
        <v>1700130789994</v>
      </c>
      <c r="G29" s="122">
        <v>1600855445922</v>
      </c>
      <c r="I29" s="119" t="s">
        <v>165</v>
      </c>
      <c r="J29" s="123">
        <v>250309613187</v>
      </c>
      <c r="K29" s="123">
        <v>190694315504</v>
      </c>
      <c r="L29" s="123">
        <v>221309791368</v>
      </c>
      <c r="M29" s="122">
        <v>199250797663</v>
      </c>
      <c r="N29" s="122">
        <v>229290059319</v>
      </c>
      <c r="P29" s="119" t="s">
        <v>1452</v>
      </c>
      <c r="Q29" s="123">
        <v>40864780</v>
      </c>
      <c r="R29" s="123">
        <v>29770456</v>
      </c>
      <c r="S29" s="122">
        <v>-363379427</v>
      </c>
      <c r="T29" s="122">
        <v>761054481</v>
      </c>
      <c r="Z29" s="1991"/>
      <c r="AA29" s="5461" t="s">
        <v>1407</v>
      </c>
      <c r="AB29" s="5463" t="s">
        <v>3619</v>
      </c>
      <c r="AC29" s="2006" t="s">
        <v>3620</v>
      </c>
      <c r="AD29" s="2006" t="s">
        <v>3621</v>
      </c>
      <c r="AE29" s="5463" t="s">
        <v>660</v>
      </c>
      <c r="AF29" s="5465" t="s">
        <v>908</v>
      </c>
      <c r="AM29" s="1983" t="s">
        <v>1387</v>
      </c>
      <c r="AQ29" s="1984">
        <v>65400192</v>
      </c>
      <c r="AR29" s="1984">
        <v>59298835</v>
      </c>
      <c r="AS29" s="1984">
        <v>57832798</v>
      </c>
      <c r="AT29" s="1984">
        <v>51494988</v>
      </c>
      <c r="AU29" s="1984"/>
      <c r="AV29" s="1984">
        <f t="shared" si="1"/>
        <v>65</v>
      </c>
      <c r="AW29" s="1984">
        <f t="shared" si="1"/>
        <v>59</v>
      </c>
      <c r="AX29" s="1984">
        <f t="shared" si="1"/>
        <v>58</v>
      </c>
      <c r="AY29" s="1984">
        <f t="shared" si="1"/>
        <v>51</v>
      </c>
    </row>
    <row r="30" spans="2:51" ht="12" customHeight="1">
      <c r="B30" s="119" t="s">
        <v>104</v>
      </c>
      <c r="C30" s="123">
        <v>229213508122</v>
      </c>
      <c r="D30" s="123">
        <v>227196417336</v>
      </c>
      <c r="E30" s="123">
        <v>242010159363</v>
      </c>
      <c r="F30" s="122">
        <v>388902777783</v>
      </c>
      <c r="G30" s="122">
        <v>382165833411</v>
      </c>
      <c r="I30" s="119" t="s">
        <v>166</v>
      </c>
      <c r="J30" s="120" t="s">
        <v>125</v>
      </c>
      <c r="K30" s="120" t="s">
        <v>125</v>
      </c>
      <c r="L30" s="120" t="s">
        <v>125</v>
      </c>
      <c r="M30" s="121" t="s">
        <v>125</v>
      </c>
      <c r="N30" s="121" t="s">
        <v>1432</v>
      </c>
      <c r="P30" s="126" t="s">
        <v>1453</v>
      </c>
      <c r="Q30" s="128">
        <v>286836077550</v>
      </c>
      <c r="R30" s="128">
        <v>324259583969</v>
      </c>
      <c r="S30" s="127">
        <v>447645051048</v>
      </c>
      <c r="T30" s="127">
        <v>575561645857</v>
      </c>
      <c r="Z30" s="1991"/>
      <c r="AA30" s="5462"/>
      <c r="AB30" s="5464"/>
      <c r="AC30" s="2007" t="s">
        <v>3622</v>
      </c>
      <c r="AD30" s="2007" t="s">
        <v>660</v>
      </c>
      <c r="AE30" s="5464"/>
      <c r="AF30" s="5466"/>
      <c r="AM30" s="1983" t="s">
        <v>1388</v>
      </c>
      <c r="AQ30" s="1984">
        <v>3746720843</v>
      </c>
      <c r="AR30" s="1984">
        <v>3744633854</v>
      </c>
      <c r="AS30" s="1984">
        <v>3743521541</v>
      </c>
      <c r="AT30" s="1984">
        <v>2682691438</v>
      </c>
      <c r="AU30" s="1984"/>
      <c r="AV30" s="1984">
        <f t="shared" si="1"/>
        <v>3747</v>
      </c>
      <c r="AW30" s="1984">
        <f t="shared" si="1"/>
        <v>3745</v>
      </c>
      <c r="AX30" s="1984">
        <f t="shared" si="1"/>
        <v>3744</v>
      </c>
      <c r="AY30" s="1984">
        <f t="shared" si="1"/>
        <v>2683</v>
      </c>
    </row>
    <row r="31" spans="2:51" ht="12" customHeight="1">
      <c r="B31" s="119" t="s">
        <v>105</v>
      </c>
      <c r="C31" s="123">
        <v>1166520759803</v>
      </c>
      <c r="D31" s="123">
        <v>1164081491814</v>
      </c>
      <c r="E31" s="123">
        <v>840966093262</v>
      </c>
      <c r="F31" s="122">
        <v>1096892478104</v>
      </c>
      <c r="G31" s="122">
        <v>1057988138588</v>
      </c>
      <c r="I31" s="119" t="s">
        <v>167</v>
      </c>
      <c r="J31" s="120">
        <v>0</v>
      </c>
      <c r="K31" s="120">
        <v>0</v>
      </c>
      <c r="L31" s="120"/>
      <c r="M31" s="121"/>
      <c r="N31" s="121"/>
      <c r="Z31" s="1991"/>
      <c r="AA31" s="2008" t="s">
        <v>3623</v>
      </c>
      <c r="AB31" s="2009"/>
      <c r="AC31" s="2010"/>
      <c r="AD31" s="2010"/>
      <c r="AE31" s="2011"/>
      <c r="AF31" s="2012"/>
      <c r="AM31" s="1983" t="s">
        <v>1389</v>
      </c>
      <c r="AQ31" s="1984">
        <v>1382089667</v>
      </c>
      <c r="AR31" s="1984">
        <v>1311545524</v>
      </c>
      <c r="AS31" s="1984">
        <v>1218508397</v>
      </c>
      <c r="AT31" s="1984">
        <v>169628594</v>
      </c>
      <c r="AU31" s="1984"/>
      <c r="AV31" s="1984">
        <f t="shared" si="1"/>
        <v>1382</v>
      </c>
      <c r="AW31" s="1984">
        <f t="shared" si="1"/>
        <v>1312</v>
      </c>
      <c r="AX31" s="1984">
        <f t="shared" si="1"/>
        <v>1219</v>
      </c>
      <c r="AY31" s="1984">
        <f t="shared" si="1"/>
        <v>170</v>
      </c>
    </row>
    <row r="32" spans="2:51" ht="12" customHeight="1">
      <c r="B32" s="119" t="s">
        <v>106</v>
      </c>
      <c r="C32" s="123">
        <v>9576887736</v>
      </c>
      <c r="D32" s="123">
        <v>5536392195</v>
      </c>
      <c r="E32" s="123">
        <v>8715641314</v>
      </c>
      <c r="F32" s="122">
        <v>7104393506</v>
      </c>
      <c r="G32" s="122">
        <v>12441044275</v>
      </c>
      <c r="I32" s="126" t="s">
        <v>168</v>
      </c>
      <c r="J32" s="128">
        <v>4847</v>
      </c>
      <c r="K32" s="128">
        <v>3693</v>
      </c>
      <c r="L32" s="128">
        <v>4286</v>
      </c>
      <c r="M32" s="127">
        <v>3858</v>
      </c>
      <c r="N32" s="127">
        <v>4440</v>
      </c>
      <c r="Z32" s="1991"/>
      <c r="AA32" s="2008" t="s">
        <v>3624</v>
      </c>
      <c r="AB32" s="2009" t="s">
        <v>3625</v>
      </c>
      <c r="AC32" s="2010" t="s">
        <v>3626</v>
      </c>
      <c r="AD32" s="2010" t="s">
        <v>3627</v>
      </c>
      <c r="AE32" s="2013">
        <v>9100</v>
      </c>
      <c r="AF32" s="2014">
        <v>12547</v>
      </c>
      <c r="AM32" s="1983" t="s">
        <v>1390</v>
      </c>
      <c r="AQ32" s="1984">
        <v>357559571</v>
      </c>
      <c r="AR32" s="1984">
        <v>332077922</v>
      </c>
      <c r="AS32" s="1984">
        <v>317722769</v>
      </c>
      <c r="AT32" s="1984">
        <v>222293919</v>
      </c>
      <c r="AU32" s="1984"/>
      <c r="AV32" s="1984">
        <f t="shared" si="1"/>
        <v>358</v>
      </c>
      <c r="AW32" s="1984">
        <f t="shared" si="1"/>
        <v>332</v>
      </c>
      <c r="AX32" s="1984">
        <f t="shared" si="1"/>
        <v>318</v>
      </c>
      <c r="AY32" s="1984">
        <f t="shared" si="1"/>
        <v>222</v>
      </c>
    </row>
    <row r="33" spans="2:51" ht="12" customHeight="1">
      <c r="B33" s="119" t="s">
        <v>107</v>
      </c>
      <c r="C33" s="123">
        <v>72600141965</v>
      </c>
      <c r="D33" s="123">
        <v>68565352008</v>
      </c>
      <c r="E33" s="123">
        <v>74524911610</v>
      </c>
      <c r="F33" s="122">
        <v>118359268702</v>
      </c>
      <c r="G33" s="122">
        <v>90572218607</v>
      </c>
      <c r="P33" s="4635" t="s">
        <v>1407</v>
      </c>
      <c r="Q33" s="4636">
        <v>2021</v>
      </c>
      <c r="R33" s="4637">
        <v>2020</v>
      </c>
      <c r="Z33" s="1991"/>
      <c r="AA33" s="2008" t="s">
        <v>3628</v>
      </c>
      <c r="AB33" s="2009" t="s">
        <v>3629</v>
      </c>
      <c r="AC33" s="2010" t="s">
        <v>3630</v>
      </c>
      <c r="AD33" s="2010" t="s">
        <v>3631</v>
      </c>
      <c r="AE33" s="2013">
        <v>1087792</v>
      </c>
      <c r="AF33" s="2014">
        <v>828419</v>
      </c>
      <c r="AM33" s="1985" t="s">
        <v>1391</v>
      </c>
      <c r="AQ33" s="1984">
        <v>22434217433</v>
      </c>
      <c r="AR33" s="1984">
        <v>22999174721</v>
      </c>
      <c r="AS33" s="1984">
        <v>22022029552</v>
      </c>
      <c r="AT33" s="1984">
        <v>16248873027</v>
      </c>
      <c r="AU33" s="1984"/>
      <c r="AV33" s="1984">
        <f t="shared" si="1"/>
        <v>22434</v>
      </c>
      <c r="AW33" s="1984">
        <f t="shared" si="1"/>
        <v>22999</v>
      </c>
      <c r="AX33" s="1984">
        <f t="shared" si="1"/>
        <v>22022</v>
      </c>
      <c r="AY33" s="1984">
        <f t="shared" si="1"/>
        <v>16249</v>
      </c>
    </row>
    <row r="34" spans="2:51" ht="12" customHeight="1">
      <c r="B34" s="119" t="s">
        <v>108</v>
      </c>
      <c r="C34" s="123">
        <v>54402625768</v>
      </c>
      <c r="D34" s="123">
        <v>43839888498</v>
      </c>
      <c r="E34" s="123">
        <v>52255727321</v>
      </c>
      <c r="F34" s="122">
        <v>50643872482</v>
      </c>
      <c r="G34" s="122">
        <v>47873317534</v>
      </c>
      <c r="P34" s="4638" t="s">
        <v>2290</v>
      </c>
      <c r="Q34" s="4642">
        <v>303907</v>
      </c>
      <c r="R34" s="4640" t="s">
        <v>10924</v>
      </c>
      <c r="Z34" s="1991"/>
      <c r="AA34" s="5467" t="s">
        <v>3632</v>
      </c>
      <c r="AB34" s="5468"/>
      <c r="AC34" s="5468"/>
      <c r="AD34" s="5469"/>
      <c r="AE34" s="2013">
        <v>1096892</v>
      </c>
      <c r="AF34" s="2014">
        <v>840966</v>
      </c>
      <c r="AM34" s="1983" t="s">
        <v>1392</v>
      </c>
      <c r="AQ34" s="1984">
        <v>1068007681</v>
      </c>
      <c r="AR34" s="1984">
        <v>1086606152</v>
      </c>
      <c r="AS34" s="1984">
        <v>971800234</v>
      </c>
      <c r="AT34" s="1984">
        <v>700727906</v>
      </c>
      <c r="AU34" s="1984"/>
      <c r="AV34" s="1984">
        <f t="shared" si="1"/>
        <v>1068</v>
      </c>
      <c r="AW34" s="1984">
        <f t="shared" si="1"/>
        <v>1087</v>
      </c>
      <c r="AX34" s="1984">
        <f t="shared" si="1"/>
        <v>972</v>
      </c>
      <c r="AY34" s="1984">
        <f t="shared" si="1"/>
        <v>701</v>
      </c>
    </row>
    <row r="35" spans="2:51" ht="12" customHeight="1">
      <c r="B35" s="119" t="s">
        <v>109</v>
      </c>
      <c r="C35" s="123">
        <v>1212689510</v>
      </c>
      <c r="D35" s="123">
        <v>2307088918</v>
      </c>
      <c r="E35" s="123">
        <v>1278692889</v>
      </c>
      <c r="F35" s="122">
        <v>1880161988</v>
      </c>
      <c r="G35" s="122">
        <v>92474967</v>
      </c>
      <c r="P35" s="4638" t="s">
        <v>10925</v>
      </c>
      <c r="Q35" s="4642">
        <v>80350</v>
      </c>
      <c r="R35" s="4640" t="s">
        <v>10926</v>
      </c>
      <c r="Z35" s="1991"/>
      <c r="AA35" s="5458" t="s">
        <v>3633</v>
      </c>
      <c r="AB35" s="5459"/>
      <c r="AC35" s="5459"/>
      <c r="AD35" s="5460"/>
      <c r="AE35" s="2015">
        <v>1096892</v>
      </c>
      <c r="AF35" s="2016">
        <v>840966</v>
      </c>
      <c r="AM35" s="1983" t="s">
        <v>2507</v>
      </c>
      <c r="AQ35" s="1984">
        <v>368964286</v>
      </c>
      <c r="AR35" s="1984">
        <v>442804062</v>
      </c>
      <c r="AS35" s="1984">
        <v>485489225</v>
      </c>
      <c r="AT35" s="1984">
        <v>289259318</v>
      </c>
      <c r="AU35" s="1984"/>
      <c r="AV35" s="1984">
        <f t="shared" si="1"/>
        <v>369</v>
      </c>
      <c r="AW35" s="1984">
        <f t="shared" si="1"/>
        <v>443</v>
      </c>
      <c r="AX35" s="1984">
        <f t="shared" si="1"/>
        <v>485</v>
      </c>
      <c r="AY35" s="1984">
        <f t="shared" si="1"/>
        <v>289</v>
      </c>
    </row>
    <row r="36" spans="2:51" ht="12" customHeight="1">
      <c r="B36" s="119" t="s">
        <v>110</v>
      </c>
      <c r="C36" s="123">
        <v>0</v>
      </c>
      <c r="D36" s="123">
        <v>0</v>
      </c>
      <c r="E36" s="123">
        <v>1787247550</v>
      </c>
      <c r="F36" s="122">
        <v>1667823913</v>
      </c>
      <c r="G36" s="122">
        <v>1740241978</v>
      </c>
      <c r="P36" s="4638" t="s">
        <v>10927</v>
      </c>
      <c r="Q36" s="4642">
        <v>4841</v>
      </c>
      <c r="R36" s="4640" t="s">
        <v>10928</v>
      </c>
      <c r="Z36" s="1991"/>
      <c r="AA36" s="2017"/>
      <c r="AB36" s="2005"/>
      <c r="AC36" s="2005"/>
      <c r="AD36" s="2005"/>
      <c r="AE36" s="2005"/>
      <c r="AF36" s="2005"/>
      <c r="AM36" s="1983" t="s">
        <v>1394</v>
      </c>
      <c r="AQ36" s="1984">
        <v>780223969</v>
      </c>
      <c r="AR36" s="1984">
        <v>681242963</v>
      </c>
      <c r="AS36" s="1984">
        <v>696401572</v>
      </c>
      <c r="AT36" s="1984">
        <v>446897561</v>
      </c>
      <c r="AU36" s="1984"/>
      <c r="AV36" s="1984">
        <f t="shared" si="1"/>
        <v>780</v>
      </c>
      <c r="AW36" s="1984">
        <f t="shared" si="1"/>
        <v>681</v>
      </c>
      <c r="AX36" s="1984">
        <f t="shared" si="1"/>
        <v>696</v>
      </c>
      <c r="AY36" s="1984">
        <f t="shared" si="1"/>
        <v>447</v>
      </c>
    </row>
    <row r="37" spans="2:51" ht="12" customHeight="1">
      <c r="B37" s="119" t="s">
        <v>111</v>
      </c>
      <c r="C37" s="123">
        <v>8715957730</v>
      </c>
      <c r="D37" s="123">
        <v>8222223076</v>
      </c>
      <c r="E37" s="123">
        <v>7794754899</v>
      </c>
      <c r="F37" s="122">
        <v>34680013516</v>
      </c>
      <c r="G37" s="122">
        <v>7982176562</v>
      </c>
      <c r="I37" s="2054" t="s">
        <v>3757</v>
      </c>
      <c r="J37" s="2055"/>
      <c r="K37" s="2055"/>
      <c r="P37" s="4638" t="s">
        <v>10929</v>
      </c>
      <c r="Q37" s="4642">
        <v>-2350</v>
      </c>
      <c r="R37" s="4644">
        <v>-2464</v>
      </c>
      <c r="Z37" s="1991"/>
      <c r="AA37" s="114" t="s">
        <v>3634</v>
      </c>
      <c r="AM37" s="1983" t="s">
        <v>1395</v>
      </c>
      <c r="AQ37" s="1984">
        <v>343379347</v>
      </c>
      <c r="AR37" s="1984">
        <v>360403111</v>
      </c>
      <c r="AS37" s="1984">
        <v>342499197</v>
      </c>
      <c r="AT37" s="1984">
        <v>189881864</v>
      </c>
      <c r="AU37" s="1984"/>
      <c r="AV37" s="1984">
        <f t="shared" si="1"/>
        <v>343</v>
      </c>
      <c r="AW37" s="1984">
        <f t="shared" si="1"/>
        <v>360</v>
      </c>
      <c r="AX37" s="1984">
        <f t="shared" si="1"/>
        <v>342</v>
      </c>
      <c r="AY37" s="1984">
        <f t="shared" si="1"/>
        <v>190</v>
      </c>
    </row>
    <row r="38" spans="2:51" ht="12" customHeight="1">
      <c r="B38" s="119" t="s">
        <v>112</v>
      </c>
      <c r="C38" s="123">
        <v>86185721765</v>
      </c>
      <c r="D38" s="123">
        <v>27001904280</v>
      </c>
      <c r="E38" s="123">
        <v>10767058179</v>
      </c>
      <c r="F38" s="122">
        <v>12926026776</v>
      </c>
      <c r="G38" s="122">
        <v>10705609360</v>
      </c>
      <c r="I38" s="2056" t="s">
        <v>1406</v>
      </c>
      <c r="J38" s="2055"/>
      <c r="K38" s="2055"/>
      <c r="P38" s="4638" t="s">
        <v>10930</v>
      </c>
      <c r="Q38" s="4642">
        <v>76579</v>
      </c>
      <c r="R38" s="4640" t="s">
        <v>10931</v>
      </c>
      <c r="S38" s="516"/>
      <c r="Z38" s="1991"/>
      <c r="AA38" s="2018" t="s">
        <v>1407</v>
      </c>
      <c r="AB38" s="2019" t="s">
        <v>660</v>
      </c>
      <c r="AC38" s="2020" t="s">
        <v>908</v>
      </c>
      <c r="AM38" s="1983" t="s">
        <v>1396</v>
      </c>
      <c r="AQ38" s="1984">
        <v>23709120</v>
      </c>
      <c r="AR38" s="1984">
        <v>14988642</v>
      </c>
      <c r="AS38" s="1984">
        <v>36895215</v>
      </c>
      <c r="AT38" s="1984">
        <v>30108787</v>
      </c>
      <c r="AU38" s="1984"/>
      <c r="AV38" s="1984">
        <f t="shared" si="1"/>
        <v>24</v>
      </c>
      <c r="AW38" s="1984">
        <f t="shared" si="1"/>
        <v>15</v>
      </c>
      <c r="AX38" s="1984">
        <f t="shared" si="1"/>
        <v>37</v>
      </c>
      <c r="AY38" s="1984">
        <f t="shared" si="1"/>
        <v>30</v>
      </c>
    </row>
    <row r="39" spans="2:51" ht="12" customHeight="1">
      <c r="B39" s="119" t="s">
        <v>137</v>
      </c>
      <c r="C39" s="123">
        <v>71829681593</v>
      </c>
      <c r="D39" s="123">
        <v>14129666766</v>
      </c>
      <c r="E39" s="123">
        <v>0</v>
      </c>
      <c r="F39" s="122">
        <v>0</v>
      </c>
      <c r="G39" s="122">
        <v>1400000000</v>
      </c>
      <c r="I39" s="2057" t="s">
        <v>1407</v>
      </c>
      <c r="J39" s="2058">
        <v>2020</v>
      </c>
      <c r="K39" s="2059">
        <v>2019</v>
      </c>
      <c r="L39" s="4636">
        <v>2021</v>
      </c>
      <c r="P39" s="4638" t="s">
        <v>10932</v>
      </c>
      <c r="Q39" s="4642">
        <v>3628</v>
      </c>
      <c r="R39" s="4640" t="s">
        <v>10933</v>
      </c>
      <c r="Z39" s="1991"/>
      <c r="AA39" s="2021" t="s">
        <v>3635</v>
      </c>
      <c r="AB39" s="2022"/>
      <c r="AC39" s="2023"/>
      <c r="AM39" s="1983" t="s">
        <v>1397</v>
      </c>
      <c r="AQ39" s="1984">
        <v>10176868680</v>
      </c>
      <c r="AR39" s="1984">
        <v>9557464114</v>
      </c>
      <c r="AS39" s="1984">
        <v>8697115426</v>
      </c>
      <c r="AT39" s="1984">
        <v>6377956318</v>
      </c>
      <c r="AU39" s="1984"/>
      <c r="AV39" s="1984">
        <f t="shared" si="1"/>
        <v>10177</v>
      </c>
      <c r="AW39" s="1984">
        <f t="shared" si="1"/>
        <v>9557</v>
      </c>
      <c r="AX39" s="1984">
        <f t="shared" si="1"/>
        <v>8697</v>
      </c>
      <c r="AY39" s="1984">
        <f t="shared" si="1"/>
        <v>6378</v>
      </c>
    </row>
    <row r="40" spans="2:51" ht="12" customHeight="1">
      <c r="B40" s="119" t="s">
        <v>106</v>
      </c>
      <c r="C40" s="120">
        <v>0</v>
      </c>
      <c r="D40" s="120">
        <v>0</v>
      </c>
      <c r="E40" s="120" t="s">
        <v>125</v>
      </c>
      <c r="F40" s="122">
        <v>329963200</v>
      </c>
      <c r="G40" s="122">
        <v>0</v>
      </c>
      <c r="I40" s="2060" t="s">
        <v>3758</v>
      </c>
      <c r="J40" s="2075">
        <v>17241</v>
      </c>
      <c r="K40" s="2076">
        <v>22154</v>
      </c>
      <c r="L40" s="4642">
        <v>12861</v>
      </c>
      <c r="P40" s="4638" t="s">
        <v>10934</v>
      </c>
      <c r="Q40" s="4642">
        <v>2541</v>
      </c>
      <c r="R40" s="4640" t="s">
        <v>1569</v>
      </c>
      <c r="Z40" s="1991"/>
      <c r="AA40" s="2021" t="s">
        <v>3636</v>
      </c>
      <c r="AB40" s="2022" t="s">
        <v>2627</v>
      </c>
      <c r="AC40" s="2023">
        <v>350</v>
      </c>
      <c r="AM40" s="1983" t="s">
        <v>1398</v>
      </c>
      <c r="AQ40" s="1984">
        <v>930604518</v>
      </c>
      <c r="AR40" s="1984">
        <v>875734629</v>
      </c>
      <c r="AS40" s="1984">
        <v>894873023</v>
      </c>
      <c r="AT40" s="1984">
        <v>658329695</v>
      </c>
      <c r="AU40" s="1984"/>
      <c r="AV40" s="1984">
        <f t="shared" si="1"/>
        <v>931</v>
      </c>
      <c r="AW40" s="1984">
        <f t="shared" si="1"/>
        <v>876</v>
      </c>
      <c r="AX40" s="1984">
        <f t="shared" si="1"/>
        <v>895</v>
      </c>
      <c r="AY40" s="1984">
        <f t="shared" si="1"/>
        <v>658</v>
      </c>
    </row>
    <row r="41" spans="2:51" ht="12" customHeight="1">
      <c r="B41" s="119" t="s">
        <v>107</v>
      </c>
      <c r="C41" s="123">
        <v>909965413</v>
      </c>
      <c r="D41" s="123">
        <v>3653144879</v>
      </c>
      <c r="E41" s="123">
        <v>1969497731</v>
      </c>
      <c r="F41" s="122">
        <v>6714112850</v>
      </c>
      <c r="G41" s="122">
        <v>4007243188</v>
      </c>
      <c r="I41" s="2060" t="s">
        <v>3759</v>
      </c>
      <c r="J41" s="2061">
        <v>319</v>
      </c>
      <c r="K41" s="2062" t="s">
        <v>125</v>
      </c>
      <c r="L41" s="4639">
        <v>1</v>
      </c>
      <c r="P41" s="4638" t="s">
        <v>10935</v>
      </c>
      <c r="Q41" s="4639" t="s">
        <v>1432</v>
      </c>
      <c r="R41" s="4640" t="s">
        <v>10936</v>
      </c>
      <c r="S41" s="516"/>
      <c r="Z41" s="1991"/>
      <c r="AA41" s="2021" t="s">
        <v>3637</v>
      </c>
      <c r="AB41" s="2024">
        <v>129318</v>
      </c>
      <c r="AC41" s="2025">
        <v>117998</v>
      </c>
      <c r="AM41" s="1983" t="s">
        <v>1399</v>
      </c>
      <c r="AQ41" s="1984">
        <v>18357337</v>
      </c>
      <c r="AR41" s="1984">
        <v>35817597</v>
      </c>
      <c r="AS41" s="1984">
        <v>6206763</v>
      </c>
      <c r="AT41" s="1984">
        <v>11258625</v>
      </c>
      <c r="AU41" s="1984"/>
      <c r="AV41" s="1984">
        <f t="shared" si="1"/>
        <v>18</v>
      </c>
      <c r="AW41" s="1984">
        <f t="shared" si="1"/>
        <v>36</v>
      </c>
      <c r="AX41" s="1984">
        <f t="shared" si="1"/>
        <v>6</v>
      </c>
      <c r="AY41" s="1984">
        <f t="shared" si="1"/>
        <v>11</v>
      </c>
    </row>
    <row r="42" spans="2:51" ht="12" customHeight="1">
      <c r="B42" s="119" t="s">
        <v>113</v>
      </c>
      <c r="C42" s="123">
        <v>8704295526</v>
      </c>
      <c r="D42" s="123">
        <v>5909365901</v>
      </c>
      <c r="E42" s="123">
        <v>3292875678</v>
      </c>
      <c r="F42" s="122">
        <v>2297950211</v>
      </c>
      <c r="G42" s="122">
        <v>2936995438</v>
      </c>
      <c r="I42" s="2060" t="s">
        <v>246</v>
      </c>
      <c r="J42" s="2061">
        <v>66</v>
      </c>
      <c r="K42" s="2062">
        <v>55</v>
      </c>
      <c r="L42" s="4639">
        <v>59</v>
      </c>
      <c r="P42" s="4638" t="s">
        <v>10937</v>
      </c>
      <c r="Q42" s="4642">
        <v>7412</v>
      </c>
      <c r="R42" s="4640" t="s">
        <v>10938</v>
      </c>
      <c r="S42" s="516"/>
      <c r="Z42" s="1991"/>
      <c r="AA42" s="2021" t="s">
        <v>3638</v>
      </c>
      <c r="AB42" s="2022">
        <v>620</v>
      </c>
      <c r="AC42" s="2023">
        <v>522</v>
      </c>
      <c r="AM42" s="1983" t="s">
        <v>1400</v>
      </c>
      <c r="AQ42" s="1984">
        <v>32502739</v>
      </c>
      <c r="AR42" s="1984">
        <v>0</v>
      </c>
      <c r="AS42" s="1984">
        <v>0</v>
      </c>
      <c r="AT42" s="1984">
        <v>0</v>
      </c>
      <c r="AU42" s="1984"/>
      <c r="AV42" s="1984">
        <f t="shared" si="1"/>
        <v>33</v>
      </c>
      <c r="AW42" s="1984">
        <f t="shared" si="1"/>
        <v>0</v>
      </c>
      <c r="AX42" s="1984">
        <f t="shared" si="1"/>
        <v>0</v>
      </c>
      <c r="AY42" s="1984">
        <f t="shared" si="1"/>
        <v>0</v>
      </c>
    </row>
    <row r="43" spans="2:51" ht="12" customHeight="1">
      <c r="B43" s="119" t="s">
        <v>114</v>
      </c>
      <c r="C43" s="123">
        <v>827615614</v>
      </c>
      <c r="D43" s="123">
        <v>372412431</v>
      </c>
      <c r="E43" s="123">
        <v>305274263</v>
      </c>
      <c r="F43" s="122">
        <v>603219526</v>
      </c>
      <c r="G43" s="122">
        <v>700587794</v>
      </c>
      <c r="I43" s="2063" t="s">
        <v>1413</v>
      </c>
      <c r="J43" s="2077">
        <v>17626</v>
      </c>
      <c r="K43" s="2078">
        <v>22209</v>
      </c>
      <c r="L43" s="4643">
        <v>12921</v>
      </c>
      <c r="P43" s="4638" t="s">
        <v>10939</v>
      </c>
      <c r="Q43" s="4642">
        <v>1192</v>
      </c>
      <c r="R43" s="4644">
        <v>-4106</v>
      </c>
      <c r="S43" s="516"/>
      <c r="Z43" s="1991"/>
      <c r="AA43" s="2021" t="s">
        <v>3639</v>
      </c>
      <c r="AB43" s="2022">
        <v>327</v>
      </c>
      <c r="AC43" s="2023">
        <v>392</v>
      </c>
      <c r="AM43" s="1983" t="s">
        <v>1401</v>
      </c>
      <c r="AQ43" s="1984">
        <v>158485891</v>
      </c>
      <c r="AR43" s="1984">
        <v>583061499</v>
      </c>
      <c r="AS43" s="1984">
        <v>733170535</v>
      </c>
      <c r="AT43" s="1984">
        <v>625976360</v>
      </c>
      <c r="AU43" s="1984"/>
      <c r="AV43" s="1984">
        <f t="shared" si="1"/>
        <v>158</v>
      </c>
      <c r="AW43" s="1984">
        <f t="shared" si="1"/>
        <v>583</v>
      </c>
      <c r="AX43" s="1984">
        <f t="shared" si="1"/>
        <v>733</v>
      </c>
      <c r="AY43" s="1984">
        <f t="shared" si="1"/>
        <v>626</v>
      </c>
    </row>
    <row r="44" spans="2:51" ht="12" customHeight="1">
      <c r="B44" s="119" t="s">
        <v>109</v>
      </c>
      <c r="C44" s="123">
        <v>3887122024</v>
      </c>
      <c r="D44" s="123">
        <v>2937314303</v>
      </c>
      <c r="E44" s="123">
        <v>952832618</v>
      </c>
      <c r="F44" s="121" t="s">
        <v>125</v>
      </c>
      <c r="G44" s="121">
        <v>0</v>
      </c>
      <c r="I44" s="2055"/>
      <c r="J44" s="2055"/>
      <c r="K44" s="2055"/>
      <c r="P44" s="4638" t="s">
        <v>10940</v>
      </c>
      <c r="Q44" s="4642">
        <v>4977</v>
      </c>
      <c r="R44" s="4640" t="s">
        <v>10941</v>
      </c>
      <c r="Z44" s="1991"/>
      <c r="AA44" s="2026" t="s">
        <v>1413</v>
      </c>
      <c r="AB44" s="2024">
        <v>130265</v>
      </c>
      <c r="AC44" s="2025">
        <v>119262</v>
      </c>
      <c r="AM44" s="1983" t="s">
        <v>1402</v>
      </c>
      <c r="AQ44" s="1984">
        <v>322592371</v>
      </c>
      <c r="AR44" s="1984">
        <v>257719315</v>
      </c>
      <c r="AS44" s="1984">
        <v>228982434</v>
      </c>
      <c r="AT44" s="1984">
        <v>136280766</v>
      </c>
      <c r="AU44" s="1984"/>
      <c r="AV44" s="1984">
        <f t="shared" si="1"/>
        <v>323</v>
      </c>
      <c r="AW44" s="1984">
        <f t="shared" si="1"/>
        <v>258</v>
      </c>
      <c r="AX44" s="1984">
        <f t="shared" si="1"/>
        <v>229</v>
      </c>
      <c r="AY44" s="1984">
        <f t="shared" si="1"/>
        <v>136</v>
      </c>
    </row>
    <row r="45" spans="2:51" ht="12" customHeight="1">
      <c r="B45" s="119" t="s">
        <v>110</v>
      </c>
      <c r="C45" s="123">
        <v>0</v>
      </c>
      <c r="D45" s="123">
        <v>0</v>
      </c>
      <c r="E45" s="123">
        <v>4222343910</v>
      </c>
      <c r="F45" s="122">
        <v>2977496589</v>
      </c>
      <c r="G45" s="122">
        <v>1617364002</v>
      </c>
      <c r="I45" s="2054" t="s">
        <v>3760</v>
      </c>
      <c r="J45" s="2055"/>
      <c r="K45" s="2055"/>
      <c r="P45" s="4638" t="s">
        <v>10942</v>
      </c>
      <c r="Q45" s="4642">
        <v>-12862</v>
      </c>
      <c r="R45" s="4644">
        <v>-17241</v>
      </c>
      <c r="Z45" s="1991"/>
      <c r="AA45" s="2021" t="s">
        <v>3640</v>
      </c>
      <c r="AB45" s="2022"/>
      <c r="AC45" s="2023"/>
      <c r="AM45" s="1983" t="s">
        <v>1403</v>
      </c>
      <c r="AQ45" s="1984">
        <v>1185148533</v>
      </c>
      <c r="AR45" s="1984">
        <v>1269147486</v>
      </c>
      <c r="AS45" s="1984">
        <v>1350969508</v>
      </c>
      <c r="AT45" s="1984">
        <v>930332615</v>
      </c>
      <c r="AU45" s="1984"/>
      <c r="AV45" s="1984">
        <f t="shared" si="1"/>
        <v>1185</v>
      </c>
      <c r="AW45" s="1984">
        <f t="shared" si="1"/>
        <v>1269</v>
      </c>
      <c r="AX45" s="1984">
        <f t="shared" si="1"/>
        <v>1351</v>
      </c>
      <c r="AY45" s="1984">
        <f t="shared" si="1"/>
        <v>930</v>
      </c>
    </row>
    <row r="46" spans="2:51" ht="12" customHeight="1">
      <c r="B46" s="119" t="s">
        <v>111</v>
      </c>
      <c r="C46" s="123">
        <v>27041595</v>
      </c>
      <c r="D46" s="123" t="s">
        <v>125</v>
      </c>
      <c r="E46" s="123">
        <v>24233979</v>
      </c>
      <c r="F46" s="122">
        <v>3284400</v>
      </c>
      <c r="G46" s="122">
        <v>43418938</v>
      </c>
      <c r="I46" s="2064"/>
      <c r="J46" s="2055"/>
      <c r="K46" s="2055"/>
      <c r="P46" s="4638" t="s">
        <v>10943</v>
      </c>
      <c r="Q46" s="4639">
        <v>-263</v>
      </c>
      <c r="R46" s="4640">
        <v>-29</v>
      </c>
      <c r="Z46" s="1991"/>
      <c r="AA46" s="2021" t="s">
        <v>3641</v>
      </c>
      <c r="AB46" s="2024">
        <v>42887</v>
      </c>
      <c r="AC46" s="2025">
        <v>45638</v>
      </c>
      <c r="AM46" s="1983" t="s">
        <v>1404</v>
      </c>
      <c r="AQ46" s="1984">
        <v>-16146840</v>
      </c>
      <c r="AR46" s="1984">
        <v>-1154021</v>
      </c>
      <c r="AS46" s="1984">
        <v>0</v>
      </c>
      <c r="AT46" s="1984">
        <v>0</v>
      </c>
      <c r="AU46" s="1984"/>
      <c r="AV46" s="1984">
        <f t="shared" si="1"/>
        <v>-16</v>
      </c>
      <c r="AW46" s="1984">
        <f t="shared" si="1"/>
        <v>-1</v>
      </c>
      <c r="AX46" s="1984">
        <f t="shared" si="1"/>
        <v>0</v>
      </c>
      <c r="AY46" s="1984">
        <f t="shared" si="1"/>
        <v>0</v>
      </c>
    </row>
    <row r="47" spans="2:51" ht="12" customHeight="1">
      <c r="B47" s="124" t="s">
        <v>115</v>
      </c>
      <c r="C47" s="123">
        <v>1628428292399</v>
      </c>
      <c r="D47" s="123">
        <v>1546750758125</v>
      </c>
      <c r="E47" s="123">
        <v>1240100286387</v>
      </c>
      <c r="F47" s="122">
        <v>1713056816770</v>
      </c>
      <c r="G47" s="122">
        <v>1611561055282</v>
      </c>
      <c r="I47" s="2056" t="s">
        <v>1406</v>
      </c>
      <c r="J47" s="2055"/>
      <c r="K47" s="2055"/>
      <c r="P47" s="4638" t="s">
        <v>10944</v>
      </c>
      <c r="Q47" s="4642">
        <v>-5481</v>
      </c>
      <c r="R47" s="4644">
        <v>-3577</v>
      </c>
      <c r="Z47" s="1991"/>
      <c r="AA47" s="2021" t="s">
        <v>3642</v>
      </c>
      <c r="AB47" s="2024">
        <v>12022</v>
      </c>
      <c r="AC47" s="2025">
        <v>11041</v>
      </c>
      <c r="AM47" s="1983" t="s">
        <v>2515</v>
      </c>
      <c r="AQ47" s="1984">
        <v>28013810</v>
      </c>
      <c r="AR47" s="1984">
        <v>23265800</v>
      </c>
      <c r="AS47" s="1984">
        <v>25622200</v>
      </c>
      <c r="AT47" s="1984">
        <v>35796300</v>
      </c>
      <c r="AU47" s="1984"/>
      <c r="AV47" s="1984">
        <f t="shared" si="1"/>
        <v>28</v>
      </c>
      <c r="AW47" s="1984">
        <f t="shared" si="1"/>
        <v>23</v>
      </c>
      <c r="AX47" s="1984">
        <f t="shared" si="1"/>
        <v>26</v>
      </c>
      <c r="AY47" s="1984">
        <f t="shared" si="1"/>
        <v>36</v>
      </c>
    </row>
    <row r="48" spans="2:51" ht="12" customHeight="1">
      <c r="B48" s="119" t="s">
        <v>116</v>
      </c>
      <c r="C48" s="120"/>
      <c r="D48" s="120"/>
      <c r="E48" s="120"/>
      <c r="F48" s="121"/>
      <c r="G48" s="121"/>
      <c r="I48" s="2057" t="s">
        <v>1407</v>
      </c>
      <c r="J48" s="2058">
        <v>2020</v>
      </c>
      <c r="K48" s="2059">
        <v>2019</v>
      </c>
      <c r="L48" s="2059">
        <v>2021</v>
      </c>
      <c r="P48" s="4645" t="s">
        <v>10945</v>
      </c>
      <c r="Q48" s="4639">
        <v>-15</v>
      </c>
      <c r="R48" s="4640" t="s">
        <v>10946</v>
      </c>
      <c r="S48" s="516"/>
      <c r="Z48" s="1991"/>
      <c r="AA48" s="2021" t="s">
        <v>3643</v>
      </c>
      <c r="AB48" s="2022" t="s">
        <v>2627</v>
      </c>
      <c r="AC48" s="2025">
        <v>106339</v>
      </c>
      <c r="AL48" s="1983" t="s">
        <v>2516</v>
      </c>
      <c r="AQ48" s="1984">
        <v>209727192766</v>
      </c>
      <c r="AR48" s="1984">
        <v>268181602148</v>
      </c>
      <c r="AS48" s="1984">
        <v>315437228882</v>
      </c>
      <c r="AT48" s="1984">
        <v>191702730812</v>
      </c>
      <c r="AU48" s="1984"/>
      <c r="AV48" s="1984">
        <f t="shared" si="1"/>
        <v>209727</v>
      </c>
      <c r="AW48" s="1984">
        <f t="shared" si="1"/>
        <v>268182</v>
      </c>
      <c r="AX48" s="1984">
        <f t="shared" si="1"/>
        <v>315437</v>
      </c>
      <c r="AY48" s="1984">
        <f t="shared" si="1"/>
        <v>191703</v>
      </c>
    </row>
    <row r="49" spans="2:51" ht="12" customHeight="1">
      <c r="B49" s="119" t="s">
        <v>117</v>
      </c>
      <c r="C49" s="123">
        <v>1904434725624</v>
      </c>
      <c r="D49" s="123">
        <v>1993626803906</v>
      </c>
      <c r="E49" s="123">
        <v>2101478429311</v>
      </c>
      <c r="F49" s="122">
        <v>2196251932678</v>
      </c>
      <c r="G49" s="122">
        <v>2294401182089</v>
      </c>
      <c r="I49" s="2065" t="s">
        <v>2584</v>
      </c>
      <c r="J49" s="2075">
        <v>12141</v>
      </c>
      <c r="K49" s="2076">
        <v>25669</v>
      </c>
      <c r="L49" s="2076">
        <v>4842</v>
      </c>
      <c r="P49" s="4645" t="s">
        <v>10947</v>
      </c>
      <c r="Q49" s="4639">
        <v>201</v>
      </c>
      <c r="R49" s="4646" t="s">
        <v>1432</v>
      </c>
      <c r="S49" s="516"/>
      <c r="Z49" s="1991"/>
      <c r="AA49" s="2027" t="s">
        <v>1413</v>
      </c>
      <c r="AB49" s="2028">
        <v>54909</v>
      </c>
      <c r="AC49" s="2029">
        <v>163018</v>
      </c>
      <c r="AL49" s="1983" t="s">
        <v>223</v>
      </c>
      <c r="AQ49" s="1984">
        <v>130961422324</v>
      </c>
      <c r="AR49" s="1984">
        <v>71504697789</v>
      </c>
      <c r="AS49" s="1984">
        <v>71936876441</v>
      </c>
      <c r="AT49" s="1984">
        <v>74934047119</v>
      </c>
      <c r="AU49" s="1984"/>
      <c r="AV49" s="1984">
        <f t="shared" si="1"/>
        <v>130961</v>
      </c>
      <c r="AW49" s="1984">
        <f t="shared" si="1"/>
        <v>71505</v>
      </c>
      <c r="AX49" s="1984">
        <f t="shared" si="1"/>
        <v>71937</v>
      </c>
      <c r="AY49" s="1984">
        <f t="shared" si="1"/>
        <v>74934</v>
      </c>
    </row>
    <row r="50" spans="2:51" ht="12" customHeight="1">
      <c r="B50" s="119" t="s">
        <v>118</v>
      </c>
      <c r="C50" s="123">
        <v>258204000000</v>
      </c>
      <c r="D50" s="123">
        <v>258204000000</v>
      </c>
      <c r="E50" s="123">
        <v>258204000000</v>
      </c>
      <c r="F50" s="122">
        <v>258204000000</v>
      </c>
      <c r="G50" s="122">
        <v>258204000000</v>
      </c>
      <c r="I50" s="2065" t="s">
        <v>3761</v>
      </c>
      <c r="J50" s="2075">
        <v>1090</v>
      </c>
      <c r="K50" s="2062">
        <v>899</v>
      </c>
      <c r="L50" s="2062">
        <v>635</v>
      </c>
      <c r="P50" s="4645" t="s">
        <v>10948</v>
      </c>
      <c r="Q50" s="4639">
        <v>-50</v>
      </c>
      <c r="R50" s="4640" t="s">
        <v>10949</v>
      </c>
      <c r="S50" s="516"/>
      <c r="AM50" s="1983" t="s">
        <v>2517</v>
      </c>
      <c r="AQ50" s="1984">
        <v>1730000</v>
      </c>
      <c r="AR50" s="1984">
        <v>13810000</v>
      </c>
      <c r="AS50" s="1984">
        <v>5080000</v>
      </c>
      <c r="AT50" s="1984">
        <v>5400000</v>
      </c>
      <c r="AU50" s="1984"/>
      <c r="AV50" s="1984">
        <f t="shared" si="1"/>
        <v>2</v>
      </c>
      <c r="AW50" s="1984">
        <f t="shared" si="1"/>
        <v>14</v>
      </c>
      <c r="AX50" s="1984">
        <f t="shared" si="1"/>
        <v>5</v>
      </c>
      <c r="AY50" s="1984">
        <f t="shared" si="1"/>
        <v>5</v>
      </c>
    </row>
    <row r="51" spans="2:51" ht="12" customHeight="1">
      <c r="B51" s="119" t="s">
        <v>119</v>
      </c>
      <c r="C51" s="123">
        <v>-793367416</v>
      </c>
      <c r="D51" s="123">
        <v>-793367416</v>
      </c>
      <c r="E51" s="123">
        <v>-793367416</v>
      </c>
      <c r="F51" s="122">
        <v>-795337416</v>
      </c>
      <c r="G51" s="122">
        <v>-795337416</v>
      </c>
      <c r="I51" s="2066" t="s">
        <v>1413</v>
      </c>
      <c r="J51" s="2077">
        <v>13231</v>
      </c>
      <c r="K51" s="2078">
        <v>26568</v>
      </c>
      <c r="L51" s="2078">
        <f>SUM(L49:L50)</f>
        <v>5477</v>
      </c>
      <c r="P51" s="4645" t="s">
        <v>10950</v>
      </c>
      <c r="Q51" s="4642">
        <v>-63752</v>
      </c>
      <c r="R51" s="4644">
        <v>-282585</v>
      </c>
      <c r="S51" s="516"/>
      <c r="AM51" s="1983" t="s">
        <v>2519</v>
      </c>
      <c r="AQ51" s="1984">
        <v>88498876814</v>
      </c>
      <c r="AR51" s="1984">
        <v>37100906325</v>
      </c>
      <c r="AS51" s="1984">
        <v>46982007079</v>
      </c>
      <c r="AT51" s="1984">
        <v>52000373750</v>
      </c>
      <c r="AU51" s="1984"/>
      <c r="AV51" s="1984">
        <f t="shared" si="1"/>
        <v>88499</v>
      </c>
      <c r="AW51" s="1984">
        <f t="shared" si="1"/>
        <v>37101</v>
      </c>
      <c r="AX51" s="1984">
        <f t="shared" si="1"/>
        <v>46982</v>
      </c>
      <c r="AY51" s="1984">
        <f t="shared" si="1"/>
        <v>52000</v>
      </c>
    </row>
    <row r="52" spans="2:51" ht="12" customHeight="1">
      <c r="B52" s="119" t="s">
        <v>120</v>
      </c>
      <c r="C52" s="123">
        <v>12093035546</v>
      </c>
      <c r="D52" s="123">
        <v>-667944028</v>
      </c>
      <c r="E52" s="123">
        <v>-7919174536</v>
      </c>
      <c r="F52" s="122">
        <v>-6699436559</v>
      </c>
      <c r="G52" s="122">
        <v>-17544763312</v>
      </c>
      <c r="P52" s="4645" t="s">
        <v>10951</v>
      </c>
      <c r="Q52" s="4642">
        <v>177148</v>
      </c>
      <c r="R52" s="4644">
        <v>-87829</v>
      </c>
      <c r="S52" s="516"/>
      <c r="AA52" s="3766" t="s">
        <v>6444</v>
      </c>
      <c r="AB52" s="1"/>
      <c r="AC52" s="1"/>
      <c r="AD52" s="1"/>
      <c r="AE52" s="1"/>
      <c r="AF52" s="1"/>
      <c r="AM52" s="1983" t="s">
        <v>2520</v>
      </c>
      <c r="AQ52" s="1984">
        <v>12149072046</v>
      </c>
      <c r="AR52" s="1984">
        <v>2346385741</v>
      </c>
      <c r="AS52" s="1984">
        <v>4600111552</v>
      </c>
      <c r="AT52" s="1984">
        <v>8329314397</v>
      </c>
      <c r="AU52" s="1984"/>
      <c r="AV52" s="1984">
        <f t="shared" si="1"/>
        <v>12149</v>
      </c>
      <c r="AW52" s="1984">
        <f t="shared" si="1"/>
        <v>2346</v>
      </c>
      <c r="AX52" s="1984">
        <f t="shared" si="1"/>
        <v>4600</v>
      </c>
      <c r="AY52" s="1984">
        <f t="shared" si="1"/>
        <v>8329</v>
      </c>
    </row>
    <row r="53" spans="2:51" ht="12" customHeight="1">
      <c r="B53" s="119" t="s">
        <v>121</v>
      </c>
      <c r="C53" s="123">
        <v>1634931057494</v>
      </c>
      <c r="D53" s="123">
        <v>1736884115350</v>
      </c>
      <c r="E53" s="123">
        <v>1851986971263</v>
      </c>
      <c r="F53" s="122">
        <v>1945542706653</v>
      </c>
      <c r="G53" s="122">
        <v>2054537282817</v>
      </c>
      <c r="I53" s="517" t="s">
        <v>3762</v>
      </c>
      <c r="P53" s="4645" t="s">
        <v>10952</v>
      </c>
      <c r="Q53" s="4642">
        <v>-132839</v>
      </c>
      <c r="R53" s="4644">
        <v>-412414</v>
      </c>
      <c r="AA53" s="3761" t="s">
        <v>6445</v>
      </c>
      <c r="AB53" s="3767" t="s">
        <v>1406</v>
      </c>
      <c r="AC53" s="1"/>
      <c r="AD53" s="1"/>
      <c r="AE53" s="1"/>
      <c r="AF53" s="1"/>
      <c r="AM53" s="1983" t="s">
        <v>2521</v>
      </c>
      <c r="AQ53" s="1984">
        <v>41427260</v>
      </c>
      <c r="AR53" s="1984">
        <v>25969259</v>
      </c>
      <c r="AS53" s="1984">
        <v>162350177</v>
      </c>
      <c r="AT53" s="1984">
        <v>26929506</v>
      </c>
      <c r="AU53" s="1984"/>
      <c r="AV53" s="1984">
        <f t="shared" si="1"/>
        <v>41</v>
      </c>
      <c r="AW53" s="1984">
        <f t="shared" si="1"/>
        <v>26</v>
      </c>
      <c r="AX53" s="1984">
        <f t="shared" si="1"/>
        <v>162</v>
      </c>
      <c r="AY53" s="1984">
        <f t="shared" si="1"/>
        <v>27</v>
      </c>
    </row>
    <row r="54" spans="2:51" ht="12" customHeight="1">
      <c r="B54" s="119" t="s">
        <v>122</v>
      </c>
      <c r="C54" s="123">
        <v>10711</v>
      </c>
      <c r="D54" s="123">
        <v>10711</v>
      </c>
      <c r="E54" s="120" t="s">
        <v>125</v>
      </c>
      <c r="F54" s="121" t="s">
        <v>125</v>
      </c>
      <c r="G54" s="121">
        <v>0</v>
      </c>
      <c r="I54" s="536"/>
      <c r="P54" s="4645" t="s">
        <v>10953</v>
      </c>
      <c r="Q54" s="4642">
        <v>9717</v>
      </c>
      <c r="R54" s="4640">
        <v>-82</v>
      </c>
      <c r="AA54" s="3744" t="s">
        <v>3240</v>
      </c>
      <c r="AB54" s="3745" t="s">
        <v>6446</v>
      </c>
      <c r="AC54" s="3745" t="s">
        <v>6447</v>
      </c>
      <c r="AD54" s="3745" t="s">
        <v>149</v>
      </c>
      <c r="AE54" s="3745" t="s">
        <v>6448</v>
      </c>
      <c r="AF54" s="3746" t="s">
        <v>6449</v>
      </c>
      <c r="AM54" s="1983" t="s">
        <v>2522</v>
      </c>
      <c r="AQ54" s="1984">
        <v>0</v>
      </c>
      <c r="AR54" s="1984">
        <v>15215229589</v>
      </c>
      <c r="AS54" s="1984">
        <v>0</v>
      </c>
      <c r="AT54" s="1984">
        <v>0</v>
      </c>
      <c r="AU54" s="1984"/>
      <c r="AV54" s="1984">
        <f t="shared" si="1"/>
        <v>0</v>
      </c>
      <c r="AW54" s="1984">
        <f t="shared" si="1"/>
        <v>15215</v>
      </c>
      <c r="AX54" s="1984">
        <f t="shared" si="1"/>
        <v>0</v>
      </c>
      <c r="AY54" s="1984">
        <f t="shared" si="1"/>
        <v>0</v>
      </c>
    </row>
    <row r="55" spans="2:51" ht="12" customHeight="1">
      <c r="B55" s="124" t="s">
        <v>123</v>
      </c>
      <c r="C55" s="123">
        <v>1904434736335</v>
      </c>
      <c r="D55" s="123">
        <v>1993626814617</v>
      </c>
      <c r="E55" s="123">
        <v>2101478429311</v>
      </c>
      <c r="F55" s="122">
        <v>2196251932678</v>
      </c>
      <c r="G55" s="122">
        <v>2294401182089</v>
      </c>
      <c r="I55" s="517" t="s">
        <v>3757</v>
      </c>
      <c r="P55" s="4645" t="s">
        <v>10954</v>
      </c>
      <c r="Q55" s="4642">
        <v>4233</v>
      </c>
      <c r="R55" s="4640" t="s">
        <v>10955</v>
      </c>
      <c r="S55" s="516"/>
      <c r="AA55" s="3759" t="s">
        <v>1946</v>
      </c>
      <c r="AB55" s="3768">
        <v>1095123</v>
      </c>
      <c r="AC55" s="3770">
        <v>-60282</v>
      </c>
      <c r="AD55" s="3768">
        <v>85163</v>
      </c>
      <c r="AE55" s="3768">
        <v>-3820</v>
      </c>
      <c r="AF55" s="3769">
        <v>1116184</v>
      </c>
      <c r="AM55" s="1986" t="s">
        <v>2527</v>
      </c>
      <c r="AN55" s="1919"/>
      <c r="AO55" s="1919"/>
      <c r="AP55" s="1919"/>
      <c r="AQ55" s="1987">
        <v>4813159883</v>
      </c>
      <c r="AR55" s="1987">
        <v>1963127237</v>
      </c>
      <c r="AS55" s="1987">
        <v>3190506706</v>
      </c>
      <c r="AT55" s="1987">
        <v>5432173937</v>
      </c>
      <c r="AU55" s="1987"/>
      <c r="AV55" s="1987">
        <f t="shared" ref="AV55:AY75" si="3">ROUND(AQ55/10^6,)</f>
        <v>4813</v>
      </c>
      <c r="AW55" s="1987">
        <f t="shared" si="3"/>
        <v>1963</v>
      </c>
      <c r="AX55" s="1987">
        <f t="shared" si="3"/>
        <v>3191</v>
      </c>
      <c r="AY55" s="1987">
        <f t="shared" si="3"/>
        <v>5432</v>
      </c>
    </row>
    <row r="56" spans="2:51" ht="12" customHeight="1">
      <c r="B56" s="129" t="s">
        <v>124</v>
      </c>
      <c r="C56" s="128">
        <v>3532863028734</v>
      </c>
      <c r="D56" s="128">
        <v>3540377572742</v>
      </c>
      <c r="E56" s="128">
        <v>3341578715698</v>
      </c>
      <c r="F56" s="127">
        <v>3909308749448</v>
      </c>
      <c r="G56" s="127">
        <v>3905962237371</v>
      </c>
      <c r="I56" s="2067" t="s">
        <v>1406</v>
      </c>
      <c r="P56" s="4645" t="s">
        <v>10956</v>
      </c>
      <c r="Q56" s="4642">
        <v>-17659</v>
      </c>
      <c r="R56" s="4640" t="s">
        <v>10957</v>
      </c>
      <c r="AM56" s="1986" t="s">
        <v>2528</v>
      </c>
      <c r="AN56" s="1919"/>
      <c r="AO56" s="1919"/>
      <c r="AP56" s="1919"/>
      <c r="AQ56" s="1987">
        <v>19531967319</v>
      </c>
      <c r="AR56" s="1987">
        <v>6909268779</v>
      </c>
      <c r="AS56" s="1987">
        <v>10134415277</v>
      </c>
      <c r="AT56" s="1987">
        <v>4601135633</v>
      </c>
      <c r="AU56" s="1987"/>
      <c r="AV56" s="1987">
        <f t="shared" si="3"/>
        <v>19532</v>
      </c>
      <c r="AW56" s="1987">
        <f t="shared" si="3"/>
        <v>6909</v>
      </c>
      <c r="AX56" s="1987">
        <f t="shared" si="3"/>
        <v>10134</v>
      </c>
      <c r="AY56" s="1987">
        <f t="shared" si="3"/>
        <v>4601</v>
      </c>
    </row>
    <row r="57" spans="2:51" ht="15" customHeight="1">
      <c r="B57" s="130"/>
      <c r="I57" s="518" t="s">
        <v>1407</v>
      </c>
      <c r="J57" s="519">
        <v>2019</v>
      </c>
      <c r="K57" s="520">
        <v>2018</v>
      </c>
      <c r="P57" s="4645" t="s">
        <v>2327</v>
      </c>
      <c r="Q57" s="4642">
        <v>-8292</v>
      </c>
      <c r="R57" s="4640" t="s">
        <v>10958</v>
      </c>
      <c r="S57" s="516"/>
      <c r="AA57" s="5473" t="s">
        <v>1407</v>
      </c>
      <c r="AB57" s="5475" t="s">
        <v>3619</v>
      </c>
      <c r="AC57" s="4624" t="s">
        <v>3620</v>
      </c>
      <c r="AD57" s="4624" t="s">
        <v>3621</v>
      </c>
      <c r="AE57" s="5475" t="s">
        <v>10908</v>
      </c>
      <c r="AF57" s="5477" t="s">
        <v>660</v>
      </c>
      <c r="AM57" s="1983" t="s">
        <v>223</v>
      </c>
      <c r="AQ57" s="1984">
        <v>5925189002</v>
      </c>
      <c r="AR57" s="1984">
        <v>7930000859</v>
      </c>
      <c r="AS57" s="1984">
        <v>6862405650</v>
      </c>
      <c r="AT57" s="1984">
        <v>4538719896</v>
      </c>
      <c r="AU57" s="1984"/>
      <c r="AV57" s="1984">
        <f t="shared" si="3"/>
        <v>5925</v>
      </c>
      <c r="AW57" s="1984">
        <f t="shared" si="3"/>
        <v>7930</v>
      </c>
      <c r="AX57" s="1984">
        <f t="shared" si="3"/>
        <v>6862</v>
      </c>
      <c r="AY57" s="1984">
        <f t="shared" si="3"/>
        <v>4539</v>
      </c>
    </row>
    <row r="58" spans="2:51" ht="12" customHeight="1">
      <c r="I58" s="2068" t="s">
        <v>3758</v>
      </c>
      <c r="J58" s="2079">
        <v>22154</v>
      </c>
      <c r="K58" s="2080">
        <v>24242</v>
      </c>
      <c r="P58" s="4645" t="s">
        <v>10959</v>
      </c>
      <c r="Q58" s="4642">
        <v>-47117</v>
      </c>
      <c r="R58" s="4640" t="s">
        <v>10960</v>
      </c>
      <c r="S58" s="516"/>
      <c r="AA58" s="5474"/>
      <c r="AB58" s="5476"/>
      <c r="AC58" s="4625" t="s">
        <v>3622</v>
      </c>
      <c r="AD58" s="4625" t="s">
        <v>660</v>
      </c>
      <c r="AE58" s="5476"/>
      <c r="AF58" s="5478"/>
      <c r="AL58" s="1983" t="s">
        <v>231</v>
      </c>
      <c r="AQ58" s="1984">
        <v>68673499959</v>
      </c>
      <c r="AR58" s="1984">
        <v>81909436232</v>
      </c>
      <c r="AS58" s="1984">
        <v>98332913789</v>
      </c>
      <c r="AT58" s="1984">
        <v>75358203122</v>
      </c>
      <c r="AU58" s="1984"/>
      <c r="AV58" s="1984">
        <f t="shared" si="3"/>
        <v>68673</v>
      </c>
      <c r="AW58" s="1984">
        <f t="shared" si="3"/>
        <v>81909</v>
      </c>
      <c r="AX58" s="1984">
        <f t="shared" si="3"/>
        <v>98333</v>
      </c>
      <c r="AY58" s="1984">
        <f t="shared" si="3"/>
        <v>75358</v>
      </c>
    </row>
    <row r="59" spans="2:51" ht="12" customHeight="1">
      <c r="I59" s="2068" t="s">
        <v>246</v>
      </c>
      <c r="J59" s="2069">
        <v>55</v>
      </c>
      <c r="K59" s="2070">
        <v>4</v>
      </c>
      <c r="P59" s="4645" t="s">
        <v>10961</v>
      </c>
      <c r="Q59" s="4639">
        <v>-95</v>
      </c>
      <c r="R59" s="4640" t="s">
        <v>10962</v>
      </c>
      <c r="S59" s="516"/>
      <c r="AA59" s="4626" t="s">
        <v>3623</v>
      </c>
      <c r="AB59" s="4627"/>
      <c r="AC59" s="4628"/>
      <c r="AD59" s="4628"/>
      <c r="AE59" s="4629"/>
      <c r="AF59" s="4630"/>
      <c r="AM59" s="1983" t="s">
        <v>2532</v>
      </c>
      <c r="AQ59" s="1984">
        <v>43797277060</v>
      </c>
      <c r="AR59" s="1984">
        <v>57067634878</v>
      </c>
      <c r="AS59" s="1984">
        <v>62575744947</v>
      </c>
      <c r="AT59" s="1984">
        <v>56331377904</v>
      </c>
      <c r="AU59" s="1984"/>
      <c r="AV59" s="1984">
        <f t="shared" si="3"/>
        <v>43797</v>
      </c>
      <c r="AW59" s="1984">
        <f t="shared" si="3"/>
        <v>57068</v>
      </c>
      <c r="AX59" s="1984">
        <f t="shared" si="3"/>
        <v>62576</v>
      </c>
      <c r="AY59" s="1984">
        <f t="shared" si="3"/>
        <v>56331</v>
      </c>
    </row>
    <row r="60" spans="2:51" ht="12" customHeight="1">
      <c r="I60" s="2071" t="s">
        <v>1413</v>
      </c>
      <c r="J60" s="2072">
        <v>22209</v>
      </c>
      <c r="K60" s="2081">
        <v>24246</v>
      </c>
      <c r="P60" s="4645" t="s">
        <v>10963</v>
      </c>
      <c r="Q60" s="4642">
        <v>-31800</v>
      </c>
      <c r="R60" s="4640" t="s">
        <v>10964</v>
      </c>
      <c r="S60" s="516"/>
      <c r="AA60" s="4626" t="s">
        <v>3628</v>
      </c>
      <c r="AB60" s="4627" t="s">
        <v>3629</v>
      </c>
      <c r="AC60" s="4628" t="s">
        <v>10909</v>
      </c>
      <c r="AD60" s="4628" t="s">
        <v>10910</v>
      </c>
      <c r="AE60" s="4631">
        <v>1045513</v>
      </c>
      <c r="AF60" s="4630" t="s">
        <v>10911</v>
      </c>
      <c r="AM60" s="1983" t="s">
        <v>2533</v>
      </c>
      <c r="AQ60" s="1984">
        <v>2857465999</v>
      </c>
      <c r="AR60" s="1984">
        <v>576557801</v>
      </c>
      <c r="AS60" s="1984">
        <v>1136954690</v>
      </c>
      <c r="AT60" s="1984">
        <v>2317995322</v>
      </c>
      <c r="AU60" s="1984"/>
      <c r="AV60" s="1984">
        <f t="shared" si="3"/>
        <v>2857</v>
      </c>
      <c r="AW60" s="1984">
        <f t="shared" si="3"/>
        <v>577</v>
      </c>
      <c r="AX60" s="1984">
        <f t="shared" si="3"/>
        <v>1137</v>
      </c>
      <c r="AY60" s="1984">
        <f t="shared" si="3"/>
        <v>2318</v>
      </c>
    </row>
    <row r="61" spans="2:51" ht="12" customHeight="1">
      <c r="P61" s="4645" t="s">
        <v>10965</v>
      </c>
      <c r="Q61" s="4642">
        <v>-16955</v>
      </c>
      <c r="R61" s="4644">
        <v>-9283</v>
      </c>
      <c r="AA61" s="4626" t="s">
        <v>10912</v>
      </c>
      <c r="AB61" s="4627" t="s">
        <v>10913</v>
      </c>
      <c r="AC61" s="4628" t="s">
        <v>10914</v>
      </c>
      <c r="AD61" s="4628" t="s">
        <v>10915</v>
      </c>
      <c r="AE61" s="4629" t="s">
        <v>10916</v>
      </c>
      <c r="AF61" s="4630" t="s">
        <v>10917</v>
      </c>
      <c r="AM61" s="1983" t="s">
        <v>2534</v>
      </c>
      <c r="AQ61" s="1984">
        <v>10750014658</v>
      </c>
      <c r="AR61" s="1984">
        <v>5827489384</v>
      </c>
      <c r="AS61" s="1984">
        <v>6397489233</v>
      </c>
      <c r="AT61" s="1984">
        <v>2988298756</v>
      </c>
      <c r="AU61" s="1984"/>
      <c r="AV61" s="1984">
        <f t="shared" si="3"/>
        <v>10750</v>
      </c>
      <c r="AW61" s="1984">
        <f t="shared" si="3"/>
        <v>5827</v>
      </c>
      <c r="AX61" s="1984">
        <f t="shared" si="3"/>
        <v>6397</v>
      </c>
      <c r="AY61" s="1984">
        <f t="shared" si="3"/>
        <v>2988</v>
      </c>
    </row>
    <row r="62" spans="2:51" ht="12" customHeight="1">
      <c r="I62" s="517" t="s">
        <v>3760</v>
      </c>
      <c r="P62" s="4645" t="s">
        <v>10966</v>
      </c>
      <c r="Q62" s="4639">
        <v>-93</v>
      </c>
      <c r="R62" s="4640">
        <v>-827</v>
      </c>
      <c r="AA62" s="4626" t="s">
        <v>10918</v>
      </c>
      <c r="AB62" s="4627"/>
      <c r="AC62" s="4628"/>
      <c r="AD62" s="4628"/>
      <c r="AE62" s="4629"/>
      <c r="AF62" s="4630"/>
      <c r="AM62" s="1983" t="s">
        <v>2536</v>
      </c>
      <c r="AQ62" s="1984">
        <v>277957994</v>
      </c>
      <c r="AR62" s="1984">
        <v>17847931</v>
      </c>
      <c r="AS62" s="1984">
        <v>2371652168</v>
      </c>
      <c r="AT62" s="1984">
        <v>-30</v>
      </c>
      <c r="AU62" s="1984"/>
      <c r="AV62" s="1984">
        <f t="shared" si="3"/>
        <v>278</v>
      </c>
      <c r="AW62" s="1984">
        <f t="shared" si="3"/>
        <v>18</v>
      </c>
      <c r="AX62" s="1984">
        <f t="shared" si="3"/>
        <v>2372</v>
      </c>
      <c r="AY62" s="1984">
        <f t="shared" si="3"/>
        <v>0</v>
      </c>
    </row>
    <row r="63" spans="2:51" ht="12" customHeight="1">
      <c r="I63" s="538"/>
      <c r="P63" s="4647" t="s">
        <v>2364</v>
      </c>
      <c r="Q63" s="4643">
        <v>320505</v>
      </c>
      <c r="R63" s="4641" t="s">
        <v>10967</v>
      </c>
      <c r="S63" s="516"/>
      <c r="AA63" s="4626" t="s">
        <v>10912</v>
      </c>
      <c r="AB63" s="4627" t="s">
        <v>10919</v>
      </c>
      <c r="AC63" s="4632">
        <v>46922</v>
      </c>
      <c r="AD63" s="4628" t="s">
        <v>10920</v>
      </c>
      <c r="AE63" s="4629" t="s">
        <v>10921</v>
      </c>
      <c r="AF63" s="4630" t="s">
        <v>1432</v>
      </c>
      <c r="AM63" s="1983" t="s">
        <v>2537</v>
      </c>
      <c r="AQ63" s="1984">
        <v>8540883</v>
      </c>
      <c r="AR63" s="1984">
        <v>0</v>
      </c>
      <c r="AS63" s="1984">
        <v>0</v>
      </c>
      <c r="AT63" s="1984">
        <v>0</v>
      </c>
      <c r="AU63" s="1984"/>
      <c r="AV63" s="1984">
        <f t="shared" si="3"/>
        <v>9</v>
      </c>
      <c r="AW63" s="1984">
        <f t="shared" si="3"/>
        <v>0</v>
      </c>
      <c r="AX63" s="1984">
        <f t="shared" si="3"/>
        <v>0</v>
      </c>
      <c r="AY63" s="1984">
        <f t="shared" si="3"/>
        <v>0</v>
      </c>
    </row>
    <row r="64" spans="2:51" ht="13.5" customHeight="1">
      <c r="B64" s="115" t="e">
        <f>AE61+AE63-G19/10^6-G21/10^6</f>
        <v>#VALUE!</v>
      </c>
      <c r="I64" s="2067" t="s">
        <v>1406</v>
      </c>
      <c r="AA64" s="5479" t="s">
        <v>3632</v>
      </c>
      <c r="AB64" s="5480"/>
      <c r="AC64" s="5480"/>
      <c r="AD64" s="5481"/>
      <c r="AE64" s="4629" t="s">
        <v>10922</v>
      </c>
      <c r="AF64" s="4630" t="s">
        <v>10923</v>
      </c>
      <c r="AM64" s="1983" t="s">
        <v>2539</v>
      </c>
      <c r="AQ64" s="1984">
        <v>13947520</v>
      </c>
      <c r="AR64" s="1984">
        <v>23574694</v>
      </c>
      <c r="AS64" s="1984">
        <v>0</v>
      </c>
      <c r="AT64" s="1984">
        <v>0</v>
      </c>
      <c r="AU64" s="1984"/>
      <c r="AV64" s="1984">
        <f t="shared" si="3"/>
        <v>14</v>
      </c>
      <c r="AW64" s="1984">
        <f t="shared" si="3"/>
        <v>24</v>
      </c>
      <c r="AX64" s="1984">
        <f t="shared" si="3"/>
        <v>0</v>
      </c>
      <c r="AY64" s="1984">
        <f t="shared" si="3"/>
        <v>0</v>
      </c>
    </row>
    <row r="65" spans="9:51" ht="13.5" customHeight="1">
      <c r="I65" s="518" t="s">
        <v>1407</v>
      </c>
      <c r="J65" s="519">
        <v>2019</v>
      </c>
      <c r="K65" s="520">
        <v>2018</v>
      </c>
      <c r="AA65" s="5470" t="s">
        <v>3633</v>
      </c>
      <c r="AB65" s="5471"/>
      <c r="AC65" s="5471"/>
      <c r="AD65" s="5472"/>
      <c r="AE65" s="4633" t="s">
        <v>10922</v>
      </c>
      <c r="AF65" s="4634" t="s">
        <v>10923</v>
      </c>
      <c r="AM65" s="1983" t="s">
        <v>2540</v>
      </c>
      <c r="AQ65" s="1984">
        <v>0</v>
      </c>
      <c r="AR65" s="1984">
        <v>51673641</v>
      </c>
      <c r="AS65" s="1984">
        <v>0</v>
      </c>
      <c r="AT65" s="1984">
        <v>59604154</v>
      </c>
      <c r="AU65" s="1984"/>
      <c r="AV65" s="1984">
        <f t="shared" si="3"/>
        <v>0</v>
      </c>
      <c r="AW65" s="1984">
        <f t="shared" si="3"/>
        <v>52</v>
      </c>
      <c r="AX65" s="1984">
        <f t="shared" si="3"/>
        <v>0</v>
      </c>
      <c r="AY65" s="1984">
        <f t="shared" si="3"/>
        <v>60</v>
      </c>
    </row>
    <row r="66" spans="9:51" ht="12" customHeight="1">
      <c r="I66" s="2073" t="s">
        <v>2584</v>
      </c>
      <c r="J66" s="2079">
        <v>25669</v>
      </c>
      <c r="K66" s="2080">
        <v>26280</v>
      </c>
      <c r="AM66" s="1983" t="s">
        <v>2543</v>
      </c>
      <c r="AQ66" s="1984">
        <v>0</v>
      </c>
      <c r="AR66" s="1984">
        <v>0</v>
      </c>
      <c r="AS66" s="1984">
        <v>3593852</v>
      </c>
      <c r="AT66" s="1984">
        <v>0</v>
      </c>
      <c r="AU66" s="1984"/>
      <c r="AV66" s="1984">
        <f t="shared" si="3"/>
        <v>0</v>
      </c>
      <c r="AW66" s="1984">
        <f t="shared" si="3"/>
        <v>0</v>
      </c>
      <c r="AX66" s="1984">
        <f t="shared" si="3"/>
        <v>4</v>
      </c>
      <c r="AY66" s="1984">
        <f t="shared" si="3"/>
        <v>0</v>
      </c>
    </row>
    <row r="67" spans="9:51" ht="12" customHeight="1">
      <c r="I67" s="2073" t="s">
        <v>3761</v>
      </c>
      <c r="J67" s="2069">
        <v>899</v>
      </c>
      <c r="K67" s="2080">
        <v>2759</v>
      </c>
      <c r="AM67" s="1986" t="s">
        <v>2546</v>
      </c>
      <c r="AN67" s="1919"/>
      <c r="AO67" s="1919"/>
      <c r="AP67" s="1919"/>
      <c r="AQ67" s="1987">
        <v>2616926335</v>
      </c>
      <c r="AR67" s="1987">
        <v>1998257729</v>
      </c>
      <c r="AS67" s="1987">
        <v>2397969225</v>
      </c>
      <c r="AT67" s="1987">
        <v>4136659863</v>
      </c>
      <c r="AU67" s="1987"/>
      <c r="AV67" s="1987">
        <f t="shared" si="3"/>
        <v>2617</v>
      </c>
      <c r="AW67" s="1987">
        <f t="shared" si="3"/>
        <v>1998</v>
      </c>
      <c r="AX67" s="1987">
        <f t="shared" si="3"/>
        <v>2398</v>
      </c>
      <c r="AY67" s="1987">
        <f t="shared" si="3"/>
        <v>4137</v>
      </c>
    </row>
    <row r="68" spans="9:51" ht="12" customHeight="1">
      <c r="I68" s="2073" t="s">
        <v>246</v>
      </c>
      <c r="J68" s="2069" t="s">
        <v>125</v>
      </c>
      <c r="K68" s="2070">
        <v>4</v>
      </c>
      <c r="AM68" s="1986" t="s">
        <v>2547</v>
      </c>
      <c r="AN68" s="1919"/>
      <c r="AO68" s="1919"/>
      <c r="AP68" s="1919"/>
      <c r="AQ68" s="1987">
        <v>7935456624</v>
      </c>
      <c r="AR68" s="1987">
        <v>14842921817</v>
      </c>
      <c r="AS68" s="1987">
        <v>22681163380</v>
      </c>
      <c r="AT68" s="1987">
        <v>9168757799</v>
      </c>
      <c r="AU68" s="1987"/>
      <c r="AV68" s="1987">
        <f t="shared" si="3"/>
        <v>7935</v>
      </c>
      <c r="AW68" s="1987">
        <f t="shared" si="3"/>
        <v>14843</v>
      </c>
      <c r="AX68" s="1987">
        <f t="shared" si="3"/>
        <v>22681</v>
      </c>
      <c r="AY68" s="1987">
        <f t="shared" si="3"/>
        <v>9169</v>
      </c>
    </row>
    <row r="69" spans="9:51" ht="12" customHeight="1">
      <c r="I69" s="2074" t="s">
        <v>1413</v>
      </c>
      <c r="J69" s="2072">
        <v>26568</v>
      </c>
      <c r="K69" s="2081">
        <v>29043</v>
      </c>
      <c r="AM69" s="1983" t="s">
        <v>2548</v>
      </c>
      <c r="AQ69" s="1984">
        <v>0</v>
      </c>
      <c r="AR69" s="1984">
        <v>38743973</v>
      </c>
      <c r="AS69" s="1984">
        <v>-14000000</v>
      </c>
      <c r="AT69" s="1984">
        <v>0</v>
      </c>
      <c r="AU69" s="1984"/>
      <c r="AV69" s="1984">
        <f t="shared" si="3"/>
        <v>0</v>
      </c>
      <c r="AW69" s="1984">
        <f t="shared" si="3"/>
        <v>39</v>
      </c>
      <c r="AX69" s="1984">
        <f t="shared" si="3"/>
        <v>-14</v>
      </c>
      <c r="AY69" s="1984">
        <f t="shared" si="3"/>
        <v>0</v>
      </c>
    </row>
    <row r="70" spans="9:51" ht="12" customHeight="1">
      <c r="AM70" s="1983" t="s">
        <v>231</v>
      </c>
      <c r="AQ70" s="1984">
        <v>415912886</v>
      </c>
      <c r="AR70" s="1984">
        <v>1464734384</v>
      </c>
      <c r="AS70" s="1984">
        <v>782346294</v>
      </c>
      <c r="AT70" s="1984">
        <v>355509354</v>
      </c>
      <c r="AU70" s="1984"/>
      <c r="AV70" s="1984">
        <f t="shared" si="3"/>
        <v>416</v>
      </c>
      <c r="AW70" s="1984">
        <f t="shared" si="3"/>
        <v>1465</v>
      </c>
      <c r="AX70" s="1984">
        <f t="shared" si="3"/>
        <v>782</v>
      </c>
      <c r="AY70" s="1984">
        <f t="shared" si="3"/>
        <v>356</v>
      </c>
    </row>
    <row r="71" spans="9:51" ht="12" customHeight="1">
      <c r="AL71" s="1983" t="s">
        <v>2552</v>
      </c>
      <c r="AQ71" s="1984">
        <v>272015115131</v>
      </c>
      <c r="AR71" s="1984">
        <v>257776863705</v>
      </c>
      <c r="AS71" s="1984">
        <v>289041191534</v>
      </c>
      <c r="AT71" s="1984">
        <v>191278574809</v>
      </c>
      <c r="AU71" s="1984"/>
      <c r="AV71" s="1984">
        <f t="shared" si="3"/>
        <v>272015</v>
      </c>
      <c r="AW71" s="1984">
        <f t="shared" si="3"/>
        <v>257777</v>
      </c>
      <c r="AX71" s="1984">
        <f t="shared" si="3"/>
        <v>289041</v>
      </c>
      <c r="AY71" s="1984">
        <f t="shared" si="3"/>
        <v>191279</v>
      </c>
    </row>
    <row r="72" spans="9:51" ht="12" customHeight="1">
      <c r="AL72" s="1983" t="s">
        <v>2553</v>
      </c>
      <c r="AQ72" s="1984">
        <v>110490554752</v>
      </c>
      <c r="AR72" s="1984">
        <v>45347823661</v>
      </c>
      <c r="AS72" s="1984">
        <v>41493484590</v>
      </c>
      <c r="AT72" s="1984">
        <v>24097953389</v>
      </c>
      <c r="AU72" s="1984"/>
      <c r="AV72" s="1984">
        <f t="shared" si="3"/>
        <v>110491</v>
      </c>
      <c r="AW72" s="1984">
        <f t="shared" si="3"/>
        <v>45348</v>
      </c>
      <c r="AX72" s="1984">
        <f t="shared" si="3"/>
        <v>41493</v>
      </c>
      <c r="AY72" s="1984">
        <f t="shared" si="3"/>
        <v>24098</v>
      </c>
    </row>
    <row r="73" spans="9:51" ht="12" customHeight="1">
      <c r="AL73" s="1983" t="s">
        <v>147</v>
      </c>
      <c r="AQ73" s="1984">
        <v>62246639717</v>
      </c>
      <c r="AR73" s="1984">
        <v>24246065566</v>
      </c>
      <c r="AS73" s="1984">
        <v>22208719902</v>
      </c>
      <c r="AT73" s="1984">
        <v>14064365067</v>
      </c>
      <c r="AU73" s="1984"/>
      <c r="AV73" s="1984">
        <f t="shared" si="3"/>
        <v>62247</v>
      </c>
      <c r="AW73" s="1984">
        <f t="shared" si="3"/>
        <v>24246</v>
      </c>
      <c r="AX73" s="1984">
        <f t="shared" si="3"/>
        <v>22209</v>
      </c>
      <c r="AY73" s="1984">
        <f t="shared" si="3"/>
        <v>14064</v>
      </c>
    </row>
    <row r="74" spans="9:51" ht="12" customHeight="1">
      <c r="AM74" s="1983" t="s">
        <v>2224</v>
      </c>
      <c r="AQ74" s="1984">
        <v>62246179717</v>
      </c>
      <c r="AR74" s="1984">
        <v>24241947768</v>
      </c>
      <c r="AS74" s="1984">
        <v>22153844478</v>
      </c>
      <c r="AT74" s="1984">
        <v>14063215067</v>
      </c>
      <c r="AU74" s="1984"/>
      <c r="AV74" s="1984">
        <f t="shared" si="3"/>
        <v>62246</v>
      </c>
      <c r="AW74" s="1984">
        <f t="shared" si="3"/>
        <v>24242</v>
      </c>
      <c r="AX74" s="1984">
        <f t="shared" si="3"/>
        <v>22154</v>
      </c>
      <c r="AY74" s="1984">
        <f t="shared" si="3"/>
        <v>14063</v>
      </c>
    </row>
    <row r="75" spans="9:51" ht="12" customHeight="1">
      <c r="AM75" s="1983" t="s">
        <v>2554</v>
      </c>
      <c r="AQ75" s="1984">
        <v>460000</v>
      </c>
      <c r="AR75" s="1984">
        <v>460000</v>
      </c>
      <c r="AS75" s="1984">
        <v>460000</v>
      </c>
      <c r="AT75" s="1984">
        <v>1150000</v>
      </c>
      <c r="AU75" s="1984"/>
      <c r="AV75" s="1984">
        <f t="shared" si="3"/>
        <v>0</v>
      </c>
      <c r="AW75" s="1984">
        <f t="shared" si="3"/>
        <v>0</v>
      </c>
      <c r="AX75" s="1984">
        <f t="shared" si="3"/>
        <v>0</v>
      </c>
      <c r="AY75" s="1984">
        <f t="shared" si="3"/>
        <v>1</v>
      </c>
    </row>
    <row r="76" spans="9:51" ht="12" customHeight="1">
      <c r="AM76" s="1983" t="s">
        <v>2558</v>
      </c>
      <c r="AQ76" s="1984">
        <v>0</v>
      </c>
      <c r="AR76" s="1984">
        <v>0</v>
      </c>
      <c r="AS76" s="1984">
        <v>49385000</v>
      </c>
      <c r="AT76" s="1984">
        <v>0</v>
      </c>
      <c r="AU76" s="1984"/>
      <c r="AV76" s="1984">
        <f t="shared" ref="AV76:AY104" si="4">ROUND(AQ76/10^6,)</f>
        <v>0</v>
      </c>
      <c r="AW76" s="1984">
        <f t="shared" si="4"/>
        <v>0</v>
      </c>
      <c r="AX76" s="1984">
        <f t="shared" si="4"/>
        <v>49</v>
      </c>
      <c r="AY76" s="1984">
        <f t="shared" si="4"/>
        <v>0</v>
      </c>
    </row>
    <row r="77" spans="9:51" ht="12" customHeight="1">
      <c r="AM77" s="1983" t="s">
        <v>2559</v>
      </c>
      <c r="AQ77" s="1984">
        <v>0</v>
      </c>
      <c r="AR77" s="1984">
        <v>3657798</v>
      </c>
      <c r="AS77" s="1984">
        <v>5030424</v>
      </c>
      <c r="AT77" s="1984">
        <v>0</v>
      </c>
      <c r="AU77" s="1984"/>
      <c r="AV77" s="1984">
        <f t="shared" si="4"/>
        <v>0</v>
      </c>
      <c r="AW77" s="1984">
        <f t="shared" si="4"/>
        <v>4</v>
      </c>
      <c r="AX77" s="1984">
        <f t="shared" si="4"/>
        <v>5</v>
      </c>
      <c r="AY77" s="1984">
        <f t="shared" si="4"/>
        <v>0</v>
      </c>
    </row>
    <row r="78" spans="9:51" ht="12" customHeight="1">
      <c r="AL78" s="1983" t="s">
        <v>2570</v>
      </c>
      <c r="AQ78" s="1984">
        <v>48243915035</v>
      </c>
      <c r="AR78" s="1984">
        <v>21101758095</v>
      </c>
      <c r="AS78" s="1984">
        <v>19284764688</v>
      </c>
      <c r="AT78" s="1984">
        <v>10033588322</v>
      </c>
      <c r="AU78" s="1984"/>
      <c r="AV78" s="1984">
        <f t="shared" si="4"/>
        <v>48244</v>
      </c>
      <c r="AW78" s="1984">
        <f t="shared" si="4"/>
        <v>21102</v>
      </c>
      <c r="AX78" s="1984">
        <f t="shared" si="4"/>
        <v>19285</v>
      </c>
      <c r="AY78" s="1984">
        <f t="shared" si="4"/>
        <v>10034</v>
      </c>
    </row>
    <row r="79" spans="9:51" ht="12" customHeight="1">
      <c r="AM79" s="1983" t="s">
        <v>2571</v>
      </c>
      <c r="AQ79" s="1984">
        <v>0</v>
      </c>
      <c r="AR79" s="1984">
        <v>0</v>
      </c>
      <c r="AS79" s="1984">
        <v>0</v>
      </c>
      <c r="AT79" s="1984">
        <v>0</v>
      </c>
      <c r="AU79" s="1984"/>
      <c r="AV79" s="1984">
        <f t="shared" si="4"/>
        <v>0</v>
      </c>
      <c r="AW79" s="1984">
        <f t="shared" si="4"/>
        <v>0</v>
      </c>
      <c r="AX79" s="1984">
        <f t="shared" si="4"/>
        <v>0</v>
      </c>
      <c r="AY79" s="1984">
        <f t="shared" si="4"/>
        <v>0</v>
      </c>
    </row>
    <row r="80" spans="9:51" ht="12" customHeight="1">
      <c r="AM80" s="1983" t="s">
        <v>2572</v>
      </c>
      <c r="AQ80" s="1984">
        <v>25456799496</v>
      </c>
      <c r="AR80" s="1984">
        <v>4675349491</v>
      </c>
      <c r="AS80" s="1984">
        <v>4078593219</v>
      </c>
      <c r="AT80" s="1984">
        <v>0</v>
      </c>
      <c r="AU80" s="1984"/>
      <c r="AV80" s="1984">
        <f t="shared" si="4"/>
        <v>25457</v>
      </c>
      <c r="AW80" s="1984">
        <f t="shared" si="4"/>
        <v>4675</v>
      </c>
      <c r="AX80" s="1984">
        <f t="shared" si="4"/>
        <v>4079</v>
      </c>
      <c r="AY80" s="1984">
        <f t="shared" si="4"/>
        <v>0</v>
      </c>
    </row>
    <row r="81" spans="38:51" ht="12" customHeight="1">
      <c r="AM81" s="1983" t="s">
        <v>2573</v>
      </c>
      <c r="AQ81" s="1984">
        <v>5939058802</v>
      </c>
      <c r="AR81" s="1984">
        <v>15002823269</v>
      </c>
      <c r="AS81" s="1984">
        <v>8621237667</v>
      </c>
      <c r="AT81" s="1984">
        <v>3388999839</v>
      </c>
      <c r="AU81" s="1984"/>
      <c r="AV81" s="1984">
        <f t="shared" si="4"/>
        <v>5939</v>
      </c>
      <c r="AW81" s="1984">
        <f t="shared" si="4"/>
        <v>15003</v>
      </c>
      <c r="AX81" s="1984">
        <f t="shared" si="4"/>
        <v>8621</v>
      </c>
      <c r="AY81" s="1984">
        <f t="shared" si="4"/>
        <v>3389</v>
      </c>
    </row>
    <row r="82" spans="38:51" ht="12" customHeight="1">
      <c r="AM82" s="1983" t="s">
        <v>2574</v>
      </c>
      <c r="AQ82" s="1984">
        <v>852866664</v>
      </c>
      <c r="AR82" s="1984">
        <v>533645501</v>
      </c>
      <c r="AS82" s="1984">
        <v>2109446746</v>
      </c>
      <c r="AT82" s="1984">
        <v>1919361001</v>
      </c>
      <c r="AU82" s="1984"/>
      <c r="AV82" s="1984">
        <f t="shared" si="4"/>
        <v>853</v>
      </c>
      <c r="AW82" s="1984">
        <f t="shared" si="4"/>
        <v>534</v>
      </c>
      <c r="AX82" s="1984">
        <f t="shared" si="4"/>
        <v>2109</v>
      </c>
      <c r="AY82" s="1984">
        <f t="shared" si="4"/>
        <v>1919</v>
      </c>
    </row>
    <row r="83" spans="38:51" ht="12" customHeight="1">
      <c r="AM83" s="1983" t="s">
        <v>2575</v>
      </c>
      <c r="AQ83" s="1984">
        <v>0</v>
      </c>
      <c r="AR83" s="1984">
        <v>539035319</v>
      </c>
      <c r="AS83" s="1984">
        <v>1034943342</v>
      </c>
      <c r="AT83" s="1984">
        <v>1903706616</v>
      </c>
      <c r="AU83" s="1984"/>
      <c r="AV83" s="1984">
        <f t="shared" si="4"/>
        <v>0</v>
      </c>
      <c r="AW83" s="1984">
        <f t="shared" si="4"/>
        <v>539</v>
      </c>
      <c r="AX83" s="1984">
        <f t="shared" si="4"/>
        <v>1035</v>
      </c>
      <c r="AY83" s="1984">
        <f t="shared" si="4"/>
        <v>1904</v>
      </c>
    </row>
    <row r="84" spans="38:51" ht="12" customHeight="1">
      <c r="AM84" s="1983" t="s">
        <v>2576</v>
      </c>
      <c r="AQ84" s="1984">
        <v>13848534140</v>
      </c>
      <c r="AR84" s="1984">
        <v>288000000</v>
      </c>
      <c r="AS84" s="1984">
        <v>2653336243</v>
      </c>
      <c r="AT84" s="1984">
        <v>2821520866</v>
      </c>
      <c r="AU84" s="1984"/>
      <c r="AV84" s="1984">
        <f t="shared" si="4"/>
        <v>13849</v>
      </c>
      <c r="AW84" s="1984">
        <f t="shared" si="4"/>
        <v>288</v>
      </c>
      <c r="AX84" s="1984">
        <f t="shared" si="4"/>
        <v>2653</v>
      </c>
      <c r="AY84" s="1984">
        <f t="shared" si="4"/>
        <v>2822</v>
      </c>
    </row>
    <row r="85" spans="38:51" ht="12" customHeight="1">
      <c r="AM85" s="1983" t="s">
        <v>2579</v>
      </c>
      <c r="AQ85" s="1984">
        <v>2116929264</v>
      </c>
      <c r="AR85" s="1984">
        <v>0</v>
      </c>
      <c r="AS85" s="1984">
        <v>0</v>
      </c>
      <c r="AT85" s="1984">
        <v>0</v>
      </c>
      <c r="AU85" s="1984"/>
      <c r="AV85" s="1984">
        <f t="shared" si="4"/>
        <v>2117</v>
      </c>
      <c r="AW85" s="1984">
        <f t="shared" si="4"/>
        <v>0</v>
      </c>
      <c r="AX85" s="1984">
        <f t="shared" si="4"/>
        <v>0</v>
      </c>
      <c r="AY85" s="1984">
        <f t="shared" si="4"/>
        <v>0</v>
      </c>
    </row>
    <row r="86" spans="38:51" ht="12" customHeight="1">
      <c r="AM86" s="1983" t="s">
        <v>2581</v>
      </c>
      <c r="AQ86" s="1984">
        <v>29726669</v>
      </c>
      <c r="AR86" s="1984">
        <v>62904515</v>
      </c>
      <c r="AS86" s="1984">
        <v>787207471</v>
      </c>
      <c r="AT86" s="1984">
        <v>0</v>
      </c>
      <c r="AU86" s="1984"/>
      <c r="AV86" s="1984">
        <f t="shared" si="4"/>
        <v>30</v>
      </c>
      <c r="AW86" s="1984">
        <f t="shared" si="4"/>
        <v>63</v>
      </c>
      <c r="AX86" s="1984">
        <f t="shared" si="4"/>
        <v>787</v>
      </c>
      <c r="AY86" s="1984">
        <f t="shared" si="4"/>
        <v>0</v>
      </c>
    </row>
    <row r="87" spans="38:51" ht="12" customHeight="1">
      <c r="AL87" s="1983" t="s">
        <v>2583</v>
      </c>
      <c r="AQ87" s="1984">
        <v>54633543276</v>
      </c>
      <c r="AR87" s="1984">
        <v>54265828606</v>
      </c>
      <c r="AS87" s="1984">
        <v>39860480800</v>
      </c>
      <c r="AT87" s="1984">
        <v>18587617916</v>
      </c>
      <c r="AU87" s="1984"/>
      <c r="AV87" s="1984">
        <f t="shared" si="4"/>
        <v>54634</v>
      </c>
      <c r="AW87" s="1984">
        <f t="shared" si="4"/>
        <v>54266</v>
      </c>
      <c r="AX87" s="1984">
        <f t="shared" si="4"/>
        <v>39860</v>
      </c>
      <c r="AY87" s="1984">
        <f t="shared" si="4"/>
        <v>18588</v>
      </c>
    </row>
    <row r="88" spans="38:51" ht="12" customHeight="1">
      <c r="AL88" s="1983" t="s">
        <v>148</v>
      </c>
      <c r="AQ88" s="1984">
        <v>24823666797</v>
      </c>
      <c r="AR88" s="1984">
        <v>29042620185</v>
      </c>
      <c r="AS88" s="1984">
        <v>26567635167</v>
      </c>
      <c r="AT88" s="1984">
        <v>11231678748</v>
      </c>
      <c r="AU88" s="1984"/>
      <c r="AV88" s="1984">
        <f t="shared" si="4"/>
        <v>24824</v>
      </c>
      <c r="AW88" s="1984">
        <f t="shared" si="4"/>
        <v>29043</v>
      </c>
      <c r="AX88" s="1984">
        <f t="shared" si="4"/>
        <v>26568</v>
      </c>
      <c r="AY88" s="1984">
        <f t="shared" si="4"/>
        <v>11232</v>
      </c>
    </row>
    <row r="89" spans="38:51" ht="12" customHeight="1">
      <c r="AM89" s="1983" t="s">
        <v>2584</v>
      </c>
      <c r="AQ89" s="1984">
        <v>22070411609</v>
      </c>
      <c r="AR89" s="1984">
        <v>26279892326</v>
      </c>
      <c r="AS89" s="1984">
        <v>25494650194</v>
      </c>
      <c r="AT89" s="1984">
        <v>10339467091</v>
      </c>
      <c r="AU89" s="1984"/>
      <c r="AV89" s="1984">
        <f t="shared" si="4"/>
        <v>22070</v>
      </c>
      <c r="AW89" s="1984">
        <f t="shared" si="4"/>
        <v>26280</v>
      </c>
      <c r="AX89" s="1984">
        <f t="shared" si="4"/>
        <v>25495</v>
      </c>
      <c r="AY89" s="1984">
        <f t="shared" si="4"/>
        <v>10339</v>
      </c>
    </row>
    <row r="90" spans="38:51" ht="12" customHeight="1">
      <c r="AM90" s="1983" t="s">
        <v>2587</v>
      </c>
      <c r="AQ90" s="1984">
        <v>0</v>
      </c>
      <c r="AR90" s="1984">
        <v>0</v>
      </c>
      <c r="AS90" s="1984">
        <v>174270927</v>
      </c>
      <c r="AT90" s="1984">
        <v>105252249</v>
      </c>
      <c r="AU90" s="1984"/>
      <c r="AV90" s="1984">
        <f t="shared" si="4"/>
        <v>0</v>
      </c>
      <c r="AW90" s="1984">
        <f t="shared" si="4"/>
        <v>0</v>
      </c>
      <c r="AX90" s="1984">
        <f t="shared" si="4"/>
        <v>174</v>
      </c>
      <c r="AY90" s="1984">
        <f t="shared" si="4"/>
        <v>105</v>
      </c>
    </row>
    <row r="91" spans="38:51" ht="12" customHeight="1">
      <c r="AM91" s="1983" t="s">
        <v>2585</v>
      </c>
      <c r="AQ91" s="1984">
        <v>2753255188</v>
      </c>
      <c r="AR91" s="1984">
        <v>2758572367</v>
      </c>
      <c r="AS91" s="1984">
        <v>898714046</v>
      </c>
      <c r="AT91" s="1984">
        <v>786959408</v>
      </c>
      <c r="AU91" s="1984"/>
      <c r="AV91" s="1984">
        <f t="shared" si="4"/>
        <v>2753</v>
      </c>
      <c r="AW91" s="1984">
        <f t="shared" si="4"/>
        <v>2759</v>
      </c>
      <c r="AX91" s="1984">
        <f t="shared" si="4"/>
        <v>899</v>
      </c>
      <c r="AY91" s="1984">
        <f t="shared" si="4"/>
        <v>787</v>
      </c>
    </row>
    <row r="92" spans="38:51" ht="12" customHeight="1">
      <c r="AM92" s="1983" t="s">
        <v>2593</v>
      </c>
      <c r="AQ92" s="1984">
        <v>0</v>
      </c>
      <c r="AR92" s="1984">
        <v>4155492</v>
      </c>
      <c r="AS92" s="1984">
        <v>0</v>
      </c>
      <c r="AT92" s="1984">
        <v>0</v>
      </c>
      <c r="AU92" s="1984"/>
      <c r="AV92" s="1984">
        <f t="shared" si="4"/>
        <v>0</v>
      </c>
      <c r="AW92" s="1984">
        <f t="shared" si="4"/>
        <v>4</v>
      </c>
      <c r="AX92" s="1984">
        <f t="shared" si="4"/>
        <v>0</v>
      </c>
      <c r="AY92" s="1984">
        <f t="shared" si="4"/>
        <v>0</v>
      </c>
    </row>
    <row r="93" spans="38:51" ht="12" customHeight="1">
      <c r="AL93" s="1983" t="s">
        <v>2600</v>
      </c>
      <c r="AQ93" s="1984">
        <v>29809876479</v>
      </c>
      <c r="AR93" s="1984">
        <v>25223208421</v>
      </c>
      <c r="AS93" s="1984">
        <v>13292845633</v>
      </c>
      <c r="AT93" s="1984">
        <v>7355939168</v>
      </c>
      <c r="AU93" s="1984"/>
      <c r="AV93" s="1984">
        <f t="shared" si="4"/>
        <v>29810</v>
      </c>
      <c r="AW93" s="1984">
        <f t="shared" si="4"/>
        <v>25223</v>
      </c>
      <c r="AX93" s="1984">
        <f t="shared" si="4"/>
        <v>13293</v>
      </c>
      <c r="AY93" s="1984">
        <f t="shared" si="4"/>
        <v>7356</v>
      </c>
    </row>
    <row r="94" spans="38:51" ht="12" customHeight="1">
      <c r="AM94" s="1983" t="s">
        <v>2601</v>
      </c>
      <c r="AQ94" s="1984">
        <v>1899455000</v>
      </c>
      <c r="AR94" s="1984">
        <v>843598000</v>
      </c>
      <c r="AS94" s="1984">
        <v>929906063</v>
      </c>
      <c r="AT94" s="1984">
        <v>2084608000</v>
      </c>
      <c r="AU94" s="1984"/>
      <c r="AV94" s="1984">
        <f t="shared" si="4"/>
        <v>1899</v>
      </c>
      <c r="AW94" s="1984">
        <f t="shared" si="4"/>
        <v>844</v>
      </c>
      <c r="AX94" s="1984">
        <f t="shared" si="4"/>
        <v>930</v>
      </c>
      <c r="AY94" s="1984">
        <f t="shared" si="4"/>
        <v>2085</v>
      </c>
    </row>
    <row r="95" spans="38:51" ht="12" customHeight="1">
      <c r="AM95" s="1983" t="s">
        <v>2602</v>
      </c>
      <c r="AQ95" s="1984">
        <v>25919049994</v>
      </c>
      <c r="AR95" s="1984">
        <v>2201079792</v>
      </c>
      <c r="AS95" s="1984">
        <v>536477778</v>
      </c>
      <c r="AT95" s="1984">
        <v>0</v>
      </c>
      <c r="AU95" s="1984"/>
      <c r="AV95" s="1984">
        <f t="shared" si="4"/>
        <v>25919</v>
      </c>
      <c r="AW95" s="1984">
        <f t="shared" si="4"/>
        <v>2201</v>
      </c>
      <c r="AX95" s="1984">
        <f t="shared" si="4"/>
        <v>536</v>
      </c>
      <c r="AY95" s="1984">
        <f t="shared" si="4"/>
        <v>0</v>
      </c>
    </row>
    <row r="96" spans="38:51" ht="12" customHeight="1">
      <c r="AM96" s="1983" t="s">
        <v>2603</v>
      </c>
      <c r="AQ96" s="1984">
        <v>24714227950</v>
      </c>
      <c r="AR96" s="1984">
        <v>285705787</v>
      </c>
      <c r="AS96" s="1984">
        <v>0</v>
      </c>
      <c r="AT96" s="1984">
        <v>1516901</v>
      </c>
      <c r="AU96" s="1984"/>
      <c r="AV96" s="1984">
        <f t="shared" si="4"/>
        <v>24714</v>
      </c>
      <c r="AW96" s="1984">
        <f t="shared" si="4"/>
        <v>286</v>
      </c>
      <c r="AX96" s="1984">
        <f t="shared" si="4"/>
        <v>0</v>
      </c>
      <c r="AY96" s="1984">
        <f t="shared" si="4"/>
        <v>2</v>
      </c>
    </row>
    <row r="97" spans="4:51" ht="12" customHeight="1">
      <c r="AM97" s="1983" t="s">
        <v>2604</v>
      </c>
      <c r="AQ97" s="1984">
        <v>1419316888</v>
      </c>
      <c r="AR97" s="1984">
        <v>1565359803</v>
      </c>
      <c r="AS97" s="1984">
        <v>0</v>
      </c>
      <c r="AT97" s="1984">
        <v>0</v>
      </c>
      <c r="AU97" s="1984"/>
      <c r="AV97" s="1984">
        <f t="shared" si="4"/>
        <v>1419</v>
      </c>
      <c r="AW97" s="1984">
        <f t="shared" si="4"/>
        <v>1565</v>
      </c>
      <c r="AX97" s="1984">
        <f t="shared" si="4"/>
        <v>0</v>
      </c>
      <c r="AY97" s="1984">
        <f t="shared" si="4"/>
        <v>0</v>
      </c>
    </row>
    <row r="98" spans="4:51" ht="12" customHeight="1">
      <c r="AM98" s="1983" t="s">
        <v>2605</v>
      </c>
      <c r="AQ98" s="1984">
        <v>121196119</v>
      </c>
      <c r="AR98" s="1984">
        <v>0</v>
      </c>
      <c r="AS98" s="1984">
        <v>0</v>
      </c>
      <c r="AT98" s="1984">
        <v>0</v>
      </c>
      <c r="AU98" s="1984"/>
      <c r="AV98" s="1984">
        <f t="shared" si="4"/>
        <v>121</v>
      </c>
      <c r="AW98" s="1984">
        <f t="shared" si="4"/>
        <v>0</v>
      </c>
      <c r="AX98" s="1984">
        <f t="shared" si="4"/>
        <v>0</v>
      </c>
      <c r="AY98" s="1984">
        <f t="shared" si="4"/>
        <v>0</v>
      </c>
    </row>
    <row r="99" spans="4:51" ht="12" customHeight="1">
      <c r="AM99" s="1983" t="s">
        <v>2606</v>
      </c>
      <c r="AQ99" s="1984">
        <v>3169392389</v>
      </c>
      <c r="AR99" s="1984">
        <v>5026967312</v>
      </c>
      <c r="AS99" s="1984">
        <v>11414536967</v>
      </c>
      <c r="AT99" s="1984">
        <v>5455673047</v>
      </c>
      <c r="AU99" s="1984"/>
      <c r="AV99" s="1984">
        <f t="shared" si="4"/>
        <v>3169</v>
      </c>
      <c r="AW99" s="1984">
        <f t="shared" si="4"/>
        <v>5027</v>
      </c>
      <c r="AX99" s="1984">
        <f t="shared" si="4"/>
        <v>11415</v>
      </c>
      <c r="AY99" s="1984">
        <f t="shared" si="4"/>
        <v>5456</v>
      </c>
    </row>
    <row r="100" spans="4:51" ht="12" customHeight="1">
      <c r="AM100" s="1983" t="s">
        <v>2610</v>
      </c>
      <c r="AQ100" s="1984">
        <v>-27432761861</v>
      </c>
      <c r="AR100" s="1984">
        <v>15300497727</v>
      </c>
      <c r="AS100" s="1984">
        <v>411924825</v>
      </c>
      <c r="AT100" s="1984">
        <v>-185858780</v>
      </c>
      <c r="AU100" s="1984"/>
      <c r="AV100" s="1984">
        <f t="shared" si="4"/>
        <v>-27433</v>
      </c>
      <c r="AW100" s="1984">
        <f t="shared" si="4"/>
        <v>15300</v>
      </c>
      <c r="AX100" s="1984">
        <f t="shared" si="4"/>
        <v>412</v>
      </c>
      <c r="AY100" s="1984">
        <f t="shared" si="4"/>
        <v>-186</v>
      </c>
    </row>
    <row r="101" spans="4:51" ht="12" customHeight="1">
      <c r="AL101" s="1983" t="s">
        <v>2613</v>
      </c>
      <c r="AQ101" s="1984">
        <v>327872126607</v>
      </c>
      <c r="AR101" s="1984">
        <v>248858858760</v>
      </c>
      <c r="AS101" s="1984">
        <v>290674195324</v>
      </c>
      <c r="AT101" s="1984">
        <v>196788910282</v>
      </c>
      <c r="AU101" s="1984"/>
      <c r="AV101" s="1984">
        <f t="shared" si="4"/>
        <v>327872</v>
      </c>
      <c r="AW101" s="1984">
        <f t="shared" si="4"/>
        <v>248859</v>
      </c>
      <c r="AX101" s="1984">
        <f t="shared" si="4"/>
        <v>290674</v>
      </c>
      <c r="AY101" s="1984">
        <f t="shared" si="4"/>
        <v>196789</v>
      </c>
    </row>
    <row r="102" spans="4:51" ht="12" customHeight="1">
      <c r="AL102" s="1983" t="s">
        <v>2614</v>
      </c>
      <c r="AQ102" s="1984">
        <v>77562513420</v>
      </c>
      <c r="AR102" s="1984">
        <v>58164543256</v>
      </c>
      <c r="AS102" s="1984">
        <v>69364403956</v>
      </c>
      <c r="AT102" s="1984">
        <v>52537223837</v>
      </c>
      <c r="AU102" s="1984"/>
      <c r="AV102" s="1984">
        <f t="shared" si="4"/>
        <v>77563</v>
      </c>
      <c r="AW102" s="1984">
        <f t="shared" si="4"/>
        <v>58165</v>
      </c>
      <c r="AX102" s="1984">
        <f t="shared" si="4"/>
        <v>69364</v>
      </c>
      <c r="AY102" s="1984">
        <f t="shared" si="4"/>
        <v>52537</v>
      </c>
    </row>
    <row r="103" spans="4:51" ht="12" customHeight="1">
      <c r="AL103" s="1983" t="s">
        <v>2622</v>
      </c>
      <c r="AQ103" s="1984">
        <v>250309613187</v>
      </c>
      <c r="AR103" s="1984">
        <v>190694315504</v>
      </c>
      <c r="AS103" s="1984">
        <v>221309791368</v>
      </c>
      <c r="AT103" s="1984">
        <v>144251686445</v>
      </c>
      <c r="AU103" s="1984"/>
      <c r="AV103" s="1984">
        <f t="shared" si="4"/>
        <v>250310</v>
      </c>
      <c r="AW103" s="1984">
        <f t="shared" si="4"/>
        <v>190694</v>
      </c>
      <c r="AX103" s="1984">
        <f t="shared" si="4"/>
        <v>221310</v>
      </c>
      <c r="AY103" s="1984">
        <f t="shared" si="4"/>
        <v>144252</v>
      </c>
    </row>
    <row r="104" spans="4:51" ht="12" customHeight="1">
      <c r="AL104" s="1988" t="s">
        <v>2624</v>
      </c>
      <c r="AM104" s="12"/>
      <c r="AN104" s="12"/>
      <c r="AO104" s="12"/>
      <c r="AP104" s="12"/>
      <c r="AQ104" s="1989">
        <v>250309613187</v>
      </c>
      <c r="AR104" s="1989">
        <v>190694315504</v>
      </c>
      <c r="AS104" s="1989">
        <v>221309791368</v>
      </c>
      <c r="AT104" s="1989">
        <v>144251686445</v>
      </c>
      <c r="AU104" s="1984"/>
      <c r="AV104" s="1989">
        <f t="shared" si="4"/>
        <v>250310</v>
      </c>
      <c r="AW104" s="1989">
        <f t="shared" si="4"/>
        <v>190694</v>
      </c>
      <c r="AX104" s="1989">
        <f t="shared" si="4"/>
        <v>221310</v>
      </c>
      <c r="AY104" s="1989">
        <f t="shared" si="4"/>
        <v>144252</v>
      </c>
    </row>
    <row r="105" spans="4:51" ht="12" customHeight="1">
      <c r="D105" s="516"/>
      <c r="AQ105" s="248"/>
      <c r="AR105" s="248"/>
      <c r="AS105" s="248"/>
      <c r="AT105" s="248"/>
    </row>
    <row r="106" spans="4:51" ht="12" customHeight="1">
      <c r="AQ106" s="248"/>
      <c r="AR106" s="248"/>
      <c r="AS106" s="248"/>
      <c r="AT106" s="248"/>
    </row>
    <row r="107" spans="4:51" ht="12" customHeight="1">
      <c r="D107" s="516"/>
      <c r="E107" s="516"/>
      <c r="AS107" s="3" t="s">
        <v>3568</v>
      </c>
    </row>
    <row r="108" spans="4:51" ht="12" customHeight="1">
      <c r="D108" s="516"/>
      <c r="E108" s="516"/>
      <c r="AL108" s="24" t="s">
        <v>3571</v>
      </c>
      <c r="AM108" s="24"/>
      <c r="AN108" s="24"/>
      <c r="AO108" s="24"/>
      <c r="AP108" s="24"/>
      <c r="AQ108" s="26" t="s">
        <v>3567</v>
      </c>
      <c r="AR108" s="26"/>
      <c r="AS108" s="26"/>
      <c r="AT108" s="26"/>
    </row>
    <row r="109" spans="4:51" ht="12" customHeight="1">
      <c r="AL109" s="28"/>
      <c r="AM109" s="28"/>
      <c r="AN109" s="28"/>
      <c r="AO109" s="28"/>
      <c r="AP109" s="28"/>
      <c r="AQ109" s="1982">
        <v>2017</v>
      </c>
      <c r="AR109" s="1982">
        <v>2018</v>
      </c>
      <c r="AS109" s="1982">
        <v>2019</v>
      </c>
      <c r="AT109" s="1982" t="s">
        <v>3569</v>
      </c>
    </row>
    <row r="110" spans="4:51" ht="12" customHeight="1">
      <c r="AL110" s="3" t="s">
        <v>3572</v>
      </c>
      <c r="AQ110" s="1984"/>
      <c r="AR110" s="1984">
        <v>-66015</v>
      </c>
      <c r="AS110" s="1984">
        <v>184324</v>
      </c>
      <c r="AT110" s="1984"/>
    </row>
    <row r="111" spans="4:51" ht="12" customHeight="1">
      <c r="AL111" s="3" t="s">
        <v>3573</v>
      </c>
      <c r="AQ111" s="1984"/>
      <c r="AR111" s="1984">
        <v>6776832</v>
      </c>
      <c r="AS111" s="1984">
        <v>6850308</v>
      </c>
      <c r="AT111" s="1984"/>
    </row>
    <row r="112" spans="4:51" ht="12" customHeight="1">
      <c r="AL112" s="3" t="s">
        <v>3574</v>
      </c>
      <c r="AQ112" s="1984"/>
      <c r="AR112" s="1984">
        <v>124628</v>
      </c>
      <c r="AS112" s="1984">
        <v>128988</v>
      </c>
      <c r="AT112" s="1984"/>
    </row>
    <row r="113" spans="38:46" ht="12" customHeight="1">
      <c r="AL113" s="3" t="s">
        <v>3575</v>
      </c>
      <c r="AQ113" s="1984"/>
      <c r="AR113" s="1984">
        <v>72415</v>
      </c>
      <c r="AS113" s="1984">
        <v>79025</v>
      </c>
      <c r="AT113" s="1984"/>
    </row>
    <row r="114" spans="38:46" ht="12" customHeight="1">
      <c r="AL114" s="3" t="s">
        <v>1380</v>
      </c>
      <c r="AQ114" s="1984"/>
      <c r="AR114" s="1984">
        <v>8098</v>
      </c>
      <c r="AS114" s="1984">
        <v>17787</v>
      </c>
      <c r="AT114" s="1984"/>
    </row>
    <row r="115" spans="38:46" ht="12" customHeight="1">
      <c r="AL115" s="3" t="s">
        <v>2633</v>
      </c>
      <c r="AQ115" s="1984"/>
      <c r="AR115" s="1984">
        <v>72213</v>
      </c>
      <c r="AS115" s="1984">
        <v>67850</v>
      </c>
      <c r="AT115" s="1984"/>
    </row>
    <row r="116" spans="38:46" ht="12" customHeight="1">
      <c r="AL116" s="3" t="s">
        <v>3576</v>
      </c>
      <c r="AQ116" s="1984"/>
      <c r="AR116" s="1984">
        <v>55288</v>
      </c>
      <c r="AS116" s="1984">
        <v>54393</v>
      </c>
      <c r="AT116" s="1984"/>
    </row>
    <row r="117" spans="38:46" ht="12" customHeight="1">
      <c r="AL117" s="3" t="s">
        <v>146</v>
      </c>
      <c r="AQ117" s="1984"/>
      <c r="AR117" s="1984">
        <v>137273</v>
      </c>
      <c r="AS117" s="1984">
        <v>176605</v>
      </c>
      <c r="AT117" s="1984"/>
    </row>
    <row r="118" spans="38:46" ht="12" customHeight="1">
      <c r="AL118" s="12" t="s">
        <v>3577</v>
      </c>
      <c r="AM118" s="12"/>
      <c r="AN118" s="12"/>
      <c r="AO118" s="12"/>
      <c r="AP118" s="12"/>
      <c r="AQ118" s="1989"/>
      <c r="AR118" s="1989">
        <v>7180732</v>
      </c>
      <c r="AS118" s="1989">
        <v>7559280</v>
      </c>
      <c r="AT118" s="1989"/>
    </row>
  </sheetData>
  <mergeCells count="12">
    <mergeCell ref="AA65:AD65"/>
    <mergeCell ref="AA57:AA58"/>
    <mergeCell ref="AB57:AB58"/>
    <mergeCell ref="AE57:AE58"/>
    <mergeCell ref="AF57:AF58"/>
    <mergeCell ref="AA64:AD64"/>
    <mergeCell ref="AA35:AD35"/>
    <mergeCell ref="AA29:AA30"/>
    <mergeCell ref="AB29:AB30"/>
    <mergeCell ref="AE29:AE30"/>
    <mergeCell ref="AF29:AF30"/>
    <mergeCell ref="AA34:AD34"/>
  </mergeCells>
  <phoneticPr fontId="1" type="noConversion"/>
  <conditionalFormatting sqref="AQ109:AS109 AQ5:AT104 AV5:AY104">
    <cfRule type="cellIs" dxfId="344" priority="6" operator="equal">
      <formula>"X"</formula>
    </cfRule>
    <cfRule type="cellIs" dxfId="343" priority="7" operator="equal">
      <formula>"O"</formula>
    </cfRule>
    <cfRule type="cellIs" dxfId="342" priority="8" operator="equal">
      <formula>"미정"</formula>
    </cfRule>
    <cfRule type="cellIs" dxfId="341" priority="9" operator="equal">
      <formula>"예정"</formula>
    </cfRule>
    <cfRule type="cellIs" dxfId="340" priority="10" operator="equal">
      <formula>"확정"</formula>
    </cfRule>
  </conditionalFormatting>
  <conditionalFormatting sqref="AT109">
    <cfRule type="cellIs" dxfId="339" priority="1" operator="equal">
      <formula>"X"</formula>
    </cfRule>
    <cfRule type="cellIs" dxfId="338" priority="2" operator="equal">
      <formula>"O"</formula>
    </cfRule>
    <cfRule type="cellIs" dxfId="337" priority="3" operator="equal">
      <formula>"미정"</formula>
    </cfRule>
    <cfRule type="cellIs" dxfId="336" priority="4" operator="equal">
      <formula>"예정"</formula>
    </cfRule>
    <cfRule type="cellIs" dxfId="335" priority="5" operator="equal">
      <formula>"확정"</formula>
    </cfRule>
  </conditionalFormatting>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B0E1C-FB87-43FF-A8C1-C119E70B6AF3}">
  <sheetPr codeName="Sheet57"/>
  <dimension ref="B1:F131"/>
  <sheetViews>
    <sheetView workbookViewId="0"/>
  </sheetViews>
  <sheetFormatPr defaultRowHeight="16.5"/>
  <cols>
    <col min="2" max="2" width="38.875" customWidth="1"/>
    <col min="3" max="3" width="9.25" bestFit="1" customWidth="1"/>
    <col min="4" max="6" width="14.875" bestFit="1" customWidth="1"/>
    <col min="7" max="7" width="25.5" customWidth="1"/>
  </cols>
  <sheetData>
    <row r="1" spans="2:6">
      <c r="B1" t="s">
        <v>1505</v>
      </c>
    </row>
    <row r="2" spans="2:6">
      <c r="B2" s="3744" t="s">
        <v>6298</v>
      </c>
      <c r="C2" s="3745" t="s">
        <v>2204</v>
      </c>
      <c r="D2" s="3746">
        <v>2018</v>
      </c>
      <c r="E2" s="3745">
        <v>2019</v>
      </c>
      <c r="F2" s="3745">
        <v>2020</v>
      </c>
    </row>
    <row r="3" spans="2:6">
      <c r="B3" s="3747" t="s">
        <v>6299</v>
      </c>
      <c r="C3" s="3748"/>
      <c r="D3" s="3750" t="s">
        <v>6300</v>
      </c>
      <c r="E3" s="3749">
        <v>-16718886</v>
      </c>
      <c r="F3" s="3751" t="s">
        <v>6328</v>
      </c>
    </row>
    <row r="4" spans="2:6">
      <c r="B4" s="3747" t="s">
        <v>6301</v>
      </c>
      <c r="C4" s="3748">
        <v>30</v>
      </c>
      <c r="D4" s="3750" t="s">
        <v>6303</v>
      </c>
      <c r="E4" s="3751" t="s">
        <v>6302</v>
      </c>
      <c r="F4" s="3751" t="s">
        <v>6329</v>
      </c>
    </row>
    <row r="5" spans="2:6">
      <c r="B5" s="3747" t="s">
        <v>6304</v>
      </c>
      <c r="C5" s="3748"/>
      <c r="D5" s="3750" t="s">
        <v>6306</v>
      </c>
      <c r="E5" s="3751" t="s">
        <v>6305</v>
      </c>
      <c r="F5" s="3751" t="s">
        <v>6330</v>
      </c>
    </row>
    <row r="6" spans="2:6">
      <c r="B6" s="3747" t="s">
        <v>6307</v>
      </c>
      <c r="C6" s="3748"/>
      <c r="D6" s="3752">
        <v>-521364388</v>
      </c>
      <c r="E6" s="3749">
        <v>-380329029</v>
      </c>
      <c r="F6" s="3749">
        <v>-309865925</v>
      </c>
    </row>
    <row r="7" spans="2:6">
      <c r="B7" s="3747" t="s">
        <v>6308</v>
      </c>
      <c r="C7" s="3748"/>
      <c r="D7" s="3752">
        <v>-24290617</v>
      </c>
      <c r="E7" s="3749">
        <v>-95303799</v>
      </c>
      <c r="F7" s="3749">
        <v>-544992679</v>
      </c>
    </row>
    <row r="8" spans="2:6">
      <c r="B8" s="3747" t="s">
        <v>6309</v>
      </c>
      <c r="C8" s="3748"/>
      <c r="D8" s="3752">
        <v>-1277008674</v>
      </c>
      <c r="E8" s="3749">
        <v>-927515590</v>
      </c>
      <c r="F8" s="3749">
        <v>-781980927</v>
      </c>
    </row>
    <row r="9" spans="2:6">
      <c r="B9" s="3747" t="s">
        <v>6310</v>
      </c>
      <c r="C9" s="3748"/>
      <c r="D9" s="3750" t="s">
        <v>1432</v>
      </c>
      <c r="E9" s="3749">
        <v>-45080000</v>
      </c>
      <c r="F9" s="3749">
        <v>-309000000</v>
      </c>
    </row>
    <row r="10" spans="2:6">
      <c r="B10" s="3747" t="s">
        <v>6311</v>
      </c>
      <c r="C10" s="3748"/>
      <c r="D10" s="3750" t="s">
        <v>6312</v>
      </c>
      <c r="E10" s="3749">
        <v>15058000</v>
      </c>
      <c r="F10" s="3751" t="s">
        <v>6331</v>
      </c>
    </row>
    <row r="11" spans="2:6">
      <c r="B11" s="3747" t="s">
        <v>6313</v>
      </c>
      <c r="C11" s="3748"/>
      <c r="D11" s="3752">
        <v>-1453287474</v>
      </c>
      <c r="E11" s="3749">
        <v>-897003590</v>
      </c>
      <c r="F11" s="3749">
        <v>-678640661</v>
      </c>
    </row>
    <row r="12" spans="2:6">
      <c r="B12" s="3747" t="s">
        <v>6314</v>
      </c>
      <c r="C12" s="3748"/>
      <c r="D12" s="3750" t="s">
        <v>6315</v>
      </c>
      <c r="E12" s="3751">
        <v>0</v>
      </c>
      <c r="F12" s="3751" t="s">
        <v>6332</v>
      </c>
    </row>
    <row r="13" spans="2:6">
      <c r="B13" s="3747" t="s">
        <v>6316</v>
      </c>
      <c r="C13" s="3748"/>
      <c r="D13" s="3752">
        <v>-5221200</v>
      </c>
      <c r="E13" s="3749">
        <v>-490000</v>
      </c>
      <c r="F13" s="3751">
        <v>0</v>
      </c>
    </row>
    <row r="14" spans="2:6">
      <c r="B14" s="3747" t="s">
        <v>6317</v>
      </c>
      <c r="C14" s="3748">
        <v>30</v>
      </c>
      <c r="D14" s="3752">
        <v>-1162000000</v>
      </c>
      <c r="E14" s="3749">
        <v>-369021000</v>
      </c>
      <c r="F14" s="3749">
        <v>-3530880288</v>
      </c>
    </row>
    <row r="15" spans="2:6">
      <c r="B15" s="3747" t="s">
        <v>6318</v>
      </c>
      <c r="C15" s="3748"/>
      <c r="D15" s="3752">
        <v>268164000000</v>
      </c>
      <c r="E15" s="3749">
        <v>266766000000</v>
      </c>
      <c r="F15" s="3751" t="s">
        <v>6333</v>
      </c>
    </row>
    <row r="16" spans="2:6">
      <c r="B16" s="3747" t="s">
        <v>6319</v>
      </c>
      <c r="C16" s="3748"/>
      <c r="D16" s="3752">
        <v>-269326000000</v>
      </c>
      <c r="E16" s="3749">
        <v>-267065000000</v>
      </c>
      <c r="F16" s="3749">
        <v>-374547000000</v>
      </c>
    </row>
    <row r="17" spans="2:6">
      <c r="B17" s="3747" t="s">
        <v>6320</v>
      </c>
      <c r="C17" s="3753"/>
      <c r="D17" s="3750" t="s">
        <v>1432</v>
      </c>
      <c r="E17" s="3749">
        <v>-70021000</v>
      </c>
      <c r="F17" s="3749">
        <v>-83880288</v>
      </c>
    </row>
    <row r="18" spans="2:6">
      <c r="B18" s="3747" t="s">
        <v>6321</v>
      </c>
      <c r="C18" s="3748"/>
      <c r="D18" s="3750" t="s">
        <v>6322</v>
      </c>
      <c r="E18" s="3749">
        <v>-1313255476</v>
      </c>
      <c r="F18" s="3751" t="s">
        <v>6334</v>
      </c>
    </row>
    <row r="19" spans="2:6">
      <c r="B19" s="3747" t="s">
        <v>6323</v>
      </c>
      <c r="C19" s="3748"/>
      <c r="D19" s="3750" t="s">
        <v>6325</v>
      </c>
      <c r="E19" s="3751" t="s">
        <v>6324</v>
      </c>
      <c r="F19" s="3751" t="s">
        <v>6327</v>
      </c>
    </row>
    <row r="20" spans="2:6">
      <c r="B20" s="3754" t="s">
        <v>6326</v>
      </c>
      <c r="C20" s="3755"/>
      <c r="D20" s="3757" t="s">
        <v>6324</v>
      </c>
      <c r="E20" s="3756" t="s">
        <v>6327</v>
      </c>
      <c r="F20" s="3756" t="s">
        <v>6335</v>
      </c>
    </row>
    <row r="21" spans="2:6">
      <c r="B21" s="3758"/>
      <c r="C21" s="1"/>
      <c r="D21" s="1"/>
      <c r="E21" s="1"/>
    </row>
    <row r="22" spans="2:6">
      <c r="B22" s="3761" t="s">
        <v>2453</v>
      </c>
    </row>
    <row r="23" spans="2:6">
      <c r="B23" s="3744" t="s">
        <v>1407</v>
      </c>
      <c r="C23" s="3745" t="s">
        <v>2204</v>
      </c>
      <c r="D23" s="3746">
        <v>2018</v>
      </c>
      <c r="E23" s="3745">
        <v>2019</v>
      </c>
      <c r="F23" s="3745">
        <v>2020</v>
      </c>
    </row>
    <row r="24" spans="2:6">
      <c r="B24" s="3747" t="s">
        <v>1424</v>
      </c>
      <c r="C24" s="3748"/>
      <c r="D24" s="3750" t="s">
        <v>6337</v>
      </c>
      <c r="E24" s="3751" t="s">
        <v>6336</v>
      </c>
      <c r="F24" s="3751" t="s">
        <v>6363</v>
      </c>
    </row>
    <row r="25" spans="2:6">
      <c r="B25" s="3747" t="s">
        <v>1425</v>
      </c>
      <c r="C25" s="3748">
        <v>29</v>
      </c>
      <c r="D25" s="3750" t="s">
        <v>6339</v>
      </c>
      <c r="E25" s="3751" t="s">
        <v>6338</v>
      </c>
      <c r="F25" s="3751" t="s">
        <v>6364</v>
      </c>
    </row>
    <row r="26" spans="2:6">
      <c r="B26" s="3747" t="s">
        <v>1426</v>
      </c>
      <c r="C26" s="3748"/>
      <c r="D26" s="3750" t="s">
        <v>6341</v>
      </c>
      <c r="E26" s="3751" t="s">
        <v>6340</v>
      </c>
      <c r="F26" s="3751" t="s">
        <v>6365</v>
      </c>
    </row>
    <row r="27" spans="2:6">
      <c r="B27" s="3747" t="s">
        <v>1427</v>
      </c>
      <c r="C27" s="3748"/>
      <c r="D27" s="3752">
        <v>-427271142</v>
      </c>
      <c r="E27" s="3749">
        <v>-218799055</v>
      </c>
      <c r="F27" s="3749">
        <v>-5388578</v>
      </c>
    </row>
    <row r="28" spans="2:6">
      <c r="B28" s="3747" t="s">
        <v>1521</v>
      </c>
      <c r="C28" s="3748"/>
      <c r="D28" s="3752">
        <v>-1391515228</v>
      </c>
      <c r="E28" s="3749">
        <v>-3483459562</v>
      </c>
      <c r="F28" s="3749">
        <v>-4265961385</v>
      </c>
    </row>
    <row r="29" spans="2:6">
      <c r="B29" s="3747" t="s">
        <v>1429</v>
      </c>
      <c r="C29" s="3748"/>
      <c r="D29" s="3752">
        <v>-8306444429</v>
      </c>
      <c r="E29" s="3749">
        <v>-2229372511</v>
      </c>
      <c r="F29" s="3749">
        <v>-16563385812</v>
      </c>
    </row>
    <row r="30" spans="2:6">
      <c r="B30" s="3747" t="s">
        <v>1437</v>
      </c>
      <c r="C30" s="3748"/>
      <c r="D30" s="3752">
        <v>-31463841</v>
      </c>
      <c r="E30" s="3749">
        <v>-29324629</v>
      </c>
      <c r="F30" s="3749">
        <v>-9025513832</v>
      </c>
    </row>
    <row r="31" spans="2:6">
      <c r="B31" s="3747" t="s">
        <v>6342</v>
      </c>
      <c r="C31" s="3748"/>
      <c r="D31" s="3752">
        <v>-48000000</v>
      </c>
      <c r="E31" s="3749">
        <v>-22170000</v>
      </c>
      <c r="F31" s="3749">
        <v>-80000000</v>
      </c>
    </row>
    <row r="32" spans="2:6">
      <c r="B32" s="3747" t="s">
        <v>6343</v>
      </c>
      <c r="C32" s="3748"/>
      <c r="D32" s="3750" t="s">
        <v>6345</v>
      </c>
      <c r="E32" s="3751" t="s">
        <v>6344</v>
      </c>
      <c r="F32" s="3751" t="s">
        <v>6366</v>
      </c>
    </row>
    <row r="33" spans="2:6">
      <c r="B33" s="3747" t="s">
        <v>6346</v>
      </c>
      <c r="C33" s="3748"/>
      <c r="D33" s="3750" t="s">
        <v>1432</v>
      </c>
      <c r="E33" s="3751" t="s">
        <v>6347</v>
      </c>
      <c r="F33" s="3751" t="s">
        <v>1432</v>
      </c>
    </row>
    <row r="34" spans="2:6">
      <c r="B34" s="3747" t="s">
        <v>1440</v>
      </c>
      <c r="C34" s="3748"/>
      <c r="D34" s="3752">
        <v>-8232662410</v>
      </c>
      <c r="E34" s="3749">
        <v>-2547762882</v>
      </c>
      <c r="F34" s="3749">
        <v>-7757978580</v>
      </c>
    </row>
    <row r="35" spans="2:6">
      <c r="B35" s="3747" t="s">
        <v>1434</v>
      </c>
      <c r="C35" s="3748"/>
      <c r="D35" s="3750" t="s">
        <v>6349</v>
      </c>
      <c r="E35" s="3751" t="s">
        <v>6348</v>
      </c>
      <c r="F35" s="3751">
        <v>0</v>
      </c>
    </row>
    <row r="36" spans="2:6">
      <c r="B36" s="3747" t="s">
        <v>1441</v>
      </c>
      <c r="C36" s="3748"/>
      <c r="D36" s="3750"/>
      <c r="E36" s="3751"/>
      <c r="F36" s="3749">
        <v>-92893400</v>
      </c>
    </row>
    <row r="37" spans="2:6">
      <c r="B37" s="3747" t="s">
        <v>6350</v>
      </c>
      <c r="C37" s="3748"/>
      <c r="D37" s="3750" t="s">
        <v>1432</v>
      </c>
      <c r="E37" s="3751" t="s">
        <v>6351</v>
      </c>
      <c r="F37" s="3751" t="s">
        <v>6367</v>
      </c>
    </row>
    <row r="38" spans="2:6">
      <c r="B38" s="3747" t="s">
        <v>1443</v>
      </c>
      <c r="C38" s="3748">
        <v>29</v>
      </c>
      <c r="D38" s="3752">
        <v>-32226000000</v>
      </c>
      <c r="E38" s="3749">
        <v>-20057845445</v>
      </c>
      <c r="F38" s="3749">
        <v>-63420976</v>
      </c>
    </row>
    <row r="39" spans="2:6">
      <c r="B39" s="3747" t="s">
        <v>6352</v>
      </c>
      <c r="C39" s="3748"/>
      <c r="D39" s="3750" t="s">
        <v>6354</v>
      </c>
      <c r="E39" s="3751" t="s">
        <v>6353</v>
      </c>
      <c r="F39" s="3751" t="s">
        <v>6368</v>
      </c>
    </row>
    <row r="40" spans="2:6">
      <c r="B40" s="3747" t="s">
        <v>1445</v>
      </c>
      <c r="C40" s="3748"/>
      <c r="D40" s="3752">
        <v>-213509052117</v>
      </c>
      <c r="E40" s="3749">
        <v>-203118000000</v>
      </c>
      <c r="F40" s="3749">
        <v>-20337900000</v>
      </c>
    </row>
    <row r="41" spans="2:6">
      <c r="B41" s="3747" t="s">
        <v>6355</v>
      </c>
      <c r="C41" s="3748"/>
      <c r="D41" s="3750" t="s">
        <v>1432</v>
      </c>
      <c r="E41" s="3749">
        <v>-20000000000</v>
      </c>
      <c r="F41" s="3751" t="s">
        <v>1432</v>
      </c>
    </row>
    <row r="42" spans="2:6">
      <c r="B42" s="3747" t="s">
        <v>6356</v>
      </c>
      <c r="C42" s="3748"/>
      <c r="D42" s="3750" t="s">
        <v>1432</v>
      </c>
      <c r="E42" s="3749">
        <v>-57845445</v>
      </c>
      <c r="F42" s="3749">
        <v>-63420976</v>
      </c>
    </row>
    <row r="43" spans="2:6">
      <c r="B43" s="3747" t="s">
        <v>6357</v>
      </c>
      <c r="C43" s="3748"/>
      <c r="D43" s="3750" t="s">
        <v>6359</v>
      </c>
      <c r="E43" s="3751" t="s">
        <v>6358</v>
      </c>
      <c r="F43" s="3751" t="s">
        <v>6369</v>
      </c>
    </row>
    <row r="44" spans="2:6">
      <c r="B44" s="3747" t="s">
        <v>1451</v>
      </c>
      <c r="C44" s="3748">
        <v>8</v>
      </c>
      <c r="D44" s="3750" t="s">
        <v>6361</v>
      </c>
      <c r="E44" s="3751" t="s">
        <v>6360</v>
      </c>
      <c r="F44" s="3751" t="s">
        <v>6362</v>
      </c>
    </row>
    <row r="45" spans="2:6">
      <c r="B45" s="3759" t="s">
        <v>1453</v>
      </c>
      <c r="C45" s="3760">
        <v>8</v>
      </c>
      <c r="D45" s="3757" t="s">
        <v>6360</v>
      </c>
      <c r="E45" s="3756" t="s">
        <v>6362</v>
      </c>
      <c r="F45" s="3756" t="s">
        <v>6370</v>
      </c>
    </row>
    <row r="47" spans="2:6">
      <c r="B47" s="3761" t="s">
        <v>1507</v>
      </c>
    </row>
    <row r="48" spans="2:6">
      <c r="B48" s="3744" t="s">
        <v>1407</v>
      </c>
      <c r="C48" s="3745" t="s">
        <v>2204</v>
      </c>
      <c r="D48" s="3745">
        <v>2018</v>
      </c>
      <c r="E48" s="3746">
        <v>2019</v>
      </c>
      <c r="F48" s="3745">
        <v>2020</v>
      </c>
    </row>
    <row r="49" spans="2:6">
      <c r="B49" s="3747" t="s">
        <v>1424</v>
      </c>
      <c r="C49" s="3748"/>
      <c r="D49" s="3749">
        <v>176443255</v>
      </c>
      <c r="E49" s="3750" t="s">
        <v>6373</v>
      </c>
      <c r="F49" s="3751" t="s">
        <v>6372</v>
      </c>
    </row>
    <row r="50" spans="2:6">
      <c r="B50" s="3747" t="s">
        <v>1425</v>
      </c>
      <c r="C50" s="3748">
        <v>29</v>
      </c>
      <c r="D50" s="3749">
        <v>171080820</v>
      </c>
      <c r="E50" s="3750" t="s">
        <v>6375</v>
      </c>
      <c r="F50" s="3751" t="s">
        <v>6374</v>
      </c>
    </row>
    <row r="51" spans="2:6">
      <c r="B51" s="3747" t="s">
        <v>6376</v>
      </c>
      <c r="C51" s="3748"/>
      <c r="D51" s="3749">
        <v>95156110</v>
      </c>
      <c r="E51" s="3750" t="s">
        <v>6378</v>
      </c>
      <c r="F51" s="3751" t="s">
        <v>6377</v>
      </c>
    </row>
    <row r="52" spans="2:6">
      <c r="B52" s="3747" t="s">
        <v>6379</v>
      </c>
      <c r="C52" s="3748"/>
      <c r="D52" s="3749">
        <v>-89793675</v>
      </c>
      <c r="E52" s="3752">
        <v>-130462840</v>
      </c>
      <c r="F52" s="3749">
        <v>-563943912</v>
      </c>
    </row>
    <row r="53" spans="2:6">
      <c r="B53" s="3747" t="s">
        <v>1429</v>
      </c>
      <c r="C53" s="3748"/>
      <c r="D53" s="3749">
        <v>-348775792</v>
      </c>
      <c r="E53" s="3752">
        <v>955992198</v>
      </c>
      <c r="F53" s="3749">
        <v>-289002676</v>
      </c>
    </row>
    <row r="54" spans="2:6">
      <c r="B54" s="3747" t="s">
        <v>1440</v>
      </c>
      <c r="C54" s="3748"/>
      <c r="D54" s="3749">
        <v>-100699187</v>
      </c>
      <c r="E54" s="3752">
        <v>-91106890</v>
      </c>
      <c r="F54" s="3749">
        <v>-83847876</v>
      </c>
    </row>
    <row r="55" spans="2:6">
      <c r="B55" s="3747" t="s">
        <v>1434</v>
      </c>
      <c r="C55" s="3748"/>
      <c r="D55" s="3749">
        <v>3363634</v>
      </c>
      <c r="E55" s="3750" t="s">
        <v>6381</v>
      </c>
      <c r="F55" s="3751" t="s">
        <v>6380</v>
      </c>
    </row>
    <row r="56" spans="2:6">
      <c r="B56" s="3747" t="s">
        <v>6316</v>
      </c>
      <c r="C56" s="3748"/>
      <c r="D56" s="3751">
        <v>0</v>
      </c>
      <c r="E56" s="3750"/>
      <c r="F56" s="3751"/>
    </row>
    <row r="57" spans="2:6">
      <c r="B57" s="3747" t="s">
        <v>1437</v>
      </c>
      <c r="C57" s="3748"/>
      <c r="D57" s="3749">
        <v>-4500000000</v>
      </c>
      <c r="E57" s="3752">
        <v>-3000000000</v>
      </c>
      <c r="F57" s="3749">
        <v>-3212500000</v>
      </c>
    </row>
    <row r="58" spans="2:6">
      <c r="B58" s="3747" t="s">
        <v>1430</v>
      </c>
      <c r="C58" s="3748"/>
      <c r="D58" s="3749">
        <v>4500000000</v>
      </c>
      <c r="E58" s="3750" t="s">
        <v>6382</v>
      </c>
      <c r="F58" s="3751" t="s">
        <v>1519</v>
      </c>
    </row>
    <row r="59" spans="2:6">
      <c r="B59" s="3747" t="s">
        <v>6342</v>
      </c>
      <c r="C59" s="3748"/>
      <c r="D59" s="3749">
        <v>-226607138</v>
      </c>
      <c r="E59" s="3752">
        <v>-18722364</v>
      </c>
      <c r="F59" s="3751" t="s">
        <v>1432</v>
      </c>
    </row>
    <row r="60" spans="2:6">
      <c r="B60" s="3747" t="s">
        <v>6343</v>
      </c>
      <c r="C60" s="3748"/>
      <c r="D60" s="3751" t="s">
        <v>125</v>
      </c>
      <c r="E60" s="3750" t="s">
        <v>6384</v>
      </c>
      <c r="F60" s="3751" t="s">
        <v>6383</v>
      </c>
    </row>
    <row r="61" spans="2:6">
      <c r="B61" s="3747" t="s">
        <v>6385</v>
      </c>
      <c r="C61" s="3748"/>
      <c r="D61" s="3749">
        <v>-24833101</v>
      </c>
      <c r="E61" s="3752">
        <v>-15551197</v>
      </c>
      <c r="F61" s="3751" t="s">
        <v>6386</v>
      </c>
    </row>
    <row r="62" spans="2:6">
      <c r="B62" s="3747" t="s">
        <v>1443</v>
      </c>
      <c r="E62" s="3752">
        <v>-3039240000</v>
      </c>
      <c r="F62" s="3749">
        <v>-2041039000</v>
      </c>
    </row>
    <row r="63" spans="2:6">
      <c r="B63" s="3747" t="s">
        <v>6387</v>
      </c>
      <c r="E63" s="3750" t="s">
        <v>1432</v>
      </c>
      <c r="F63" s="3749">
        <v>-1970000</v>
      </c>
    </row>
    <row r="64" spans="2:6">
      <c r="B64" s="3747" t="s">
        <v>6388</v>
      </c>
      <c r="E64" s="3752">
        <v>-3000000000</v>
      </c>
      <c r="F64" s="3749">
        <v>-2000000000</v>
      </c>
    </row>
    <row r="65" spans="2:6">
      <c r="B65" s="3747" t="s">
        <v>1446</v>
      </c>
      <c r="E65" s="3752">
        <v>-39240000</v>
      </c>
      <c r="F65" s="3749">
        <v>-39069000</v>
      </c>
    </row>
    <row r="66" spans="2:6">
      <c r="B66" s="3747" t="s">
        <v>6371</v>
      </c>
      <c r="C66" s="3748"/>
      <c r="D66" s="3749">
        <v>-172332537</v>
      </c>
      <c r="E66" s="3750" t="s">
        <v>6389</v>
      </c>
      <c r="F66" s="3749">
        <v>-2106040108</v>
      </c>
    </row>
    <row r="67" spans="2:6">
      <c r="B67" s="3747" t="s">
        <v>1451</v>
      </c>
      <c r="C67" s="3748"/>
      <c r="D67" s="3749">
        <v>4512316673</v>
      </c>
      <c r="E67" s="3750" t="s">
        <v>6391</v>
      </c>
      <c r="F67" s="3751" t="s">
        <v>6390</v>
      </c>
    </row>
    <row r="68" spans="2:6">
      <c r="B68" s="3759" t="s">
        <v>1453</v>
      </c>
      <c r="C68" s="3760"/>
      <c r="D68" s="3762">
        <v>4339984136</v>
      </c>
      <c r="E68" s="3757" t="s">
        <v>6390</v>
      </c>
      <c r="F68" s="3756" t="s">
        <v>6392</v>
      </c>
    </row>
    <row r="70" spans="2:6">
      <c r="B70" s="3761" t="s">
        <v>6423</v>
      </c>
    </row>
    <row r="71" spans="2:6">
      <c r="B71" s="3744" t="s">
        <v>1510</v>
      </c>
      <c r="C71" s="3745" t="s">
        <v>2204</v>
      </c>
      <c r="D71" s="3746">
        <v>2018</v>
      </c>
      <c r="E71" s="3745">
        <v>2019</v>
      </c>
      <c r="F71" s="3745">
        <v>2020</v>
      </c>
    </row>
    <row r="72" spans="2:6" ht="22.5">
      <c r="B72" s="3747" t="s">
        <v>6441</v>
      </c>
      <c r="C72" s="3763"/>
      <c r="D72" s="3750" t="s">
        <v>6394</v>
      </c>
      <c r="E72" s="3751" t="s">
        <v>6393</v>
      </c>
      <c r="F72" s="3751" t="s">
        <v>6424</v>
      </c>
    </row>
    <row r="73" spans="2:6" ht="22.5">
      <c r="B73" s="3747" t="s">
        <v>1425</v>
      </c>
      <c r="C73" s="3748">
        <v>29</v>
      </c>
      <c r="D73" s="3750" t="s">
        <v>6396</v>
      </c>
      <c r="E73" s="3751" t="s">
        <v>6395</v>
      </c>
      <c r="F73" s="3751" t="s">
        <v>6425</v>
      </c>
    </row>
    <row r="74" spans="2:6" ht="22.5">
      <c r="B74" s="3747" t="s">
        <v>1514</v>
      </c>
      <c r="C74" s="3748"/>
      <c r="D74" s="3750" t="s">
        <v>6398</v>
      </c>
      <c r="E74" s="3751" t="s">
        <v>6397</v>
      </c>
      <c r="F74" s="3751" t="s">
        <v>6426</v>
      </c>
    </row>
    <row r="75" spans="2:6">
      <c r="B75" s="3747" t="s">
        <v>1520</v>
      </c>
      <c r="C75" s="3748"/>
      <c r="D75" s="3750" t="s">
        <v>6400</v>
      </c>
      <c r="E75" s="3751" t="s">
        <v>6399</v>
      </c>
      <c r="F75" s="3751" t="s">
        <v>6427</v>
      </c>
    </row>
    <row r="76" spans="2:6">
      <c r="B76" s="3747" t="s">
        <v>1521</v>
      </c>
      <c r="C76" s="3763"/>
      <c r="D76" s="3750" t="s">
        <v>6402</v>
      </c>
      <c r="E76" s="3751" t="s">
        <v>6401</v>
      </c>
      <c r="F76" s="3751" t="s">
        <v>6428</v>
      </c>
    </row>
    <row r="77" spans="2:6">
      <c r="B77" s="3747" t="s">
        <v>1429</v>
      </c>
      <c r="C77" s="3763"/>
      <c r="D77" s="3750" t="s">
        <v>6404</v>
      </c>
      <c r="E77" s="3751" t="s">
        <v>6403</v>
      </c>
      <c r="F77" s="3751" t="s">
        <v>6429</v>
      </c>
    </row>
    <row r="78" spans="2:6">
      <c r="B78" s="3747" t="s">
        <v>6430</v>
      </c>
      <c r="F78" s="3751" t="s">
        <v>6431</v>
      </c>
    </row>
    <row r="79" spans="2:6" ht="22.5">
      <c r="B79" s="3747" t="s">
        <v>6405</v>
      </c>
      <c r="C79" s="3748"/>
      <c r="D79" s="3750" t="s">
        <v>6406</v>
      </c>
      <c r="E79" s="3749">
        <v>-76162464</v>
      </c>
      <c r="F79" s="3751" t="s">
        <v>6432</v>
      </c>
    </row>
    <row r="80" spans="2:6">
      <c r="B80" s="3747" t="s">
        <v>6407</v>
      </c>
      <c r="C80" s="3748"/>
      <c r="D80" s="3750" t="s">
        <v>6408</v>
      </c>
      <c r="E80" s="3751"/>
      <c r="F80" s="3751" t="s">
        <v>1432</v>
      </c>
    </row>
    <row r="81" spans="2:6">
      <c r="B81" s="3747" t="s">
        <v>1440</v>
      </c>
      <c r="C81" s="3748"/>
      <c r="D81" s="3752">
        <v>-695440214</v>
      </c>
      <c r="E81" s="3749">
        <v>3524926</v>
      </c>
      <c r="F81" s="3749">
        <v>-667034001</v>
      </c>
    </row>
    <row r="82" spans="2:6">
      <c r="B82" s="3747" t="s">
        <v>1441</v>
      </c>
      <c r="C82" s="3748"/>
      <c r="D82" s="3750">
        <v>0</v>
      </c>
      <c r="E82" s="3749">
        <v>-3656551</v>
      </c>
      <c r="F82" s="3751">
        <v>0</v>
      </c>
    </row>
    <row r="83" spans="2:6">
      <c r="B83" s="3747" t="s">
        <v>1443</v>
      </c>
      <c r="C83" s="3748">
        <v>29</v>
      </c>
      <c r="D83" s="3750" t="s">
        <v>6410</v>
      </c>
      <c r="E83" s="3751" t="s">
        <v>6409</v>
      </c>
      <c r="F83" s="3751" t="s">
        <v>6433</v>
      </c>
    </row>
    <row r="84" spans="2:6">
      <c r="B84" s="3747" t="s">
        <v>6388</v>
      </c>
      <c r="F84" s="3751" t="s">
        <v>6434</v>
      </c>
    </row>
    <row r="85" spans="2:6" ht="22.5">
      <c r="B85" s="3747" t="s">
        <v>1445</v>
      </c>
      <c r="C85" s="3748"/>
      <c r="D85" s="3750" t="s">
        <v>6410</v>
      </c>
      <c r="E85" s="3751" t="s">
        <v>6411</v>
      </c>
      <c r="F85" s="3751" t="s">
        <v>6432</v>
      </c>
    </row>
    <row r="86" spans="2:6">
      <c r="B86" s="3747" t="s">
        <v>6356</v>
      </c>
      <c r="C86" s="3748"/>
      <c r="D86" s="3750" t="s">
        <v>1432</v>
      </c>
      <c r="E86" s="3751" t="s">
        <v>6412</v>
      </c>
      <c r="F86" s="3751" t="s">
        <v>6435</v>
      </c>
    </row>
    <row r="87" spans="2:6">
      <c r="B87" s="3747" t="s">
        <v>6413</v>
      </c>
      <c r="C87" s="3748"/>
      <c r="D87" s="3750" t="s">
        <v>1432</v>
      </c>
      <c r="E87" s="3751" t="s">
        <v>6414</v>
      </c>
      <c r="F87" s="3751" t="s">
        <v>1432</v>
      </c>
    </row>
    <row r="88" spans="2:6" ht="22.5">
      <c r="B88" s="3747" t="s">
        <v>6436</v>
      </c>
      <c r="C88" s="3763"/>
      <c r="D88" s="3750" t="s">
        <v>6416</v>
      </c>
      <c r="E88" s="3751" t="s">
        <v>6415</v>
      </c>
      <c r="F88" s="3751" t="s">
        <v>6437</v>
      </c>
    </row>
    <row r="89" spans="2:6" ht="22.5">
      <c r="B89" s="3747" t="s">
        <v>1451</v>
      </c>
      <c r="C89" s="3763"/>
      <c r="D89" s="3750" t="s">
        <v>6418</v>
      </c>
      <c r="E89" s="3751" t="s">
        <v>6417</v>
      </c>
      <c r="F89" s="3751" t="s">
        <v>6438</v>
      </c>
    </row>
    <row r="90" spans="2:6" ht="22.5">
      <c r="B90" s="3747" t="s">
        <v>1452</v>
      </c>
      <c r="C90" s="3748"/>
      <c r="D90" s="3750" t="s">
        <v>6420</v>
      </c>
      <c r="E90" s="3751" t="s">
        <v>6419</v>
      </c>
      <c r="F90" s="3751" t="s">
        <v>6439</v>
      </c>
    </row>
    <row r="91" spans="2:6" ht="22.5">
      <c r="B91" s="3754" t="s">
        <v>1453</v>
      </c>
      <c r="C91" s="3764"/>
      <c r="D91" s="3757" t="s">
        <v>6422</v>
      </c>
      <c r="E91" s="3756" t="s">
        <v>6421</v>
      </c>
      <c r="F91" s="3756" t="s">
        <v>6440</v>
      </c>
    </row>
    <row r="131" spans="2:2">
      <c r="B131">
        <v>0</v>
      </c>
    </row>
  </sheetData>
  <phoneticPr fontId="1" type="noConversion"/>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T36"/>
  <sheetViews>
    <sheetView workbookViewId="0">
      <selection activeCell="K26" sqref="J25:K26"/>
    </sheetView>
  </sheetViews>
  <sheetFormatPr defaultColWidth="9" defaultRowHeight="12"/>
  <cols>
    <col min="1" max="1" width="30.75" style="1" bestFit="1" customWidth="1"/>
    <col min="2" max="13" width="9" style="1"/>
    <col min="14" max="14" width="11" style="1" bestFit="1" customWidth="1"/>
    <col min="15" max="16384" width="9" style="1"/>
  </cols>
  <sheetData>
    <row r="1" spans="1:20" ht="16.5">
      <c r="A1" s="2520"/>
      <c r="B1" s="2520"/>
      <c r="C1" s="2520"/>
      <c r="D1" s="2520"/>
      <c r="E1" s="2520"/>
      <c r="F1" s="2520"/>
      <c r="G1" s="2520"/>
      <c r="H1" s="2520"/>
      <c r="I1" s="2520"/>
      <c r="J1" s="2520"/>
      <c r="N1" s="3073" t="s">
        <v>5643</v>
      </c>
      <c r="O1" s="3074"/>
      <c r="P1" s="3074"/>
      <c r="Q1" s="3074"/>
      <c r="R1" s="3074"/>
      <c r="S1" s="3074"/>
      <c r="T1" s="3074"/>
    </row>
    <row r="2" spans="1:20" ht="16.5">
      <c r="A2" s="738" t="s">
        <v>4918</v>
      </c>
      <c r="B2" s="5482" t="s">
        <v>4919</v>
      </c>
      <c r="C2" s="5482"/>
      <c r="D2" s="5482"/>
      <c r="E2" s="738"/>
      <c r="F2" s="738"/>
      <c r="G2" s="738"/>
      <c r="H2" s="738"/>
      <c r="I2" s="738"/>
      <c r="J2" s="738"/>
      <c r="N2" s="3075" t="s">
        <v>5644</v>
      </c>
      <c r="O2" s="5146">
        <v>2021</v>
      </c>
      <c r="P2" s="5146">
        <v>2022</v>
      </c>
      <c r="Q2" s="5146">
        <v>2023</v>
      </c>
      <c r="R2" s="5146">
        <v>2024</v>
      </c>
      <c r="S2" s="5146">
        <v>2025</v>
      </c>
      <c r="T2" s="5146">
        <v>2026</v>
      </c>
    </row>
    <row r="3" spans="1:20" ht="16.5">
      <c r="A3" s="738" t="s">
        <v>4920</v>
      </c>
      <c r="B3" s="5482" t="s">
        <v>4921</v>
      </c>
      <c r="C3" s="5482"/>
      <c r="D3" s="5482"/>
      <c r="E3" s="738"/>
      <c r="F3" s="738"/>
      <c r="G3" s="738"/>
      <c r="H3" s="738"/>
      <c r="I3" s="738"/>
      <c r="J3" s="738"/>
      <c r="N3" s="2045" t="s">
        <v>5645</v>
      </c>
      <c r="O3" s="3076">
        <v>67.927499999999995</v>
      </c>
      <c r="P3" s="3076">
        <v>70.11</v>
      </c>
      <c r="Q3" s="3076">
        <v>66.25833333333334</v>
      </c>
      <c r="R3" s="3076">
        <v>63.596666666666664</v>
      </c>
      <c r="S3" s="3076">
        <v>61.915833333333332</v>
      </c>
      <c r="T3" s="3076">
        <v>60.77</v>
      </c>
    </row>
    <row r="4" spans="1:20" ht="16.5">
      <c r="A4" s="738" t="s">
        <v>3676</v>
      </c>
      <c r="B4" s="5482" t="s">
        <v>4922</v>
      </c>
      <c r="C4" s="5482"/>
      <c r="D4" s="5482"/>
      <c r="E4" s="738"/>
      <c r="F4" s="738"/>
      <c r="G4" s="738"/>
      <c r="H4" s="738"/>
      <c r="I4" s="738"/>
      <c r="J4" s="738"/>
      <c r="N4" s="2045" t="s">
        <v>5646</v>
      </c>
      <c r="O4" s="3076">
        <v>71.265833333333333</v>
      </c>
      <c r="P4" s="3076">
        <v>73.51909090909092</v>
      </c>
      <c r="Q4" s="3076">
        <v>70.240833333333342</v>
      </c>
      <c r="R4" s="3076">
        <v>68.191666666666677</v>
      </c>
      <c r="S4" s="3076">
        <v>66.966666666666669</v>
      </c>
      <c r="T4" s="3076">
        <v>66.274999999999991</v>
      </c>
    </row>
    <row r="5" spans="1:20" ht="16.5">
      <c r="A5" s="738"/>
      <c r="B5" s="738"/>
      <c r="C5" s="738"/>
      <c r="D5" s="738"/>
      <c r="E5" s="738"/>
      <c r="F5" s="738"/>
      <c r="G5" s="738"/>
      <c r="H5" s="738"/>
      <c r="I5" s="738"/>
      <c r="J5" s="738"/>
      <c r="N5" s="3077" t="s">
        <v>5647</v>
      </c>
      <c r="O5" s="3077">
        <v>69.965000000000003</v>
      </c>
      <c r="P5" s="3077">
        <v>71</v>
      </c>
      <c r="Q5" s="3077">
        <v>69</v>
      </c>
      <c r="R5" s="3077">
        <v>71.894999999999996</v>
      </c>
      <c r="S5" s="3077">
        <v>68.364999999999995</v>
      </c>
      <c r="T5" s="3077"/>
    </row>
    <row r="6" spans="1:20" ht="16.5">
      <c r="A6" s="738"/>
      <c r="B6" s="5145" t="s">
        <v>3676</v>
      </c>
      <c r="C6" s="5145" t="s">
        <v>3658</v>
      </c>
      <c r="D6" s="5145" t="s">
        <v>3659</v>
      </c>
      <c r="E6" s="5145" t="s">
        <v>3660</v>
      </c>
      <c r="F6" s="5145" t="s">
        <v>3661</v>
      </c>
      <c r="G6" s="5145">
        <v>2022</v>
      </c>
      <c r="H6" s="5145">
        <v>2023</v>
      </c>
      <c r="I6" s="5145">
        <v>2024</v>
      </c>
      <c r="J6" s="5145">
        <v>2025</v>
      </c>
      <c r="K6" s="5145">
        <v>2026</v>
      </c>
      <c r="N6" s="3078" t="s">
        <v>5648</v>
      </c>
      <c r="O6" s="2045"/>
      <c r="P6" s="2045"/>
      <c r="Q6" s="2045"/>
      <c r="R6" s="2045"/>
      <c r="S6" s="2045"/>
      <c r="T6" s="2045"/>
    </row>
    <row r="7" spans="1:20" ht="16.5">
      <c r="A7" s="738" t="s">
        <v>4923</v>
      </c>
      <c r="B7" s="738"/>
      <c r="C7" s="2521">
        <v>1145</v>
      </c>
      <c r="D7" s="2521">
        <v>1133</v>
      </c>
      <c r="E7" s="2521">
        <v>1130</v>
      </c>
      <c r="F7" s="2521">
        <v>1120</v>
      </c>
      <c r="G7" s="2521">
        <v>1124</v>
      </c>
      <c r="H7" s="2521">
        <v>1120</v>
      </c>
      <c r="I7" s="2521" t="s">
        <v>4924</v>
      </c>
      <c r="J7" s="2521" t="s">
        <v>4924</v>
      </c>
      <c r="N7" s="2045" t="s">
        <v>5640</v>
      </c>
      <c r="O7" s="2045"/>
      <c r="P7" s="3079">
        <v>3.2129844319311207E-2</v>
      </c>
      <c r="Q7" s="3079">
        <v>-5.4937479199353323E-2</v>
      </c>
      <c r="R7" s="3079">
        <v>-4.0171047666960225E-2</v>
      </c>
      <c r="S7" s="3079">
        <v>-2.6429582263221341E-2</v>
      </c>
      <c r="T7" s="3079">
        <v>-1.8506305603036344E-2</v>
      </c>
    </row>
    <row r="8" spans="1:20" ht="16.5">
      <c r="A8" s="2522" t="s">
        <v>4925</v>
      </c>
      <c r="B8" s="2522"/>
      <c r="C8" s="2523">
        <v>1140</v>
      </c>
      <c r="D8" s="2523">
        <v>1130</v>
      </c>
      <c r="E8" s="2523">
        <v>1125</v>
      </c>
      <c r="F8" s="2523">
        <v>1121</v>
      </c>
      <c r="G8" s="2523">
        <v>1115</v>
      </c>
      <c r="H8" s="2523">
        <v>1118</v>
      </c>
      <c r="I8" s="2523">
        <f>AVERAGE(I17,I20)</f>
        <v>1108.5</v>
      </c>
      <c r="J8" s="2523">
        <f>AVERAGE(J17,J20)</f>
        <v>1103.5</v>
      </c>
      <c r="K8" s="19">
        <f>J8</f>
        <v>1103.5</v>
      </c>
      <c r="N8" s="2045" t="s">
        <v>5641</v>
      </c>
      <c r="O8" s="2045"/>
      <c r="P8" s="3079">
        <v>3.1617641587356138E-2</v>
      </c>
      <c r="Q8" s="3079">
        <v>-4.4590561923722127E-2</v>
      </c>
      <c r="R8" s="3079">
        <v>-2.9173439001530466E-2</v>
      </c>
      <c r="S8" s="3079">
        <v>-1.7964071856287567E-2</v>
      </c>
      <c r="T8" s="3079">
        <v>-1.0328521652563594E-2</v>
      </c>
    </row>
    <row r="9" spans="1:20" ht="16.5">
      <c r="A9" s="738" t="s">
        <v>4926</v>
      </c>
      <c r="B9" s="738"/>
      <c r="C9" s="2521">
        <v>1180</v>
      </c>
      <c r="D9" s="2521">
        <v>1185</v>
      </c>
      <c r="E9" s="2521">
        <v>1190</v>
      </c>
      <c r="F9" s="2521">
        <v>1170</v>
      </c>
      <c r="G9" s="2521">
        <v>1165</v>
      </c>
      <c r="H9" s="2521">
        <v>1170</v>
      </c>
      <c r="I9" s="2521" t="s">
        <v>4924</v>
      </c>
      <c r="J9" s="2521" t="s">
        <v>4924</v>
      </c>
      <c r="N9" s="3077" t="s">
        <v>5642</v>
      </c>
      <c r="O9" s="3077"/>
      <c r="P9" s="3080">
        <v>1.4793110841134771E-2</v>
      </c>
      <c r="Q9" s="3080">
        <v>-2.8169014084507005E-2</v>
      </c>
      <c r="R9" s="3080">
        <v>4.1956521739130448E-2</v>
      </c>
      <c r="S9" s="3080">
        <v>-4.9099381041797119E-2</v>
      </c>
      <c r="T9" s="3080">
        <v>-1</v>
      </c>
    </row>
    <row r="10" spans="1:20">
      <c r="A10" s="738" t="s">
        <v>4927</v>
      </c>
      <c r="B10" s="738"/>
      <c r="C10" s="2521">
        <v>1070</v>
      </c>
      <c r="D10" s="2521">
        <v>1020</v>
      </c>
      <c r="E10" s="2521">
        <v>1020</v>
      </c>
      <c r="F10" s="2521">
        <v>1030</v>
      </c>
      <c r="G10" s="2521">
        <v>1030</v>
      </c>
      <c r="H10" s="2521">
        <v>1040</v>
      </c>
      <c r="I10" s="2521" t="s">
        <v>4924</v>
      </c>
      <c r="J10" s="2521" t="s">
        <v>4924</v>
      </c>
      <c r="P10" s="78">
        <f>AVERAGE(P7:P9)</f>
        <v>2.6180198915934039E-2</v>
      </c>
      <c r="Q10" s="78">
        <f>AVERAGE(Q7:Q9)</f>
        <v>-4.2565685069194149E-2</v>
      </c>
      <c r="R10" s="78">
        <f>AVERAGE(R7:R9)</f>
        <v>-9.1293216431200808E-3</v>
      </c>
      <c r="S10" s="78">
        <f>AVERAGE(S7:S9)</f>
        <v>-3.1164345053768677E-2</v>
      </c>
      <c r="T10" s="78">
        <f>AVERAGE(T7:T8)</f>
        <v>-1.4417413627799969E-2</v>
      </c>
    </row>
    <row r="11" spans="1:20">
      <c r="A11" s="2522" t="s">
        <v>4928</v>
      </c>
      <c r="B11" s="2522"/>
      <c r="C11" s="2523">
        <v>1177</v>
      </c>
      <c r="D11" s="2523">
        <v>1178</v>
      </c>
      <c r="E11" s="2523">
        <v>1180</v>
      </c>
      <c r="F11" s="2523">
        <v>1181</v>
      </c>
      <c r="G11" s="2523">
        <v>1184</v>
      </c>
      <c r="H11" s="2523">
        <v>1183</v>
      </c>
      <c r="I11" s="2523">
        <v>1180</v>
      </c>
      <c r="J11" s="2523">
        <v>1176</v>
      </c>
      <c r="K11" s="19">
        <f>J11</f>
        <v>1176</v>
      </c>
    </row>
    <row r="12" spans="1:20">
      <c r="A12" s="738"/>
      <c r="B12" s="738"/>
      <c r="C12" s="2521"/>
      <c r="D12" s="2521"/>
      <c r="E12" s="2521"/>
      <c r="F12" s="2521"/>
      <c r="G12" s="2521"/>
      <c r="H12" s="2521"/>
      <c r="I12" s="2521"/>
      <c r="J12" s="2521"/>
    </row>
    <row r="13" spans="1:20">
      <c r="A13" s="738" t="s">
        <v>4929</v>
      </c>
      <c r="B13" s="738" t="s">
        <v>4930</v>
      </c>
      <c r="C13" s="2521">
        <v>1100</v>
      </c>
      <c r="D13" s="2521">
        <v>1050</v>
      </c>
      <c r="E13" s="2521">
        <v>1035</v>
      </c>
      <c r="F13" s="2521">
        <v>1030</v>
      </c>
      <c r="G13" s="2521">
        <v>1030</v>
      </c>
      <c r="H13" s="2521" t="s">
        <v>4924</v>
      </c>
      <c r="I13" s="2521" t="s">
        <v>4924</v>
      </c>
      <c r="J13" s="2521" t="s">
        <v>4924</v>
      </c>
    </row>
    <row r="14" spans="1:20">
      <c r="A14" s="738" t="s">
        <v>4931</v>
      </c>
      <c r="B14" s="738" t="s">
        <v>4932</v>
      </c>
      <c r="C14" s="2521">
        <v>1120</v>
      </c>
      <c r="D14" s="2521">
        <v>1130</v>
      </c>
      <c r="E14" s="2521">
        <v>1140</v>
      </c>
      <c r="F14" s="2521">
        <v>1116</v>
      </c>
      <c r="G14" s="2521">
        <v>1092</v>
      </c>
      <c r="H14" s="2521" t="s">
        <v>4924</v>
      </c>
      <c r="I14" s="2521" t="s">
        <v>4924</v>
      </c>
      <c r="J14" s="2521" t="s">
        <v>4924</v>
      </c>
    </row>
    <row r="15" spans="1:20">
      <c r="A15" s="738" t="s">
        <v>4933</v>
      </c>
      <c r="B15" s="738" t="s">
        <v>4934</v>
      </c>
      <c r="C15" s="2521">
        <v>1160</v>
      </c>
      <c r="D15" s="2521">
        <v>1145</v>
      </c>
      <c r="E15" s="2521">
        <v>1140</v>
      </c>
      <c r="F15" s="2521">
        <v>1145</v>
      </c>
      <c r="G15" s="2521">
        <v>1150</v>
      </c>
      <c r="H15" s="2521" t="s">
        <v>4924</v>
      </c>
      <c r="I15" s="2521" t="s">
        <v>4924</v>
      </c>
      <c r="J15" s="2521" t="s">
        <v>4924</v>
      </c>
    </row>
    <row r="16" spans="1:20">
      <c r="A16" s="738" t="s">
        <v>4935</v>
      </c>
      <c r="B16" s="738" t="s">
        <v>4934</v>
      </c>
      <c r="C16" s="2521">
        <v>1140</v>
      </c>
      <c r="D16" s="2521">
        <v>1120</v>
      </c>
      <c r="E16" s="2521">
        <v>1120</v>
      </c>
      <c r="F16" s="2521">
        <v>1100</v>
      </c>
      <c r="G16" s="2521">
        <v>1100</v>
      </c>
      <c r="H16" s="2521" t="s">
        <v>4924</v>
      </c>
      <c r="I16" s="2521" t="s">
        <v>4924</v>
      </c>
      <c r="J16" s="2521" t="s">
        <v>4924</v>
      </c>
    </row>
    <row r="17" spans="1:10">
      <c r="A17" s="738" t="s">
        <v>4936</v>
      </c>
      <c r="B17" s="738" t="s">
        <v>4937</v>
      </c>
      <c r="C17" s="2521">
        <v>1145</v>
      </c>
      <c r="D17" s="2521">
        <v>1130</v>
      </c>
      <c r="E17" s="2521">
        <v>1120</v>
      </c>
      <c r="F17" s="2521">
        <v>1120</v>
      </c>
      <c r="G17" s="2521">
        <v>1130</v>
      </c>
      <c r="H17" s="2521">
        <v>1120</v>
      </c>
      <c r="I17" s="2521">
        <v>1110</v>
      </c>
      <c r="J17" s="2521">
        <v>1100</v>
      </c>
    </row>
    <row r="18" spans="1:10">
      <c r="A18" s="738" t="s">
        <v>4938</v>
      </c>
      <c r="B18" s="738" t="s">
        <v>4937</v>
      </c>
      <c r="C18" s="2521">
        <v>1150</v>
      </c>
      <c r="D18" s="2521">
        <v>1155</v>
      </c>
      <c r="E18" s="2521">
        <v>1160</v>
      </c>
      <c r="F18" s="2521">
        <v>1163</v>
      </c>
      <c r="G18" s="2521">
        <v>1165</v>
      </c>
      <c r="H18" s="2521">
        <v>1170</v>
      </c>
      <c r="I18" s="2521" t="s">
        <v>4924</v>
      </c>
      <c r="J18" s="2521" t="s">
        <v>4924</v>
      </c>
    </row>
    <row r="19" spans="1:10">
      <c r="A19" s="738" t="s">
        <v>4939</v>
      </c>
      <c r="B19" s="738" t="s">
        <v>4940</v>
      </c>
      <c r="C19" s="2521">
        <v>1156</v>
      </c>
      <c r="D19" s="2521">
        <v>1147</v>
      </c>
      <c r="E19" s="2521">
        <v>1139</v>
      </c>
      <c r="F19" s="2521">
        <v>1133</v>
      </c>
      <c r="G19" s="2521">
        <v>1127</v>
      </c>
      <c r="H19" s="2521">
        <v>1038</v>
      </c>
      <c r="I19" s="2521" t="s">
        <v>4924</v>
      </c>
      <c r="J19" s="2521" t="s">
        <v>4924</v>
      </c>
    </row>
    <row r="20" spans="1:10">
      <c r="A20" s="738" t="s">
        <v>4941</v>
      </c>
      <c r="B20" s="738" t="s">
        <v>4940</v>
      </c>
      <c r="C20" s="2521">
        <v>1140</v>
      </c>
      <c r="D20" s="2521">
        <v>1130</v>
      </c>
      <c r="E20" s="2521">
        <v>1120</v>
      </c>
      <c r="F20" s="2521" t="s">
        <v>4924</v>
      </c>
      <c r="G20" s="2521">
        <v>1110</v>
      </c>
      <c r="H20" s="2521">
        <v>1108</v>
      </c>
      <c r="I20" s="2521">
        <v>1107</v>
      </c>
      <c r="J20" s="2521">
        <v>1107</v>
      </c>
    </row>
    <row r="21" spans="1:10">
      <c r="A21" s="738" t="s">
        <v>4942</v>
      </c>
      <c r="B21" s="738" t="s">
        <v>4943</v>
      </c>
      <c r="C21" s="2521">
        <v>1160</v>
      </c>
      <c r="D21" s="2521">
        <v>1165</v>
      </c>
      <c r="E21" s="2521">
        <v>1165</v>
      </c>
      <c r="F21" s="2521">
        <v>1165</v>
      </c>
      <c r="G21" s="2521" t="s">
        <v>4924</v>
      </c>
      <c r="H21" s="2521" t="s">
        <v>4924</v>
      </c>
      <c r="I21" s="2521" t="s">
        <v>4924</v>
      </c>
      <c r="J21" s="2521" t="s">
        <v>4924</v>
      </c>
    </row>
    <row r="22" spans="1:10">
      <c r="A22" s="738" t="s">
        <v>4944</v>
      </c>
      <c r="B22" s="738" t="s">
        <v>4945</v>
      </c>
      <c r="C22" s="2521">
        <v>1130</v>
      </c>
      <c r="D22" s="2521">
        <v>1123</v>
      </c>
      <c r="E22" s="2521">
        <v>1115</v>
      </c>
      <c r="F22" s="2521">
        <v>1108</v>
      </c>
      <c r="G22" s="2521">
        <v>1100</v>
      </c>
      <c r="H22" s="2521" t="s">
        <v>4924</v>
      </c>
      <c r="I22" s="2521" t="s">
        <v>4924</v>
      </c>
      <c r="J22" s="2521" t="s">
        <v>4924</v>
      </c>
    </row>
    <row r="23" spans="1:10">
      <c r="A23" s="738" t="s">
        <v>4946</v>
      </c>
      <c r="B23" s="738" t="s">
        <v>4947</v>
      </c>
      <c r="C23" s="2521">
        <v>1070</v>
      </c>
      <c r="D23" s="2521">
        <v>1020</v>
      </c>
      <c r="E23" s="2521">
        <v>1020</v>
      </c>
      <c r="F23" s="2521">
        <v>1050</v>
      </c>
      <c r="G23" s="2521">
        <v>1080</v>
      </c>
      <c r="H23" s="2521">
        <v>1150</v>
      </c>
      <c r="I23" s="2521" t="s">
        <v>4924</v>
      </c>
      <c r="J23" s="2521" t="s">
        <v>4924</v>
      </c>
    </row>
    <row r="24" spans="1:10">
      <c r="A24" s="738" t="s">
        <v>4948</v>
      </c>
      <c r="B24" s="738" t="s">
        <v>4949</v>
      </c>
      <c r="C24" s="2521">
        <v>1150</v>
      </c>
      <c r="D24" s="2521">
        <v>1140</v>
      </c>
      <c r="E24" s="2521">
        <v>1130</v>
      </c>
      <c r="F24" s="2521" t="s">
        <v>4924</v>
      </c>
      <c r="G24" s="2521" t="s">
        <v>4924</v>
      </c>
      <c r="H24" s="2521" t="s">
        <v>4924</v>
      </c>
      <c r="I24" s="2521" t="s">
        <v>4924</v>
      </c>
      <c r="J24" s="2521" t="s">
        <v>4924</v>
      </c>
    </row>
    <row r="25" spans="1:10">
      <c r="A25" s="738" t="s">
        <v>4950</v>
      </c>
      <c r="B25" s="738" t="s">
        <v>4949</v>
      </c>
      <c r="C25" s="2521">
        <v>1140</v>
      </c>
      <c r="D25" s="2521">
        <v>1150</v>
      </c>
      <c r="E25" s="2521">
        <v>1150</v>
      </c>
      <c r="F25" s="2521">
        <v>1160</v>
      </c>
      <c r="G25" s="2521">
        <v>1160</v>
      </c>
      <c r="H25" s="2521" t="s">
        <v>4924</v>
      </c>
      <c r="I25" s="2521" t="s">
        <v>4924</v>
      </c>
      <c r="J25" s="2521" t="s">
        <v>4924</v>
      </c>
    </row>
    <row r="26" spans="1:10">
      <c r="A26" s="738" t="s">
        <v>4951</v>
      </c>
      <c r="B26" s="738" t="s">
        <v>4952</v>
      </c>
      <c r="C26" s="2521">
        <v>1170</v>
      </c>
      <c r="D26" s="2521">
        <v>1185</v>
      </c>
      <c r="E26" s="2521">
        <v>1180</v>
      </c>
      <c r="F26" s="2521">
        <v>1170</v>
      </c>
      <c r="G26" s="2521">
        <v>1160</v>
      </c>
      <c r="H26" s="2521" t="s">
        <v>4924</v>
      </c>
      <c r="I26" s="2521" t="s">
        <v>4924</v>
      </c>
      <c r="J26" s="2521" t="s">
        <v>4924</v>
      </c>
    </row>
    <row r="27" spans="1:10">
      <c r="A27" s="738" t="s">
        <v>4953</v>
      </c>
      <c r="B27" s="738" t="s">
        <v>4954</v>
      </c>
      <c r="C27" s="2521">
        <v>1170</v>
      </c>
      <c r="D27" s="2521">
        <v>1180</v>
      </c>
      <c r="E27" s="2521">
        <v>1190</v>
      </c>
      <c r="F27" s="2521" t="s">
        <v>4924</v>
      </c>
      <c r="G27" s="2521" t="s">
        <v>4924</v>
      </c>
      <c r="H27" s="2521" t="s">
        <v>4924</v>
      </c>
      <c r="I27" s="2521" t="s">
        <v>4924</v>
      </c>
      <c r="J27" s="2521" t="s">
        <v>4924</v>
      </c>
    </row>
    <row r="28" spans="1:10">
      <c r="A28" s="738" t="s">
        <v>4955</v>
      </c>
      <c r="B28" s="738" t="s">
        <v>4954</v>
      </c>
      <c r="C28" s="2521">
        <v>1156</v>
      </c>
      <c r="D28" s="2521">
        <v>1133</v>
      </c>
      <c r="E28" s="2521">
        <v>1126</v>
      </c>
      <c r="F28" s="2521" t="s">
        <v>4924</v>
      </c>
      <c r="G28" s="2521" t="s">
        <v>4924</v>
      </c>
      <c r="H28" s="2521" t="s">
        <v>4924</v>
      </c>
      <c r="I28" s="2521" t="s">
        <v>4924</v>
      </c>
      <c r="J28" s="2521" t="s">
        <v>4924</v>
      </c>
    </row>
    <row r="29" spans="1:10">
      <c r="A29" s="738" t="s">
        <v>4956</v>
      </c>
      <c r="B29" s="738" t="s">
        <v>4954</v>
      </c>
      <c r="C29" s="2521">
        <v>1120</v>
      </c>
      <c r="D29" s="2521">
        <v>1110</v>
      </c>
      <c r="E29" s="2521">
        <v>1100</v>
      </c>
      <c r="F29" s="2521">
        <v>1115</v>
      </c>
      <c r="G29" s="2521" t="s">
        <v>4924</v>
      </c>
      <c r="H29" s="2521" t="s">
        <v>4924</v>
      </c>
      <c r="I29" s="2521" t="s">
        <v>4924</v>
      </c>
      <c r="J29" s="2521" t="s">
        <v>4924</v>
      </c>
    </row>
    <row r="30" spans="1:10">
      <c r="A30" s="738" t="s">
        <v>4957</v>
      </c>
      <c r="B30" s="738" t="s">
        <v>4958</v>
      </c>
      <c r="C30" s="2521">
        <v>1130</v>
      </c>
      <c r="D30" s="2521">
        <v>1100</v>
      </c>
      <c r="E30" s="2521">
        <v>1080</v>
      </c>
      <c r="F30" s="2521" t="s">
        <v>4924</v>
      </c>
      <c r="G30" s="2521">
        <v>1050</v>
      </c>
      <c r="H30" s="2521">
        <v>1040</v>
      </c>
      <c r="I30" s="2521" t="s">
        <v>4924</v>
      </c>
      <c r="J30" s="2521" t="s">
        <v>4924</v>
      </c>
    </row>
    <row r="31" spans="1:10">
      <c r="A31" s="738" t="s">
        <v>4959</v>
      </c>
      <c r="B31" s="738" t="s">
        <v>4958</v>
      </c>
      <c r="C31" s="2521">
        <v>1110</v>
      </c>
      <c r="D31" s="2521">
        <v>1100</v>
      </c>
      <c r="E31" s="2521">
        <v>1090</v>
      </c>
      <c r="F31" s="2521" t="s">
        <v>4924</v>
      </c>
      <c r="G31" s="2521">
        <v>1110</v>
      </c>
      <c r="H31" s="2521" t="s">
        <v>4924</v>
      </c>
      <c r="I31" s="2521" t="s">
        <v>4924</v>
      </c>
      <c r="J31" s="2521" t="s">
        <v>4924</v>
      </c>
    </row>
    <row r="32" spans="1:10">
      <c r="A32" s="738" t="s">
        <v>4960</v>
      </c>
      <c r="B32" s="738" t="s">
        <v>4958</v>
      </c>
      <c r="C32" s="2521">
        <v>1148</v>
      </c>
      <c r="D32" s="2521">
        <v>1139</v>
      </c>
      <c r="E32" s="2521">
        <v>1136</v>
      </c>
      <c r="F32" s="2521" t="s">
        <v>4924</v>
      </c>
      <c r="G32" s="2521">
        <v>1124</v>
      </c>
      <c r="H32" s="2521" t="s">
        <v>4924</v>
      </c>
      <c r="I32" s="2521" t="s">
        <v>4924</v>
      </c>
      <c r="J32" s="2521" t="s">
        <v>4924</v>
      </c>
    </row>
    <row r="33" spans="1:10">
      <c r="A33" s="738" t="s">
        <v>4961</v>
      </c>
      <c r="B33" s="738" t="s">
        <v>4962</v>
      </c>
      <c r="C33" s="2521">
        <v>1180</v>
      </c>
      <c r="D33" s="2521">
        <v>1170</v>
      </c>
      <c r="E33" s="2521">
        <v>1160</v>
      </c>
      <c r="F33" s="2521" t="s">
        <v>4924</v>
      </c>
      <c r="G33" s="2521">
        <v>1140</v>
      </c>
      <c r="H33" s="2521" t="s">
        <v>4924</v>
      </c>
      <c r="I33" s="2521" t="s">
        <v>4924</v>
      </c>
      <c r="J33" s="2521" t="s">
        <v>4924</v>
      </c>
    </row>
    <row r="35" spans="1:10">
      <c r="C35" s="1">
        <v>2021</v>
      </c>
      <c r="D35" s="1">
        <v>2022</v>
      </c>
      <c r="E35" s="1">
        <v>2023</v>
      </c>
      <c r="F35" s="1">
        <v>2024</v>
      </c>
      <c r="G35" s="1">
        <v>2025</v>
      </c>
      <c r="H35" s="1">
        <v>2026</v>
      </c>
    </row>
    <row r="36" spans="1:10">
      <c r="B36" s="1" t="s">
        <v>4963</v>
      </c>
      <c r="C36" s="1">
        <v>1142.5999999999999</v>
      </c>
      <c r="D36" s="1">
        <v>1167.5</v>
      </c>
      <c r="E36" s="1">
        <v>1180</v>
      </c>
      <c r="F36" s="1">
        <v>1174.5</v>
      </c>
      <c r="G36" s="1">
        <v>1156.5</v>
      </c>
      <c r="H36" s="1">
        <v>1148.3</v>
      </c>
    </row>
  </sheetData>
  <mergeCells count="3">
    <mergeCell ref="B2:D2"/>
    <mergeCell ref="B3:D3"/>
    <mergeCell ref="B4:D4"/>
  </mergeCells>
  <phoneticPr fontId="1"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Z96"/>
  <sheetViews>
    <sheetView workbookViewId="0"/>
  </sheetViews>
  <sheetFormatPr defaultColWidth="9" defaultRowHeight="16.5"/>
  <cols>
    <col min="18" max="22" width="16.5" customWidth="1"/>
  </cols>
  <sheetData>
    <row r="1" spans="1:26" ht="21.75" thickTop="1" thickBot="1">
      <c r="A1" s="2639" t="s">
        <v>5319</v>
      </c>
      <c r="B1" s="2640"/>
      <c r="C1" s="2640"/>
      <c r="D1" s="2640"/>
      <c r="E1" s="2639" t="s">
        <v>5320</v>
      </c>
      <c r="F1" s="2640"/>
      <c r="G1" s="2640"/>
      <c r="H1" s="2645"/>
      <c r="I1" s="2639" t="s">
        <v>5321</v>
      </c>
      <c r="J1" s="2640"/>
      <c r="K1" s="2640"/>
      <c r="M1" s="2639" t="s">
        <v>5228</v>
      </c>
      <c r="N1" s="2640"/>
      <c r="O1" s="2640"/>
      <c r="R1" s="3033" t="s">
        <v>2651</v>
      </c>
      <c r="S1" s="3034" t="s">
        <v>5360</v>
      </c>
      <c r="T1" s="3035">
        <v>2022</v>
      </c>
      <c r="U1" s="3036">
        <v>2023</v>
      </c>
      <c r="V1" s="3037">
        <v>2024</v>
      </c>
    </row>
    <row r="2" spans="1:26">
      <c r="A2" s="2640"/>
      <c r="B2" s="2640"/>
      <c r="C2" s="2641"/>
      <c r="D2" s="2640"/>
      <c r="E2" s="2640"/>
      <c r="F2" s="2640"/>
      <c r="G2" s="2641"/>
      <c r="H2" s="2645"/>
      <c r="I2" s="2640"/>
      <c r="J2" s="2640"/>
      <c r="K2" s="2641"/>
      <c r="M2" s="2640"/>
      <c r="N2" s="2640"/>
      <c r="O2" s="2641"/>
      <c r="R2" s="3038" t="s">
        <v>5599</v>
      </c>
      <c r="S2" s="3039">
        <v>8</v>
      </c>
      <c r="T2" s="3040">
        <v>8</v>
      </c>
      <c r="U2" s="3041">
        <v>8</v>
      </c>
      <c r="V2" s="3042">
        <v>8</v>
      </c>
      <c r="W2">
        <v>8</v>
      </c>
      <c r="X2">
        <v>8</v>
      </c>
      <c r="Z2">
        <f>V2-S2</f>
        <v>0</v>
      </c>
    </row>
    <row r="3" spans="1:26">
      <c r="A3" s="2642" t="s">
        <v>5229</v>
      </c>
      <c r="B3" s="2640"/>
      <c r="C3" s="2640"/>
      <c r="D3" s="2640"/>
      <c r="E3" s="2642" t="s">
        <v>5229</v>
      </c>
      <c r="F3" s="2640"/>
      <c r="G3" s="2640"/>
      <c r="H3" s="2645"/>
      <c r="I3" s="2642" t="s">
        <v>5229</v>
      </c>
      <c r="J3" s="2640"/>
      <c r="K3" s="2640"/>
      <c r="M3" s="2642" t="s">
        <v>5229</v>
      </c>
      <c r="N3" s="2640"/>
      <c r="O3" s="2640"/>
      <c r="R3" s="3043" t="s">
        <v>5597</v>
      </c>
      <c r="S3" s="3044">
        <v>615</v>
      </c>
      <c r="T3" s="3045">
        <v>603</v>
      </c>
      <c r="U3" s="3046">
        <v>601</v>
      </c>
      <c r="V3" s="3047">
        <v>597</v>
      </c>
      <c r="W3">
        <v>597</v>
      </c>
      <c r="X3">
        <v>597</v>
      </c>
      <c r="Z3">
        <f t="shared" ref="Z3:Z14" si="0">V3-S3</f>
        <v>-18</v>
      </c>
    </row>
    <row r="4" spans="1:26">
      <c r="A4" s="2643" t="s">
        <v>2653</v>
      </c>
      <c r="B4" s="2643" t="s">
        <v>5230</v>
      </c>
      <c r="C4" s="2640"/>
      <c r="D4" s="2640"/>
      <c r="E4" s="2643" t="s">
        <v>2653</v>
      </c>
      <c r="F4" s="2643" t="s">
        <v>5230</v>
      </c>
      <c r="G4" s="2640"/>
      <c r="H4" s="2645"/>
      <c r="I4" s="2643" t="s">
        <v>2653</v>
      </c>
      <c r="J4" s="2643" t="s">
        <v>5230</v>
      </c>
      <c r="K4" s="2640"/>
      <c r="M4" s="2643" t="s">
        <v>2653</v>
      </c>
      <c r="N4" s="2643" t="s">
        <v>5230</v>
      </c>
      <c r="O4" s="2640"/>
      <c r="R4" s="3043" t="s">
        <v>4745</v>
      </c>
      <c r="S4" s="3044">
        <v>29</v>
      </c>
      <c r="T4" s="3045">
        <v>29</v>
      </c>
      <c r="U4" s="3046">
        <v>29</v>
      </c>
      <c r="V4" s="3047">
        <v>29</v>
      </c>
      <c r="W4">
        <v>29</v>
      </c>
      <c r="X4">
        <v>29</v>
      </c>
      <c r="Z4">
        <f t="shared" si="0"/>
        <v>0</v>
      </c>
    </row>
    <row r="5" spans="1:26">
      <c r="A5" s="2643" t="s">
        <v>2833</v>
      </c>
      <c r="B5" s="2644">
        <v>16</v>
      </c>
      <c r="C5" s="2640"/>
      <c r="D5" s="2640"/>
      <c r="E5" s="2643" t="s">
        <v>2833</v>
      </c>
      <c r="F5" s="2644">
        <v>17</v>
      </c>
      <c r="G5" s="2640"/>
      <c r="H5" s="2645"/>
      <c r="I5" s="2643" t="s">
        <v>2833</v>
      </c>
      <c r="J5" s="2644">
        <v>14</v>
      </c>
      <c r="K5" s="2640"/>
      <c r="M5" s="2643" t="s">
        <v>2833</v>
      </c>
      <c r="N5" s="2644">
        <v>13</v>
      </c>
      <c r="O5" s="2640"/>
      <c r="R5" s="3043" t="s">
        <v>5600</v>
      </c>
      <c r="S5" s="3044">
        <v>29</v>
      </c>
      <c r="T5" s="3045">
        <v>29</v>
      </c>
      <c r="U5" s="3046">
        <v>29</v>
      </c>
      <c r="V5" s="3047">
        <v>29</v>
      </c>
      <c r="W5">
        <v>29</v>
      </c>
      <c r="X5">
        <v>29</v>
      </c>
      <c r="Z5">
        <f t="shared" si="0"/>
        <v>0</v>
      </c>
    </row>
    <row r="6" spans="1:26">
      <c r="A6" s="2643" t="s">
        <v>5231</v>
      </c>
      <c r="B6" s="2644">
        <v>828</v>
      </c>
      <c r="C6" s="2640"/>
      <c r="D6" s="2640"/>
      <c r="E6" s="2643" t="s">
        <v>5231</v>
      </c>
      <c r="F6" s="2644">
        <v>825</v>
      </c>
      <c r="G6" s="2640"/>
      <c r="H6" s="2645"/>
      <c r="I6" s="2643" t="s">
        <v>5231</v>
      </c>
      <c r="J6" s="2644">
        <v>842</v>
      </c>
      <c r="K6" s="2640"/>
      <c r="M6" s="2643" t="s">
        <v>5231</v>
      </c>
      <c r="N6" s="2644">
        <v>842</v>
      </c>
      <c r="O6" s="2640"/>
      <c r="R6" s="3043" t="s">
        <v>4741</v>
      </c>
      <c r="S6" s="3044">
        <v>25</v>
      </c>
      <c r="T6" s="3045">
        <v>25</v>
      </c>
      <c r="U6" s="3046">
        <v>25</v>
      </c>
      <c r="V6" s="3047">
        <v>25</v>
      </c>
      <c r="W6">
        <v>25</v>
      </c>
      <c r="X6">
        <v>25</v>
      </c>
      <c r="Z6">
        <f t="shared" si="0"/>
        <v>0</v>
      </c>
    </row>
    <row r="7" spans="1:26">
      <c r="A7" s="2643" t="s">
        <v>1646</v>
      </c>
      <c r="B7" s="2643">
        <v>844</v>
      </c>
      <c r="C7" s="2640"/>
      <c r="D7" s="2640"/>
      <c r="E7" s="2643" t="s">
        <v>1646</v>
      </c>
      <c r="F7" s="2643">
        <v>842</v>
      </c>
      <c r="G7" s="2640"/>
      <c r="H7" s="2645"/>
      <c r="I7" s="2643" t="s">
        <v>1646</v>
      </c>
      <c r="J7" s="2643">
        <v>856</v>
      </c>
      <c r="K7" s="2640"/>
      <c r="M7" s="2643" t="s">
        <v>1646</v>
      </c>
      <c r="N7" s="2643">
        <v>855</v>
      </c>
      <c r="O7" s="2640"/>
      <c r="R7" s="3043" t="s">
        <v>5601</v>
      </c>
      <c r="S7" s="3044">
        <v>44</v>
      </c>
      <c r="T7" s="3045">
        <v>45</v>
      </c>
      <c r="U7" s="3046">
        <v>45</v>
      </c>
      <c r="V7" s="3047">
        <v>45</v>
      </c>
      <c r="W7">
        <v>45</v>
      </c>
      <c r="X7">
        <v>45</v>
      </c>
      <c r="Z7">
        <f t="shared" si="0"/>
        <v>1</v>
      </c>
    </row>
    <row r="8" spans="1:26">
      <c r="A8" s="2640"/>
      <c r="B8" s="2640"/>
      <c r="C8" s="2640"/>
      <c r="D8" s="2640"/>
      <c r="E8" s="2640"/>
      <c r="F8" s="2640"/>
      <c r="G8" s="2640"/>
      <c r="H8" s="2645"/>
      <c r="I8" s="2640"/>
      <c r="J8" s="2640"/>
      <c r="K8" s="2640"/>
      <c r="M8" s="2640"/>
      <c r="N8" s="2640"/>
      <c r="O8" s="2640"/>
      <c r="R8" s="3043" t="s">
        <v>4742</v>
      </c>
      <c r="S8" s="3044">
        <v>30</v>
      </c>
      <c r="T8" s="3045">
        <v>30</v>
      </c>
      <c r="U8" s="3046">
        <v>30</v>
      </c>
      <c r="V8" s="3047">
        <v>30</v>
      </c>
      <c r="W8">
        <v>30</v>
      </c>
      <c r="X8">
        <v>30</v>
      </c>
      <c r="Z8">
        <f t="shared" si="0"/>
        <v>0</v>
      </c>
    </row>
    <row r="9" spans="1:26">
      <c r="A9" s="2642" t="s">
        <v>5232</v>
      </c>
      <c r="B9" s="2640"/>
      <c r="C9" s="2640"/>
      <c r="D9" s="2640"/>
      <c r="E9" s="2642" t="s">
        <v>5232</v>
      </c>
      <c r="F9" s="2640"/>
      <c r="G9" s="2640"/>
      <c r="H9" s="2645"/>
      <c r="I9" s="2642" t="s">
        <v>5232</v>
      </c>
      <c r="J9" s="2640"/>
      <c r="K9" s="2640"/>
      <c r="M9" s="2642" t="s">
        <v>5232</v>
      </c>
      <c r="N9" s="2640"/>
      <c r="O9" s="2640"/>
      <c r="R9" s="3043" t="s">
        <v>2855</v>
      </c>
      <c r="S9" s="3044">
        <v>53</v>
      </c>
      <c r="T9" s="3045">
        <v>54</v>
      </c>
      <c r="U9" s="3046">
        <v>53</v>
      </c>
      <c r="V9" s="3047">
        <v>53</v>
      </c>
      <c r="W9">
        <v>53</v>
      </c>
      <c r="X9">
        <v>53</v>
      </c>
      <c r="Z9">
        <f t="shared" si="0"/>
        <v>0</v>
      </c>
    </row>
    <row r="10" spans="1:26">
      <c r="A10" s="2643" t="s">
        <v>2653</v>
      </c>
      <c r="B10" s="2643" t="s">
        <v>5233</v>
      </c>
      <c r="C10" s="2643" t="s">
        <v>5230</v>
      </c>
      <c r="D10" s="2640"/>
      <c r="E10" s="2643" t="s">
        <v>2653</v>
      </c>
      <c r="F10" s="2643" t="s">
        <v>5233</v>
      </c>
      <c r="G10" s="2643" t="s">
        <v>5230</v>
      </c>
      <c r="H10" s="2645"/>
      <c r="I10" s="2643" t="s">
        <v>2653</v>
      </c>
      <c r="J10" s="2643" t="s">
        <v>5233</v>
      </c>
      <c r="K10" s="2643" t="s">
        <v>5230</v>
      </c>
      <c r="M10" s="2643" t="s">
        <v>2653</v>
      </c>
      <c r="N10" s="2643" t="s">
        <v>5233</v>
      </c>
      <c r="O10" s="2643" t="s">
        <v>5230</v>
      </c>
      <c r="R10" s="3048" t="s">
        <v>5602</v>
      </c>
      <c r="S10" s="3049">
        <v>-24</v>
      </c>
      <c r="T10" s="3050">
        <v>-24</v>
      </c>
      <c r="U10" s="3051">
        <v>-25</v>
      </c>
      <c r="V10" s="3052">
        <v>-25</v>
      </c>
      <c r="W10">
        <v>-25</v>
      </c>
      <c r="X10">
        <v>-25</v>
      </c>
      <c r="Z10">
        <f t="shared" si="0"/>
        <v>-1</v>
      </c>
    </row>
    <row r="11" spans="1:26" ht="17.25" thickBot="1">
      <c r="A11" s="2643" t="s">
        <v>2833</v>
      </c>
      <c r="B11" s="2643" t="s">
        <v>5234</v>
      </c>
      <c r="C11" s="2644">
        <v>16</v>
      </c>
      <c r="D11" s="2640"/>
      <c r="E11" s="2643" t="s">
        <v>2833</v>
      </c>
      <c r="F11" s="2643" t="s">
        <v>5234</v>
      </c>
      <c r="G11" s="2644">
        <v>17</v>
      </c>
      <c r="H11" s="2645"/>
      <c r="I11" s="2643" t="s">
        <v>2833</v>
      </c>
      <c r="J11" s="2643" t="s">
        <v>5234</v>
      </c>
      <c r="K11" s="2644">
        <v>14</v>
      </c>
      <c r="M11" s="2643" t="s">
        <v>2833</v>
      </c>
      <c r="N11" s="2643" t="s">
        <v>5234</v>
      </c>
      <c r="O11" s="2644">
        <v>13</v>
      </c>
      <c r="R11" s="3053" t="s">
        <v>5603</v>
      </c>
      <c r="S11" s="3054">
        <v>6</v>
      </c>
      <c r="T11" s="3055">
        <v>6</v>
      </c>
      <c r="U11" s="3056">
        <v>6</v>
      </c>
      <c r="V11" s="3057">
        <v>6</v>
      </c>
      <c r="W11">
        <v>6</v>
      </c>
      <c r="X11">
        <v>6</v>
      </c>
      <c r="Z11">
        <f t="shared" si="0"/>
        <v>0</v>
      </c>
    </row>
    <row r="12" spans="1:26" ht="17.25" thickBot="1">
      <c r="A12" s="2643" t="s">
        <v>5235</v>
      </c>
      <c r="B12" s="2643" t="s">
        <v>5236</v>
      </c>
      <c r="C12" s="2644">
        <v>4</v>
      </c>
      <c r="D12" s="2640"/>
      <c r="E12" s="2643" t="s">
        <v>5235</v>
      </c>
      <c r="F12" s="2643" t="s">
        <v>5236</v>
      </c>
      <c r="G12" s="2644">
        <v>5</v>
      </c>
      <c r="H12" s="2645"/>
      <c r="I12" s="2643" t="s">
        <v>5235</v>
      </c>
      <c r="J12" s="2643" t="s">
        <v>5236</v>
      </c>
      <c r="K12" s="2644">
        <v>6</v>
      </c>
      <c r="M12" s="2643" t="s">
        <v>5235</v>
      </c>
      <c r="N12" s="2643" t="s">
        <v>5236</v>
      </c>
      <c r="O12" s="2644">
        <v>6</v>
      </c>
      <c r="R12" s="3058" t="s">
        <v>4744</v>
      </c>
      <c r="S12" s="3059">
        <v>3</v>
      </c>
      <c r="T12" s="3060">
        <v>3</v>
      </c>
      <c r="U12" s="3061">
        <v>3</v>
      </c>
      <c r="V12" s="3062">
        <v>3</v>
      </c>
      <c r="W12">
        <v>3</v>
      </c>
      <c r="X12">
        <v>3</v>
      </c>
      <c r="Z12">
        <f t="shared" si="0"/>
        <v>0</v>
      </c>
    </row>
    <row r="13" spans="1:26" ht="17.25" thickBot="1">
      <c r="A13" s="5483" t="s">
        <v>5322</v>
      </c>
      <c r="B13" s="2643" t="s">
        <v>5323</v>
      </c>
      <c r="C13" s="2644">
        <v>48</v>
      </c>
      <c r="D13" s="2640"/>
      <c r="E13" s="5483" t="s">
        <v>5322</v>
      </c>
      <c r="F13" s="2643" t="s">
        <v>5323</v>
      </c>
      <c r="G13" s="2644">
        <v>43</v>
      </c>
      <c r="H13" s="2645"/>
      <c r="I13" s="5483" t="s">
        <v>5237</v>
      </c>
      <c r="J13" s="2643" t="s">
        <v>5238</v>
      </c>
      <c r="K13" s="2644">
        <v>44</v>
      </c>
      <c r="M13" s="5483" t="s">
        <v>5237</v>
      </c>
      <c r="N13" s="2643" t="s">
        <v>5238</v>
      </c>
      <c r="O13" s="2644">
        <v>44</v>
      </c>
      <c r="R13" s="3063" t="s">
        <v>2042</v>
      </c>
      <c r="S13" s="3059">
        <v>842</v>
      </c>
      <c r="T13" s="3064">
        <v>832</v>
      </c>
      <c r="U13" s="3061">
        <v>829</v>
      </c>
      <c r="V13" s="3062">
        <v>825</v>
      </c>
      <c r="W13">
        <v>825</v>
      </c>
      <c r="X13">
        <v>825</v>
      </c>
      <c r="Z13">
        <f t="shared" si="0"/>
        <v>-17</v>
      </c>
    </row>
    <row r="14" spans="1:26">
      <c r="A14" s="5484"/>
      <c r="B14" s="2643" t="s">
        <v>5324</v>
      </c>
      <c r="C14" s="2644">
        <v>53</v>
      </c>
      <c r="D14" s="2640"/>
      <c r="E14" s="5484"/>
      <c r="F14" s="2643" t="s">
        <v>5324</v>
      </c>
      <c r="G14" s="2644">
        <v>59</v>
      </c>
      <c r="H14" s="2645"/>
      <c r="I14" s="5484"/>
      <c r="J14" s="2643" t="s">
        <v>5239</v>
      </c>
      <c r="K14" s="2644">
        <v>166</v>
      </c>
      <c r="M14" s="5484"/>
      <c r="N14" s="2643" t="s">
        <v>5239</v>
      </c>
      <c r="O14" s="2644">
        <v>169</v>
      </c>
      <c r="S14">
        <v>677</v>
      </c>
      <c r="T14">
        <v>665</v>
      </c>
      <c r="U14">
        <v>664</v>
      </c>
      <c r="V14">
        <v>660</v>
      </c>
      <c r="W14">
        <v>660</v>
      </c>
      <c r="X14">
        <v>660</v>
      </c>
      <c r="Z14">
        <f t="shared" si="0"/>
        <v>-17</v>
      </c>
    </row>
    <row r="15" spans="1:26">
      <c r="A15" s="5485"/>
      <c r="B15" s="2643" t="s">
        <v>5325</v>
      </c>
      <c r="C15" s="2644">
        <v>96</v>
      </c>
      <c r="D15" s="2640"/>
      <c r="E15" s="5485"/>
      <c r="F15" s="2643" t="s">
        <v>5325</v>
      </c>
      <c r="G15" s="2644">
        <v>99</v>
      </c>
      <c r="H15" s="2645"/>
      <c r="I15" s="5485"/>
      <c r="J15" s="2643" t="s">
        <v>5240</v>
      </c>
      <c r="K15" s="2644">
        <v>50</v>
      </c>
      <c r="M15" s="5485"/>
      <c r="N15" s="2643" t="s">
        <v>5240</v>
      </c>
      <c r="O15" s="2644">
        <v>38</v>
      </c>
      <c r="S15">
        <f>S13-S14</f>
        <v>165</v>
      </c>
      <c r="T15">
        <f>T13-T14</f>
        <v>167</v>
      </c>
      <c r="U15">
        <f>U13-U14</f>
        <v>165</v>
      </c>
      <c r="V15">
        <f>V13-V14</f>
        <v>165</v>
      </c>
    </row>
    <row r="16" spans="1:26">
      <c r="A16" s="5483" t="s">
        <v>5326</v>
      </c>
      <c r="B16" s="2643" t="s">
        <v>5327</v>
      </c>
      <c r="C16" s="2644">
        <v>58</v>
      </c>
      <c r="D16" s="2640"/>
      <c r="E16" s="5483" t="s">
        <v>5326</v>
      </c>
      <c r="F16" s="2643" t="s">
        <v>5327</v>
      </c>
      <c r="G16" s="2644">
        <v>40</v>
      </c>
      <c r="H16" s="2645"/>
      <c r="I16" s="5483" t="s">
        <v>5241</v>
      </c>
      <c r="J16" s="2643" t="s">
        <v>5239</v>
      </c>
      <c r="K16" s="2644">
        <v>4</v>
      </c>
      <c r="M16" s="5483" t="s">
        <v>5241</v>
      </c>
      <c r="N16" s="2643" t="s">
        <v>5239</v>
      </c>
      <c r="O16" s="2644">
        <v>5</v>
      </c>
      <c r="S16">
        <f>S15-$N$35+$O$40</f>
        <v>138</v>
      </c>
      <c r="T16">
        <f>T15-$N$35+$O$40</f>
        <v>140</v>
      </c>
      <c r="U16">
        <f>U15-$N$35+$O$40</f>
        <v>138</v>
      </c>
      <c r="V16">
        <f>V15-$N$35+$O$40</f>
        <v>138</v>
      </c>
    </row>
    <row r="17" spans="1:15">
      <c r="A17" s="5485"/>
      <c r="B17" s="2643" t="s">
        <v>5328</v>
      </c>
      <c r="C17" s="2644">
        <v>20</v>
      </c>
      <c r="D17" s="2640"/>
      <c r="E17" s="5485"/>
      <c r="F17" s="2643" t="s">
        <v>5328</v>
      </c>
      <c r="G17" s="2644">
        <v>20</v>
      </c>
      <c r="H17" s="2645"/>
      <c r="I17" s="5485"/>
      <c r="J17" s="2643" t="s">
        <v>5240</v>
      </c>
      <c r="K17" s="2644">
        <v>29</v>
      </c>
      <c r="M17" s="5485"/>
      <c r="N17" s="2643" t="s">
        <v>5240</v>
      </c>
      <c r="O17" s="2644">
        <v>27</v>
      </c>
    </row>
    <row r="18" spans="1:15">
      <c r="A18" s="5483" t="s">
        <v>5329</v>
      </c>
      <c r="B18" s="2643" t="s">
        <v>5330</v>
      </c>
      <c r="C18" s="2644">
        <v>4</v>
      </c>
      <c r="D18" s="2640"/>
      <c r="E18" s="5483" t="s">
        <v>5329</v>
      </c>
      <c r="F18" s="2643" t="s">
        <v>5330</v>
      </c>
      <c r="G18" s="2644">
        <v>4</v>
      </c>
      <c r="H18" s="2645"/>
      <c r="I18" s="5483" t="s">
        <v>5242</v>
      </c>
      <c r="J18" s="2643" t="s">
        <v>5243</v>
      </c>
      <c r="K18" s="2644">
        <v>1</v>
      </c>
      <c r="M18" s="5483" t="s">
        <v>5242</v>
      </c>
      <c r="N18" s="2643" t="s">
        <v>5243</v>
      </c>
      <c r="O18" s="2644">
        <v>1</v>
      </c>
    </row>
    <row r="19" spans="1:15">
      <c r="A19" s="5484"/>
      <c r="B19" s="2643" t="s">
        <v>5331</v>
      </c>
      <c r="C19" s="2644">
        <v>8</v>
      </c>
      <c r="D19" s="2640"/>
      <c r="E19" s="5484"/>
      <c r="F19" s="2643" t="s">
        <v>5331</v>
      </c>
      <c r="G19" s="2644">
        <v>10</v>
      </c>
      <c r="H19" s="2645"/>
      <c r="I19" s="5484"/>
      <c r="J19" s="2643" t="s">
        <v>5244</v>
      </c>
      <c r="K19" s="2644">
        <v>42</v>
      </c>
      <c r="M19" s="5484"/>
      <c r="N19" s="2643" t="s">
        <v>5244</v>
      </c>
      <c r="O19" s="2644">
        <v>41</v>
      </c>
    </row>
    <row r="20" spans="1:15">
      <c r="A20" s="5484"/>
      <c r="B20" s="2643" t="s">
        <v>5332</v>
      </c>
      <c r="C20" s="2644">
        <v>10</v>
      </c>
      <c r="D20" s="2640"/>
      <c r="E20" s="5484"/>
      <c r="F20" s="2643" t="s">
        <v>5332</v>
      </c>
      <c r="G20" s="2644">
        <v>10</v>
      </c>
      <c r="H20" s="2645"/>
      <c r="I20" s="5484"/>
      <c r="J20" s="2643" t="s">
        <v>5245</v>
      </c>
      <c r="K20" s="2644">
        <v>127</v>
      </c>
      <c r="M20" s="5484"/>
      <c r="N20" s="2643" t="s">
        <v>5245</v>
      </c>
      <c r="O20" s="2644">
        <v>128</v>
      </c>
    </row>
    <row r="21" spans="1:15">
      <c r="A21" s="5485"/>
      <c r="B21" s="2643" t="s">
        <v>5333</v>
      </c>
      <c r="C21" s="2644">
        <v>9</v>
      </c>
      <c r="D21" s="2640"/>
      <c r="E21" s="5485"/>
      <c r="F21" s="2643" t="s">
        <v>5333</v>
      </c>
      <c r="G21" s="2644">
        <v>8</v>
      </c>
      <c r="H21" s="2645"/>
      <c r="I21" s="5484"/>
      <c r="J21" s="2643" t="s">
        <v>5246</v>
      </c>
      <c r="K21" s="2644">
        <v>161</v>
      </c>
      <c r="M21" s="5484"/>
      <c r="N21" s="2643" t="s">
        <v>5246</v>
      </c>
      <c r="O21" s="2644">
        <v>168</v>
      </c>
    </row>
    <row r="22" spans="1:15">
      <c r="A22" s="5483" t="s">
        <v>5334</v>
      </c>
      <c r="B22" s="2643" t="s">
        <v>5243</v>
      </c>
      <c r="C22" s="2644">
        <v>1</v>
      </c>
      <c r="D22" s="2640"/>
      <c r="E22" s="5483" t="s">
        <v>5334</v>
      </c>
      <c r="F22" s="2643" t="s">
        <v>5243</v>
      </c>
      <c r="G22" s="2644">
        <v>1</v>
      </c>
      <c r="H22" s="2645"/>
      <c r="I22" s="5485"/>
      <c r="J22" s="2643" t="s">
        <v>5247</v>
      </c>
      <c r="K22" s="2644">
        <v>183</v>
      </c>
      <c r="M22" s="5485"/>
      <c r="N22" s="2643" t="s">
        <v>5247</v>
      </c>
      <c r="O22" s="2644">
        <v>182</v>
      </c>
    </row>
    <row r="23" spans="1:15">
      <c r="A23" s="5484"/>
      <c r="B23" s="2643" t="s">
        <v>5335</v>
      </c>
      <c r="C23" s="2644">
        <v>40</v>
      </c>
      <c r="D23" s="2640"/>
      <c r="E23" s="5484"/>
      <c r="F23" s="2643" t="s">
        <v>5335</v>
      </c>
      <c r="G23" s="2644">
        <v>40</v>
      </c>
      <c r="H23" s="2645"/>
      <c r="I23" s="5483" t="s">
        <v>5248</v>
      </c>
      <c r="J23" s="2643" t="s">
        <v>5249</v>
      </c>
      <c r="K23" s="2644">
        <v>5</v>
      </c>
      <c r="M23" s="5483" t="s">
        <v>5248</v>
      </c>
      <c r="N23" s="2643" t="s">
        <v>5249</v>
      </c>
      <c r="O23" s="2644">
        <v>4</v>
      </c>
    </row>
    <row r="24" spans="1:15">
      <c r="A24" s="5484"/>
      <c r="B24" s="2643" t="s">
        <v>5336</v>
      </c>
      <c r="C24" s="2644">
        <v>118</v>
      </c>
      <c r="D24" s="2640"/>
      <c r="E24" s="5484"/>
      <c r="F24" s="2643" t="s">
        <v>5336</v>
      </c>
      <c r="G24" s="2644">
        <v>122</v>
      </c>
      <c r="H24" s="2645"/>
      <c r="I24" s="5485"/>
      <c r="J24" s="2643" t="s">
        <v>5250</v>
      </c>
      <c r="K24" s="2644">
        <v>24</v>
      </c>
      <c r="M24" s="5485"/>
      <c r="N24" s="2643" t="s">
        <v>5250</v>
      </c>
      <c r="O24" s="2644">
        <v>29</v>
      </c>
    </row>
    <row r="25" spans="1:15">
      <c r="A25" s="5484"/>
      <c r="B25" s="2643" t="s">
        <v>5337</v>
      </c>
      <c r="C25" s="2644">
        <v>127</v>
      </c>
      <c r="D25" s="2640"/>
      <c r="E25" s="5484"/>
      <c r="F25" s="2643" t="s">
        <v>5337</v>
      </c>
      <c r="G25" s="2644">
        <v>134</v>
      </c>
      <c r="H25" s="2645"/>
      <c r="I25" s="5486" t="s">
        <v>1646</v>
      </c>
      <c r="J25" s="5487"/>
      <c r="K25" s="2643">
        <v>856</v>
      </c>
      <c r="M25" s="5486" t="s">
        <v>1646</v>
      </c>
      <c r="N25" s="5487"/>
      <c r="O25" s="2643">
        <v>855</v>
      </c>
    </row>
    <row r="26" spans="1:15">
      <c r="A26" s="5485"/>
      <c r="B26" s="2643" t="s">
        <v>5338</v>
      </c>
      <c r="C26" s="2644">
        <v>205</v>
      </c>
      <c r="D26" s="2640"/>
      <c r="E26" s="5485"/>
      <c r="F26" s="2643" t="s">
        <v>5338</v>
      </c>
      <c r="G26" s="2644">
        <v>209</v>
      </c>
      <c r="H26" s="2645"/>
      <c r="I26" s="2645"/>
      <c r="J26" s="2645"/>
      <c r="K26" s="2645"/>
      <c r="M26" s="2645"/>
      <c r="N26" s="2645"/>
      <c r="O26" s="2645"/>
    </row>
    <row r="27" spans="1:15">
      <c r="A27" s="5483" t="s">
        <v>5248</v>
      </c>
      <c r="B27" s="2643" t="s">
        <v>5249</v>
      </c>
      <c r="C27" s="2644">
        <v>6</v>
      </c>
      <c r="D27" s="2640"/>
      <c r="E27" s="5483" t="s">
        <v>5248</v>
      </c>
      <c r="F27" s="2643" t="s">
        <v>5249</v>
      </c>
      <c r="G27" s="2644">
        <v>5</v>
      </c>
      <c r="H27" s="2645"/>
      <c r="I27" s="2645"/>
      <c r="J27" s="2645"/>
      <c r="K27" s="2645"/>
      <c r="M27" s="2645"/>
      <c r="N27" s="2645"/>
      <c r="O27" s="2645"/>
    </row>
    <row r="28" spans="1:15">
      <c r="A28" s="5485"/>
      <c r="B28" s="2643" t="s">
        <v>5250</v>
      </c>
      <c r="C28" s="2644">
        <v>21</v>
      </c>
      <c r="D28" s="2640"/>
      <c r="E28" s="5485"/>
      <c r="F28" s="2643" t="s">
        <v>5250</v>
      </c>
      <c r="G28" s="2644">
        <v>16</v>
      </c>
      <c r="H28" s="2645"/>
      <c r="I28" s="2645"/>
      <c r="J28" s="2645"/>
      <c r="K28" s="2645"/>
      <c r="M28" s="2645"/>
      <c r="N28" s="2645"/>
      <c r="O28" s="2645"/>
    </row>
    <row r="29" spans="1:15">
      <c r="A29" s="5486" t="s">
        <v>1646</v>
      </c>
      <c r="B29" s="5487"/>
      <c r="C29" s="2643">
        <v>844</v>
      </c>
      <c r="D29" s="2640"/>
      <c r="E29" s="5486" t="s">
        <v>1646</v>
      </c>
      <c r="F29" s="5487"/>
      <c r="G29" s="2643">
        <v>842</v>
      </c>
      <c r="H29" s="2645"/>
      <c r="I29" s="2645"/>
      <c r="J29" s="2645"/>
      <c r="K29" s="2645"/>
      <c r="M29" s="2645"/>
      <c r="N29" s="2645"/>
      <c r="O29" s="2645"/>
    </row>
    <row r="30" spans="1:15">
      <c r="A30" s="2640"/>
      <c r="B30" s="2640"/>
      <c r="C30" s="2640"/>
      <c r="D30" s="2640"/>
      <c r="E30" s="2640"/>
      <c r="F30" s="2640"/>
      <c r="G30" s="2640"/>
      <c r="H30" s="2645"/>
      <c r="I30" s="2640"/>
      <c r="J30" s="2640"/>
      <c r="K30" s="2640"/>
      <c r="M30" s="2640"/>
      <c r="N30" s="2640"/>
      <c r="O30" s="2640"/>
    </row>
    <row r="31" spans="1:15">
      <c r="A31" s="2642" t="s">
        <v>5251</v>
      </c>
      <c r="B31" s="2640"/>
      <c r="C31" s="2640"/>
      <c r="D31" s="2640"/>
      <c r="E31" s="2642" t="s">
        <v>5251</v>
      </c>
      <c r="F31" s="2640"/>
      <c r="G31" s="2640"/>
      <c r="H31" s="2645"/>
      <c r="I31" s="2642" t="s">
        <v>5251</v>
      </c>
      <c r="J31" s="2640"/>
      <c r="K31" s="2640"/>
      <c r="M31" s="2642" t="s">
        <v>5251</v>
      </c>
      <c r="N31" s="2640"/>
      <c r="O31" s="2640"/>
    </row>
    <row r="32" spans="1:15">
      <c r="A32" s="2643" t="s">
        <v>2653</v>
      </c>
      <c r="B32" s="2643" t="s">
        <v>5252</v>
      </c>
      <c r="C32" s="2640"/>
      <c r="D32" s="2640"/>
      <c r="E32" s="2643" t="s">
        <v>2653</v>
      </c>
      <c r="F32" s="2643" t="s">
        <v>5252</v>
      </c>
      <c r="G32" s="2640"/>
      <c r="H32" s="2645"/>
      <c r="I32" s="2643" t="s">
        <v>2653</v>
      </c>
      <c r="J32" s="2643" t="s">
        <v>5252</v>
      </c>
      <c r="K32" s="2640"/>
      <c r="M32" s="2643" t="s">
        <v>2653</v>
      </c>
      <c r="N32" s="2643" t="s">
        <v>5252</v>
      </c>
      <c r="O32" s="2640"/>
    </row>
    <row r="33" spans="1:15">
      <c r="A33" s="2643" t="s">
        <v>5253</v>
      </c>
      <c r="B33" s="2644">
        <v>643</v>
      </c>
      <c r="C33" s="2640"/>
      <c r="D33" s="2640"/>
      <c r="E33" s="2643" t="s">
        <v>5253</v>
      </c>
      <c r="F33" s="2644">
        <v>650</v>
      </c>
      <c r="G33" s="2640"/>
      <c r="H33" s="2645"/>
      <c r="I33" s="2643" t="s">
        <v>5253</v>
      </c>
      <c r="J33" s="2644">
        <v>672</v>
      </c>
      <c r="K33" s="2640"/>
      <c r="M33" s="2643" t="s">
        <v>5253</v>
      </c>
      <c r="N33" s="2644">
        <v>678</v>
      </c>
      <c r="O33" s="2640"/>
    </row>
    <row r="34" spans="1:15">
      <c r="A34" s="2643" t="s">
        <v>5254</v>
      </c>
      <c r="B34" s="2644">
        <v>157</v>
      </c>
      <c r="C34" s="2640"/>
      <c r="D34" s="2640"/>
      <c r="E34" s="2643" t="s">
        <v>5254</v>
      </c>
      <c r="F34" s="2644">
        <v>150</v>
      </c>
      <c r="G34" s="2640"/>
      <c r="H34" s="2645"/>
      <c r="I34" s="2643" t="s">
        <v>5254</v>
      </c>
      <c r="J34" s="2644">
        <v>143</v>
      </c>
      <c r="K34" s="2640"/>
      <c r="M34" s="2643" t="s">
        <v>5254</v>
      </c>
      <c r="N34" s="2644">
        <v>137</v>
      </c>
      <c r="O34" s="2640"/>
    </row>
    <row r="35" spans="1:15">
      <c r="A35" s="2643" t="s">
        <v>5255</v>
      </c>
      <c r="B35" s="2644">
        <v>44</v>
      </c>
      <c r="C35" s="2640"/>
      <c r="D35" s="2640"/>
      <c r="E35" s="2643" t="s">
        <v>5255</v>
      </c>
      <c r="F35" s="2644">
        <v>42</v>
      </c>
      <c r="G35" s="2640"/>
      <c r="H35" s="2645"/>
      <c r="I35" s="2643" t="s">
        <v>5255</v>
      </c>
      <c r="J35" s="2644">
        <v>41</v>
      </c>
      <c r="K35" s="2640"/>
      <c r="M35" s="2643" t="s">
        <v>5255</v>
      </c>
      <c r="N35" s="2644">
        <v>40</v>
      </c>
      <c r="O35" s="2640"/>
    </row>
    <row r="36" spans="1:15">
      <c r="A36" s="2643" t="s">
        <v>1646</v>
      </c>
      <c r="B36" s="2643">
        <v>844</v>
      </c>
      <c r="C36" s="2640"/>
      <c r="D36" s="2640"/>
      <c r="E36" s="2643" t="s">
        <v>1646</v>
      </c>
      <c r="F36" s="2643">
        <v>842</v>
      </c>
      <c r="G36" s="2640"/>
      <c r="H36" s="2645"/>
      <c r="I36" s="2643" t="s">
        <v>1646</v>
      </c>
      <c r="J36" s="2643">
        <v>856</v>
      </c>
      <c r="K36" s="2640"/>
      <c r="M36" s="2643" t="s">
        <v>1646</v>
      </c>
      <c r="N36" s="2643">
        <v>855</v>
      </c>
      <c r="O36" s="2640"/>
    </row>
    <row r="37" spans="1:15">
      <c r="A37" s="2640"/>
      <c r="B37" s="2640"/>
      <c r="C37" s="2640"/>
      <c r="D37" s="2640"/>
      <c r="E37" s="2640"/>
      <c r="F37" s="2640"/>
      <c r="G37" s="2640"/>
      <c r="H37" s="2645"/>
      <c r="I37" s="2640"/>
      <c r="J37" s="2640"/>
      <c r="K37" s="2640"/>
      <c r="M37" s="2640"/>
      <c r="N37" s="2640"/>
      <c r="O37" s="2640"/>
    </row>
    <row r="38" spans="1:15">
      <c r="A38" s="2642" t="s">
        <v>5256</v>
      </c>
      <c r="B38" s="2640"/>
      <c r="C38" s="2640"/>
      <c r="D38" s="2640"/>
      <c r="E38" s="2642" t="s">
        <v>5256</v>
      </c>
      <c r="F38" s="2640"/>
      <c r="G38" s="2640"/>
      <c r="H38" s="2645"/>
      <c r="I38" s="2642" t="s">
        <v>5256</v>
      </c>
      <c r="J38" s="2640"/>
      <c r="K38" s="2640"/>
      <c r="M38" s="2642" t="s">
        <v>5256</v>
      </c>
      <c r="N38" s="2640"/>
      <c r="O38" s="2640"/>
    </row>
    <row r="39" spans="1:15">
      <c r="A39" s="5486" t="s">
        <v>2884</v>
      </c>
      <c r="B39" s="5487"/>
      <c r="C39" s="2643" t="s">
        <v>5252</v>
      </c>
      <c r="D39" s="2640"/>
      <c r="E39" s="5486" t="s">
        <v>2884</v>
      </c>
      <c r="F39" s="5487"/>
      <c r="G39" s="2643" t="s">
        <v>5252</v>
      </c>
      <c r="H39" s="2645"/>
      <c r="I39" s="5486" t="s">
        <v>2884</v>
      </c>
      <c r="J39" s="5487"/>
      <c r="K39" s="2643" t="s">
        <v>5252</v>
      </c>
      <c r="M39" s="5486" t="s">
        <v>2884</v>
      </c>
      <c r="N39" s="5487"/>
      <c r="O39" s="2643" t="s">
        <v>5252</v>
      </c>
    </row>
    <row r="40" spans="1:15">
      <c r="A40" s="2643" t="s">
        <v>2833</v>
      </c>
      <c r="B40" s="2643" t="s">
        <v>2833</v>
      </c>
      <c r="C40" s="2644">
        <v>16</v>
      </c>
      <c r="D40" s="2640"/>
      <c r="E40" s="2643" t="s">
        <v>2833</v>
      </c>
      <c r="F40" s="2643" t="s">
        <v>2833</v>
      </c>
      <c r="G40" s="2644">
        <v>17</v>
      </c>
      <c r="H40" s="2645"/>
      <c r="I40" s="2643" t="s">
        <v>2833</v>
      </c>
      <c r="J40" s="2643" t="s">
        <v>2833</v>
      </c>
      <c r="K40" s="2644">
        <v>14</v>
      </c>
      <c r="M40" s="2643" t="s">
        <v>2833</v>
      </c>
      <c r="N40" s="2643" t="s">
        <v>2833</v>
      </c>
      <c r="O40" s="2644">
        <v>13</v>
      </c>
    </row>
    <row r="41" spans="1:15">
      <c r="A41" s="2643" t="s">
        <v>5339</v>
      </c>
      <c r="B41" s="2646" t="s">
        <v>5258</v>
      </c>
      <c r="C41" s="2644">
        <v>7</v>
      </c>
      <c r="D41" s="2640"/>
      <c r="E41" s="2643" t="s">
        <v>5339</v>
      </c>
      <c r="F41" s="2646" t="s">
        <v>5258</v>
      </c>
      <c r="G41" s="2644">
        <v>5</v>
      </c>
      <c r="H41" s="2645"/>
      <c r="I41" s="5483" t="s">
        <v>5257</v>
      </c>
      <c r="J41" s="2646" t="s">
        <v>5258</v>
      </c>
      <c r="K41" s="2644">
        <v>4</v>
      </c>
      <c r="M41" s="5483" t="s">
        <v>5257</v>
      </c>
      <c r="N41" s="2646" t="s">
        <v>5258</v>
      </c>
      <c r="O41" s="2644">
        <v>3</v>
      </c>
    </row>
    <row r="42" spans="1:15">
      <c r="A42" s="5483" t="s">
        <v>5261</v>
      </c>
      <c r="B42" s="2646" t="s">
        <v>5263</v>
      </c>
      <c r="C42" s="2644">
        <v>4</v>
      </c>
      <c r="D42" s="2640"/>
      <c r="E42" s="5483" t="s">
        <v>5261</v>
      </c>
      <c r="F42" s="2646" t="s">
        <v>5263</v>
      </c>
      <c r="G42" s="2644">
        <v>4</v>
      </c>
      <c r="H42" s="2645"/>
      <c r="I42" s="5485"/>
      <c r="J42" s="2646" t="s">
        <v>5259</v>
      </c>
      <c r="K42" s="2644">
        <v>3</v>
      </c>
      <c r="M42" s="5484"/>
      <c r="N42" s="2646" t="s">
        <v>5259</v>
      </c>
      <c r="O42" s="2644">
        <v>3</v>
      </c>
    </row>
    <row r="43" spans="1:15">
      <c r="A43" s="5484"/>
      <c r="B43" s="2646" t="s">
        <v>5340</v>
      </c>
      <c r="C43" s="2644">
        <v>86</v>
      </c>
      <c r="D43" s="2640"/>
      <c r="E43" s="5484"/>
      <c r="F43" s="2646" t="s">
        <v>5264</v>
      </c>
      <c r="G43" s="2644">
        <v>86</v>
      </c>
      <c r="H43" s="2645"/>
      <c r="I43" s="5483" t="s">
        <v>5261</v>
      </c>
      <c r="J43" s="2646" t="s">
        <v>5262</v>
      </c>
      <c r="K43" s="2644">
        <v>1</v>
      </c>
      <c r="M43" s="5485"/>
      <c r="N43" s="2646" t="s">
        <v>5260</v>
      </c>
      <c r="O43" s="2644">
        <v>3</v>
      </c>
    </row>
    <row r="44" spans="1:15">
      <c r="A44" s="5484"/>
      <c r="B44" s="2646" t="s">
        <v>5341</v>
      </c>
      <c r="C44" s="2644">
        <v>73</v>
      </c>
      <c r="D44" s="2640"/>
      <c r="E44" s="5484"/>
      <c r="F44" s="2646" t="s">
        <v>5265</v>
      </c>
      <c r="G44" s="2644">
        <v>73</v>
      </c>
      <c r="H44" s="2645"/>
      <c r="I44" s="5484"/>
      <c r="J44" s="2646" t="s">
        <v>5263</v>
      </c>
      <c r="K44" s="2644">
        <v>5</v>
      </c>
      <c r="M44" s="5483" t="s">
        <v>5261</v>
      </c>
      <c r="N44" s="2646" t="s">
        <v>5262</v>
      </c>
      <c r="O44" s="2644">
        <v>1</v>
      </c>
    </row>
    <row r="45" spans="1:15">
      <c r="A45" s="5484"/>
      <c r="B45" s="2646" t="s">
        <v>5266</v>
      </c>
      <c r="C45" s="2644">
        <v>107</v>
      </c>
      <c r="D45" s="2640"/>
      <c r="E45" s="5484"/>
      <c r="F45" s="2646" t="s">
        <v>5266</v>
      </c>
      <c r="G45" s="2644">
        <v>108</v>
      </c>
      <c r="H45" s="2645"/>
      <c r="I45" s="5484"/>
      <c r="J45" s="2646" t="s">
        <v>5264</v>
      </c>
      <c r="K45" s="2644">
        <v>87</v>
      </c>
      <c r="M45" s="5484"/>
      <c r="N45" s="2646" t="s">
        <v>5263</v>
      </c>
      <c r="O45" s="2644">
        <v>6</v>
      </c>
    </row>
    <row r="46" spans="1:15">
      <c r="A46" s="5484"/>
      <c r="B46" s="2646" t="s">
        <v>5267</v>
      </c>
      <c r="C46" s="2644">
        <v>68</v>
      </c>
      <c r="D46" s="2640"/>
      <c r="E46" s="5484"/>
      <c r="F46" s="2646" t="s">
        <v>5267</v>
      </c>
      <c r="G46" s="2644">
        <v>68</v>
      </c>
      <c r="H46" s="2645"/>
      <c r="I46" s="5484"/>
      <c r="J46" s="2646" t="s">
        <v>5265</v>
      </c>
      <c r="K46" s="2644">
        <v>84</v>
      </c>
      <c r="M46" s="5484"/>
      <c r="N46" s="2646" t="s">
        <v>5264</v>
      </c>
      <c r="O46" s="2644">
        <v>90</v>
      </c>
    </row>
    <row r="47" spans="1:15">
      <c r="A47" s="5484"/>
      <c r="B47" s="2646" t="s">
        <v>5268</v>
      </c>
      <c r="C47" s="2644">
        <v>20</v>
      </c>
      <c r="D47" s="2640"/>
      <c r="E47" s="5484"/>
      <c r="F47" s="2646" t="s">
        <v>5268</v>
      </c>
      <c r="G47" s="2644">
        <v>25</v>
      </c>
      <c r="H47" s="2645"/>
      <c r="I47" s="5484"/>
      <c r="J47" s="2646" t="s">
        <v>5266</v>
      </c>
      <c r="K47" s="2644">
        <v>108</v>
      </c>
      <c r="M47" s="5484"/>
      <c r="N47" s="2646" t="s">
        <v>5265</v>
      </c>
      <c r="O47" s="2644">
        <v>79</v>
      </c>
    </row>
    <row r="48" spans="1:15">
      <c r="A48" s="5484"/>
      <c r="B48" s="2646" t="s">
        <v>5269</v>
      </c>
      <c r="C48" s="2644">
        <v>43</v>
      </c>
      <c r="D48" s="2640"/>
      <c r="E48" s="5484"/>
      <c r="F48" s="2646" t="s">
        <v>5269</v>
      </c>
      <c r="G48" s="2644">
        <v>41</v>
      </c>
      <c r="H48" s="2645"/>
      <c r="I48" s="5484"/>
      <c r="J48" s="2646" t="s">
        <v>5267</v>
      </c>
      <c r="K48" s="2644">
        <v>69</v>
      </c>
      <c r="M48" s="5484"/>
      <c r="N48" s="2646" t="s">
        <v>5266</v>
      </c>
      <c r="O48" s="2644">
        <v>110</v>
      </c>
    </row>
    <row r="49" spans="1:15">
      <c r="A49" s="5484"/>
      <c r="B49" s="2646" t="s">
        <v>5270</v>
      </c>
      <c r="C49" s="2644">
        <v>63</v>
      </c>
      <c r="D49" s="2640"/>
      <c r="E49" s="5484"/>
      <c r="F49" s="2646" t="s">
        <v>5270</v>
      </c>
      <c r="G49" s="2644">
        <v>67</v>
      </c>
      <c r="H49" s="2645"/>
      <c r="I49" s="5484"/>
      <c r="J49" s="2646" t="s">
        <v>5268</v>
      </c>
      <c r="K49" s="2644">
        <v>29</v>
      </c>
      <c r="M49" s="5484"/>
      <c r="N49" s="2646" t="s">
        <v>5267</v>
      </c>
      <c r="O49" s="2644">
        <v>73</v>
      </c>
    </row>
    <row r="50" spans="1:15">
      <c r="A50" s="5484"/>
      <c r="B50" s="2646" t="s">
        <v>5271</v>
      </c>
      <c r="C50" s="2644">
        <v>65</v>
      </c>
      <c r="D50" s="2640"/>
      <c r="E50" s="5484"/>
      <c r="F50" s="2646" t="s">
        <v>5271</v>
      </c>
      <c r="G50" s="2644">
        <v>66</v>
      </c>
      <c r="H50" s="2645"/>
      <c r="I50" s="5484"/>
      <c r="J50" s="2646" t="s">
        <v>5269</v>
      </c>
      <c r="K50" s="2644">
        <v>41</v>
      </c>
      <c r="M50" s="5484"/>
      <c r="N50" s="2646" t="s">
        <v>5268</v>
      </c>
      <c r="O50" s="2644">
        <v>29</v>
      </c>
    </row>
    <row r="51" spans="1:15">
      <c r="A51" s="5484"/>
      <c r="B51" s="2646" t="s">
        <v>5342</v>
      </c>
      <c r="C51" s="2644">
        <v>16</v>
      </c>
      <c r="D51" s="2640"/>
      <c r="E51" s="5484"/>
      <c r="F51" s="2646" t="s">
        <v>5342</v>
      </c>
      <c r="G51" s="2644">
        <v>15</v>
      </c>
      <c r="H51" s="2645"/>
      <c r="I51" s="5484"/>
      <c r="J51" s="2646" t="s">
        <v>5270</v>
      </c>
      <c r="K51" s="2644">
        <v>69</v>
      </c>
      <c r="M51" s="5484"/>
      <c r="N51" s="2646" t="s">
        <v>5269</v>
      </c>
      <c r="O51" s="2644">
        <v>47</v>
      </c>
    </row>
    <row r="52" spans="1:15">
      <c r="A52" s="5484"/>
      <c r="B52" s="2646" t="s">
        <v>5343</v>
      </c>
      <c r="C52" s="2644">
        <v>12</v>
      </c>
      <c r="D52" s="2640"/>
      <c r="E52" s="5484"/>
      <c r="F52" s="2646" t="s">
        <v>5343</v>
      </c>
      <c r="G52" s="2644">
        <v>8</v>
      </c>
      <c r="H52" s="2645"/>
      <c r="I52" s="5484"/>
      <c r="J52" s="2646" t="s">
        <v>5271</v>
      </c>
      <c r="K52" s="2644">
        <v>67</v>
      </c>
      <c r="M52" s="5484"/>
      <c r="N52" s="2646" t="s">
        <v>5270</v>
      </c>
      <c r="O52" s="2644">
        <v>66</v>
      </c>
    </row>
    <row r="53" spans="1:15">
      <c r="A53" s="5484"/>
      <c r="B53" s="2646" t="s">
        <v>5274</v>
      </c>
      <c r="C53" s="2644">
        <v>12</v>
      </c>
      <c r="D53" s="2640"/>
      <c r="E53" s="5484"/>
      <c r="F53" s="2646" t="s">
        <v>5274</v>
      </c>
      <c r="G53" s="2644">
        <v>11</v>
      </c>
      <c r="H53" s="2645"/>
      <c r="I53" s="5484"/>
      <c r="J53" s="2646" t="s">
        <v>5342</v>
      </c>
      <c r="K53" s="2644">
        <v>15</v>
      </c>
      <c r="M53" s="5484"/>
      <c r="N53" s="2646" t="s">
        <v>5271</v>
      </c>
      <c r="O53" s="2644">
        <v>67</v>
      </c>
    </row>
    <row r="54" spans="1:15">
      <c r="A54" s="5484"/>
      <c r="B54" s="2646" t="s">
        <v>5275</v>
      </c>
      <c r="C54" s="2644">
        <v>9</v>
      </c>
      <c r="D54" s="2640"/>
      <c r="E54" s="5484"/>
      <c r="F54" s="2646" t="s">
        <v>5275</v>
      </c>
      <c r="G54" s="2644">
        <v>9</v>
      </c>
      <c r="H54" s="2645"/>
      <c r="I54" s="5484"/>
      <c r="J54" s="2646" t="s">
        <v>5343</v>
      </c>
      <c r="K54" s="2644">
        <v>7</v>
      </c>
      <c r="M54" s="5484"/>
      <c r="N54" s="2646" t="s">
        <v>5272</v>
      </c>
      <c r="O54" s="2644">
        <v>15</v>
      </c>
    </row>
    <row r="55" spans="1:15">
      <c r="A55" s="5485"/>
      <c r="B55" s="2646" t="s">
        <v>5276</v>
      </c>
      <c r="C55" s="2644">
        <v>5</v>
      </c>
      <c r="D55" s="2640"/>
      <c r="E55" s="5485"/>
      <c r="F55" s="2646" t="s">
        <v>5276</v>
      </c>
      <c r="G55" s="2644">
        <v>5</v>
      </c>
      <c r="H55" s="2645"/>
      <c r="I55" s="5484"/>
      <c r="J55" s="2646" t="s">
        <v>5274</v>
      </c>
      <c r="K55" s="2644">
        <v>11</v>
      </c>
      <c r="M55" s="5484"/>
      <c r="N55" s="2646" t="s">
        <v>5273</v>
      </c>
      <c r="O55" s="2644">
        <v>5</v>
      </c>
    </row>
    <row r="56" spans="1:15">
      <c r="A56" s="5483" t="s">
        <v>5278</v>
      </c>
      <c r="B56" s="2646" t="s">
        <v>5344</v>
      </c>
      <c r="C56" s="2644">
        <v>6</v>
      </c>
      <c r="D56" s="2640"/>
      <c r="E56" s="5483" t="s">
        <v>5278</v>
      </c>
      <c r="F56" s="2646" t="s">
        <v>5344</v>
      </c>
      <c r="G56" s="2644">
        <v>6</v>
      </c>
      <c r="H56" s="2645"/>
      <c r="I56" s="5484"/>
      <c r="J56" s="2646" t="s">
        <v>5275</v>
      </c>
      <c r="K56" s="2644">
        <v>9</v>
      </c>
      <c r="M56" s="5484"/>
      <c r="N56" s="2646" t="s">
        <v>5274</v>
      </c>
      <c r="O56" s="2644">
        <v>11</v>
      </c>
    </row>
    <row r="57" spans="1:15">
      <c r="A57" s="5485"/>
      <c r="B57" s="2646" t="s">
        <v>5345</v>
      </c>
      <c r="C57" s="2644">
        <v>21</v>
      </c>
      <c r="D57" s="2640"/>
      <c r="E57" s="5485"/>
      <c r="F57" s="2646" t="s">
        <v>5345</v>
      </c>
      <c r="G57" s="2644">
        <v>24</v>
      </c>
      <c r="H57" s="2645"/>
      <c r="I57" s="5485"/>
      <c r="J57" s="2646" t="s">
        <v>5276</v>
      </c>
      <c r="K57" s="2644">
        <v>5</v>
      </c>
      <c r="M57" s="5484"/>
      <c r="N57" s="2646" t="s">
        <v>5275</v>
      </c>
      <c r="O57" s="2644">
        <v>9</v>
      </c>
    </row>
    <row r="58" spans="1:15">
      <c r="A58" s="5483" t="s">
        <v>5346</v>
      </c>
      <c r="B58" s="2646" t="s">
        <v>5259</v>
      </c>
      <c r="C58" s="2644">
        <v>3</v>
      </c>
      <c r="D58" s="2640"/>
      <c r="E58" s="5483" t="s">
        <v>5346</v>
      </c>
      <c r="F58" s="2646" t="s">
        <v>5259</v>
      </c>
      <c r="G58" s="2644">
        <v>3</v>
      </c>
      <c r="H58" s="2645"/>
      <c r="I58" s="5483" t="s">
        <v>5278</v>
      </c>
      <c r="J58" s="2646" t="s">
        <v>5344</v>
      </c>
      <c r="K58" s="2644">
        <v>6</v>
      </c>
      <c r="M58" s="5484"/>
      <c r="N58" s="2646" t="s">
        <v>5276</v>
      </c>
      <c r="O58" s="2644">
        <v>5</v>
      </c>
    </row>
    <row r="59" spans="1:15">
      <c r="A59" s="5485"/>
      <c r="B59" s="2646" t="s">
        <v>5302</v>
      </c>
      <c r="C59" s="2644">
        <v>8</v>
      </c>
      <c r="D59" s="2640"/>
      <c r="E59" s="5485"/>
      <c r="F59" s="2646" t="s">
        <v>5302</v>
      </c>
      <c r="G59" s="2644">
        <v>4</v>
      </c>
      <c r="H59" s="2645"/>
      <c r="I59" s="5485"/>
      <c r="J59" s="2646" t="s">
        <v>5347</v>
      </c>
      <c r="K59" s="2644">
        <v>24</v>
      </c>
      <c r="M59" s="5485"/>
      <c r="N59" s="2646" t="s">
        <v>5277</v>
      </c>
      <c r="O59" s="2644">
        <v>3</v>
      </c>
    </row>
    <row r="60" spans="1:15">
      <c r="A60" s="5483" t="s">
        <v>5281</v>
      </c>
      <c r="B60" s="2646" t="s">
        <v>5282</v>
      </c>
      <c r="C60" s="2644">
        <v>4</v>
      </c>
      <c r="D60" s="2640"/>
      <c r="E60" s="5483" t="s">
        <v>5281</v>
      </c>
      <c r="F60" s="2646" t="s">
        <v>5282</v>
      </c>
      <c r="G60" s="2644">
        <v>5</v>
      </c>
      <c r="H60" s="2645"/>
      <c r="I60" s="5483" t="s">
        <v>5281</v>
      </c>
      <c r="J60" s="2646" t="s">
        <v>5282</v>
      </c>
      <c r="K60" s="2644">
        <v>11</v>
      </c>
      <c r="M60" s="5483" t="s">
        <v>5278</v>
      </c>
      <c r="N60" s="2646" t="s">
        <v>5278</v>
      </c>
      <c r="O60" s="2644">
        <v>1</v>
      </c>
    </row>
    <row r="61" spans="1:15">
      <c r="A61" s="5484"/>
      <c r="B61" s="2646" t="s">
        <v>5283</v>
      </c>
      <c r="C61" s="2644">
        <v>9</v>
      </c>
      <c r="D61" s="2640"/>
      <c r="E61" s="5484"/>
      <c r="F61" s="2646" t="s">
        <v>5283</v>
      </c>
      <c r="G61" s="2644">
        <v>9</v>
      </c>
      <c r="H61" s="2645"/>
      <c r="I61" s="5484"/>
      <c r="J61" s="2646" t="s">
        <v>5283</v>
      </c>
      <c r="K61" s="2644">
        <v>4</v>
      </c>
      <c r="M61" s="5484"/>
      <c r="N61" s="2646" t="s">
        <v>5279</v>
      </c>
      <c r="O61" s="2644">
        <v>7</v>
      </c>
    </row>
    <row r="62" spans="1:15">
      <c r="A62" s="5484"/>
      <c r="B62" s="2646" t="s">
        <v>5284</v>
      </c>
      <c r="C62" s="2644">
        <v>7</v>
      </c>
      <c r="D62" s="2640"/>
      <c r="E62" s="5484"/>
      <c r="F62" s="2646" t="s">
        <v>5284</v>
      </c>
      <c r="G62" s="2644">
        <v>6</v>
      </c>
      <c r="H62" s="2645"/>
      <c r="I62" s="5484"/>
      <c r="J62" s="2646" t="s">
        <v>5284</v>
      </c>
      <c r="K62" s="2644">
        <v>5</v>
      </c>
      <c r="M62" s="5485"/>
      <c r="N62" s="2646" t="s">
        <v>5280</v>
      </c>
      <c r="O62" s="2644">
        <v>21</v>
      </c>
    </row>
    <row r="63" spans="1:15">
      <c r="A63" s="5484"/>
      <c r="B63" s="2646" t="s">
        <v>5285</v>
      </c>
      <c r="C63" s="2644">
        <v>4</v>
      </c>
      <c r="D63" s="2640"/>
      <c r="E63" s="5484"/>
      <c r="F63" s="2646" t="s">
        <v>5285</v>
      </c>
      <c r="G63" s="2644">
        <v>3</v>
      </c>
      <c r="H63" s="2645"/>
      <c r="I63" s="5484"/>
      <c r="J63" s="2646" t="s">
        <v>5285</v>
      </c>
      <c r="K63" s="2644">
        <v>3</v>
      </c>
      <c r="M63" s="5483" t="s">
        <v>5281</v>
      </c>
      <c r="N63" s="2646" t="s">
        <v>5282</v>
      </c>
      <c r="O63" s="2644">
        <v>10</v>
      </c>
    </row>
    <row r="64" spans="1:15">
      <c r="A64" s="5484"/>
      <c r="B64" s="2646" t="s">
        <v>5286</v>
      </c>
      <c r="C64" s="2644">
        <v>5</v>
      </c>
      <c r="D64" s="2640"/>
      <c r="E64" s="5484"/>
      <c r="F64" s="2646" t="s">
        <v>5286</v>
      </c>
      <c r="G64" s="2644">
        <v>5</v>
      </c>
      <c r="H64" s="2645"/>
      <c r="I64" s="5484"/>
      <c r="J64" s="2646" t="s">
        <v>5286</v>
      </c>
      <c r="K64" s="2644">
        <v>4</v>
      </c>
      <c r="M64" s="5484"/>
      <c r="N64" s="2646" t="s">
        <v>5283</v>
      </c>
      <c r="O64" s="2644">
        <v>4</v>
      </c>
    </row>
    <row r="65" spans="1:15">
      <c r="A65" s="5485"/>
      <c r="B65" s="2646" t="s">
        <v>5287</v>
      </c>
      <c r="C65" s="2644">
        <v>1</v>
      </c>
      <c r="D65" s="2640"/>
      <c r="E65" s="5485"/>
      <c r="F65" s="2646" t="s">
        <v>5287</v>
      </c>
      <c r="G65" s="2644">
        <v>1</v>
      </c>
      <c r="H65" s="2645"/>
      <c r="I65" s="5485"/>
      <c r="J65" s="2646" t="s">
        <v>5287</v>
      </c>
      <c r="K65" s="2644">
        <v>2</v>
      </c>
      <c r="M65" s="5484"/>
      <c r="N65" s="2646" t="s">
        <v>5284</v>
      </c>
      <c r="O65" s="2644">
        <v>6</v>
      </c>
    </row>
    <row r="66" spans="1:15">
      <c r="A66" s="5483" t="s">
        <v>5288</v>
      </c>
      <c r="B66" s="2646" t="s">
        <v>5289</v>
      </c>
      <c r="C66" s="2644">
        <v>4</v>
      </c>
      <c r="D66" s="2640"/>
      <c r="E66" s="5483" t="s">
        <v>5288</v>
      </c>
      <c r="F66" s="2646" t="s">
        <v>5289</v>
      </c>
      <c r="G66" s="2644">
        <v>12</v>
      </c>
      <c r="H66" s="2645"/>
      <c r="I66" s="5483" t="s">
        <v>5288</v>
      </c>
      <c r="J66" s="2646" t="s">
        <v>5289</v>
      </c>
      <c r="K66" s="2644">
        <v>12</v>
      </c>
      <c r="M66" s="5484"/>
      <c r="N66" s="2646" t="s">
        <v>5285</v>
      </c>
      <c r="O66" s="2644">
        <v>4</v>
      </c>
    </row>
    <row r="67" spans="1:15">
      <c r="A67" s="5484"/>
      <c r="B67" s="2646" t="s">
        <v>5290</v>
      </c>
      <c r="C67" s="2644">
        <v>10</v>
      </c>
      <c r="D67" s="2640"/>
      <c r="E67" s="5484"/>
      <c r="F67" s="2646" t="s">
        <v>5290</v>
      </c>
      <c r="G67" s="2644">
        <v>6</v>
      </c>
      <c r="H67" s="2645"/>
      <c r="I67" s="5484"/>
      <c r="J67" s="2646" t="s">
        <v>5290</v>
      </c>
      <c r="K67" s="2644">
        <v>6</v>
      </c>
      <c r="M67" s="5484"/>
      <c r="N67" s="2646" t="s">
        <v>5286</v>
      </c>
      <c r="O67" s="2644">
        <v>4</v>
      </c>
    </row>
    <row r="68" spans="1:15">
      <c r="A68" s="5484"/>
      <c r="B68" s="2646" t="s">
        <v>5291</v>
      </c>
      <c r="C68" s="2644">
        <v>11</v>
      </c>
      <c r="D68" s="2640"/>
      <c r="E68" s="5484"/>
      <c r="F68" s="2646" t="s">
        <v>5291</v>
      </c>
      <c r="G68" s="2644">
        <v>6</v>
      </c>
      <c r="H68" s="2645"/>
      <c r="I68" s="5484"/>
      <c r="J68" s="2646" t="s">
        <v>5291</v>
      </c>
      <c r="K68" s="2644">
        <v>6</v>
      </c>
      <c r="M68" s="5485"/>
      <c r="N68" s="2646" t="s">
        <v>5287</v>
      </c>
      <c r="O68" s="2644">
        <v>1</v>
      </c>
    </row>
    <row r="69" spans="1:15">
      <c r="A69" s="5484"/>
      <c r="B69" s="2646" t="s">
        <v>5293</v>
      </c>
      <c r="C69" s="2644">
        <v>1</v>
      </c>
      <c r="D69" s="2640"/>
      <c r="E69" s="5484"/>
      <c r="F69" s="2646" t="s">
        <v>5293</v>
      </c>
      <c r="G69" s="2644">
        <v>1</v>
      </c>
      <c r="H69" s="2645"/>
      <c r="I69" s="5484"/>
      <c r="J69" s="2646" t="s">
        <v>5293</v>
      </c>
      <c r="K69" s="2644">
        <v>1</v>
      </c>
      <c r="M69" s="5483" t="s">
        <v>5288</v>
      </c>
      <c r="N69" s="2646" t="s">
        <v>5289</v>
      </c>
      <c r="O69" s="2644">
        <v>4</v>
      </c>
    </row>
    <row r="70" spans="1:15">
      <c r="A70" s="5485"/>
      <c r="B70" s="2646" t="s">
        <v>5294</v>
      </c>
      <c r="C70" s="2644">
        <v>1</v>
      </c>
      <c r="D70" s="2640"/>
      <c r="E70" s="5485"/>
      <c r="F70" s="2646" t="s">
        <v>5294</v>
      </c>
      <c r="G70" s="2644">
        <v>1</v>
      </c>
      <c r="H70" s="2645"/>
      <c r="I70" s="5485"/>
      <c r="J70" s="2646" t="s">
        <v>5294</v>
      </c>
      <c r="K70" s="2644">
        <v>1</v>
      </c>
      <c r="M70" s="5484"/>
      <c r="N70" s="2646" t="s">
        <v>5290</v>
      </c>
      <c r="O70" s="2644">
        <v>5</v>
      </c>
    </row>
    <row r="71" spans="1:15">
      <c r="A71" s="5483" t="s">
        <v>5295</v>
      </c>
      <c r="B71" s="2646" t="s">
        <v>5296</v>
      </c>
      <c r="C71" s="2644">
        <v>8</v>
      </c>
      <c r="D71" s="2640"/>
      <c r="E71" s="5483" t="s">
        <v>5295</v>
      </c>
      <c r="F71" s="2646" t="s">
        <v>5296</v>
      </c>
      <c r="G71" s="2644">
        <v>7</v>
      </c>
      <c r="H71" s="2645"/>
      <c r="I71" s="5483" t="s">
        <v>5295</v>
      </c>
      <c r="J71" s="2646" t="s">
        <v>5296</v>
      </c>
      <c r="K71" s="2644">
        <v>9</v>
      </c>
      <c r="M71" s="5484"/>
      <c r="N71" s="2646" t="s">
        <v>5291</v>
      </c>
      <c r="O71" s="2644">
        <v>6</v>
      </c>
    </row>
    <row r="72" spans="1:15">
      <c r="A72" s="5484"/>
      <c r="B72" s="2646" t="s">
        <v>5297</v>
      </c>
      <c r="C72" s="2644">
        <v>8</v>
      </c>
      <c r="D72" s="2640"/>
      <c r="E72" s="5484"/>
      <c r="F72" s="2646" t="s">
        <v>5297</v>
      </c>
      <c r="G72" s="2644">
        <v>9</v>
      </c>
      <c r="H72" s="2645"/>
      <c r="I72" s="5484"/>
      <c r="J72" s="2646" t="s">
        <v>5297</v>
      </c>
      <c r="K72" s="2644">
        <v>9</v>
      </c>
      <c r="M72" s="5484"/>
      <c r="N72" s="2646" t="s">
        <v>5292</v>
      </c>
      <c r="O72" s="2644">
        <v>7</v>
      </c>
    </row>
    <row r="73" spans="1:15">
      <c r="A73" s="5484"/>
      <c r="B73" s="2646" t="s">
        <v>5298</v>
      </c>
      <c r="C73" s="2644">
        <v>8</v>
      </c>
      <c r="D73" s="2640"/>
      <c r="E73" s="5484"/>
      <c r="F73" s="2646" t="s">
        <v>5298</v>
      </c>
      <c r="G73" s="2644">
        <v>8</v>
      </c>
      <c r="H73" s="2645"/>
      <c r="I73" s="5484"/>
      <c r="J73" s="2646" t="s">
        <v>5298</v>
      </c>
      <c r="K73" s="2644">
        <v>8</v>
      </c>
      <c r="M73" s="5484"/>
      <c r="N73" s="2646" t="s">
        <v>5293</v>
      </c>
      <c r="O73" s="2644">
        <v>1</v>
      </c>
    </row>
    <row r="74" spans="1:15">
      <c r="A74" s="5484"/>
      <c r="B74" s="2646" t="s">
        <v>5299</v>
      </c>
      <c r="C74" s="2644">
        <v>4</v>
      </c>
      <c r="D74" s="2640"/>
      <c r="E74" s="5484"/>
      <c r="F74" s="2646" t="s">
        <v>5299</v>
      </c>
      <c r="G74" s="2644">
        <v>4</v>
      </c>
      <c r="H74" s="2645"/>
      <c r="I74" s="5484"/>
      <c r="J74" s="2646" t="s">
        <v>5299</v>
      </c>
      <c r="K74" s="2644">
        <v>4</v>
      </c>
      <c r="M74" s="5485"/>
      <c r="N74" s="2646" t="s">
        <v>5294</v>
      </c>
      <c r="O74" s="2644">
        <v>1</v>
      </c>
    </row>
    <row r="75" spans="1:15">
      <c r="A75" s="5484"/>
      <c r="B75" s="2646" t="s">
        <v>5300</v>
      </c>
      <c r="C75" s="2644">
        <v>4</v>
      </c>
      <c r="D75" s="2640"/>
      <c r="E75" s="5484"/>
      <c r="F75" s="2646" t="s">
        <v>5300</v>
      </c>
      <c r="G75" s="2644">
        <v>4</v>
      </c>
      <c r="H75" s="2645"/>
      <c r="I75" s="5484"/>
      <c r="J75" s="2646" t="s">
        <v>5300</v>
      </c>
      <c r="K75" s="2644">
        <v>4</v>
      </c>
      <c r="M75" s="5483" t="s">
        <v>5295</v>
      </c>
      <c r="N75" s="2646" t="s">
        <v>5296</v>
      </c>
      <c r="O75" s="2644">
        <v>7</v>
      </c>
    </row>
    <row r="76" spans="1:15">
      <c r="A76" s="5484"/>
      <c r="B76" s="2646" t="s">
        <v>5301</v>
      </c>
      <c r="C76" s="2644">
        <v>6</v>
      </c>
      <c r="D76" s="2640"/>
      <c r="E76" s="5484"/>
      <c r="F76" s="2646" t="s">
        <v>5301</v>
      </c>
      <c r="G76" s="2644">
        <v>4</v>
      </c>
      <c r="H76" s="2645"/>
      <c r="I76" s="5484"/>
      <c r="J76" s="2646" t="s">
        <v>5301</v>
      </c>
      <c r="K76" s="2644">
        <v>4</v>
      </c>
      <c r="M76" s="5484"/>
      <c r="N76" s="2646" t="s">
        <v>5297</v>
      </c>
      <c r="O76" s="2644">
        <v>9</v>
      </c>
    </row>
    <row r="77" spans="1:15">
      <c r="A77" s="5485"/>
      <c r="B77" s="2646" t="s">
        <v>5303</v>
      </c>
      <c r="C77" s="2644">
        <v>4</v>
      </c>
      <c r="D77" s="2640"/>
      <c r="E77" s="5485"/>
      <c r="F77" s="2646" t="s">
        <v>5303</v>
      </c>
      <c r="G77" s="2644">
        <v>5</v>
      </c>
      <c r="H77" s="2645"/>
      <c r="I77" s="5484"/>
      <c r="J77" s="2646" t="s">
        <v>5302</v>
      </c>
      <c r="K77" s="2644">
        <v>3</v>
      </c>
      <c r="M77" s="5484"/>
      <c r="N77" s="2646" t="s">
        <v>5298</v>
      </c>
      <c r="O77" s="2644">
        <v>8</v>
      </c>
    </row>
    <row r="78" spans="1:15">
      <c r="A78" s="5483" t="s">
        <v>5304</v>
      </c>
      <c r="B78" s="2646" t="s">
        <v>5305</v>
      </c>
      <c r="C78" s="2644">
        <v>8</v>
      </c>
      <c r="D78" s="2640"/>
      <c r="E78" s="5483" t="s">
        <v>5304</v>
      </c>
      <c r="F78" s="2646" t="s">
        <v>5305</v>
      </c>
      <c r="G78" s="2644">
        <v>8</v>
      </c>
      <c r="H78" s="2645"/>
      <c r="I78" s="5485"/>
      <c r="J78" s="2646" t="s">
        <v>5303</v>
      </c>
      <c r="K78" s="2644">
        <v>5</v>
      </c>
      <c r="M78" s="5484"/>
      <c r="N78" s="2646" t="s">
        <v>5299</v>
      </c>
      <c r="O78" s="2644">
        <v>3</v>
      </c>
    </row>
    <row r="79" spans="1:15">
      <c r="A79" s="5484"/>
      <c r="B79" s="2646" t="s">
        <v>5306</v>
      </c>
      <c r="C79" s="2644">
        <v>6</v>
      </c>
      <c r="D79" s="2640"/>
      <c r="E79" s="5484"/>
      <c r="F79" s="2646" t="s">
        <v>5306</v>
      </c>
      <c r="G79" s="2644">
        <v>6</v>
      </c>
      <c r="H79" s="2645"/>
      <c r="I79" s="5483" t="s">
        <v>5304</v>
      </c>
      <c r="J79" s="2646" t="s">
        <v>5305</v>
      </c>
      <c r="K79" s="2644">
        <v>6</v>
      </c>
      <c r="M79" s="5484"/>
      <c r="N79" s="2646" t="s">
        <v>5300</v>
      </c>
      <c r="O79" s="2644">
        <v>4</v>
      </c>
    </row>
    <row r="80" spans="1:15">
      <c r="A80" s="5484"/>
      <c r="B80" s="2646" t="s">
        <v>5307</v>
      </c>
      <c r="C80" s="2644">
        <v>22</v>
      </c>
      <c r="D80" s="2640"/>
      <c r="E80" s="5484"/>
      <c r="F80" s="2646" t="s">
        <v>5307</v>
      </c>
      <c r="G80" s="2644">
        <v>19</v>
      </c>
      <c r="H80" s="2645"/>
      <c r="I80" s="5484"/>
      <c r="J80" s="2646" t="s">
        <v>5306</v>
      </c>
      <c r="K80" s="2644">
        <v>6</v>
      </c>
      <c r="M80" s="5484"/>
      <c r="N80" s="2646" t="s">
        <v>5301</v>
      </c>
      <c r="O80" s="2644">
        <v>5</v>
      </c>
    </row>
    <row r="81" spans="1:15">
      <c r="A81" s="5485"/>
      <c r="B81" s="2647" t="s">
        <v>5308</v>
      </c>
      <c r="C81" s="2644">
        <v>6</v>
      </c>
      <c r="D81" s="2640"/>
      <c r="E81" s="5485"/>
      <c r="F81" s="2647" t="s">
        <v>5308</v>
      </c>
      <c r="G81" s="2644">
        <v>6</v>
      </c>
      <c r="H81" s="2645"/>
      <c r="I81" s="5484"/>
      <c r="J81" s="2646" t="s">
        <v>5307</v>
      </c>
      <c r="K81" s="2644">
        <v>16</v>
      </c>
      <c r="M81" s="5484"/>
      <c r="N81" s="2646" t="s">
        <v>5302</v>
      </c>
      <c r="O81" s="2644">
        <v>3</v>
      </c>
    </row>
    <row r="82" spans="1:15">
      <c r="A82" s="5483" t="s">
        <v>5309</v>
      </c>
      <c r="B82" s="2647" t="s">
        <v>5348</v>
      </c>
      <c r="C82" s="2644">
        <v>3</v>
      </c>
      <c r="D82" s="2640"/>
      <c r="E82" s="5483" t="s">
        <v>5309</v>
      </c>
      <c r="F82" s="2647" t="s">
        <v>5310</v>
      </c>
      <c r="G82" s="2644">
        <v>5</v>
      </c>
      <c r="H82" s="2645"/>
      <c r="I82" s="5485"/>
      <c r="J82" s="2647" t="s">
        <v>5308</v>
      </c>
      <c r="K82" s="2644">
        <v>5</v>
      </c>
      <c r="M82" s="5485"/>
      <c r="N82" s="2646" t="s">
        <v>5303</v>
      </c>
      <c r="O82" s="2644">
        <v>5</v>
      </c>
    </row>
    <row r="83" spans="1:15">
      <c r="A83" s="5484"/>
      <c r="B83" s="2647" t="s">
        <v>5349</v>
      </c>
      <c r="C83" s="2644">
        <v>22</v>
      </c>
      <c r="D83" s="2640"/>
      <c r="E83" s="5484"/>
      <c r="F83" s="2647" t="s">
        <v>5311</v>
      </c>
      <c r="G83" s="2644">
        <v>13</v>
      </c>
      <c r="H83" s="2645"/>
      <c r="I83" s="5483" t="s">
        <v>5309</v>
      </c>
      <c r="J83" s="2647" t="s">
        <v>5310</v>
      </c>
      <c r="K83" s="2644">
        <v>8</v>
      </c>
      <c r="M83" s="5483" t="s">
        <v>5304</v>
      </c>
      <c r="N83" s="2646" t="s">
        <v>5305</v>
      </c>
      <c r="O83" s="2644">
        <v>5</v>
      </c>
    </row>
    <row r="84" spans="1:15">
      <c r="A84" s="5484"/>
      <c r="B84" s="2647" t="s">
        <v>5313</v>
      </c>
      <c r="C84" s="2644">
        <v>1</v>
      </c>
      <c r="D84" s="2640"/>
      <c r="E84" s="5484"/>
      <c r="F84" s="2647" t="s">
        <v>5312</v>
      </c>
      <c r="G84" s="2644">
        <v>7</v>
      </c>
      <c r="H84" s="2645"/>
      <c r="I84" s="5484"/>
      <c r="J84" s="2647" t="s">
        <v>5311</v>
      </c>
      <c r="K84" s="2644">
        <v>14</v>
      </c>
      <c r="M84" s="5484"/>
      <c r="N84" s="2646" t="s">
        <v>5306</v>
      </c>
      <c r="O84" s="2644">
        <v>6</v>
      </c>
    </row>
    <row r="85" spans="1:15">
      <c r="A85" s="5484"/>
      <c r="B85" s="2647" t="s">
        <v>5314</v>
      </c>
      <c r="C85" s="2644">
        <v>19</v>
      </c>
      <c r="D85" s="2640"/>
      <c r="E85" s="5484"/>
      <c r="F85" s="2647" t="s">
        <v>5313</v>
      </c>
      <c r="G85" s="2644">
        <v>1</v>
      </c>
      <c r="H85" s="2645"/>
      <c r="I85" s="5484"/>
      <c r="J85" s="2647" t="s">
        <v>5312</v>
      </c>
      <c r="K85" s="2644">
        <v>6</v>
      </c>
      <c r="M85" s="5484"/>
      <c r="N85" s="2646" t="s">
        <v>5307</v>
      </c>
      <c r="O85" s="2644">
        <v>14</v>
      </c>
    </row>
    <row r="86" spans="1:15">
      <c r="A86" s="5484"/>
      <c r="B86" s="2647" t="s">
        <v>5315</v>
      </c>
      <c r="C86" s="2644">
        <v>2</v>
      </c>
      <c r="D86" s="2640"/>
      <c r="E86" s="5484"/>
      <c r="F86" s="2647" t="s">
        <v>5314</v>
      </c>
      <c r="G86" s="2644">
        <v>17</v>
      </c>
      <c r="H86" s="2645"/>
      <c r="I86" s="5484"/>
      <c r="J86" s="2647" t="s">
        <v>5313</v>
      </c>
      <c r="K86" s="2644">
        <v>1</v>
      </c>
      <c r="M86" s="5485"/>
      <c r="N86" s="2647" t="s">
        <v>5308</v>
      </c>
      <c r="O86" s="2644">
        <v>4</v>
      </c>
    </row>
    <row r="87" spans="1:15">
      <c r="A87" s="5485"/>
      <c r="B87" s="2647" t="s">
        <v>5316</v>
      </c>
      <c r="C87" s="2644">
        <v>9</v>
      </c>
      <c r="D87" s="2640"/>
      <c r="E87" s="5484"/>
      <c r="F87" s="2647" t="s">
        <v>5315</v>
      </c>
      <c r="G87" s="2644">
        <v>2</v>
      </c>
      <c r="H87" s="2645"/>
      <c r="I87" s="5484"/>
      <c r="J87" s="2647" t="s">
        <v>5314</v>
      </c>
      <c r="K87" s="2644">
        <v>13</v>
      </c>
      <c r="M87" s="5483" t="s">
        <v>5309</v>
      </c>
      <c r="N87" s="2647" t="s">
        <v>5310</v>
      </c>
      <c r="O87" s="2644">
        <v>9</v>
      </c>
    </row>
    <row r="88" spans="1:15">
      <c r="A88" s="2643" t="s">
        <v>5318</v>
      </c>
      <c r="B88" s="2647" t="s">
        <v>5318</v>
      </c>
      <c r="C88" s="2644">
        <v>3</v>
      </c>
      <c r="D88" s="2640"/>
      <c r="E88" s="5485"/>
      <c r="F88" s="2647" t="s">
        <v>5316</v>
      </c>
      <c r="G88" s="2644">
        <v>9</v>
      </c>
      <c r="H88" s="2645"/>
      <c r="I88" s="5484"/>
      <c r="J88" s="2647" t="s">
        <v>5315</v>
      </c>
      <c r="K88" s="2644">
        <v>2</v>
      </c>
      <c r="M88" s="5484"/>
      <c r="N88" s="2647" t="s">
        <v>5311</v>
      </c>
      <c r="O88" s="2644">
        <v>14</v>
      </c>
    </row>
    <row r="89" spans="1:15">
      <c r="A89" s="5486" t="s">
        <v>1646</v>
      </c>
      <c r="B89" s="5487"/>
      <c r="C89" s="2643">
        <v>844</v>
      </c>
      <c r="D89" s="2640"/>
      <c r="E89" s="2643" t="s">
        <v>5317</v>
      </c>
      <c r="F89" s="2643" t="s">
        <v>5317</v>
      </c>
      <c r="G89" s="2644">
        <v>5</v>
      </c>
      <c r="H89" s="2645"/>
      <c r="I89" s="5485"/>
      <c r="J89" s="2647" t="s">
        <v>5316</v>
      </c>
      <c r="K89" s="2644">
        <v>10</v>
      </c>
      <c r="M89" s="5484"/>
      <c r="N89" s="2647" t="s">
        <v>5312</v>
      </c>
      <c r="O89" s="2644">
        <v>6</v>
      </c>
    </row>
    <row r="90" spans="1:15">
      <c r="A90" s="2640"/>
      <c r="B90" s="2640"/>
      <c r="C90" s="2640"/>
      <c r="D90" s="2640"/>
      <c r="E90" s="2643" t="s">
        <v>5318</v>
      </c>
      <c r="F90" s="2643" t="s">
        <v>5318</v>
      </c>
      <c r="G90" s="2644">
        <v>3</v>
      </c>
      <c r="H90" s="2645"/>
      <c r="I90" s="2643" t="s">
        <v>5317</v>
      </c>
      <c r="J90" s="2643" t="s">
        <v>5317</v>
      </c>
      <c r="K90" s="2644">
        <v>7</v>
      </c>
      <c r="M90" s="5484"/>
      <c r="N90" s="2647" t="s">
        <v>5313</v>
      </c>
      <c r="O90" s="2644">
        <v>1</v>
      </c>
    </row>
    <row r="91" spans="1:15">
      <c r="A91" s="2640"/>
      <c r="B91" s="2640"/>
      <c r="C91" s="2640"/>
      <c r="D91" s="2640"/>
      <c r="E91" s="2648" t="s">
        <v>1646</v>
      </c>
      <c r="F91" s="2649"/>
      <c r="G91" s="2643">
        <v>842</v>
      </c>
      <c r="H91" s="2645"/>
      <c r="I91" s="2643" t="s">
        <v>5318</v>
      </c>
      <c r="J91" s="2643" t="s">
        <v>5318</v>
      </c>
      <c r="K91" s="2644">
        <v>3</v>
      </c>
      <c r="M91" s="5484"/>
      <c r="N91" s="2647" t="s">
        <v>5314</v>
      </c>
      <c r="O91" s="2644">
        <v>11</v>
      </c>
    </row>
    <row r="92" spans="1:15">
      <c r="A92" s="2640"/>
      <c r="B92" s="2640"/>
      <c r="C92" s="2640"/>
      <c r="D92" s="2640"/>
      <c r="E92" s="2640"/>
      <c r="F92" s="2640"/>
      <c r="G92" s="2640"/>
      <c r="H92" s="2645"/>
      <c r="I92" s="2648" t="s">
        <v>1646</v>
      </c>
      <c r="J92" s="2649"/>
      <c r="K92" s="2643">
        <v>856</v>
      </c>
      <c r="M92" s="5484"/>
      <c r="N92" s="2647" t="s">
        <v>5315</v>
      </c>
      <c r="O92" s="2644">
        <v>2</v>
      </c>
    </row>
    <row r="93" spans="1:15">
      <c r="M93" s="5485"/>
      <c r="N93" s="2647" t="s">
        <v>5316</v>
      </c>
      <c r="O93" s="2644">
        <v>10</v>
      </c>
    </row>
    <row r="94" spans="1:15">
      <c r="M94" s="2643" t="s">
        <v>5317</v>
      </c>
      <c r="N94" s="2643" t="s">
        <v>5317</v>
      </c>
      <c r="O94" s="2644">
        <v>6</v>
      </c>
    </row>
    <row r="95" spans="1:15">
      <c r="M95" s="2643" t="s">
        <v>5318</v>
      </c>
      <c r="N95" s="2643" t="s">
        <v>5318</v>
      </c>
      <c r="O95" s="2644">
        <v>3</v>
      </c>
    </row>
    <row r="96" spans="1:15">
      <c r="M96" s="2648" t="s">
        <v>1646</v>
      </c>
      <c r="N96" s="2649"/>
      <c r="O96" s="2643">
        <v>855</v>
      </c>
    </row>
  </sheetData>
  <mergeCells count="59">
    <mergeCell ref="M83:M86"/>
    <mergeCell ref="M87:M93"/>
    <mergeCell ref="M41:M43"/>
    <mergeCell ref="M44:M59"/>
    <mergeCell ref="M60:M62"/>
    <mergeCell ref="M63:M68"/>
    <mergeCell ref="M69:M74"/>
    <mergeCell ref="M75:M82"/>
    <mergeCell ref="M13:M15"/>
    <mergeCell ref="M16:M17"/>
    <mergeCell ref="M18:M22"/>
    <mergeCell ref="M23:M24"/>
    <mergeCell ref="M25:N25"/>
    <mergeCell ref="A78:A81"/>
    <mergeCell ref="E78:E81"/>
    <mergeCell ref="I79:I82"/>
    <mergeCell ref="A82:A87"/>
    <mergeCell ref="E82:E88"/>
    <mergeCell ref="I83:I89"/>
    <mergeCell ref="A89:B89"/>
    <mergeCell ref="I41:I42"/>
    <mergeCell ref="M39:N39"/>
    <mergeCell ref="E71:E77"/>
    <mergeCell ref="I71:I78"/>
    <mergeCell ref="E58:E59"/>
    <mergeCell ref="I58:I59"/>
    <mergeCell ref="E60:E65"/>
    <mergeCell ref="I60:I65"/>
    <mergeCell ref="E42:E55"/>
    <mergeCell ref="I43:I57"/>
    <mergeCell ref="E56:E57"/>
    <mergeCell ref="E66:E70"/>
    <mergeCell ref="I66:I70"/>
    <mergeCell ref="E29:F29"/>
    <mergeCell ref="E13:E15"/>
    <mergeCell ref="E27:E28"/>
    <mergeCell ref="E39:F39"/>
    <mergeCell ref="I39:J39"/>
    <mergeCell ref="I13:I15"/>
    <mergeCell ref="E16:E17"/>
    <mergeCell ref="I16:I17"/>
    <mergeCell ref="E18:E21"/>
    <mergeCell ref="I18:I22"/>
    <mergeCell ref="E22:E26"/>
    <mergeCell ref="I23:I24"/>
    <mergeCell ref="I25:J25"/>
    <mergeCell ref="A71:A77"/>
    <mergeCell ref="A13:A15"/>
    <mergeCell ref="A16:A17"/>
    <mergeCell ref="A39:B39"/>
    <mergeCell ref="A29:B29"/>
    <mergeCell ref="A18:A21"/>
    <mergeCell ref="A22:A26"/>
    <mergeCell ref="A27:A28"/>
    <mergeCell ref="A42:A55"/>
    <mergeCell ref="A56:A57"/>
    <mergeCell ref="A60:A65"/>
    <mergeCell ref="A66:A70"/>
    <mergeCell ref="A58:A59"/>
  </mergeCells>
  <phoneticPr fontId="1"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5C039-D349-486E-8B94-58B572B6D6C5}">
  <sheetPr codeName="Sheet58"/>
  <dimension ref="B2:G54"/>
  <sheetViews>
    <sheetView workbookViewId="0"/>
  </sheetViews>
  <sheetFormatPr defaultColWidth="9" defaultRowHeight="12"/>
  <cols>
    <col min="1" max="1" width="6.5" style="1" customWidth="1"/>
    <col min="2" max="2" width="19.5" style="1" customWidth="1"/>
    <col min="3" max="3" width="9" style="1" bestFit="1" customWidth="1"/>
    <col min="4" max="4" width="29.125" style="1" bestFit="1" customWidth="1"/>
    <col min="5" max="7" width="18.875" style="1" bestFit="1" customWidth="1"/>
    <col min="8" max="16384" width="9" style="1"/>
  </cols>
  <sheetData>
    <row r="2" spans="2:7">
      <c r="B2" s="1" t="s">
        <v>354</v>
      </c>
      <c r="C2" s="1" t="s">
        <v>6066</v>
      </c>
      <c r="D2" s="3618" t="s">
        <v>1484</v>
      </c>
      <c r="E2" s="3619" t="s">
        <v>6</v>
      </c>
      <c r="F2" s="3619" t="s">
        <v>72</v>
      </c>
      <c r="G2" s="3619" t="s">
        <v>73</v>
      </c>
    </row>
    <row r="3" spans="2:7">
      <c r="B3" s="1" t="s">
        <v>6064</v>
      </c>
      <c r="C3" s="1" t="s">
        <v>1456</v>
      </c>
      <c r="D3" s="379" t="s">
        <v>1490</v>
      </c>
      <c r="E3" s="248">
        <v>3963489190.9739347</v>
      </c>
      <c r="F3" s="248">
        <v>4240709656.9386616</v>
      </c>
      <c r="G3" s="248">
        <v>4564697506.9298</v>
      </c>
    </row>
    <row r="4" spans="2:7">
      <c r="B4" s="1" t="s">
        <v>6064</v>
      </c>
      <c r="C4" s="1" t="s">
        <v>1456</v>
      </c>
      <c r="D4" s="379" t="s">
        <v>1491</v>
      </c>
      <c r="E4" s="248">
        <v>25784930</v>
      </c>
      <c r="F4" s="248">
        <v>24029987</v>
      </c>
      <c r="G4" s="248">
        <v>16737320</v>
      </c>
    </row>
    <row r="5" spans="2:7">
      <c r="B5" s="1" t="s">
        <v>6064</v>
      </c>
      <c r="C5" s="1" t="s">
        <v>1456</v>
      </c>
      <c r="D5" s="379" t="s">
        <v>1492</v>
      </c>
      <c r="E5" s="248">
        <v>2974769801</v>
      </c>
      <c r="F5" s="248">
        <v>3102292311.9512377</v>
      </c>
      <c r="G5" s="248">
        <v>2868125778.426856</v>
      </c>
    </row>
    <row r="6" spans="2:7">
      <c r="B6" s="1" t="s">
        <v>6064</v>
      </c>
      <c r="C6" s="1" t="s">
        <v>1456</v>
      </c>
      <c r="D6" s="379" t="s">
        <v>1493</v>
      </c>
      <c r="E6" s="248">
        <v>59966613165.081429</v>
      </c>
      <c r="F6" s="248">
        <v>60952260148.615204</v>
      </c>
      <c r="G6" s="248">
        <v>64650377660.546661</v>
      </c>
    </row>
    <row r="7" spans="2:7">
      <c r="B7" s="1" t="s">
        <v>6064</v>
      </c>
      <c r="C7" s="1" t="s">
        <v>1458</v>
      </c>
      <c r="D7" s="379" t="s">
        <v>1494</v>
      </c>
      <c r="E7" s="248">
        <v>2710238870</v>
      </c>
      <c r="F7" s="248">
        <v>2898388039</v>
      </c>
      <c r="G7" s="248">
        <v>3314052927</v>
      </c>
    </row>
    <row r="8" spans="2:7">
      <c r="B8" s="1" t="s">
        <v>6064</v>
      </c>
      <c r="C8" s="1" t="s">
        <v>1456</v>
      </c>
      <c r="D8" s="379" t="s">
        <v>1495</v>
      </c>
      <c r="E8" s="248">
        <v>1311607640</v>
      </c>
      <c r="F8" s="248">
        <v>1626804257</v>
      </c>
      <c r="G8" s="248">
        <v>1999386426</v>
      </c>
    </row>
    <row r="9" spans="2:7">
      <c r="B9" s="1" t="s">
        <v>6064</v>
      </c>
      <c r="C9" s="1" t="s">
        <v>1456</v>
      </c>
      <c r="D9" s="379" t="s">
        <v>1496</v>
      </c>
      <c r="E9" s="248">
        <v>231106140</v>
      </c>
      <c r="F9" s="248">
        <v>192969289</v>
      </c>
      <c r="G9" s="248">
        <v>191920757</v>
      </c>
    </row>
    <row r="10" spans="2:7">
      <c r="B10" s="1" t="s">
        <v>6065</v>
      </c>
      <c r="C10" s="1" t="s">
        <v>1456</v>
      </c>
      <c r="D10" s="379" t="s">
        <v>1497</v>
      </c>
      <c r="E10" s="248">
        <v>96221800</v>
      </c>
      <c r="F10" s="248">
        <v>96221800</v>
      </c>
      <c r="G10" s="248">
        <v>96221800</v>
      </c>
    </row>
    <row r="11" spans="2:7">
      <c r="D11" s="379" t="s">
        <v>6063</v>
      </c>
      <c r="E11" s="248">
        <v>37465558</v>
      </c>
      <c r="F11" s="248">
        <v>37465558</v>
      </c>
      <c r="G11" s="248">
        <v>37465558</v>
      </c>
    </row>
    <row r="12" spans="2:7">
      <c r="B12" s="1" t="s">
        <v>6065</v>
      </c>
      <c r="C12" s="1" t="s">
        <v>1456</v>
      </c>
      <c r="D12" s="379" t="s">
        <v>1498</v>
      </c>
      <c r="E12" s="248">
        <v>17395400</v>
      </c>
      <c r="F12" s="248">
        <v>17395400</v>
      </c>
      <c r="G12" s="248">
        <v>8531674</v>
      </c>
    </row>
    <row r="13" spans="2:7">
      <c r="B13" s="1" t="s">
        <v>6065</v>
      </c>
      <c r="C13" s="1" t="s">
        <v>1458</v>
      </c>
      <c r="D13" s="379" t="s">
        <v>1499</v>
      </c>
      <c r="E13" s="248">
        <v>1207480321</v>
      </c>
      <c r="F13" s="248">
        <v>1344548093</v>
      </c>
      <c r="G13" s="248">
        <v>921050417</v>
      </c>
    </row>
    <row r="14" spans="2:7">
      <c r="B14" s="1" t="s">
        <v>6065</v>
      </c>
      <c r="C14" s="1" t="s">
        <v>1456</v>
      </c>
      <c r="D14" s="379" t="s">
        <v>1500</v>
      </c>
      <c r="E14" s="248">
        <v>757468897</v>
      </c>
      <c r="F14" s="248">
        <v>852481503</v>
      </c>
      <c r="G14" s="248">
        <v>396102830</v>
      </c>
    </row>
    <row r="15" spans="2:7">
      <c r="B15" s="1" t="s">
        <v>6065</v>
      </c>
      <c r="C15" s="1" t="s">
        <v>1456</v>
      </c>
      <c r="D15" s="379" t="s">
        <v>1501</v>
      </c>
      <c r="E15" s="248">
        <v>91471556</v>
      </c>
      <c r="F15" s="248">
        <v>174247272</v>
      </c>
      <c r="G15" s="248">
        <v>170385716</v>
      </c>
    </row>
    <row r="16" spans="2:7">
      <c r="D16" s="3620" t="s">
        <v>275</v>
      </c>
      <c r="E16" s="3621">
        <v>73391113269.055359</v>
      </c>
      <c r="F16" s="3621">
        <v>75559813315.505096</v>
      </c>
      <c r="G16" s="3621">
        <v>79235056370.90332</v>
      </c>
    </row>
    <row r="17" spans="2:7" ht="12.75" thickBot="1">
      <c r="B17" s="1" t="s">
        <v>6296</v>
      </c>
    </row>
    <row r="18" spans="2:7" ht="13.5" thickTop="1" thickBot="1">
      <c r="B18" s="5500" t="s">
        <v>5857</v>
      </c>
      <c r="C18" s="5501"/>
      <c r="D18" s="5497" t="s">
        <v>5360</v>
      </c>
      <c r="E18" s="3743">
        <v>2022</v>
      </c>
      <c r="F18" s="5488">
        <v>2023</v>
      </c>
      <c r="G18" s="5491">
        <v>2024</v>
      </c>
    </row>
    <row r="19" spans="2:7">
      <c r="B19" s="5502"/>
      <c r="C19" s="5503"/>
      <c r="D19" s="5498"/>
      <c r="E19" s="3314" t="s">
        <v>5858</v>
      </c>
      <c r="F19" s="5489"/>
      <c r="G19" s="5492"/>
    </row>
    <row r="20" spans="2:7">
      <c r="B20" s="5502"/>
      <c r="C20" s="5503"/>
      <c r="D20" s="5498"/>
      <c r="E20" s="3316" t="s">
        <v>1461</v>
      </c>
      <c r="F20" s="5489"/>
      <c r="G20" s="5492"/>
    </row>
    <row r="21" spans="2:7">
      <c r="B21" s="5502"/>
      <c r="C21" s="5503"/>
      <c r="D21" s="5498"/>
      <c r="E21" s="3320"/>
      <c r="F21" s="5489"/>
      <c r="G21" s="5492"/>
    </row>
    <row r="22" spans="2:7" ht="12.75" thickBot="1">
      <c r="B22" s="5504"/>
      <c r="C22" s="5505"/>
      <c r="D22" s="5499"/>
      <c r="E22" s="3323"/>
      <c r="F22" s="5490"/>
      <c r="G22" s="5493"/>
    </row>
    <row r="23" spans="2:7">
      <c r="B23" s="3327" t="s">
        <v>5868</v>
      </c>
      <c r="C23" s="3328" t="s">
        <v>5559</v>
      </c>
      <c r="D23" s="3329">
        <v>751</v>
      </c>
      <c r="E23" s="3330">
        <v>788</v>
      </c>
      <c r="F23" s="3335">
        <v>804</v>
      </c>
      <c r="G23" s="3336">
        <v>827</v>
      </c>
    </row>
    <row r="24" spans="2:7">
      <c r="B24" s="3337" t="s">
        <v>5869</v>
      </c>
      <c r="C24" s="3337" t="s">
        <v>2633</v>
      </c>
      <c r="D24" s="3338">
        <v>651</v>
      </c>
      <c r="E24" s="3339">
        <v>742</v>
      </c>
      <c r="F24" s="3344">
        <v>775</v>
      </c>
      <c r="G24" s="3345">
        <v>806</v>
      </c>
    </row>
    <row r="25" spans="2:7">
      <c r="B25" s="3346"/>
      <c r="C25" s="3337" t="s">
        <v>5870</v>
      </c>
      <c r="D25" s="3338">
        <v>291</v>
      </c>
      <c r="E25" s="3339">
        <v>358</v>
      </c>
      <c r="F25" s="3344">
        <v>372</v>
      </c>
      <c r="G25" s="3345">
        <v>388</v>
      </c>
    </row>
    <row r="26" spans="2:7">
      <c r="B26" s="3346"/>
      <c r="C26" s="3337" t="s">
        <v>5871</v>
      </c>
      <c r="D26" s="3338">
        <v>263</v>
      </c>
      <c r="E26" s="3339">
        <v>316</v>
      </c>
      <c r="F26" s="3344">
        <v>311</v>
      </c>
      <c r="G26" s="3345">
        <v>313</v>
      </c>
    </row>
    <row r="27" spans="2:7">
      <c r="B27" s="3346"/>
      <c r="C27" s="3337" t="s">
        <v>1384</v>
      </c>
      <c r="D27" s="3338">
        <v>266</v>
      </c>
      <c r="E27" s="3339">
        <v>357</v>
      </c>
      <c r="F27" s="3344">
        <v>371</v>
      </c>
      <c r="G27" s="3345">
        <v>388</v>
      </c>
    </row>
    <row r="28" spans="2:7">
      <c r="B28" s="3346"/>
      <c r="C28" s="3337" t="s">
        <v>5872</v>
      </c>
      <c r="D28" s="3338">
        <v>219</v>
      </c>
      <c r="E28" s="3339">
        <v>244</v>
      </c>
      <c r="F28" s="3344">
        <v>250</v>
      </c>
      <c r="G28" s="3345">
        <v>244</v>
      </c>
    </row>
    <row r="29" spans="2:7">
      <c r="B29" s="3346"/>
      <c r="C29" s="3337" t="s">
        <v>1383</v>
      </c>
      <c r="D29" s="3338">
        <v>421</v>
      </c>
      <c r="E29" s="3339">
        <v>408</v>
      </c>
      <c r="F29" s="3344">
        <v>433</v>
      </c>
      <c r="G29" s="3345">
        <v>437</v>
      </c>
    </row>
    <row r="30" spans="2:7">
      <c r="B30" s="3346"/>
      <c r="C30" s="3337" t="s">
        <v>3576</v>
      </c>
      <c r="D30" s="3338">
        <v>132</v>
      </c>
      <c r="E30" s="3339">
        <v>144</v>
      </c>
      <c r="F30" s="3344">
        <v>136</v>
      </c>
      <c r="G30" s="3345">
        <v>142</v>
      </c>
    </row>
    <row r="31" spans="2:7">
      <c r="B31" s="3346"/>
      <c r="C31" s="3337" t="s">
        <v>5873</v>
      </c>
      <c r="D31" s="3338">
        <v>656</v>
      </c>
      <c r="E31" s="3339">
        <v>694</v>
      </c>
      <c r="F31" s="3344">
        <v>713</v>
      </c>
      <c r="G31" s="3345">
        <v>759</v>
      </c>
    </row>
    <row r="32" spans="2:7" ht="12.75" thickBot="1">
      <c r="B32" s="3346"/>
      <c r="C32" s="3351" t="s">
        <v>246</v>
      </c>
      <c r="D32" s="3352">
        <v>129</v>
      </c>
      <c r="E32" s="3353">
        <v>144</v>
      </c>
      <c r="F32" s="3358">
        <v>146</v>
      </c>
      <c r="G32" s="3359">
        <v>149</v>
      </c>
    </row>
    <row r="33" spans="2:7" ht="12.75" thickBot="1">
      <c r="B33" s="3360"/>
      <c r="C33" s="3361" t="s">
        <v>400</v>
      </c>
      <c r="D33" s="3362">
        <v>3779</v>
      </c>
      <c r="E33" s="3363">
        <v>4196</v>
      </c>
      <c r="F33" s="3368">
        <v>4311</v>
      </c>
      <c r="G33" s="3369">
        <v>4453</v>
      </c>
    </row>
    <row r="35" spans="2:7" ht="12.75" thickBot="1">
      <c r="B35" s="1" t="s">
        <v>6297</v>
      </c>
    </row>
    <row r="36" spans="2:7" ht="12.75" thickTop="1">
      <c r="B36" s="5494" t="s">
        <v>5857</v>
      </c>
      <c r="C36" s="5497" t="s">
        <v>5360</v>
      </c>
      <c r="D36" s="3737">
        <v>2022</v>
      </c>
      <c r="E36" s="5488">
        <v>2023</v>
      </c>
      <c r="F36" s="5491">
        <v>2024</v>
      </c>
    </row>
    <row r="37" spans="2:7" ht="20.25" customHeight="1">
      <c r="B37" s="5495"/>
      <c r="C37" s="5498"/>
      <c r="D37" s="3370" t="s">
        <v>5858</v>
      </c>
      <c r="E37" s="5489"/>
      <c r="F37" s="5492"/>
    </row>
    <row r="38" spans="2:7" ht="12.75" thickBot="1">
      <c r="B38" s="5496"/>
      <c r="C38" s="5499"/>
      <c r="D38" s="3371" t="s">
        <v>1461</v>
      </c>
      <c r="E38" s="5490"/>
      <c r="F38" s="5493"/>
    </row>
    <row r="39" spans="2:7">
      <c r="B39" s="3372" t="s">
        <v>5875</v>
      </c>
      <c r="C39" s="3373">
        <v>288</v>
      </c>
      <c r="D39" s="3374">
        <v>279</v>
      </c>
      <c r="E39" s="3377">
        <v>288</v>
      </c>
      <c r="F39" s="3378">
        <v>294</v>
      </c>
    </row>
    <row r="40" spans="2:7">
      <c r="B40" s="3379" t="s">
        <v>1398</v>
      </c>
      <c r="C40" s="3380">
        <v>14</v>
      </c>
      <c r="D40" s="3381">
        <v>16</v>
      </c>
      <c r="E40" s="3384">
        <v>14</v>
      </c>
      <c r="F40" s="3385">
        <v>14</v>
      </c>
    </row>
    <row r="41" spans="2:7">
      <c r="B41" s="3738" t="s">
        <v>5872</v>
      </c>
      <c r="C41" s="3739">
        <v>21</v>
      </c>
      <c r="D41" s="3740">
        <v>31</v>
      </c>
      <c r="E41" s="3741">
        <v>28</v>
      </c>
      <c r="F41" s="3742">
        <v>29</v>
      </c>
    </row>
    <row r="42" spans="2:7">
      <c r="B42" s="3738" t="s">
        <v>5876</v>
      </c>
      <c r="C42" s="3739">
        <v>320</v>
      </c>
      <c r="D42" s="3740">
        <v>403</v>
      </c>
      <c r="E42" s="3741">
        <v>394</v>
      </c>
      <c r="F42" s="3742">
        <v>369</v>
      </c>
    </row>
    <row r="43" spans="2:7">
      <c r="B43" s="3379" t="s">
        <v>3576</v>
      </c>
      <c r="C43" s="3380">
        <v>258</v>
      </c>
      <c r="D43" s="3381">
        <v>251</v>
      </c>
      <c r="E43" s="3384">
        <v>244</v>
      </c>
      <c r="F43" s="3385">
        <v>243</v>
      </c>
    </row>
    <row r="44" spans="2:7">
      <c r="B44" s="3379" t="s">
        <v>2371</v>
      </c>
      <c r="C44" s="3380">
        <v>2</v>
      </c>
      <c r="D44" s="3381">
        <v>2</v>
      </c>
      <c r="E44" s="3384">
        <v>2</v>
      </c>
      <c r="F44" s="3385">
        <v>1</v>
      </c>
    </row>
    <row r="45" spans="2:7">
      <c r="B45" s="3390" t="s">
        <v>5896</v>
      </c>
      <c r="C45" s="3380">
        <v>17</v>
      </c>
      <c r="D45" s="3381">
        <v>16</v>
      </c>
      <c r="E45" s="3384">
        <v>17</v>
      </c>
      <c r="F45" s="3385">
        <v>18</v>
      </c>
    </row>
    <row r="46" spans="2:7">
      <c r="B46" s="3379" t="s">
        <v>1403</v>
      </c>
      <c r="C46" s="3380">
        <v>15</v>
      </c>
      <c r="D46" s="3381">
        <v>17</v>
      </c>
      <c r="E46" s="3384">
        <v>17</v>
      </c>
      <c r="F46" s="3385">
        <v>18</v>
      </c>
    </row>
    <row r="47" spans="2:7">
      <c r="B47" s="3379" t="s">
        <v>1389</v>
      </c>
      <c r="C47" s="3380">
        <v>5</v>
      </c>
      <c r="D47" s="3381">
        <v>10</v>
      </c>
      <c r="E47" s="3384">
        <v>10</v>
      </c>
      <c r="F47" s="3385">
        <v>10</v>
      </c>
    </row>
    <row r="48" spans="2:7">
      <c r="B48" s="3379" t="s">
        <v>1381</v>
      </c>
      <c r="C48" s="3380">
        <v>20</v>
      </c>
      <c r="D48" s="3381">
        <v>22</v>
      </c>
      <c r="E48" s="3384">
        <v>25</v>
      </c>
      <c r="F48" s="3385">
        <v>16</v>
      </c>
    </row>
    <row r="49" spans="2:6">
      <c r="B49" s="3379" t="s">
        <v>1394</v>
      </c>
      <c r="C49" s="3380">
        <v>6</v>
      </c>
      <c r="D49" s="3381">
        <v>7</v>
      </c>
      <c r="E49" s="3384">
        <v>7</v>
      </c>
      <c r="F49" s="3385">
        <v>7</v>
      </c>
    </row>
    <row r="50" spans="2:6">
      <c r="B50" s="3379" t="s">
        <v>1395</v>
      </c>
      <c r="C50" s="3380">
        <v>2</v>
      </c>
      <c r="D50" s="3381">
        <v>2</v>
      </c>
      <c r="E50" s="3384">
        <v>2</v>
      </c>
      <c r="F50" s="3385">
        <v>2</v>
      </c>
    </row>
    <row r="51" spans="2:6">
      <c r="B51" s="3738" t="s">
        <v>246</v>
      </c>
      <c r="C51" s="3739">
        <v>34</v>
      </c>
      <c r="D51" s="3740">
        <v>39</v>
      </c>
      <c r="E51" s="3741">
        <v>40</v>
      </c>
      <c r="F51" s="3742">
        <v>40</v>
      </c>
    </row>
    <row r="52" spans="2:6">
      <c r="B52" s="3393" t="s">
        <v>5878</v>
      </c>
      <c r="C52" s="3394">
        <v>1001</v>
      </c>
      <c r="D52" s="3395">
        <v>1095</v>
      </c>
      <c r="E52" s="3398">
        <v>1088</v>
      </c>
      <c r="F52" s="3399">
        <v>1064</v>
      </c>
    </row>
    <row r="53" spans="2:6" ht="12.75" thickBot="1">
      <c r="B53" s="3400" t="s">
        <v>5879</v>
      </c>
      <c r="C53" s="3401">
        <v>93</v>
      </c>
      <c r="D53" s="3402">
        <v>89</v>
      </c>
      <c r="E53" s="3405">
        <v>90</v>
      </c>
      <c r="F53" s="3406">
        <v>91</v>
      </c>
    </row>
    <row r="54" spans="2:6" ht="12.75" thickBot="1">
      <c r="B54" s="3407" t="s">
        <v>5702</v>
      </c>
      <c r="C54" s="3408">
        <v>1094</v>
      </c>
      <c r="D54" s="3409">
        <v>1184</v>
      </c>
      <c r="E54" s="3412">
        <v>1178</v>
      </c>
      <c r="F54" s="3413">
        <v>1155</v>
      </c>
    </row>
  </sheetData>
  <mergeCells count="8">
    <mergeCell ref="F18:F22"/>
    <mergeCell ref="G18:G22"/>
    <mergeCell ref="B36:B38"/>
    <mergeCell ref="C36:C38"/>
    <mergeCell ref="E36:E38"/>
    <mergeCell ref="F36:F38"/>
    <mergeCell ref="B18:C22"/>
    <mergeCell ref="D18:D22"/>
  </mergeCells>
  <phoneticPr fontId="1"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B4C6D-A4E1-480D-A0D2-B9558425DC5B}">
  <sheetPr codeName="Sheet59"/>
  <dimension ref="B2:O88"/>
  <sheetViews>
    <sheetView workbookViewId="0"/>
  </sheetViews>
  <sheetFormatPr defaultColWidth="9" defaultRowHeight="12"/>
  <cols>
    <col min="1" max="2" width="9" style="1"/>
    <col min="3" max="3" width="27.75" style="1" customWidth="1"/>
    <col min="4" max="7" width="10.125" style="1" bestFit="1" customWidth="1"/>
    <col min="8" max="9" width="9.25" style="1" customWidth="1"/>
    <col min="10" max="15" width="9.125" style="1" bestFit="1" customWidth="1"/>
    <col min="16" max="16384" width="9" style="1"/>
  </cols>
  <sheetData>
    <row r="2" spans="2:7">
      <c r="B2" s="3435" t="s">
        <v>5966</v>
      </c>
      <c r="C2" s="3435"/>
      <c r="D2" s="3435">
        <v>2018</v>
      </c>
      <c r="E2" s="3435">
        <v>2019</v>
      </c>
      <c r="F2" s="3435">
        <v>2020</v>
      </c>
      <c r="G2" s="3435">
        <v>2021</v>
      </c>
    </row>
    <row r="3" spans="2:7">
      <c r="B3" s="323" t="s">
        <v>5967</v>
      </c>
      <c r="C3" s="323"/>
      <c r="D3" s="91">
        <v>1728228.628</v>
      </c>
      <c r="E3" s="91">
        <v>1567770.1510000001</v>
      </c>
      <c r="F3" s="91">
        <v>1719213.7710000002</v>
      </c>
      <c r="G3" s="91">
        <v>1079620.6670000001</v>
      </c>
    </row>
    <row r="4" spans="2:7">
      <c r="B4" s="1" t="s">
        <v>5968</v>
      </c>
      <c r="D4" s="19">
        <v>119206.85999999999</v>
      </c>
      <c r="E4" s="19">
        <v>124451.81999999998</v>
      </c>
      <c r="F4" s="19">
        <v>124969.24499999997</v>
      </c>
      <c r="G4" s="19">
        <v>85141.940999999992</v>
      </c>
    </row>
    <row r="5" spans="2:7">
      <c r="B5" s="1" t="s">
        <v>5969</v>
      </c>
      <c r="D5" s="19">
        <v>38000.123999999996</v>
      </c>
      <c r="E5" s="19">
        <v>33756.616999999998</v>
      </c>
      <c r="F5" s="19">
        <v>33547.909</v>
      </c>
      <c r="G5" s="19">
        <v>23562.477000000003</v>
      </c>
    </row>
    <row r="6" spans="2:7">
      <c r="B6" s="1" t="s">
        <v>5970</v>
      </c>
      <c r="D6" s="19">
        <v>1782.8130000000001</v>
      </c>
      <c r="E6" s="19">
        <v>1556.913</v>
      </c>
      <c r="F6" s="19">
        <v>1835.3420000000001</v>
      </c>
      <c r="G6" s="19">
        <v>1203.4630000000002</v>
      </c>
    </row>
    <row r="7" spans="2:7">
      <c r="B7" s="1" t="s">
        <v>5971</v>
      </c>
      <c r="C7" s="1" t="s">
        <v>5972</v>
      </c>
      <c r="D7" s="19">
        <v>30519.814000000002</v>
      </c>
      <c r="E7" s="19">
        <v>29449.213000000003</v>
      </c>
      <c r="F7" s="19">
        <v>28702.091</v>
      </c>
      <c r="G7" s="19">
        <v>21326.210999999999</v>
      </c>
    </row>
    <row r="8" spans="2:7">
      <c r="B8" s="1" t="s">
        <v>5973</v>
      </c>
      <c r="D8" s="19">
        <v>24475.915000000001</v>
      </c>
      <c r="E8" s="19">
        <v>26798.320999999996</v>
      </c>
      <c r="F8" s="19">
        <v>26112.483000000004</v>
      </c>
      <c r="G8" s="19">
        <v>19973.563000000002</v>
      </c>
    </row>
    <row r="9" spans="2:7">
      <c r="B9" s="1" t="s">
        <v>5974</v>
      </c>
      <c r="D9" s="19">
        <v>37158.823000000004</v>
      </c>
      <c r="E9" s="19">
        <v>43055.945999999996</v>
      </c>
      <c r="F9" s="19">
        <v>28693.597999999998</v>
      </c>
      <c r="G9" s="19">
        <v>40763.120999999999</v>
      </c>
    </row>
    <row r="10" spans="2:7">
      <c r="B10" s="68" t="s">
        <v>246</v>
      </c>
      <c r="C10" s="68"/>
      <c r="D10" s="100">
        <v>41276.832999999999</v>
      </c>
      <c r="E10" s="100">
        <v>46733.541999999994</v>
      </c>
      <c r="F10" s="100">
        <v>39399.727000000006</v>
      </c>
      <c r="G10" s="100">
        <v>29293.455999999998</v>
      </c>
    </row>
    <row r="13" spans="2:7">
      <c r="B13" s="3435" t="s">
        <v>5975</v>
      </c>
      <c r="C13" s="3435"/>
      <c r="D13" s="3435">
        <v>2018</v>
      </c>
      <c r="E13" s="3435">
        <v>2019</v>
      </c>
      <c r="F13" s="3435">
        <v>2020</v>
      </c>
      <c r="G13" s="3435">
        <v>2021</v>
      </c>
    </row>
    <row r="14" spans="2:7">
      <c r="B14" s="323" t="s">
        <v>5967</v>
      </c>
      <c r="C14" s="323"/>
      <c r="D14" s="91">
        <v>1687299.5209999999</v>
      </c>
      <c r="E14" s="91">
        <v>1579186.7620000001</v>
      </c>
      <c r="F14" s="91">
        <v>1687750.8860000002</v>
      </c>
      <c r="G14" s="91">
        <v>1140081.6529999999</v>
      </c>
    </row>
    <row r="15" spans="2:7">
      <c r="B15" s="1" t="s">
        <v>5968</v>
      </c>
      <c r="D15" s="19">
        <v>118245.22499999999</v>
      </c>
      <c r="E15" s="19">
        <v>121572.34199999998</v>
      </c>
      <c r="F15" s="19">
        <v>126839.17000000001</v>
      </c>
      <c r="G15" s="19">
        <v>87498.841</v>
      </c>
    </row>
    <row r="16" spans="2:7">
      <c r="B16" s="1" t="s">
        <v>5969</v>
      </c>
      <c r="D16" s="19">
        <v>38506.084999999999</v>
      </c>
      <c r="E16" s="19">
        <v>32960.540999999997</v>
      </c>
      <c r="F16" s="19">
        <v>34499.097999999998</v>
      </c>
      <c r="G16" s="19">
        <v>24003.272000000001</v>
      </c>
    </row>
    <row r="17" spans="2:7">
      <c r="B17" s="1" t="s">
        <v>5970</v>
      </c>
      <c r="D17" s="19">
        <v>1836.146</v>
      </c>
      <c r="E17" s="19">
        <v>1670.9290000000001</v>
      </c>
      <c r="F17" s="19">
        <v>1771.8729999999998</v>
      </c>
      <c r="G17" s="19">
        <v>1146.3100000000002</v>
      </c>
    </row>
    <row r="18" spans="2:7">
      <c r="B18" s="1" t="s">
        <v>5971</v>
      </c>
      <c r="D18" s="19">
        <v>30839.233</v>
      </c>
      <c r="E18" s="19">
        <v>29079.117999999995</v>
      </c>
      <c r="F18" s="19">
        <v>29021.233000000004</v>
      </c>
      <c r="G18" s="19">
        <v>21437.177000000003</v>
      </c>
    </row>
    <row r="19" spans="2:7">
      <c r="B19" s="1" t="s">
        <v>5973</v>
      </c>
      <c r="D19" s="19">
        <v>24680.883000000002</v>
      </c>
      <c r="E19" s="19">
        <v>26798.321000000004</v>
      </c>
      <c r="F19" s="19">
        <v>25434.523000000001</v>
      </c>
      <c r="G19" s="19">
        <v>20113.921000000002</v>
      </c>
    </row>
    <row r="20" spans="2:7">
      <c r="B20" s="1" t="s">
        <v>5974</v>
      </c>
      <c r="D20" s="19">
        <v>38464.390000000007</v>
      </c>
      <c r="E20" s="19">
        <v>43524.266000000003</v>
      </c>
      <c r="F20" s="19">
        <v>28458.271999999997</v>
      </c>
      <c r="G20" s="19">
        <v>37110.381000000008</v>
      </c>
    </row>
    <row r="21" spans="2:7">
      <c r="B21" s="68" t="s">
        <v>246</v>
      </c>
      <c r="C21" s="68"/>
      <c r="D21" s="100">
        <v>41453.699999999997</v>
      </c>
      <c r="E21" s="100">
        <v>44782.079000000005</v>
      </c>
      <c r="F21" s="100">
        <v>40261.017</v>
      </c>
      <c r="G21" s="100">
        <v>29781.684999999998</v>
      </c>
    </row>
    <row r="22" spans="2:7">
      <c r="D22" s="19"/>
      <c r="E22" s="19"/>
      <c r="F22" s="19"/>
      <c r="G22" s="19"/>
    </row>
    <row r="23" spans="2:7">
      <c r="D23" s="19"/>
      <c r="E23" s="19"/>
      <c r="F23" s="19"/>
      <c r="G23" s="19"/>
    </row>
    <row r="24" spans="2:7">
      <c r="B24" s="3436" t="s">
        <v>5976</v>
      </c>
      <c r="C24" s="3436" t="s">
        <v>3537</v>
      </c>
      <c r="D24" s="3436">
        <v>2018</v>
      </c>
      <c r="E24" s="3436">
        <v>2019</v>
      </c>
      <c r="F24" s="3436">
        <v>2020</v>
      </c>
      <c r="G24" s="3436">
        <v>2021</v>
      </c>
    </row>
    <row r="25" spans="2:7">
      <c r="B25" s="323" t="s">
        <v>5915</v>
      </c>
      <c r="C25" s="323" t="s">
        <v>5916</v>
      </c>
      <c r="D25" s="91">
        <v>658581181.61400008</v>
      </c>
      <c r="E25" s="91">
        <v>611661324.08300006</v>
      </c>
      <c r="F25" s="91">
        <v>530215961.602</v>
      </c>
      <c r="G25" s="91">
        <v>448089105.48999995</v>
      </c>
    </row>
    <row r="26" spans="2:7">
      <c r="B26" s="1" t="s">
        <v>5918</v>
      </c>
      <c r="C26" s="1" t="s">
        <v>5916</v>
      </c>
      <c r="D26" s="19">
        <v>39375812.826000005</v>
      </c>
      <c r="E26" s="19">
        <v>45871727.468999997</v>
      </c>
      <c r="F26" s="19">
        <v>32221777.5</v>
      </c>
      <c r="G26" s="19">
        <v>24501549.600000001</v>
      </c>
    </row>
    <row r="27" spans="2:7">
      <c r="B27" s="1" t="s">
        <v>5941</v>
      </c>
      <c r="C27" s="1" t="s">
        <v>5921</v>
      </c>
      <c r="D27" s="19">
        <v>116502</v>
      </c>
      <c r="E27" s="19">
        <v>105285</v>
      </c>
      <c r="F27" s="19">
        <v>116197</v>
      </c>
      <c r="G27" s="19">
        <v>110676</v>
      </c>
    </row>
    <row r="28" spans="2:7">
      <c r="B28" s="1" t="s">
        <v>5920</v>
      </c>
      <c r="C28" s="1" t="s">
        <v>5921</v>
      </c>
      <c r="D28" s="19">
        <v>649953947.11399996</v>
      </c>
      <c r="E28" s="19">
        <v>637173248.31100011</v>
      </c>
      <c r="F28" s="19">
        <v>644994464.10300004</v>
      </c>
      <c r="G28" s="19">
        <v>453709220.54400003</v>
      </c>
    </row>
    <row r="29" spans="2:7">
      <c r="B29" s="1" t="s">
        <v>5977</v>
      </c>
      <c r="C29" s="1" t="s">
        <v>5924</v>
      </c>
      <c r="D29" s="19">
        <v>1233369</v>
      </c>
      <c r="E29" s="19">
        <v>1192041</v>
      </c>
      <c r="F29" s="19">
        <v>1230556.8899999999</v>
      </c>
      <c r="G29" s="19">
        <v>837553.39100000006</v>
      </c>
    </row>
    <row r="30" spans="2:7">
      <c r="B30" s="1" t="s">
        <v>5923</v>
      </c>
      <c r="C30" s="1" t="s">
        <v>5924</v>
      </c>
      <c r="D30" s="19">
        <v>1050.0329999999999</v>
      </c>
      <c r="E30" s="19">
        <v>1112.33</v>
      </c>
      <c r="F30" s="19">
        <v>1203.413</v>
      </c>
      <c r="G30" s="19">
        <v>771.25299999999993</v>
      </c>
    </row>
    <row r="31" spans="2:7">
      <c r="B31" s="1" t="s">
        <v>5926</v>
      </c>
      <c r="C31" s="1" t="s">
        <v>5916</v>
      </c>
      <c r="D31" s="19">
        <v>1547497.8539999998</v>
      </c>
      <c r="E31" s="19">
        <v>1672750.175</v>
      </c>
      <c r="F31" s="19">
        <v>1630259.909</v>
      </c>
      <c r="G31" s="19">
        <v>1188848.362</v>
      </c>
    </row>
    <row r="32" spans="2:7">
      <c r="B32" s="1" t="s">
        <v>244</v>
      </c>
      <c r="C32" s="1" t="s">
        <v>5921</v>
      </c>
      <c r="D32" s="19">
        <v>93202070</v>
      </c>
      <c r="E32" s="19">
        <v>103136658</v>
      </c>
      <c r="F32" s="19">
        <v>131274176</v>
      </c>
      <c r="G32" s="19">
        <v>118566800</v>
      </c>
    </row>
    <row r="33" spans="2:7">
      <c r="B33" s="1" t="s">
        <v>5928</v>
      </c>
      <c r="C33" s="1" t="s">
        <v>5916</v>
      </c>
      <c r="D33" s="19">
        <v>170084.34999999998</v>
      </c>
      <c r="E33" s="19">
        <v>182003.26500000001</v>
      </c>
      <c r="F33" s="19">
        <v>197211.486</v>
      </c>
      <c r="G33" s="19">
        <v>149121.06099999999</v>
      </c>
    </row>
    <row r="34" spans="2:7">
      <c r="B34" s="1" t="s">
        <v>5978</v>
      </c>
      <c r="C34" s="1" t="s">
        <v>5916</v>
      </c>
      <c r="D34" s="19">
        <v>4416000</v>
      </c>
      <c r="E34" s="19">
        <v>2710000</v>
      </c>
      <c r="F34" s="19">
        <v>3412360</v>
      </c>
      <c r="G34" s="19">
        <v>2295500</v>
      </c>
    </row>
    <row r="35" spans="2:7">
      <c r="B35" s="1" t="s">
        <v>5930</v>
      </c>
      <c r="C35" s="1" t="s">
        <v>5921</v>
      </c>
      <c r="D35" s="19">
        <v>402598.60200000001</v>
      </c>
      <c r="E35" s="19">
        <v>383508.15299999999</v>
      </c>
      <c r="F35" s="19">
        <v>399225.29100000008</v>
      </c>
      <c r="G35" s="19">
        <v>281084.39199999999</v>
      </c>
    </row>
    <row r="36" spans="2:7">
      <c r="B36" s="1" t="s">
        <v>5949</v>
      </c>
      <c r="C36" s="1" t="s">
        <v>5921</v>
      </c>
      <c r="D36" s="19">
        <v>16141</v>
      </c>
      <c r="E36" s="19">
        <v>55151</v>
      </c>
      <c r="F36" s="19">
        <v>27658</v>
      </c>
      <c r="G36" s="19">
        <v>40779</v>
      </c>
    </row>
    <row r="37" spans="2:7">
      <c r="B37" s="1" t="s">
        <v>5953</v>
      </c>
      <c r="C37" s="1" t="s">
        <v>5921</v>
      </c>
      <c r="D37" s="19">
        <v>38147.185000000005</v>
      </c>
      <c r="E37" s="19">
        <v>38686.130999999994</v>
      </c>
      <c r="F37" s="19">
        <v>35682.431999999993</v>
      </c>
      <c r="G37" s="19">
        <v>23478.652000000002</v>
      </c>
    </row>
    <row r="38" spans="2:7">
      <c r="B38" s="1" t="s">
        <v>5955</v>
      </c>
      <c r="C38" s="1" t="s">
        <v>5924</v>
      </c>
      <c r="D38" s="19">
        <v>118452.2</v>
      </c>
      <c r="E38" s="19">
        <v>107046.47</v>
      </c>
      <c r="F38" s="19">
        <v>113693.11000000002</v>
      </c>
      <c r="G38" s="19">
        <v>84454.3</v>
      </c>
    </row>
    <row r="39" spans="2:7">
      <c r="B39" s="1" t="s">
        <v>252</v>
      </c>
      <c r="C39" s="1" t="s">
        <v>5924</v>
      </c>
      <c r="D39" s="19">
        <v>547430</v>
      </c>
      <c r="E39" s="19">
        <v>507088</v>
      </c>
      <c r="F39" s="19">
        <v>481577</v>
      </c>
      <c r="G39" s="19">
        <v>286940</v>
      </c>
    </row>
    <row r="40" spans="2:7">
      <c r="B40" s="1" t="s">
        <v>5979</v>
      </c>
      <c r="C40" s="1" t="s">
        <v>5924</v>
      </c>
      <c r="D40" s="19">
        <v>13971.34</v>
      </c>
      <c r="E40" s="19">
        <v>12252.866000000002</v>
      </c>
      <c r="F40" s="19">
        <v>9608.0790000000034</v>
      </c>
      <c r="G40" s="19">
        <v>8127.8660000000009</v>
      </c>
    </row>
    <row r="41" spans="2:7">
      <c r="B41" s="68" t="s">
        <v>242</v>
      </c>
      <c r="C41" s="68" t="s">
        <v>5924</v>
      </c>
      <c r="D41" s="100">
        <v>1475267.7760000001</v>
      </c>
      <c r="E41" s="100">
        <v>1405729.986</v>
      </c>
      <c r="F41" s="100">
        <v>1452413.7570000002</v>
      </c>
      <c r="G41" s="100">
        <v>943402.59699999995</v>
      </c>
    </row>
    <row r="43" spans="2:7" ht="12.75" thickBot="1"/>
    <row r="44" spans="2:7" ht="13.5" thickTop="1" thickBot="1">
      <c r="B44" s="5508" t="s">
        <v>1459</v>
      </c>
      <c r="C44" s="5509"/>
      <c r="D44" s="3437" t="s">
        <v>5360</v>
      </c>
      <c r="E44" s="3438">
        <v>2022</v>
      </c>
      <c r="F44" s="3439">
        <v>2023</v>
      </c>
      <c r="G44" s="3440">
        <v>2024</v>
      </c>
    </row>
    <row r="45" spans="2:7">
      <c r="B45" s="5510" t="s">
        <v>5980</v>
      </c>
      <c r="C45" s="5511"/>
      <c r="D45" s="3441">
        <v>1632.9</v>
      </c>
      <c r="E45" s="3442">
        <v>1794.9</v>
      </c>
      <c r="F45" s="3443">
        <v>1750.8</v>
      </c>
      <c r="G45" s="3444">
        <v>1730.5</v>
      </c>
    </row>
    <row r="46" spans="2:7">
      <c r="B46" s="3445"/>
      <c r="C46" s="3446" t="s">
        <v>5981</v>
      </c>
      <c r="D46" s="3447">
        <v>1614.7</v>
      </c>
      <c r="E46" s="3448">
        <v>1775</v>
      </c>
      <c r="F46" s="3449">
        <v>1730</v>
      </c>
      <c r="G46" s="3450">
        <v>1710</v>
      </c>
    </row>
    <row r="47" spans="2:7">
      <c r="B47" s="3451"/>
      <c r="C47" s="3452" t="s">
        <v>5982</v>
      </c>
      <c r="D47" s="3453">
        <v>18.2</v>
      </c>
      <c r="E47" s="3454">
        <v>19.899999999999999</v>
      </c>
      <c r="F47" s="3455">
        <v>20.8</v>
      </c>
      <c r="G47" s="3456">
        <v>20.5</v>
      </c>
    </row>
    <row r="48" spans="2:7">
      <c r="B48" s="5512" t="s">
        <v>5983</v>
      </c>
      <c r="C48" s="5513"/>
      <c r="D48" s="3457">
        <v>49.7</v>
      </c>
      <c r="E48" s="3458">
        <v>41</v>
      </c>
      <c r="F48" s="3459">
        <v>52.6</v>
      </c>
      <c r="G48" s="3460">
        <v>65.8</v>
      </c>
    </row>
    <row r="49" spans="2:15">
      <c r="B49" s="5506" t="s">
        <v>5984</v>
      </c>
      <c r="C49" s="5507"/>
      <c r="D49" s="3461">
        <v>129.30000000000001</v>
      </c>
      <c r="E49" s="3462">
        <v>133.30000000000001</v>
      </c>
      <c r="F49" s="3463">
        <v>127.6</v>
      </c>
      <c r="G49" s="3464">
        <v>122.8</v>
      </c>
    </row>
    <row r="50" spans="2:15">
      <c r="B50" s="5514" t="s">
        <v>5985</v>
      </c>
      <c r="C50" s="5515"/>
      <c r="D50" s="3453">
        <v>11.8</v>
      </c>
      <c r="E50" s="3465">
        <v>5.4</v>
      </c>
      <c r="F50" s="3455">
        <v>6</v>
      </c>
      <c r="G50" s="3456">
        <v>0</v>
      </c>
    </row>
    <row r="51" spans="2:15">
      <c r="B51" s="5506" t="s">
        <v>5986</v>
      </c>
      <c r="C51" s="5507"/>
      <c r="D51" s="3461">
        <v>30.3</v>
      </c>
      <c r="E51" s="3462">
        <v>30.7</v>
      </c>
      <c r="F51" s="3463">
        <v>30.7</v>
      </c>
      <c r="G51" s="3464">
        <v>31.2</v>
      </c>
    </row>
    <row r="52" spans="2:15">
      <c r="B52" s="5516" t="s">
        <v>5987</v>
      </c>
      <c r="C52" s="5517"/>
      <c r="D52" s="3453">
        <v>27.3</v>
      </c>
      <c r="E52" s="3465">
        <v>29.3</v>
      </c>
      <c r="F52" s="3455">
        <v>32.4</v>
      </c>
      <c r="G52" s="3456">
        <v>31</v>
      </c>
    </row>
    <row r="53" spans="2:15" ht="12.75" thickBot="1">
      <c r="B53" s="5518" t="s">
        <v>5988</v>
      </c>
      <c r="C53" s="5519"/>
      <c r="D53" s="3466">
        <v>1.8</v>
      </c>
      <c r="E53" s="3467">
        <v>1.9</v>
      </c>
      <c r="F53" s="3468">
        <v>1.9</v>
      </c>
      <c r="G53" s="3469">
        <v>1.9</v>
      </c>
    </row>
    <row r="54" spans="2:15" ht="12.75" thickBot="1"/>
    <row r="55" spans="2:15" ht="12.75" thickTop="1">
      <c r="B55" s="5500" t="s">
        <v>1459</v>
      </c>
      <c r="C55" s="5520"/>
      <c r="D55" s="5522" t="s">
        <v>5360</v>
      </c>
      <c r="E55" s="5523"/>
      <c r="F55" s="5524"/>
      <c r="G55" s="5525">
        <v>2022</v>
      </c>
      <c r="H55" s="5526"/>
      <c r="I55" s="5527"/>
      <c r="J55" s="5537">
        <v>2023</v>
      </c>
      <c r="K55" s="5523"/>
      <c r="L55" s="5538"/>
      <c r="M55" s="5522">
        <v>2024</v>
      </c>
      <c r="N55" s="5523"/>
      <c r="O55" s="5530"/>
    </row>
    <row r="56" spans="2:15" ht="12.75" thickBot="1">
      <c r="B56" s="5504"/>
      <c r="C56" s="5521"/>
      <c r="D56" s="3470" t="s">
        <v>5989</v>
      </c>
      <c r="E56" s="3471" t="s">
        <v>5990</v>
      </c>
      <c r="F56" s="3472" t="s">
        <v>5991</v>
      </c>
      <c r="G56" s="3473" t="s">
        <v>5989</v>
      </c>
      <c r="H56" s="3474" t="s">
        <v>5990</v>
      </c>
      <c r="I56" s="3475" t="s">
        <v>5991</v>
      </c>
      <c r="J56" s="3476" t="s">
        <v>5989</v>
      </c>
      <c r="K56" s="3471" t="s">
        <v>5990</v>
      </c>
      <c r="L56" s="3477" t="s">
        <v>5991</v>
      </c>
      <c r="M56" s="3470" t="s">
        <v>5989</v>
      </c>
      <c r="N56" s="3471" t="s">
        <v>5990</v>
      </c>
      <c r="O56" s="3478" t="s">
        <v>5991</v>
      </c>
    </row>
    <row r="57" spans="2:15">
      <c r="B57" s="5510" t="s">
        <v>5992</v>
      </c>
      <c r="C57" s="5511"/>
      <c r="D57" s="3479">
        <v>433</v>
      </c>
      <c r="E57" s="3480">
        <v>25.2</v>
      </c>
      <c r="F57" s="3481">
        <v>432.5</v>
      </c>
      <c r="G57" s="3482">
        <v>470.8</v>
      </c>
      <c r="H57" s="3483">
        <v>25.4</v>
      </c>
      <c r="I57" s="3484">
        <v>413</v>
      </c>
      <c r="J57" s="3485">
        <v>459.8</v>
      </c>
      <c r="K57" s="3480">
        <v>24.5</v>
      </c>
      <c r="L57" s="3486">
        <v>404.3</v>
      </c>
      <c r="M57" s="3479">
        <v>454.5</v>
      </c>
      <c r="N57" s="3480">
        <v>22.4</v>
      </c>
      <c r="O57" s="3487">
        <v>397</v>
      </c>
    </row>
    <row r="58" spans="2:15">
      <c r="B58" s="3488"/>
      <c r="C58" s="3489" t="s">
        <v>5981</v>
      </c>
      <c r="D58" s="3490">
        <v>422.6</v>
      </c>
      <c r="E58" s="3491">
        <v>25.2</v>
      </c>
      <c r="F58" s="3492">
        <v>355.6</v>
      </c>
      <c r="G58" s="3493">
        <v>460</v>
      </c>
      <c r="H58" s="3494">
        <v>25.4</v>
      </c>
      <c r="I58" s="3495">
        <v>408.3</v>
      </c>
      <c r="J58" s="3496">
        <v>448.2</v>
      </c>
      <c r="K58" s="3497">
        <v>24.5</v>
      </c>
      <c r="L58" s="3498">
        <v>398.8</v>
      </c>
      <c r="M58" s="3499">
        <v>442.9</v>
      </c>
      <c r="N58" s="3497">
        <v>22.4</v>
      </c>
      <c r="O58" s="3500">
        <v>392.4</v>
      </c>
    </row>
    <row r="59" spans="2:15">
      <c r="B59" s="3501"/>
      <c r="C59" s="3502" t="s">
        <v>5982</v>
      </c>
      <c r="D59" s="3503">
        <v>10.5</v>
      </c>
      <c r="E59" s="3504">
        <v>0</v>
      </c>
      <c r="F59" s="3505">
        <v>76.900000000000006</v>
      </c>
      <c r="G59" s="3506">
        <v>10.8</v>
      </c>
      <c r="H59" s="3507">
        <v>0</v>
      </c>
      <c r="I59" s="3508">
        <v>4.7</v>
      </c>
      <c r="J59" s="3509">
        <v>11.6</v>
      </c>
      <c r="K59" s="3510">
        <v>0</v>
      </c>
      <c r="L59" s="3511">
        <v>5.5</v>
      </c>
      <c r="M59" s="3512">
        <v>11.6</v>
      </c>
      <c r="N59" s="3510">
        <v>0</v>
      </c>
      <c r="O59" s="3513">
        <v>5.3</v>
      </c>
    </row>
    <row r="60" spans="2:15">
      <c r="B60" s="5531" t="s">
        <v>5983</v>
      </c>
      <c r="C60" s="5532"/>
      <c r="D60" s="3514">
        <v>49.5</v>
      </c>
      <c r="E60" s="3515">
        <v>0.1</v>
      </c>
      <c r="F60" s="3516">
        <v>18.399999999999999</v>
      </c>
      <c r="G60" s="3517">
        <v>40.700000000000003</v>
      </c>
      <c r="H60" s="3518">
        <v>0.1</v>
      </c>
      <c r="I60" s="3519">
        <v>12.4</v>
      </c>
      <c r="J60" s="3520">
        <v>52.3</v>
      </c>
      <c r="K60" s="3521">
        <v>0.1</v>
      </c>
      <c r="L60" s="3522">
        <v>14.2</v>
      </c>
      <c r="M60" s="3523">
        <v>65.400000000000006</v>
      </c>
      <c r="N60" s="3521">
        <v>0.1</v>
      </c>
      <c r="O60" s="3524">
        <v>17.399999999999999</v>
      </c>
    </row>
    <row r="61" spans="2:15">
      <c r="B61" s="5533" t="s">
        <v>5993</v>
      </c>
      <c r="C61" s="5534"/>
      <c r="D61" s="3525">
        <v>122.9</v>
      </c>
      <c r="E61" s="3526">
        <v>0.3</v>
      </c>
      <c r="F61" s="3527">
        <v>19.8</v>
      </c>
      <c r="G61" s="3528">
        <v>125.9</v>
      </c>
      <c r="H61" s="3529">
        <v>0.3</v>
      </c>
      <c r="I61" s="3530">
        <v>20.3</v>
      </c>
      <c r="J61" s="3531">
        <v>120.5</v>
      </c>
      <c r="K61" s="3532">
        <v>0.3</v>
      </c>
      <c r="L61" s="3533">
        <v>20.3</v>
      </c>
      <c r="M61" s="3534">
        <v>116.2</v>
      </c>
      <c r="N61" s="3532">
        <v>0.2</v>
      </c>
      <c r="O61" s="3535">
        <v>19.600000000000001</v>
      </c>
    </row>
    <row r="62" spans="2:15">
      <c r="B62" s="5535" t="s">
        <v>5994</v>
      </c>
      <c r="C62" s="5536"/>
      <c r="D62" s="3503">
        <v>11.8</v>
      </c>
      <c r="E62" s="3504">
        <v>0.2</v>
      </c>
      <c r="F62" s="3505">
        <v>4.2</v>
      </c>
      <c r="G62" s="3506">
        <v>5.5</v>
      </c>
      <c r="H62" s="3507">
        <v>0</v>
      </c>
      <c r="I62" s="3508">
        <v>1.3</v>
      </c>
      <c r="J62" s="3509">
        <v>6.1</v>
      </c>
      <c r="K62" s="3510">
        <v>0</v>
      </c>
      <c r="L62" s="3511">
        <v>1.3</v>
      </c>
      <c r="M62" s="3512">
        <v>0</v>
      </c>
      <c r="N62" s="3510">
        <v>0</v>
      </c>
      <c r="O62" s="3513">
        <v>0</v>
      </c>
    </row>
    <row r="63" spans="2:15">
      <c r="B63" s="5533" t="s">
        <v>5995</v>
      </c>
      <c r="C63" s="5534"/>
      <c r="D63" s="3525">
        <v>5.6</v>
      </c>
      <c r="E63" s="3526">
        <v>0.9</v>
      </c>
      <c r="F63" s="3527">
        <v>10.9</v>
      </c>
      <c r="G63" s="3528">
        <v>5.7</v>
      </c>
      <c r="H63" s="3529">
        <v>0.9</v>
      </c>
      <c r="I63" s="3530">
        <v>10.7</v>
      </c>
      <c r="J63" s="3531">
        <v>5.8</v>
      </c>
      <c r="K63" s="3532">
        <v>0.9</v>
      </c>
      <c r="L63" s="3533">
        <v>10.5</v>
      </c>
      <c r="M63" s="3534">
        <v>5.8</v>
      </c>
      <c r="N63" s="3532">
        <v>0.9</v>
      </c>
      <c r="O63" s="3535">
        <v>10.7</v>
      </c>
    </row>
    <row r="64" spans="2:15">
      <c r="B64" s="5535" t="s">
        <v>5996</v>
      </c>
      <c r="C64" s="5536"/>
      <c r="D64" s="3503">
        <v>20.5</v>
      </c>
      <c r="E64" s="3504">
        <v>0.7</v>
      </c>
      <c r="F64" s="3505">
        <v>26.2</v>
      </c>
      <c r="G64" s="3506">
        <v>22.1</v>
      </c>
      <c r="H64" s="3507">
        <v>0.8</v>
      </c>
      <c r="I64" s="3508">
        <v>24.1</v>
      </c>
      <c r="J64" s="3509">
        <v>24.4</v>
      </c>
      <c r="K64" s="3510">
        <v>0.8</v>
      </c>
      <c r="L64" s="3511">
        <v>25.8</v>
      </c>
      <c r="M64" s="3512">
        <v>23.2</v>
      </c>
      <c r="N64" s="3510">
        <v>0.7</v>
      </c>
      <c r="O64" s="3513">
        <v>24.6</v>
      </c>
    </row>
    <row r="65" spans="2:15" ht="12.75" thickBot="1">
      <c r="B65" s="5539" t="s">
        <v>5988</v>
      </c>
      <c r="C65" s="5540"/>
      <c r="D65" s="3536">
        <v>0.4</v>
      </c>
      <c r="E65" s="3537">
        <v>5.8</v>
      </c>
      <c r="F65" s="3538">
        <v>87.7</v>
      </c>
      <c r="G65" s="3539">
        <v>0.4</v>
      </c>
      <c r="H65" s="3540">
        <v>6</v>
      </c>
      <c r="I65" s="3541">
        <v>95.5</v>
      </c>
      <c r="J65" s="3542">
        <v>0.4</v>
      </c>
      <c r="K65" s="3543">
        <v>6</v>
      </c>
      <c r="L65" s="3544">
        <v>95.5</v>
      </c>
      <c r="M65" s="3545">
        <v>0.4</v>
      </c>
      <c r="N65" s="3543">
        <v>6</v>
      </c>
      <c r="O65" s="3546">
        <v>95.5</v>
      </c>
    </row>
    <row r="66" spans="2:15" ht="12.75" thickBot="1">
      <c r="B66" s="5541" t="s">
        <v>5997</v>
      </c>
      <c r="C66" s="5542"/>
      <c r="D66" s="3547">
        <v>643.79999999999995</v>
      </c>
      <c r="E66" s="3548">
        <v>33.200000000000003</v>
      </c>
      <c r="F66" s="3549">
        <v>599.70000000000005</v>
      </c>
      <c r="G66" s="3550">
        <v>671.1</v>
      </c>
      <c r="H66" s="3551">
        <v>33.5</v>
      </c>
      <c r="I66" s="3552">
        <v>577.29999999999995</v>
      </c>
      <c r="J66" s="3553">
        <v>669.3</v>
      </c>
      <c r="K66" s="3554">
        <v>32.6</v>
      </c>
      <c r="L66" s="3555">
        <v>571.79999999999995</v>
      </c>
      <c r="M66" s="3556">
        <v>665.5</v>
      </c>
      <c r="N66" s="3554">
        <v>30.3</v>
      </c>
      <c r="O66" s="3557">
        <v>565.5</v>
      </c>
    </row>
    <row r="68" spans="2:15">
      <c r="D68" s="1">
        <v>2021</v>
      </c>
      <c r="G68" s="1">
        <v>2022</v>
      </c>
      <c r="J68" s="1">
        <v>2023</v>
      </c>
      <c r="M68" s="1">
        <v>2024</v>
      </c>
    </row>
    <row r="69" spans="2:15">
      <c r="B69" s="1930" t="s">
        <v>5998</v>
      </c>
      <c r="C69" s="1930"/>
      <c r="D69" s="3558" t="s">
        <v>355</v>
      </c>
      <c r="E69" s="1930" t="s">
        <v>359</v>
      </c>
      <c r="F69" s="1930" t="s">
        <v>361</v>
      </c>
      <c r="G69" s="3558" t="s">
        <v>355</v>
      </c>
      <c r="H69" s="1930" t="s">
        <v>359</v>
      </c>
      <c r="I69" s="1930" t="s">
        <v>361</v>
      </c>
      <c r="J69" s="3558" t="s">
        <v>355</v>
      </c>
      <c r="K69" s="1930" t="s">
        <v>359</v>
      </c>
      <c r="L69" s="1930" t="s">
        <v>361</v>
      </c>
      <c r="M69" s="3558" t="s">
        <v>355</v>
      </c>
      <c r="N69" s="1930" t="s">
        <v>359</v>
      </c>
      <c r="O69" s="1930" t="s">
        <v>361</v>
      </c>
    </row>
    <row r="70" spans="2:15">
      <c r="B70" s="1" t="s">
        <v>5999</v>
      </c>
      <c r="D70" s="78">
        <f>(D58+D59)/$D$45</f>
        <v>0.26523363341294631</v>
      </c>
      <c r="E70" s="330">
        <f>(E58+E59)/$D$45/1000</f>
        <v>1.5432665809296345E-5</v>
      </c>
      <c r="F70" s="330">
        <f>(F58+F59)/$D$45/1000</f>
        <v>2.6486618898891539E-4</v>
      </c>
      <c r="G70" s="78">
        <f>(G58+G59)/$E$45</f>
        <v>0.26229873530558806</v>
      </c>
      <c r="H70" s="76">
        <f>(H58+H59)/$E$45/1000</f>
        <v>1.4151206195331214E-5</v>
      </c>
      <c r="I70" s="76">
        <f t="shared" ref="I70" si="0">(I58+I59)/$E$45/1000</f>
        <v>2.3009638419967685E-4</v>
      </c>
      <c r="J70" s="78">
        <f>(J58+J59)/$F$45</f>
        <v>0.26262280100525476</v>
      </c>
      <c r="K70" s="76">
        <f>(K58+K59)/$F$45/1000</f>
        <v>1.3993602924377428E-5</v>
      </c>
      <c r="L70" s="76">
        <f>(L58+L59)/$F$45/1000</f>
        <v>2.3092300662554263E-4</v>
      </c>
      <c r="M70" s="78">
        <f>(M58+M59)/$G$45</f>
        <v>0.2626408552441491</v>
      </c>
      <c r="N70" s="76">
        <f>(N58+N59)/$G$45/1000</f>
        <v>1.2944235770008668E-5</v>
      </c>
      <c r="O70" s="76">
        <f>(O58+O59)/$G$45/1000</f>
        <v>2.2981797168448426E-4</v>
      </c>
    </row>
    <row r="71" spans="2:15">
      <c r="B71" s="1" t="s">
        <v>6000</v>
      </c>
      <c r="D71" s="78">
        <f>D60/$D$48</f>
        <v>0.99597585513078468</v>
      </c>
      <c r="E71" s="330">
        <f>E60/$D$48/1000</f>
        <v>2.0120724346076461E-6</v>
      </c>
      <c r="F71" s="330">
        <f>F60/$D$48/1000</f>
        <v>3.7022132796780678E-4</v>
      </c>
      <c r="G71" s="78">
        <f>G60/$E$48</f>
        <v>0.9926829268292684</v>
      </c>
      <c r="H71" s="76">
        <f>H60/$E$48/1000</f>
        <v>2.4390243902439023E-6</v>
      </c>
      <c r="I71" s="76">
        <f t="shared" ref="I71" si="1">I60/$E$48/1000</f>
        <v>3.0243902439024389E-4</v>
      </c>
      <c r="J71" s="78">
        <f>J60/$F$48</f>
        <v>0.99429657794676796</v>
      </c>
      <c r="K71" s="76">
        <f>K60/$F$48/1000</f>
        <v>1.9011406844106463E-6</v>
      </c>
      <c r="L71" s="76">
        <f>L60/$F$48/1000</f>
        <v>2.6996197718631178E-4</v>
      </c>
      <c r="M71" s="78">
        <f>M60/$G$48</f>
        <v>0.99392097264437707</v>
      </c>
      <c r="N71" s="76">
        <f>N60/$G$48/1000</f>
        <v>1.5197568389057753E-6</v>
      </c>
      <c r="O71" s="76">
        <f>O60/$G$48/1000</f>
        <v>2.6443768996960485E-4</v>
      </c>
    </row>
    <row r="72" spans="2:15">
      <c r="B72" s="1" t="s">
        <v>6001</v>
      </c>
      <c r="D72" s="78">
        <f>(D61)/SUM($D$49)</f>
        <v>0.95050270688321725</v>
      </c>
      <c r="E72" s="330">
        <f>(E61)/SUM($D$49)/1000</f>
        <v>2.3201856148491877E-6</v>
      </c>
      <c r="F72" s="330">
        <f>(F61)/SUM($D$49)/1000</f>
        <v>1.531322505800464E-4</v>
      </c>
      <c r="G72" s="78">
        <f>(G61)/SUM($E$49)</f>
        <v>0.94448612153038258</v>
      </c>
      <c r="H72" s="76">
        <f>(H61)/SUM($E$49)/1000</f>
        <v>2.2505626406601649E-6</v>
      </c>
      <c r="I72" s="76">
        <f t="shared" ref="I72" si="2">(I61)/SUM($E$49)/1000</f>
        <v>1.5228807201800448E-4</v>
      </c>
      <c r="J72" s="78">
        <f>(J61)/SUM($F$49)</f>
        <v>0.94435736677115989</v>
      </c>
      <c r="K72" s="76">
        <f>(K61)/SUM($F$49)/1000</f>
        <v>2.3510971786833857E-6</v>
      </c>
      <c r="L72" s="76">
        <f>(L61)/SUM($F$49)/1000</f>
        <v>1.5909090909090913E-4</v>
      </c>
      <c r="M72" s="78">
        <f>(M61)/SUM($G$49)</f>
        <v>0.94625407166123787</v>
      </c>
      <c r="N72" s="76">
        <f>(N61)/SUM($G$49)/1000</f>
        <v>1.6286644951140066E-6</v>
      </c>
      <c r="O72" s="76">
        <f>(O61)/SUM($G$49)/1000</f>
        <v>1.5960912052117264E-4</v>
      </c>
    </row>
    <row r="73" spans="2:15">
      <c r="B73" s="1" t="s">
        <v>5972</v>
      </c>
      <c r="D73" s="78">
        <f>D63/$D$51</f>
        <v>0.18481848184818481</v>
      </c>
      <c r="E73" s="330">
        <f>E63/$D$51/1000</f>
        <v>2.9702970297029702E-5</v>
      </c>
      <c r="F73" s="330">
        <f>F63/$D$51/1000</f>
        <v>3.5973597359735977E-4</v>
      </c>
      <c r="G73" s="78">
        <f>G63/$E$51</f>
        <v>0.18566775244299674</v>
      </c>
      <c r="H73" s="76">
        <f>H63/$E$51/1000</f>
        <v>2.931596091205212E-5</v>
      </c>
      <c r="I73" s="76">
        <f t="shared" ref="I73" si="3">I63/$E$51/1000</f>
        <v>3.4853420195439739E-4</v>
      </c>
      <c r="J73" s="78">
        <f>J63/$F$51</f>
        <v>0.18892508143322476</v>
      </c>
      <c r="K73" s="76">
        <f>K63/$F$51/1000</f>
        <v>2.931596091205212E-5</v>
      </c>
      <c r="L73" s="76">
        <f>L63/$F$51/1000</f>
        <v>3.4201954397394135E-4</v>
      </c>
      <c r="M73" s="78">
        <f>M63/$G$51</f>
        <v>0.1858974358974359</v>
      </c>
      <c r="N73" s="76">
        <f>N63/$G$51/1000</f>
        <v>2.8846153846153849E-5</v>
      </c>
      <c r="O73" s="76">
        <f>O63/$G$51/1000</f>
        <v>3.4294871794871793E-4</v>
      </c>
    </row>
    <row r="74" spans="2:15">
      <c r="B74" s="1" t="s">
        <v>2923</v>
      </c>
      <c r="D74" s="78">
        <f>D64/$D$52</f>
        <v>0.75091575091575091</v>
      </c>
      <c r="E74" s="330">
        <f>E64/$D$52/1000</f>
        <v>2.564102564102564E-5</v>
      </c>
      <c r="F74" s="330">
        <f>F64/$D$52/1000</f>
        <v>9.5970695970695958E-4</v>
      </c>
      <c r="G74" s="78">
        <f>G64/$E$52</f>
        <v>0.75426621160409557</v>
      </c>
      <c r="H74" s="76">
        <f>H64/$E$52/1000</f>
        <v>2.7303754266211605E-5</v>
      </c>
      <c r="I74" s="76">
        <f t="shared" ref="I74" si="4">I64/$E$52/1000</f>
        <v>8.2252559726962455E-4</v>
      </c>
      <c r="J74" s="78">
        <f>J64/$F$52</f>
        <v>0.75308641975308643</v>
      </c>
      <c r="K74" s="76">
        <f>K64/$F$52/1000</f>
        <v>2.469135802469136E-5</v>
      </c>
      <c r="L74" s="76">
        <f>L64/$F$52/1000</f>
        <v>7.9629629629629636E-4</v>
      </c>
      <c r="M74" s="78">
        <f>M64/$G$52</f>
        <v>0.74838709677419357</v>
      </c>
      <c r="N74" s="76">
        <f>N64/$G$52/1000</f>
        <v>2.2580645161290321E-5</v>
      </c>
      <c r="O74" s="76">
        <f>O64/$G$52/1000</f>
        <v>7.9354838709677427E-4</v>
      </c>
    </row>
    <row r="75" spans="2:15">
      <c r="B75" s="1" t="s">
        <v>6003</v>
      </c>
      <c r="D75" s="78">
        <f>D65/$D$53</f>
        <v>0.22222222222222224</v>
      </c>
      <c r="E75" s="330">
        <f>E65/$D$53/1000</f>
        <v>3.2222222222222218E-3</v>
      </c>
      <c r="F75" s="330">
        <f>F65/$D$53/1000</f>
        <v>4.8722222222222222E-2</v>
      </c>
      <c r="G75" s="78">
        <f>G65/$E$53</f>
        <v>0.2105263157894737</v>
      </c>
      <c r="H75" s="76">
        <f>H65/$E$53/1000</f>
        <v>3.1578947368421052E-3</v>
      </c>
      <c r="I75" s="76">
        <f t="shared" ref="I75" si="5">I65/$E$53/1000</f>
        <v>5.0263157894736843E-2</v>
      </c>
      <c r="J75" s="78">
        <f>J65/$F$53</f>
        <v>0.2105263157894737</v>
      </c>
      <c r="K75" s="76">
        <f>K65/$F$53/1000</f>
        <v>3.1578947368421052E-3</v>
      </c>
      <c r="L75" s="76">
        <f>L65/$F$53/1000</f>
        <v>5.0263157894736843E-2</v>
      </c>
      <c r="M75" s="78">
        <f>M65/$G$53</f>
        <v>0.2105263157894737</v>
      </c>
      <c r="N75" s="76">
        <f>N65/$G$53/1000</f>
        <v>3.1578947368421052E-3</v>
      </c>
      <c r="O75" s="76">
        <f>O65/$G$53/1000</f>
        <v>5.0263157894736843E-2</v>
      </c>
    </row>
    <row r="76" spans="2:15">
      <c r="B76" s="1" t="s">
        <v>6002</v>
      </c>
      <c r="D76" s="78">
        <f>D62/$D$50</f>
        <v>1</v>
      </c>
      <c r="E76" s="330">
        <f>E62/$D$50/1000</f>
        <v>1.6949152542372881E-5</v>
      </c>
      <c r="F76" s="330">
        <f>F62/$D$50/1000</f>
        <v>3.5593220338983052E-4</v>
      </c>
      <c r="G76" s="78">
        <f>G62/$E$50</f>
        <v>1.0185185185185184</v>
      </c>
      <c r="H76" s="76">
        <f>H62/$E$50/1000</f>
        <v>0</v>
      </c>
      <c r="I76" s="76">
        <f>I62/$E$50/1000</f>
        <v>2.4074074074074072E-4</v>
      </c>
      <c r="J76" s="78">
        <f>J62/$F$50</f>
        <v>1.0166666666666666</v>
      </c>
      <c r="K76" s="76">
        <f>K62/$F$50/1000</f>
        <v>0</v>
      </c>
      <c r="L76" s="76">
        <f>L62/$F$50/1000</f>
        <v>2.1666666666666668E-4</v>
      </c>
      <c r="M76" s="78">
        <v>0</v>
      </c>
      <c r="N76" s="76">
        <v>0</v>
      </c>
      <c r="O76" s="76">
        <f>O62/$E$50/1000</f>
        <v>0</v>
      </c>
    </row>
    <row r="77" spans="2:15" ht="12.75" thickBot="1"/>
    <row r="78" spans="2:15" ht="13.5" thickTop="1" thickBot="1">
      <c r="B78" s="5508" t="s">
        <v>6010</v>
      </c>
      <c r="C78" s="5543"/>
      <c r="D78" s="3559" t="s">
        <v>6011</v>
      </c>
      <c r="E78" s="3560" t="s">
        <v>5360</v>
      </c>
      <c r="F78" s="3438">
        <v>2022</v>
      </c>
      <c r="G78" s="3561">
        <v>2023</v>
      </c>
      <c r="H78" s="3562">
        <v>2024</v>
      </c>
    </row>
    <row r="79" spans="2:15">
      <c r="B79" s="5544" t="s">
        <v>5992</v>
      </c>
      <c r="C79" s="5545"/>
      <c r="D79" s="3563" t="s">
        <v>6016</v>
      </c>
      <c r="E79" s="3564">
        <v>1649</v>
      </c>
      <c r="F79" s="3565">
        <v>1796</v>
      </c>
      <c r="G79" s="3566">
        <v>1750</v>
      </c>
      <c r="H79" s="3567">
        <v>1733</v>
      </c>
    </row>
    <row r="80" spans="2:15">
      <c r="B80" s="5546"/>
      <c r="C80" s="5547"/>
      <c r="D80" s="3568" t="s">
        <v>6012</v>
      </c>
      <c r="E80" s="3569">
        <v>425</v>
      </c>
      <c r="F80" s="3570">
        <v>460</v>
      </c>
      <c r="G80" s="3571">
        <v>449</v>
      </c>
      <c r="H80" s="3568">
        <v>444</v>
      </c>
    </row>
    <row r="81" spans="2:8">
      <c r="B81" s="3445"/>
      <c r="C81" s="3572" t="s">
        <v>6017</v>
      </c>
      <c r="D81" s="3573" t="s">
        <v>6013</v>
      </c>
      <c r="E81" s="3574">
        <v>1628</v>
      </c>
      <c r="F81" s="3575">
        <v>1776</v>
      </c>
      <c r="G81" s="3576">
        <v>1728</v>
      </c>
      <c r="H81" s="3577">
        <v>1713</v>
      </c>
    </row>
    <row r="82" spans="2:8">
      <c r="B82" s="3451"/>
      <c r="C82" s="3578" t="s">
        <v>5982</v>
      </c>
      <c r="D82" s="3579" t="s">
        <v>6013</v>
      </c>
      <c r="E82" s="3580">
        <v>21</v>
      </c>
      <c r="F82" s="3581">
        <v>20</v>
      </c>
      <c r="G82" s="3582">
        <v>21</v>
      </c>
      <c r="H82" s="3579">
        <v>20</v>
      </c>
    </row>
    <row r="83" spans="2:8" ht="16.5" customHeight="1">
      <c r="B83" s="5528" t="s">
        <v>6014</v>
      </c>
      <c r="C83" s="5529"/>
      <c r="D83" s="3583" t="s">
        <v>6013</v>
      </c>
      <c r="E83" s="3584">
        <v>50</v>
      </c>
      <c r="F83" s="3585">
        <v>41</v>
      </c>
      <c r="G83" s="3586">
        <v>53</v>
      </c>
      <c r="H83" s="3583">
        <v>66</v>
      </c>
    </row>
    <row r="84" spans="2:8" ht="16.5" customHeight="1">
      <c r="B84" s="5506" t="s">
        <v>5993</v>
      </c>
      <c r="C84" s="5548"/>
      <c r="D84" s="3587" t="s">
        <v>6013</v>
      </c>
      <c r="E84" s="3588">
        <v>130</v>
      </c>
      <c r="F84" s="3589">
        <v>133</v>
      </c>
      <c r="G84" s="3590">
        <v>128</v>
      </c>
      <c r="H84" s="3587">
        <v>121</v>
      </c>
    </row>
    <row r="85" spans="2:8" ht="16.5" customHeight="1">
      <c r="B85" s="5514" t="s">
        <v>5994</v>
      </c>
      <c r="C85" s="5549"/>
      <c r="D85" s="3579" t="s">
        <v>6013</v>
      </c>
      <c r="E85" s="3580">
        <v>11</v>
      </c>
      <c r="F85" s="3591">
        <v>7</v>
      </c>
      <c r="G85" s="3582">
        <v>7</v>
      </c>
      <c r="H85" s="3579">
        <v>1</v>
      </c>
    </row>
    <row r="86" spans="2:8" ht="16.5" customHeight="1">
      <c r="B86" s="5506" t="s">
        <v>5995</v>
      </c>
      <c r="C86" s="5548"/>
      <c r="D86" s="3587" t="s">
        <v>6013</v>
      </c>
      <c r="E86" s="3588">
        <v>30</v>
      </c>
      <c r="F86" s="3589">
        <v>31</v>
      </c>
      <c r="G86" s="3590">
        <v>31</v>
      </c>
      <c r="H86" s="3587">
        <v>31</v>
      </c>
    </row>
    <row r="87" spans="2:8">
      <c r="B87" s="5514" t="s">
        <v>5996</v>
      </c>
      <c r="C87" s="5549"/>
      <c r="D87" s="3579" t="s">
        <v>6013</v>
      </c>
      <c r="E87" s="3580">
        <v>28</v>
      </c>
      <c r="F87" s="3591">
        <v>29</v>
      </c>
      <c r="G87" s="3582">
        <v>32</v>
      </c>
      <c r="H87" s="3592"/>
    </row>
    <row r="88" spans="2:8" ht="12.75" thickBot="1">
      <c r="B88" s="5550" t="s">
        <v>6015</v>
      </c>
      <c r="C88" s="5551"/>
      <c r="D88" s="3593" t="s">
        <v>6013</v>
      </c>
      <c r="E88" s="3594">
        <v>1.8</v>
      </c>
      <c r="F88" s="3595">
        <v>1.9</v>
      </c>
      <c r="G88" s="3596">
        <v>1.9</v>
      </c>
      <c r="H88" s="3593">
        <v>1.9</v>
      </c>
    </row>
  </sheetData>
  <mergeCells count="29">
    <mergeCell ref="B84:C84"/>
    <mergeCell ref="B85:C85"/>
    <mergeCell ref="B86:C86"/>
    <mergeCell ref="B87:C87"/>
    <mergeCell ref="B88:C88"/>
    <mergeCell ref="B83:C83"/>
    <mergeCell ref="M55:O55"/>
    <mergeCell ref="B57:C57"/>
    <mergeCell ref="B60:C60"/>
    <mergeCell ref="B61:C61"/>
    <mergeCell ref="B62:C62"/>
    <mergeCell ref="B63:C63"/>
    <mergeCell ref="J55:L55"/>
    <mergeCell ref="B64:C64"/>
    <mergeCell ref="B65:C65"/>
    <mergeCell ref="B66:C66"/>
    <mergeCell ref="B78:C78"/>
    <mergeCell ref="B79:C80"/>
    <mergeCell ref="B52:C52"/>
    <mergeCell ref="B53:C53"/>
    <mergeCell ref="B55:C56"/>
    <mergeCell ref="D55:F55"/>
    <mergeCell ref="G55:I55"/>
    <mergeCell ref="B51:C51"/>
    <mergeCell ref="B44:C44"/>
    <mergeCell ref="B45:C45"/>
    <mergeCell ref="B48:C48"/>
    <mergeCell ref="B49:C49"/>
    <mergeCell ref="B50:C50"/>
  </mergeCells>
  <phoneticPr fontId="1"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85DBB-70B5-4025-897A-25903514A274}">
  <sheetPr codeName="Sheet60"/>
  <dimension ref="A1:AA90"/>
  <sheetViews>
    <sheetView workbookViewId="0"/>
  </sheetViews>
  <sheetFormatPr defaultColWidth="9" defaultRowHeight="12"/>
  <cols>
    <col min="1" max="1" width="9" style="1"/>
    <col min="2" max="2" width="9.125" style="1" bestFit="1" customWidth="1"/>
    <col min="3" max="3" width="9.125" style="1" customWidth="1"/>
    <col min="4" max="5" width="9" style="1"/>
    <col min="6" max="6" width="12.5" style="1" bestFit="1" customWidth="1"/>
    <col min="7" max="8" width="13.5" style="1" bestFit="1" customWidth="1"/>
    <col min="9" max="9" width="14.875" style="1" bestFit="1" customWidth="1"/>
    <col min="10" max="10" width="13.5" style="1" bestFit="1" customWidth="1"/>
    <col min="11" max="11" width="14.875" style="1" bestFit="1" customWidth="1"/>
    <col min="12" max="12" width="12.5" style="1" bestFit="1" customWidth="1"/>
    <col min="13" max="13" width="13.5" style="1" bestFit="1" customWidth="1"/>
    <col min="14" max="14" width="13.5" style="1" customWidth="1"/>
    <col min="15" max="15" width="9" style="1"/>
    <col min="16" max="16" width="9.125" style="1" bestFit="1" customWidth="1"/>
    <col min="17" max="17" width="9.125" style="1" customWidth="1"/>
    <col min="18" max="19" width="9" style="1"/>
    <col min="20" max="20" width="11.5" style="1" bestFit="1" customWidth="1"/>
    <col min="21" max="21" width="13.5" style="1" bestFit="1" customWidth="1"/>
    <col min="22" max="22" width="12.5" style="1" bestFit="1" customWidth="1"/>
    <col min="23" max="23" width="14.875" style="1" bestFit="1" customWidth="1"/>
    <col min="24" max="24" width="12.5" style="1" bestFit="1" customWidth="1"/>
    <col min="25" max="25" width="14.875" style="1" bestFit="1" customWidth="1"/>
    <col min="26" max="26" width="11.5" style="1" bestFit="1" customWidth="1"/>
    <col min="27" max="27" width="13.5" style="1" bestFit="1" customWidth="1"/>
    <col min="28" max="16384" width="9" style="1"/>
  </cols>
  <sheetData>
    <row r="1" spans="1:27">
      <c r="B1" s="32" t="s">
        <v>5903</v>
      </c>
      <c r="P1" s="32" t="s">
        <v>1879</v>
      </c>
      <c r="Q1" s="32"/>
    </row>
    <row r="2" spans="1:27">
      <c r="B2" s="1">
        <v>2018</v>
      </c>
      <c r="P2" s="1">
        <v>2018</v>
      </c>
    </row>
    <row r="3" spans="1:27">
      <c r="B3" s="3416" t="s">
        <v>5904</v>
      </c>
      <c r="C3" s="3416" t="s">
        <v>5931</v>
      </c>
      <c r="D3" s="3416" t="s">
        <v>5905</v>
      </c>
      <c r="E3" s="3416" t="s">
        <v>5906</v>
      </c>
      <c r="F3" s="3416" t="s">
        <v>5907</v>
      </c>
      <c r="G3" s="3416" t="s">
        <v>5685</v>
      </c>
      <c r="H3" s="3416" t="s">
        <v>5908</v>
      </c>
      <c r="I3" s="3416" t="s">
        <v>5909</v>
      </c>
      <c r="J3" s="3416" t="s">
        <v>5910</v>
      </c>
      <c r="K3" s="3416" t="s">
        <v>5911</v>
      </c>
      <c r="L3" s="3416" t="s">
        <v>5912</v>
      </c>
      <c r="M3" s="3416" t="s">
        <v>5913</v>
      </c>
      <c r="N3" s="3431"/>
      <c r="P3" s="3423" t="s">
        <v>5904</v>
      </c>
      <c r="Q3" s="3423" t="s">
        <v>5931</v>
      </c>
      <c r="R3" s="3423" t="s">
        <v>5905</v>
      </c>
      <c r="S3" s="3423" t="s">
        <v>3537</v>
      </c>
      <c r="T3" s="3423" t="s">
        <v>5932</v>
      </c>
      <c r="U3" s="3423" t="s">
        <v>5933</v>
      </c>
      <c r="V3" s="3423" t="s">
        <v>5934</v>
      </c>
      <c r="W3" s="3423" t="s">
        <v>5935</v>
      </c>
      <c r="X3" s="3423" t="s">
        <v>5936</v>
      </c>
      <c r="Y3" s="3423" t="s">
        <v>5937</v>
      </c>
      <c r="Z3" s="3423" t="s">
        <v>5938</v>
      </c>
      <c r="AA3" s="3423" t="s">
        <v>5939</v>
      </c>
    </row>
    <row r="4" spans="1:27">
      <c r="A4" s="1" t="s">
        <v>26</v>
      </c>
      <c r="B4" s="3417" t="s">
        <v>5914</v>
      </c>
      <c r="C4" s="3417" t="s">
        <v>331</v>
      </c>
      <c r="D4" s="3417" t="s">
        <v>5915</v>
      </c>
      <c r="E4" s="3417" t="s">
        <v>5916</v>
      </c>
      <c r="F4" s="3418">
        <v>22979239</v>
      </c>
      <c r="G4" s="3418">
        <v>12393291495</v>
      </c>
      <c r="H4" s="3418">
        <v>699129676</v>
      </c>
      <c r="I4" s="3418">
        <v>356116034958</v>
      </c>
      <c r="J4" s="3418">
        <v>701993928</v>
      </c>
      <c r="K4" s="3418">
        <v>358762250867</v>
      </c>
      <c r="L4" s="3418">
        <v>20114987</v>
      </c>
      <c r="M4" s="3418">
        <v>9747075586</v>
      </c>
      <c r="N4" s="3418"/>
      <c r="O4" s="1" t="s">
        <v>26</v>
      </c>
      <c r="P4" s="3424" t="s">
        <v>5914</v>
      </c>
      <c r="Q4" s="3424" t="s">
        <v>331</v>
      </c>
      <c r="R4" s="3425" t="s">
        <v>5915</v>
      </c>
      <c r="S4" s="3425" t="s">
        <v>5916</v>
      </c>
      <c r="T4" s="3426">
        <v>21577595.418000001</v>
      </c>
      <c r="U4" s="3427">
        <v>12809485411</v>
      </c>
      <c r="V4" s="3426">
        <v>688290941.42799997</v>
      </c>
      <c r="W4" s="3427">
        <v>352351615416</v>
      </c>
      <c r="X4" s="3426">
        <v>690868517.63400006</v>
      </c>
      <c r="Y4" s="3427">
        <v>355748404684</v>
      </c>
      <c r="Z4" s="3426">
        <v>19000019.212000001</v>
      </c>
      <c r="AA4" s="3427">
        <v>9412696143</v>
      </c>
    </row>
    <row r="5" spans="1:27">
      <c r="A5" s="1" t="s">
        <v>26</v>
      </c>
      <c r="B5" s="3417" t="s">
        <v>5917</v>
      </c>
      <c r="C5" s="3417" t="s">
        <v>330</v>
      </c>
      <c r="D5" s="3417" t="s">
        <v>5918</v>
      </c>
      <c r="E5" s="3417" t="s">
        <v>5916</v>
      </c>
      <c r="F5" s="3418">
        <v>683383</v>
      </c>
      <c r="G5" s="3418">
        <v>28307765672</v>
      </c>
      <c r="H5" s="3418">
        <v>45024952</v>
      </c>
      <c r="I5" s="3418">
        <v>1946467659191</v>
      </c>
      <c r="J5" s="3418">
        <v>42786176</v>
      </c>
      <c r="K5" s="3418">
        <v>1847296289386</v>
      </c>
      <c r="L5" s="3418">
        <v>2922159</v>
      </c>
      <c r="M5" s="3418">
        <v>127479135477</v>
      </c>
      <c r="N5" s="3418"/>
      <c r="O5" s="1" t="s">
        <v>26</v>
      </c>
      <c r="P5" s="3424" t="s">
        <v>5917</v>
      </c>
      <c r="Q5" s="3424" t="s">
        <v>330</v>
      </c>
      <c r="R5" s="3425" t="s">
        <v>5918</v>
      </c>
      <c r="S5" s="3425" t="s">
        <v>5916</v>
      </c>
      <c r="T5" s="3426">
        <v>663933.69999999995</v>
      </c>
      <c r="U5" s="3427">
        <v>30888308823</v>
      </c>
      <c r="V5" s="3426">
        <v>39375812.825999998</v>
      </c>
      <c r="W5" s="3427">
        <v>1699819237966</v>
      </c>
      <c r="X5" s="3426">
        <v>39442806.126000002</v>
      </c>
      <c r="Y5" s="3427">
        <v>1705241123912</v>
      </c>
      <c r="Z5" s="3426">
        <v>596940.4</v>
      </c>
      <c r="AA5" s="3427">
        <v>25466422877</v>
      </c>
    </row>
    <row r="6" spans="1:27">
      <c r="A6" s="1" t="s">
        <v>26</v>
      </c>
      <c r="B6" s="3417" t="s">
        <v>5919</v>
      </c>
      <c r="C6" s="3417" t="s">
        <v>325</v>
      </c>
      <c r="D6" s="3417" t="s">
        <v>5920</v>
      </c>
      <c r="E6" s="3417" t="s">
        <v>5921</v>
      </c>
      <c r="F6" s="3419">
        <v>20480699</v>
      </c>
      <c r="G6" s="3418">
        <v>137264995367</v>
      </c>
      <c r="H6" s="3419">
        <v>668512808</v>
      </c>
      <c r="I6" s="3418">
        <v>4322014078330</v>
      </c>
      <c r="J6" s="3419">
        <v>659647072</v>
      </c>
      <c r="K6" s="3418">
        <v>4279588282262</v>
      </c>
      <c r="L6" s="3419">
        <v>29346435</v>
      </c>
      <c r="M6" s="3418">
        <v>179690791435</v>
      </c>
      <c r="N6" s="3418"/>
      <c r="O6" s="1" t="s">
        <v>26</v>
      </c>
      <c r="P6" s="3424" t="s">
        <v>5940</v>
      </c>
      <c r="Q6" s="3424" t="s">
        <v>320</v>
      </c>
      <c r="R6" s="3425" t="s">
        <v>5941</v>
      </c>
      <c r="S6" s="3425" t="s">
        <v>5921</v>
      </c>
      <c r="T6" s="3425">
        <v>0</v>
      </c>
      <c r="U6" s="3425">
        <v>0</v>
      </c>
      <c r="V6" s="3426">
        <v>116502</v>
      </c>
      <c r="W6" s="3427">
        <v>941396558</v>
      </c>
      <c r="X6" s="3426">
        <v>116502</v>
      </c>
      <c r="Y6" s="3427">
        <v>941396558</v>
      </c>
      <c r="Z6" s="3425">
        <v>0</v>
      </c>
      <c r="AA6" s="3425">
        <v>0</v>
      </c>
    </row>
    <row r="7" spans="1:27">
      <c r="A7" s="1" t="s">
        <v>26</v>
      </c>
      <c r="B7" s="3417" t="s">
        <v>5922</v>
      </c>
      <c r="C7" s="3417" t="s">
        <v>334</v>
      </c>
      <c r="D7" s="3417" t="s">
        <v>5923</v>
      </c>
      <c r="E7" s="3417" t="s">
        <v>5924</v>
      </c>
      <c r="F7" s="3419">
        <v>142.31299999999999</v>
      </c>
      <c r="G7" s="3418">
        <v>331953780</v>
      </c>
      <c r="H7" s="3419">
        <v>1218.8320000000001</v>
      </c>
      <c r="I7" s="3418">
        <v>926565710</v>
      </c>
      <c r="J7" s="3419">
        <v>1208.1510000000001</v>
      </c>
      <c r="K7" s="3418">
        <v>1033018862</v>
      </c>
      <c r="L7" s="3419">
        <v>152.994</v>
      </c>
      <c r="M7" s="3418">
        <v>225500628</v>
      </c>
      <c r="N7" s="3418"/>
      <c r="O7" s="1" t="s">
        <v>26</v>
      </c>
      <c r="P7" s="3424" t="s">
        <v>5919</v>
      </c>
      <c r="Q7" s="3424" t="s">
        <v>325</v>
      </c>
      <c r="R7" s="3425" t="s">
        <v>5920</v>
      </c>
      <c r="S7" s="3425" t="s">
        <v>5921</v>
      </c>
      <c r="T7" s="3426">
        <v>14859371.913000001</v>
      </c>
      <c r="U7" s="3427">
        <v>108561293919</v>
      </c>
      <c r="V7" s="3426">
        <v>649953947.11399996</v>
      </c>
      <c r="W7" s="3427">
        <v>4507560357280</v>
      </c>
      <c r="X7" s="3426">
        <v>649399001.60900009</v>
      </c>
      <c r="Y7" s="3427">
        <v>4511768579849</v>
      </c>
      <c r="Z7" s="3426">
        <v>15414317.418</v>
      </c>
      <c r="AA7" s="3427">
        <v>104353071350</v>
      </c>
    </row>
    <row r="8" spans="1:27">
      <c r="A8" s="1" t="s">
        <v>26</v>
      </c>
      <c r="B8" s="3417" t="s">
        <v>5925</v>
      </c>
      <c r="C8" s="3417" t="s">
        <v>332</v>
      </c>
      <c r="D8" s="3417" t="s">
        <v>5926</v>
      </c>
      <c r="E8" s="3417" t="s">
        <v>5916</v>
      </c>
      <c r="F8" s="3418">
        <v>155568</v>
      </c>
      <c r="G8" s="3418">
        <v>3120576818</v>
      </c>
      <c r="H8" s="3418">
        <v>1357568</v>
      </c>
      <c r="I8" s="3418">
        <v>39163217782</v>
      </c>
      <c r="J8" s="3418">
        <v>1446209</v>
      </c>
      <c r="K8" s="3418">
        <v>40729420987</v>
      </c>
      <c r="L8" s="3418">
        <v>66927</v>
      </c>
      <c r="M8" s="3418">
        <v>1554373613</v>
      </c>
      <c r="N8" s="3418"/>
      <c r="O8" s="1" t="s">
        <v>26</v>
      </c>
      <c r="P8" s="3424">
        <v>139</v>
      </c>
      <c r="Q8" s="3425" t="s">
        <v>320</v>
      </c>
      <c r="R8" s="3425" t="s">
        <v>5942</v>
      </c>
      <c r="S8" s="3425" t="s">
        <v>5924</v>
      </c>
      <c r="T8" s="3426">
        <v>90312.354000000007</v>
      </c>
      <c r="U8" s="3427">
        <v>13896</v>
      </c>
      <c r="V8" s="3426">
        <v>1233369</v>
      </c>
      <c r="W8" s="3427">
        <v>1629140941</v>
      </c>
      <c r="X8" s="3426">
        <v>1255656.42</v>
      </c>
      <c r="Y8" s="3427">
        <v>1629154837</v>
      </c>
      <c r="Z8" s="3426">
        <v>68024.933999999994</v>
      </c>
      <c r="AA8" s="3425">
        <v>0</v>
      </c>
    </row>
    <row r="9" spans="1:27">
      <c r="A9" s="1" t="s">
        <v>26</v>
      </c>
      <c r="B9" s="3417" t="s">
        <v>5927</v>
      </c>
      <c r="C9" s="3417" t="s">
        <v>333</v>
      </c>
      <c r="D9" s="3417" t="s">
        <v>5928</v>
      </c>
      <c r="E9" s="3417" t="s">
        <v>5916</v>
      </c>
      <c r="F9" s="3418">
        <v>35889</v>
      </c>
      <c r="G9" s="3418">
        <v>911974167</v>
      </c>
      <c r="H9" s="3418">
        <v>101171</v>
      </c>
      <c r="I9" s="3418">
        <v>2041856030</v>
      </c>
      <c r="J9" s="3418">
        <v>122733</v>
      </c>
      <c r="K9" s="3418">
        <v>2599364974</v>
      </c>
      <c r="L9" s="3418">
        <v>14327</v>
      </c>
      <c r="M9" s="3418">
        <v>354465223</v>
      </c>
      <c r="N9" s="3418"/>
      <c r="O9" s="1" t="s">
        <v>26</v>
      </c>
      <c r="P9" s="3424">
        <v>154</v>
      </c>
      <c r="Q9" s="3425" t="s">
        <v>320</v>
      </c>
      <c r="R9" s="3425" t="s">
        <v>5943</v>
      </c>
      <c r="S9" s="3425" t="s">
        <v>5924</v>
      </c>
      <c r="T9" s="3425">
        <v>255.19</v>
      </c>
      <c r="U9" s="3427">
        <v>49256039</v>
      </c>
      <c r="V9" s="3426">
        <v>13971.34</v>
      </c>
      <c r="W9" s="3427">
        <v>1501112399</v>
      </c>
      <c r="X9" s="3426">
        <v>14215.111000000001</v>
      </c>
      <c r="Y9" s="3427">
        <v>1548880220</v>
      </c>
      <c r="Z9" s="3425">
        <v>11.419</v>
      </c>
      <c r="AA9" s="3427">
        <v>1488218</v>
      </c>
    </row>
    <row r="10" spans="1:27">
      <c r="A10" s="1" t="s">
        <v>26</v>
      </c>
      <c r="B10" s="3417" t="s">
        <v>5929</v>
      </c>
      <c r="C10" s="3417" t="s">
        <v>320</v>
      </c>
      <c r="D10" s="3417" t="s">
        <v>5930</v>
      </c>
      <c r="E10" s="3417" t="s">
        <v>5921</v>
      </c>
      <c r="F10" s="3419">
        <v>23071</v>
      </c>
      <c r="G10" s="3418">
        <v>488960329</v>
      </c>
      <c r="H10" s="3419">
        <v>178800</v>
      </c>
      <c r="I10" s="3418">
        <v>3565621831</v>
      </c>
      <c r="J10" s="3419">
        <v>180245</v>
      </c>
      <c r="K10" s="3418">
        <v>3733297557</v>
      </c>
      <c r="L10" s="3419">
        <v>21626</v>
      </c>
      <c r="M10" s="3418">
        <v>321284603</v>
      </c>
      <c r="N10" s="3418"/>
      <c r="O10" s="1" t="s">
        <v>26</v>
      </c>
      <c r="P10" s="3424">
        <v>160</v>
      </c>
      <c r="Q10" s="3425" t="s">
        <v>320</v>
      </c>
      <c r="R10" s="3425" t="s">
        <v>5944</v>
      </c>
      <c r="S10" s="3425" t="s">
        <v>5924</v>
      </c>
      <c r="T10" s="3425">
        <v>0</v>
      </c>
      <c r="U10" s="3425">
        <v>0</v>
      </c>
      <c r="V10" s="3425">
        <v>0</v>
      </c>
      <c r="W10" s="3425">
        <v>0</v>
      </c>
      <c r="X10" s="3426">
        <v>0</v>
      </c>
      <c r="Y10" s="3427">
        <v>0</v>
      </c>
      <c r="Z10" s="3425">
        <v>0</v>
      </c>
      <c r="AA10" s="3425">
        <v>0</v>
      </c>
    </row>
    <row r="11" spans="1:27">
      <c r="B11" s="3420" t="s">
        <v>3953</v>
      </c>
      <c r="C11" s="3420"/>
      <c r="D11" s="3420" t="s">
        <v>3953</v>
      </c>
      <c r="E11" s="3420" t="s">
        <v>5916</v>
      </c>
      <c r="F11" s="3421">
        <v>23854079</v>
      </c>
      <c r="G11" s="3421">
        <v>182819517628</v>
      </c>
      <c r="H11" s="3421">
        <v>745613367</v>
      </c>
      <c r="I11" s="3421">
        <v>6670295033832</v>
      </c>
      <c r="J11" s="3421">
        <v>746349046</v>
      </c>
      <c r="K11" s="3421">
        <v>6533741924895</v>
      </c>
      <c r="L11" s="3421">
        <v>23118400</v>
      </c>
      <c r="M11" s="3421">
        <v>319372626565</v>
      </c>
      <c r="N11" s="3418"/>
      <c r="O11" s="1" t="s">
        <v>26</v>
      </c>
      <c r="P11" s="3424">
        <v>172</v>
      </c>
      <c r="Q11" s="3424" t="s">
        <v>334</v>
      </c>
      <c r="R11" s="3425" t="s">
        <v>5923</v>
      </c>
      <c r="S11" s="3425" t="s">
        <v>5924</v>
      </c>
      <c r="T11" s="3425">
        <v>19.015000000000001</v>
      </c>
      <c r="U11" s="3427">
        <v>145674609</v>
      </c>
      <c r="V11" s="3426">
        <v>1050.0329999999999</v>
      </c>
      <c r="W11" s="3427">
        <v>2547837089</v>
      </c>
      <c r="X11" s="3426">
        <v>1047.9570000000001</v>
      </c>
      <c r="Y11" s="3427">
        <v>2612879327</v>
      </c>
      <c r="Z11" s="3425">
        <v>21.091000000000001</v>
      </c>
      <c r="AA11" s="3427">
        <v>80632371</v>
      </c>
    </row>
    <row r="12" spans="1:27">
      <c r="B12" s="3420" t="s">
        <v>3953</v>
      </c>
      <c r="C12" s="3420"/>
      <c r="D12" s="3420" t="s">
        <v>3953</v>
      </c>
      <c r="E12" s="3420" t="s">
        <v>5921</v>
      </c>
      <c r="F12" s="3422">
        <v>20503770</v>
      </c>
      <c r="G12" s="3421"/>
      <c r="H12" s="3422">
        <v>668691608</v>
      </c>
      <c r="I12" s="3421"/>
      <c r="J12" s="3422">
        <v>659827317</v>
      </c>
      <c r="K12" s="3421"/>
      <c r="L12" s="3422">
        <v>29368061</v>
      </c>
      <c r="M12" s="3421"/>
      <c r="N12" s="3418"/>
      <c r="O12" s="1" t="s">
        <v>26</v>
      </c>
      <c r="P12" s="3424">
        <v>180</v>
      </c>
      <c r="Q12" s="3424" t="s">
        <v>332</v>
      </c>
      <c r="R12" s="3425" t="s">
        <v>5926</v>
      </c>
      <c r="S12" s="3425" t="s">
        <v>5916</v>
      </c>
      <c r="T12" s="3426">
        <v>94947.758000000002</v>
      </c>
      <c r="U12" s="3427">
        <v>2298422625</v>
      </c>
      <c r="V12" s="3426">
        <v>1547497.8540000001</v>
      </c>
      <c r="W12" s="3427">
        <v>42945055529</v>
      </c>
      <c r="X12" s="3426">
        <v>1582728.1880000001</v>
      </c>
      <c r="Y12" s="3427">
        <v>43493640407</v>
      </c>
      <c r="Z12" s="3426">
        <v>59717.423999999999</v>
      </c>
      <c r="AA12" s="3427">
        <v>1749837747</v>
      </c>
    </row>
    <row r="13" spans="1:27">
      <c r="B13" s="3420" t="s">
        <v>3953</v>
      </c>
      <c r="C13" s="3420"/>
      <c r="D13" s="3420" t="s">
        <v>3953</v>
      </c>
      <c r="E13" s="3420" t="s">
        <v>5924</v>
      </c>
      <c r="F13" s="3422">
        <v>142.31299999999999</v>
      </c>
      <c r="G13" s="3421"/>
      <c r="H13" s="3422">
        <v>1218.8320000000001</v>
      </c>
      <c r="I13" s="3421"/>
      <c r="J13" s="3422">
        <v>1208.1510000000001</v>
      </c>
      <c r="K13" s="3421"/>
      <c r="L13" s="3422">
        <v>152.994</v>
      </c>
      <c r="M13" s="3421"/>
      <c r="N13" s="3418"/>
      <c r="O13" s="1" t="s">
        <v>26</v>
      </c>
      <c r="P13" s="3424">
        <v>196</v>
      </c>
      <c r="Q13" s="3425" t="s">
        <v>320</v>
      </c>
      <c r="R13" s="3425" t="s">
        <v>244</v>
      </c>
      <c r="S13" s="3425" t="s">
        <v>5921</v>
      </c>
      <c r="T13" s="3426">
        <v>1627000</v>
      </c>
      <c r="U13" s="3427">
        <v>384565746</v>
      </c>
      <c r="V13" s="3426">
        <v>93202070</v>
      </c>
      <c r="W13" s="3427">
        <v>17664370511</v>
      </c>
      <c r="X13" s="3426">
        <v>93221720</v>
      </c>
      <c r="Y13" s="3427">
        <v>17727511562</v>
      </c>
      <c r="Z13" s="3426">
        <v>1607350</v>
      </c>
      <c r="AA13" s="3427">
        <v>321424695</v>
      </c>
    </row>
    <row r="14" spans="1:27">
      <c r="B14" s="1">
        <v>2019</v>
      </c>
      <c r="H14" s="19">
        <f>H13+H12/1000+H11/1000000</f>
        <v>670656.05336700007</v>
      </c>
      <c r="O14" s="1" t="s">
        <v>26</v>
      </c>
      <c r="P14" s="3424">
        <v>197</v>
      </c>
      <c r="Q14" s="3424" t="s">
        <v>333</v>
      </c>
      <c r="R14" s="3425" t="s">
        <v>5928</v>
      </c>
      <c r="S14" s="3425" t="s">
        <v>5916</v>
      </c>
      <c r="T14" s="3426">
        <v>19705.509999999998</v>
      </c>
      <c r="U14" s="3427">
        <v>488301621</v>
      </c>
      <c r="V14" s="3426">
        <v>170084.35</v>
      </c>
      <c r="W14" s="3427">
        <v>2500388466</v>
      </c>
      <c r="X14" s="3426">
        <v>180401.17300000001</v>
      </c>
      <c r="Y14" s="3427">
        <v>2719551869</v>
      </c>
      <c r="Z14" s="3426">
        <v>9388.6869999999999</v>
      </c>
      <c r="AA14" s="3427">
        <v>269138218</v>
      </c>
    </row>
    <row r="15" spans="1:27">
      <c r="B15" s="3416" t="s">
        <v>5904</v>
      </c>
      <c r="C15" s="3416" t="s">
        <v>5931</v>
      </c>
      <c r="D15" s="3416" t="s">
        <v>5905</v>
      </c>
      <c r="E15" s="3416" t="s">
        <v>5906</v>
      </c>
      <c r="F15" s="3416" t="s">
        <v>5907</v>
      </c>
      <c r="G15" s="3416" t="s">
        <v>5685</v>
      </c>
      <c r="H15" s="3416" t="s">
        <v>5908</v>
      </c>
      <c r="I15" s="3416" t="s">
        <v>5909</v>
      </c>
      <c r="J15" s="3416" t="s">
        <v>5910</v>
      </c>
      <c r="K15" s="3416" t="s">
        <v>5911</v>
      </c>
      <c r="L15" s="3416" t="s">
        <v>5912</v>
      </c>
      <c r="M15" s="3416" t="s">
        <v>5913</v>
      </c>
      <c r="N15" s="3431"/>
      <c r="O15" s="1" t="s">
        <v>26</v>
      </c>
      <c r="P15" s="3425" t="s">
        <v>5945</v>
      </c>
      <c r="Q15" s="3425" t="s">
        <v>320</v>
      </c>
      <c r="R15" s="3425" t="s">
        <v>5946</v>
      </c>
      <c r="S15" s="3425" t="s">
        <v>5916</v>
      </c>
      <c r="T15" s="3427">
        <v>1241540</v>
      </c>
      <c r="U15" s="3427">
        <v>692649110</v>
      </c>
      <c r="V15" s="3427">
        <v>4416000</v>
      </c>
      <c r="W15" s="3427">
        <v>2216484268</v>
      </c>
      <c r="X15" s="3426">
        <v>4450000</v>
      </c>
      <c r="Y15" s="3427">
        <v>2283902157</v>
      </c>
      <c r="Z15" s="3427">
        <v>1207540</v>
      </c>
      <c r="AA15" s="3427">
        <v>625231221</v>
      </c>
    </row>
    <row r="16" spans="1:27">
      <c r="A16" s="1" t="s">
        <v>1318</v>
      </c>
      <c r="B16" s="3417" t="s">
        <v>5914</v>
      </c>
      <c r="C16" s="3417" t="s">
        <v>331</v>
      </c>
      <c r="D16" s="3417" t="s">
        <v>5915</v>
      </c>
      <c r="E16" s="3417" t="s">
        <v>5916</v>
      </c>
      <c r="F16" s="3418">
        <v>20114987</v>
      </c>
      <c r="G16" s="3418">
        <v>9747075586</v>
      </c>
      <c r="H16" s="3418">
        <v>585797078</v>
      </c>
      <c r="I16" s="3418">
        <v>323526431895</v>
      </c>
      <c r="J16" s="3418">
        <v>581597967</v>
      </c>
      <c r="K16" s="3418">
        <v>319295342224</v>
      </c>
      <c r="L16" s="3418">
        <v>24314098</v>
      </c>
      <c r="M16" s="3418">
        <v>13978165257</v>
      </c>
      <c r="N16" s="3418"/>
      <c r="O16" s="1" t="s">
        <v>26</v>
      </c>
      <c r="P16" s="3425" t="s">
        <v>5947</v>
      </c>
      <c r="Q16" s="3425" t="s">
        <v>320</v>
      </c>
      <c r="R16" s="3425" t="s">
        <v>5930</v>
      </c>
      <c r="S16" s="3425" t="s">
        <v>5921</v>
      </c>
      <c r="T16" s="3426">
        <v>16266.861999999999</v>
      </c>
      <c r="U16" s="3427">
        <v>371853206</v>
      </c>
      <c r="V16" s="3426">
        <v>402598.603</v>
      </c>
      <c r="W16" s="3427">
        <v>8886736224</v>
      </c>
      <c r="X16" s="3426">
        <v>373862.97499999998</v>
      </c>
      <c r="Y16" s="3427">
        <v>8599966609</v>
      </c>
      <c r="Z16" s="3426">
        <v>45002.49</v>
      </c>
      <c r="AA16" s="3427">
        <v>658622821</v>
      </c>
    </row>
    <row r="17" spans="1:27">
      <c r="A17" s="1" t="s">
        <v>1318</v>
      </c>
      <c r="B17" s="3417" t="s">
        <v>5917</v>
      </c>
      <c r="C17" s="3417" t="s">
        <v>330</v>
      </c>
      <c r="D17" s="3417" t="s">
        <v>5918</v>
      </c>
      <c r="E17" s="3417" t="s">
        <v>5916</v>
      </c>
      <c r="F17" s="3418">
        <v>2922159</v>
      </c>
      <c r="G17" s="3418">
        <v>127479135477</v>
      </c>
      <c r="H17" s="3418">
        <v>38851845</v>
      </c>
      <c r="I17" s="3418">
        <v>1934352713165</v>
      </c>
      <c r="J17" s="3418">
        <v>41177728</v>
      </c>
      <c r="K17" s="3418">
        <v>2031463320208</v>
      </c>
      <c r="L17" s="3418">
        <v>596276</v>
      </c>
      <c r="M17" s="3418">
        <v>30368528434</v>
      </c>
      <c r="N17" s="3418"/>
      <c r="O17" s="1" t="s">
        <v>26</v>
      </c>
      <c r="P17" s="3425" t="s">
        <v>5948</v>
      </c>
      <c r="Q17" s="3425" t="s">
        <v>320</v>
      </c>
      <c r="R17" s="3425" t="s">
        <v>5949</v>
      </c>
      <c r="S17" s="3425" t="s">
        <v>5921</v>
      </c>
      <c r="T17" s="3425">
        <v>0</v>
      </c>
      <c r="U17" s="3425">
        <v>0</v>
      </c>
      <c r="V17" s="3426">
        <v>16141</v>
      </c>
      <c r="W17" s="3427">
        <v>64527950</v>
      </c>
      <c r="X17" s="3426">
        <v>16141</v>
      </c>
      <c r="Y17" s="3427">
        <v>64527950</v>
      </c>
      <c r="Z17" s="3425">
        <v>0</v>
      </c>
      <c r="AA17" s="3425">
        <v>0</v>
      </c>
    </row>
    <row r="18" spans="1:27">
      <c r="A18" s="1" t="s">
        <v>1318</v>
      </c>
      <c r="B18" s="3417" t="s">
        <v>5919</v>
      </c>
      <c r="C18" s="3417" t="s">
        <v>325</v>
      </c>
      <c r="D18" s="3417" t="s">
        <v>5920</v>
      </c>
      <c r="E18" s="3417" t="s">
        <v>5921</v>
      </c>
      <c r="F18" s="3419">
        <v>29346435</v>
      </c>
      <c r="G18" s="3418">
        <v>179690791435</v>
      </c>
      <c r="H18" s="3419">
        <v>648175905</v>
      </c>
      <c r="I18" s="3418">
        <v>4070783827636</v>
      </c>
      <c r="J18" s="3419">
        <v>642998050</v>
      </c>
      <c r="K18" s="3418">
        <v>4031583327459</v>
      </c>
      <c r="L18" s="3419">
        <v>34524290</v>
      </c>
      <c r="M18" s="3418">
        <v>218891291612</v>
      </c>
      <c r="N18" s="3418"/>
      <c r="O18" s="1" t="s">
        <v>26</v>
      </c>
      <c r="P18" s="3425" t="s">
        <v>5950</v>
      </c>
      <c r="Q18" s="3425" t="s">
        <v>320</v>
      </c>
      <c r="R18" s="3425" t="s">
        <v>5951</v>
      </c>
      <c r="S18" s="3425" t="s">
        <v>5924</v>
      </c>
      <c r="T18" s="3425">
        <v>0</v>
      </c>
      <c r="U18" s="3425">
        <v>0</v>
      </c>
      <c r="V18" s="3426">
        <v>547430</v>
      </c>
      <c r="W18" s="3427">
        <v>9817372589</v>
      </c>
      <c r="X18" s="3426">
        <v>547430</v>
      </c>
      <c r="Y18" s="3427">
        <v>9817372589</v>
      </c>
      <c r="Z18" s="3425">
        <v>0</v>
      </c>
      <c r="AA18" s="3425">
        <v>0</v>
      </c>
    </row>
    <row r="19" spans="1:27">
      <c r="A19" s="1" t="s">
        <v>1318</v>
      </c>
      <c r="B19" s="3417" t="s">
        <v>5922</v>
      </c>
      <c r="C19" s="3417" t="s">
        <v>334</v>
      </c>
      <c r="D19" s="3417" t="s">
        <v>5923</v>
      </c>
      <c r="E19" s="3417" t="s">
        <v>5924</v>
      </c>
      <c r="F19" s="3419">
        <v>152.994</v>
      </c>
      <c r="G19" s="3418">
        <v>225500628</v>
      </c>
      <c r="H19" s="3419">
        <v>1372.28</v>
      </c>
      <c r="I19" s="3418">
        <v>1237824432</v>
      </c>
      <c r="J19" s="3419">
        <v>1221.547</v>
      </c>
      <c r="K19" s="3418">
        <v>833278912</v>
      </c>
      <c r="L19" s="3419">
        <v>303.726</v>
      </c>
      <c r="M19" s="3418">
        <v>630046148</v>
      </c>
      <c r="N19" s="3418"/>
      <c r="O19" s="1" t="s">
        <v>26</v>
      </c>
      <c r="P19" s="3425" t="s">
        <v>5952</v>
      </c>
      <c r="Q19" s="3425" t="s">
        <v>320</v>
      </c>
      <c r="R19" s="3425" t="s">
        <v>5953</v>
      </c>
      <c r="S19" s="3425" t="s">
        <v>5921</v>
      </c>
      <c r="T19" s="3426">
        <v>2609.739</v>
      </c>
      <c r="U19" s="3427">
        <v>77105000</v>
      </c>
      <c r="V19" s="3426">
        <v>38147.184999999998</v>
      </c>
      <c r="W19" s="3427">
        <v>1096676354</v>
      </c>
      <c r="X19" s="3426">
        <v>38396.160000000003</v>
      </c>
      <c r="Y19" s="3427">
        <v>1092661056</v>
      </c>
      <c r="Z19" s="3426">
        <v>2360.7640000000001</v>
      </c>
      <c r="AA19" s="3427">
        <v>81120298</v>
      </c>
    </row>
    <row r="20" spans="1:27">
      <c r="A20" s="1" t="s">
        <v>1318</v>
      </c>
      <c r="B20" s="3417" t="s">
        <v>5925</v>
      </c>
      <c r="C20" s="3417" t="s">
        <v>332</v>
      </c>
      <c r="D20" s="3417" t="s">
        <v>5926</v>
      </c>
      <c r="E20" s="3417" t="s">
        <v>5916</v>
      </c>
      <c r="F20" s="3418">
        <v>66927</v>
      </c>
      <c r="G20" s="3418">
        <v>1554373613</v>
      </c>
      <c r="H20" s="3418">
        <v>1517532</v>
      </c>
      <c r="I20" s="3418">
        <v>66610165800</v>
      </c>
      <c r="J20" s="3418">
        <v>1457647</v>
      </c>
      <c r="K20" s="3418">
        <v>62542776277</v>
      </c>
      <c r="L20" s="3418">
        <v>126812</v>
      </c>
      <c r="M20" s="3418">
        <v>5621763136</v>
      </c>
      <c r="N20" s="3418"/>
      <c r="O20" s="1" t="s">
        <v>26</v>
      </c>
      <c r="P20" s="3425" t="s">
        <v>5954</v>
      </c>
      <c r="Q20" s="3425" t="s">
        <v>320</v>
      </c>
      <c r="R20" s="3425" t="s">
        <v>5955</v>
      </c>
      <c r="S20" s="3425" t="s">
        <v>5924</v>
      </c>
      <c r="T20" s="3425">
        <v>833.96</v>
      </c>
      <c r="U20" s="3427">
        <v>5170963</v>
      </c>
      <c r="V20" s="3426">
        <v>118452.2</v>
      </c>
      <c r="W20" s="3427">
        <v>6003048475</v>
      </c>
      <c r="X20" s="3426">
        <v>118823.09</v>
      </c>
      <c r="Y20" s="3427">
        <v>6004865632</v>
      </c>
      <c r="Z20" s="3425">
        <v>463.07</v>
      </c>
      <c r="AA20" s="3427">
        <v>3353806</v>
      </c>
    </row>
    <row r="21" spans="1:27">
      <c r="A21" s="1" t="s">
        <v>1318</v>
      </c>
      <c r="B21" s="3417" t="s">
        <v>5927</v>
      </c>
      <c r="C21" s="3417" t="s">
        <v>333</v>
      </c>
      <c r="D21" s="3417" t="s">
        <v>5928</v>
      </c>
      <c r="E21" s="3417" t="s">
        <v>5916</v>
      </c>
      <c r="F21" s="3418">
        <v>14327</v>
      </c>
      <c r="G21" s="3418">
        <v>354465223</v>
      </c>
      <c r="H21" s="3418">
        <v>176097</v>
      </c>
      <c r="I21" s="3418">
        <v>3963966428</v>
      </c>
      <c r="J21" s="3418">
        <v>149659</v>
      </c>
      <c r="K21" s="3418">
        <v>3327351438</v>
      </c>
      <c r="L21" s="3418">
        <v>40765</v>
      </c>
      <c r="M21" s="3418">
        <v>991080213</v>
      </c>
      <c r="N21" s="3418"/>
      <c r="O21" s="1" t="s">
        <v>26</v>
      </c>
      <c r="P21" s="3425" t="s">
        <v>5956</v>
      </c>
      <c r="Q21" s="3425" t="s">
        <v>320</v>
      </c>
      <c r="R21" s="3425" t="s">
        <v>242</v>
      </c>
      <c r="S21" s="3425" t="s">
        <v>5924</v>
      </c>
      <c r="T21" s="3426">
        <v>27691.13</v>
      </c>
      <c r="U21" s="3427">
        <v>148510086</v>
      </c>
      <c r="V21" s="3426">
        <v>1475267.7760000001</v>
      </c>
      <c r="W21" s="3427">
        <v>41166016088</v>
      </c>
      <c r="X21" s="3426">
        <v>1447307.4750000001</v>
      </c>
      <c r="Y21" s="3427">
        <v>40306276805</v>
      </c>
      <c r="Z21" s="3426">
        <v>55651.430999999997</v>
      </c>
      <c r="AA21" s="3427">
        <v>1008249369</v>
      </c>
    </row>
    <row r="22" spans="1:27">
      <c r="A22" s="1" t="s">
        <v>1318</v>
      </c>
      <c r="B22" s="3417" t="s">
        <v>5929</v>
      </c>
      <c r="C22" s="3417" t="s">
        <v>320</v>
      </c>
      <c r="D22" s="3417" t="s">
        <v>5930</v>
      </c>
      <c r="E22" s="3417" t="s">
        <v>5921</v>
      </c>
      <c r="F22" s="3419">
        <v>21626</v>
      </c>
      <c r="G22" s="3418">
        <v>321284603</v>
      </c>
      <c r="H22" s="3419">
        <v>116538</v>
      </c>
      <c r="I22" s="3418">
        <v>829019376</v>
      </c>
      <c r="J22" s="3419">
        <v>138164</v>
      </c>
      <c r="K22" s="3418">
        <v>1150303979</v>
      </c>
      <c r="L22" s="3419">
        <v>0</v>
      </c>
      <c r="M22" s="3418">
        <v>0</v>
      </c>
      <c r="N22" s="3418"/>
      <c r="P22" s="3428"/>
      <c r="Q22" s="3428"/>
      <c r="R22" s="3428"/>
      <c r="S22" s="3428" t="s">
        <v>5916</v>
      </c>
      <c r="T22" s="3429">
        <v>23597722.386</v>
      </c>
      <c r="U22" s="3430">
        <v>156920611054</v>
      </c>
      <c r="V22" s="3429">
        <v>733800336.45799994</v>
      </c>
      <c r="W22" s="3430">
        <v>6698711374103</v>
      </c>
      <c r="X22" s="3429">
        <v>736524453.12100005</v>
      </c>
      <c r="Y22" s="3430">
        <v>6711600696023</v>
      </c>
      <c r="Z22" s="3429">
        <v>20873605.723000001</v>
      </c>
      <c r="AA22" s="3430">
        <v>144031289134</v>
      </c>
    </row>
    <row r="23" spans="1:27">
      <c r="B23" s="3420" t="s">
        <v>3953</v>
      </c>
      <c r="C23" s="3420"/>
      <c r="D23" s="3420" t="s">
        <v>3953</v>
      </c>
      <c r="E23" s="3420" t="s">
        <v>5916</v>
      </c>
      <c r="F23" s="3421">
        <v>23118400</v>
      </c>
      <c r="G23" s="3421">
        <v>319372626565</v>
      </c>
      <c r="H23" s="3421">
        <v>626342552</v>
      </c>
      <c r="I23" s="3421">
        <v>6401303948732</v>
      </c>
      <c r="J23" s="3421">
        <v>624383001</v>
      </c>
      <c r="K23" s="3421">
        <v>6450195700497</v>
      </c>
      <c r="L23" s="3421">
        <v>25077951</v>
      </c>
      <c r="M23" s="3421">
        <v>270480874800</v>
      </c>
      <c r="N23" s="3418"/>
      <c r="P23" s="3428"/>
      <c r="Q23" s="3428"/>
      <c r="R23" s="3428"/>
      <c r="S23" s="3428" t="s">
        <v>5921</v>
      </c>
      <c r="T23" s="3429">
        <v>16505248.514</v>
      </c>
      <c r="U23" s="3428"/>
      <c r="V23" s="3429">
        <v>743729405.90199995</v>
      </c>
      <c r="W23" s="3428"/>
      <c r="X23" s="3429">
        <v>743165623.74400008</v>
      </c>
      <c r="Y23" s="3428"/>
      <c r="Z23" s="3429">
        <v>17069030.671999998</v>
      </c>
      <c r="AA23" s="3428"/>
    </row>
    <row r="24" spans="1:27">
      <c r="B24" s="3420" t="s">
        <v>3953</v>
      </c>
      <c r="C24" s="3420"/>
      <c r="D24" s="3420" t="s">
        <v>3953</v>
      </c>
      <c r="E24" s="3420" t="s">
        <v>5921</v>
      </c>
      <c r="F24" s="3422">
        <v>29368061</v>
      </c>
      <c r="G24" s="3421"/>
      <c r="H24" s="3422">
        <v>648292443</v>
      </c>
      <c r="I24" s="3421"/>
      <c r="J24" s="3422">
        <v>643136214</v>
      </c>
      <c r="K24" s="3421"/>
      <c r="L24" s="3422">
        <v>34524290</v>
      </c>
      <c r="M24" s="3421"/>
      <c r="N24" s="3418"/>
      <c r="P24" s="3428"/>
      <c r="Q24" s="3428"/>
      <c r="R24" s="3428"/>
      <c r="S24" s="3428" t="s">
        <v>5924</v>
      </c>
      <c r="T24" s="3429">
        <v>119111.649</v>
      </c>
      <c r="U24" s="3428"/>
      <c r="V24" s="3429">
        <v>3389540.3489999999</v>
      </c>
      <c r="W24" s="3428"/>
      <c r="X24" s="3429">
        <v>3384480.0530000003</v>
      </c>
      <c r="Y24" s="3428"/>
      <c r="Z24" s="3429">
        <v>124171.94500000001</v>
      </c>
      <c r="AA24" s="3428"/>
    </row>
    <row r="25" spans="1:27">
      <c r="B25" s="3420" t="s">
        <v>3953</v>
      </c>
      <c r="C25" s="3420"/>
      <c r="D25" s="3420" t="s">
        <v>3953</v>
      </c>
      <c r="E25" s="3420" t="s">
        <v>5924</v>
      </c>
      <c r="F25" s="3422">
        <v>152.994</v>
      </c>
      <c r="G25" s="3421"/>
      <c r="H25" s="3422">
        <v>1372.28</v>
      </c>
      <c r="I25" s="3421"/>
      <c r="J25" s="3422">
        <v>1221.547</v>
      </c>
      <c r="K25" s="3421"/>
      <c r="L25" s="3422">
        <v>303.726</v>
      </c>
      <c r="M25" s="3421"/>
      <c r="N25" s="3418"/>
      <c r="P25" s="1">
        <v>2019</v>
      </c>
    </row>
    <row r="26" spans="1:27">
      <c r="B26" s="1">
        <v>2020</v>
      </c>
      <c r="P26" s="3423" t="s">
        <v>5904</v>
      </c>
      <c r="Q26" s="3423" t="s">
        <v>5931</v>
      </c>
      <c r="R26" s="3423" t="s">
        <v>5905</v>
      </c>
      <c r="S26" s="3423" t="s">
        <v>3537</v>
      </c>
      <c r="T26" s="3423" t="s">
        <v>5932</v>
      </c>
      <c r="U26" s="3423" t="s">
        <v>5933</v>
      </c>
      <c r="V26" s="3423" t="s">
        <v>5934</v>
      </c>
      <c r="W26" s="3423" t="s">
        <v>5935</v>
      </c>
      <c r="X26" s="3423" t="s">
        <v>5936</v>
      </c>
      <c r="Y26" s="3423" t="s">
        <v>5937</v>
      </c>
      <c r="Z26" s="3423" t="s">
        <v>5938</v>
      </c>
      <c r="AA26" s="3423" t="s">
        <v>5939</v>
      </c>
    </row>
    <row r="27" spans="1:27">
      <c r="B27" s="3416" t="s">
        <v>5904</v>
      </c>
      <c r="C27" s="3416" t="s">
        <v>5931</v>
      </c>
      <c r="D27" s="3416" t="s">
        <v>5905</v>
      </c>
      <c r="E27" s="3416" t="s">
        <v>5906</v>
      </c>
      <c r="F27" s="3416" t="s">
        <v>5907</v>
      </c>
      <c r="G27" s="3416" t="s">
        <v>5685</v>
      </c>
      <c r="H27" s="3416" t="s">
        <v>5908</v>
      </c>
      <c r="I27" s="3416" t="s">
        <v>5909</v>
      </c>
      <c r="J27" s="3416" t="s">
        <v>5910</v>
      </c>
      <c r="K27" s="3416" t="s">
        <v>5911</v>
      </c>
      <c r="L27" s="3416" t="s">
        <v>5912</v>
      </c>
      <c r="M27" s="3416" t="s">
        <v>5913</v>
      </c>
      <c r="N27" s="3431"/>
      <c r="O27" s="1" t="s">
        <v>1318</v>
      </c>
      <c r="P27" s="3424" t="s">
        <v>5914</v>
      </c>
      <c r="Q27" s="3424" t="s">
        <v>331</v>
      </c>
      <c r="R27" s="3425" t="s">
        <v>5915</v>
      </c>
      <c r="S27" s="3425" t="s">
        <v>5916</v>
      </c>
      <c r="T27" s="3426">
        <v>18998886.172000002</v>
      </c>
      <c r="U27" s="3427">
        <v>9412696143</v>
      </c>
      <c r="V27" s="3426">
        <v>642016230.95200002</v>
      </c>
      <c r="W27" s="3427">
        <v>363935549612</v>
      </c>
      <c r="X27" s="3426">
        <v>645889688.53899992</v>
      </c>
      <c r="Y27" s="3427">
        <v>363362338698</v>
      </c>
      <c r="Z27" s="3426">
        <v>15125428.585000001</v>
      </c>
      <c r="AA27" s="3427">
        <v>9985907057</v>
      </c>
    </row>
    <row r="28" spans="1:27">
      <c r="A28" s="1" t="s">
        <v>61</v>
      </c>
      <c r="B28" s="3417" t="s">
        <v>5914</v>
      </c>
      <c r="C28" s="3417" t="s">
        <v>331</v>
      </c>
      <c r="D28" s="3417" t="s">
        <v>5915</v>
      </c>
      <c r="E28" s="3417" t="s">
        <v>5916</v>
      </c>
      <c r="F28" s="3418">
        <v>24314098</v>
      </c>
      <c r="G28" s="3418">
        <v>13978165257</v>
      </c>
      <c r="H28" s="3418">
        <v>573331980</v>
      </c>
      <c r="I28" s="3418">
        <v>409432206794</v>
      </c>
      <c r="J28" s="3418">
        <v>574621304</v>
      </c>
      <c r="K28" s="3418">
        <v>404864199881</v>
      </c>
      <c r="L28" s="3418">
        <v>23024774</v>
      </c>
      <c r="M28" s="3418">
        <v>18546172170</v>
      </c>
      <c r="N28" s="3418"/>
      <c r="O28" s="1" t="s">
        <v>1318</v>
      </c>
      <c r="P28" s="3424" t="s">
        <v>5917</v>
      </c>
      <c r="Q28" s="3424" t="s">
        <v>330</v>
      </c>
      <c r="R28" s="3425" t="s">
        <v>5918</v>
      </c>
      <c r="S28" s="3425" t="s">
        <v>5916</v>
      </c>
      <c r="T28" s="3426">
        <v>596940.4</v>
      </c>
      <c r="U28" s="3427">
        <v>25466422877</v>
      </c>
      <c r="V28" s="3426">
        <v>45871727.468999997</v>
      </c>
      <c r="W28" s="3427">
        <v>2231869367903</v>
      </c>
      <c r="X28" s="3426">
        <v>45905724.068999998</v>
      </c>
      <c r="Y28" s="3427">
        <v>2226035394386</v>
      </c>
      <c r="Z28" s="3426">
        <v>562943.80000000005</v>
      </c>
      <c r="AA28" s="3427">
        <v>31300396394</v>
      </c>
    </row>
    <row r="29" spans="1:27">
      <c r="A29" s="1" t="s">
        <v>61</v>
      </c>
      <c r="B29" s="3417" t="s">
        <v>5917</v>
      </c>
      <c r="C29" s="3417" t="s">
        <v>330</v>
      </c>
      <c r="D29" s="3417" t="s">
        <v>5918</v>
      </c>
      <c r="E29" s="3417" t="s">
        <v>5916</v>
      </c>
      <c r="F29" s="3418">
        <v>596276</v>
      </c>
      <c r="G29" s="3418">
        <v>30368528434</v>
      </c>
      <c r="H29" s="3418">
        <v>33670177</v>
      </c>
      <c r="I29" s="3418">
        <v>2169947997491</v>
      </c>
      <c r="J29" s="3418">
        <v>32919843</v>
      </c>
      <c r="K29" s="3418">
        <v>2115751865783</v>
      </c>
      <c r="L29" s="3418">
        <v>1346610</v>
      </c>
      <c r="M29" s="3418">
        <v>84564660142</v>
      </c>
      <c r="N29" s="3418"/>
      <c r="O29" s="1" t="s">
        <v>1318</v>
      </c>
      <c r="P29" s="3424" t="s">
        <v>5940</v>
      </c>
      <c r="Q29" s="3424" t="s">
        <v>320</v>
      </c>
      <c r="R29" s="3425" t="s">
        <v>5941</v>
      </c>
      <c r="S29" s="3425" t="s">
        <v>5921</v>
      </c>
      <c r="T29" s="3425">
        <v>0</v>
      </c>
      <c r="U29" s="3425">
        <v>0</v>
      </c>
      <c r="V29" s="3426">
        <v>105285</v>
      </c>
      <c r="W29" s="3427">
        <v>676624049</v>
      </c>
      <c r="X29" s="3426">
        <v>105285</v>
      </c>
      <c r="Y29" s="3427">
        <v>676624049</v>
      </c>
      <c r="Z29" s="3425">
        <v>0</v>
      </c>
      <c r="AA29" s="3425">
        <v>0</v>
      </c>
    </row>
    <row r="30" spans="1:27">
      <c r="A30" s="1" t="s">
        <v>61</v>
      </c>
      <c r="B30" s="3417" t="s">
        <v>5919</v>
      </c>
      <c r="C30" s="3417" t="s">
        <v>325</v>
      </c>
      <c r="D30" s="3417" t="s">
        <v>5920</v>
      </c>
      <c r="E30" s="3417" t="s">
        <v>5921</v>
      </c>
      <c r="F30" s="3419">
        <v>34524290</v>
      </c>
      <c r="G30" s="3418">
        <v>218891291612</v>
      </c>
      <c r="H30" s="3419">
        <v>663477605</v>
      </c>
      <c r="I30" s="3418">
        <v>4367295257834</v>
      </c>
      <c r="J30" s="3419">
        <v>658707507</v>
      </c>
      <c r="K30" s="3418">
        <v>4280102829515</v>
      </c>
      <c r="L30" s="3419">
        <v>39294388</v>
      </c>
      <c r="M30" s="3418">
        <v>306083719931</v>
      </c>
      <c r="N30" s="3418"/>
      <c r="O30" s="1" t="s">
        <v>1318</v>
      </c>
      <c r="P30" s="3424" t="s">
        <v>5919</v>
      </c>
      <c r="Q30" s="3424" t="s">
        <v>325</v>
      </c>
      <c r="R30" s="3425" t="s">
        <v>5920</v>
      </c>
      <c r="S30" s="3425" t="s">
        <v>5921</v>
      </c>
      <c r="T30" s="3426">
        <v>15414317.418</v>
      </c>
      <c r="U30" s="3427">
        <v>104353071350</v>
      </c>
      <c r="V30" s="3426">
        <v>637173248.31099999</v>
      </c>
      <c r="W30" s="3427">
        <v>4349805756326</v>
      </c>
      <c r="X30" s="3426">
        <v>639561764.43700004</v>
      </c>
      <c r="Y30" s="3427">
        <v>4365983738140</v>
      </c>
      <c r="Z30" s="3426">
        <v>13025801.291999999</v>
      </c>
      <c r="AA30" s="3427">
        <v>88175089536</v>
      </c>
    </row>
    <row r="31" spans="1:27">
      <c r="A31" s="1" t="s">
        <v>61</v>
      </c>
      <c r="B31" s="3417" t="s">
        <v>5922</v>
      </c>
      <c r="C31" s="3417" t="s">
        <v>334</v>
      </c>
      <c r="D31" s="3417" t="s">
        <v>5923</v>
      </c>
      <c r="E31" s="3417" t="s">
        <v>5924</v>
      </c>
      <c r="F31" s="3419">
        <v>303.726</v>
      </c>
      <c r="G31" s="3418">
        <v>630046148</v>
      </c>
      <c r="H31" s="3419">
        <v>1056.7739999999999</v>
      </c>
      <c r="I31" s="3418">
        <v>639333924</v>
      </c>
      <c r="J31" s="3419">
        <v>1171.9169999999999</v>
      </c>
      <c r="K31" s="3418">
        <v>888459488</v>
      </c>
      <c r="L31" s="3419">
        <v>188.583</v>
      </c>
      <c r="M31" s="3418">
        <v>380920584</v>
      </c>
      <c r="N31" s="3418"/>
      <c r="O31" s="1" t="s">
        <v>1318</v>
      </c>
      <c r="P31" s="3424">
        <v>139</v>
      </c>
      <c r="Q31" s="3424" t="s">
        <v>320</v>
      </c>
      <c r="R31" s="3425" t="s">
        <v>5942</v>
      </c>
      <c r="S31" s="3425" t="s">
        <v>5924</v>
      </c>
      <c r="T31" s="3426">
        <v>68024.933999999994</v>
      </c>
      <c r="U31" s="3425">
        <v>0</v>
      </c>
      <c r="V31" s="3426">
        <v>1192041</v>
      </c>
      <c r="W31" s="3427">
        <v>1384409311</v>
      </c>
      <c r="X31" s="3426">
        <v>1205404.75</v>
      </c>
      <c r="Y31" s="3427">
        <v>1384409311</v>
      </c>
      <c r="Z31" s="3426">
        <v>54661.184000000001</v>
      </c>
      <c r="AA31" s="3425">
        <v>0</v>
      </c>
    </row>
    <row r="32" spans="1:27">
      <c r="A32" s="1" t="s">
        <v>61</v>
      </c>
      <c r="B32" s="3417" t="s">
        <v>5925</v>
      </c>
      <c r="C32" s="3417" t="s">
        <v>332</v>
      </c>
      <c r="D32" s="3417" t="s">
        <v>5926</v>
      </c>
      <c r="E32" s="3417" t="s">
        <v>5916</v>
      </c>
      <c r="F32" s="3418">
        <v>126812</v>
      </c>
      <c r="G32" s="3418">
        <v>5621763136</v>
      </c>
      <c r="H32" s="3418">
        <v>1411038</v>
      </c>
      <c r="I32" s="3418">
        <v>93214211637</v>
      </c>
      <c r="J32" s="3418">
        <v>1465271</v>
      </c>
      <c r="K32" s="3418">
        <v>94293512753</v>
      </c>
      <c r="L32" s="3418">
        <v>72579</v>
      </c>
      <c r="M32" s="3418">
        <v>4542462020</v>
      </c>
      <c r="N32" s="3418"/>
      <c r="O32" s="1" t="s">
        <v>1318</v>
      </c>
      <c r="P32" s="3424">
        <v>154</v>
      </c>
      <c r="Q32" s="3424" t="s">
        <v>320</v>
      </c>
      <c r="R32" s="3425" t="s">
        <v>5943</v>
      </c>
      <c r="S32" s="3425" t="s">
        <v>5924</v>
      </c>
      <c r="T32" s="3425">
        <v>11.419</v>
      </c>
      <c r="U32" s="3427">
        <v>1488218</v>
      </c>
      <c r="V32" s="3426">
        <v>12252.866</v>
      </c>
      <c r="W32" s="3427">
        <v>1819754506</v>
      </c>
      <c r="X32" s="3426">
        <v>12212.415000000001</v>
      </c>
      <c r="Y32" s="3427">
        <v>1813728552</v>
      </c>
      <c r="Z32" s="3425">
        <v>51.87</v>
      </c>
      <c r="AA32" s="3427">
        <v>7514172</v>
      </c>
    </row>
    <row r="33" spans="1:27">
      <c r="A33" s="1" t="s">
        <v>61</v>
      </c>
      <c r="B33" s="3417" t="s">
        <v>5927</v>
      </c>
      <c r="C33" s="3417" t="s">
        <v>333</v>
      </c>
      <c r="D33" s="3417" t="s">
        <v>5928</v>
      </c>
      <c r="E33" s="3417" t="s">
        <v>5916</v>
      </c>
      <c r="F33" s="3418">
        <v>40765</v>
      </c>
      <c r="G33" s="3418">
        <v>991080213</v>
      </c>
      <c r="H33" s="3418">
        <v>200035</v>
      </c>
      <c r="I33" s="3418">
        <v>4830221076</v>
      </c>
      <c r="J33" s="3418">
        <v>215585</v>
      </c>
      <c r="K33" s="3418">
        <v>5175336309</v>
      </c>
      <c r="L33" s="3418">
        <v>25215</v>
      </c>
      <c r="M33" s="3418">
        <v>645964980</v>
      </c>
      <c r="N33" s="3418"/>
      <c r="O33" s="1" t="s">
        <v>1318</v>
      </c>
      <c r="P33" s="3424">
        <v>160</v>
      </c>
      <c r="Q33" s="3424" t="s">
        <v>334</v>
      </c>
      <c r="R33" s="3425" t="s">
        <v>5923</v>
      </c>
      <c r="S33" s="3425" t="s">
        <v>5924</v>
      </c>
      <c r="T33" s="3425">
        <v>21.091000000000001</v>
      </c>
      <c r="U33" s="3427">
        <v>80632371</v>
      </c>
      <c r="V33" s="3426">
        <v>1115.0359999999998</v>
      </c>
      <c r="W33" s="3427">
        <v>4886761838</v>
      </c>
      <c r="X33" s="3426">
        <v>1106.0150000000001</v>
      </c>
      <c r="Y33" s="3427">
        <v>4865735335</v>
      </c>
      <c r="Z33" s="3425">
        <v>30.111999999999998</v>
      </c>
      <c r="AA33" s="3427">
        <v>101658874</v>
      </c>
    </row>
    <row r="34" spans="1:27">
      <c r="A34" s="1" t="s">
        <v>61</v>
      </c>
      <c r="B34" s="3417" t="s">
        <v>5929</v>
      </c>
      <c r="C34" s="3417" t="s">
        <v>320</v>
      </c>
      <c r="D34" s="3417" t="s">
        <v>5930</v>
      </c>
      <c r="E34" s="3417" t="s">
        <v>5921</v>
      </c>
      <c r="F34" s="3419">
        <v>0</v>
      </c>
      <c r="G34" s="3418">
        <v>0</v>
      </c>
      <c r="H34" s="3419">
        <v>182911</v>
      </c>
      <c r="I34" s="3418">
        <v>424927039</v>
      </c>
      <c r="J34" s="3419">
        <v>177747</v>
      </c>
      <c r="K34" s="3418">
        <v>420255547</v>
      </c>
      <c r="L34" s="3419">
        <v>5164</v>
      </c>
      <c r="M34" s="3418">
        <v>4671492</v>
      </c>
      <c r="N34" s="3418"/>
      <c r="O34" s="1" t="s">
        <v>1318</v>
      </c>
      <c r="P34" s="3424">
        <v>172</v>
      </c>
      <c r="Q34" s="3424" t="s">
        <v>332</v>
      </c>
      <c r="R34" s="3425" t="s">
        <v>5926</v>
      </c>
      <c r="S34" s="3425" t="s">
        <v>5916</v>
      </c>
      <c r="T34" s="3426">
        <v>59717.423999999999</v>
      </c>
      <c r="U34" s="3427">
        <v>1749837747</v>
      </c>
      <c r="V34" s="3426">
        <v>1672750.175</v>
      </c>
      <c r="W34" s="3427">
        <v>62106279494</v>
      </c>
      <c r="X34" s="3426">
        <v>1673853.77</v>
      </c>
      <c r="Y34" s="3427">
        <v>60598957805</v>
      </c>
      <c r="Z34" s="3426">
        <v>58613.828999999998</v>
      </c>
      <c r="AA34" s="3427">
        <v>3257159436</v>
      </c>
    </row>
    <row r="35" spans="1:27">
      <c r="B35" s="3420" t="s">
        <v>3953</v>
      </c>
      <c r="C35" s="3420"/>
      <c r="D35" s="3420" t="s">
        <v>3953</v>
      </c>
      <c r="E35" s="3420" t="s">
        <v>5916</v>
      </c>
      <c r="F35" s="3421">
        <v>25077951</v>
      </c>
      <c r="G35" s="3421">
        <v>270480874800</v>
      </c>
      <c r="H35" s="3421">
        <v>608613230</v>
      </c>
      <c r="I35" s="3421">
        <v>7045784155795</v>
      </c>
      <c r="J35" s="3421">
        <v>609222003</v>
      </c>
      <c r="K35" s="3421">
        <v>6901496459276</v>
      </c>
      <c r="L35" s="3421">
        <v>24469178</v>
      </c>
      <c r="M35" s="3421">
        <v>414768571319</v>
      </c>
      <c r="N35" s="3418"/>
      <c r="O35" s="1" t="s">
        <v>1318</v>
      </c>
      <c r="P35" s="3424">
        <v>180</v>
      </c>
      <c r="Q35" s="3424" t="s">
        <v>320</v>
      </c>
      <c r="R35" s="3425" t="s">
        <v>244</v>
      </c>
      <c r="S35" s="3425" t="s">
        <v>5921</v>
      </c>
      <c r="T35" s="3426">
        <v>1607350</v>
      </c>
      <c r="U35" s="3427">
        <v>321424695</v>
      </c>
      <c r="V35" s="3426">
        <v>103136658</v>
      </c>
      <c r="W35" s="3427">
        <v>21285729627</v>
      </c>
      <c r="X35" s="3426">
        <v>102868208</v>
      </c>
      <c r="Y35" s="3427">
        <v>21206012554</v>
      </c>
      <c r="Z35" s="3426">
        <v>1875800</v>
      </c>
      <c r="AA35" s="3427">
        <v>401141768</v>
      </c>
    </row>
    <row r="36" spans="1:27">
      <c r="B36" s="3420" t="s">
        <v>3953</v>
      </c>
      <c r="C36" s="3420"/>
      <c r="D36" s="3420" t="s">
        <v>3953</v>
      </c>
      <c r="E36" s="3420" t="s">
        <v>5921</v>
      </c>
      <c r="F36" s="3422">
        <v>34524290</v>
      </c>
      <c r="G36" s="3421"/>
      <c r="H36" s="3422">
        <v>663660516</v>
      </c>
      <c r="I36" s="3421"/>
      <c r="J36" s="3422">
        <v>658885254</v>
      </c>
      <c r="K36" s="3421"/>
      <c r="L36" s="3422">
        <v>39299552</v>
      </c>
      <c r="M36" s="3421"/>
      <c r="N36" s="3418"/>
      <c r="O36" s="1" t="s">
        <v>1318</v>
      </c>
      <c r="P36" s="3424">
        <v>196</v>
      </c>
      <c r="Q36" s="3424" t="s">
        <v>333</v>
      </c>
      <c r="R36" s="3425" t="s">
        <v>5928</v>
      </c>
      <c r="S36" s="3425" t="s">
        <v>5916</v>
      </c>
      <c r="T36" s="3426">
        <v>9388.6869999999999</v>
      </c>
      <c r="U36" s="3427">
        <v>269138218</v>
      </c>
      <c r="V36" s="3426">
        <v>182003.26500000001</v>
      </c>
      <c r="W36" s="3427">
        <v>3763052637</v>
      </c>
      <c r="X36" s="3426">
        <v>181786</v>
      </c>
      <c r="Y36" s="3427">
        <v>3649682825</v>
      </c>
      <c r="Z36" s="3426">
        <v>9605.9519999999993</v>
      </c>
      <c r="AA36" s="3427">
        <v>382508030</v>
      </c>
    </row>
    <row r="37" spans="1:27">
      <c r="B37" s="3420" t="s">
        <v>3953</v>
      </c>
      <c r="C37" s="3420"/>
      <c r="D37" s="3420" t="s">
        <v>3953</v>
      </c>
      <c r="E37" s="3420" t="s">
        <v>5924</v>
      </c>
      <c r="F37" s="3422">
        <v>303.726</v>
      </c>
      <c r="G37" s="3421"/>
      <c r="H37" s="3422">
        <v>1056.7739999999999</v>
      </c>
      <c r="I37" s="3421"/>
      <c r="J37" s="3422">
        <v>1171.9169999999999</v>
      </c>
      <c r="K37" s="3421"/>
      <c r="L37" s="3422">
        <v>188.583</v>
      </c>
      <c r="M37" s="3421"/>
      <c r="N37" s="3418"/>
      <c r="O37" s="1" t="s">
        <v>1318</v>
      </c>
      <c r="P37" s="3424">
        <v>197</v>
      </c>
      <c r="Q37" s="3424" t="s">
        <v>320</v>
      </c>
      <c r="R37" s="3425" t="s">
        <v>5946</v>
      </c>
      <c r="S37" s="3425" t="s">
        <v>5916</v>
      </c>
      <c r="T37" s="3427">
        <v>1207540</v>
      </c>
      <c r="U37" s="3427">
        <v>625231221</v>
      </c>
      <c r="V37" s="3427">
        <v>2710000</v>
      </c>
      <c r="W37" s="3427">
        <v>2185104945</v>
      </c>
      <c r="X37" s="3426">
        <v>3424400</v>
      </c>
      <c r="Y37" s="3427">
        <v>2433660714</v>
      </c>
      <c r="Z37" s="3427">
        <v>493140</v>
      </c>
      <c r="AA37" s="3427">
        <v>376675452</v>
      </c>
    </row>
    <row r="38" spans="1:27">
      <c r="B38" s="1" t="s">
        <v>5101</v>
      </c>
      <c r="O38" s="1" t="s">
        <v>1318</v>
      </c>
      <c r="P38" s="3425" t="s">
        <v>5945</v>
      </c>
      <c r="Q38" s="3425" t="s">
        <v>320</v>
      </c>
      <c r="R38" s="3425" t="s">
        <v>5930</v>
      </c>
      <c r="S38" s="3425" t="s">
        <v>5921</v>
      </c>
      <c r="T38" s="3426">
        <v>45002.49</v>
      </c>
      <c r="U38" s="3427">
        <v>658622821</v>
      </c>
      <c r="V38" s="3426">
        <v>383508.15399999998</v>
      </c>
      <c r="W38" s="3427">
        <v>3778182846</v>
      </c>
      <c r="X38" s="3426">
        <v>412718.538</v>
      </c>
      <c r="Y38" s="3427">
        <v>4276781028</v>
      </c>
      <c r="Z38" s="3426">
        <v>15792.106</v>
      </c>
      <c r="AA38" s="3427">
        <v>160024639</v>
      </c>
    </row>
    <row r="39" spans="1:27">
      <c r="B39" s="3416" t="s">
        <v>5904</v>
      </c>
      <c r="C39" s="3416" t="s">
        <v>5931</v>
      </c>
      <c r="D39" s="3416" t="s">
        <v>5905</v>
      </c>
      <c r="E39" s="3416" t="s">
        <v>5906</v>
      </c>
      <c r="F39" s="3416" t="s">
        <v>5907</v>
      </c>
      <c r="G39" s="3416" t="s">
        <v>5685</v>
      </c>
      <c r="H39" s="3416" t="s">
        <v>5908</v>
      </c>
      <c r="I39" s="3416" t="s">
        <v>5909</v>
      </c>
      <c r="J39" s="3416" t="s">
        <v>5910</v>
      </c>
      <c r="K39" s="3416" t="s">
        <v>5911</v>
      </c>
      <c r="L39" s="3416" t="s">
        <v>5912</v>
      </c>
      <c r="M39" s="3416" t="s">
        <v>5913</v>
      </c>
      <c r="N39" s="3431"/>
      <c r="O39" s="1" t="s">
        <v>1318</v>
      </c>
      <c r="P39" s="3425" t="s">
        <v>5947</v>
      </c>
      <c r="Q39" s="3425" t="s">
        <v>320</v>
      </c>
      <c r="R39" s="3425" t="s">
        <v>5949</v>
      </c>
      <c r="S39" s="3425" t="s">
        <v>5921</v>
      </c>
      <c r="T39" s="3425">
        <v>0</v>
      </c>
      <c r="U39" s="3425">
        <v>0</v>
      </c>
      <c r="V39" s="3426">
        <v>55151</v>
      </c>
      <c r="W39" s="3427">
        <v>238231439</v>
      </c>
      <c r="X39" s="3426">
        <v>55151</v>
      </c>
      <c r="Y39" s="3427">
        <v>238231439</v>
      </c>
      <c r="Z39" s="3425">
        <v>0</v>
      </c>
      <c r="AA39" s="3425">
        <v>0</v>
      </c>
    </row>
    <row r="40" spans="1:27">
      <c r="A40" s="1" t="s">
        <v>5103</v>
      </c>
      <c r="B40" s="3417" t="s">
        <v>5914</v>
      </c>
      <c r="C40" s="3417" t="s">
        <v>331</v>
      </c>
      <c r="D40" s="3417" t="s">
        <v>5915</v>
      </c>
      <c r="E40" s="3417" t="s">
        <v>5916</v>
      </c>
      <c r="F40" s="3418">
        <v>23024774</v>
      </c>
      <c r="G40" s="3418">
        <v>18546172170</v>
      </c>
      <c r="H40" s="3418">
        <v>441846500</v>
      </c>
      <c r="I40" s="3418">
        <v>386561890527</v>
      </c>
      <c r="J40" s="3418">
        <v>448357372</v>
      </c>
      <c r="K40" s="3418">
        <v>391301503003</v>
      </c>
      <c r="L40" s="3418">
        <v>16513902</v>
      </c>
      <c r="M40" s="3418">
        <v>13806559694</v>
      </c>
      <c r="N40" s="3418"/>
      <c r="O40" s="1" t="s">
        <v>1318</v>
      </c>
      <c r="P40" s="3425" t="s">
        <v>5948</v>
      </c>
      <c r="Q40" s="3425" t="s">
        <v>320</v>
      </c>
      <c r="R40" s="3425" t="s">
        <v>5951</v>
      </c>
      <c r="S40" s="3425" t="s">
        <v>5924</v>
      </c>
      <c r="T40" s="3425">
        <v>0</v>
      </c>
      <c r="U40" s="3425">
        <v>0</v>
      </c>
      <c r="V40" s="3426">
        <v>507088</v>
      </c>
      <c r="W40" s="3427">
        <v>9354482729</v>
      </c>
      <c r="X40" s="3426">
        <v>507088</v>
      </c>
      <c r="Y40" s="3427">
        <v>9354482729</v>
      </c>
      <c r="Z40" s="3425">
        <v>0</v>
      </c>
      <c r="AA40" s="3425">
        <v>0</v>
      </c>
    </row>
    <row r="41" spans="1:27">
      <c r="A41" s="1" t="s">
        <v>5103</v>
      </c>
      <c r="B41" s="3417" t="s">
        <v>5917</v>
      </c>
      <c r="C41" s="3417" t="s">
        <v>330</v>
      </c>
      <c r="D41" s="3417" t="s">
        <v>5918</v>
      </c>
      <c r="E41" s="3417" t="s">
        <v>5916</v>
      </c>
      <c r="F41" s="3418">
        <v>1346610</v>
      </c>
      <c r="G41" s="3418">
        <v>84564660142</v>
      </c>
      <c r="H41" s="3418">
        <v>21965986</v>
      </c>
      <c r="I41" s="3418">
        <v>1385521111114</v>
      </c>
      <c r="J41" s="3418">
        <v>22262673</v>
      </c>
      <c r="K41" s="3418">
        <v>1402130360104</v>
      </c>
      <c r="L41" s="3418">
        <v>1049923</v>
      </c>
      <c r="M41" s="3418">
        <v>67955411152</v>
      </c>
      <c r="N41" s="3418"/>
      <c r="O41" s="1" t="s">
        <v>1318</v>
      </c>
      <c r="P41" s="3425" t="s">
        <v>5950</v>
      </c>
      <c r="Q41" s="3425" t="s">
        <v>320</v>
      </c>
      <c r="R41" s="3425" t="s">
        <v>5953</v>
      </c>
      <c r="S41" s="3425" t="s">
        <v>5921</v>
      </c>
      <c r="T41" s="3426">
        <v>2360.7640000000001</v>
      </c>
      <c r="U41" s="3427">
        <v>81120298</v>
      </c>
      <c r="V41" s="3426">
        <v>38686.131000000001</v>
      </c>
      <c r="W41" s="3427">
        <v>1135764318</v>
      </c>
      <c r="X41" s="3426">
        <v>38697.129999999997</v>
      </c>
      <c r="Y41" s="3427">
        <v>1129931861</v>
      </c>
      <c r="Z41" s="3426">
        <v>2349.7649999999999</v>
      </c>
      <c r="AA41" s="3427">
        <v>86952755</v>
      </c>
    </row>
    <row r="42" spans="1:27">
      <c r="A42" s="1" t="s">
        <v>5103</v>
      </c>
      <c r="B42" s="3417" t="s">
        <v>5919</v>
      </c>
      <c r="C42" s="3417" t="s">
        <v>325</v>
      </c>
      <c r="D42" s="3417" t="s">
        <v>5920</v>
      </c>
      <c r="E42" s="3417" t="s">
        <v>5921</v>
      </c>
      <c r="F42" s="3419">
        <v>39294388</v>
      </c>
      <c r="G42" s="3418">
        <v>306083719931</v>
      </c>
      <c r="H42" s="3419">
        <v>450648172</v>
      </c>
      <c r="I42" s="3418">
        <v>4336634636157</v>
      </c>
      <c r="J42" s="3419">
        <v>465732289</v>
      </c>
      <c r="K42" s="3418">
        <v>4394054154872</v>
      </c>
      <c r="L42" s="3419">
        <v>24210271</v>
      </c>
      <c r="M42" s="3418">
        <v>248664201216</v>
      </c>
      <c r="N42" s="3418"/>
      <c r="O42" s="1" t="s">
        <v>1318</v>
      </c>
      <c r="P42" s="3425" t="s">
        <v>5954</v>
      </c>
      <c r="Q42" s="3425" t="s">
        <v>320</v>
      </c>
      <c r="R42" s="3425" t="s">
        <v>5955</v>
      </c>
      <c r="S42" s="3425" t="s">
        <v>5924</v>
      </c>
      <c r="T42" s="3425">
        <v>463.07</v>
      </c>
      <c r="U42" s="3427">
        <v>3353806</v>
      </c>
      <c r="V42" s="3426">
        <v>107046.47</v>
      </c>
      <c r="W42" s="3427">
        <v>4339499271</v>
      </c>
      <c r="X42" s="3426">
        <v>106894.54</v>
      </c>
      <c r="Y42" s="3427">
        <v>4338785173</v>
      </c>
      <c r="Z42" s="3425">
        <v>615</v>
      </c>
      <c r="AA42" s="3427">
        <v>4067904</v>
      </c>
    </row>
    <row r="43" spans="1:27">
      <c r="A43" s="1" t="s">
        <v>5103</v>
      </c>
      <c r="B43" s="3417" t="s">
        <v>5922</v>
      </c>
      <c r="C43" s="3417" t="s">
        <v>334</v>
      </c>
      <c r="D43" s="3417" t="s">
        <v>5923</v>
      </c>
      <c r="E43" s="3417" t="s">
        <v>5924</v>
      </c>
      <c r="F43" s="3419">
        <v>188.583</v>
      </c>
      <c r="G43" s="3418">
        <v>380920584</v>
      </c>
      <c r="H43" s="3419">
        <v>719.64599999999996</v>
      </c>
      <c r="I43" s="3418">
        <v>805601724</v>
      </c>
      <c r="J43" s="3419">
        <v>874.52300000000002</v>
      </c>
      <c r="K43" s="3418">
        <v>1128823768</v>
      </c>
      <c r="L43" s="3419">
        <v>33.706000000000003</v>
      </c>
      <c r="M43" s="3418">
        <v>57698540</v>
      </c>
      <c r="N43" s="3418"/>
      <c r="O43" s="1" t="s">
        <v>1318</v>
      </c>
      <c r="P43" s="3425" t="s">
        <v>5956</v>
      </c>
      <c r="Q43" s="3425" t="s">
        <v>320</v>
      </c>
      <c r="R43" s="3425" t="s">
        <v>242</v>
      </c>
      <c r="S43" s="3425" t="s">
        <v>5924</v>
      </c>
      <c r="T43" s="3426">
        <v>55651.430999999997</v>
      </c>
      <c r="U43" s="3427">
        <v>1008249369</v>
      </c>
      <c r="V43" s="3426">
        <v>1405729.986</v>
      </c>
      <c r="W43" s="3427">
        <v>37367771208</v>
      </c>
      <c r="X43" s="3426">
        <v>1433640.415</v>
      </c>
      <c r="Y43" s="3427">
        <v>38201302104</v>
      </c>
      <c r="Z43" s="3426">
        <v>27741.002</v>
      </c>
      <c r="AA43" s="3427">
        <v>174718473</v>
      </c>
    </row>
    <row r="44" spans="1:27">
      <c r="A44" s="1" t="s">
        <v>5103</v>
      </c>
      <c r="B44" s="3417" t="s">
        <v>5925</v>
      </c>
      <c r="C44" s="3417" t="s">
        <v>332</v>
      </c>
      <c r="D44" s="3417" t="s">
        <v>5926</v>
      </c>
      <c r="E44" s="3417" t="s">
        <v>5916</v>
      </c>
      <c r="F44" s="3418">
        <v>72579</v>
      </c>
      <c r="G44" s="3418">
        <v>4542462020</v>
      </c>
      <c r="H44" s="3418">
        <v>961228</v>
      </c>
      <c r="I44" s="3418">
        <v>72202778278</v>
      </c>
      <c r="J44" s="3418">
        <v>1001927</v>
      </c>
      <c r="K44" s="3418">
        <v>74191236557</v>
      </c>
      <c r="L44" s="3418">
        <v>31880</v>
      </c>
      <c r="M44" s="3418">
        <v>2554003741</v>
      </c>
      <c r="N44" s="3418"/>
      <c r="P44" s="3428"/>
      <c r="Q44" s="3428"/>
      <c r="R44" s="3428"/>
      <c r="S44" s="3428" t="s">
        <v>5916</v>
      </c>
      <c r="T44" s="3429">
        <v>20872472.683000002</v>
      </c>
      <c r="U44" s="3430">
        <v>144031289134</v>
      </c>
      <c r="V44" s="3429">
        <v>692452711.86099994</v>
      </c>
      <c r="W44" s="3430">
        <v>7099932322059</v>
      </c>
      <c r="X44" s="3429">
        <v>697075452.3779999</v>
      </c>
      <c r="Y44" s="3430">
        <v>7109549796703</v>
      </c>
      <c r="Z44" s="3429">
        <v>16249732.165999999</v>
      </c>
      <c r="AA44" s="3430">
        <v>134413814490</v>
      </c>
    </row>
    <row r="45" spans="1:27">
      <c r="A45" s="1" t="s">
        <v>5103</v>
      </c>
      <c r="B45" s="3417" t="s">
        <v>5927</v>
      </c>
      <c r="C45" s="3417" t="s">
        <v>333</v>
      </c>
      <c r="D45" s="3417" t="s">
        <v>5928</v>
      </c>
      <c r="E45" s="3417" t="s">
        <v>5916</v>
      </c>
      <c r="F45" s="3418">
        <v>25215</v>
      </c>
      <c r="G45" s="3418">
        <v>645964980</v>
      </c>
      <c r="H45" s="3418">
        <v>85843</v>
      </c>
      <c r="I45" s="3418">
        <v>2744395668</v>
      </c>
      <c r="J45" s="3418">
        <v>104714</v>
      </c>
      <c r="K45" s="3418">
        <v>3212005759</v>
      </c>
      <c r="L45" s="3418">
        <v>6344</v>
      </c>
      <c r="M45" s="3418">
        <v>178354889</v>
      </c>
      <c r="N45" s="3418"/>
      <c r="P45" s="3428"/>
      <c r="Q45" s="3428"/>
      <c r="R45" s="3428"/>
      <c r="S45" s="3428" t="s">
        <v>5921</v>
      </c>
      <c r="T45" s="3429">
        <v>17069030.671999998</v>
      </c>
      <c r="U45" s="3428"/>
      <c r="V45" s="3429">
        <v>740892536.59599996</v>
      </c>
      <c r="W45" s="3428"/>
      <c r="X45" s="3429">
        <v>743041824.10500002</v>
      </c>
      <c r="Y45" s="3428"/>
      <c r="Z45" s="3429">
        <v>14919743.163000001</v>
      </c>
      <c r="AA45" s="3428"/>
    </row>
    <row r="46" spans="1:27">
      <c r="A46" s="1" t="s">
        <v>5103</v>
      </c>
      <c r="B46" s="3417" t="s">
        <v>5929</v>
      </c>
      <c r="C46" s="3417" t="s">
        <v>320</v>
      </c>
      <c r="D46" s="3417" t="s">
        <v>5930</v>
      </c>
      <c r="E46" s="3417" t="s">
        <v>5921</v>
      </c>
      <c r="F46" s="3419">
        <v>5164</v>
      </c>
      <c r="G46" s="3418">
        <v>4671492</v>
      </c>
      <c r="H46" s="3419">
        <v>105055</v>
      </c>
      <c r="I46" s="3418">
        <v>607095589</v>
      </c>
      <c r="J46" s="3419">
        <v>99283</v>
      </c>
      <c r="K46" s="3418">
        <v>485517825</v>
      </c>
      <c r="L46" s="3419">
        <v>10936</v>
      </c>
      <c r="M46" s="3418">
        <v>126249256</v>
      </c>
      <c r="N46" s="3418"/>
      <c r="P46" s="3428"/>
      <c r="Q46" s="3428"/>
      <c r="R46" s="3428"/>
      <c r="S46" s="3428" t="s">
        <v>5924</v>
      </c>
      <c r="T46" s="3429">
        <v>124171.94500000001</v>
      </c>
      <c r="U46" s="3428"/>
      <c r="V46" s="3429">
        <v>3225273.3579999995</v>
      </c>
      <c r="W46" s="3428"/>
      <c r="X46" s="3429">
        <v>3266346.1350000002</v>
      </c>
      <c r="Y46" s="3428"/>
      <c r="Z46" s="3429">
        <v>83099.168000000005</v>
      </c>
      <c r="AA46" s="3428"/>
    </row>
    <row r="47" spans="1:27">
      <c r="B47" s="3420" t="s">
        <v>3953</v>
      </c>
      <c r="C47" s="3420"/>
      <c r="D47" s="3420" t="s">
        <v>3953</v>
      </c>
      <c r="E47" s="3420" t="s">
        <v>5916</v>
      </c>
      <c r="F47" s="3421">
        <v>24469178</v>
      </c>
      <c r="G47" s="3421">
        <v>414768571319</v>
      </c>
      <c r="H47" s="3421">
        <v>464859557</v>
      </c>
      <c r="I47" s="3421">
        <v>6185077509057</v>
      </c>
      <c r="J47" s="3421">
        <v>471726686</v>
      </c>
      <c r="K47" s="3421">
        <v>6266503601888</v>
      </c>
      <c r="L47" s="3421">
        <v>17602049</v>
      </c>
      <c r="M47" s="3421">
        <v>333342478488</v>
      </c>
      <c r="N47" s="3418"/>
      <c r="P47" s="1">
        <v>2020</v>
      </c>
    </row>
    <row r="48" spans="1:27">
      <c r="B48" s="3420" t="s">
        <v>3953</v>
      </c>
      <c r="C48" s="3420"/>
      <c r="D48" s="3420" t="s">
        <v>3953</v>
      </c>
      <c r="E48" s="3420" t="s">
        <v>5921</v>
      </c>
      <c r="F48" s="3422">
        <v>39299552</v>
      </c>
      <c r="G48" s="3421"/>
      <c r="H48" s="3422">
        <v>450753227</v>
      </c>
      <c r="I48" s="3421"/>
      <c r="J48" s="3422">
        <v>465831572</v>
      </c>
      <c r="K48" s="3421"/>
      <c r="L48" s="3422">
        <v>24221207</v>
      </c>
      <c r="M48" s="3421"/>
      <c r="N48" s="3418"/>
      <c r="P48" s="3423" t="s">
        <v>5904</v>
      </c>
      <c r="Q48" s="3423" t="s">
        <v>5931</v>
      </c>
      <c r="R48" s="3423" t="s">
        <v>5905</v>
      </c>
      <c r="S48" s="3423" t="s">
        <v>3537</v>
      </c>
      <c r="T48" s="3423" t="s">
        <v>5932</v>
      </c>
      <c r="U48" s="3423" t="s">
        <v>5933</v>
      </c>
      <c r="V48" s="3423" t="s">
        <v>5934</v>
      </c>
      <c r="W48" s="3423" t="s">
        <v>5935</v>
      </c>
      <c r="X48" s="3423" t="s">
        <v>5936</v>
      </c>
      <c r="Y48" s="3423" t="s">
        <v>5937</v>
      </c>
      <c r="Z48" s="3423" t="s">
        <v>5938</v>
      </c>
      <c r="AA48" s="3423" t="s">
        <v>5939</v>
      </c>
    </row>
    <row r="49" spans="2:27">
      <c r="B49" s="3420" t="s">
        <v>3953</v>
      </c>
      <c r="C49" s="3420"/>
      <c r="D49" s="3420" t="s">
        <v>3953</v>
      </c>
      <c r="E49" s="3420" t="s">
        <v>5924</v>
      </c>
      <c r="F49" s="3422">
        <v>188.583</v>
      </c>
      <c r="G49" s="3421"/>
      <c r="H49" s="3422">
        <v>719.64599999999996</v>
      </c>
      <c r="I49" s="3421"/>
      <c r="J49" s="3422">
        <v>874.52300000000002</v>
      </c>
      <c r="K49" s="3421"/>
      <c r="L49" s="3422">
        <v>33.706000000000003</v>
      </c>
      <c r="M49" s="3421"/>
      <c r="N49" s="3418"/>
      <c r="O49" s="1" t="s">
        <v>61</v>
      </c>
      <c r="P49" s="3424" t="s">
        <v>5914</v>
      </c>
      <c r="Q49" s="3424" t="s">
        <v>331</v>
      </c>
      <c r="R49" s="3425" t="s">
        <v>5915</v>
      </c>
      <c r="S49" s="3425" t="s">
        <v>5916</v>
      </c>
      <c r="T49" s="3426">
        <v>15125428.585000001</v>
      </c>
      <c r="U49" s="3427">
        <v>9985907057</v>
      </c>
      <c r="V49" s="3426">
        <v>562547245.29499996</v>
      </c>
      <c r="W49" s="3427">
        <f>417236635049-197952376</f>
        <v>417038682673</v>
      </c>
      <c r="X49" s="3426">
        <v>562955857.63499999</v>
      </c>
      <c r="Y49" s="3427">
        <v>413092369302</v>
      </c>
      <c r="Z49" s="3426">
        <v>14716816.244999999</v>
      </c>
      <c r="AA49" s="3427">
        <v>13932220428</v>
      </c>
    </row>
    <row r="50" spans="2:27">
      <c r="O50" s="1" t="s">
        <v>61</v>
      </c>
      <c r="P50" s="3424" t="s">
        <v>5917</v>
      </c>
      <c r="Q50" s="3424" t="s">
        <v>330</v>
      </c>
      <c r="R50" s="3425" t="s">
        <v>5918</v>
      </c>
      <c r="S50" s="3425" t="s">
        <v>5916</v>
      </c>
      <c r="T50" s="3426">
        <v>562943.80000000005</v>
      </c>
      <c r="U50" s="3427">
        <v>31300396394</v>
      </c>
      <c r="V50" s="3426">
        <v>32221777.5</v>
      </c>
      <c r="W50" s="3427">
        <v>2085651470811</v>
      </c>
      <c r="X50" s="3426">
        <v>32286771</v>
      </c>
      <c r="Y50" s="3427">
        <v>2082868359949</v>
      </c>
      <c r="Z50" s="3426">
        <v>497950.3</v>
      </c>
      <c r="AA50" s="3427">
        <v>34083507256</v>
      </c>
    </row>
    <row r="51" spans="2:27">
      <c r="O51" s="1" t="s">
        <v>61</v>
      </c>
      <c r="P51" s="3424" t="s">
        <v>5940</v>
      </c>
      <c r="Q51" s="3424" t="s">
        <v>320</v>
      </c>
      <c r="R51" s="3425" t="s">
        <v>5941</v>
      </c>
      <c r="S51" s="3425" t="s">
        <v>5921</v>
      </c>
      <c r="T51" s="3425">
        <v>0</v>
      </c>
      <c r="U51" s="3425">
        <v>0</v>
      </c>
      <c r="V51" s="3426">
        <v>116197</v>
      </c>
      <c r="W51" s="3427">
        <v>405321214</v>
      </c>
      <c r="X51" s="3426">
        <v>116197</v>
      </c>
      <c r="Y51" s="3427">
        <v>405321214</v>
      </c>
      <c r="Z51" s="3425">
        <v>0</v>
      </c>
      <c r="AA51" s="3425">
        <v>0</v>
      </c>
    </row>
    <row r="52" spans="2:27">
      <c r="O52" s="1" t="s">
        <v>61</v>
      </c>
      <c r="P52" s="3424" t="s">
        <v>5919</v>
      </c>
      <c r="Q52" s="3424" t="s">
        <v>325</v>
      </c>
      <c r="R52" s="3425" t="s">
        <v>5920</v>
      </c>
      <c r="S52" s="3425" t="s">
        <v>5921</v>
      </c>
      <c r="T52" s="3426">
        <v>13025801.291999999</v>
      </c>
      <c r="U52" s="3427">
        <v>88175089536</v>
      </c>
      <c r="V52" s="3426">
        <v>644994464.10300004</v>
      </c>
      <c r="W52" s="3427">
        <v>4635093767081</v>
      </c>
      <c r="X52" s="3426">
        <v>642476549.93100011</v>
      </c>
      <c r="Y52" s="3427">
        <v>4601758413121</v>
      </c>
      <c r="Z52" s="3426">
        <v>15543715.464</v>
      </c>
      <c r="AA52" s="3427">
        <v>121510443496</v>
      </c>
    </row>
    <row r="53" spans="2:27">
      <c r="O53" s="1" t="s">
        <v>61</v>
      </c>
      <c r="P53" s="3424">
        <v>139</v>
      </c>
      <c r="Q53" s="3424" t="s">
        <v>320</v>
      </c>
      <c r="R53" s="3425" t="s">
        <v>5942</v>
      </c>
      <c r="S53" s="3425" t="s">
        <v>5924</v>
      </c>
      <c r="T53" s="3426">
        <v>54661.184000000001</v>
      </c>
      <c r="U53" s="3425">
        <v>0</v>
      </c>
      <c r="V53" s="3426">
        <v>1230556.8899999999</v>
      </c>
      <c r="W53" s="3427">
        <v>1031767369</v>
      </c>
      <c r="X53" s="3426">
        <v>1200282.3500000001</v>
      </c>
      <c r="Y53" s="3427">
        <v>1031767369</v>
      </c>
      <c r="Z53" s="3426">
        <v>84935.724000000002</v>
      </c>
      <c r="AA53" s="3425">
        <v>0</v>
      </c>
    </row>
    <row r="54" spans="2:27">
      <c r="O54" s="1" t="s">
        <v>61</v>
      </c>
      <c r="P54" s="3424">
        <v>154</v>
      </c>
      <c r="Q54" s="3424" t="s">
        <v>320</v>
      </c>
      <c r="R54" s="3425" t="s">
        <v>5943</v>
      </c>
      <c r="S54" s="3425" t="s">
        <v>5924</v>
      </c>
      <c r="T54" s="3425">
        <v>51.87</v>
      </c>
      <c r="U54" s="3427">
        <v>7514172</v>
      </c>
      <c r="V54" s="3426">
        <v>9608.0789999999997</v>
      </c>
      <c r="W54" s="3427">
        <v>1213902185</v>
      </c>
      <c r="X54" s="3426">
        <v>9531.06</v>
      </c>
      <c r="Y54" s="3427">
        <v>1202490019</v>
      </c>
      <c r="Z54" s="3425">
        <v>128.88900000000001</v>
      </c>
      <c r="AA54" s="3427">
        <v>18926338</v>
      </c>
    </row>
    <row r="55" spans="2:27">
      <c r="O55" s="1" t="s">
        <v>61</v>
      </c>
      <c r="P55" s="3424">
        <v>160</v>
      </c>
      <c r="Q55" s="3424" t="s">
        <v>334</v>
      </c>
      <c r="R55" s="3425" t="s">
        <v>5923</v>
      </c>
      <c r="S55" s="3425" t="s">
        <v>5924</v>
      </c>
      <c r="T55" s="3425">
        <v>30.111999999999998</v>
      </c>
      <c r="U55" s="3427">
        <v>101658874</v>
      </c>
      <c r="V55" s="3426">
        <v>1203.413</v>
      </c>
      <c r="W55" s="3427">
        <v>4754323578</v>
      </c>
      <c r="X55" s="3426">
        <v>1201.5409999999999</v>
      </c>
      <c r="Y55" s="3427">
        <v>4707867620</v>
      </c>
      <c r="Z55" s="3425">
        <v>31.984000000000002</v>
      </c>
      <c r="AA55" s="3427">
        <v>148114832</v>
      </c>
    </row>
    <row r="56" spans="2:27">
      <c r="O56" s="1" t="s">
        <v>61</v>
      </c>
      <c r="P56" s="3424">
        <v>172</v>
      </c>
      <c r="Q56" s="3424" t="s">
        <v>332</v>
      </c>
      <c r="R56" s="3425" t="s">
        <v>5926</v>
      </c>
      <c r="S56" s="3425" t="s">
        <v>5916</v>
      </c>
      <c r="T56" s="3426">
        <v>58613.828999999998</v>
      </c>
      <c r="U56" s="3427">
        <v>3257159436</v>
      </c>
      <c r="V56" s="3426">
        <v>1630259.909</v>
      </c>
      <c r="W56" s="3427">
        <v>76602722647</v>
      </c>
      <c r="X56" s="3426">
        <v>1647224.327</v>
      </c>
      <c r="Y56" s="3427">
        <v>77936564330</v>
      </c>
      <c r="Z56" s="3426">
        <v>41649.411</v>
      </c>
      <c r="AA56" s="3427">
        <v>1923317753</v>
      </c>
    </row>
    <row r="57" spans="2:27">
      <c r="O57" s="1" t="s">
        <v>61</v>
      </c>
      <c r="P57" s="3424">
        <v>180</v>
      </c>
      <c r="Q57" s="3424" t="s">
        <v>320</v>
      </c>
      <c r="R57" s="3425" t="s">
        <v>244</v>
      </c>
      <c r="S57" s="3425" t="s">
        <v>5921</v>
      </c>
      <c r="T57" s="3426">
        <v>1875800</v>
      </c>
      <c r="U57" s="3427">
        <v>401141768</v>
      </c>
      <c r="V57" s="3426">
        <v>131274176</v>
      </c>
      <c r="W57" s="3427">
        <v>23661266751</v>
      </c>
      <c r="X57" s="3426">
        <v>130519176</v>
      </c>
      <c r="Y57" s="3427">
        <v>23383626941</v>
      </c>
      <c r="Z57" s="3426">
        <v>2630800</v>
      </c>
      <c r="AA57" s="3427">
        <v>678781578</v>
      </c>
    </row>
    <row r="58" spans="2:27">
      <c r="O58" s="1" t="s">
        <v>61</v>
      </c>
      <c r="P58" s="3424">
        <v>196</v>
      </c>
      <c r="Q58" s="3424" t="s">
        <v>333</v>
      </c>
      <c r="R58" s="3425" t="s">
        <v>5928</v>
      </c>
      <c r="S58" s="3425" t="s">
        <v>5916</v>
      </c>
      <c r="T58" s="3426">
        <v>9605.9519999999993</v>
      </c>
      <c r="U58" s="3427">
        <v>382508030</v>
      </c>
      <c r="V58" s="3426">
        <v>197211.486</v>
      </c>
      <c r="W58" s="3427">
        <v>3307761034</v>
      </c>
      <c r="X58" s="3426">
        <v>198733.43599999999</v>
      </c>
      <c r="Y58" s="3427">
        <v>3463524854</v>
      </c>
      <c r="Z58" s="3426">
        <v>8084.0020000000004</v>
      </c>
      <c r="AA58" s="3427">
        <v>226744210</v>
      </c>
    </row>
    <row r="59" spans="2:27">
      <c r="O59" s="1" t="s">
        <v>61</v>
      </c>
      <c r="P59" s="3424">
        <v>197</v>
      </c>
      <c r="Q59" s="3424" t="s">
        <v>320</v>
      </c>
      <c r="R59" s="3425" t="s">
        <v>5946</v>
      </c>
      <c r="S59" s="3425" t="s">
        <v>5916</v>
      </c>
      <c r="T59" s="3427">
        <v>493140</v>
      </c>
      <c r="U59" s="3427">
        <v>376675452</v>
      </c>
      <c r="V59" s="3427">
        <v>3412360</v>
      </c>
      <c r="W59" s="3427">
        <v>2369746784</v>
      </c>
      <c r="X59" s="3426">
        <v>3800500</v>
      </c>
      <c r="Y59" s="3427">
        <v>2689526232</v>
      </c>
      <c r="Z59" s="3427">
        <v>105000</v>
      </c>
      <c r="AA59" s="3427">
        <v>56896004</v>
      </c>
    </row>
    <row r="60" spans="2:27">
      <c r="O60" s="1" t="s">
        <v>61</v>
      </c>
      <c r="P60" s="3425" t="s">
        <v>5945</v>
      </c>
      <c r="Q60" s="3425" t="s">
        <v>320</v>
      </c>
      <c r="R60" s="3425" t="s">
        <v>5930</v>
      </c>
      <c r="S60" s="3425" t="s">
        <v>5921</v>
      </c>
      <c r="T60" s="3426">
        <v>15792.106</v>
      </c>
      <c r="U60" s="3427">
        <v>160024639</v>
      </c>
      <c r="V60" s="3426">
        <v>399225.315</v>
      </c>
      <c r="W60" s="3427">
        <v>3427479164</v>
      </c>
      <c r="X60" s="3426">
        <v>401199.3</v>
      </c>
      <c r="Y60" s="3427">
        <v>3460448981</v>
      </c>
      <c r="Z60" s="3426">
        <v>13818.120999999999</v>
      </c>
      <c r="AA60" s="3427">
        <v>127054822</v>
      </c>
    </row>
    <row r="61" spans="2:27">
      <c r="O61" s="1" t="s">
        <v>61</v>
      </c>
      <c r="P61" s="3425" t="s">
        <v>5947</v>
      </c>
      <c r="Q61" s="3425" t="s">
        <v>320</v>
      </c>
      <c r="R61" s="3425" t="s">
        <v>5949</v>
      </c>
      <c r="S61" s="3425" t="s">
        <v>5921</v>
      </c>
      <c r="T61" s="3425">
        <v>0</v>
      </c>
      <c r="U61" s="3425">
        <v>0</v>
      </c>
      <c r="V61" s="3426">
        <v>27658</v>
      </c>
      <c r="W61" s="3427">
        <v>89028013</v>
      </c>
      <c r="X61" s="3426">
        <v>27658</v>
      </c>
      <c r="Y61" s="3427">
        <v>89028013</v>
      </c>
      <c r="Z61" s="3425">
        <v>0</v>
      </c>
      <c r="AA61" s="3425">
        <v>0</v>
      </c>
    </row>
    <row r="62" spans="2:27">
      <c r="O62" s="1" t="s">
        <v>61</v>
      </c>
      <c r="P62" s="3425" t="s">
        <v>5948</v>
      </c>
      <c r="Q62" s="3425" t="s">
        <v>320</v>
      </c>
      <c r="R62" s="3425" t="s">
        <v>5951</v>
      </c>
      <c r="S62" s="3425" t="s">
        <v>5924</v>
      </c>
      <c r="T62" s="3425">
        <v>0</v>
      </c>
      <c r="U62" s="3425">
        <v>0</v>
      </c>
      <c r="V62" s="3426">
        <v>481577</v>
      </c>
      <c r="W62" s="3427">
        <v>7242705230</v>
      </c>
      <c r="X62" s="3426">
        <v>481577</v>
      </c>
      <c r="Y62" s="3427">
        <v>7242705230</v>
      </c>
      <c r="Z62" s="3425">
        <v>0</v>
      </c>
      <c r="AA62" s="3425">
        <v>0</v>
      </c>
    </row>
    <row r="63" spans="2:27">
      <c r="O63" s="1" t="s">
        <v>61</v>
      </c>
      <c r="P63" s="3425" t="s">
        <v>5950</v>
      </c>
      <c r="Q63" s="3425" t="s">
        <v>320</v>
      </c>
      <c r="R63" s="3425" t="s">
        <v>5953</v>
      </c>
      <c r="S63" s="3425" t="s">
        <v>5921</v>
      </c>
      <c r="T63" s="3426">
        <v>2349.7649999999999</v>
      </c>
      <c r="U63" s="3427">
        <v>86952755</v>
      </c>
      <c r="V63" s="3426">
        <v>35682.432000000001</v>
      </c>
      <c r="W63" s="3427">
        <v>949217921</v>
      </c>
      <c r="X63" s="3426">
        <v>35706.428999999996</v>
      </c>
      <c r="Y63" s="3427">
        <v>959182723</v>
      </c>
      <c r="Z63" s="3426">
        <v>2325.768</v>
      </c>
      <c r="AA63" s="3427">
        <v>76987953</v>
      </c>
    </row>
    <row r="64" spans="2:27">
      <c r="O64" s="1" t="s">
        <v>61</v>
      </c>
      <c r="P64" s="3425" t="s">
        <v>5954</v>
      </c>
      <c r="Q64" s="3425" t="s">
        <v>320</v>
      </c>
      <c r="R64" s="3425" t="s">
        <v>5955</v>
      </c>
      <c r="S64" s="3425" t="s">
        <v>5924</v>
      </c>
      <c r="T64" s="3425">
        <v>615</v>
      </c>
      <c r="U64" s="3427">
        <v>4067904</v>
      </c>
      <c r="V64" s="3426">
        <v>113693.11</v>
      </c>
      <c r="W64" s="3427">
        <v>4878996675</v>
      </c>
      <c r="X64" s="3426">
        <v>114005.58</v>
      </c>
      <c r="Y64" s="3427">
        <v>4880980007</v>
      </c>
      <c r="Z64" s="3425">
        <v>302.52999999999997</v>
      </c>
      <c r="AA64" s="3427">
        <v>2084572</v>
      </c>
    </row>
    <row r="65" spans="15:27">
      <c r="O65" s="1" t="s">
        <v>61</v>
      </c>
      <c r="P65" s="3425" t="s">
        <v>5956</v>
      </c>
      <c r="Q65" s="3425" t="s">
        <v>320</v>
      </c>
      <c r="R65" s="3425" t="s">
        <v>242</v>
      </c>
      <c r="S65" s="3425" t="s">
        <v>5924</v>
      </c>
      <c r="T65" s="3426">
        <v>27741.002</v>
      </c>
      <c r="U65" s="3427">
        <v>174718473</v>
      </c>
      <c r="V65" s="3426">
        <v>1452413.757</v>
      </c>
      <c r="W65" s="3427">
        <v>39391542251</v>
      </c>
      <c r="X65" s="3426">
        <v>1451422.7589999998</v>
      </c>
      <c r="Y65" s="3427">
        <v>39566260724</v>
      </c>
      <c r="Z65" s="3426">
        <v>28732</v>
      </c>
      <c r="AA65" s="3425">
        <v>0</v>
      </c>
    </row>
    <row r="66" spans="15:27">
      <c r="P66" s="3428"/>
      <c r="Q66" s="3428"/>
      <c r="R66" s="3428"/>
      <c r="S66" s="3428" t="s">
        <v>5916</v>
      </c>
      <c r="T66" s="3429">
        <v>16249732.165999999</v>
      </c>
      <c r="U66" s="3430">
        <v>134413814490</v>
      </c>
      <c r="V66" s="3429">
        <v>600008854.19000006</v>
      </c>
      <c r="W66" s="3430">
        <f>7307307653758-197952377</f>
        <v>7307109701381</v>
      </c>
      <c r="X66" s="3429">
        <v>600889086.398</v>
      </c>
      <c r="Y66" s="3430">
        <v>7268738436629</v>
      </c>
      <c r="Z66" s="3429">
        <v>15369499.958000001</v>
      </c>
      <c r="AA66" s="3430">
        <v>172785079242</v>
      </c>
    </row>
    <row r="67" spans="15:27">
      <c r="P67" s="3428"/>
      <c r="Q67" s="3428"/>
      <c r="R67" s="3428"/>
      <c r="S67" s="3428" t="s">
        <v>5921</v>
      </c>
      <c r="T67" s="3429">
        <v>14919743.163000001</v>
      </c>
      <c r="U67" s="3428"/>
      <c r="V67" s="3429">
        <v>776847402.85000002</v>
      </c>
      <c r="W67" s="3428"/>
      <c r="X67" s="3429">
        <v>773576486.66000009</v>
      </c>
      <c r="Y67" s="3428"/>
      <c r="Z67" s="3429">
        <v>18190659.353</v>
      </c>
      <c r="AA67" s="3428"/>
    </row>
    <row r="68" spans="15:27">
      <c r="P68" s="3428"/>
      <c r="Q68" s="3428"/>
      <c r="R68" s="3428"/>
      <c r="S68" s="3428" t="s">
        <v>5924</v>
      </c>
      <c r="T68" s="3429">
        <v>83099.168000000005</v>
      </c>
      <c r="U68" s="3428"/>
      <c r="V68" s="3429">
        <v>3289052.2489999998</v>
      </c>
      <c r="W68" s="3428"/>
      <c r="X68" s="3429">
        <v>3258020.29</v>
      </c>
      <c r="Y68" s="3428"/>
      <c r="Z68" s="3429">
        <v>114131.12699999999</v>
      </c>
      <c r="AA68" s="3428"/>
    </row>
    <row r="69" spans="15:27">
      <c r="P69" s="1" t="s">
        <v>5101</v>
      </c>
    </row>
    <row r="70" spans="15:27">
      <c r="P70" s="3423" t="s">
        <v>5904</v>
      </c>
      <c r="Q70" s="3423" t="s">
        <v>5931</v>
      </c>
      <c r="R70" s="3423" t="s">
        <v>5905</v>
      </c>
      <c r="S70" s="3423" t="s">
        <v>3537</v>
      </c>
      <c r="T70" s="3423" t="s">
        <v>5932</v>
      </c>
      <c r="U70" s="3423" t="s">
        <v>5933</v>
      </c>
      <c r="V70" s="3423" t="s">
        <v>5934</v>
      </c>
      <c r="W70" s="3423" t="s">
        <v>5935</v>
      </c>
      <c r="X70" s="3423" t="s">
        <v>5936</v>
      </c>
      <c r="Y70" s="3423" t="s">
        <v>5937</v>
      </c>
      <c r="Z70" s="3423" t="s">
        <v>5938</v>
      </c>
      <c r="AA70" s="3423" t="s">
        <v>5939</v>
      </c>
    </row>
    <row r="71" spans="15:27">
      <c r="O71" s="1" t="s">
        <v>5103</v>
      </c>
      <c r="P71" s="3424" t="s">
        <v>5914</v>
      </c>
      <c r="Q71" s="3424" t="s">
        <v>331</v>
      </c>
      <c r="R71" s="3425" t="s">
        <v>5915</v>
      </c>
      <c r="S71" s="3425" t="s">
        <v>5916</v>
      </c>
      <c r="T71" s="3426">
        <v>14716816.244999999</v>
      </c>
      <c r="U71" s="3427">
        <v>13932220428</v>
      </c>
      <c r="V71" s="3426">
        <v>464361115.13800001</v>
      </c>
      <c r="W71" s="3427">
        <v>412567351314</v>
      </c>
      <c r="X71" s="3426">
        <v>466670197.88700002</v>
      </c>
      <c r="Y71" s="3427">
        <v>415428640466</v>
      </c>
      <c r="Z71" s="3426">
        <v>12407733.495999999</v>
      </c>
      <c r="AA71" s="3427">
        <v>11070931276</v>
      </c>
    </row>
    <row r="72" spans="15:27">
      <c r="O72" s="1" t="s">
        <v>5103</v>
      </c>
      <c r="P72" s="3424" t="s">
        <v>5917</v>
      </c>
      <c r="Q72" s="3424" t="s">
        <v>330</v>
      </c>
      <c r="R72" s="3425" t="s">
        <v>5918</v>
      </c>
      <c r="S72" s="3425" t="s">
        <v>5916</v>
      </c>
      <c r="T72" s="3426">
        <v>497950.3</v>
      </c>
      <c r="U72" s="3427">
        <v>34083507256</v>
      </c>
      <c r="V72" s="3426">
        <v>24501549.600000001</v>
      </c>
      <c r="W72" s="3427">
        <v>1544107218178</v>
      </c>
      <c r="X72" s="3426">
        <v>24621537.600000001</v>
      </c>
      <c r="Y72" s="3427">
        <v>1554094186102</v>
      </c>
      <c r="Z72" s="3426">
        <v>377962.3</v>
      </c>
      <c r="AA72" s="3427">
        <v>24096539332</v>
      </c>
    </row>
    <row r="73" spans="15:27">
      <c r="O73" s="1" t="s">
        <v>5103</v>
      </c>
      <c r="P73" s="3424" t="s">
        <v>5940</v>
      </c>
      <c r="Q73" s="3424" t="s">
        <v>320</v>
      </c>
      <c r="R73" s="3425" t="s">
        <v>5941</v>
      </c>
      <c r="S73" s="3425" t="s">
        <v>5921</v>
      </c>
      <c r="T73" s="3425">
        <v>0</v>
      </c>
      <c r="U73" s="3425">
        <v>0</v>
      </c>
      <c r="V73" s="3426">
        <v>110676</v>
      </c>
      <c r="W73" s="3427">
        <v>436998306</v>
      </c>
      <c r="X73" s="3426">
        <v>72404</v>
      </c>
      <c r="Y73" s="3427">
        <v>436998306</v>
      </c>
      <c r="Z73" s="3426">
        <v>38272</v>
      </c>
      <c r="AA73" s="3425">
        <v>0</v>
      </c>
    </row>
    <row r="74" spans="15:27">
      <c r="O74" s="1" t="s">
        <v>5103</v>
      </c>
      <c r="P74" s="3424" t="s">
        <v>5919</v>
      </c>
      <c r="Q74" s="3424" t="s">
        <v>325</v>
      </c>
      <c r="R74" s="3425" t="s">
        <v>5920</v>
      </c>
      <c r="S74" s="3425" t="s">
        <v>5921</v>
      </c>
      <c r="T74" s="3426">
        <v>15543715.464</v>
      </c>
      <c r="U74" s="3427">
        <v>121510443496</v>
      </c>
      <c r="V74" s="3426">
        <v>453709220.54400003</v>
      </c>
      <c r="W74" s="3427">
        <v>4601184213800</v>
      </c>
      <c r="X74" s="3426">
        <v>455021160.34200001</v>
      </c>
      <c r="Y74" s="3427">
        <v>4571311652837</v>
      </c>
      <c r="Z74" s="3426">
        <v>14231775.665999999</v>
      </c>
      <c r="AA74" s="3427">
        <v>151383004459</v>
      </c>
    </row>
    <row r="75" spans="15:27">
      <c r="O75" s="1" t="s">
        <v>5103</v>
      </c>
      <c r="P75" s="3424">
        <v>139</v>
      </c>
      <c r="Q75" s="3424" t="s">
        <v>320</v>
      </c>
      <c r="R75" s="3425" t="s">
        <v>5942</v>
      </c>
      <c r="S75" s="3425" t="s">
        <v>5924</v>
      </c>
      <c r="T75" s="3426">
        <v>84935.724000000002</v>
      </c>
      <c r="U75" s="3425">
        <v>0</v>
      </c>
      <c r="V75" s="3426">
        <v>837553.39099999995</v>
      </c>
      <c r="W75" s="3427">
        <v>941964087</v>
      </c>
      <c r="X75" s="3426">
        <v>844549.83000000007</v>
      </c>
      <c r="Y75" s="3427">
        <v>941964087</v>
      </c>
      <c r="Z75" s="3426">
        <v>77939.285000000003</v>
      </c>
      <c r="AA75" s="3425">
        <v>0</v>
      </c>
    </row>
    <row r="76" spans="15:27">
      <c r="O76" s="1" t="s">
        <v>5103</v>
      </c>
      <c r="P76" s="3424">
        <v>154</v>
      </c>
      <c r="Q76" s="3424" t="s">
        <v>320</v>
      </c>
      <c r="R76" s="3425" t="s">
        <v>5943</v>
      </c>
      <c r="S76" s="3425" t="s">
        <v>5924</v>
      </c>
      <c r="T76" s="3425">
        <v>128.88900000000001</v>
      </c>
      <c r="U76" s="3427">
        <v>18926338</v>
      </c>
      <c r="V76" s="3426">
        <v>8127.866</v>
      </c>
      <c r="W76" s="3427">
        <v>1390553453</v>
      </c>
      <c r="X76" s="3426">
        <v>8081.7739999999994</v>
      </c>
      <c r="Y76" s="3427">
        <v>1383141490</v>
      </c>
      <c r="Z76" s="3425">
        <v>174.98099999999999</v>
      </c>
      <c r="AA76" s="3427">
        <v>26338301</v>
      </c>
    </row>
    <row r="77" spans="15:27">
      <c r="O77" s="1" t="s">
        <v>5103</v>
      </c>
      <c r="P77" s="3424">
        <v>160</v>
      </c>
      <c r="Q77" s="3424" t="s">
        <v>334</v>
      </c>
      <c r="R77" s="3425" t="s">
        <v>5923</v>
      </c>
      <c r="S77" s="3425" t="s">
        <v>5924</v>
      </c>
      <c r="T77" s="3425">
        <v>30.493000000000002</v>
      </c>
      <c r="U77" s="3427">
        <v>148114832</v>
      </c>
      <c r="V77" s="3425">
        <v>771.25300000000004</v>
      </c>
      <c r="W77" s="3427">
        <v>4790983032</v>
      </c>
      <c r="X77" s="3426">
        <v>780.51599999999996</v>
      </c>
      <c r="Y77" s="3427">
        <v>4843712149</v>
      </c>
      <c r="Z77" s="3425">
        <v>21.23</v>
      </c>
      <c r="AA77" s="3427">
        <v>95385715</v>
      </c>
    </row>
    <row r="78" spans="15:27">
      <c r="O78" s="1" t="s">
        <v>5103</v>
      </c>
      <c r="P78" s="3424">
        <v>172</v>
      </c>
      <c r="Q78" s="3424" t="s">
        <v>332</v>
      </c>
      <c r="R78" s="3425" t="s">
        <v>5926</v>
      </c>
      <c r="S78" s="3425" t="s">
        <v>5916</v>
      </c>
      <c r="T78" s="3426">
        <v>41649.411</v>
      </c>
      <c r="U78" s="3427">
        <v>1923317753</v>
      </c>
      <c r="V78" s="3426">
        <v>1188848.362</v>
      </c>
      <c r="W78" s="3427">
        <v>57981016748</v>
      </c>
      <c r="X78" s="3426">
        <v>1194460.6440000001</v>
      </c>
      <c r="Y78" s="3427">
        <v>57213249586</v>
      </c>
      <c r="Z78" s="3426">
        <v>36037.129000000001</v>
      </c>
      <c r="AA78" s="3427">
        <v>2691084915</v>
      </c>
    </row>
    <row r="79" spans="15:27">
      <c r="O79" s="1" t="s">
        <v>5103</v>
      </c>
      <c r="P79" s="3424">
        <v>180</v>
      </c>
      <c r="Q79" s="3424" t="s">
        <v>320</v>
      </c>
      <c r="R79" s="3425" t="s">
        <v>244</v>
      </c>
      <c r="S79" s="3425" t="s">
        <v>5921</v>
      </c>
      <c r="T79" s="3426">
        <v>2630800</v>
      </c>
      <c r="U79" s="3427">
        <v>678781578</v>
      </c>
      <c r="V79" s="3426">
        <v>118566800</v>
      </c>
      <c r="W79" s="3427">
        <v>23949515909</v>
      </c>
      <c r="X79" s="3426">
        <v>119383800</v>
      </c>
      <c r="Y79" s="3427">
        <v>24270197680</v>
      </c>
      <c r="Z79" s="3426">
        <v>1813800</v>
      </c>
      <c r="AA79" s="3427">
        <v>358099807</v>
      </c>
    </row>
    <row r="80" spans="15:27">
      <c r="O80" s="1" t="s">
        <v>5103</v>
      </c>
      <c r="P80" s="3424">
        <v>196</v>
      </c>
      <c r="Q80" s="3424" t="s">
        <v>333</v>
      </c>
      <c r="R80" s="3425" t="s">
        <v>5928</v>
      </c>
      <c r="S80" s="3425" t="s">
        <v>5916</v>
      </c>
      <c r="T80" s="3426">
        <v>8084.0020000000004</v>
      </c>
      <c r="U80" s="3427">
        <v>226744210</v>
      </c>
      <c r="V80" s="3426">
        <v>149121.06099999999</v>
      </c>
      <c r="W80" s="3427">
        <v>3597282070</v>
      </c>
      <c r="X80" s="3426">
        <v>153666.451</v>
      </c>
      <c r="Y80" s="3427">
        <v>3698142444</v>
      </c>
      <c r="Z80" s="3426">
        <v>3538.6120000000001</v>
      </c>
      <c r="AA80" s="3427">
        <v>125883836</v>
      </c>
    </row>
    <row r="81" spans="15:27">
      <c r="O81" s="1" t="s">
        <v>5103</v>
      </c>
      <c r="P81" s="3424">
        <v>197</v>
      </c>
      <c r="Q81" s="3424" t="s">
        <v>320</v>
      </c>
      <c r="R81" s="3425" t="s">
        <v>5946</v>
      </c>
      <c r="S81" s="3425" t="s">
        <v>5916</v>
      </c>
      <c r="T81" s="3427">
        <v>105000</v>
      </c>
      <c r="U81" s="3427">
        <v>56896004</v>
      </c>
      <c r="V81" s="3427">
        <v>2295500</v>
      </c>
      <c r="W81" s="3427">
        <v>1944852695</v>
      </c>
      <c r="X81" s="3426">
        <v>1699500</v>
      </c>
      <c r="Y81" s="3427">
        <v>1635756079</v>
      </c>
      <c r="Z81" s="3427">
        <v>701000</v>
      </c>
      <c r="AA81" s="3427">
        <v>365992620</v>
      </c>
    </row>
    <row r="82" spans="15:27">
      <c r="O82" s="1" t="s">
        <v>5103</v>
      </c>
      <c r="P82" s="3425" t="s">
        <v>5945</v>
      </c>
      <c r="Q82" s="3425" t="s">
        <v>320</v>
      </c>
      <c r="R82" s="3425" t="s">
        <v>5930</v>
      </c>
      <c r="S82" s="3425" t="s">
        <v>5921</v>
      </c>
      <c r="T82" s="3426">
        <v>13818.120999999999</v>
      </c>
      <c r="U82" s="3427">
        <v>127054822</v>
      </c>
      <c r="V82" s="3426">
        <v>281084.43699999998</v>
      </c>
      <c r="W82" s="3427">
        <v>2783500994</v>
      </c>
      <c r="X82" s="3426">
        <v>264117.875</v>
      </c>
      <c r="Y82" s="3427">
        <v>2631023281</v>
      </c>
      <c r="Z82" s="3426">
        <v>30784.683000000001</v>
      </c>
      <c r="AA82" s="3427">
        <v>279532535</v>
      </c>
    </row>
    <row r="83" spans="15:27">
      <c r="O83" s="1" t="s">
        <v>5103</v>
      </c>
      <c r="P83" s="3425" t="s">
        <v>5947</v>
      </c>
      <c r="Q83" s="3425" t="s">
        <v>320</v>
      </c>
      <c r="R83" s="3425" t="s">
        <v>5949</v>
      </c>
      <c r="S83" s="3425" t="s">
        <v>5921</v>
      </c>
      <c r="T83" s="3425">
        <v>0</v>
      </c>
      <c r="U83" s="3425">
        <v>0</v>
      </c>
      <c r="V83" s="3426">
        <v>40779</v>
      </c>
      <c r="W83" s="3427">
        <v>159762580</v>
      </c>
      <c r="X83" s="3426">
        <v>27939</v>
      </c>
      <c r="Y83" s="3427">
        <v>159762580</v>
      </c>
      <c r="Z83" s="3426">
        <v>12840</v>
      </c>
      <c r="AA83" s="3425">
        <v>0</v>
      </c>
    </row>
    <row r="84" spans="15:27">
      <c r="O84" s="1" t="s">
        <v>5103</v>
      </c>
      <c r="P84" s="3425" t="s">
        <v>5948</v>
      </c>
      <c r="Q84" s="3425" t="s">
        <v>320</v>
      </c>
      <c r="R84" s="3425" t="s">
        <v>5951</v>
      </c>
      <c r="S84" s="3425" t="s">
        <v>5924</v>
      </c>
      <c r="T84" s="3425">
        <v>0</v>
      </c>
      <c r="U84" s="3425">
        <v>0</v>
      </c>
      <c r="V84" s="3426">
        <v>286940</v>
      </c>
      <c r="W84" s="3427">
        <v>5080096465</v>
      </c>
      <c r="X84" s="3426">
        <v>286940</v>
      </c>
      <c r="Y84" s="3427">
        <v>5080096465</v>
      </c>
      <c r="Z84" s="3425">
        <v>0</v>
      </c>
      <c r="AA84" s="3425">
        <v>0</v>
      </c>
    </row>
    <row r="85" spans="15:27">
      <c r="O85" s="1" t="s">
        <v>5103</v>
      </c>
      <c r="P85" s="3425" t="s">
        <v>5950</v>
      </c>
      <c r="Q85" s="3425" t="s">
        <v>320</v>
      </c>
      <c r="R85" s="3425" t="s">
        <v>5953</v>
      </c>
      <c r="S85" s="3425" t="s">
        <v>5921</v>
      </c>
      <c r="T85" s="3426">
        <v>2325.768</v>
      </c>
      <c r="U85" s="3427">
        <v>76987953</v>
      </c>
      <c r="V85" s="3426">
        <v>23478.651999999998</v>
      </c>
      <c r="W85" s="3427">
        <v>781413587</v>
      </c>
      <c r="X85" s="3426">
        <v>21597.84</v>
      </c>
      <c r="Y85" s="3427">
        <v>858401540</v>
      </c>
      <c r="Z85" s="3426">
        <v>4206.58</v>
      </c>
      <c r="AA85" s="3425">
        <v>0</v>
      </c>
    </row>
    <row r="86" spans="15:27">
      <c r="O86" s="1" t="s">
        <v>5103</v>
      </c>
      <c r="P86" s="3425" t="s">
        <v>5954</v>
      </c>
      <c r="Q86" s="3425" t="s">
        <v>320</v>
      </c>
      <c r="R86" s="3425" t="s">
        <v>5955</v>
      </c>
      <c r="S86" s="3425" t="s">
        <v>5924</v>
      </c>
      <c r="T86" s="3425">
        <v>302.52999999999997</v>
      </c>
      <c r="U86" s="3427">
        <v>2084572</v>
      </c>
      <c r="V86" s="3426">
        <v>84454.3</v>
      </c>
      <c r="W86" s="3427">
        <v>3355707551</v>
      </c>
      <c r="X86" s="3426">
        <v>84169.82</v>
      </c>
      <c r="Y86" s="3427">
        <v>3353761547</v>
      </c>
      <c r="Z86" s="3425">
        <v>587.01</v>
      </c>
      <c r="AA86" s="3427">
        <v>4030576</v>
      </c>
    </row>
    <row r="87" spans="15:27">
      <c r="O87" s="1" t="s">
        <v>5103</v>
      </c>
      <c r="P87" s="3425" t="s">
        <v>5956</v>
      </c>
      <c r="Q87" s="3425" t="s">
        <v>320</v>
      </c>
      <c r="R87" s="3425" t="s">
        <v>242</v>
      </c>
      <c r="S87" s="3425" t="s">
        <v>5924</v>
      </c>
      <c r="T87" s="3426">
        <v>28732</v>
      </c>
      <c r="U87" s="3425">
        <v>0</v>
      </c>
      <c r="V87" s="3426">
        <v>943402.59699999995</v>
      </c>
      <c r="W87" s="3427">
        <v>25884940930</v>
      </c>
      <c r="X87" s="3426">
        <v>892450.30299999996</v>
      </c>
      <c r="Y87" s="3427">
        <v>23951381269</v>
      </c>
      <c r="Z87" s="3426">
        <v>79684.293999999994</v>
      </c>
      <c r="AA87" s="3427">
        <v>1933559661</v>
      </c>
    </row>
    <row r="88" spans="15:27">
      <c r="P88" s="3428"/>
      <c r="Q88" s="3428"/>
      <c r="R88" s="3428"/>
      <c r="S88" s="3428" t="s">
        <v>5916</v>
      </c>
      <c r="T88" s="3429">
        <v>15369499.958000001</v>
      </c>
      <c r="U88" s="3430">
        <v>172785079242</v>
      </c>
      <c r="V88" s="3429">
        <v>492496134.16100001</v>
      </c>
      <c r="W88" s="3430">
        <v>6690937371699</v>
      </c>
      <c r="X88" s="3429">
        <v>494339362.58200002</v>
      </c>
      <c r="Y88" s="3430">
        <v>6671292067908</v>
      </c>
      <c r="Z88" s="3429">
        <v>13526271.537</v>
      </c>
      <c r="AA88" s="3430">
        <v>192430383033</v>
      </c>
    </row>
    <row r="89" spans="15:27">
      <c r="P89" s="3428"/>
      <c r="Q89" s="3428"/>
      <c r="R89" s="3428"/>
      <c r="S89" s="3428" t="s">
        <v>5921</v>
      </c>
      <c r="T89" s="3429">
        <v>18190659.353</v>
      </c>
      <c r="U89" s="3428"/>
      <c r="V89" s="3429">
        <v>572732038.63300002</v>
      </c>
      <c r="W89" s="3428"/>
      <c r="X89" s="3429">
        <v>574791019.05700004</v>
      </c>
      <c r="Y89" s="3428"/>
      <c r="Z89" s="3429">
        <v>16131678.929</v>
      </c>
      <c r="AA89" s="3428"/>
    </row>
    <row r="90" spans="15:27">
      <c r="P90" s="3428"/>
      <c r="Q90" s="3428"/>
      <c r="R90" s="3428"/>
      <c r="S90" s="3428" t="s">
        <v>5924</v>
      </c>
      <c r="T90" s="3429">
        <v>114129.636</v>
      </c>
      <c r="U90" s="3428"/>
      <c r="V90" s="3429">
        <v>2161249.4070000001</v>
      </c>
      <c r="W90" s="3428"/>
      <c r="X90" s="3429">
        <v>2116972.2429999998</v>
      </c>
      <c r="Y90" s="3428"/>
      <c r="Z90" s="3429">
        <v>158406.79999999999</v>
      </c>
      <c r="AA90" s="3428"/>
    </row>
  </sheetData>
  <phoneticPr fontId="1"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A1358"/>
  <sheetViews>
    <sheetView topLeftCell="D1" workbookViewId="0">
      <selection activeCell="D1" sqref="D1"/>
    </sheetView>
  </sheetViews>
  <sheetFormatPr defaultColWidth="9" defaultRowHeight="12"/>
  <cols>
    <col min="1" max="1" width="9" style="1"/>
    <col min="2" max="2" width="9.75" style="1" bestFit="1" customWidth="1"/>
    <col min="3" max="3" width="9.75" style="1" customWidth="1"/>
    <col min="4" max="7" width="16.875" style="1" customWidth="1"/>
    <col min="8" max="8" width="1.625" style="1" customWidth="1"/>
    <col min="9" max="15" width="9" style="1"/>
    <col min="16" max="16" width="1.625" style="1" customWidth="1"/>
    <col min="17" max="17" width="14.125" style="1" customWidth="1"/>
    <col min="18" max="25" width="9" style="1" customWidth="1"/>
    <col min="26" max="16384" width="9" style="1"/>
  </cols>
  <sheetData>
    <row r="1" spans="1:27">
      <c r="A1" s="32" t="s">
        <v>3804</v>
      </c>
      <c r="B1" s="32"/>
      <c r="C1" s="32"/>
      <c r="P1" s="32" t="s">
        <v>3812</v>
      </c>
      <c r="Q1" s="32"/>
      <c r="R1" s="32"/>
    </row>
    <row r="2" spans="1:27">
      <c r="A2" s="204" t="s">
        <v>3805</v>
      </c>
      <c r="B2" s="204" t="s">
        <v>3810</v>
      </c>
      <c r="C2" s="204" t="s">
        <v>3811</v>
      </c>
      <c r="D2" s="204" t="s">
        <v>3806</v>
      </c>
      <c r="E2" s="204" t="s">
        <v>3807</v>
      </c>
      <c r="F2" s="204" t="s">
        <v>3808</v>
      </c>
      <c r="G2" s="204" t="s">
        <v>3809</v>
      </c>
      <c r="I2" s="204" t="s">
        <v>3810</v>
      </c>
      <c r="J2" s="204" t="s">
        <v>3811</v>
      </c>
      <c r="K2" s="204" t="s">
        <v>3806</v>
      </c>
      <c r="L2" s="204" t="s">
        <v>3807</v>
      </c>
      <c r="M2" s="204" t="s">
        <v>3808</v>
      </c>
      <c r="N2" s="204" t="s">
        <v>3809</v>
      </c>
      <c r="P2" s="2103" t="s">
        <v>3806</v>
      </c>
      <c r="Q2" s="204"/>
      <c r="R2" s="204">
        <v>2016</v>
      </c>
      <c r="S2" s="204">
        <v>2017</v>
      </c>
      <c r="T2" s="204">
        <v>2018</v>
      </c>
      <c r="U2" s="204">
        <v>2019</v>
      </c>
      <c r="V2" s="204" t="s">
        <v>3814</v>
      </c>
      <c r="W2" s="204">
        <v>2020</v>
      </c>
      <c r="X2" s="204" t="s">
        <v>3815</v>
      </c>
      <c r="Y2" s="204" t="s">
        <v>3825</v>
      </c>
    </row>
    <row r="3" spans="1:27">
      <c r="A3" s="2102">
        <v>44377</v>
      </c>
      <c r="B3" s="211">
        <f>YEAR(A3)</f>
        <v>2021</v>
      </c>
      <c r="C3" s="211">
        <f>MONTH(A3)</f>
        <v>6</v>
      </c>
      <c r="D3" s="205">
        <v>8142405000000</v>
      </c>
      <c r="E3" s="205">
        <v>140673810000</v>
      </c>
      <c r="F3" s="205">
        <v>194955762500</v>
      </c>
      <c r="G3" s="205">
        <v>1069126205700</v>
      </c>
      <c r="I3" s="210">
        <v>2016</v>
      </c>
      <c r="J3" s="210">
        <v>12</v>
      </c>
      <c r="K3" s="205">
        <f t="shared" ref="K3:N8" si="0">AVERAGEIFS(D$3:D$1358,$B$3:$B$1358,$I3,$C$3:$C$1358,$J3)/10^6</f>
        <v>9153297.8571428582</v>
      </c>
      <c r="L3" s="205">
        <f t="shared" si="0"/>
        <v>77593.887261904762</v>
      </c>
      <c r="M3" s="205">
        <f t="shared" si="0"/>
        <v>139170.60535714286</v>
      </c>
      <c r="N3" s="205">
        <f t="shared" si="0"/>
        <v>1179755.3793285715</v>
      </c>
      <c r="P3" s="32" t="s">
        <v>3802</v>
      </c>
      <c r="Q3" s="32"/>
      <c r="R3" s="112">
        <f>R4+R5+R6+R7</f>
        <v>982708.59387700004</v>
      </c>
      <c r="S3" s="112">
        <f t="shared" ref="S3:X3" si="1">S4+S5+S6+S7</f>
        <v>1122002.938239</v>
      </c>
      <c r="T3" s="112">
        <f t="shared" si="1"/>
        <v>1022700.83871</v>
      </c>
      <c r="U3" s="112">
        <f t="shared" si="1"/>
        <v>1084145.115892</v>
      </c>
      <c r="V3" s="112">
        <f t="shared" si="1"/>
        <v>509343.47894299997</v>
      </c>
      <c r="W3" s="112">
        <f t="shared" si="1"/>
        <v>1175596.2142030001</v>
      </c>
      <c r="X3" s="112">
        <f t="shared" si="1"/>
        <v>684834.93316500005</v>
      </c>
      <c r="Y3" s="112">
        <f>X3+W3-V3</f>
        <v>1351087.6684250003</v>
      </c>
      <c r="Z3" s="32"/>
      <c r="AA3" s="32"/>
    </row>
    <row r="4" spans="1:27">
      <c r="A4" s="2102">
        <v>44376</v>
      </c>
      <c r="B4" s="211">
        <f t="shared" ref="B4:B73" si="2">YEAR(A4)</f>
        <v>2021</v>
      </c>
      <c r="C4" s="211">
        <f t="shared" ref="C4:C73" si="3">MONTH(A4)</f>
        <v>6</v>
      </c>
      <c r="D4" s="205">
        <v>8236755000000</v>
      </c>
      <c r="E4" s="205">
        <v>143156289000</v>
      </c>
      <c r="F4" s="205">
        <v>197586350000</v>
      </c>
      <c r="G4" s="205">
        <v>1066323777900</v>
      </c>
      <c r="I4" s="210">
        <v>2017</v>
      </c>
      <c r="J4" s="210">
        <v>12</v>
      </c>
      <c r="K4" s="205">
        <f t="shared" si="0"/>
        <v>9058096.578947369</v>
      </c>
      <c r="L4" s="205">
        <f t="shared" si="0"/>
        <v>79649.830605263152</v>
      </c>
      <c r="M4" s="205">
        <f t="shared" si="0"/>
        <v>157773.7157894737</v>
      </c>
      <c r="N4" s="205">
        <f t="shared" si="0"/>
        <v>1249809.0507</v>
      </c>
      <c r="Q4" s="1" t="s">
        <v>2091</v>
      </c>
      <c r="R4" s="205">
        <f>764684587877/10^6</f>
        <v>764684.58787699998</v>
      </c>
      <c r="S4" s="205">
        <f>894752364239/10^6</f>
        <v>894752.36423900002</v>
      </c>
      <c r="T4" s="205">
        <f>764718763710/10^6</f>
        <v>764718.76370999997</v>
      </c>
      <c r="U4" s="205">
        <f>805328836892/10^6</f>
        <v>805328.83689200005</v>
      </c>
      <c r="V4" s="205">
        <f>368286091943/10^6</f>
        <v>368286.09194299998</v>
      </c>
      <c r="W4" s="205">
        <f>897387769203/10^6</f>
        <v>897387.769203</v>
      </c>
      <c r="X4" s="205">
        <f>543045651165/10^6</f>
        <v>543045.65116500005</v>
      </c>
      <c r="Y4" s="205">
        <f t="shared" ref="Y4:Y7" si="4">X4+W4-V4</f>
        <v>1072147.328425</v>
      </c>
    </row>
    <row r="5" spans="1:27">
      <c r="A5" s="2102">
        <v>44375</v>
      </c>
      <c r="B5" s="211">
        <f t="shared" si="2"/>
        <v>2021</v>
      </c>
      <c r="C5" s="211">
        <f t="shared" si="3"/>
        <v>6</v>
      </c>
      <c r="D5" s="205">
        <v>8302800000000</v>
      </c>
      <c r="E5" s="205">
        <v>146466261000</v>
      </c>
      <c r="F5" s="205">
        <v>200509225000</v>
      </c>
      <c r="G5" s="205">
        <v>1076132275200</v>
      </c>
      <c r="I5" s="210">
        <v>2018</v>
      </c>
      <c r="J5" s="210">
        <v>12</v>
      </c>
      <c r="K5" s="205">
        <f t="shared" si="0"/>
        <v>8353947.6315789474</v>
      </c>
      <c r="L5" s="205">
        <f t="shared" si="0"/>
        <v>74989.738447368421</v>
      </c>
      <c r="M5" s="205">
        <f t="shared" si="0"/>
        <v>166357.73815789475</v>
      </c>
      <c r="N5" s="205">
        <f t="shared" si="0"/>
        <v>779001.18030000001</v>
      </c>
      <c r="Q5" s="1" t="s">
        <v>3816</v>
      </c>
      <c r="R5" s="205">
        <f>218012927/1000</f>
        <v>218012.927</v>
      </c>
      <c r="S5" s="205">
        <f>227229564/1000</f>
        <v>227229.56400000001</v>
      </c>
      <c r="T5" s="205">
        <f>257883785/1000</f>
        <v>257883.785</v>
      </c>
      <c r="U5" s="205">
        <f>276017870/1000</f>
        <v>276017.87</v>
      </c>
      <c r="V5" s="205">
        <f>139599679/1000</f>
        <v>139599.679</v>
      </c>
      <c r="W5" s="205">
        <f>274985170/1000</f>
        <v>274985.17</v>
      </c>
      <c r="X5" s="205">
        <f>139936817/1000</f>
        <v>139936.81700000001</v>
      </c>
      <c r="Y5" s="205">
        <f t="shared" si="4"/>
        <v>275322.30799999996</v>
      </c>
    </row>
    <row r="6" spans="1:27">
      <c r="A6" s="2102">
        <v>44372</v>
      </c>
      <c r="B6" s="211">
        <f t="shared" si="2"/>
        <v>2021</v>
      </c>
      <c r="C6" s="211">
        <f t="shared" si="3"/>
        <v>6</v>
      </c>
      <c r="D6" s="205">
        <v>8397150000000</v>
      </c>
      <c r="E6" s="205">
        <v>138742993000</v>
      </c>
      <c r="F6" s="205">
        <v>198755500000</v>
      </c>
      <c r="G6" s="205">
        <v>1081737130800</v>
      </c>
      <c r="I6" s="210">
        <v>2019</v>
      </c>
      <c r="J6" s="210">
        <v>12</v>
      </c>
      <c r="K6" s="205">
        <f t="shared" si="0"/>
        <v>7927758.75</v>
      </c>
      <c r="L6" s="205">
        <f t="shared" si="0"/>
        <v>118710.766625</v>
      </c>
      <c r="M6" s="205">
        <f t="shared" si="0"/>
        <v>166983.84875</v>
      </c>
      <c r="N6" s="205">
        <f t="shared" si="0"/>
        <v>636501.41407499998</v>
      </c>
      <c r="Q6" s="1" t="s">
        <v>3817</v>
      </c>
      <c r="R6" s="205">
        <f>11079/1000</f>
        <v>11.079000000000001</v>
      </c>
      <c r="S6" s="205">
        <f>21010/1000</f>
        <v>21.01</v>
      </c>
      <c r="T6" s="205">
        <f>98290/1000</f>
        <v>98.29</v>
      </c>
      <c r="U6" s="205">
        <f>216542/1000</f>
        <v>216.542</v>
      </c>
      <c r="V6" s="205">
        <f>49189/1000</f>
        <v>49.189</v>
      </c>
      <c r="W6" s="205">
        <f>135266/1000</f>
        <v>135.26599999999999</v>
      </c>
      <c r="X6" s="205">
        <f>204140/1000</f>
        <v>204.14</v>
      </c>
      <c r="Y6" s="205">
        <f t="shared" si="4"/>
        <v>290.21699999999993</v>
      </c>
    </row>
    <row r="7" spans="1:27">
      <c r="A7" s="2102">
        <v>44371</v>
      </c>
      <c r="B7" s="211">
        <f t="shared" si="2"/>
        <v>2021</v>
      </c>
      <c r="C7" s="211">
        <f t="shared" si="3"/>
        <v>6</v>
      </c>
      <c r="D7" s="205">
        <v>8208450000000</v>
      </c>
      <c r="E7" s="205">
        <v>142880458000</v>
      </c>
      <c r="F7" s="205">
        <v>195832625000</v>
      </c>
      <c r="G7" s="205">
        <v>1056515280600</v>
      </c>
      <c r="I7" s="210">
        <v>2020</v>
      </c>
      <c r="J7" s="210">
        <v>12</v>
      </c>
      <c r="K7" s="205">
        <f t="shared" si="0"/>
        <v>7570015</v>
      </c>
      <c r="L7" s="205">
        <f t="shared" si="0"/>
        <v>108053.51054761905</v>
      </c>
      <c r="M7" s="205">
        <f t="shared" si="0"/>
        <v>175887.48273809525</v>
      </c>
      <c r="N7" s="205">
        <f t="shared" si="0"/>
        <v>788416.35439999995</v>
      </c>
      <c r="Q7" s="1" t="s">
        <v>3818</v>
      </c>
      <c r="R7" s="205">
        <v>0</v>
      </c>
      <c r="S7" s="205">
        <v>0</v>
      </c>
      <c r="T7" s="205">
        <v>0</v>
      </c>
      <c r="U7" s="205">
        <f>2581867/1000</f>
        <v>2581.8670000000002</v>
      </c>
      <c r="V7" s="205">
        <f>1408519/1000</f>
        <v>1408.519</v>
      </c>
      <c r="W7" s="205">
        <f>3088009/1000</f>
        <v>3088.009</v>
      </c>
      <c r="X7" s="205">
        <f>1648325/1000</f>
        <v>1648.325</v>
      </c>
      <c r="Y7" s="205">
        <f t="shared" si="4"/>
        <v>3327.8149999999996</v>
      </c>
    </row>
    <row r="8" spans="1:27">
      <c r="A8" s="2102">
        <v>44370</v>
      </c>
      <c r="B8" s="211">
        <f t="shared" si="2"/>
        <v>2021</v>
      </c>
      <c r="C8" s="211">
        <f t="shared" si="3"/>
        <v>6</v>
      </c>
      <c r="D8" s="205">
        <v>8123535000000</v>
      </c>
      <c r="E8" s="205">
        <v>134605528000</v>
      </c>
      <c r="F8" s="205">
        <v>191740600000</v>
      </c>
      <c r="G8" s="205">
        <v>1045305569400</v>
      </c>
      <c r="I8" s="212">
        <v>2021</v>
      </c>
      <c r="J8" s="212">
        <v>6</v>
      </c>
      <c r="K8" s="208">
        <f t="shared" si="0"/>
        <v>8239001.4285714291</v>
      </c>
      <c r="L8" s="208">
        <f t="shared" si="0"/>
        <v>135557.80169047619</v>
      </c>
      <c r="M8" s="208">
        <f t="shared" si="0"/>
        <v>201427.84285714285</v>
      </c>
      <c r="N8" s="208">
        <f t="shared" si="0"/>
        <v>1083672.1404714286</v>
      </c>
      <c r="P8" s="32" t="s">
        <v>3800</v>
      </c>
      <c r="Q8" s="32"/>
      <c r="R8" s="112">
        <f>R12+R13+R14-R9-R10-R11</f>
        <v>-1247118.6020770001</v>
      </c>
      <c r="S8" s="112">
        <f t="shared" ref="S8:X8" si="5">S12+S13+S14-S9-S10-S11</f>
        <v>-1895130.7701940001</v>
      </c>
      <c r="T8" s="112">
        <f t="shared" si="5"/>
        <v>-2395977.28419</v>
      </c>
      <c r="U8" s="112">
        <f t="shared" si="5"/>
        <v>-2583418.4579750001</v>
      </c>
      <c r="V8" s="112">
        <f t="shared" si="5"/>
        <v>-2375618.6299410001</v>
      </c>
      <c r="W8" s="112">
        <f t="shared" si="5"/>
        <v>-2045264.9105400001</v>
      </c>
      <c r="X8" s="112">
        <f t="shared" si="5"/>
        <v>-1710506.883924</v>
      </c>
      <c r="Y8" s="112"/>
      <c r="Z8" s="32"/>
    </row>
    <row r="9" spans="1:27">
      <c r="A9" s="2102">
        <v>44369</v>
      </c>
      <c r="B9" s="211">
        <f t="shared" si="2"/>
        <v>2021</v>
      </c>
      <c r="C9" s="211">
        <f t="shared" si="3"/>
        <v>6</v>
      </c>
      <c r="D9" s="205">
        <v>8114100000000</v>
      </c>
      <c r="E9" s="205">
        <v>136122598500</v>
      </c>
      <c r="F9" s="205">
        <v>193786612500</v>
      </c>
      <c r="G9" s="205">
        <v>1052311638900</v>
      </c>
      <c r="Q9" s="1" t="s">
        <v>3745</v>
      </c>
      <c r="R9" s="205">
        <f>309271070411/10^6</f>
        <v>309271.07041099999</v>
      </c>
      <c r="S9" s="205">
        <f>596887445584/10^6</f>
        <v>596887.44558399997</v>
      </c>
      <c r="T9" s="205">
        <f>656089868179/10^6</f>
        <v>656089.86817899998</v>
      </c>
      <c r="U9" s="205">
        <f>689518057370/10^6</f>
        <v>689518.05737000005</v>
      </c>
      <c r="V9" s="205">
        <f>868495530617/10^6</f>
        <v>868495.53061699995</v>
      </c>
      <c r="W9" s="205">
        <f>425567595232/10^6</f>
        <v>425567.59523199999</v>
      </c>
      <c r="X9" s="205">
        <f>478176550244/10^6</f>
        <v>478176.55024399998</v>
      </c>
      <c r="Y9" s="205"/>
    </row>
    <row r="10" spans="1:27">
      <c r="A10" s="2102">
        <v>44368</v>
      </c>
      <c r="B10" s="211">
        <f t="shared" si="2"/>
        <v>2021</v>
      </c>
      <c r="C10" s="211">
        <f t="shared" si="3"/>
        <v>6</v>
      </c>
      <c r="D10" s="205">
        <v>7991445000000</v>
      </c>
      <c r="E10" s="205">
        <v>131157640500</v>
      </c>
      <c r="F10" s="205">
        <v>194371187500</v>
      </c>
      <c r="G10" s="205">
        <v>1021484933100</v>
      </c>
      <c r="Q10" s="1" t="s">
        <v>3820</v>
      </c>
      <c r="R10" s="205">
        <f>70413848000/10^6</f>
        <v>70413.847999999998</v>
      </c>
      <c r="S10" s="205">
        <f>320553548224/10^6</f>
        <v>320553.54822400003</v>
      </c>
      <c r="T10" s="205">
        <f>320690594237/10^6</f>
        <v>320690.59423699998</v>
      </c>
      <c r="U10" s="205">
        <f>276940977367/10^6</f>
        <v>276940.97736700001</v>
      </c>
      <c r="V10" s="205">
        <f>402264860101/10^6</f>
        <v>402264.860101</v>
      </c>
      <c r="W10" s="205">
        <f>285538802045/10^6</f>
        <v>285538.80204500002</v>
      </c>
      <c r="X10" s="205">
        <f>187043878175/10^6</f>
        <v>187043.87817499999</v>
      </c>
      <c r="Y10" s="205"/>
    </row>
    <row r="11" spans="1:27">
      <c r="A11" s="2102">
        <v>44365</v>
      </c>
      <c r="B11" s="211">
        <f t="shared" si="2"/>
        <v>2021</v>
      </c>
      <c r="C11" s="211">
        <f t="shared" si="3"/>
        <v>6</v>
      </c>
      <c r="D11" s="205">
        <v>8189580000000</v>
      </c>
      <c r="E11" s="205">
        <v>134053866000</v>
      </c>
      <c r="F11" s="205">
        <v>197294062500</v>
      </c>
      <c r="G11" s="205">
        <v>1059317708400</v>
      </c>
      <c r="Q11" s="1" t="s">
        <v>3821</v>
      </c>
      <c r="R11" s="205">
        <f>915469709685/10^6</f>
        <v>915469.70968500001</v>
      </c>
      <c r="S11" s="205">
        <f>1011444873800/10^6</f>
        <v>1011444.8737999999</v>
      </c>
      <c r="T11" s="205">
        <f>1449730764628/10^6</f>
        <v>1449730.7646280001</v>
      </c>
      <c r="U11" s="205">
        <f>1654765343135/10^6</f>
        <v>1654765.343135</v>
      </c>
      <c r="V11" s="205">
        <f>1185486294165/10^6</f>
        <v>1185486.2941650001</v>
      </c>
      <c r="W11" s="205">
        <f>1455214350232/10^6</f>
        <v>1455214.350232</v>
      </c>
      <c r="X11" s="205">
        <f>1224053432287/10^6</f>
        <v>1224053.4322869999</v>
      </c>
      <c r="Y11" s="205"/>
    </row>
    <row r="12" spans="1:27">
      <c r="A12" s="2102">
        <v>44364</v>
      </c>
      <c r="B12" s="211">
        <f t="shared" si="2"/>
        <v>2021</v>
      </c>
      <c r="C12" s="211">
        <f t="shared" si="3"/>
        <v>6</v>
      </c>
      <c r="D12" s="205">
        <v>8199015000000</v>
      </c>
      <c r="E12" s="205">
        <v>133778035000</v>
      </c>
      <c r="F12" s="205">
        <v>197878637500</v>
      </c>
      <c r="G12" s="205">
        <v>1080335916900</v>
      </c>
      <c r="Q12" s="1" t="s">
        <v>3822</v>
      </c>
      <c r="R12" s="205">
        <f>24341799369/10^6</f>
        <v>24341.799369</v>
      </c>
      <c r="S12" s="205">
        <f>16913343274/10^6</f>
        <v>16913.343273999999</v>
      </c>
      <c r="T12" s="205">
        <f>18613887404/10^6</f>
        <v>18613.887404000001</v>
      </c>
      <c r="U12" s="205">
        <f>30592680077/10^6</f>
        <v>30592.680077000001</v>
      </c>
      <c r="V12" s="205">
        <f>73995066022/10^6</f>
        <v>73995.066021999999</v>
      </c>
      <c r="W12" s="205">
        <f>115420078569/10^6</f>
        <v>115420.078569</v>
      </c>
      <c r="X12" s="205">
        <f>134935826782/10^6</f>
        <v>134935.82678199999</v>
      </c>
      <c r="Y12" s="205"/>
    </row>
    <row r="13" spans="1:27">
      <c r="A13" s="2102">
        <v>44363</v>
      </c>
      <c r="B13" s="211">
        <f t="shared" si="2"/>
        <v>2021</v>
      </c>
      <c r="C13" s="211">
        <f t="shared" si="3"/>
        <v>6</v>
      </c>
      <c r="D13" s="205">
        <v>8283930000000</v>
      </c>
      <c r="E13" s="205">
        <v>135708852000</v>
      </c>
      <c r="F13" s="205">
        <v>201386087500</v>
      </c>
      <c r="G13" s="205">
        <v>1088743200300</v>
      </c>
      <c r="Q13" s="1" t="s">
        <v>3823</v>
      </c>
      <c r="R13" s="205">
        <f>6394849000/10^6</f>
        <v>6394.8490000000002</v>
      </c>
      <c r="S13" s="205">
        <f>5059206840/10^6</f>
        <v>5059.2068399999998</v>
      </c>
      <c r="T13" s="205">
        <f>4808126060/10^6</f>
        <v>4808.1260599999996</v>
      </c>
      <c r="U13" s="205">
        <f>1244062280/10^6</f>
        <v>1244.0622800000001</v>
      </c>
      <c r="V13" s="205">
        <f>1112254820/10^6</f>
        <v>1112.2548200000001</v>
      </c>
      <c r="W13" s="205">
        <f>916108800/10^6</f>
        <v>916.10879999999997</v>
      </c>
      <c r="X13" s="205">
        <f>2194958000/10^6</f>
        <v>2194.9580000000001</v>
      </c>
      <c r="Y13" s="205"/>
    </row>
    <row r="14" spans="1:27">
      <c r="A14" s="2102">
        <v>44362</v>
      </c>
      <c r="B14" s="211">
        <f t="shared" si="2"/>
        <v>2021</v>
      </c>
      <c r="C14" s="211">
        <f t="shared" si="3"/>
        <v>6</v>
      </c>
      <c r="D14" s="205">
        <v>8321670000000</v>
      </c>
      <c r="E14" s="205">
        <v>134881359000</v>
      </c>
      <c r="F14" s="205">
        <v>197001775000</v>
      </c>
      <c r="G14" s="205">
        <v>1094348055900</v>
      </c>
      <c r="Q14" s="1" t="s">
        <v>3824</v>
      </c>
      <c r="R14" s="205">
        <f>17299377650/10^6</f>
        <v>17299.377649999999</v>
      </c>
      <c r="S14" s="205">
        <f>11782547300/10^6</f>
        <v>11782.5473</v>
      </c>
      <c r="T14" s="205">
        <f>7111929390/10^6</f>
        <v>7111.9293900000002</v>
      </c>
      <c r="U14" s="205">
        <f>5969177540/10^6</f>
        <v>5969.1775399999997</v>
      </c>
      <c r="V14" s="205">
        <f>5520734100/10^6</f>
        <v>5520.7340999999997</v>
      </c>
      <c r="W14" s="205">
        <f>4719649600/10^6</f>
        <v>4719.6495999999997</v>
      </c>
      <c r="X14" s="205">
        <f>41636192000/10^6</f>
        <v>41636.192000000003</v>
      </c>
      <c r="Y14" s="205"/>
    </row>
    <row r="15" spans="1:27">
      <c r="A15" s="2102"/>
      <c r="B15" s="211"/>
      <c r="C15" s="211"/>
      <c r="D15" s="205"/>
      <c r="E15" s="205"/>
      <c r="F15" s="205"/>
      <c r="G15" s="205"/>
      <c r="P15" s="32" t="s">
        <v>3801</v>
      </c>
      <c r="Q15" s="32"/>
      <c r="R15" s="112">
        <f>146250679822/10^6</f>
        <v>146250.67982200001</v>
      </c>
      <c r="S15" s="112">
        <f>145334057135/10^6</f>
        <v>145334.05713500001</v>
      </c>
      <c r="T15" s="112">
        <f>124520133301/10^6</f>
        <v>124520.13330099999</v>
      </c>
      <c r="U15" s="112">
        <f>122965650076/10^6</f>
        <v>122965.65007600001</v>
      </c>
      <c r="V15" s="112">
        <f>115330115497/10^6</f>
        <v>115330.11549700001</v>
      </c>
      <c r="W15" s="112">
        <f>117247458363/10^6</f>
        <v>117247.458363</v>
      </c>
      <c r="X15" s="112">
        <f>110575800407/10^6</f>
        <v>110575.800407</v>
      </c>
      <c r="Y15" s="205"/>
    </row>
    <row r="16" spans="1:27">
      <c r="A16" s="2102"/>
      <c r="B16" s="211"/>
      <c r="C16" s="211"/>
      <c r="D16" s="205"/>
      <c r="E16" s="205"/>
      <c r="F16" s="205"/>
      <c r="G16" s="205"/>
      <c r="P16" s="32" t="s">
        <v>2096</v>
      </c>
      <c r="R16" s="112">
        <v>594584.34199999995</v>
      </c>
      <c r="S16" s="112">
        <v>634031.14300000004</v>
      </c>
      <c r="T16" s="112">
        <v>534814.93900000001</v>
      </c>
      <c r="U16" s="112">
        <v>638613.35199999996</v>
      </c>
      <c r="V16" s="112">
        <v>252896.56</v>
      </c>
      <c r="W16" s="112">
        <v>574828.67099999997</v>
      </c>
      <c r="X16" s="112">
        <v>406958.304</v>
      </c>
      <c r="Y16" s="112">
        <f t="shared" ref="Y16" si="6">X16+W16-V16</f>
        <v>728890.41500000004</v>
      </c>
    </row>
    <row r="17" spans="1:26">
      <c r="A17" s="2102"/>
      <c r="B17" s="211"/>
      <c r="C17" s="211"/>
      <c r="D17" s="205"/>
      <c r="E17" s="205"/>
      <c r="F17" s="205"/>
      <c r="G17" s="205"/>
      <c r="P17" s="67" t="s">
        <v>3753</v>
      </c>
      <c r="Q17" s="68"/>
      <c r="R17" s="111">
        <v>5662704.6940000001</v>
      </c>
      <c r="S17" s="111">
        <v>6105650.7549999999</v>
      </c>
      <c r="T17" s="111">
        <v>6374527.7750000004</v>
      </c>
      <c r="U17" s="111">
        <v>6838391.8949999996</v>
      </c>
      <c r="V17" s="111">
        <v>6871308.9199999999</v>
      </c>
      <c r="W17" s="111">
        <v>7087028.6859999998</v>
      </c>
      <c r="X17" s="111">
        <v>7252466.7769999998</v>
      </c>
      <c r="Y17" s="111"/>
    </row>
    <row r="18" spans="1:26">
      <c r="A18" s="2102">
        <v>44358</v>
      </c>
      <c r="B18" s="211">
        <f t="shared" si="2"/>
        <v>2021</v>
      </c>
      <c r="C18" s="211">
        <f t="shared" si="3"/>
        <v>6</v>
      </c>
      <c r="D18" s="205">
        <v>8236755000000</v>
      </c>
      <c r="E18" s="205">
        <v>135708852000</v>
      </c>
      <c r="F18" s="205">
        <v>201678375000</v>
      </c>
      <c r="G18" s="205">
        <v>1106958981000</v>
      </c>
      <c r="R18" s="205"/>
      <c r="S18" s="205"/>
      <c r="T18" s="205"/>
      <c r="U18" s="205"/>
      <c r="V18" s="205"/>
      <c r="W18" s="205"/>
      <c r="X18" s="205"/>
      <c r="Y18" s="205"/>
    </row>
    <row r="19" spans="1:26">
      <c r="A19" s="2102">
        <v>44357</v>
      </c>
      <c r="B19" s="211">
        <f t="shared" si="2"/>
        <v>2021</v>
      </c>
      <c r="C19" s="211">
        <f t="shared" si="3"/>
        <v>6</v>
      </c>
      <c r="D19" s="205">
        <v>8217885000000</v>
      </c>
      <c r="E19" s="205">
        <v>134053866000</v>
      </c>
      <c r="F19" s="205">
        <v>208693275000</v>
      </c>
      <c r="G19" s="205">
        <v>1078934703000</v>
      </c>
      <c r="P19" s="2103" t="s">
        <v>3807</v>
      </c>
      <c r="Q19" s="204"/>
      <c r="R19" s="204">
        <v>2016</v>
      </c>
      <c r="S19" s="204">
        <v>2017</v>
      </c>
      <c r="T19" s="204">
        <v>2018</v>
      </c>
      <c r="U19" s="204">
        <v>2019</v>
      </c>
      <c r="V19" s="204" t="s">
        <v>3814</v>
      </c>
      <c r="W19" s="204">
        <v>2020</v>
      </c>
      <c r="X19" s="204" t="s">
        <v>3815</v>
      </c>
      <c r="Y19" s="204" t="s">
        <v>3825</v>
      </c>
    </row>
    <row r="20" spans="1:26">
      <c r="A20" s="2102">
        <v>44356</v>
      </c>
      <c r="B20" s="211">
        <f t="shared" si="2"/>
        <v>2021</v>
      </c>
      <c r="C20" s="211">
        <f t="shared" si="3"/>
        <v>6</v>
      </c>
      <c r="D20" s="205">
        <v>8114100000000</v>
      </c>
      <c r="E20" s="205">
        <v>132950542000</v>
      </c>
      <c r="F20" s="205">
        <v>207524125000</v>
      </c>
      <c r="G20" s="205">
        <v>1077533489100</v>
      </c>
      <c r="O20" s="32"/>
      <c r="P20" s="32" t="s">
        <v>3802</v>
      </c>
      <c r="Q20" s="32"/>
      <c r="R20" s="112">
        <f>R21+R22+R23+R24</f>
        <v>19933.124523999995</v>
      </c>
      <c r="S20" s="112">
        <f t="shared" ref="S20:X20" si="7">S21+S22+S23+S24</f>
        <v>18885.102318999998</v>
      </c>
      <c r="T20" s="112">
        <f t="shared" si="7"/>
        <v>20564.675055</v>
      </c>
      <c r="U20" s="112">
        <f t="shared" si="7"/>
        <v>14956.233948999999</v>
      </c>
      <c r="V20" s="112">
        <f t="shared" si="7"/>
        <v>10362.376328</v>
      </c>
      <c r="W20" s="112">
        <f t="shared" si="7"/>
        <v>20905.856000000003</v>
      </c>
      <c r="X20" s="112">
        <f t="shared" si="7"/>
        <v>15098.766117999998</v>
      </c>
      <c r="Y20" s="112">
        <f t="shared" ref="Y20:Y23" si="8">X20+W20-V20</f>
        <v>25642.245790000001</v>
      </c>
      <c r="Z20" s="32"/>
    </row>
    <row r="21" spans="1:26">
      <c r="A21" s="2102">
        <v>44355</v>
      </c>
      <c r="B21" s="211">
        <f t="shared" si="2"/>
        <v>2021</v>
      </c>
      <c r="C21" s="211">
        <f t="shared" si="3"/>
        <v>6</v>
      </c>
      <c r="D21" s="205">
        <v>8227320000000</v>
      </c>
      <c r="E21" s="205">
        <v>133088457500</v>
      </c>
      <c r="F21" s="205">
        <v>207816412500</v>
      </c>
      <c r="G21" s="205">
        <v>1095749269800</v>
      </c>
      <c r="Q21" s="1" t="s">
        <v>2091</v>
      </c>
      <c r="R21" s="205">
        <v>8480.0645239999994</v>
      </c>
      <c r="S21" s="205">
        <v>7351.8073189999996</v>
      </c>
      <c r="T21" s="205">
        <v>8796.8830550000002</v>
      </c>
      <c r="U21" s="205">
        <v>3869.5129489999999</v>
      </c>
      <c r="V21" s="205">
        <v>5111.0173279999999</v>
      </c>
      <c r="W21" s="205">
        <v>10798.42</v>
      </c>
      <c r="X21" s="205">
        <v>10225.935117999999</v>
      </c>
      <c r="Y21" s="205">
        <f t="shared" si="8"/>
        <v>15913.33779</v>
      </c>
    </row>
    <row r="22" spans="1:26">
      <c r="A22" s="2102">
        <v>44354</v>
      </c>
      <c r="B22" s="211">
        <f t="shared" si="2"/>
        <v>2021</v>
      </c>
      <c r="C22" s="211">
        <f t="shared" si="3"/>
        <v>6</v>
      </c>
      <c r="D22" s="205">
        <v>8236755000000</v>
      </c>
      <c r="E22" s="205">
        <v>134053866000</v>
      </c>
      <c r="F22" s="205">
        <v>207816412500</v>
      </c>
      <c r="G22" s="205">
        <v>1092946842000</v>
      </c>
      <c r="Q22" s="1" t="s">
        <v>3816</v>
      </c>
      <c r="R22" s="205">
        <v>11122.263999999999</v>
      </c>
      <c r="S22" s="205">
        <v>11247.49</v>
      </c>
      <c r="T22" s="205">
        <v>11463.441000000001</v>
      </c>
      <c r="U22" s="205">
        <v>10651.862999999999</v>
      </c>
      <c r="V22" s="205">
        <v>5026.2299999999996</v>
      </c>
      <c r="W22" s="205">
        <v>9693.3529999999992</v>
      </c>
      <c r="X22" s="205">
        <v>4650.1459999999997</v>
      </c>
      <c r="Y22" s="205">
        <f t="shared" si="8"/>
        <v>9317.2690000000002</v>
      </c>
    </row>
    <row r="23" spans="1:26">
      <c r="A23" s="2102">
        <v>44351</v>
      </c>
      <c r="B23" s="211">
        <f t="shared" si="2"/>
        <v>2021</v>
      </c>
      <c r="C23" s="211">
        <f t="shared" si="3"/>
        <v>6</v>
      </c>
      <c r="D23" s="205">
        <v>8302800000000</v>
      </c>
      <c r="E23" s="205">
        <v>133364288500</v>
      </c>
      <c r="F23" s="205">
        <v>211908437500</v>
      </c>
      <c r="G23" s="205">
        <v>1116767478300</v>
      </c>
      <c r="Q23" s="1" t="s">
        <v>3817</v>
      </c>
      <c r="R23" s="205">
        <v>330.79599999999999</v>
      </c>
      <c r="S23" s="205">
        <v>285.80500000000001</v>
      </c>
      <c r="T23" s="205">
        <v>304.351</v>
      </c>
      <c r="U23" s="205">
        <v>271.46699999999998</v>
      </c>
      <c r="V23" s="205">
        <v>151.04499999999999</v>
      </c>
      <c r="W23" s="205">
        <v>275.95299999999997</v>
      </c>
      <c r="X23" s="205">
        <v>143.84399999999999</v>
      </c>
      <c r="Y23" s="205">
        <f t="shared" si="8"/>
        <v>268.75199999999995</v>
      </c>
    </row>
    <row r="24" spans="1:26">
      <c r="A24" s="2102">
        <v>44350</v>
      </c>
      <c r="B24" s="211">
        <f t="shared" si="2"/>
        <v>2021</v>
      </c>
      <c r="C24" s="211">
        <f t="shared" si="3"/>
        <v>6</v>
      </c>
      <c r="D24" s="205">
        <v>8321670000000</v>
      </c>
      <c r="E24" s="205">
        <v>132812626500</v>
      </c>
      <c r="F24" s="205">
        <v>214246737500</v>
      </c>
      <c r="G24" s="205">
        <v>1125174761700</v>
      </c>
      <c r="Q24" s="1" t="s">
        <v>3818</v>
      </c>
      <c r="R24" s="205">
        <v>0</v>
      </c>
      <c r="S24" s="205">
        <v>0</v>
      </c>
      <c r="T24" s="205">
        <v>0</v>
      </c>
      <c r="U24" s="205">
        <v>163.39099999999999</v>
      </c>
      <c r="V24" s="205">
        <v>74.084000000000003</v>
      </c>
      <c r="W24" s="205">
        <v>138.13</v>
      </c>
      <c r="X24" s="205">
        <v>78.840999999999994</v>
      </c>
      <c r="Y24" s="205">
        <f>X24+W24-V24</f>
        <v>142.887</v>
      </c>
    </row>
    <row r="25" spans="1:26">
      <c r="A25" s="2102">
        <v>44349</v>
      </c>
      <c r="B25" s="211">
        <f t="shared" si="2"/>
        <v>2021</v>
      </c>
      <c r="C25" s="211">
        <f t="shared" si="3"/>
        <v>6</v>
      </c>
      <c r="D25" s="205">
        <v>8406585000000</v>
      </c>
      <c r="E25" s="205">
        <v>128813077000</v>
      </c>
      <c r="F25" s="205">
        <v>205478112500</v>
      </c>
      <c r="G25" s="205">
        <v>1137785686800</v>
      </c>
      <c r="O25" s="32"/>
      <c r="P25" s="32" t="s">
        <v>3800</v>
      </c>
      <c r="Q25" s="32"/>
      <c r="R25" s="112">
        <f>R29+R30-R26-R27-R28</f>
        <v>46095.456855999997</v>
      </c>
      <c r="S25" s="112">
        <f t="shared" ref="S25:T25" si="9">S29+S30-S26-S27-S28</f>
        <v>30205.335023</v>
      </c>
      <c r="T25" s="112">
        <f t="shared" si="9"/>
        <v>35037.038175000002</v>
      </c>
      <c r="U25" s="112">
        <f t="shared" ref="U25" si="10">U29+U30-U26-U27-U28</f>
        <v>-845.61645299999873</v>
      </c>
      <c r="V25" s="112"/>
      <c r="W25" s="112">
        <f t="shared" ref="W25:X25" si="11">W29+W30-W26-W27-W28</f>
        <v>-15479.042018</v>
      </c>
      <c r="X25" s="112">
        <f t="shared" si="11"/>
        <v>11654.045863999998</v>
      </c>
      <c r="Y25" s="112"/>
      <c r="Z25" s="32"/>
    </row>
    <row r="26" spans="1:26">
      <c r="A26" s="2102">
        <v>44348</v>
      </c>
      <c r="B26" s="211">
        <f t="shared" si="2"/>
        <v>2021</v>
      </c>
      <c r="C26" s="211">
        <f t="shared" si="3"/>
        <v>6</v>
      </c>
      <c r="D26" s="205">
        <v>8444325000000</v>
      </c>
      <c r="E26" s="205">
        <v>129640570000</v>
      </c>
      <c r="F26" s="205">
        <v>203724387500</v>
      </c>
      <c r="G26" s="205">
        <v>1133582045100</v>
      </c>
      <c r="Q26" s="1" t="s">
        <v>3745</v>
      </c>
      <c r="R26" s="205">
        <v>17036.539882000001</v>
      </c>
      <c r="S26" s="205">
        <v>12049.674977000001</v>
      </c>
      <c r="T26" s="205">
        <v>6949.8369860000003</v>
      </c>
      <c r="U26" s="205">
        <v>16558.216453000001</v>
      </c>
      <c r="V26" s="205">
        <v>12978.297334000001</v>
      </c>
      <c r="W26" s="205">
        <v>17417.057018</v>
      </c>
      <c r="X26" s="205">
        <v>21311.715692000002</v>
      </c>
      <c r="Y26" s="205"/>
    </row>
    <row r="27" spans="1:26">
      <c r="A27" s="2102">
        <v>44347</v>
      </c>
      <c r="B27" s="211">
        <f t="shared" si="2"/>
        <v>2021</v>
      </c>
      <c r="C27" s="211">
        <f t="shared" si="3"/>
        <v>5</v>
      </c>
      <c r="D27" s="205">
        <v>8519805000000</v>
      </c>
      <c r="E27" s="205">
        <v>127985584000</v>
      </c>
      <c r="F27" s="205">
        <v>199632362500</v>
      </c>
      <c r="G27" s="205">
        <v>1126575975600</v>
      </c>
      <c r="Q27" s="1" t="s">
        <v>3820</v>
      </c>
      <c r="R27" s="205">
        <v>21.614999999999998</v>
      </c>
      <c r="S27" s="205">
        <v>524.6</v>
      </c>
      <c r="T27" s="205">
        <v>1143.241763</v>
      </c>
      <c r="U27" s="205">
        <v>27662.38</v>
      </c>
      <c r="V27" s="205">
        <v>32768.673009999999</v>
      </c>
      <c r="W27" s="205">
        <v>35061.985000000001</v>
      </c>
      <c r="X27" s="205">
        <v>424.23844400000002</v>
      </c>
      <c r="Y27" s="205"/>
    </row>
    <row r="28" spans="1:26">
      <c r="A28" s="2102">
        <v>44344</v>
      </c>
      <c r="B28" s="211">
        <f t="shared" si="2"/>
        <v>2021</v>
      </c>
      <c r="C28" s="211">
        <f t="shared" si="3"/>
        <v>5</v>
      </c>
      <c r="D28" s="205">
        <v>8699070000000</v>
      </c>
      <c r="E28" s="205">
        <v>127847668500</v>
      </c>
      <c r="F28" s="205">
        <v>199047787500</v>
      </c>
      <c r="G28" s="205">
        <v>1133582045100</v>
      </c>
      <c r="Q28" s="1" t="s">
        <v>3826</v>
      </c>
      <c r="R28" s="205">
        <v>0</v>
      </c>
      <c r="S28" s="205">
        <v>0</v>
      </c>
      <c r="T28" s="205">
        <v>1698.0483449999999</v>
      </c>
      <c r="U28" s="205">
        <v>0</v>
      </c>
      <c r="V28" s="205">
        <v>0</v>
      </c>
      <c r="W28" s="205">
        <v>0</v>
      </c>
      <c r="X28" s="205">
        <v>0</v>
      </c>
      <c r="Y28" s="205"/>
    </row>
    <row r="29" spans="1:26">
      <c r="A29" s="2102">
        <v>44343</v>
      </c>
      <c r="B29" s="211">
        <f t="shared" si="2"/>
        <v>2021</v>
      </c>
      <c r="C29" s="211">
        <f t="shared" si="3"/>
        <v>5</v>
      </c>
      <c r="D29" s="205">
        <v>8519805000000</v>
      </c>
      <c r="E29" s="205">
        <v>127985584000</v>
      </c>
      <c r="F29" s="205">
        <v>199924650000</v>
      </c>
      <c r="G29" s="205">
        <v>1095749269800</v>
      </c>
      <c r="Q29" s="1" t="s">
        <v>3822</v>
      </c>
      <c r="R29" s="205">
        <v>47274.001737999999</v>
      </c>
      <c r="S29" s="205">
        <v>26104.67</v>
      </c>
      <c r="T29" s="205">
        <v>42453.185269000001</v>
      </c>
      <c r="U29" s="205">
        <v>42966.65</v>
      </c>
      <c r="V29" s="205">
        <v>41000</v>
      </c>
      <c r="W29" s="205">
        <v>30000</v>
      </c>
      <c r="X29" s="205">
        <v>33390</v>
      </c>
      <c r="Y29" s="205"/>
    </row>
    <row r="30" spans="1:26">
      <c r="A30" s="2102">
        <v>44342</v>
      </c>
      <c r="B30" s="211">
        <f t="shared" si="2"/>
        <v>2021</v>
      </c>
      <c r="C30" s="211">
        <f t="shared" si="3"/>
        <v>5</v>
      </c>
      <c r="D30" s="205">
        <v>8548110000000</v>
      </c>
      <c r="E30" s="205">
        <v>124675612000</v>
      </c>
      <c r="F30" s="205">
        <v>198463212500</v>
      </c>
      <c r="G30" s="205">
        <v>1088743200300</v>
      </c>
      <c r="Q30" s="1" t="s">
        <v>3824</v>
      </c>
      <c r="R30" s="205">
        <v>15879.61</v>
      </c>
      <c r="S30" s="205">
        <v>16674.939999999999</v>
      </c>
      <c r="T30" s="205">
        <v>2374.98</v>
      </c>
      <c r="U30" s="205">
        <v>408.33</v>
      </c>
      <c r="V30" s="205">
        <v>0</v>
      </c>
      <c r="W30" s="205">
        <v>7000</v>
      </c>
      <c r="X30" s="205">
        <v>0</v>
      </c>
      <c r="Y30" s="205"/>
    </row>
    <row r="31" spans="1:26">
      <c r="A31" s="2102"/>
      <c r="B31" s="211"/>
      <c r="C31" s="211"/>
      <c r="D31" s="205"/>
      <c r="E31" s="205"/>
      <c r="F31" s="205"/>
      <c r="G31" s="205"/>
      <c r="P31" s="32" t="s">
        <v>3801</v>
      </c>
      <c r="Q31" s="32"/>
      <c r="R31" s="112">
        <v>54968.875700999997</v>
      </c>
      <c r="S31" s="112">
        <v>56152.982565999999</v>
      </c>
      <c r="T31" s="112">
        <v>62282.806766000002</v>
      </c>
      <c r="U31" s="112">
        <v>69172.514395000006</v>
      </c>
      <c r="V31" s="112">
        <v>66979.645369000005</v>
      </c>
      <c r="W31" s="112">
        <v>72206.666882999998</v>
      </c>
      <c r="X31" s="112">
        <v>77254.845172999994</v>
      </c>
      <c r="Y31" s="112"/>
    </row>
    <row r="32" spans="1:26">
      <c r="A32" s="2102"/>
      <c r="B32" s="211"/>
      <c r="C32" s="211"/>
      <c r="D32" s="205"/>
      <c r="E32" s="205"/>
      <c r="F32" s="205"/>
      <c r="G32" s="205"/>
      <c r="P32" s="32" t="s">
        <v>2096</v>
      </c>
      <c r="R32" s="112">
        <v>5330.6639999999998</v>
      </c>
      <c r="S32" s="112">
        <v>6668.2780000000002</v>
      </c>
      <c r="T32" s="112">
        <v>5568.96</v>
      </c>
      <c r="U32" s="112">
        <v>9812.0859999999993</v>
      </c>
      <c r="V32" s="112">
        <v>5066.7860000000001</v>
      </c>
      <c r="W32" s="112">
        <v>9147.91</v>
      </c>
      <c r="X32" s="112">
        <v>9848.5329999999994</v>
      </c>
      <c r="Y32" s="112">
        <f t="shared" ref="Y32" si="12">X32+W32-V32</f>
        <v>13929.656999999999</v>
      </c>
    </row>
    <row r="33" spans="1:27">
      <c r="A33" s="2102">
        <v>44341</v>
      </c>
      <c r="B33" s="211">
        <f t="shared" si="2"/>
        <v>2021</v>
      </c>
      <c r="C33" s="211">
        <f t="shared" si="3"/>
        <v>5</v>
      </c>
      <c r="D33" s="205">
        <v>8765115000000</v>
      </c>
      <c r="E33" s="205">
        <v>123986034500</v>
      </c>
      <c r="F33" s="205">
        <v>199340075000</v>
      </c>
      <c r="G33" s="205">
        <v>1126575975600</v>
      </c>
      <c r="O33" s="32"/>
      <c r="P33" s="67" t="s">
        <v>3753</v>
      </c>
      <c r="Q33" s="68"/>
      <c r="R33" s="111">
        <v>166488.761</v>
      </c>
      <c r="S33" s="111">
        <v>170966.82</v>
      </c>
      <c r="T33" s="111">
        <v>192874.541</v>
      </c>
      <c r="U33" s="111">
        <v>202835.59899999999</v>
      </c>
      <c r="V33" s="111">
        <v>198658.27</v>
      </c>
      <c r="W33" s="111">
        <v>208736.64799999999</v>
      </c>
      <c r="X33" s="111">
        <v>218943.745</v>
      </c>
      <c r="Y33" s="111"/>
      <c r="Z33" s="32"/>
      <c r="AA33" s="32"/>
    </row>
    <row r="34" spans="1:27">
      <c r="A34" s="2102">
        <v>44340</v>
      </c>
      <c r="B34" s="211">
        <f t="shared" si="2"/>
        <v>2021</v>
      </c>
      <c r="C34" s="211">
        <f t="shared" si="3"/>
        <v>5</v>
      </c>
      <c r="D34" s="205">
        <v>8708505000000</v>
      </c>
      <c r="E34" s="205">
        <v>123296457000</v>
      </c>
      <c r="F34" s="205">
        <v>208400987500</v>
      </c>
      <c r="G34" s="205">
        <v>1120971120000</v>
      </c>
    </row>
    <row r="35" spans="1:27">
      <c r="A35" s="2102">
        <v>44337</v>
      </c>
      <c r="B35" s="211">
        <f t="shared" si="2"/>
        <v>2021</v>
      </c>
      <c r="C35" s="211">
        <f t="shared" si="3"/>
        <v>5</v>
      </c>
      <c r="D35" s="205">
        <v>8755680000000</v>
      </c>
      <c r="E35" s="205">
        <v>125089358500</v>
      </c>
      <c r="F35" s="205">
        <v>193202037500</v>
      </c>
      <c r="G35" s="205">
        <v>1146192970200</v>
      </c>
      <c r="P35" s="2103" t="s">
        <v>3808</v>
      </c>
      <c r="Q35" s="204"/>
      <c r="R35" s="204">
        <v>2016</v>
      </c>
      <c r="S35" s="204">
        <v>2017</v>
      </c>
      <c r="T35" s="204">
        <v>2018</v>
      </c>
      <c r="U35" s="204">
        <v>2019</v>
      </c>
      <c r="V35" s="204" t="s">
        <v>3814</v>
      </c>
      <c r="W35" s="204">
        <v>2020</v>
      </c>
      <c r="X35" s="204" t="s">
        <v>3815</v>
      </c>
      <c r="Y35" s="204" t="s">
        <v>3825</v>
      </c>
    </row>
    <row r="36" spans="1:27">
      <c r="A36" s="2102">
        <v>44336</v>
      </c>
      <c r="B36" s="211">
        <f t="shared" si="2"/>
        <v>2021</v>
      </c>
      <c r="C36" s="211">
        <f t="shared" si="3"/>
        <v>5</v>
      </c>
      <c r="D36" s="205">
        <v>8831160000000</v>
      </c>
      <c r="E36" s="205">
        <v>127020175500</v>
      </c>
      <c r="F36" s="205">
        <v>198170925000</v>
      </c>
      <c r="G36" s="205">
        <v>1164408750900</v>
      </c>
      <c r="O36" s="32"/>
      <c r="P36" s="32" t="s">
        <v>3802</v>
      </c>
      <c r="Q36" s="32"/>
      <c r="R36" s="112">
        <f>R37+R38+R39+R40</f>
        <v>39606.495447000001</v>
      </c>
      <c r="S36" s="112">
        <f t="shared" ref="S36:X36" si="13">S37+S38+S39+S40</f>
        <v>43960.602439000002</v>
      </c>
      <c r="T36" s="112">
        <f t="shared" si="13"/>
        <v>45744.556489000002</v>
      </c>
      <c r="U36" s="112">
        <f t="shared" si="13"/>
        <v>33092.913031999997</v>
      </c>
      <c r="V36" s="112">
        <f t="shared" si="13"/>
        <v>18179.969779999999</v>
      </c>
      <c r="W36" s="112">
        <f t="shared" si="13"/>
        <v>36625.341227999997</v>
      </c>
      <c r="X36" s="112">
        <f t="shared" si="13"/>
        <v>25655.807979999998</v>
      </c>
      <c r="Y36" s="112">
        <f t="shared" ref="Y36" si="14">X36+W36-V36</f>
        <v>44101.179427999996</v>
      </c>
      <c r="Z36" s="32"/>
    </row>
    <row r="37" spans="1:27">
      <c r="A37" s="2102">
        <v>44334</v>
      </c>
      <c r="B37" s="211">
        <f t="shared" si="2"/>
        <v>2021</v>
      </c>
      <c r="C37" s="211">
        <f t="shared" si="3"/>
        <v>5</v>
      </c>
      <c r="D37" s="205">
        <v>9010425000000</v>
      </c>
      <c r="E37" s="205">
        <v>128537246000</v>
      </c>
      <c r="F37" s="205">
        <v>197294062500</v>
      </c>
      <c r="G37" s="205">
        <v>1216253665200</v>
      </c>
      <c r="Q37" s="1" t="s">
        <v>2091</v>
      </c>
      <c r="R37" s="205">
        <v>12234.376447000001</v>
      </c>
      <c r="S37" s="205">
        <v>19588.309439000001</v>
      </c>
      <c r="T37" s="205">
        <v>23390.246489000001</v>
      </c>
      <c r="U37" s="205">
        <v>10773.793032</v>
      </c>
      <c r="V37" s="205">
        <v>7838.9347799999996</v>
      </c>
      <c r="W37" s="205">
        <v>15910.953228</v>
      </c>
      <c r="X37" s="205">
        <v>15670.38998</v>
      </c>
      <c r="Y37" s="205">
        <v>23742.408427999999</v>
      </c>
    </row>
    <row r="38" spans="1:27">
      <c r="A38" s="2102">
        <v>44333</v>
      </c>
      <c r="B38" s="211">
        <f t="shared" si="2"/>
        <v>2021</v>
      </c>
      <c r="C38" s="211">
        <f t="shared" si="3"/>
        <v>5</v>
      </c>
      <c r="D38" s="205">
        <v>8585850000000</v>
      </c>
      <c r="E38" s="205">
        <v>123848119000</v>
      </c>
      <c r="F38" s="205">
        <v>198755500000</v>
      </c>
      <c r="G38" s="205">
        <v>1195235456700</v>
      </c>
      <c r="Q38" s="1" t="s">
        <v>3816</v>
      </c>
      <c r="R38" s="205">
        <v>27372.118999999999</v>
      </c>
      <c r="S38" s="205">
        <v>22895.244999999999</v>
      </c>
      <c r="T38" s="205">
        <v>21871.743999999999</v>
      </c>
      <c r="U38" s="205">
        <v>21116.210999999999</v>
      </c>
      <c r="V38" s="205">
        <v>9863.6149999999998</v>
      </c>
      <c r="W38" s="205">
        <v>19541.888999999999</v>
      </c>
      <c r="X38" s="205">
        <v>9254.7690000000002</v>
      </c>
      <c r="Y38" s="205">
        <v>18933.042999999998</v>
      </c>
    </row>
    <row r="39" spans="1:27">
      <c r="A39" s="2102">
        <v>44330</v>
      </c>
      <c r="B39" s="211">
        <f t="shared" si="2"/>
        <v>2021</v>
      </c>
      <c r="C39" s="211">
        <f t="shared" si="3"/>
        <v>5</v>
      </c>
      <c r="D39" s="205">
        <v>8661330000000</v>
      </c>
      <c r="E39" s="205">
        <v>129088908000</v>
      </c>
      <c r="F39" s="205">
        <v>204601250000</v>
      </c>
      <c r="G39" s="205">
        <v>1220457306900</v>
      </c>
      <c r="Q39" s="1" t="s">
        <v>3817</v>
      </c>
      <c r="R39" s="205">
        <v>0</v>
      </c>
      <c r="S39" s="205">
        <v>1477.0479999999998</v>
      </c>
      <c r="T39" s="205">
        <v>482.56599999999997</v>
      </c>
      <c r="U39" s="205">
        <v>423.55900000000003</v>
      </c>
      <c r="V39" s="205">
        <v>222.26400000000001</v>
      </c>
      <c r="W39" s="205">
        <v>468.92599999999999</v>
      </c>
      <c r="X39" s="1">
        <v>342.6</v>
      </c>
      <c r="Y39" s="205">
        <v>589.26200000000006</v>
      </c>
    </row>
    <row r="40" spans="1:27">
      <c r="A40" s="2102">
        <v>44329</v>
      </c>
      <c r="B40" s="211">
        <f t="shared" si="2"/>
        <v>2021</v>
      </c>
      <c r="C40" s="211">
        <f t="shared" si="3"/>
        <v>5</v>
      </c>
      <c r="D40" s="205">
        <v>8859465000000</v>
      </c>
      <c r="E40" s="205">
        <v>131571387000</v>
      </c>
      <c r="F40" s="205">
        <v>205185825000</v>
      </c>
      <c r="G40" s="205">
        <v>1258290082200</v>
      </c>
      <c r="Q40" s="1" t="s">
        <v>3818</v>
      </c>
      <c r="R40" s="205">
        <v>0</v>
      </c>
      <c r="S40" s="205">
        <v>0</v>
      </c>
      <c r="T40" s="205">
        <v>0</v>
      </c>
      <c r="U40" s="205">
        <v>779.35</v>
      </c>
      <c r="V40" s="205">
        <v>255.15600000000001</v>
      </c>
      <c r="W40" s="205">
        <v>703.57299999999998</v>
      </c>
      <c r="X40" s="205">
        <v>388.04899999999998</v>
      </c>
      <c r="Y40" s="205">
        <v>836.46599999999989</v>
      </c>
    </row>
    <row r="41" spans="1:27">
      <c r="A41" s="2102">
        <v>44328</v>
      </c>
      <c r="B41" s="211">
        <f t="shared" si="2"/>
        <v>2021</v>
      </c>
      <c r="C41" s="211">
        <f t="shared" si="3"/>
        <v>5</v>
      </c>
      <c r="D41" s="205">
        <v>9029295000000</v>
      </c>
      <c r="E41" s="205">
        <v>131157640500</v>
      </c>
      <c r="F41" s="205">
        <v>208108700000</v>
      </c>
      <c r="G41" s="205">
        <v>1315739852100</v>
      </c>
      <c r="O41" s="32"/>
      <c r="P41" s="32" t="s">
        <v>3800</v>
      </c>
      <c r="Q41" s="32"/>
      <c r="R41" s="112">
        <f>R44+R45+R46+R47+R48-R42-R43</f>
        <v>122292.467622</v>
      </c>
      <c r="S41" s="112">
        <f t="shared" ref="S41:X41" si="15">S44+S45+S46+S47+S48-S42-S43</f>
        <v>99047.231061000013</v>
      </c>
      <c r="T41" s="112">
        <f t="shared" si="15"/>
        <v>106779.16685300002</v>
      </c>
      <c r="U41" s="112">
        <f t="shared" si="15"/>
        <v>19801.528775000013</v>
      </c>
      <c r="V41" s="112">
        <f t="shared" si="15"/>
        <v>20042.663665999993</v>
      </c>
      <c r="W41" s="112">
        <f t="shared" si="15"/>
        <v>11036.144618000006</v>
      </c>
      <c r="X41" s="112">
        <f t="shared" si="15"/>
        <v>-5259.6548570000014</v>
      </c>
      <c r="Y41" s="112"/>
      <c r="Z41" s="32"/>
    </row>
    <row r="42" spans="1:27">
      <c r="A42" s="2102">
        <v>44327</v>
      </c>
      <c r="B42" s="211">
        <f t="shared" si="2"/>
        <v>2021</v>
      </c>
      <c r="C42" s="211">
        <f t="shared" si="3"/>
        <v>5</v>
      </c>
      <c r="D42" s="205">
        <v>9085905000000</v>
      </c>
      <c r="E42" s="205">
        <v>128813077000</v>
      </c>
      <c r="F42" s="205">
        <v>210154712500</v>
      </c>
      <c r="G42" s="205">
        <v>1325548349400</v>
      </c>
      <c r="Q42" s="1" t="s">
        <v>3745</v>
      </c>
      <c r="R42" s="205">
        <v>35521.623373000002</v>
      </c>
      <c r="S42" s="205">
        <v>30970.712878999999</v>
      </c>
      <c r="T42" s="205">
        <v>21597.234527000001</v>
      </c>
      <c r="U42" s="205">
        <v>41304.294349999996</v>
      </c>
      <c r="V42" s="205">
        <v>40709.301839</v>
      </c>
      <c r="W42" s="205">
        <v>45856.520023999998</v>
      </c>
      <c r="X42" s="205">
        <v>53156.747803999999</v>
      </c>
      <c r="Y42" s="205"/>
    </row>
    <row r="43" spans="1:27">
      <c r="A43" s="2102">
        <v>44326</v>
      </c>
      <c r="B43" s="211">
        <f t="shared" si="2"/>
        <v>2021</v>
      </c>
      <c r="C43" s="211">
        <f t="shared" si="3"/>
        <v>5</v>
      </c>
      <c r="D43" s="205">
        <v>8944380000000</v>
      </c>
      <c r="E43" s="205">
        <v>128399330500</v>
      </c>
      <c r="F43" s="205">
        <v>208108700000</v>
      </c>
      <c r="G43" s="205">
        <v>1240074301500</v>
      </c>
      <c r="Q43" s="1" t="s">
        <v>3820</v>
      </c>
      <c r="R43" s="205">
        <v>3845.5962300000001</v>
      </c>
      <c r="S43" s="205">
        <v>4415.2224740000001</v>
      </c>
      <c r="T43" s="205">
        <v>3399.0827100000001</v>
      </c>
      <c r="U43" s="205">
        <v>49182.719152999998</v>
      </c>
      <c r="V43" s="205">
        <v>47331.060452999998</v>
      </c>
      <c r="W43" s="205">
        <v>42794.5818</v>
      </c>
      <c r="X43" s="205">
        <v>43495.402703</v>
      </c>
      <c r="Y43" s="205"/>
    </row>
    <row r="44" spans="1:27">
      <c r="A44" s="2102">
        <v>44323</v>
      </c>
      <c r="B44" s="211">
        <f t="shared" si="2"/>
        <v>2021</v>
      </c>
      <c r="C44" s="211">
        <f t="shared" si="3"/>
        <v>5</v>
      </c>
      <c r="D44" s="205">
        <v>8595285000000</v>
      </c>
      <c r="E44" s="205">
        <v>129088908000</v>
      </c>
      <c r="F44" s="205">
        <v>207231837500</v>
      </c>
      <c r="G44" s="205">
        <v>1167211178700</v>
      </c>
      <c r="Q44" s="1" t="s">
        <v>3822</v>
      </c>
      <c r="R44" s="205">
        <v>120792.112479</v>
      </c>
      <c r="S44" s="205">
        <v>94401.459921000001</v>
      </c>
      <c r="T44" s="205">
        <v>93413.323860000004</v>
      </c>
      <c r="U44" s="205">
        <v>80339.923987000002</v>
      </c>
      <c r="V44" s="205">
        <v>91123.111437</v>
      </c>
      <c r="W44" s="205">
        <v>77377.930210999999</v>
      </c>
      <c r="X44" s="205">
        <v>76795.999932999999</v>
      </c>
      <c r="Y44" s="205"/>
    </row>
    <row r="45" spans="1:27">
      <c r="A45" s="2102">
        <v>44322</v>
      </c>
      <c r="B45" s="211">
        <f t="shared" si="2"/>
        <v>2021</v>
      </c>
      <c r="C45" s="211">
        <f t="shared" si="3"/>
        <v>5</v>
      </c>
      <c r="D45" s="205">
        <v>8755680000000</v>
      </c>
      <c r="E45" s="205">
        <v>127020175500</v>
      </c>
      <c r="F45" s="205">
        <v>203724387500</v>
      </c>
      <c r="G45" s="205">
        <v>1156001467500</v>
      </c>
      <c r="Q45" s="1" t="s">
        <v>3823</v>
      </c>
      <c r="R45" s="205">
        <v>6153.7782660000003</v>
      </c>
      <c r="S45" s="205">
        <v>7274.67</v>
      </c>
      <c r="T45" s="205">
        <v>18398.150000000001</v>
      </c>
      <c r="U45" s="205">
        <v>14673.797103000001</v>
      </c>
      <c r="V45" s="205">
        <v>0</v>
      </c>
      <c r="W45" s="205">
        <v>10</v>
      </c>
      <c r="X45" s="205">
        <v>10</v>
      </c>
      <c r="Y45" s="205"/>
    </row>
    <row r="46" spans="1:27">
      <c r="A46" s="2102">
        <v>44320</v>
      </c>
      <c r="B46" s="211">
        <f t="shared" si="2"/>
        <v>2021</v>
      </c>
      <c r="C46" s="211">
        <f t="shared" si="3"/>
        <v>5</v>
      </c>
      <c r="D46" s="205">
        <v>8368845000000</v>
      </c>
      <c r="E46" s="205">
        <v>124537696500</v>
      </c>
      <c r="F46" s="205">
        <v>200509225000</v>
      </c>
      <c r="G46" s="205">
        <v>1063521350100</v>
      </c>
      <c r="Q46" s="1" t="s">
        <v>3827</v>
      </c>
      <c r="R46" s="205">
        <v>0</v>
      </c>
      <c r="S46" s="205">
        <v>0</v>
      </c>
      <c r="T46" s="205">
        <v>6969.4912270000004</v>
      </c>
      <c r="U46" s="205">
        <v>0</v>
      </c>
      <c r="V46" s="205">
        <v>0</v>
      </c>
      <c r="W46" s="205">
        <v>0</v>
      </c>
      <c r="X46" s="205">
        <v>0</v>
      </c>
      <c r="Y46" s="205"/>
    </row>
    <row r="47" spans="1:27">
      <c r="A47" s="2102">
        <v>44319</v>
      </c>
      <c r="B47" s="211">
        <f t="shared" si="2"/>
        <v>2021</v>
      </c>
      <c r="C47" s="211">
        <f t="shared" si="3"/>
        <v>5</v>
      </c>
      <c r="D47" s="205">
        <v>8349975000000</v>
      </c>
      <c r="E47" s="205">
        <v>121641471000</v>
      </c>
      <c r="F47" s="205">
        <v>199340075000</v>
      </c>
      <c r="G47" s="205">
        <v>1063521350100</v>
      </c>
      <c r="Q47" s="1" t="s">
        <v>3824</v>
      </c>
      <c r="R47" s="205">
        <v>28309.221733999999</v>
      </c>
      <c r="S47" s="205">
        <v>26757.036493</v>
      </c>
      <c r="T47" s="205">
        <v>12994.519002999999</v>
      </c>
      <c r="U47" s="205">
        <v>15274.821188</v>
      </c>
      <c r="V47" s="205">
        <v>16959.914520999999</v>
      </c>
      <c r="W47" s="205">
        <v>22299.316231000001</v>
      </c>
      <c r="X47" s="205">
        <v>14586.495717</v>
      </c>
      <c r="Y47" s="205"/>
    </row>
    <row r="48" spans="1:27">
      <c r="A48" s="2102">
        <v>44316</v>
      </c>
      <c r="B48" s="211">
        <f t="shared" si="2"/>
        <v>2021</v>
      </c>
      <c r="C48" s="211">
        <f t="shared" si="3"/>
        <v>4</v>
      </c>
      <c r="D48" s="205">
        <v>8416020000000</v>
      </c>
      <c r="E48" s="205">
        <v>123572288000</v>
      </c>
      <c r="F48" s="205">
        <v>201970662500</v>
      </c>
      <c r="G48" s="205">
        <v>1053712852800</v>
      </c>
      <c r="Q48" s="1" t="s">
        <v>3828</v>
      </c>
      <c r="R48" s="205">
        <v>6404.5747460000002</v>
      </c>
      <c r="S48" s="205">
        <v>6000</v>
      </c>
      <c r="T48" s="205">
        <v>0</v>
      </c>
      <c r="U48" s="205">
        <v>0</v>
      </c>
      <c r="V48" s="205">
        <v>0</v>
      </c>
      <c r="W48" s="205">
        <v>0</v>
      </c>
      <c r="X48" s="205">
        <v>0</v>
      </c>
      <c r="Y48" s="205"/>
    </row>
    <row r="49" spans="1:26">
      <c r="A49" s="2102">
        <v>44315</v>
      </c>
      <c r="B49" s="211">
        <f t="shared" si="2"/>
        <v>2021</v>
      </c>
      <c r="C49" s="211">
        <f t="shared" si="3"/>
        <v>4</v>
      </c>
      <c r="D49" s="205">
        <v>8576415000000</v>
      </c>
      <c r="E49" s="205">
        <v>127433922000</v>
      </c>
      <c r="F49" s="205">
        <v>198755500000</v>
      </c>
      <c r="G49" s="205">
        <v>1083138344700</v>
      </c>
      <c r="O49" s="32"/>
      <c r="P49" s="32" t="s">
        <v>3801</v>
      </c>
      <c r="Q49" s="32"/>
      <c r="R49" s="112">
        <v>77821.231318000006</v>
      </c>
      <c r="S49" s="112">
        <v>73083.826060000007</v>
      </c>
      <c r="T49" s="112">
        <v>83239.133419999998</v>
      </c>
      <c r="U49" s="112">
        <v>106761.394944</v>
      </c>
      <c r="V49" s="112">
        <v>106386.792698</v>
      </c>
      <c r="W49" s="112">
        <v>112720.658971</v>
      </c>
      <c r="X49" s="112">
        <v>116167.31183799999</v>
      </c>
      <c r="Y49" s="112"/>
      <c r="Z49" s="32"/>
    </row>
    <row r="50" spans="1:26">
      <c r="A50" s="2102"/>
      <c r="B50" s="211"/>
      <c r="C50" s="211"/>
      <c r="D50" s="205"/>
      <c r="E50" s="205"/>
      <c r="F50" s="205"/>
      <c r="G50" s="205"/>
      <c r="O50" s="32"/>
      <c r="P50" s="32" t="s">
        <v>2096</v>
      </c>
      <c r="R50" s="112">
        <v>4364.5159999999996</v>
      </c>
      <c r="S50" s="112">
        <v>6106.0159999999996</v>
      </c>
      <c r="T50" s="112">
        <v>14442.56</v>
      </c>
      <c r="U50" s="112">
        <v>25552.233</v>
      </c>
      <c r="V50" s="112">
        <v>3958.9670000000001</v>
      </c>
      <c r="W50" s="112">
        <v>8684.0728550000003</v>
      </c>
      <c r="X50" s="112">
        <v>12410.439</v>
      </c>
      <c r="Y50" s="112">
        <f t="shared" ref="Y50" si="16">X50+W50-V50</f>
        <v>17135.544855</v>
      </c>
      <c r="Z50" s="32"/>
    </row>
    <row r="51" spans="1:26">
      <c r="A51" s="2102"/>
      <c r="B51" s="211"/>
      <c r="C51" s="211"/>
      <c r="D51" s="205"/>
      <c r="E51" s="205"/>
      <c r="F51" s="205"/>
      <c r="G51" s="205"/>
      <c r="O51" s="32"/>
      <c r="P51" s="67" t="s">
        <v>3753</v>
      </c>
      <c r="Q51" s="68"/>
      <c r="R51" s="111">
        <v>262584.01699999999</v>
      </c>
      <c r="S51" s="111">
        <v>259142.962</v>
      </c>
      <c r="T51" s="111">
        <v>310319.25199999998</v>
      </c>
      <c r="U51" s="111">
        <v>343200.74099999998</v>
      </c>
      <c r="V51" s="111">
        <v>340039.77500000002</v>
      </c>
      <c r="W51" s="111">
        <v>345601.97217000002</v>
      </c>
      <c r="X51" s="111">
        <v>352244.65500000003</v>
      </c>
      <c r="Y51" s="111"/>
      <c r="Z51" s="32"/>
    </row>
    <row r="52" spans="1:26">
      <c r="A52" s="2102">
        <v>44314</v>
      </c>
      <c r="B52" s="211">
        <f t="shared" si="2"/>
        <v>2021</v>
      </c>
      <c r="C52" s="211">
        <f t="shared" si="3"/>
        <v>4</v>
      </c>
      <c r="D52" s="205">
        <v>8057490000000</v>
      </c>
      <c r="E52" s="205">
        <v>130192232000</v>
      </c>
      <c r="F52" s="205">
        <v>202262950000</v>
      </c>
      <c r="G52" s="205">
        <v>1049509211100</v>
      </c>
      <c r="O52" s="32"/>
      <c r="P52" s="32"/>
      <c r="Q52" s="32"/>
      <c r="R52" s="112"/>
      <c r="S52" s="112"/>
      <c r="T52" s="112"/>
      <c r="U52" s="112"/>
      <c r="V52" s="112"/>
      <c r="W52" s="112"/>
      <c r="X52" s="112"/>
      <c r="Y52" s="112"/>
      <c r="Z52" s="32"/>
    </row>
    <row r="53" spans="1:26">
      <c r="A53" s="2102">
        <v>44313</v>
      </c>
      <c r="B53" s="211">
        <f t="shared" si="2"/>
        <v>2021</v>
      </c>
      <c r="C53" s="211">
        <f t="shared" si="3"/>
        <v>4</v>
      </c>
      <c r="D53" s="205">
        <v>8199015000000</v>
      </c>
      <c r="E53" s="205">
        <v>131709302500</v>
      </c>
      <c r="F53" s="205">
        <v>206062687500</v>
      </c>
      <c r="G53" s="205">
        <v>1090144414200</v>
      </c>
      <c r="P53" s="2103" t="s">
        <v>3809</v>
      </c>
      <c r="Q53" s="204"/>
      <c r="R53" s="204">
        <v>2016</v>
      </c>
      <c r="S53" s="204">
        <v>2017</v>
      </c>
      <c r="T53" s="204">
        <v>2018</v>
      </c>
      <c r="U53" s="204">
        <v>2019</v>
      </c>
      <c r="V53" s="204" t="s">
        <v>3814</v>
      </c>
      <c r="W53" s="204">
        <v>2020</v>
      </c>
      <c r="X53" s="204" t="s">
        <v>3815</v>
      </c>
      <c r="Y53" s="204" t="s">
        <v>3825</v>
      </c>
    </row>
    <row r="54" spans="1:26">
      <c r="A54" s="2102">
        <v>44312</v>
      </c>
      <c r="B54" s="211">
        <f t="shared" si="2"/>
        <v>2021</v>
      </c>
      <c r="C54" s="211">
        <f t="shared" si="3"/>
        <v>4</v>
      </c>
      <c r="D54" s="205">
        <v>8265060000000</v>
      </c>
      <c r="E54" s="205">
        <v>131709302500</v>
      </c>
      <c r="F54" s="205">
        <v>203724387500</v>
      </c>
      <c r="G54" s="205">
        <v>1004670366300</v>
      </c>
      <c r="O54" s="32"/>
      <c r="P54" s="32" t="s">
        <v>3802</v>
      </c>
      <c r="Q54" s="32"/>
      <c r="R54" s="112">
        <f>R55+R56+R57+R58</f>
        <v>300286.93452900002</v>
      </c>
      <c r="S54" s="112">
        <f t="shared" ref="S54:X54" si="17">S55+S56+S57+S58</f>
        <v>327888.51255400002</v>
      </c>
      <c r="T54" s="112">
        <f t="shared" si="17"/>
        <v>197918.713388</v>
      </c>
      <c r="U54" s="112">
        <f t="shared" si="17"/>
        <v>139065.16135000001</v>
      </c>
      <c r="V54" s="112">
        <f t="shared" si="17"/>
        <v>69706.205945000009</v>
      </c>
      <c r="W54" s="112">
        <f t="shared" si="17"/>
        <v>220301.21773200002</v>
      </c>
      <c r="X54" s="112">
        <f t="shared" si="17"/>
        <v>216918.48821200003</v>
      </c>
      <c r="Y54" s="112">
        <f t="shared" ref="Y54:Y58" si="18">X54+W54-V54</f>
        <v>367513.49999900005</v>
      </c>
      <c r="Z54" s="32"/>
    </row>
    <row r="55" spans="1:26">
      <c r="A55" s="2102">
        <v>44309</v>
      </c>
      <c r="B55" s="211">
        <f t="shared" si="2"/>
        <v>2021</v>
      </c>
      <c r="C55" s="211">
        <f t="shared" si="3"/>
        <v>4</v>
      </c>
      <c r="D55" s="205">
        <v>8283930000000</v>
      </c>
      <c r="E55" s="205">
        <v>139018824000</v>
      </c>
      <c r="F55" s="205">
        <v>208400987500</v>
      </c>
      <c r="G55" s="205">
        <v>989257013400</v>
      </c>
      <c r="Q55" s="1" t="s">
        <v>2091</v>
      </c>
      <c r="R55" s="205">
        <v>217800.76415</v>
      </c>
      <c r="S55" s="205">
        <v>241068.22414599999</v>
      </c>
      <c r="T55" s="205">
        <v>107501.13670800001</v>
      </c>
      <c r="U55" s="205">
        <v>41142.663278</v>
      </c>
      <c r="V55" s="205">
        <v>19361.154836000002</v>
      </c>
      <c r="W55" s="205">
        <v>121208.786517</v>
      </c>
      <c r="X55" s="205">
        <v>168919.83334000001</v>
      </c>
      <c r="Y55" s="205">
        <f t="shared" si="18"/>
        <v>270767.46502100001</v>
      </c>
    </row>
    <row r="56" spans="1:26">
      <c r="A56" s="2102">
        <v>44308</v>
      </c>
      <c r="B56" s="211">
        <f t="shared" si="2"/>
        <v>2021</v>
      </c>
      <c r="C56" s="211">
        <f t="shared" si="3"/>
        <v>4</v>
      </c>
      <c r="D56" s="205">
        <v>8246190000000</v>
      </c>
      <c r="E56" s="205">
        <v>139294655000</v>
      </c>
      <c r="F56" s="205">
        <v>211031575000</v>
      </c>
      <c r="G56" s="205">
        <v>972442446600</v>
      </c>
      <c r="Q56" s="1" t="s">
        <v>3816</v>
      </c>
      <c r="R56" s="205">
        <v>81043</v>
      </c>
      <c r="S56" s="205">
        <v>84757</v>
      </c>
      <c r="T56" s="205">
        <v>87028</v>
      </c>
      <c r="U56" s="205">
        <v>93067</v>
      </c>
      <c r="V56" s="205">
        <v>47564</v>
      </c>
      <c r="W56" s="205">
        <v>93436</v>
      </c>
      <c r="X56" s="205">
        <v>45502</v>
      </c>
      <c r="Y56" s="205">
        <f t="shared" si="18"/>
        <v>91374</v>
      </c>
    </row>
    <row r="57" spans="1:26">
      <c r="A57" s="2102">
        <v>44307</v>
      </c>
      <c r="B57" s="211">
        <f t="shared" si="2"/>
        <v>2021</v>
      </c>
      <c r="C57" s="211">
        <f t="shared" si="3"/>
        <v>4</v>
      </c>
      <c r="D57" s="205">
        <v>7887660000000</v>
      </c>
      <c r="E57" s="205">
        <v>129226823500</v>
      </c>
      <c r="F57" s="205">
        <v>211908437500</v>
      </c>
      <c r="G57" s="205">
        <v>979448516100</v>
      </c>
      <c r="Q57" s="1" t="s">
        <v>3817</v>
      </c>
      <c r="R57" s="205">
        <v>1443.1703789999999</v>
      </c>
      <c r="S57" s="205">
        <v>2063.2884079999999</v>
      </c>
      <c r="T57" s="205">
        <v>3389.5766800000001</v>
      </c>
      <c r="U57" s="205">
        <v>2657.3040740000001</v>
      </c>
      <c r="V57" s="205">
        <v>1267.648369</v>
      </c>
      <c r="W57" s="205">
        <v>2784.5104889999998</v>
      </c>
      <c r="X57" s="205">
        <v>1309.4627809999999</v>
      </c>
      <c r="Y57" s="205">
        <f t="shared" si="18"/>
        <v>2826.3249009999995</v>
      </c>
    </row>
    <row r="58" spans="1:26">
      <c r="A58" s="2102">
        <v>44306</v>
      </c>
      <c r="B58" s="211">
        <f t="shared" si="2"/>
        <v>2021</v>
      </c>
      <c r="C58" s="211">
        <f t="shared" si="3"/>
        <v>4</v>
      </c>
      <c r="D58" s="205">
        <v>7897095000000</v>
      </c>
      <c r="E58" s="205">
        <v>130468063000</v>
      </c>
      <c r="F58" s="205">
        <v>205185825000</v>
      </c>
      <c r="G58" s="205">
        <v>1007472794100</v>
      </c>
      <c r="Q58" s="1" t="s">
        <v>3818</v>
      </c>
      <c r="R58" s="205">
        <v>0</v>
      </c>
      <c r="S58" s="205">
        <v>0</v>
      </c>
      <c r="T58" s="205">
        <v>0</v>
      </c>
      <c r="U58" s="205">
        <v>2198.1939980000002</v>
      </c>
      <c r="V58" s="205">
        <v>1513.40274</v>
      </c>
      <c r="W58" s="205">
        <v>2871.9207259999998</v>
      </c>
      <c r="X58" s="205">
        <v>1187.1920909999999</v>
      </c>
      <c r="Y58" s="205">
        <f t="shared" si="18"/>
        <v>2545.7100769999997</v>
      </c>
    </row>
    <row r="59" spans="1:26">
      <c r="A59" s="2102">
        <v>44305</v>
      </c>
      <c r="B59" s="211">
        <f t="shared" si="2"/>
        <v>2021</v>
      </c>
      <c r="C59" s="211">
        <f t="shared" si="3"/>
        <v>4</v>
      </c>
      <c r="D59" s="205">
        <v>7925400000000</v>
      </c>
      <c r="E59" s="205">
        <v>129778485500</v>
      </c>
      <c r="F59" s="205">
        <v>202555237500</v>
      </c>
      <c r="G59" s="205">
        <v>986454585600</v>
      </c>
      <c r="O59" s="32"/>
      <c r="P59" s="32" t="s">
        <v>3800</v>
      </c>
      <c r="Q59" s="32"/>
      <c r="R59" s="112">
        <f>R62+R64+R63+R65-R60-R61</f>
        <v>931180.07293599984</v>
      </c>
      <c r="S59" s="112">
        <f t="shared" ref="S59:X59" si="19">S62+S64+S63+S65-S60-S61</f>
        <v>861814.26823299995</v>
      </c>
      <c r="T59" s="112">
        <f t="shared" si="19"/>
        <v>863040.57329300011</v>
      </c>
      <c r="U59" s="112">
        <f t="shared" si="19"/>
        <v>727567.14168500004</v>
      </c>
      <c r="V59" s="112">
        <f t="shared" si="19"/>
        <v>639992.7723340001</v>
      </c>
      <c r="W59" s="112">
        <f t="shared" si="19"/>
        <v>660681.32134399994</v>
      </c>
      <c r="X59" s="112">
        <f t="shared" si="19"/>
        <v>774415.83108199993</v>
      </c>
      <c r="Y59" s="112"/>
      <c r="Z59" s="32"/>
    </row>
    <row r="60" spans="1:26">
      <c r="A60" s="2102">
        <v>44302</v>
      </c>
      <c r="B60" s="211">
        <f t="shared" si="2"/>
        <v>2021</v>
      </c>
      <c r="C60" s="211">
        <f t="shared" si="3"/>
        <v>4</v>
      </c>
      <c r="D60" s="205">
        <v>7953705000000</v>
      </c>
      <c r="E60" s="205">
        <v>130881809500</v>
      </c>
      <c r="F60" s="205">
        <v>207816412500</v>
      </c>
      <c r="G60" s="205">
        <v>985053371700</v>
      </c>
      <c r="Q60" s="1" t="s">
        <v>3745</v>
      </c>
      <c r="R60" s="205">
        <v>73266.052091999998</v>
      </c>
      <c r="S60" s="205">
        <v>56846.795334000002</v>
      </c>
      <c r="T60" s="205">
        <v>55655.710291000003</v>
      </c>
      <c r="U60" s="205">
        <v>70496.499494999996</v>
      </c>
      <c r="V60" s="205">
        <v>92998.826669999995</v>
      </c>
      <c r="W60" s="205">
        <v>79367.268328000006</v>
      </c>
      <c r="X60" s="205">
        <v>118212.40367699999</v>
      </c>
      <c r="Y60" s="205"/>
    </row>
    <row r="61" spans="1:26">
      <c r="A61" s="2102">
        <v>44301</v>
      </c>
      <c r="B61" s="211">
        <f t="shared" si="2"/>
        <v>2021</v>
      </c>
      <c r="C61" s="211">
        <f t="shared" si="3"/>
        <v>4</v>
      </c>
      <c r="D61" s="205">
        <v>7887660000000</v>
      </c>
      <c r="E61" s="205">
        <v>130605978500</v>
      </c>
      <c r="F61" s="205">
        <v>202847525000</v>
      </c>
      <c r="G61" s="205">
        <v>980849730000</v>
      </c>
      <c r="Q61" s="1" t="s">
        <v>3820</v>
      </c>
      <c r="R61" s="205">
        <v>4467.8640420000002</v>
      </c>
      <c r="S61" s="205">
        <v>5674.6639210000003</v>
      </c>
      <c r="T61" s="205">
        <v>6600</v>
      </c>
      <c r="U61" s="205">
        <v>6230</v>
      </c>
      <c r="V61" s="205">
        <v>6500</v>
      </c>
      <c r="W61" s="205">
        <v>6580</v>
      </c>
      <c r="X61" s="205">
        <v>7483.0707199999997</v>
      </c>
      <c r="Y61" s="205"/>
    </row>
    <row r="62" spans="1:26">
      <c r="A62" s="2102">
        <v>44300</v>
      </c>
      <c r="B62" s="211">
        <f t="shared" si="2"/>
        <v>2021</v>
      </c>
      <c r="C62" s="211">
        <f t="shared" si="3"/>
        <v>4</v>
      </c>
      <c r="D62" s="205">
        <v>7793310000000</v>
      </c>
      <c r="E62" s="205">
        <v>131019725000</v>
      </c>
      <c r="F62" s="205">
        <v>210447000000</v>
      </c>
      <c r="G62" s="205">
        <v>927603601800</v>
      </c>
      <c r="Q62" s="1" t="s">
        <v>3822</v>
      </c>
      <c r="R62" s="205">
        <v>392517.23045799998</v>
      </c>
      <c r="S62" s="205">
        <v>354769.64168100001</v>
      </c>
      <c r="T62" s="205">
        <v>395347.86987599998</v>
      </c>
      <c r="U62" s="205">
        <v>293390.97632700001</v>
      </c>
      <c r="V62" s="205">
        <v>282179.13336600002</v>
      </c>
      <c r="W62" s="205">
        <v>328616.22953299998</v>
      </c>
      <c r="X62" s="205">
        <v>488027.76316999999</v>
      </c>
      <c r="Y62" s="205"/>
    </row>
    <row r="63" spans="1:26">
      <c r="A63" s="2102">
        <v>44299</v>
      </c>
      <c r="B63" s="211">
        <f t="shared" si="2"/>
        <v>2021</v>
      </c>
      <c r="C63" s="211">
        <f t="shared" si="3"/>
        <v>4</v>
      </c>
      <c r="D63" s="205">
        <v>7878225000000</v>
      </c>
      <c r="E63" s="205">
        <v>128813077000</v>
      </c>
      <c r="F63" s="205">
        <v>212200725000</v>
      </c>
      <c r="G63" s="205">
        <v>926202387900</v>
      </c>
      <c r="Q63" s="1" t="s">
        <v>3823</v>
      </c>
      <c r="R63" s="205">
        <v>197650.492849</v>
      </c>
      <c r="S63" s="205">
        <v>251729.00364000001</v>
      </c>
      <c r="T63" s="205">
        <v>168095.805211</v>
      </c>
      <c r="U63" s="205">
        <v>204762.58110899999</v>
      </c>
      <c r="V63" s="205">
        <v>210029.73741</v>
      </c>
      <c r="W63" s="205">
        <v>150117.29224400001</v>
      </c>
      <c r="X63" s="205">
        <v>116392.169974</v>
      </c>
      <c r="Y63" s="205"/>
    </row>
    <row r="64" spans="1:26">
      <c r="A64" s="2102">
        <v>44298</v>
      </c>
      <c r="B64" s="211">
        <f t="shared" si="2"/>
        <v>2021</v>
      </c>
      <c r="C64" s="211">
        <f t="shared" si="3"/>
        <v>4</v>
      </c>
      <c r="D64" s="205">
        <v>7793310000000</v>
      </c>
      <c r="E64" s="205">
        <v>129502654500</v>
      </c>
      <c r="F64" s="205">
        <v>219215625000</v>
      </c>
      <c r="G64" s="205">
        <v>924801174000</v>
      </c>
      <c r="Q64" s="1" t="s">
        <v>3828</v>
      </c>
      <c r="R64" s="205">
        <v>199414.23672099999</v>
      </c>
      <c r="S64" s="205">
        <v>199462.49481100001</v>
      </c>
      <c r="T64" s="205">
        <v>199484.19262099999</v>
      </c>
      <c r="U64" s="205">
        <v>199497.09133699999</v>
      </c>
      <c r="V64" s="205">
        <v>183416.730209</v>
      </c>
      <c r="W64" s="205">
        <v>183542.788226</v>
      </c>
      <c r="X64" s="205">
        <v>183420.82094000001</v>
      </c>
      <c r="Y64" s="205"/>
    </row>
    <row r="65" spans="1:26">
      <c r="A65" s="2102">
        <v>44295</v>
      </c>
      <c r="B65" s="211">
        <f t="shared" si="2"/>
        <v>2021</v>
      </c>
      <c r="C65" s="211">
        <f t="shared" si="3"/>
        <v>4</v>
      </c>
      <c r="D65" s="205">
        <v>7774440000000</v>
      </c>
      <c r="E65" s="205">
        <v>128675161500</v>
      </c>
      <c r="F65" s="205">
        <v>218631050000</v>
      </c>
      <c r="G65" s="205">
        <v>930406029600</v>
      </c>
      <c r="Q65" s="1" t="s">
        <v>3824</v>
      </c>
      <c r="R65" s="205">
        <v>219332.02904200001</v>
      </c>
      <c r="S65" s="205">
        <v>118374.587356</v>
      </c>
      <c r="T65" s="205">
        <v>162368.41587600001</v>
      </c>
      <c r="U65" s="205">
        <v>106642.992407</v>
      </c>
      <c r="V65" s="205">
        <v>63865.998018999999</v>
      </c>
      <c r="W65" s="205">
        <v>84352.279668999996</v>
      </c>
      <c r="X65" s="205">
        <v>112270.551395</v>
      </c>
      <c r="Y65" s="205"/>
    </row>
    <row r="66" spans="1:26">
      <c r="A66" s="2102">
        <v>44294</v>
      </c>
      <c r="B66" s="211">
        <f t="shared" si="2"/>
        <v>2021</v>
      </c>
      <c r="C66" s="211">
        <f t="shared" si="3"/>
        <v>4</v>
      </c>
      <c r="D66" s="205">
        <v>7755570000000</v>
      </c>
      <c r="E66" s="205">
        <v>129088908000</v>
      </c>
      <c r="F66" s="205">
        <v>213954450000</v>
      </c>
      <c r="G66" s="205">
        <v>945819382500</v>
      </c>
      <c r="O66" s="32"/>
      <c r="P66" s="32" t="s">
        <v>3801</v>
      </c>
      <c r="Q66" s="32"/>
      <c r="R66" s="112">
        <v>2057.3344809999999</v>
      </c>
      <c r="S66" s="112">
        <v>2078.3175860000001</v>
      </c>
      <c r="T66" s="112">
        <v>2100.8153969999998</v>
      </c>
      <c r="U66" s="112">
        <v>2040.8086510000001</v>
      </c>
      <c r="V66" s="112">
        <v>2036.9874890000001</v>
      </c>
      <c r="W66" s="112">
        <v>2050.190533</v>
      </c>
      <c r="X66" s="112">
        <v>2111.41914</v>
      </c>
      <c r="Y66" s="112"/>
      <c r="Z66" s="32"/>
    </row>
    <row r="67" spans="1:26">
      <c r="A67" s="2102">
        <v>44293</v>
      </c>
      <c r="B67" s="211">
        <f t="shared" si="2"/>
        <v>2021</v>
      </c>
      <c r="C67" s="211">
        <f t="shared" si="3"/>
        <v>4</v>
      </c>
      <c r="D67" s="205">
        <v>7802745000000</v>
      </c>
      <c r="E67" s="205">
        <v>126882260000</v>
      </c>
      <c r="F67" s="205">
        <v>216292750000</v>
      </c>
      <c r="G67" s="205">
        <v>941615740800</v>
      </c>
      <c r="P67" s="32" t="s">
        <v>2096</v>
      </c>
      <c r="R67" s="112">
        <v>137705.68299999999</v>
      </c>
      <c r="S67" s="112">
        <v>150694.83499999999</v>
      </c>
      <c r="T67" s="112">
        <v>62100.097999999998</v>
      </c>
      <c r="U67" s="112">
        <v>17625.569</v>
      </c>
      <c r="V67" s="112">
        <v>4839.0739999999996</v>
      </c>
      <c r="W67" s="112">
        <v>71907.051000000007</v>
      </c>
      <c r="X67" s="112">
        <v>126241.603</v>
      </c>
      <c r="Y67" s="112">
        <f t="shared" ref="Y67" si="20">X67+W67-V67</f>
        <v>193309.58000000002</v>
      </c>
    </row>
    <row r="68" spans="1:26">
      <c r="A68" s="2102">
        <v>44292</v>
      </c>
      <c r="B68" s="211">
        <f t="shared" si="2"/>
        <v>2021</v>
      </c>
      <c r="C68" s="211">
        <f t="shared" si="3"/>
        <v>4</v>
      </c>
      <c r="D68" s="205">
        <v>7632915000000</v>
      </c>
      <c r="E68" s="205">
        <v>123434372500</v>
      </c>
      <c r="F68" s="205">
        <v>216292750000</v>
      </c>
      <c r="G68" s="205">
        <v>924801174000</v>
      </c>
      <c r="P68" s="67" t="s">
        <v>3753</v>
      </c>
      <c r="Q68" s="68"/>
      <c r="R68" s="111">
        <v>1234842.608</v>
      </c>
      <c r="S68" s="111">
        <v>1309134.3940000001</v>
      </c>
      <c r="T68" s="111">
        <v>1379324.3430000001</v>
      </c>
      <c r="U68" s="111">
        <v>1383814.3149999999</v>
      </c>
      <c r="V68" s="111">
        <v>1384580.2860000001</v>
      </c>
      <c r="W68" s="111">
        <v>1446401.2749999999</v>
      </c>
      <c r="X68" s="111">
        <v>1561564.7560000001</v>
      </c>
      <c r="Y68" s="111"/>
    </row>
    <row r="69" spans="1:26">
      <c r="A69" s="2102">
        <v>44291</v>
      </c>
      <c r="B69" s="211">
        <f t="shared" si="2"/>
        <v>2021</v>
      </c>
      <c r="C69" s="211">
        <f t="shared" si="3"/>
        <v>4</v>
      </c>
      <c r="D69" s="205">
        <v>7670655000000</v>
      </c>
      <c r="E69" s="205">
        <v>125503105000</v>
      </c>
      <c r="F69" s="205">
        <v>219215625000</v>
      </c>
      <c r="G69" s="205">
        <v>929004815700</v>
      </c>
      <c r="R69" s="205"/>
      <c r="S69" s="205"/>
      <c r="T69" s="205"/>
      <c r="U69" s="205"/>
      <c r="V69" s="205"/>
      <c r="W69" s="205"/>
      <c r="X69" s="205"/>
      <c r="Y69" s="205"/>
    </row>
    <row r="70" spans="1:26">
      <c r="A70" s="2102">
        <v>44288</v>
      </c>
      <c r="B70" s="211">
        <f t="shared" si="2"/>
        <v>2021</v>
      </c>
      <c r="C70" s="211">
        <f t="shared" si="3"/>
        <v>4</v>
      </c>
      <c r="D70" s="205">
        <v>7651785000000</v>
      </c>
      <c r="E70" s="205">
        <v>126054767000</v>
      </c>
      <c r="F70" s="205">
        <v>219800200000</v>
      </c>
      <c r="G70" s="205">
        <v>921998746200</v>
      </c>
      <c r="R70" s="205"/>
      <c r="S70" s="205"/>
      <c r="T70" s="205"/>
      <c r="U70" s="205"/>
      <c r="V70" s="205"/>
      <c r="W70" s="205"/>
      <c r="X70" s="205"/>
      <c r="Y70" s="205"/>
    </row>
    <row r="71" spans="1:26">
      <c r="A71" s="2102">
        <v>44287</v>
      </c>
      <c r="B71" s="211">
        <f t="shared" si="2"/>
        <v>2021</v>
      </c>
      <c r="C71" s="211">
        <f t="shared" si="3"/>
        <v>4</v>
      </c>
      <c r="D71" s="205">
        <v>7642350000000</v>
      </c>
      <c r="E71" s="205">
        <v>125916851500</v>
      </c>
      <c r="F71" s="205">
        <v>225061375000</v>
      </c>
      <c r="G71" s="205">
        <v>930406029600</v>
      </c>
      <c r="R71" s="205"/>
      <c r="S71" s="205"/>
      <c r="T71" s="205"/>
      <c r="U71" s="205"/>
      <c r="V71" s="205"/>
      <c r="W71" s="205"/>
      <c r="X71" s="205"/>
      <c r="Y71" s="205"/>
    </row>
    <row r="72" spans="1:26">
      <c r="A72" s="2102">
        <v>44286</v>
      </c>
      <c r="B72" s="211">
        <f t="shared" si="2"/>
        <v>2021</v>
      </c>
      <c r="C72" s="211">
        <f t="shared" si="3"/>
        <v>3</v>
      </c>
      <c r="D72" s="205">
        <v>7708395000000</v>
      </c>
      <c r="E72" s="205">
        <v>128123499500</v>
      </c>
      <c r="F72" s="205">
        <v>232368562500</v>
      </c>
      <c r="G72" s="205">
        <v>938813313000</v>
      </c>
      <c r="R72" s="205"/>
      <c r="S72" s="205"/>
      <c r="T72" s="205"/>
      <c r="U72" s="205"/>
      <c r="V72" s="205"/>
      <c r="W72" s="205"/>
      <c r="X72" s="205"/>
      <c r="Y72" s="205"/>
    </row>
    <row r="73" spans="1:26">
      <c r="A73" s="2102">
        <v>44285</v>
      </c>
      <c r="B73" s="211">
        <f t="shared" si="2"/>
        <v>2021</v>
      </c>
      <c r="C73" s="211">
        <f t="shared" si="3"/>
        <v>3</v>
      </c>
      <c r="D73" s="205">
        <v>7670655000000</v>
      </c>
      <c r="E73" s="205">
        <v>125916851500</v>
      </c>
      <c r="F73" s="205">
        <v>187940862500</v>
      </c>
      <c r="G73" s="205">
        <v>920597532300</v>
      </c>
      <c r="R73" s="205"/>
      <c r="S73" s="205"/>
      <c r="T73" s="205"/>
      <c r="U73" s="205"/>
      <c r="V73" s="205"/>
      <c r="W73" s="205"/>
      <c r="X73" s="205"/>
      <c r="Y73" s="205"/>
    </row>
    <row r="74" spans="1:26">
      <c r="A74" s="2102">
        <v>44284</v>
      </c>
      <c r="B74" s="211">
        <f t="shared" ref="B74:B137" si="21">YEAR(A74)</f>
        <v>2021</v>
      </c>
      <c r="C74" s="211">
        <f t="shared" ref="C74:C137" si="22">MONTH(A74)</f>
        <v>3</v>
      </c>
      <c r="D74" s="205">
        <v>7727265000000</v>
      </c>
      <c r="E74" s="205">
        <v>124951443000</v>
      </c>
      <c r="F74" s="205">
        <v>185017987500</v>
      </c>
      <c r="G74" s="205">
        <v>924801174000</v>
      </c>
    </row>
    <row r="75" spans="1:26">
      <c r="A75" s="2102">
        <v>44281</v>
      </c>
      <c r="B75" s="211">
        <f t="shared" si="21"/>
        <v>2021</v>
      </c>
      <c r="C75" s="211">
        <f t="shared" si="22"/>
        <v>3</v>
      </c>
      <c r="D75" s="205">
        <v>7651785000000</v>
      </c>
      <c r="E75" s="205">
        <v>122744795000</v>
      </c>
      <c r="F75" s="205">
        <v>178879950000</v>
      </c>
      <c r="G75" s="205">
        <v>912190248900</v>
      </c>
    </row>
    <row r="76" spans="1:26">
      <c r="A76" s="2102">
        <v>44280</v>
      </c>
      <c r="B76" s="211">
        <f t="shared" si="21"/>
        <v>2021</v>
      </c>
      <c r="C76" s="211">
        <f t="shared" si="22"/>
        <v>3</v>
      </c>
      <c r="D76" s="205">
        <v>7566870000000</v>
      </c>
      <c r="E76" s="205">
        <v>123986034500</v>
      </c>
      <c r="F76" s="205">
        <v>183556550000</v>
      </c>
      <c r="G76" s="205">
        <v>893974468200</v>
      </c>
    </row>
    <row r="77" spans="1:26">
      <c r="A77" s="2102">
        <v>44279</v>
      </c>
      <c r="B77" s="211">
        <f t="shared" si="21"/>
        <v>2021</v>
      </c>
      <c r="C77" s="211">
        <f t="shared" si="22"/>
        <v>3</v>
      </c>
      <c r="D77" s="205">
        <v>7595175000000</v>
      </c>
      <c r="E77" s="205">
        <v>122606879500</v>
      </c>
      <c r="F77" s="205">
        <v>182971975000</v>
      </c>
      <c r="G77" s="205">
        <v>889770826500</v>
      </c>
    </row>
    <row r="78" spans="1:26">
      <c r="A78" s="2102">
        <v>44278</v>
      </c>
      <c r="B78" s="211">
        <f t="shared" si="21"/>
        <v>2021</v>
      </c>
      <c r="C78" s="211">
        <f t="shared" si="22"/>
        <v>3</v>
      </c>
      <c r="D78" s="205">
        <v>7661220000000</v>
      </c>
      <c r="E78" s="205">
        <v>120676062500</v>
      </c>
      <c r="F78" s="205">
        <v>182971975000</v>
      </c>
      <c r="G78" s="205">
        <v>888369612600</v>
      </c>
    </row>
    <row r="79" spans="1:26">
      <c r="A79" s="2102">
        <v>44277</v>
      </c>
      <c r="B79" s="211">
        <f t="shared" si="21"/>
        <v>2021</v>
      </c>
      <c r="C79" s="211">
        <f t="shared" si="22"/>
        <v>3</v>
      </c>
      <c r="D79" s="205">
        <v>7632915000000</v>
      </c>
      <c r="E79" s="205">
        <v>123572288000</v>
      </c>
      <c r="F79" s="205">
        <v>181218250000</v>
      </c>
      <c r="G79" s="205">
        <v>906585393300</v>
      </c>
    </row>
    <row r="80" spans="1:26">
      <c r="A80" s="2102">
        <v>44274</v>
      </c>
      <c r="B80" s="211">
        <f t="shared" si="21"/>
        <v>2021</v>
      </c>
      <c r="C80" s="211">
        <f t="shared" si="22"/>
        <v>3</v>
      </c>
      <c r="D80" s="205">
        <v>7585740000000</v>
      </c>
      <c r="E80" s="205">
        <v>122055217500</v>
      </c>
      <c r="F80" s="205">
        <v>170988187500</v>
      </c>
      <c r="G80" s="205">
        <v>893974468200</v>
      </c>
    </row>
    <row r="81" spans="1:7">
      <c r="A81" s="2102">
        <v>44273</v>
      </c>
      <c r="B81" s="211">
        <f t="shared" si="21"/>
        <v>2021</v>
      </c>
      <c r="C81" s="211">
        <f t="shared" si="22"/>
        <v>3</v>
      </c>
      <c r="D81" s="205">
        <v>7765005000000</v>
      </c>
      <c r="E81" s="205">
        <v>121779386500</v>
      </c>
      <c r="F81" s="205">
        <v>170403612500</v>
      </c>
      <c r="G81" s="205">
        <v>903782965500</v>
      </c>
    </row>
    <row r="82" spans="1:7">
      <c r="A82" s="2102">
        <v>44272</v>
      </c>
      <c r="B82" s="211">
        <f t="shared" si="21"/>
        <v>2021</v>
      </c>
      <c r="C82" s="211">
        <f t="shared" si="22"/>
        <v>3</v>
      </c>
      <c r="D82" s="205">
        <v>7774440000000</v>
      </c>
      <c r="E82" s="205">
        <v>120124400500</v>
      </c>
      <c r="F82" s="205">
        <v>169234462500</v>
      </c>
      <c r="G82" s="205">
        <v>903782965500</v>
      </c>
    </row>
    <row r="83" spans="1:7">
      <c r="A83" s="2102">
        <v>44271</v>
      </c>
      <c r="B83" s="211">
        <f t="shared" si="21"/>
        <v>2021</v>
      </c>
      <c r="C83" s="211">
        <f t="shared" si="22"/>
        <v>3</v>
      </c>
      <c r="D83" s="205">
        <v>7623480000000</v>
      </c>
      <c r="E83" s="205">
        <v>120538147000</v>
      </c>
      <c r="F83" s="205">
        <v>169819037500</v>
      </c>
      <c r="G83" s="205">
        <v>917795104500</v>
      </c>
    </row>
    <row r="84" spans="1:7">
      <c r="A84" s="2102">
        <v>44270</v>
      </c>
      <c r="B84" s="211">
        <f t="shared" si="21"/>
        <v>2021</v>
      </c>
      <c r="C84" s="211">
        <f t="shared" si="22"/>
        <v>3</v>
      </c>
      <c r="D84" s="205">
        <v>7614045000000</v>
      </c>
      <c r="E84" s="205">
        <v>123020626000</v>
      </c>
      <c r="F84" s="205">
        <v>169819037500</v>
      </c>
      <c r="G84" s="205">
        <v>919196318400</v>
      </c>
    </row>
    <row r="85" spans="1:7">
      <c r="A85" s="2102">
        <v>44267</v>
      </c>
      <c r="B85" s="211">
        <f t="shared" si="21"/>
        <v>2021</v>
      </c>
      <c r="C85" s="211">
        <f t="shared" si="22"/>
        <v>3</v>
      </c>
      <c r="D85" s="205">
        <v>7614045000000</v>
      </c>
      <c r="E85" s="205">
        <v>125503105000</v>
      </c>
      <c r="F85" s="205">
        <v>170111325000</v>
      </c>
      <c r="G85" s="205">
        <v>921998746200</v>
      </c>
    </row>
    <row r="86" spans="1:7">
      <c r="A86" s="2102">
        <v>44266</v>
      </c>
      <c r="B86" s="211">
        <f t="shared" si="21"/>
        <v>2021</v>
      </c>
      <c r="C86" s="211">
        <f t="shared" si="22"/>
        <v>3</v>
      </c>
      <c r="D86" s="205">
        <v>7595175000000</v>
      </c>
      <c r="E86" s="205">
        <v>116676513000</v>
      </c>
      <c r="F86" s="205">
        <v>169526750000</v>
      </c>
      <c r="G86" s="205">
        <v>909387821100</v>
      </c>
    </row>
    <row r="87" spans="1:7">
      <c r="A87" s="2102">
        <v>44265</v>
      </c>
      <c r="B87" s="211">
        <f t="shared" si="21"/>
        <v>2021</v>
      </c>
      <c r="C87" s="211">
        <f t="shared" si="22"/>
        <v>3</v>
      </c>
      <c r="D87" s="205">
        <v>7585740000000</v>
      </c>
      <c r="E87" s="205">
        <v>116400682000</v>
      </c>
      <c r="F87" s="205">
        <v>166311587500</v>
      </c>
      <c r="G87" s="205">
        <v>914992676700</v>
      </c>
    </row>
    <row r="88" spans="1:7">
      <c r="A88" s="2102">
        <v>44264</v>
      </c>
      <c r="B88" s="211">
        <f t="shared" si="21"/>
        <v>2021</v>
      </c>
      <c r="C88" s="211">
        <f t="shared" si="22"/>
        <v>3</v>
      </c>
      <c r="D88" s="205">
        <v>7500825000000</v>
      </c>
      <c r="E88" s="205">
        <v>115849020000</v>
      </c>
      <c r="F88" s="205">
        <v>165434725000</v>
      </c>
      <c r="G88" s="205">
        <v>954226665900</v>
      </c>
    </row>
    <row r="89" spans="1:7">
      <c r="A89" s="2102">
        <v>44263</v>
      </c>
      <c r="B89" s="211">
        <f t="shared" si="21"/>
        <v>2021</v>
      </c>
      <c r="C89" s="211">
        <f t="shared" si="22"/>
        <v>3</v>
      </c>
      <c r="D89" s="205">
        <v>7614045000000</v>
      </c>
      <c r="E89" s="205">
        <v>115849020000</v>
      </c>
      <c r="F89" s="205">
        <v>164850150000</v>
      </c>
      <c r="G89" s="205">
        <v>958430307600</v>
      </c>
    </row>
    <row r="90" spans="1:7">
      <c r="A90" s="2102">
        <v>44260</v>
      </c>
      <c r="B90" s="211">
        <f t="shared" si="21"/>
        <v>2021</v>
      </c>
      <c r="C90" s="211">
        <f t="shared" si="22"/>
        <v>3</v>
      </c>
      <c r="D90" s="205">
        <v>7680090000000</v>
      </c>
      <c r="E90" s="205">
        <v>118607330000</v>
      </c>
      <c r="F90" s="205">
        <v>164557862500</v>
      </c>
      <c r="G90" s="205">
        <v>968238804900</v>
      </c>
    </row>
    <row r="91" spans="1:7">
      <c r="A91" s="2102">
        <v>44259</v>
      </c>
      <c r="B91" s="211">
        <f t="shared" si="21"/>
        <v>2021</v>
      </c>
      <c r="C91" s="211">
        <f t="shared" si="22"/>
        <v>3</v>
      </c>
      <c r="D91" s="205">
        <v>7698960000000</v>
      </c>
      <c r="E91" s="205">
        <v>121779386500</v>
      </c>
      <c r="F91" s="205">
        <v>166019300000</v>
      </c>
      <c r="G91" s="205">
        <v>972442446600</v>
      </c>
    </row>
    <row r="92" spans="1:7">
      <c r="A92" s="2102">
        <v>44258</v>
      </c>
      <c r="B92" s="211">
        <f t="shared" si="21"/>
        <v>2021</v>
      </c>
      <c r="C92" s="211">
        <f t="shared" si="22"/>
        <v>3</v>
      </c>
      <c r="D92" s="205">
        <v>7774440000000</v>
      </c>
      <c r="E92" s="205">
        <v>121089809000</v>
      </c>
      <c r="F92" s="205">
        <v>164265575000</v>
      </c>
      <c r="G92" s="205">
        <v>999065510700</v>
      </c>
    </row>
    <row r="93" spans="1:7">
      <c r="A93" s="2102">
        <v>44257</v>
      </c>
      <c r="B93" s="211">
        <f t="shared" si="21"/>
        <v>2021</v>
      </c>
      <c r="C93" s="211">
        <f t="shared" si="22"/>
        <v>3</v>
      </c>
      <c r="D93" s="205">
        <v>7680090000000</v>
      </c>
      <c r="E93" s="205">
        <v>118883161000</v>
      </c>
      <c r="F93" s="205">
        <v>164557862500</v>
      </c>
      <c r="G93" s="205">
        <v>993460655100</v>
      </c>
    </row>
    <row r="94" spans="1:7">
      <c r="A94" s="2102">
        <v>44253</v>
      </c>
      <c r="B94" s="211">
        <f t="shared" si="21"/>
        <v>2021</v>
      </c>
      <c r="C94" s="211">
        <f t="shared" si="22"/>
        <v>2</v>
      </c>
      <c r="D94" s="205">
        <v>7614045000000</v>
      </c>
      <c r="E94" s="205">
        <v>119434823000</v>
      </c>
      <c r="F94" s="205">
        <v>164265575000</v>
      </c>
      <c r="G94" s="205">
        <v>1025688574800</v>
      </c>
    </row>
    <row r="95" spans="1:7">
      <c r="A95" s="2102">
        <v>44252</v>
      </c>
      <c r="B95" s="211">
        <f t="shared" si="21"/>
        <v>2021</v>
      </c>
      <c r="C95" s="211">
        <f t="shared" si="22"/>
        <v>2</v>
      </c>
      <c r="D95" s="205">
        <v>7849920000000</v>
      </c>
      <c r="E95" s="205">
        <v>125089358500</v>
      </c>
      <c r="F95" s="205">
        <v>166019300000</v>
      </c>
      <c r="G95" s="205">
        <v>1022886147000</v>
      </c>
    </row>
    <row r="96" spans="1:7">
      <c r="A96" s="2102">
        <v>44251</v>
      </c>
      <c r="B96" s="211">
        <f t="shared" si="21"/>
        <v>2021</v>
      </c>
      <c r="C96" s="211">
        <f t="shared" si="22"/>
        <v>2</v>
      </c>
      <c r="D96" s="205">
        <v>7840485000000</v>
      </c>
      <c r="E96" s="205">
        <v>121089809000</v>
      </c>
      <c r="F96" s="205">
        <v>165142437500</v>
      </c>
      <c r="G96" s="205">
        <v>973843660500</v>
      </c>
    </row>
    <row r="97" spans="1:7">
      <c r="A97" s="2102">
        <v>44250</v>
      </c>
      <c r="B97" s="211">
        <f t="shared" si="21"/>
        <v>2021</v>
      </c>
      <c r="C97" s="211">
        <f t="shared" si="22"/>
        <v>2</v>
      </c>
      <c r="D97" s="205">
        <v>8170710000000</v>
      </c>
      <c r="E97" s="205">
        <v>126606429000</v>
      </c>
      <c r="F97" s="205">
        <v>165727012500</v>
      </c>
      <c r="G97" s="205">
        <v>989257013400</v>
      </c>
    </row>
    <row r="98" spans="1:7">
      <c r="A98" s="2102">
        <v>44249</v>
      </c>
      <c r="B98" s="211">
        <f t="shared" si="21"/>
        <v>2021</v>
      </c>
      <c r="C98" s="211">
        <f t="shared" si="22"/>
        <v>2</v>
      </c>
      <c r="D98" s="205">
        <v>8085795000000</v>
      </c>
      <c r="E98" s="205">
        <v>130605978500</v>
      </c>
      <c r="F98" s="205">
        <v>166019300000</v>
      </c>
      <c r="G98" s="205">
        <v>1025688574800</v>
      </c>
    </row>
    <row r="99" spans="1:7">
      <c r="A99" s="2102">
        <v>44246</v>
      </c>
      <c r="B99" s="211">
        <f t="shared" si="21"/>
        <v>2021</v>
      </c>
      <c r="C99" s="211">
        <f t="shared" si="22"/>
        <v>2</v>
      </c>
      <c r="D99" s="205">
        <v>7802745000000</v>
      </c>
      <c r="E99" s="205">
        <v>133088457500</v>
      </c>
      <c r="F99" s="205">
        <v>165142437500</v>
      </c>
      <c r="G99" s="205">
        <v>923399960100</v>
      </c>
    </row>
    <row r="100" spans="1:7">
      <c r="A100" s="2102">
        <v>44245</v>
      </c>
      <c r="B100" s="211">
        <f t="shared" si="21"/>
        <v>2021</v>
      </c>
      <c r="C100" s="211">
        <f t="shared" si="22"/>
        <v>2</v>
      </c>
      <c r="D100" s="205">
        <v>7831050000000</v>
      </c>
      <c r="E100" s="205">
        <v>131985133500</v>
      </c>
      <c r="F100" s="205">
        <v>164265575000</v>
      </c>
      <c r="G100" s="205">
        <v>926202387900</v>
      </c>
    </row>
    <row r="101" spans="1:7">
      <c r="A101" s="2102">
        <v>44244</v>
      </c>
      <c r="B101" s="211">
        <f t="shared" si="21"/>
        <v>2021</v>
      </c>
      <c r="C101" s="211">
        <f t="shared" si="22"/>
        <v>2</v>
      </c>
      <c r="D101" s="205">
        <v>7963140000000</v>
      </c>
      <c r="E101" s="205">
        <v>136536345000</v>
      </c>
      <c r="F101" s="205">
        <v>164557862500</v>
      </c>
      <c r="G101" s="205">
        <v>966837591000</v>
      </c>
    </row>
    <row r="102" spans="1:7">
      <c r="A102" s="2102">
        <v>44243</v>
      </c>
      <c r="B102" s="211">
        <f t="shared" si="21"/>
        <v>2021</v>
      </c>
      <c r="C102" s="211">
        <f t="shared" si="22"/>
        <v>2</v>
      </c>
      <c r="D102" s="205">
        <v>7953705000000</v>
      </c>
      <c r="E102" s="205">
        <v>136674260500</v>
      </c>
      <c r="F102" s="205">
        <v>164557862500</v>
      </c>
      <c r="G102" s="205">
        <v>927603601800</v>
      </c>
    </row>
    <row r="103" spans="1:7">
      <c r="A103" s="2102">
        <v>44242</v>
      </c>
      <c r="B103" s="211">
        <f t="shared" si="21"/>
        <v>2021</v>
      </c>
      <c r="C103" s="211">
        <f t="shared" si="22"/>
        <v>2</v>
      </c>
      <c r="D103" s="205">
        <v>7831050000000</v>
      </c>
      <c r="E103" s="205">
        <v>133915950500</v>
      </c>
      <c r="F103" s="205">
        <v>160465837500</v>
      </c>
      <c r="G103" s="205">
        <v>864548976300</v>
      </c>
    </row>
    <row r="104" spans="1:7">
      <c r="A104" s="2102">
        <v>44237</v>
      </c>
      <c r="B104" s="211">
        <f t="shared" si="21"/>
        <v>2021</v>
      </c>
      <c r="C104" s="211">
        <f t="shared" si="22"/>
        <v>2</v>
      </c>
      <c r="D104" s="205">
        <v>7793310000000</v>
      </c>
      <c r="E104" s="205">
        <v>134881359000</v>
      </c>
      <c r="F104" s="205">
        <v>160758125000</v>
      </c>
      <c r="G104" s="205">
        <v>836524698300</v>
      </c>
    </row>
    <row r="105" spans="1:7">
      <c r="A105" s="2102">
        <v>44236</v>
      </c>
      <c r="B105" s="211">
        <f t="shared" si="21"/>
        <v>2021</v>
      </c>
      <c r="C105" s="211">
        <f t="shared" si="22"/>
        <v>2</v>
      </c>
      <c r="D105" s="205">
        <v>7831050000000</v>
      </c>
      <c r="E105" s="205">
        <v>127296006500</v>
      </c>
      <c r="F105" s="205">
        <v>154912375000</v>
      </c>
      <c r="G105" s="205">
        <v>839327126100</v>
      </c>
    </row>
    <row r="106" spans="1:7">
      <c r="A106" s="2102">
        <v>44235</v>
      </c>
      <c r="B106" s="211">
        <f t="shared" si="21"/>
        <v>2021</v>
      </c>
      <c r="C106" s="211">
        <f t="shared" si="22"/>
        <v>2</v>
      </c>
      <c r="D106" s="205">
        <v>7783875000000</v>
      </c>
      <c r="E106" s="205">
        <v>123848119000</v>
      </c>
      <c r="F106" s="205">
        <v>156958387500</v>
      </c>
      <c r="G106" s="205">
        <v>832321056600</v>
      </c>
    </row>
    <row r="107" spans="1:7">
      <c r="A107" s="2102">
        <v>44232</v>
      </c>
      <c r="B107" s="211">
        <f t="shared" si="21"/>
        <v>2021</v>
      </c>
      <c r="C107" s="211">
        <f t="shared" si="22"/>
        <v>2</v>
      </c>
      <c r="D107" s="205">
        <v>7821615000000</v>
      </c>
      <c r="E107" s="205">
        <v>119021076500</v>
      </c>
      <c r="F107" s="205">
        <v>157835250000</v>
      </c>
      <c r="G107" s="205">
        <v>822512559300</v>
      </c>
    </row>
    <row r="108" spans="1:7">
      <c r="A108" s="2102">
        <v>44231</v>
      </c>
      <c r="B108" s="211">
        <f t="shared" si="21"/>
        <v>2021</v>
      </c>
      <c r="C108" s="211">
        <f t="shared" si="22"/>
        <v>2</v>
      </c>
      <c r="D108" s="205">
        <v>7717830000000</v>
      </c>
      <c r="E108" s="205">
        <v>122193133000</v>
      </c>
      <c r="F108" s="205">
        <v>160173550000</v>
      </c>
      <c r="G108" s="205">
        <v>809901634200</v>
      </c>
    </row>
    <row r="109" spans="1:7">
      <c r="A109" s="2102">
        <v>44230</v>
      </c>
      <c r="B109" s="211">
        <f t="shared" si="21"/>
        <v>2021</v>
      </c>
      <c r="C109" s="211">
        <f t="shared" si="22"/>
        <v>2</v>
      </c>
      <c r="D109" s="205">
        <v>7934835000000</v>
      </c>
      <c r="E109" s="205">
        <v>126054767000</v>
      </c>
      <c r="F109" s="205">
        <v>159881262500</v>
      </c>
      <c r="G109" s="205">
        <v>818308917600</v>
      </c>
    </row>
    <row r="110" spans="1:7">
      <c r="A110" s="2102">
        <v>44229</v>
      </c>
      <c r="B110" s="211">
        <f t="shared" si="21"/>
        <v>2021</v>
      </c>
      <c r="C110" s="211">
        <f t="shared" si="22"/>
        <v>2</v>
      </c>
      <c r="D110" s="205">
        <v>8057490000000</v>
      </c>
      <c r="E110" s="205">
        <v>121227724500</v>
      </c>
      <c r="F110" s="205">
        <v>159004400000</v>
      </c>
      <c r="G110" s="205">
        <v>826716201000</v>
      </c>
    </row>
    <row r="111" spans="1:7">
      <c r="A111" s="2102">
        <v>44228</v>
      </c>
      <c r="B111" s="211">
        <f t="shared" si="21"/>
        <v>2021</v>
      </c>
      <c r="C111" s="211">
        <f t="shared" si="22"/>
        <v>2</v>
      </c>
      <c r="D111" s="205">
        <v>8180145000000</v>
      </c>
      <c r="E111" s="205">
        <v>119296907500</v>
      </c>
      <c r="F111" s="205">
        <v>157835250000</v>
      </c>
      <c r="G111" s="205">
        <v>807099206400</v>
      </c>
    </row>
    <row r="112" spans="1:7">
      <c r="A112" s="2102">
        <v>44225</v>
      </c>
      <c r="B112" s="211">
        <f t="shared" si="21"/>
        <v>2021</v>
      </c>
      <c r="C112" s="211">
        <f t="shared" si="22"/>
        <v>1</v>
      </c>
      <c r="D112" s="205">
        <v>7661220000000</v>
      </c>
      <c r="E112" s="205">
        <v>119158992000</v>
      </c>
      <c r="F112" s="205">
        <v>156666100000</v>
      </c>
      <c r="G112" s="205">
        <v>798691923000</v>
      </c>
    </row>
    <row r="113" spans="1:7">
      <c r="A113" s="2102">
        <v>44224</v>
      </c>
      <c r="B113" s="211">
        <f t="shared" si="21"/>
        <v>2021</v>
      </c>
      <c r="C113" s="211">
        <f t="shared" si="22"/>
        <v>1</v>
      </c>
      <c r="D113" s="205">
        <v>7623480000000</v>
      </c>
      <c r="E113" s="205">
        <v>126468513500</v>
      </c>
      <c r="F113" s="205">
        <v>163973287500</v>
      </c>
      <c r="G113" s="205">
        <v>843530767800</v>
      </c>
    </row>
    <row r="114" spans="1:7">
      <c r="A114" s="2102">
        <v>44223</v>
      </c>
      <c r="B114" s="211">
        <f t="shared" si="21"/>
        <v>2021</v>
      </c>
      <c r="C114" s="211">
        <f t="shared" si="22"/>
        <v>1</v>
      </c>
      <c r="D114" s="205">
        <v>7765005000000</v>
      </c>
      <c r="E114" s="205">
        <v>135157190000</v>
      </c>
      <c r="F114" s="205">
        <v>168649887500</v>
      </c>
      <c r="G114" s="205">
        <v>875758687500</v>
      </c>
    </row>
    <row r="115" spans="1:7">
      <c r="A115" s="2102">
        <v>44222</v>
      </c>
      <c r="B115" s="211">
        <f t="shared" si="21"/>
        <v>2021</v>
      </c>
      <c r="C115" s="211">
        <f t="shared" si="22"/>
        <v>1</v>
      </c>
      <c r="D115" s="205">
        <v>7802745000000</v>
      </c>
      <c r="E115" s="205">
        <v>141777134000</v>
      </c>
      <c r="F115" s="205">
        <v>170988187500</v>
      </c>
      <c r="G115" s="205">
        <v>874357473600</v>
      </c>
    </row>
    <row r="116" spans="1:7">
      <c r="A116" s="2102">
        <v>44221</v>
      </c>
      <c r="B116" s="211">
        <f t="shared" si="21"/>
        <v>2021</v>
      </c>
      <c r="C116" s="211">
        <f t="shared" si="22"/>
        <v>1</v>
      </c>
      <c r="D116" s="205">
        <v>8085795000000</v>
      </c>
      <c r="E116" s="205">
        <v>141777134000</v>
      </c>
      <c r="F116" s="205">
        <v>173034200000</v>
      </c>
      <c r="G116" s="205">
        <v>863147762400</v>
      </c>
    </row>
    <row r="117" spans="1:7">
      <c r="A117" s="2102">
        <v>44218</v>
      </c>
      <c r="B117" s="211">
        <f t="shared" si="21"/>
        <v>2021</v>
      </c>
      <c r="C117" s="211">
        <f t="shared" si="22"/>
        <v>1</v>
      </c>
      <c r="D117" s="205">
        <v>8057490000000</v>
      </c>
      <c r="E117" s="205">
        <v>124813527500</v>
      </c>
      <c r="F117" s="205">
        <v>169819037500</v>
      </c>
      <c r="G117" s="205">
        <v>840728340000</v>
      </c>
    </row>
    <row r="118" spans="1:7">
      <c r="A118" s="2102">
        <v>44217</v>
      </c>
      <c r="B118" s="211">
        <f t="shared" si="21"/>
        <v>2021</v>
      </c>
      <c r="C118" s="211">
        <f t="shared" si="22"/>
        <v>1</v>
      </c>
      <c r="D118" s="205">
        <v>8217885000000</v>
      </c>
      <c r="E118" s="205">
        <v>116814428500</v>
      </c>
      <c r="F118" s="205">
        <v>166019300000</v>
      </c>
      <c r="G118" s="205">
        <v>847734409500</v>
      </c>
    </row>
    <row r="119" spans="1:7">
      <c r="A119" s="2102">
        <v>44216</v>
      </c>
      <c r="B119" s="211">
        <f t="shared" si="21"/>
        <v>2021</v>
      </c>
      <c r="C119" s="211">
        <f t="shared" si="22"/>
        <v>1</v>
      </c>
      <c r="D119" s="205">
        <v>7925400000000</v>
      </c>
      <c r="E119" s="205">
        <v>117228175000</v>
      </c>
      <c r="F119" s="205">
        <v>163388712500</v>
      </c>
      <c r="G119" s="205">
        <v>847734409500</v>
      </c>
    </row>
    <row r="120" spans="1:7">
      <c r="A120" s="2102">
        <v>44215</v>
      </c>
      <c r="B120" s="211">
        <f t="shared" si="21"/>
        <v>2021</v>
      </c>
      <c r="C120" s="211">
        <f t="shared" si="22"/>
        <v>1</v>
      </c>
      <c r="D120" s="205">
        <v>7887660000000</v>
      </c>
      <c r="E120" s="205">
        <v>117504006000</v>
      </c>
      <c r="F120" s="205">
        <v>162511850000</v>
      </c>
      <c r="G120" s="205">
        <v>850536837300</v>
      </c>
    </row>
    <row r="121" spans="1:7">
      <c r="A121" s="2102">
        <v>44214</v>
      </c>
      <c r="B121" s="211">
        <f t="shared" si="21"/>
        <v>2021</v>
      </c>
      <c r="C121" s="211">
        <f t="shared" si="22"/>
        <v>1</v>
      </c>
      <c r="D121" s="205">
        <v>7680090000000</v>
      </c>
      <c r="E121" s="205">
        <v>116124851000</v>
      </c>
      <c r="F121" s="205">
        <v>162804137500</v>
      </c>
      <c r="G121" s="205">
        <v>818308917600</v>
      </c>
    </row>
    <row r="122" spans="1:7">
      <c r="A122" s="2102">
        <v>44211</v>
      </c>
      <c r="B122" s="211">
        <f t="shared" si="21"/>
        <v>2021</v>
      </c>
      <c r="C122" s="211">
        <f t="shared" si="22"/>
        <v>1</v>
      </c>
      <c r="D122" s="205">
        <v>7783875000000</v>
      </c>
      <c r="E122" s="205">
        <v>117228175000</v>
      </c>
      <c r="F122" s="205">
        <v>165434725000</v>
      </c>
      <c r="G122" s="205">
        <v>835123484400</v>
      </c>
    </row>
    <row r="123" spans="1:7">
      <c r="A123" s="2102">
        <v>44210</v>
      </c>
      <c r="B123" s="211">
        <f t="shared" si="21"/>
        <v>2021</v>
      </c>
      <c r="C123" s="211">
        <f t="shared" si="22"/>
        <v>1</v>
      </c>
      <c r="D123" s="205">
        <v>7934835000000</v>
      </c>
      <c r="E123" s="205">
        <v>114331949500</v>
      </c>
      <c r="F123" s="205">
        <v>166311587500</v>
      </c>
      <c r="G123" s="205">
        <v>846333195600</v>
      </c>
    </row>
    <row r="124" spans="1:7">
      <c r="A124" s="2102">
        <v>44209</v>
      </c>
      <c r="B124" s="211">
        <f t="shared" si="21"/>
        <v>2021</v>
      </c>
      <c r="C124" s="211">
        <f t="shared" si="22"/>
        <v>1</v>
      </c>
      <c r="D124" s="205">
        <v>7982010000000</v>
      </c>
      <c r="E124" s="205">
        <v>114194034000</v>
      </c>
      <c r="F124" s="205">
        <v>165434725000</v>
      </c>
      <c r="G124" s="205">
        <v>842129553900</v>
      </c>
    </row>
    <row r="125" spans="1:7">
      <c r="A125" s="2102">
        <v>44208</v>
      </c>
      <c r="B125" s="211">
        <f t="shared" si="21"/>
        <v>2021</v>
      </c>
      <c r="C125" s="211">
        <f t="shared" si="22"/>
        <v>1</v>
      </c>
      <c r="D125" s="205">
        <v>7897095000000</v>
      </c>
      <c r="E125" s="205">
        <v>115711104500</v>
      </c>
      <c r="F125" s="205">
        <v>165727012500</v>
      </c>
      <c r="G125" s="205">
        <v>833722270500</v>
      </c>
    </row>
    <row r="126" spans="1:7">
      <c r="A126" s="2102">
        <v>44207</v>
      </c>
      <c r="B126" s="211">
        <f t="shared" si="21"/>
        <v>2021</v>
      </c>
      <c r="C126" s="211">
        <f t="shared" si="22"/>
        <v>1</v>
      </c>
      <c r="D126" s="205">
        <v>7953705000000</v>
      </c>
      <c r="E126" s="205">
        <v>110746146500</v>
      </c>
      <c r="F126" s="205">
        <v>166311587500</v>
      </c>
      <c r="G126" s="205">
        <v>846333195600</v>
      </c>
    </row>
    <row r="127" spans="1:7">
      <c r="A127" s="2102">
        <v>44204</v>
      </c>
      <c r="B127" s="211">
        <f t="shared" si="21"/>
        <v>2021</v>
      </c>
      <c r="C127" s="211">
        <f t="shared" si="22"/>
        <v>1</v>
      </c>
      <c r="D127" s="205">
        <v>8293365000000</v>
      </c>
      <c r="E127" s="205">
        <v>115849020000</v>
      </c>
      <c r="F127" s="205">
        <v>170403612500</v>
      </c>
      <c r="G127" s="205">
        <v>875758687500</v>
      </c>
    </row>
    <row r="128" spans="1:7">
      <c r="A128" s="2102">
        <v>44203</v>
      </c>
      <c r="B128" s="211">
        <f t="shared" si="21"/>
        <v>2021</v>
      </c>
      <c r="C128" s="211">
        <f t="shared" si="22"/>
        <v>1</v>
      </c>
      <c r="D128" s="205">
        <v>8349975000000</v>
      </c>
      <c r="E128" s="205">
        <v>118331499000</v>
      </c>
      <c r="F128" s="205">
        <v>172449625000</v>
      </c>
      <c r="G128" s="205">
        <v>865950190200</v>
      </c>
    </row>
    <row r="129" spans="1:7">
      <c r="A129" s="2102">
        <v>44202</v>
      </c>
      <c r="B129" s="211">
        <f t="shared" si="21"/>
        <v>2021</v>
      </c>
      <c r="C129" s="211">
        <f t="shared" si="22"/>
        <v>1</v>
      </c>
      <c r="D129" s="205">
        <v>8293365000000</v>
      </c>
      <c r="E129" s="205">
        <v>115159442500</v>
      </c>
      <c r="F129" s="205">
        <v>171865050000</v>
      </c>
      <c r="G129" s="205">
        <v>814105275900</v>
      </c>
    </row>
    <row r="130" spans="1:7">
      <c r="A130" s="2102">
        <v>44201</v>
      </c>
      <c r="B130" s="211">
        <f t="shared" si="21"/>
        <v>2021</v>
      </c>
      <c r="C130" s="211">
        <f t="shared" si="22"/>
        <v>1</v>
      </c>
      <c r="D130" s="205">
        <v>8529240000000</v>
      </c>
      <c r="E130" s="205">
        <v>110470315500</v>
      </c>
      <c r="F130" s="205">
        <v>172157337500</v>
      </c>
      <c r="G130" s="205">
        <v>825314987100</v>
      </c>
    </row>
    <row r="131" spans="1:7">
      <c r="A131" s="2102">
        <v>44200</v>
      </c>
      <c r="B131" s="211">
        <f t="shared" si="21"/>
        <v>2021</v>
      </c>
      <c r="C131" s="211">
        <f t="shared" si="22"/>
        <v>1</v>
      </c>
      <c r="D131" s="205">
        <v>7566870000000</v>
      </c>
      <c r="E131" s="205">
        <v>110746146500</v>
      </c>
      <c r="F131" s="205">
        <v>173326487500</v>
      </c>
      <c r="G131" s="205">
        <v>790284639600</v>
      </c>
    </row>
    <row r="132" spans="1:7">
      <c r="A132" s="2102">
        <v>44195</v>
      </c>
      <c r="B132" s="211">
        <f t="shared" si="21"/>
        <v>2020</v>
      </c>
      <c r="C132" s="211">
        <f t="shared" si="22"/>
        <v>12</v>
      </c>
      <c r="D132" s="205">
        <v>7576305000000</v>
      </c>
      <c r="E132" s="205">
        <v>111435724000</v>
      </c>
      <c r="F132" s="205">
        <v>172157337500</v>
      </c>
      <c r="G132" s="205">
        <v>783278570100</v>
      </c>
    </row>
    <row r="133" spans="1:7">
      <c r="A133" s="2102">
        <v>44194</v>
      </c>
      <c r="B133" s="211">
        <f t="shared" si="21"/>
        <v>2020</v>
      </c>
      <c r="C133" s="211">
        <f t="shared" si="22"/>
        <v>12</v>
      </c>
      <c r="D133" s="205">
        <v>7604610000000</v>
      </c>
      <c r="E133" s="205">
        <v>110056569000</v>
      </c>
      <c r="F133" s="205">
        <v>173911062500</v>
      </c>
      <c r="G133" s="205">
        <v>756655506000</v>
      </c>
    </row>
    <row r="134" spans="1:7">
      <c r="A134" s="2102">
        <v>44193</v>
      </c>
      <c r="B134" s="211">
        <f t="shared" si="21"/>
        <v>2020</v>
      </c>
      <c r="C134" s="211">
        <f t="shared" si="22"/>
        <v>12</v>
      </c>
      <c r="D134" s="205">
        <v>7849920000000</v>
      </c>
      <c r="E134" s="205">
        <v>107849921000</v>
      </c>
      <c r="F134" s="205">
        <v>178295375000</v>
      </c>
      <c r="G134" s="205">
        <v>762260361600</v>
      </c>
    </row>
    <row r="135" spans="1:7">
      <c r="A135" s="2102">
        <v>44189</v>
      </c>
      <c r="B135" s="211">
        <f t="shared" si="21"/>
        <v>2020</v>
      </c>
      <c r="C135" s="211">
        <f t="shared" si="22"/>
        <v>12</v>
      </c>
      <c r="D135" s="205">
        <v>7793310000000</v>
      </c>
      <c r="E135" s="205">
        <v>107022428000</v>
      </c>
      <c r="F135" s="205">
        <v>175664787500</v>
      </c>
      <c r="G135" s="205">
        <v>767865217200</v>
      </c>
    </row>
    <row r="136" spans="1:7">
      <c r="A136" s="2102">
        <v>44188</v>
      </c>
      <c r="B136" s="211">
        <f t="shared" si="21"/>
        <v>2020</v>
      </c>
      <c r="C136" s="211">
        <f t="shared" si="22"/>
        <v>12</v>
      </c>
      <c r="D136" s="205">
        <v>7783875000000</v>
      </c>
      <c r="E136" s="205">
        <v>105643273000</v>
      </c>
      <c r="F136" s="205">
        <v>173911062500</v>
      </c>
      <c r="G136" s="205">
        <v>759457933800</v>
      </c>
    </row>
    <row r="137" spans="1:7">
      <c r="A137" s="2102">
        <v>44187</v>
      </c>
      <c r="B137" s="211">
        <f t="shared" si="21"/>
        <v>2020</v>
      </c>
      <c r="C137" s="211">
        <f t="shared" si="22"/>
        <v>12</v>
      </c>
      <c r="D137" s="205">
        <v>7802745000000</v>
      </c>
      <c r="E137" s="205">
        <v>103988287000</v>
      </c>
      <c r="F137" s="205">
        <v>174787925000</v>
      </c>
      <c r="G137" s="205">
        <v>772068858900</v>
      </c>
    </row>
    <row r="138" spans="1:7">
      <c r="A138" s="2102">
        <v>44186</v>
      </c>
      <c r="B138" s="211">
        <f t="shared" ref="B138:B201" si="23">YEAR(A138)</f>
        <v>2020</v>
      </c>
      <c r="C138" s="211">
        <f t="shared" ref="C138:C201" si="24">MONTH(A138)</f>
        <v>12</v>
      </c>
      <c r="D138" s="205">
        <v>7982010000000</v>
      </c>
      <c r="E138" s="205">
        <v>108677414000</v>
      </c>
      <c r="F138" s="205">
        <v>178295375000</v>
      </c>
      <c r="G138" s="205">
        <v>790284639600</v>
      </c>
    </row>
    <row r="139" spans="1:7">
      <c r="A139" s="2102">
        <v>44183</v>
      </c>
      <c r="B139" s="211">
        <f t="shared" si="23"/>
        <v>2020</v>
      </c>
      <c r="C139" s="211">
        <f t="shared" si="24"/>
        <v>12</v>
      </c>
      <c r="D139" s="205">
        <v>7651785000000</v>
      </c>
      <c r="E139" s="205">
        <v>109642822500</v>
      </c>
      <c r="F139" s="205">
        <v>182387400000</v>
      </c>
      <c r="G139" s="205">
        <v>787482211800</v>
      </c>
    </row>
    <row r="140" spans="1:7">
      <c r="A140" s="2102">
        <v>44182</v>
      </c>
      <c r="B140" s="211">
        <f t="shared" si="23"/>
        <v>2020</v>
      </c>
      <c r="C140" s="211">
        <f t="shared" si="24"/>
        <v>12</v>
      </c>
      <c r="D140" s="205">
        <v>7680090000000</v>
      </c>
      <c r="E140" s="205">
        <v>110470315500</v>
      </c>
      <c r="F140" s="205">
        <v>183264262500</v>
      </c>
      <c r="G140" s="205">
        <v>786080997900</v>
      </c>
    </row>
    <row r="141" spans="1:7">
      <c r="A141" s="2102">
        <v>44181</v>
      </c>
      <c r="B141" s="211">
        <f t="shared" si="23"/>
        <v>2020</v>
      </c>
      <c r="C141" s="211">
        <f t="shared" si="24"/>
        <v>12</v>
      </c>
      <c r="D141" s="205">
        <v>7538565000000</v>
      </c>
      <c r="E141" s="205">
        <v>109366991500</v>
      </c>
      <c r="F141" s="205">
        <v>186187137500</v>
      </c>
      <c r="G141" s="205">
        <v>798691923000</v>
      </c>
    </row>
    <row r="142" spans="1:7">
      <c r="A142" s="2102">
        <v>44180</v>
      </c>
      <c r="B142" s="211">
        <f t="shared" si="23"/>
        <v>2020</v>
      </c>
      <c r="C142" s="211">
        <f t="shared" si="24"/>
        <v>12</v>
      </c>
      <c r="D142" s="205">
        <v>7510260000000</v>
      </c>
      <c r="E142" s="205">
        <v>106470766000</v>
      </c>
      <c r="F142" s="205">
        <v>187064000000</v>
      </c>
      <c r="G142" s="205">
        <v>787482211800</v>
      </c>
    </row>
    <row r="143" spans="1:7">
      <c r="A143" s="2102">
        <v>44179</v>
      </c>
      <c r="B143" s="211">
        <f t="shared" si="23"/>
        <v>2020</v>
      </c>
      <c r="C143" s="211">
        <f t="shared" si="24"/>
        <v>12</v>
      </c>
      <c r="D143" s="205">
        <v>7434780000000</v>
      </c>
      <c r="E143" s="205">
        <v>108539498500</v>
      </c>
      <c r="F143" s="205">
        <v>182679687500</v>
      </c>
      <c r="G143" s="205">
        <v>797290709100</v>
      </c>
    </row>
    <row r="144" spans="1:7">
      <c r="A144" s="2102">
        <v>44176</v>
      </c>
      <c r="B144" s="211">
        <f t="shared" si="23"/>
        <v>2020</v>
      </c>
      <c r="C144" s="211">
        <f t="shared" si="24"/>
        <v>12</v>
      </c>
      <c r="D144" s="205">
        <v>7397040000000</v>
      </c>
      <c r="E144" s="205">
        <v>108953245000</v>
      </c>
      <c r="F144" s="205">
        <v>186479425000</v>
      </c>
      <c r="G144" s="205">
        <v>821111345400</v>
      </c>
    </row>
    <row r="145" spans="1:7">
      <c r="A145" s="2102">
        <v>44175</v>
      </c>
      <c r="B145" s="211">
        <f t="shared" si="23"/>
        <v>2020</v>
      </c>
      <c r="C145" s="211">
        <f t="shared" si="24"/>
        <v>12</v>
      </c>
      <c r="D145" s="205">
        <v>7349865000000</v>
      </c>
      <c r="E145" s="205">
        <v>108953245000</v>
      </c>
      <c r="F145" s="205">
        <v>170403612500</v>
      </c>
      <c r="G145" s="205">
        <v>809901634200</v>
      </c>
    </row>
    <row r="146" spans="1:7">
      <c r="A146" s="2102">
        <v>44174</v>
      </c>
      <c r="B146" s="211">
        <f t="shared" si="23"/>
        <v>2020</v>
      </c>
      <c r="C146" s="211">
        <f t="shared" si="24"/>
        <v>12</v>
      </c>
      <c r="D146" s="205">
        <v>7453650000000</v>
      </c>
      <c r="E146" s="205">
        <v>108677414000</v>
      </c>
      <c r="F146" s="205">
        <v>171572762500</v>
      </c>
      <c r="G146" s="205">
        <v>814105275900</v>
      </c>
    </row>
    <row r="147" spans="1:7">
      <c r="A147" s="2102">
        <v>44173</v>
      </c>
      <c r="B147" s="211">
        <f t="shared" si="23"/>
        <v>2020</v>
      </c>
      <c r="C147" s="211">
        <f t="shared" si="24"/>
        <v>12</v>
      </c>
      <c r="D147" s="205">
        <v>7397040000000</v>
      </c>
      <c r="E147" s="205">
        <v>108401583000</v>
      </c>
      <c r="F147" s="205">
        <v>170111325000</v>
      </c>
      <c r="G147" s="205">
        <v>805697992500</v>
      </c>
    </row>
    <row r="148" spans="1:7">
      <c r="A148" s="2102">
        <v>44172</v>
      </c>
      <c r="B148" s="211">
        <f t="shared" si="23"/>
        <v>2020</v>
      </c>
      <c r="C148" s="211">
        <f t="shared" si="24"/>
        <v>12</v>
      </c>
      <c r="D148" s="205">
        <v>7491390000000</v>
      </c>
      <c r="E148" s="205">
        <v>106057019500</v>
      </c>
      <c r="F148" s="205">
        <v>167773025000</v>
      </c>
      <c r="G148" s="205">
        <v>821111345400</v>
      </c>
    </row>
    <row r="149" spans="1:7">
      <c r="A149" s="2102">
        <v>44169</v>
      </c>
      <c r="B149" s="211">
        <f t="shared" si="23"/>
        <v>2020</v>
      </c>
      <c r="C149" s="211">
        <f t="shared" si="24"/>
        <v>12</v>
      </c>
      <c r="D149" s="205">
        <v>7510260000000</v>
      </c>
      <c r="E149" s="205">
        <v>105505357500</v>
      </c>
      <c r="F149" s="205">
        <v>169234462500</v>
      </c>
      <c r="G149" s="205">
        <v>807099206400</v>
      </c>
    </row>
    <row r="150" spans="1:7">
      <c r="A150" s="2102">
        <v>44168</v>
      </c>
      <c r="B150" s="211">
        <f t="shared" si="23"/>
        <v>2020</v>
      </c>
      <c r="C150" s="211">
        <f t="shared" si="24"/>
        <v>12</v>
      </c>
      <c r="D150" s="205">
        <v>7397040000000</v>
      </c>
      <c r="E150" s="205">
        <v>107574090000</v>
      </c>
      <c r="F150" s="205">
        <v>170695900000</v>
      </c>
      <c r="G150" s="205">
        <v>776272500600</v>
      </c>
    </row>
    <row r="151" spans="1:7">
      <c r="A151" s="2102">
        <v>44167</v>
      </c>
      <c r="B151" s="211">
        <f t="shared" si="23"/>
        <v>2020</v>
      </c>
      <c r="C151" s="211">
        <f t="shared" si="24"/>
        <v>12</v>
      </c>
      <c r="D151" s="205">
        <v>7406475000000</v>
      </c>
      <c r="E151" s="205">
        <v>108539498500</v>
      </c>
      <c r="F151" s="205">
        <v>173326487500</v>
      </c>
      <c r="G151" s="205">
        <v>777673714500</v>
      </c>
    </row>
    <row r="152" spans="1:7">
      <c r="A152" s="2102">
        <v>44166</v>
      </c>
      <c r="B152" s="211">
        <f t="shared" si="23"/>
        <v>2020</v>
      </c>
      <c r="C152" s="211">
        <f t="shared" si="24"/>
        <v>12</v>
      </c>
      <c r="D152" s="205">
        <v>7359300000000</v>
      </c>
      <c r="E152" s="205">
        <v>107298259000</v>
      </c>
      <c r="F152" s="205">
        <v>165434725000</v>
      </c>
      <c r="G152" s="205">
        <v>774871286700</v>
      </c>
    </row>
    <row r="153" spans="1:7">
      <c r="A153" s="2102">
        <v>44165</v>
      </c>
      <c r="B153" s="211">
        <f t="shared" si="23"/>
        <v>2020</v>
      </c>
      <c r="C153" s="211">
        <f t="shared" si="24"/>
        <v>11</v>
      </c>
      <c r="D153" s="205">
        <v>7151730000000</v>
      </c>
      <c r="E153" s="205">
        <v>105919104000</v>
      </c>
      <c r="F153" s="205">
        <v>166311587500</v>
      </c>
      <c r="G153" s="205">
        <v>767865217200</v>
      </c>
    </row>
    <row r="154" spans="1:7">
      <c r="A154" s="2102">
        <v>44162</v>
      </c>
      <c r="B154" s="211">
        <f t="shared" si="23"/>
        <v>2020</v>
      </c>
      <c r="C154" s="211">
        <f t="shared" si="24"/>
        <v>11</v>
      </c>
      <c r="D154" s="205">
        <v>7330995000000</v>
      </c>
      <c r="E154" s="205">
        <v>103574540500</v>
      </c>
      <c r="F154" s="205">
        <v>166019300000</v>
      </c>
      <c r="G154" s="205">
        <v>755254292100</v>
      </c>
    </row>
    <row r="155" spans="1:7">
      <c r="A155" s="2102">
        <v>44161</v>
      </c>
      <c r="B155" s="211">
        <f t="shared" si="23"/>
        <v>2020</v>
      </c>
      <c r="C155" s="211">
        <f t="shared" si="24"/>
        <v>11</v>
      </c>
      <c r="D155" s="205">
        <v>7359300000000</v>
      </c>
      <c r="E155" s="205">
        <v>103160794000</v>
      </c>
      <c r="F155" s="205">
        <v>163681000000</v>
      </c>
      <c r="G155" s="205">
        <v>751050650400</v>
      </c>
    </row>
    <row r="156" spans="1:7">
      <c r="A156" s="2102">
        <v>44160</v>
      </c>
      <c r="B156" s="211">
        <f t="shared" si="23"/>
        <v>2020</v>
      </c>
      <c r="C156" s="211">
        <f t="shared" si="24"/>
        <v>11</v>
      </c>
      <c r="D156" s="205">
        <v>7406475000000</v>
      </c>
      <c r="E156" s="205">
        <v>102609132000</v>
      </c>
      <c r="F156" s="205">
        <v>162511850000</v>
      </c>
      <c r="G156" s="205">
        <v>752451864300</v>
      </c>
    </row>
    <row r="157" spans="1:7">
      <c r="A157" s="2102">
        <v>44159</v>
      </c>
      <c r="B157" s="211">
        <f t="shared" si="23"/>
        <v>2020</v>
      </c>
      <c r="C157" s="211">
        <f t="shared" si="24"/>
        <v>11</v>
      </c>
      <c r="D157" s="205">
        <v>7444215000000</v>
      </c>
      <c r="E157" s="205">
        <v>104539949000</v>
      </c>
      <c r="F157" s="205">
        <v>166019300000</v>
      </c>
      <c r="G157" s="205">
        <v>762260361600</v>
      </c>
    </row>
    <row r="158" spans="1:7">
      <c r="A158" s="2102">
        <v>44158</v>
      </c>
      <c r="B158" s="211">
        <f t="shared" si="23"/>
        <v>2020</v>
      </c>
      <c r="C158" s="211">
        <f t="shared" si="24"/>
        <v>11</v>
      </c>
      <c r="D158" s="205">
        <v>7425345000000</v>
      </c>
      <c r="E158" s="205">
        <v>105091611000</v>
      </c>
      <c r="F158" s="205">
        <v>165434725000</v>
      </c>
      <c r="G158" s="205">
        <v>770667645000</v>
      </c>
    </row>
    <row r="159" spans="1:7">
      <c r="A159" s="2102">
        <v>44155</v>
      </c>
      <c r="B159" s="211">
        <f t="shared" si="23"/>
        <v>2020</v>
      </c>
      <c r="C159" s="211">
        <f t="shared" si="24"/>
        <v>11</v>
      </c>
      <c r="D159" s="205">
        <v>7321560000000</v>
      </c>
      <c r="E159" s="205">
        <v>105643273000</v>
      </c>
      <c r="F159" s="205">
        <v>164850150000</v>
      </c>
      <c r="G159" s="205">
        <v>734236083600</v>
      </c>
    </row>
    <row r="160" spans="1:7">
      <c r="A160" s="2102">
        <v>44154</v>
      </c>
      <c r="B160" s="211">
        <f t="shared" si="23"/>
        <v>2020</v>
      </c>
      <c r="C160" s="211">
        <f t="shared" si="24"/>
        <v>11</v>
      </c>
      <c r="D160" s="205">
        <v>7236645000000</v>
      </c>
      <c r="E160" s="205">
        <v>103022878500</v>
      </c>
      <c r="F160" s="205">
        <v>163973287500</v>
      </c>
      <c r="G160" s="205">
        <v>730032441900</v>
      </c>
    </row>
    <row r="161" spans="1:7">
      <c r="A161" s="2102">
        <v>44153</v>
      </c>
      <c r="B161" s="211">
        <f t="shared" si="23"/>
        <v>2020</v>
      </c>
      <c r="C161" s="211">
        <f t="shared" si="24"/>
        <v>11</v>
      </c>
      <c r="D161" s="205">
        <v>7264950000000</v>
      </c>
      <c r="E161" s="205">
        <v>102195385500</v>
      </c>
      <c r="F161" s="205">
        <v>163096425000</v>
      </c>
      <c r="G161" s="205">
        <v>735637297500</v>
      </c>
    </row>
    <row r="162" spans="1:7">
      <c r="A162" s="2102">
        <v>44152</v>
      </c>
      <c r="B162" s="211">
        <f t="shared" si="23"/>
        <v>2020</v>
      </c>
      <c r="C162" s="211">
        <f t="shared" si="24"/>
        <v>11</v>
      </c>
      <c r="D162" s="205">
        <v>7264950000000</v>
      </c>
      <c r="E162" s="205">
        <v>102747047500</v>
      </c>
      <c r="F162" s="205">
        <v>162219562500</v>
      </c>
      <c r="G162" s="205">
        <v>746847008700</v>
      </c>
    </row>
    <row r="163" spans="1:7">
      <c r="A163" s="2102">
        <v>44151</v>
      </c>
      <c r="B163" s="211">
        <f t="shared" si="23"/>
        <v>2020</v>
      </c>
      <c r="C163" s="211">
        <f t="shared" si="24"/>
        <v>11</v>
      </c>
      <c r="D163" s="205">
        <v>7283820000000</v>
      </c>
      <c r="E163" s="205">
        <v>106057019500</v>
      </c>
      <c r="F163" s="205">
        <v>167188450000</v>
      </c>
      <c r="G163" s="205">
        <v>744044580900</v>
      </c>
    </row>
    <row r="164" spans="1:7">
      <c r="A164" s="2102">
        <v>44148</v>
      </c>
      <c r="B164" s="211">
        <f t="shared" si="23"/>
        <v>2020</v>
      </c>
      <c r="C164" s="211">
        <f t="shared" si="24"/>
        <v>11</v>
      </c>
      <c r="D164" s="205">
        <v>7264950000000</v>
      </c>
      <c r="E164" s="205">
        <v>104126202500</v>
      </c>
      <c r="F164" s="205">
        <v>163096425000</v>
      </c>
      <c r="G164" s="205">
        <v>725828800200</v>
      </c>
    </row>
    <row r="165" spans="1:7">
      <c r="A165" s="2102">
        <v>44147</v>
      </c>
      <c r="B165" s="211">
        <f t="shared" si="23"/>
        <v>2020</v>
      </c>
      <c r="C165" s="211">
        <f t="shared" si="24"/>
        <v>11</v>
      </c>
      <c r="D165" s="205">
        <v>7397040000000</v>
      </c>
      <c r="E165" s="205">
        <v>109091160500</v>
      </c>
      <c r="F165" s="205">
        <v>180633675000</v>
      </c>
      <c r="G165" s="205">
        <v>737038511400</v>
      </c>
    </row>
    <row r="166" spans="1:7">
      <c r="A166" s="2102">
        <v>44146</v>
      </c>
      <c r="B166" s="211">
        <f t="shared" si="23"/>
        <v>2020</v>
      </c>
      <c r="C166" s="211">
        <f t="shared" si="24"/>
        <v>11</v>
      </c>
      <c r="D166" s="205">
        <v>7406475000000</v>
      </c>
      <c r="E166" s="205">
        <v>100954146000</v>
      </c>
      <c r="F166" s="205">
        <v>155496950000</v>
      </c>
      <c r="G166" s="205">
        <v>749649436500</v>
      </c>
    </row>
    <row r="167" spans="1:7">
      <c r="A167" s="2102">
        <v>44145</v>
      </c>
      <c r="B167" s="211">
        <f t="shared" si="23"/>
        <v>2020</v>
      </c>
      <c r="C167" s="211">
        <f t="shared" si="24"/>
        <v>11</v>
      </c>
      <c r="D167" s="205">
        <v>7359300000000</v>
      </c>
      <c r="E167" s="205">
        <v>100954146000</v>
      </c>
      <c r="F167" s="205">
        <v>151989500000</v>
      </c>
      <c r="G167" s="205">
        <v>741242153100</v>
      </c>
    </row>
    <row r="168" spans="1:7">
      <c r="A168" s="2102">
        <v>44144</v>
      </c>
      <c r="B168" s="211">
        <f t="shared" si="23"/>
        <v>2020</v>
      </c>
      <c r="C168" s="211">
        <f t="shared" si="24"/>
        <v>11</v>
      </c>
      <c r="D168" s="205">
        <v>7434780000000</v>
      </c>
      <c r="E168" s="205">
        <v>98885413500</v>
      </c>
      <c r="F168" s="205">
        <v>149358912500</v>
      </c>
      <c r="G168" s="205">
        <v>721625158500</v>
      </c>
    </row>
    <row r="169" spans="1:7">
      <c r="A169" s="2102">
        <v>44141</v>
      </c>
      <c r="B169" s="211">
        <f t="shared" si="23"/>
        <v>2020</v>
      </c>
      <c r="C169" s="211">
        <f t="shared" si="24"/>
        <v>11</v>
      </c>
      <c r="D169" s="205">
        <v>7434780000000</v>
      </c>
      <c r="E169" s="205">
        <v>96816681000</v>
      </c>
      <c r="F169" s="205">
        <v>147897475000</v>
      </c>
      <c r="G169" s="205">
        <v>709014233400</v>
      </c>
    </row>
    <row r="170" spans="1:7">
      <c r="A170" s="2102">
        <v>44140</v>
      </c>
      <c r="B170" s="211">
        <f t="shared" si="23"/>
        <v>2020</v>
      </c>
      <c r="C170" s="211">
        <f t="shared" si="24"/>
        <v>11</v>
      </c>
      <c r="D170" s="205">
        <v>7321560000000</v>
      </c>
      <c r="E170" s="205">
        <v>98057920500</v>
      </c>
      <c r="F170" s="205">
        <v>148482050000</v>
      </c>
      <c r="G170" s="205">
        <v>713217875100</v>
      </c>
    </row>
    <row r="171" spans="1:7">
      <c r="A171" s="2102">
        <v>44139</v>
      </c>
      <c r="B171" s="211">
        <f t="shared" si="23"/>
        <v>2020</v>
      </c>
      <c r="C171" s="211">
        <f t="shared" si="24"/>
        <v>11</v>
      </c>
      <c r="D171" s="205">
        <v>7312125000000</v>
      </c>
      <c r="E171" s="205">
        <v>96540850000</v>
      </c>
      <c r="F171" s="205">
        <v>147312900000</v>
      </c>
      <c r="G171" s="205">
        <v>693600880500</v>
      </c>
    </row>
    <row r="172" spans="1:7">
      <c r="A172" s="2102">
        <v>44138</v>
      </c>
      <c r="B172" s="211">
        <f t="shared" si="23"/>
        <v>2020</v>
      </c>
      <c r="C172" s="211">
        <f t="shared" si="24"/>
        <v>11</v>
      </c>
      <c r="D172" s="205">
        <v>7340430000000</v>
      </c>
      <c r="E172" s="205">
        <v>95713357000</v>
      </c>
      <c r="F172" s="205">
        <v>147312900000</v>
      </c>
      <c r="G172" s="205">
        <v>711816661200</v>
      </c>
    </row>
    <row r="173" spans="1:7">
      <c r="A173" s="2102">
        <v>44137</v>
      </c>
      <c r="B173" s="211">
        <f t="shared" si="23"/>
        <v>2020</v>
      </c>
      <c r="C173" s="211">
        <f t="shared" si="24"/>
        <v>11</v>
      </c>
      <c r="D173" s="205">
        <v>7246080000000</v>
      </c>
      <c r="E173" s="205">
        <v>94610033000</v>
      </c>
      <c r="F173" s="205">
        <v>147020612500</v>
      </c>
      <c r="G173" s="205">
        <v>693600880500</v>
      </c>
    </row>
    <row r="174" spans="1:7">
      <c r="A174" s="2102">
        <v>44134</v>
      </c>
      <c r="B174" s="211">
        <f t="shared" si="23"/>
        <v>2020</v>
      </c>
      <c r="C174" s="211">
        <f t="shared" si="24"/>
        <v>10</v>
      </c>
      <c r="D174" s="205">
        <v>7217775000000</v>
      </c>
      <c r="E174" s="205">
        <v>95161695000</v>
      </c>
      <c r="F174" s="205">
        <v>145851462500</v>
      </c>
      <c r="G174" s="205">
        <v>685193597100</v>
      </c>
    </row>
    <row r="175" spans="1:7">
      <c r="A175" s="2102">
        <v>44133</v>
      </c>
      <c r="B175" s="211">
        <f t="shared" si="23"/>
        <v>2020</v>
      </c>
      <c r="C175" s="211">
        <f t="shared" si="24"/>
        <v>10</v>
      </c>
      <c r="D175" s="205">
        <v>7198905000000</v>
      </c>
      <c r="E175" s="205">
        <v>96265019000</v>
      </c>
      <c r="F175" s="205">
        <v>146143750000</v>
      </c>
      <c r="G175" s="205">
        <v>714619089000</v>
      </c>
    </row>
    <row r="176" spans="1:7">
      <c r="A176" s="2102">
        <v>44132</v>
      </c>
      <c r="B176" s="211">
        <f t="shared" si="23"/>
        <v>2020</v>
      </c>
      <c r="C176" s="211">
        <f t="shared" si="24"/>
        <v>10</v>
      </c>
      <c r="D176" s="205">
        <v>7180035000000</v>
      </c>
      <c r="E176" s="205">
        <v>96954596500</v>
      </c>
      <c r="F176" s="205">
        <v>147020612500</v>
      </c>
      <c r="G176" s="205">
        <v>739840939200</v>
      </c>
    </row>
    <row r="177" spans="1:7">
      <c r="A177" s="2102">
        <v>44131</v>
      </c>
      <c r="B177" s="211">
        <f t="shared" si="23"/>
        <v>2020</v>
      </c>
      <c r="C177" s="211">
        <f t="shared" si="24"/>
        <v>10</v>
      </c>
      <c r="D177" s="205">
        <v>7132860000000</v>
      </c>
      <c r="E177" s="205">
        <v>95989188000</v>
      </c>
      <c r="F177" s="205">
        <v>145997606250</v>
      </c>
      <c r="G177" s="205">
        <v>723026372400</v>
      </c>
    </row>
    <row r="178" spans="1:7">
      <c r="A178" s="2102">
        <v>44130</v>
      </c>
      <c r="B178" s="211">
        <f t="shared" si="23"/>
        <v>2020</v>
      </c>
      <c r="C178" s="211">
        <f t="shared" si="24"/>
        <v>10</v>
      </c>
      <c r="D178" s="205">
        <v>7132860000000</v>
      </c>
      <c r="E178" s="205">
        <v>96954596500</v>
      </c>
      <c r="F178" s="205">
        <v>145997606250</v>
      </c>
      <c r="G178" s="205">
        <v>738439725300</v>
      </c>
    </row>
    <row r="179" spans="1:7">
      <c r="A179" s="2102">
        <v>44127</v>
      </c>
      <c r="B179" s="211">
        <f t="shared" si="23"/>
        <v>2020</v>
      </c>
      <c r="C179" s="211">
        <f t="shared" si="24"/>
        <v>10</v>
      </c>
      <c r="D179" s="205">
        <v>7340430000000</v>
      </c>
      <c r="E179" s="205">
        <v>98747498000</v>
      </c>
      <c r="F179" s="205">
        <v>148482050000</v>
      </c>
      <c r="G179" s="205">
        <v>753853078200</v>
      </c>
    </row>
    <row r="180" spans="1:7">
      <c r="A180" s="2102">
        <v>44126</v>
      </c>
      <c r="B180" s="211">
        <f t="shared" si="23"/>
        <v>2020</v>
      </c>
      <c r="C180" s="211">
        <f t="shared" si="24"/>
        <v>10</v>
      </c>
      <c r="D180" s="205">
        <v>7283820000000</v>
      </c>
      <c r="E180" s="205">
        <v>97920005000</v>
      </c>
      <c r="F180" s="205">
        <v>147312900000</v>
      </c>
      <c r="G180" s="205">
        <v>776272500600</v>
      </c>
    </row>
    <row r="181" spans="1:7">
      <c r="A181" s="2102">
        <v>44125</v>
      </c>
      <c r="B181" s="211">
        <f t="shared" si="23"/>
        <v>2020</v>
      </c>
      <c r="C181" s="211">
        <f t="shared" si="24"/>
        <v>10</v>
      </c>
      <c r="D181" s="205">
        <v>6991335000000</v>
      </c>
      <c r="E181" s="205">
        <v>96954596500</v>
      </c>
      <c r="F181" s="205">
        <v>147605187500</v>
      </c>
      <c r="G181" s="205">
        <v>756655506000</v>
      </c>
    </row>
    <row r="182" spans="1:7">
      <c r="A182" s="2102">
        <v>44124</v>
      </c>
      <c r="B182" s="211">
        <f t="shared" si="23"/>
        <v>2020</v>
      </c>
      <c r="C182" s="211">
        <f t="shared" si="24"/>
        <v>10</v>
      </c>
      <c r="D182" s="205">
        <v>6991335000000</v>
      </c>
      <c r="E182" s="205">
        <v>95161695000</v>
      </c>
      <c r="F182" s="205">
        <v>147897475000</v>
      </c>
      <c r="G182" s="205">
        <v>718822730700</v>
      </c>
    </row>
    <row r="183" spans="1:7">
      <c r="A183" s="2102">
        <v>44123</v>
      </c>
      <c r="B183" s="211">
        <f t="shared" si="23"/>
        <v>2020</v>
      </c>
      <c r="C183" s="211">
        <f t="shared" si="24"/>
        <v>10</v>
      </c>
      <c r="D183" s="205">
        <v>7057380000000</v>
      </c>
      <c r="E183" s="205">
        <v>98057920500</v>
      </c>
      <c r="F183" s="205">
        <v>147020612500</v>
      </c>
      <c r="G183" s="205">
        <v>741242153100</v>
      </c>
    </row>
    <row r="184" spans="1:7">
      <c r="A184" s="2102">
        <v>44120</v>
      </c>
      <c r="B184" s="211">
        <f t="shared" si="23"/>
        <v>2020</v>
      </c>
      <c r="C184" s="211">
        <f t="shared" si="24"/>
        <v>10</v>
      </c>
      <c r="D184" s="205">
        <v>7038510000000</v>
      </c>
      <c r="E184" s="205">
        <v>100402484000</v>
      </c>
      <c r="F184" s="205">
        <v>147312900000</v>
      </c>
      <c r="G184" s="205">
        <v>710415447300</v>
      </c>
    </row>
    <row r="185" spans="1:7">
      <c r="A185" s="2102">
        <v>44119</v>
      </c>
      <c r="B185" s="211">
        <f t="shared" si="23"/>
        <v>2020</v>
      </c>
      <c r="C185" s="211">
        <f t="shared" si="24"/>
        <v>10</v>
      </c>
      <c r="D185" s="205">
        <v>7085685000000</v>
      </c>
      <c r="E185" s="205">
        <v>103436625000</v>
      </c>
      <c r="F185" s="205">
        <v>149066625000</v>
      </c>
      <c r="G185" s="205">
        <v>696403308300</v>
      </c>
    </row>
    <row r="186" spans="1:7">
      <c r="A186" s="2102">
        <v>44118</v>
      </c>
      <c r="B186" s="211">
        <f t="shared" si="23"/>
        <v>2020</v>
      </c>
      <c r="C186" s="211">
        <f t="shared" si="24"/>
        <v>10</v>
      </c>
      <c r="D186" s="205">
        <v>7057380000000</v>
      </c>
      <c r="E186" s="205">
        <v>102333301000</v>
      </c>
      <c r="F186" s="205">
        <v>149943487500</v>
      </c>
      <c r="G186" s="205">
        <v>706211805600</v>
      </c>
    </row>
    <row r="187" spans="1:7">
      <c r="A187" s="2102">
        <v>44117</v>
      </c>
      <c r="B187" s="211">
        <f t="shared" si="23"/>
        <v>2020</v>
      </c>
      <c r="C187" s="211">
        <f t="shared" si="24"/>
        <v>10</v>
      </c>
      <c r="D187" s="205">
        <v>7142295000000</v>
      </c>
      <c r="E187" s="205">
        <v>106057019500</v>
      </c>
      <c r="F187" s="205">
        <v>149651200000</v>
      </c>
      <c r="G187" s="205">
        <v>723026372400</v>
      </c>
    </row>
    <row r="188" spans="1:7">
      <c r="A188" s="2102">
        <v>44116</v>
      </c>
      <c r="B188" s="211">
        <f t="shared" si="23"/>
        <v>2020</v>
      </c>
      <c r="C188" s="211">
        <f t="shared" si="24"/>
        <v>10</v>
      </c>
      <c r="D188" s="205">
        <v>7113990000000</v>
      </c>
      <c r="E188" s="205">
        <v>105505357500</v>
      </c>
      <c r="F188" s="205">
        <v>149943487500</v>
      </c>
      <c r="G188" s="205">
        <v>730032441900</v>
      </c>
    </row>
    <row r="189" spans="1:7">
      <c r="A189" s="2102">
        <v>44112</v>
      </c>
      <c r="B189" s="211">
        <f t="shared" si="23"/>
        <v>2020</v>
      </c>
      <c r="C189" s="211">
        <f t="shared" si="24"/>
        <v>10</v>
      </c>
      <c r="D189" s="205">
        <v>7283820000000</v>
      </c>
      <c r="E189" s="205">
        <v>98609582500</v>
      </c>
      <c r="F189" s="205">
        <v>149651200000</v>
      </c>
      <c r="G189" s="205">
        <v>725828800200</v>
      </c>
    </row>
    <row r="190" spans="1:7">
      <c r="A190" s="2102">
        <v>44111</v>
      </c>
      <c r="B190" s="211">
        <f t="shared" si="23"/>
        <v>2020</v>
      </c>
      <c r="C190" s="211">
        <f t="shared" si="24"/>
        <v>10</v>
      </c>
      <c r="D190" s="205">
        <v>7302690000000</v>
      </c>
      <c r="E190" s="205">
        <v>96265019000</v>
      </c>
      <c r="F190" s="205">
        <v>148482050000</v>
      </c>
      <c r="G190" s="205">
        <v>706211805600</v>
      </c>
    </row>
    <row r="191" spans="1:7">
      <c r="A191" s="2102">
        <v>44110</v>
      </c>
      <c r="B191" s="211">
        <f t="shared" si="23"/>
        <v>2020</v>
      </c>
      <c r="C191" s="211">
        <f t="shared" si="24"/>
        <v>10</v>
      </c>
      <c r="D191" s="205">
        <v>7321560000000</v>
      </c>
      <c r="E191" s="205">
        <v>95713357000</v>
      </c>
      <c r="F191" s="205">
        <v>148482050000</v>
      </c>
      <c r="G191" s="205">
        <v>717421516800</v>
      </c>
    </row>
    <row r="192" spans="1:7">
      <c r="A192" s="2102">
        <v>44109</v>
      </c>
      <c r="B192" s="211">
        <f t="shared" si="23"/>
        <v>2020</v>
      </c>
      <c r="C192" s="211">
        <f t="shared" si="24"/>
        <v>10</v>
      </c>
      <c r="D192" s="205">
        <v>7217775000000</v>
      </c>
      <c r="E192" s="205">
        <v>94885864000</v>
      </c>
      <c r="F192" s="205">
        <v>148482050000</v>
      </c>
      <c r="G192" s="205">
        <v>700606950000</v>
      </c>
    </row>
    <row r="193" spans="1:7">
      <c r="A193" s="2102">
        <v>44103</v>
      </c>
      <c r="B193" s="211">
        <f t="shared" si="23"/>
        <v>2020</v>
      </c>
      <c r="C193" s="211">
        <f t="shared" si="24"/>
        <v>9</v>
      </c>
      <c r="D193" s="205">
        <v>7104555000000</v>
      </c>
      <c r="E193" s="205">
        <v>93644624500</v>
      </c>
      <c r="F193" s="205">
        <v>147312900000</v>
      </c>
      <c r="G193" s="205">
        <v>666977816400</v>
      </c>
    </row>
    <row r="194" spans="1:7">
      <c r="A194" s="2102">
        <v>44102</v>
      </c>
      <c r="B194" s="211">
        <f t="shared" si="23"/>
        <v>2020</v>
      </c>
      <c r="C194" s="211">
        <f t="shared" si="24"/>
        <v>9</v>
      </c>
      <c r="D194" s="205">
        <v>7170600000000</v>
      </c>
      <c r="E194" s="205">
        <v>93644624500</v>
      </c>
      <c r="F194" s="205">
        <v>146728325000</v>
      </c>
      <c r="G194" s="205">
        <v>662774174700</v>
      </c>
    </row>
    <row r="195" spans="1:7">
      <c r="A195" s="2102">
        <v>44099</v>
      </c>
      <c r="B195" s="211">
        <f t="shared" si="23"/>
        <v>2020</v>
      </c>
      <c r="C195" s="211">
        <f t="shared" si="24"/>
        <v>9</v>
      </c>
      <c r="D195" s="205">
        <v>6878115000000</v>
      </c>
      <c r="E195" s="205">
        <v>91300061000</v>
      </c>
      <c r="F195" s="205">
        <v>144390025000</v>
      </c>
      <c r="G195" s="205">
        <v>655768105200</v>
      </c>
    </row>
    <row r="196" spans="1:7">
      <c r="A196" s="2102">
        <v>44098</v>
      </c>
      <c r="B196" s="211">
        <f t="shared" si="23"/>
        <v>2020</v>
      </c>
      <c r="C196" s="211">
        <f t="shared" si="24"/>
        <v>9</v>
      </c>
      <c r="D196" s="205">
        <v>6849810000000</v>
      </c>
      <c r="E196" s="205">
        <v>92541300500</v>
      </c>
      <c r="F196" s="205">
        <v>142928587500</v>
      </c>
      <c r="G196" s="205">
        <v>651564463500</v>
      </c>
    </row>
    <row r="197" spans="1:7">
      <c r="A197" s="2102">
        <v>44097</v>
      </c>
      <c r="B197" s="211">
        <f t="shared" si="23"/>
        <v>2020</v>
      </c>
      <c r="C197" s="211">
        <f t="shared" si="24"/>
        <v>9</v>
      </c>
      <c r="D197" s="205">
        <v>7066815000000</v>
      </c>
      <c r="E197" s="205">
        <v>95161695000</v>
      </c>
      <c r="F197" s="205">
        <v>145559175000</v>
      </c>
      <c r="G197" s="205">
        <v>686594811000</v>
      </c>
    </row>
    <row r="198" spans="1:7">
      <c r="A198" s="2102">
        <v>44096</v>
      </c>
      <c r="B198" s="211">
        <f t="shared" si="23"/>
        <v>2020</v>
      </c>
      <c r="C198" s="211">
        <f t="shared" si="24"/>
        <v>9</v>
      </c>
      <c r="D198" s="205">
        <v>7123425000000</v>
      </c>
      <c r="E198" s="205">
        <v>96540850000</v>
      </c>
      <c r="F198" s="205">
        <v>142636300000</v>
      </c>
      <c r="G198" s="205">
        <v>687996024900</v>
      </c>
    </row>
    <row r="199" spans="1:7">
      <c r="A199" s="2102">
        <v>44095</v>
      </c>
      <c r="B199" s="211">
        <f t="shared" si="23"/>
        <v>2020</v>
      </c>
      <c r="C199" s="211">
        <f t="shared" si="24"/>
        <v>9</v>
      </c>
      <c r="D199" s="205">
        <v>7330995000000</v>
      </c>
      <c r="E199" s="205">
        <v>100126653000</v>
      </c>
      <c r="F199" s="205">
        <v>145997606250</v>
      </c>
      <c r="G199" s="205">
        <v>717421516800</v>
      </c>
    </row>
    <row r="200" spans="1:7">
      <c r="A200" s="2102">
        <v>44092</v>
      </c>
      <c r="B200" s="211">
        <f t="shared" si="23"/>
        <v>2020</v>
      </c>
      <c r="C200" s="211">
        <f t="shared" si="24"/>
        <v>9</v>
      </c>
      <c r="D200" s="205">
        <v>7397040000000</v>
      </c>
      <c r="E200" s="205">
        <v>101781639000</v>
      </c>
      <c r="F200" s="205">
        <v>147605187500</v>
      </c>
      <c r="G200" s="205">
        <v>706211805600</v>
      </c>
    </row>
    <row r="201" spans="1:7">
      <c r="A201" s="2102">
        <v>44091</v>
      </c>
      <c r="B201" s="211">
        <f t="shared" si="23"/>
        <v>2020</v>
      </c>
      <c r="C201" s="211">
        <f t="shared" si="24"/>
        <v>9</v>
      </c>
      <c r="D201" s="205">
        <v>7444215000000</v>
      </c>
      <c r="E201" s="205">
        <v>101781639000</v>
      </c>
      <c r="F201" s="205">
        <v>147605187500</v>
      </c>
      <c r="G201" s="205">
        <v>714619089000</v>
      </c>
    </row>
    <row r="202" spans="1:7">
      <c r="A202" s="2102">
        <v>44090</v>
      </c>
      <c r="B202" s="211">
        <f t="shared" ref="B202:B265" si="25">YEAR(A202)</f>
        <v>2020</v>
      </c>
      <c r="C202" s="211">
        <f t="shared" ref="C202:C265" si="26">MONTH(A202)</f>
        <v>9</v>
      </c>
      <c r="D202" s="205">
        <v>7500825000000</v>
      </c>
      <c r="E202" s="205">
        <v>104677864500</v>
      </c>
      <c r="F202" s="205">
        <v>150235775000</v>
      </c>
      <c r="G202" s="205">
        <v>703409377800</v>
      </c>
    </row>
    <row r="203" spans="1:7">
      <c r="A203" s="2102">
        <v>44089</v>
      </c>
      <c r="B203" s="211">
        <f t="shared" si="25"/>
        <v>2020</v>
      </c>
      <c r="C203" s="211">
        <f t="shared" si="26"/>
        <v>9</v>
      </c>
      <c r="D203" s="205">
        <v>7576305000000</v>
      </c>
      <c r="E203" s="205">
        <v>104953695500</v>
      </c>
      <c r="F203" s="205">
        <v>149943487500</v>
      </c>
      <c r="G203" s="205">
        <v>696403308300</v>
      </c>
    </row>
    <row r="204" spans="1:7">
      <c r="A204" s="2102">
        <v>44088</v>
      </c>
      <c r="B204" s="211">
        <f t="shared" si="25"/>
        <v>2020</v>
      </c>
      <c r="C204" s="211">
        <f t="shared" si="26"/>
        <v>9</v>
      </c>
      <c r="D204" s="205">
        <v>7642350000000</v>
      </c>
      <c r="E204" s="205">
        <v>104126202500</v>
      </c>
      <c r="F204" s="205">
        <v>151989500000</v>
      </c>
      <c r="G204" s="205">
        <v>695002094400</v>
      </c>
    </row>
    <row r="205" spans="1:7">
      <c r="A205" s="2102">
        <v>44085</v>
      </c>
      <c r="B205" s="211">
        <f t="shared" si="25"/>
        <v>2020</v>
      </c>
      <c r="C205" s="211">
        <f t="shared" si="26"/>
        <v>9</v>
      </c>
      <c r="D205" s="205">
        <v>7548000000000</v>
      </c>
      <c r="E205" s="205">
        <v>103022878500</v>
      </c>
      <c r="F205" s="205">
        <v>147312900000</v>
      </c>
      <c r="G205" s="205">
        <v>666977816400</v>
      </c>
    </row>
    <row r="206" spans="1:7">
      <c r="A206" s="2102">
        <v>44084</v>
      </c>
      <c r="B206" s="211">
        <f t="shared" si="25"/>
        <v>2020</v>
      </c>
      <c r="C206" s="211">
        <f t="shared" si="26"/>
        <v>9</v>
      </c>
      <c r="D206" s="205">
        <v>7604610000000</v>
      </c>
      <c r="E206" s="205">
        <v>103160794000</v>
      </c>
      <c r="F206" s="205">
        <v>147897475000</v>
      </c>
      <c r="G206" s="205">
        <v>669780244200</v>
      </c>
    </row>
    <row r="207" spans="1:7">
      <c r="A207" s="2102">
        <v>44083</v>
      </c>
      <c r="B207" s="211">
        <f t="shared" si="25"/>
        <v>2020</v>
      </c>
      <c r="C207" s="211">
        <f t="shared" si="26"/>
        <v>9</v>
      </c>
      <c r="D207" s="205">
        <v>7566870000000</v>
      </c>
      <c r="E207" s="205">
        <v>101643723500</v>
      </c>
      <c r="F207" s="205">
        <v>145413031250</v>
      </c>
      <c r="G207" s="205">
        <v>669780244200</v>
      </c>
    </row>
    <row r="208" spans="1:7">
      <c r="A208" s="2102">
        <v>44082</v>
      </c>
      <c r="B208" s="211">
        <f t="shared" si="25"/>
        <v>2020</v>
      </c>
      <c r="C208" s="211">
        <f t="shared" si="26"/>
        <v>9</v>
      </c>
      <c r="D208" s="205">
        <v>7661220000000</v>
      </c>
      <c r="E208" s="205">
        <v>102747047500</v>
      </c>
      <c r="F208" s="205">
        <v>146143750000</v>
      </c>
      <c r="G208" s="205">
        <v>687996024900</v>
      </c>
    </row>
    <row r="209" spans="1:7">
      <c r="A209" s="2102">
        <v>44081</v>
      </c>
      <c r="B209" s="211">
        <f t="shared" si="25"/>
        <v>2020</v>
      </c>
      <c r="C209" s="211">
        <f t="shared" si="26"/>
        <v>9</v>
      </c>
      <c r="D209" s="205">
        <v>7623480000000</v>
      </c>
      <c r="E209" s="205">
        <v>103850371500</v>
      </c>
      <c r="F209" s="205">
        <v>150528062500</v>
      </c>
      <c r="G209" s="205">
        <v>668379030300</v>
      </c>
    </row>
    <row r="210" spans="1:7">
      <c r="A210" s="2102">
        <v>44078</v>
      </c>
      <c r="B210" s="211">
        <f t="shared" si="25"/>
        <v>2020</v>
      </c>
      <c r="C210" s="211">
        <f t="shared" si="26"/>
        <v>9</v>
      </c>
      <c r="D210" s="205">
        <v>7510260000000</v>
      </c>
      <c r="E210" s="205">
        <v>101505808000</v>
      </c>
      <c r="F210" s="205">
        <v>146143750000</v>
      </c>
      <c r="G210" s="205">
        <v>644558394000</v>
      </c>
    </row>
    <row r="211" spans="1:7">
      <c r="A211" s="2102">
        <v>44077</v>
      </c>
      <c r="B211" s="211">
        <f t="shared" si="25"/>
        <v>2020</v>
      </c>
      <c r="C211" s="211">
        <f t="shared" si="26"/>
        <v>9</v>
      </c>
      <c r="D211" s="205">
        <v>7585740000000</v>
      </c>
      <c r="E211" s="205">
        <v>103022878500</v>
      </c>
      <c r="F211" s="205">
        <v>147605187500</v>
      </c>
      <c r="G211" s="205">
        <v>655768105200</v>
      </c>
    </row>
    <row r="212" spans="1:7">
      <c r="A212" s="2102">
        <v>44076</v>
      </c>
      <c r="B212" s="211">
        <f t="shared" si="25"/>
        <v>2020</v>
      </c>
      <c r="C212" s="211">
        <f t="shared" si="26"/>
        <v>9</v>
      </c>
      <c r="D212" s="205">
        <v>7614045000000</v>
      </c>
      <c r="E212" s="205">
        <v>103160794000</v>
      </c>
      <c r="F212" s="205">
        <v>148774337500</v>
      </c>
      <c r="G212" s="205">
        <v>661372960800</v>
      </c>
    </row>
    <row r="213" spans="1:7">
      <c r="A213" s="2102">
        <v>44075</v>
      </c>
      <c r="B213" s="211">
        <f t="shared" si="25"/>
        <v>2020</v>
      </c>
      <c r="C213" s="211">
        <f t="shared" si="26"/>
        <v>9</v>
      </c>
      <c r="D213" s="205">
        <v>7585740000000</v>
      </c>
      <c r="E213" s="205">
        <v>102195385500</v>
      </c>
      <c r="F213" s="205">
        <v>148189762500</v>
      </c>
      <c r="G213" s="205">
        <v>657169319100</v>
      </c>
    </row>
    <row r="214" spans="1:7">
      <c r="A214" s="2102">
        <v>44074</v>
      </c>
      <c r="B214" s="211">
        <f t="shared" si="25"/>
        <v>2020</v>
      </c>
      <c r="C214" s="211">
        <f t="shared" si="26"/>
        <v>8</v>
      </c>
      <c r="D214" s="205">
        <v>7519695000000</v>
      </c>
      <c r="E214" s="205">
        <v>102471216500</v>
      </c>
      <c r="F214" s="205">
        <v>144243881250</v>
      </c>
      <c r="G214" s="205">
        <v>648762035700</v>
      </c>
    </row>
    <row r="215" spans="1:7">
      <c r="A215" s="2102">
        <v>44071</v>
      </c>
      <c r="B215" s="211">
        <f t="shared" si="25"/>
        <v>2020</v>
      </c>
      <c r="C215" s="211">
        <f t="shared" si="26"/>
        <v>8</v>
      </c>
      <c r="D215" s="205">
        <v>7519695000000</v>
      </c>
      <c r="E215" s="205">
        <v>99161244500</v>
      </c>
      <c r="F215" s="205">
        <v>143951593750</v>
      </c>
      <c r="G215" s="205">
        <v>645959607900</v>
      </c>
    </row>
    <row r="216" spans="1:7">
      <c r="A216" s="2102">
        <v>44070</v>
      </c>
      <c r="B216" s="211">
        <f t="shared" si="25"/>
        <v>2020</v>
      </c>
      <c r="C216" s="211">
        <f t="shared" si="26"/>
        <v>8</v>
      </c>
      <c r="D216" s="205">
        <v>7548000000000</v>
      </c>
      <c r="E216" s="205">
        <v>99023329000</v>
      </c>
      <c r="F216" s="205">
        <v>143074731250</v>
      </c>
      <c r="G216" s="205">
        <v>641755966200</v>
      </c>
    </row>
    <row r="217" spans="1:7">
      <c r="A217" s="2102">
        <v>44069</v>
      </c>
      <c r="B217" s="211">
        <f t="shared" si="25"/>
        <v>2020</v>
      </c>
      <c r="C217" s="211">
        <f t="shared" si="26"/>
        <v>8</v>
      </c>
      <c r="D217" s="205">
        <v>7623480000000</v>
      </c>
      <c r="E217" s="205">
        <v>100264568500</v>
      </c>
      <c r="F217" s="205">
        <v>143220875000</v>
      </c>
      <c r="G217" s="205">
        <v>659971746900</v>
      </c>
    </row>
    <row r="218" spans="1:7">
      <c r="A218" s="2102">
        <v>44068</v>
      </c>
      <c r="B218" s="211">
        <f t="shared" si="25"/>
        <v>2020</v>
      </c>
      <c r="C218" s="211">
        <f t="shared" si="26"/>
        <v>8</v>
      </c>
      <c r="D218" s="205">
        <v>7736700000000</v>
      </c>
      <c r="E218" s="205">
        <v>100402484000</v>
      </c>
      <c r="F218" s="205">
        <v>143074731250</v>
      </c>
      <c r="G218" s="205">
        <v>671181458100</v>
      </c>
    </row>
    <row r="219" spans="1:7">
      <c r="A219" s="2102">
        <v>44067</v>
      </c>
      <c r="B219" s="211">
        <f t="shared" si="25"/>
        <v>2020</v>
      </c>
      <c r="C219" s="211">
        <f t="shared" si="26"/>
        <v>8</v>
      </c>
      <c r="D219" s="205">
        <v>7614045000000</v>
      </c>
      <c r="E219" s="205">
        <v>97644174000</v>
      </c>
      <c r="F219" s="205">
        <v>140298000000</v>
      </c>
      <c r="G219" s="205">
        <v>662774174700</v>
      </c>
    </row>
    <row r="220" spans="1:7">
      <c r="A220" s="2102">
        <v>44064</v>
      </c>
      <c r="B220" s="211">
        <f t="shared" si="25"/>
        <v>2020</v>
      </c>
      <c r="C220" s="211">
        <f t="shared" si="26"/>
        <v>8</v>
      </c>
      <c r="D220" s="205">
        <v>7765005000000</v>
      </c>
      <c r="E220" s="205">
        <v>98471667000</v>
      </c>
      <c r="F220" s="205">
        <v>140590287500</v>
      </c>
      <c r="G220" s="205">
        <v>669780244200</v>
      </c>
    </row>
    <row r="221" spans="1:7">
      <c r="A221" s="2102">
        <v>44063</v>
      </c>
      <c r="B221" s="211">
        <f t="shared" si="25"/>
        <v>2020</v>
      </c>
      <c r="C221" s="211">
        <f t="shared" si="26"/>
        <v>8</v>
      </c>
      <c r="D221" s="205">
        <v>7651785000000</v>
      </c>
      <c r="E221" s="205">
        <v>96127103500</v>
      </c>
      <c r="F221" s="205">
        <v>139274993750</v>
      </c>
      <c r="G221" s="205">
        <v>638953538400</v>
      </c>
    </row>
    <row r="222" spans="1:7">
      <c r="A222" s="2102">
        <v>44062</v>
      </c>
      <c r="B222" s="211">
        <f t="shared" si="25"/>
        <v>2020</v>
      </c>
      <c r="C222" s="211">
        <f t="shared" si="26"/>
        <v>8</v>
      </c>
      <c r="D222" s="205">
        <v>7887660000000</v>
      </c>
      <c r="E222" s="205">
        <v>101643723500</v>
      </c>
      <c r="F222" s="205">
        <v>143220875000</v>
      </c>
      <c r="G222" s="205">
        <v>676786313700</v>
      </c>
    </row>
    <row r="223" spans="1:7">
      <c r="A223" s="2102">
        <v>44061</v>
      </c>
      <c r="B223" s="211">
        <f t="shared" si="25"/>
        <v>2020</v>
      </c>
      <c r="C223" s="211">
        <f t="shared" si="26"/>
        <v>8</v>
      </c>
      <c r="D223" s="205">
        <v>7915965000000</v>
      </c>
      <c r="E223" s="205">
        <v>100678315000</v>
      </c>
      <c r="F223" s="205">
        <v>142197868750</v>
      </c>
      <c r="G223" s="205">
        <v>666977816400</v>
      </c>
    </row>
    <row r="224" spans="1:7">
      <c r="A224" s="2102">
        <v>44057</v>
      </c>
      <c r="B224" s="211">
        <f t="shared" si="25"/>
        <v>2020</v>
      </c>
      <c r="C224" s="211">
        <f t="shared" si="26"/>
        <v>8</v>
      </c>
      <c r="D224" s="205">
        <v>8095230000000</v>
      </c>
      <c r="E224" s="205">
        <v>108263667500</v>
      </c>
      <c r="F224" s="205">
        <v>144390025000</v>
      </c>
      <c r="G224" s="205">
        <v>693600880500</v>
      </c>
    </row>
    <row r="225" spans="1:7">
      <c r="A225" s="2102">
        <v>44056</v>
      </c>
      <c r="B225" s="211">
        <f t="shared" si="25"/>
        <v>2020</v>
      </c>
      <c r="C225" s="211">
        <f t="shared" si="26"/>
        <v>8</v>
      </c>
      <c r="D225" s="205">
        <v>8095230000000</v>
      </c>
      <c r="E225" s="205">
        <v>110608231000</v>
      </c>
      <c r="F225" s="205">
        <v>144682312500</v>
      </c>
      <c r="G225" s="205">
        <v>703409377800</v>
      </c>
    </row>
    <row r="226" spans="1:7">
      <c r="A226" s="2102">
        <v>44055</v>
      </c>
      <c r="B226" s="211">
        <f t="shared" si="25"/>
        <v>2020</v>
      </c>
      <c r="C226" s="211">
        <f t="shared" si="26"/>
        <v>8</v>
      </c>
      <c r="D226" s="205">
        <v>8151840000000</v>
      </c>
      <c r="E226" s="205">
        <v>110056569000</v>
      </c>
      <c r="F226" s="205">
        <v>143805450000</v>
      </c>
      <c r="G226" s="205">
        <v>702008163900</v>
      </c>
    </row>
    <row r="227" spans="1:7">
      <c r="A227" s="2102">
        <v>44054</v>
      </c>
      <c r="B227" s="211">
        <f t="shared" si="25"/>
        <v>2020</v>
      </c>
      <c r="C227" s="211">
        <f t="shared" si="26"/>
        <v>8</v>
      </c>
      <c r="D227" s="205">
        <v>8500935000000</v>
      </c>
      <c r="E227" s="205">
        <v>110332400000</v>
      </c>
      <c r="F227" s="205">
        <v>144974600000</v>
      </c>
      <c r="G227" s="205">
        <v>737038511400</v>
      </c>
    </row>
    <row r="228" spans="1:7">
      <c r="A228" s="2102">
        <v>44053</v>
      </c>
      <c r="B228" s="211">
        <f t="shared" si="25"/>
        <v>2020</v>
      </c>
      <c r="C228" s="211">
        <f t="shared" si="26"/>
        <v>8</v>
      </c>
      <c r="D228" s="205">
        <v>8491500000000</v>
      </c>
      <c r="E228" s="205">
        <v>109366991500</v>
      </c>
      <c r="F228" s="205">
        <v>144390025000</v>
      </c>
      <c r="G228" s="205">
        <v>716020302900</v>
      </c>
    </row>
    <row r="229" spans="1:7">
      <c r="A229" s="2102">
        <v>44050</v>
      </c>
      <c r="B229" s="211">
        <f t="shared" si="25"/>
        <v>2020</v>
      </c>
      <c r="C229" s="211">
        <f t="shared" si="26"/>
        <v>8</v>
      </c>
      <c r="D229" s="205">
        <v>8566980000000</v>
      </c>
      <c r="E229" s="205">
        <v>107987836500</v>
      </c>
      <c r="F229" s="205">
        <v>143805450000</v>
      </c>
      <c r="G229" s="205">
        <v>707613019500</v>
      </c>
    </row>
    <row r="230" spans="1:7">
      <c r="A230" s="2102">
        <v>44049</v>
      </c>
      <c r="B230" s="211">
        <f t="shared" si="25"/>
        <v>2020</v>
      </c>
      <c r="C230" s="211">
        <f t="shared" si="26"/>
        <v>8</v>
      </c>
      <c r="D230" s="205">
        <v>8491500000000</v>
      </c>
      <c r="E230" s="205">
        <v>108263667500</v>
      </c>
      <c r="F230" s="205">
        <v>143074731250</v>
      </c>
      <c r="G230" s="205">
        <v>720223944600</v>
      </c>
    </row>
    <row r="231" spans="1:7">
      <c r="A231" s="2102">
        <v>44048</v>
      </c>
      <c r="B231" s="211">
        <f t="shared" si="25"/>
        <v>2020</v>
      </c>
      <c r="C231" s="211">
        <f t="shared" si="26"/>
        <v>8</v>
      </c>
      <c r="D231" s="205">
        <v>8057490000000</v>
      </c>
      <c r="E231" s="205">
        <v>106057019500</v>
      </c>
      <c r="F231" s="205">
        <v>142782443750</v>
      </c>
      <c r="G231" s="205">
        <v>714619089000</v>
      </c>
    </row>
    <row r="232" spans="1:7">
      <c r="A232" s="2102">
        <v>44047</v>
      </c>
      <c r="B232" s="211">
        <f t="shared" si="25"/>
        <v>2020</v>
      </c>
      <c r="C232" s="211">
        <f t="shared" si="26"/>
        <v>8</v>
      </c>
      <c r="D232" s="205">
        <v>7746135000000</v>
      </c>
      <c r="E232" s="205">
        <v>106746597000</v>
      </c>
      <c r="F232" s="205">
        <v>142197868750</v>
      </c>
      <c r="G232" s="205">
        <v>713217875100</v>
      </c>
    </row>
    <row r="233" spans="1:7">
      <c r="A233" s="2102">
        <v>44046</v>
      </c>
      <c r="B233" s="211">
        <f t="shared" si="25"/>
        <v>2020</v>
      </c>
      <c r="C233" s="211">
        <f t="shared" si="26"/>
        <v>8</v>
      </c>
      <c r="D233" s="205">
        <v>7802745000000</v>
      </c>
      <c r="E233" s="205">
        <v>106194935000</v>
      </c>
      <c r="F233" s="205">
        <v>141905581250</v>
      </c>
      <c r="G233" s="205">
        <v>692199666600</v>
      </c>
    </row>
    <row r="234" spans="1:7">
      <c r="A234" s="2102">
        <v>44043</v>
      </c>
      <c r="B234" s="211">
        <f t="shared" si="25"/>
        <v>2020</v>
      </c>
      <c r="C234" s="211">
        <f t="shared" si="26"/>
        <v>7</v>
      </c>
      <c r="D234" s="205">
        <v>7812180000000</v>
      </c>
      <c r="E234" s="205">
        <v>104539949000</v>
      </c>
      <c r="F234" s="205">
        <v>143367018750</v>
      </c>
      <c r="G234" s="205">
        <v>679588741500</v>
      </c>
    </row>
    <row r="235" spans="1:7">
      <c r="A235" s="2102">
        <v>44042</v>
      </c>
      <c r="B235" s="211">
        <f t="shared" si="25"/>
        <v>2020</v>
      </c>
      <c r="C235" s="211">
        <f t="shared" si="26"/>
        <v>7</v>
      </c>
      <c r="D235" s="205">
        <v>7953705000000</v>
      </c>
      <c r="E235" s="205">
        <v>104264118000</v>
      </c>
      <c r="F235" s="205">
        <v>143367018750</v>
      </c>
      <c r="G235" s="205">
        <v>680989955400</v>
      </c>
    </row>
    <row r="236" spans="1:7">
      <c r="A236" s="2102">
        <v>44041</v>
      </c>
      <c r="B236" s="211">
        <f t="shared" si="25"/>
        <v>2020</v>
      </c>
      <c r="C236" s="211">
        <f t="shared" si="26"/>
        <v>7</v>
      </c>
      <c r="D236" s="205">
        <v>8170710000000</v>
      </c>
      <c r="E236" s="205">
        <v>103436625000</v>
      </c>
      <c r="F236" s="205">
        <v>143805450000</v>
      </c>
      <c r="G236" s="205">
        <v>661372960800</v>
      </c>
    </row>
    <row r="237" spans="1:7">
      <c r="A237" s="2102">
        <v>44040</v>
      </c>
      <c r="B237" s="211">
        <f t="shared" si="25"/>
        <v>2020</v>
      </c>
      <c r="C237" s="211">
        <f t="shared" si="26"/>
        <v>7</v>
      </c>
      <c r="D237" s="205">
        <v>8180145000000</v>
      </c>
      <c r="E237" s="205">
        <v>102609132000</v>
      </c>
      <c r="F237" s="205">
        <v>141905581250</v>
      </c>
      <c r="G237" s="205">
        <v>658570533000</v>
      </c>
    </row>
    <row r="238" spans="1:7">
      <c r="A238" s="2102">
        <v>44039</v>
      </c>
      <c r="B238" s="211">
        <f t="shared" si="25"/>
        <v>2020</v>
      </c>
      <c r="C238" s="211">
        <f t="shared" si="26"/>
        <v>7</v>
      </c>
      <c r="D238" s="205">
        <v>8123535000000</v>
      </c>
      <c r="E238" s="205">
        <v>102747047500</v>
      </c>
      <c r="F238" s="205">
        <v>139421137500</v>
      </c>
      <c r="G238" s="205">
        <v>665576602500</v>
      </c>
    </row>
    <row r="239" spans="1:7">
      <c r="A239" s="2102">
        <v>44036</v>
      </c>
      <c r="B239" s="211">
        <f t="shared" si="25"/>
        <v>2020</v>
      </c>
      <c r="C239" s="211">
        <f t="shared" si="26"/>
        <v>7</v>
      </c>
      <c r="D239" s="205">
        <v>7463085000000</v>
      </c>
      <c r="E239" s="205">
        <v>106470766000</v>
      </c>
      <c r="F239" s="205">
        <v>139567281250</v>
      </c>
      <c r="G239" s="205">
        <v>648762035700</v>
      </c>
    </row>
    <row r="240" spans="1:7">
      <c r="A240" s="2102">
        <v>44035</v>
      </c>
      <c r="B240" s="211">
        <f t="shared" si="25"/>
        <v>2020</v>
      </c>
      <c r="C240" s="211">
        <f t="shared" si="26"/>
        <v>7</v>
      </c>
      <c r="D240" s="205">
        <v>7614045000000</v>
      </c>
      <c r="E240" s="205">
        <v>100402484000</v>
      </c>
      <c r="F240" s="205">
        <v>139128850000</v>
      </c>
      <c r="G240" s="205">
        <v>678187527600</v>
      </c>
    </row>
    <row r="241" spans="1:7">
      <c r="A241" s="2102">
        <v>44034</v>
      </c>
      <c r="B241" s="211">
        <f t="shared" si="25"/>
        <v>2020</v>
      </c>
      <c r="C241" s="211">
        <f t="shared" si="26"/>
        <v>7</v>
      </c>
      <c r="D241" s="205">
        <v>7519695000000</v>
      </c>
      <c r="E241" s="205">
        <v>99712906500</v>
      </c>
      <c r="F241" s="205">
        <v>140298000000</v>
      </c>
      <c r="G241" s="205">
        <v>690798452700</v>
      </c>
    </row>
    <row r="242" spans="1:7">
      <c r="A242" s="2102">
        <v>44033</v>
      </c>
      <c r="B242" s="211">
        <f t="shared" si="25"/>
        <v>2020</v>
      </c>
      <c r="C242" s="211">
        <f t="shared" si="26"/>
        <v>7</v>
      </c>
      <c r="D242" s="205">
        <v>6963030000000</v>
      </c>
      <c r="E242" s="205">
        <v>99161244500</v>
      </c>
      <c r="F242" s="205">
        <v>140151856250</v>
      </c>
      <c r="G242" s="205">
        <v>633348682800</v>
      </c>
    </row>
    <row r="243" spans="1:7">
      <c r="A243" s="2102">
        <v>44032</v>
      </c>
      <c r="B243" s="211">
        <f t="shared" si="25"/>
        <v>2020</v>
      </c>
      <c r="C243" s="211">
        <f t="shared" si="26"/>
        <v>7</v>
      </c>
      <c r="D243" s="205">
        <v>6859245000000</v>
      </c>
      <c r="E243" s="205">
        <v>100816230500</v>
      </c>
      <c r="F243" s="205">
        <v>140444143750</v>
      </c>
      <c r="G243" s="205">
        <v>638953538400</v>
      </c>
    </row>
    <row r="244" spans="1:7">
      <c r="A244" s="2102">
        <v>44029</v>
      </c>
      <c r="B244" s="211">
        <f t="shared" si="25"/>
        <v>2020</v>
      </c>
      <c r="C244" s="211">
        <f t="shared" si="26"/>
        <v>7</v>
      </c>
      <c r="D244" s="205">
        <v>6944160000000</v>
      </c>
      <c r="E244" s="205">
        <v>98885413500</v>
      </c>
      <c r="F244" s="205">
        <v>140590287500</v>
      </c>
      <c r="G244" s="205">
        <v>631947468900</v>
      </c>
    </row>
    <row r="245" spans="1:7">
      <c r="A245" s="2102">
        <v>44028</v>
      </c>
      <c r="B245" s="211">
        <f t="shared" si="25"/>
        <v>2020</v>
      </c>
      <c r="C245" s="211">
        <f t="shared" si="26"/>
        <v>7</v>
      </c>
      <c r="D245" s="205">
        <v>6878115000000</v>
      </c>
      <c r="E245" s="205">
        <v>97644174000</v>
      </c>
      <c r="F245" s="205">
        <v>141174862500</v>
      </c>
      <c r="G245" s="205">
        <v>631947468900</v>
      </c>
    </row>
    <row r="246" spans="1:7">
      <c r="A246" s="2102">
        <v>44027</v>
      </c>
      <c r="B246" s="211">
        <f t="shared" si="25"/>
        <v>2020</v>
      </c>
      <c r="C246" s="211">
        <f t="shared" si="26"/>
        <v>7</v>
      </c>
      <c r="D246" s="205">
        <v>6963030000000</v>
      </c>
      <c r="E246" s="205">
        <v>99023329000</v>
      </c>
      <c r="F246" s="205">
        <v>141467150000</v>
      </c>
      <c r="G246" s="205">
        <v>648762035700</v>
      </c>
    </row>
    <row r="247" spans="1:7">
      <c r="A247" s="2102">
        <v>44026</v>
      </c>
      <c r="B247" s="211">
        <f t="shared" si="25"/>
        <v>2020</v>
      </c>
      <c r="C247" s="211">
        <f t="shared" si="26"/>
        <v>7</v>
      </c>
      <c r="D247" s="205">
        <v>7104555000000</v>
      </c>
      <c r="E247" s="205">
        <v>100678315000</v>
      </c>
      <c r="F247" s="205">
        <v>141467150000</v>
      </c>
      <c r="G247" s="205">
        <v>634749896700</v>
      </c>
    </row>
    <row r="248" spans="1:7">
      <c r="A248" s="2102">
        <v>44025</v>
      </c>
      <c r="B248" s="211">
        <f t="shared" si="25"/>
        <v>2020</v>
      </c>
      <c r="C248" s="211">
        <f t="shared" si="26"/>
        <v>7</v>
      </c>
      <c r="D248" s="205">
        <v>7076250000000</v>
      </c>
      <c r="E248" s="205">
        <v>99850822000</v>
      </c>
      <c r="F248" s="205">
        <v>141467150000</v>
      </c>
      <c r="G248" s="205">
        <v>650163249600</v>
      </c>
    </row>
    <row r="249" spans="1:7">
      <c r="A249" s="2102">
        <v>44022</v>
      </c>
      <c r="B249" s="211">
        <f t="shared" si="25"/>
        <v>2020</v>
      </c>
      <c r="C249" s="211">
        <f t="shared" si="26"/>
        <v>7</v>
      </c>
      <c r="D249" s="205">
        <v>7047945000000</v>
      </c>
      <c r="E249" s="205">
        <v>97368343000</v>
      </c>
      <c r="F249" s="205">
        <v>141613293750</v>
      </c>
      <c r="G249" s="205">
        <v>640354752300</v>
      </c>
    </row>
    <row r="250" spans="1:7">
      <c r="A250" s="2102">
        <v>44021</v>
      </c>
      <c r="B250" s="211">
        <f t="shared" si="25"/>
        <v>2020</v>
      </c>
      <c r="C250" s="211">
        <f t="shared" si="26"/>
        <v>7</v>
      </c>
      <c r="D250" s="205">
        <v>7132860000000</v>
      </c>
      <c r="E250" s="205">
        <v>97920005000</v>
      </c>
      <c r="F250" s="205">
        <v>142051725000</v>
      </c>
      <c r="G250" s="205">
        <v>648762035700</v>
      </c>
    </row>
    <row r="251" spans="1:7">
      <c r="A251" s="2102">
        <v>44020</v>
      </c>
      <c r="B251" s="211">
        <f t="shared" si="25"/>
        <v>2020</v>
      </c>
      <c r="C251" s="211">
        <f t="shared" si="26"/>
        <v>7</v>
      </c>
      <c r="D251" s="205">
        <v>6981900000000</v>
      </c>
      <c r="E251" s="205">
        <v>98333751500</v>
      </c>
      <c r="F251" s="205">
        <v>141467150000</v>
      </c>
      <c r="G251" s="205">
        <v>652965677400</v>
      </c>
    </row>
    <row r="252" spans="1:7">
      <c r="A252" s="2102">
        <v>44019</v>
      </c>
      <c r="B252" s="211">
        <f t="shared" si="25"/>
        <v>2020</v>
      </c>
      <c r="C252" s="211">
        <f t="shared" si="26"/>
        <v>7</v>
      </c>
      <c r="D252" s="205">
        <v>6915855000000</v>
      </c>
      <c r="E252" s="205">
        <v>98885413500</v>
      </c>
      <c r="F252" s="205">
        <v>141174862500</v>
      </c>
      <c r="G252" s="205">
        <v>641755966200</v>
      </c>
    </row>
    <row r="253" spans="1:7">
      <c r="A253" s="2102">
        <v>44018</v>
      </c>
      <c r="B253" s="211">
        <f t="shared" si="25"/>
        <v>2020</v>
      </c>
      <c r="C253" s="211">
        <f t="shared" si="26"/>
        <v>7</v>
      </c>
      <c r="D253" s="205">
        <v>6991335000000</v>
      </c>
      <c r="E253" s="205">
        <v>99023329000</v>
      </c>
      <c r="F253" s="205">
        <v>141321006250</v>
      </c>
      <c r="G253" s="205">
        <v>648762035700</v>
      </c>
    </row>
    <row r="254" spans="1:7">
      <c r="A254" s="2102">
        <v>44015</v>
      </c>
      <c r="B254" s="211">
        <f t="shared" si="25"/>
        <v>2020</v>
      </c>
      <c r="C254" s="211">
        <f t="shared" si="26"/>
        <v>7</v>
      </c>
      <c r="D254" s="205">
        <v>6868680000000</v>
      </c>
      <c r="E254" s="205">
        <v>98747498000</v>
      </c>
      <c r="F254" s="205">
        <v>140736431250</v>
      </c>
      <c r="G254" s="205">
        <v>650163249600</v>
      </c>
    </row>
    <row r="255" spans="1:7">
      <c r="A255" s="2102">
        <v>44014</v>
      </c>
      <c r="B255" s="211">
        <f t="shared" si="25"/>
        <v>2020</v>
      </c>
      <c r="C255" s="211">
        <f t="shared" si="26"/>
        <v>7</v>
      </c>
      <c r="D255" s="205">
        <v>6802635000000</v>
      </c>
      <c r="E255" s="205">
        <v>98333751500</v>
      </c>
      <c r="F255" s="205">
        <v>141321006250</v>
      </c>
      <c r="G255" s="205">
        <v>655768105200</v>
      </c>
    </row>
    <row r="256" spans="1:7">
      <c r="A256" s="2102">
        <v>44013</v>
      </c>
      <c r="B256" s="211">
        <f t="shared" si="25"/>
        <v>2020</v>
      </c>
      <c r="C256" s="211">
        <f t="shared" si="26"/>
        <v>7</v>
      </c>
      <c r="D256" s="205">
        <v>6661110000000</v>
      </c>
      <c r="E256" s="205">
        <v>94610033000</v>
      </c>
      <c r="F256" s="205">
        <v>141759437500</v>
      </c>
      <c r="G256" s="205">
        <v>622138971600</v>
      </c>
    </row>
    <row r="257" spans="1:7">
      <c r="A257" s="2102">
        <v>44012</v>
      </c>
      <c r="B257" s="211">
        <f t="shared" si="25"/>
        <v>2020</v>
      </c>
      <c r="C257" s="211">
        <f t="shared" si="26"/>
        <v>6</v>
      </c>
      <c r="D257" s="205">
        <v>6321450000000</v>
      </c>
      <c r="E257" s="205">
        <v>97920005000</v>
      </c>
      <c r="F257" s="205">
        <v>141321006250</v>
      </c>
      <c r="G257" s="205">
        <v>612330474300</v>
      </c>
    </row>
    <row r="258" spans="1:7">
      <c r="A258" s="2102">
        <v>44011</v>
      </c>
      <c r="B258" s="211">
        <f t="shared" si="25"/>
        <v>2020</v>
      </c>
      <c r="C258" s="211">
        <f t="shared" si="26"/>
        <v>6</v>
      </c>
      <c r="D258" s="205">
        <v>6312015000000</v>
      </c>
      <c r="E258" s="205">
        <v>89507159500</v>
      </c>
      <c r="F258" s="205">
        <v>140882575000</v>
      </c>
      <c r="G258" s="205">
        <v>580102554600</v>
      </c>
    </row>
    <row r="259" spans="1:7">
      <c r="A259" s="2102">
        <v>44008</v>
      </c>
      <c r="B259" s="211">
        <f t="shared" si="25"/>
        <v>2020</v>
      </c>
      <c r="C259" s="211">
        <f t="shared" si="26"/>
        <v>6</v>
      </c>
      <c r="D259" s="205">
        <v>6529020000000</v>
      </c>
      <c r="E259" s="205">
        <v>92127554000</v>
      </c>
      <c r="F259" s="205">
        <v>141905581250</v>
      </c>
      <c r="G259" s="205">
        <v>585707410200</v>
      </c>
    </row>
    <row r="260" spans="1:7">
      <c r="A260" s="2102">
        <v>44007</v>
      </c>
      <c r="B260" s="211">
        <f t="shared" si="25"/>
        <v>2020</v>
      </c>
      <c r="C260" s="211">
        <f t="shared" si="26"/>
        <v>6</v>
      </c>
      <c r="D260" s="205">
        <v>6472410000000</v>
      </c>
      <c r="E260" s="205">
        <v>92817131500</v>
      </c>
      <c r="F260" s="205">
        <v>142051725000</v>
      </c>
      <c r="G260" s="205">
        <v>574497699000</v>
      </c>
    </row>
    <row r="261" spans="1:7">
      <c r="A261" s="2102">
        <v>44006</v>
      </c>
      <c r="B261" s="211">
        <f t="shared" si="25"/>
        <v>2020</v>
      </c>
      <c r="C261" s="211">
        <f t="shared" si="26"/>
        <v>6</v>
      </c>
      <c r="D261" s="205">
        <v>6623370000000</v>
      </c>
      <c r="E261" s="205">
        <v>94885864000</v>
      </c>
      <c r="F261" s="205">
        <v>142051725000</v>
      </c>
      <c r="G261" s="205">
        <v>589911051900</v>
      </c>
    </row>
    <row r="262" spans="1:7">
      <c r="A262" s="2102">
        <v>44005</v>
      </c>
      <c r="B262" s="211">
        <f t="shared" si="25"/>
        <v>2020</v>
      </c>
      <c r="C262" s="211">
        <f t="shared" si="26"/>
        <v>6</v>
      </c>
      <c r="D262" s="205">
        <v>6529020000000</v>
      </c>
      <c r="E262" s="205">
        <v>94196286500</v>
      </c>
      <c r="F262" s="205">
        <v>141905581250</v>
      </c>
      <c r="G262" s="205">
        <v>605324404800</v>
      </c>
    </row>
    <row r="263" spans="1:7">
      <c r="A263" s="2102">
        <v>44004</v>
      </c>
      <c r="B263" s="211">
        <f t="shared" si="25"/>
        <v>2020</v>
      </c>
      <c r="C263" s="211">
        <f t="shared" si="26"/>
        <v>6</v>
      </c>
      <c r="D263" s="205">
        <v>6595065000000</v>
      </c>
      <c r="E263" s="205">
        <v>95851272500</v>
      </c>
      <c r="F263" s="205">
        <v>141905581250</v>
      </c>
      <c r="G263" s="205">
        <v>596917121400</v>
      </c>
    </row>
    <row r="264" spans="1:7">
      <c r="A264" s="2102">
        <v>44001</v>
      </c>
      <c r="B264" s="211">
        <f t="shared" si="25"/>
        <v>2020</v>
      </c>
      <c r="C264" s="211">
        <f t="shared" si="26"/>
        <v>6</v>
      </c>
      <c r="D264" s="205">
        <v>6698850000000</v>
      </c>
      <c r="E264" s="205">
        <v>97092512000</v>
      </c>
      <c r="F264" s="205">
        <v>142636300000</v>
      </c>
      <c r="G264" s="205">
        <v>606725618700</v>
      </c>
    </row>
    <row r="265" spans="1:7">
      <c r="A265" s="2102">
        <v>44000</v>
      </c>
      <c r="B265" s="211">
        <f t="shared" si="25"/>
        <v>2020</v>
      </c>
      <c r="C265" s="211">
        <f t="shared" si="26"/>
        <v>6</v>
      </c>
      <c r="D265" s="205">
        <v>6698850000000</v>
      </c>
      <c r="E265" s="205">
        <v>94885864000</v>
      </c>
      <c r="F265" s="205">
        <v>141613293750</v>
      </c>
      <c r="G265" s="205">
        <v>624941399400</v>
      </c>
    </row>
    <row r="266" spans="1:7">
      <c r="A266" s="2102">
        <v>43999</v>
      </c>
      <c r="B266" s="211">
        <f t="shared" ref="B266:B329" si="27">YEAR(A266)</f>
        <v>2020</v>
      </c>
      <c r="C266" s="211">
        <f t="shared" ref="C266:C329" si="28">MONTH(A266)</f>
        <v>6</v>
      </c>
      <c r="D266" s="205">
        <v>6783765000000</v>
      </c>
      <c r="E266" s="205">
        <v>94334202000</v>
      </c>
      <c r="F266" s="205">
        <v>142636300000</v>
      </c>
      <c r="G266" s="205">
        <v>644558394000</v>
      </c>
    </row>
    <row r="267" spans="1:7">
      <c r="A267" s="2102">
        <v>43998</v>
      </c>
      <c r="B267" s="211">
        <f t="shared" si="27"/>
        <v>2020</v>
      </c>
      <c r="C267" s="211">
        <f t="shared" si="28"/>
        <v>6</v>
      </c>
      <c r="D267" s="205">
        <v>6906420000000</v>
      </c>
      <c r="E267" s="205">
        <v>94058371000</v>
      </c>
      <c r="F267" s="205">
        <v>142051725000</v>
      </c>
      <c r="G267" s="205">
        <v>610929260400</v>
      </c>
    </row>
    <row r="268" spans="1:7">
      <c r="A268" s="2102">
        <v>43997</v>
      </c>
      <c r="B268" s="211">
        <f t="shared" si="27"/>
        <v>2020</v>
      </c>
      <c r="C268" s="211">
        <f t="shared" si="28"/>
        <v>6</v>
      </c>
      <c r="D268" s="205">
        <v>6453540000000</v>
      </c>
      <c r="E268" s="205">
        <v>88265920000</v>
      </c>
      <c r="F268" s="205">
        <v>140005712500</v>
      </c>
      <c r="G268" s="205">
        <v>559084346100</v>
      </c>
    </row>
    <row r="269" spans="1:7">
      <c r="A269" s="2102">
        <v>43994</v>
      </c>
      <c r="B269" s="211">
        <f t="shared" si="27"/>
        <v>2020</v>
      </c>
      <c r="C269" s="211">
        <f t="shared" si="28"/>
        <v>6</v>
      </c>
      <c r="D269" s="205">
        <v>6915855000000</v>
      </c>
      <c r="E269" s="205">
        <v>98195836000</v>
      </c>
      <c r="F269" s="205">
        <v>143074731250</v>
      </c>
      <c r="G269" s="205">
        <v>599719549200</v>
      </c>
    </row>
    <row r="270" spans="1:7">
      <c r="A270" s="2102">
        <v>43993</v>
      </c>
      <c r="B270" s="211">
        <f t="shared" si="27"/>
        <v>2020</v>
      </c>
      <c r="C270" s="211">
        <f t="shared" si="28"/>
        <v>6</v>
      </c>
      <c r="D270" s="205">
        <v>7038510000000</v>
      </c>
      <c r="E270" s="205">
        <v>101919554500</v>
      </c>
      <c r="F270" s="205">
        <v>144682312500</v>
      </c>
      <c r="G270" s="205">
        <v>629145041100</v>
      </c>
    </row>
    <row r="271" spans="1:7">
      <c r="A271" s="2102">
        <v>43992</v>
      </c>
      <c r="B271" s="211">
        <f t="shared" si="27"/>
        <v>2020</v>
      </c>
      <c r="C271" s="211">
        <f t="shared" si="28"/>
        <v>6</v>
      </c>
      <c r="D271" s="205">
        <v>7170600000000</v>
      </c>
      <c r="E271" s="205">
        <v>105091611000</v>
      </c>
      <c r="F271" s="205">
        <v>145705318750</v>
      </c>
      <c r="G271" s="205">
        <v>633348682800</v>
      </c>
    </row>
    <row r="272" spans="1:7">
      <c r="A272" s="2102">
        <v>43991</v>
      </c>
      <c r="B272" s="211">
        <f t="shared" si="27"/>
        <v>2020</v>
      </c>
      <c r="C272" s="211">
        <f t="shared" si="28"/>
        <v>6</v>
      </c>
      <c r="D272" s="205">
        <v>7132860000000</v>
      </c>
      <c r="E272" s="205">
        <v>106470766000</v>
      </c>
      <c r="F272" s="205">
        <v>145705318750</v>
      </c>
      <c r="G272" s="205">
        <v>643157180100</v>
      </c>
    </row>
    <row r="273" spans="1:7">
      <c r="A273" s="2102">
        <v>43990</v>
      </c>
      <c r="B273" s="211">
        <f t="shared" si="27"/>
        <v>2020</v>
      </c>
      <c r="C273" s="211">
        <f t="shared" si="28"/>
        <v>6</v>
      </c>
      <c r="D273" s="205">
        <v>7217775000000</v>
      </c>
      <c r="E273" s="205">
        <v>107298259000</v>
      </c>
      <c r="F273" s="205">
        <v>147020612500</v>
      </c>
      <c r="G273" s="205">
        <v>630546255000</v>
      </c>
    </row>
    <row r="274" spans="1:7">
      <c r="A274" s="2102">
        <v>43987</v>
      </c>
      <c r="B274" s="211">
        <f t="shared" si="27"/>
        <v>2020</v>
      </c>
      <c r="C274" s="211">
        <f t="shared" si="28"/>
        <v>6</v>
      </c>
      <c r="D274" s="205">
        <v>7293255000000</v>
      </c>
      <c r="E274" s="205">
        <v>107574090000</v>
      </c>
      <c r="F274" s="205">
        <v>146728325000</v>
      </c>
      <c r="G274" s="205">
        <v>622138971600</v>
      </c>
    </row>
    <row r="275" spans="1:7">
      <c r="A275" s="2102">
        <v>43986</v>
      </c>
      <c r="B275" s="211">
        <f t="shared" si="27"/>
        <v>2020</v>
      </c>
      <c r="C275" s="211">
        <f t="shared" si="28"/>
        <v>6</v>
      </c>
      <c r="D275" s="205">
        <v>7415910000000</v>
      </c>
      <c r="E275" s="205">
        <v>106470766000</v>
      </c>
      <c r="F275" s="205">
        <v>146728325000</v>
      </c>
      <c r="G275" s="205">
        <v>623540185500</v>
      </c>
    </row>
    <row r="276" spans="1:7">
      <c r="A276" s="2102">
        <v>43985</v>
      </c>
      <c r="B276" s="211">
        <f t="shared" si="27"/>
        <v>2020</v>
      </c>
      <c r="C276" s="211">
        <f t="shared" si="28"/>
        <v>6</v>
      </c>
      <c r="D276" s="205">
        <v>7330995000000</v>
      </c>
      <c r="E276" s="205">
        <v>106608681500</v>
      </c>
      <c r="F276" s="205">
        <v>147312900000</v>
      </c>
      <c r="G276" s="205">
        <v>623540185500</v>
      </c>
    </row>
    <row r="277" spans="1:7">
      <c r="A277" s="2102">
        <v>43984</v>
      </c>
      <c r="B277" s="211">
        <f t="shared" si="27"/>
        <v>2020</v>
      </c>
      <c r="C277" s="211">
        <f t="shared" si="28"/>
        <v>6</v>
      </c>
      <c r="D277" s="205">
        <v>7161165000000</v>
      </c>
      <c r="E277" s="205">
        <v>108815329500</v>
      </c>
      <c r="F277" s="205">
        <v>146728325000</v>
      </c>
      <c r="G277" s="205">
        <v>606725618700</v>
      </c>
    </row>
    <row r="278" spans="1:7">
      <c r="A278" s="2102">
        <v>43983</v>
      </c>
      <c r="B278" s="211">
        <f t="shared" si="27"/>
        <v>2020</v>
      </c>
      <c r="C278" s="211">
        <f t="shared" si="28"/>
        <v>6</v>
      </c>
      <c r="D278" s="205">
        <v>7142295000000</v>
      </c>
      <c r="E278" s="205">
        <v>109642822500</v>
      </c>
      <c r="F278" s="205">
        <v>145266887500</v>
      </c>
      <c r="G278" s="205">
        <v>574497699000</v>
      </c>
    </row>
    <row r="279" spans="1:7">
      <c r="A279" s="2102">
        <v>43980</v>
      </c>
      <c r="B279" s="211">
        <f t="shared" si="27"/>
        <v>2020</v>
      </c>
      <c r="C279" s="211">
        <f t="shared" si="28"/>
        <v>5</v>
      </c>
      <c r="D279" s="205">
        <v>7132860000000</v>
      </c>
      <c r="E279" s="205">
        <v>107987836500</v>
      </c>
      <c r="F279" s="205">
        <v>143805450000</v>
      </c>
      <c r="G279" s="205">
        <v>554880704400</v>
      </c>
    </row>
    <row r="280" spans="1:7">
      <c r="A280" s="2102">
        <v>43979</v>
      </c>
      <c r="B280" s="211">
        <f t="shared" si="27"/>
        <v>2020</v>
      </c>
      <c r="C280" s="211">
        <f t="shared" si="28"/>
        <v>5</v>
      </c>
      <c r="D280" s="205">
        <v>7057380000000</v>
      </c>
      <c r="E280" s="205">
        <v>109918653500</v>
      </c>
      <c r="F280" s="205">
        <v>144243881250</v>
      </c>
      <c r="G280" s="205">
        <v>570294057300</v>
      </c>
    </row>
    <row r="281" spans="1:7">
      <c r="A281" s="2102">
        <v>43978</v>
      </c>
      <c r="B281" s="211">
        <f t="shared" si="27"/>
        <v>2020</v>
      </c>
      <c r="C281" s="211">
        <f t="shared" si="28"/>
        <v>5</v>
      </c>
      <c r="D281" s="205">
        <v>7170600000000</v>
      </c>
      <c r="E281" s="205">
        <v>116814428500</v>
      </c>
      <c r="F281" s="205">
        <v>147020612500</v>
      </c>
      <c r="G281" s="205">
        <v>582904982400</v>
      </c>
    </row>
    <row r="282" spans="1:7">
      <c r="A282" s="2102">
        <v>43977</v>
      </c>
      <c r="B282" s="211">
        <f t="shared" si="27"/>
        <v>2020</v>
      </c>
      <c r="C282" s="211">
        <f t="shared" si="28"/>
        <v>5</v>
      </c>
      <c r="D282" s="205">
        <v>7208340000000</v>
      </c>
      <c r="E282" s="205">
        <v>110056569000</v>
      </c>
      <c r="F282" s="205">
        <v>147020612500</v>
      </c>
      <c r="G282" s="205">
        <v>575898912900</v>
      </c>
    </row>
    <row r="283" spans="1:7">
      <c r="A283" s="2102">
        <v>43976</v>
      </c>
      <c r="B283" s="211">
        <f t="shared" si="27"/>
        <v>2020</v>
      </c>
      <c r="C283" s="211">
        <f t="shared" si="28"/>
        <v>5</v>
      </c>
      <c r="D283" s="205">
        <v>7029075000000</v>
      </c>
      <c r="E283" s="205">
        <v>107574090000</v>
      </c>
      <c r="F283" s="205">
        <v>146143750000</v>
      </c>
      <c r="G283" s="205">
        <v>563287987800</v>
      </c>
    </row>
    <row r="284" spans="1:7">
      <c r="A284" s="2102">
        <v>43973</v>
      </c>
      <c r="B284" s="211">
        <f t="shared" si="27"/>
        <v>2020</v>
      </c>
      <c r="C284" s="211">
        <f t="shared" si="28"/>
        <v>5</v>
      </c>
      <c r="D284" s="205">
        <v>7057380000000</v>
      </c>
      <c r="E284" s="205">
        <v>102471216500</v>
      </c>
      <c r="F284" s="205">
        <v>144243881250</v>
      </c>
      <c r="G284" s="205">
        <v>574497699000</v>
      </c>
    </row>
    <row r="285" spans="1:7">
      <c r="A285" s="2102">
        <v>43972</v>
      </c>
      <c r="B285" s="211">
        <f t="shared" si="27"/>
        <v>2020</v>
      </c>
      <c r="C285" s="211">
        <f t="shared" si="28"/>
        <v>5</v>
      </c>
      <c r="D285" s="205">
        <v>7189470000000</v>
      </c>
      <c r="E285" s="205">
        <v>103022878500</v>
      </c>
      <c r="F285" s="205">
        <v>144390025000</v>
      </c>
      <c r="G285" s="205">
        <v>592713479700</v>
      </c>
    </row>
    <row r="286" spans="1:7">
      <c r="A286" s="2102">
        <v>43971</v>
      </c>
      <c r="B286" s="211">
        <f t="shared" si="27"/>
        <v>2020</v>
      </c>
      <c r="C286" s="211">
        <f t="shared" si="28"/>
        <v>5</v>
      </c>
      <c r="D286" s="205">
        <v>7283820000000</v>
      </c>
      <c r="E286" s="205">
        <v>101919554500</v>
      </c>
      <c r="F286" s="205">
        <v>142344012500</v>
      </c>
      <c r="G286" s="205">
        <v>591312265800</v>
      </c>
    </row>
    <row r="287" spans="1:7">
      <c r="A287" s="2102">
        <v>43970</v>
      </c>
      <c r="B287" s="211">
        <f t="shared" si="27"/>
        <v>2020</v>
      </c>
      <c r="C287" s="211">
        <f t="shared" si="28"/>
        <v>5</v>
      </c>
      <c r="D287" s="205">
        <v>7264950000000</v>
      </c>
      <c r="E287" s="205">
        <v>101643723500</v>
      </c>
      <c r="F287" s="205">
        <v>141613293750</v>
      </c>
      <c r="G287" s="205">
        <v>577300126800</v>
      </c>
    </row>
    <row r="288" spans="1:7">
      <c r="A288" s="2102">
        <v>43969</v>
      </c>
      <c r="B288" s="211">
        <f t="shared" si="27"/>
        <v>2020</v>
      </c>
      <c r="C288" s="211">
        <f t="shared" si="28"/>
        <v>5</v>
      </c>
      <c r="D288" s="205">
        <v>7057380000000</v>
      </c>
      <c r="E288" s="205">
        <v>101643723500</v>
      </c>
      <c r="F288" s="205">
        <v>141174862500</v>
      </c>
      <c r="G288" s="205">
        <v>535263709800</v>
      </c>
    </row>
    <row r="289" spans="1:7">
      <c r="A289" s="2102">
        <v>43966</v>
      </c>
      <c r="B289" s="211">
        <f t="shared" si="27"/>
        <v>2020</v>
      </c>
      <c r="C289" s="211">
        <f t="shared" si="28"/>
        <v>5</v>
      </c>
      <c r="D289" s="205">
        <v>6953595000000</v>
      </c>
      <c r="E289" s="205">
        <v>98471667000</v>
      </c>
      <c r="F289" s="205">
        <v>137375125000</v>
      </c>
      <c r="G289" s="205">
        <v>532461282000</v>
      </c>
    </row>
    <row r="290" spans="1:7">
      <c r="A290" s="2102">
        <v>43965</v>
      </c>
      <c r="B290" s="211">
        <f t="shared" si="27"/>
        <v>2020</v>
      </c>
      <c r="C290" s="211">
        <f t="shared" si="28"/>
        <v>5</v>
      </c>
      <c r="D290" s="205">
        <v>6972465000000</v>
      </c>
      <c r="E290" s="205">
        <v>97506258500</v>
      </c>
      <c r="F290" s="205">
        <v>137521268750</v>
      </c>
      <c r="G290" s="205">
        <v>533862495900</v>
      </c>
    </row>
    <row r="291" spans="1:7">
      <c r="A291" s="2102">
        <v>43964</v>
      </c>
      <c r="B291" s="211">
        <f t="shared" si="27"/>
        <v>2020</v>
      </c>
      <c r="C291" s="211">
        <f t="shared" si="28"/>
        <v>5</v>
      </c>
      <c r="D291" s="205">
        <v>7029075000000</v>
      </c>
      <c r="E291" s="205">
        <v>100816230500</v>
      </c>
      <c r="F291" s="205">
        <v>140882575000</v>
      </c>
      <c r="G291" s="205">
        <v>540868565400</v>
      </c>
    </row>
    <row r="292" spans="1:7">
      <c r="A292" s="2102">
        <v>43963</v>
      </c>
      <c r="B292" s="211">
        <f t="shared" si="27"/>
        <v>2020</v>
      </c>
      <c r="C292" s="211">
        <f t="shared" si="28"/>
        <v>5</v>
      </c>
      <c r="D292" s="205">
        <v>6972465000000</v>
      </c>
      <c r="E292" s="205">
        <v>100540399500</v>
      </c>
      <c r="F292" s="205">
        <v>141028718750</v>
      </c>
      <c r="G292" s="205">
        <v>540868565400</v>
      </c>
    </row>
    <row r="293" spans="1:7">
      <c r="A293" s="2102">
        <v>43962</v>
      </c>
      <c r="B293" s="211">
        <f t="shared" si="27"/>
        <v>2020</v>
      </c>
      <c r="C293" s="211">
        <f t="shared" si="28"/>
        <v>5</v>
      </c>
      <c r="D293" s="205">
        <v>7029075000000</v>
      </c>
      <c r="E293" s="205">
        <v>103022878500</v>
      </c>
      <c r="F293" s="205">
        <v>141613293750</v>
      </c>
      <c r="G293" s="205">
        <v>560485560000</v>
      </c>
    </row>
    <row r="294" spans="1:7">
      <c r="A294" s="2102">
        <v>43959</v>
      </c>
      <c r="B294" s="211">
        <f t="shared" si="27"/>
        <v>2020</v>
      </c>
      <c r="C294" s="211">
        <f t="shared" si="28"/>
        <v>5</v>
      </c>
      <c r="D294" s="205">
        <v>7066815000000</v>
      </c>
      <c r="E294" s="205">
        <v>103712456000</v>
      </c>
      <c r="F294" s="205">
        <v>141759437500</v>
      </c>
      <c r="G294" s="205">
        <v>564689201700</v>
      </c>
    </row>
    <row r="295" spans="1:7">
      <c r="A295" s="2102">
        <v>43958</v>
      </c>
      <c r="B295" s="211">
        <f t="shared" si="27"/>
        <v>2020</v>
      </c>
      <c r="C295" s="211">
        <f t="shared" si="28"/>
        <v>5</v>
      </c>
      <c r="D295" s="205">
        <v>7047945000000</v>
      </c>
      <c r="E295" s="205">
        <v>104126202500</v>
      </c>
      <c r="F295" s="205">
        <v>140151856250</v>
      </c>
      <c r="G295" s="205">
        <v>557683132200</v>
      </c>
    </row>
    <row r="296" spans="1:7">
      <c r="A296" s="2102">
        <v>43957</v>
      </c>
      <c r="B296" s="211">
        <f t="shared" si="27"/>
        <v>2020</v>
      </c>
      <c r="C296" s="211">
        <f t="shared" si="28"/>
        <v>5</v>
      </c>
      <c r="D296" s="205">
        <v>7010205000000</v>
      </c>
      <c r="E296" s="205">
        <v>103436625000</v>
      </c>
      <c r="F296" s="205">
        <v>140298000000</v>
      </c>
      <c r="G296" s="205">
        <v>553479490500</v>
      </c>
    </row>
    <row r="297" spans="1:7">
      <c r="A297" s="2102">
        <v>43955</v>
      </c>
      <c r="B297" s="211">
        <f t="shared" si="27"/>
        <v>2020</v>
      </c>
      <c r="C297" s="211">
        <f t="shared" si="28"/>
        <v>5</v>
      </c>
      <c r="D297" s="205">
        <v>6953595000000</v>
      </c>
      <c r="E297" s="205">
        <v>101781639000</v>
      </c>
      <c r="F297" s="205">
        <v>138105843750</v>
      </c>
      <c r="G297" s="205">
        <v>549275848800</v>
      </c>
    </row>
    <row r="298" spans="1:7">
      <c r="A298" s="2102">
        <v>43950</v>
      </c>
      <c r="B298" s="211">
        <f t="shared" si="27"/>
        <v>2020</v>
      </c>
      <c r="C298" s="211">
        <f t="shared" si="28"/>
        <v>4</v>
      </c>
      <c r="D298" s="205">
        <v>7283820000000</v>
      </c>
      <c r="E298" s="205">
        <v>100264568500</v>
      </c>
      <c r="F298" s="205">
        <v>134452250000</v>
      </c>
      <c r="G298" s="205">
        <v>592713479700</v>
      </c>
    </row>
    <row r="299" spans="1:7">
      <c r="A299" s="2102">
        <v>43949</v>
      </c>
      <c r="B299" s="211">
        <f t="shared" si="27"/>
        <v>2020</v>
      </c>
      <c r="C299" s="211">
        <f t="shared" si="28"/>
        <v>4</v>
      </c>
      <c r="D299" s="205">
        <v>7293255000000</v>
      </c>
      <c r="E299" s="205">
        <v>100816230500</v>
      </c>
      <c r="F299" s="205">
        <v>130944800000</v>
      </c>
      <c r="G299" s="205">
        <v>605324404800</v>
      </c>
    </row>
    <row r="300" spans="1:7">
      <c r="A300" s="2102">
        <v>43948</v>
      </c>
      <c r="B300" s="211">
        <f t="shared" si="27"/>
        <v>2020</v>
      </c>
      <c r="C300" s="211">
        <f t="shared" si="28"/>
        <v>4</v>
      </c>
      <c r="D300" s="205">
        <v>7453650000000</v>
      </c>
      <c r="E300" s="205">
        <v>101643723500</v>
      </c>
      <c r="F300" s="205">
        <v>131821662500</v>
      </c>
      <c r="G300" s="205">
        <v>598318335300</v>
      </c>
    </row>
    <row r="301" spans="1:7">
      <c r="A301" s="2102">
        <v>43945</v>
      </c>
      <c r="B301" s="211">
        <f t="shared" si="27"/>
        <v>2020</v>
      </c>
      <c r="C301" s="211">
        <f t="shared" si="28"/>
        <v>4</v>
      </c>
      <c r="D301" s="205">
        <v>7359300000000</v>
      </c>
      <c r="E301" s="205">
        <v>98471667000</v>
      </c>
      <c r="F301" s="205">
        <v>129483362500</v>
      </c>
      <c r="G301" s="205">
        <v>616534116000</v>
      </c>
    </row>
    <row r="302" spans="1:7">
      <c r="A302" s="2102">
        <v>43944</v>
      </c>
      <c r="B302" s="211">
        <f t="shared" si="27"/>
        <v>2020</v>
      </c>
      <c r="C302" s="211">
        <f t="shared" si="28"/>
        <v>4</v>
      </c>
      <c r="D302" s="205">
        <v>7406475000000</v>
      </c>
      <c r="E302" s="205">
        <v>102333301000</v>
      </c>
      <c r="F302" s="205">
        <v>132406237500</v>
      </c>
      <c r="G302" s="205">
        <v>578701340700</v>
      </c>
    </row>
    <row r="303" spans="1:7">
      <c r="A303" s="2102">
        <v>43943</v>
      </c>
      <c r="B303" s="211">
        <f t="shared" si="27"/>
        <v>2020</v>
      </c>
      <c r="C303" s="211">
        <f t="shared" si="28"/>
        <v>4</v>
      </c>
      <c r="D303" s="205">
        <v>7463085000000</v>
      </c>
      <c r="E303" s="205">
        <v>101643723500</v>
      </c>
      <c r="F303" s="205">
        <v>132113950000</v>
      </c>
      <c r="G303" s="205">
        <v>584306196300</v>
      </c>
    </row>
    <row r="304" spans="1:7">
      <c r="A304" s="2102">
        <v>43942</v>
      </c>
      <c r="B304" s="211">
        <f t="shared" si="27"/>
        <v>2020</v>
      </c>
      <c r="C304" s="211">
        <f t="shared" si="28"/>
        <v>4</v>
      </c>
      <c r="D304" s="205">
        <v>7472520000000</v>
      </c>
      <c r="E304" s="205">
        <v>101781639000</v>
      </c>
      <c r="F304" s="205">
        <v>134598393750</v>
      </c>
      <c r="G304" s="205">
        <v>580102554600</v>
      </c>
    </row>
    <row r="305" spans="1:7">
      <c r="A305" s="2102">
        <v>43941</v>
      </c>
      <c r="B305" s="211">
        <f t="shared" si="27"/>
        <v>2020</v>
      </c>
      <c r="C305" s="211">
        <f t="shared" si="28"/>
        <v>4</v>
      </c>
      <c r="D305" s="205">
        <v>7538565000000</v>
      </c>
      <c r="E305" s="205">
        <v>102057470000</v>
      </c>
      <c r="F305" s="205">
        <v>133721531250</v>
      </c>
      <c r="G305" s="205">
        <v>563287987800</v>
      </c>
    </row>
    <row r="306" spans="1:7">
      <c r="A306" s="2102">
        <v>43938</v>
      </c>
      <c r="B306" s="211">
        <f t="shared" si="27"/>
        <v>2020</v>
      </c>
      <c r="C306" s="211">
        <f t="shared" si="28"/>
        <v>4</v>
      </c>
      <c r="D306" s="205">
        <v>7623480000000</v>
      </c>
      <c r="E306" s="205">
        <v>100126653000</v>
      </c>
      <c r="F306" s="205">
        <v>129921793750</v>
      </c>
      <c r="G306" s="205">
        <v>545072207100</v>
      </c>
    </row>
    <row r="307" spans="1:7">
      <c r="A307" s="2102">
        <v>43937</v>
      </c>
      <c r="B307" s="211">
        <f t="shared" si="27"/>
        <v>2020</v>
      </c>
      <c r="C307" s="211">
        <f t="shared" si="28"/>
        <v>4</v>
      </c>
      <c r="D307" s="205">
        <v>7774440000000</v>
      </c>
      <c r="E307" s="205">
        <v>100126653000</v>
      </c>
      <c r="F307" s="205">
        <v>125391337500</v>
      </c>
      <c r="G307" s="205">
        <v>522652784700</v>
      </c>
    </row>
    <row r="308" spans="1:7">
      <c r="A308" s="2102">
        <v>43935</v>
      </c>
      <c r="B308" s="211">
        <f t="shared" si="27"/>
        <v>2020</v>
      </c>
      <c r="C308" s="211">
        <f t="shared" si="28"/>
        <v>4</v>
      </c>
      <c r="D308" s="205">
        <v>7359300000000</v>
      </c>
      <c r="E308" s="205">
        <v>98471667000</v>
      </c>
      <c r="F308" s="205">
        <v>123345325000</v>
      </c>
      <c r="G308" s="205">
        <v>511443073500</v>
      </c>
    </row>
    <row r="309" spans="1:7">
      <c r="A309" s="2102">
        <v>43934</v>
      </c>
      <c r="B309" s="211">
        <f t="shared" si="27"/>
        <v>2020</v>
      </c>
      <c r="C309" s="211">
        <f t="shared" si="28"/>
        <v>4</v>
      </c>
      <c r="D309" s="205">
        <v>7217775000000</v>
      </c>
      <c r="E309" s="205">
        <v>92955047000</v>
      </c>
      <c r="F309" s="205">
        <v>120130162500</v>
      </c>
      <c r="G309" s="205">
        <v>507239431800</v>
      </c>
    </row>
    <row r="310" spans="1:7">
      <c r="A310" s="2102">
        <v>43931</v>
      </c>
      <c r="B310" s="211">
        <f t="shared" si="27"/>
        <v>2020</v>
      </c>
      <c r="C310" s="211">
        <f t="shared" si="28"/>
        <v>4</v>
      </c>
      <c r="D310" s="205">
        <v>7274385000000</v>
      </c>
      <c r="E310" s="205">
        <v>91989638500</v>
      </c>
      <c r="F310" s="205">
        <v>124514475000</v>
      </c>
      <c r="G310" s="205">
        <v>517047929100</v>
      </c>
    </row>
    <row r="311" spans="1:7">
      <c r="A311" s="2102">
        <v>43930</v>
      </c>
      <c r="B311" s="211">
        <f t="shared" si="27"/>
        <v>2020</v>
      </c>
      <c r="C311" s="211">
        <f t="shared" si="28"/>
        <v>4</v>
      </c>
      <c r="D311" s="205">
        <v>7368735000000</v>
      </c>
      <c r="E311" s="205">
        <v>94334202000</v>
      </c>
      <c r="F311" s="205">
        <v>125099050000</v>
      </c>
      <c r="G311" s="205">
        <v>508640645700</v>
      </c>
    </row>
    <row r="312" spans="1:7">
      <c r="A312" s="2102">
        <v>43929</v>
      </c>
      <c r="B312" s="211">
        <f t="shared" si="27"/>
        <v>2020</v>
      </c>
      <c r="C312" s="211">
        <f t="shared" si="28"/>
        <v>4</v>
      </c>
      <c r="D312" s="205">
        <v>7283820000000</v>
      </c>
      <c r="E312" s="205">
        <v>90610483500</v>
      </c>
      <c r="F312" s="205">
        <v>123783756250</v>
      </c>
      <c r="G312" s="205">
        <v>507239431800</v>
      </c>
    </row>
    <row r="313" spans="1:7">
      <c r="A313" s="2102">
        <v>43928</v>
      </c>
      <c r="B313" s="211">
        <f t="shared" si="27"/>
        <v>2020</v>
      </c>
      <c r="C313" s="211">
        <f t="shared" si="28"/>
        <v>4</v>
      </c>
      <c r="D313" s="205">
        <v>7293255000000</v>
      </c>
      <c r="E313" s="205">
        <v>91713807500</v>
      </c>
      <c r="F313" s="205">
        <v>123491468750</v>
      </c>
      <c r="G313" s="205">
        <v>518449143000</v>
      </c>
    </row>
    <row r="314" spans="1:7">
      <c r="A314" s="2102">
        <v>43927</v>
      </c>
      <c r="B314" s="211">
        <f t="shared" si="27"/>
        <v>2020</v>
      </c>
      <c r="C314" s="211">
        <f t="shared" si="28"/>
        <v>4</v>
      </c>
      <c r="D314" s="205">
        <v>7066815000000</v>
      </c>
      <c r="E314" s="205">
        <v>90472568000</v>
      </c>
      <c r="F314" s="205">
        <v>122468462500</v>
      </c>
      <c r="G314" s="205">
        <v>517047929100</v>
      </c>
    </row>
    <row r="315" spans="1:7">
      <c r="A315" s="2102">
        <v>43924</v>
      </c>
      <c r="B315" s="211">
        <f t="shared" si="27"/>
        <v>2020</v>
      </c>
      <c r="C315" s="211">
        <f t="shared" si="28"/>
        <v>4</v>
      </c>
      <c r="D315" s="205">
        <v>7000770000000</v>
      </c>
      <c r="E315" s="205">
        <v>84266370500</v>
      </c>
      <c r="F315" s="205">
        <v>119107156250</v>
      </c>
      <c r="G315" s="205">
        <v>511443073500</v>
      </c>
    </row>
    <row r="316" spans="1:7">
      <c r="A316" s="2102">
        <v>43923</v>
      </c>
      <c r="B316" s="211">
        <f t="shared" si="27"/>
        <v>2020</v>
      </c>
      <c r="C316" s="211">
        <f t="shared" si="28"/>
        <v>4</v>
      </c>
      <c r="D316" s="205">
        <v>6896985000000</v>
      </c>
      <c r="E316" s="205">
        <v>81094314000</v>
      </c>
      <c r="F316" s="205">
        <v>116768856250</v>
      </c>
      <c r="G316" s="205">
        <v>510041859600</v>
      </c>
    </row>
    <row r="317" spans="1:7">
      <c r="A317" s="2102">
        <v>43922</v>
      </c>
      <c r="B317" s="211">
        <f t="shared" si="27"/>
        <v>2020</v>
      </c>
      <c r="C317" s="211">
        <f t="shared" si="28"/>
        <v>4</v>
      </c>
      <c r="D317" s="205">
        <v>6519585000000</v>
      </c>
      <c r="E317" s="205">
        <v>76818933500</v>
      </c>
      <c r="F317" s="205">
        <v>115891993750</v>
      </c>
      <c r="G317" s="205">
        <v>494628506700</v>
      </c>
    </row>
    <row r="318" spans="1:7">
      <c r="A318" s="2102">
        <v>43921</v>
      </c>
      <c r="B318" s="211">
        <f t="shared" si="27"/>
        <v>2020</v>
      </c>
      <c r="C318" s="211">
        <f t="shared" si="28"/>
        <v>3</v>
      </c>
      <c r="D318" s="205">
        <v>6717720000000</v>
      </c>
      <c r="E318" s="205">
        <v>77922257500</v>
      </c>
      <c r="F318" s="205">
        <v>116915000000</v>
      </c>
      <c r="G318" s="205">
        <v>494628506700</v>
      </c>
    </row>
    <row r="319" spans="1:7">
      <c r="A319" s="2102">
        <v>43920</v>
      </c>
      <c r="B319" s="211">
        <f t="shared" si="27"/>
        <v>2020</v>
      </c>
      <c r="C319" s="211">
        <f t="shared" si="28"/>
        <v>3</v>
      </c>
      <c r="D319" s="205">
        <v>6793200000000</v>
      </c>
      <c r="E319" s="205">
        <v>72681468500</v>
      </c>
      <c r="F319" s="205">
        <v>113407550000</v>
      </c>
      <c r="G319" s="205">
        <v>483418795500</v>
      </c>
    </row>
    <row r="320" spans="1:7">
      <c r="A320" s="2102">
        <v>43917</v>
      </c>
      <c r="B320" s="211">
        <f t="shared" si="27"/>
        <v>2020</v>
      </c>
      <c r="C320" s="211">
        <f t="shared" si="28"/>
        <v>3</v>
      </c>
      <c r="D320" s="205">
        <v>6821505000000</v>
      </c>
      <c r="E320" s="205">
        <v>70888567000</v>
      </c>
      <c r="F320" s="205">
        <v>113261406250</v>
      </c>
      <c r="G320" s="205">
        <v>486221223300</v>
      </c>
    </row>
    <row r="321" spans="1:7">
      <c r="A321" s="2102">
        <v>43916</v>
      </c>
      <c r="B321" s="211">
        <f t="shared" si="27"/>
        <v>2020</v>
      </c>
      <c r="C321" s="211">
        <f t="shared" si="28"/>
        <v>3</v>
      </c>
      <c r="D321" s="205">
        <v>6793200000000</v>
      </c>
      <c r="E321" s="205">
        <v>69509412000</v>
      </c>
      <c r="F321" s="205">
        <v>110192387500</v>
      </c>
      <c r="G321" s="205">
        <v>470807870400</v>
      </c>
    </row>
    <row r="322" spans="1:7">
      <c r="A322" s="2102">
        <v>43915</v>
      </c>
      <c r="B322" s="211">
        <f t="shared" si="27"/>
        <v>2020</v>
      </c>
      <c r="C322" s="211">
        <f t="shared" si="28"/>
        <v>3</v>
      </c>
      <c r="D322" s="205">
        <v>6764895000000</v>
      </c>
      <c r="E322" s="205">
        <v>66061524500</v>
      </c>
      <c r="F322" s="205">
        <v>106684937500</v>
      </c>
      <c r="G322" s="205">
        <v>465203014800</v>
      </c>
    </row>
    <row r="323" spans="1:7">
      <c r="A323" s="2102">
        <v>43914</v>
      </c>
      <c r="B323" s="211">
        <f t="shared" si="27"/>
        <v>2020</v>
      </c>
      <c r="C323" s="211">
        <f t="shared" si="28"/>
        <v>3</v>
      </c>
      <c r="D323" s="205">
        <v>6359190000000</v>
      </c>
      <c r="E323" s="205">
        <v>62061975000</v>
      </c>
      <c r="F323" s="205">
        <v>100985331250</v>
      </c>
      <c r="G323" s="205">
        <v>430172667300</v>
      </c>
    </row>
    <row r="324" spans="1:7">
      <c r="A324" s="2102">
        <v>43913</v>
      </c>
      <c r="B324" s="211">
        <f t="shared" si="27"/>
        <v>2020</v>
      </c>
      <c r="C324" s="211">
        <f t="shared" si="28"/>
        <v>3</v>
      </c>
      <c r="D324" s="205">
        <v>5566650000000</v>
      </c>
      <c r="E324" s="205">
        <v>58889918500</v>
      </c>
      <c r="F324" s="205">
        <v>97331737500</v>
      </c>
      <c r="G324" s="205">
        <v>396543533700</v>
      </c>
    </row>
    <row r="325" spans="1:7">
      <c r="A325" s="2102">
        <v>43910</v>
      </c>
      <c r="B325" s="211">
        <f t="shared" si="27"/>
        <v>2020</v>
      </c>
      <c r="C325" s="211">
        <f t="shared" si="28"/>
        <v>3</v>
      </c>
      <c r="D325" s="205">
        <v>5566650000000</v>
      </c>
      <c r="E325" s="205">
        <v>60406989000</v>
      </c>
      <c r="F325" s="205">
        <v>100985331250</v>
      </c>
      <c r="G325" s="205">
        <v>448388448000</v>
      </c>
    </row>
    <row r="326" spans="1:7">
      <c r="A326" s="2102">
        <v>43909</v>
      </c>
      <c r="B326" s="211">
        <f t="shared" si="27"/>
        <v>2020</v>
      </c>
      <c r="C326" s="211">
        <f t="shared" si="28"/>
        <v>3</v>
      </c>
      <c r="D326" s="205">
        <v>5538345000000</v>
      </c>
      <c r="E326" s="205">
        <v>55028284500</v>
      </c>
      <c r="F326" s="205">
        <v>96454875000</v>
      </c>
      <c r="G326" s="205">
        <v>386735036400</v>
      </c>
    </row>
    <row r="327" spans="1:7">
      <c r="A327" s="2102">
        <v>43908</v>
      </c>
      <c r="B327" s="211">
        <f t="shared" si="27"/>
        <v>2020</v>
      </c>
      <c r="C327" s="211">
        <f t="shared" si="28"/>
        <v>3</v>
      </c>
      <c r="D327" s="205">
        <v>5981790000000</v>
      </c>
      <c r="E327" s="205">
        <v>66475271000</v>
      </c>
      <c r="F327" s="205">
        <v>108146375000</v>
      </c>
      <c r="G327" s="205">
        <v>449789661900</v>
      </c>
    </row>
    <row r="328" spans="1:7">
      <c r="A328" s="2102">
        <v>43907</v>
      </c>
      <c r="B328" s="211">
        <f t="shared" si="27"/>
        <v>2020</v>
      </c>
      <c r="C328" s="211">
        <f t="shared" si="28"/>
        <v>3</v>
      </c>
      <c r="D328" s="205">
        <v>6670545000000</v>
      </c>
      <c r="E328" s="205">
        <v>72267722000</v>
      </c>
      <c r="F328" s="205">
        <v>112238400000</v>
      </c>
      <c r="G328" s="205">
        <v>462400587000</v>
      </c>
    </row>
    <row r="329" spans="1:7">
      <c r="A329" s="2102">
        <v>43906</v>
      </c>
      <c r="B329" s="211">
        <f t="shared" si="27"/>
        <v>2020</v>
      </c>
      <c r="C329" s="211">
        <f t="shared" si="28"/>
        <v>3</v>
      </c>
      <c r="D329" s="205">
        <v>6840375000000</v>
      </c>
      <c r="E329" s="205">
        <v>72267722000</v>
      </c>
      <c r="F329" s="205">
        <v>114868987500</v>
      </c>
      <c r="G329" s="205">
        <v>472209084300</v>
      </c>
    </row>
    <row r="330" spans="1:7">
      <c r="A330" s="2102">
        <v>43903</v>
      </c>
      <c r="B330" s="211">
        <f t="shared" ref="B330:B393" si="29">YEAR(A330)</f>
        <v>2020</v>
      </c>
      <c r="C330" s="211">
        <f t="shared" ref="C330:C393" si="30">MONTH(A330)</f>
        <v>3</v>
      </c>
      <c r="D330" s="205">
        <v>7057380000000</v>
      </c>
      <c r="E330" s="205">
        <v>73922708000</v>
      </c>
      <c r="F330" s="205">
        <v>121737743750</v>
      </c>
      <c r="G330" s="205">
        <v>484820009400</v>
      </c>
    </row>
    <row r="331" spans="1:7">
      <c r="A331" s="2102">
        <v>43902</v>
      </c>
      <c r="B331" s="211">
        <f t="shared" si="29"/>
        <v>2020</v>
      </c>
      <c r="C331" s="211">
        <f t="shared" si="30"/>
        <v>3</v>
      </c>
      <c r="D331" s="205">
        <v>7161165000000</v>
      </c>
      <c r="E331" s="205">
        <v>85645525500</v>
      </c>
      <c r="F331" s="205">
        <v>130067937500</v>
      </c>
      <c r="G331" s="205">
        <v>525455212500</v>
      </c>
    </row>
    <row r="332" spans="1:7">
      <c r="A332" s="2102">
        <v>43901</v>
      </c>
      <c r="B332" s="211">
        <f t="shared" si="29"/>
        <v>2020</v>
      </c>
      <c r="C332" s="211">
        <f t="shared" si="30"/>
        <v>3</v>
      </c>
      <c r="D332" s="205">
        <v>7255515000000</v>
      </c>
      <c r="E332" s="205">
        <v>89507159500</v>
      </c>
      <c r="F332" s="205">
        <v>138105843750</v>
      </c>
      <c r="G332" s="205">
        <v>560485560000</v>
      </c>
    </row>
    <row r="333" spans="1:7">
      <c r="A333" s="2102">
        <v>43900</v>
      </c>
      <c r="B333" s="211">
        <f t="shared" si="29"/>
        <v>2020</v>
      </c>
      <c r="C333" s="211">
        <f t="shared" si="30"/>
        <v>3</v>
      </c>
      <c r="D333" s="205">
        <v>7415910000000</v>
      </c>
      <c r="E333" s="205">
        <v>95161695000</v>
      </c>
      <c r="F333" s="205">
        <v>143805450000</v>
      </c>
      <c r="G333" s="205">
        <v>571695271200</v>
      </c>
    </row>
    <row r="334" spans="1:7">
      <c r="A334" s="2102">
        <v>43899</v>
      </c>
      <c r="B334" s="211">
        <f t="shared" si="29"/>
        <v>2020</v>
      </c>
      <c r="C334" s="211">
        <f t="shared" si="30"/>
        <v>3</v>
      </c>
      <c r="D334" s="205">
        <v>7397040000000</v>
      </c>
      <c r="E334" s="205">
        <v>95437526000</v>
      </c>
      <c r="F334" s="205">
        <v>145559175000</v>
      </c>
      <c r="G334" s="205">
        <v>566090415600</v>
      </c>
    </row>
    <row r="335" spans="1:7">
      <c r="A335" s="2102">
        <v>43896</v>
      </c>
      <c r="B335" s="211">
        <f t="shared" si="29"/>
        <v>2020</v>
      </c>
      <c r="C335" s="211">
        <f t="shared" si="30"/>
        <v>3</v>
      </c>
      <c r="D335" s="205">
        <v>7727265000000</v>
      </c>
      <c r="E335" s="205">
        <v>102471216500</v>
      </c>
      <c r="F335" s="205">
        <v>147605187500</v>
      </c>
      <c r="G335" s="205">
        <v>575898912900</v>
      </c>
    </row>
    <row r="336" spans="1:7">
      <c r="A336" s="2102">
        <v>43895</v>
      </c>
      <c r="B336" s="211">
        <f t="shared" si="29"/>
        <v>2020</v>
      </c>
      <c r="C336" s="211">
        <f t="shared" si="30"/>
        <v>3</v>
      </c>
      <c r="D336" s="205">
        <v>7897095000000</v>
      </c>
      <c r="E336" s="205">
        <v>103160794000</v>
      </c>
      <c r="F336" s="205">
        <v>150235775000</v>
      </c>
      <c r="G336" s="205">
        <v>589911051900</v>
      </c>
    </row>
    <row r="337" spans="1:7">
      <c r="A337" s="2102">
        <v>43894</v>
      </c>
      <c r="B337" s="211">
        <f t="shared" si="29"/>
        <v>2020</v>
      </c>
      <c r="C337" s="211">
        <f t="shared" si="30"/>
        <v>3</v>
      </c>
      <c r="D337" s="205">
        <v>7802745000000</v>
      </c>
      <c r="E337" s="205">
        <v>102609132000</v>
      </c>
      <c r="F337" s="205">
        <v>149358912500</v>
      </c>
      <c r="G337" s="205">
        <v>589911051900</v>
      </c>
    </row>
    <row r="338" spans="1:7">
      <c r="A338" s="2102">
        <v>43893</v>
      </c>
      <c r="B338" s="211">
        <f t="shared" si="29"/>
        <v>2020</v>
      </c>
      <c r="C338" s="211">
        <f t="shared" si="30"/>
        <v>3</v>
      </c>
      <c r="D338" s="205">
        <v>7708395000000</v>
      </c>
      <c r="E338" s="205">
        <v>99161244500</v>
      </c>
      <c r="F338" s="205">
        <v>148482050000</v>
      </c>
      <c r="G338" s="205">
        <v>581503768500</v>
      </c>
    </row>
    <row r="339" spans="1:7">
      <c r="A339" s="2102">
        <v>43892</v>
      </c>
      <c r="B339" s="211">
        <f t="shared" si="29"/>
        <v>2020</v>
      </c>
      <c r="C339" s="211">
        <f t="shared" si="30"/>
        <v>3</v>
      </c>
      <c r="D339" s="205">
        <v>7746135000000</v>
      </c>
      <c r="E339" s="205">
        <v>96678765500</v>
      </c>
      <c r="F339" s="205">
        <v>151112637500</v>
      </c>
      <c r="G339" s="205">
        <v>580102554600</v>
      </c>
    </row>
    <row r="340" spans="1:7">
      <c r="A340" s="2102">
        <v>43889</v>
      </c>
      <c r="B340" s="211">
        <f t="shared" si="29"/>
        <v>2020</v>
      </c>
      <c r="C340" s="211">
        <f t="shared" si="30"/>
        <v>2</v>
      </c>
      <c r="D340" s="205">
        <v>7821615000000</v>
      </c>
      <c r="E340" s="205">
        <v>95713357000</v>
      </c>
      <c r="F340" s="205">
        <v>148774337500</v>
      </c>
      <c r="G340" s="205">
        <v>571695271200</v>
      </c>
    </row>
    <row r="341" spans="1:7">
      <c r="A341" s="2102">
        <v>43888</v>
      </c>
      <c r="B341" s="211">
        <f t="shared" si="29"/>
        <v>2020</v>
      </c>
      <c r="C341" s="211">
        <f t="shared" si="30"/>
        <v>2</v>
      </c>
      <c r="D341" s="205">
        <v>8085795000000</v>
      </c>
      <c r="E341" s="205">
        <v>100402484000</v>
      </c>
      <c r="F341" s="205">
        <v>152574075000</v>
      </c>
      <c r="G341" s="205">
        <v>582904982400</v>
      </c>
    </row>
    <row r="342" spans="1:7">
      <c r="A342" s="2102">
        <v>43887</v>
      </c>
      <c r="B342" s="211">
        <f t="shared" si="29"/>
        <v>2020</v>
      </c>
      <c r="C342" s="211">
        <f t="shared" si="30"/>
        <v>2</v>
      </c>
      <c r="D342" s="205">
        <v>8057490000000</v>
      </c>
      <c r="E342" s="205">
        <v>103712456000</v>
      </c>
      <c r="F342" s="205">
        <v>155496950000</v>
      </c>
      <c r="G342" s="205">
        <v>580102554600</v>
      </c>
    </row>
    <row r="343" spans="1:7">
      <c r="A343" s="2102">
        <v>43886</v>
      </c>
      <c r="B343" s="211">
        <f t="shared" si="29"/>
        <v>2020</v>
      </c>
      <c r="C343" s="211">
        <f t="shared" si="30"/>
        <v>2</v>
      </c>
      <c r="D343" s="205">
        <v>8066925000000</v>
      </c>
      <c r="E343" s="205">
        <v>106194935000</v>
      </c>
      <c r="F343" s="205">
        <v>154327800000</v>
      </c>
      <c r="G343" s="205">
        <v>582904982400</v>
      </c>
    </row>
    <row r="344" spans="1:7">
      <c r="A344" s="2102">
        <v>43885</v>
      </c>
      <c r="B344" s="211">
        <f t="shared" si="29"/>
        <v>2020</v>
      </c>
      <c r="C344" s="211">
        <f t="shared" si="30"/>
        <v>2</v>
      </c>
      <c r="D344" s="205">
        <v>8038620000000</v>
      </c>
      <c r="E344" s="205">
        <v>105229526500</v>
      </c>
      <c r="F344" s="205">
        <v>152574075000</v>
      </c>
      <c r="G344" s="205">
        <v>570294057300</v>
      </c>
    </row>
    <row r="345" spans="1:7">
      <c r="A345" s="2102">
        <v>43882</v>
      </c>
      <c r="B345" s="211">
        <f t="shared" si="29"/>
        <v>2020</v>
      </c>
      <c r="C345" s="211">
        <f t="shared" si="30"/>
        <v>2</v>
      </c>
      <c r="D345" s="205">
        <v>8302800000000</v>
      </c>
      <c r="E345" s="205">
        <v>116538597500</v>
      </c>
      <c r="F345" s="205">
        <v>156958387500</v>
      </c>
      <c r="G345" s="205">
        <v>589911051900</v>
      </c>
    </row>
    <row r="346" spans="1:7">
      <c r="A346" s="2102">
        <v>43881</v>
      </c>
      <c r="B346" s="211">
        <f t="shared" si="29"/>
        <v>2020</v>
      </c>
      <c r="C346" s="211">
        <f t="shared" si="30"/>
        <v>2</v>
      </c>
      <c r="D346" s="205">
        <v>8453760000000</v>
      </c>
      <c r="E346" s="205">
        <v>121089809000</v>
      </c>
      <c r="F346" s="205">
        <v>156081525000</v>
      </c>
      <c r="G346" s="205">
        <v>602521977000</v>
      </c>
    </row>
    <row r="347" spans="1:7">
      <c r="A347" s="2102">
        <v>43880</v>
      </c>
      <c r="B347" s="211">
        <f t="shared" si="29"/>
        <v>2020</v>
      </c>
      <c r="C347" s="211">
        <f t="shared" si="30"/>
        <v>2</v>
      </c>
      <c r="D347" s="205">
        <v>8699070000000</v>
      </c>
      <c r="E347" s="205">
        <v>118055668000</v>
      </c>
      <c r="F347" s="205">
        <v>157835250000</v>
      </c>
      <c r="G347" s="205">
        <v>622138971600</v>
      </c>
    </row>
    <row r="348" spans="1:7">
      <c r="A348" s="2102">
        <v>43879</v>
      </c>
      <c r="B348" s="211">
        <f t="shared" si="29"/>
        <v>2020</v>
      </c>
      <c r="C348" s="211">
        <f t="shared" si="30"/>
        <v>2</v>
      </c>
      <c r="D348" s="205">
        <v>8246190000000</v>
      </c>
      <c r="E348" s="205">
        <v>115435273500</v>
      </c>
      <c r="F348" s="205">
        <v>156958387500</v>
      </c>
      <c r="G348" s="205">
        <v>633348682800</v>
      </c>
    </row>
    <row r="349" spans="1:7">
      <c r="A349" s="2102">
        <v>43878</v>
      </c>
      <c r="B349" s="211">
        <f t="shared" si="29"/>
        <v>2020</v>
      </c>
      <c r="C349" s="211">
        <f t="shared" si="30"/>
        <v>2</v>
      </c>
      <c r="D349" s="205">
        <v>8368845000000</v>
      </c>
      <c r="E349" s="205">
        <v>115297358000</v>
      </c>
      <c r="F349" s="205">
        <v>159881262500</v>
      </c>
      <c r="G349" s="205">
        <v>637552324500</v>
      </c>
    </row>
    <row r="350" spans="1:7">
      <c r="A350" s="2102">
        <v>43875</v>
      </c>
      <c r="B350" s="211">
        <f t="shared" si="29"/>
        <v>2020</v>
      </c>
      <c r="C350" s="211">
        <f t="shared" si="30"/>
        <v>2</v>
      </c>
      <c r="D350" s="205">
        <v>8123535000000</v>
      </c>
      <c r="E350" s="205">
        <v>117228175000</v>
      </c>
      <c r="F350" s="205">
        <v>159588975000</v>
      </c>
      <c r="G350" s="205">
        <v>643157180100</v>
      </c>
    </row>
    <row r="351" spans="1:7">
      <c r="A351" s="2102">
        <v>43874</v>
      </c>
      <c r="B351" s="211">
        <f t="shared" si="29"/>
        <v>2020</v>
      </c>
      <c r="C351" s="211">
        <f t="shared" si="30"/>
        <v>2</v>
      </c>
      <c r="D351" s="205">
        <v>7963140000000</v>
      </c>
      <c r="E351" s="205">
        <v>115711104500</v>
      </c>
      <c r="F351" s="205">
        <v>162804137500</v>
      </c>
      <c r="G351" s="205">
        <v>631947468900</v>
      </c>
    </row>
    <row r="352" spans="1:7">
      <c r="A352" s="2102">
        <v>43873</v>
      </c>
      <c r="B352" s="211">
        <f t="shared" si="29"/>
        <v>2020</v>
      </c>
      <c r="C352" s="211">
        <f t="shared" si="30"/>
        <v>2</v>
      </c>
      <c r="D352" s="205">
        <v>7982010000000</v>
      </c>
      <c r="E352" s="205">
        <v>115159442500</v>
      </c>
      <c r="F352" s="205">
        <v>161050412500</v>
      </c>
      <c r="G352" s="205">
        <v>638953538400</v>
      </c>
    </row>
    <row r="353" spans="1:7">
      <c r="A353" s="2102">
        <v>43872</v>
      </c>
      <c r="B353" s="211">
        <f t="shared" si="29"/>
        <v>2020</v>
      </c>
      <c r="C353" s="211">
        <f t="shared" si="30"/>
        <v>2</v>
      </c>
      <c r="D353" s="205">
        <v>8132970000000</v>
      </c>
      <c r="E353" s="205">
        <v>118883161000</v>
      </c>
      <c r="F353" s="205">
        <v>156958387500</v>
      </c>
      <c r="G353" s="205">
        <v>637552324500</v>
      </c>
    </row>
    <row r="354" spans="1:7">
      <c r="A354" s="2102">
        <v>43871</v>
      </c>
      <c r="B354" s="211">
        <f t="shared" si="29"/>
        <v>2020</v>
      </c>
      <c r="C354" s="211">
        <f t="shared" si="30"/>
        <v>2</v>
      </c>
      <c r="D354" s="205">
        <v>8246190000000</v>
      </c>
      <c r="E354" s="205">
        <v>119572738500</v>
      </c>
      <c r="F354" s="205">
        <v>157250675000</v>
      </c>
      <c r="G354" s="205">
        <v>633348682800</v>
      </c>
    </row>
    <row r="355" spans="1:7">
      <c r="A355" s="2102">
        <v>43868</v>
      </c>
      <c r="B355" s="211">
        <f t="shared" si="29"/>
        <v>2020</v>
      </c>
      <c r="C355" s="211">
        <f t="shared" si="30"/>
        <v>2</v>
      </c>
      <c r="D355" s="205">
        <v>8170710000000</v>
      </c>
      <c r="E355" s="205">
        <v>117917752500</v>
      </c>
      <c r="F355" s="205">
        <v>157250675000</v>
      </c>
      <c r="G355" s="205">
        <v>643157180100</v>
      </c>
    </row>
    <row r="356" spans="1:7">
      <c r="A356" s="2102">
        <v>43867</v>
      </c>
      <c r="B356" s="211">
        <f t="shared" si="29"/>
        <v>2020</v>
      </c>
      <c r="C356" s="211">
        <f t="shared" si="30"/>
        <v>2</v>
      </c>
      <c r="D356" s="205">
        <v>7934835000000</v>
      </c>
      <c r="E356" s="205">
        <v>115573189000</v>
      </c>
      <c r="F356" s="205">
        <v>157835250000</v>
      </c>
      <c r="G356" s="205">
        <v>644558394000</v>
      </c>
    </row>
    <row r="357" spans="1:7">
      <c r="A357" s="2102">
        <v>43866</v>
      </c>
      <c r="B357" s="211">
        <f t="shared" si="29"/>
        <v>2020</v>
      </c>
      <c r="C357" s="211">
        <f t="shared" si="30"/>
        <v>2</v>
      </c>
      <c r="D357" s="205">
        <v>7312125000000</v>
      </c>
      <c r="E357" s="205">
        <v>113780287500</v>
      </c>
      <c r="F357" s="205">
        <v>157542962500</v>
      </c>
      <c r="G357" s="205">
        <v>594114693600</v>
      </c>
    </row>
    <row r="358" spans="1:7">
      <c r="A358" s="2102">
        <v>43865</v>
      </c>
      <c r="B358" s="211">
        <f t="shared" si="29"/>
        <v>2020</v>
      </c>
      <c r="C358" s="211">
        <f t="shared" si="30"/>
        <v>2</v>
      </c>
      <c r="D358" s="205">
        <v>7208340000000</v>
      </c>
      <c r="E358" s="205">
        <v>112539048000</v>
      </c>
      <c r="F358" s="205">
        <v>159296687500</v>
      </c>
      <c r="G358" s="205">
        <v>585707410200</v>
      </c>
    </row>
    <row r="359" spans="1:7">
      <c r="A359" s="2102">
        <v>43864</v>
      </c>
      <c r="B359" s="211">
        <f t="shared" si="29"/>
        <v>2020</v>
      </c>
      <c r="C359" s="211">
        <f t="shared" si="30"/>
        <v>2</v>
      </c>
      <c r="D359" s="205">
        <v>7104555000000</v>
      </c>
      <c r="E359" s="205">
        <v>112401132500</v>
      </c>
      <c r="F359" s="205">
        <v>157835250000</v>
      </c>
      <c r="G359" s="205">
        <v>571695271200</v>
      </c>
    </row>
    <row r="360" spans="1:7">
      <c r="A360" s="2102">
        <v>43861</v>
      </c>
      <c r="B360" s="211">
        <f t="shared" si="29"/>
        <v>2020</v>
      </c>
      <c r="C360" s="211">
        <f t="shared" si="30"/>
        <v>1</v>
      </c>
      <c r="D360" s="205">
        <v>7170600000000</v>
      </c>
      <c r="E360" s="205">
        <v>111849470500</v>
      </c>
      <c r="F360" s="205">
        <v>156666100000</v>
      </c>
      <c r="G360" s="205">
        <v>575898912900</v>
      </c>
    </row>
    <row r="361" spans="1:7">
      <c r="A361" s="2102">
        <v>43860</v>
      </c>
      <c r="B361" s="211">
        <f t="shared" si="29"/>
        <v>2020</v>
      </c>
      <c r="C361" s="211">
        <f t="shared" si="30"/>
        <v>1</v>
      </c>
      <c r="D361" s="205">
        <v>7340430000000</v>
      </c>
      <c r="E361" s="205">
        <v>116538597500</v>
      </c>
      <c r="F361" s="205">
        <v>160173550000</v>
      </c>
      <c r="G361" s="205">
        <v>585707410200</v>
      </c>
    </row>
    <row r="362" spans="1:7">
      <c r="A362" s="2102">
        <v>43859</v>
      </c>
      <c r="B362" s="211">
        <f t="shared" si="29"/>
        <v>2020</v>
      </c>
      <c r="C362" s="211">
        <f t="shared" si="30"/>
        <v>1</v>
      </c>
      <c r="D362" s="205">
        <v>7481955000000</v>
      </c>
      <c r="E362" s="205">
        <v>124123950000</v>
      </c>
      <c r="F362" s="205">
        <v>162511850000</v>
      </c>
      <c r="G362" s="205">
        <v>602521977000</v>
      </c>
    </row>
    <row r="363" spans="1:7">
      <c r="A363" s="2102">
        <v>43858</v>
      </c>
      <c r="B363" s="211">
        <f t="shared" si="29"/>
        <v>2020</v>
      </c>
      <c r="C363" s="211">
        <f t="shared" si="30"/>
        <v>1</v>
      </c>
      <c r="D363" s="205">
        <v>7453650000000</v>
      </c>
      <c r="E363" s="205">
        <v>134191781500</v>
      </c>
      <c r="F363" s="205">
        <v>162511850000</v>
      </c>
      <c r="G363" s="205">
        <v>602521977000</v>
      </c>
    </row>
    <row r="364" spans="1:7">
      <c r="A364" s="2102">
        <v>43853</v>
      </c>
      <c r="B364" s="211">
        <f t="shared" si="29"/>
        <v>2020</v>
      </c>
      <c r="C364" s="211">
        <f t="shared" si="30"/>
        <v>1</v>
      </c>
      <c r="D364" s="205">
        <v>7680090000000</v>
      </c>
      <c r="E364" s="205">
        <v>126606429000</v>
      </c>
      <c r="F364" s="205">
        <v>166311587500</v>
      </c>
      <c r="G364" s="205">
        <v>652965677400</v>
      </c>
    </row>
    <row r="365" spans="1:7">
      <c r="A365" s="2102">
        <v>43852</v>
      </c>
      <c r="B365" s="211">
        <f t="shared" si="29"/>
        <v>2020</v>
      </c>
      <c r="C365" s="211">
        <f t="shared" si="30"/>
        <v>1</v>
      </c>
      <c r="D365" s="205">
        <v>7755570000000</v>
      </c>
      <c r="E365" s="205">
        <v>124675612000</v>
      </c>
      <c r="F365" s="205">
        <v>166603875000</v>
      </c>
      <c r="G365" s="205">
        <v>665576602500</v>
      </c>
    </row>
    <row r="366" spans="1:7">
      <c r="A366" s="2102">
        <v>43851</v>
      </c>
      <c r="B366" s="211">
        <f t="shared" si="29"/>
        <v>2020</v>
      </c>
      <c r="C366" s="211">
        <f t="shared" si="30"/>
        <v>1</v>
      </c>
      <c r="D366" s="205">
        <v>7821615000000</v>
      </c>
      <c r="E366" s="205">
        <v>122744795000</v>
      </c>
      <c r="F366" s="205">
        <v>166603875000</v>
      </c>
      <c r="G366" s="205">
        <v>679588741500</v>
      </c>
    </row>
    <row r="367" spans="1:7">
      <c r="A367" s="2102">
        <v>43850</v>
      </c>
      <c r="B367" s="211">
        <f t="shared" si="29"/>
        <v>2020</v>
      </c>
      <c r="C367" s="211">
        <f t="shared" si="30"/>
        <v>1</v>
      </c>
      <c r="D367" s="205">
        <v>7887660000000</v>
      </c>
      <c r="E367" s="205">
        <v>135846767500</v>
      </c>
      <c r="F367" s="205">
        <v>167480737500</v>
      </c>
      <c r="G367" s="205">
        <v>675385099800</v>
      </c>
    </row>
    <row r="368" spans="1:7">
      <c r="A368" s="2102">
        <v>43847</v>
      </c>
      <c r="B368" s="211">
        <f t="shared" si="29"/>
        <v>2020</v>
      </c>
      <c r="C368" s="211">
        <f t="shared" si="30"/>
        <v>1</v>
      </c>
      <c r="D368" s="205">
        <v>7849920000000</v>
      </c>
      <c r="E368" s="205">
        <v>123572288000</v>
      </c>
      <c r="F368" s="205">
        <v>164850150000</v>
      </c>
      <c r="G368" s="205">
        <v>685193597100</v>
      </c>
    </row>
    <row r="369" spans="1:7">
      <c r="A369" s="2102">
        <v>43846</v>
      </c>
      <c r="B369" s="211">
        <f t="shared" si="29"/>
        <v>2020</v>
      </c>
      <c r="C369" s="211">
        <f t="shared" si="30"/>
        <v>1</v>
      </c>
      <c r="D369" s="205">
        <v>7915965000000</v>
      </c>
      <c r="E369" s="205">
        <v>122606879500</v>
      </c>
      <c r="F369" s="205">
        <v>166019300000</v>
      </c>
      <c r="G369" s="205">
        <v>676786313700</v>
      </c>
    </row>
    <row r="370" spans="1:7">
      <c r="A370" s="2102">
        <v>43845</v>
      </c>
      <c r="B370" s="211">
        <f t="shared" si="29"/>
        <v>2020</v>
      </c>
      <c r="C370" s="211">
        <f t="shared" si="30"/>
        <v>1</v>
      </c>
      <c r="D370" s="205">
        <v>7982010000000</v>
      </c>
      <c r="E370" s="205">
        <v>121917302000</v>
      </c>
      <c r="F370" s="205">
        <v>165727012500</v>
      </c>
      <c r="G370" s="205">
        <v>680989955400</v>
      </c>
    </row>
    <row r="371" spans="1:7">
      <c r="A371" s="2102">
        <v>43844</v>
      </c>
      <c r="B371" s="211">
        <f t="shared" si="29"/>
        <v>2020</v>
      </c>
      <c r="C371" s="211">
        <f t="shared" si="30"/>
        <v>1</v>
      </c>
      <c r="D371" s="205">
        <v>7963140000000</v>
      </c>
      <c r="E371" s="205">
        <v>120676062500</v>
      </c>
      <c r="F371" s="205">
        <v>165142437500</v>
      </c>
      <c r="G371" s="205">
        <v>682391169300</v>
      </c>
    </row>
    <row r="372" spans="1:7">
      <c r="A372" s="2102">
        <v>43843</v>
      </c>
      <c r="B372" s="211">
        <f t="shared" si="29"/>
        <v>2020</v>
      </c>
      <c r="C372" s="211">
        <f t="shared" si="30"/>
        <v>1</v>
      </c>
      <c r="D372" s="205">
        <v>7972575000000</v>
      </c>
      <c r="E372" s="205">
        <v>122193133000</v>
      </c>
      <c r="F372" s="205">
        <v>165727012500</v>
      </c>
      <c r="G372" s="205">
        <v>640354752300</v>
      </c>
    </row>
    <row r="373" spans="1:7">
      <c r="A373" s="2102">
        <v>43840</v>
      </c>
      <c r="B373" s="211">
        <f t="shared" si="29"/>
        <v>2020</v>
      </c>
      <c r="C373" s="211">
        <f t="shared" si="30"/>
        <v>1</v>
      </c>
      <c r="D373" s="205">
        <v>7953705000000</v>
      </c>
      <c r="E373" s="205">
        <v>118745245500</v>
      </c>
      <c r="F373" s="205">
        <v>166019300000</v>
      </c>
      <c r="G373" s="205">
        <v>638953538400</v>
      </c>
    </row>
    <row r="374" spans="1:7">
      <c r="A374" s="2102">
        <v>43839</v>
      </c>
      <c r="B374" s="211">
        <f t="shared" si="29"/>
        <v>2020</v>
      </c>
      <c r="C374" s="211">
        <f t="shared" si="30"/>
        <v>1</v>
      </c>
      <c r="D374" s="205">
        <v>8066925000000</v>
      </c>
      <c r="E374" s="205">
        <v>114056118500</v>
      </c>
      <c r="F374" s="205">
        <v>165727012500</v>
      </c>
      <c r="G374" s="205">
        <v>643157180100</v>
      </c>
    </row>
    <row r="375" spans="1:7">
      <c r="A375" s="2102">
        <v>43838</v>
      </c>
      <c r="B375" s="211">
        <f t="shared" si="29"/>
        <v>2020</v>
      </c>
      <c r="C375" s="211">
        <f t="shared" si="30"/>
        <v>1</v>
      </c>
      <c r="D375" s="205">
        <v>8208450000000</v>
      </c>
      <c r="E375" s="205">
        <v>107849921000</v>
      </c>
      <c r="F375" s="205">
        <v>166019300000</v>
      </c>
      <c r="G375" s="205">
        <v>634749896700</v>
      </c>
    </row>
    <row r="376" spans="1:7">
      <c r="A376" s="2102">
        <v>43837</v>
      </c>
      <c r="B376" s="211">
        <f t="shared" si="29"/>
        <v>2020</v>
      </c>
      <c r="C376" s="211">
        <f t="shared" si="30"/>
        <v>1</v>
      </c>
      <c r="D376" s="205">
        <v>8076360000000</v>
      </c>
      <c r="E376" s="205">
        <v>118193583500</v>
      </c>
      <c r="F376" s="205">
        <v>168065312500</v>
      </c>
      <c r="G376" s="205">
        <v>651564463500</v>
      </c>
    </row>
    <row r="377" spans="1:7">
      <c r="A377" s="2102">
        <v>43836</v>
      </c>
      <c r="B377" s="211">
        <f t="shared" si="29"/>
        <v>2020</v>
      </c>
      <c r="C377" s="211">
        <f t="shared" si="30"/>
        <v>1</v>
      </c>
      <c r="D377" s="205">
        <v>7953705000000</v>
      </c>
      <c r="E377" s="205">
        <v>117779837000</v>
      </c>
      <c r="F377" s="205">
        <v>167773025000</v>
      </c>
      <c r="G377" s="205">
        <v>648762035700</v>
      </c>
    </row>
    <row r="378" spans="1:7">
      <c r="A378" s="2102">
        <v>43833</v>
      </c>
      <c r="B378" s="211">
        <f t="shared" si="29"/>
        <v>2020</v>
      </c>
      <c r="C378" s="211">
        <f t="shared" si="30"/>
        <v>1</v>
      </c>
      <c r="D378" s="205">
        <v>8029185000000</v>
      </c>
      <c r="E378" s="205">
        <v>123296457000</v>
      </c>
      <c r="F378" s="205">
        <v>167773025000</v>
      </c>
      <c r="G378" s="205">
        <v>665576602500</v>
      </c>
    </row>
    <row r="379" spans="1:7">
      <c r="A379" s="2102">
        <v>43832</v>
      </c>
      <c r="B379" s="211">
        <f t="shared" si="29"/>
        <v>2020</v>
      </c>
      <c r="C379" s="211">
        <f t="shared" si="30"/>
        <v>1</v>
      </c>
      <c r="D379" s="205">
        <v>8000880000000</v>
      </c>
      <c r="E379" s="205">
        <v>121227724500</v>
      </c>
      <c r="F379" s="205">
        <v>169234462500</v>
      </c>
      <c r="G379" s="205">
        <v>652965677400</v>
      </c>
    </row>
    <row r="380" spans="1:7">
      <c r="A380" s="2102">
        <v>43829</v>
      </c>
      <c r="B380" s="211">
        <f t="shared" si="29"/>
        <v>2019</v>
      </c>
      <c r="C380" s="211">
        <f t="shared" si="30"/>
        <v>12</v>
      </c>
      <c r="D380" s="205">
        <v>8019750000000</v>
      </c>
      <c r="E380" s="205">
        <v>119848569500</v>
      </c>
      <c r="F380" s="205">
        <v>166896162500</v>
      </c>
      <c r="G380" s="205">
        <v>666977816400</v>
      </c>
    </row>
    <row r="381" spans="1:7">
      <c r="A381" s="2102">
        <v>43826</v>
      </c>
      <c r="B381" s="211">
        <f t="shared" si="29"/>
        <v>2019</v>
      </c>
      <c r="C381" s="211">
        <f t="shared" si="30"/>
        <v>12</v>
      </c>
      <c r="D381" s="205">
        <v>8029185000000</v>
      </c>
      <c r="E381" s="205">
        <v>118055668000</v>
      </c>
      <c r="F381" s="205">
        <v>166311587500</v>
      </c>
      <c r="G381" s="205">
        <v>669780244200</v>
      </c>
    </row>
    <row r="382" spans="1:7">
      <c r="A382" s="2102">
        <v>43825</v>
      </c>
      <c r="B382" s="211">
        <f t="shared" si="29"/>
        <v>2019</v>
      </c>
      <c r="C382" s="211">
        <f t="shared" si="30"/>
        <v>12</v>
      </c>
      <c r="D382" s="205">
        <v>8066925000000</v>
      </c>
      <c r="E382" s="205">
        <v>116952344000</v>
      </c>
      <c r="F382" s="205">
        <v>172157337500</v>
      </c>
      <c r="G382" s="205">
        <v>665576602500</v>
      </c>
    </row>
    <row r="383" spans="1:7">
      <c r="A383" s="2102">
        <v>43823</v>
      </c>
      <c r="B383" s="211">
        <f t="shared" si="29"/>
        <v>2019</v>
      </c>
      <c r="C383" s="211">
        <f t="shared" si="30"/>
        <v>12</v>
      </c>
      <c r="D383" s="205">
        <v>8104665000000</v>
      </c>
      <c r="E383" s="205">
        <v>115711104500</v>
      </c>
      <c r="F383" s="205">
        <v>170695900000</v>
      </c>
      <c r="G383" s="205">
        <v>658570533000</v>
      </c>
    </row>
    <row r="384" spans="1:7">
      <c r="A384" s="2102">
        <v>43822</v>
      </c>
      <c r="B384" s="211">
        <f t="shared" si="29"/>
        <v>2019</v>
      </c>
      <c r="C384" s="211">
        <f t="shared" si="30"/>
        <v>12</v>
      </c>
      <c r="D384" s="205">
        <v>8095230000000</v>
      </c>
      <c r="E384" s="205">
        <v>117228175000</v>
      </c>
      <c r="F384" s="205">
        <v>172157337500</v>
      </c>
      <c r="G384" s="205">
        <v>662774174700</v>
      </c>
    </row>
    <row r="385" spans="1:7">
      <c r="A385" s="2102">
        <v>43819</v>
      </c>
      <c r="B385" s="211">
        <f t="shared" si="29"/>
        <v>2019</v>
      </c>
      <c r="C385" s="211">
        <f t="shared" si="30"/>
        <v>12</v>
      </c>
      <c r="D385" s="205">
        <v>8123535000000</v>
      </c>
      <c r="E385" s="205">
        <v>121779386500</v>
      </c>
      <c r="F385" s="205">
        <v>172449625000</v>
      </c>
      <c r="G385" s="205">
        <v>672582672000</v>
      </c>
    </row>
    <row r="386" spans="1:7">
      <c r="A386" s="2102">
        <v>43818</v>
      </c>
      <c r="B386" s="211">
        <f t="shared" si="29"/>
        <v>2019</v>
      </c>
      <c r="C386" s="211">
        <f t="shared" si="30"/>
        <v>12</v>
      </c>
      <c r="D386" s="205">
        <v>8029185000000</v>
      </c>
      <c r="E386" s="205">
        <v>120813978000</v>
      </c>
      <c r="F386" s="205">
        <v>170988187500</v>
      </c>
      <c r="G386" s="205">
        <v>657169319100</v>
      </c>
    </row>
    <row r="387" spans="1:7">
      <c r="A387" s="2102">
        <v>43817</v>
      </c>
      <c r="B387" s="211">
        <f t="shared" si="29"/>
        <v>2019</v>
      </c>
      <c r="C387" s="211">
        <f t="shared" si="30"/>
        <v>12</v>
      </c>
      <c r="D387" s="205">
        <v>8057490000000</v>
      </c>
      <c r="E387" s="205">
        <v>120676062500</v>
      </c>
      <c r="F387" s="205">
        <v>169526750000</v>
      </c>
      <c r="G387" s="205">
        <v>664175388600</v>
      </c>
    </row>
    <row r="388" spans="1:7">
      <c r="A388" s="2102">
        <v>43816</v>
      </c>
      <c r="B388" s="211">
        <f t="shared" si="29"/>
        <v>2019</v>
      </c>
      <c r="C388" s="211">
        <f t="shared" si="30"/>
        <v>12</v>
      </c>
      <c r="D388" s="205">
        <v>8132970000000</v>
      </c>
      <c r="E388" s="205">
        <v>122055217500</v>
      </c>
      <c r="F388" s="205">
        <v>168357600000</v>
      </c>
      <c r="G388" s="205">
        <v>666977816400</v>
      </c>
    </row>
    <row r="389" spans="1:7">
      <c r="A389" s="2102">
        <v>43815</v>
      </c>
      <c r="B389" s="211">
        <f t="shared" si="29"/>
        <v>2019</v>
      </c>
      <c r="C389" s="211">
        <f t="shared" si="30"/>
        <v>12</v>
      </c>
      <c r="D389" s="205">
        <v>8114100000000</v>
      </c>
      <c r="E389" s="205">
        <v>120676062500</v>
      </c>
      <c r="F389" s="205">
        <v>171865050000</v>
      </c>
      <c r="G389" s="205">
        <v>651564463500</v>
      </c>
    </row>
    <row r="390" spans="1:7">
      <c r="A390" s="2102">
        <v>43812</v>
      </c>
      <c r="B390" s="211">
        <f t="shared" si="29"/>
        <v>2019</v>
      </c>
      <c r="C390" s="211">
        <f t="shared" si="30"/>
        <v>12</v>
      </c>
      <c r="D390" s="205">
        <v>8076360000000</v>
      </c>
      <c r="E390" s="205">
        <v>123572288000</v>
      </c>
      <c r="F390" s="205">
        <v>176833937500</v>
      </c>
      <c r="G390" s="205">
        <v>640354752300</v>
      </c>
    </row>
    <row r="391" spans="1:7">
      <c r="A391" s="2102">
        <v>43811</v>
      </c>
      <c r="B391" s="211">
        <f t="shared" si="29"/>
        <v>2019</v>
      </c>
      <c r="C391" s="211">
        <f t="shared" si="30"/>
        <v>12</v>
      </c>
      <c r="D391" s="205">
        <v>7991445000000</v>
      </c>
      <c r="E391" s="205">
        <v>122468964000</v>
      </c>
      <c r="F391" s="205">
        <v>164557862500</v>
      </c>
      <c r="G391" s="205">
        <v>634749896700</v>
      </c>
    </row>
    <row r="392" spans="1:7">
      <c r="A392" s="2102">
        <v>43810</v>
      </c>
      <c r="B392" s="211">
        <f t="shared" si="29"/>
        <v>2019</v>
      </c>
      <c r="C392" s="211">
        <f t="shared" si="30"/>
        <v>12</v>
      </c>
      <c r="D392" s="205">
        <v>7868790000000</v>
      </c>
      <c r="E392" s="205">
        <v>120400231500</v>
      </c>
      <c r="F392" s="205">
        <v>164557862500</v>
      </c>
      <c r="G392" s="205">
        <v>626342613300</v>
      </c>
    </row>
    <row r="393" spans="1:7">
      <c r="A393" s="2102">
        <v>43809</v>
      </c>
      <c r="B393" s="211">
        <f t="shared" si="29"/>
        <v>2019</v>
      </c>
      <c r="C393" s="211">
        <f t="shared" si="30"/>
        <v>12</v>
      </c>
      <c r="D393" s="205">
        <v>7670655000000</v>
      </c>
      <c r="E393" s="205">
        <v>119296907500</v>
      </c>
      <c r="F393" s="205">
        <v>162804137500</v>
      </c>
      <c r="G393" s="205">
        <v>626342613300</v>
      </c>
    </row>
    <row r="394" spans="1:7">
      <c r="A394" s="2102">
        <v>43808</v>
      </c>
      <c r="B394" s="211">
        <f t="shared" ref="B394:B457" si="31">YEAR(A394)</f>
        <v>2019</v>
      </c>
      <c r="C394" s="211">
        <f t="shared" ref="C394:C457" si="32">MONTH(A394)</f>
        <v>12</v>
      </c>
      <c r="D394" s="205">
        <v>7623480000000</v>
      </c>
      <c r="E394" s="205">
        <v>121089809000</v>
      </c>
      <c r="F394" s="205">
        <v>161634987500</v>
      </c>
      <c r="G394" s="205">
        <v>616534116000</v>
      </c>
    </row>
    <row r="395" spans="1:7">
      <c r="A395" s="2102">
        <v>43805</v>
      </c>
      <c r="B395" s="211">
        <f t="shared" si="31"/>
        <v>2019</v>
      </c>
      <c r="C395" s="211">
        <f t="shared" si="32"/>
        <v>12</v>
      </c>
      <c r="D395" s="205">
        <v>7680090000000</v>
      </c>
      <c r="E395" s="205">
        <v>117641921500</v>
      </c>
      <c r="F395" s="205">
        <v>161050412500</v>
      </c>
      <c r="G395" s="205">
        <v>591312265800</v>
      </c>
    </row>
    <row r="396" spans="1:7">
      <c r="A396" s="2102">
        <v>43804</v>
      </c>
      <c r="B396" s="211">
        <f t="shared" si="31"/>
        <v>2019</v>
      </c>
      <c r="C396" s="211">
        <f t="shared" si="32"/>
        <v>12</v>
      </c>
      <c r="D396" s="205">
        <v>7755570000000</v>
      </c>
      <c r="E396" s="205">
        <v>109918653500</v>
      </c>
      <c r="F396" s="205">
        <v>161050412500</v>
      </c>
      <c r="G396" s="205">
        <v>588509838000</v>
      </c>
    </row>
    <row r="397" spans="1:7">
      <c r="A397" s="2102">
        <v>43803</v>
      </c>
      <c r="B397" s="211">
        <f t="shared" si="31"/>
        <v>2019</v>
      </c>
      <c r="C397" s="211">
        <f t="shared" si="32"/>
        <v>12</v>
      </c>
      <c r="D397" s="205">
        <v>7765005000000</v>
      </c>
      <c r="E397" s="205">
        <v>114607780500</v>
      </c>
      <c r="F397" s="205">
        <v>161634987500</v>
      </c>
      <c r="G397" s="205">
        <v>581503768500</v>
      </c>
    </row>
    <row r="398" spans="1:7">
      <c r="A398" s="2102">
        <v>43802</v>
      </c>
      <c r="B398" s="211">
        <f t="shared" si="31"/>
        <v>2019</v>
      </c>
      <c r="C398" s="211">
        <f t="shared" si="32"/>
        <v>12</v>
      </c>
      <c r="D398" s="205">
        <v>7623480000000</v>
      </c>
      <c r="E398" s="205">
        <v>113780287500</v>
      </c>
      <c r="F398" s="205">
        <v>161927275000</v>
      </c>
      <c r="G398" s="205">
        <v>587108624100</v>
      </c>
    </row>
    <row r="399" spans="1:7">
      <c r="A399" s="2102">
        <v>43801</v>
      </c>
      <c r="B399" s="211">
        <f t="shared" si="31"/>
        <v>2019</v>
      </c>
      <c r="C399" s="211">
        <f t="shared" si="32"/>
        <v>12</v>
      </c>
      <c r="D399" s="205">
        <v>7727265000000</v>
      </c>
      <c r="E399" s="205">
        <v>117641921500</v>
      </c>
      <c r="F399" s="205">
        <v>162219562500</v>
      </c>
      <c r="G399" s="205">
        <v>601120763100</v>
      </c>
    </row>
    <row r="400" spans="1:7">
      <c r="A400" s="2102">
        <v>43798</v>
      </c>
      <c r="B400" s="211">
        <f t="shared" si="31"/>
        <v>2019</v>
      </c>
      <c r="C400" s="211">
        <f t="shared" si="32"/>
        <v>11</v>
      </c>
      <c r="D400" s="205">
        <v>7661220000000</v>
      </c>
      <c r="E400" s="205">
        <v>116676513000</v>
      </c>
      <c r="F400" s="205">
        <v>162219562500</v>
      </c>
      <c r="G400" s="205">
        <v>595515907500</v>
      </c>
    </row>
    <row r="401" spans="1:7">
      <c r="A401" s="2102">
        <v>43797</v>
      </c>
      <c r="B401" s="211">
        <f t="shared" si="31"/>
        <v>2019</v>
      </c>
      <c r="C401" s="211">
        <f t="shared" si="32"/>
        <v>11</v>
      </c>
      <c r="D401" s="205">
        <v>7774440000000</v>
      </c>
      <c r="E401" s="205">
        <v>119572738500</v>
      </c>
      <c r="F401" s="205">
        <v>163388712500</v>
      </c>
      <c r="G401" s="205">
        <v>602521977000</v>
      </c>
    </row>
    <row r="402" spans="1:7">
      <c r="A402" s="2102">
        <v>43796</v>
      </c>
      <c r="B402" s="211">
        <f t="shared" si="31"/>
        <v>2019</v>
      </c>
      <c r="C402" s="211">
        <f t="shared" si="32"/>
        <v>11</v>
      </c>
      <c r="D402" s="205">
        <v>7793310000000</v>
      </c>
      <c r="E402" s="205">
        <v>118331499000</v>
      </c>
      <c r="F402" s="205">
        <v>165142437500</v>
      </c>
      <c r="G402" s="205">
        <v>612330474300</v>
      </c>
    </row>
    <row r="403" spans="1:7">
      <c r="A403" s="2102">
        <v>43795</v>
      </c>
      <c r="B403" s="211">
        <f t="shared" si="31"/>
        <v>2019</v>
      </c>
      <c r="C403" s="211">
        <f t="shared" si="32"/>
        <v>11</v>
      </c>
      <c r="D403" s="205">
        <v>7821615000000</v>
      </c>
      <c r="E403" s="205">
        <v>119572738500</v>
      </c>
      <c r="F403" s="205">
        <v>164557862500</v>
      </c>
      <c r="G403" s="205">
        <v>623540185500</v>
      </c>
    </row>
    <row r="404" spans="1:7">
      <c r="A404" s="2102">
        <v>43794</v>
      </c>
      <c r="B404" s="211">
        <f t="shared" si="31"/>
        <v>2019</v>
      </c>
      <c r="C404" s="211">
        <f t="shared" si="32"/>
        <v>11</v>
      </c>
      <c r="D404" s="205">
        <v>7802745000000</v>
      </c>
      <c r="E404" s="205">
        <v>117504006000</v>
      </c>
      <c r="F404" s="205">
        <v>164265575000</v>
      </c>
      <c r="G404" s="205">
        <v>613731688200</v>
      </c>
    </row>
    <row r="405" spans="1:7">
      <c r="A405" s="2102">
        <v>43791</v>
      </c>
      <c r="B405" s="211">
        <f t="shared" si="31"/>
        <v>2019</v>
      </c>
      <c r="C405" s="211">
        <f t="shared" si="32"/>
        <v>11</v>
      </c>
      <c r="D405" s="205">
        <v>7793310000000</v>
      </c>
      <c r="E405" s="205">
        <v>115297358000</v>
      </c>
      <c r="F405" s="205">
        <v>162804137500</v>
      </c>
      <c r="G405" s="205">
        <v>601120763100</v>
      </c>
    </row>
    <row r="406" spans="1:7">
      <c r="A406" s="2102">
        <v>43790</v>
      </c>
      <c r="B406" s="211">
        <f t="shared" si="31"/>
        <v>2019</v>
      </c>
      <c r="C406" s="211">
        <f t="shared" si="32"/>
        <v>11</v>
      </c>
      <c r="D406" s="205">
        <v>7831050000000</v>
      </c>
      <c r="E406" s="205">
        <v>113780287500</v>
      </c>
      <c r="F406" s="205">
        <v>162219562500</v>
      </c>
      <c r="G406" s="205">
        <v>599719549200</v>
      </c>
    </row>
    <row r="407" spans="1:7">
      <c r="A407" s="2102">
        <v>43789</v>
      </c>
      <c r="B407" s="211">
        <f t="shared" si="31"/>
        <v>2019</v>
      </c>
      <c r="C407" s="211">
        <f t="shared" si="32"/>
        <v>11</v>
      </c>
      <c r="D407" s="205">
        <v>7840485000000</v>
      </c>
      <c r="E407" s="205">
        <v>114469865000</v>
      </c>
      <c r="F407" s="205">
        <v>162804137500</v>
      </c>
      <c r="G407" s="205">
        <v>606725618700</v>
      </c>
    </row>
    <row r="408" spans="1:7">
      <c r="A408" s="2102">
        <v>43788</v>
      </c>
      <c r="B408" s="211">
        <f t="shared" si="31"/>
        <v>2019</v>
      </c>
      <c r="C408" s="211">
        <f t="shared" si="32"/>
        <v>11</v>
      </c>
      <c r="D408" s="205">
        <v>8000880000000</v>
      </c>
      <c r="E408" s="205">
        <v>122193133000</v>
      </c>
      <c r="F408" s="205">
        <v>163388712500</v>
      </c>
      <c r="G408" s="205">
        <v>617935329900</v>
      </c>
    </row>
    <row r="409" spans="1:7">
      <c r="A409" s="2102">
        <v>43787</v>
      </c>
      <c r="B409" s="211">
        <f t="shared" si="31"/>
        <v>2019</v>
      </c>
      <c r="C409" s="211">
        <f t="shared" si="32"/>
        <v>11</v>
      </c>
      <c r="D409" s="205">
        <v>8010315000000</v>
      </c>
      <c r="E409" s="205">
        <v>125089358500</v>
      </c>
      <c r="F409" s="205">
        <v>164265575000</v>
      </c>
      <c r="G409" s="205">
        <v>622138971600</v>
      </c>
    </row>
    <row r="410" spans="1:7">
      <c r="A410" s="2102">
        <v>43784</v>
      </c>
      <c r="B410" s="211">
        <f t="shared" si="31"/>
        <v>2019</v>
      </c>
      <c r="C410" s="211">
        <f t="shared" si="32"/>
        <v>11</v>
      </c>
      <c r="D410" s="205">
        <v>8066925000000</v>
      </c>
      <c r="E410" s="205">
        <v>123848119000</v>
      </c>
      <c r="F410" s="205">
        <v>166019300000</v>
      </c>
      <c r="G410" s="205">
        <v>629145041100</v>
      </c>
    </row>
    <row r="411" spans="1:7">
      <c r="A411" s="2102">
        <v>43783</v>
      </c>
      <c r="B411" s="211">
        <f t="shared" si="31"/>
        <v>2019</v>
      </c>
      <c r="C411" s="211">
        <f t="shared" si="32"/>
        <v>11</v>
      </c>
      <c r="D411" s="205">
        <v>8029185000000</v>
      </c>
      <c r="E411" s="205">
        <v>122882710500</v>
      </c>
      <c r="F411" s="205">
        <v>165434725000</v>
      </c>
      <c r="G411" s="205">
        <v>624941399400</v>
      </c>
    </row>
    <row r="412" spans="1:7">
      <c r="A412" s="2102">
        <v>43782</v>
      </c>
      <c r="B412" s="211">
        <f t="shared" si="31"/>
        <v>2019</v>
      </c>
      <c r="C412" s="211">
        <f t="shared" si="32"/>
        <v>11</v>
      </c>
      <c r="D412" s="205">
        <v>8038620000000</v>
      </c>
      <c r="E412" s="205">
        <v>125641020500</v>
      </c>
      <c r="F412" s="205">
        <v>166896162500</v>
      </c>
      <c r="G412" s="205">
        <v>610929260400</v>
      </c>
    </row>
    <row r="413" spans="1:7">
      <c r="A413" s="2102">
        <v>43781</v>
      </c>
      <c r="B413" s="211">
        <f t="shared" si="31"/>
        <v>2019</v>
      </c>
      <c r="C413" s="211">
        <f t="shared" si="32"/>
        <v>11</v>
      </c>
      <c r="D413" s="205">
        <v>8170710000000</v>
      </c>
      <c r="E413" s="205">
        <v>124123950000</v>
      </c>
      <c r="F413" s="205">
        <v>166896162500</v>
      </c>
      <c r="G413" s="205">
        <v>619336543800</v>
      </c>
    </row>
    <row r="414" spans="1:7">
      <c r="A414" s="2102">
        <v>43780</v>
      </c>
      <c r="B414" s="211">
        <f t="shared" si="31"/>
        <v>2019</v>
      </c>
      <c r="C414" s="211">
        <f t="shared" si="32"/>
        <v>11</v>
      </c>
      <c r="D414" s="205">
        <v>8151840000000</v>
      </c>
      <c r="E414" s="205">
        <v>120676062500</v>
      </c>
      <c r="F414" s="205">
        <v>166019300000</v>
      </c>
      <c r="G414" s="205">
        <v>626342613300</v>
      </c>
    </row>
    <row r="415" spans="1:7">
      <c r="A415" s="2102">
        <v>43777</v>
      </c>
      <c r="B415" s="211">
        <f t="shared" si="31"/>
        <v>2019</v>
      </c>
      <c r="C415" s="211">
        <f t="shared" si="32"/>
        <v>11</v>
      </c>
      <c r="D415" s="205">
        <v>8199015000000</v>
      </c>
      <c r="E415" s="205">
        <v>125503105000</v>
      </c>
      <c r="F415" s="205">
        <v>164850150000</v>
      </c>
      <c r="G415" s="205">
        <v>637552324500</v>
      </c>
    </row>
    <row r="416" spans="1:7">
      <c r="A416" s="2102">
        <v>43776</v>
      </c>
      <c r="B416" s="211">
        <f t="shared" si="31"/>
        <v>2019</v>
      </c>
      <c r="C416" s="211">
        <f t="shared" si="32"/>
        <v>11</v>
      </c>
      <c r="D416" s="205">
        <v>8189580000000</v>
      </c>
      <c r="E416" s="205">
        <v>122193133000</v>
      </c>
      <c r="F416" s="205">
        <v>163388712500</v>
      </c>
      <c r="G416" s="205">
        <v>619336543800</v>
      </c>
    </row>
    <row r="417" spans="1:7">
      <c r="A417" s="2102">
        <v>43775</v>
      </c>
      <c r="B417" s="211">
        <f t="shared" si="31"/>
        <v>2019</v>
      </c>
      <c r="C417" s="211">
        <f t="shared" si="32"/>
        <v>11</v>
      </c>
      <c r="D417" s="205">
        <v>8208450000000</v>
      </c>
      <c r="E417" s="205">
        <v>125778936000</v>
      </c>
      <c r="F417" s="205">
        <v>163973287500</v>
      </c>
      <c r="G417" s="205">
        <v>616534116000</v>
      </c>
    </row>
    <row r="418" spans="1:7">
      <c r="A418" s="2102">
        <v>43774</v>
      </c>
      <c r="B418" s="211">
        <f t="shared" si="31"/>
        <v>2019</v>
      </c>
      <c r="C418" s="211">
        <f t="shared" si="32"/>
        <v>11</v>
      </c>
      <c r="D418" s="205">
        <v>8349975000000</v>
      </c>
      <c r="E418" s="205">
        <v>123020626000</v>
      </c>
      <c r="F418" s="205">
        <v>163681000000</v>
      </c>
      <c r="G418" s="205">
        <v>603923190900</v>
      </c>
    </row>
    <row r="419" spans="1:7">
      <c r="A419" s="2102">
        <v>43773</v>
      </c>
      <c r="B419" s="211">
        <f t="shared" si="31"/>
        <v>2019</v>
      </c>
      <c r="C419" s="211">
        <f t="shared" si="32"/>
        <v>11</v>
      </c>
      <c r="D419" s="205">
        <v>8265060000000</v>
      </c>
      <c r="E419" s="205">
        <v>122331048500</v>
      </c>
      <c r="F419" s="205">
        <v>162804137500</v>
      </c>
      <c r="G419" s="205">
        <v>594114693600</v>
      </c>
    </row>
    <row r="420" spans="1:7">
      <c r="A420" s="2102">
        <v>43770</v>
      </c>
      <c r="B420" s="211">
        <f t="shared" si="31"/>
        <v>2019</v>
      </c>
      <c r="C420" s="211">
        <f t="shared" si="32"/>
        <v>11</v>
      </c>
      <c r="D420" s="205">
        <v>8151840000000</v>
      </c>
      <c r="E420" s="205">
        <v>120262316000</v>
      </c>
      <c r="F420" s="205">
        <v>161634987500</v>
      </c>
      <c r="G420" s="205">
        <v>573096485100</v>
      </c>
    </row>
    <row r="421" spans="1:7">
      <c r="A421" s="2102">
        <v>43769</v>
      </c>
      <c r="B421" s="211">
        <f t="shared" si="31"/>
        <v>2019</v>
      </c>
      <c r="C421" s="211">
        <f t="shared" si="32"/>
        <v>10</v>
      </c>
      <c r="D421" s="205">
        <v>8199015000000</v>
      </c>
      <c r="E421" s="205">
        <v>118331499000</v>
      </c>
      <c r="F421" s="205">
        <v>161342700000</v>
      </c>
      <c r="G421" s="205">
        <v>564689201700</v>
      </c>
    </row>
    <row r="422" spans="1:7">
      <c r="A422" s="2102">
        <v>43768</v>
      </c>
      <c r="B422" s="211">
        <f t="shared" si="31"/>
        <v>2019</v>
      </c>
      <c r="C422" s="211">
        <f t="shared" si="32"/>
        <v>10</v>
      </c>
      <c r="D422" s="205">
        <v>8274495000000</v>
      </c>
      <c r="E422" s="205">
        <v>122331048500</v>
      </c>
      <c r="F422" s="205">
        <v>162219562500</v>
      </c>
      <c r="G422" s="205">
        <v>568892843400</v>
      </c>
    </row>
    <row r="423" spans="1:7">
      <c r="A423" s="2102">
        <v>43767</v>
      </c>
      <c r="B423" s="211">
        <f t="shared" si="31"/>
        <v>2019</v>
      </c>
      <c r="C423" s="211">
        <f t="shared" si="32"/>
        <v>10</v>
      </c>
      <c r="D423" s="205">
        <v>8283930000000</v>
      </c>
      <c r="E423" s="205">
        <v>122193133000</v>
      </c>
      <c r="F423" s="205">
        <v>162804137500</v>
      </c>
      <c r="G423" s="205">
        <v>606725618700</v>
      </c>
    </row>
    <row r="424" spans="1:7">
      <c r="A424" s="2102">
        <v>43766</v>
      </c>
      <c r="B424" s="211">
        <f t="shared" si="31"/>
        <v>2019</v>
      </c>
      <c r="C424" s="211">
        <f t="shared" si="32"/>
        <v>10</v>
      </c>
      <c r="D424" s="205">
        <v>8293365000000</v>
      </c>
      <c r="E424" s="205">
        <v>121917302000</v>
      </c>
      <c r="F424" s="205">
        <v>163973287500</v>
      </c>
      <c r="G424" s="205">
        <v>608126832600</v>
      </c>
    </row>
    <row r="425" spans="1:7">
      <c r="A425" s="2102">
        <v>43763</v>
      </c>
      <c r="B425" s="211">
        <f t="shared" si="31"/>
        <v>2019</v>
      </c>
      <c r="C425" s="211">
        <f t="shared" si="32"/>
        <v>10</v>
      </c>
      <c r="D425" s="205">
        <v>8368845000000</v>
      </c>
      <c r="E425" s="205">
        <v>123020626000</v>
      </c>
      <c r="F425" s="205">
        <v>161342700000</v>
      </c>
      <c r="G425" s="205">
        <v>601120763100</v>
      </c>
    </row>
    <row r="426" spans="1:7">
      <c r="A426" s="2102">
        <v>43762</v>
      </c>
      <c r="B426" s="211">
        <f t="shared" si="31"/>
        <v>2019</v>
      </c>
      <c r="C426" s="211">
        <f t="shared" si="32"/>
        <v>10</v>
      </c>
      <c r="D426" s="205">
        <v>8293365000000</v>
      </c>
      <c r="E426" s="205">
        <v>124399781000</v>
      </c>
      <c r="F426" s="205">
        <v>162219562500</v>
      </c>
      <c r="G426" s="205">
        <v>610929260400</v>
      </c>
    </row>
    <row r="427" spans="1:7">
      <c r="A427" s="2102">
        <v>43761</v>
      </c>
      <c r="B427" s="211">
        <f t="shared" si="31"/>
        <v>2019</v>
      </c>
      <c r="C427" s="211">
        <f t="shared" si="32"/>
        <v>10</v>
      </c>
      <c r="D427" s="205">
        <v>8170710000000</v>
      </c>
      <c r="E427" s="205">
        <v>122744795000</v>
      </c>
      <c r="F427" s="205">
        <v>161634987500</v>
      </c>
      <c r="G427" s="205">
        <v>615132902100</v>
      </c>
    </row>
    <row r="428" spans="1:7">
      <c r="A428" s="2102">
        <v>43760</v>
      </c>
      <c r="B428" s="211">
        <f t="shared" si="31"/>
        <v>2019</v>
      </c>
      <c r="C428" s="211">
        <f t="shared" si="32"/>
        <v>10</v>
      </c>
      <c r="D428" s="205">
        <v>8500935000000</v>
      </c>
      <c r="E428" s="205">
        <v>122468964000</v>
      </c>
      <c r="F428" s="205">
        <v>164265575000</v>
      </c>
      <c r="G428" s="205">
        <v>626342613300</v>
      </c>
    </row>
    <row r="429" spans="1:7">
      <c r="A429" s="2102">
        <v>43759</v>
      </c>
      <c r="B429" s="211">
        <f t="shared" si="31"/>
        <v>2019</v>
      </c>
      <c r="C429" s="211">
        <f t="shared" si="32"/>
        <v>10</v>
      </c>
      <c r="D429" s="205">
        <v>8340540000000</v>
      </c>
      <c r="E429" s="205">
        <v>128537246000</v>
      </c>
      <c r="F429" s="205">
        <v>163681000000</v>
      </c>
      <c r="G429" s="205">
        <v>619336543800</v>
      </c>
    </row>
    <row r="430" spans="1:7">
      <c r="A430" s="2102">
        <v>43756</v>
      </c>
      <c r="B430" s="211">
        <f t="shared" si="31"/>
        <v>2019</v>
      </c>
      <c r="C430" s="211">
        <f t="shared" si="32"/>
        <v>10</v>
      </c>
      <c r="D430" s="205">
        <v>8255625000000</v>
      </c>
      <c r="E430" s="205">
        <v>133226373000</v>
      </c>
      <c r="F430" s="205">
        <v>164265575000</v>
      </c>
      <c r="G430" s="205">
        <v>616534116000</v>
      </c>
    </row>
    <row r="431" spans="1:7">
      <c r="A431" s="2102">
        <v>43755</v>
      </c>
      <c r="B431" s="211">
        <f t="shared" si="31"/>
        <v>2019</v>
      </c>
      <c r="C431" s="211">
        <f t="shared" si="32"/>
        <v>10</v>
      </c>
      <c r="D431" s="205">
        <v>8359410000000</v>
      </c>
      <c r="E431" s="205">
        <v>129916401000</v>
      </c>
      <c r="F431" s="205">
        <v>165727012500</v>
      </c>
      <c r="G431" s="205">
        <v>629145041100</v>
      </c>
    </row>
    <row r="432" spans="1:7">
      <c r="A432" s="2102">
        <v>43754</v>
      </c>
      <c r="B432" s="211">
        <f t="shared" si="31"/>
        <v>2019</v>
      </c>
      <c r="C432" s="211">
        <f t="shared" si="32"/>
        <v>10</v>
      </c>
      <c r="D432" s="205">
        <v>8406585000000</v>
      </c>
      <c r="E432" s="205">
        <v>134329697000</v>
      </c>
      <c r="F432" s="205">
        <v>166019300000</v>
      </c>
      <c r="G432" s="205">
        <v>624941399400</v>
      </c>
    </row>
    <row r="433" spans="1:7">
      <c r="A433" s="2102">
        <v>43753</v>
      </c>
      <c r="B433" s="211">
        <f t="shared" si="31"/>
        <v>2019</v>
      </c>
      <c r="C433" s="211">
        <f t="shared" si="32"/>
        <v>10</v>
      </c>
      <c r="D433" s="205">
        <v>8349975000000</v>
      </c>
      <c r="E433" s="205">
        <v>128261415000</v>
      </c>
      <c r="F433" s="205">
        <v>164557862500</v>
      </c>
      <c r="G433" s="205">
        <v>629145041100</v>
      </c>
    </row>
    <row r="434" spans="1:7">
      <c r="A434" s="2102">
        <v>43752</v>
      </c>
      <c r="B434" s="211">
        <f t="shared" si="31"/>
        <v>2019</v>
      </c>
      <c r="C434" s="211">
        <f t="shared" si="32"/>
        <v>10</v>
      </c>
      <c r="D434" s="205">
        <v>8434890000000</v>
      </c>
      <c r="E434" s="205">
        <v>131709302500</v>
      </c>
      <c r="F434" s="205">
        <v>163096425000</v>
      </c>
      <c r="G434" s="205">
        <v>627743827200</v>
      </c>
    </row>
    <row r="435" spans="1:7">
      <c r="A435" s="2102">
        <v>43749</v>
      </c>
      <c r="B435" s="211">
        <f t="shared" si="31"/>
        <v>2019</v>
      </c>
      <c r="C435" s="211">
        <f t="shared" si="32"/>
        <v>10</v>
      </c>
      <c r="D435" s="205">
        <v>8368845000000</v>
      </c>
      <c r="E435" s="205">
        <v>129640570000</v>
      </c>
      <c r="F435" s="205">
        <v>162219562500</v>
      </c>
      <c r="G435" s="205">
        <v>606725618700</v>
      </c>
    </row>
    <row r="436" spans="1:7">
      <c r="A436" s="2102">
        <v>43748</v>
      </c>
      <c r="B436" s="211">
        <f t="shared" si="31"/>
        <v>2019</v>
      </c>
      <c r="C436" s="211">
        <f t="shared" si="32"/>
        <v>10</v>
      </c>
      <c r="D436" s="205">
        <v>8180145000000</v>
      </c>
      <c r="E436" s="205">
        <v>125778936000</v>
      </c>
      <c r="F436" s="205">
        <v>162219562500</v>
      </c>
      <c r="G436" s="205">
        <v>598318335300</v>
      </c>
    </row>
    <row r="437" spans="1:7">
      <c r="A437" s="2102">
        <v>43746</v>
      </c>
      <c r="B437" s="211">
        <f t="shared" si="31"/>
        <v>2019</v>
      </c>
      <c r="C437" s="211">
        <f t="shared" si="32"/>
        <v>10</v>
      </c>
      <c r="D437" s="205">
        <v>8180145000000</v>
      </c>
      <c r="E437" s="205">
        <v>127571837500</v>
      </c>
      <c r="F437" s="205">
        <v>164557862500</v>
      </c>
      <c r="G437" s="205">
        <v>615132902100</v>
      </c>
    </row>
    <row r="438" spans="1:7">
      <c r="A438" s="2102">
        <v>43745</v>
      </c>
      <c r="B438" s="211">
        <f t="shared" si="31"/>
        <v>2019</v>
      </c>
      <c r="C438" s="211">
        <f t="shared" si="32"/>
        <v>10</v>
      </c>
      <c r="D438" s="205">
        <v>8132970000000</v>
      </c>
      <c r="E438" s="205">
        <v>131019725000</v>
      </c>
      <c r="F438" s="205">
        <v>159588975000</v>
      </c>
      <c r="G438" s="205">
        <v>602521977000</v>
      </c>
    </row>
    <row r="439" spans="1:7">
      <c r="A439" s="2102">
        <v>43742</v>
      </c>
      <c r="B439" s="211">
        <f t="shared" si="31"/>
        <v>2019</v>
      </c>
      <c r="C439" s="211">
        <f t="shared" si="32"/>
        <v>10</v>
      </c>
      <c r="D439" s="205">
        <v>8217885000000</v>
      </c>
      <c r="E439" s="205">
        <v>139846317000</v>
      </c>
      <c r="F439" s="205">
        <v>163681000000</v>
      </c>
      <c r="G439" s="205">
        <v>608126832600</v>
      </c>
    </row>
    <row r="440" spans="1:7">
      <c r="A440" s="2102">
        <v>43740</v>
      </c>
      <c r="B440" s="211">
        <f t="shared" si="31"/>
        <v>2019</v>
      </c>
      <c r="C440" s="211">
        <f t="shared" si="32"/>
        <v>10</v>
      </c>
      <c r="D440" s="205">
        <v>8208450000000</v>
      </c>
      <c r="E440" s="205">
        <v>150327895000</v>
      </c>
      <c r="F440" s="205">
        <v>165434725000</v>
      </c>
      <c r="G440" s="205">
        <v>612330474300</v>
      </c>
    </row>
    <row r="441" spans="1:7">
      <c r="A441" s="2102">
        <v>43739</v>
      </c>
      <c r="B441" s="211">
        <f t="shared" si="31"/>
        <v>2019</v>
      </c>
      <c r="C441" s="211">
        <f t="shared" si="32"/>
        <v>10</v>
      </c>
      <c r="D441" s="205">
        <v>8425455000000</v>
      </c>
      <c r="E441" s="205">
        <v>142604627000</v>
      </c>
      <c r="F441" s="205">
        <v>166019300000</v>
      </c>
      <c r="G441" s="205">
        <v>629145041100</v>
      </c>
    </row>
    <row r="442" spans="1:7">
      <c r="A442" s="2102">
        <v>43738</v>
      </c>
      <c r="B442" s="211">
        <f t="shared" si="31"/>
        <v>2019</v>
      </c>
      <c r="C442" s="211">
        <f t="shared" si="32"/>
        <v>9</v>
      </c>
      <c r="D442" s="205">
        <v>8453760000000</v>
      </c>
      <c r="E442" s="205">
        <v>147845416000</v>
      </c>
      <c r="F442" s="205">
        <v>166603875000</v>
      </c>
      <c r="G442" s="205">
        <v>624941399400</v>
      </c>
    </row>
    <row r="443" spans="1:7">
      <c r="A443" s="2102">
        <v>43735</v>
      </c>
      <c r="B443" s="211">
        <f t="shared" si="31"/>
        <v>2019</v>
      </c>
      <c r="C443" s="211">
        <f t="shared" si="32"/>
        <v>9</v>
      </c>
      <c r="D443" s="205">
        <v>8359410000000</v>
      </c>
      <c r="E443" s="205">
        <v>167429417000</v>
      </c>
      <c r="F443" s="205">
        <v>170695900000</v>
      </c>
      <c r="G443" s="205">
        <v>619336543800</v>
      </c>
    </row>
    <row r="444" spans="1:7">
      <c r="A444" s="2102">
        <v>43734</v>
      </c>
      <c r="B444" s="211">
        <f t="shared" si="31"/>
        <v>2019</v>
      </c>
      <c r="C444" s="211">
        <f t="shared" si="32"/>
        <v>9</v>
      </c>
      <c r="D444" s="205">
        <v>8406585000000</v>
      </c>
      <c r="E444" s="205">
        <v>176807671000</v>
      </c>
      <c r="F444" s="205">
        <v>174203350000</v>
      </c>
      <c r="G444" s="205">
        <v>624941399400</v>
      </c>
    </row>
    <row r="445" spans="1:7">
      <c r="A445" s="2102">
        <v>43733</v>
      </c>
      <c r="B445" s="211">
        <f t="shared" si="31"/>
        <v>2019</v>
      </c>
      <c r="C445" s="211">
        <f t="shared" si="32"/>
        <v>9</v>
      </c>
      <c r="D445" s="205">
        <v>8416020000000</v>
      </c>
      <c r="E445" s="205">
        <v>190599221000</v>
      </c>
      <c r="F445" s="205">
        <v>176833937500</v>
      </c>
      <c r="G445" s="205">
        <v>626342613300</v>
      </c>
    </row>
    <row r="446" spans="1:7">
      <c r="A446" s="2102">
        <v>43732</v>
      </c>
      <c r="B446" s="211">
        <f t="shared" si="31"/>
        <v>2019</v>
      </c>
      <c r="C446" s="211">
        <f t="shared" si="32"/>
        <v>9</v>
      </c>
      <c r="D446" s="205">
        <v>8331105000000</v>
      </c>
      <c r="E446" s="205">
        <v>195012517000</v>
      </c>
      <c r="F446" s="205">
        <v>178295375000</v>
      </c>
      <c r="G446" s="205">
        <v>643157180100</v>
      </c>
    </row>
    <row r="447" spans="1:7">
      <c r="A447" s="2102">
        <v>43731</v>
      </c>
      <c r="B447" s="211">
        <f t="shared" si="31"/>
        <v>2019</v>
      </c>
      <c r="C447" s="211">
        <f t="shared" si="32"/>
        <v>9</v>
      </c>
      <c r="D447" s="205">
        <v>8208450000000</v>
      </c>
      <c r="E447" s="205">
        <v>179290150000</v>
      </c>
      <c r="F447" s="205">
        <v>175080212500</v>
      </c>
      <c r="G447" s="205">
        <v>641755966200</v>
      </c>
    </row>
    <row r="448" spans="1:7">
      <c r="A448" s="2102">
        <v>43728</v>
      </c>
      <c r="B448" s="211">
        <f t="shared" si="31"/>
        <v>2019</v>
      </c>
      <c r="C448" s="211">
        <f t="shared" si="32"/>
        <v>9</v>
      </c>
      <c r="D448" s="205">
        <v>8283930000000</v>
      </c>
      <c r="E448" s="205">
        <v>194185024000</v>
      </c>
      <c r="F448" s="205">
        <v>175957075000</v>
      </c>
      <c r="G448" s="205">
        <v>657169319100</v>
      </c>
    </row>
    <row r="449" spans="1:7">
      <c r="A449" s="2102">
        <v>43727</v>
      </c>
      <c r="B449" s="211">
        <f t="shared" si="31"/>
        <v>2019</v>
      </c>
      <c r="C449" s="211">
        <f t="shared" si="32"/>
        <v>9</v>
      </c>
      <c r="D449" s="205">
        <v>8208450000000</v>
      </c>
      <c r="E449" s="205">
        <v>158051163000</v>
      </c>
      <c r="F449" s="205">
        <v>173618775000</v>
      </c>
      <c r="G449" s="205">
        <v>647360821800</v>
      </c>
    </row>
    <row r="450" spans="1:7">
      <c r="A450" s="2102">
        <v>43726</v>
      </c>
      <c r="B450" s="211">
        <f t="shared" si="31"/>
        <v>2019</v>
      </c>
      <c r="C450" s="211">
        <f t="shared" si="32"/>
        <v>9</v>
      </c>
      <c r="D450" s="205">
        <v>8378280000000</v>
      </c>
      <c r="E450" s="205">
        <v>179841812000</v>
      </c>
      <c r="F450" s="205">
        <v>178295375000</v>
      </c>
      <c r="G450" s="205">
        <v>650163249600</v>
      </c>
    </row>
    <row r="451" spans="1:7">
      <c r="A451" s="2102">
        <v>43725</v>
      </c>
      <c r="B451" s="211">
        <f t="shared" si="31"/>
        <v>2019</v>
      </c>
      <c r="C451" s="211">
        <f t="shared" si="32"/>
        <v>9</v>
      </c>
      <c r="D451" s="205">
        <v>8368845000000</v>
      </c>
      <c r="E451" s="205">
        <v>138467162000</v>
      </c>
      <c r="F451" s="205">
        <v>176249362500</v>
      </c>
      <c r="G451" s="205">
        <v>651564463500</v>
      </c>
    </row>
    <row r="452" spans="1:7">
      <c r="A452" s="2102">
        <v>43724</v>
      </c>
      <c r="B452" s="211">
        <f t="shared" si="31"/>
        <v>2019</v>
      </c>
      <c r="C452" s="211">
        <f t="shared" si="32"/>
        <v>9</v>
      </c>
      <c r="D452" s="205">
        <v>8491500000000</v>
      </c>
      <c r="E452" s="205">
        <v>106608681500</v>
      </c>
      <c r="F452" s="205">
        <v>166603875000</v>
      </c>
      <c r="G452" s="205">
        <v>655768105200</v>
      </c>
    </row>
    <row r="453" spans="1:7">
      <c r="A453" s="2102">
        <v>43719</v>
      </c>
      <c r="B453" s="211">
        <f t="shared" si="31"/>
        <v>2019</v>
      </c>
      <c r="C453" s="211">
        <f t="shared" si="32"/>
        <v>9</v>
      </c>
      <c r="D453" s="205">
        <v>8368845000000</v>
      </c>
      <c r="E453" s="205">
        <v>102884963000</v>
      </c>
      <c r="F453" s="205">
        <v>166311587500</v>
      </c>
      <c r="G453" s="205">
        <v>647360821800</v>
      </c>
    </row>
    <row r="454" spans="1:7">
      <c r="A454" s="2102">
        <v>43718</v>
      </c>
      <c r="B454" s="211">
        <f t="shared" si="31"/>
        <v>2019</v>
      </c>
      <c r="C454" s="211">
        <f t="shared" si="32"/>
        <v>9</v>
      </c>
      <c r="D454" s="205">
        <v>8274495000000</v>
      </c>
      <c r="E454" s="205">
        <v>101367892500</v>
      </c>
      <c r="F454" s="205">
        <v>165142437500</v>
      </c>
      <c r="G454" s="205">
        <v>636151110600</v>
      </c>
    </row>
    <row r="455" spans="1:7">
      <c r="A455" s="2102">
        <v>43717</v>
      </c>
      <c r="B455" s="211">
        <f t="shared" si="31"/>
        <v>2019</v>
      </c>
      <c r="C455" s="211">
        <f t="shared" si="32"/>
        <v>9</v>
      </c>
      <c r="D455" s="205">
        <v>8283930000000</v>
      </c>
      <c r="E455" s="205">
        <v>101919554500</v>
      </c>
      <c r="F455" s="205">
        <v>163973287500</v>
      </c>
      <c r="G455" s="205">
        <v>623540185500</v>
      </c>
    </row>
    <row r="456" spans="1:7">
      <c r="A456" s="2102">
        <v>43714</v>
      </c>
      <c r="B456" s="211">
        <f t="shared" si="31"/>
        <v>2019</v>
      </c>
      <c r="C456" s="211">
        <f t="shared" si="32"/>
        <v>9</v>
      </c>
      <c r="D456" s="205">
        <v>8255625000000</v>
      </c>
      <c r="E456" s="205">
        <v>100264568500</v>
      </c>
      <c r="F456" s="205">
        <v>165434725000</v>
      </c>
      <c r="G456" s="205">
        <v>624941399400</v>
      </c>
    </row>
    <row r="457" spans="1:7">
      <c r="A457" s="2102">
        <v>43713</v>
      </c>
      <c r="B457" s="211">
        <f t="shared" si="31"/>
        <v>2019</v>
      </c>
      <c r="C457" s="211">
        <f t="shared" si="32"/>
        <v>9</v>
      </c>
      <c r="D457" s="205">
        <v>8406585000000</v>
      </c>
      <c r="E457" s="205">
        <v>99299160000</v>
      </c>
      <c r="F457" s="205">
        <v>164557862500</v>
      </c>
      <c r="G457" s="205">
        <v>627743827200</v>
      </c>
    </row>
    <row r="458" spans="1:7">
      <c r="A458" s="2102">
        <v>43712</v>
      </c>
      <c r="B458" s="211">
        <f t="shared" ref="B458:B521" si="33">YEAR(A458)</f>
        <v>2019</v>
      </c>
      <c r="C458" s="211">
        <f t="shared" ref="C458:C521" si="34">MONTH(A458)</f>
        <v>9</v>
      </c>
      <c r="D458" s="205">
        <v>8378280000000</v>
      </c>
      <c r="E458" s="205">
        <v>101092061500</v>
      </c>
      <c r="F458" s="205">
        <v>163388712500</v>
      </c>
      <c r="G458" s="205">
        <v>620737757700</v>
      </c>
    </row>
    <row r="459" spans="1:7">
      <c r="A459" s="2102">
        <v>43711</v>
      </c>
      <c r="B459" s="211">
        <f t="shared" si="33"/>
        <v>2019</v>
      </c>
      <c r="C459" s="211">
        <f t="shared" si="34"/>
        <v>9</v>
      </c>
      <c r="D459" s="205">
        <v>8246190000000</v>
      </c>
      <c r="E459" s="205">
        <v>101781639000</v>
      </c>
      <c r="F459" s="205">
        <v>163973287500</v>
      </c>
      <c r="G459" s="205">
        <v>616534116000</v>
      </c>
    </row>
    <row r="460" spans="1:7">
      <c r="A460" s="2102">
        <v>43710</v>
      </c>
      <c r="B460" s="211">
        <f t="shared" si="33"/>
        <v>2019</v>
      </c>
      <c r="C460" s="211">
        <f t="shared" si="34"/>
        <v>9</v>
      </c>
      <c r="D460" s="205">
        <v>8321670000000</v>
      </c>
      <c r="E460" s="205">
        <v>103160794000</v>
      </c>
      <c r="F460" s="205">
        <v>163681000000</v>
      </c>
      <c r="G460" s="205">
        <v>620737757700</v>
      </c>
    </row>
    <row r="461" spans="1:7">
      <c r="A461" s="2102">
        <v>43707</v>
      </c>
      <c r="B461" s="211">
        <f t="shared" si="33"/>
        <v>2019</v>
      </c>
      <c r="C461" s="211">
        <f t="shared" si="34"/>
        <v>8</v>
      </c>
      <c r="D461" s="205">
        <v>8208450000000</v>
      </c>
      <c r="E461" s="205">
        <v>100678315000</v>
      </c>
      <c r="F461" s="205">
        <v>162804137500</v>
      </c>
      <c r="G461" s="205">
        <v>616534116000</v>
      </c>
    </row>
    <row r="462" spans="1:7">
      <c r="A462" s="2102">
        <v>43706</v>
      </c>
      <c r="B462" s="211">
        <f t="shared" si="33"/>
        <v>2019</v>
      </c>
      <c r="C462" s="211">
        <f t="shared" si="34"/>
        <v>8</v>
      </c>
      <c r="D462" s="205">
        <v>8199015000000</v>
      </c>
      <c r="E462" s="205">
        <v>102333301000</v>
      </c>
      <c r="F462" s="205">
        <v>162804137500</v>
      </c>
      <c r="G462" s="205">
        <v>602521977000</v>
      </c>
    </row>
    <row r="463" spans="1:7">
      <c r="A463" s="2102">
        <v>43705</v>
      </c>
      <c r="B463" s="211">
        <f t="shared" si="33"/>
        <v>2019</v>
      </c>
      <c r="C463" s="211">
        <f t="shared" si="34"/>
        <v>8</v>
      </c>
      <c r="D463" s="205">
        <v>8132970000000</v>
      </c>
      <c r="E463" s="205">
        <v>98057920500</v>
      </c>
      <c r="F463" s="205">
        <v>161634987500</v>
      </c>
      <c r="G463" s="205">
        <v>608126832600</v>
      </c>
    </row>
    <row r="464" spans="1:7">
      <c r="A464" s="2102">
        <v>43704</v>
      </c>
      <c r="B464" s="211">
        <f t="shared" si="33"/>
        <v>2019</v>
      </c>
      <c r="C464" s="211">
        <f t="shared" si="34"/>
        <v>8</v>
      </c>
      <c r="D464" s="205">
        <v>8076360000000</v>
      </c>
      <c r="E464" s="205">
        <v>99850822000</v>
      </c>
      <c r="F464" s="205">
        <v>160758125000</v>
      </c>
      <c r="G464" s="205">
        <v>603923190900</v>
      </c>
    </row>
    <row r="465" spans="1:7">
      <c r="A465" s="2102">
        <v>43703</v>
      </c>
      <c r="B465" s="211">
        <f t="shared" si="33"/>
        <v>2019</v>
      </c>
      <c r="C465" s="211">
        <f t="shared" si="34"/>
        <v>8</v>
      </c>
      <c r="D465" s="205">
        <v>8066925000000</v>
      </c>
      <c r="E465" s="205">
        <v>99574991000</v>
      </c>
      <c r="F465" s="205">
        <v>159296687500</v>
      </c>
      <c r="G465" s="205">
        <v>606725618700</v>
      </c>
    </row>
    <row r="466" spans="1:7">
      <c r="A466" s="2102">
        <v>43700</v>
      </c>
      <c r="B466" s="211">
        <f t="shared" si="33"/>
        <v>2019</v>
      </c>
      <c r="C466" s="211">
        <f t="shared" si="34"/>
        <v>8</v>
      </c>
      <c r="D466" s="205">
        <v>8151840000000</v>
      </c>
      <c r="E466" s="205">
        <v>101919554500</v>
      </c>
      <c r="F466" s="205">
        <v>162804137500</v>
      </c>
      <c r="G466" s="205">
        <v>612330474300</v>
      </c>
    </row>
    <row r="467" spans="1:7">
      <c r="A467" s="2102">
        <v>43699</v>
      </c>
      <c r="B467" s="211">
        <f t="shared" si="33"/>
        <v>2019</v>
      </c>
      <c r="C467" s="211">
        <f t="shared" si="34"/>
        <v>8</v>
      </c>
      <c r="D467" s="205">
        <v>8246190000000</v>
      </c>
      <c r="E467" s="205">
        <v>100954146000</v>
      </c>
      <c r="F467" s="205">
        <v>163388712500</v>
      </c>
      <c r="G467" s="205">
        <v>630546255000</v>
      </c>
    </row>
    <row r="468" spans="1:7">
      <c r="A468" s="2102">
        <v>43698</v>
      </c>
      <c r="B468" s="211">
        <f t="shared" si="33"/>
        <v>2019</v>
      </c>
      <c r="C468" s="211">
        <f t="shared" si="34"/>
        <v>8</v>
      </c>
      <c r="D468" s="205">
        <v>8340540000000</v>
      </c>
      <c r="E468" s="205">
        <v>106608681500</v>
      </c>
      <c r="F468" s="205">
        <v>162804137500</v>
      </c>
      <c r="G468" s="205">
        <v>623540185500</v>
      </c>
    </row>
    <row r="469" spans="1:7">
      <c r="A469" s="2102">
        <v>43697</v>
      </c>
      <c r="B469" s="211">
        <f t="shared" si="33"/>
        <v>2019</v>
      </c>
      <c r="C469" s="211">
        <f t="shared" si="34"/>
        <v>8</v>
      </c>
      <c r="D469" s="205">
        <v>8378280000000</v>
      </c>
      <c r="E469" s="205">
        <v>106057019500</v>
      </c>
      <c r="F469" s="205">
        <v>161634987500</v>
      </c>
      <c r="G469" s="205">
        <v>612330474300</v>
      </c>
    </row>
    <row r="470" spans="1:7">
      <c r="A470" s="2102">
        <v>43696</v>
      </c>
      <c r="B470" s="211">
        <f t="shared" si="33"/>
        <v>2019</v>
      </c>
      <c r="C470" s="211">
        <f t="shared" si="34"/>
        <v>8</v>
      </c>
      <c r="D470" s="205">
        <v>8349975000000</v>
      </c>
      <c r="E470" s="205">
        <v>104264118000</v>
      </c>
      <c r="F470" s="205">
        <v>160758125000</v>
      </c>
      <c r="G470" s="205">
        <v>610929260400</v>
      </c>
    </row>
    <row r="471" spans="1:7">
      <c r="A471" s="2102">
        <v>43693</v>
      </c>
      <c r="B471" s="211">
        <f t="shared" si="33"/>
        <v>2019</v>
      </c>
      <c r="C471" s="211">
        <f t="shared" si="34"/>
        <v>8</v>
      </c>
      <c r="D471" s="205">
        <v>8302800000000</v>
      </c>
      <c r="E471" s="205">
        <v>101919554500</v>
      </c>
      <c r="F471" s="205">
        <v>158419825000</v>
      </c>
      <c r="G471" s="205">
        <v>594114693600</v>
      </c>
    </row>
    <row r="472" spans="1:7">
      <c r="A472" s="2102">
        <v>43691</v>
      </c>
      <c r="B472" s="211">
        <f t="shared" si="33"/>
        <v>2019</v>
      </c>
      <c r="C472" s="211">
        <f t="shared" si="34"/>
        <v>8</v>
      </c>
      <c r="D472" s="205">
        <v>8274495000000</v>
      </c>
      <c r="E472" s="205">
        <v>104953695500</v>
      </c>
      <c r="F472" s="205">
        <v>161927275000</v>
      </c>
      <c r="G472" s="205">
        <v>602521977000</v>
      </c>
    </row>
    <row r="473" spans="1:7">
      <c r="A473" s="2102">
        <v>43690</v>
      </c>
      <c r="B473" s="211">
        <f t="shared" si="33"/>
        <v>2019</v>
      </c>
      <c r="C473" s="211">
        <f t="shared" si="34"/>
        <v>8</v>
      </c>
      <c r="D473" s="205">
        <v>8340540000000</v>
      </c>
      <c r="E473" s="205">
        <v>113780287500</v>
      </c>
      <c r="F473" s="205">
        <v>162804137500</v>
      </c>
      <c r="G473" s="205">
        <v>591312265800</v>
      </c>
    </row>
    <row r="474" spans="1:7">
      <c r="A474" s="2102">
        <v>43689</v>
      </c>
      <c r="B474" s="211">
        <f t="shared" si="33"/>
        <v>2019</v>
      </c>
      <c r="C474" s="211">
        <f t="shared" si="34"/>
        <v>8</v>
      </c>
      <c r="D474" s="205">
        <v>8302800000000</v>
      </c>
      <c r="E474" s="205">
        <v>109918653500</v>
      </c>
      <c r="F474" s="205">
        <v>163973287500</v>
      </c>
      <c r="G474" s="205">
        <v>603923190900</v>
      </c>
    </row>
    <row r="475" spans="1:7">
      <c r="A475" s="2102">
        <v>43686</v>
      </c>
      <c r="B475" s="211">
        <f t="shared" si="33"/>
        <v>2019</v>
      </c>
      <c r="C475" s="211">
        <f t="shared" si="34"/>
        <v>8</v>
      </c>
      <c r="D475" s="205">
        <v>8378280000000</v>
      </c>
      <c r="E475" s="205">
        <v>110884062000</v>
      </c>
      <c r="F475" s="205">
        <v>163973287500</v>
      </c>
      <c r="G475" s="205">
        <v>601120763100</v>
      </c>
    </row>
    <row r="476" spans="1:7">
      <c r="A476" s="2102">
        <v>43685</v>
      </c>
      <c r="B476" s="211">
        <f t="shared" si="33"/>
        <v>2019</v>
      </c>
      <c r="C476" s="211">
        <f t="shared" si="34"/>
        <v>8</v>
      </c>
      <c r="D476" s="205">
        <v>8434890000000</v>
      </c>
      <c r="E476" s="205">
        <v>91989638500</v>
      </c>
      <c r="F476" s="205">
        <v>158712112500</v>
      </c>
      <c r="G476" s="205">
        <v>596917121400</v>
      </c>
    </row>
    <row r="477" spans="1:7">
      <c r="A477" s="2102">
        <v>43684</v>
      </c>
      <c r="B477" s="211">
        <f t="shared" si="33"/>
        <v>2019</v>
      </c>
      <c r="C477" s="211">
        <f t="shared" si="34"/>
        <v>8</v>
      </c>
      <c r="D477" s="205">
        <v>8029185000000</v>
      </c>
      <c r="E477" s="205">
        <v>88541751000</v>
      </c>
      <c r="F477" s="205">
        <v>156958387500</v>
      </c>
      <c r="G477" s="205">
        <v>591312265800</v>
      </c>
    </row>
    <row r="478" spans="1:7">
      <c r="A478" s="2102">
        <v>43683</v>
      </c>
      <c r="B478" s="211">
        <f t="shared" si="33"/>
        <v>2019</v>
      </c>
      <c r="C478" s="211">
        <f t="shared" si="34"/>
        <v>8</v>
      </c>
      <c r="D478" s="205">
        <v>7991445000000</v>
      </c>
      <c r="E478" s="205">
        <v>85645525500</v>
      </c>
      <c r="F478" s="205">
        <v>153158650000</v>
      </c>
      <c r="G478" s="205">
        <v>587108624100</v>
      </c>
    </row>
    <row r="479" spans="1:7">
      <c r="A479" s="2102">
        <v>43682</v>
      </c>
      <c r="B479" s="211">
        <f t="shared" si="33"/>
        <v>2019</v>
      </c>
      <c r="C479" s="211">
        <f t="shared" si="34"/>
        <v>8</v>
      </c>
      <c r="D479" s="205">
        <v>8123535000000</v>
      </c>
      <c r="E479" s="205">
        <v>88265920000</v>
      </c>
      <c r="F479" s="205">
        <v>158127537500</v>
      </c>
      <c r="G479" s="205">
        <v>591312265800</v>
      </c>
    </row>
    <row r="480" spans="1:7">
      <c r="A480" s="2102">
        <v>43679</v>
      </c>
      <c r="B480" s="211">
        <f t="shared" si="33"/>
        <v>2019</v>
      </c>
      <c r="C480" s="211">
        <f t="shared" si="34"/>
        <v>8</v>
      </c>
      <c r="D480" s="205">
        <v>8114100000000</v>
      </c>
      <c r="E480" s="205">
        <v>95161695000</v>
      </c>
      <c r="F480" s="205">
        <v>164557862500</v>
      </c>
      <c r="G480" s="205">
        <v>633348682800</v>
      </c>
    </row>
    <row r="481" spans="1:7">
      <c r="A481" s="2102">
        <v>43678</v>
      </c>
      <c r="B481" s="211">
        <f t="shared" si="33"/>
        <v>2019</v>
      </c>
      <c r="C481" s="211">
        <f t="shared" si="34"/>
        <v>8</v>
      </c>
      <c r="D481" s="205">
        <v>8227320000000</v>
      </c>
      <c r="E481" s="205">
        <v>93230878000</v>
      </c>
      <c r="F481" s="205">
        <v>163973287500</v>
      </c>
      <c r="G481" s="205">
        <v>648762035700</v>
      </c>
    </row>
    <row r="482" spans="1:7">
      <c r="A482" s="2102">
        <v>43677</v>
      </c>
      <c r="B482" s="211">
        <f t="shared" si="33"/>
        <v>2019</v>
      </c>
      <c r="C482" s="211">
        <f t="shared" si="34"/>
        <v>7</v>
      </c>
      <c r="D482" s="205">
        <v>8349975000000</v>
      </c>
      <c r="E482" s="205">
        <v>96540850000</v>
      </c>
      <c r="F482" s="205">
        <v>165142437500</v>
      </c>
      <c r="G482" s="205">
        <v>664175388600</v>
      </c>
    </row>
    <row r="483" spans="1:7">
      <c r="A483" s="2102">
        <v>43676</v>
      </c>
      <c r="B483" s="211">
        <f t="shared" si="33"/>
        <v>2019</v>
      </c>
      <c r="C483" s="211">
        <f t="shared" si="34"/>
        <v>7</v>
      </c>
      <c r="D483" s="205">
        <v>8227320000000</v>
      </c>
      <c r="E483" s="205">
        <v>92127554000</v>
      </c>
      <c r="F483" s="205">
        <v>164265575000</v>
      </c>
      <c r="G483" s="205">
        <v>675385099800</v>
      </c>
    </row>
    <row r="484" spans="1:7">
      <c r="A484" s="2102">
        <v>43675</v>
      </c>
      <c r="B484" s="211">
        <f t="shared" si="33"/>
        <v>2019</v>
      </c>
      <c r="C484" s="211">
        <f t="shared" si="34"/>
        <v>7</v>
      </c>
      <c r="D484" s="205">
        <v>8255625000000</v>
      </c>
      <c r="E484" s="205">
        <v>89920906000</v>
      </c>
      <c r="F484" s="205">
        <v>163973287500</v>
      </c>
      <c r="G484" s="205">
        <v>669780244200</v>
      </c>
    </row>
    <row r="485" spans="1:7">
      <c r="A485" s="2102">
        <v>43672</v>
      </c>
      <c r="B485" s="211">
        <f t="shared" si="33"/>
        <v>2019</v>
      </c>
      <c r="C485" s="211">
        <f t="shared" si="34"/>
        <v>7</v>
      </c>
      <c r="D485" s="205">
        <v>8293365000000</v>
      </c>
      <c r="E485" s="205">
        <v>95299610500</v>
      </c>
      <c r="F485" s="205">
        <v>166896162500</v>
      </c>
      <c r="G485" s="205">
        <v>697804522200</v>
      </c>
    </row>
    <row r="486" spans="1:7">
      <c r="A486" s="2102">
        <v>43671</v>
      </c>
      <c r="B486" s="211">
        <f t="shared" si="33"/>
        <v>2019</v>
      </c>
      <c r="C486" s="211">
        <f t="shared" si="34"/>
        <v>7</v>
      </c>
      <c r="D486" s="205">
        <v>8642460000000</v>
      </c>
      <c r="E486" s="205">
        <v>97092512000</v>
      </c>
      <c r="F486" s="205">
        <v>167480737500</v>
      </c>
      <c r="G486" s="205">
        <v>693600880500</v>
      </c>
    </row>
    <row r="487" spans="1:7">
      <c r="A487" s="2102">
        <v>43670</v>
      </c>
      <c r="B487" s="211">
        <f t="shared" si="33"/>
        <v>2019</v>
      </c>
      <c r="C487" s="211">
        <f t="shared" si="34"/>
        <v>7</v>
      </c>
      <c r="D487" s="205">
        <v>8680200000000</v>
      </c>
      <c r="E487" s="205">
        <v>96540850000</v>
      </c>
      <c r="F487" s="205">
        <v>171280475000</v>
      </c>
      <c r="G487" s="205">
        <v>714619089000</v>
      </c>
    </row>
    <row r="488" spans="1:7">
      <c r="A488" s="2102">
        <v>43669</v>
      </c>
      <c r="B488" s="211">
        <f t="shared" si="33"/>
        <v>2019</v>
      </c>
      <c r="C488" s="211">
        <f t="shared" si="34"/>
        <v>7</v>
      </c>
      <c r="D488" s="205">
        <v>8736810000000</v>
      </c>
      <c r="E488" s="205">
        <v>104126202500</v>
      </c>
      <c r="F488" s="205">
        <v>175372500000</v>
      </c>
      <c r="G488" s="205">
        <v>716020302900</v>
      </c>
    </row>
    <row r="489" spans="1:7">
      <c r="A489" s="2102">
        <v>43668</v>
      </c>
      <c r="B489" s="211">
        <f t="shared" si="33"/>
        <v>2019</v>
      </c>
      <c r="C489" s="211">
        <f t="shared" si="34"/>
        <v>7</v>
      </c>
      <c r="D489" s="205">
        <v>8736810000000</v>
      </c>
      <c r="E489" s="205">
        <v>104402033500</v>
      </c>
      <c r="F489" s="205">
        <v>171572762500</v>
      </c>
      <c r="G489" s="205">
        <v>707613019500</v>
      </c>
    </row>
    <row r="490" spans="1:7">
      <c r="A490" s="2102">
        <v>43665</v>
      </c>
      <c r="B490" s="211">
        <f t="shared" si="33"/>
        <v>2019</v>
      </c>
      <c r="C490" s="211">
        <f t="shared" si="34"/>
        <v>7</v>
      </c>
      <c r="D490" s="205">
        <v>8661330000000</v>
      </c>
      <c r="E490" s="205">
        <v>110470315500</v>
      </c>
      <c r="F490" s="205">
        <v>172741912500</v>
      </c>
      <c r="G490" s="205">
        <v>700606950000</v>
      </c>
    </row>
    <row r="491" spans="1:7">
      <c r="A491" s="2102">
        <v>43664</v>
      </c>
      <c r="B491" s="211">
        <f t="shared" si="33"/>
        <v>2019</v>
      </c>
      <c r="C491" s="211">
        <f t="shared" si="34"/>
        <v>7</v>
      </c>
      <c r="D491" s="205">
        <v>8519805000000</v>
      </c>
      <c r="E491" s="205">
        <v>109091160500</v>
      </c>
      <c r="F491" s="205">
        <v>171865050000</v>
      </c>
      <c r="G491" s="205">
        <v>680989955400</v>
      </c>
    </row>
    <row r="492" spans="1:7">
      <c r="A492" s="2102">
        <v>43663</v>
      </c>
      <c r="B492" s="211">
        <f t="shared" si="33"/>
        <v>2019</v>
      </c>
      <c r="C492" s="211">
        <f t="shared" si="34"/>
        <v>7</v>
      </c>
      <c r="D492" s="205">
        <v>8566980000000</v>
      </c>
      <c r="E492" s="205">
        <v>111435724000</v>
      </c>
      <c r="F492" s="205">
        <v>173911062500</v>
      </c>
      <c r="G492" s="205">
        <v>692199666600</v>
      </c>
    </row>
    <row r="493" spans="1:7">
      <c r="A493" s="2102">
        <v>43662</v>
      </c>
      <c r="B493" s="211">
        <f t="shared" si="33"/>
        <v>2019</v>
      </c>
      <c r="C493" s="211">
        <f t="shared" si="34"/>
        <v>7</v>
      </c>
      <c r="D493" s="205">
        <v>8510370000000</v>
      </c>
      <c r="E493" s="205">
        <v>109918653500</v>
      </c>
      <c r="F493" s="205">
        <v>175664787500</v>
      </c>
      <c r="G493" s="205">
        <v>704810591700</v>
      </c>
    </row>
    <row r="494" spans="1:7">
      <c r="A494" s="2102">
        <v>43661</v>
      </c>
      <c r="B494" s="211">
        <f t="shared" si="33"/>
        <v>2019</v>
      </c>
      <c r="C494" s="211">
        <f t="shared" si="34"/>
        <v>7</v>
      </c>
      <c r="D494" s="205">
        <v>8359410000000</v>
      </c>
      <c r="E494" s="205">
        <v>106746597000</v>
      </c>
      <c r="F494" s="205">
        <v>175372500000</v>
      </c>
      <c r="G494" s="205">
        <v>700606950000</v>
      </c>
    </row>
    <row r="495" spans="1:7">
      <c r="A495" s="2102">
        <v>43658</v>
      </c>
      <c r="B495" s="211">
        <f t="shared" si="33"/>
        <v>2019</v>
      </c>
      <c r="C495" s="211">
        <f t="shared" si="34"/>
        <v>7</v>
      </c>
      <c r="D495" s="205">
        <v>8434890000000</v>
      </c>
      <c r="E495" s="205">
        <v>111573639500</v>
      </c>
      <c r="F495" s="205">
        <v>172449625000</v>
      </c>
      <c r="G495" s="205">
        <v>720223944600</v>
      </c>
    </row>
    <row r="496" spans="1:7">
      <c r="A496" s="2102">
        <v>43657</v>
      </c>
      <c r="B496" s="211">
        <f t="shared" si="33"/>
        <v>2019</v>
      </c>
      <c r="C496" s="211">
        <f t="shared" si="34"/>
        <v>7</v>
      </c>
      <c r="D496" s="205">
        <v>8368845000000</v>
      </c>
      <c r="E496" s="205">
        <v>110056569000</v>
      </c>
      <c r="F496" s="205">
        <v>170695900000</v>
      </c>
      <c r="G496" s="205">
        <v>720223944600</v>
      </c>
    </row>
    <row r="497" spans="1:7">
      <c r="A497" s="2102">
        <v>43656</v>
      </c>
      <c r="B497" s="211">
        <f t="shared" si="33"/>
        <v>2019</v>
      </c>
      <c r="C497" s="211">
        <f t="shared" si="34"/>
        <v>7</v>
      </c>
      <c r="D497" s="205">
        <v>8293365000000</v>
      </c>
      <c r="E497" s="205">
        <v>106746597000</v>
      </c>
      <c r="F497" s="205">
        <v>168357600000</v>
      </c>
      <c r="G497" s="205">
        <v>710415447300</v>
      </c>
    </row>
    <row r="498" spans="1:7">
      <c r="A498" s="2102">
        <v>43655</v>
      </c>
      <c r="B498" s="211">
        <f t="shared" si="33"/>
        <v>2019</v>
      </c>
      <c r="C498" s="211">
        <f t="shared" si="34"/>
        <v>7</v>
      </c>
      <c r="D498" s="205">
        <v>8340540000000</v>
      </c>
      <c r="E498" s="205">
        <v>101505808000</v>
      </c>
      <c r="F498" s="205">
        <v>166311587500</v>
      </c>
      <c r="G498" s="205">
        <v>711816661200</v>
      </c>
    </row>
    <row r="499" spans="1:7">
      <c r="A499" s="2102">
        <v>43654</v>
      </c>
      <c r="B499" s="211">
        <f t="shared" si="33"/>
        <v>2019</v>
      </c>
      <c r="C499" s="211">
        <f t="shared" si="34"/>
        <v>7</v>
      </c>
      <c r="D499" s="205">
        <v>8444325000000</v>
      </c>
      <c r="E499" s="205">
        <v>101919554500</v>
      </c>
      <c r="F499" s="205">
        <v>170403612500</v>
      </c>
      <c r="G499" s="205">
        <v>716020302900</v>
      </c>
    </row>
    <row r="500" spans="1:7">
      <c r="A500" s="2102">
        <v>43651</v>
      </c>
      <c r="B500" s="211">
        <f t="shared" si="33"/>
        <v>2019</v>
      </c>
      <c r="C500" s="211">
        <f t="shared" si="34"/>
        <v>7</v>
      </c>
      <c r="D500" s="205">
        <v>8566980000000</v>
      </c>
      <c r="E500" s="205">
        <v>110056569000</v>
      </c>
      <c r="F500" s="205">
        <v>176541650000</v>
      </c>
      <c r="G500" s="205">
        <v>742643367000</v>
      </c>
    </row>
    <row r="501" spans="1:7">
      <c r="A501" s="2102">
        <v>43650</v>
      </c>
      <c r="B501" s="211">
        <f t="shared" si="33"/>
        <v>2019</v>
      </c>
      <c r="C501" s="211">
        <f t="shared" si="34"/>
        <v>7</v>
      </c>
      <c r="D501" s="205">
        <v>8604720000000</v>
      </c>
      <c r="E501" s="205">
        <v>104953695500</v>
      </c>
      <c r="F501" s="205">
        <v>175664787500</v>
      </c>
      <c r="G501" s="205">
        <v>734236083600</v>
      </c>
    </row>
    <row r="502" spans="1:7">
      <c r="A502" s="2102">
        <v>43649</v>
      </c>
      <c r="B502" s="211">
        <f t="shared" si="33"/>
        <v>2019</v>
      </c>
      <c r="C502" s="211">
        <f t="shared" si="34"/>
        <v>7</v>
      </c>
      <c r="D502" s="205">
        <v>8651895000000</v>
      </c>
      <c r="E502" s="205">
        <v>107160343500</v>
      </c>
      <c r="F502" s="205">
        <v>173618775000</v>
      </c>
      <c r="G502" s="205">
        <v>723026372400</v>
      </c>
    </row>
    <row r="503" spans="1:7">
      <c r="A503" s="2102">
        <v>43648</v>
      </c>
      <c r="B503" s="211">
        <f t="shared" si="33"/>
        <v>2019</v>
      </c>
      <c r="C503" s="211">
        <f t="shared" si="34"/>
        <v>7</v>
      </c>
      <c r="D503" s="205">
        <v>8623590000000</v>
      </c>
      <c r="E503" s="205">
        <v>107298259000</v>
      </c>
      <c r="F503" s="205">
        <v>175372500000</v>
      </c>
      <c r="G503" s="205">
        <v>734236083600</v>
      </c>
    </row>
    <row r="504" spans="1:7">
      <c r="A504" s="2102">
        <v>43647</v>
      </c>
      <c r="B504" s="211">
        <f t="shared" si="33"/>
        <v>2019</v>
      </c>
      <c r="C504" s="211">
        <f t="shared" si="34"/>
        <v>7</v>
      </c>
      <c r="D504" s="205">
        <v>8585850000000</v>
      </c>
      <c r="E504" s="205">
        <v>105643273000</v>
      </c>
      <c r="F504" s="205">
        <v>173034200000</v>
      </c>
      <c r="G504" s="205">
        <v>734236083600</v>
      </c>
    </row>
    <row r="505" spans="1:7">
      <c r="A505" s="2102">
        <v>43644</v>
      </c>
      <c r="B505" s="211">
        <f t="shared" si="33"/>
        <v>2019</v>
      </c>
      <c r="C505" s="211">
        <f t="shared" si="34"/>
        <v>6</v>
      </c>
      <c r="D505" s="205">
        <v>8982120000000</v>
      </c>
      <c r="E505" s="205">
        <v>102195385500</v>
      </c>
      <c r="F505" s="205">
        <v>170988187500</v>
      </c>
      <c r="G505" s="205">
        <v>725828800200</v>
      </c>
    </row>
    <row r="506" spans="1:7">
      <c r="A506" s="2102">
        <v>43643</v>
      </c>
      <c r="B506" s="211">
        <f t="shared" si="33"/>
        <v>2019</v>
      </c>
      <c r="C506" s="211">
        <f t="shared" si="34"/>
        <v>6</v>
      </c>
      <c r="D506" s="205">
        <v>8868900000000</v>
      </c>
      <c r="E506" s="205">
        <v>103850371500</v>
      </c>
      <c r="F506" s="205">
        <v>172449625000</v>
      </c>
      <c r="G506" s="205">
        <v>735637297500</v>
      </c>
    </row>
    <row r="507" spans="1:7">
      <c r="A507" s="2102">
        <v>43642</v>
      </c>
      <c r="B507" s="211">
        <f t="shared" si="33"/>
        <v>2019</v>
      </c>
      <c r="C507" s="211">
        <f t="shared" si="34"/>
        <v>6</v>
      </c>
      <c r="D507" s="205">
        <v>9085905000000</v>
      </c>
      <c r="E507" s="205">
        <v>107022428000</v>
      </c>
      <c r="F507" s="205">
        <v>175372500000</v>
      </c>
      <c r="G507" s="205">
        <v>725828800200</v>
      </c>
    </row>
    <row r="508" spans="1:7">
      <c r="A508" s="2102">
        <v>43641</v>
      </c>
      <c r="B508" s="211">
        <f t="shared" si="33"/>
        <v>2019</v>
      </c>
      <c r="C508" s="211">
        <f t="shared" si="34"/>
        <v>6</v>
      </c>
      <c r="D508" s="205">
        <v>9038730000000</v>
      </c>
      <c r="E508" s="205">
        <v>104677864500</v>
      </c>
      <c r="F508" s="205">
        <v>175372500000</v>
      </c>
      <c r="G508" s="205">
        <v>735637297500</v>
      </c>
    </row>
    <row r="509" spans="1:7">
      <c r="A509" s="2102">
        <v>43640</v>
      </c>
      <c r="B509" s="211">
        <f t="shared" si="33"/>
        <v>2019</v>
      </c>
      <c r="C509" s="211">
        <f t="shared" si="34"/>
        <v>6</v>
      </c>
      <c r="D509" s="205">
        <v>8859465000000</v>
      </c>
      <c r="E509" s="205">
        <v>106194935000</v>
      </c>
      <c r="F509" s="205">
        <v>175664787500</v>
      </c>
      <c r="G509" s="205">
        <v>737038511400</v>
      </c>
    </row>
    <row r="510" spans="1:7">
      <c r="A510" s="2102">
        <v>43637</v>
      </c>
      <c r="B510" s="211">
        <f t="shared" si="33"/>
        <v>2019</v>
      </c>
      <c r="C510" s="211">
        <f t="shared" si="34"/>
        <v>6</v>
      </c>
      <c r="D510" s="205">
        <v>8944380000000</v>
      </c>
      <c r="E510" s="205">
        <v>123296457000</v>
      </c>
      <c r="F510" s="205">
        <v>175080212500</v>
      </c>
      <c r="G510" s="205">
        <v>752451864300</v>
      </c>
    </row>
    <row r="511" spans="1:7">
      <c r="A511" s="2102">
        <v>43636</v>
      </c>
      <c r="B511" s="211">
        <f t="shared" si="33"/>
        <v>2019</v>
      </c>
      <c r="C511" s="211">
        <f t="shared" si="34"/>
        <v>6</v>
      </c>
      <c r="D511" s="205">
        <v>8906640000000</v>
      </c>
      <c r="E511" s="205">
        <v>119434823000</v>
      </c>
      <c r="F511" s="205">
        <v>173911062500</v>
      </c>
      <c r="G511" s="205">
        <v>737038511400</v>
      </c>
    </row>
    <row r="512" spans="1:7">
      <c r="A512" s="2102">
        <v>43635</v>
      </c>
      <c r="B512" s="211">
        <f t="shared" si="33"/>
        <v>2019</v>
      </c>
      <c r="C512" s="211">
        <f t="shared" si="34"/>
        <v>6</v>
      </c>
      <c r="D512" s="205">
        <v>8831160000000</v>
      </c>
      <c r="E512" s="205">
        <v>121227724500</v>
      </c>
      <c r="F512" s="205">
        <v>174787925000</v>
      </c>
      <c r="G512" s="205">
        <v>737038511400</v>
      </c>
    </row>
    <row r="513" spans="1:7">
      <c r="A513" s="2102">
        <v>43634</v>
      </c>
      <c r="B513" s="211">
        <f t="shared" si="33"/>
        <v>2019</v>
      </c>
      <c r="C513" s="211">
        <f t="shared" si="34"/>
        <v>6</v>
      </c>
      <c r="D513" s="205">
        <v>8812290000000</v>
      </c>
      <c r="E513" s="205">
        <v>124261865500</v>
      </c>
      <c r="F513" s="205">
        <v>176541650000</v>
      </c>
      <c r="G513" s="205">
        <v>723026372400</v>
      </c>
    </row>
    <row r="514" spans="1:7">
      <c r="A514" s="2102">
        <v>43633</v>
      </c>
      <c r="B514" s="211">
        <f t="shared" si="33"/>
        <v>2019</v>
      </c>
      <c r="C514" s="211">
        <f t="shared" si="34"/>
        <v>6</v>
      </c>
      <c r="D514" s="205">
        <v>8868900000000</v>
      </c>
      <c r="E514" s="205">
        <v>128950992500</v>
      </c>
      <c r="F514" s="205">
        <v>177126225000</v>
      </c>
      <c r="G514" s="205">
        <v>725828800200</v>
      </c>
    </row>
    <row r="515" spans="1:7">
      <c r="A515" s="2102">
        <v>43630</v>
      </c>
      <c r="B515" s="211">
        <f t="shared" si="33"/>
        <v>2019</v>
      </c>
      <c r="C515" s="211">
        <f t="shared" si="34"/>
        <v>6</v>
      </c>
      <c r="D515" s="205">
        <v>8925510000000</v>
      </c>
      <c r="E515" s="205">
        <v>151431219000</v>
      </c>
      <c r="F515" s="205">
        <v>180049100000</v>
      </c>
      <c r="G515" s="205">
        <v>725828800200</v>
      </c>
    </row>
    <row r="516" spans="1:7">
      <c r="A516" s="2102">
        <v>43629</v>
      </c>
      <c r="B516" s="211">
        <f t="shared" si="33"/>
        <v>2019</v>
      </c>
      <c r="C516" s="211">
        <f t="shared" si="34"/>
        <v>6</v>
      </c>
      <c r="D516" s="205">
        <v>8850030000000</v>
      </c>
      <c r="E516" s="205">
        <v>163567783000</v>
      </c>
      <c r="F516" s="205">
        <v>184725700000</v>
      </c>
      <c r="G516" s="205">
        <v>742643367000</v>
      </c>
    </row>
    <row r="517" spans="1:7">
      <c r="A517" s="2102">
        <v>43628</v>
      </c>
      <c r="B517" s="211">
        <f t="shared" si="33"/>
        <v>2019</v>
      </c>
      <c r="C517" s="211">
        <f t="shared" si="34"/>
        <v>6</v>
      </c>
      <c r="D517" s="205">
        <v>8708505000000</v>
      </c>
      <c r="E517" s="205">
        <v>152534543000</v>
      </c>
      <c r="F517" s="205">
        <v>187064000000</v>
      </c>
      <c r="G517" s="205">
        <v>730032441900</v>
      </c>
    </row>
    <row r="518" spans="1:7">
      <c r="A518" s="2102">
        <v>43627</v>
      </c>
      <c r="B518" s="211">
        <f t="shared" si="33"/>
        <v>2019</v>
      </c>
      <c r="C518" s="211">
        <f t="shared" si="34"/>
        <v>6</v>
      </c>
      <c r="D518" s="205">
        <v>8717940000000</v>
      </c>
      <c r="E518" s="205">
        <v>145914599000</v>
      </c>
      <c r="F518" s="205">
        <v>181802825000</v>
      </c>
      <c r="G518" s="205">
        <v>727230014100</v>
      </c>
    </row>
    <row r="519" spans="1:7">
      <c r="A519" s="2102">
        <v>43626</v>
      </c>
      <c r="B519" s="211">
        <f t="shared" si="33"/>
        <v>2019</v>
      </c>
      <c r="C519" s="211">
        <f t="shared" si="34"/>
        <v>6</v>
      </c>
      <c r="D519" s="205">
        <v>8633025000000</v>
      </c>
      <c r="E519" s="205">
        <v>149224571000</v>
      </c>
      <c r="F519" s="205">
        <v>184433412500</v>
      </c>
      <c r="G519" s="205">
        <v>724427586300</v>
      </c>
    </row>
    <row r="520" spans="1:7">
      <c r="A520" s="2102">
        <v>43623</v>
      </c>
      <c r="B520" s="211">
        <f t="shared" si="33"/>
        <v>2019</v>
      </c>
      <c r="C520" s="211">
        <f t="shared" si="34"/>
        <v>6</v>
      </c>
      <c r="D520" s="205">
        <v>8472630000000</v>
      </c>
      <c r="E520" s="205">
        <v>148948740000</v>
      </c>
      <c r="F520" s="205">
        <v>188233150000</v>
      </c>
      <c r="G520" s="205">
        <v>721625158500</v>
      </c>
    </row>
    <row r="521" spans="1:7">
      <c r="A521" s="2102">
        <v>43621</v>
      </c>
      <c r="B521" s="211">
        <f t="shared" si="33"/>
        <v>2019</v>
      </c>
      <c r="C521" s="211">
        <f t="shared" si="34"/>
        <v>6</v>
      </c>
      <c r="D521" s="205">
        <v>8434890000000</v>
      </c>
      <c r="E521" s="205">
        <v>114607780500</v>
      </c>
      <c r="F521" s="205">
        <v>176541650000</v>
      </c>
      <c r="G521" s="205">
        <v>720223944600</v>
      </c>
    </row>
    <row r="522" spans="1:7">
      <c r="A522" s="2102">
        <v>43620</v>
      </c>
      <c r="B522" s="211">
        <f t="shared" ref="B522:B585" si="35">YEAR(A522)</f>
        <v>2019</v>
      </c>
      <c r="C522" s="211">
        <f t="shared" ref="C522:C585" si="36">MONTH(A522)</f>
        <v>6</v>
      </c>
      <c r="D522" s="205">
        <v>8463195000000</v>
      </c>
      <c r="E522" s="205">
        <v>118055668000</v>
      </c>
      <c r="F522" s="205">
        <v>183264262500</v>
      </c>
      <c r="G522" s="205">
        <v>718822730700</v>
      </c>
    </row>
    <row r="523" spans="1:7">
      <c r="A523" s="2102">
        <v>43619</v>
      </c>
      <c r="B523" s="211">
        <f t="shared" si="35"/>
        <v>2019</v>
      </c>
      <c r="C523" s="211">
        <f t="shared" si="36"/>
        <v>6</v>
      </c>
      <c r="D523" s="205">
        <v>8519805000000</v>
      </c>
      <c r="E523" s="205">
        <v>100540399500</v>
      </c>
      <c r="F523" s="205">
        <v>180049100000</v>
      </c>
      <c r="G523" s="205">
        <v>720223944600</v>
      </c>
    </row>
    <row r="524" spans="1:7">
      <c r="A524" s="2102">
        <v>43616</v>
      </c>
      <c r="B524" s="211">
        <f t="shared" si="35"/>
        <v>2019</v>
      </c>
      <c r="C524" s="211">
        <f t="shared" si="36"/>
        <v>5</v>
      </c>
      <c r="D524" s="205">
        <v>8246190000000</v>
      </c>
      <c r="E524" s="205">
        <v>91162145500</v>
      </c>
      <c r="F524" s="205">
        <v>178295375000</v>
      </c>
      <c r="G524" s="205">
        <v>692199666600</v>
      </c>
    </row>
    <row r="525" spans="1:7">
      <c r="A525" s="2102">
        <v>43615</v>
      </c>
      <c r="B525" s="211">
        <f t="shared" si="35"/>
        <v>2019</v>
      </c>
      <c r="C525" s="211">
        <f t="shared" si="36"/>
        <v>5</v>
      </c>
      <c r="D525" s="205">
        <v>8265060000000</v>
      </c>
      <c r="E525" s="205">
        <v>77508511000</v>
      </c>
      <c r="F525" s="205">
        <v>171280475000</v>
      </c>
      <c r="G525" s="205">
        <v>683792383200</v>
      </c>
    </row>
    <row r="526" spans="1:7">
      <c r="A526" s="2102">
        <v>43614</v>
      </c>
      <c r="B526" s="211">
        <f t="shared" si="35"/>
        <v>2019</v>
      </c>
      <c r="C526" s="211">
        <f t="shared" si="36"/>
        <v>5</v>
      </c>
      <c r="D526" s="205">
        <v>8189580000000</v>
      </c>
      <c r="E526" s="205">
        <v>76405187000</v>
      </c>
      <c r="F526" s="205">
        <v>169819037500</v>
      </c>
      <c r="G526" s="205">
        <v>685193597100</v>
      </c>
    </row>
    <row r="527" spans="1:7">
      <c r="A527" s="2102">
        <v>43613</v>
      </c>
      <c r="B527" s="211">
        <f t="shared" si="35"/>
        <v>2019</v>
      </c>
      <c r="C527" s="211">
        <f t="shared" si="36"/>
        <v>5</v>
      </c>
      <c r="D527" s="205">
        <v>8217885000000</v>
      </c>
      <c r="E527" s="205">
        <v>78473919500</v>
      </c>
      <c r="F527" s="205">
        <v>173034200000</v>
      </c>
      <c r="G527" s="205">
        <v>693600880500</v>
      </c>
    </row>
    <row r="528" spans="1:7">
      <c r="A528" s="2102">
        <v>43612</v>
      </c>
      <c r="B528" s="211">
        <f t="shared" si="35"/>
        <v>2019</v>
      </c>
      <c r="C528" s="211">
        <f t="shared" si="36"/>
        <v>5</v>
      </c>
      <c r="D528" s="205">
        <v>8293365000000</v>
      </c>
      <c r="E528" s="205">
        <v>77646426500</v>
      </c>
      <c r="F528" s="205">
        <v>167188450000</v>
      </c>
      <c r="G528" s="205">
        <v>697804522200</v>
      </c>
    </row>
    <row r="529" spans="1:7">
      <c r="A529" s="2102">
        <v>43609</v>
      </c>
      <c r="B529" s="211">
        <f t="shared" si="35"/>
        <v>2019</v>
      </c>
      <c r="C529" s="211">
        <f t="shared" si="36"/>
        <v>5</v>
      </c>
      <c r="D529" s="205">
        <v>8274495000000</v>
      </c>
      <c r="E529" s="205">
        <v>77508511000</v>
      </c>
      <c r="F529" s="205">
        <v>166311587500</v>
      </c>
      <c r="G529" s="205">
        <v>689397238800</v>
      </c>
    </row>
    <row r="530" spans="1:7">
      <c r="A530" s="2102">
        <v>43608</v>
      </c>
      <c r="B530" s="211">
        <f t="shared" si="35"/>
        <v>2019</v>
      </c>
      <c r="C530" s="211">
        <f t="shared" si="36"/>
        <v>5</v>
      </c>
      <c r="D530" s="205">
        <v>8217885000000</v>
      </c>
      <c r="E530" s="205">
        <v>79301412500</v>
      </c>
      <c r="F530" s="205">
        <v>170988187500</v>
      </c>
      <c r="G530" s="205">
        <v>687996024900</v>
      </c>
    </row>
    <row r="531" spans="1:7">
      <c r="A531" s="2102">
        <v>43607</v>
      </c>
      <c r="B531" s="211">
        <f t="shared" si="35"/>
        <v>2019</v>
      </c>
      <c r="C531" s="211">
        <f t="shared" si="36"/>
        <v>5</v>
      </c>
      <c r="D531" s="205">
        <v>8180145000000</v>
      </c>
      <c r="E531" s="205">
        <v>79853074500</v>
      </c>
      <c r="F531" s="205">
        <v>169819037500</v>
      </c>
      <c r="G531" s="205">
        <v>696403308300</v>
      </c>
    </row>
    <row r="532" spans="1:7">
      <c r="A532" s="2102">
        <v>43606</v>
      </c>
      <c r="B532" s="211">
        <f t="shared" si="35"/>
        <v>2019</v>
      </c>
      <c r="C532" s="211">
        <f t="shared" si="36"/>
        <v>5</v>
      </c>
      <c r="D532" s="205">
        <v>8010315000000</v>
      </c>
      <c r="E532" s="205">
        <v>78336004000</v>
      </c>
      <c r="F532" s="205">
        <v>168065312500</v>
      </c>
      <c r="G532" s="205">
        <v>696403308300</v>
      </c>
    </row>
    <row r="533" spans="1:7">
      <c r="A533" s="2102">
        <v>43605</v>
      </c>
      <c r="B533" s="211">
        <f t="shared" si="35"/>
        <v>2019</v>
      </c>
      <c r="C533" s="211">
        <f t="shared" si="36"/>
        <v>5</v>
      </c>
      <c r="D533" s="205">
        <v>8000880000000</v>
      </c>
      <c r="E533" s="205">
        <v>78060173000</v>
      </c>
      <c r="F533" s="205">
        <v>164850150000</v>
      </c>
      <c r="G533" s="205">
        <v>703409377800</v>
      </c>
    </row>
    <row r="534" spans="1:7">
      <c r="A534" s="2102">
        <v>43602</v>
      </c>
      <c r="B534" s="211">
        <f t="shared" si="35"/>
        <v>2019</v>
      </c>
      <c r="C534" s="211">
        <f t="shared" si="36"/>
        <v>5</v>
      </c>
      <c r="D534" s="205">
        <v>7953705000000</v>
      </c>
      <c r="E534" s="205">
        <v>81370145000</v>
      </c>
      <c r="F534" s="205">
        <v>168649887500</v>
      </c>
      <c r="G534" s="205">
        <v>710415447300</v>
      </c>
    </row>
    <row r="535" spans="1:7">
      <c r="A535" s="2102">
        <v>43601</v>
      </c>
      <c r="B535" s="211">
        <f t="shared" si="35"/>
        <v>2019</v>
      </c>
      <c r="C535" s="211">
        <f t="shared" si="36"/>
        <v>5</v>
      </c>
      <c r="D535" s="205">
        <v>7963140000000</v>
      </c>
      <c r="E535" s="205">
        <v>82059722500</v>
      </c>
      <c r="F535" s="205">
        <v>169234462500</v>
      </c>
      <c r="G535" s="205">
        <v>721625158500</v>
      </c>
    </row>
    <row r="536" spans="1:7">
      <c r="A536" s="2102">
        <v>43600</v>
      </c>
      <c r="B536" s="211">
        <f t="shared" si="35"/>
        <v>2019</v>
      </c>
      <c r="C536" s="211">
        <f t="shared" si="36"/>
        <v>5</v>
      </c>
      <c r="D536" s="205">
        <v>8217885000000</v>
      </c>
      <c r="E536" s="205">
        <v>83990539500</v>
      </c>
      <c r="F536" s="205">
        <v>172741912500</v>
      </c>
      <c r="G536" s="205">
        <v>738439725300</v>
      </c>
    </row>
    <row r="537" spans="1:7">
      <c r="A537" s="2102">
        <v>43599</v>
      </c>
      <c r="B537" s="211">
        <f t="shared" si="35"/>
        <v>2019</v>
      </c>
      <c r="C537" s="211">
        <f t="shared" si="36"/>
        <v>5</v>
      </c>
      <c r="D537" s="205">
        <v>8132970000000</v>
      </c>
      <c r="E537" s="205">
        <v>82749300000</v>
      </c>
      <c r="F537" s="205">
        <v>170403612500</v>
      </c>
      <c r="G537" s="205">
        <v>734236083600</v>
      </c>
    </row>
    <row r="538" spans="1:7">
      <c r="A538" s="2102">
        <v>43598</v>
      </c>
      <c r="B538" s="211">
        <f t="shared" si="35"/>
        <v>2019</v>
      </c>
      <c r="C538" s="211">
        <f t="shared" si="36"/>
        <v>5</v>
      </c>
      <c r="D538" s="205">
        <v>8066925000000</v>
      </c>
      <c r="E538" s="205">
        <v>82749300000</v>
      </c>
      <c r="F538" s="205">
        <v>166019300000</v>
      </c>
      <c r="G538" s="205">
        <v>713217875100</v>
      </c>
    </row>
    <row r="539" spans="1:7">
      <c r="A539" s="2102">
        <v>43595</v>
      </c>
      <c r="B539" s="211">
        <f t="shared" si="35"/>
        <v>2019</v>
      </c>
      <c r="C539" s="211">
        <f t="shared" si="36"/>
        <v>5</v>
      </c>
      <c r="D539" s="205">
        <v>8170710000000</v>
      </c>
      <c r="E539" s="205">
        <v>83852624000</v>
      </c>
      <c r="F539" s="205">
        <v>167480737500</v>
      </c>
      <c r="G539" s="205">
        <v>723026372400</v>
      </c>
    </row>
    <row r="540" spans="1:7">
      <c r="A540" s="2102">
        <v>43594</v>
      </c>
      <c r="B540" s="211">
        <f t="shared" si="35"/>
        <v>2019</v>
      </c>
      <c r="C540" s="211">
        <f t="shared" si="36"/>
        <v>5</v>
      </c>
      <c r="D540" s="205">
        <v>8010315000000</v>
      </c>
      <c r="E540" s="205">
        <v>84680117000</v>
      </c>
      <c r="F540" s="205">
        <v>168065312500</v>
      </c>
      <c r="G540" s="205">
        <v>714619089000</v>
      </c>
    </row>
    <row r="541" spans="1:7">
      <c r="A541" s="2102">
        <v>43593</v>
      </c>
      <c r="B541" s="211">
        <f t="shared" si="35"/>
        <v>2019</v>
      </c>
      <c r="C541" s="211">
        <f t="shared" si="36"/>
        <v>5</v>
      </c>
      <c r="D541" s="205">
        <v>8208450000000</v>
      </c>
      <c r="E541" s="205">
        <v>86610934000</v>
      </c>
      <c r="F541" s="205">
        <v>170988187500</v>
      </c>
      <c r="G541" s="205">
        <v>734236083600</v>
      </c>
    </row>
    <row r="542" spans="1:7">
      <c r="A542" s="2102">
        <v>43592</v>
      </c>
      <c r="B542" s="211">
        <f t="shared" si="35"/>
        <v>2019</v>
      </c>
      <c r="C542" s="211">
        <f t="shared" si="36"/>
        <v>5</v>
      </c>
      <c r="D542" s="205">
        <v>8255625000000</v>
      </c>
      <c r="E542" s="205">
        <v>84404286000</v>
      </c>
      <c r="F542" s="205">
        <v>171280475000</v>
      </c>
      <c r="G542" s="205">
        <v>735637297500</v>
      </c>
    </row>
    <row r="543" spans="1:7">
      <c r="A543" s="2102">
        <v>43588</v>
      </c>
      <c r="B543" s="211">
        <f t="shared" si="35"/>
        <v>2019</v>
      </c>
      <c r="C543" s="211">
        <f t="shared" si="36"/>
        <v>5</v>
      </c>
      <c r="D543" s="205">
        <v>8331105000000</v>
      </c>
      <c r="E543" s="205">
        <v>84404286000</v>
      </c>
      <c r="F543" s="205">
        <v>173034200000</v>
      </c>
      <c r="G543" s="205">
        <v>732834869700</v>
      </c>
    </row>
    <row r="544" spans="1:7">
      <c r="A544" s="2102">
        <v>43587</v>
      </c>
      <c r="B544" s="211">
        <f t="shared" si="35"/>
        <v>2019</v>
      </c>
      <c r="C544" s="211">
        <f t="shared" si="36"/>
        <v>5</v>
      </c>
      <c r="D544" s="205">
        <v>8434890000000</v>
      </c>
      <c r="E544" s="205">
        <v>83852624000</v>
      </c>
      <c r="F544" s="205">
        <v>172157337500</v>
      </c>
      <c r="G544" s="205">
        <v>752451864300</v>
      </c>
    </row>
    <row r="545" spans="1:7">
      <c r="A545" s="2102">
        <v>43585</v>
      </c>
      <c r="B545" s="211">
        <f t="shared" si="35"/>
        <v>2019</v>
      </c>
      <c r="C545" s="211">
        <f t="shared" si="36"/>
        <v>4</v>
      </c>
      <c r="D545" s="205">
        <v>8538675000000</v>
      </c>
      <c r="E545" s="205">
        <v>85369694500</v>
      </c>
      <c r="F545" s="205">
        <v>170988187500</v>
      </c>
      <c r="G545" s="205">
        <v>779074928400</v>
      </c>
    </row>
    <row r="546" spans="1:7">
      <c r="A546" s="2102">
        <v>43584</v>
      </c>
      <c r="B546" s="211">
        <f t="shared" si="35"/>
        <v>2019</v>
      </c>
      <c r="C546" s="211">
        <f t="shared" si="36"/>
        <v>4</v>
      </c>
      <c r="D546" s="205">
        <v>8538675000000</v>
      </c>
      <c r="E546" s="205">
        <v>85783441000</v>
      </c>
      <c r="F546" s="205">
        <v>172449625000</v>
      </c>
      <c r="G546" s="205">
        <v>794488281300</v>
      </c>
    </row>
    <row r="547" spans="1:7">
      <c r="A547" s="2102">
        <v>43581</v>
      </c>
      <c r="B547" s="211">
        <f t="shared" si="35"/>
        <v>2019</v>
      </c>
      <c r="C547" s="211">
        <f t="shared" si="36"/>
        <v>4</v>
      </c>
      <c r="D547" s="205">
        <v>8397150000000</v>
      </c>
      <c r="E547" s="205">
        <v>86197187500</v>
      </c>
      <c r="F547" s="205">
        <v>170988187500</v>
      </c>
      <c r="G547" s="205">
        <v>791685853500</v>
      </c>
    </row>
    <row r="548" spans="1:7">
      <c r="A548" s="2102">
        <v>43580</v>
      </c>
      <c r="B548" s="211">
        <f t="shared" si="35"/>
        <v>2019</v>
      </c>
      <c r="C548" s="211">
        <f t="shared" si="36"/>
        <v>4</v>
      </c>
      <c r="D548" s="205">
        <v>8491500000000</v>
      </c>
      <c r="E548" s="205">
        <v>88817582000</v>
      </c>
      <c r="F548" s="205">
        <v>174495637500</v>
      </c>
      <c r="G548" s="205">
        <v>791685853500</v>
      </c>
    </row>
    <row r="549" spans="1:7">
      <c r="A549" s="2102">
        <v>43579</v>
      </c>
      <c r="B549" s="211">
        <f t="shared" si="35"/>
        <v>2019</v>
      </c>
      <c r="C549" s="211">
        <f t="shared" si="36"/>
        <v>4</v>
      </c>
      <c r="D549" s="205">
        <v>8434890000000</v>
      </c>
      <c r="E549" s="205">
        <v>93230878000</v>
      </c>
      <c r="F549" s="205">
        <v>179464525000</v>
      </c>
      <c r="G549" s="205">
        <v>804296778600</v>
      </c>
    </row>
    <row r="550" spans="1:7">
      <c r="A550" s="2102">
        <v>43578</v>
      </c>
      <c r="B550" s="211">
        <f t="shared" si="35"/>
        <v>2019</v>
      </c>
      <c r="C550" s="211">
        <f t="shared" si="36"/>
        <v>4</v>
      </c>
      <c r="D550" s="205">
        <v>8500935000000</v>
      </c>
      <c r="E550" s="205">
        <v>92679216000</v>
      </c>
      <c r="F550" s="205">
        <v>181802825000</v>
      </c>
      <c r="G550" s="205">
        <v>808500420300</v>
      </c>
    </row>
    <row r="551" spans="1:7">
      <c r="A551" s="2102">
        <v>43577</v>
      </c>
      <c r="B551" s="211">
        <f t="shared" si="35"/>
        <v>2019</v>
      </c>
      <c r="C551" s="211">
        <f t="shared" si="36"/>
        <v>4</v>
      </c>
      <c r="D551" s="205">
        <v>8548110000000</v>
      </c>
      <c r="E551" s="205">
        <v>93368793500</v>
      </c>
      <c r="F551" s="205">
        <v>181218250000</v>
      </c>
      <c r="G551" s="205">
        <v>809901634200</v>
      </c>
    </row>
    <row r="552" spans="1:7">
      <c r="A552" s="2102">
        <v>43574</v>
      </c>
      <c r="B552" s="211">
        <f t="shared" si="35"/>
        <v>2019</v>
      </c>
      <c r="C552" s="211">
        <f t="shared" si="36"/>
        <v>4</v>
      </c>
      <c r="D552" s="205">
        <v>8633025000000</v>
      </c>
      <c r="E552" s="205">
        <v>91300061000</v>
      </c>
      <c r="F552" s="205">
        <v>178879950000</v>
      </c>
      <c r="G552" s="205">
        <v>814105275900</v>
      </c>
    </row>
    <row r="553" spans="1:7">
      <c r="A553" s="2102">
        <v>43573</v>
      </c>
      <c r="B553" s="211">
        <f t="shared" si="35"/>
        <v>2019</v>
      </c>
      <c r="C553" s="211">
        <f t="shared" si="36"/>
        <v>4</v>
      </c>
      <c r="D553" s="205">
        <v>8623590000000</v>
      </c>
      <c r="E553" s="205">
        <v>91024230000</v>
      </c>
      <c r="F553" s="205">
        <v>178295375000</v>
      </c>
      <c r="G553" s="205">
        <v>809901634200</v>
      </c>
    </row>
    <row r="554" spans="1:7">
      <c r="A554" s="2102">
        <v>43572</v>
      </c>
      <c r="B554" s="211">
        <f t="shared" si="35"/>
        <v>2019</v>
      </c>
      <c r="C554" s="211">
        <f t="shared" si="36"/>
        <v>4</v>
      </c>
      <c r="D554" s="205">
        <v>8755680000000</v>
      </c>
      <c r="E554" s="205">
        <v>87714258000</v>
      </c>
      <c r="F554" s="205">
        <v>180633675000</v>
      </c>
      <c r="G554" s="205">
        <v>839327126100</v>
      </c>
    </row>
    <row r="555" spans="1:7">
      <c r="A555" s="2102">
        <v>43571</v>
      </c>
      <c r="B555" s="211">
        <f t="shared" si="35"/>
        <v>2019</v>
      </c>
      <c r="C555" s="211">
        <f t="shared" si="36"/>
        <v>4</v>
      </c>
      <c r="D555" s="205">
        <v>8887770000000</v>
      </c>
      <c r="E555" s="205">
        <v>88403835500</v>
      </c>
      <c r="F555" s="205">
        <v>181218250000</v>
      </c>
      <c r="G555" s="205">
        <v>837925912200</v>
      </c>
    </row>
    <row r="556" spans="1:7">
      <c r="A556" s="2102">
        <v>43570</v>
      </c>
      <c r="B556" s="211">
        <f t="shared" si="35"/>
        <v>2019</v>
      </c>
      <c r="C556" s="211">
        <f t="shared" si="36"/>
        <v>4</v>
      </c>
      <c r="D556" s="205">
        <v>8793420000000</v>
      </c>
      <c r="E556" s="205">
        <v>89645075000</v>
      </c>
      <c r="F556" s="205">
        <v>181218250000</v>
      </c>
      <c r="G556" s="205">
        <v>840728340000</v>
      </c>
    </row>
    <row r="557" spans="1:7">
      <c r="A557" s="2102">
        <v>43567</v>
      </c>
      <c r="B557" s="211">
        <f t="shared" si="35"/>
        <v>2019</v>
      </c>
      <c r="C557" s="211">
        <f t="shared" si="36"/>
        <v>4</v>
      </c>
      <c r="D557" s="205">
        <v>9010425000000</v>
      </c>
      <c r="E557" s="205">
        <v>90472568000</v>
      </c>
      <c r="F557" s="205">
        <v>184141125000</v>
      </c>
      <c r="G557" s="205">
        <v>836524698300</v>
      </c>
    </row>
    <row r="558" spans="1:7">
      <c r="A558" s="2102">
        <v>43566</v>
      </c>
      <c r="B558" s="211">
        <f t="shared" si="35"/>
        <v>2019</v>
      </c>
      <c r="C558" s="211">
        <f t="shared" si="36"/>
        <v>4</v>
      </c>
      <c r="D558" s="205">
        <v>9085905000000</v>
      </c>
      <c r="E558" s="205">
        <v>89507159500</v>
      </c>
      <c r="F558" s="205">
        <v>178003087500</v>
      </c>
      <c r="G558" s="205">
        <v>849135623400</v>
      </c>
    </row>
    <row r="559" spans="1:7">
      <c r="A559" s="2102">
        <v>43565</v>
      </c>
      <c r="B559" s="211">
        <f t="shared" si="35"/>
        <v>2019</v>
      </c>
      <c r="C559" s="211">
        <f t="shared" si="36"/>
        <v>4</v>
      </c>
      <c r="D559" s="205">
        <v>9104775000000</v>
      </c>
      <c r="E559" s="205">
        <v>88128004500</v>
      </c>
      <c r="F559" s="205">
        <v>171280475000</v>
      </c>
      <c r="G559" s="205">
        <v>861746548500</v>
      </c>
    </row>
    <row r="560" spans="1:7">
      <c r="A560" s="2102">
        <v>43564</v>
      </c>
      <c r="B560" s="211">
        <f t="shared" si="35"/>
        <v>2019</v>
      </c>
      <c r="C560" s="211">
        <f t="shared" si="36"/>
        <v>4</v>
      </c>
      <c r="D560" s="205">
        <v>9067035000000</v>
      </c>
      <c r="E560" s="205">
        <v>86886765000</v>
      </c>
      <c r="F560" s="205">
        <v>167480737500</v>
      </c>
      <c r="G560" s="205">
        <v>850536837300</v>
      </c>
    </row>
    <row r="561" spans="1:7">
      <c r="A561" s="2102">
        <v>43563</v>
      </c>
      <c r="B561" s="211">
        <f t="shared" si="35"/>
        <v>2019</v>
      </c>
      <c r="C561" s="211">
        <f t="shared" si="36"/>
        <v>4</v>
      </c>
      <c r="D561" s="205">
        <v>9067035000000</v>
      </c>
      <c r="E561" s="205">
        <v>87714258000</v>
      </c>
      <c r="F561" s="205">
        <v>168942175000</v>
      </c>
      <c r="G561" s="205">
        <v>853339265100</v>
      </c>
    </row>
    <row r="562" spans="1:7">
      <c r="A562" s="2102">
        <v>43560</v>
      </c>
      <c r="B562" s="211">
        <f t="shared" si="35"/>
        <v>2019</v>
      </c>
      <c r="C562" s="211">
        <f t="shared" si="36"/>
        <v>4</v>
      </c>
      <c r="D562" s="205">
        <v>9180255000000</v>
      </c>
      <c r="E562" s="205">
        <v>88265920000</v>
      </c>
      <c r="F562" s="205">
        <v>171865050000</v>
      </c>
      <c r="G562" s="205">
        <v>863147762400</v>
      </c>
    </row>
    <row r="563" spans="1:7">
      <c r="A563" s="2102">
        <v>43559</v>
      </c>
      <c r="B563" s="211">
        <f t="shared" si="35"/>
        <v>2019</v>
      </c>
      <c r="C563" s="211">
        <f t="shared" si="36"/>
        <v>4</v>
      </c>
      <c r="D563" s="205">
        <v>9227430000000</v>
      </c>
      <c r="E563" s="205">
        <v>83852624000</v>
      </c>
      <c r="F563" s="205">
        <v>169234462500</v>
      </c>
      <c r="G563" s="205">
        <v>860345334600</v>
      </c>
    </row>
    <row r="564" spans="1:7">
      <c r="A564" s="2102">
        <v>43558</v>
      </c>
      <c r="B564" s="211">
        <f t="shared" si="35"/>
        <v>2019</v>
      </c>
      <c r="C564" s="211">
        <f t="shared" si="36"/>
        <v>4</v>
      </c>
      <c r="D564" s="205">
        <v>9151950000000</v>
      </c>
      <c r="E564" s="205">
        <v>84128455000</v>
      </c>
      <c r="F564" s="205">
        <v>169526750000</v>
      </c>
      <c r="G564" s="205">
        <v>877159901400</v>
      </c>
    </row>
    <row r="565" spans="1:7">
      <c r="A565" s="2102">
        <v>43557</v>
      </c>
      <c r="B565" s="211">
        <f t="shared" si="35"/>
        <v>2019</v>
      </c>
      <c r="C565" s="211">
        <f t="shared" si="36"/>
        <v>4</v>
      </c>
      <c r="D565" s="205">
        <v>8934945000000</v>
      </c>
      <c r="E565" s="205">
        <v>82197638000</v>
      </c>
      <c r="F565" s="205">
        <v>169526750000</v>
      </c>
      <c r="G565" s="205">
        <v>851938051200</v>
      </c>
    </row>
    <row r="566" spans="1:7">
      <c r="A566" s="2102">
        <v>43556</v>
      </c>
      <c r="B566" s="211">
        <f t="shared" si="35"/>
        <v>2019</v>
      </c>
      <c r="C566" s="211">
        <f t="shared" si="36"/>
        <v>4</v>
      </c>
      <c r="D566" s="205">
        <v>8859465000000</v>
      </c>
      <c r="E566" s="205">
        <v>79439328000</v>
      </c>
      <c r="F566" s="205">
        <v>171865050000</v>
      </c>
      <c r="G566" s="205">
        <v>858944120700</v>
      </c>
    </row>
    <row r="567" spans="1:7">
      <c r="A567" s="2102">
        <v>43553</v>
      </c>
      <c r="B567" s="211">
        <f t="shared" si="35"/>
        <v>2019</v>
      </c>
      <c r="C567" s="211">
        <f t="shared" si="36"/>
        <v>3</v>
      </c>
      <c r="D567" s="205">
        <v>8774550000000</v>
      </c>
      <c r="E567" s="205">
        <v>78887666000</v>
      </c>
      <c r="F567" s="205">
        <v>170695900000</v>
      </c>
      <c r="G567" s="205">
        <v>809901634200</v>
      </c>
    </row>
    <row r="568" spans="1:7">
      <c r="A568" s="2102">
        <v>43552</v>
      </c>
      <c r="B568" s="211">
        <f t="shared" si="35"/>
        <v>2019</v>
      </c>
      <c r="C568" s="211">
        <f t="shared" si="36"/>
        <v>3</v>
      </c>
      <c r="D568" s="205">
        <v>8661330000000</v>
      </c>
      <c r="E568" s="205">
        <v>78887666000</v>
      </c>
      <c r="F568" s="205">
        <v>168649887500</v>
      </c>
      <c r="G568" s="205">
        <v>802895564700</v>
      </c>
    </row>
    <row r="569" spans="1:7">
      <c r="A569" s="2102">
        <v>43551</v>
      </c>
      <c r="B569" s="211">
        <f t="shared" si="35"/>
        <v>2019</v>
      </c>
      <c r="C569" s="211">
        <f t="shared" si="36"/>
        <v>3</v>
      </c>
      <c r="D569" s="205">
        <v>8604720000000</v>
      </c>
      <c r="E569" s="205">
        <v>80818483000</v>
      </c>
      <c r="F569" s="205">
        <v>169526750000</v>
      </c>
      <c r="G569" s="205">
        <v>819710131500</v>
      </c>
    </row>
    <row r="570" spans="1:7">
      <c r="A570" s="2102">
        <v>43550</v>
      </c>
      <c r="B570" s="211">
        <f t="shared" si="35"/>
        <v>2019</v>
      </c>
      <c r="C570" s="211">
        <f t="shared" si="36"/>
        <v>3</v>
      </c>
      <c r="D570" s="205">
        <v>8566980000000</v>
      </c>
      <c r="E570" s="205">
        <v>79439328000</v>
      </c>
      <c r="F570" s="205">
        <v>166603875000</v>
      </c>
      <c r="G570" s="205">
        <v>801494350800</v>
      </c>
    </row>
    <row r="571" spans="1:7">
      <c r="A571" s="2102">
        <v>43549</v>
      </c>
      <c r="B571" s="211">
        <f t="shared" si="35"/>
        <v>2019</v>
      </c>
      <c r="C571" s="211">
        <f t="shared" si="36"/>
        <v>3</v>
      </c>
      <c r="D571" s="205">
        <v>8727375000000</v>
      </c>
      <c r="E571" s="205">
        <v>78336004000</v>
      </c>
      <c r="F571" s="205">
        <v>163681000000</v>
      </c>
      <c r="G571" s="205">
        <v>797290709100</v>
      </c>
    </row>
    <row r="572" spans="1:7">
      <c r="A572" s="2102">
        <v>43546</v>
      </c>
      <c r="B572" s="211">
        <f t="shared" si="35"/>
        <v>2019</v>
      </c>
      <c r="C572" s="211">
        <f t="shared" si="36"/>
        <v>3</v>
      </c>
      <c r="D572" s="205">
        <v>8708505000000</v>
      </c>
      <c r="E572" s="205">
        <v>79577243500</v>
      </c>
      <c r="F572" s="205">
        <v>168065312500</v>
      </c>
      <c r="G572" s="205">
        <v>818308917600</v>
      </c>
    </row>
    <row r="573" spans="1:7">
      <c r="A573" s="2102">
        <v>43545</v>
      </c>
      <c r="B573" s="211">
        <f t="shared" si="35"/>
        <v>2019</v>
      </c>
      <c r="C573" s="211">
        <f t="shared" si="36"/>
        <v>3</v>
      </c>
      <c r="D573" s="205">
        <v>8670765000000</v>
      </c>
      <c r="E573" s="205">
        <v>79301412500</v>
      </c>
      <c r="F573" s="205">
        <v>170695900000</v>
      </c>
      <c r="G573" s="205">
        <v>835123484400</v>
      </c>
    </row>
    <row r="574" spans="1:7">
      <c r="A574" s="2102">
        <v>43544</v>
      </c>
      <c r="B574" s="211">
        <f t="shared" si="35"/>
        <v>2019</v>
      </c>
      <c r="C574" s="211">
        <f t="shared" si="36"/>
        <v>3</v>
      </c>
      <c r="D574" s="205">
        <v>8708505000000</v>
      </c>
      <c r="E574" s="205">
        <v>79715159000</v>
      </c>
      <c r="F574" s="205">
        <v>169819037500</v>
      </c>
      <c r="G574" s="205">
        <v>849135623400</v>
      </c>
    </row>
    <row r="575" spans="1:7">
      <c r="A575" s="2102">
        <v>43543</v>
      </c>
      <c r="B575" s="211">
        <f t="shared" si="35"/>
        <v>2019</v>
      </c>
      <c r="C575" s="211">
        <f t="shared" si="36"/>
        <v>3</v>
      </c>
      <c r="D575" s="205">
        <v>8595285000000</v>
      </c>
      <c r="E575" s="205">
        <v>79990990000</v>
      </c>
      <c r="F575" s="205">
        <v>172157337500</v>
      </c>
      <c r="G575" s="205">
        <v>835123484400</v>
      </c>
    </row>
    <row r="576" spans="1:7">
      <c r="A576" s="2102">
        <v>43542</v>
      </c>
      <c r="B576" s="211">
        <f t="shared" si="35"/>
        <v>2019</v>
      </c>
      <c r="C576" s="211">
        <f t="shared" si="36"/>
        <v>3</v>
      </c>
      <c r="D576" s="205">
        <v>8717940000000</v>
      </c>
      <c r="E576" s="205">
        <v>80542652000</v>
      </c>
      <c r="F576" s="205">
        <v>170403612500</v>
      </c>
      <c r="G576" s="205">
        <v>842129553900</v>
      </c>
    </row>
    <row r="577" spans="1:7">
      <c r="A577" s="2102">
        <v>43539</v>
      </c>
      <c r="B577" s="211">
        <f t="shared" si="35"/>
        <v>2019</v>
      </c>
      <c r="C577" s="211">
        <f t="shared" si="36"/>
        <v>3</v>
      </c>
      <c r="D577" s="205">
        <v>8689635000000</v>
      </c>
      <c r="E577" s="205">
        <v>78887666000</v>
      </c>
      <c r="F577" s="205">
        <v>170403612500</v>
      </c>
      <c r="G577" s="205">
        <v>858944120700</v>
      </c>
    </row>
    <row r="578" spans="1:7">
      <c r="A578" s="2102">
        <v>43538</v>
      </c>
      <c r="B578" s="211">
        <f t="shared" si="35"/>
        <v>2019</v>
      </c>
      <c r="C578" s="211">
        <f t="shared" si="36"/>
        <v>3</v>
      </c>
      <c r="D578" s="205">
        <v>8604720000000</v>
      </c>
      <c r="E578" s="205">
        <v>80680567500</v>
      </c>
      <c r="F578" s="205">
        <v>173034200000</v>
      </c>
      <c r="G578" s="205">
        <v>826716201000</v>
      </c>
    </row>
    <row r="579" spans="1:7">
      <c r="A579" s="2102">
        <v>43537</v>
      </c>
      <c r="B579" s="211">
        <f t="shared" si="35"/>
        <v>2019</v>
      </c>
      <c r="C579" s="211">
        <f t="shared" si="36"/>
        <v>3</v>
      </c>
      <c r="D579" s="205">
        <v>8519805000000</v>
      </c>
      <c r="E579" s="205">
        <v>79301412500</v>
      </c>
      <c r="F579" s="205">
        <v>165142437500</v>
      </c>
      <c r="G579" s="205">
        <v>835123484400</v>
      </c>
    </row>
    <row r="580" spans="1:7">
      <c r="A580" s="2102">
        <v>43536</v>
      </c>
      <c r="B580" s="211">
        <f t="shared" si="35"/>
        <v>2019</v>
      </c>
      <c r="C580" s="211">
        <f t="shared" si="36"/>
        <v>3</v>
      </c>
      <c r="D580" s="205">
        <v>8368845000000</v>
      </c>
      <c r="E580" s="205">
        <v>79990990000</v>
      </c>
      <c r="F580" s="205">
        <v>164265575000</v>
      </c>
      <c r="G580" s="205">
        <v>843530767800</v>
      </c>
    </row>
    <row r="581" spans="1:7">
      <c r="A581" s="2102">
        <v>43535</v>
      </c>
      <c r="B581" s="211">
        <f t="shared" si="35"/>
        <v>2019</v>
      </c>
      <c r="C581" s="211">
        <f t="shared" si="36"/>
        <v>3</v>
      </c>
      <c r="D581" s="205">
        <v>8349975000000</v>
      </c>
      <c r="E581" s="205">
        <v>78887666000</v>
      </c>
      <c r="F581" s="205">
        <v>163681000000</v>
      </c>
      <c r="G581" s="205">
        <v>836524698300</v>
      </c>
    </row>
    <row r="582" spans="1:7">
      <c r="A582" s="2102">
        <v>43532</v>
      </c>
      <c r="B582" s="211">
        <f t="shared" si="35"/>
        <v>2019</v>
      </c>
      <c r="C582" s="211">
        <f t="shared" si="36"/>
        <v>3</v>
      </c>
      <c r="D582" s="205">
        <v>8246190000000</v>
      </c>
      <c r="E582" s="205">
        <v>78611835000</v>
      </c>
      <c r="F582" s="205">
        <v>162219562500</v>
      </c>
      <c r="G582" s="205">
        <v>836524698300</v>
      </c>
    </row>
    <row r="583" spans="1:7">
      <c r="A583" s="2102">
        <v>43531</v>
      </c>
      <c r="B583" s="211">
        <f t="shared" si="35"/>
        <v>2019</v>
      </c>
      <c r="C583" s="211">
        <f t="shared" si="36"/>
        <v>3</v>
      </c>
      <c r="D583" s="205">
        <v>8538675000000</v>
      </c>
      <c r="E583" s="205">
        <v>81645976000</v>
      </c>
      <c r="F583" s="205">
        <v>167773025000</v>
      </c>
      <c r="G583" s="205">
        <v>872956259700</v>
      </c>
    </row>
    <row r="584" spans="1:7">
      <c r="A584" s="2102">
        <v>43530</v>
      </c>
      <c r="B584" s="211">
        <f t="shared" si="35"/>
        <v>2019</v>
      </c>
      <c r="C584" s="211">
        <f t="shared" si="36"/>
        <v>3</v>
      </c>
      <c r="D584" s="205">
        <v>8538675000000</v>
      </c>
      <c r="E584" s="205">
        <v>84404286000</v>
      </c>
      <c r="F584" s="205">
        <v>171865050000</v>
      </c>
      <c r="G584" s="205">
        <v>898178109900</v>
      </c>
    </row>
    <row r="585" spans="1:7">
      <c r="A585" s="2102">
        <v>43529</v>
      </c>
      <c r="B585" s="211">
        <f t="shared" si="35"/>
        <v>2019</v>
      </c>
      <c r="C585" s="211">
        <f t="shared" si="36"/>
        <v>3</v>
      </c>
      <c r="D585" s="205">
        <v>8519805000000</v>
      </c>
      <c r="E585" s="205">
        <v>80680567500</v>
      </c>
      <c r="F585" s="205">
        <v>166603875000</v>
      </c>
      <c r="G585" s="205">
        <v>893974468200</v>
      </c>
    </row>
    <row r="586" spans="1:7">
      <c r="A586" s="2102">
        <v>43528</v>
      </c>
      <c r="B586" s="211">
        <f t="shared" ref="B586:B649" si="37">YEAR(A586)</f>
        <v>2019</v>
      </c>
      <c r="C586" s="211">
        <f t="shared" ref="C586:C649" si="38">MONTH(A586)</f>
        <v>3</v>
      </c>
      <c r="D586" s="205">
        <v>8651895000000</v>
      </c>
      <c r="E586" s="205">
        <v>79301412500</v>
      </c>
      <c r="F586" s="205">
        <v>168357600000</v>
      </c>
      <c r="G586" s="205">
        <v>899579323800</v>
      </c>
    </row>
    <row r="587" spans="1:7">
      <c r="A587" s="2102">
        <v>43524</v>
      </c>
      <c r="B587" s="211">
        <f t="shared" si="37"/>
        <v>2019</v>
      </c>
      <c r="C587" s="211">
        <f t="shared" si="38"/>
        <v>2</v>
      </c>
      <c r="D587" s="205">
        <v>8614155000000</v>
      </c>
      <c r="E587" s="205">
        <v>78887666000</v>
      </c>
      <c r="F587" s="205">
        <v>166603875000</v>
      </c>
      <c r="G587" s="205">
        <v>893974468200</v>
      </c>
    </row>
    <row r="588" spans="1:7">
      <c r="A588" s="2102">
        <v>43523</v>
      </c>
      <c r="B588" s="211">
        <f t="shared" si="37"/>
        <v>2019</v>
      </c>
      <c r="C588" s="211">
        <f t="shared" si="38"/>
        <v>2</v>
      </c>
      <c r="D588" s="205">
        <v>8765115000000</v>
      </c>
      <c r="E588" s="205">
        <v>84955948000</v>
      </c>
      <c r="F588" s="205">
        <v>174787925000</v>
      </c>
      <c r="G588" s="205">
        <v>923399960100</v>
      </c>
    </row>
    <row r="589" spans="1:7">
      <c r="A589" s="2102">
        <v>43522</v>
      </c>
      <c r="B589" s="211">
        <f t="shared" si="37"/>
        <v>2019</v>
      </c>
      <c r="C589" s="211">
        <f t="shared" si="38"/>
        <v>2</v>
      </c>
      <c r="D589" s="205">
        <v>8812290000000</v>
      </c>
      <c r="E589" s="205">
        <v>84128455000</v>
      </c>
      <c r="F589" s="205">
        <v>174495637500</v>
      </c>
      <c r="G589" s="205">
        <v>914992676700</v>
      </c>
    </row>
    <row r="590" spans="1:7">
      <c r="A590" s="2102">
        <v>43521</v>
      </c>
      <c r="B590" s="211">
        <f t="shared" si="37"/>
        <v>2019</v>
      </c>
      <c r="C590" s="211">
        <f t="shared" si="38"/>
        <v>2</v>
      </c>
      <c r="D590" s="205">
        <v>8680200000000</v>
      </c>
      <c r="E590" s="205">
        <v>85093863500</v>
      </c>
      <c r="F590" s="205">
        <v>174787925000</v>
      </c>
      <c r="G590" s="205">
        <v>895375682100</v>
      </c>
    </row>
    <row r="591" spans="1:7">
      <c r="A591" s="2102">
        <v>43518</v>
      </c>
      <c r="B591" s="211">
        <f t="shared" si="37"/>
        <v>2019</v>
      </c>
      <c r="C591" s="211">
        <f t="shared" si="38"/>
        <v>2</v>
      </c>
      <c r="D591" s="205">
        <v>8566980000000</v>
      </c>
      <c r="E591" s="205">
        <v>84955948000</v>
      </c>
      <c r="F591" s="205">
        <v>170988187500</v>
      </c>
      <c r="G591" s="205">
        <v>888369612600</v>
      </c>
    </row>
    <row r="592" spans="1:7">
      <c r="A592" s="2102">
        <v>43517</v>
      </c>
      <c r="B592" s="211">
        <f t="shared" si="37"/>
        <v>2019</v>
      </c>
      <c r="C592" s="211">
        <f t="shared" si="38"/>
        <v>2</v>
      </c>
      <c r="D592" s="205">
        <v>8510370000000</v>
      </c>
      <c r="E592" s="205">
        <v>86059272000</v>
      </c>
      <c r="F592" s="205">
        <v>172157337500</v>
      </c>
      <c r="G592" s="205">
        <v>886968398700</v>
      </c>
    </row>
    <row r="593" spans="1:7">
      <c r="A593" s="2102">
        <v>43516</v>
      </c>
      <c r="B593" s="211">
        <f t="shared" si="37"/>
        <v>2019</v>
      </c>
      <c r="C593" s="211">
        <f t="shared" si="38"/>
        <v>2</v>
      </c>
      <c r="D593" s="205">
        <v>8416020000000</v>
      </c>
      <c r="E593" s="205">
        <v>87576342500</v>
      </c>
      <c r="F593" s="205">
        <v>175080212500</v>
      </c>
      <c r="G593" s="205">
        <v>891172040400</v>
      </c>
    </row>
    <row r="594" spans="1:7">
      <c r="A594" s="2102">
        <v>43515</v>
      </c>
      <c r="B594" s="211">
        <f t="shared" si="37"/>
        <v>2019</v>
      </c>
      <c r="C594" s="211">
        <f t="shared" si="38"/>
        <v>2</v>
      </c>
      <c r="D594" s="205">
        <v>8217885000000</v>
      </c>
      <c r="E594" s="205">
        <v>88403835500</v>
      </c>
      <c r="F594" s="205">
        <v>173618775000</v>
      </c>
      <c r="G594" s="205">
        <v>818308917600</v>
      </c>
    </row>
    <row r="595" spans="1:7">
      <c r="A595" s="2102">
        <v>43514</v>
      </c>
      <c r="B595" s="211">
        <f t="shared" si="37"/>
        <v>2019</v>
      </c>
      <c r="C595" s="211">
        <f t="shared" si="38"/>
        <v>2</v>
      </c>
      <c r="D595" s="205">
        <v>8199015000000</v>
      </c>
      <c r="E595" s="205">
        <v>88955497500</v>
      </c>
      <c r="F595" s="205">
        <v>172449625000</v>
      </c>
      <c r="G595" s="205">
        <v>815506489800</v>
      </c>
    </row>
    <row r="596" spans="1:7">
      <c r="A596" s="2102">
        <v>43511</v>
      </c>
      <c r="B596" s="211">
        <f t="shared" si="37"/>
        <v>2019</v>
      </c>
      <c r="C596" s="211">
        <f t="shared" si="38"/>
        <v>2</v>
      </c>
      <c r="D596" s="205">
        <v>8170710000000</v>
      </c>
      <c r="E596" s="205">
        <v>87990089000</v>
      </c>
      <c r="F596" s="205">
        <v>170695900000</v>
      </c>
      <c r="G596" s="205">
        <v>805697992500</v>
      </c>
    </row>
    <row r="597" spans="1:7">
      <c r="A597" s="2102">
        <v>43510</v>
      </c>
      <c r="B597" s="211">
        <f t="shared" si="37"/>
        <v>2019</v>
      </c>
      <c r="C597" s="211">
        <f t="shared" si="38"/>
        <v>2</v>
      </c>
      <c r="D597" s="205">
        <v>8217885000000</v>
      </c>
      <c r="E597" s="205">
        <v>87024680500</v>
      </c>
      <c r="F597" s="205">
        <v>171572762500</v>
      </c>
      <c r="G597" s="205">
        <v>807099206400</v>
      </c>
    </row>
    <row r="598" spans="1:7">
      <c r="A598" s="2102">
        <v>43509</v>
      </c>
      <c r="B598" s="211">
        <f t="shared" si="37"/>
        <v>2019</v>
      </c>
      <c r="C598" s="211">
        <f t="shared" si="38"/>
        <v>2</v>
      </c>
      <c r="D598" s="205">
        <v>8132970000000</v>
      </c>
      <c r="E598" s="205">
        <v>88955497500</v>
      </c>
      <c r="F598" s="205">
        <v>174203350000</v>
      </c>
      <c r="G598" s="205">
        <v>804296778600</v>
      </c>
    </row>
    <row r="599" spans="1:7">
      <c r="A599" s="2102">
        <v>43508</v>
      </c>
      <c r="B599" s="211">
        <f t="shared" si="37"/>
        <v>2019</v>
      </c>
      <c r="C599" s="211">
        <f t="shared" si="38"/>
        <v>2</v>
      </c>
      <c r="D599" s="205">
        <v>8217885000000</v>
      </c>
      <c r="E599" s="205">
        <v>88265920000</v>
      </c>
      <c r="F599" s="205">
        <v>171865050000</v>
      </c>
      <c r="G599" s="205">
        <v>800093136900</v>
      </c>
    </row>
    <row r="600" spans="1:7">
      <c r="A600" s="2102">
        <v>43507</v>
      </c>
      <c r="B600" s="211">
        <f t="shared" si="37"/>
        <v>2019</v>
      </c>
      <c r="C600" s="211">
        <f t="shared" si="38"/>
        <v>2</v>
      </c>
      <c r="D600" s="205">
        <v>8170710000000</v>
      </c>
      <c r="E600" s="205">
        <v>86335103000</v>
      </c>
      <c r="F600" s="205">
        <v>171865050000</v>
      </c>
      <c r="G600" s="205">
        <v>797290709100</v>
      </c>
    </row>
    <row r="601" spans="1:7">
      <c r="A601" s="2102">
        <v>43504</v>
      </c>
      <c r="B601" s="211">
        <f t="shared" si="37"/>
        <v>2019</v>
      </c>
      <c r="C601" s="211">
        <f t="shared" si="38"/>
        <v>2</v>
      </c>
      <c r="D601" s="205">
        <v>8359410000000</v>
      </c>
      <c r="E601" s="205">
        <v>87576342500</v>
      </c>
      <c r="F601" s="205">
        <v>172741912500</v>
      </c>
      <c r="G601" s="205">
        <v>816907703700</v>
      </c>
    </row>
    <row r="602" spans="1:7">
      <c r="A602" s="2102">
        <v>43503</v>
      </c>
      <c r="B602" s="211">
        <f t="shared" si="37"/>
        <v>2019</v>
      </c>
      <c r="C602" s="211">
        <f t="shared" si="38"/>
        <v>2</v>
      </c>
      <c r="D602" s="205">
        <v>8453760000000</v>
      </c>
      <c r="E602" s="205">
        <v>87576342500</v>
      </c>
      <c r="F602" s="205">
        <v>172449625000</v>
      </c>
      <c r="G602" s="205">
        <v>849135623400</v>
      </c>
    </row>
    <row r="603" spans="1:7">
      <c r="A603" s="2102">
        <v>43497</v>
      </c>
      <c r="B603" s="211">
        <f t="shared" si="37"/>
        <v>2019</v>
      </c>
      <c r="C603" s="211">
        <f t="shared" si="38"/>
        <v>2</v>
      </c>
      <c r="D603" s="205">
        <v>8274495000000</v>
      </c>
      <c r="E603" s="205">
        <v>87162596000</v>
      </c>
      <c r="F603" s="205">
        <v>167188450000</v>
      </c>
      <c r="G603" s="205">
        <v>867351404100</v>
      </c>
    </row>
    <row r="604" spans="1:7">
      <c r="A604" s="2102">
        <v>43496</v>
      </c>
      <c r="B604" s="211">
        <f t="shared" si="37"/>
        <v>2019</v>
      </c>
      <c r="C604" s="211">
        <f t="shared" si="38"/>
        <v>1</v>
      </c>
      <c r="D604" s="205">
        <v>8312235000000</v>
      </c>
      <c r="E604" s="205">
        <v>86197187500</v>
      </c>
      <c r="F604" s="205">
        <v>164265575000</v>
      </c>
      <c r="G604" s="205">
        <v>854740479000</v>
      </c>
    </row>
    <row r="605" spans="1:7">
      <c r="A605" s="2102">
        <v>43495</v>
      </c>
      <c r="B605" s="211">
        <f t="shared" si="37"/>
        <v>2019</v>
      </c>
      <c r="C605" s="211">
        <f t="shared" si="38"/>
        <v>1</v>
      </c>
      <c r="D605" s="205">
        <v>8227320000000</v>
      </c>
      <c r="E605" s="205">
        <v>86335103000</v>
      </c>
      <c r="F605" s="205">
        <v>163681000000</v>
      </c>
      <c r="G605" s="205">
        <v>836524698300</v>
      </c>
    </row>
    <row r="606" spans="1:7">
      <c r="A606" s="2102">
        <v>43494</v>
      </c>
      <c r="B606" s="211">
        <f t="shared" si="37"/>
        <v>2019</v>
      </c>
      <c r="C606" s="211">
        <f t="shared" si="38"/>
        <v>1</v>
      </c>
      <c r="D606" s="205">
        <v>8161275000000</v>
      </c>
      <c r="E606" s="205">
        <v>88265920000</v>
      </c>
      <c r="F606" s="205">
        <v>166019300000</v>
      </c>
      <c r="G606" s="205">
        <v>818308917600</v>
      </c>
    </row>
    <row r="607" spans="1:7">
      <c r="A607" s="2102">
        <v>43493</v>
      </c>
      <c r="B607" s="211">
        <f t="shared" si="37"/>
        <v>2019</v>
      </c>
      <c r="C607" s="211">
        <f t="shared" si="38"/>
        <v>1</v>
      </c>
      <c r="D607" s="205">
        <v>8019750000000</v>
      </c>
      <c r="E607" s="205">
        <v>86335103000</v>
      </c>
      <c r="F607" s="205">
        <v>170111325000</v>
      </c>
      <c r="G607" s="205">
        <v>828117414900</v>
      </c>
    </row>
    <row r="608" spans="1:7">
      <c r="A608" s="2102">
        <v>43490</v>
      </c>
      <c r="B608" s="211">
        <f t="shared" si="37"/>
        <v>2019</v>
      </c>
      <c r="C608" s="211">
        <f t="shared" si="38"/>
        <v>1</v>
      </c>
      <c r="D608" s="205">
        <v>8066925000000</v>
      </c>
      <c r="E608" s="205">
        <v>86335103000</v>
      </c>
      <c r="F608" s="205">
        <v>170988187500</v>
      </c>
      <c r="G608" s="205">
        <v>826716201000</v>
      </c>
    </row>
    <row r="609" spans="1:7">
      <c r="A609" s="2102">
        <v>43489</v>
      </c>
      <c r="B609" s="211">
        <f t="shared" si="37"/>
        <v>2019</v>
      </c>
      <c r="C609" s="211">
        <f t="shared" si="38"/>
        <v>1</v>
      </c>
      <c r="D609" s="205">
        <v>7953705000000</v>
      </c>
      <c r="E609" s="205">
        <v>87714258000</v>
      </c>
      <c r="F609" s="205">
        <v>173618775000</v>
      </c>
      <c r="G609" s="205">
        <v>825314987100</v>
      </c>
    </row>
    <row r="610" spans="1:7">
      <c r="A610" s="2102">
        <v>43488</v>
      </c>
      <c r="B610" s="211">
        <f t="shared" si="37"/>
        <v>2019</v>
      </c>
      <c r="C610" s="211">
        <f t="shared" si="38"/>
        <v>1</v>
      </c>
      <c r="D610" s="205">
        <v>8142405000000</v>
      </c>
      <c r="E610" s="205">
        <v>86610934000</v>
      </c>
      <c r="F610" s="205">
        <v>170988187500</v>
      </c>
      <c r="G610" s="205">
        <v>830919842700</v>
      </c>
    </row>
    <row r="611" spans="1:7">
      <c r="A611" s="2102">
        <v>43487</v>
      </c>
      <c r="B611" s="211">
        <f t="shared" si="37"/>
        <v>2019</v>
      </c>
      <c r="C611" s="211">
        <f t="shared" si="38"/>
        <v>1</v>
      </c>
      <c r="D611" s="205">
        <v>8095230000000</v>
      </c>
      <c r="E611" s="205">
        <v>82611384500</v>
      </c>
      <c r="F611" s="205">
        <v>179172237500</v>
      </c>
      <c r="G611" s="205">
        <v>832321056600</v>
      </c>
    </row>
    <row r="612" spans="1:7">
      <c r="A612" s="2102">
        <v>43486</v>
      </c>
      <c r="B612" s="211">
        <f t="shared" si="37"/>
        <v>2019</v>
      </c>
      <c r="C612" s="211">
        <f t="shared" si="38"/>
        <v>1</v>
      </c>
      <c r="D612" s="205">
        <v>8132970000000</v>
      </c>
      <c r="E612" s="205">
        <v>82197638000</v>
      </c>
      <c r="F612" s="205">
        <v>182387400000</v>
      </c>
      <c r="G612" s="205">
        <v>853339265100</v>
      </c>
    </row>
    <row r="613" spans="1:7">
      <c r="A613" s="2102">
        <v>43483</v>
      </c>
      <c r="B613" s="211">
        <f t="shared" si="37"/>
        <v>2019</v>
      </c>
      <c r="C613" s="211">
        <f t="shared" si="38"/>
        <v>1</v>
      </c>
      <c r="D613" s="205">
        <v>8000880000000</v>
      </c>
      <c r="E613" s="205">
        <v>85231779000</v>
      </c>
      <c r="F613" s="205">
        <v>186187137500</v>
      </c>
      <c r="G613" s="205">
        <v>846333195600</v>
      </c>
    </row>
    <row r="614" spans="1:7">
      <c r="A614" s="2102">
        <v>43482</v>
      </c>
      <c r="B614" s="211">
        <f t="shared" si="37"/>
        <v>2019</v>
      </c>
      <c r="C614" s="211">
        <f t="shared" si="38"/>
        <v>1</v>
      </c>
      <c r="D614" s="205">
        <v>8019750000000</v>
      </c>
      <c r="E614" s="205">
        <v>84128455000</v>
      </c>
      <c r="F614" s="205">
        <v>194078900000</v>
      </c>
      <c r="G614" s="205">
        <v>816907703700</v>
      </c>
    </row>
    <row r="615" spans="1:7">
      <c r="A615" s="2102">
        <v>43481</v>
      </c>
      <c r="B615" s="211">
        <f t="shared" si="37"/>
        <v>2019</v>
      </c>
      <c r="C615" s="211">
        <f t="shared" si="38"/>
        <v>1</v>
      </c>
      <c r="D615" s="205">
        <v>8095230000000</v>
      </c>
      <c r="E615" s="205">
        <v>86335103000</v>
      </c>
      <c r="F615" s="205">
        <v>199047787500</v>
      </c>
      <c r="G615" s="205">
        <v>822512559300</v>
      </c>
    </row>
    <row r="616" spans="1:7">
      <c r="A616" s="2102">
        <v>43480</v>
      </c>
      <c r="B616" s="211">
        <f t="shared" si="37"/>
        <v>2019</v>
      </c>
      <c r="C616" s="211">
        <f t="shared" si="38"/>
        <v>1</v>
      </c>
      <c r="D616" s="205">
        <v>8189580000000</v>
      </c>
      <c r="E616" s="205">
        <v>83576793000</v>
      </c>
      <c r="F616" s="205">
        <v>192325175000</v>
      </c>
      <c r="G616" s="205">
        <v>821111345400</v>
      </c>
    </row>
    <row r="617" spans="1:7">
      <c r="A617" s="2102">
        <v>43479</v>
      </c>
      <c r="B617" s="211">
        <f t="shared" si="37"/>
        <v>2019</v>
      </c>
      <c r="C617" s="211">
        <f t="shared" si="38"/>
        <v>1</v>
      </c>
      <c r="D617" s="205">
        <v>8189580000000</v>
      </c>
      <c r="E617" s="205">
        <v>83025131000</v>
      </c>
      <c r="F617" s="205">
        <v>182679687500</v>
      </c>
      <c r="G617" s="205">
        <v>801494350800</v>
      </c>
    </row>
    <row r="618" spans="1:7">
      <c r="A618" s="2102">
        <v>43476</v>
      </c>
      <c r="B618" s="211">
        <f t="shared" si="37"/>
        <v>2019</v>
      </c>
      <c r="C618" s="211">
        <f t="shared" si="38"/>
        <v>1</v>
      </c>
      <c r="D618" s="205">
        <v>8453760000000</v>
      </c>
      <c r="E618" s="205">
        <v>77922257500</v>
      </c>
      <c r="F618" s="205">
        <v>169234462500</v>
      </c>
      <c r="G618" s="205">
        <v>825314987100</v>
      </c>
    </row>
    <row r="619" spans="1:7">
      <c r="A619" s="2102">
        <v>43475</v>
      </c>
      <c r="B619" s="211">
        <f t="shared" si="37"/>
        <v>2019</v>
      </c>
      <c r="C619" s="211">
        <f t="shared" si="38"/>
        <v>1</v>
      </c>
      <c r="D619" s="205">
        <v>8444325000000</v>
      </c>
      <c r="E619" s="205">
        <v>74750201000</v>
      </c>
      <c r="F619" s="205">
        <v>163388712500</v>
      </c>
      <c r="G619" s="205">
        <v>826716201000</v>
      </c>
    </row>
    <row r="620" spans="1:7">
      <c r="A620" s="2102">
        <v>43474</v>
      </c>
      <c r="B620" s="211">
        <f t="shared" si="37"/>
        <v>2019</v>
      </c>
      <c r="C620" s="211">
        <f t="shared" si="38"/>
        <v>1</v>
      </c>
      <c r="D620" s="205">
        <v>8340540000000</v>
      </c>
      <c r="E620" s="205">
        <v>74750201000</v>
      </c>
      <c r="F620" s="205">
        <v>163681000000</v>
      </c>
      <c r="G620" s="205">
        <v>818308917600</v>
      </c>
    </row>
    <row r="621" spans="1:7">
      <c r="A621" s="2102">
        <v>43473</v>
      </c>
      <c r="B621" s="211">
        <f t="shared" si="37"/>
        <v>2019</v>
      </c>
      <c r="C621" s="211">
        <f t="shared" si="38"/>
        <v>1</v>
      </c>
      <c r="D621" s="205">
        <v>8387715000000</v>
      </c>
      <c r="E621" s="205">
        <v>72267722000</v>
      </c>
      <c r="F621" s="205">
        <v>163973287500</v>
      </c>
      <c r="G621" s="205">
        <v>774871286700</v>
      </c>
    </row>
    <row r="622" spans="1:7">
      <c r="A622" s="2102">
        <v>43472</v>
      </c>
      <c r="B622" s="211">
        <f t="shared" si="37"/>
        <v>2019</v>
      </c>
      <c r="C622" s="211">
        <f t="shared" si="38"/>
        <v>1</v>
      </c>
      <c r="D622" s="205">
        <v>8321670000000</v>
      </c>
      <c r="E622" s="205">
        <v>71716060000</v>
      </c>
      <c r="F622" s="205">
        <v>164850150000</v>
      </c>
      <c r="G622" s="205">
        <v>777673714500</v>
      </c>
    </row>
    <row r="623" spans="1:7">
      <c r="A623" s="2102">
        <v>43469</v>
      </c>
      <c r="B623" s="211">
        <f t="shared" si="37"/>
        <v>2019</v>
      </c>
      <c r="C623" s="211">
        <f t="shared" si="38"/>
        <v>1</v>
      </c>
      <c r="D623" s="205">
        <v>8557545000000</v>
      </c>
      <c r="E623" s="205">
        <v>71164398000</v>
      </c>
      <c r="F623" s="205">
        <v>160758125000</v>
      </c>
      <c r="G623" s="205">
        <v>739840939200</v>
      </c>
    </row>
    <row r="624" spans="1:7">
      <c r="A624" s="2102">
        <v>43468</v>
      </c>
      <c r="B624" s="211">
        <f t="shared" si="37"/>
        <v>2019</v>
      </c>
      <c r="C624" s="211">
        <f t="shared" si="38"/>
        <v>1</v>
      </c>
      <c r="D624" s="205">
        <v>8331105000000</v>
      </c>
      <c r="E624" s="205">
        <v>71440229000</v>
      </c>
      <c r="F624" s="205">
        <v>160173550000</v>
      </c>
      <c r="G624" s="205">
        <v>741242153100</v>
      </c>
    </row>
    <row r="625" spans="1:7">
      <c r="A625" s="2102">
        <v>43467</v>
      </c>
      <c r="B625" s="211">
        <f t="shared" si="37"/>
        <v>2019</v>
      </c>
      <c r="C625" s="211">
        <f t="shared" si="38"/>
        <v>1</v>
      </c>
      <c r="D625" s="205">
        <v>8000880000000</v>
      </c>
      <c r="E625" s="205">
        <v>71440229000</v>
      </c>
      <c r="F625" s="205">
        <v>160173550000</v>
      </c>
      <c r="G625" s="205">
        <v>744044580900</v>
      </c>
    </row>
    <row r="626" spans="1:7">
      <c r="A626" s="2102">
        <v>43462</v>
      </c>
      <c r="B626" s="211">
        <f t="shared" si="37"/>
        <v>2018</v>
      </c>
      <c r="C626" s="211">
        <f t="shared" si="38"/>
        <v>12</v>
      </c>
      <c r="D626" s="205">
        <v>8161275000000</v>
      </c>
      <c r="E626" s="205">
        <v>71716060000</v>
      </c>
      <c r="F626" s="205">
        <v>163096425000</v>
      </c>
      <c r="G626" s="205">
        <v>766464003300</v>
      </c>
    </row>
    <row r="627" spans="1:7">
      <c r="A627" s="2102">
        <v>43461</v>
      </c>
      <c r="B627" s="211">
        <f t="shared" si="37"/>
        <v>2018</v>
      </c>
      <c r="C627" s="211">
        <f t="shared" si="38"/>
        <v>12</v>
      </c>
      <c r="D627" s="205">
        <v>8359410000000</v>
      </c>
      <c r="E627" s="205">
        <v>71302313500</v>
      </c>
      <c r="F627" s="205">
        <v>163388712500</v>
      </c>
      <c r="G627" s="205">
        <v>763661575500</v>
      </c>
    </row>
    <row r="628" spans="1:7">
      <c r="A628" s="2102">
        <v>43460</v>
      </c>
      <c r="B628" s="211">
        <f t="shared" si="37"/>
        <v>2018</v>
      </c>
      <c r="C628" s="211">
        <f t="shared" si="38"/>
        <v>12</v>
      </c>
      <c r="D628" s="205">
        <v>8368845000000</v>
      </c>
      <c r="E628" s="205">
        <v>71991891000</v>
      </c>
      <c r="F628" s="205">
        <v>165142437500</v>
      </c>
      <c r="G628" s="205">
        <v>746847008700</v>
      </c>
    </row>
    <row r="629" spans="1:7">
      <c r="A629" s="2102">
        <v>43458</v>
      </c>
      <c r="B629" s="211">
        <f t="shared" si="37"/>
        <v>2018</v>
      </c>
      <c r="C629" s="211">
        <f t="shared" si="38"/>
        <v>12</v>
      </c>
      <c r="D629" s="205">
        <v>8463195000000</v>
      </c>
      <c r="E629" s="205">
        <v>73095215000</v>
      </c>
      <c r="F629" s="205">
        <v>166019300000</v>
      </c>
      <c r="G629" s="205">
        <v>774871286700</v>
      </c>
    </row>
    <row r="630" spans="1:7">
      <c r="A630" s="2102">
        <v>43455</v>
      </c>
      <c r="B630" s="211">
        <f t="shared" si="37"/>
        <v>2018</v>
      </c>
      <c r="C630" s="211">
        <f t="shared" si="38"/>
        <v>12</v>
      </c>
      <c r="D630" s="205">
        <v>8255625000000</v>
      </c>
      <c r="E630" s="205">
        <v>73371046000</v>
      </c>
      <c r="F630" s="205">
        <v>166896162500</v>
      </c>
      <c r="G630" s="205">
        <v>770667645000</v>
      </c>
    </row>
    <row r="631" spans="1:7">
      <c r="A631" s="2102">
        <v>43454</v>
      </c>
      <c r="B631" s="211">
        <f t="shared" si="37"/>
        <v>2018</v>
      </c>
      <c r="C631" s="211">
        <f t="shared" si="38"/>
        <v>12</v>
      </c>
      <c r="D631" s="205">
        <v>8482065000000</v>
      </c>
      <c r="E631" s="205">
        <v>73784792500</v>
      </c>
      <c r="F631" s="205">
        <v>166603875000</v>
      </c>
      <c r="G631" s="205">
        <v>790284639600</v>
      </c>
    </row>
    <row r="632" spans="1:7">
      <c r="A632" s="2102">
        <v>43453</v>
      </c>
      <c r="B632" s="211">
        <f t="shared" si="37"/>
        <v>2018</v>
      </c>
      <c r="C632" s="211">
        <f t="shared" si="38"/>
        <v>12</v>
      </c>
      <c r="D632" s="205">
        <v>8510370000000</v>
      </c>
      <c r="E632" s="205">
        <v>74612285500</v>
      </c>
      <c r="F632" s="205">
        <v>166896162500</v>
      </c>
      <c r="G632" s="205">
        <v>783278570100</v>
      </c>
    </row>
    <row r="633" spans="1:7">
      <c r="A633" s="2102">
        <v>43452</v>
      </c>
      <c r="B633" s="211">
        <f t="shared" si="37"/>
        <v>2018</v>
      </c>
      <c r="C633" s="211">
        <f t="shared" si="38"/>
        <v>12</v>
      </c>
      <c r="D633" s="205">
        <v>8472630000000</v>
      </c>
      <c r="E633" s="205">
        <v>74198539000</v>
      </c>
      <c r="F633" s="205">
        <v>166896162500</v>
      </c>
      <c r="G633" s="205">
        <v>801494350800</v>
      </c>
    </row>
    <row r="634" spans="1:7">
      <c r="A634" s="2102">
        <v>43451</v>
      </c>
      <c r="B634" s="211">
        <f t="shared" si="37"/>
        <v>2018</v>
      </c>
      <c r="C634" s="211">
        <f t="shared" si="38"/>
        <v>12</v>
      </c>
      <c r="D634" s="205">
        <v>8406585000000</v>
      </c>
      <c r="E634" s="205">
        <v>75577694000</v>
      </c>
      <c r="F634" s="205">
        <v>167188450000</v>
      </c>
      <c r="G634" s="205">
        <v>818308917600</v>
      </c>
    </row>
    <row r="635" spans="1:7">
      <c r="A635" s="2102">
        <v>43448</v>
      </c>
      <c r="B635" s="211">
        <f t="shared" si="37"/>
        <v>2018</v>
      </c>
      <c r="C635" s="211">
        <f t="shared" si="38"/>
        <v>12</v>
      </c>
      <c r="D635" s="205">
        <v>8463195000000</v>
      </c>
      <c r="E635" s="205">
        <v>75577694000</v>
      </c>
      <c r="F635" s="205">
        <v>167773025000</v>
      </c>
      <c r="G635" s="205">
        <v>793087067400</v>
      </c>
    </row>
    <row r="636" spans="1:7">
      <c r="A636" s="2102">
        <v>43447</v>
      </c>
      <c r="B636" s="211">
        <f t="shared" si="37"/>
        <v>2018</v>
      </c>
      <c r="C636" s="211">
        <f t="shared" si="38"/>
        <v>12</v>
      </c>
      <c r="D636" s="205">
        <v>8557545000000</v>
      </c>
      <c r="E636" s="205">
        <v>76543102500</v>
      </c>
      <c r="F636" s="205">
        <v>168065312500</v>
      </c>
      <c r="G636" s="205">
        <v>790284639600</v>
      </c>
    </row>
    <row r="637" spans="1:7">
      <c r="A637" s="2102">
        <v>43446</v>
      </c>
      <c r="B637" s="211">
        <f t="shared" si="37"/>
        <v>2018</v>
      </c>
      <c r="C637" s="211">
        <f t="shared" si="38"/>
        <v>12</v>
      </c>
      <c r="D637" s="205">
        <v>8349975000000</v>
      </c>
      <c r="E637" s="205">
        <v>74888116500</v>
      </c>
      <c r="F637" s="205">
        <v>165727012500</v>
      </c>
      <c r="G637" s="205">
        <v>752451864300</v>
      </c>
    </row>
    <row r="638" spans="1:7">
      <c r="A638" s="2102">
        <v>43445</v>
      </c>
      <c r="B638" s="211">
        <f t="shared" si="37"/>
        <v>2018</v>
      </c>
      <c r="C638" s="211">
        <f t="shared" si="38"/>
        <v>12</v>
      </c>
      <c r="D638" s="205">
        <v>8349975000000</v>
      </c>
      <c r="E638" s="205">
        <v>74198539000</v>
      </c>
      <c r="F638" s="205">
        <v>166603875000</v>
      </c>
      <c r="G638" s="205">
        <v>738439725300</v>
      </c>
    </row>
    <row r="639" spans="1:7">
      <c r="A639" s="2102">
        <v>43444</v>
      </c>
      <c r="B639" s="211">
        <f t="shared" si="37"/>
        <v>2018</v>
      </c>
      <c r="C639" s="211">
        <f t="shared" si="38"/>
        <v>12</v>
      </c>
      <c r="D639" s="205">
        <v>8368845000000</v>
      </c>
      <c r="E639" s="205">
        <v>76405187000</v>
      </c>
      <c r="F639" s="205">
        <v>165727012500</v>
      </c>
      <c r="G639" s="205">
        <v>739840939200</v>
      </c>
    </row>
    <row r="640" spans="1:7">
      <c r="A640" s="2102">
        <v>43441</v>
      </c>
      <c r="B640" s="211">
        <f t="shared" si="37"/>
        <v>2018</v>
      </c>
      <c r="C640" s="211">
        <f t="shared" si="38"/>
        <v>12</v>
      </c>
      <c r="D640" s="205">
        <v>8180145000000</v>
      </c>
      <c r="E640" s="205">
        <v>77094764500</v>
      </c>
      <c r="F640" s="205">
        <v>166311587500</v>
      </c>
      <c r="G640" s="205">
        <v>767865217200</v>
      </c>
    </row>
    <row r="641" spans="1:7">
      <c r="A641" s="2102">
        <v>43440</v>
      </c>
      <c r="B641" s="211">
        <f t="shared" si="37"/>
        <v>2018</v>
      </c>
      <c r="C641" s="211">
        <f t="shared" si="38"/>
        <v>12</v>
      </c>
      <c r="D641" s="205">
        <v>8246190000000</v>
      </c>
      <c r="E641" s="205">
        <v>76818933500</v>
      </c>
      <c r="F641" s="205">
        <v>164557862500</v>
      </c>
      <c r="G641" s="205">
        <v>774871286700</v>
      </c>
    </row>
    <row r="642" spans="1:7">
      <c r="A642" s="2102">
        <v>43439</v>
      </c>
      <c r="B642" s="211">
        <f t="shared" si="37"/>
        <v>2018</v>
      </c>
      <c r="C642" s="211">
        <f t="shared" si="38"/>
        <v>12</v>
      </c>
      <c r="D642" s="205">
        <v>8274495000000</v>
      </c>
      <c r="E642" s="205">
        <v>77784342000</v>
      </c>
      <c r="F642" s="205">
        <v>167480737500</v>
      </c>
      <c r="G642" s="205">
        <v>788883425700</v>
      </c>
    </row>
    <row r="643" spans="1:7">
      <c r="A643" s="2102">
        <v>43438</v>
      </c>
      <c r="B643" s="211">
        <f t="shared" si="37"/>
        <v>2018</v>
      </c>
      <c r="C643" s="211">
        <f t="shared" si="38"/>
        <v>12</v>
      </c>
      <c r="D643" s="205">
        <v>8293365000000</v>
      </c>
      <c r="E643" s="205">
        <v>78336004000</v>
      </c>
      <c r="F643" s="205">
        <v>167773025000</v>
      </c>
      <c r="G643" s="205">
        <v>814105275900</v>
      </c>
    </row>
    <row r="644" spans="1:7">
      <c r="A644" s="2102">
        <v>43437</v>
      </c>
      <c r="B644" s="211">
        <f t="shared" si="37"/>
        <v>2018</v>
      </c>
      <c r="C644" s="211">
        <f t="shared" si="38"/>
        <v>12</v>
      </c>
      <c r="D644" s="205">
        <v>8161275000000</v>
      </c>
      <c r="E644" s="205">
        <v>77508511000</v>
      </c>
      <c r="F644" s="205">
        <v>168649887500</v>
      </c>
      <c r="G644" s="205">
        <v>825314987100</v>
      </c>
    </row>
    <row r="645" spans="1:7">
      <c r="A645" s="2102">
        <v>43434</v>
      </c>
      <c r="B645" s="211">
        <f t="shared" si="37"/>
        <v>2018</v>
      </c>
      <c r="C645" s="211">
        <f t="shared" si="38"/>
        <v>11</v>
      </c>
      <c r="D645" s="205">
        <v>8029185000000</v>
      </c>
      <c r="E645" s="205">
        <v>74336454500</v>
      </c>
      <c r="F645" s="205">
        <v>166019300000</v>
      </c>
      <c r="G645" s="205">
        <v>788883425700</v>
      </c>
    </row>
    <row r="646" spans="1:7">
      <c r="A646" s="2102">
        <v>43433</v>
      </c>
      <c r="B646" s="211">
        <f t="shared" si="37"/>
        <v>2018</v>
      </c>
      <c r="C646" s="211">
        <f t="shared" si="38"/>
        <v>11</v>
      </c>
      <c r="D646" s="205">
        <v>8180145000000</v>
      </c>
      <c r="E646" s="205">
        <v>74474370000</v>
      </c>
      <c r="F646" s="205">
        <v>165727012500</v>
      </c>
      <c r="G646" s="205">
        <v>793087067400</v>
      </c>
    </row>
    <row r="647" spans="1:7">
      <c r="A647" s="2102">
        <v>43432</v>
      </c>
      <c r="B647" s="211">
        <f t="shared" si="37"/>
        <v>2018</v>
      </c>
      <c r="C647" s="211">
        <f t="shared" si="38"/>
        <v>11</v>
      </c>
      <c r="D647" s="205">
        <v>8000880000000</v>
      </c>
      <c r="E647" s="205">
        <v>73784792500</v>
      </c>
      <c r="F647" s="205">
        <v>166311587500</v>
      </c>
      <c r="G647" s="205">
        <v>752451864300</v>
      </c>
    </row>
    <row r="648" spans="1:7">
      <c r="A648" s="2102">
        <v>43431</v>
      </c>
      <c r="B648" s="211">
        <f t="shared" si="37"/>
        <v>2018</v>
      </c>
      <c r="C648" s="211">
        <f t="shared" si="38"/>
        <v>11</v>
      </c>
      <c r="D648" s="205">
        <v>8170710000000</v>
      </c>
      <c r="E648" s="205">
        <v>74198539000</v>
      </c>
      <c r="F648" s="205">
        <v>164850150000</v>
      </c>
      <c r="G648" s="205">
        <v>756655506000</v>
      </c>
    </row>
    <row r="649" spans="1:7">
      <c r="A649" s="2102">
        <v>43430</v>
      </c>
      <c r="B649" s="211">
        <f t="shared" si="37"/>
        <v>2018</v>
      </c>
      <c r="C649" s="211">
        <f t="shared" si="38"/>
        <v>11</v>
      </c>
      <c r="D649" s="205">
        <v>8142405000000</v>
      </c>
      <c r="E649" s="205">
        <v>74474370000</v>
      </c>
      <c r="F649" s="205">
        <v>163973287500</v>
      </c>
      <c r="G649" s="205">
        <v>760859147700</v>
      </c>
    </row>
    <row r="650" spans="1:7">
      <c r="A650" s="2102">
        <v>43427</v>
      </c>
      <c r="B650" s="211">
        <f t="shared" ref="B650:B713" si="39">YEAR(A650)</f>
        <v>2018</v>
      </c>
      <c r="C650" s="211">
        <f t="shared" ref="C650:C713" si="40">MONTH(A650)</f>
        <v>11</v>
      </c>
      <c r="D650" s="205">
        <v>8283930000000</v>
      </c>
      <c r="E650" s="205">
        <v>73371046000</v>
      </c>
      <c r="F650" s="205">
        <v>162511850000</v>
      </c>
      <c r="G650" s="205">
        <v>752451864300</v>
      </c>
    </row>
    <row r="651" spans="1:7">
      <c r="A651" s="2102">
        <v>43426</v>
      </c>
      <c r="B651" s="211">
        <f t="shared" si="39"/>
        <v>2018</v>
      </c>
      <c r="C651" s="211">
        <f t="shared" si="40"/>
        <v>11</v>
      </c>
      <c r="D651" s="205">
        <v>8312235000000</v>
      </c>
      <c r="E651" s="205">
        <v>73371046000</v>
      </c>
      <c r="F651" s="205">
        <v>162511850000</v>
      </c>
      <c r="G651" s="205">
        <v>753853078200</v>
      </c>
    </row>
    <row r="652" spans="1:7">
      <c r="A652" s="2102">
        <v>43425</v>
      </c>
      <c r="B652" s="211">
        <f t="shared" si="39"/>
        <v>2018</v>
      </c>
      <c r="C652" s="211">
        <f t="shared" si="40"/>
        <v>11</v>
      </c>
      <c r="D652" s="205">
        <v>8340540000000</v>
      </c>
      <c r="E652" s="205">
        <v>74060623500</v>
      </c>
      <c r="F652" s="205">
        <v>162511850000</v>
      </c>
      <c r="G652" s="205">
        <v>763661575500</v>
      </c>
    </row>
    <row r="653" spans="1:7">
      <c r="A653" s="2102">
        <v>43424</v>
      </c>
      <c r="B653" s="211">
        <f t="shared" si="39"/>
        <v>2018</v>
      </c>
      <c r="C653" s="211">
        <f t="shared" si="40"/>
        <v>11</v>
      </c>
      <c r="D653" s="205">
        <v>8265060000000</v>
      </c>
      <c r="E653" s="205">
        <v>73095215000</v>
      </c>
      <c r="F653" s="205">
        <v>165142437500</v>
      </c>
      <c r="G653" s="205">
        <v>749649436500</v>
      </c>
    </row>
    <row r="654" spans="1:7">
      <c r="A654" s="2102">
        <v>43423</v>
      </c>
      <c r="B654" s="211">
        <f t="shared" si="39"/>
        <v>2018</v>
      </c>
      <c r="C654" s="211">
        <f t="shared" si="40"/>
        <v>11</v>
      </c>
      <c r="D654" s="205">
        <v>8236755000000</v>
      </c>
      <c r="E654" s="205">
        <v>75026032000</v>
      </c>
      <c r="F654" s="205">
        <v>164265575000</v>
      </c>
      <c r="G654" s="205">
        <v>767865217200</v>
      </c>
    </row>
    <row r="655" spans="1:7">
      <c r="A655" s="2102">
        <v>43420</v>
      </c>
      <c r="B655" s="211">
        <f t="shared" si="39"/>
        <v>2018</v>
      </c>
      <c r="C655" s="211">
        <f t="shared" si="40"/>
        <v>11</v>
      </c>
      <c r="D655" s="205">
        <v>8189580000000</v>
      </c>
      <c r="E655" s="205">
        <v>73371046000</v>
      </c>
      <c r="F655" s="205">
        <v>159296687500</v>
      </c>
      <c r="G655" s="205">
        <v>763661575500</v>
      </c>
    </row>
    <row r="656" spans="1:7">
      <c r="A656" s="2102">
        <v>43419</v>
      </c>
      <c r="B656" s="211">
        <f t="shared" si="39"/>
        <v>2018</v>
      </c>
      <c r="C656" s="211">
        <f t="shared" si="40"/>
        <v>11</v>
      </c>
      <c r="D656" s="205">
        <v>8199015000000</v>
      </c>
      <c r="E656" s="205">
        <v>74474370000</v>
      </c>
      <c r="F656" s="205">
        <v>159296687500</v>
      </c>
      <c r="G656" s="205">
        <v>759457933800</v>
      </c>
    </row>
    <row r="657" spans="1:7">
      <c r="A657" s="2102">
        <v>43418</v>
      </c>
      <c r="B657" s="211">
        <f t="shared" si="39"/>
        <v>2018</v>
      </c>
      <c r="C657" s="211">
        <f t="shared" si="40"/>
        <v>11</v>
      </c>
      <c r="D657" s="205">
        <v>8142405000000</v>
      </c>
      <c r="E657" s="205">
        <v>73371046000</v>
      </c>
      <c r="F657" s="205">
        <v>162219562500</v>
      </c>
      <c r="G657" s="205">
        <v>753853078200</v>
      </c>
    </row>
    <row r="658" spans="1:7">
      <c r="A658" s="2102">
        <v>43417</v>
      </c>
      <c r="B658" s="211">
        <f t="shared" si="39"/>
        <v>2018</v>
      </c>
      <c r="C658" s="211">
        <f t="shared" si="40"/>
        <v>11</v>
      </c>
      <c r="D658" s="205">
        <v>8038620000000</v>
      </c>
      <c r="E658" s="205">
        <v>73233130500</v>
      </c>
      <c r="F658" s="205">
        <v>161050412500</v>
      </c>
      <c r="G658" s="205">
        <v>753853078200</v>
      </c>
    </row>
    <row r="659" spans="1:7">
      <c r="A659" s="2102">
        <v>43416</v>
      </c>
      <c r="B659" s="211">
        <f t="shared" si="39"/>
        <v>2018</v>
      </c>
      <c r="C659" s="211">
        <f t="shared" si="40"/>
        <v>11</v>
      </c>
      <c r="D659" s="205">
        <v>7727265000000</v>
      </c>
      <c r="E659" s="205">
        <v>73233130500</v>
      </c>
      <c r="F659" s="205">
        <v>164265575000</v>
      </c>
      <c r="G659" s="205">
        <v>751050650400</v>
      </c>
    </row>
    <row r="660" spans="1:7">
      <c r="A660" s="2102">
        <v>43413</v>
      </c>
      <c r="B660" s="211">
        <f t="shared" si="39"/>
        <v>2018</v>
      </c>
      <c r="C660" s="211">
        <f t="shared" si="40"/>
        <v>11</v>
      </c>
      <c r="D660" s="205">
        <v>7632915000000</v>
      </c>
      <c r="E660" s="205">
        <v>73922708000</v>
      </c>
      <c r="F660" s="205">
        <v>166896162500</v>
      </c>
      <c r="G660" s="205">
        <v>745445794800</v>
      </c>
    </row>
    <row r="661" spans="1:7">
      <c r="A661" s="2102">
        <v>43412</v>
      </c>
      <c r="B661" s="211">
        <f t="shared" si="39"/>
        <v>2018</v>
      </c>
      <c r="C661" s="211">
        <f t="shared" si="40"/>
        <v>11</v>
      </c>
      <c r="D661" s="205">
        <v>7576305000000</v>
      </c>
      <c r="E661" s="205">
        <v>73371046000</v>
      </c>
      <c r="F661" s="205">
        <v>161927275000</v>
      </c>
      <c r="G661" s="205">
        <v>731433655800</v>
      </c>
    </row>
    <row r="662" spans="1:7">
      <c r="A662" s="2102">
        <v>43411</v>
      </c>
      <c r="B662" s="211">
        <f t="shared" si="39"/>
        <v>2018</v>
      </c>
      <c r="C662" s="211">
        <f t="shared" si="40"/>
        <v>11</v>
      </c>
      <c r="D662" s="205">
        <v>7481955000000</v>
      </c>
      <c r="E662" s="205">
        <v>72543553000</v>
      </c>
      <c r="F662" s="205">
        <v>158127537500</v>
      </c>
      <c r="G662" s="205">
        <v>714619089000</v>
      </c>
    </row>
    <row r="663" spans="1:7">
      <c r="A663" s="2102">
        <v>43410</v>
      </c>
      <c r="B663" s="211">
        <f t="shared" si="39"/>
        <v>2018</v>
      </c>
      <c r="C663" s="211">
        <f t="shared" si="40"/>
        <v>11</v>
      </c>
      <c r="D663" s="205">
        <v>7472520000000</v>
      </c>
      <c r="E663" s="205">
        <v>72129806500</v>
      </c>
      <c r="F663" s="205">
        <v>154327800000</v>
      </c>
      <c r="G663" s="205">
        <v>751050650400</v>
      </c>
    </row>
    <row r="664" spans="1:7">
      <c r="A664" s="2102">
        <v>43409</v>
      </c>
      <c r="B664" s="211">
        <f t="shared" si="39"/>
        <v>2018</v>
      </c>
      <c r="C664" s="211">
        <f t="shared" si="40"/>
        <v>11</v>
      </c>
      <c r="D664" s="205">
        <v>7349865000000</v>
      </c>
      <c r="E664" s="205">
        <v>72543553000</v>
      </c>
      <c r="F664" s="205">
        <v>155204662500</v>
      </c>
      <c r="G664" s="205">
        <v>745445794800</v>
      </c>
    </row>
    <row r="665" spans="1:7">
      <c r="A665" s="2102">
        <v>43406</v>
      </c>
      <c r="B665" s="211">
        <f t="shared" si="39"/>
        <v>2018</v>
      </c>
      <c r="C665" s="211">
        <f t="shared" si="40"/>
        <v>11</v>
      </c>
      <c r="D665" s="205">
        <v>7453650000000</v>
      </c>
      <c r="E665" s="205">
        <v>72957299500</v>
      </c>
      <c r="F665" s="205">
        <v>161927275000</v>
      </c>
      <c r="G665" s="205">
        <v>725828800200</v>
      </c>
    </row>
    <row r="666" spans="1:7">
      <c r="A666" s="2102">
        <v>43405</v>
      </c>
      <c r="B666" s="211">
        <f t="shared" si="39"/>
        <v>2018</v>
      </c>
      <c r="C666" s="211">
        <f t="shared" si="40"/>
        <v>11</v>
      </c>
      <c r="D666" s="205">
        <v>7066815000000</v>
      </c>
      <c r="E666" s="205">
        <v>70888567000</v>
      </c>
      <c r="F666" s="205">
        <v>156958387500</v>
      </c>
      <c r="G666" s="205">
        <v>680989955400</v>
      </c>
    </row>
    <row r="667" spans="1:7">
      <c r="A667" s="2102">
        <v>43404</v>
      </c>
      <c r="B667" s="211">
        <f t="shared" si="39"/>
        <v>2018</v>
      </c>
      <c r="C667" s="211">
        <f t="shared" si="40"/>
        <v>10</v>
      </c>
      <c r="D667" s="205">
        <v>7151730000000</v>
      </c>
      <c r="E667" s="205">
        <v>69785243000</v>
      </c>
      <c r="F667" s="205">
        <v>151989500000</v>
      </c>
      <c r="G667" s="205">
        <v>676786313700</v>
      </c>
    </row>
    <row r="668" spans="1:7">
      <c r="A668" s="2102">
        <v>43403</v>
      </c>
      <c r="B668" s="211">
        <f t="shared" si="39"/>
        <v>2018</v>
      </c>
      <c r="C668" s="211">
        <f t="shared" si="40"/>
        <v>10</v>
      </c>
      <c r="D668" s="205">
        <v>7293255000000</v>
      </c>
      <c r="E668" s="205">
        <v>69371496500</v>
      </c>
      <c r="F668" s="205">
        <v>151112637500</v>
      </c>
      <c r="G668" s="205">
        <v>659971746900</v>
      </c>
    </row>
    <row r="669" spans="1:7">
      <c r="A669" s="2102">
        <v>43402</v>
      </c>
      <c r="B669" s="211">
        <f t="shared" si="39"/>
        <v>2018</v>
      </c>
      <c r="C669" s="211">
        <f t="shared" si="40"/>
        <v>10</v>
      </c>
      <c r="D669" s="205">
        <v>7368735000000</v>
      </c>
      <c r="E669" s="205">
        <v>66199440000</v>
      </c>
      <c r="F669" s="205">
        <v>145705318750</v>
      </c>
      <c r="G669" s="205">
        <v>661372960800</v>
      </c>
    </row>
    <row r="670" spans="1:7">
      <c r="A670" s="2102">
        <v>43399</v>
      </c>
      <c r="B670" s="211">
        <f t="shared" si="39"/>
        <v>2018</v>
      </c>
      <c r="C670" s="211">
        <f t="shared" si="40"/>
        <v>10</v>
      </c>
      <c r="D670" s="205">
        <v>7274385000000</v>
      </c>
      <c r="E670" s="205">
        <v>71991891000</v>
      </c>
      <c r="F670" s="205">
        <v>149943487500</v>
      </c>
      <c r="G670" s="205">
        <v>696403308300</v>
      </c>
    </row>
    <row r="671" spans="1:7">
      <c r="A671" s="2102">
        <v>43398</v>
      </c>
      <c r="B671" s="211">
        <f t="shared" si="39"/>
        <v>2018</v>
      </c>
      <c r="C671" s="211">
        <f t="shared" si="40"/>
        <v>10</v>
      </c>
      <c r="D671" s="205">
        <v>7500825000000</v>
      </c>
      <c r="E671" s="205">
        <v>71578144500</v>
      </c>
      <c r="F671" s="205">
        <v>149943487500</v>
      </c>
      <c r="G671" s="205">
        <v>720223944600</v>
      </c>
    </row>
    <row r="672" spans="1:7">
      <c r="A672" s="2102">
        <v>43397</v>
      </c>
      <c r="B672" s="211">
        <f t="shared" si="39"/>
        <v>2018</v>
      </c>
      <c r="C672" s="211">
        <f t="shared" si="40"/>
        <v>10</v>
      </c>
      <c r="D672" s="205">
        <v>7425345000000</v>
      </c>
      <c r="E672" s="205">
        <v>73784792500</v>
      </c>
      <c r="F672" s="205">
        <v>154327800000</v>
      </c>
      <c r="G672" s="205">
        <v>742643367000</v>
      </c>
    </row>
    <row r="673" spans="1:7">
      <c r="A673" s="2102">
        <v>43396</v>
      </c>
      <c r="B673" s="211">
        <f t="shared" si="39"/>
        <v>2018</v>
      </c>
      <c r="C673" s="211">
        <f t="shared" si="40"/>
        <v>10</v>
      </c>
      <c r="D673" s="205">
        <v>7359300000000</v>
      </c>
      <c r="E673" s="205">
        <v>75026032000</v>
      </c>
      <c r="F673" s="205">
        <v>156666100000</v>
      </c>
      <c r="G673" s="205">
        <v>746847008700</v>
      </c>
    </row>
    <row r="674" spans="1:7">
      <c r="A674" s="2102">
        <v>43395</v>
      </c>
      <c r="B674" s="211">
        <f t="shared" si="39"/>
        <v>2018</v>
      </c>
      <c r="C674" s="211">
        <f t="shared" si="40"/>
        <v>10</v>
      </c>
      <c r="D674" s="205">
        <v>7397040000000</v>
      </c>
      <c r="E674" s="205">
        <v>77508511000</v>
      </c>
      <c r="F674" s="205">
        <v>163973287500</v>
      </c>
      <c r="G674" s="205">
        <v>769266431100</v>
      </c>
    </row>
    <row r="675" spans="1:7">
      <c r="A675" s="2102">
        <v>43392</v>
      </c>
      <c r="B675" s="211">
        <f t="shared" si="39"/>
        <v>2018</v>
      </c>
      <c r="C675" s="211">
        <f t="shared" si="40"/>
        <v>10</v>
      </c>
      <c r="D675" s="205">
        <v>7349865000000</v>
      </c>
      <c r="E675" s="205">
        <v>78060173000</v>
      </c>
      <c r="F675" s="205">
        <v>166896162500</v>
      </c>
      <c r="G675" s="205">
        <v>790284639600</v>
      </c>
    </row>
    <row r="676" spans="1:7">
      <c r="A676" s="2102">
        <v>43391</v>
      </c>
      <c r="B676" s="211">
        <f t="shared" si="39"/>
        <v>2018</v>
      </c>
      <c r="C676" s="211">
        <f t="shared" si="40"/>
        <v>10</v>
      </c>
      <c r="D676" s="205">
        <v>7387605000000</v>
      </c>
      <c r="E676" s="205">
        <v>77784342000</v>
      </c>
      <c r="F676" s="205">
        <v>166603875000</v>
      </c>
      <c r="G676" s="205">
        <v>804296778600</v>
      </c>
    </row>
    <row r="677" spans="1:7">
      <c r="A677" s="2102">
        <v>43390</v>
      </c>
      <c r="B677" s="211">
        <f t="shared" si="39"/>
        <v>2018</v>
      </c>
      <c r="C677" s="211">
        <f t="shared" si="40"/>
        <v>10</v>
      </c>
      <c r="D677" s="205">
        <v>7510260000000</v>
      </c>
      <c r="E677" s="205">
        <v>77922257500</v>
      </c>
      <c r="F677" s="205">
        <v>169526750000</v>
      </c>
      <c r="G677" s="205">
        <v>811302848100</v>
      </c>
    </row>
    <row r="678" spans="1:7">
      <c r="A678" s="2102">
        <v>43389</v>
      </c>
      <c r="B678" s="211">
        <f t="shared" si="39"/>
        <v>2018</v>
      </c>
      <c r="C678" s="211">
        <f t="shared" si="40"/>
        <v>10</v>
      </c>
      <c r="D678" s="205">
        <v>7406475000000</v>
      </c>
      <c r="E678" s="205">
        <v>74888116500</v>
      </c>
      <c r="F678" s="205">
        <v>168357600000</v>
      </c>
      <c r="G678" s="205">
        <v>814105275900</v>
      </c>
    </row>
    <row r="679" spans="1:7">
      <c r="A679" s="2102">
        <v>43388</v>
      </c>
      <c r="B679" s="211">
        <f t="shared" si="39"/>
        <v>2018</v>
      </c>
      <c r="C679" s="211">
        <f t="shared" si="40"/>
        <v>10</v>
      </c>
      <c r="D679" s="205">
        <v>7321560000000</v>
      </c>
      <c r="E679" s="205">
        <v>74060623500</v>
      </c>
      <c r="F679" s="205">
        <v>168357600000</v>
      </c>
      <c r="G679" s="205">
        <v>805697992500</v>
      </c>
    </row>
    <row r="680" spans="1:7">
      <c r="A680" s="2102">
        <v>43385</v>
      </c>
      <c r="B680" s="211">
        <f t="shared" si="39"/>
        <v>2018</v>
      </c>
      <c r="C680" s="211">
        <f t="shared" si="40"/>
        <v>10</v>
      </c>
      <c r="D680" s="205">
        <v>7434780000000</v>
      </c>
      <c r="E680" s="205">
        <v>73784792500</v>
      </c>
      <c r="F680" s="205">
        <v>172157337500</v>
      </c>
      <c r="G680" s="205">
        <v>822512559300</v>
      </c>
    </row>
    <row r="681" spans="1:7">
      <c r="A681" s="2102">
        <v>43384</v>
      </c>
      <c r="B681" s="211">
        <f t="shared" si="39"/>
        <v>2018</v>
      </c>
      <c r="C681" s="211">
        <f t="shared" si="40"/>
        <v>10</v>
      </c>
      <c r="D681" s="205">
        <v>7406475000000</v>
      </c>
      <c r="E681" s="205">
        <v>74336454500</v>
      </c>
      <c r="F681" s="205">
        <v>168065312500</v>
      </c>
      <c r="G681" s="205">
        <v>809901634200</v>
      </c>
    </row>
    <row r="682" spans="1:7">
      <c r="A682" s="2102">
        <v>43383</v>
      </c>
      <c r="B682" s="211">
        <f t="shared" si="39"/>
        <v>2018</v>
      </c>
      <c r="C682" s="211">
        <f t="shared" si="40"/>
        <v>10</v>
      </c>
      <c r="D682" s="205">
        <v>7689525000000</v>
      </c>
      <c r="E682" s="205">
        <v>81645976000</v>
      </c>
      <c r="F682" s="205">
        <v>175372500000</v>
      </c>
      <c r="G682" s="205">
        <v>861746548500</v>
      </c>
    </row>
    <row r="683" spans="1:7">
      <c r="A683" s="2102">
        <v>43381</v>
      </c>
      <c r="B683" s="211">
        <f t="shared" si="39"/>
        <v>2018</v>
      </c>
      <c r="C683" s="211">
        <f t="shared" si="40"/>
        <v>10</v>
      </c>
      <c r="D683" s="205">
        <v>7755570000000</v>
      </c>
      <c r="E683" s="205">
        <v>87162596000</v>
      </c>
      <c r="F683" s="205">
        <v>183848837500</v>
      </c>
      <c r="G683" s="205">
        <v>882764757000</v>
      </c>
    </row>
    <row r="684" spans="1:7">
      <c r="A684" s="2102">
        <v>43378</v>
      </c>
      <c r="B684" s="211">
        <f t="shared" si="39"/>
        <v>2018</v>
      </c>
      <c r="C684" s="211">
        <f t="shared" si="40"/>
        <v>10</v>
      </c>
      <c r="D684" s="205">
        <v>7963140000000</v>
      </c>
      <c r="E684" s="205">
        <v>88541751000</v>
      </c>
      <c r="F684" s="205">
        <v>187356287500</v>
      </c>
      <c r="G684" s="205">
        <v>914992676700</v>
      </c>
    </row>
    <row r="685" spans="1:7">
      <c r="A685" s="2102">
        <v>43377</v>
      </c>
      <c r="B685" s="211">
        <f t="shared" si="39"/>
        <v>2018</v>
      </c>
      <c r="C685" s="211">
        <f t="shared" si="40"/>
        <v>10</v>
      </c>
      <c r="D685" s="205">
        <v>7944270000000</v>
      </c>
      <c r="E685" s="205">
        <v>88541751000</v>
      </c>
      <c r="F685" s="205">
        <v>191156025000</v>
      </c>
      <c r="G685" s="205">
        <v>919196318400</v>
      </c>
    </row>
    <row r="686" spans="1:7">
      <c r="A686" s="2102">
        <v>43375</v>
      </c>
      <c r="B686" s="211">
        <f t="shared" si="39"/>
        <v>2018</v>
      </c>
      <c r="C686" s="211">
        <f t="shared" si="40"/>
        <v>10</v>
      </c>
      <c r="D686" s="205">
        <v>8019750000000</v>
      </c>
      <c r="E686" s="205">
        <v>88265920000</v>
      </c>
      <c r="F686" s="205">
        <v>194371187500</v>
      </c>
      <c r="G686" s="205">
        <v>937412099100</v>
      </c>
    </row>
    <row r="687" spans="1:7">
      <c r="A687" s="2102">
        <v>43374</v>
      </c>
      <c r="B687" s="211">
        <f t="shared" si="39"/>
        <v>2018</v>
      </c>
      <c r="C687" s="211">
        <f t="shared" si="40"/>
        <v>10</v>
      </c>
      <c r="D687" s="205">
        <v>8161275000000</v>
      </c>
      <c r="E687" s="205">
        <v>90472568000</v>
      </c>
      <c r="F687" s="205">
        <v>194663475000</v>
      </c>
      <c r="G687" s="205">
        <v>924801174000</v>
      </c>
    </row>
    <row r="688" spans="1:7">
      <c r="A688" s="2102">
        <v>43371</v>
      </c>
      <c r="B688" s="211">
        <f t="shared" si="39"/>
        <v>2018</v>
      </c>
      <c r="C688" s="211">
        <f t="shared" si="40"/>
        <v>9</v>
      </c>
      <c r="D688" s="205">
        <v>8227320000000</v>
      </c>
      <c r="E688" s="205">
        <v>89231328500</v>
      </c>
      <c r="F688" s="205">
        <v>195248050000</v>
      </c>
      <c r="G688" s="205">
        <v>889770826500</v>
      </c>
    </row>
    <row r="689" spans="1:7">
      <c r="A689" s="2102">
        <v>43370</v>
      </c>
      <c r="B689" s="211">
        <f t="shared" si="39"/>
        <v>2018</v>
      </c>
      <c r="C689" s="211">
        <f t="shared" si="40"/>
        <v>9</v>
      </c>
      <c r="D689" s="205">
        <v>8293365000000</v>
      </c>
      <c r="E689" s="205">
        <v>88955497500</v>
      </c>
      <c r="F689" s="205">
        <v>195248050000</v>
      </c>
      <c r="G689" s="205">
        <v>910789035000</v>
      </c>
    </row>
    <row r="690" spans="1:7">
      <c r="A690" s="2102">
        <v>43364</v>
      </c>
      <c r="B690" s="211">
        <f t="shared" si="39"/>
        <v>2018</v>
      </c>
      <c r="C690" s="211">
        <f t="shared" si="40"/>
        <v>9</v>
      </c>
      <c r="D690" s="205">
        <v>8029185000000</v>
      </c>
      <c r="E690" s="205">
        <v>90058821500</v>
      </c>
      <c r="F690" s="205">
        <v>195832625000</v>
      </c>
      <c r="G690" s="205">
        <v>905184179400</v>
      </c>
    </row>
    <row r="691" spans="1:7">
      <c r="A691" s="2102">
        <v>43363</v>
      </c>
      <c r="B691" s="211">
        <f t="shared" si="39"/>
        <v>2018</v>
      </c>
      <c r="C691" s="211">
        <f t="shared" si="40"/>
        <v>9</v>
      </c>
      <c r="D691" s="205">
        <v>7963140000000</v>
      </c>
      <c r="E691" s="205">
        <v>87852173500</v>
      </c>
      <c r="F691" s="205">
        <v>197878637500</v>
      </c>
      <c r="G691" s="205">
        <v>886968398700</v>
      </c>
    </row>
    <row r="692" spans="1:7">
      <c r="A692" s="2102">
        <v>43362</v>
      </c>
      <c r="B692" s="211">
        <f t="shared" si="39"/>
        <v>2018</v>
      </c>
      <c r="C692" s="211">
        <f t="shared" si="40"/>
        <v>9</v>
      </c>
      <c r="D692" s="205">
        <v>8010315000000</v>
      </c>
      <c r="E692" s="205">
        <v>90334652500</v>
      </c>
      <c r="F692" s="205">
        <v>201386087500</v>
      </c>
      <c r="G692" s="205">
        <v>884165970900</v>
      </c>
    </row>
    <row r="693" spans="1:7">
      <c r="A693" s="2102">
        <v>43361</v>
      </c>
      <c r="B693" s="211">
        <f t="shared" si="39"/>
        <v>2018</v>
      </c>
      <c r="C693" s="211">
        <f t="shared" si="40"/>
        <v>9</v>
      </c>
      <c r="D693" s="205">
        <v>7717830000000</v>
      </c>
      <c r="E693" s="205">
        <v>94885864000</v>
      </c>
      <c r="F693" s="205">
        <v>208400987500</v>
      </c>
      <c r="G693" s="205">
        <v>881363543100</v>
      </c>
    </row>
    <row r="694" spans="1:7">
      <c r="A694" s="2102">
        <v>43360</v>
      </c>
      <c r="B694" s="211">
        <f t="shared" si="39"/>
        <v>2018</v>
      </c>
      <c r="C694" s="211">
        <f t="shared" si="40"/>
        <v>9</v>
      </c>
      <c r="D694" s="205">
        <v>7680090000000</v>
      </c>
      <c r="E694" s="205">
        <v>96402934500</v>
      </c>
      <c r="F694" s="205">
        <v>209862425000</v>
      </c>
      <c r="G694" s="205">
        <v>893974468200</v>
      </c>
    </row>
    <row r="695" spans="1:7">
      <c r="A695" s="2102">
        <v>43357</v>
      </c>
      <c r="B695" s="211">
        <f t="shared" si="39"/>
        <v>2018</v>
      </c>
      <c r="C695" s="211">
        <f t="shared" si="40"/>
        <v>9</v>
      </c>
      <c r="D695" s="205">
        <v>7859355000000</v>
      </c>
      <c r="E695" s="205">
        <v>95161695000</v>
      </c>
      <c r="F695" s="205">
        <v>214246737500</v>
      </c>
      <c r="G695" s="205">
        <v>912190248900</v>
      </c>
    </row>
    <row r="696" spans="1:7">
      <c r="A696" s="2102">
        <v>43356</v>
      </c>
      <c r="B696" s="211">
        <f t="shared" si="39"/>
        <v>2018</v>
      </c>
      <c r="C696" s="211">
        <f t="shared" si="40"/>
        <v>9</v>
      </c>
      <c r="D696" s="205">
        <v>7802745000000</v>
      </c>
      <c r="E696" s="205">
        <v>95575441500</v>
      </c>
      <c r="F696" s="205">
        <v>213369875000</v>
      </c>
      <c r="G696" s="205">
        <v>913591462800</v>
      </c>
    </row>
    <row r="697" spans="1:7">
      <c r="A697" s="2102">
        <v>43355</v>
      </c>
      <c r="B697" s="211">
        <f t="shared" si="39"/>
        <v>2018</v>
      </c>
      <c r="C697" s="211">
        <f t="shared" si="40"/>
        <v>9</v>
      </c>
      <c r="D697" s="205">
        <v>7491390000000</v>
      </c>
      <c r="E697" s="205">
        <v>95713357000</v>
      </c>
      <c r="F697" s="205">
        <v>213662162500</v>
      </c>
      <c r="G697" s="205">
        <v>879962329200</v>
      </c>
    </row>
    <row r="698" spans="1:7">
      <c r="A698" s="2102">
        <v>43354</v>
      </c>
      <c r="B698" s="211">
        <f t="shared" si="39"/>
        <v>2018</v>
      </c>
      <c r="C698" s="211">
        <f t="shared" si="40"/>
        <v>9</v>
      </c>
      <c r="D698" s="205">
        <v>7548000000000</v>
      </c>
      <c r="E698" s="205">
        <v>97920005000</v>
      </c>
      <c r="F698" s="205">
        <v>214539025000</v>
      </c>
      <c r="G698" s="205">
        <v>893974468200</v>
      </c>
    </row>
    <row r="699" spans="1:7">
      <c r="A699" s="2102">
        <v>43353</v>
      </c>
      <c r="B699" s="211">
        <f t="shared" si="39"/>
        <v>2018</v>
      </c>
      <c r="C699" s="211">
        <f t="shared" si="40"/>
        <v>9</v>
      </c>
      <c r="D699" s="205">
        <v>7670655000000</v>
      </c>
      <c r="E699" s="205">
        <v>95299610500</v>
      </c>
      <c r="F699" s="205">
        <v>197001775000</v>
      </c>
      <c r="G699" s="205">
        <v>902381751600</v>
      </c>
    </row>
    <row r="700" spans="1:7">
      <c r="A700" s="2102">
        <v>43350</v>
      </c>
      <c r="B700" s="211">
        <f t="shared" si="39"/>
        <v>2018</v>
      </c>
      <c r="C700" s="211">
        <f t="shared" si="40"/>
        <v>9</v>
      </c>
      <c r="D700" s="205">
        <v>7746135000000</v>
      </c>
      <c r="E700" s="205">
        <v>93782540000</v>
      </c>
      <c r="F700" s="205">
        <v>190571450000</v>
      </c>
      <c r="G700" s="205">
        <v>905184179400</v>
      </c>
    </row>
    <row r="701" spans="1:7">
      <c r="A701" s="2102">
        <v>43349</v>
      </c>
      <c r="B701" s="211">
        <f t="shared" si="39"/>
        <v>2018</v>
      </c>
      <c r="C701" s="211">
        <f t="shared" si="40"/>
        <v>9</v>
      </c>
      <c r="D701" s="205">
        <v>7661220000000</v>
      </c>
      <c r="E701" s="205">
        <v>91851723000</v>
      </c>
      <c r="F701" s="205">
        <v>187064000000</v>
      </c>
      <c r="G701" s="205">
        <v>898178109900</v>
      </c>
    </row>
    <row r="702" spans="1:7">
      <c r="A702" s="2102">
        <v>43348</v>
      </c>
      <c r="B702" s="211">
        <f t="shared" si="39"/>
        <v>2018</v>
      </c>
      <c r="C702" s="211">
        <f t="shared" si="40"/>
        <v>9</v>
      </c>
      <c r="D702" s="205">
        <v>7481955000000</v>
      </c>
      <c r="E702" s="205">
        <v>93506709000</v>
      </c>
      <c r="F702" s="205">
        <v>189110012500</v>
      </c>
      <c r="G702" s="205">
        <v>898178109900</v>
      </c>
    </row>
    <row r="703" spans="1:7">
      <c r="A703" s="2102">
        <v>43347</v>
      </c>
      <c r="B703" s="211">
        <f t="shared" si="39"/>
        <v>2018</v>
      </c>
      <c r="C703" s="211">
        <f t="shared" si="40"/>
        <v>9</v>
      </c>
      <c r="D703" s="205">
        <v>7614045000000</v>
      </c>
      <c r="E703" s="205">
        <v>95161695000</v>
      </c>
      <c r="F703" s="205">
        <v>186187137500</v>
      </c>
      <c r="G703" s="205">
        <v>910789035000</v>
      </c>
    </row>
    <row r="704" spans="1:7">
      <c r="A704" s="2102">
        <v>43346</v>
      </c>
      <c r="B704" s="211">
        <f t="shared" si="39"/>
        <v>2018</v>
      </c>
      <c r="C704" s="211">
        <f t="shared" si="40"/>
        <v>9</v>
      </c>
      <c r="D704" s="205">
        <v>7755570000000</v>
      </c>
      <c r="E704" s="205">
        <v>91300061000</v>
      </c>
      <c r="F704" s="205">
        <v>186479425000</v>
      </c>
      <c r="G704" s="205">
        <v>921998746200</v>
      </c>
    </row>
    <row r="705" spans="1:7">
      <c r="A705" s="2102">
        <v>43343</v>
      </c>
      <c r="B705" s="211">
        <f t="shared" si="39"/>
        <v>2018</v>
      </c>
      <c r="C705" s="211">
        <f t="shared" si="40"/>
        <v>8</v>
      </c>
      <c r="D705" s="205">
        <v>7651785000000</v>
      </c>
      <c r="E705" s="205">
        <v>90748399000</v>
      </c>
      <c r="F705" s="205">
        <v>187064000000</v>
      </c>
      <c r="G705" s="205">
        <v>943016954700</v>
      </c>
    </row>
    <row r="706" spans="1:7">
      <c r="A706" s="2102">
        <v>43342</v>
      </c>
      <c r="B706" s="211">
        <f t="shared" si="39"/>
        <v>2018</v>
      </c>
      <c r="C706" s="211">
        <f t="shared" si="40"/>
        <v>8</v>
      </c>
      <c r="D706" s="205">
        <v>7868790000000</v>
      </c>
      <c r="E706" s="205">
        <v>90748399000</v>
      </c>
      <c r="F706" s="205">
        <v>191448312500</v>
      </c>
      <c r="G706" s="205">
        <v>952825452000</v>
      </c>
    </row>
    <row r="707" spans="1:7">
      <c r="A707" s="2102">
        <v>43341</v>
      </c>
      <c r="B707" s="211">
        <f t="shared" si="39"/>
        <v>2018</v>
      </c>
      <c r="C707" s="211">
        <f t="shared" si="40"/>
        <v>8</v>
      </c>
      <c r="D707" s="205">
        <v>7897095000000</v>
      </c>
      <c r="E707" s="205">
        <v>87990089000</v>
      </c>
      <c r="F707" s="205">
        <v>194955762500</v>
      </c>
      <c r="G707" s="205">
        <v>971041232700</v>
      </c>
    </row>
    <row r="708" spans="1:7">
      <c r="A708" s="2102">
        <v>43340</v>
      </c>
      <c r="B708" s="211">
        <f t="shared" si="39"/>
        <v>2018</v>
      </c>
      <c r="C708" s="211">
        <f t="shared" si="40"/>
        <v>8</v>
      </c>
      <c r="D708" s="205">
        <v>7897095000000</v>
      </c>
      <c r="E708" s="205">
        <v>87990089000</v>
      </c>
      <c r="F708" s="205">
        <v>192617462500</v>
      </c>
      <c r="G708" s="205">
        <v>961232735400</v>
      </c>
    </row>
    <row r="709" spans="1:7">
      <c r="A709" s="2102">
        <v>43339</v>
      </c>
      <c r="B709" s="211">
        <f t="shared" si="39"/>
        <v>2018</v>
      </c>
      <c r="C709" s="211">
        <f t="shared" si="40"/>
        <v>8</v>
      </c>
      <c r="D709" s="205">
        <v>7755570000000</v>
      </c>
      <c r="E709" s="205">
        <v>88403835500</v>
      </c>
      <c r="F709" s="205">
        <v>184141125000</v>
      </c>
      <c r="G709" s="205">
        <v>968238804900</v>
      </c>
    </row>
    <row r="710" spans="1:7">
      <c r="A710" s="2102">
        <v>43336</v>
      </c>
      <c r="B710" s="211">
        <f t="shared" si="39"/>
        <v>2018</v>
      </c>
      <c r="C710" s="211">
        <f t="shared" si="40"/>
        <v>8</v>
      </c>
      <c r="D710" s="205">
        <v>7463085000000</v>
      </c>
      <c r="E710" s="205">
        <v>91575892000</v>
      </c>
      <c r="F710" s="205">
        <v>189986875000</v>
      </c>
      <c r="G710" s="205">
        <v>907986607200</v>
      </c>
    </row>
    <row r="711" spans="1:7">
      <c r="A711" s="2102">
        <v>43335</v>
      </c>
      <c r="B711" s="211">
        <f t="shared" si="39"/>
        <v>2018</v>
      </c>
      <c r="C711" s="211">
        <f t="shared" si="40"/>
        <v>8</v>
      </c>
      <c r="D711" s="205">
        <v>7340430000000</v>
      </c>
      <c r="E711" s="205">
        <v>92403385000</v>
      </c>
      <c r="F711" s="205">
        <v>189986875000</v>
      </c>
      <c r="G711" s="205">
        <v>914992676700</v>
      </c>
    </row>
    <row r="712" spans="1:7">
      <c r="A712" s="2102">
        <v>43334</v>
      </c>
      <c r="B712" s="211">
        <f t="shared" si="39"/>
        <v>2018</v>
      </c>
      <c r="C712" s="211">
        <f t="shared" si="40"/>
        <v>8</v>
      </c>
      <c r="D712" s="205">
        <v>7397040000000</v>
      </c>
      <c r="E712" s="205">
        <v>91713807500</v>
      </c>
      <c r="F712" s="205">
        <v>200509225000</v>
      </c>
      <c r="G712" s="205">
        <v>934609671300</v>
      </c>
    </row>
    <row r="713" spans="1:7">
      <c r="A713" s="2102">
        <v>43333</v>
      </c>
      <c r="B713" s="211">
        <f t="shared" si="39"/>
        <v>2018</v>
      </c>
      <c r="C713" s="211">
        <f t="shared" si="40"/>
        <v>8</v>
      </c>
      <c r="D713" s="205">
        <v>7406475000000</v>
      </c>
      <c r="E713" s="205">
        <v>92403385000</v>
      </c>
      <c r="F713" s="205">
        <v>204308962500</v>
      </c>
      <c r="G713" s="205">
        <v>893974468200</v>
      </c>
    </row>
    <row r="714" spans="1:7">
      <c r="A714" s="2102">
        <v>43332</v>
      </c>
      <c r="B714" s="211">
        <f t="shared" ref="B714:B777" si="41">YEAR(A714)</f>
        <v>2018</v>
      </c>
      <c r="C714" s="211">
        <f t="shared" ref="C714:C777" si="42">MONTH(A714)</f>
        <v>8</v>
      </c>
      <c r="D714" s="205">
        <v>7378170000000</v>
      </c>
      <c r="E714" s="205">
        <v>89507159500</v>
      </c>
      <c r="F714" s="205">
        <v>205770400000</v>
      </c>
      <c r="G714" s="205">
        <v>905184179400</v>
      </c>
    </row>
    <row r="715" spans="1:7">
      <c r="A715" s="2102">
        <v>43329</v>
      </c>
      <c r="B715" s="211">
        <f t="shared" si="41"/>
        <v>2018</v>
      </c>
      <c r="C715" s="211">
        <f t="shared" si="42"/>
        <v>8</v>
      </c>
      <c r="D715" s="205">
        <v>7151730000000</v>
      </c>
      <c r="E715" s="205">
        <v>90472568000</v>
      </c>
      <c r="F715" s="205">
        <v>204308962500</v>
      </c>
      <c r="G715" s="205">
        <v>877159901400</v>
      </c>
    </row>
    <row r="716" spans="1:7">
      <c r="A716" s="2102">
        <v>43328</v>
      </c>
      <c r="B716" s="211">
        <f t="shared" si="41"/>
        <v>2018</v>
      </c>
      <c r="C716" s="211">
        <f t="shared" si="42"/>
        <v>8</v>
      </c>
      <c r="D716" s="205">
        <v>7180035000000</v>
      </c>
      <c r="E716" s="205">
        <v>87024680500</v>
      </c>
      <c r="F716" s="205">
        <v>202555237500</v>
      </c>
      <c r="G716" s="205">
        <v>874357473600</v>
      </c>
    </row>
    <row r="717" spans="1:7">
      <c r="A717" s="2102">
        <v>43326</v>
      </c>
      <c r="B717" s="211">
        <f t="shared" si="41"/>
        <v>2018</v>
      </c>
      <c r="C717" s="211">
        <f t="shared" si="42"/>
        <v>8</v>
      </c>
      <c r="D717" s="205">
        <v>7283820000000</v>
      </c>
      <c r="E717" s="205">
        <v>86748849500</v>
      </c>
      <c r="F717" s="205">
        <v>204601250000</v>
      </c>
      <c r="G717" s="205">
        <v>902381751600</v>
      </c>
    </row>
    <row r="718" spans="1:7">
      <c r="A718" s="2102">
        <v>43325</v>
      </c>
      <c r="B718" s="211">
        <f t="shared" si="41"/>
        <v>2018</v>
      </c>
      <c r="C718" s="211">
        <f t="shared" si="42"/>
        <v>8</v>
      </c>
      <c r="D718" s="205">
        <v>7340430000000</v>
      </c>
      <c r="E718" s="205">
        <v>86335103000</v>
      </c>
      <c r="F718" s="205">
        <v>205185825000</v>
      </c>
      <c r="G718" s="205">
        <v>893974468200</v>
      </c>
    </row>
    <row r="719" spans="1:7">
      <c r="A719" s="2102">
        <v>43322</v>
      </c>
      <c r="B719" s="211">
        <f t="shared" si="41"/>
        <v>2018</v>
      </c>
      <c r="C719" s="211">
        <f t="shared" si="42"/>
        <v>8</v>
      </c>
      <c r="D719" s="205">
        <v>7566870000000</v>
      </c>
      <c r="E719" s="205">
        <v>87852173500</v>
      </c>
      <c r="F719" s="205">
        <v>208400987500</v>
      </c>
      <c r="G719" s="205">
        <v>921998746200</v>
      </c>
    </row>
    <row r="720" spans="1:7">
      <c r="A720" s="2102">
        <v>43321</v>
      </c>
      <c r="B720" s="211">
        <f t="shared" si="41"/>
        <v>2018</v>
      </c>
      <c r="C720" s="211">
        <f t="shared" si="42"/>
        <v>8</v>
      </c>
      <c r="D720" s="205">
        <v>7500825000000</v>
      </c>
      <c r="E720" s="205">
        <v>88541751000</v>
      </c>
      <c r="F720" s="205">
        <v>211616150000</v>
      </c>
      <c r="G720" s="205">
        <v>916393890600</v>
      </c>
    </row>
    <row r="721" spans="1:7">
      <c r="A721" s="2102">
        <v>43320</v>
      </c>
      <c r="B721" s="211">
        <f t="shared" si="41"/>
        <v>2018</v>
      </c>
      <c r="C721" s="211">
        <f t="shared" si="42"/>
        <v>8</v>
      </c>
      <c r="D721" s="205">
        <v>7604610000000</v>
      </c>
      <c r="E721" s="205">
        <v>89093413000</v>
      </c>
      <c r="F721" s="205">
        <v>208693275000</v>
      </c>
      <c r="G721" s="205">
        <v>937412099100</v>
      </c>
    </row>
    <row r="722" spans="1:7">
      <c r="A722" s="2102">
        <v>43319</v>
      </c>
      <c r="B722" s="211">
        <f t="shared" si="41"/>
        <v>2018</v>
      </c>
      <c r="C722" s="211">
        <f t="shared" si="42"/>
        <v>8</v>
      </c>
      <c r="D722" s="205">
        <v>7670655000000</v>
      </c>
      <c r="E722" s="205">
        <v>87300511500</v>
      </c>
      <c r="F722" s="205">
        <v>208400987500</v>
      </c>
      <c r="G722" s="205">
        <v>938813313000</v>
      </c>
    </row>
    <row r="723" spans="1:7">
      <c r="A723" s="2102">
        <v>43318</v>
      </c>
      <c r="B723" s="211">
        <f t="shared" si="41"/>
        <v>2018</v>
      </c>
      <c r="C723" s="211">
        <f t="shared" si="42"/>
        <v>8</v>
      </c>
      <c r="D723" s="205">
        <v>7557435000000</v>
      </c>
      <c r="E723" s="205">
        <v>88955497500</v>
      </c>
      <c r="F723" s="205">
        <v>214539025000</v>
      </c>
      <c r="G723" s="205">
        <v>958430307600</v>
      </c>
    </row>
    <row r="724" spans="1:7">
      <c r="A724" s="2102">
        <v>43315</v>
      </c>
      <c r="B724" s="211">
        <f t="shared" si="41"/>
        <v>2018</v>
      </c>
      <c r="C724" s="211">
        <f t="shared" si="42"/>
        <v>8</v>
      </c>
      <c r="D724" s="205">
        <v>7472520000000</v>
      </c>
      <c r="E724" s="205">
        <v>88541751000</v>
      </c>
      <c r="F724" s="205">
        <v>221846212500</v>
      </c>
      <c r="G724" s="205">
        <v>909387821100</v>
      </c>
    </row>
    <row r="725" spans="1:7">
      <c r="A725" s="2102">
        <v>43314</v>
      </c>
      <c r="B725" s="211">
        <f t="shared" si="41"/>
        <v>2018</v>
      </c>
      <c r="C725" s="211">
        <f t="shared" si="42"/>
        <v>8</v>
      </c>
      <c r="D725" s="205">
        <v>7453650000000</v>
      </c>
      <c r="E725" s="205">
        <v>86748849500</v>
      </c>
      <c r="F725" s="205">
        <v>214246737500</v>
      </c>
      <c r="G725" s="205">
        <v>888369612600</v>
      </c>
    </row>
    <row r="726" spans="1:7">
      <c r="A726" s="2102">
        <v>43313</v>
      </c>
      <c r="B726" s="211">
        <f t="shared" si="41"/>
        <v>2018</v>
      </c>
      <c r="C726" s="211">
        <f t="shared" si="42"/>
        <v>8</v>
      </c>
      <c r="D726" s="205">
        <v>7689525000000</v>
      </c>
      <c r="E726" s="205">
        <v>87576342500</v>
      </c>
      <c r="F726" s="205">
        <v>217754187500</v>
      </c>
      <c r="G726" s="205">
        <v>916393890600</v>
      </c>
    </row>
    <row r="727" spans="1:7">
      <c r="A727" s="2102">
        <v>43312</v>
      </c>
      <c r="B727" s="211">
        <f t="shared" si="41"/>
        <v>2018</v>
      </c>
      <c r="C727" s="211">
        <f t="shared" si="42"/>
        <v>7</v>
      </c>
      <c r="D727" s="205">
        <v>7783875000000</v>
      </c>
      <c r="E727" s="205">
        <v>86610934000</v>
      </c>
      <c r="F727" s="205">
        <v>218338762500</v>
      </c>
      <c r="G727" s="205">
        <v>916393890600</v>
      </c>
    </row>
    <row r="728" spans="1:7">
      <c r="A728" s="2102">
        <v>43311</v>
      </c>
      <c r="B728" s="211">
        <f t="shared" si="41"/>
        <v>2018</v>
      </c>
      <c r="C728" s="211">
        <f t="shared" si="42"/>
        <v>7</v>
      </c>
      <c r="D728" s="205">
        <v>7632915000000</v>
      </c>
      <c r="E728" s="205">
        <v>88265920000</v>
      </c>
      <c r="F728" s="205">
        <v>216585037500</v>
      </c>
      <c r="G728" s="205">
        <v>936010885200</v>
      </c>
    </row>
    <row r="729" spans="1:7">
      <c r="A729" s="2102">
        <v>43308</v>
      </c>
      <c r="B729" s="211">
        <f t="shared" si="41"/>
        <v>2018</v>
      </c>
      <c r="C729" s="211">
        <f t="shared" si="42"/>
        <v>7</v>
      </c>
      <c r="D729" s="205">
        <v>7472520000000</v>
      </c>
      <c r="E729" s="205">
        <v>88679666500</v>
      </c>
      <c r="F729" s="205">
        <v>226522812500</v>
      </c>
      <c r="G729" s="205">
        <v>987855799500</v>
      </c>
    </row>
    <row r="730" spans="1:7">
      <c r="A730" s="2102">
        <v>43307</v>
      </c>
      <c r="B730" s="211">
        <f t="shared" si="41"/>
        <v>2018</v>
      </c>
      <c r="C730" s="211">
        <f t="shared" si="42"/>
        <v>7</v>
      </c>
      <c r="D730" s="205">
        <v>7491390000000</v>
      </c>
      <c r="E730" s="205">
        <v>88955497500</v>
      </c>
      <c r="F730" s="205">
        <v>228568825000</v>
      </c>
      <c r="G730" s="205">
        <v>994861869000</v>
      </c>
    </row>
    <row r="731" spans="1:7">
      <c r="A731" s="2102">
        <v>43306</v>
      </c>
      <c r="B731" s="211">
        <f t="shared" si="41"/>
        <v>2018</v>
      </c>
      <c r="C731" s="211">
        <f t="shared" si="42"/>
        <v>7</v>
      </c>
      <c r="D731" s="205">
        <v>7283820000000</v>
      </c>
      <c r="E731" s="205">
        <v>85093863500</v>
      </c>
      <c r="F731" s="205">
        <v>227984250000</v>
      </c>
      <c r="G731" s="205">
        <v>968238804900</v>
      </c>
    </row>
    <row r="732" spans="1:7">
      <c r="A732" s="2102">
        <v>43305</v>
      </c>
      <c r="B732" s="211">
        <f t="shared" si="41"/>
        <v>2018</v>
      </c>
      <c r="C732" s="211">
        <f t="shared" si="42"/>
        <v>7</v>
      </c>
      <c r="D732" s="205">
        <v>7415910000000</v>
      </c>
      <c r="E732" s="205">
        <v>86059272000</v>
      </c>
      <c r="F732" s="205">
        <v>229153400000</v>
      </c>
      <c r="G732" s="205">
        <v>931807243500</v>
      </c>
    </row>
    <row r="733" spans="1:7">
      <c r="A733" s="2102">
        <v>43304</v>
      </c>
      <c r="B733" s="211">
        <f t="shared" si="41"/>
        <v>2018</v>
      </c>
      <c r="C733" s="211">
        <f t="shared" si="42"/>
        <v>7</v>
      </c>
      <c r="D733" s="205">
        <v>7066815000000</v>
      </c>
      <c r="E733" s="205">
        <v>82749300000</v>
      </c>
      <c r="F733" s="205">
        <v>226815100000</v>
      </c>
      <c r="G733" s="205">
        <v>884165970900</v>
      </c>
    </row>
    <row r="734" spans="1:7">
      <c r="A734" s="2102">
        <v>43301</v>
      </c>
      <c r="B734" s="211">
        <f t="shared" si="41"/>
        <v>2018</v>
      </c>
      <c r="C734" s="211">
        <f t="shared" si="42"/>
        <v>7</v>
      </c>
      <c r="D734" s="205">
        <v>7066815000000</v>
      </c>
      <c r="E734" s="205">
        <v>84128455000</v>
      </c>
      <c r="F734" s="205">
        <v>231783987500</v>
      </c>
      <c r="G734" s="205">
        <v>870153831900</v>
      </c>
    </row>
    <row r="735" spans="1:7">
      <c r="A735" s="2102">
        <v>43300</v>
      </c>
      <c r="B735" s="211">
        <f t="shared" si="41"/>
        <v>2018</v>
      </c>
      <c r="C735" s="211">
        <f t="shared" si="42"/>
        <v>7</v>
      </c>
      <c r="D735" s="205">
        <v>7029075000000</v>
      </c>
      <c r="E735" s="205">
        <v>86197187500</v>
      </c>
      <c r="F735" s="205">
        <v>247859800000</v>
      </c>
      <c r="G735" s="205">
        <v>926202387900</v>
      </c>
    </row>
    <row r="736" spans="1:7">
      <c r="A736" s="2102">
        <v>43299</v>
      </c>
      <c r="B736" s="211">
        <f t="shared" si="41"/>
        <v>2018</v>
      </c>
      <c r="C736" s="211">
        <f t="shared" si="42"/>
        <v>7</v>
      </c>
      <c r="D736" s="205">
        <v>7142295000000</v>
      </c>
      <c r="E736" s="205">
        <v>85921356500</v>
      </c>
      <c r="F736" s="205">
        <v>251367250000</v>
      </c>
      <c r="G736" s="205">
        <v>941615740800</v>
      </c>
    </row>
    <row r="737" spans="1:7">
      <c r="A737" s="2102">
        <v>43298</v>
      </c>
      <c r="B737" s="211">
        <f t="shared" si="41"/>
        <v>2018</v>
      </c>
      <c r="C737" s="211">
        <f t="shared" si="42"/>
        <v>7</v>
      </c>
      <c r="D737" s="205">
        <v>7151730000000</v>
      </c>
      <c r="E737" s="205">
        <v>89369244000</v>
      </c>
      <c r="F737" s="205">
        <v>262766462500</v>
      </c>
      <c r="G737" s="205">
        <v>943016954700</v>
      </c>
    </row>
    <row r="738" spans="1:7">
      <c r="A738" s="2102">
        <v>43297</v>
      </c>
      <c r="B738" s="211">
        <f t="shared" si="41"/>
        <v>2018</v>
      </c>
      <c r="C738" s="211">
        <f t="shared" si="42"/>
        <v>7</v>
      </c>
      <c r="D738" s="205">
        <v>7132860000000</v>
      </c>
      <c r="E738" s="205">
        <v>87990089000</v>
      </c>
      <c r="F738" s="205">
        <v>230614837500</v>
      </c>
      <c r="G738" s="205">
        <v>920597532300</v>
      </c>
    </row>
    <row r="739" spans="1:7">
      <c r="A739" s="2102">
        <v>43294</v>
      </c>
      <c r="B739" s="211">
        <f t="shared" si="41"/>
        <v>2018</v>
      </c>
      <c r="C739" s="211">
        <f t="shared" si="42"/>
        <v>7</v>
      </c>
      <c r="D739" s="205">
        <v>7236645000000</v>
      </c>
      <c r="E739" s="205">
        <v>89782990500</v>
      </c>
      <c r="F739" s="205">
        <v>230614837500</v>
      </c>
      <c r="G739" s="205">
        <v>921998746200</v>
      </c>
    </row>
    <row r="740" spans="1:7">
      <c r="A740" s="2102">
        <v>43293</v>
      </c>
      <c r="B740" s="211">
        <f t="shared" si="41"/>
        <v>2018</v>
      </c>
      <c r="C740" s="211">
        <f t="shared" si="42"/>
        <v>7</v>
      </c>
      <c r="D740" s="205">
        <v>7340430000000</v>
      </c>
      <c r="E740" s="205">
        <v>87714258000</v>
      </c>
      <c r="F740" s="205">
        <v>232368562500</v>
      </c>
      <c r="G740" s="205">
        <v>937412099100</v>
      </c>
    </row>
    <row r="741" spans="1:7">
      <c r="A741" s="2102">
        <v>43292</v>
      </c>
      <c r="B741" s="211">
        <f t="shared" si="41"/>
        <v>2018</v>
      </c>
      <c r="C741" s="211">
        <f t="shared" si="42"/>
        <v>7</v>
      </c>
      <c r="D741" s="205">
        <v>7189470000000</v>
      </c>
      <c r="E741" s="205">
        <v>88679666500</v>
      </c>
      <c r="F741" s="205">
        <v>225645950000</v>
      </c>
      <c r="G741" s="205">
        <v>914992676700</v>
      </c>
    </row>
    <row r="742" spans="1:7">
      <c r="A742" s="2102">
        <v>43291</v>
      </c>
      <c r="B742" s="211">
        <f t="shared" si="41"/>
        <v>2018</v>
      </c>
      <c r="C742" s="211">
        <f t="shared" si="42"/>
        <v>7</v>
      </c>
      <c r="D742" s="205">
        <v>7312125000000</v>
      </c>
      <c r="E742" s="205">
        <v>87162596000</v>
      </c>
      <c r="F742" s="205">
        <v>227691962500</v>
      </c>
      <c r="G742" s="205">
        <v>934609671300</v>
      </c>
    </row>
    <row r="743" spans="1:7">
      <c r="A743" s="2102">
        <v>43290</v>
      </c>
      <c r="B743" s="211">
        <f t="shared" si="41"/>
        <v>2018</v>
      </c>
      <c r="C743" s="211">
        <f t="shared" si="42"/>
        <v>7</v>
      </c>
      <c r="D743" s="205">
        <v>7010205000000</v>
      </c>
      <c r="E743" s="205">
        <v>83852624000</v>
      </c>
      <c r="F743" s="205">
        <v>212200725000</v>
      </c>
      <c r="G743" s="205">
        <v>900980537700</v>
      </c>
    </row>
    <row r="744" spans="1:7">
      <c r="A744" s="2102">
        <v>43287</v>
      </c>
      <c r="B744" s="211">
        <f t="shared" si="41"/>
        <v>2018</v>
      </c>
      <c r="C744" s="211">
        <f t="shared" si="42"/>
        <v>7</v>
      </c>
      <c r="D744" s="205">
        <v>6981900000000</v>
      </c>
      <c r="E744" s="205">
        <v>87162596000</v>
      </c>
      <c r="F744" s="205">
        <v>196417200000</v>
      </c>
      <c r="G744" s="205">
        <v>924801174000</v>
      </c>
    </row>
    <row r="745" spans="1:7">
      <c r="A745" s="2102">
        <v>43286</v>
      </c>
      <c r="B745" s="211">
        <f t="shared" si="41"/>
        <v>2018</v>
      </c>
      <c r="C745" s="211">
        <f t="shared" si="42"/>
        <v>7</v>
      </c>
      <c r="D745" s="205">
        <v>7019640000000</v>
      </c>
      <c r="E745" s="205">
        <v>88955497500</v>
      </c>
      <c r="F745" s="205">
        <v>189694587500</v>
      </c>
      <c r="G745" s="205">
        <v>906585393300</v>
      </c>
    </row>
    <row r="746" spans="1:7">
      <c r="A746" s="2102">
        <v>43285</v>
      </c>
      <c r="B746" s="211">
        <f t="shared" si="41"/>
        <v>2018</v>
      </c>
      <c r="C746" s="211">
        <f t="shared" si="42"/>
        <v>7</v>
      </c>
      <c r="D746" s="205">
        <v>7000770000000</v>
      </c>
      <c r="E746" s="205">
        <v>88128004500</v>
      </c>
      <c r="F746" s="205">
        <v>193202037500</v>
      </c>
      <c r="G746" s="205">
        <v>919196318400</v>
      </c>
    </row>
    <row r="747" spans="1:7">
      <c r="A747" s="2102">
        <v>43284</v>
      </c>
      <c r="B747" s="211">
        <f t="shared" si="41"/>
        <v>2018</v>
      </c>
      <c r="C747" s="211">
        <f t="shared" si="42"/>
        <v>7</v>
      </c>
      <c r="D747" s="205">
        <v>6934725000000</v>
      </c>
      <c r="E747" s="205">
        <v>87300511500</v>
      </c>
      <c r="F747" s="205">
        <v>198755500000</v>
      </c>
      <c r="G747" s="205">
        <v>912190248900</v>
      </c>
    </row>
    <row r="748" spans="1:7">
      <c r="A748" s="2102">
        <v>43283</v>
      </c>
      <c r="B748" s="211">
        <f t="shared" si="41"/>
        <v>2018</v>
      </c>
      <c r="C748" s="211">
        <f t="shared" si="42"/>
        <v>7</v>
      </c>
      <c r="D748" s="205">
        <v>7189470000000</v>
      </c>
      <c r="E748" s="205">
        <v>86059272000</v>
      </c>
      <c r="F748" s="205">
        <v>190863737500</v>
      </c>
      <c r="G748" s="205">
        <v>907986607200</v>
      </c>
    </row>
    <row r="749" spans="1:7">
      <c r="A749" s="2102">
        <v>43280</v>
      </c>
      <c r="B749" s="211">
        <f t="shared" si="41"/>
        <v>2018</v>
      </c>
      <c r="C749" s="211">
        <f t="shared" si="42"/>
        <v>6</v>
      </c>
      <c r="D749" s="205">
        <v>7283820000000</v>
      </c>
      <c r="E749" s="205">
        <v>91575892000</v>
      </c>
      <c r="F749" s="205">
        <v>200801512500</v>
      </c>
      <c r="G749" s="205">
        <v>954226665900</v>
      </c>
    </row>
    <row r="750" spans="1:7">
      <c r="A750" s="2102">
        <v>43279</v>
      </c>
      <c r="B750" s="211">
        <f t="shared" si="41"/>
        <v>2018</v>
      </c>
      <c r="C750" s="211">
        <f t="shared" si="42"/>
        <v>6</v>
      </c>
      <c r="D750" s="205">
        <v>7057380000000</v>
      </c>
      <c r="E750" s="205">
        <v>91437976500</v>
      </c>
      <c r="F750" s="205">
        <v>198170925000</v>
      </c>
      <c r="G750" s="205">
        <v>943016954700</v>
      </c>
    </row>
    <row r="751" spans="1:7">
      <c r="A751" s="2102">
        <v>43278</v>
      </c>
      <c r="B751" s="211">
        <f t="shared" si="41"/>
        <v>2018</v>
      </c>
      <c r="C751" s="211">
        <f t="shared" si="42"/>
        <v>6</v>
      </c>
      <c r="D751" s="205">
        <v>7076250000000</v>
      </c>
      <c r="E751" s="205">
        <v>95989188000</v>
      </c>
      <c r="F751" s="205">
        <v>198463212500</v>
      </c>
      <c r="G751" s="205">
        <v>941615740800</v>
      </c>
    </row>
    <row r="752" spans="1:7">
      <c r="A752" s="2102">
        <v>43277</v>
      </c>
      <c r="B752" s="211">
        <f t="shared" si="41"/>
        <v>2018</v>
      </c>
      <c r="C752" s="211">
        <f t="shared" si="42"/>
        <v>6</v>
      </c>
      <c r="D752" s="205">
        <v>7330995000000</v>
      </c>
      <c r="E752" s="205">
        <v>100816230500</v>
      </c>
      <c r="F752" s="205">
        <v>201970662500</v>
      </c>
      <c r="G752" s="205">
        <v>968238804900</v>
      </c>
    </row>
    <row r="753" spans="1:7">
      <c r="A753" s="2102">
        <v>43276</v>
      </c>
      <c r="B753" s="211">
        <f t="shared" si="41"/>
        <v>2018</v>
      </c>
      <c r="C753" s="211">
        <f t="shared" si="42"/>
        <v>6</v>
      </c>
      <c r="D753" s="205">
        <v>7397040000000</v>
      </c>
      <c r="E753" s="205">
        <v>103022878500</v>
      </c>
      <c r="F753" s="205">
        <v>206062687500</v>
      </c>
      <c r="G753" s="205">
        <v>964035163200</v>
      </c>
    </row>
    <row r="754" spans="1:7">
      <c r="A754" s="2102">
        <v>43273</v>
      </c>
      <c r="B754" s="211">
        <f t="shared" si="41"/>
        <v>2018</v>
      </c>
      <c r="C754" s="211">
        <f t="shared" si="42"/>
        <v>6</v>
      </c>
      <c r="D754" s="205">
        <v>7132860000000</v>
      </c>
      <c r="E754" s="205">
        <v>109918653500</v>
      </c>
      <c r="F754" s="205">
        <v>205478112500</v>
      </c>
      <c r="G754" s="205">
        <v>929004815700</v>
      </c>
    </row>
    <row r="755" spans="1:7">
      <c r="A755" s="2102">
        <v>43272</v>
      </c>
      <c r="B755" s="211">
        <f t="shared" si="41"/>
        <v>2018</v>
      </c>
      <c r="C755" s="211">
        <f t="shared" si="42"/>
        <v>6</v>
      </c>
      <c r="D755" s="205">
        <v>7104555000000</v>
      </c>
      <c r="E755" s="205">
        <v>117366090500</v>
      </c>
      <c r="F755" s="205">
        <v>208400987500</v>
      </c>
      <c r="G755" s="205">
        <v>929004815700</v>
      </c>
    </row>
    <row r="756" spans="1:7">
      <c r="A756" s="2102">
        <v>43271</v>
      </c>
      <c r="B756" s="211">
        <f t="shared" si="41"/>
        <v>2018</v>
      </c>
      <c r="C756" s="211">
        <f t="shared" si="42"/>
        <v>6</v>
      </c>
      <c r="D756" s="205">
        <v>7368735000000</v>
      </c>
      <c r="E756" s="205">
        <v>100954146000</v>
      </c>
      <c r="F756" s="205">
        <v>208400987500</v>
      </c>
      <c r="G756" s="205">
        <v>957029093700</v>
      </c>
    </row>
    <row r="757" spans="1:7">
      <c r="A757" s="2102">
        <v>43270</v>
      </c>
      <c r="B757" s="211">
        <f t="shared" si="41"/>
        <v>2018</v>
      </c>
      <c r="C757" s="211">
        <f t="shared" si="42"/>
        <v>6</v>
      </c>
      <c r="D757" s="205">
        <v>7425345000000</v>
      </c>
      <c r="E757" s="205">
        <v>99988737500</v>
      </c>
      <c r="F757" s="205">
        <v>209570137500</v>
      </c>
      <c r="G757" s="205">
        <v>971041232700</v>
      </c>
    </row>
    <row r="758" spans="1:7">
      <c r="A758" s="2102">
        <v>43269</v>
      </c>
      <c r="B758" s="211">
        <f t="shared" si="41"/>
        <v>2018</v>
      </c>
      <c r="C758" s="211">
        <f t="shared" si="42"/>
        <v>6</v>
      </c>
      <c r="D758" s="205">
        <v>7651785000000</v>
      </c>
      <c r="E758" s="205">
        <v>97368343000</v>
      </c>
      <c r="F758" s="205">
        <v>199632362500</v>
      </c>
      <c r="G758" s="205">
        <v>1024287360900</v>
      </c>
    </row>
    <row r="759" spans="1:7">
      <c r="A759" s="2102">
        <v>43266</v>
      </c>
      <c r="B759" s="211">
        <f t="shared" si="41"/>
        <v>2018</v>
      </c>
      <c r="C759" s="211">
        <f t="shared" si="42"/>
        <v>6</v>
      </c>
      <c r="D759" s="205">
        <v>7689525000000</v>
      </c>
      <c r="E759" s="205">
        <v>95161695000</v>
      </c>
      <c r="F759" s="205">
        <v>203432100000</v>
      </c>
      <c r="G759" s="205">
        <v>1076132275200</v>
      </c>
    </row>
    <row r="760" spans="1:7">
      <c r="A760" s="2102">
        <v>43265</v>
      </c>
      <c r="B760" s="211">
        <f t="shared" si="41"/>
        <v>2018</v>
      </c>
      <c r="C760" s="211">
        <f t="shared" si="42"/>
        <v>6</v>
      </c>
      <c r="D760" s="205">
        <v>7765005000000</v>
      </c>
      <c r="E760" s="205">
        <v>89231328500</v>
      </c>
      <c r="F760" s="205">
        <v>203139812500</v>
      </c>
      <c r="G760" s="205">
        <v>1097150483700</v>
      </c>
    </row>
    <row r="761" spans="1:7">
      <c r="A761" s="2102">
        <v>43263</v>
      </c>
      <c r="B761" s="211">
        <f t="shared" si="41"/>
        <v>2018</v>
      </c>
      <c r="C761" s="211">
        <f t="shared" si="42"/>
        <v>6</v>
      </c>
      <c r="D761" s="205">
        <v>8076360000000</v>
      </c>
      <c r="E761" s="205">
        <v>94472117500</v>
      </c>
      <c r="F761" s="205">
        <v>205185825000</v>
      </c>
      <c r="G761" s="205">
        <v>1133582045100</v>
      </c>
    </row>
    <row r="762" spans="1:7">
      <c r="A762" s="2102">
        <v>43262</v>
      </c>
      <c r="B762" s="211">
        <f t="shared" si="41"/>
        <v>2018</v>
      </c>
      <c r="C762" s="211">
        <f t="shared" si="42"/>
        <v>6</v>
      </c>
      <c r="D762" s="205">
        <v>8085795000000</v>
      </c>
      <c r="E762" s="205">
        <v>95299610500</v>
      </c>
      <c r="F762" s="205">
        <v>208400987500</v>
      </c>
      <c r="G762" s="205">
        <v>1144791756300</v>
      </c>
    </row>
    <row r="763" spans="1:7">
      <c r="A763" s="2102">
        <v>43259</v>
      </c>
      <c r="B763" s="211">
        <f t="shared" si="41"/>
        <v>2018</v>
      </c>
      <c r="C763" s="211">
        <f t="shared" si="42"/>
        <v>6</v>
      </c>
      <c r="D763" s="205">
        <v>8085795000000</v>
      </c>
      <c r="E763" s="205">
        <v>92403385000</v>
      </c>
      <c r="F763" s="205">
        <v>203432100000</v>
      </c>
      <c r="G763" s="205">
        <v>1130779617300</v>
      </c>
    </row>
    <row r="764" spans="1:7">
      <c r="A764" s="2102">
        <v>43258</v>
      </c>
      <c r="B764" s="211">
        <f t="shared" si="41"/>
        <v>2018</v>
      </c>
      <c r="C764" s="211">
        <f t="shared" si="42"/>
        <v>6</v>
      </c>
      <c r="D764" s="205">
        <v>8132970000000</v>
      </c>
      <c r="E764" s="205">
        <v>94747948500</v>
      </c>
      <c r="F764" s="205">
        <v>206647262500</v>
      </c>
      <c r="G764" s="205">
        <v>1144791756300</v>
      </c>
    </row>
    <row r="765" spans="1:7">
      <c r="A765" s="2102">
        <v>43256</v>
      </c>
      <c r="B765" s="211">
        <f t="shared" si="41"/>
        <v>2018</v>
      </c>
      <c r="C765" s="211">
        <f t="shared" si="42"/>
        <v>6</v>
      </c>
      <c r="D765" s="205">
        <v>7859355000000</v>
      </c>
      <c r="E765" s="205">
        <v>91162145500</v>
      </c>
      <c r="F765" s="205">
        <v>199047787500</v>
      </c>
      <c r="G765" s="205">
        <v>1063521350100</v>
      </c>
    </row>
    <row r="766" spans="1:7">
      <c r="A766" s="2102">
        <v>43255</v>
      </c>
      <c r="B766" s="211">
        <f t="shared" si="41"/>
        <v>2018</v>
      </c>
      <c r="C766" s="211">
        <f t="shared" si="42"/>
        <v>6</v>
      </c>
      <c r="D766" s="205">
        <v>7953705000000</v>
      </c>
      <c r="E766" s="205">
        <v>92817131500</v>
      </c>
      <c r="F766" s="205">
        <v>200801512500</v>
      </c>
      <c r="G766" s="205">
        <v>1052311638900</v>
      </c>
    </row>
    <row r="767" spans="1:7">
      <c r="A767" s="2102">
        <v>43252</v>
      </c>
      <c r="B767" s="211">
        <f t="shared" si="41"/>
        <v>2018</v>
      </c>
      <c r="C767" s="211">
        <f t="shared" si="42"/>
        <v>6</v>
      </c>
      <c r="D767" s="205">
        <v>7897095000000</v>
      </c>
      <c r="E767" s="205">
        <v>94196286500</v>
      </c>
      <c r="F767" s="205">
        <v>201678375000</v>
      </c>
      <c r="G767" s="205">
        <v>1018682505300</v>
      </c>
    </row>
    <row r="768" spans="1:7">
      <c r="A768" s="2102">
        <v>43251</v>
      </c>
      <c r="B768" s="211">
        <f t="shared" si="41"/>
        <v>2018</v>
      </c>
      <c r="C768" s="211">
        <f t="shared" si="42"/>
        <v>5</v>
      </c>
      <c r="D768" s="205">
        <v>7651785000000</v>
      </c>
      <c r="E768" s="205">
        <v>96540850000</v>
      </c>
      <c r="F768" s="205">
        <v>207524125000</v>
      </c>
      <c r="G768" s="205">
        <v>1007472794100</v>
      </c>
    </row>
    <row r="769" spans="1:7">
      <c r="A769" s="2102">
        <v>43250</v>
      </c>
      <c r="B769" s="211">
        <f t="shared" si="41"/>
        <v>2018</v>
      </c>
      <c r="C769" s="211">
        <f t="shared" si="42"/>
        <v>5</v>
      </c>
      <c r="D769" s="205">
        <v>7651785000000</v>
      </c>
      <c r="E769" s="205">
        <v>91851723000</v>
      </c>
      <c r="F769" s="205">
        <v>201678375000</v>
      </c>
      <c r="G769" s="205">
        <v>1020083719200</v>
      </c>
    </row>
    <row r="770" spans="1:7">
      <c r="A770" s="2102">
        <v>43249</v>
      </c>
      <c r="B770" s="211">
        <f t="shared" si="41"/>
        <v>2018</v>
      </c>
      <c r="C770" s="211">
        <f t="shared" si="42"/>
        <v>5</v>
      </c>
      <c r="D770" s="205">
        <v>7887660000000</v>
      </c>
      <c r="E770" s="205">
        <v>92403385000</v>
      </c>
      <c r="F770" s="205">
        <v>203724387500</v>
      </c>
      <c r="G770" s="205">
        <v>1050910425000</v>
      </c>
    </row>
    <row r="771" spans="1:7">
      <c r="A771" s="2102">
        <v>43248</v>
      </c>
      <c r="B771" s="211">
        <f t="shared" si="41"/>
        <v>2018</v>
      </c>
      <c r="C771" s="211">
        <f t="shared" si="42"/>
        <v>5</v>
      </c>
      <c r="D771" s="205">
        <v>8048055000000</v>
      </c>
      <c r="E771" s="205">
        <v>95851272500</v>
      </c>
      <c r="F771" s="205">
        <v>208400987500</v>
      </c>
      <c r="G771" s="205">
        <v>1063521350100</v>
      </c>
    </row>
    <row r="772" spans="1:7">
      <c r="A772" s="2102">
        <v>43245</v>
      </c>
      <c r="B772" s="211">
        <f t="shared" si="41"/>
        <v>2018</v>
      </c>
      <c r="C772" s="211">
        <f t="shared" si="42"/>
        <v>5</v>
      </c>
      <c r="D772" s="205">
        <v>8095230000000</v>
      </c>
      <c r="E772" s="205">
        <v>84955948000</v>
      </c>
      <c r="F772" s="205">
        <v>187064000000</v>
      </c>
      <c r="G772" s="205">
        <v>1056515280600</v>
      </c>
    </row>
    <row r="773" spans="1:7">
      <c r="A773" s="2102">
        <v>43244</v>
      </c>
      <c r="B773" s="211">
        <f t="shared" si="41"/>
        <v>2018</v>
      </c>
      <c r="C773" s="211">
        <f t="shared" si="42"/>
        <v>5</v>
      </c>
      <c r="D773" s="205">
        <v>8142405000000</v>
      </c>
      <c r="E773" s="205">
        <v>93230878000</v>
      </c>
      <c r="F773" s="205">
        <v>209570137500</v>
      </c>
      <c r="G773" s="205">
        <v>1069126205700</v>
      </c>
    </row>
    <row r="774" spans="1:7">
      <c r="A774" s="2102">
        <v>43243</v>
      </c>
      <c r="B774" s="211">
        <f t="shared" si="41"/>
        <v>2018</v>
      </c>
      <c r="C774" s="211">
        <f t="shared" si="42"/>
        <v>5</v>
      </c>
      <c r="D774" s="205">
        <v>8104665000000</v>
      </c>
      <c r="E774" s="205">
        <v>96816681000</v>
      </c>
      <c r="F774" s="205">
        <v>216292750000</v>
      </c>
      <c r="G774" s="205">
        <v>1091545628100</v>
      </c>
    </row>
    <row r="775" spans="1:7">
      <c r="A775" s="2102">
        <v>43241</v>
      </c>
      <c r="B775" s="211">
        <f t="shared" si="41"/>
        <v>2018</v>
      </c>
      <c r="C775" s="211">
        <f t="shared" si="42"/>
        <v>5</v>
      </c>
      <c r="D775" s="205">
        <v>8274495000000</v>
      </c>
      <c r="E775" s="205">
        <v>98471667000</v>
      </c>
      <c r="F775" s="205">
        <v>213954450000</v>
      </c>
      <c r="G775" s="205">
        <v>1112563836600</v>
      </c>
    </row>
    <row r="776" spans="1:7">
      <c r="A776" s="2102">
        <v>43238</v>
      </c>
      <c r="B776" s="211">
        <f t="shared" si="41"/>
        <v>2018</v>
      </c>
      <c r="C776" s="211">
        <f t="shared" si="42"/>
        <v>5</v>
      </c>
      <c r="D776" s="205">
        <v>8368845000000</v>
      </c>
      <c r="E776" s="205">
        <v>102884963000</v>
      </c>
      <c r="F776" s="205">
        <v>218631050000</v>
      </c>
      <c r="G776" s="205">
        <v>1133582045100</v>
      </c>
    </row>
    <row r="777" spans="1:7">
      <c r="A777" s="2102">
        <v>43237</v>
      </c>
      <c r="B777" s="211">
        <f t="shared" si="41"/>
        <v>2018</v>
      </c>
      <c r="C777" s="211">
        <f t="shared" si="42"/>
        <v>5</v>
      </c>
      <c r="D777" s="205">
        <v>8416020000000</v>
      </c>
      <c r="E777" s="205">
        <v>103988287000</v>
      </c>
      <c r="F777" s="205">
        <v>210154712500</v>
      </c>
      <c r="G777" s="205">
        <v>1123773547800</v>
      </c>
    </row>
    <row r="778" spans="1:7">
      <c r="A778" s="2102">
        <v>43236</v>
      </c>
      <c r="B778" s="211">
        <f t="shared" ref="B778:B841" si="43">YEAR(A778)</f>
        <v>2018</v>
      </c>
      <c r="C778" s="211">
        <f t="shared" ref="C778:C841" si="44">MONTH(A778)</f>
        <v>5</v>
      </c>
      <c r="D778" s="205">
        <v>8425455000000</v>
      </c>
      <c r="E778" s="205">
        <v>93092962500</v>
      </c>
      <c r="F778" s="205">
        <v>197294062500</v>
      </c>
      <c r="G778" s="205">
        <v>1127977189500</v>
      </c>
    </row>
    <row r="779" spans="1:7">
      <c r="A779" s="2102">
        <v>43235</v>
      </c>
      <c r="B779" s="211">
        <f t="shared" si="43"/>
        <v>2018</v>
      </c>
      <c r="C779" s="211">
        <f t="shared" si="44"/>
        <v>5</v>
      </c>
      <c r="D779" s="205">
        <v>8472630000000</v>
      </c>
      <c r="E779" s="205">
        <v>101229977000</v>
      </c>
      <c r="F779" s="205">
        <v>214831312500</v>
      </c>
      <c r="G779" s="205">
        <v>1168612392600</v>
      </c>
    </row>
    <row r="780" spans="1:7">
      <c r="A780" s="2102">
        <v>43234</v>
      </c>
      <c r="B780" s="211">
        <f t="shared" si="43"/>
        <v>2018</v>
      </c>
      <c r="C780" s="211">
        <f t="shared" si="44"/>
        <v>5</v>
      </c>
      <c r="D780" s="205">
        <v>8585850000000</v>
      </c>
      <c r="E780" s="205">
        <v>102057470000</v>
      </c>
      <c r="F780" s="205">
        <v>206939550000</v>
      </c>
      <c r="G780" s="205">
        <v>1175618462100</v>
      </c>
    </row>
    <row r="781" spans="1:7">
      <c r="A781" s="2102">
        <v>43231</v>
      </c>
      <c r="B781" s="211">
        <f t="shared" si="43"/>
        <v>2018</v>
      </c>
      <c r="C781" s="211">
        <f t="shared" si="44"/>
        <v>5</v>
      </c>
      <c r="D781" s="205">
        <v>8255625000000</v>
      </c>
      <c r="E781" s="205">
        <v>87714258000</v>
      </c>
      <c r="F781" s="205">
        <v>185602562500</v>
      </c>
      <c r="G781" s="205">
        <v>1127977189500</v>
      </c>
    </row>
    <row r="782" spans="1:7">
      <c r="A782" s="2102">
        <v>43230</v>
      </c>
      <c r="B782" s="211">
        <f t="shared" si="43"/>
        <v>2018</v>
      </c>
      <c r="C782" s="211">
        <f t="shared" si="44"/>
        <v>5</v>
      </c>
      <c r="D782" s="205">
        <v>8208450000000</v>
      </c>
      <c r="E782" s="205">
        <v>85645525500</v>
      </c>
      <c r="F782" s="205">
        <v>179756812500</v>
      </c>
      <c r="G782" s="205">
        <v>1063521350100</v>
      </c>
    </row>
    <row r="783" spans="1:7">
      <c r="A783" s="2102">
        <v>43229</v>
      </c>
      <c r="B783" s="211">
        <f t="shared" si="43"/>
        <v>2018</v>
      </c>
      <c r="C783" s="211">
        <f t="shared" si="44"/>
        <v>5</v>
      </c>
      <c r="D783" s="205">
        <v>8095230000000</v>
      </c>
      <c r="E783" s="205">
        <v>85507610000</v>
      </c>
      <c r="F783" s="205">
        <v>169819037500</v>
      </c>
      <c r="G783" s="205">
        <v>1035497072100</v>
      </c>
    </row>
    <row r="784" spans="1:7">
      <c r="A784" s="2102">
        <v>43228</v>
      </c>
      <c r="B784" s="211">
        <f t="shared" si="43"/>
        <v>2018</v>
      </c>
      <c r="C784" s="211">
        <f t="shared" si="44"/>
        <v>5</v>
      </c>
      <c r="D784" s="205">
        <v>8170710000000</v>
      </c>
      <c r="E784" s="205">
        <v>86748849500</v>
      </c>
      <c r="F784" s="205">
        <v>168065312500</v>
      </c>
      <c r="G784" s="205">
        <v>1042503141600</v>
      </c>
    </row>
    <row r="785" spans="1:7">
      <c r="A785" s="2102">
        <v>43224</v>
      </c>
      <c r="B785" s="211">
        <f t="shared" si="43"/>
        <v>2018</v>
      </c>
      <c r="C785" s="211">
        <f t="shared" si="44"/>
        <v>5</v>
      </c>
      <c r="D785" s="205">
        <v>8368845000000</v>
      </c>
      <c r="E785" s="205">
        <v>89507159500</v>
      </c>
      <c r="F785" s="205">
        <v>168357600000</v>
      </c>
      <c r="G785" s="205">
        <v>1039700713800</v>
      </c>
    </row>
    <row r="786" spans="1:7">
      <c r="A786" s="2102">
        <v>43223</v>
      </c>
      <c r="B786" s="211">
        <f t="shared" si="43"/>
        <v>2018</v>
      </c>
      <c r="C786" s="211">
        <f t="shared" si="44"/>
        <v>5</v>
      </c>
      <c r="D786" s="205">
        <v>8189580000000</v>
      </c>
      <c r="E786" s="205">
        <v>87714258000</v>
      </c>
      <c r="F786" s="205">
        <v>167480737500</v>
      </c>
      <c r="G786" s="205">
        <v>1057916494500</v>
      </c>
    </row>
    <row r="787" spans="1:7">
      <c r="A787" s="2102">
        <v>43222</v>
      </c>
      <c r="B787" s="211">
        <f t="shared" si="43"/>
        <v>2018</v>
      </c>
      <c r="C787" s="211">
        <f t="shared" si="44"/>
        <v>5</v>
      </c>
      <c r="D787" s="205">
        <v>8114100000000</v>
      </c>
      <c r="E787" s="205">
        <v>88955497500</v>
      </c>
      <c r="F787" s="205">
        <v>166603875000</v>
      </c>
      <c r="G787" s="205">
        <v>1062120136200</v>
      </c>
    </row>
    <row r="788" spans="1:7">
      <c r="A788" s="2102">
        <v>43220</v>
      </c>
      <c r="B788" s="211">
        <f t="shared" si="43"/>
        <v>2018</v>
      </c>
      <c r="C788" s="211">
        <f t="shared" si="44"/>
        <v>4</v>
      </c>
      <c r="D788" s="205">
        <v>8180145000000</v>
      </c>
      <c r="E788" s="205">
        <v>84404286000</v>
      </c>
      <c r="F788" s="205">
        <v>165434725000</v>
      </c>
      <c r="G788" s="205">
        <v>1069126205700</v>
      </c>
    </row>
    <row r="789" spans="1:7">
      <c r="A789" s="2102">
        <v>43217</v>
      </c>
      <c r="B789" s="211">
        <f t="shared" si="43"/>
        <v>2018</v>
      </c>
      <c r="C789" s="211">
        <f t="shared" si="44"/>
        <v>4</v>
      </c>
      <c r="D789" s="205">
        <v>8085795000000</v>
      </c>
      <c r="E789" s="205">
        <v>82335553500</v>
      </c>
      <c r="F789" s="205">
        <v>163681000000</v>
      </c>
      <c r="G789" s="205">
        <v>1053712852800</v>
      </c>
    </row>
    <row r="790" spans="1:7">
      <c r="A790" s="2102">
        <v>43216</v>
      </c>
      <c r="B790" s="211">
        <f t="shared" si="43"/>
        <v>2018</v>
      </c>
      <c r="C790" s="211">
        <f t="shared" si="44"/>
        <v>4</v>
      </c>
      <c r="D790" s="205">
        <v>8142405000000</v>
      </c>
      <c r="E790" s="205">
        <v>83025131000</v>
      </c>
      <c r="F790" s="205">
        <v>163096425000</v>
      </c>
      <c r="G790" s="205">
        <v>1057916494500</v>
      </c>
    </row>
    <row r="791" spans="1:7">
      <c r="A791" s="2102">
        <v>43215</v>
      </c>
      <c r="B791" s="211">
        <f t="shared" si="43"/>
        <v>2018</v>
      </c>
      <c r="C791" s="211">
        <f t="shared" si="44"/>
        <v>4</v>
      </c>
      <c r="D791" s="205">
        <v>8057490000000</v>
      </c>
      <c r="E791" s="205">
        <v>80680567500</v>
      </c>
      <c r="F791" s="205">
        <v>162804137500</v>
      </c>
      <c r="G791" s="205">
        <v>1050910425000</v>
      </c>
    </row>
    <row r="792" spans="1:7">
      <c r="A792" s="2102">
        <v>43214</v>
      </c>
      <c r="B792" s="211">
        <f t="shared" si="43"/>
        <v>2018</v>
      </c>
      <c r="C792" s="211">
        <f t="shared" si="44"/>
        <v>4</v>
      </c>
      <c r="D792" s="205">
        <v>8340540000000</v>
      </c>
      <c r="E792" s="205">
        <v>81094314000</v>
      </c>
      <c r="F792" s="205">
        <v>165434725000</v>
      </c>
      <c r="G792" s="205">
        <v>1078934703000</v>
      </c>
    </row>
    <row r="793" spans="1:7">
      <c r="A793" s="2102">
        <v>43213</v>
      </c>
      <c r="B793" s="211">
        <f t="shared" si="43"/>
        <v>2018</v>
      </c>
      <c r="C793" s="211">
        <f t="shared" si="44"/>
        <v>4</v>
      </c>
      <c r="D793" s="205">
        <v>8312235000000</v>
      </c>
      <c r="E793" s="205">
        <v>80404736500</v>
      </c>
      <c r="F793" s="205">
        <v>163973287500</v>
      </c>
      <c r="G793" s="205">
        <v>1087341986400</v>
      </c>
    </row>
    <row r="794" spans="1:7">
      <c r="A794" s="2102">
        <v>43210</v>
      </c>
      <c r="B794" s="211">
        <f t="shared" si="43"/>
        <v>2018</v>
      </c>
      <c r="C794" s="211">
        <f t="shared" si="44"/>
        <v>4</v>
      </c>
      <c r="D794" s="205">
        <v>8321670000000</v>
      </c>
      <c r="E794" s="205">
        <v>76681018000</v>
      </c>
      <c r="F794" s="205">
        <v>167188450000</v>
      </c>
      <c r="G794" s="205">
        <v>1106958981000</v>
      </c>
    </row>
    <row r="795" spans="1:7">
      <c r="A795" s="2102">
        <v>43209</v>
      </c>
      <c r="B795" s="211">
        <f t="shared" si="43"/>
        <v>2018</v>
      </c>
      <c r="C795" s="211">
        <f t="shared" si="44"/>
        <v>4</v>
      </c>
      <c r="D795" s="205">
        <v>8095230000000</v>
      </c>
      <c r="E795" s="205">
        <v>76543102500</v>
      </c>
      <c r="F795" s="205">
        <v>166019300000</v>
      </c>
      <c r="G795" s="205">
        <v>1109761408800</v>
      </c>
    </row>
    <row r="796" spans="1:7">
      <c r="A796" s="2102">
        <v>43208</v>
      </c>
      <c r="B796" s="211">
        <f t="shared" si="43"/>
        <v>2018</v>
      </c>
      <c r="C796" s="211">
        <f t="shared" si="44"/>
        <v>4</v>
      </c>
      <c r="D796" s="205">
        <v>8142405000000</v>
      </c>
      <c r="E796" s="205">
        <v>76681018000</v>
      </c>
      <c r="F796" s="205">
        <v>166896162500</v>
      </c>
      <c r="G796" s="205">
        <v>1046706783300</v>
      </c>
    </row>
    <row r="797" spans="1:7">
      <c r="A797" s="2102">
        <v>43207</v>
      </c>
      <c r="B797" s="211">
        <f t="shared" si="43"/>
        <v>2018</v>
      </c>
      <c r="C797" s="211">
        <f t="shared" si="44"/>
        <v>4</v>
      </c>
      <c r="D797" s="205">
        <v>8255625000000</v>
      </c>
      <c r="E797" s="205">
        <v>76543102500</v>
      </c>
      <c r="F797" s="205">
        <v>167773025000</v>
      </c>
      <c r="G797" s="205">
        <v>1048107997200</v>
      </c>
    </row>
    <row r="798" spans="1:7">
      <c r="A798" s="2102">
        <v>43206</v>
      </c>
      <c r="B798" s="211">
        <f t="shared" si="43"/>
        <v>2018</v>
      </c>
      <c r="C798" s="211">
        <f t="shared" si="44"/>
        <v>4</v>
      </c>
      <c r="D798" s="205">
        <v>8378280000000</v>
      </c>
      <c r="E798" s="205">
        <v>76267271500</v>
      </c>
      <c r="F798" s="205">
        <v>168065312500</v>
      </c>
      <c r="G798" s="205">
        <v>1045305569400</v>
      </c>
    </row>
    <row r="799" spans="1:7">
      <c r="A799" s="2102">
        <v>43203</v>
      </c>
      <c r="B799" s="211">
        <f t="shared" si="43"/>
        <v>2018</v>
      </c>
      <c r="C799" s="211">
        <f t="shared" si="44"/>
        <v>4</v>
      </c>
      <c r="D799" s="205">
        <v>8510370000000</v>
      </c>
      <c r="E799" s="205">
        <v>75991440500</v>
      </c>
      <c r="F799" s="205">
        <v>165434725000</v>
      </c>
      <c r="G799" s="205">
        <v>1043904355500</v>
      </c>
    </row>
    <row r="800" spans="1:7">
      <c r="A800" s="2102">
        <v>43202</v>
      </c>
      <c r="B800" s="211">
        <f t="shared" si="43"/>
        <v>2018</v>
      </c>
      <c r="C800" s="211">
        <f t="shared" si="44"/>
        <v>4</v>
      </c>
      <c r="D800" s="205">
        <v>8699070000000</v>
      </c>
      <c r="E800" s="205">
        <v>76129356000</v>
      </c>
      <c r="F800" s="205">
        <v>165142437500</v>
      </c>
      <c r="G800" s="205">
        <v>1063521350100</v>
      </c>
    </row>
    <row r="801" spans="1:7">
      <c r="A801" s="2102">
        <v>43201</v>
      </c>
      <c r="B801" s="211">
        <f t="shared" si="43"/>
        <v>2018</v>
      </c>
      <c r="C801" s="211">
        <f t="shared" si="44"/>
        <v>4</v>
      </c>
      <c r="D801" s="205">
        <v>8529240000000</v>
      </c>
      <c r="E801" s="205">
        <v>76818933500</v>
      </c>
      <c r="F801" s="205">
        <v>166311587500</v>
      </c>
      <c r="G801" s="205">
        <v>1048107997200</v>
      </c>
    </row>
    <row r="802" spans="1:7">
      <c r="A802" s="2102">
        <v>43200</v>
      </c>
      <c r="B802" s="211">
        <f t="shared" si="43"/>
        <v>2018</v>
      </c>
      <c r="C802" s="211">
        <f t="shared" si="44"/>
        <v>4</v>
      </c>
      <c r="D802" s="205">
        <v>8642460000000</v>
      </c>
      <c r="E802" s="205">
        <v>76405187000</v>
      </c>
      <c r="F802" s="205">
        <v>166311587500</v>
      </c>
      <c r="G802" s="205">
        <v>1055114066700</v>
      </c>
    </row>
    <row r="803" spans="1:7">
      <c r="A803" s="2102">
        <v>43199</v>
      </c>
      <c r="B803" s="211">
        <f t="shared" si="43"/>
        <v>2018</v>
      </c>
      <c r="C803" s="211">
        <f t="shared" si="44"/>
        <v>4</v>
      </c>
      <c r="D803" s="205">
        <v>8566980000000</v>
      </c>
      <c r="E803" s="205">
        <v>76267271500</v>
      </c>
      <c r="F803" s="205">
        <v>168065312500</v>
      </c>
      <c r="G803" s="205">
        <v>1036898286000</v>
      </c>
    </row>
    <row r="804" spans="1:7">
      <c r="A804" s="2102">
        <v>43196</v>
      </c>
      <c r="B804" s="211">
        <f t="shared" si="43"/>
        <v>2018</v>
      </c>
      <c r="C804" s="211">
        <f t="shared" si="44"/>
        <v>4</v>
      </c>
      <c r="D804" s="205">
        <v>8595285000000</v>
      </c>
      <c r="E804" s="205">
        <v>76681018000</v>
      </c>
      <c r="F804" s="205">
        <v>166896162500</v>
      </c>
      <c r="G804" s="205">
        <v>1060718922300</v>
      </c>
    </row>
    <row r="805" spans="1:7">
      <c r="A805" s="2102">
        <v>43195</v>
      </c>
      <c r="B805" s="211">
        <f t="shared" si="43"/>
        <v>2018</v>
      </c>
      <c r="C805" s="211">
        <f t="shared" si="44"/>
        <v>4</v>
      </c>
      <c r="D805" s="205">
        <v>8746245000000</v>
      </c>
      <c r="E805" s="205">
        <v>75853525000</v>
      </c>
      <c r="F805" s="205">
        <v>168649887500</v>
      </c>
      <c r="G805" s="205">
        <v>1067724991800</v>
      </c>
    </row>
    <row r="806" spans="1:7">
      <c r="A806" s="2102">
        <v>43194</v>
      </c>
      <c r="B806" s="211">
        <f t="shared" si="43"/>
        <v>2018</v>
      </c>
      <c r="C806" s="211">
        <f t="shared" si="44"/>
        <v>4</v>
      </c>
      <c r="D806" s="205">
        <v>8699070000000</v>
      </c>
      <c r="E806" s="205">
        <v>76129356000</v>
      </c>
      <c r="F806" s="205">
        <v>168065312500</v>
      </c>
      <c r="G806" s="205">
        <v>1073329847400</v>
      </c>
    </row>
    <row r="807" spans="1:7">
      <c r="A807" s="2102">
        <v>43193</v>
      </c>
      <c r="B807" s="211">
        <f t="shared" si="43"/>
        <v>2018</v>
      </c>
      <c r="C807" s="211">
        <f t="shared" si="44"/>
        <v>4</v>
      </c>
      <c r="D807" s="205">
        <v>8727375000000</v>
      </c>
      <c r="E807" s="205">
        <v>75715609500</v>
      </c>
      <c r="F807" s="205">
        <v>169234462500</v>
      </c>
      <c r="G807" s="205">
        <v>1092946842000</v>
      </c>
    </row>
    <row r="808" spans="1:7">
      <c r="A808" s="2102">
        <v>43192</v>
      </c>
      <c r="B808" s="211">
        <f t="shared" si="43"/>
        <v>2018</v>
      </c>
      <c r="C808" s="211">
        <f t="shared" si="44"/>
        <v>4</v>
      </c>
      <c r="D808" s="205">
        <v>8887770000000</v>
      </c>
      <c r="E808" s="205">
        <v>76818933500</v>
      </c>
      <c r="F808" s="205">
        <v>168649887500</v>
      </c>
      <c r="G808" s="205">
        <v>1111162622700</v>
      </c>
    </row>
    <row r="809" spans="1:7">
      <c r="A809" s="2102">
        <v>43189</v>
      </c>
      <c r="B809" s="211">
        <f t="shared" si="43"/>
        <v>2018</v>
      </c>
      <c r="C809" s="211">
        <f t="shared" si="44"/>
        <v>3</v>
      </c>
      <c r="D809" s="205">
        <v>9038730000000</v>
      </c>
      <c r="E809" s="205">
        <v>77094764500</v>
      </c>
      <c r="F809" s="205">
        <v>169526750000</v>
      </c>
      <c r="G809" s="205">
        <v>1099952911500</v>
      </c>
    </row>
    <row r="810" spans="1:7">
      <c r="A810" s="2102">
        <v>43188</v>
      </c>
      <c r="B810" s="211">
        <f t="shared" si="43"/>
        <v>2018</v>
      </c>
      <c r="C810" s="211">
        <f t="shared" si="44"/>
        <v>3</v>
      </c>
      <c r="D810" s="205">
        <v>9095340000000</v>
      </c>
      <c r="E810" s="205">
        <v>77508511000</v>
      </c>
      <c r="F810" s="205">
        <v>166311587500</v>
      </c>
      <c r="G810" s="205">
        <v>1077533489100</v>
      </c>
    </row>
    <row r="811" spans="1:7">
      <c r="A811" s="2102">
        <v>43187</v>
      </c>
      <c r="B811" s="211">
        <f t="shared" si="43"/>
        <v>2018</v>
      </c>
      <c r="C811" s="211">
        <f t="shared" si="44"/>
        <v>3</v>
      </c>
      <c r="D811" s="205">
        <v>9076470000000</v>
      </c>
      <c r="E811" s="205">
        <v>76956849000</v>
      </c>
      <c r="F811" s="205">
        <v>167188450000</v>
      </c>
      <c r="G811" s="205">
        <v>1094348055900</v>
      </c>
    </row>
    <row r="812" spans="1:7">
      <c r="A812" s="2102">
        <v>43186</v>
      </c>
      <c r="B812" s="211">
        <f t="shared" si="43"/>
        <v>2018</v>
      </c>
      <c r="C812" s="211">
        <f t="shared" si="44"/>
        <v>3</v>
      </c>
      <c r="D812" s="205">
        <v>9123645000000</v>
      </c>
      <c r="E812" s="205">
        <v>77232680000</v>
      </c>
      <c r="F812" s="205">
        <v>165142437500</v>
      </c>
      <c r="G812" s="205">
        <v>1104156553200</v>
      </c>
    </row>
    <row r="813" spans="1:7">
      <c r="A813" s="2102">
        <v>43185</v>
      </c>
      <c r="B813" s="211">
        <f t="shared" si="43"/>
        <v>2018</v>
      </c>
      <c r="C813" s="211">
        <f t="shared" si="44"/>
        <v>3</v>
      </c>
      <c r="D813" s="205">
        <v>8972685000000</v>
      </c>
      <c r="E813" s="205">
        <v>76543102500</v>
      </c>
      <c r="F813" s="205">
        <v>164265575000</v>
      </c>
      <c r="G813" s="205">
        <v>1099952911500</v>
      </c>
    </row>
    <row r="814" spans="1:7">
      <c r="A814" s="2102">
        <v>43182</v>
      </c>
      <c r="B814" s="211">
        <f t="shared" si="43"/>
        <v>2018</v>
      </c>
      <c r="C814" s="211">
        <f t="shared" si="44"/>
        <v>3</v>
      </c>
      <c r="D814" s="205">
        <v>9000990000000</v>
      </c>
      <c r="E814" s="205">
        <v>76267271500</v>
      </c>
      <c r="F814" s="205">
        <v>163096425000</v>
      </c>
      <c r="G814" s="205">
        <v>1081737130800</v>
      </c>
    </row>
    <row r="815" spans="1:7">
      <c r="A815" s="2102">
        <v>43181</v>
      </c>
      <c r="B815" s="211">
        <f t="shared" si="43"/>
        <v>2018</v>
      </c>
      <c r="C815" s="211">
        <f t="shared" si="44"/>
        <v>3</v>
      </c>
      <c r="D815" s="205">
        <v>9217995000000</v>
      </c>
      <c r="E815" s="205">
        <v>77922257500</v>
      </c>
      <c r="F815" s="205">
        <v>165434725000</v>
      </c>
      <c r="G815" s="205">
        <v>1120971120000</v>
      </c>
    </row>
    <row r="816" spans="1:7">
      <c r="A816" s="2102">
        <v>43180</v>
      </c>
      <c r="B816" s="211">
        <f t="shared" si="43"/>
        <v>2018</v>
      </c>
      <c r="C816" s="211">
        <f t="shared" si="44"/>
        <v>3</v>
      </c>
      <c r="D816" s="205">
        <v>9180255000000</v>
      </c>
      <c r="E816" s="205">
        <v>76129356000</v>
      </c>
      <c r="F816" s="205">
        <v>164850150000</v>
      </c>
      <c r="G816" s="205">
        <v>1125174761700</v>
      </c>
    </row>
    <row r="817" spans="1:7">
      <c r="A817" s="2102">
        <v>43179</v>
      </c>
      <c r="B817" s="211">
        <f t="shared" si="43"/>
        <v>2018</v>
      </c>
      <c r="C817" s="211">
        <f t="shared" si="44"/>
        <v>3</v>
      </c>
      <c r="D817" s="205">
        <v>9019860000000</v>
      </c>
      <c r="E817" s="205">
        <v>75853525000</v>
      </c>
      <c r="F817" s="205">
        <v>165434725000</v>
      </c>
      <c r="G817" s="205">
        <v>1143390542400</v>
      </c>
    </row>
    <row r="818" spans="1:7">
      <c r="A818" s="2102">
        <v>43178</v>
      </c>
      <c r="B818" s="211">
        <f t="shared" si="43"/>
        <v>2018</v>
      </c>
      <c r="C818" s="211">
        <f t="shared" si="44"/>
        <v>3</v>
      </c>
      <c r="D818" s="205">
        <v>8982120000000</v>
      </c>
      <c r="E818" s="205">
        <v>75991440500</v>
      </c>
      <c r="F818" s="205">
        <v>167773025000</v>
      </c>
      <c r="G818" s="205">
        <v>1163007537000</v>
      </c>
    </row>
    <row r="819" spans="1:7">
      <c r="A819" s="2102">
        <v>43175</v>
      </c>
      <c r="B819" s="211">
        <f t="shared" si="43"/>
        <v>2018</v>
      </c>
      <c r="C819" s="211">
        <f t="shared" si="44"/>
        <v>3</v>
      </c>
      <c r="D819" s="205">
        <v>9057600000000</v>
      </c>
      <c r="E819" s="205">
        <v>75991440500</v>
      </c>
      <c r="F819" s="205">
        <v>169526750000</v>
      </c>
      <c r="G819" s="205">
        <v>1157402681400</v>
      </c>
    </row>
    <row r="820" spans="1:7">
      <c r="A820" s="2102">
        <v>43174</v>
      </c>
      <c r="B820" s="211">
        <f t="shared" si="43"/>
        <v>2018</v>
      </c>
      <c r="C820" s="211">
        <f t="shared" si="44"/>
        <v>3</v>
      </c>
      <c r="D820" s="205">
        <v>9133080000000</v>
      </c>
      <c r="E820" s="205">
        <v>75301863000</v>
      </c>
      <c r="F820" s="205">
        <v>168357600000</v>
      </c>
      <c r="G820" s="205">
        <v>1174217248200</v>
      </c>
    </row>
    <row r="821" spans="1:7">
      <c r="A821" s="2102">
        <v>43173</v>
      </c>
      <c r="B821" s="211">
        <f t="shared" si="43"/>
        <v>2018</v>
      </c>
      <c r="C821" s="211">
        <f t="shared" si="44"/>
        <v>3</v>
      </c>
      <c r="D821" s="205">
        <v>9161385000000</v>
      </c>
      <c r="E821" s="205">
        <v>75301863000</v>
      </c>
      <c r="F821" s="205">
        <v>166603875000</v>
      </c>
      <c r="G821" s="205">
        <v>1143390542400</v>
      </c>
    </row>
    <row r="822" spans="1:7">
      <c r="A822" s="2102">
        <v>43172</v>
      </c>
      <c r="B822" s="211">
        <f t="shared" si="43"/>
        <v>2018</v>
      </c>
      <c r="C822" s="211">
        <f t="shared" si="44"/>
        <v>3</v>
      </c>
      <c r="D822" s="205">
        <v>9236865000000</v>
      </c>
      <c r="E822" s="205">
        <v>73646877000</v>
      </c>
      <c r="F822" s="205">
        <v>166019300000</v>
      </c>
      <c r="G822" s="205">
        <v>1160205109200</v>
      </c>
    </row>
    <row r="823" spans="1:7">
      <c r="A823" s="2102">
        <v>43171</v>
      </c>
      <c r="B823" s="211">
        <f t="shared" si="43"/>
        <v>2018</v>
      </c>
      <c r="C823" s="211">
        <f t="shared" si="44"/>
        <v>3</v>
      </c>
      <c r="D823" s="205">
        <v>9350085000000</v>
      </c>
      <c r="E823" s="205">
        <v>73508961500</v>
      </c>
      <c r="F823" s="205">
        <v>159004400000</v>
      </c>
      <c r="G823" s="205">
        <v>1161606323100</v>
      </c>
    </row>
    <row r="824" spans="1:7">
      <c r="A824" s="2102">
        <v>43168</v>
      </c>
      <c r="B824" s="211">
        <f t="shared" si="43"/>
        <v>2018</v>
      </c>
      <c r="C824" s="211">
        <f t="shared" si="44"/>
        <v>3</v>
      </c>
      <c r="D824" s="205">
        <v>9387825000000</v>
      </c>
      <c r="E824" s="205">
        <v>72819384000</v>
      </c>
      <c r="F824" s="205">
        <v>158419825000</v>
      </c>
      <c r="G824" s="205">
        <v>1154600253600</v>
      </c>
    </row>
    <row r="825" spans="1:7">
      <c r="A825" s="2102">
        <v>43167</v>
      </c>
      <c r="B825" s="211">
        <f t="shared" si="43"/>
        <v>2018</v>
      </c>
      <c r="C825" s="211">
        <f t="shared" si="44"/>
        <v>3</v>
      </c>
      <c r="D825" s="205">
        <v>9435000000000</v>
      </c>
      <c r="E825" s="205">
        <v>73095215000</v>
      </c>
      <c r="F825" s="205">
        <v>157835250000</v>
      </c>
      <c r="G825" s="205">
        <v>1165809964800</v>
      </c>
    </row>
    <row r="826" spans="1:7">
      <c r="A826" s="2102">
        <v>43166</v>
      </c>
      <c r="B826" s="211">
        <f t="shared" si="43"/>
        <v>2018</v>
      </c>
      <c r="C826" s="211">
        <f t="shared" si="44"/>
        <v>3</v>
      </c>
      <c r="D826" s="205">
        <v>9567090000000</v>
      </c>
      <c r="E826" s="205">
        <v>72681468500</v>
      </c>
      <c r="F826" s="205">
        <v>156373812500</v>
      </c>
      <c r="G826" s="205">
        <v>1132180831200</v>
      </c>
    </row>
    <row r="827" spans="1:7">
      <c r="A827" s="2102">
        <v>43165</v>
      </c>
      <c r="B827" s="211">
        <f t="shared" si="43"/>
        <v>2018</v>
      </c>
      <c r="C827" s="211">
        <f t="shared" si="44"/>
        <v>3</v>
      </c>
      <c r="D827" s="205">
        <v>9274605000000</v>
      </c>
      <c r="E827" s="205">
        <v>72405637500</v>
      </c>
      <c r="F827" s="205">
        <v>155204662500</v>
      </c>
      <c r="G827" s="205">
        <v>1154600253600</v>
      </c>
    </row>
    <row r="828" spans="1:7">
      <c r="A828" s="2102">
        <v>43164</v>
      </c>
      <c r="B828" s="211">
        <f t="shared" si="43"/>
        <v>2018</v>
      </c>
      <c r="C828" s="211">
        <f t="shared" si="44"/>
        <v>3</v>
      </c>
      <c r="D828" s="205">
        <v>9274605000000</v>
      </c>
      <c r="E828" s="205">
        <v>72957299500</v>
      </c>
      <c r="F828" s="205">
        <v>155204662500</v>
      </c>
      <c r="G828" s="205">
        <v>1130779617300</v>
      </c>
    </row>
    <row r="829" spans="1:7">
      <c r="A829" s="2102">
        <v>43161</v>
      </c>
      <c r="B829" s="211">
        <f t="shared" si="43"/>
        <v>2018</v>
      </c>
      <c r="C829" s="211">
        <f t="shared" si="44"/>
        <v>3</v>
      </c>
      <c r="D829" s="205">
        <v>9453870000000</v>
      </c>
      <c r="E829" s="205">
        <v>72405637500</v>
      </c>
      <c r="F829" s="205">
        <v>154912375000</v>
      </c>
      <c r="G829" s="205">
        <v>1182624531600</v>
      </c>
    </row>
    <row r="830" spans="1:7">
      <c r="A830" s="2102">
        <v>43159</v>
      </c>
      <c r="B830" s="211">
        <f t="shared" si="43"/>
        <v>2018</v>
      </c>
      <c r="C830" s="211">
        <f t="shared" si="44"/>
        <v>2</v>
      </c>
      <c r="D830" s="205">
        <v>9661440000000</v>
      </c>
      <c r="E830" s="205">
        <v>72267722000</v>
      </c>
      <c r="F830" s="205">
        <v>154327800000</v>
      </c>
      <c r="G830" s="205">
        <v>1206445167900</v>
      </c>
    </row>
    <row r="831" spans="1:7">
      <c r="A831" s="2102">
        <v>43158</v>
      </c>
      <c r="B831" s="211">
        <f t="shared" si="43"/>
        <v>2018</v>
      </c>
      <c r="C831" s="211">
        <f t="shared" si="44"/>
        <v>2</v>
      </c>
      <c r="D831" s="205">
        <v>9755790000000</v>
      </c>
      <c r="E831" s="205">
        <v>73095215000</v>
      </c>
      <c r="F831" s="205">
        <v>154327800000</v>
      </c>
      <c r="G831" s="205">
        <v>1238673087600</v>
      </c>
    </row>
    <row r="832" spans="1:7">
      <c r="A832" s="2102">
        <v>43157</v>
      </c>
      <c r="B832" s="211">
        <f t="shared" si="43"/>
        <v>2018</v>
      </c>
      <c r="C832" s="211">
        <f t="shared" si="44"/>
        <v>2</v>
      </c>
      <c r="D832" s="205">
        <v>9736920000000</v>
      </c>
      <c r="E832" s="205">
        <v>73371046000</v>
      </c>
      <c r="F832" s="205">
        <v>154912375000</v>
      </c>
      <c r="G832" s="205">
        <v>1247080371000</v>
      </c>
    </row>
    <row r="833" spans="1:7">
      <c r="A833" s="2102">
        <v>43154</v>
      </c>
      <c r="B833" s="211">
        <f t="shared" si="43"/>
        <v>2018</v>
      </c>
      <c r="C833" s="211">
        <f t="shared" si="44"/>
        <v>2</v>
      </c>
      <c r="D833" s="205">
        <v>9774660000000</v>
      </c>
      <c r="E833" s="205">
        <v>73508961500</v>
      </c>
      <c r="F833" s="205">
        <v>155789237500</v>
      </c>
      <c r="G833" s="205">
        <v>1233068232000</v>
      </c>
    </row>
    <row r="834" spans="1:7">
      <c r="A834" s="2102">
        <v>43153</v>
      </c>
      <c r="B834" s="211">
        <f t="shared" si="43"/>
        <v>2018</v>
      </c>
      <c r="C834" s="211">
        <f t="shared" si="44"/>
        <v>2</v>
      </c>
      <c r="D834" s="205">
        <v>9812400000000</v>
      </c>
      <c r="E834" s="205">
        <v>73784792500</v>
      </c>
      <c r="F834" s="205">
        <v>155789237500</v>
      </c>
      <c r="G834" s="205">
        <v>1219056093000</v>
      </c>
    </row>
    <row r="835" spans="1:7">
      <c r="A835" s="2102">
        <v>43152</v>
      </c>
      <c r="B835" s="211">
        <f t="shared" si="43"/>
        <v>2018</v>
      </c>
      <c r="C835" s="211">
        <f t="shared" si="44"/>
        <v>2</v>
      </c>
      <c r="D835" s="205">
        <v>9906750000000</v>
      </c>
      <c r="E835" s="205">
        <v>73233130500</v>
      </c>
      <c r="F835" s="205">
        <v>157542962500</v>
      </c>
      <c r="G835" s="205">
        <v>1238673087600</v>
      </c>
    </row>
    <row r="836" spans="1:7">
      <c r="A836" s="2102">
        <v>43151</v>
      </c>
      <c r="B836" s="211">
        <f t="shared" si="43"/>
        <v>2018</v>
      </c>
      <c r="C836" s="211">
        <f t="shared" si="44"/>
        <v>2</v>
      </c>
      <c r="D836" s="205">
        <v>9812400000000</v>
      </c>
      <c r="E836" s="205">
        <v>72957299500</v>
      </c>
      <c r="F836" s="205">
        <v>151989500000</v>
      </c>
      <c r="G836" s="205">
        <v>1247080371000</v>
      </c>
    </row>
    <row r="837" spans="1:7">
      <c r="A837" s="2102">
        <v>43150</v>
      </c>
      <c r="B837" s="211">
        <f t="shared" si="43"/>
        <v>2018</v>
      </c>
      <c r="C837" s="211">
        <f t="shared" si="44"/>
        <v>2</v>
      </c>
      <c r="D837" s="205">
        <v>9642570000000</v>
      </c>
      <c r="E837" s="205">
        <v>72681468500</v>
      </c>
      <c r="F837" s="205">
        <v>151697212500</v>
      </c>
      <c r="G837" s="205">
        <v>1249882798800</v>
      </c>
    </row>
    <row r="838" spans="1:7">
      <c r="A838" s="2102">
        <v>43145</v>
      </c>
      <c r="B838" s="211">
        <f t="shared" si="43"/>
        <v>2018</v>
      </c>
      <c r="C838" s="211">
        <f t="shared" si="44"/>
        <v>2</v>
      </c>
      <c r="D838" s="205">
        <v>9529350000000</v>
      </c>
      <c r="E838" s="205">
        <v>72681468500</v>
      </c>
      <c r="F838" s="205">
        <v>151697212500</v>
      </c>
      <c r="G838" s="205">
        <v>1185426959400</v>
      </c>
    </row>
    <row r="839" spans="1:7">
      <c r="A839" s="2102">
        <v>43144</v>
      </c>
      <c r="B839" s="211">
        <f t="shared" si="43"/>
        <v>2018</v>
      </c>
      <c r="C839" s="211">
        <f t="shared" si="44"/>
        <v>2</v>
      </c>
      <c r="D839" s="205">
        <v>9312345000000</v>
      </c>
      <c r="E839" s="205">
        <v>72405637500</v>
      </c>
      <c r="F839" s="205">
        <v>150235775000</v>
      </c>
      <c r="G839" s="205">
        <v>1185426959400</v>
      </c>
    </row>
    <row r="840" spans="1:7">
      <c r="A840" s="2102">
        <v>43143</v>
      </c>
      <c r="B840" s="211">
        <f t="shared" si="43"/>
        <v>2018</v>
      </c>
      <c r="C840" s="211">
        <f t="shared" si="44"/>
        <v>2</v>
      </c>
      <c r="D840" s="205">
        <v>9321780000000</v>
      </c>
      <c r="E840" s="205">
        <v>73508961500</v>
      </c>
      <c r="F840" s="205">
        <v>153450937500</v>
      </c>
      <c r="G840" s="205">
        <v>1185426959400</v>
      </c>
    </row>
    <row r="841" spans="1:7">
      <c r="A841" s="2102">
        <v>43140</v>
      </c>
      <c r="B841" s="211">
        <f t="shared" si="43"/>
        <v>2018</v>
      </c>
      <c r="C841" s="211">
        <f t="shared" si="44"/>
        <v>2</v>
      </c>
      <c r="D841" s="205">
        <v>9265170000000</v>
      </c>
      <c r="E841" s="205">
        <v>73371046000</v>
      </c>
      <c r="F841" s="205">
        <v>153158650000</v>
      </c>
      <c r="G841" s="205">
        <v>1196636670600</v>
      </c>
    </row>
    <row r="842" spans="1:7">
      <c r="A842" s="2102">
        <v>43139</v>
      </c>
      <c r="B842" s="211">
        <f t="shared" ref="B842:B905" si="45">YEAR(A842)</f>
        <v>2018</v>
      </c>
      <c r="C842" s="211">
        <f t="shared" ref="C842:C905" si="46">MONTH(A842)</f>
        <v>2</v>
      </c>
      <c r="D842" s="205">
        <v>9425565000000</v>
      </c>
      <c r="E842" s="205">
        <v>73371046000</v>
      </c>
      <c r="F842" s="205">
        <v>156373812500</v>
      </c>
      <c r="G842" s="205">
        <v>1221858520800</v>
      </c>
    </row>
    <row r="843" spans="1:7">
      <c r="A843" s="2102">
        <v>43138</v>
      </c>
      <c r="B843" s="211">
        <f t="shared" si="45"/>
        <v>2018</v>
      </c>
      <c r="C843" s="211">
        <f t="shared" si="46"/>
        <v>2</v>
      </c>
      <c r="D843" s="205">
        <v>9350085000000</v>
      </c>
      <c r="E843" s="205">
        <v>73508961500</v>
      </c>
      <c r="F843" s="205">
        <v>154912375000</v>
      </c>
      <c r="G843" s="205">
        <v>1205043954000</v>
      </c>
    </row>
    <row r="844" spans="1:7">
      <c r="A844" s="2102">
        <v>43137</v>
      </c>
      <c r="B844" s="211">
        <f t="shared" si="45"/>
        <v>2018</v>
      </c>
      <c r="C844" s="211">
        <f t="shared" si="46"/>
        <v>2</v>
      </c>
      <c r="D844" s="205">
        <v>9359520000000</v>
      </c>
      <c r="E844" s="205">
        <v>74198539000</v>
      </c>
      <c r="F844" s="205">
        <v>154035512500</v>
      </c>
      <c r="G844" s="205">
        <v>1228864590300</v>
      </c>
    </row>
    <row r="845" spans="1:7">
      <c r="A845" s="2102">
        <v>43136</v>
      </c>
      <c r="B845" s="211">
        <f t="shared" si="45"/>
        <v>2018</v>
      </c>
      <c r="C845" s="211">
        <f t="shared" si="46"/>
        <v>2</v>
      </c>
      <c r="D845" s="205">
        <v>9359520000000</v>
      </c>
      <c r="E845" s="205">
        <v>74198539000</v>
      </c>
      <c r="F845" s="205">
        <v>159588975000</v>
      </c>
      <c r="G845" s="205">
        <v>1234469445900</v>
      </c>
    </row>
    <row r="846" spans="1:7">
      <c r="A846" s="2102">
        <v>43133</v>
      </c>
      <c r="B846" s="211">
        <f t="shared" si="45"/>
        <v>2018</v>
      </c>
      <c r="C846" s="211">
        <f t="shared" si="46"/>
        <v>2</v>
      </c>
      <c r="D846" s="205">
        <v>9331215000000</v>
      </c>
      <c r="E846" s="205">
        <v>76267271500</v>
      </c>
      <c r="F846" s="205">
        <v>158419825000</v>
      </c>
      <c r="G846" s="205">
        <v>1282110718500</v>
      </c>
    </row>
    <row r="847" spans="1:7">
      <c r="A847" s="2102">
        <v>43132</v>
      </c>
      <c r="B847" s="211">
        <f t="shared" si="45"/>
        <v>2018</v>
      </c>
      <c r="C847" s="211">
        <f t="shared" si="46"/>
        <v>2</v>
      </c>
      <c r="D847" s="205">
        <v>9699180000000</v>
      </c>
      <c r="E847" s="205">
        <v>75853525000</v>
      </c>
      <c r="F847" s="205">
        <v>160173550000</v>
      </c>
      <c r="G847" s="205">
        <v>1401213900000</v>
      </c>
    </row>
    <row r="848" spans="1:7">
      <c r="A848" s="2102">
        <v>43131</v>
      </c>
      <c r="B848" s="211">
        <f t="shared" si="45"/>
        <v>2018</v>
      </c>
      <c r="C848" s="211">
        <f t="shared" si="46"/>
        <v>1</v>
      </c>
      <c r="D848" s="205">
        <v>9718050000000</v>
      </c>
      <c r="E848" s="205">
        <v>75439778500</v>
      </c>
      <c r="F848" s="205">
        <v>160173550000</v>
      </c>
      <c r="G848" s="205">
        <v>1409621183400</v>
      </c>
    </row>
    <row r="849" spans="1:7">
      <c r="A849" s="2102">
        <v>43130</v>
      </c>
      <c r="B849" s="211">
        <f t="shared" si="45"/>
        <v>2018</v>
      </c>
      <c r="C849" s="211">
        <f t="shared" si="46"/>
        <v>1</v>
      </c>
      <c r="D849" s="205">
        <v>10001100000000</v>
      </c>
      <c r="E849" s="205">
        <v>75991440500</v>
      </c>
      <c r="F849" s="205">
        <v>155496950000</v>
      </c>
      <c r="G849" s="205">
        <v>1451657600400</v>
      </c>
    </row>
    <row r="850" spans="1:7">
      <c r="A850" s="2102">
        <v>43129</v>
      </c>
      <c r="B850" s="211">
        <f t="shared" si="45"/>
        <v>2018</v>
      </c>
      <c r="C850" s="211">
        <f t="shared" si="46"/>
        <v>1</v>
      </c>
      <c r="D850" s="205">
        <v>9982230000000</v>
      </c>
      <c r="E850" s="205">
        <v>75715609500</v>
      </c>
      <c r="F850" s="205">
        <v>155204662500</v>
      </c>
      <c r="G850" s="205">
        <v>1451657600400</v>
      </c>
    </row>
    <row r="851" spans="1:7">
      <c r="A851" s="2102">
        <v>43126</v>
      </c>
      <c r="B851" s="211">
        <f t="shared" si="45"/>
        <v>2018</v>
      </c>
      <c r="C851" s="211">
        <f t="shared" si="46"/>
        <v>1</v>
      </c>
      <c r="D851" s="205">
        <v>9869010000000</v>
      </c>
      <c r="E851" s="205">
        <v>75301863000</v>
      </c>
      <c r="F851" s="205">
        <v>157835250000</v>
      </c>
      <c r="G851" s="205">
        <v>1429238178000</v>
      </c>
    </row>
    <row r="852" spans="1:7">
      <c r="A852" s="2102">
        <v>43125</v>
      </c>
      <c r="B852" s="211">
        <f t="shared" si="45"/>
        <v>2018</v>
      </c>
      <c r="C852" s="211">
        <f t="shared" si="46"/>
        <v>1</v>
      </c>
      <c r="D852" s="205">
        <v>9850140000000</v>
      </c>
      <c r="E852" s="205">
        <v>74888116500</v>
      </c>
      <c r="F852" s="205">
        <v>152281787500</v>
      </c>
      <c r="G852" s="205">
        <v>1440447889200</v>
      </c>
    </row>
    <row r="853" spans="1:7">
      <c r="A853" s="2102">
        <v>43124</v>
      </c>
      <c r="B853" s="211">
        <f t="shared" si="45"/>
        <v>2018</v>
      </c>
      <c r="C853" s="211">
        <f t="shared" si="46"/>
        <v>1</v>
      </c>
      <c r="D853" s="205">
        <v>9793530000000</v>
      </c>
      <c r="E853" s="205">
        <v>74060623500</v>
      </c>
      <c r="F853" s="205">
        <v>149651200000</v>
      </c>
      <c r="G853" s="205">
        <v>1392806616600</v>
      </c>
    </row>
    <row r="854" spans="1:7">
      <c r="A854" s="2102">
        <v>43123</v>
      </c>
      <c r="B854" s="211">
        <f t="shared" si="45"/>
        <v>2018</v>
      </c>
      <c r="C854" s="211">
        <f t="shared" si="46"/>
        <v>1</v>
      </c>
      <c r="D854" s="205">
        <v>9642570000000</v>
      </c>
      <c r="E854" s="205">
        <v>74198539000</v>
      </c>
      <c r="F854" s="205">
        <v>149358912500</v>
      </c>
      <c r="G854" s="205">
        <v>1429238178000</v>
      </c>
    </row>
    <row r="855" spans="1:7">
      <c r="A855" s="2102">
        <v>43122</v>
      </c>
      <c r="B855" s="211">
        <f t="shared" si="45"/>
        <v>2018</v>
      </c>
      <c r="C855" s="211">
        <f t="shared" si="46"/>
        <v>1</v>
      </c>
      <c r="D855" s="205">
        <v>9642570000000</v>
      </c>
      <c r="E855" s="205">
        <v>74612285500</v>
      </c>
      <c r="F855" s="205">
        <v>148189762500</v>
      </c>
      <c r="G855" s="205">
        <v>1406818755600</v>
      </c>
    </row>
    <row r="856" spans="1:7">
      <c r="A856" s="2102">
        <v>43119</v>
      </c>
      <c r="B856" s="211">
        <f t="shared" si="45"/>
        <v>2018</v>
      </c>
      <c r="C856" s="211">
        <f t="shared" si="46"/>
        <v>1</v>
      </c>
      <c r="D856" s="205">
        <v>9718050000000</v>
      </c>
      <c r="E856" s="205">
        <v>74888116500</v>
      </c>
      <c r="F856" s="205">
        <v>149066625000</v>
      </c>
      <c r="G856" s="205">
        <v>1426435750200</v>
      </c>
    </row>
    <row r="857" spans="1:7">
      <c r="A857" s="2102">
        <v>43118</v>
      </c>
      <c r="B857" s="211">
        <f t="shared" si="45"/>
        <v>2018</v>
      </c>
      <c r="C857" s="211">
        <f t="shared" si="46"/>
        <v>1</v>
      </c>
      <c r="D857" s="205">
        <v>9604830000000</v>
      </c>
      <c r="E857" s="205">
        <v>75026032000</v>
      </c>
      <c r="F857" s="205">
        <v>147312900000</v>
      </c>
      <c r="G857" s="205">
        <v>1382998119300</v>
      </c>
    </row>
    <row r="858" spans="1:7">
      <c r="A858" s="2102">
        <v>43117</v>
      </c>
      <c r="B858" s="211">
        <f t="shared" si="45"/>
        <v>2018</v>
      </c>
      <c r="C858" s="211">
        <f t="shared" si="46"/>
        <v>1</v>
      </c>
      <c r="D858" s="205">
        <v>9736920000000</v>
      </c>
      <c r="E858" s="205">
        <v>72267722000</v>
      </c>
      <c r="F858" s="205">
        <v>147897475000</v>
      </c>
      <c r="G858" s="205">
        <v>1378794477600</v>
      </c>
    </row>
    <row r="859" spans="1:7">
      <c r="A859" s="2102">
        <v>43116</v>
      </c>
      <c r="B859" s="211">
        <f t="shared" si="45"/>
        <v>2018</v>
      </c>
      <c r="C859" s="211">
        <f t="shared" si="46"/>
        <v>1</v>
      </c>
      <c r="D859" s="205">
        <v>9831270000000</v>
      </c>
      <c r="E859" s="205">
        <v>72819384000</v>
      </c>
      <c r="F859" s="205">
        <v>151112637500</v>
      </c>
      <c r="G859" s="205">
        <v>1426435750200</v>
      </c>
    </row>
    <row r="860" spans="1:7">
      <c r="A860" s="2102">
        <v>43115</v>
      </c>
      <c r="B860" s="211">
        <f t="shared" si="45"/>
        <v>2018</v>
      </c>
      <c r="C860" s="211">
        <f t="shared" si="46"/>
        <v>1</v>
      </c>
      <c r="D860" s="205">
        <v>9831270000000</v>
      </c>
      <c r="E860" s="205">
        <v>72543553000</v>
      </c>
      <c r="F860" s="205">
        <v>149651200000</v>
      </c>
      <c r="G860" s="205">
        <v>1462867311600</v>
      </c>
    </row>
    <row r="861" spans="1:7">
      <c r="A861" s="2102">
        <v>43112</v>
      </c>
      <c r="B861" s="211">
        <f t="shared" si="45"/>
        <v>2018</v>
      </c>
      <c r="C861" s="211">
        <f t="shared" si="46"/>
        <v>1</v>
      </c>
      <c r="D861" s="205">
        <v>9925620000000</v>
      </c>
      <c r="E861" s="205">
        <v>73371046000</v>
      </c>
      <c r="F861" s="205">
        <v>150820350000</v>
      </c>
      <c r="G861" s="205">
        <v>1420830894600</v>
      </c>
    </row>
    <row r="862" spans="1:7">
      <c r="A862" s="2102">
        <v>43111</v>
      </c>
      <c r="B862" s="211">
        <f t="shared" si="45"/>
        <v>2018</v>
      </c>
      <c r="C862" s="211">
        <f t="shared" si="46"/>
        <v>1</v>
      </c>
      <c r="D862" s="205">
        <v>9831270000000</v>
      </c>
      <c r="E862" s="205">
        <v>73233130500</v>
      </c>
      <c r="F862" s="205">
        <v>150528062500</v>
      </c>
      <c r="G862" s="205">
        <v>1390004188800</v>
      </c>
    </row>
    <row r="863" spans="1:7">
      <c r="A863" s="2102">
        <v>43110</v>
      </c>
      <c r="B863" s="211">
        <f t="shared" si="45"/>
        <v>2018</v>
      </c>
      <c r="C863" s="211">
        <f t="shared" si="46"/>
        <v>1</v>
      </c>
      <c r="D863" s="205">
        <v>10133190000000</v>
      </c>
      <c r="E863" s="205">
        <v>73095215000</v>
      </c>
      <c r="F863" s="205">
        <v>150820350000</v>
      </c>
      <c r="G863" s="205">
        <v>1423633322400</v>
      </c>
    </row>
    <row r="864" spans="1:7">
      <c r="A864" s="2102">
        <v>43109</v>
      </c>
      <c r="B864" s="211">
        <f t="shared" si="45"/>
        <v>2018</v>
      </c>
      <c r="C864" s="211">
        <f t="shared" si="46"/>
        <v>1</v>
      </c>
      <c r="D864" s="205">
        <v>9982230000000</v>
      </c>
      <c r="E864" s="205">
        <v>72957299500</v>
      </c>
      <c r="F864" s="205">
        <v>153158650000</v>
      </c>
      <c r="G864" s="205">
        <v>1440447889200</v>
      </c>
    </row>
    <row r="865" spans="1:7">
      <c r="A865" s="2102">
        <v>43108</v>
      </c>
      <c r="B865" s="211">
        <f t="shared" si="45"/>
        <v>2018</v>
      </c>
      <c r="C865" s="211">
        <f t="shared" si="46"/>
        <v>1</v>
      </c>
      <c r="D865" s="205">
        <v>9416130000000</v>
      </c>
      <c r="E865" s="205">
        <v>73646877000</v>
      </c>
      <c r="F865" s="205">
        <v>152574075000</v>
      </c>
      <c r="G865" s="205">
        <v>1404016327800</v>
      </c>
    </row>
    <row r="866" spans="1:7">
      <c r="A866" s="2102">
        <v>43105</v>
      </c>
      <c r="B866" s="211">
        <f t="shared" si="45"/>
        <v>2018</v>
      </c>
      <c r="C866" s="211">
        <f t="shared" si="46"/>
        <v>1</v>
      </c>
      <c r="D866" s="205">
        <v>9236865000000</v>
      </c>
      <c r="E866" s="205">
        <v>75577694000</v>
      </c>
      <c r="F866" s="205">
        <v>151697212500</v>
      </c>
      <c r="G866" s="205">
        <v>1409621183400</v>
      </c>
    </row>
    <row r="867" spans="1:7">
      <c r="A867" s="2102">
        <v>43104</v>
      </c>
      <c r="B867" s="211">
        <f t="shared" si="45"/>
        <v>2018</v>
      </c>
      <c r="C867" s="211">
        <f t="shared" si="46"/>
        <v>1</v>
      </c>
      <c r="D867" s="205">
        <v>9076470000000</v>
      </c>
      <c r="E867" s="205">
        <v>75163947500</v>
      </c>
      <c r="F867" s="205">
        <v>150820350000</v>
      </c>
      <c r="G867" s="205">
        <v>1339560488400</v>
      </c>
    </row>
    <row r="868" spans="1:7">
      <c r="A868" s="2102">
        <v>43103</v>
      </c>
      <c r="B868" s="211">
        <f t="shared" si="45"/>
        <v>2018</v>
      </c>
      <c r="C868" s="211">
        <f t="shared" si="46"/>
        <v>1</v>
      </c>
      <c r="D868" s="205">
        <v>9199125000000</v>
      </c>
      <c r="E868" s="205">
        <v>76405187000</v>
      </c>
      <c r="F868" s="205">
        <v>150528062500</v>
      </c>
      <c r="G868" s="205">
        <v>1391405402700</v>
      </c>
    </row>
    <row r="869" spans="1:7">
      <c r="A869" s="2102">
        <v>43102</v>
      </c>
      <c r="B869" s="211">
        <f t="shared" si="45"/>
        <v>2018</v>
      </c>
      <c r="C869" s="211">
        <f t="shared" si="46"/>
        <v>1</v>
      </c>
      <c r="D869" s="205">
        <v>9425565000000</v>
      </c>
      <c r="E869" s="205">
        <v>76543102500</v>
      </c>
      <c r="F869" s="205">
        <v>152281787500</v>
      </c>
      <c r="G869" s="205">
        <v>1390004188800</v>
      </c>
    </row>
    <row r="870" spans="1:7">
      <c r="A870" s="2102">
        <v>43097</v>
      </c>
      <c r="B870" s="211">
        <f t="shared" si="45"/>
        <v>2017</v>
      </c>
      <c r="C870" s="211">
        <f t="shared" si="46"/>
        <v>12</v>
      </c>
      <c r="D870" s="205">
        <v>9302910000000</v>
      </c>
      <c r="E870" s="205">
        <v>76405187000</v>
      </c>
      <c r="F870" s="205">
        <v>151989500000</v>
      </c>
      <c r="G870" s="205">
        <v>1331153205000</v>
      </c>
    </row>
    <row r="871" spans="1:7">
      <c r="A871" s="2102">
        <v>43096</v>
      </c>
      <c r="B871" s="211">
        <f t="shared" si="45"/>
        <v>2017</v>
      </c>
      <c r="C871" s="211">
        <f t="shared" si="46"/>
        <v>12</v>
      </c>
      <c r="D871" s="205">
        <v>9236865000000</v>
      </c>
      <c r="E871" s="205">
        <v>77232680000</v>
      </c>
      <c r="F871" s="205">
        <v>152574075000</v>
      </c>
      <c r="G871" s="205">
        <v>1305931354800</v>
      </c>
    </row>
    <row r="872" spans="1:7">
      <c r="A872" s="2102">
        <v>43095</v>
      </c>
      <c r="B872" s="211">
        <f t="shared" si="45"/>
        <v>2017</v>
      </c>
      <c r="C872" s="211">
        <f t="shared" si="46"/>
        <v>12</v>
      </c>
      <c r="D872" s="205">
        <v>9236865000000</v>
      </c>
      <c r="E872" s="205">
        <v>80542652000</v>
      </c>
      <c r="F872" s="205">
        <v>156958387500</v>
      </c>
      <c r="G872" s="205">
        <v>1303128927000</v>
      </c>
    </row>
    <row r="873" spans="1:7">
      <c r="A873" s="2102">
        <v>43091</v>
      </c>
      <c r="B873" s="211">
        <f t="shared" si="45"/>
        <v>2017</v>
      </c>
      <c r="C873" s="211">
        <f t="shared" si="46"/>
        <v>12</v>
      </c>
      <c r="D873" s="205">
        <v>9114210000000</v>
      </c>
      <c r="E873" s="205">
        <v>79990990000</v>
      </c>
      <c r="F873" s="205">
        <v>154912375000</v>
      </c>
      <c r="G873" s="205">
        <v>1296122857500</v>
      </c>
    </row>
    <row r="874" spans="1:7">
      <c r="A874" s="2102">
        <v>43090</v>
      </c>
      <c r="B874" s="211">
        <f t="shared" si="45"/>
        <v>2017</v>
      </c>
      <c r="C874" s="211">
        <f t="shared" si="46"/>
        <v>12</v>
      </c>
      <c r="D874" s="205">
        <v>9189690000000</v>
      </c>
      <c r="E874" s="205">
        <v>79990990000</v>
      </c>
      <c r="F874" s="205">
        <v>157250675000</v>
      </c>
      <c r="G874" s="205">
        <v>1294721643600</v>
      </c>
    </row>
    <row r="875" spans="1:7">
      <c r="A875" s="2102">
        <v>43089</v>
      </c>
      <c r="B875" s="211">
        <f t="shared" si="45"/>
        <v>2017</v>
      </c>
      <c r="C875" s="211">
        <f t="shared" si="46"/>
        <v>12</v>
      </c>
      <c r="D875" s="205">
        <v>9246300000000</v>
      </c>
      <c r="E875" s="205">
        <v>81094314000</v>
      </c>
      <c r="F875" s="205">
        <v>156373812500</v>
      </c>
      <c r="G875" s="205">
        <v>1289116788000</v>
      </c>
    </row>
    <row r="876" spans="1:7">
      <c r="A876" s="2102">
        <v>43088</v>
      </c>
      <c r="B876" s="211">
        <f t="shared" si="45"/>
        <v>2017</v>
      </c>
      <c r="C876" s="211">
        <f t="shared" si="46"/>
        <v>12</v>
      </c>
      <c r="D876" s="205">
        <v>9085905000000</v>
      </c>
      <c r="E876" s="205">
        <v>80128905500</v>
      </c>
      <c r="F876" s="205">
        <v>158712112500</v>
      </c>
      <c r="G876" s="205">
        <v>1241475515400</v>
      </c>
    </row>
    <row r="877" spans="1:7">
      <c r="A877" s="2102">
        <v>43087</v>
      </c>
      <c r="B877" s="211">
        <f t="shared" si="45"/>
        <v>2017</v>
      </c>
      <c r="C877" s="211">
        <f t="shared" si="46"/>
        <v>12</v>
      </c>
      <c r="D877" s="205">
        <v>9151950000000</v>
      </c>
      <c r="E877" s="205">
        <v>80404736500</v>
      </c>
      <c r="F877" s="205">
        <v>159881262500</v>
      </c>
      <c r="G877" s="205">
        <v>1226062162500</v>
      </c>
    </row>
    <row r="878" spans="1:7">
      <c r="A878" s="2102">
        <v>43084</v>
      </c>
      <c r="B878" s="211">
        <f t="shared" si="45"/>
        <v>2017</v>
      </c>
      <c r="C878" s="211">
        <f t="shared" si="46"/>
        <v>12</v>
      </c>
      <c r="D878" s="205">
        <v>9095340000000</v>
      </c>
      <c r="E878" s="205">
        <v>78749750500</v>
      </c>
      <c r="F878" s="205">
        <v>160758125000</v>
      </c>
      <c r="G878" s="205">
        <v>1245679157100</v>
      </c>
    </row>
    <row r="879" spans="1:7">
      <c r="A879" s="2102">
        <v>43083</v>
      </c>
      <c r="B879" s="211">
        <f t="shared" si="45"/>
        <v>2017</v>
      </c>
      <c r="C879" s="211">
        <f t="shared" si="46"/>
        <v>12</v>
      </c>
      <c r="D879" s="205">
        <v>8982120000000</v>
      </c>
      <c r="E879" s="205">
        <v>78473919500</v>
      </c>
      <c r="F879" s="205">
        <v>161050412500</v>
      </c>
      <c r="G879" s="205">
        <v>1181223317700</v>
      </c>
    </row>
    <row r="880" spans="1:7">
      <c r="A880" s="2102">
        <v>43082</v>
      </c>
      <c r="B880" s="211">
        <f t="shared" si="45"/>
        <v>2017</v>
      </c>
      <c r="C880" s="211">
        <f t="shared" si="46"/>
        <v>12</v>
      </c>
      <c r="D880" s="205">
        <v>8963250000000</v>
      </c>
      <c r="E880" s="205">
        <v>79577243500</v>
      </c>
      <c r="F880" s="205">
        <v>160758125000</v>
      </c>
      <c r="G880" s="205">
        <v>1207846381800</v>
      </c>
    </row>
    <row r="881" spans="1:7">
      <c r="A881" s="2102">
        <v>43081</v>
      </c>
      <c r="B881" s="211">
        <f t="shared" si="45"/>
        <v>2017</v>
      </c>
      <c r="C881" s="211">
        <f t="shared" si="46"/>
        <v>12</v>
      </c>
      <c r="D881" s="205">
        <v>8878335000000</v>
      </c>
      <c r="E881" s="205">
        <v>80266821000</v>
      </c>
      <c r="F881" s="205">
        <v>157250675000</v>
      </c>
      <c r="G881" s="205">
        <v>1202241526200</v>
      </c>
    </row>
    <row r="882" spans="1:7">
      <c r="A882" s="2102">
        <v>43080</v>
      </c>
      <c r="B882" s="211">
        <f t="shared" si="45"/>
        <v>2017</v>
      </c>
      <c r="C882" s="211">
        <f t="shared" si="46"/>
        <v>12</v>
      </c>
      <c r="D882" s="205">
        <v>8859465000000</v>
      </c>
      <c r="E882" s="205">
        <v>80128905500</v>
      </c>
      <c r="F882" s="205">
        <v>156373812500</v>
      </c>
      <c r="G882" s="205">
        <v>1195235456700</v>
      </c>
    </row>
    <row r="883" spans="1:7">
      <c r="A883" s="2102">
        <v>43077</v>
      </c>
      <c r="B883" s="211">
        <f t="shared" si="45"/>
        <v>2017</v>
      </c>
      <c r="C883" s="211">
        <f t="shared" si="46"/>
        <v>12</v>
      </c>
      <c r="D883" s="205">
        <v>8755680000000</v>
      </c>
      <c r="E883" s="205">
        <v>79439328000</v>
      </c>
      <c r="F883" s="205">
        <v>157835250000</v>
      </c>
      <c r="G883" s="205">
        <v>1179822103800</v>
      </c>
    </row>
    <row r="884" spans="1:7">
      <c r="A884" s="2102">
        <v>43076</v>
      </c>
      <c r="B884" s="211">
        <f t="shared" si="45"/>
        <v>2017</v>
      </c>
      <c r="C884" s="211">
        <f t="shared" si="46"/>
        <v>12</v>
      </c>
      <c r="D884" s="205">
        <v>8878335000000</v>
      </c>
      <c r="E884" s="205">
        <v>80128905500</v>
      </c>
      <c r="F884" s="205">
        <v>158712112500</v>
      </c>
      <c r="G884" s="205">
        <v>1206445167900</v>
      </c>
    </row>
    <row r="885" spans="1:7">
      <c r="A885" s="2102">
        <v>43075</v>
      </c>
      <c r="B885" s="211">
        <f t="shared" si="45"/>
        <v>2017</v>
      </c>
      <c r="C885" s="211">
        <f t="shared" si="46"/>
        <v>12</v>
      </c>
      <c r="D885" s="205">
        <v>8878335000000</v>
      </c>
      <c r="E885" s="205">
        <v>80680567500</v>
      </c>
      <c r="F885" s="205">
        <v>158712112500</v>
      </c>
      <c r="G885" s="205">
        <v>1233068232000</v>
      </c>
    </row>
    <row r="886" spans="1:7">
      <c r="A886" s="2102">
        <v>43074</v>
      </c>
      <c r="B886" s="211">
        <f t="shared" si="45"/>
        <v>2017</v>
      </c>
      <c r="C886" s="211">
        <f t="shared" si="46"/>
        <v>12</v>
      </c>
      <c r="D886" s="205">
        <v>9151950000000</v>
      </c>
      <c r="E886" s="205">
        <v>80680567500</v>
      </c>
      <c r="F886" s="205">
        <v>160173550000</v>
      </c>
      <c r="G886" s="205">
        <v>1284913146300</v>
      </c>
    </row>
    <row r="887" spans="1:7">
      <c r="A887" s="2102">
        <v>43073</v>
      </c>
      <c r="B887" s="211">
        <f t="shared" si="45"/>
        <v>2017</v>
      </c>
      <c r="C887" s="211">
        <f t="shared" si="46"/>
        <v>12</v>
      </c>
      <c r="D887" s="205">
        <v>9038730000000</v>
      </c>
      <c r="E887" s="205">
        <v>79990990000</v>
      </c>
      <c r="F887" s="205">
        <v>159296687500</v>
      </c>
      <c r="G887" s="205">
        <v>1273703435100</v>
      </c>
    </row>
    <row r="888" spans="1:7">
      <c r="A888" s="2102">
        <v>43070</v>
      </c>
      <c r="B888" s="211">
        <f t="shared" si="45"/>
        <v>2017</v>
      </c>
      <c r="C888" s="211">
        <f t="shared" si="46"/>
        <v>12</v>
      </c>
      <c r="D888" s="205">
        <v>9057600000000</v>
      </c>
      <c r="E888" s="205">
        <v>79439328000</v>
      </c>
      <c r="F888" s="205">
        <v>158127537500</v>
      </c>
      <c r="G888" s="205">
        <v>1248481584900</v>
      </c>
    </row>
    <row r="889" spans="1:7">
      <c r="A889" s="2102">
        <v>43069</v>
      </c>
      <c r="B889" s="211">
        <f t="shared" si="45"/>
        <v>2017</v>
      </c>
      <c r="C889" s="211">
        <f t="shared" si="46"/>
        <v>11</v>
      </c>
      <c r="D889" s="205">
        <v>9180255000000</v>
      </c>
      <c r="E889" s="205">
        <v>79990990000</v>
      </c>
      <c r="F889" s="205">
        <v>159881262500</v>
      </c>
      <c r="G889" s="205">
        <v>1259691296100</v>
      </c>
    </row>
    <row r="890" spans="1:7">
      <c r="A890" s="2102">
        <v>43068</v>
      </c>
      <c r="B890" s="211">
        <f t="shared" si="45"/>
        <v>2017</v>
      </c>
      <c r="C890" s="211">
        <f t="shared" si="46"/>
        <v>11</v>
      </c>
      <c r="D890" s="205">
        <v>9246300000000</v>
      </c>
      <c r="E890" s="205">
        <v>81094314000</v>
      </c>
      <c r="F890" s="205">
        <v>160758125000</v>
      </c>
      <c r="G890" s="205">
        <v>1265296151700</v>
      </c>
    </row>
    <row r="891" spans="1:7">
      <c r="A891" s="2102">
        <v>43067</v>
      </c>
      <c r="B891" s="211">
        <f t="shared" si="45"/>
        <v>2017</v>
      </c>
      <c r="C891" s="211">
        <f t="shared" si="46"/>
        <v>11</v>
      </c>
      <c r="D891" s="205">
        <v>9359520000000</v>
      </c>
      <c r="E891" s="205">
        <v>81921807000</v>
      </c>
      <c r="F891" s="205">
        <v>160758125000</v>
      </c>
      <c r="G891" s="205">
        <v>1293320429700</v>
      </c>
    </row>
    <row r="892" spans="1:7">
      <c r="A892" s="2102">
        <v>43066</v>
      </c>
      <c r="B892" s="211">
        <f t="shared" si="45"/>
        <v>2017</v>
      </c>
      <c r="C892" s="211">
        <f t="shared" si="46"/>
        <v>11</v>
      </c>
      <c r="D892" s="205">
        <v>9378390000000</v>
      </c>
      <c r="E892" s="205">
        <v>81645976000</v>
      </c>
      <c r="F892" s="205">
        <v>159881262500</v>
      </c>
      <c r="G892" s="205">
        <v>1297524071400</v>
      </c>
    </row>
    <row r="893" spans="1:7">
      <c r="A893" s="2102">
        <v>43063</v>
      </c>
      <c r="B893" s="211">
        <f t="shared" si="45"/>
        <v>2017</v>
      </c>
      <c r="C893" s="211">
        <f t="shared" si="46"/>
        <v>11</v>
      </c>
      <c r="D893" s="205">
        <v>9321780000000</v>
      </c>
      <c r="E893" s="205">
        <v>81508060500</v>
      </c>
      <c r="F893" s="205">
        <v>159004400000</v>
      </c>
      <c r="G893" s="205">
        <v>1275104649000</v>
      </c>
    </row>
    <row r="894" spans="1:7">
      <c r="A894" s="2102">
        <v>43062</v>
      </c>
      <c r="B894" s="211">
        <f t="shared" si="45"/>
        <v>2017</v>
      </c>
      <c r="C894" s="211">
        <f t="shared" si="46"/>
        <v>11</v>
      </c>
      <c r="D894" s="205">
        <v>9312345000000</v>
      </c>
      <c r="E894" s="205">
        <v>80956398500</v>
      </c>
      <c r="F894" s="205">
        <v>159004400000</v>
      </c>
      <c r="G894" s="205">
        <v>1297524071400</v>
      </c>
    </row>
    <row r="895" spans="1:7">
      <c r="A895" s="2102">
        <v>43061</v>
      </c>
      <c r="B895" s="211">
        <f t="shared" si="45"/>
        <v>2017</v>
      </c>
      <c r="C895" s="211">
        <f t="shared" si="46"/>
        <v>11</v>
      </c>
      <c r="D895" s="205">
        <v>9397260000000</v>
      </c>
      <c r="E895" s="205">
        <v>81232229500</v>
      </c>
      <c r="F895" s="205">
        <v>158127537500</v>
      </c>
      <c r="G895" s="205">
        <v>1227463376400</v>
      </c>
    </row>
    <row r="896" spans="1:7">
      <c r="A896" s="2102">
        <v>43060</v>
      </c>
      <c r="B896" s="211">
        <f t="shared" si="45"/>
        <v>2017</v>
      </c>
      <c r="C896" s="211">
        <f t="shared" si="46"/>
        <v>11</v>
      </c>
      <c r="D896" s="205">
        <v>9321780000000</v>
      </c>
      <c r="E896" s="205">
        <v>82749300000</v>
      </c>
      <c r="F896" s="205">
        <v>158419825000</v>
      </c>
      <c r="G896" s="205">
        <v>1238673087600</v>
      </c>
    </row>
    <row r="897" spans="1:7">
      <c r="A897" s="2102">
        <v>43059</v>
      </c>
      <c r="B897" s="211">
        <f t="shared" si="45"/>
        <v>2017</v>
      </c>
      <c r="C897" s="211">
        <f t="shared" si="46"/>
        <v>11</v>
      </c>
      <c r="D897" s="205">
        <v>9293475000000</v>
      </c>
      <c r="E897" s="205">
        <v>80404736500</v>
      </c>
      <c r="F897" s="205">
        <v>157250675000</v>
      </c>
      <c r="G897" s="205">
        <v>1256888868300</v>
      </c>
    </row>
    <row r="898" spans="1:7">
      <c r="A898" s="2102">
        <v>43056</v>
      </c>
      <c r="B898" s="211">
        <f t="shared" si="45"/>
        <v>2017</v>
      </c>
      <c r="C898" s="211">
        <f t="shared" si="46"/>
        <v>11</v>
      </c>
      <c r="D898" s="205">
        <v>9406695000000</v>
      </c>
      <c r="E898" s="205">
        <v>79853074500</v>
      </c>
      <c r="F898" s="205">
        <v>152866362500</v>
      </c>
      <c r="G898" s="205">
        <v>1280709504600</v>
      </c>
    </row>
    <row r="899" spans="1:7">
      <c r="A899" s="2102">
        <v>43055</v>
      </c>
      <c r="B899" s="211">
        <f t="shared" si="45"/>
        <v>2017</v>
      </c>
      <c r="C899" s="211">
        <f t="shared" si="46"/>
        <v>11</v>
      </c>
      <c r="D899" s="205">
        <v>9435000000000</v>
      </c>
      <c r="E899" s="205">
        <v>80542652000</v>
      </c>
      <c r="F899" s="205">
        <v>152281787500</v>
      </c>
      <c r="G899" s="205">
        <v>1286314360200</v>
      </c>
    </row>
    <row r="900" spans="1:7">
      <c r="A900" s="2102">
        <v>43054</v>
      </c>
      <c r="B900" s="211">
        <f t="shared" si="45"/>
        <v>2017</v>
      </c>
      <c r="C900" s="211">
        <f t="shared" si="46"/>
        <v>11</v>
      </c>
      <c r="D900" s="205">
        <v>9491610000000</v>
      </c>
      <c r="E900" s="205">
        <v>77508511000</v>
      </c>
      <c r="F900" s="205">
        <v>152866362500</v>
      </c>
      <c r="G900" s="205">
        <v>1289116788000</v>
      </c>
    </row>
    <row r="901" spans="1:7">
      <c r="A901" s="2102">
        <v>43053</v>
      </c>
      <c r="B901" s="211">
        <f t="shared" si="45"/>
        <v>2017</v>
      </c>
      <c r="C901" s="211">
        <f t="shared" si="46"/>
        <v>11</v>
      </c>
      <c r="D901" s="205">
        <v>9755790000000</v>
      </c>
      <c r="E901" s="205">
        <v>79715159000</v>
      </c>
      <c r="F901" s="205">
        <v>153450937500</v>
      </c>
      <c r="G901" s="205">
        <v>1317141066000</v>
      </c>
    </row>
    <row r="902" spans="1:7">
      <c r="A902" s="2102">
        <v>43052</v>
      </c>
      <c r="B902" s="211">
        <f t="shared" si="45"/>
        <v>2017</v>
      </c>
      <c r="C902" s="211">
        <f t="shared" si="46"/>
        <v>11</v>
      </c>
      <c r="D902" s="205">
        <v>9755790000000</v>
      </c>
      <c r="E902" s="205">
        <v>81645976000</v>
      </c>
      <c r="F902" s="205">
        <v>152866362500</v>
      </c>
      <c r="G902" s="205">
        <v>1308733782600</v>
      </c>
    </row>
    <row r="903" spans="1:7">
      <c r="A903" s="2102">
        <v>43049</v>
      </c>
      <c r="B903" s="211">
        <f t="shared" si="45"/>
        <v>2017</v>
      </c>
      <c r="C903" s="211">
        <f t="shared" si="46"/>
        <v>11</v>
      </c>
      <c r="D903" s="205">
        <v>9831270000000</v>
      </c>
      <c r="E903" s="205">
        <v>81645976000</v>
      </c>
      <c r="F903" s="205">
        <v>152281787500</v>
      </c>
      <c r="G903" s="205">
        <v>1333955632800</v>
      </c>
    </row>
    <row r="904" spans="1:7">
      <c r="A904" s="2102">
        <v>43048</v>
      </c>
      <c r="B904" s="211">
        <f t="shared" si="45"/>
        <v>2017</v>
      </c>
      <c r="C904" s="211">
        <f t="shared" si="46"/>
        <v>11</v>
      </c>
      <c r="D904" s="205">
        <v>9812400000000</v>
      </c>
      <c r="E904" s="205">
        <v>81232229500</v>
      </c>
      <c r="F904" s="205">
        <v>152866362500</v>
      </c>
      <c r="G904" s="205">
        <v>1354973841300</v>
      </c>
    </row>
    <row r="905" spans="1:7">
      <c r="A905" s="2102">
        <v>43047</v>
      </c>
      <c r="B905" s="211">
        <f t="shared" si="45"/>
        <v>2017</v>
      </c>
      <c r="C905" s="211">
        <f t="shared" si="46"/>
        <v>11</v>
      </c>
      <c r="D905" s="205">
        <v>9793530000000</v>
      </c>
      <c r="E905" s="205">
        <v>78887666000</v>
      </c>
      <c r="F905" s="205">
        <v>152574075000</v>
      </c>
      <c r="G905" s="205">
        <v>1350770199600</v>
      </c>
    </row>
    <row r="906" spans="1:7">
      <c r="A906" s="2102">
        <v>43046</v>
      </c>
      <c r="B906" s="211">
        <f t="shared" ref="B906:B969" si="47">YEAR(A906)</f>
        <v>2017</v>
      </c>
      <c r="C906" s="211">
        <f t="shared" ref="C906:C969" si="48">MONTH(A906)</f>
        <v>11</v>
      </c>
      <c r="D906" s="205">
        <v>9831270000000</v>
      </c>
      <c r="E906" s="205">
        <v>78060173000</v>
      </c>
      <c r="F906" s="205">
        <v>152866362500</v>
      </c>
      <c r="G906" s="205">
        <v>1378794477600</v>
      </c>
    </row>
    <row r="907" spans="1:7">
      <c r="A907" s="2102">
        <v>43045</v>
      </c>
      <c r="B907" s="211">
        <f t="shared" si="47"/>
        <v>2017</v>
      </c>
      <c r="C907" s="211">
        <f t="shared" si="48"/>
        <v>11</v>
      </c>
      <c r="D907" s="205">
        <v>9755790000000</v>
      </c>
      <c r="E907" s="205">
        <v>78060173000</v>
      </c>
      <c r="F907" s="205">
        <v>152574075000</v>
      </c>
      <c r="G907" s="205">
        <v>1375992049800</v>
      </c>
    </row>
    <row r="908" spans="1:7">
      <c r="A908" s="2102">
        <v>43042</v>
      </c>
      <c r="B908" s="211">
        <f t="shared" si="47"/>
        <v>2017</v>
      </c>
      <c r="C908" s="211">
        <f t="shared" si="48"/>
        <v>11</v>
      </c>
      <c r="D908" s="205">
        <v>9699180000000</v>
      </c>
      <c r="E908" s="205">
        <v>78749750500</v>
      </c>
      <c r="F908" s="205">
        <v>152281787500</v>
      </c>
      <c r="G908" s="205">
        <v>1387201761000</v>
      </c>
    </row>
    <row r="909" spans="1:7">
      <c r="A909" s="2102">
        <v>43041</v>
      </c>
      <c r="B909" s="211">
        <f t="shared" si="47"/>
        <v>2017</v>
      </c>
      <c r="C909" s="211">
        <f t="shared" si="48"/>
        <v>11</v>
      </c>
      <c r="D909" s="205">
        <v>9718050000000</v>
      </c>
      <c r="E909" s="205">
        <v>78336004000</v>
      </c>
      <c r="F909" s="205">
        <v>151989500000</v>
      </c>
      <c r="G909" s="205">
        <v>1394207830500</v>
      </c>
    </row>
    <row r="910" spans="1:7">
      <c r="A910" s="2102">
        <v>43040</v>
      </c>
      <c r="B910" s="211">
        <f t="shared" si="47"/>
        <v>2017</v>
      </c>
      <c r="C910" s="211">
        <f t="shared" si="48"/>
        <v>11</v>
      </c>
      <c r="D910" s="205">
        <v>9661440000000</v>
      </c>
      <c r="E910" s="205">
        <v>77646426500</v>
      </c>
      <c r="F910" s="205">
        <v>151989500000</v>
      </c>
      <c r="G910" s="205">
        <v>1378794477600</v>
      </c>
    </row>
    <row r="911" spans="1:7">
      <c r="A911" s="2102">
        <v>43039</v>
      </c>
      <c r="B911" s="211">
        <f t="shared" si="47"/>
        <v>2017</v>
      </c>
      <c r="C911" s="211">
        <f t="shared" si="48"/>
        <v>10</v>
      </c>
      <c r="D911" s="205">
        <v>9661440000000</v>
      </c>
      <c r="E911" s="205">
        <v>78198088500</v>
      </c>
      <c r="F911" s="205">
        <v>151404925000</v>
      </c>
      <c r="G911" s="205">
        <v>1374590835900</v>
      </c>
    </row>
    <row r="912" spans="1:7">
      <c r="A912" s="2102">
        <v>43038</v>
      </c>
      <c r="B912" s="211">
        <f t="shared" si="47"/>
        <v>2017</v>
      </c>
      <c r="C912" s="211">
        <f t="shared" si="48"/>
        <v>10</v>
      </c>
      <c r="D912" s="205">
        <v>9925620000000</v>
      </c>
      <c r="E912" s="205">
        <v>78749750500</v>
      </c>
      <c r="F912" s="205">
        <v>150820350000</v>
      </c>
      <c r="G912" s="205">
        <v>1398411472200</v>
      </c>
    </row>
    <row r="913" spans="1:7">
      <c r="A913" s="2102">
        <v>43035</v>
      </c>
      <c r="B913" s="211">
        <f t="shared" si="47"/>
        <v>2017</v>
      </c>
      <c r="C913" s="211">
        <f t="shared" si="48"/>
        <v>10</v>
      </c>
      <c r="D913" s="205">
        <v>9887880000000</v>
      </c>
      <c r="E913" s="205">
        <v>78473919500</v>
      </c>
      <c r="F913" s="205">
        <v>151404925000</v>
      </c>
      <c r="G913" s="205">
        <v>1440447889200</v>
      </c>
    </row>
    <row r="914" spans="1:7">
      <c r="A914" s="2102">
        <v>43034</v>
      </c>
      <c r="B914" s="211">
        <f t="shared" si="47"/>
        <v>2017</v>
      </c>
      <c r="C914" s="211">
        <f t="shared" si="48"/>
        <v>10</v>
      </c>
      <c r="D914" s="205">
        <v>9246300000000</v>
      </c>
      <c r="E914" s="205">
        <v>78060173000</v>
      </c>
      <c r="F914" s="205">
        <v>150528062500</v>
      </c>
      <c r="G914" s="205">
        <v>1426435750200</v>
      </c>
    </row>
    <row r="915" spans="1:7">
      <c r="A915" s="2102">
        <v>43033</v>
      </c>
      <c r="B915" s="211">
        <f t="shared" si="47"/>
        <v>2017</v>
      </c>
      <c r="C915" s="211">
        <f t="shared" si="48"/>
        <v>10</v>
      </c>
      <c r="D915" s="205">
        <v>9850140000000</v>
      </c>
      <c r="E915" s="205">
        <v>77922257500</v>
      </c>
      <c r="F915" s="205">
        <v>149943487500</v>
      </c>
      <c r="G915" s="205">
        <v>1465669739400</v>
      </c>
    </row>
    <row r="916" spans="1:7">
      <c r="A916" s="2102">
        <v>43032</v>
      </c>
      <c r="B916" s="211">
        <f t="shared" si="47"/>
        <v>2017</v>
      </c>
      <c r="C916" s="211">
        <f t="shared" si="48"/>
        <v>10</v>
      </c>
      <c r="D916" s="205">
        <v>10095450000000</v>
      </c>
      <c r="E916" s="205">
        <v>77646426500</v>
      </c>
      <c r="F916" s="205">
        <v>149651200000</v>
      </c>
      <c r="G916" s="205">
        <v>1546940145600</v>
      </c>
    </row>
    <row r="917" spans="1:7">
      <c r="A917" s="2102">
        <v>43031</v>
      </c>
      <c r="B917" s="211">
        <f t="shared" si="47"/>
        <v>2017</v>
      </c>
      <c r="C917" s="211">
        <f t="shared" si="48"/>
        <v>10</v>
      </c>
      <c r="D917" s="205">
        <v>9925620000000</v>
      </c>
      <c r="E917" s="205">
        <v>78336004000</v>
      </c>
      <c r="F917" s="205">
        <v>150235775000</v>
      </c>
      <c r="G917" s="205">
        <v>1530125578800</v>
      </c>
    </row>
    <row r="918" spans="1:7">
      <c r="A918" s="2102">
        <v>43028</v>
      </c>
      <c r="B918" s="211">
        <f t="shared" si="47"/>
        <v>2017</v>
      </c>
      <c r="C918" s="211">
        <f t="shared" si="48"/>
        <v>10</v>
      </c>
      <c r="D918" s="205">
        <v>10208670000000</v>
      </c>
      <c r="E918" s="205">
        <v>77370595500</v>
      </c>
      <c r="F918" s="205">
        <v>149943487500</v>
      </c>
      <c r="G918" s="205">
        <v>1552545001200</v>
      </c>
    </row>
    <row r="919" spans="1:7">
      <c r="A919" s="2102">
        <v>43027</v>
      </c>
      <c r="B919" s="211">
        <f t="shared" si="47"/>
        <v>2017</v>
      </c>
      <c r="C919" s="211">
        <f t="shared" si="48"/>
        <v>10</v>
      </c>
      <c r="D919" s="205">
        <v>10114320000000</v>
      </c>
      <c r="E919" s="205">
        <v>77646426500</v>
      </c>
      <c r="F919" s="205">
        <v>150235775000</v>
      </c>
      <c r="G919" s="205">
        <v>1530125578800</v>
      </c>
    </row>
    <row r="920" spans="1:7">
      <c r="A920" s="2102">
        <v>43026</v>
      </c>
      <c r="B920" s="211">
        <f t="shared" si="47"/>
        <v>2017</v>
      </c>
      <c r="C920" s="211">
        <f t="shared" si="48"/>
        <v>10</v>
      </c>
      <c r="D920" s="205">
        <v>10076580000000</v>
      </c>
      <c r="E920" s="205">
        <v>78060173000</v>
      </c>
      <c r="F920" s="205">
        <v>150235775000</v>
      </c>
      <c r="G920" s="205">
        <v>1594581418200</v>
      </c>
    </row>
    <row r="921" spans="1:7">
      <c r="A921" s="2102">
        <v>43025</v>
      </c>
      <c r="B921" s="211">
        <f t="shared" si="47"/>
        <v>2017</v>
      </c>
      <c r="C921" s="211">
        <f t="shared" si="48"/>
        <v>10</v>
      </c>
      <c r="D921" s="205">
        <v>10303020000000</v>
      </c>
      <c r="E921" s="205">
        <v>78473919500</v>
      </c>
      <c r="F921" s="205">
        <v>150528062500</v>
      </c>
      <c r="G921" s="205">
        <v>1642222690800</v>
      </c>
    </row>
    <row r="922" spans="1:7">
      <c r="A922" s="2102">
        <v>43024</v>
      </c>
      <c r="B922" s="211">
        <f t="shared" si="47"/>
        <v>2017</v>
      </c>
      <c r="C922" s="211">
        <f t="shared" si="48"/>
        <v>10</v>
      </c>
      <c r="D922" s="205">
        <v>10284150000000</v>
      </c>
      <c r="E922" s="205">
        <v>78198088500</v>
      </c>
      <c r="F922" s="205">
        <v>150528062500</v>
      </c>
      <c r="G922" s="205">
        <v>1569359568000</v>
      </c>
    </row>
    <row r="923" spans="1:7">
      <c r="A923" s="2102">
        <v>43021</v>
      </c>
      <c r="B923" s="211">
        <f t="shared" si="47"/>
        <v>2017</v>
      </c>
      <c r="C923" s="211">
        <f t="shared" si="48"/>
        <v>10</v>
      </c>
      <c r="D923" s="205">
        <v>10038840000000</v>
      </c>
      <c r="E923" s="205">
        <v>77094764500</v>
      </c>
      <c r="F923" s="205">
        <v>151112637500</v>
      </c>
      <c r="G923" s="205">
        <v>1535730434400</v>
      </c>
    </row>
    <row r="924" spans="1:7">
      <c r="A924" s="2102">
        <v>43020</v>
      </c>
      <c r="B924" s="211">
        <f t="shared" si="47"/>
        <v>2017</v>
      </c>
      <c r="C924" s="211">
        <f t="shared" si="48"/>
        <v>10</v>
      </c>
      <c r="D924" s="205">
        <v>10076580000000</v>
      </c>
      <c r="E924" s="205">
        <v>77370595500</v>
      </c>
      <c r="F924" s="205">
        <v>151112637500</v>
      </c>
      <c r="G924" s="205">
        <v>1549742573400</v>
      </c>
    </row>
    <row r="925" spans="1:7">
      <c r="A925" s="2102">
        <v>43019</v>
      </c>
      <c r="B925" s="211">
        <f t="shared" si="47"/>
        <v>2017</v>
      </c>
      <c r="C925" s="211">
        <f t="shared" si="48"/>
        <v>10</v>
      </c>
      <c r="D925" s="205">
        <v>10001100000000</v>
      </c>
      <c r="E925" s="205">
        <v>77784342000</v>
      </c>
      <c r="F925" s="205">
        <v>149651200000</v>
      </c>
      <c r="G925" s="205">
        <v>1546940145600</v>
      </c>
    </row>
    <row r="926" spans="1:7">
      <c r="A926" s="2102">
        <v>43018</v>
      </c>
      <c r="B926" s="211">
        <f t="shared" si="47"/>
        <v>2017</v>
      </c>
      <c r="C926" s="211">
        <f t="shared" si="48"/>
        <v>10</v>
      </c>
      <c r="D926" s="205">
        <v>9812400000000</v>
      </c>
      <c r="E926" s="205">
        <v>77646426500</v>
      </c>
      <c r="F926" s="205">
        <v>149943487500</v>
      </c>
      <c r="G926" s="205">
        <v>1544137717800</v>
      </c>
    </row>
    <row r="927" spans="1:7">
      <c r="A927" s="2102">
        <v>43007</v>
      </c>
      <c r="B927" s="211">
        <f t="shared" si="47"/>
        <v>2017</v>
      </c>
      <c r="C927" s="211">
        <f t="shared" si="48"/>
        <v>9</v>
      </c>
      <c r="D927" s="205">
        <v>9350085000000</v>
      </c>
      <c r="E927" s="205">
        <v>77646426500</v>
      </c>
      <c r="F927" s="205">
        <v>151112637500</v>
      </c>
      <c r="G927" s="205">
        <v>1437645461400</v>
      </c>
    </row>
    <row r="928" spans="1:7">
      <c r="A928" s="2102">
        <v>43006</v>
      </c>
      <c r="B928" s="211">
        <f t="shared" si="47"/>
        <v>2017</v>
      </c>
      <c r="C928" s="211">
        <f t="shared" si="48"/>
        <v>9</v>
      </c>
      <c r="D928" s="205">
        <v>9255735000000</v>
      </c>
      <c r="E928" s="205">
        <v>76267271500</v>
      </c>
      <c r="F928" s="205">
        <v>151112637500</v>
      </c>
      <c r="G928" s="205">
        <v>1432040605800</v>
      </c>
    </row>
    <row r="929" spans="1:7">
      <c r="A929" s="2102">
        <v>43005</v>
      </c>
      <c r="B929" s="211">
        <f t="shared" si="47"/>
        <v>2017</v>
      </c>
      <c r="C929" s="211">
        <f t="shared" si="48"/>
        <v>9</v>
      </c>
      <c r="D929" s="205">
        <v>9142515000000</v>
      </c>
      <c r="E929" s="205">
        <v>75301863000</v>
      </c>
      <c r="F929" s="205">
        <v>149066625000</v>
      </c>
      <c r="G929" s="205">
        <v>1404016327800</v>
      </c>
    </row>
    <row r="930" spans="1:7">
      <c r="A930" s="2102">
        <v>43004</v>
      </c>
      <c r="B930" s="211">
        <f t="shared" si="47"/>
        <v>2017</v>
      </c>
      <c r="C930" s="211">
        <f t="shared" si="48"/>
        <v>9</v>
      </c>
      <c r="D930" s="205">
        <v>9255735000000</v>
      </c>
      <c r="E930" s="205">
        <v>76543102500</v>
      </c>
      <c r="F930" s="205">
        <v>150528062500</v>
      </c>
      <c r="G930" s="205">
        <v>1443250317000</v>
      </c>
    </row>
    <row r="931" spans="1:7">
      <c r="A931" s="2102">
        <v>43003</v>
      </c>
      <c r="B931" s="211">
        <f t="shared" si="47"/>
        <v>2017</v>
      </c>
      <c r="C931" s="211">
        <f t="shared" si="48"/>
        <v>9</v>
      </c>
      <c r="D931" s="205">
        <v>9085905000000</v>
      </c>
      <c r="E931" s="205">
        <v>77508511000</v>
      </c>
      <c r="F931" s="205">
        <v>148774337500</v>
      </c>
      <c r="G931" s="205">
        <v>1401213900000</v>
      </c>
    </row>
    <row r="932" spans="1:7">
      <c r="A932" s="2102">
        <v>43000</v>
      </c>
      <c r="B932" s="211">
        <f t="shared" si="47"/>
        <v>2017</v>
      </c>
      <c r="C932" s="211">
        <f t="shared" si="48"/>
        <v>9</v>
      </c>
      <c r="D932" s="205">
        <v>9104775000000</v>
      </c>
      <c r="E932" s="205">
        <v>76681018000</v>
      </c>
      <c r="F932" s="205">
        <v>150820350000</v>
      </c>
      <c r="G932" s="205">
        <v>1398411472200</v>
      </c>
    </row>
    <row r="933" spans="1:7">
      <c r="A933" s="2102">
        <v>42999</v>
      </c>
      <c r="B933" s="211">
        <f t="shared" si="47"/>
        <v>2017</v>
      </c>
      <c r="C933" s="211">
        <f t="shared" si="48"/>
        <v>9</v>
      </c>
      <c r="D933" s="205">
        <v>9246300000000</v>
      </c>
      <c r="E933" s="205">
        <v>78060173000</v>
      </c>
      <c r="F933" s="205">
        <v>150528062500</v>
      </c>
      <c r="G933" s="205">
        <v>1454460028200</v>
      </c>
    </row>
    <row r="934" spans="1:7">
      <c r="A934" s="2102">
        <v>42998</v>
      </c>
      <c r="B934" s="211">
        <f t="shared" si="47"/>
        <v>2017</v>
      </c>
      <c r="C934" s="211">
        <f t="shared" si="48"/>
        <v>9</v>
      </c>
      <c r="D934" s="205">
        <v>9472740000000</v>
      </c>
      <c r="E934" s="205">
        <v>79301412500</v>
      </c>
      <c r="F934" s="205">
        <v>150235775000</v>
      </c>
      <c r="G934" s="205">
        <v>1448855172600</v>
      </c>
    </row>
    <row r="935" spans="1:7">
      <c r="A935" s="2102">
        <v>42997</v>
      </c>
      <c r="B935" s="211">
        <f t="shared" si="47"/>
        <v>2017</v>
      </c>
      <c r="C935" s="211">
        <f t="shared" si="48"/>
        <v>9</v>
      </c>
      <c r="D935" s="205">
        <v>9510480000000</v>
      </c>
      <c r="E935" s="205">
        <v>79577243500</v>
      </c>
      <c r="F935" s="205">
        <v>150528062500</v>
      </c>
      <c r="G935" s="205">
        <v>1482484306200</v>
      </c>
    </row>
    <row r="936" spans="1:7">
      <c r="A936" s="2102">
        <v>42996</v>
      </c>
      <c r="B936" s="211">
        <f t="shared" si="47"/>
        <v>2017</v>
      </c>
      <c r="C936" s="211">
        <f t="shared" si="48"/>
        <v>9</v>
      </c>
      <c r="D936" s="205">
        <v>9491610000000</v>
      </c>
      <c r="E936" s="205">
        <v>79439328000</v>
      </c>
      <c r="F936" s="205">
        <v>152281787500</v>
      </c>
      <c r="G936" s="205">
        <v>1476879450600</v>
      </c>
    </row>
    <row r="937" spans="1:7">
      <c r="A937" s="2102">
        <v>42993</v>
      </c>
      <c r="B937" s="211">
        <f t="shared" si="47"/>
        <v>2017</v>
      </c>
      <c r="C937" s="211">
        <f t="shared" si="48"/>
        <v>9</v>
      </c>
      <c r="D937" s="205">
        <v>9510480000000</v>
      </c>
      <c r="E937" s="205">
        <v>78060173000</v>
      </c>
      <c r="F937" s="205">
        <v>150820350000</v>
      </c>
      <c r="G937" s="205">
        <v>1460064883800</v>
      </c>
    </row>
    <row r="938" spans="1:7">
      <c r="A938" s="2102">
        <v>42992</v>
      </c>
      <c r="B938" s="211">
        <f t="shared" si="47"/>
        <v>2017</v>
      </c>
      <c r="C938" s="211">
        <f t="shared" si="48"/>
        <v>9</v>
      </c>
      <c r="D938" s="205">
        <v>9718050000000</v>
      </c>
      <c r="E938" s="205">
        <v>76681018000</v>
      </c>
      <c r="F938" s="205">
        <v>150820350000</v>
      </c>
      <c r="G938" s="205">
        <v>1490891589600</v>
      </c>
    </row>
    <row r="939" spans="1:7">
      <c r="A939" s="2102">
        <v>42991</v>
      </c>
      <c r="B939" s="211">
        <f t="shared" si="47"/>
        <v>2017</v>
      </c>
      <c r="C939" s="211">
        <f t="shared" si="48"/>
        <v>9</v>
      </c>
      <c r="D939" s="205">
        <v>9793530000000</v>
      </c>
      <c r="E939" s="205">
        <v>76129356000</v>
      </c>
      <c r="F939" s="205">
        <v>151404925000</v>
      </c>
      <c r="G939" s="205">
        <v>1535730434400</v>
      </c>
    </row>
    <row r="940" spans="1:7">
      <c r="A940" s="2102">
        <v>42990</v>
      </c>
      <c r="B940" s="211">
        <f t="shared" si="47"/>
        <v>2017</v>
      </c>
      <c r="C940" s="211">
        <f t="shared" si="48"/>
        <v>9</v>
      </c>
      <c r="D940" s="205">
        <v>9869010000000</v>
      </c>
      <c r="E940" s="205">
        <v>75715609500</v>
      </c>
      <c r="F940" s="205">
        <v>151697212500</v>
      </c>
      <c r="G940" s="205">
        <v>1563754712400</v>
      </c>
    </row>
    <row r="941" spans="1:7">
      <c r="A941" s="2102">
        <v>42989</v>
      </c>
      <c r="B941" s="211">
        <f t="shared" si="47"/>
        <v>2017</v>
      </c>
      <c r="C941" s="211">
        <f t="shared" si="48"/>
        <v>9</v>
      </c>
      <c r="D941" s="205">
        <v>9642570000000</v>
      </c>
      <c r="E941" s="205">
        <v>74888116500</v>
      </c>
      <c r="F941" s="205">
        <v>152866362500</v>
      </c>
      <c r="G941" s="205">
        <v>1502101300800</v>
      </c>
    </row>
    <row r="942" spans="1:7">
      <c r="A942" s="2102">
        <v>42986</v>
      </c>
      <c r="B942" s="211">
        <f t="shared" si="47"/>
        <v>2017</v>
      </c>
      <c r="C942" s="211">
        <f t="shared" si="48"/>
        <v>9</v>
      </c>
      <c r="D942" s="205">
        <v>9887880000000</v>
      </c>
      <c r="E942" s="205">
        <v>74888116500</v>
      </c>
      <c r="F942" s="205">
        <v>153158650000</v>
      </c>
      <c r="G942" s="205">
        <v>1541335290000</v>
      </c>
    </row>
    <row r="943" spans="1:7">
      <c r="A943" s="2102">
        <v>42985</v>
      </c>
      <c r="B943" s="211">
        <f t="shared" si="47"/>
        <v>2017</v>
      </c>
      <c r="C943" s="211">
        <f t="shared" si="48"/>
        <v>9</v>
      </c>
      <c r="D943" s="205">
        <v>9812400000000</v>
      </c>
      <c r="E943" s="205">
        <v>75163947500</v>
      </c>
      <c r="F943" s="205">
        <v>151989500000</v>
      </c>
      <c r="G943" s="205">
        <v>1566557140200</v>
      </c>
    </row>
    <row r="944" spans="1:7">
      <c r="A944" s="2102">
        <v>42984</v>
      </c>
      <c r="B944" s="211">
        <f t="shared" si="47"/>
        <v>2017</v>
      </c>
      <c r="C944" s="211">
        <f t="shared" si="48"/>
        <v>9</v>
      </c>
      <c r="D944" s="205">
        <v>9755790000000</v>
      </c>
      <c r="E944" s="205">
        <v>75301863000</v>
      </c>
      <c r="F944" s="205">
        <v>154327800000</v>
      </c>
      <c r="G944" s="205">
        <v>1546940145600</v>
      </c>
    </row>
    <row r="945" spans="1:7">
      <c r="A945" s="2102">
        <v>42983</v>
      </c>
      <c r="B945" s="211">
        <f t="shared" si="47"/>
        <v>2017</v>
      </c>
      <c r="C945" s="211">
        <f t="shared" si="48"/>
        <v>9</v>
      </c>
      <c r="D945" s="205">
        <v>9755790000000</v>
      </c>
      <c r="E945" s="205">
        <v>74612285500</v>
      </c>
      <c r="F945" s="205">
        <v>153743225000</v>
      </c>
      <c r="G945" s="205">
        <v>1566557140200</v>
      </c>
    </row>
    <row r="946" spans="1:7">
      <c r="A946" s="2102">
        <v>42982</v>
      </c>
      <c r="B946" s="211">
        <f t="shared" si="47"/>
        <v>2017</v>
      </c>
      <c r="C946" s="211">
        <f t="shared" si="48"/>
        <v>9</v>
      </c>
      <c r="D946" s="205">
        <v>9623700000000</v>
      </c>
      <c r="E946" s="205">
        <v>75991440500</v>
      </c>
      <c r="F946" s="205">
        <v>153450937500</v>
      </c>
      <c r="G946" s="205">
        <v>1566557140200</v>
      </c>
    </row>
    <row r="947" spans="1:7">
      <c r="A947" s="2102">
        <v>42979</v>
      </c>
      <c r="B947" s="211">
        <f t="shared" si="47"/>
        <v>2017</v>
      </c>
      <c r="C947" s="211">
        <f t="shared" si="48"/>
        <v>9</v>
      </c>
      <c r="D947" s="205">
        <v>9623700000000</v>
      </c>
      <c r="E947" s="205">
        <v>74336454500</v>
      </c>
      <c r="F947" s="205">
        <v>153158650000</v>
      </c>
      <c r="G947" s="205">
        <v>1574964423600</v>
      </c>
    </row>
    <row r="948" spans="1:7">
      <c r="A948" s="2102">
        <v>42978</v>
      </c>
      <c r="B948" s="211">
        <f t="shared" si="47"/>
        <v>2017</v>
      </c>
      <c r="C948" s="211">
        <f t="shared" si="48"/>
        <v>8</v>
      </c>
      <c r="D948" s="205">
        <v>9736920000000</v>
      </c>
      <c r="E948" s="205">
        <v>74888116500</v>
      </c>
      <c r="F948" s="205">
        <v>151989500000</v>
      </c>
      <c r="G948" s="205">
        <v>1597383846000</v>
      </c>
    </row>
    <row r="949" spans="1:7">
      <c r="A949" s="2102">
        <v>42977</v>
      </c>
      <c r="B949" s="211">
        <f t="shared" si="47"/>
        <v>2017</v>
      </c>
      <c r="C949" s="211">
        <f t="shared" si="48"/>
        <v>8</v>
      </c>
      <c r="D949" s="205">
        <v>9736920000000</v>
      </c>
      <c r="E949" s="205">
        <v>75026032000</v>
      </c>
      <c r="F949" s="205">
        <v>150528062500</v>
      </c>
      <c r="G949" s="205">
        <v>1572161995800</v>
      </c>
    </row>
    <row r="950" spans="1:7">
      <c r="A950" s="2102">
        <v>42976</v>
      </c>
      <c r="B950" s="211">
        <f t="shared" si="47"/>
        <v>2017</v>
      </c>
      <c r="C950" s="211">
        <f t="shared" si="48"/>
        <v>8</v>
      </c>
      <c r="D950" s="205">
        <v>9661440000000</v>
      </c>
      <c r="E950" s="205">
        <v>73646877000</v>
      </c>
      <c r="F950" s="205">
        <v>149066625000</v>
      </c>
      <c r="G950" s="205">
        <v>1558149856800</v>
      </c>
    </row>
    <row r="951" spans="1:7">
      <c r="A951" s="2102">
        <v>42975</v>
      </c>
      <c r="B951" s="211">
        <f t="shared" si="47"/>
        <v>2017</v>
      </c>
      <c r="C951" s="211">
        <f t="shared" si="48"/>
        <v>8</v>
      </c>
      <c r="D951" s="205">
        <v>9491610000000</v>
      </c>
      <c r="E951" s="205">
        <v>74198539000</v>
      </c>
      <c r="F951" s="205">
        <v>150528062500</v>
      </c>
      <c r="G951" s="205">
        <v>1530125578800</v>
      </c>
    </row>
    <row r="952" spans="1:7">
      <c r="A952" s="2102">
        <v>42972</v>
      </c>
      <c r="B952" s="211">
        <f t="shared" si="47"/>
        <v>2017</v>
      </c>
      <c r="C952" s="211">
        <f t="shared" si="48"/>
        <v>8</v>
      </c>
      <c r="D952" s="205">
        <v>9331215000000</v>
      </c>
      <c r="E952" s="205">
        <v>74474370000</v>
      </c>
      <c r="F952" s="205">
        <v>149358912500</v>
      </c>
      <c r="G952" s="205">
        <v>1516113439800</v>
      </c>
    </row>
    <row r="953" spans="1:7">
      <c r="A953" s="2102">
        <v>42971</v>
      </c>
      <c r="B953" s="211">
        <f t="shared" si="47"/>
        <v>2017</v>
      </c>
      <c r="C953" s="211">
        <f t="shared" si="48"/>
        <v>8</v>
      </c>
      <c r="D953" s="205">
        <v>9435000000000</v>
      </c>
      <c r="E953" s="205">
        <v>74474370000</v>
      </c>
      <c r="F953" s="205">
        <v>150820350000</v>
      </c>
      <c r="G953" s="205">
        <v>1507706156400</v>
      </c>
    </row>
    <row r="954" spans="1:7">
      <c r="A954" s="2102">
        <v>42970</v>
      </c>
      <c r="B954" s="211">
        <f t="shared" si="47"/>
        <v>2017</v>
      </c>
      <c r="C954" s="211">
        <f t="shared" si="48"/>
        <v>8</v>
      </c>
      <c r="D954" s="205">
        <v>9265170000000</v>
      </c>
      <c r="E954" s="205">
        <v>74750201000</v>
      </c>
      <c r="F954" s="205">
        <v>150235775000</v>
      </c>
      <c r="G954" s="205">
        <v>1493694017400</v>
      </c>
    </row>
    <row r="955" spans="1:7">
      <c r="A955" s="2102">
        <v>42969</v>
      </c>
      <c r="B955" s="211">
        <f t="shared" si="47"/>
        <v>2017</v>
      </c>
      <c r="C955" s="211">
        <f t="shared" si="48"/>
        <v>8</v>
      </c>
      <c r="D955" s="205">
        <v>9453870000000</v>
      </c>
      <c r="E955" s="205">
        <v>74750201000</v>
      </c>
      <c r="F955" s="205">
        <v>151989500000</v>
      </c>
      <c r="G955" s="205">
        <v>1516113439800</v>
      </c>
    </row>
    <row r="956" spans="1:7">
      <c r="A956" s="2102">
        <v>42968</v>
      </c>
      <c r="B956" s="211">
        <f t="shared" si="47"/>
        <v>2017</v>
      </c>
      <c r="C956" s="211">
        <f t="shared" si="48"/>
        <v>8</v>
      </c>
      <c r="D956" s="205">
        <v>9453870000000</v>
      </c>
      <c r="E956" s="205">
        <v>74888116500</v>
      </c>
      <c r="F956" s="205">
        <v>152574075000</v>
      </c>
      <c r="G956" s="205">
        <v>1479681878400</v>
      </c>
    </row>
    <row r="957" spans="1:7">
      <c r="A957" s="2102">
        <v>42965</v>
      </c>
      <c r="B957" s="211">
        <f t="shared" si="47"/>
        <v>2017</v>
      </c>
      <c r="C957" s="211">
        <f t="shared" si="48"/>
        <v>8</v>
      </c>
      <c r="D957" s="205">
        <v>9453870000000</v>
      </c>
      <c r="E957" s="205">
        <v>75026032000</v>
      </c>
      <c r="F957" s="205">
        <v>150820350000</v>
      </c>
      <c r="G957" s="205">
        <v>1488089161800</v>
      </c>
    </row>
    <row r="958" spans="1:7">
      <c r="A958" s="2102">
        <v>42964</v>
      </c>
      <c r="B958" s="211">
        <f t="shared" si="47"/>
        <v>2017</v>
      </c>
      <c r="C958" s="211">
        <f t="shared" si="48"/>
        <v>8</v>
      </c>
      <c r="D958" s="205">
        <v>9435000000000</v>
      </c>
      <c r="E958" s="205">
        <v>75439778500</v>
      </c>
      <c r="F958" s="205">
        <v>148774337500</v>
      </c>
      <c r="G958" s="205">
        <v>1521718295400</v>
      </c>
    </row>
    <row r="959" spans="1:7">
      <c r="A959" s="2102">
        <v>42963</v>
      </c>
      <c r="B959" s="211">
        <f t="shared" si="47"/>
        <v>2017</v>
      </c>
      <c r="C959" s="211">
        <f t="shared" si="48"/>
        <v>8</v>
      </c>
      <c r="D959" s="205">
        <v>9010425000000</v>
      </c>
      <c r="E959" s="205">
        <v>75715609500</v>
      </c>
      <c r="F959" s="205">
        <v>147020612500</v>
      </c>
      <c r="G959" s="205">
        <v>1446052744800</v>
      </c>
    </row>
    <row r="960" spans="1:7">
      <c r="A960" s="2102">
        <v>42961</v>
      </c>
      <c r="B960" s="211">
        <f t="shared" si="47"/>
        <v>2017</v>
      </c>
      <c r="C960" s="211">
        <f t="shared" si="48"/>
        <v>8</v>
      </c>
      <c r="D960" s="205">
        <v>9095340000000</v>
      </c>
      <c r="E960" s="205">
        <v>74198539000</v>
      </c>
      <c r="F960" s="205">
        <v>145266887500</v>
      </c>
      <c r="G960" s="205">
        <v>1446052744800</v>
      </c>
    </row>
    <row r="961" spans="1:7">
      <c r="A961" s="2102">
        <v>42958</v>
      </c>
      <c r="B961" s="211">
        <f t="shared" si="47"/>
        <v>2017</v>
      </c>
      <c r="C961" s="211">
        <f t="shared" si="48"/>
        <v>8</v>
      </c>
      <c r="D961" s="205">
        <v>9048165000000</v>
      </c>
      <c r="E961" s="205">
        <v>74060623500</v>
      </c>
      <c r="F961" s="205">
        <v>143513162500</v>
      </c>
      <c r="G961" s="205">
        <v>1446052744800</v>
      </c>
    </row>
    <row r="962" spans="1:7">
      <c r="A962" s="2102">
        <v>42957</v>
      </c>
      <c r="B962" s="211">
        <f t="shared" si="47"/>
        <v>2017</v>
      </c>
      <c r="C962" s="211">
        <f t="shared" si="48"/>
        <v>8</v>
      </c>
      <c r="D962" s="205">
        <v>9217995000000</v>
      </c>
      <c r="E962" s="205">
        <v>74750201000</v>
      </c>
      <c r="F962" s="205">
        <v>145559175000</v>
      </c>
      <c r="G962" s="205">
        <v>1510508584200</v>
      </c>
    </row>
    <row r="963" spans="1:7">
      <c r="A963" s="2102">
        <v>42956</v>
      </c>
      <c r="B963" s="211">
        <f t="shared" si="47"/>
        <v>2017</v>
      </c>
      <c r="C963" s="211">
        <f t="shared" si="48"/>
        <v>8</v>
      </c>
      <c r="D963" s="205">
        <v>9406695000000</v>
      </c>
      <c r="E963" s="205">
        <v>75439778500</v>
      </c>
      <c r="F963" s="205">
        <v>145851462500</v>
      </c>
      <c r="G963" s="205">
        <v>1496496445200</v>
      </c>
    </row>
    <row r="964" spans="1:7">
      <c r="A964" s="2102">
        <v>42955</v>
      </c>
      <c r="B964" s="211">
        <f t="shared" si="47"/>
        <v>2017</v>
      </c>
      <c r="C964" s="211">
        <f t="shared" si="48"/>
        <v>8</v>
      </c>
      <c r="D964" s="205">
        <v>9359520000000</v>
      </c>
      <c r="E964" s="205">
        <v>75439778500</v>
      </c>
      <c r="F964" s="205">
        <v>145705318750</v>
      </c>
      <c r="G964" s="205">
        <v>1496496445200</v>
      </c>
    </row>
    <row r="965" spans="1:7">
      <c r="A965" s="2102">
        <v>42954</v>
      </c>
      <c r="B965" s="211">
        <f t="shared" si="47"/>
        <v>2017</v>
      </c>
      <c r="C965" s="211">
        <f t="shared" si="48"/>
        <v>8</v>
      </c>
      <c r="D965" s="205">
        <v>9340650000000</v>
      </c>
      <c r="E965" s="205">
        <v>75439778500</v>
      </c>
      <c r="F965" s="205">
        <v>147020612500</v>
      </c>
      <c r="G965" s="205">
        <v>1479681878400</v>
      </c>
    </row>
    <row r="966" spans="1:7">
      <c r="A966" s="2102">
        <v>42951</v>
      </c>
      <c r="B966" s="211">
        <f t="shared" si="47"/>
        <v>2017</v>
      </c>
      <c r="C966" s="211">
        <f t="shared" si="48"/>
        <v>8</v>
      </c>
      <c r="D966" s="205">
        <v>9274605000000</v>
      </c>
      <c r="E966" s="205">
        <v>75439778500</v>
      </c>
      <c r="F966" s="205">
        <v>147312900000</v>
      </c>
      <c r="G966" s="205">
        <v>1521718295400</v>
      </c>
    </row>
    <row r="967" spans="1:7">
      <c r="A967" s="2102">
        <v>42950</v>
      </c>
      <c r="B967" s="211">
        <f t="shared" si="47"/>
        <v>2017</v>
      </c>
      <c r="C967" s="211">
        <f t="shared" si="48"/>
        <v>8</v>
      </c>
      <c r="D967" s="205">
        <v>9189690000000</v>
      </c>
      <c r="E967" s="205">
        <v>75026032000</v>
      </c>
      <c r="F967" s="205">
        <v>147312900000</v>
      </c>
      <c r="G967" s="205">
        <v>1471274595000</v>
      </c>
    </row>
    <row r="968" spans="1:7">
      <c r="A968" s="2102">
        <v>42949</v>
      </c>
      <c r="B968" s="211">
        <f t="shared" si="47"/>
        <v>2017</v>
      </c>
      <c r="C968" s="211">
        <f t="shared" si="48"/>
        <v>8</v>
      </c>
      <c r="D968" s="205">
        <v>9180255000000</v>
      </c>
      <c r="E968" s="205">
        <v>75853525000</v>
      </c>
      <c r="F968" s="205">
        <v>148189762500</v>
      </c>
      <c r="G968" s="205">
        <v>1504903728600</v>
      </c>
    </row>
    <row r="969" spans="1:7">
      <c r="A969" s="2102">
        <v>42948</v>
      </c>
      <c r="B969" s="211">
        <f t="shared" si="47"/>
        <v>2017</v>
      </c>
      <c r="C969" s="211">
        <f t="shared" si="48"/>
        <v>8</v>
      </c>
      <c r="D969" s="205">
        <v>9312345000000</v>
      </c>
      <c r="E969" s="205">
        <v>75577694000</v>
      </c>
      <c r="F969" s="205">
        <v>147605187500</v>
      </c>
      <c r="G969" s="205">
        <v>1454460028200</v>
      </c>
    </row>
    <row r="970" spans="1:7">
      <c r="A970" s="2102">
        <v>42947</v>
      </c>
      <c r="B970" s="211">
        <f t="shared" ref="B970:B1033" si="49">YEAR(A970)</f>
        <v>2017</v>
      </c>
      <c r="C970" s="211">
        <f t="shared" ref="C970:C1033" si="50">MONTH(A970)</f>
        <v>7</v>
      </c>
      <c r="D970" s="205">
        <v>9312345000000</v>
      </c>
      <c r="E970" s="205">
        <v>74612285500</v>
      </c>
      <c r="F970" s="205">
        <v>146143750000</v>
      </c>
      <c r="G970" s="205">
        <v>1392806616600</v>
      </c>
    </row>
    <row r="971" spans="1:7">
      <c r="A971" s="2102">
        <v>42944</v>
      </c>
      <c r="B971" s="211">
        <f t="shared" si="49"/>
        <v>2017</v>
      </c>
      <c r="C971" s="211">
        <f t="shared" si="50"/>
        <v>7</v>
      </c>
      <c r="D971" s="205">
        <v>9293475000000</v>
      </c>
      <c r="E971" s="205">
        <v>75163947500</v>
      </c>
      <c r="F971" s="205">
        <v>145705318750</v>
      </c>
      <c r="G971" s="205">
        <v>1357776269100</v>
      </c>
    </row>
    <row r="972" spans="1:7">
      <c r="A972" s="2102">
        <v>42943</v>
      </c>
      <c r="B972" s="211">
        <f t="shared" si="49"/>
        <v>2017</v>
      </c>
      <c r="C972" s="211">
        <f t="shared" si="50"/>
        <v>7</v>
      </c>
      <c r="D972" s="205">
        <v>9274605000000</v>
      </c>
      <c r="E972" s="205">
        <v>75577694000</v>
      </c>
      <c r="F972" s="205">
        <v>145997606250</v>
      </c>
      <c r="G972" s="205">
        <v>1384399333200</v>
      </c>
    </row>
    <row r="973" spans="1:7">
      <c r="A973" s="2102">
        <v>42942</v>
      </c>
      <c r="B973" s="211">
        <f t="shared" si="49"/>
        <v>2017</v>
      </c>
      <c r="C973" s="211">
        <f t="shared" si="50"/>
        <v>7</v>
      </c>
      <c r="D973" s="205">
        <v>9114210000000</v>
      </c>
      <c r="E973" s="205">
        <v>74750201000</v>
      </c>
      <c r="F973" s="205">
        <v>145120743750</v>
      </c>
      <c r="G973" s="205">
        <v>1333955632800</v>
      </c>
    </row>
    <row r="974" spans="1:7">
      <c r="A974" s="2102">
        <v>42941</v>
      </c>
      <c r="B974" s="211">
        <f t="shared" si="49"/>
        <v>2017</v>
      </c>
      <c r="C974" s="211">
        <f t="shared" si="50"/>
        <v>7</v>
      </c>
      <c r="D974" s="205">
        <v>8821725000000</v>
      </c>
      <c r="E974" s="205">
        <v>75577694000</v>
      </c>
      <c r="F974" s="205">
        <v>143513162500</v>
      </c>
      <c r="G974" s="205">
        <v>1284913146300</v>
      </c>
    </row>
    <row r="975" spans="1:7">
      <c r="A975" s="2102">
        <v>42940</v>
      </c>
      <c r="B975" s="211">
        <f t="shared" si="49"/>
        <v>2017</v>
      </c>
      <c r="C975" s="211">
        <f t="shared" si="50"/>
        <v>7</v>
      </c>
      <c r="D975" s="205">
        <v>8425455000000</v>
      </c>
      <c r="E975" s="205">
        <v>74750201000</v>
      </c>
      <c r="F975" s="205">
        <v>144390025000</v>
      </c>
      <c r="G975" s="205">
        <v>1303128927000</v>
      </c>
    </row>
    <row r="976" spans="1:7">
      <c r="A976" s="2102">
        <v>42937</v>
      </c>
      <c r="B976" s="211">
        <f t="shared" si="49"/>
        <v>2017</v>
      </c>
      <c r="C976" s="211">
        <f t="shared" si="50"/>
        <v>7</v>
      </c>
      <c r="D976" s="205">
        <v>8397150000000</v>
      </c>
      <c r="E976" s="205">
        <v>75026032000</v>
      </c>
      <c r="F976" s="205">
        <v>144097737500</v>
      </c>
      <c r="G976" s="205">
        <v>1300326499200</v>
      </c>
    </row>
    <row r="977" spans="1:7">
      <c r="A977" s="2102">
        <v>42936</v>
      </c>
      <c r="B977" s="211">
        <f t="shared" si="49"/>
        <v>2017</v>
      </c>
      <c r="C977" s="211">
        <f t="shared" si="50"/>
        <v>7</v>
      </c>
      <c r="D977" s="205">
        <v>8557545000000</v>
      </c>
      <c r="E977" s="205">
        <v>75439778500</v>
      </c>
      <c r="F977" s="205">
        <v>143659306250</v>
      </c>
      <c r="G977" s="205">
        <v>1331153205000</v>
      </c>
    </row>
    <row r="978" spans="1:7">
      <c r="A978" s="2102">
        <v>42935</v>
      </c>
      <c r="B978" s="211">
        <f t="shared" si="49"/>
        <v>2017</v>
      </c>
      <c r="C978" s="211">
        <f t="shared" si="50"/>
        <v>7</v>
      </c>
      <c r="D978" s="205">
        <v>8576415000000</v>
      </c>
      <c r="E978" s="205">
        <v>74888116500</v>
      </c>
      <c r="F978" s="205">
        <v>143074731250</v>
      </c>
      <c r="G978" s="205">
        <v>1328350777200</v>
      </c>
    </row>
    <row r="979" spans="1:7">
      <c r="A979" s="2102">
        <v>42934</v>
      </c>
      <c r="B979" s="211">
        <f t="shared" si="49"/>
        <v>2017</v>
      </c>
      <c r="C979" s="211">
        <f t="shared" si="50"/>
        <v>7</v>
      </c>
      <c r="D979" s="205">
        <v>8623590000000</v>
      </c>
      <c r="E979" s="205">
        <v>74750201000</v>
      </c>
      <c r="F979" s="205">
        <v>144974600000</v>
      </c>
      <c r="G979" s="205">
        <v>1321344707700</v>
      </c>
    </row>
    <row r="980" spans="1:7">
      <c r="A980" s="2102">
        <v>42933</v>
      </c>
      <c r="B980" s="211">
        <f t="shared" si="49"/>
        <v>2017</v>
      </c>
      <c r="C980" s="211">
        <f t="shared" si="50"/>
        <v>7</v>
      </c>
      <c r="D980" s="205">
        <v>8746245000000</v>
      </c>
      <c r="E980" s="205">
        <v>75577694000</v>
      </c>
      <c r="F980" s="205">
        <v>144097737500</v>
      </c>
      <c r="G980" s="205">
        <v>1315739852100</v>
      </c>
    </row>
    <row r="981" spans="1:7">
      <c r="A981" s="2102">
        <v>42930</v>
      </c>
      <c r="B981" s="211">
        <f t="shared" si="49"/>
        <v>2017</v>
      </c>
      <c r="C981" s="211">
        <f t="shared" si="50"/>
        <v>7</v>
      </c>
      <c r="D981" s="205">
        <v>8717940000000</v>
      </c>
      <c r="E981" s="205">
        <v>75853525000</v>
      </c>
      <c r="F981" s="205">
        <v>143074731250</v>
      </c>
      <c r="G981" s="205">
        <v>1297524071400</v>
      </c>
    </row>
    <row r="982" spans="1:7">
      <c r="A982" s="2102">
        <v>42929</v>
      </c>
      <c r="B982" s="211">
        <f t="shared" si="49"/>
        <v>2017</v>
      </c>
      <c r="C982" s="211">
        <f t="shared" si="50"/>
        <v>7</v>
      </c>
      <c r="D982" s="205">
        <v>8793420000000</v>
      </c>
      <c r="E982" s="205">
        <v>77232680000</v>
      </c>
      <c r="F982" s="205">
        <v>146143750000</v>
      </c>
      <c r="G982" s="205">
        <v>1287715574100</v>
      </c>
    </row>
    <row r="983" spans="1:7">
      <c r="A983" s="2102">
        <v>42928</v>
      </c>
      <c r="B983" s="211">
        <f t="shared" si="49"/>
        <v>2017</v>
      </c>
      <c r="C983" s="211">
        <f t="shared" si="50"/>
        <v>7</v>
      </c>
      <c r="D983" s="205">
        <v>8642460000000</v>
      </c>
      <c r="E983" s="205">
        <v>77784342000</v>
      </c>
      <c r="F983" s="205">
        <v>150235775000</v>
      </c>
      <c r="G983" s="205">
        <v>1268098579500</v>
      </c>
    </row>
    <row r="984" spans="1:7">
      <c r="A984" s="2102">
        <v>42927</v>
      </c>
      <c r="B984" s="211">
        <f t="shared" si="49"/>
        <v>2017</v>
      </c>
      <c r="C984" s="211">
        <f t="shared" si="50"/>
        <v>7</v>
      </c>
      <c r="D984" s="205">
        <v>8689635000000</v>
      </c>
      <c r="E984" s="205">
        <v>77370595500</v>
      </c>
      <c r="F984" s="205">
        <v>149651200000</v>
      </c>
      <c r="G984" s="205">
        <v>1305931354800</v>
      </c>
    </row>
    <row r="985" spans="1:7">
      <c r="A985" s="2102">
        <v>42926</v>
      </c>
      <c r="B985" s="211">
        <f t="shared" si="49"/>
        <v>2017</v>
      </c>
      <c r="C985" s="211">
        <f t="shared" si="50"/>
        <v>7</v>
      </c>
      <c r="D985" s="205">
        <v>8680200000000</v>
      </c>
      <c r="E985" s="205">
        <v>78336004000</v>
      </c>
      <c r="F985" s="205">
        <v>149066625000</v>
      </c>
      <c r="G985" s="205">
        <v>1251284012700</v>
      </c>
    </row>
    <row r="986" spans="1:7">
      <c r="A986" s="2102">
        <v>42923</v>
      </c>
      <c r="B986" s="211">
        <f t="shared" si="49"/>
        <v>2017</v>
      </c>
      <c r="C986" s="211">
        <f t="shared" si="50"/>
        <v>7</v>
      </c>
      <c r="D986" s="205">
        <v>8642460000000</v>
      </c>
      <c r="E986" s="205">
        <v>79025581500</v>
      </c>
      <c r="F986" s="205">
        <v>150235775000</v>
      </c>
      <c r="G986" s="205">
        <v>1269499793400</v>
      </c>
    </row>
    <row r="987" spans="1:7">
      <c r="A987" s="2102">
        <v>42922</v>
      </c>
      <c r="B987" s="211">
        <f t="shared" si="49"/>
        <v>2017</v>
      </c>
      <c r="C987" s="211">
        <f t="shared" si="50"/>
        <v>7</v>
      </c>
      <c r="D987" s="205">
        <v>8623590000000</v>
      </c>
      <c r="E987" s="205">
        <v>79301412500</v>
      </c>
      <c r="F987" s="205">
        <v>149651200000</v>
      </c>
      <c r="G987" s="205">
        <v>1261092510000</v>
      </c>
    </row>
    <row r="988" spans="1:7">
      <c r="A988" s="2102">
        <v>42921</v>
      </c>
      <c r="B988" s="211">
        <f t="shared" si="49"/>
        <v>2017</v>
      </c>
      <c r="C988" s="211">
        <f t="shared" si="50"/>
        <v>7</v>
      </c>
      <c r="D988" s="205">
        <v>8566980000000</v>
      </c>
      <c r="E988" s="205">
        <v>79715159000</v>
      </c>
      <c r="F988" s="205">
        <v>154912375000</v>
      </c>
      <c r="G988" s="205">
        <v>1262493723900</v>
      </c>
    </row>
    <row r="989" spans="1:7">
      <c r="A989" s="2102">
        <v>42920</v>
      </c>
      <c r="B989" s="211">
        <f t="shared" si="49"/>
        <v>2017</v>
      </c>
      <c r="C989" s="211">
        <f t="shared" si="50"/>
        <v>7</v>
      </c>
      <c r="D989" s="205">
        <v>8595285000000</v>
      </c>
      <c r="E989" s="205">
        <v>79439328000</v>
      </c>
      <c r="F989" s="205">
        <v>154327800000</v>
      </c>
      <c r="G989" s="205">
        <v>1227463376400</v>
      </c>
    </row>
    <row r="990" spans="1:7">
      <c r="A990" s="2102">
        <v>42919</v>
      </c>
      <c r="B990" s="211">
        <f t="shared" si="49"/>
        <v>2017</v>
      </c>
      <c r="C990" s="211">
        <f t="shared" si="50"/>
        <v>7</v>
      </c>
      <c r="D990" s="205">
        <v>8746245000000</v>
      </c>
      <c r="E990" s="205">
        <v>79439328000</v>
      </c>
      <c r="F990" s="205">
        <v>153450937500</v>
      </c>
      <c r="G990" s="205">
        <v>1252685226600</v>
      </c>
    </row>
    <row r="991" spans="1:7">
      <c r="A991" s="2102">
        <v>42916</v>
      </c>
      <c r="B991" s="211">
        <f t="shared" si="49"/>
        <v>2017</v>
      </c>
      <c r="C991" s="211">
        <f t="shared" si="50"/>
        <v>6</v>
      </c>
      <c r="D991" s="205">
        <v>8604720000000</v>
      </c>
      <c r="E991" s="205">
        <v>78060173000</v>
      </c>
      <c r="F991" s="205">
        <v>155204662500</v>
      </c>
      <c r="G991" s="205">
        <v>1205043954000</v>
      </c>
    </row>
    <row r="992" spans="1:7">
      <c r="A992" s="2102">
        <v>42915</v>
      </c>
      <c r="B992" s="211">
        <f t="shared" si="49"/>
        <v>2017</v>
      </c>
      <c r="C992" s="211">
        <f t="shared" si="50"/>
        <v>6</v>
      </c>
      <c r="D992" s="205">
        <v>8500935000000</v>
      </c>
      <c r="E992" s="205">
        <v>77646426500</v>
      </c>
      <c r="F992" s="205">
        <v>155204662500</v>
      </c>
      <c r="G992" s="205">
        <v>1195235456700</v>
      </c>
    </row>
    <row r="993" spans="1:7">
      <c r="A993" s="2102">
        <v>42914</v>
      </c>
      <c r="B993" s="211">
        <f t="shared" si="49"/>
        <v>2017</v>
      </c>
      <c r="C993" s="211">
        <f t="shared" si="50"/>
        <v>6</v>
      </c>
      <c r="D993" s="205">
        <v>8378280000000</v>
      </c>
      <c r="E993" s="205">
        <v>77508511000</v>
      </c>
      <c r="F993" s="205">
        <v>155496950000</v>
      </c>
      <c r="G993" s="205">
        <v>1177019676000</v>
      </c>
    </row>
    <row r="994" spans="1:7">
      <c r="A994" s="2102">
        <v>42913</v>
      </c>
      <c r="B994" s="211">
        <f t="shared" si="49"/>
        <v>2017</v>
      </c>
      <c r="C994" s="211">
        <f t="shared" si="50"/>
        <v>6</v>
      </c>
      <c r="D994" s="205">
        <v>8189580000000</v>
      </c>
      <c r="E994" s="205">
        <v>77646426500</v>
      </c>
      <c r="F994" s="205">
        <v>153743225000</v>
      </c>
      <c r="G994" s="205">
        <v>1119569906100</v>
      </c>
    </row>
    <row r="995" spans="1:7">
      <c r="A995" s="2102">
        <v>42912</v>
      </c>
      <c r="B995" s="211">
        <f t="shared" si="49"/>
        <v>2017</v>
      </c>
      <c r="C995" s="211">
        <f t="shared" si="50"/>
        <v>6</v>
      </c>
      <c r="D995" s="205">
        <v>8302800000000</v>
      </c>
      <c r="E995" s="205">
        <v>77232680000</v>
      </c>
      <c r="F995" s="205">
        <v>151404925000</v>
      </c>
      <c r="G995" s="205">
        <v>1126575975600</v>
      </c>
    </row>
    <row r="996" spans="1:7">
      <c r="A996" s="2102">
        <v>42909</v>
      </c>
      <c r="B996" s="211">
        <f t="shared" si="49"/>
        <v>2017</v>
      </c>
      <c r="C996" s="211">
        <f t="shared" si="50"/>
        <v>6</v>
      </c>
      <c r="D996" s="205">
        <v>8283930000000</v>
      </c>
      <c r="E996" s="205">
        <v>77508511000</v>
      </c>
      <c r="F996" s="205">
        <v>150820350000</v>
      </c>
      <c r="G996" s="205">
        <v>1125174761700</v>
      </c>
    </row>
    <row r="997" spans="1:7">
      <c r="A997" s="2102">
        <v>42908</v>
      </c>
      <c r="B997" s="211">
        <f t="shared" si="49"/>
        <v>2017</v>
      </c>
      <c r="C997" s="211">
        <f t="shared" si="50"/>
        <v>6</v>
      </c>
      <c r="D997" s="205">
        <v>8246190000000</v>
      </c>
      <c r="E997" s="205">
        <v>78060173000</v>
      </c>
      <c r="F997" s="205">
        <v>149943487500</v>
      </c>
      <c r="G997" s="205">
        <v>1120971120000</v>
      </c>
    </row>
    <row r="998" spans="1:7">
      <c r="A998" s="2102">
        <v>42907</v>
      </c>
      <c r="B998" s="211">
        <f t="shared" si="49"/>
        <v>2017</v>
      </c>
      <c r="C998" s="211">
        <f t="shared" si="50"/>
        <v>6</v>
      </c>
      <c r="D998" s="205">
        <v>8170710000000</v>
      </c>
      <c r="E998" s="205">
        <v>78060173000</v>
      </c>
      <c r="F998" s="205">
        <v>148774337500</v>
      </c>
      <c r="G998" s="205">
        <v>1125174761700</v>
      </c>
    </row>
    <row r="999" spans="1:7">
      <c r="A999" s="2102">
        <v>42906</v>
      </c>
      <c r="B999" s="211">
        <f t="shared" si="49"/>
        <v>2017</v>
      </c>
      <c r="C999" s="211">
        <f t="shared" si="50"/>
        <v>6</v>
      </c>
      <c r="D999" s="205">
        <v>8170710000000</v>
      </c>
      <c r="E999" s="205">
        <v>78611835000</v>
      </c>
      <c r="F999" s="205">
        <v>148189762500</v>
      </c>
      <c r="G999" s="205">
        <v>1130779617300</v>
      </c>
    </row>
    <row r="1000" spans="1:7">
      <c r="A1000" s="2102">
        <v>42905</v>
      </c>
      <c r="B1000" s="211">
        <f t="shared" si="49"/>
        <v>2017</v>
      </c>
      <c r="C1000" s="211">
        <f t="shared" si="50"/>
        <v>6</v>
      </c>
      <c r="D1000" s="205">
        <v>8095230000000</v>
      </c>
      <c r="E1000" s="205">
        <v>78887666000</v>
      </c>
      <c r="F1000" s="205">
        <v>148189762500</v>
      </c>
      <c r="G1000" s="205">
        <v>1132180831200</v>
      </c>
    </row>
    <row r="1001" spans="1:7">
      <c r="A1001" s="2102">
        <v>42902</v>
      </c>
      <c r="B1001" s="211">
        <f t="shared" si="49"/>
        <v>2017</v>
      </c>
      <c r="C1001" s="211">
        <f t="shared" si="50"/>
        <v>6</v>
      </c>
      <c r="D1001" s="205">
        <v>8255625000000</v>
      </c>
      <c r="E1001" s="205">
        <v>79163497000</v>
      </c>
      <c r="F1001" s="205">
        <v>148482050000</v>
      </c>
      <c r="G1001" s="205">
        <v>1157402681400</v>
      </c>
    </row>
    <row r="1002" spans="1:7">
      <c r="A1002" s="2102">
        <v>42901</v>
      </c>
      <c r="B1002" s="211">
        <f t="shared" si="49"/>
        <v>2017</v>
      </c>
      <c r="C1002" s="211">
        <f t="shared" si="50"/>
        <v>6</v>
      </c>
      <c r="D1002" s="205">
        <v>8302800000000</v>
      </c>
      <c r="E1002" s="205">
        <v>79163497000</v>
      </c>
      <c r="F1002" s="205">
        <v>148189762500</v>
      </c>
      <c r="G1002" s="205">
        <v>1151797825800</v>
      </c>
    </row>
    <row r="1003" spans="1:7">
      <c r="A1003" s="2102">
        <v>42900</v>
      </c>
      <c r="B1003" s="211">
        <f t="shared" si="49"/>
        <v>2017</v>
      </c>
      <c r="C1003" s="211">
        <f t="shared" si="50"/>
        <v>6</v>
      </c>
      <c r="D1003" s="205">
        <v>8378280000000</v>
      </c>
      <c r="E1003" s="205">
        <v>78749750500</v>
      </c>
      <c r="F1003" s="205">
        <v>147605187500</v>
      </c>
      <c r="G1003" s="205">
        <v>1170013606500</v>
      </c>
    </row>
    <row r="1004" spans="1:7">
      <c r="A1004" s="2102">
        <v>42899</v>
      </c>
      <c r="B1004" s="211">
        <f t="shared" si="49"/>
        <v>2017</v>
      </c>
      <c r="C1004" s="211">
        <f t="shared" si="50"/>
        <v>6</v>
      </c>
      <c r="D1004" s="205">
        <v>8472630000000</v>
      </c>
      <c r="E1004" s="205">
        <v>79163497000</v>
      </c>
      <c r="F1004" s="205">
        <v>147605187500</v>
      </c>
      <c r="G1004" s="205">
        <v>1148995398000</v>
      </c>
    </row>
    <row r="1005" spans="1:7">
      <c r="A1005" s="2102">
        <v>42898</v>
      </c>
      <c r="B1005" s="211">
        <f t="shared" si="49"/>
        <v>2017</v>
      </c>
      <c r="C1005" s="211">
        <f t="shared" si="50"/>
        <v>6</v>
      </c>
      <c r="D1005" s="205">
        <v>8444325000000</v>
      </c>
      <c r="E1005" s="205">
        <v>79025581500</v>
      </c>
      <c r="F1005" s="205">
        <v>148189762500</v>
      </c>
      <c r="G1005" s="205">
        <v>1140588114600</v>
      </c>
    </row>
    <row r="1006" spans="1:7">
      <c r="A1006" s="2102">
        <v>42895</v>
      </c>
      <c r="B1006" s="211">
        <f t="shared" si="49"/>
        <v>2017</v>
      </c>
      <c r="C1006" s="211">
        <f t="shared" si="50"/>
        <v>6</v>
      </c>
      <c r="D1006" s="205">
        <v>8453760000000</v>
      </c>
      <c r="E1006" s="205">
        <v>78749750500</v>
      </c>
      <c r="F1006" s="205">
        <v>147897475000</v>
      </c>
      <c r="G1006" s="205">
        <v>1134983259000</v>
      </c>
    </row>
    <row r="1007" spans="1:7">
      <c r="A1007" s="2102">
        <v>42894</v>
      </c>
      <c r="B1007" s="211">
        <f t="shared" si="49"/>
        <v>2017</v>
      </c>
      <c r="C1007" s="211">
        <f t="shared" si="50"/>
        <v>6</v>
      </c>
      <c r="D1007" s="205">
        <v>8548110000000</v>
      </c>
      <c r="E1007" s="205">
        <v>79301412500</v>
      </c>
      <c r="F1007" s="205">
        <v>147312900000</v>
      </c>
      <c r="G1007" s="205">
        <v>1120971120000</v>
      </c>
    </row>
    <row r="1008" spans="1:7">
      <c r="A1008" s="2102">
        <v>42893</v>
      </c>
      <c r="B1008" s="211">
        <f t="shared" si="49"/>
        <v>2017</v>
      </c>
      <c r="C1008" s="211">
        <f t="shared" si="50"/>
        <v>6</v>
      </c>
      <c r="D1008" s="205">
        <v>8519805000000</v>
      </c>
      <c r="E1008" s="205">
        <v>79990990000</v>
      </c>
      <c r="F1008" s="205">
        <v>147020612500</v>
      </c>
      <c r="G1008" s="205">
        <v>1122372333900</v>
      </c>
    </row>
    <row r="1009" spans="1:7">
      <c r="A1009" s="2102">
        <v>42891</v>
      </c>
      <c r="B1009" s="211">
        <f t="shared" si="49"/>
        <v>2017</v>
      </c>
      <c r="C1009" s="211">
        <f t="shared" si="50"/>
        <v>6</v>
      </c>
      <c r="D1009" s="205">
        <v>8444325000000</v>
      </c>
      <c r="E1009" s="205">
        <v>79577243500</v>
      </c>
      <c r="F1009" s="205">
        <v>144390025000</v>
      </c>
      <c r="G1009" s="205">
        <v>1125174761700</v>
      </c>
    </row>
    <row r="1010" spans="1:7">
      <c r="A1010" s="2102">
        <v>42888</v>
      </c>
      <c r="B1010" s="211">
        <f t="shared" si="49"/>
        <v>2017</v>
      </c>
      <c r="C1010" s="211">
        <f t="shared" si="50"/>
        <v>6</v>
      </c>
      <c r="D1010" s="205">
        <v>8453760000000</v>
      </c>
      <c r="E1010" s="205">
        <v>78887666000</v>
      </c>
      <c r="F1010" s="205">
        <v>143805450000</v>
      </c>
      <c r="G1010" s="205">
        <v>1144791756300</v>
      </c>
    </row>
    <row r="1011" spans="1:7">
      <c r="A1011" s="2102">
        <v>42887</v>
      </c>
      <c r="B1011" s="211">
        <f t="shared" si="49"/>
        <v>2017</v>
      </c>
      <c r="C1011" s="211">
        <f t="shared" si="50"/>
        <v>6</v>
      </c>
      <c r="D1011" s="205">
        <v>8359410000000</v>
      </c>
      <c r="E1011" s="205">
        <v>80128905500</v>
      </c>
      <c r="F1011" s="205">
        <v>144243881250</v>
      </c>
      <c r="G1011" s="205">
        <v>1146192970200</v>
      </c>
    </row>
    <row r="1012" spans="1:7">
      <c r="A1012" s="2102">
        <v>42886</v>
      </c>
      <c r="B1012" s="211">
        <f t="shared" si="49"/>
        <v>2017</v>
      </c>
      <c r="C1012" s="211">
        <f t="shared" si="50"/>
        <v>5</v>
      </c>
      <c r="D1012" s="205">
        <v>8265060000000</v>
      </c>
      <c r="E1012" s="205">
        <v>79715159000</v>
      </c>
      <c r="F1012" s="205">
        <v>143805450000</v>
      </c>
      <c r="G1012" s="205">
        <v>1160205109200</v>
      </c>
    </row>
    <row r="1013" spans="1:7">
      <c r="A1013" s="2102">
        <v>42885</v>
      </c>
      <c r="B1013" s="211">
        <f t="shared" si="49"/>
        <v>2017</v>
      </c>
      <c r="C1013" s="211">
        <f t="shared" si="50"/>
        <v>5</v>
      </c>
      <c r="D1013" s="205">
        <v>8293365000000</v>
      </c>
      <c r="E1013" s="205">
        <v>79990990000</v>
      </c>
      <c r="F1013" s="205">
        <v>142636300000</v>
      </c>
      <c r="G1013" s="205">
        <v>1170013606500</v>
      </c>
    </row>
    <row r="1014" spans="1:7">
      <c r="A1014" s="2102">
        <v>42884</v>
      </c>
      <c r="B1014" s="211">
        <f t="shared" si="49"/>
        <v>2017</v>
      </c>
      <c r="C1014" s="211">
        <f t="shared" si="50"/>
        <v>5</v>
      </c>
      <c r="D1014" s="205">
        <v>8274495000000</v>
      </c>
      <c r="E1014" s="205">
        <v>79577243500</v>
      </c>
      <c r="F1014" s="205">
        <v>141759437500</v>
      </c>
      <c r="G1014" s="205">
        <v>1160205109200</v>
      </c>
    </row>
    <row r="1015" spans="1:7">
      <c r="A1015" s="2102">
        <v>42881</v>
      </c>
      <c r="B1015" s="211">
        <f t="shared" si="49"/>
        <v>2017</v>
      </c>
      <c r="C1015" s="211">
        <f t="shared" si="50"/>
        <v>5</v>
      </c>
      <c r="D1015" s="205">
        <v>8265060000000</v>
      </c>
      <c r="E1015" s="205">
        <v>79990990000</v>
      </c>
      <c r="F1015" s="205">
        <v>142782443750</v>
      </c>
      <c r="G1015" s="205">
        <v>1165809964800</v>
      </c>
    </row>
    <row r="1016" spans="1:7">
      <c r="A1016" s="2102">
        <v>42880</v>
      </c>
      <c r="B1016" s="211">
        <f t="shared" si="49"/>
        <v>2017</v>
      </c>
      <c r="C1016" s="211">
        <f t="shared" si="50"/>
        <v>5</v>
      </c>
      <c r="D1016" s="205">
        <v>8189580000000</v>
      </c>
      <c r="E1016" s="205">
        <v>79163497000</v>
      </c>
      <c r="F1016" s="205">
        <v>143074731250</v>
      </c>
      <c r="G1016" s="205">
        <v>1182624531600</v>
      </c>
    </row>
    <row r="1017" spans="1:7">
      <c r="A1017" s="2102">
        <v>42879</v>
      </c>
      <c r="B1017" s="211">
        <f t="shared" si="49"/>
        <v>2017</v>
      </c>
      <c r="C1017" s="211">
        <f t="shared" si="50"/>
        <v>5</v>
      </c>
      <c r="D1017" s="205">
        <v>8161275000000</v>
      </c>
      <c r="E1017" s="205">
        <v>78198088500</v>
      </c>
      <c r="F1017" s="205">
        <v>143220875000</v>
      </c>
      <c r="G1017" s="205">
        <v>1175618462100</v>
      </c>
    </row>
    <row r="1018" spans="1:7">
      <c r="A1018" s="2102">
        <v>42878</v>
      </c>
      <c r="B1018" s="211">
        <f t="shared" si="49"/>
        <v>2017</v>
      </c>
      <c r="C1018" s="211">
        <f t="shared" si="50"/>
        <v>5</v>
      </c>
      <c r="D1018" s="205">
        <v>8151840000000</v>
      </c>
      <c r="E1018" s="205">
        <v>77784342000</v>
      </c>
      <c r="F1018" s="205">
        <v>140151856250</v>
      </c>
      <c r="G1018" s="205">
        <v>1143390542400</v>
      </c>
    </row>
    <row r="1019" spans="1:7">
      <c r="A1019" s="2102">
        <v>42877</v>
      </c>
      <c r="B1019" s="211">
        <f t="shared" si="49"/>
        <v>2017</v>
      </c>
      <c r="C1019" s="211">
        <f t="shared" si="50"/>
        <v>5</v>
      </c>
      <c r="D1019" s="205">
        <v>8095230000000</v>
      </c>
      <c r="E1019" s="205">
        <v>77370595500</v>
      </c>
      <c r="F1019" s="205">
        <v>140736431250</v>
      </c>
      <c r="G1019" s="205">
        <v>1133582045100</v>
      </c>
    </row>
    <row r="1020" spans="1:7">
      <c r="A1020" s="2102">
        <v>42874</v>
      </c>
      <c r="B1020" s="211">
        <f t="shared" si="49"/>
        <v>2017</v>
      </c>
      <c r="C1020" s="211">
        <f t="shared" si="50"/>
        <v>5</v>
      </c>
      <c r="D1020" s="205">
        <v>8048055000000</v>
      </c>
      <c r="E1020" s="205">
        <v>76681018000</v>
      </c>
      <c r="F1020" s="205">
        <v>141174862500</v>
      </c>
      <c r="G1020" s="205">
        <v>1111162622700</v>
      </c>
    </row>
    <row r="1021" spans="1:7">
      <c r="A1021" s="2102">
        <v>42873</v>
      </c>
      <c r="B1021" s="211">
        <f t="shared" si="49"/>
        <v>2017</v>
      </c>
      <c r="C1021" s="211">
        <f t="shared" si="50"/>
        <v>5</v>
      </c>
      <c r="D1021" s="205">
        <v>8029185000000</v>
      </c>
      <c r="E1021" s="205">
        <v>75991440500</v>
      </c>
      <c r="F1021" s="205">
        <v>140882575000</v>
      </c>
      <c r="G1021" s="205">
        <v>1115366264400</v>
      </c>
    </row>
    <row r="1022" spans="1:7">
      <c r="A1022" s="2102">
        <v>42872</v>
      </c>
      <c r="B1022" s="211">
        <f t="shared" si="49"/>
        <v>2017</v>
      </c>
      <c r="C1022" s="211">
        <f t="shared" si="50"/>
        <v>5</v>
      </c>
      <c r="D1022" s="205">
        <v>7982010000000</v>
      </c>
      <c r="E1022" s="205">
        <v>76818933500</v>
      </c>
      <c r="F1022" s="205">
        <v>141759437500</v>
      </c>
      <c r="G1022" s="205">
        <v>1111162622700</v>
      </c>
    </row>
    <row r="1023" spans="1:7">
      <c r="A1023" s="2102">
        <v>42871</v>
      </c>
      <c r="B1023" s="211">
        <f t="shared" si="49"/>
        <v>2017</v>
      </c>
      <c r="C1023" s="211">
        <f t="shared" si="50"/>
        <v>5</v>
      </c>
      <c r="D1023" s="205">
        <v>8057490000000</v>
      </c>
      <c r="E1023" s="205">
        <v>78060173000</v>
      </c>
      <c r="F1023" s="205">
        <v>140298000000</v>
      </c>
      <c r="G1023" s="205">
        <v>1133582045100</v>
      </c>
    </row>
    <row r="1024" spans="1:7">
      <c r="A1024" s="2102">
        <v>42870</v>
      </c>
      <c r="B1024" s="211">
        <f t="shared" si="49"/>
        <v>2017</v>
      </c>
      <c r="C1024" s="211">
        <f t="shared" si="50"/>
        <v>5</v>
      </c>
      <c r="D1024" s="205">
        <v>8095230000000</v>
      </c>
      <c r="E1024" s="205">
        <v>78198088500</v>
      </c>
      <c r="F1024" s="205">
        <v>141174862500</v>
      </c>
      <c r="G1024" s="205">
        <v>1115366264400</v>
      </c>
    </row>
    <row r="1025" spans="1:7">
      <c r="A1025" s="2102">
        <v>42867</v>
      </c>
      <c r="B1025" s="211">
        <f t="shared" si="49"/>
        <v>2017</v>
      </c>
      <c r="C1025" s="211">
        <f t="shared" si="50"/>
        <v>5</v>
      </c>
      <c r="D1025" s="205">
        <v>8066925000000</v>
      </c>
      <c r="E1025" s="205">
        <v>78473919500</v>
      </c>
      <c r="F1025" s="205">
        <v>141174862500</v>
      </c>
      <c r="G1025" s="205">
        <v>1118168692200</v>
      </c>
    </row>
    <row r="1026" spans="1:7">
      <c r="A1026" s="2102">
        <v>42866</v>
      </c>
      <c r="B1026" s="211">
        <f t="shared" si="49"/>
        <v>2017</v>
      </c>
      <c r="C1026" s="211">
        <f t="shared" si="50"/>
        <v>5</v>
      </c>
      <c r="D1026" s="205">
        <v>8085795000000</v>
      </c>
      <c r="E1026" s="205">
        <v>76405187000</v>
      </c>
      <c r="F1026" s="205">
        <v>140882575000</v>
      </c>
      <c r="G1026" s="205">
        <v>1129378403400</v>
      </c>
    </row>
    <row r="1027" spans="1:7">
      <c r="A1027" s="2102">
        <v>42865</v>
      </c>
      <c r="B1027" s="211">
        <f t="shared" si="49"/>
        <v>2017</v>
      </c>
      <c r="C1027" s="211">
        <f t="shared" si="50"/>
        <v>5</v>
      </c>
      <c r="D1027" s="205">
        <v>8029185000000</v>
      </c>
      <c r="E1027" s="205">
        <v>76129356000</v>
      </c>
      <c r="F1027" s="205">
        <v>140736431250</v>
      </c>
      <c r="G1027" s="205">
        <v>1104156553200</v>
      </c>
    </row>
    <row r="1028" spans="1:7">
      <c r="A1028" s="2102">
        <v>42863</v>
      </c>
      <c r="B1028" s="211">
        <f t="shared" si="49"/>
        <v>2017</v>
      </c>
      <c r="C1028" s="211">
        <f t="shared" si="50"/>
        <v>5</v>
      </c>
      <c r="D1028" s="205">
        <v>8010315000000</v>
      </c>
      <c r="E1028" s="205">
        <v>76267271500</v>
      </c>
      <c r="F1028" s="205">
        <v>140151856250</v>
      </c>
      <c r="G1028" s="205">
        <v>1101354125400</v>
      </c>
    </row>
    <row r="1029" spans="1:7">
      <c r="A1029" s="2102">
        <v>42859</v>
      </c>
      <c r="B1029" s="211">
        <f t="shared" si="49"/>
        <v>2017</v>
      </c>
      <c r="C1029" s="211">
        <f t="shared" si="50"/>
        <v>5</v>
      </c>
      <c r="D1029" s="205">
        <v>7972575000000</v>
      </c>
      <c r="E1029" s="205">
        <v>76405187000</v>
      </c>
      <c r="F1029" s="205">
        <v>141174862500</v>
      </c>
      <c r="G1029" s="205">
        <v>1123773547800</v>
      </c>
    </row>
    <row r="1030" spans="1:7">
      <c r="A1030" s="2102">
        <v>42857</v>
      </c>
      <c r="B1030" s="211">
        <f t="shared" si="49"/>
        <v>2017</v>
      </c>
      <c r="C1030" s="211">
        <f t="shared" si="50"/>
        <v>5</v>
      </c>
      <c r="D1030" s="205">
        <v>8010315000000</v>
      </c>
      <c r="E1030" s="205">
        <v>75715609500</v>
      </c>
      <c r="F1030" s="205">
        <v>140590287500</v>
      </c>
      <c r="G1030" s="205">
        <v>1120971120000</v>
      </c>
    </row>
    <row r="1031" spans="1:7">
      <c r="A1031" s="2102">
        <v>42853</v>
      </c>
      <c r="B1031" s="211">
        <f t="shared" si="49"/>
        <v>2017</v>
      </c>
      <c r="C1031" s="211">
        <f t="shared" si="50"/>
        <v>4</v>
      </c>
      <c r="D1031" s="205">
        <v>8029185000000</v>
      </c>
      <c r="E1031" s="205">
        <v>76405187000</v>
      </c>
      <c r="F1031" s="205">
        <v>141028718750</v>
      </c>
      <c r="G1031" s="205">
        <v>1094348055900</v>
      </c>
    </row>
    <row r="1032" spans="1:7">
      <c r="A1032" s="2102">
        <v>42852</v>
      </c>
      <c r="B1032" s="211">
        <f t="shared" si="49"/>
        <v>2017</v>
      </c>
      <c r="C1032" s="211">
        <f t="shared" si="50"/>
        <v>4</v>
      </c>
      <c r="D1032" s="205">
        <v>8029185000000</v>
      </c>
      <c r="E1032" s="205">
        <v>77232680000</v>
      </c>
      <c r="F1032" s="205">
        <v>140444143750</v>
      </c>
      <c r="G1032" s="205">
        <v>1125174761700</v>
      </c>
    </row>
    <row r="1033" spans="1:7">
      <c r="A1033" s="2102">
        <v>42851</v>
      </c>
      <c r="B1033" s="211">
        <f t="shared" si="49"/>
        <v>2017</v>
      </c>
      <c r="C1033" s="211">
        <f t="shared" si="50"/>
        <v>4</v>
      </c>
      <c r="D1033" s="205">
        <v>7991445000000</v>
      </c>
      <c r="E1033" s="205">
        <v>76129356000</v>
      </c>
      <c r="F1033" s="205">
        <v>140298000000</v>
      </c>
      <c r="G1033" s="205">
        <v>1113965050500</v>
      </c>
    </row>
    <row r="1034" spans="1:7">
      <c r="A1034" s="2102">
        <v>42850</v>
      </c>
      <c r="B1034" s="211">
        <f t="shared" ref="B1034:B1097" si="51">YEAR(A1034)</f>
        <v>2017</v>
      </c>
      <c r="C1034" s="211">
        <f t="shared" ref="C1034:C1097" si="52">MONTH(A1034)</f>
        <v>4</v>
      </c>
      <c r="D1034" s="205">
        <v>8114100000000</v>
      </c>
      <c r="E1034" s="205">
        <v>75577694000</v>
      </c>
      <c r="F1034" s="205">
        <v>140151856250</v>
      </c>
      <c r="G1034" s="205">
        <v>1106958981000</v>
      </c>
    </row>
    <row r="1035" spans="1:7">
      <c r="A1035" s="2102">
        <v>42849</v>
      </c>
      <c r="B1035" s="211">
        <f t="shared" si="51"/>
        <v>2017</v>
      </c>
      <c r="C1035" s="211">
        <f t="shared" si="52"/>
        <v>4</v>
      </c>
      <c r="D1035" s="205">
        <v>7812180000000</v>
      </c>
      <c r="E1035" s="205">
        <v>75439778500</v>
      </c>
      <c r="F1035" s="205">
        <v>139859568750</v>
      </c>
      <c r="G1035" s="205">
        <v>1104156553200</v>
      </c>
    </row>
    <row r="1036" spans="1:7">
      <c r="A1036" s="2102">
        <v>42846</v>
      </c>
      <c r="B1036" s="211">
        <f t="shared" si="51"/>
        <v>2017</v>
      </c>
      <c r="C1036" s="211">
        <f t="shared" si="52"/>
        <v>4</v>
      </c>
      <c r="D1036" s="205">
        <v>7840485000000</v>
      </c>
      <c r="E1036" s="205">
        <v>76129356000</v>
      </c>
      <c r="F1036" s="205">
        <v>140444143750</v>
      </c>
      <c r="G1036" s="205">
        <v>1101354125400</v>
      </c>
    </row>
    <row r="1037" spans="1:7">
      <c r="A1037" s="2102">
        <v>42845</v>
      </c>
      <c r="B1037" s="211">
        <f t="shared" si="51"/>
        <v>2017</v>
      </c>
      <c r="C1037" s="211">
        <f t="shared" si="52"/>
        <v>4</v>
      </c>
      <c r="D1037" s="205">
        <v>7887660000000</v>
      </c>
      <c r="E1037" s="205">
        <v>75577694000</v>
      </c>
      <c r="F1037" s="205">
        <v>140736431250</v>
      </c>
      <c r="G1037" s="205">
        <v>1098551697600</v>
      </c>
    </row>
    <row r="1038" spans="1:7">
      <c r="A1038" s="2102">
        <v>42844</v>
      </c>
      <c r="B1038" s="211">
        <f t="shared" si="51"/>
        <v>2017</v>
      </c>
      <c r="C1038" s="211">
        <f t="shared" si="52"/>
        <v>4</v>
      </c>
      <c r="D1038" s="205">
        <v>7878225000000</v>
      </c>
      <c r="E1038" s="205">
        <v>76129356000</v>
      </c>
      <c r="F1038" s="205">
        <v>140882575000</v>
      </c>
      <c r="G1038" s="205">
        <v>1084539558600</v>
      </c>
    </row>
    <row r="1039" spans="1:7">
      <c r="A1039" s="2102">
        <v>42843</v>
      </c>
      <c r="B1039" s="211">
        <f t="shared" si="51"/>
        <v>2017</v>
      </c>
      <c r="C1039" s="211">
        <f t="shared" si="52"/>
        <v>4</v>
      </c>
      <c r="D1039" s="205">
        <v>7765005000000</v>
      </c>
      <c r="E1039" s="205">
        <v>76405187000</v>
      </c>
      <c r="F1039" s="205">
        <v>140151856250</v>
      </c>
      <c r="G1039" s="205">
        <v>1109761408800</v>
      </c>
    </row>
    <row r="1040" spans="1:7">
      <c r="A1040" s="2102">
        <v>42842</v>
      </c>
      <c r="B1040" s="211">
        <f t="shared" si="51"/>
        <v>2017</v>
      </c>
      <c r="C1040" s="211">
        <f t="shared" si="52"/>
        <v>4</v>
      </c>
      <c r="D1040" s="205">
        <v>7821615000000</v>
      </c>
      <c r="E1040" s="205">
        <v>76267271500</v>
      </c>
      <c r="F1040" s="205">
        <v>140882575000</v>
      </c>
      <c r="G1040" s="205">
        <v>1120971120000</v>
      </c>
    </row>
    <row r="1041" spans="1:7">
      <c r="A1041" s="2102">
        <v>42839</v>
      </c>
      <c r="B1041" s="211">
        <f t="shared" si="51"/>
        <v>2017</v>
      </c>
      <c r="C1041" s="211">
        <f t="shared" si="52"/>
        <v>4</v>
      </c>
      <c r="D1041" s="205">
        <v>7774440000000</v>
      </c>
      <c r="E1041" s="205">
        <v>75163947500</v>
      </c>
      <c r="F1041" s="205">
        <v>140736431250</v>
      </c>
      <c r="G1041" s="205">
        <v>1118168692200</v>
      </c>
    </row>
    <row r="1042" spans="1:7">
      <c r="A1042" s="2102">
        <v>42838</v>
      </c>
      <c r="B1042" s="211">
        <f t="shared" si="51"/>
        <v>2017</v>
      </c>
      <c r="C1042" s="211">
        <f t="shared" si="52"/>
        <v>4</v>
      </c>
      <c r="D1042" s="205">
        <v>7802745000000</v>
      </c>
      <c r="E1042" s="205">
        <v>75026032000</v>
      </c>
      <c r="F1042" s="205">
        <v>140298000000</v>
      </c>
      <c r="G1042" s="205">
        <v>1140588114600</v>
      </c>
    </row>
    <row r="1043" spans="1:7">
      <c r="A1043" s="2102">
        <v>42837</v>
      </c>
      <c r="B1043" s="211">
        <f t="shared" si="51"/>
        <v>2017</v>
      </c>
      <c r="C1043" s="211">
        <f t="shared" si="52"/>
        <v>4</v>
      </c>
      <c r="D1043" s="205">
        <v>7821615000000</v>
      </c>
      <c r="E1043" s="205">
        <v>74474370000</v>
      </c>
      <c r="F1043" s="205">
        <v>139567281250</v>
      </c>
      <c r="G1043" s="205">
        <v>1134983259000</v>
      </c>
    </row>
    <row r="1044" spans="1:7">
      <c r="A1044" s="2102">
        <v>42836</v>
      </c>
      <c r="B1044" s="211">
        <f t="shared" si="51"/>
        <v>2017</v>
      </c>
      <c r="C1044" s="211">
        <f t="shared" si="52"/>
        <v>4</v>
      </c>
      <c r="D1044" s="205">
        <v>7727265000000</v>
      </c>
      <c r="E1044" s="205">
        <v>74750201000</v>
      </c>
      <c r="F1044" s="205">
        <v>141028718750</v>
      </c>
      <c r="G1044" s="205">
        <v>1133582045100</v>
      </c>
    </row>
    <row r="1045" spans="1:7">
      <c r="A1045" s="2102">
        <v>42835</v>
      </c>
      <c r="B1045" s="211">
        <f t="shared" si="51"/>
        <v>2017</v>
      </c>
      <c r="C1045" s="211">
        <f t="shared" si="52"/>
        <v>4</v>
      </c>
      <c r="D1045" s="205">
        <v>7736700000000</v>
      </c>
      <c r="E1045" s="205">
        <v>74612285500</v>
      </c>
      <c r="F1045" s="205">
        <v>140298000000</v>
      </c>
      <c r="G1045" s="205">
        <v>1154600253600</v>
      </c>
    </row>
    <row r="1046" spans="1:7">
      <c r="A1046" s="2102">
        <v>42832</v>
      </c>
      <c r="B1046" s="211">
        <f t="shared" si="51"/>
        <v>2017</v>
      </c>
      <c r="C1046" s="211">
        <f t="shared" si="52"/>
        <v>4</v>
      </c>
      <c r="D1046" s="205">
        <v>7925400000000</v>
      </c>
      <c r="E1046" s="205">
        <v>76405187000</v>
      </c>
      <c r="F1046" s="205">
        <v>140882575000</v>
      </c>
      <c r="G1046" s="205">
        <v>1156001467500</v>
      </c>
    </row>
    <row r="1047" spans="1:7">
      <c r="A1047" s="2102">
        <v>42831</v>
      </c>
      <c r="B1047" s="211">
        <f t="shared" si="51"/>
        <v>2017</v>
      </c>
      <c r="C1047" s="211">
        <f t="shared" si="52"/>
        <v>4</v>
      </c>
      <c r="D1047" s="205">
        <v>7859355000000</v>
      </c>
      <c r="E1047" s="205">
        <v>76543102500</v>
      </c>
      <c r="F1047" s="205">
        <v>140444143750</v>
      </c>
      <c r="G1047" s="205">
        <v>1163007537000</v>
      </c>
    </row>
    <row r="1048" spans="1:7">
      <c r="A1048" s="2102">
        <v>42830</v>
      </c>
      <c r="B1048" s="211">
        <f t="shared" si="51"/>
        <v>2017</v>
      </c>
      <c r="C1048" s="211">
        <f t="shared" si="52"/>
        <v>4</v>
      </c>
      <c r="D1048" s="205">
        <v>7878225000000</v>
      </c>
      <c r="E1048" s="205">
        <v>76681018000</v>
      </c>
      <c r="F1048" s="205">
        <v>139713425000</v>
      </c>
      <c r="G1048" s="205">
        <v>1094348055900</v>
      </c>
    </row>
    <row r="1049" spans="1:7">
      <c r="A1049" s="2102">
        <v>42829</v>
      </c>
      <c r="B1049" s="211">
        <f t="shared" si="51"/>
        <v>2017</v>
      </c>
      <c r="C1049" s="211">
        <f t="shared" si="52"/>
        <v>4</v>
      </c>
      <c r="D1049" s="205">
        <v>7887660000000</v>
      </c>
      <c r="E1049" s="205">
        <v>75991440500</v>
      </c>
      <c r="F1049" s="205">
        <v>139859568750</v>
      </c>
      <c r="G1049" s="205">
        <v>1084539558600</v>
      </c>
    </row>
    <row r="1050" spans="1:7">
      <c r="A1050" s="2102">
        <v>42828</v>
      </c>
      <c r="B1050" s="211">
        <f t="shared" si="51"/>
        <v>2017</v>
      </c>
      <c r="C1050" s="211">
        <f t="shared" si="52"/>
        <v>4</v>
      </c>
      <c r="D1050" s="205">
        <v>7897095000000</v>
      </c>
      <c r="E1050" s="205">
        <v>77922257500</v>
      </c>
      <c r="F1050" s="205">
        <v>139421137500</v>
      </c>
      <c r="G1050" s="205">
        <v>1080335916900</v>
      </c>
    </row>
    <row r="1051" spans="1:7">
      <c r="A1051" s="2102">
        <v>42825</v>
      </c>
      <c r="B1051" s="211">
        <f t="shared" si="51"/>
        <v>2017</v>
      </c>
      <c r="C1051" s="211">
        <f t="shared" si="52"/>
        <v>3</v>
      </c>
      <c r="D1051" s="205">
        <v>8151840000000</v>
      </c>
      <c r="E1051" s="205">
        <v>76681018000</v>
      </c>
      <c r="F1051" s="205">
        <v>139567281250</v>
      </c>
      <c r="G1051" s="205">
        <v>1095749269800</v>
      </c>
    </row>
    <row r="1052" spans="1:7">
      <c r="A1052" s="2102">
        <v>42824</v>
      </c>
      <c r="B1052" s="211">
        <f t="shared" si="51"/>
        <v>2017</v>
      </c>
      <c r="C1052" s="211">
        <f t="shared" si="52"/>
        <v>3</v>
      </c>
      <c r="D1052" s="205">
        <v>8199015000000</v>
      </c>
      <c r="E1052" s="205">
        <v>77094764500</v>
      </c>
      <c r="F1052" s="205">
        <v>138982706250</v>
      </c>
      <c r="G1052" s="205">
        <v>1092946842000</v>
      </c>
    </row>
    <row r="1053" spans="1:7">
      <c r="A1053" s="2102">
        <v>42823</v>
      </c>
      <c r="B1053" s="211">
        <f t="shared" si="51"/>
        <v>2017</v>
      </c>
      <c r="C1053" s="211">
        <f t="shared" si="52"/>
        <v>3</v>
      </c>
      <c r="D1053" s="205">
        <v>7906530000000</v>
      </c>
      <c r="E1053" s="205">
        <v>76267271500</v>
      </c>
      <c r="F1053" s="205">
        <v>138836562500</v>
      </c>
      <c r="G1053" s="205">
        <v>1084539558600</v>
      </c>
    </row>
    <row r="1054" spans="1:7">
      <c r="A1054" s="2102">
        <v>42822</v>
      </c>
      <c r="B1054" s="211">
        <f t="shared" si="51"/>
        <v>2017</v>
      </c>
      <c r="C1054" s="211">
        <f t="shared" si="52"/>
        <v>3</v>
      </c>
      <c r="D1054" s="205">
        <v>7887660000000</v>
      </c>
      <c r="E1054" s="205">
        <v>77370595500</v>
      </c>
      <c r="F1054" s="205">
        <v>138105843750</v>
      </c>
      <c r="G1054" s="205">
        <v>1081737130800</v>
      </c>
    </row>
    <row r="1055" spans="1:7">
      <c r="A1055" s="2102">
        <v>42821</v>
      </c>
      <c r="B1055" s="211">
        <f t="shared" si="51"/>
        <v>2017</v>
      </c>
      <c r="C1055" s="211">
        <f t="shared" si="52"/>
        <v>3</v>
      </c>
      <c r="D1055" s="205">
        <v>7887660000000</v>
      </c>
      <c r="E1055" s="205">
        <v>77232680000</v>
      </c>
      <c r="F1055" s="205">
        <v>136936693750</v>
      </c>
      <c r="G1055" s="205">
        <v>1084539558600</v>
      </c>
    </row>
    <row r="1056" spans="1:7">
      <c r="A1056" s="2102">
        <v>42818</v>
      </c>
      <c r="B1056" s="211">
        <f t="shared" si="51"/>
        <v>2017</v>
      </c>
      <c r="C1056" s="211">
        <f t="shared" si="52"/>
        <v>3</v>
      </c>
      <c r="D1056" s="205">
        <v>7802745000000</v>
      </c>
      <c r="E1056" s="205">
        <v>76956849000</v>
      </c>
      <c r="F1056" s="205">
        <v>139713425000</v>
      </c>
      <c r="G1056" s="205">
        <v>1092946842000</v>
      </c>
    </row>
    <row r="1057" spans="1:7">
      <c r="A1057" s="2102">
        <v>42817</v>
      </c>
      <c r="B1057" s="211">
        <f t="shared" si="51"/>
        <v>2017</v>
      </c>
      <c r="C1057" s="211">
        <f t="shared" si="52"/>
        <v>3</v>
      </c>
      <c r="D1057" s="205">
        <v>7868790000000</v>
      </c>
      <c r="E1057" s="205">
        <v>77646426500</v>
      </c>
      <c r="F1057" s="205">
        <v>138836562500</v>
      </c>
      <c r="G1057" s="205">
        <v>1104156553200</v>
      </c>
    </row>
    <row r="1058" spans="1:7">
      <c r="A1058" s="2102">
        <v>42816</v>
      </c>
      <c r="B1058" s="211">
        <f t="shared" si="51"/>
        <v>2017</v>
      </c>
      <c r="C1058" s="211">
        <f t="shared" si="52"/>
        <v>3</v>
      </c>
      <c r="D1058" s="205">
        <v>7614045000000</v>
      </c>
      <c r="E1058" s="205">
        <v>77922257500</v>
      </c>
      <c r="F1058" s="205">
        <v>139128850000</v>
      </c>
      <c r="G1058" s="205">
        <v>1041101927700</v>
      </c>
    </row>
    <row r="1059" spans="1:7">
      <c r="A1059" s="2102">
        <v>42815</v>
      </c>
      <c r="B1059" s="211">
        <f t="shared" si="51"/>
        <v>2017</v>
      </c>
      <c r="C1059" s="211">
        <f t="shared" si="52"/>
        <v>3</v>
      </c>
      <c r="D1059" s="205">
        <v>7821615000000</v>
      </c>
      <c r="E1059" s="205">
        <v>77370595500</v>
      </c>
      <c r="F1059" s="205">
        <v>139128850000</v>
      </c>
      <c r="G1059" s="205">
        <v>1062120136200</v>
      </c>
    </row>
    <row r="1060" spans="1:7">
      <c r="A1060" s="2102">
        <v>42814</v>
      </c>
      <c r="B1060" s="211">
        <f t="shared" si="51"/>
        <v>2017</v>
      </c>
      <c r="C1060" s="211">
        <f t="shared" si="52"/>
        <v>3</v>
      </c>
      <c r="D1060" s="205">
        <v>7868790000000</v>
      </c>
      <c r="E1060" s="205">
        <v>78198088500</v>
      </c>
      <c r="F1060" s="205">
        <v>139128850000</v>
      </c>
      <c r="G1060" s="205">
        <v>1077533489100</v>
      </c>
    </row>
    <row r="1061" spans="1:7">
      <c r="A1061" s="2102">
        <v>42811</v>
      </c>
      <c r="B1061" s="211">
        <f t="shared" si="51"/>
        <v>2017</v>
      </c>
      <c r="C1061" s="211">
        <f t="shared" si="52"/>
        <v>3</v>
      </c>
      <c r="D1061" s="205">
        <v>7897095000000</v>
      </c>
      <c r="E1061" s="205">
        <v>79853074500</v>
      </c>
      <c r="F1061" s="205">
        <v>140882575000</v>
      </c>
      <c r="G1061" s="205">
        <v>1073329847400</v>
      </c>
    </row>
    <row r="1062" spans="1:7">
      <c r="A1062" s="2102">
        <v>42810</v>
      </c>
      <c r="B1062" s="211">
        <f t="shared" si="51"/>
        <v>2017</v>
      </c>
      <c r="C1062" s="211">
        <f t="shared" si="52"/>
        <v>3</v>
      </c>
      <c r="D1062" s="205">
        <v>7698960000000</v>
      </c>
      <c r="E1062" s="205">
        <v>79853074500</v>
      </c>
      <c r="F1062" s="205">
        <v>140882575000</v>
      </c>
      <c r="G1062" s="205">
        <v>1078934703000</v>
      </c>
    </row>
    <row r="1063" spans="1:7">
      <c r="A1063" s="2102">
        <v>42809</v>
      </c>
      <c r="B1063" s="211">
        <f t="shared" si="51"/>
        <v>2017</v>
      </c>
      <c r="C1063" s="211">
        <f t="shared" si="52"/>
        <v>3</v>
      </c>
      <c r="D1063" s="205">
        <v>7406475000000</v>
      </c>
      <c r="E1063" s="205">
        <v>78611835000</v>
      </c>
      <c r="F1063" s="205">
        <v>141467150000</v>
      </c>
      <c r="G1063" s="205">
        <v>1049509211100</v>
      </c>
    </row>
    <row r="1064" spans="1:7">
      <c r="A1064" s="2102">
        <v>42808</v>
      </c>
      <c r="B1064" s="211">
        <f t="shared" si="51"/>
        <v>2017</v>
      </c>
      <c r="C1064" s="211">
        <f t="shared" si="52"/>
        <v>3</v>
      </c>
      <c r="D1064" s="205">
        <v>7538565000000</v>
      </c>
      <c r="E1064" s="205">
        <v>80266821000</v>
      </c>
      <c r="F1064" s="205">
        <v>141613293750</v>
      </c>
      <c r="G1064" s="205">
        <v>1071928633500</v>
      </c>
    </row>
    <row r="1065" spans="1:7">
      <c r="A1065" s="2102">
        <v>42807</v>
      </c>
      <c r="B1065" s="211">
        <f t="shared" si="51"/>
        <v>2017</v>
      </c>
      <c r="C1065" s="211">
        <f t="shared" si="52"/>
        <v>3</v>
      </c>
      <c r="D1065" s="205">
        <v>7538565000000</v>
      </c>
      <c r="E1065" s="205">
        <v>79025581500</v>
      </c>
      <c r="F1065" s="205">
        <v>141028718750</v>
      </c>
      <c r="G1065" s="205">
        <v>1067724991800</v>
      </c>
    </row>
    <row r="1066" spans="1:7">
      <c r="A1066" s="2102">
        <v>42804</v>
      </c>
      <c r="B1066" s="211">
        <f t="shared" si="51"/>
        <v>2017</v>
      </c>
      <c r="C1066" s="211">
        <f t="shared" si="52"/>
        <v>3</v>
      </c>
      <c r="D1066" s="205">
        <v>7670655000000</v>
      </c>
      <c r="E1066" s="205">
        <v>77922257500</v>
      </c>
      <c r="F1066" s="205">
        <v>141028718750</v>
      </c>
      <c r="G1066" s="205">
        <v>1095749269800</v>
      </c>
    </row>
    <row r="1067" spans="1:7">
      <c r="A1067" s="2102">
        <v>42803</v>
      </c>
      <c r="B1067" s="211">
        <f t="shared" si="51"/>
        <v>2017</v>
      </c>
      <c r="C1067" s="211">
        <f t="shared" si="52"/>
        <v>3</v>
      </c>
      <c r="D1067" s="205">
        <v>7661220000000</v>
      </c>
      <c r="E1067" s="205">
        <v>77232680000</v>
      </c>
      <c r="F1067" s="205">
        <v>140736431250</v>
      </c>
      <c r="G1067" s="205">
        <v>1119569906100</v>
      </c>
    </row>
    <row r="1068" spans="1:7">
      <c r="A1068" s="2102">
        <v>42802</v>
      </c>
      <c r="B1068" s="211">
        <f t="shared" si="51"/>
        <v>2017</v>
      </c>
      <c r="C1068" s="211">
        <f t="shared" si="52"/>
        <v>3</v>
      </c>
      <c r="D1068" s="205">
        <v>7717830000000</v>
      </c>
      <c r="E1068" s="205">
        <v>77232680000</v>
      </c>
      <c r="F1068" s="205">
        <v>140882575000</v>
      </c>
      <c r="G1068" s="205">
        <v>1120971120000</v>
      </c>
    </row>
    <row r="1069" spans="1:7">
      <c r="A1069" s="2102">
        <v>42801</v>
      </c>
      <c r="B1069" s="211">
        <f t="shared" si="51"/>
        <v>2017</v>
      </c>
      <c r="C1069" s="211">
        <f t="shared" si="52"/>
        <v>3</v>
      </c>
      <c r="D1069" s="205">
        <v>7717830000000</v>
      </c>
      <c r="E1069" s="205">
        <v>78198088500</v>
      </c>
      <c r="F1069" s="205">
        <v>141759437500</v>
      </c>
      <c r="G1069" s="205">
        <v>1106958981000</v>
      </c>
    </row>
    <row r="1070" spans="1:7">
      <c r="A1070" s="2102">
        <v>42800</v>
      </c>
      <c r="B1070" s="211">
        <f t="shared" si="51"/>
        <v>2017</v>
      </c>
      <c r="C1070" s="211">
        <f t="shared" si="52"/>
        <v>3</v>
      </c>
      <c r="D1070" s="205">
        <v>7746135000000</v>
      </c>
      <c r="E1070" s="205">
        <v>78336004000</v>
      </c>
      <c r="F1070" s="205">
        <v>141174862500</v>
      </c>
      <c r="G1070" s="205">
        <v>1099952911500</v>
      </c>
    </row>
    <row r="1071" spans="1:7">
      <c r="A1071" s="2102">
        <v>42797</v>
      </c>
      <c r="B1071" s="211">
        <f t="shared" si="51"/>
        <v>2017</v>
      </c>
      <c r="C1071" s="211">
        <f t="shared" si="52"/>
        <v>3</v>
      </c>
      <c r="D1071" s="205">
        <v>7925400000000</v>
      </c>
      <c r="E1071" s="205">
        <v>78060173000</v>
      </c>
      <c r="F1071" s="205">
        <v>142636300000</v>
      </c>
      <c r="G1071" s="205">
        <v>1118168692200</v>
      </c>
    </row>
    <row r="1072" spans="1:7">
      <c r="A1072" s="2102">
        <v>42796</v>
      </c>
      <c r="B1072" s="211">
        <f t="shared" si="51"/>
        <v>2017</v>
      </c>
      <c r="C1072" s="211">
        <f t="shared" si="52"/>
        <v>3</v>
      </c>
      <c r="D1072" s="205">
        <v>8010315000000</v>
      </c>
      <c r="E1072" s="205">
        <v>78473919500</v>
      </c>
      <c r="F1072" s="205">
        <v>142636300000</v>
      </c>
      <c r="G1072" s="205">
        <v>1129378403400</v>
      </c>
    </row>
    <row r="1073" spans="1:7">
      <c r="A1073" s="2102">
        <v>42794</v>
      </c>
      <c r="B1073" s="211">
        <f t="shared" si="51"/>
        <v>2017</v>
      </c>
      <c r="C1073" s="211">
        <f t="shared" si="52"/>
        <v>2</v>
      </c>
      <c r="D1073" s="205">
        <v>7859355000000</v>
      </c>
      <c r="E1073" s="205">
        <v>78336004000</v>
      </c>
      <c r="F1073" s="205">
        <v>142490156250</v>
      </c>
      <c r="G1073" s="205">
        <v>1147594184100</v>
      </c>
    </row>
    <row r="1074" spans="1:7">
      <c r="A1074" s="2102">
        <v>42793</v>
      </c>
      <c r="B1074" s="211">
        <f t="shared" si="51"/>
        <v>2017</v>
      </c>
      <c r="C1074" s="211">
        <f t="shared" si="52"/>
        <v>2</v>
      </c>
      <c r="D1074" s="205">
        <v>7831050000000</v>
      </c>
      <c r="E1074" s="205">
        <v>78060173000</v>
      </c>
      <c r="F1074" s="205">
        <v>142490156250</v>
      </c>
      <c r="G1074" s="205">
        <v>1119569906100</v>
      </c>
    </row>
    <row r="1075" spans="1:7">
      <c r="A1075" s="2102">
        <v>42790</v>
      </c>
      <c r="B1075" s="211">
        <f t="shared" si="51"/>
        <v>2017</v>
      </c>
      <c r="C1075" s="211">
        <f t="shared" si="52"/>
        <v>2</v>
      </c>
      <c r="D1075" s="205">
        <v>7840485000000</v>
      </c>
      <c r="E1075" s="205">
        <v>79163497000</v>
      </c>
      <c r="F1075" s="205">
        <v>142490156250</v>
      </c>
      <c r="G1075" s="205">
        <v>1119569906100</v>
      </c>
    </row>
    <row r="1076" spans="1:7">
      <c r="A1076" s="2102">
        <v>42789</v>
      </c>
      <c r="B1076" s="211">
        <f t="shared" si="51"/>
        <v>2017</v>
      </c>
      <c r="C1076" s="211">
        <f t="shared" si="52"/>
        <v>2</v>
      </c>
      <c r="D1076" s="205">
        <v>7859355000000</v>
      </c>
      <c r="E1076" s="205">
        <v>80542652000</v>
      </c>
      <c r="F1076" s="205">
        <v>141467150000</v>
      </c>
      <c r="G1076" s="205">
        <v>1148995398000</v>
      </c>
    </row>
    <row r="1077" spans="1:7">
      <c r="A1077" s="2102">
        <v>42788</v>
      </c>
      <c r="B1077" s="211">
        <f t="shared" si="51"/>
        <v>2017</v>
      </c>
      <c r="C1077" s="211">
        <f t="shared" si="52"/>
        <v>2</v>
      </c>
      <c r="D1077" s="205">
        <v>8085795000000</v>
      </c>
      <c r="E1077" s="205">
        <v>82473469000</v>
      </c>
      <c r="F1077" s="205">
        <v>142051725000</v>
      </c>
      <c r="G1077" s="205">
        <v>1158803895300</v>
      </c>
    </row>
    <row r="1078" spans="1:7">
      <c r="A1078" s="2102">
        <v>42787</v>
      </c>
      <c r="B1078" s="211">
        <f t="shared" si="51"/>
        <v>2017</v>
      </c>
      <c r="C1078" s="211">
        <f t="shared" si="52"/>
        <v>2</v>
      </c>
      <c r="D1078" s="205">
        <v>8114100000000</v>
      </c>
      <c r="E1078" s="205">
        <v>83163046500</v>
      </c>
      <c r="F1078" s="205">
        <v>141467150000</v>
      </c>
      <c r="G1078" s="205">
        <v>1161606323100</v>
      </c>
    </row>
    <row r="1079" spans="1:7">
      <c r="A1079" s="2102">
        <v>42786</v>
      </c>
      <c r="B1079" s="211">
        <f t="shared" si="51"/>
        <v>2017</v>
      </c>
      <c r="C1079" s="211">
        <f t="shared" si="52"/>
        <v>2</v>
      </c>
      <c r="D1079" s="205">
        <v>7972575000000</v>
      </c>
      <c r="E1079" s="205">
        <v>83163046500</v>
      </c>
      <c r="F1079" s="205">
        <v>142636300000</v>
      </c>
      <c r="G1079" s="205">
        <v>1120971120000</v>
      </c>
    </row>
    <row r="1080" spans="1:7">
      <c r="A1080" s="2102">
        <v>42783</v>
      </c>
      <c r="B1080" s="211">
        <f t="shared" si="51"/>
        <v>2017</v>
      </c>
      <c r="C1080" s="211">
        <f t="shared" si="52"/>
        <v>2</v>
      </c>
      <c r="D1080" s="205">
        <v>8048055000000</v>
      </c>
      <c r="E1080" s="205">
        <v>82059722500</v>
      </c>
      <c r="F1080" s="205">
        <v>142636300000</v>
      </c>
      <c r="G1080" s="205">
        <v>1129378403400</v>
      </c>
    </row>
    <row r="1081" spans="1:7">
      <c r="A1081" s="2102">
        <v>42782</v>
      </c>
      <c r="B1081" s="211">
        <f t="shared" si="51"/>
        <v>2017</v>
      </c>
      <c r="C1081" s="211">
        <f t="shared" si="52"/>
        <v>2</v>
      </c>
      <c r="D1081" s="205">
        <v>8104665000000</v>
      </c>
      <c r="E1081" s="205">
        <v>81783891500</v>
      </c>
      <c r="F1081" s="205">
        <v>142490156250</v>
      </c>
      <c r="G1081" s="205">
        <v>1120971120000</v>
      </c>
    </row>
    <row r="1082" spans="1:7">
      <c r="A1082" s="2102">
        <v>42781</v>
      </c>
      <c r="B1082" s="211">
        <f t="shared" si="51"/>
        <v>2017</v>
      </c>
      <c r="C1082" s="211">
        <f t="shared" si="52"/>
        <v>2</v>
      </c>
      <c r="D1082" s="205">
        <v>8132970000000</v>
      </c>
      <c r="E1082" s="205">
        <v>80818483000</v>
      </c>
      <c r="F1082" s="205">
        <v>140444143750</v>
      </c>
      <c r="G1082" s="205">
        <v>1171414820400</v>
      </c>
    </row>
    <row r="1083" spans="1:7">
      <c r="A1083" s="2102">
        <v>42780</v>
      </c>
      <c r="B1083" s="211">
        <f t="shared" si="51"/>
        <v>2017</v>
      </c>
      <c r="C1083" s="211">
        <f t="shared" si="52"/>
        <v>2</v>
      </c>
      <c r="D1083" s="205">
        <v>8057490000000</v>
      </c>
      <c r="E1083" s="205">
        <v>81783891500</v>
      </c>
      <c r="F1083" s="205">
        <v>138398131250</v>
      </c>
      <c r="G1083" s="205">
        <v>1160205109200</v>
      </c>
    </row>
    <row r="1084" spans="1:7">
      <c r="A1084" s="2102">
        <v>42779</v>
      </c>
      <c r="B1084" s="211">
        <f t="shared" si="51"/>
        <v>2017</v>
      </c>
      <c r="C1084" s="211">
        <f t="shared" si="52"/>
        <v>2</v>
      </c>
      <c r="D1084" s="205">
        <v>8114100000000</v>
      </c>
      <c r="E1084" s="205">
        <v>81645976000</v>
      </c>
      <c r="F1084" s="205">
        <v>138398131250</v>
      </c>
      <c r="G1084" s="205">
        <v>1157402681400</v>
      </c>
    </row>
    <row r="1085" spans="1:7">
      <c r="A1085" s="2102">
        <v>42776</v>
      </c>
      <c r="B1085" s="211">
        <f t="shared" si="51"/>
        <v>2017</v>
      </c>
      <c r="C1085" s="211">
        <f t="shared" si="52"/>
        <v>2</v>
      </c>
      <c r="D1085" s="205">
        <v>7878225000000</v>
      </c>
      <c r="E1085" s="205">
        <v>82059722500</v>
      </c>
      <c r="F1085" s="205">
        <v>139567281250</v>
      </c>
      <c r="G1085" s="205">
        <v>1112563836600</v>
      </c>
    </row>
    <row r="1086" spans="1:7">
      <c r="A1086" s="2102">
        <v>42775</v>
      </c>
      <c r="B1086" s="211">
        <f t="shared" si="51"/>
        <v>2017</v>
      </c>
      <c r="C1086" s="211">
        <f t="shared" si="52"/>
        <v>2</v>
      </c>
      <c r="D1086" s="205">
        <v>8019750000000</v>
      </c>
      <c r="E1086" s="205">
        <v>83163046500</v>
      </c>
      <c r="F1086" s="205">
        <v>140298000000</v>
      </c>
      <c r="G1086" s="205">
        <v>1123773547800</v>
      </c>
    </row>
    <row r="1087" spans="1:7">
      <c r="A1087" s="2102">
        <v>42774</v>
      </c>
      <c r="B1087" s="211">
        <f t="shared" si="51"/>
        <v>2017</v>
      </c>
      <c r="C1087" s="211">
        <f t="shared" si="52"/>
        <v>2</v>
      </c>
      <c r="D1087" s="205">
        <v>8066925000000</v>
      </c>
      <c r="E1087" s="205">
        <v>81645976000</v>
      </c>
      <c r="F1087" s="205">
        <v>140882575000</v>
      </c>
      <c r="G1087" s="205">
        <v>1130779617300</v>
      </c>
    </row>
    <row r="1088" spans="1:7">
      <c r="A1088" s="2102">
        <v>42773</v>
      </c>
      <c r="B1088" s="211">
        <f t="shared" si="51"/>
        <v>2017</v>
      </c>
      <c r="C1088" s="211">
        <f t="shared" si="52"/>
        <v>2</v>
      </c>
      <c r="D1088" s="205">
        <v>8217885000000</v>
      </c>
      <c r="E1088" s="205">
        <v>80128905500</v>
      </c>
      <c r="F1088" s="205">
        <v>137813556250</v>
      </c>
      <c r="G1088" s="205">
        <v>1129378403400</v>
      </c>
    </row>
    <row r="1089" spans="1:7">
      <c r="A1089" s="2102">
        <v>42772</v>
      </c>
      <c r="B1089" s="211">
        <f t="shared" si="51"/>
        <v>2017</v>
      </c>
      <c r="C1089" s="211">
        <f t="shared" si="52"/>
        <v>2</v>
      </c>
      <c r="D1089" s="205">
        <v>9189690000000</v>
      </c>
      <c r="E1089" s="205">
        <v>82335553500</v>
      </c>
      <c r="F1089" s="205">
        <v>137375125000</v>
      </c>
      <c r="G1089" s="205">
        <v>1126575975600</v>
      </c>
    </row>
    <row r="1090" spans="1:7">
      <c r="A1090" s="2102">
        <v>42769</v>
      </c>
      <c r="B1090" s="211">
        <f t="shared" si="51"/>
        <v>2017</v>
      </c>
      <c r="C1090" s="211">
        <f t="shared" si="52"/>
        <v>2</v>
      </c>
      <c r="D1090" s="205">
        <v>9312345000000</v>
      </c>
      <c r="E1090" s="205">
        <v>83300962000</v>
      </c>
      <c r="F1090" s="205">
        <v>138251987500</v>
      </c>
      <c r="G1090" s="205">
        <v>1196636670600</v>
      </c>
    </row>
    <row r="1091" spans="1:7">
      <c r="A1091" s="2102">
        <v>42768</v>
      </c>
      <c r="B1091" s="211">
        <f t="shared" si="51"/>
        <v>2017</v>
      </c>
      <c r="C1091" s="211">
        <f t="shared" si="52"/>
        <v>2</v>
      </c>
      <c r="D1091" s="205">
        <v>9208560000000</v>
      </c>
      <c r="E1091" s="205">
        <v>83852624000</v>
      </c>
      <c r="F1091" s="205">
        <v>138690418750</v>
      </c>
      <c r="G1091" s="205">
        <v>1206445167900</v>
      </c>
    </row>
    <row r="1092" spans="1:7">
      <c r="A1092" s="2102">
        <v>42767</v>
      </c>
      <c r="B1092" s="211">
        <f t="shared" si="51"/>
        <v>2017</v>
      </c>
      <c r="C1092" s="211">
        <f t="shared" si="52"/>
        <v>2</v>
      </c>
      <c r="D1092" s="205">
        <v>9435000000000</v>
      </c>
      <c r="E1092" s="205">
        <v>83163046500</v>
      </c>
      <c r="F1092" s="205">
        <v>138544275000</v>
      </c>
      <c r="G1092" s="205">
        <v>1224660948600</v>
      </c>
    </row>
    <row r="1093" spans="1:7">
      <c r="A1093" s="2102">
        <v>42766</v>
      </c>
      <c r="B1093" s="211">
        <f t="shared" si="51"/>
        <v>2017</v>
      </c>
      <c r="C1093" s="211">
        <f t="shared" si="52"/>
        <v>1</v>
      </c>
      <c r="D1093" s="205">
        <v>9246300000000</v>
      </c>
      <c r="E1093" s="205">
        <v>80404736500</v>
      </c>
      <c r="F1093" s="205">
        <v>136790550000</v>
      </c>
      <c r="G1093" s="205">
        <v>1219056093000</v>
      </c>
    </row>
    <row r="1094" spans="1:7">
      <c r="A1094" s="2102">
        <v>42761</v>
      </c>
      <c r="B1094" s="211">
        <f t="shared" si="51"/>
        <v>2017</v>
      </c>
      <c r="C1094" s="211">
        <f t="shared" si="52"/>
        <v>1</v>
      </c>
      <c r="D1094" s="205">
        <v>9274605000000</v>
      </c>
      <c r="E1094" s="205">
        <v>80818483000</v>
      </c>
      <c r="F1094" s="205">
        <v>135036825000</v>
      </c>
      <c r="G1094" s="205">
        <v>1233068232000</v>
      </c>
    </row>
    <row r="1095" spans="1:7">
      <c r="A1095" s="2102">
        <v>42760</v>
      </c>
      <c r="B1095" s="211">
        <f t="shared" si="51"/>
        <v>2017</v>
      </c>
      <c r="C1095" s="211">
        <f t="shared" si="52"/>
        <v>1</v>
      </c>
      <c r="D1095" s="205">
        <v>9567090000000</v>
      </c>
      <c r="E1095" s="205">
        <v>82197638000</v>
      </c>
      <c r="F1095" s="205">
        <v>136790550000</v>
      </c>
      <c r="G1095" s="205">
        <v>1227463376400</v>
      </c>
    </row>
    <row r="1096" spans="1:7">
      <c r="A1096" s="2102">
        <v>42759</v>
      </c>
      <c r="B1096" s="211">
        <f t="shared" si="51"/>
        <v>2017</v>
      </c>
      <c r="C1096" s="211">
        <f t="shared" si="52"/>
        <v>1</v>
      </c>
      <c r="D1096" s="205">
        <v>9548220000000</v>
      </c>
      <c r="E1096" s="205">
        <v>79163497000</v>
      </c>
      <c r="F1096" s="205">
        <v>137375125000</v>
      </c>
      <c r="G1096" s="205">
        <v>1231667018100</v>
      </c>
    </row>
    <row r="1097" spans="1:7">
      <c r="A1097" s="2102">
        <v>42758</v>
      </c>
      <c r="B1097" s="211">
        <f t="shared" si="51"/>
        <v>2017</v>
      </c>
      <c r="C1097" s="211">
        <f t="shared" si="52"/>
        <v>1</v>
      </c>
      <c r="D1097" s="205">
        <v>9510480000000</v>
      </c>
      <c r="E1097" s="205">
        <v>78060173000</v>
      </c>
      <c r="F1097" s="205">
        <v>137375125000</v>
      </c>
      <c r="G1097" s="205">
        <v>1226062162500</v>
      </c>
    </row>
    <row r="1098" spans="1:7">
      <c r="A1098" s="2102">
        <v>42755</v>
      </c>
      <c r="B1098" s="211">
        <f t="shared" ref="B1098:B1161" si="53">YEAR(A1098)</f>
        <v>2017</v>
      </c>
      <c r="C1098" s="211">
        <f t="shared" ref="C1098:C1161" si="54">MONTH(A1098)</f>
        <v>1</v>
      </c>
      <c r="D1098" s="205">
        <v>9491610000000</v>
      </c>
      <c r="E1098" s="205">
        <v>77370595500</v>
      </c>
      <c r="F1098" s="205">
        <v>136498262500</v>
      </c>
      <c r="G1098" s="205">
        <v>1202241526200</v>
      </c>
    </row>
    <row r="1099" spans="1:7">
      <c r="A1099" s="2102">
        <v>42754</v>
      </c>
      <c r="B1099" s="211">
        <f t="shared" si="53"/>
        <v>2017</v>
      </c>
      <c r="C1099" s="211">
        <f t="shared" si="54"/>
        <v>1</v>
      </c>
      <c r="D1099" s="205">
        <v>9718050000000</v>
      </c>
      <c r="E1099" s="205">
        <v>78336004000</v>
      </c>
      <c r="F1099" s="205">
        <v>138836562500</v>
      </c>
      <c r="G1099" s="205">
        <v>1224660948600</v>
      </c>
    </row>
    <row r="1100" spans="1:7">
      <c r="A1100" s="2102">
        <v>42753</v>
      </c>
      <c r="B1100" s="211">
        <f t="shared" si="53"/>
        <v>2017</v>
      </c>
      <c r="C1100" s="211">
        <f t="shared" si="54"/>
        <v>1</v>
      </c>
      <c r="D1100" s="205">
        <v>9661440000000</v>
      </c>
      <c r="E1100" s="205">
        <v>78749750500</v>
      </c>
      <c r="F1100" s="205">
        <v>139421137500</v>
      </c>
      <c r="G1100" s="205">
        <v>1209247595700</v>
      </c>
    </row>
    <row r="1101" spans="1:7">
      <c r="A1101" s="2102">
        <v>42752</v>
      </c>
      <c r="B1101" s="211">
        <f t="shared" si="53"/>
        <v>2017</v>
      </c>
      <c r="C1101" s="211">
        <f t="shared" si="54"/>
        <v>1</v>
      </c>
      <c r="D1101" s="205">
        <v>9642570000000</v>
      </c>
      <c r="E1101" s="205">
        <v>78060173000</v>
      </c>
      <c r="F1101" s="205">
        <v>138105843750</v>
      </c>
      <c r="G1101" s="205">
        <v>1233068232000</v>
      </c>
    </row>
    <row r="1102" spans="1:7">
      <c r="A1102" s="2102">
        <v>42751</v>
      </c>
      <c r="B1102" s="211">
        <f t="shared" si="53"/>
        <v>2017</v>
      </c>
      <c r="C1102" s="211">
        <f t="shared" si="54"/>
        <v>1</v>
      </c>
      <c r="D1102" s="205">
        <v>9585960000000</v>
      </c>
      <c r="E1102" s="205">
        <v>79025581500</v>
      </c>
      <c r="F1102" s="205">
        <v>137959700000</v>
      </c>
      <c r="G1102" s="205">
        <v>1241475515400</v>
      </c>
    </row>
    <row r="1103" spans="1:7">
      <c r="A1103" s="2102">
        <v>42748</v>
      </c>
      <c r="B1103" s="211">
        <f t="shared" si="53"/>
        <v>2017</v>
      </c>
      <c r="C1103" s="211">
        <f t="shared" si="54"/>
        <v>1</v>
      </c>
      <c r="D1103" s="205">
        <v>9736920000000</v>
      </c>
      <c r="E1103" s="205">
        <v>77784342000</v>
      </c>
      <c r="F1103" s="205">
        <v>137959700000</v>
      </c>
      <c r="G1103" s="205">
        <v>1230265804200</v>
      </c>
    </row>
    <row r="1104" spans="1:7">
      <c r="A1104" s="2102">
        <v>42747</v>
      </c>
      <c r="B1104" s="211">
        <f t="shared" si="53"/>
        <v>2017</v>
      </c>
      <c r="C1104" s="211">
        <f t="shared" si="54"/>
        <v>1</v>
      </c>
      <c r="D1104" s="205">
        <v>9623700000000</v>
      </c>
      <c r="E1104" s="205">
        <v>76405187000</v>
      </c>
      <c r="F1104" s="205">
        <v>137813556250</v>
      </c>
      <c r="G1104" s="205">
        <v>1227463376400</v>
      </c>
    </row>
    <row r="1105" spans="1:7">
      <c r="A1105" s="2102">
        <v>42746</v>
      </c>
      <c r="B1105" s="211">
        <f t="shared" si="53"/>
        <v>2017</v>
      </c>
      <c r="C1105" s="211">
        <f t="shared" si="54"/>
        <v>1</v>
      </c>
      <c r="D1105" s="205">
        <v>9585960000000</v>
      </c>
      <c r="E1105" s="205">
        <v>77094764500</v>
      </c>
      <c r="F1105" s="205">
        <v>136790550000</v>
      </c>
      <c r="G1105" s="205">
        <v>1241475515400</v>
      </c>
    </row>
    <row r="1106" spans="1:7">
      <c r="A1106" s="2102">
        <v>42745</v>
      </c>
      <c r="B1106" s="211">
        <f t="shared" si="53"/>
        <v>2017</v>
      </c>
      <c r="C1106" s="211">
        <f t="shared" si="54"/>
        <v>1</v>
      </c>
      <c r="D1106" s="205">
        <v>9048165000000</v>
      </c>
      <c r="E1106" s="205">
        <v>76681018000</v>
      </c>
      <c r="F1106" s="205">
        <v>135621400000</v>
      </c>
      <c r="G1106" s="205">
        <v>1156001467500</v>
      </c>
    </row>
    <row r="1107" spans="1:7">
      <c r="A1107" s="2102">
        <v>42744</v>
      </c>
      <c r="B1107" s="211">
        <f t="shared" si="53"/>
        <v>2017</v>
      </c>
      <c r="C1107" s="211">
        <f t="shared" si="54"/>
        <v>1</v>
      </c>
      <c r="D1107" s="205">
        <v>9227430000000</v>
      </c>
      <c r="E1107" s="205">
        <v>78611835000</v>
      </c>
      <c r="F1107" s="205">
        <v>137667412500</v>
      </c>
      <c r="G1107" s="205">
        <v>1167211178700</v>
      </c>
    </row>
    <row r="1108" spans="1:7">
      <c r="A1108" s="2102">
        <v>42741</v>
      </c>
      <c r="B1108" s="211">
        <f t="shared" si="53"/>
        <v>2017</v>
      </c>
      <c r="C1108" s="211">
        <f t="shared" si="54"/>
        <v>1</v>
      </c>
      <c r="D1108" s="205">
        <v>9095340000000</v>
      </c>
      <c r="E1108" s="205">
        <v>79577243500</v>
      </c>
      <c r="F1108" s="205">
        <v>138105843750</v>
      </c>
      <c r="G1108" s="205">
        <v>1202241526200</v>
      </c>
    </row>
    <row r="1109" spans="1:7">
      <c r="A1109" s="2102">
        <v>42740</v>
      </c>
      <c r="B1109" s="211">
        <f t="shared" si="53"/>
        <v>2017</v>
      </c>
      <c r="C1109" s="211">
        <f t="shared" si="54"/>
        <v>1</v>
      </c>
      <c r="D1109" s="205">
        <v>9057600000000</v>
      </c>
      <c r="E1109" s="205">
        <v>78473919500</v>
      </c>
      <c r="F1109" s="205">
        <v>138251987500</v>
      </c>
      <c r="G1109" s="205">
        <v>1160205109200</v>
      </c>
    </row>
    <row r="1110" spans="1:7">
      <c r="A1110" s="2102">
        <v>42739</v>
      </c>
      <c r="B1110" s="211">
        <f t="shared" si="53"/>
        <v>2017</v>
      </c>
      <c r="C1110" s="211">
        <f t="shared" si="54"/>
        <v>1</v>
      </c>
      <c r="D1110" s="205">
        <v>9019860000000</v>
      </c>
      <c r="E1110" s="205">
        <v>78611835000</v>
      </c>
      <c r="F1110" s="205">
        <v>138251987500</v>
      </c>
      <c r="G1110" s="205">
        <v>1156001467500</v>
      </c>
    </row>
    <row r="1111" spans="1:7">
      <c r="A1111" s="2102">
        <v>42738</v>
      </c>
      <c r="B1111" s="211">
        <f t="shared" si="53"/>
        <v>2017</v>
      </c>
      <c r="C1111" s="211">
        <f t="shared" si="54"/>
        <v>1</v>
      </c>
      <c r="D1111" s="205">
        <v>8991555000000</v>
      </c>
      <c r="E1111" s="205">
        <v>80266821000</v>
      </c>
      <c r="F1111" s="205">
        <v>140005712500</v>
      </c>
      <c r="G1111" s="205">
        <v>1160205109200</v>
      </c>
    </row>
    <row r="1112" spans="1:7">
      <c r="A1112" s="2102">
        <v>42737</v>
      </c>
      <c r="B1112" s="211">
        <f t="shared" si="53"/>
        <v>2017</v>
      </c>
      <c r="C1112" s="211">
        <f t="shared" si="54"/>
        <v>1</v>
      </c>
      <c r="D1112" s="205">
        <v>9133080000000</v>
      </c>
      <c r="E1112" s="205">
        <v>79577243500</v>
      </c>
      <c r="F1112" s="205">
        <v>139713425000</v>
      </c>
      <c r="G1112" s="205">
        <v>1141989328500</v>
      </c>
    </row>
    <row r="1113" spans="1:7">
      <c r="A1113" s="2102">
        <v>42733</v>
      </c>
      <c r="B1113" s="211">
        <f t="shared" si="53"/>
        <v>2016</v>
      </c>
      <c r="C1113" s="211">
        <f t="shared" si="54"/>
        <v>12</v>
      </c>
      <c r="D1113" s="205">
        <v>8963250000000</v>
      </c>
      <c r="E1113" s="205">
        <v>79715159000</v>
      </c>
      <c r="F1113" s="205">
        <v>140590287500</v>
      </c>
      <c r="G1113" s="205">
        <v>1134983259000</v>
      </c>
    </row>
    <row r="1114" spans="1:7">
      <c r="A1114" s="2102">
        <v>42732</v>
      </c>
      <c r="B1114" s="211">
        <f t="shared" si="53"/>
        <v>2016</v>
      </c>
      <c r="C1114" s="211">
        <f t="shared" si="54"/>
        <v>12</v>
      </c>
      <c r="D1114" s="205">
        <v>8812290000000</v>
      </c>
      <c r="E1114" s="205">
        <v>81645976000</v>
      </c>
      <c r="F1114" s="205">
        <v>140298000000</v>
      </c>
      <c r="G1114" s="205">
        <v>1129378403400</v>
      </c>
    </row>
    <row r="1115" spans="1:7">
      <c r="A1115" s="2102">
        <v>42731</v>
      </c>
      <c r="B1115" s="211">
        <f t="shared" si="53"/>
        <v>2016</v>
      </c>
      <c r="C1115" s="211">
        <f t="shared" si="54"/>
        <v>12</v>
      </c>
      <c r="D1115" s="205">
        <v>8934945000000</v>
      </c>
      <c r="E1115" s="205">
        <v>85231779000</v>
      </c>
      <c r="F1115" s="205">
        <v>142490156250</v>
      </c>
      <c r="G1115" s="205">
        <v>1153199039700</v>
      </c>
    </row>
    <row r="1116" spans="1:7">
      <c r="A1116" s="2102">
        <v>42730</v>
      </c>
      <c r="B1116" s="211">
        <f t="shared" si="53"/>
        <v>2016</v>
      </c>
      <c r="C1116" s="211">
        <f t="shared" si="54"/>
        <v>12</v>
      </c>
      <c r="D1116" s="205">
        <v>8934945000000</v>
      </c>
      <c r="E1116" s="205">
        <v>83990539500</v>
      </c>
      <c r="F1116" s="205">
        <v>141174862500</v>
      </c>
      <c r="G1116" s="205">
        <v>1137785686800</v>
      </c>
    </row>
    <row r="1117" spans="1:7">
      <c r="A1117" s="2102">
        <v>42727</v>
      </c>
      <c r="B1117" s="211">
        <f t="shared" si="53"/>
        <v>2016</v>
      </c>
      <c r="C1117" s="211">
        <f t="shared" si="54"/>
        <v>12</v>
      </c>
      <c r="D1117" s="205">
        <v>9038730000000</v>
      </c>
      <c r="E1117" s="205">
        <v>82749300000</v>
      </c>
      <c r="F1117" s="205">
        <v>140736431250</v>
      </c>
      <c r="G1117" s="205">
        <v>1165809964800</v>
      </c>
    </row>
    <row r="1118" spans="1:7">
      <c r="A1118" s="2102">
        <v>42726</v>
      </c>
      <c r="B1118" s="211">
        <f t="shared" si="53"/>
        <v>2016</v>
      </c>
      <c r="C1118" s="211">
        <f t="shared" si="54"/>
        <v>12</v>
      </c>
      <c r="D1118" s="205">
        <v>9048165000000</v>
      </c>
      <c r="E1118" s="205">
        <v>83300962000</v>
      </c>
      <c r="F1118" s="205">
        <v>142051725000</v>
      </c>
      <c r="G1118" s="205">
        <v>1188229387200</v>
      </c>
    </row>
    <row r="1119" spans="1:7">
      <c r="A1119" s="2102">
        <v>42725</v>
      </c>
      <c r="B1119" s="211">
        <f t="shared" si="53"/>
        <v>2016</v>
      </c>
      <c r="C1119" s="211">
        <f t="shared" si="54"/>
        <v>12</v>
      </c>
      <c r="D1119" s="205">
        <v>8972685000000</v>
      </c>
      <c r="E1119" s="205">
        <v>81370145000</v>
      </c>
      <c r="F1119" s="205">
        <v>141467150000</v>
      </c>
      <c r="G1119" s="205">
        <v>1189630601100</v>
      </c>
    </row>
    <row r="1120" spans="1:7">
      <c r="A1120" s="2102">
        <v>42724</v>
      </c>
      <c r="B1120" s="211">
        <f t="shared" si="53"/>
        <v>2016</v>
      </c>
      <c r="C1120" s="211">
        <f t="shared" si="54"/>
        <v>12</v>
      </c>
      <c r="D1120" s="205">
        <v>9000990000000</v>
      </c>
      <c r="E1120" s="205">
        <v>79301412500</v>
      </c>
      <c r="F1120" s="205">
        <v>140590287500</v>
      </c>
      <c r="G1120" s="205">
        <v>1186828173300</v>
      </c>
    </row>
    <row r="1121" spans="1:7">
      <c r="A1121" s="2102">
        <v>42723</v>
      </c>
      <c r="B1121" s="211">
        <f t="shared" si="53"/>
        <v>2016</v>
      </c>
      <c r="C1121" s="211">
        <f t="shared" si="54"/>
        <v>12</v>
      </c>
      <c r="D1121" s="205">
        <v>9067035000000</v>
      </c>
      <c r="E1121" s="205">
        <v>82887215500</v>
      </c>
      <c r="F1121" s="205">
        <v>139274993750</v>
      </c>
      <c r="G1121" s="205">
        <v>1185426959400</v>
      </c>
    </row>
    <row r="1122" spans="1:7">
      <c r="A1122" s="2102">
        <v>42720</v>
      </c>
      <c r="B1122" s="211">
        <f t="shared" si="53"/>
        <v>2016</v>
      </c>
      <c r="C1122" s="211">
        <f t="shared" si="54"/>
        <v>12</v>
      </c>
      <c r="D1122" s="205">
        <v>9095340000000</v>
      </c>
      <c r="E1122" s="205">
        <v>79715159000</v>
      </c>
      <c r="F1122" s="205">
        <v>139421137500</v>
      </c>
      <c r="G1122" s="205">
        <v>1186828173300</v>
      </c>
    </row>
    <row r="1123" spans="1:7">
      <c r="A1123" s="2102">
        <v>42719</v>
      </c>
      <c r="B1123" s="211">
        <f t="shared" si="53"/>
        <v>2016</v>
      </c>
      <c r="C1123" s="211">
        <f t="shared" si="54"/>
        <v>12</v>
      </c>
      <c r="D1123" s="205">
        <v>9236865000000</v>
      </c>
      <c r="E1123" s="205">
        <v>74750201000</v>
      </c>
      <c r="F1123" s="205">
        <v>139713425000</v>
      </c>
      <c r="G1123" s="205">
        <v>1214852451300</v>
      </c>
    </row>
    <row r="1124" spans="1:7">
      <c r="A1124" s="2102">
        <v>42718</v>
      </c>
      <c r="B1124" s="211">
        <f t="shared" si="53"/>
        <v>2016</v>
      </c>
      <c r="C1124" s="211">
        <f t="shared" si="54"/>
        <v>12</v>
      </c>
      <c r="D1124" s="205">
        <v>9255735000000</v>
      </c>
      <c r="E1124" s="205">
        <v>74060623500</v>
      </c>
      <c r="F1124" s="205">
        <v>140005712500</v>
      </c>
      <c r="G1124" s="205">
        <v>1210648809600</v>
      </c>
    </row>
    <row r="1125" spans="1:7">
      <c r="A1125" s="2102">
        <v>42717</v>
      </c>
      <c r="B1125" s="211">
        <f t="shared" si="53"/>
        <v>2016</v>
      </c>
      <c r="C1125" s="211">
        <f t="shared" si="54"/>
        <v>12</v>
      </c>
      <c r="D1125" s="205">
        <v>9406695000000</v>
      </c>
      <c r="E1125" s="205">
        <v>74198539000</v>
      </c>
      <c r="F1125" s="205">
        <v>138836562500</v>
      </c>
      <c r="G1125" s="205">
        <v>1205043954000</v>
      </c>
    </row>
    <row r="1126" spans="1:7">
      <c r="A1126" s="2102">
        <v>42716</v>
      </c>
      <c r="B1126" s="211">
        <f t="shared" si="53"/>
        <v>2016</v>
      </c>
      <c r="C1126" s="211">
        <f t="shared" si="54"/>
        <v>12</v>
      </c>
      <c r="D1126" s="205">
        <v>9378390000000</v>
      </c>
      <c r="E1126" s="205">
        <v>73508961500</v>
      </c>
      <c r="F1126" s="205">
        <v>137667412500</v>
      </c>
      <c r="G1126" s="205">
        <v>1227463376400</v>
      </c>
    </row>
    <row r="1127" spans="1:7">
      <c r="A1127" s="2102">
        <v>42713</v>
      </c>
      <c r="B1127" s="211">
        <f t="shared" si="53"/>
        <v>2016</v>
      </c>
      <c r="C1127" s="211">
        <f t="shared" si="54"/>
        <v>12</v>
      </c>
      <c r="D1127" s="205">
        <v>9331215000000</v>
      </c>
      <c r="E1127" s="205">
        <v>73233130500</v>
      </c>
      <c r="F1127" s="205">
        <v>138105843750</v>
      </c>
      <c r="G1127" s="205">
        <v>1228864590300</v>
      </c>
    </row>
    <row r="1128" spans="1:7">
      <c r="A1128" s="2102">
        <v>42712</v>
      </c>
      <c r="B1128" s="211">
        <f t="shared" si="53"/>
        <v>2016</v>
      </c>
      <c r="C1128" s="211">
        <f t="shared" si="54"/>
        <v>12</v>
      </c>
      <c r="D1128" s="205">
        <v>9567090000000</v>
      </c>
      <c r="E1128" s="205">
        <v>73233130500</v>
      </c>
      <c r="F1128" s="205">
        <v>135913687500</v>
      </c>
      <c r="G1128" s="205">
        <v>1249882798800</v>
      </c>
    </row>
    <row r="1129" spans="1:7">
      <c r="A1129" s="2102">
        <v>42711</v>
      </c>
      <c r="B1129" s="211">
        <f t="shared" si="53"/>
        <v>2016</v>
      </c>
      <c r="C1129" s="211">
        <f t="shared" si="54"/>
        <v>12</v>
      </c>
      <c r="D1129" s="205">
        <v>9604830000000</v>
      </c>
      <c r="E1129" s="205">
        <v>73095215000</v>
      </c>
      <c r="F1129" s="205">
        <v>136352118750</v>
      </c>
      <c r="G1129" s="205">
        <v>1233068232000</v>
      </c>
    </row>
    <row r="1130" spans="1:7">
      <c r="A1130" s="2102">
        <v>42710</v>
      </c>
      <c r="B1130" s="211">
        <f t="shared" si="53"/>
        <v>2016</v>
      </c>
      <c r="C1130" s="211">
        <f t="shared" si="54"/>
        <v>12</v>
      </c>
      <c r="D1130" s="205">
        <v>9567090000000</v>
      </c>
      <c r="E1130" s="205">
        <v>73095215000</v>
      </c>
      <c r="F1130" s="205">
        <v>136644406250</v>
      </c>
      <c r="G1130" s="205">
        <v>1217654879100</v>
      </c>
    </row>
    <row r="1131" spans="1:7">
      <c r="A1131" s="2102">
        <v>42709</v>
      </c>
      <c r="B1131" s="211">
        <f t="shared" si="53"/>
        <v>2016</v>
      </c>
      <c r="C1131" s="211">
        <f t="shared" si="54"/>
        <v>12</v>
      </c>
      <c r="D1131" s="205">
        <v>9274605000000</v>
      </c>
      <c r="E1131" s="205">
        <v>73371046000</v>
      </c>
      <c r="F1131" s="205">
        <v>136790550000</v>
      </c>
      <c r="G1131" s="205">
        <v>1127977189500</v>
      </c>
    </row>
    <row r="1132" spans="1:7">
      <c r="A1132" s="2102">
        <v>42706</v>
      </c>
      <c r="B1132" s="211">
        <f t="shared" si="53"/>
        <v>2016</v>
      </c>
      <c r="C1132" s="211">
        <f t="shared" si="54"/>
        <v>12</v>
      </c>
      <c r="D1132" s="205">
        <v>8859465000000</v>
      </c>
      <c r="E1132" s="205">
        <v>73508961500</v>
      </c>
      <c r="F1132" s="205">
        <v>137082837500</v>
      </c>
      <c r="G1132" s="205">
        <v>1099952911500</v>
      </c>
    </row>
    <row r="1133" spans="1:7">
      <c r="A1133" s="2102">
        <v>42705</v>
      </c>
      <c r="B1133" s="211">
        <f t="shared" si="53"/>
        <v>2016</v>
      </c>
      <c r="C1133" s="211">
        <f t="shared" si="54"/>
        <v>12</v>
      </c>
      <c r="D1133" s="205">
        <v>8868900000000</v>
      </c>
      <c r="E1133" s="205">
        <v>73508961500</v>
      </c>
      <c r="F1133" s="205">
        <v>137375125000</v>
      </c>
      <c r="G1133" s="205">
        <v>1101354125400</v>
      </c>
    </row>
    <row r="1134" spans="1:7">
      <c r="A1134" s="2102">
        <v>42704</v>
      </c>
      <c r="B1134" s="211">
        <f t="shared" si="53"/>
        <v>2016</v>
      </c>
      <c r="C1134" s="211">
        <f t="shared" si="54"/>
        <v>11</v>
      </c>
      <c r="D1134" s="205">
        <v>8906640000000</v>
      </c>
      <c r="E1134" s="205">
        <v>73508961500</v>
      </c>
      <c r="F1134" s="205">
        <v>137667412500</v>
      </c>
      <c r="G1134" s="205">
        <v>1087341986400</v>
      </c>
    </row>
    <row r="1135" spans="1:7">
      <c r="A1135" s="2102">
        <v>42703</v>
      </c>
      <c r="B1135" s="211">
        <f t="shared" si="53"/>
        <v>2016</v>
      </c>
      <c r="C1135" s="211">
        <f t="shared" si="54"/>
        <v>11</v>
      </c>
      <c r="D1135" s="205">
        <v>9151950000000</v>
      </c>
      <c r="E1135" s="205">
        <v>73646877000</v>
      </c>
      <c r="F1135" s="205">
        <v>137667412500</v>
      </c>
      <c r="G1135" s="205">
        <v>1101354125400</v>
      </c>
    </row>
    <row r="1136" spans="1:7">
      <c r="A1136" s="2102">
        <v>42702</v>
      </c>
      <c r="B1136" s="211">
        <f t="shared" si="53"/>
        <v>2016</v>
      </c>
      <c r="C1136" s="211">
        <f t="shared" si="54"/>
        <v>11</v>
      </c>
      <c r="D1136" s="205">
        <v>8982120000000</v>
      </c>
      <c r="E1136" s="205">
        <v>73646877000</v>
      </c>
      <c r="F1136" s="205">
        <v>137813556250</v>
      </c>
      <c r="G1136" s="205">
        <v>1092946842000</v>
      </c>
    </row>
    <row r="1137" spans="1:7">
      <c r="A1137" s="2102">
        <v>42699</v>
      </c>
      <c r="B1137" s="211">
        <f t="shared" si="53"/>
        <v>2016</v>
      </c>
      <c r="C1137" s="211">
        <f t="shared" si="54"/>
        <v>11</v>
      </c>
      <c r="D1137" s="205">
        <v>8887770000000</v>
      </c>
      <c r="E1137" s="205">
        <v>73371046000</v>
      </c>
      <c r="F1137" s="205">
        <v>137813556250</v>
      </c>
      <c r="G1137" s="205">
        <v>1105557767100</v>
      </c>
    </row>
    <row r="1138" spans="1:7">
      <c r="A1138" s="2102">
        <v>42698</v>
      </c>
      <c r="B1138" s="211">
        <f t="shared" si="53"/>
        <v>2016</v>
      </c>
      <c r="C1138" s="211">
        <f t="shared" si="54"/>
        <v>11</v>
      </c>
      <c r="D1138" s="205">
        <v>9029295000000</v>
      </c>
      <c r="E1138" s="205">
        <v>73646877000</v>
      </c>
      <c r="F1138" s="205">
        <v>139274993750</v>
      </c>
      <c r="G1138" s="205">
        <v>1118168692200</v>
      </c>
    </row>
    <row r="1139" spans="1:7">
      <c r="A1139" s="2102">
        <v>42697</v>
      </c>
      <c r="B1139" s="211">
        <f t="shared" si="53"/>
        <v>2016</v>
      </c>
      <c r="C1139" s="211">
        <f t="shared" si="54"/>
        <v>11</v>
      </c>
      <c r="D1139" s="205">
        <v>9057600000000</v>
      </c>
      <c r="E1139" s="205">
        <v>73233130500</v>
      </c>
      <c r="F1139" s="205">
        <v>138544275000</v>
      </c>
      <c r="G1139" s="205">
        <v>1123773547800</v>
      </c>
    </row>
    <row r="1140" spans="1:7">
      <c r="A1140" s="2102">
        <v>42696</v>
      </c>
      <c r="B1140" s="211">
        <f t="shared" si="53"/>
        <v>2016</v>
      </c>
      <c r="C1140" s="211">
        <f t="shared" si="54"/>
        <v>11</v>
      </c>
      <c r="D1140" s="205">
        <v>8953815000000</v>
      </c>
      <c r="E1140" s="205">
        <v>73371046000</v>
      </c>
      <c r="F1140" s="205">
        <v>138690418750</v>
      </c>
      <c r="G1140" s="205">
        <v>1120971120000</v>
      </c>
    </row>
    <row r="1141" spans="1:7">
      <c r="A1141" s="2102">
        <v>42695</v>
      </c>
      <c r="B1141" s="211">
        <f t="shared" si="53"/>
        <v>2016</v>
      </c>
      <c r="C1141" s="211">
        <f t="shared" si="54"/>
        <v>11</v>
      </c>
      <c r="D1141" s="205">
        <v>8699070000000</v>
      </c>
      <c r="E1141" s="205">
        <v>73233130500</v>
      </c>
      <c r="F1141" s="205">
        <v>138690418750</v>
      </c>
      <c r="G1141" s="205">
        <v>1081737130800</v>
      </c>
    </row>
    <row r="1142" spans="1:7">
      <c r="A1142" s="2102">
        <v>42692</v>
      </c>
      <c r="B1142" s="211">
        <f t="shared" si="53"/>
        <v>2016</v>
      </c>
      <c r="C1142" s="211">
        <f t="shared" si="54"/>
        <v>11</v>
      </c>
      <c r="D1142" s="205">
        <v>8680200000000</v>
      </c>
      <c r="E1142" s="205">
        <v>73371046000</v>
      </c>
      <c r="F1142" s="205">
        <v>140005712500</v>
      </c>
      <c r="G1142" s="205">
        <v>1118168692200</v>
      </c>
    </row>
    <row r="1143" spans="1:7">
      <c r="A1143" s="2102">
        <v>42691</v>
      </c>
      <c r="B1143" s="211">
        <f t="shared" si="53"/>
        <v>2016</v>
      </c>
      <c r="C1143" s="211">
        <f t="shared" si="54"/>
        <v>11</v>
      </c>
      <c r="D1143" s="205">
        <v>8963250000000</v>
      </c>
      <c r="E1143" s="205">
        <v>73508961500</v>
      </c>
      <c r="F1143" s="205">
        <v>140444143750</v>
      </c>
      <c r="G1143" s="205">
        <v>1120971120000</v>
      </c>
    </row>
    <row r="1144" spans="1:7">
      <c r="A1144" s="2102">
        <v>42690</v>
      </c>
      <c r="B1144" s="211">
        <f t="shared" si="53"/>
        <v>2016</v>
      </c>
      <c r="C1144" s="211">
        <f t="shared" si="54"/>
        <v>11</v>
      </c>
      <c r="D1144" s="205">
        <v>8868900000000</v>
      </c>
      <c r="E1144" s="205">
        <v>73646877000</v>
      </c>
      <c r="F1144" s="205">
        <v>140298000000</v>
      </c>
      <c r="G1144" s="205">
        <v>1153199039700</v>
      </c>
    </row>
    <row r="1145" spans="1:7">
      <c r="A1145" s="2102">
        <v>42689</v>
      </c>
      <c r="B1145" s="211">
        <f t="shared" si="53"/>
        <v>2016</v>
      </c>
      <c r="C1145" s="211">
        <f t="shared" si="54"/>
        <v>11</v>
      </c>
      <c r="D1145" s="205">
        <v>9029295000000</v>
      </c>
      <c r="E1145" s="205">
        <v>72957299500</v>
      </c>
      <c r="F1145" s="205">
        <v>140882575000</v>
      </c>
      <c r="G1145" s="205">
        <v>1140588114600</v>
      </c>
    </row>
    <row r="1146" spans="1:7">
      <c r="A1146" s="2102">
        <v>42688</v>
      </c>
      <c r="B1146" s="211">
        <f t="shared" si="53"/>
        <v>2016</v>
      </c>
      <c r="C1146" s="211">
        <f t="shared" si="54"/>
        <v>11</v>
      </c>
      <c r="D1146" s="205">
        <v>8840595000000</v>
      </c>
      <c r="E1146" s="205">
        <v>72681468500</v>
      </c>
      <c r="F1146" s="205">
        <v>140298000000</v>
      </c>
      <c r="G1146" s="205">
        <v>1130779617300</v>
      </c>
    </row>
    <row r="1147" spans="1:7">
      <c r="A1147" s="2102">
        <v>42685</v>
      </c>
      <c r="B1147" s="211">
        <f t="shared" si="53"/>
        <v>2016</v>
      </c>
      <c r="C1147" s="211">
        <f t="shared" si="54"/>
        <v>11</v>
      </c>
      <c r="D1147" s="205">
        <v>9246300000000</v>
      </c>
      <c r="E1147" s="205">
        <v>72819384000</v>
      </c>
      <c r="F1147" s="205">
        <v>139859568750</v>
      </c>
      <c r="G1147" s="205">
        <v>1112563836600</v>
      </c>
    </row>
    <row r="1148" spans="1:7">
      <c r="A1148" s="2102">
        <v>42684</v>
      </c>
      <c r="B1148" s="211">
        <f t="shared" si="53"/>
        <v>2016</v>
      </c>
      <c r="C1148" s="211">
        <f t="shared" si="54"/>
        <v>11</v>
      </c>
      <c r="D1148" s="205">
        <v>9246300000000</v>
      </c>
      <c r="E1148" s="205">
        <v>71716060000</v>
      </c>
      <c r="F1148" s="205">
        <v>139421137500</v>
      </c>
      <c r="G1148" s="205">
        <v>1073329847400</v>
      </c>
    </row>
    <row r="1149" spans="1:7">
      <c r="A1149" s="2102">
        <v>42683</v>
      </c>
      <c r="B1149" s="211">
        <f t="shared" si="53"/>
        <v>2016</v>
      </c>
      <c r="C1149" s="211">
        <f t="shared" si="54"/>
        <v>11</v>
      </c>
      <c r="D1149" s="205">
        <v>9095340000000</v>
      </c>
      <c r="E1149" s="205">
        <v>71716060000</v>
      </c>
      <c r="F1149" s="205">
        <v>138251987500</v>
      </c>
      <c r="G1149" s="205">
        <v>992059441200</v>
      </c>
    </row>
    <row r="1150" spans="1:7">
      <c r="A1150" s="2102">
        <v>42682</v>
      </c>
      <c r="B1150" s="211">
        <f t="shared" si="53"/>
        <v>2016</v>
      </c>
      <c r="C1150" s="211">
        <f t="shared" si="54"/>
        <v>11</v>
      </c>
      <c r="D1150" s="205">
        <v>9010425000000</v>
      </c>
      <c r="E1150" s="205">
        <v>73508961500</v>
      </c>
      <c r="F1150" s="205">
        <v>140736431250</v>
      </c>
      <c r="G1150" s="205">
        <v>983652157800</v>
      </c>
    </row>
    <row r="1151" spans="1:7">
      <c r="A1151" s="2102">
        <v>42681</v>
      </c>
      <c r="B1151" s="211">
        <f t="shared" si="53"/>
        <v>2016</v>
      </c>
      <c r="C1151" s="211">
        <f t="shared" si="54"/>
        <v>11</v>
      </c>
      <c r="D1151" s="205">
        <v>8840595000000</v>
      </c>
      <c r="E1151" s="205">
        <v>73922708000</v>
      </c>
      <c r="F1151" s="205">
        <v>140882575000</v>
      </c>
      <c r="G1151" s="205">
        <v>987855799500</v>
      </c>
    </row>
    <row r="1152" spans="1:7">
      <c r="A1152" s="2102">
        <v>42678</v>
      </c>
      <c r="B1152" s="211">
        <f t="shared" si="53"/>
        <v>2016</v>
      </c>
      <c r="C1152" s="211">
        <f t="shared" si="54"/>
        <v>11</v>
      </c>
      <c r="D1152" s="205">
        <v>8934945000000</v>
      </c>
      <c r="E1152" s="205">
        <v>73508961500</v>
      </c>
      <c r="F1152" s="205">
        <v>140590287500</v>
      </c>
      <c r="G1152" s="205">
        <v>1004670366300</v>
      </c>
    </row>
    <row r="1153" spans="1:7">
      <c r="A1153" s="2102">
        <v>42677</v>
      </c>
      <c r="B1153" s="211">
        <f t="shared" si="53"/>
        <v>2016</v>
      </c>
      <c r="C1153" s="211">
        <f t="shared" si="54"/>
        <v>11</v>
      </c>
      <c r="D1153" s="205">
        <v>9000990000000</v>
      </c>
      <c r="E1153" s="205">
        <v>72267722000</v>
      </c>
      <c r="F1153" s="205">
        <v>139128850000</v>
      </c>
      <c r="G1153" s="205">
        <v>962633949300</v>
      </c>
    </row>
    <row r="1154" spans="1:7">
      <c r="A1154" s="2102">
        <v>42676</v>
      </c>
      <c r="B1154" s="211">
        <f t="shared" si="53"/>
        <v>2016</v>
      </c>
      <c r="C1154" s="211">
        <f t="shared" si="54"/>
        <v>11</v>
      </c>
      <c r="D1154" s="205">
        <v>8925510000000</v>
      </c>
      <c r="E1154" s="205">
        <v>71440229000</v>
      </c>
      <c r="F1154" s="205">
        <v>140298000000</v>
      </c>
      <c r="G1154" s="205">
        <v>975244874400</v>
      </c>
    </row>
    <row r="1155" spans="1:7">
      <c r="A1155" s="2102">
        <v>42675</v>
      </c>
      <c r="B1155" s="211">
        <f t="shared" si="53"/>
        <v>2016</v>
      </c>
      <c r="C1155" s="211">
        <f t="shared" si="54"/>
        <v>11</v>
      </c>
      <c r="D1155" s="205">
        <v>8604720000000</v>
      </c>
      <c r="E1155" s="205">
        <v>73646877000</v>
      </c>
      <c r="F1155" s="205">
        <v>141028718750</v>
      </c>
      <c r="G1155" s="205">
        <v>980849730000</v>
      </c>
    </row>
    <row r="1156" spans="1:7">
      <c r="A1156" s="2102">
        <v>42674</v>
      </c>
      <c r="B1156" s="211">
        <f t="shared" si="53"/>
        <v>2016</v>
      </c>
      <c r="C1156" s="211">
        <f t="shared" si="54"/>
        <v>10</v>
      </c>
      <c r="D1156" s="205">
        <v>8585850000000</v>
      </c>
      <c r="E1156" s="205">
        <v>72819384000</v>
      </c>
      <c r="F1156" s="205">
        <v>141613293750</v>
      </c>
      <c r="G1156" s="205">
        <v>975244874400</v>
      </c>
    </row>
    <row r="1157" spans="1:7">
      <c r="A1157" s="2102">
        <v>42671</v>
      </c>
      <c r="B1157" s="211">
        <f t="shared" si="53"/>
        <v>2016</v>
      </c>
      <c r="C1157" s="211">
        <f t="shared" si="54"/>
        <v>10</v>
      </c>
      <c r="D1157" s="205">
        <v>8519805000000</v>
      </c>
      <c r="E1157" s="205">
        <v>72129806500</v>
      </c>
      <c r="F1157" s="205">
        <v>141905581250</v>
      </c>
      <c r="G1157" s="205">
        <v>973843660500</v>
      </c>
    </row>
    <row r="1158" spans="1:7">
      <c r="A1158" s="2102">
        <v>42670</v>
      </c>
      <c r="B1158" s="211">
        <f t="shared" si="53"/>
        <v>2016</v>
      </c>
      <c r="C1158" s="211">
        <f t="shared" si="54"/>
        <v>10</v>
      </c>
      <c r="D1158" s="205">
        <v>8651895000000</v>
      </c>
      <c r="E1158" s="205">
        <v>71302313500</v>
      </c>
      <c r="F1158" s="205">
        <v>142636300000</v>
      </c>
      <c r="G1158" s="205">
        <v>968238804900</v>
      </c>
    </row>
    <row r="1159" spans="1:7">
      <c r="A1159" s="2102">
        <v>42669</v>
      </c>
      <c r="B1159" s="211">
        <f t="shared" si="53"/>
        <v>2016</v>
      </c>
      <c r="C1159" s="211">
        <f t="shared" si="54"/>
        <v>10</v>
      </c>
      <c r="D1159" s="205">
        <v>8387715000000</v>
      </c>
      <c r="E1159" s="205">
        <v>71302313500</v>
      </c>
      <c r="F1159" s="205">
        <v>141613293750</v>
      </c>
      <c r="G1159" s="205">
        <v>952825452000</v>
      </c>
    </row>
    <row r="1160" spans="1:7">
      <c r="A1160" s="2102">
        <v>42668</v>
      </c>
      <c r="B1160" s="211">
        <f t="shared" si="53"/>
        <v>2016</v>
      </c>
      <c r="C1160" s="211">
        <f t="shared" si="54"/>
        <v>10</v>
      </c>
      <c r="D1160" s="205">
        <v>8368845000000</v>
      </c>
      <c r="E1160" s="205">
        <v>73784792500</v>
      </c>
      <c r="F1160" s="205">
        <v>142490156250</v>
      </c>
      <c r="G1160" s="205">
        <v>955627879800</v>
      </c>
    </row>
    <row r="1161" spans="1:7">
      <c r="A1161" s="2102">
        <v>42667</v>
      </c>
      <c r="B1161" s="211">
        <f t="shared" si="53"/>
        <v>2016</v>
      </c>
      <c r="C1161" s="211">
        <f t="shared" si="54"/>
        <v>10</v>
      </c>
      <c r="D1161" s="205">
        <v>8878335000000</v>
      </c>
      <c r="E1161" s="205">
        <v>73922708000</v>
      </c>
      <c r="F1161" s="205">
        <v>143220875000</v>
      </c>
      <c r="G1161" s="205">
        <v>950023024200</v>
      </c>
    </row>
    <row r="1162" spans="1:7">
      <c r="A1162" s="2102">
        <v>42664</v>
      </c>
      <c r="B1162" s="211">
        <f t="shared" ref="B1162:B1225" si="55">YEAR(A1162)</f>
        <v>2016</v>
      </c>
      <c r="C1162" s="211">
        <f t="shared" ref="C1162:C1225" si="56">MONTH(A1162)</f>
        <v>10</v>
      </c>
      <c r="D1162" s="205">
        <v>8765115000000</v>
      </c>
      <c r="E1162" s="205">
        <v>75439778500</v>
      </c>
      <c r="F1162" s="205">
        <v>145559175000</v>
      </c>
      <c r="G1162" s="205">
        <v>943016954700</v>
      </c>
    </row>
    <row r="1163" spans="1:7">
      <c r="A1163" s="2102">
        <v>42663</v>
      </c>
      <c r="B1163" s="211">
        <f t="shared" si="55"/>
        <v>2016</v>
      </c>
      <c r="C1163" s="211">
        <f t="shared" si="56"/>
        <v>10</v>
      </c>
      <c r="D1163" s="205">
        <v>8765115000000</v>
      </c>
      <c r="E1163" s="205">
        <v>74750201000</v>
      </c>
      <c r="F1163" s="205">
        <v>145851462500</v>
      </c>
      <c r="G1163" s="205">
        <v>959831521500</v>
      </c>
    </row>
    <row r="1164" spans="1:7">
      <c r="A1164" s="2102">
        <v>42662</v>
      </c>
      <c r="B1164" s="211">
        <f t="shared" si="55"/>
        <v>2016</v>
      </c>
      <c r="C1164" s="211">
        <f t="shared" si="56"/>
        <v>10</v>
      </c>
      <c r="D1164" s="205">
        <v>8774550000000</v>
      </c>
      <c r="E1164" s="205">
        <v>74888116500</v>
      </c>
      <c r="F1164" s="205">
        <v>145413031250</v>
      </c>
      <c r="G1164" s="205">
        <v>961232735400</v>
      </c>
    </row>
    <row r="1165" spans="1:7">
      <c r="A1165" s="2102">
        <v>42661</v>
      </c>
      <c r="B1165" s="211">
        <f t="shared" si="55"/>
        <v>2016</v>
      </c>
      <c r="C1165" s="211">
        <f t="shared" si="56"/>
        <v>10</v>
      </c>
      <c r="D1165" s="205">
        <v>8821725000000</v>
      </c>
      <c r="E1165" s="205">
        <v>75577694000</v>
      </c>
      <c r="F1165" s="205">
        <v>145413031250</v>
      </c>
      <c r="G1165" s="205">
        <v>943016954700</v>
      </c>
    </row>
    <row r="1166" spans="1:7">
      <c r="A1166" s="2102">
        <v>42660</v>
      </c>
      <c r="B1166" s="211">
        <f t="shared" si="55"/>
        <v>2016</v>
      </c>
      <c r="C1166" s="211">
        <f t="shared" si="56"/>
        <v>10</v>
      </c>
      <c r="D1166" s="205">
        <v>8519805000000</v>
      </c>
      <c r="E1166" s="205">
        <v>76129356000</v>
      </c>
      <c r="F1166" s="205">
        <v>145120743750</v>
      </c>
      <c r="G1166" s="205">
        <v>941615740800</v>
      </c>
    </row>
    <row r="1167" spans="1:7">
      <c r="A1167" s="2102">
        <v>42657</v>
      </c>
      <c r="B1167" s="211">
        <f t="shared" si="55"/>
        <v>2016</v>
      </c>
      <c r="C1167" s="211">
        <f t="shared" si="56"/>
        <v>10</v>
      </c>
      <c r="D1167" s="205">
        <v>8519805000000</v>
      </c>
      <c r="E1167" s="205">
        <v>76543102500</v>
      </c>
      <c r="F1167" s="205">
        <v>145120743750</v>
      </c>
      <c r="G1167" s="205">
        <v>931807243500</v>
      </c>
    </row>
    <row r="1168" spans="1:7">
      <c r="A1168" s="2102">
        <v>42656</v>
      </c>
      <c r="B1168" s="211">
        <f t="shared" si="55"/>
        <v>2016</v>
      </c>
      <c r="C1168" s="211">
        <f t="shared" si="56"/>
        <v>10</v>
      </c>
      <c r="D1168" s="205">
        <v>8585850000000</v>
      </c>
      <c r="E1168" s="205">
        <v>77094764500</v>
      </c>
      <c r="F1168" s="205">
        <v>145120743750</v>
      </c>
      <c r="G1168" s="205">
        <v>931807243500</v>
      </c>
    </row>
    <row r="1169" spans="1:7">
      <c r="A1169" s="2102">
        <v>42655</v>
      </c>
      <c r="B1169" s="211">
        <f t="shared" si="55"/>
        <v>2016</v>
      </c>
      <c r="C1169" s="211">
        <f t="shared" si="56"/>
        <v>10</v>
      </c>
      <c r="D1169" s="205">
        <v>8699070000000</v>
      </c>
      <c r="E1169" s="205">
        <v>77232680000</v>
      </c>
      <c r="F1169" s="205">
        <v>145559175000</v>
      </c>
      <c r="G1169" s="205">
        <v>952825452000</v>
      </c>
    </row>
    <row r="1170" spans="1:7">
      <c r="A1170" s="2102">
        <v>42654</v>
      </c>
      <c r="B1170" s="211">
        <f t="shared" si="55"/>
        <v>2016</v>
      </c>
      <c r="C1170" s="211">
        <f t="shared" si="56"/>
        <v>10</v>
      </c>
      <c r="D1170" s="205">
        <v>8651895000000</v>
      </c>
      <c r="E1170" s="205">
        <v>76818933500</v>
      </c>
      <c r="F1170" s="205">
        <v>145705318750</v>
      </c>
      <c r="G1170" s="205">
        <v>959831521500</v>
      </c>
    </row>
    <row r="1171" spans="1:7">
      <c r="A1171" s="2102">
        <v>42653</v>
      </c>
      <c r="B1171" s="211">
        <f t="shared" si="55"/>
        <v>2016</v>
      </c>
      <c r="C1171" s="211">
        <f t="shared" si="56"/>
        <v>10</v>
      </c>
      <c r="D1171" s="205">
        <v>8642460000000</v>
      </c>
      <c r="E1171" s="205">
        <v>76681018000</v>
      </c>
      <c r="F1171" s="205">
        <v>145997606250</v>
      </c>
      <c r="G1171" s="205">
        <v>957029093700</v>
      </c>
    </row>
    <row r="1172" spans="1:7">
      <c r="A1172" s="2102">
        <v>42650</v>
      </c>
      <c r="B1172" s="211">
        <f t="shared" si="55"/>
        <v>2016</v>
      </c>
      <c r="C1172" s="211">
        <f t="shared" si="56"/>
        <v>10</v>
      </c>
      <c r="D1172" s="205">
        <v>8529240000000</v>
      </c>
      <c r="E1172" s="205">
        <v>77232680000</v>
      </c>
      <c r="F1172" s="205">
        <v>145120743750</v>
      </c>
      <c r="G1172" s="205">
        <v>936010885200</v>
      </c>
    </row>
    <row r="1173" spans="1:7">
      <c r="A1173" s="2102">
        <v>42649</v>
      </c>
      <c r="B1173" s="211">
        <f t="shared" si="55"/>
        <v>2016</v>
      </c>
      <c r="C1173" s="211">
        <f t="shared" si="56"/>
        <v>10</v>
      </c>
      <c r="D1173" s="205">
        <v>8727375000000</v>
      </c>
      <c r="E1173" s="205">
        <v>77232680000</v>
      </c>
      <c r="F1173" s="205">
        <v>144974600000</v>
      </c>
      <c r="G1173" s="205">
        <v>948621810300</v>
      </c>
    </row>
    <row r="1174" spans="1:7">
      <c r="A1174" s="2102">
        <v>42648</v>
      </c>
      <c r="B1174" s="211">
        <f t="shared" si="55"/>
        <v>2016</v>
      </c>
      <c r="C1174" s="211">
        <f t="shared" si="56"/>
        <v>10</v>
      </c>
      <c r="D1174" s="205">
        <v>8802855000000</v>
      </c>
      <c r="E1174" s="205">
        <v>76267271500</v>
      </c>
      <c r="F1174" s="205">
        <v>144974600000</v>
      </c>
      <c r="G1174" s="205">
        <v>955627879800</v>
      </c>
    </row>
    <row r="1175" spans="1:7">
      <c r="A1175" s="2102">
        <v>42647</v>
      </c>
      <c r="B1175" s="211">
        <f t="shared" si="55"/>
        <v>2016</v>
      </c>
      <c r="C1175" s="211">
        <f t="shared" si="56"/>
        <v>10</v>
      </c>
      <c r="D1175" s="205">
        <v>9076470000000</v>
      </c>
      <c r="E1175" s="205">
        <v>75715609500</v>
      </c>
      <c r="F1175" s="205">
        <v>145559175000</v>
      </c>
      <c r="G1175" s="205">
        <v>951424238100</v>
      </c>
    </row>
    <row r="1176" spans="1:7">
      <c r="A1176" s="2102">
        <v>42643</v>
      </c>
      <c r="B1176" s="211">
        <f t="shared" si="55"/>
        <v>2016</v>
      </c>
      <c r="C1176" s="211">
        <f t="shared" si="56"/>
        <v>9</v>
      </c>
      <c r="D1176" s="205">
        <v>9076470000000</v>
      </c>
      <c r="E1176" s="205">
        <v>75577694000</v>
      </c>
      <c r="F1176" s="205">
        <v>145559175000</v>
      </c>
      <c r="G1176" s="205">
        <v>948621810300</v>
      </c>
    </row>
    <row r="1177" spans="1:7">
      <c r="A1177" s="2102">
        <v>42642</v>
      </c>
      <c r="B1177" s="211">
        <f t="shared" si="55"/>
        <v>2016</v>
      </c>
      <c r="C1177" s="211">
        <f t="shared" si="56"/>
        <v>9</v>
      </c>
      <c r="D1177" s="205">
        <v>9217995000000</v>
      </c>
      <c r="E1177" s="205">
        <v>75577694000</v>
      </c>
      <c r="F1177" s="205">
        <v>145997606250</v>
      </c>
      <c r="G1177" s="205">
        <v>948621810300</v>
      </c>
    </row>
    <row r="1178" spans="1:7">
      <c r="A1178" s="2102">
        <v>42641</v>
      </c>
      <c r="B1178" s="211">
        <f t="shared" si="55"/>
        <v>2016</v>
      </c>
      <c r="C1178" s="211">
        <f t="shared" si="56"/>
        <v>9</v>
      </c>
      <c r="D1178" s="205">
        <v>9133080000000</v>
      </c>
      <c r="E1178" s="205">
        <v>75853525000</v>
      </c>
      <c r="F1178" s="205">
        <v>146143750000</v>
      </c>
      <c r="G1178" s="205">
        <v>943016954700</v>
      </c>
    </row>
    <row r="1179" spans="1:7">
      <c r="A1179" s="2102">
        <v>42640</v>
      </c>
      <c r="B1179" s="211">
        <f t="shared" si="55"/>
        <v>2016</v>
      </c>
      <c r="C1179" s="211">
        <f t="shared" si="56"/>
        <v>9</v>
      </c>
      <c r="D1179" s="205">
        <v>9170820000000</v>
      </c>
      <c r="E1179" s="205">
        <v>75301863000</v>
      </c>
      <c r="F1179" s="205">
        <v>145559175000</v>
      </c>
      <c r="G1179" s="205">
        <v>948621810300</v>
      </c>
    </row>
    <row r="1180" spans="1:7">
      <c r="A1180" s="2102">
        <v>42639</v>
      </c>
      <c r="B1180" s="211">
        <f t="shared" si="55"/>
        <v>2016</v>
      </c>
      <c r="C1180" s="211">
        <f t="shared" si="56"/>
        <v>9</v>
      </c>
      <c r="D1180" s="205">
        <v>9057600000000</v>
      </c>
      <c r="E1180" s="205">
        <v>75163947500</v>
      </c>
      <c r="F1180" s="205">
        <v>145559175000</v>
      </c>
      <c r="G1180" s="205">
        <v>910789035000</v>
      </c>
    </row>
    <row r="1181" spans="1:7">
      <c r="A1181" s="2102">
        <v>42636</v>
      </c>
      <c r="B1181" s="211">
        <f t="shared" si="55"/>
        <v>2016</v>
      </c>
      <c r="C1181" s="211">
        <f t="shared" si="56"/>
        <v>9</v>
      </c>
      <c r="D1181" s="205">
        <v>9000990000000</v>
      </c>
      <c r="E1181" s="205">
        <v>75439778500</v>
      </c>
      <c r="F1181" s="205">
        <v>144828456250</v>
      </c>
      <c r="G1181" s="205">
        <v>916393890600</v>
      </c>
    </row>
    <row r="1182" spans="1:7">
      <c r="A1182" s="2102">
        <v>42635</v>
      </c>
      <c r="B1182" s="211">
        <f t="shared" si="55"/>
        <v>2016</v>
      </c>
      <c r="C1182" s="211">
        <f t="shared" si="56"/>
        <v>9</v>
      </c>
      <c r="D1182" s="205">
        <v>8925510000000</v>
      </c>
      <c r="E1182" s="205">
        <v>75026032000</v>
      </c>
      <c r="F1182" s="205">
        <v>144828456250</v>
      </c>
      <c r="G1182" s="205">
        <v>914992676700</v>
      </c>
    </row>
    <row r="1183" spans="1:7">
      <c r="A1183" s="2102">
        <v>42634</v>
      </c>
      <c r="B1183" s="211">
        <f t="shared" si="55"/>
        <v>2016</v>
      </c>
      <c r="C1183" s="211">
        <f t="shared" si="56"/>
        <v>9</v>
      </c>
      <c r="D1183" s="205">
        <v>9038730000000</v>
      </c>
      <c r="E1183" s="205">
        <v>74750201000</v>
      </c>
      <c r="F1183" s="205">
        <v>144974600000</v>
      </c>
      <c r="G1183" s="205">
        <v>891172040400</v>
      </c>
    </row>
    <row r="1184" spans="1:7">
      <c r="A1184" s="2102">
        <v>42633</v>
      </c>
      <c r="B1184" s="211">
        <f t="shared" si="55"/>
        <v>2016</v>
      </c>
      <c r="C1184" s="211">
        <f t="shared" si="56"/>
        <v>9</v>
      </c>
      <c r="D1184" s="205">
        <v>9142515000000</v>
      </c>
      <c r="E1184" s="205">
        <v>74474370000</v>
      </c>
      <c r="F1184" s="205">
        <v>144828456250</v>
      </c>
      <c r="G1184" s="205">
        <v>885567184800</v>
      </c>
    </row>
    <row r="1185" spans="1:7">
      <c r="A1185" s="2102">
        <v>42632</v>
      </c>
      <c r="B1185" s="211">
        <f t="shared" si="55"/>
        <v>2016</v>
      </c>
      <c r="C1185" s="211">
        <f t="shared" si="56"/>
        <v>9</v>
      </c>
      <c r="D1185" s="205">
        <v>9123645000000</v>
      </c>
      <c r="E1185" s="205">
        <v>74612285500</v>
      </c>
      <c r="F1185" s="205">
        <v>144828456250</v>
      </c>
      <c r="G1185" s="205">
        <v>882764757000</v>
      </c>
    </row>
    <row r="1186" spans="1:7">
      <c r="A1186" s="2102">
        <v>42626</v>
      </c>
      <c r="B1186" s="211">
        <f t="shared" si="55"/>
        <v>2016</v>
      </c>
      <c r="C1186" s="211">
        <f t="shared" si="56"/>
        <v>9</v>
      </c>
      <c r="D1186" s="205">
        <v>9057600000000</v>
      </c>
      <c r="E1186" s="205">
        <v>74198539000</v>
      </c>
      <c r="F1186" s="205">
        <v>144390025000</v>
      </c>
      <c r="G1186" s="205">
        <v>893974468200</v>
      </c>
    </row>
    <row r="1187" spans="1:7">
      <c r="A1187" s="2102">
        <v>42625</v>
      </c>
      <c r="B1187" s="211">
        <f t="shared" si="55"/>
        <v>2016</v>
      </c>
      <c r="C1187" s="211">
        <f t="shared" si="56"/>
        <v>9</v>
      </c>
      <c r="D1187" s="205">
        <v>9123645000000</v>
      </c>
      <c r="E1187" s="205">
        <v>73095215000</v>
      </c>
      <c r="F1187" s="205">
        <v>144097737500</v>
      </c>
      <c r="G1187" s="205">
        <v>888369612600</v>
      </c>
    </row>
    <row r="1188" spans="1:7">
      <c r="A1188" s="2102">
        <v>42622</v>
      </c>
      <c r="B1188" s="211">
        <f t="shared" si="55"/>
        <v>2016</v>
      </c>
      <c r="C1188" s="211">
        <f t="shared" si="56"/>
        <v>9</v>
      </c>
      <c r="D1188" s="205">
        <v>9425565000000</v>
      </c>
      <c r="E1188" s="205">
        <v>73508961500</v>
      </c>
      <c r="F1188" s="205">
        <v>144390025000</v>
      </c>
      <c r="G1188" s="205">
        <v>902381751600</v>
      </c>
    </row>
    <row r="1189" spans="1:7">
      <c r="A1189" s="2102">
        <v>42621</v>
      </c>
      <c r="B1189" s="211">
        <f t="shared" si="55"/>
        <v>2016</v>
      </c>
      <c r="C1189" s="211">
        <f t="shared" si="56"/>
        <v>9</v>
      </c>
      <c r="D1189" s="205">
        <v>9246300000000</v>
      </c>
      <c r="E1189" s="205">
        <v>74474370000</v>
      </c>
      <c r="F1189" s="205">
        <v>145705318750</v>
      </c>
      <c r="G1189" s="205">
        <v>906585393300</v>
      </c>
    </row>
    <row r="1190" spans="1:7">
      <c r="A1190" s="2102">
        <v>42620</v>
      </c>
      <c r="B1190" s="211">
        <f t="shared" si="55"/>
        <v>2016</v>
      </c>
      <c r="C1190" s="211">
        <f t="shared" si="56"/>
        <v>9</v>
      </c>
      <c r="D1190" s="205">
        <v>9585960000000</v>
      </c>
      <c r="E1190" s="205">
        <v>75026032000</v>
      </c>
      <c r="F1190" s="205">
        <v>146143750000</v>
      </c>
      <c r="G1190" s="205">
        <v>923399960100</v>
      </c>
    </row>
    <row r="1191" spans="1:7">
      <c r="A1191" s="2102">
        <v>42619</v>
      </c>
      <c r="B1191" s="211">
        <f t="shared" si="55"/>
        <v>2016</v>
      </c>
      <c r="C1191" s="211">
        <f t="shared" si="56"/>
        <v>9</v>
      </c>
      <c r="D1191" s="205">
        <v>9491610000000</v>
      </c>
      <c r="E1191" s="205">
        <v>74474370000</v>
      </c>
      <c r="F1191" s="205">
        <v>145851462500</v>
      </c>
      <c r="G1191" s="205">
        <v>907986607200</v>
      </c>
    </row>
    <row r="1192" spans="1:7">
      <c r="A1192" s="2102">
        <v>42618</v>
      </c>
      <c r="B1192" s="211">
        <f t="shared" si="55"/>
        <v>2016</v>
      </c>
      <c r="C1192" s="211">
        <f t="shared" si="56"/>
        <v>9</v>
      </c>
      <c r="D1192" s="205">
        <v>9416130000000</v>
      </c>
      <c r="E1192" s="205">
        <v>74750201000</v>
      </c>
      <c r="F1192" s="205">
        <v>145559175000</v>
      </c>
      <c r="G1192" s="205">
        <v>913591462800</v>
      </c>
    </row>
    <row r="1193" spans="1:7">
      <c r="A1193" s="2102">
        <v>42615</v>
      </c>
      <c r="B1193" s="211">
        <f t="shared" si="55"/>
        <v>2016</v>
      </c>
      <c r="C1193" s="211">
        <f t="shared" si="56"/>
        <v>9</v>
      </c>
      <c r="D1193" s="205">
        <v>9265170000000</v>
      </c>
      <c r="E1193" s="205">
        <v>74198539000</v>
      </c>
      <c r="F1193" s="205">
        <v>145851462500</v>
      </c>
      <c r="G1193" s="205">
        <v>888369612600</v>
      </c>
    </row>
    <row r="1194" spans="1:7">
      <c r="A1194" s="2102">
        <v>42614</v>
      </c>
      <c r="B1194" s="211">
        <f t="shared" si="55"/>
        <v>2016</v>
      </c>
      <c r="C1194" s="211">
        <f t="shared" si="56"/>
        <v>9</v>
      </c>
      <c r="D1194" s="205">
        <v>9048165000000</v>
      </c>
      <c r="E1194" s="205">
        <v>74060623500</v>
      </c>
      <c r="F1194" s="205">
        <v>145705318750</v>
      </c>
      <c r="G1194" s="205">
        <v>878561115300</v>
      </c>
    </row>
    <row r="1195" spans="1:7">
      <c r="A1195" s="2102">
        <v>42613</v>
      </c>
      <c r="B1195" s="211">
        <f t="shared" si="55"/>
        <v>2016</v>
      </c>
      <c r="C1195" s="211">
        <f t="shared" si="56"/>
        <v>8</v>
      </c>
      <c r="D1195" s="205">
        <v>9029295000000</v>
      </c>
      <c r="E1195" s="205">
        <v>74474370000</v>
      </c>
      <c r="F1195" s="205">
        <v>146143750000</v>
      </c>
      <c r="G1195" s="205">
        <v>878561115300</v>
      </c>
    </row>
    <row r="1196" spans="1:7">
      <c r="A1196" s="2102">
        <v>42612</v>
      </c>
      <c r="B1196" s="211">
        <f t="shared" si="55"/>
        <v>2016</v>
      </c>
      <c r="C1196" s="211">
        <f t="shared" si="56"/>
        <v>8</v>
      </c>
      <c r="D1196" s="205">
        <v>9331215000000</v>
      </c>
      <c r="E1196" s="205">
        <v>74750201000</v>
      </c>
      <c r="F1196" s="205">
        <v>145851462500</v>
      </c>
      <c r="G1196" s="205">
        <v>888369612600</v>
      </c>
    </row>
    <row r="1197" spans="1:7">
      <c r="A1197" s="2102">
        <v>42611</v>
      </c>
      <c r="B1197" s="211">
        <f t="shared" si="55"/>
        <v>2016</v>
      </c>
      <c r="C1197" s="211">
        <f t="shared" si="56"/>
        <v>8</v>
      </c>
      <c r="D1197" s="205">
        <v>9255735000000</v>
      </c>
      <c r="E1197" s="205">
        <v>74336454500</v>
      </c>
      <c r="F1197" s="205">
        <v>145851462500</v>
      </c>
      <c r="G1197" s="205">
        <v>886968398700</v>
      </c>
    </row>
    <row r="1198" spans="1:7">
      <c r="A1198" s="2102">
        <v>42608</v>
      </c>
      <c r="B1198" s="211">
        <f t="shared" si="55"/>
        <v>2016</v>
      </c>
      <c r="C1198" s="211">
        <f t="shared" si="56"/>
        <v>8</v>
      </c>
      <c r="D1198" s="205">
        <v>9246300000000</v>
      </c>
      <c r="E1198" s="205">
        <v>74750201000</v>
      </c>
      <c r="F1198" s="205">
        <v>146436037500</v>
      </c>
      <c r="G1198" s="205">
        <v>910789035000</v>
      </c>
    </row>
    <row r="1199" spans="1:7">
      <c r="A1199" s="2102">
        <v>42607</v>
      </c>
      <c r="B1199" s="211">
        <f t="shared" si="55"/>
        <v>2016</v>
      </c>
      <c r="C1199" s="211">
        <f t="shared" si="56"/>
        <v>8</v>
      </c>
      <c r="D1199" s="205">
        <v>9170820000000</v>
      </c>
      <c r="E1199" s="205">
        <v>74750201000</v>
      </c>
      <c r="F1199" s="205">
        <v>145997606250</v>
      </c>
      <c r="G1199" s="205">
        <v>907986607200</v>
      </c>
    </row>
    <row r="1200" spans="1:7">
      <c r="A1200" s="2102">
        <v>42606</v>
      </c>
      <c r="B1200" s="211">
        <f t="shared" si="55"/>
        <v>2016</v>
      </c>
      <c r="C1200" s="211">
        <f t="shared" si="56"/>
        <v>8</v>
      </c>
      <c r="D1200" s="205">
        <v>9435000000000</v>
      </c>
      <c r="E1200" s="205">
        <v>74612285500</v>
      </c>
      <c r="F1200" s="205">
        <v>146143750000</v>
      </c>
      <c r="G1200" s="205">
        <v>914992676700</v>
      </c>
    </row>
    <row r="1201" spans="1:7">
      <c r="A1201" s="2102">
        <v>42605</v>
      </c>
      <c r="B1201" s="211">
        <f t="shared" si="55"/>
        <v>2016</v>
      </c>
      <c r="C1201" s="211">
        <f t="shared" si="56"/>
        <v>8</v>
      </c>
      <c r="D1201" s="205">
        <v>9623700000000</v>
      </c>
      <c r="E1201" s="205">
        <v>74750201000</v>
      </c>
      <c r="F1201" s="205">
        <v>146143750000</v>
      </c>
      <c r="G1201" s="205">
        <v>889770826500</v>
      </c>
    </row>
    <row r="1202" spans="1:7">
      <c r="A1202" s="2102">
        <v>42604</v>
      </c>
      <c r="B1202" s="211">
        <f t="shared" si="55"/>
        <v>2016</v>
      </c>
      <c r="C1202" s="211">
        <f t="shared" si="56"/>
        <v>8</v>
      </c>
      <c r="D1202" s="205">
        <v>9340650000000</v>
      </c>
      <c r="E1202" s="205">
        <v>74336454500</v>
      </c>
      <c r="F1202" s="205">
        <v>146436037500</v>
      </c>
      <c r="G1202" s="205">
        <v>905184179400</v>
      </c>
    </row>
    <row r="1203" spans="1:7">
      <c r="A1203" s="2102">
        <v>42601</v>
      </c>
      <c r="B1203" s="211">
        <f t="shared" si="55"/>
        <v>2016</v>
      </c>
      <c r="C1203" s="211">
        <f t="shared" si="56"/>
        <v>8</v>
      </c>
      <c r="D1203" s="205">
        <v>9529350000000</v>
      </c>
      <c r="E1203" s="205">
        <v>74750201000</v>
      </c>
      <c r="F1203" s="205">
        <v>146728325000</v>
      </c>
      <c r="G1203" s="205">
        <v>931807243500</v>
      </c>
    </row>
    <row r="1204" spans="1:7">
      <c r="A1204" s="2102">
        <v>42600</v>
      </c>
      <c r="B1204" s="211">
        <f t="shared" si="55"/>
        <v>2016</v>
      </c>
      <c r="C1204" s="211">
        <f t="shared" si="56"/>
        <v>8</v>
      </c>
      <c r="D1204" s="205">
        <v>9387825000000</v>
      </c>
      <c r="E1204" s="205">
        <v>74198539000</v>
      </c>
      <c r="F1204" s="205">
        <v>147020612500</v>
      </c>
      <c r="G1204" s="205">
        <v>912190248900</v>
      </c>
    </row>
    <row r="1205" spans="1:7">
      <c r="A1205" s="2102">
        <v>42599</v>
      </c>
      <c r="B1205" s="211">
        <f t="shared" si="55"/>
        <v>2016</v>
      </c>
      <c r="C1205" s="211">
        <f t="shared" si="56"/>
        <v>8</v>
      </c>
      <c r="D1205" s="205">
        <v>9567090000000</v>
      </c>
      <c r="E1205" s="205">
        <v>74198539000</v>
      </c>
      <c r="F1205" s="205">
        <v>147020612500</v>
      </c>
      <c r="G1205" s="205">
        <v>921998746200</v>
      </c>
    </row>
    <row r="1206" spans="1:7">
      <c r="A1206" s="2102">
        <v>42598</v>
      </c>
      <c r="B1206" s="211">
        <f t="shared" si="55"/>
        <v>2016</v>
      </c>
      <c r="C1206" s="211">
        <f t="shared" si="56"/>
        <v>8</v>
      </c>
      <c r="D1206" s="205">
        <v>9529350000000</v>
      </c>
      <c r="E1206" s="205">
        <v>73784792500</v>
      </c>
      <c r="F1206" s="205">
        <v>147020612500</v>
      </c>
      <c r="G1206" s="205">
        <v>936010885200</v>
      </c>
    </row>
    <row r="1207" spans="1:7">
      <c r="A1207" s="2102">
        <v>42594</v>
      </c>
      <c r="B1207" s="211">
        <f t="shared" si="55"/>
        <v>2016</v>
      </c>
      <c r="C1207" s="211">
        <f t="shared" si="56"/>
        <v>8</v>
      </c>
      <c r="D1207" s="205">
        <v>9642570000000</v>
      </c>
      <c r="E1207" s="205">
        <v>74612285500</v>
      </c>
      <c r="F1207" s="205">
        <v>147020612500</v>
      </c>
      <c r="G1207" s="205">
        <v>945819382500</v>
      </c>
    </row>
    <row r="1208" spans="1:7">
      <c r="A1208" s="2102">
        <v>42593</v>
      </c>
      <c r="B1208" s="211">
        <f t="shared" si="55"/>
        <v>2016</v>
      </c>
      <c r="C1208" s="211">
        <f t="shared" si="56"/>
        <v>8</v>
      </c>
      <c r="D1208" s="205">
        <v>9793530000000</v>
      </c>
      <c r="E1208" s="205">
        <v>75301863000</v>
      </c>
      <c r="F1208" s="205">
        <v>146436037500</v>
      </c>
      <c r="G1208" s="205">
        <v>916393890600</v>
      </c>
    </row>
    <row r="1209" spans="1:7">
      <c r="A1209" s="2102">
        <v>42592</v>
      </c>
      <c r="B1209" s="211">
        <f t="shared" si="55"/>
        <v>2016</v>
      </c>
      <c r="C1209" s="211">
        <f t="shared" si="56"/>
        <v>8</v>
      </c>
      <c r="D1209" s="205">
        <v>9699180000000</v>
      </c>
      <c r="E1209" s="205">
        <v>75026032000</v>
      </c>
      <c r="F1209" s="205">
        <v>146436037500</v>
      </c>
      <c r="G1209" s="205">
        <v>902381751600</v>
      </c>
    </row>
    <row r="1210" spans="1:7">
      <c r="A1210" s="2102">
        <v>42591</v>
      </c>
      <c r="B1210" s="211">
        <f t="shared" si="55"/>
        <v>2016</v>
      </c>
      <c r="C1210" s="211">
        <f t="shared" si="56"/>
        <v>8</v>
      </c>
      <c r="D1210" s="205">
        <v>9774660000000</v>
      </c>
      <c r="E1210" s="205">
        <v>75439778500</v>
      </c>
      <c r="F1210" s="205">
        <v>146728325000</v>
      </c>
      <c r="G1210" s="205">
        <v>924801174000</v>
      </c>
    </row>
    <row r="1211" spans="1:7">
      <c r="A1211" s="2102">
        <v>42590</v>
      </c>
      <c r="B1211" s="211">
        <f t="shared" si="55"/>
        <v>2016</v>
      </c>
      <c r="C1211" s="211">
        <f t="shared" si="56"/>
        <v>8</v>
      </c>
      <c r="D1211" s="205">
        <v>9680310000000</v>
      </c>
      <c r="E1211" s="205">
        <v>74888116500</v>
      </c>
      <c r="F1211" s="205">
        <v>146143750000</v>
      </c>
      <c r="G1211" s="205">
        <v>888369612600</v>
      </c>
    </row>
    <row r="1212" spans="1:7">
      <c r="A1212" s="2102">
        <v>42587</v>
      </c>
      <c r="B1212" s="211">
        <f t="shared" si="55"/>
        <v>2016</v>
      </c>
      <c r="C1212" s="211">
        <f t="shared" si="56"/>
        <v>8</v>
      </c>
      <c r="D1212" s="205">
        <v>9869010000000</v>
      </c>
      <c r="E1212" s="205">
        <v>74888116500</v>
      </c>
      <c r="F1212" s="205">
        <v>146436037500</v>
      </c>
      <c r="G1212" s="205">
        <v>920597532300</v>
      </c>
    </row>
    <row r="1213" spans="1:7">
      <c r="A1213" s="2102">
        <v>42586</v>
      </c>
      <c r="B1213" s="211">
        <f t="shared" si="55"/>
        <v>2016</v>
      </c>
      <c r="C1213" s="211">
        <f t="shared" si="56"/>
        <v>8</v>
      </c>
      <c r="D1213" s="205">
        <v>9831270000000</v>
      </c>
      <c r="E1213" s="205">
        <v>75715609500</v>
      </c>
      <c r="F1213" s="205">
        <v>146728325000</v>
      </c>
      <c r="G1213" s="205">
        <v>907986607200</v>
      </c>
    </row>
    <row r="1214" spans="1:7">
      <c r="A1214" s="2102">
        <v>42585</v>
      </c>
      <c r="B1214" s="211">
        <f t="shared" si="55"/>
        <v>2016</v>
      </c>
      <c r="C1214" s="211">
        <f t="shared" si="56"/>
        <v>8</v>
      </c>
      <c r="D1214" s="205">
        <v>9850140000000</v>
      </c>
      <c r="E1214" s="205">
        <v>75853525000</v>
      </c>
      <c r="F1214" s="205">
        <v>147605187500</v>
      </c>
      <c r="G1214" s="205">
        <v>909387821100</v>
      </c>
    </row>
    <row r="1215" spans="1:7">
      <c r="A1215" s="2102">
        <v>42584</v>
      </c>
      <c r="B1215" s="211">
        <f t="shared" si="55"/>
        <v>2016</v>
      </c>
      <c r="C1215" s="211">
        <f t="shared" si="56"/>
        <v>8</v>
      </c>
      <c r="D1215" s="205">
        <v>9982230000000</v>
      </c>
      <c r="E1215" s="205">
        <v>75853525000</v>
      </c>
      <c r="F1215" s="205">
        <v>147020612500</v>
      </c>
      <c r="G1215" s="205">
        <v>916393890600</v>
      </c>
    </row>
    <row r="1216" spans="1:7">
      <c r="A1216" s="2102">
        <v>42583</v>
      </c>
      <c r="B1216" s="211">
        <f t="shared" si="55"/>
        <v>2016</v>
      </c>
      <c r="C1216" s="211">
        <f t="shared" si="56"/>
        <v>8</v>
      </c>
      <c r="D1216" s="205">
        <v>9925620000000</v>
      </c>
      <c r="E1216" s="205">
        <v>75991440500</v>
      </c>
      <c r="F1216" s="205">
        <v>145851462500</v>
      </c>
      <c r="G1216" s="205">
        <v>907986607200</v>
      </c>
    </row>
    <row r="1217" spans="1:7">
      <c r="A1217" s="2102">
        <v>42580</v>
      </c>
      <c r="B1217" s="211">
        <f t="shared" si="55"/>
        <v>2016</v>
      </c>
      <c r="C1217" s="211">
        <f t="shared" si="56"/>
        <v>7</v>
      </c>
      <c r="D1217" s="205">
        <v>9604830000000</v>
      </c>
      <c r="E1217" s="205">
        <v>75991440500</v>
      </c>
      <c r="F1217" s="205">
        <v>145997606250</v>
      </c>
      <c r="G1217" s="205">
        <v>870153831900</v>
      </c>
    </row>
    <row r="1218" spans="1:7">
      <c r="A1218" s="2102">
        <v>42579</v>
      </c>
      <c r="B1218" s="211">
        <f t="shared" si="55"/>
        <v>2016</v>
      </c>
      <c r="C1218" s="211">
        <f t="shared" si="56"/>
        <v>7</v>
      </c>
      <c r="D1218" s="205">
        <v>9755790000000</v>
      </c>
      <c r="E1218" s="205">
        <v>76405187000</v>
      </c>
      <c r="F1218" s="205">
        <v>146728325000</v>
      </c>
      <c r="G1218" s="205">
        <v>877159901400</v>
      </c>
    </row>
    <row r="1219" spans="1:7">
      <c r="A1219" s="2102">
        <v>42578</v>
      </c>
      <c r="B1219" s="211">
        <f t="shared" si="55"/>
        <v>2016</v>
      </c>
      <c r="C1219" s="211">
        <f t="shared" si="56"/>
        <v>7</v>
      </c>
      <c r="D1219" s="205">
        <v>9661440000000</v>
      </c>
      <c r="E1219" s="205">
        <v>76681018000</v>
      </c>
      <c r="F1219" s="205">
        <v>146728325000</v>
      </c>
      <c r="G1219" s="205">
        <v>854740479000</v>
      </c>
    </row>
    <row r="1220" spans="1:7">
      <c r="A1220" s="2102">
        <v>42577</v>
      </c>
      <c r="B1220" s="211">
        <f t="shared" si="55"/>
        <v>2016</v>
      </c>
      <c r="C1220" s="211">
        <f t="shared" si="56"/>
        <v>7</v>
      </c>
      <c r="D1220" s="205">
        <v>9793530000000</v>
      </c>
      <c r="E1220" s="205">
        <v>75853525000</v>
      </c>
      <c r="F1220" s="205">
        <v>147020612500</v>
      </c>
      <c r="G1220" s="205">
        <v>858944120700</v>
      </c>
    </row>
    <row r="1221" spans="1:7">
      <c r="A1221" s="2102">
        <v>42576</v>
      </c>
      <c r="B1221" s="211">
        <f t="shared" si="55"/>
        <v>2016</v>
      </c>
      <c r="C1221" s="211">
        <f t="shared" si="56"/>
        <v>7</v>
      </c>
      <c r="D1221" s="205">
        <v>9774660000000</v>
      </c>
      <c r="E1221" s="205">
        <v>75026032000</v>
      </c>
      <c r="F1221" s="205">
        <v>146436037500</v>
      </c>
      <c r="G1221" s="205">
        <v>864548976300</v>
      </c>
    </row>
    <row r="1222" spans="1:7">
      <c r="A1222" s="2102">
        <v>42573</v>
      </c>
      <c r="B1222" s="211">
        <f t="shared" si="55"/>
        <v>2016</v>
      </c>
      <c r="C1222" s="211">
        <f t="shared" si="56"/>
        <v>7</v>
      </c>
      <c r="D1222" s="205">
        <v>9774660000000</v>
      </c>
      <c r="E1222" s="205">
        <v>75577694000</v>
      </c>
      <c r="F1222" s="205">
        <v>146436037500</v>
      </c>
      <c r="G1222" s="205">
        <v>853339265100</v>
      </c>
    </row>
    <row r="1223" spans="1:7">
      <c r="A1223" s="2102">
        <v>42572</v>
      </c>
      <c r="B1223" s="211">
        <f t="shared" si="55"/>
        <v>2016</v>
      </c>
      <c r="C1223" s="211">
        <f t="shared" si="56"/>
        <v>7</v>
      </c>
      <c r="D1223" s="205">
        <v>9944490000000</v>
      </c>
      <c r="E1223" s="205">
        <v>75991440500</v>
      </c>
      <c r="F1223" s="205">
        <v>147020612500</v>
      </c>
      <c r="G1223" s="205">
        <v>849135623400</v>
      </c>
    </row>
    <row r="1224" spans="1:7">
      <c r="A1224" s="2102">
        <v>42571</v>
      </c>
      <c r="B1224" s="211">
        <f t="shared" si="55"/>
        <v>2016</v>
      </c>
      <c r="C1224" s="211">
        <f t="shared" si="56"/>
        <v>7</v>
      </c>
      <c r="D1224" s="205">
        <v>10095450000000</v>
      </c>
      <c r="E1224" s="205">
        <v>75439778500</v>
      </c>
      <c r="F1224" s="205">
        <v>147020612500</v>
      </c>
      <c r="G1224" s="205">
        <v>860345334600</v>
      </c>
    </row>
    <row r="1225" spans="1:7">
      <c r="A1225" s="2102">
        <v>42570</v>
      </c>
      <c r="B1225" s="211">
        <f t="shared" si="55"/>
        <v>2016</v>
      </c>
      <c r="C1225" s="211">
        <f t="shared" si="56"/>
        <v>7</v>
      </c>
      <c r="D1225" s="205">
        <v>10057710000000</v>
      </c>
      <c r="E1225" s="205">
        <v>75577694000</v>
      </c>
      <c r="F1225" s="205">
        <v>146728325000</v>
      </c>
      <c r="G1225" s="205">
        <v>849135623400</v>
      </c>
    </row>
    <row r="1226" spans="1:7">
      <c r="A1226" s="2102">
        <v>42569</v>
      </c>
      <c r="B1226" s="211">
        <f t="shared" ref="B1226:B1289" si="57">YEAR(A1226)</f>
        <v>2016</v>
      </c>
      <c r="C1226" s="211">
        <f t="shared" ref="C1226:C1289" si="58">MONTH(A1226)</f>
        <v>7</v>
      </c>
      <c r="D1226" s="205">
        <v>10265280000000</v>
      </c>
      <c r="E1226" s="205">
        <v>75853525000</v>
      </c>
      <c r="F1226" s="205">
        <v>147020612500</v>
      </c>
      <c r="G1226" s="205">
        <v>871555045800</v>
      </c>
    </row>
    <row r="1227" spans="1:7">
      <c r="A1227" s="2102">
        <v>42566</v>
      </c>
      <c r="B1227" s="211">
        <f t="shared" si="57"/>
        <v>2016</v>
      </c>
      <c r="C1227" s="211">
        <f t="shared" si="58"/>
        <v>7</v>
      </c>
      <c r="D1227" s="205">
        <v>10227540000000</v>
      </c>
      <c r="E1227" s="205">
        <v>76267271500</v>
      </c>
      <c r="F1227" s="205">
        <v>146728325000</v>
      </c>
      <c r="G1227" s="205">
        <v>879962329200</v>
      </c>
    </row>
    <row r="1228" spans="1:7">
      <c r="A1228" s="2102">
        <v>42565</v>
      </c>
      <c r="B1228" s="211">
        <f t="shared" si="57"/>
        <v>2016</v>
      </c>
      <c r="C1228" s="211">
        <f t="shared" si="58"/>
        <v>7</v>
      </c>
      <c r="D1228" s="205">
        <v>10397370000000</v>
      </c>
      <c r="E1228" s="205">
        <v>76267271500</v>
      </c>
      <c r="F1228" s="205">
        <v>146728325000</v>
      </c>
      <c r="G1228" s="205">
        <v>884165970900</v>
      </c>
    </row>
    <row r="1229" spans="1:7">
      <c r="A1229" s="2102">
        <v>42564</v>
      </c>
      <c r="B1229" s="211">
        <f t="shared" si="57"/>
        <v>2016</v>
      </c>
      <c r="C1229" s="211">
        <f t="shared" si="58"/>
        <v>7</v>
      </c>
      <c r="D1229" s="205">
        <v>10548330000000</v>
      </c>
      <c r="E1229" s="205">
        <v>76956849000</v>
      </c>
      <c r="F1229" s="205">
        <v>147312900000</v>
      </c>
      <c r="G1229" s="205">
        <v>891172040400</v>
      </c>
    </row>
    <row r="1230" spans="1:7">
      <c r="A1230" s="2102">
        <v>42563</v>
      </c>
      <c r="B1230" s="211">
        <f t="shared" si="57"/>
        <v>2016</v>
      </c>
      <c r="C1230" s="211">
        <f t="shared" si="58"/>
        <v>7</v>
      </c>
      <c r="D1230" s="205">
        <v>10548330000000</v>
      </c>
      <c r="E1230" s="205">
        <v>77232680000</v>
      </c>
      <c r="F1230" s="205">
        <v>146728325000</v>
      </c>
      <c r="G1230" s="205">
        <v>865950190200</v>
      </c>
    </row>
    <row r="1231" spans="1:7">
      <c r="A1231" s="2102">
        <v>42562</v>
      </c>
      <c r="B1231" s="211">
        <f t="shared" si="57"/>
        <v>2016</v>
      </c>
      <c r="C1231" s="211">
        <f t="shared" si="58"/>
        <v>7</v>
      </c>
      <c r="D1231" s="205">
        <v>10321890000000</v>
      </c>
      <c r="E1231" s="205">
        <v>77094764500</v>
      </c>
      <c r="F1231" s="205">
        <v>147020612500</v>
      </c>
      <c r="G1231" s="205">
        <v>847734409500</v>
      </c>
    </row>
    <row r="1232" spans="1:7">
      <c r="A1232" s="2102">
        <v>42559</v>
      </c>
      <c r="B1232" s="211">
        <f t="shared" si="57"/>
        <v>2016</v>
      </c>
      <c r="C1232" s="211">
        <f t="shared" si="58"/>
        <v>7</v>
      </c>
      <c r="D1232" s="205">
        <v>10076580000000</v>
      </c>
      <c r="E1232" s="205">
        <v>76129356000</v>
      </c>
      <c r="F1232" s="205">
        <v>147605187500</v>
      </c>
      <c r="G1232" s="205">
        <v>830919842700</v>
      </c>
    </row>
    <row r="1233" spans="1:7">
      <c r="A1233" s="2102">
        <v>42558</v>
      </c>
      <c r="B1233" s="211">
        <f t="shared" si="57"/>
        <v>2016</v>
      </c>
      <c r="C1233" s="211">
        <f t="shared" si="58"/>
        <v>7</v>
      </c>
      <c r="D1233" s="205">
        <v>10133190000000</v>
      </c>
      <c r="E1233" s="205">
        <v>76405187000</v>
      </c>
      <c r="F1233" s="205">
        <v>147897475000</v>
      </c>
      <c r="G1233" s="205">
        <v>836524698300</v>
      </c>
    </row>
    <row r="1234" spans="1:7">
      <c r="A1234" s="2102">
        <v>42557</v>
      </c>
      <c r="B1234" s="211">
        <f t="shared" si="57"/>
        <v>2016</v>
      </c>
      <c r="C1234" s="211">
        <f t="shared" si="58"/>
        <v>7</v>
      </c>
      <c r="D1234" s="205">
        <v>9925620000000</v>
      </c>
      <c r="E1234" s="205">
        <v>75163947500</v>
      </c>
      <c r="F1234" s="205">
        <v>146728325000</v>
      </c>
      <c r="G1234" s="205">
        <v>816907703700</v>
      </c>
    </row>
    <row r="1235" spans="1:7">
      <c r="A1235" s="2102">
        <v>42556</v>
      </c>
      <c r="B1235" s="211">
        <f t="shared" si="57"/>
        <v>2016</v>
      </c>
      <c r="C1235" s="211">
        <f t="shared" si="58"/>
        <v>7</v>
      </c>
      <c r="D1235" s="205">
        <v>10057710000000</v>
      </c>
      <c r="E1235" s="205">
        <v>77232680000</v>
      </c>
      <c r="F1235" s="205">
        <v>147020612500</v>
      </c>
      <c r="G1235" s="205">
        <v>832321056600</v>
      </c>
    </row>
    <row r="1236" spans="1:7">
      <c r="A1236" s="2102">
        <v>42555</v>
      </c>
      <c r="B1236" s="211">
        <f t="shared" si="57"/>
        <v>2016</v>
      </c>
      <c r="C1236" s="211">
        <f t="shared" si="58"/>
        <v>7</v>
      </c>
      <c r="D1236" s="205">
        <v>10019970000000</v>
      </c>
      <c r="E1236" s="205">
        <v>77232680000</v>
      </c>
      <c r="F1236" s="205">
        <v>146143750000</v>
      </c>
      <c r="G1236" s="205">
        <v>832321056600</v>
      </c>
    </row>
    <row r="1237" spans="1:7">
      <c r="A1237" s="2102">
        <v>42552</v>
      </c>
      <c r="B1237" s="211">
        <f t="shared" si="57"/>
        <v>2016</v>
      </c>
      <c r="C1237" s="211">
        <f t="shared" si="58"/>
        <v>7</v>
      </c>
      <c r="D1237" s="205">
        <v>9736920000000</v>
      </c>
      <c r="E1237" s="205">
        <v>76405187000</v>
      </c>
      <c r="F1237" s="205">
        <v>146728325000</v>
      </c>
      <c r="G1237" s="205">
        <v>840728340000</v>
      </c>
    </row>
    <row r="1238" spans="1:7">
      <c r="A1238" s="2102">
        <v>42551</v>
      </c>
      <c r="B1238" s="211">
        <f t="shared" si="57"/>
        <v>2016</v>
      </c>
      <c r="C1238" s="211">
        <f t="shared" si="58"/>
        <v>6</v>
      </c>
      <c r="D1238" s="205">
        <v>9585960000000</v>
      </c>
      <c r="E1238" s="205">
        <v>75026032000</v>
      </c>
      <c r="F1238" s="205">
        <v>146728325000</v>
      </c>
      <c r="G1238" s="205">
        <v>816907703700</v>
      </c>
    </row>
    <row r="1239" spans="1:7">
      <c r="A1239" s="2102">
        <v>42550</v>
      </c>
      <c r="B1239" s="211">
        <f t="shared" si="57"/>
        <v>2016</v>
      </c>
      <c r="C1239" s="211">
        <f t="shared" si="58"/>
        <v>6</v>
      </c>
      <c r="D1239" s="205">
        <v>9472740000000</v>
      </c>
      <c r="E1239" s="205">
        <v>75439778500</v>
      </c>
      <c r="F1239" s="205">
        <v>147312900000</v>
      </c>
      <c r="G1239" s="205">
        <v>835123484400</v>
      </c>
    </row>
    <row r="1240" spans="1:7">
      <c r="A1240" s="2102">
        <v>42549</v>
      </c>
      <c r="B1240" s="211">
        <f t="shared" si="57"/>
        <v>2016</v>
      </c>
      <c r="C1240" s="211">
        <f t="shared" si="58"/>
        <v>6</v>
      </c>
      <c r="D1240" s="205">
        <v>9491610000000</v>
      </c>
      <c r="E1240" s="205">
        <v>75577694000</v>
      </c>
      <c r="F1240" s="205">
        <v>147897475000</v>
      </c>
      <c r="G1240" s="205">
        <v>816907703700</v>
      </c>
    </row>
    <row r="1241" spans="1:7">
      <c r="A1241" s="2102">
        <v>42548</v>
      </c>
      <c r="B1241" s="211">
        <f t="shared" si="57"/>
        <v>2016</v>
      </c>
      <c r="C1241" s="211">
        <f t="shared" si="58"/>
        <v>6</v>
      </c>
      <c r="D1241" s="205">
        <v>9585960000000</v>
      </c>
      <c r="E1241" s="205">
        <v>73646877000</v>
      </c>
      <c r="F1241" s="205">
        <v>147897475000</v>
      </c>
      <c r="G1241" s="205">
        <v>819710131500</v>
      </c>
    </row>
    <row r="1242" spans="1:7">
      <c r="A1242" s="2102">
        <v>42545</v>
      </c>
      <c r="B1242" s="211">
        <f t="shared" si="57"/>
        <v>2016</v>
      </c>
      <c r="C1242" s="211">
        <f t="shared" si="58"/>
        <v>6</v>
      </c>
      <c r="D1242" s="205">
        <v>9340650000000</v>
      </c>
      <c r="E1242" s="205">
        <v>73646877000</v>
      </c>
      <c r="F1242" s="205">
        <v>145851462500</v>
      </c>
      <c r="G1242" s="205">
        <v>822512559300</v>
      </c>
    </row>
    <row r="1243" spans="1:7">
      <c r="A1243" s="2102">
        <v>42544</v>
      </c>
      <c r="B1243" s="211">
        <f t="shared" si="57"/>
        <v>2016</v>
      </c>
      <c r="C1243" s="211">
        <f t="shared" si="58"/>
        <v>6</v>
      </c>
      <c r="D1243" s="205">
        <v>9406695000000</v>
      </c>
      <c r="E1243" s="205">
        <v>75301863000</v>
      </c>
      <c r="F1243" s="205">
        <v>148189762500</v>
      </c>
      <c r="G1243" s="205">
        <v>850536837300</v>
      </c>
    </row>
    <row r="1244" spans="1:7">
      <c r="A1244" s="2102">
        <v>42543</v>
      </c>
      <c r="B1244" s="211">
        <f t="shared" si="57"/>
        <v>2016</v>
      </c>
      <c r="C1244" s="211">
        <f t="shared" si="58"/>
        <v>6</v>
      </c>
      <c r="D1244" s="205">
        <v>9359520000000</v>
      </c>
      <c r="E1244" s="205">
        <v>74198539000</v>
      </c>
      <c r="F1244" s="205">
        <v>148482050000</v>
      </c>
      <c r="G1244" s="205">
        <v>850536837300</v>
      </c>
    </row>
    <row r="1245" spans="1:7">
      <c r="A1245" s="2102">
        <v>42542</v>
      </c>
      <c r="B1245" s="211">
        <f t="shared" si="57"/>
        <v>2016</v>
      </c>
      <c r="C1245" s="211">
        <f t="shared" si="58"/>
        <v>6</v>
      </c>
      <c r="D1245" s="205">
        <v>9321780000000</v>
      </c>
      <c r="E1245" s="205">
        <v>73922708000</v>
      </c>
      <c r="F1245" s="205">
        <v>147897475000</v>
      </c>
      <c r="G1245" s="205">
        <v>837925912200</v>
      </c>
    </row>
    <row r="1246" spans="1:7">
      <c r="A1246" s="2102">
        <v>42541</v>
      </c>
      <c r="B1246" s="211">
        <f t="shared" si="57"/>
        <v>2016</v>
      </c>
      <c r="C1246" s="211">
        <f t="shared" si="58"/>
        <v>6</v>
      </c>
      <c r="D1246" s="205">
        <v>9425565000000</v>
      </c>
      <c r="E1246" s="205">
        <v>73784792500</v>
      </c>
      <c r="F1246" s="205">
        <v>149066625000</v>
      </c>
      <c r="G1246" s="205">
        <v>819710131500</v>
      </c>
    </row>
    <row r="1247" spans="1:7">
      <c r="A1247" s="2102">
        <v>42538</v>
      </c>
      <c r="B1247" s="211">
        <f t="shared" si="57"/>
        <v>2016</v>
      </c>
      <c r="C1247" s="211">
        <f t="shared" si="58"/>
        <v>6</v>
      </c>
      <c r="D1247" s="205">
        <v>9208560000000</v>
      </c>
      <c r="E1247" s="205">
        <v>73371046000</v>
      </c>
      <c r="F1247" s="205">
        <v>148774337500</v>
      </c>
      <c r="G1247" s="205">
        <v>802895564700</v>
      </c>
    </row>
    <row r="1248" spans="1:7">
      <c r="A1248" s="2102">
        <v>42537</v>
      </c>
      <c r="B1248" s="211">
        <f t="shared" si="57"/>
        <v>2016</v>
      </c>
      <c r="C1248" s="211">
        <f t="shared" si="58"/>
        <v>6</v>
      </c>
      <c r="D1248" s="205">
        <v>9189690000000</v>
      </c>
      <c r="E1248" s="205">
        <v>73784792500</v>
      </c>
      <c r="F1248" s="205">
        <v>148774337500</v>
      </c>
      <c r="G1248" s="205">
        <v>811302848100</v>
      </c>
    </row>
    <row r="1249" spans="1:7">
      <c r="A1249" s="2102">
        <v>42536</v>
      </c>
      <c r="B1249" s="211">
        <f t="shared" si="57"/>
        <v>2016</v>
      </c>
      <c r="C1249" s="211">
        <f t="shared" si="58"/>
        <v>6</v>
      </c>
      <c r="D1249" s="205">
        <v>9170820000000</v>
      </c>
      <c r="E1249" s="205">
        <v>73646877000</v>
      </c>
      <c r="F1249" s="205">
        <v>149066625000</v>
      </c>
      <c r="G1249" s="205">
        <v>821111345400</v>
      </c>
    </row>
    <row r="1250" spans="1:7">
      <c r="A1250" s="2102">
        <v>42535</v>
      </c>
      <c r="B1250" s="211">
        <f t="shared" si="57"/>
        <v>2016</v>
      </c>
      <c r="C1250" s="211">
        <f t="shared" si="58"/>
        <v>6</v>
      </c>
      <c r="D1250" s="205">
        <v>9265170000000</v>
      </c>
      <c r="E1250" s="205">
        <v>73508961500</v>
      </c>
      <c r="F1250" s="205">
        <v>149066625000</v>
      </c>
      <c r="G1250" s="205">
        <v>814105275900</v>
      </c>
    </row>
    <row r="1251" spans="1:7">
      <c r="A1251" s="2102">
        <v>42534</v>
      </c>
      <c r="B1251" s="211">
        <f t="shared" si="57"/>
        <v>2016</v>
      </c>
      <c r="C1251" s="211">
        <f t="shared" si="58"/>
        <v>6</v>
      </c>
      <c r="D1251" s="205">
        <v>9312345000000</v>
      </c>
      <c r="E1251" s="205">
        <v>73371046000</v>
      </c>
      <c r="F1251" s="205">
        <v>149066625000</v>
      </c>
      <c r="G1251" s="205">
        <v>843530767800</v>
      </c>
    </row>
    <row r="1252" spans="1:7">
      <c r="A1252" s="2102">
        <v>42531</v>
      </c>
      <c r="B1252" s="211">
        <f t="shared" si="57"/>
        <v>2016</v>
      </c>
      <c r="C1252" s="211">
        <f t="shared" si="58"/>
        <v>6</v>
      </c>
      <c r="D1252" s="205">
        <v>9284040000000</v>
      </c>
      <c r="E1252" s="205">
        <v>73646877000</v>
      </c>
      <c r="F1252" s="205">
        <v>148774337500</v>
      </c>
      <c r="G1252" s="205">
        <v>843530767800</v>
      </c>
    </row>
    <row r="1253" spans="1:7">
      <c r="A1253" s="2102">
        <v>42530</v>
      </c>
      <c r="B1253" s="211">
        <f t="shared" si="57"/>
        <v>2016</v>
      </c>
      <c r="C1253" s="211">
        <f t="shared" si="58"/>
        <v>6</v>
      </c>
      <c r="D1253" s="205">
        <v>9378390000000</v>
      </c>
      <c r="E1253" s="205">
        <v>73922708000</v>
      </c>
      <c r="F1253" s="205">
        <v>151404925000</v>
      </c>
      <c r="G1253" s="205">
        <v>826716201000</v>
      </c>
    </row>
    <row r="1254" spans="1:7">
      <c r="A1254" s="2102">
        <v>42529</v>
      </c>
      <c r="B1254" s="211">
        <f t="shared" si="57"/>
        <v>2016</v>
      </c>
      <c r="C1254" s="211">
        <f t="shared" si="58"/>
        <v>6</v>
      </c>
      <c r="D1254" s="205">
        <v>9321780000000</v>
      </c>
      <c r="E1254" s="205">
        <v>73784792500</v>
      </c>
      <c r="F1254" s="205">
        <v>151112637500</v>
      </c>
      <c r="G1254" s="205">
        <v>846333195600</v>
      </c>
    </row>
    <row r="1255" spans="1:7">
      <c r="A1255" s="2102">
        <v>42528</v>
      </c>
      <c r="B1255" s="211">
        <f t="shared" si="57"/>
        <v>2016</v>
      </c>
      <c r="C1255" s="211">
        <f t="shared" si="58"/>
        <v>6</v>
      </c>
      <c r="D1255" s="205">
        <v>9321780000000</v>
      </c>
      <c r="E1255" s="205">
        <v>73233130500</v>
      </c>
      <c r="F1255" s="205">
        <v>150235775000</v>
      </c>
      <c r="G1255" s="205">
        <v>837925912200</v>
      </c>
    </row>
    <row r="1256" spans="1:7">
      <c r="A1256" s="2102">
        <v>42524</v>
      </c>
      <c r="B1256" s="211">
        <f t="shared" si="57"/>
        <v>2016</v>
      </c>
      <c r="C1256" s="211">
        <f t="shared" si="58"/>
        <v>6</v>
      </c>
      <c r="D1256" s="205">
        <v>9010425000000</v>
      </c>
      <c r="E1256" s="205">
        <v>73371046000</v>
      </c>
      <c r="F1256" s="205">
        <v>150528062500</v>
      </c>
      <c r="G1256" s="205">
        <v>811302848100</v>
      </c>
    </row>
    <row r="1257" spans="1:7">
      <c r="A1257" s="2102">
        <v>42523</v>
      </c>
      <c r="B1257" s="211">
        <f t="shared" si="57"/>
        <v>2016</v>
      </c>
      <c r="C1257" s="211">
        <f t="shared" si="58"/>
        <v>6</v>
      </c>
      <c r="D1257" s="205">
        <v>9010425000000</v>
      </c>
      <c r="E1257" s="205">
        <v>73233130500</v>
      </c>
      <c r="F1257" s="205">
        <v>149943487500</v>
      </c>
      <c r="G1257" s="205">
        <v>822512559300</v>
      </c>
    </row>
    <row r="1258" spans="1:7">
      <c r="A1258" s="2102">
        <v>42522</v>
      </c>
      <c r="B1258" s="211">
        <f t="shared" si="57"/>
        <v>2016</v>
      </c>
      <c r="C1258" s="211">
        <f t="shared" si="58"/>
        <v>6</v>
      </c>
      <c r="D1258" s="205">
        <v>8934945000000</v>
      </c>
      <c r="E1258" s="205">
        <v>72681468500</v>
      </c>
      <c r="F1258" s="205">
        <v>149943487500</v>
      </c>
      <c r="G1258" s="205">
        <v>823913773200</v>
      </c>
    </row>
    <row r="1259" spans="1:7">
      <c r="A1259" s="2102">
        <v>42521</v>
      </c>
      <c r="B1259" s="211">
        <f t="shared" si="57"/>
        <v>2016</v>
      </c>
      <c r="C1259" s="211">
        <f t="shared" si="58"/>
        <v>5</v>
      </c>
      <c r="D1259" s="205">
        <v>8859465000000</v>
      </c>
      <c r="E1259" s="205">
        <v>72681468500</v>
      </c>
      <c r="F1259" s="205">
        <v>149651200000</v>
      </c>
      <c r="G1259" s="205">
        <v>836524698300</v>
      </c>
    </row>
    <row r="1260" spans="1:7">
      <c r="A1260" s="2102">
        <v>42520</v>
      </c>
      <c r="B1260" s="211">
        <f t="shared" si="57"/>
        <v>2016</v>
      </c>
      <c r="C1260" s="211">
        <f t="shared" si="58"/>
        <v>5</v>
      </c>
      <c r="D1260" s="205">
        <v>8925510000000</v>
      </c>
      <c r="E1260" s="205">
        <v>72819384000</v>
      </c>
      <c r="F1260" s="205">
        <v>149358912500</v>
      </c>
      <c r="G1260" s="205">
        <v>839327126100</v>
      </c>
    </row>
    <row r="1261" spans="1:7">
      <c r="A1261" s="2102">
        <v>42517</v>
      </c>
      <c r="B1261" s="211">
        <f t="shared" si="57"/>
        <v>2016</v>
      </c>
      <c r="C1261" s="211">
        <f t="shared" si="58"/>
        <v>5</v>
      </c>
      <c r="D1261" s="205">
        <v>9067035000000</v>
      </c>
      <c r="E1261" s="205">
        <v>72681468500</v>
      </c>
      <c r="F1261" s="205">
        <v>149651200000</v>
      </c>
      <c r="G1261" s="205">
        <v>864548976300</v>
      </c>
    </row>
    <row r="1262" spans="1:7">
      <c r="A1262" s="2102">
        <v>42516</v>
      </c>
      <c r="B1262" s="211">
        <f t="shared" si="57"/>
        <v>2016</v>
      </c>
      <c r="C1262" s="211">
        <f t="shared" si="58"/>
        <v>5</v>
      </c>
      <c r="D1262" s="205">
        <v>8934945000000</v>
      </c>
      <c r="E1262" s="205">
        <v>72681468500</v>
      </c>
      <c r="F1262" s="205">
        <v>148189762500</v>
      </c>
      <c r="G1262" s="205">
        <v>847734409500</v>
      </c>
    </row>
    <row r="1263" spans="1:7">
      <c r="A1263" s="2102">
        <v>42515</v>
      </c>
      <c r="B1263" s="211">
        <f t="shared" si="57"/>
        <v>2016</v>
      </c>
      <c r="C1263" s="211">
        <f t="shared" si="58"/>
        <v>5</v>
      </c>
      <c r="D1263" s="205">
        <v>9000990000000</v>
      </c>
      <c r="E1263" s="205">
        <v>72681468500</v>
      </c>
      <c r="F1263" s="205">
        <v>147605187500</v>
      </c>
      <c r="G1263" s="205">
        <v>840728340000</v>
      </c>
    </row>
    <row r="1264" spans="1:7">
      <c r="A1264" s="2102">
        <v>42514</v>
      </c>
      <c r="B1264" s="211">
        <f t="shared" si="57"/>
        <v>2016</v>
      </c>
      <c r="C1264" s="211">
        <f t="shared" si="58"/>
        <v>5</v>
      </c>
      <c r="D1264" s="205">
        <v>8963250000000</v>
      </c>
      <c r="E1264" s="205">
        <v>73508961500</v>
      </c>
      <c r="F1264" s="205">
        <v>147312900000</v>
      </c>
      <c r="G1264" s="205">
        <v>833722270500</v>
      </c>
    </row>
    <row r="1265" spans="1:7">
      <c r="A1265" s="2102">
        <v>42513</v>
      </c>
      <c r="B1265" s="211">
        <f t="shared" si="57"/>
        <v>2016</v>
      </c>
      <c r="C1265" s="211">
        <f t="shared" si="58"/>
        <v>5</v>
      </c>
      <c r="D1265" s="205">
        <v>9067035000000</v>
      </c>
      <c r="E1265" s="205">
        <v>73784792500</v>
      </c>
      <c r="F1265" s="205">
        <v>147605187500</v>
      </c>
      <c r="G1265" s="205">
        <v>816907703700</v>
      </c>
    </row>
    <row r="1266" spans="1:7">
      <c r="A1266" s="2102">
        <v>42510</v>
      </c>
      <c r="B1266" s="211">
        <f t="shared" si="57"/>
        <v>2016</v>
      </c>
      <c r="C1266" s="211">
        <f t="shared" si="58"/>
        <v>5</v>
      </c>
      <c r="D1266" s="205">
        <v>8916075000000</v>
      </c>
      <c r="E1266" s="205">
        <v>74612285500</v>
      </c>
      <c r="F1266" s="205">
        <v>147312900000</v>
      </c>
      <c r="G1266" s="205">
        <v>818308917600</v>
      </c>
    </row>
    <row r="1267" spans="1:7">
      <c r="A1267" s="2102">
        <v>42509</v>
      </c>
      <c r="B1267" s="211">
        <f t="shared" si="57"/>
        <v>2016</v>
      </c>
      <c r="C1267" s="211">
        <f t="shared" si="58"/>
        <v>5</v>
      </c>
      <c r="D1267" s="205">
        <v>9000990000000</v>
      </c>
      <c r="E1267" s="205">
        <v>73095215000</v>
      </c>
      <c r="F1267" s="205">
        <v>147605187500</v>
      </c>
      <c r="G1267" s="205">
        <v>844931981700</v>
      </c>
    </row>
    <row r="1268" spans="1:7">
      <c r="A1268" s="2102">
        <v>42508</v>
      </c>
      <c r="B1268" s="211">
        <f t="shared" si="57"/>
        <v>2016</v>
      </c>
      <c r="C1268" s="211">
        <f t="shared" si="58"/>
        <v>5</v>
      </c>
      <c r="D1268" s="205">
        <v>9236865000000</v>
      </c>
      <c r="E1268" s="205">
        <v>74060623500</v>
      </c>
      <c r="F1268" s="205">
        <v>148482050000</v>
      </c>
      <c r="G1268" s="205">
        <v>847734409500</v>
      </c>
    </row>
    <row r="1269" spans="1:7">
      <c r="A1269" s="2102">
        <v>42507</v>
      </c>
      <c r="B1269" s="211">
        <f t="shared" si="57"/>
        <v>2016</v>
      </c>
      <c r="C1269" s="211">
        <f t="shared" si="58"/>
        <v>5</v>
      </c>
      <c r="D1269" s="205">
        <v>9368955000000</v>
      </c>
      <c r="E1269" s="205">
        <v>73646877000</v>
      </c>
      <c r="F1269" s="205">
        <v>148774337500</v>
      </c>
      <c r="G1269" s="205">
        <v>849135623400</v>
      </c>
    </row>
    <row r="1270" spans="1:7">
      <c r="A1270" s="2102">
        <v>42506</v>
      </c>
      <c r="B1270" s="211">
        <f t="shared" si="57"/>
        <v>2016</v>
      </c>
      <c r="C1270" s="211">
        <f t="shared" si="58"/>
        <v>5</v>
      </c>
      <c r="D1270" s="205">
        <v>9151950000000</v>
      </c>
      <c r="E1270" s="205">
        <v>73922708000</v>
      </c>
      <c r="F1270" s="205">
        <v>149066625000</v>
      </c>
      <c r="G1270" s="205">
        <v>839327126100</v>
      </c>
    </row>
    <row r="1271" spans="1:7">
      <c r="A1271" s="2102">
        <v>42503</v>
      </c>
      <c r="B1271" s="211">
        <f t="shared" si="57"/>
        <v>2016</v>
      </c>
      <c r="C1271" s="211">
        <f t="shared" si="58"/>
        <v>5</v>
      </c>
      <c r="D1271" s="205">
        <v>9123645000000</v>
      </c>
      <c r="E1271" s="205">
        <v>73646877000</v>
      </c>
      <c r="F1271" s="205">
        <v>149358912500</v>
      </c>
      <c r="G1271" s="205">
        <v>860345334600</v>
      </c>
    </row>
    <row r="1272" spans="1:7">
      <c r="A1272" s="2102">
        <v>42502</v>
      </c>
      <c r="B1272" s="211">
        <f t="shared" si="57"/>
        <v>2016</v>
      </c>
      <c r="C1272" s="211">
        <f t="shared" si="58"/>
        <v>5</v>
      </c>
      <c r="D1272" s="205">
        <v>9199125000000</v>
      </c>
      <c r="E1272" s="205">
        <v>73646877000</v>
      </c>
      <c r="F1272" s="205">
        <v>149358912500</v>
      </c>
      <c r="G1272" s="205">
        <v>851938051200</v>
      </c>
    </row>
    <row r="1273" spans="1:7">
      <c r="A1273" s="2102">
        <v>42501</v>
      </c>
      <c r="B1273" s="211">
        <f t="shared" si="57"/>
        <v>2016</v>
      </c>
      <c r="C1273" s="211">
        <f t="shared" si="58"/>
        <v>5</v>
      </c>
      <c r="D1273" s="205">
        <v>9057600000000</v>
      </c>
      <c r="E1273" s="205">
        <v>72543553000</v>
      </c>
      <c r="F1273" s="205">
        <v>149358912500</v>
      </c>
      <c r="G1273" s="205">
        <v>856141692900</v>
      </c>
    </row>
    <row r="1274" spans="1:7">
      <c r="A1274" s="2102">
        <v>42500</v>
      </c>
      <c r="B1274" s="211">
        <f t="shared" si="57"/>
        <v>2016</v>
      </c>
      <c r="C1274" s="211">
        <f t="shared" si="58"/>
        <v>5</v>
      </c>
      <c r="D1274" s="205">
        <v>9217995000000</v>
      </c>
      <c r="E1274" s="205">
        <v>72543553000</v>
      </c>
      <c r="F1274" s="205">
        <v>149066625000</v>
      </c>
      <c r="G1274" s="205">
        <v>842129553900</v>
      </c>
    </row>
    <row r="1275" spans="1:7">
      <c r="A1275" s="2102">
        <v>42499</v>
      </c>
      <c r="B1275" s="211">
        <f t="shared" si="57"/>
        <v>2016</v>
      </c>
      <c r="C1275" s="211">
        <f t="shared" si="58"/>
        <v>5</v>
      </c>
      <c r="D1275" s="205">
        <v>9529350000000</v>
      </c>
      <c r="E1275" s="205">
        <v>72405637500</v>
      </c>
      <c r="F1275" s="205">
        <v>149651200000</v>
      </c>
      <c r="G1275" s="205">
        <v>882764757000</v>
      </c>
    </row>
    <row r="1276" spans="1:7">
      <c r="A1276" s="2102">
        <v>42494</v>
      </c>
      <c r="B1276" s="211">
        <f t="shared" si="57"/>
        <v>2016</v>
      </c>
      <c r="C1276" s="211">
        <f t="shared" si="58"/>
        <v>5</v>
      </c>
      <c r="D1276" s="205">
        <v>9142515000000</v>
      </c>
      <c r="E1276" s="205">
        <v>72405637500</v>
      </c>
      <c r="F1276" s="205">
        <v>150235775000</v>
      </c>
      <c r="G1276" s="205">
        <v>872956259700</v>
      </c>
    </row>
    <row r="1277" spans="1:7">
      <c r="A1277" s="2102">
        <v>42493</v>
      </c>
      <c r="B1277" s="211">
        <f t="shared" si="57"/>
        <v>2016</v>
      </c>
      <c r="C1277" s="211">
        <f t="shared" si="58"/>
        <v>5</v>
      </c>
      <c r="D1277" s="205">
        <v>9359520000000</v>
      </c>
      <c r="E1277" s="205">
        <v>72405637500</v>
      </c>
      <c r="F1277" s="205">
        <v>153158650000</v>
      </c>
      <c r="G1277" s="205">
        <v>896776896000</v>
      </c>
    </row>
    <row r="1278" spans="1:7">
      <c r="A1278" s="2102">
        <v>42492</v>
      </c>
      <c r="B1278" s="211">
        <f t="shared" si="57"/>
        <v>2016</v>
      </c>
      <c r="C1278" s="211">
        <f t="shared" si="58"/>
        <v>5</v>
      </c>
      <c r="D1278" s="205">
        <v>9378390000000</v>
      </c>
      <c r="E1278" s="205">
        <v>72405637500</v>
      </c>
      <c r="F1278" s="205">
        <v>149943487500</v>
      </c>
      <c r="G1278" s="205">
        <v>891172040400</v>
      </c>
    </row>
    <row r="1279" spans="1:7">
      <c r="A1279" s="2102">
        <v>42489</v>
      </c>
      <c r="B1279" s="211">
        <f t="shared" si="57"/>
        <v>2016</v>
      </c>
      <c r="C1279" s="211">
        <f t="shared" si="58"/>
        <v>4</v>
      </c>
      <c r="D1279" s="205">
        <v>9350085000000</v>
      </c>
      <c r="E1279" s="205">
        <v>72267722000</v>
      </c>
      <c r="F1279" s="205">
        <v>151404925000</v>
      </c>
      <c r="G1279" s="205">
        <v>892573254300</v>
      </c>
    </row>
    <row r="1280" spans="1:7">
      <c r="A1280" s="2102">
        <v>42488</v>
      </c>
      <c r="B1280" s="211">
        <f t="shared" si="57"/>
        <v>2016</v>
      </c>
      <c r="C1280" s="211">
        <f t="shared" si="58"/>
        <v>4</v>
      </c>
      <c r="D1280" s="205">
        <v>9312345000000</v>
      </c>
      <c r="E1280" s="205">
        <v>72681468500</v>
      </c>
      <c r="F1280" s="205">
        <v>151697212500</v>
      </c>
      <c r="G1280" s="205">
        <v>879962329200</v>
      </c>
    </row>
    <row r="1281" spans="1:7">
      <c r="A1281" s="2102">
        <v>42487</v>
      </c>
      <c r="B1281" s="211">
        <f t="shared" si="57"/>
        <v>2016</v>
      </c>
      <c r="C1281" s="211">
        <f t="shared" si="58"/>
        <v>4</v>
      </c>
      <c r="D1281" s="205">
        <v>9331215000000</v>
      </c>
      <c r="E1281" s="205">
        <v>72543553000</v>
      </c>
      <c r="F1281" s="205">
        <v>151404925000</v>
      </c>
      <c r="G1281" s="205">
        <v>865950190200</v>
      </c>
    </row>
    <row r="1282" spans="1:7">
      <c r="A1282" s="2102">
        <v>42486</v>
      </c>
      <c r="B1282" s="211">
        <f t="shared" si="57"/>
        <v>2016</v>
      </c>
      <c r="C1282" s="211">
        <f t="shared" si="58"/>
        <v>4</v>
      </c>
      <c r="D1282" s="205">
        <v>9321780000000</v>
      </c>
      <c r="E1282" s="205">
        <v>72267722000</v>
      </c>
      <c r="F1282" s="205">
        <v>151989500000</v>
      </c>
      <c r="G1282" s="205">
        <v>860345334600</v>
      </c>
    </row>
    <row r="1283" spans="1:7">
      <c r="A1283" s="2102">
        <v>42485</v>
      </c>
      <c r="B1283" s="211">
        <f t="shared" si="57"/>
        <v>2016</v>
      </c>
      <c r="C1283" s="211">
        <f t="shared" si="58"/>
        <v>4</v>
      </c>
      <c r="D1283" s="205">
        <v>9416130000000</v>
      </c>
      <c r="E1283" s="205">
        <v>72957299500</v>
      </c>
      <c r="F1283" s="205">
        <v>151404925000</v>
      </c>
      <c r="G1283" s="205">
        <v>860345334600</v>
      </c>
    </row>
    <row r="1284" spans="1:7">
      <c r="A1284" s="2102">
        <v>42482</v>
      </c>
      <c r="B1284" s="211">
        <f t="shared" si="57"/>
        <v>2016</v>
      </c>
      <c r="C1284" s="211">
        <f t="shared" si="58"/>
        <v>4</v>
      </c>
      <c r="D1284" s="205">
        <v>9453870000000</v>
      </c>
      <c r="E1284" s="205">
        <v>73233130500</v>
      </c>
      <c r="F1284" s="205">
        <v>151989500000</v>
      </c>
      <c r="G1284" s="205">
        <v>861746548500</v>
      </c>
    </row>
    <row r="1285" spans="1:7">
      <c r="A1285" s="2102">
        <v>42481</v>
      </c>
      <c r="B1285" s="211">
        <f t="shared" si="57"/>
        <v>2016</v>
      </c>
      <c r="C1285" s="211">
        <f t="shared" si="58"/>
        <v>4</v>
      </c>
      <c r="D1285" s="205">
        <v>9548220000000</v>
      </c>
      <c r="E1285" s="205">
        <v>72405637500</v>
      </c>
      <c r="F1285" s="205">
        <v>152866362500</v>
      </c>
      <c r="G1285" s="205">
        <v>884165970900</v>
      </c>
    </row>
    <row r="1286" spans="1:7">
      <c r="A1286" s="2102">
        <v>42480</v>
      </c>
      <c r="B1286" s="211">
        <f t="shared" si="57"/>
        <v>2016</v>
      </c>
      <c r="C1286" s="211">
        <f t="shared" si="58"/>
        <v>4</v>
      </c>
      <c r="D1286" s="205">
        <v>9548220000000</v>
      </c>
      <c r="E1286" s="205">
        <v>72543553000</v>
      </c>
      <c r="F1286" s="205">
        <v>152281787500</v>
      </c>
      <c r="G1286" s="205">
        <v>875758687500</v>
      </c>
    </row>
    <row r="1287" spans="1:7">
      <c r="A1287" s="2102">
        <v>42479</v>
      </c>
      <c r="B1287" s="211">
        <f t="shared" si="57"/>
        <v>2016</v>
      </c>
      <c r="C1287" s="211">
        <f t="shared" si="58"/>
        <v>4</v>
      </c>
      <c r="D1287" s="205">
        <v>9491610000000</v>
      </c>
      <c r="E1287" s="205">
        <v>72405637500</v>
      </c>
      <c r="F1287" s="205">
        <v>152574075000</v>
      </c>
      <c r="G1287" s="205">
        <v>877159901400</v>
      </c>
    </row>
    <row r="1288" spans="1:7">
      <c r="A1288" s="2102">
        <v>42478</v>
      </c>
      <c r="B1288" s="211">
        <f t="shared" si="57"/>
        <v>2016</v>
      </c>
      <c r="C1288" s="211">
        <f t="shared" si="58"/>
        <v>4</v>
      </c>
      <c r="D1288" s="205">
        <v>9387825000000</v>
      </c>
      <c r="E1288" s="205">
        <v>72543553000</v>
      </c>
      <c r="F1288" s="205">
        <v>152574075000</v>
      </c>
      <c r="G1288" s="205">
        <v>863147762400</v>
      </c>
    </row>
    <row r="1289" spans="1:7">
      <c r="A1289" s="2102">
        <v>42475</v>
      </c>
      <c r="B1289" s="211">
        <f t="shared" si="57"/>
        <v>2016</v>
      </c>
      <c r="C1289" s="211">
        <f t="shared" si="58"/>
        <v>4</v>
      </c>
      <c r="D1289" s="205">
        <v>9425565000000</v>
      </c>
      <c r="E1289" s="205">
        <v>72543553000</v>
      </c>
      <c r="F1289" s="205">
        <v>152574075000</v>
      </c>
      <c r="G1289" s="205">
        <v>864548976300</v>
      </c>
    </row>
    <row r="1290" spans="1:7">
      <c r="A1290" s="2102">
        <v>42474</v>
      </c>
      <c r="B1290" s="211">
        <f t="shared" ref="B1290:B1353" si="59">YEAR(A1290)</f>
        <v>2016</v>
      </c>
      <c r="C1290" s="211">
        <f t="shared" ref="C1290:C1353" si="60">MONTH(A1290)</f>
        <v>4</v>
      </c>
      <c r="D1290" s="205">
        <v>9472740000000</v>
      </c>
      <c r="E1290" s="205">
        <v>72819384000</v>
      </c>
      <c r="F1290" s="205">
        <v>152574075000</v>
      </c>
      <c r="G1290" s="205">
        <v>861746548500</v>
      </c>
    </row>
    <row r="1291" spans="1:7">
      <c r="A1291" s="2102">
        <v>42472</v>
      </c>
      <c r="B1291" s="211">
        <f t="shared" si="59"/>
        <v>2016</v>
      </c>
      <c r="C1291" s="211">
        <f t="shared" si="60"/>
        <v>4</v>
      </c>
      <c r="D1291" s="205">
        <v>9246300000000</v>
      </c>
      <c r="E1291" s="205">
        <v>72405637500</v>
      </c>
      <c r="F1291" s="205">
        <v>152281787500</v>
      </c>
      <c r="G1291" s="205">
        <v>850536837300</v>
      </c>
    </row>
    <row r="1292" spans="1:7">
      <c r="A1292" s="2102">
        <v>42471</v>
      </c>
      <c r="B1292" s="211">
        <f t="shared" si="59"/>
        <v>2016</v>
      </c>
      <c r="C1292" s="211">
        <f t="shared" si="60"/>
        <v>4</v>
      </c>
      <c r="D1292" s="205">
        <v>9048165000000</v>
      </c>
      <c r="E1292" s="205">
        <v>72819384000</v>
      </c>
      <c r="F1292" s="205">
        <v>153158650000</v>
      </c>
      <c r="G1292" s="205">
        <v>861746548500</v>
      </c>
    </row>
    <row r="1293" spans="1:7">
      <c r="A1293" s="2102">
        <v>42468</v>
      </c>
      <c r="B1293" s="211">
        <f t="shared" si="59"/>
        <v>2016</v>
      </c>
      <c r="C1293" s="211">
        <f t="shared" si="60"/>
        <v>4</v>
      </c>
      <c r="D1293" s="205">
        <v>8906640000000</v>
      </c>
      <c r="E1293" s="205">
        <v>73371046000</v>
      </c>
      <c r="F1293" s="205">
        <v>152574075000</v>
      </c>
      <c r="G1293" s="205">
        <v>850536837300</v>
      </c>
    </row>
    <row r="1294" spans="1:7">
      <c r="A1294" s="2102">
        <v>42467</v>
      </c>
      <c r="B1294" s="211">
        <f t="shared" si="59"/>
        <v>2016</v>
      </c>
      <c r="C1294" s="211">
        <f t="shared" si="60"/>
        <v>4</v>
      </c>
      <c r="D1294" s="205">
        <v>8944380000000</v>
      </c>
      <c r="E1294" s="205">
        <v>71991891000</v>
      </c>
      <c r="F1294" s="205">
        <v>152866362500</v>
      </c>
      <c r="G1294" s="205">
        <v>843530767800</v>
      </c>
    </row>
    <row r="1295" spans="1:7">
      <c r="A1295" s="2102">
        <v>42466</v>
      </c>
      <c r="B1295" s="211">
        <f t="shared" si="59"/>
        <v>2016</v>
      </c>
      <c r="C1295" s="211">
        <f t="shared" si="60"/>
        <v>4</v>
      </c>
      <c r="D1295" s="205">
        <v>8953815000000</v>
      </c>
      <c r="E1295" s="205">
        <v>72129806500</v>
      </c>
      <c r="F1295" s="205">
        <v>152866362500</v>
      </c>
      <c r="G1295" s="205">
        <v>853339265100</v>
      </c>
    </row>
    <row r="1296" spans="1:7">
      <c r="A1296" s="2102">
        <v>42465</v>
      </c>
      <c r="B1296" s="211">
        <f t="shared" si="59"/>
        <v>2016</v>
      </c>
      <c r="C1296" s="211">
        <f t="shared" si="60"/>
        <v>4</v>
      </c>
      <c r="D1296" s="205">
        <v>8897205000000</v>
      </c>
      <c r="E1296" s="205">
        <v>71991891000</v>
      </c>
      <c r="F1296" s="205">
        <v>151989500000</v>
      </c>
      <c r="G1296" s="205">
        <v>823913773200</v>
      </c>
    </row>
    <row r="1297" spans="1:7">
      <c r="A1297" s="2102">
        <v>42464</v>
      </c>
      <c r="B1297" s="211">
        <f t="shared" si="59"/>
        <v>2016</v>
      </c>
      <c r="C1297" s="211">
        <f t="shared" si="60"/>
        <v>4</v>
      </c>
      <c r="D1297" s="205">
        <v>8897205000000</v>
      </c>
      <c r="E1297" s="205">
        <v>71026482500</v>
      </c>
      <c r="F1297" s="205">
        <v>152866362500</v>
      </c>
      <c r="G1297" s="205">
        <v>809901634200</v>
      </c>
    </row>
    <row r="1298" spans="1:7">
      <c r="A1298" s="2102">
        <v>42461</v>
      </c>
      <c r="B1298" s="211">
        <f t="shared" si="59"/>
        <v>2016</v>
      </c>
      <c r="C1298" s="211">
        <f t="shared" si="60"/>
        <v>4</v>
      </c>
      <c r="D1298" s="205">
        <v>8934945000000</v>
      </c>
      <c r="E1298" s="205">
        <v>71026482500</v>
      </c>
      <c r="F1298" s="205">
        <v>153158650000</v>
      </c>
      <c r="G1298" s="205">
        <v>805697992500</v>
      </c>
    </row>
    <row r="1299" spans="1:7">
      <c r="A1299" s="2102">
        <v>42460</v>
      </c>
      <c r="B1299" s="211">
        <f t="shared" si="59"/>
        <v>2016</v>
      </c>
      <c r="C1299" s="211">
        <f t="shared" si="60"/>
        <v>3</v>
      </c>
      <c r="D1299" s="205">
        <v>9085905000000</v>
      </c>
      <c r="E1299" s="205">
        <v>71164398000</v>
      </c>
      <c r="F1299" s="205">
        <v>153450937500</v>
      </c>
      <c r="G1299" s="205">
        <v>830919842700</v>
      </c>
    </row>
    <row r="1300" spans="1:7">
      <c r="A1300" s="2102">
        <v>42459</v>
      </c>
      <c r="B1300" s="211">
        <f t="shared" si="59"/>
        <v>2016</v>
      </c>
      <c r="C1300" s="211">
        <f t="shared" si="60"/>
        <v>3</v>
      </c>
      <c r="D1300" s="205">
        <v>9246300000000</v>
      </c>
      <c r="E1300" s="205">
        <v>70750651500</v>
      </c>
      <c r="F1300" s="205">
        <v>151989500000</v>
      </c>
      <c r="G1300" s="205">
        <v>832321056600</v>
      </c>
    </row>
    <row r="1301" spans="1:7">
      <c r="A1301" s="2102">
        <v>42458</v>
      </c>
      <c r="B1301" s="211">
        <f t="shared" si="59"/>
        <v>2016</v>
      </c>
      <c r="C1301" s="211">
        <f t="shared" si="60"/>
        <v>3</v>
      </c>
      <c r="D1301" s="205">
        <v>9189690000000</v>
      </c>
      <c r="E1301" s="205">
        <v>70888567000</v>
      </c>
      <c r="F1301" s="205">
        <v>152574075000</v>
      </c>
      <c r="G1301" s="205">
        <v>816907703700</v>
      </c>
    </row>
    <row r="1302" spans="1:7">
      <c r="A1302" s="2102">
        <v>42457</v>
      </c>
      <c r="B1302" s="211">
        <f t="shared" si="59"/>
        <v>2016</v>
      </c>
      <c r="C1302" s="211">
        <f t="shared" si="60"/>
        <v>3</v>
      </c>
      <c r="D1302" s="205">
        <v>9151950000000</v>
      </c>
      <c r="E1302" s="205">
        <v>69371496500</v>
      </c>
      <c r="F1302" s="205">
        <v>152574075000</v>
      </c>
      <c r="G1302" s="205">
        <v>821111345400</v>
      </c>
    </row>
    <row r="1303" spans="1:7">
      <c r="A1303" s="2102">
        <v>42454</v>
      </c>
      <c r="B1303" s="211">
        <f t="shared" si="59"/>
        <v>2016</v>
      </c>
      <c r="C1303" s="211">
        <f t="shared" si="60"/>
        <v>3</v>
      </c>
      <c r="D1303" s="205">
        <v>9095340000000</v>
      </c>
      <c r="E1303" s="205">
        <v>69647327500</v>
      </c>
      <c r="F1303" s="205">
        <v>154035512500</v>
      </c>
      <c r="G1303" s="205">
        <v>816907703700</v>
      </c>
    </row>
    <row r="1304" spans="1:7">
      <c r="A1304" s="2102">
        <v>42453</v>
      </c>
      <c r="B1304" s="211">
        <f t="shared" si="59"/>
        <v>2016</v>
      </c>
      <c r="C1304" s="211">
        <f t="shared" si="60"/>
        <v>3</v>
      </c>
      <c r="D1304" s="205">
        <v>9170820000000</v>
      </c>
      <c r="E1304" s="205">
        <v>70061074000</v>
      </c>
      <c r="F1304" s="205">
        <v>152574075000</v>
      </c>
      <c r="G1304" s="205">
        <v>819710131500</v>
      </c>
    </row>
    <row r="1305" spans="1:7">
      <c r="A1305" s="2102">
        <v>42452</v>
      </c>
      <c r="B1305" s="211">
        <f t="shared" si="59"/>
        <v>2016</v>
      </c>
      <c r="C1305" s="211">
        <f t="shared" si="60"/>
        <v>3</v>
      </c>
      <c r="D1305" s="205">
        <v>9331215000000</v>
      </c>
      <c r="E1305" s="205">
        <v>70061074000</v>
      </c>
      <c r="F1305" s="205">
        <v>149651200000</v>
      </c>
      <c r="G1305" s="205">
        <v>835123484400</v>
      </c>
    </row>
    <row r="1306" spans="1:7">
      <c r="A1306" s="2102">
        <v>42451</v>
      </c>
      <c r="B1306" s="211">
        <f t="shared" si="59"/>
        <v>2016</v>
      </c>
      <c r="C1306" s="211">
        <f t="shared" si="60"/>
        <v>3</v>
      </c>
      <c r="D1306" s="205">
        <v>9284040000000</v>
      </c>
      <c r="E1306" s="205">
        <v>70198989500</v>
      </c>
      <c r="F1306" s="205">
        <v>149358912500</v>
      </c>
      <c r="G1306" s="205">
        <v>826716201000</v>
      </c>
    </row>
    <row r="1307" spans="1:7">
      <c r="A1307" s="2102">
        <v>42450</v>
      </c>
      <c r="B1307" s="211">
        <f t="shared" si="59"/>
        <v>2016</v>
      </c>
      <c r="C1307" s="211">
        <f t="shared" si="60"/>
        <v>3</v>
      </c>
      <c r="D1307" s="205">
        <v>9331215000000</v>
      </c>
      <c r="E1307" s="205">
        <v>69095665500</v>
      </c>
      <c r="F1307" s="205">
        <v>149651200000</v>
      </c>
      <c r="G1307" s="205">
        <v>812704062000</v>
      </c>
    </row>
    <row r="1308" spans="1:7">
      <c r="A1308" s="2102">
        <v>42447</v>
      </c>
      <c r="B1308" s="211">
        <f t="shared" si="59"/>
        <v>2016</v>
      </c>
      <c r="C1308" s="211">
        <f t="shared" si="60"/>
        <v>3</v>
      </c>
      <c r="D1308" s="205">
        <v>9246300000000</v>
      </c>
      <c r="E1308" s="205">
        <v>68957750000</v>
      </c>
      <c r="F1308" s="205">
        <v>147605187500</v>
      </c>
      <c r="G1308" s="205">
        <v>836524698300</v>
      </c>
    </row>
    <row r="1309" spans="1:7">
      <c r="A1309" s="2102">
        <v>42446</v>
      </c>
      <c r="B1309" s="211">
        <f t="shared" si="59"/>
        <v>2016</v>
      </c>
      <c r="C1309" s="211">
        <f t="shared" si="60"/>
        <v>3</v>
      </c>
      <c r="D1309" s="205">
        <v>9180255000000</v>
      </c>
      <c r="E1309" s="205">
        <v>68819834500</v>
      </c>
      <c r="F1309" s="205">
        <v>148482050000</v>
      </c>
      <c r="G1309" s="205">
        <v>811302848100</v>
      </c>
    </row>
    <row r="1310" spans="1:7">
      <c r="A1310" s="2102">
        <v>42445</v>
      </c>
      <c r="B1310" s="211">
        <f t="shared" si="59"/>
        <v>2016</v>
      </c>
      <c r="C1310" s="211">
        <f t="shared" si="60"/>
        <v>3</v>
      </c>
      <c r="D1310" s="205">
        <v>9151950000000</v>
      </c>
      <c r="E1310" s="205">
        <v>69371496500</v>
      </c>
      <c r="F1310" s="205">
        <v>148189762500</v>
      </c>
      <c r="G1310" s="205">
        <v>795889495200</v>
      </c>
    </row>
    <row r="1311" spans="1:7">
      <c r="A1311" s="2102">
        <v>42444</v>
      </c>
      <c r="B1311" s="211">
        <f t="shared" si="59"/>
        <v>2016</v>
      </c>
      <c r="C1311" s="211">
        <f t="shared" si="60"/>
        <v>3</v>
      </c>
      <c r="D1311" s="205">
        <v>9151950000000</v>
      </c>
      <c r="E1311" s="205">
        <v>68957750000</v>
      </c>
      <c r="F1311" s="205">
        <v>148189762500</v>
      </c>
      <c r="G1311" s="205">
        <v>802895564700</v>
      </c>
    </row>
    <row r="1312" spans="1:7">
      <c r="A1312" s="2102">
        <v>42443</v>
      </c>
      <c r="B1312" s="211">
        <f t="shared" si="59"/>
        <v>2016</v>
      </c>
      <c r="C1312" s="211">
        <f t="shared" si="60"/>
        <v>3</v>
      </c>
      <c r="D1312" s="205">
        <v>8972685000000</v>
      </c>
      <c r="E1312" s="205">
        <v>68957750000</v>
      </c>
      <c r="F1312" s="205">
        <v>147312900000</v>
      </c>
      <c r="G1312" s="205">
        <v>800093136900</v>
      </c>
    </row>
    <row r="1313" spans="1:7">
      <c r="A1313" s="2102">
        <v>42440</v>
      </c>
      <c r="B1313" s="211">
        <f t="shared" si="59"/>
        <v>2016</v>
      </c>
      <c r="C1313" s="211">
        <f t="shared" si="60"/>
        <v>3</v>
      </c>
      <c r="D1313" s="205">
        <v>9170820000000</v>
      </c>
      <c r="E1313" s="205">
        <v>68819834500</v>
      </c>
      <c r="F1313" s="205">
        <v>147312900000</v>
      </c>
      <c r="G1313" s="205">
        <v>811302848100</v>
      </c>
    </row>
    <row r="1314" spans="1:7">
      <c r="A1314" s="2102">
        <v>42439</v>
      </c>
      <c r="B1314" s="211">
        <f t="shared" si="59"/>
        <v>2016</v>
      </c>
      <c r="C1314" s="211">
        <f t="shared" si="60"/>
        <v>3</v>
      </c>
      <c r="D1314" s="205">
        <v>9133080000000</v>
      </c>
      <c r="E1314" s="205">
        <v>68957750000</v>
      </c>
      <c r="F1314" s="205">
        <v>146436037500</v>
      </c>
      <c r="G1314" s="205">
        <v>809901634200</v>
      </c>
    </row>
    <row r="1315" spans="1:7">
      <c r="A1315" s="2102">
        <v>42438</v>
      </c>
      <c r="B1315" s="211">
        <f t="shared" si="59"/>
        <v>2016</v>
      </c>
      <c r="C1315" s="211">
        <f t="shared" si="60"/>
        <v>3</v>
      </c>
      <c r="D1315" s="205">
        <v>9067035000000</v>
      </c>
      <c r="E1315" s="205">
        <v>68406088000</v>
      </c>
      <c r="F1315" s="205">
        <v>146143750000</v>
      </c>
      <c r="G1315" s="205">
        <v>788883425700</v>
      </c>
    </row>
    <row r="1316" spans="1:7">
      <c r="A1316" s="2102">
        <v>42437</v>
      </c>
      <c r="B1316" s="211">
        <f t="shared" si="59"/>
        <v>2016</v>
      </c>
      <c r="C1316" s="211">
        <f t="shared" si="60"/>
        <v>3</v>
      </c>
      <c r="D1316" s="205">
        <v>8897205000000</v>
      </c>
      <c r="E1316" s="205">
        <v>68957750000</v>
      </c>
      <c r="F1316" s="205">
        <v>146143750000</v>
      </c>
      <c r="G1316" s="205">
        <v>811302848100</v>
      </c>
    </row>
    <row r="1317" spans="1:7">
      <c r="A1317" s="2102">
        <v>42436</v>
      </c>
      <c r="B1317" s="211">
        <f t="shared" si="59"/>
        <v>2016</v>
      </c>
      <c r="C1317" s="211">
        <f t="shared" si="60"/>
        <v>3</v>
      </c>
      <c r="D1317" s="205">
        <v>8793420000000</v>
      </c>
      <c r="E1317" s="205">
        <v>69095665500</v>
      </c>
      <c r="F1317" s="205">
        <v>146436037500</v>
      </c>
      <c r="G1317" s="205">
        <v>801494350800</v>
      </c>
    </row>
    <row r="1318" spans="1:7">
      <c r="A1318" s="2102">
        <v>42433</v>
      </c>
      <c r="B1318" s="211">
        <f t="shared" si="59"/>
        <v>2016</v>
      </c>
      <c r="C1318" s="211">
        <f t="shared" si="60"/>
        <v>3</v>
      </c>
      <c r="D1318" s="205">
        <v>8670765000000</v>
      </c>
      <c r="E1318" s="205">
        <v>68681919000</v>
      </c>
      <c r="F1318" s="205">
        <v>146436037500</v>
      </c>
      <c r="G1318" s="205">
        <v>807099206400</v>
      </c>
    </row>
    <row r="1319" spans="1:7">
      <c r="A1319" s="2102">
        <v>42432</v>
      </c>
      <c r="B1319" s="211">
        <f t="shared" si="59"/>
        <v>2016</v>
      </c>
      <c r="C1319" s="211">
        <f t="shared" si="60"/>
        <v>3</v>
      </c>
      <c r="D1319" s="205">
        <v>8557545000000</v>
      </c>
      <c r="E1319" s="205">
        <v>68544003500</v>
      </c>
      <c r="F1319" s="205">
        <v>146143750000</v>
      </c>
      <c r="G1319" s="205">
        <v>795889495200</v>
      </c>
    </row>
    <row r="1320" spans="1:7">
      <c r="A1320" s="2102">
        <v>42431</v>
      </c>
      <c r="B1320" s="211">
        <f t="shared" si="59"/>
        <v>2016</v>
      </c>
      <c r="C1320" s="211">
        <f t="shared" si="60"/>
        <v>3</v>
      </c>
      <c r="D1320" s="205">
        <v>8604720000000</v>
      </c>
      <c r="E1320" s="205">
        <v>68544003500</v>
      </c>
      <c r="F1320" s="205">
        <v>144974600000</v>
      </c>
      <c r="G1320" s="205">
        <v>794488281300</v>
      </c>
    </row>
    <row r="1321" spans="1:7">
      <c r="A1321" s="2102">
        <v>42429</v>
      </c>
      <c r="B1321" s="211">
        <f t="shared" si="59"/>
        <v>2016</v>
      </c>
      <c r="C1321" s="211">
        <f t="shared" si="60"/>
        <v>2</v>
      </c>
      <c r="D1321" s="205">
        <v>8425455000000</v>
      </c>
      <c r="E1321" s="205">
        <v>68130257000</v>
      </c>
      <c r="F1321" s="205">
        <v>145266887500</v>
      </c>
      <c r="G1321" s="205">
        <v>783278570100</v>
      </c>
    </row>
    <row r="1322" spans="1:7">
      <c r="A1322" s="2102">
        <v>42426</v>
      </c>
      <c r="B1322" s="211">
        <f t="shared" si="59"/>
        <v>2016</v>
      </c>
      <c r="C1322" s="211">
        <f t="shared" si="60"/>
        <v>2</v>
      </c>
      <c r="D1322" s="205">
        <v>8566980000000</v>
      </c>
      <c r="E1322" s="205">
        <v>67164848500</v>
      </c>
      <c r="F1322" s="205">
        <v>145266887500</v>
      </c>
      <c r="G1322" s="205">
        <v>755254292100</v>
      </c>
    </row>
    <row r="1323" spans="1:7">
      <c r="A1323" s="2102">
        <v>42425</v>
      </c>
      <c r="B1323" s="211">
        <f t="shared" si="59"/>
        <v>2016</v>
      </c>
      <c r="C1323" s="211">
        <f t="shared" si="60"/>
        <v>2</v>
      </c>
      <c r="D1323" s="205">
        <v>8642460000000</v>
      </c>
      <c r="E1323" s="205">
        <v>67164848500</v>
      </c>
      <c r="F1323" s="205">
        <v>145705318750</v>
      </c>
      <c r="G1323" s="205">
        <v>776272500600</v>
      </c>
    </row>
    <row r="1324" spans="1:7">
      <c r="A1324" s="2102">
        <v>42424</v>
      </c>
      <c r="B1324" s="211">
        <f t="shared" si="59"/>
        <v>2016</v>
      </c>
      <c r="C1324" s="211">
        <f t="shared" si="60"/>
        <v>2</v>
      </c>
      <c r="D1324" s="205">
        <v>8633025000000</v>
      </c>
      <c r="E1324" s="205">
        <v>67164848500</v>
      </c>
      <c r="F1324" s="205">
        <v>146143750000</v>
      </c>
      <c r="G1324" s="205">
        <v>755254292100</v>
      </c>
    </row>
    <row r="1325" spans="1:7">
      <c r="A1325" s="2102">
        <v>42423</v>
      </c>
      <c r="B1325" s="211">
        <f t="shared" si="59"/>
        <v>2016</v>
      </c>
      <c r="C1325" s="211">
        <f t="shared" si="60"/>
        <v>2</v>
      </c>
      <c r="D1325" s="205">
        <v>8699070000000</v>
      </c>
      <c r="E1325" s="205">
        <v>67578595000</v>
      </c>
      <c r="F1325" s="205">
        <v>147020612500</v>
      </c>
      <c r="G1325" s="205">
        <v>758056719900</v>
      </c>
    </row>
    <row r="1326" spans="1:7">
      <c r="A1326" s="2102">
        <v>42422</v>
      </c>
      <c r="B1326" s="211">
        <f t="shared" si="59"/>
        <v>2016</v>
      </c>
      <c r="C1326" s="211">
        <f t="shared" si="60"/>
        <v>2</v>
      </c>
      <c r="D1326" s="205">
        <v>8689635000000</v>
      </c>
      <c r="E1326" s="205">
        <v>67854426000</v>
      </c>
      <c r="F1326" s="205">
        <v>147020612500</v>
      </c>
      <c r="G1326" s="205">
        <v>737038511400</v>
      </c>
    </row>
    <row r="1327" spans="1:7">
      <c r="A1327" s="2102">
        <v>42419</v>
      </c>
      <c r="B1327" s="211">
        <f t="shared" si="59"/>
        <v>2016</v>
      </c>
      <c r="C1327" s="211">
        <f t="shared" si="60"/>
        <v>2</v>
      </c>
      <c r="D1327" s="205">
        <v>8670765000000</v>
      </c>
      <c r="E1327" s="205">
        <v>68268172500</v>
      </c>
      <c r="F1327" s="205">
        <v>146728325000</v>
      </c>
      <c r="G1327" s="205">
        <v>738439725300</v>
      </c>
    </row>
    <row r="1328" spans="1:7">
      <c r="A1328" s="2102">
        <v>42418</v>
      </c>
      <c r="B1328" s="211">
        <f t="shared" si="59"/>
        <v>2016</v>
      </c>
      <c r="C1328" s="211">
        <f t="shared" si="60"/>
        <v>2</v>
      </c>
      <c r="D1328" s="205">
        <v>8633025000000</v>
      </c>
      <c r="E1328" s="205">
        <v>68268172500</v>
      </c>
      <c r="F1328" s="205">
        <v>147312900000</v>
      </c>
      <c r="G1328" s="205">
        <v>728631228000</v>
      </c>
    </row>
    <row r="1329" spans="1:7">
      <c r="A1329" s="2102">
        <v>42417</v>
      </c>
      <c r="B1329" s="211">
        <f t="shared" si="59"/>
        <v>2016</v>
      </c>
      <c r="C1329" s="211">
        <f t="shared" si="60"/>
        <v>2</v>
      </c>
      <c r="D1329" s="205">
        <v>8321670000000</v>
      </c>
      <c r="E1329" s="205">
        <v>68130257000</v>
      </c>
      <c r="F1329" s="205">
        <v>148482050000</v>
      </c>
      <c r="G1329" s="205">
        <v>716020302900</v>
      </c>
    </row>
    <row r="1330" spans="1:7">
      <c r="A1330" s="2102">
        <v>42416</v>
      </c>
      <c r="B1330" s="211">
        <f t="shared" si="59"/>
        <v>2016</v>
      </c>
      <c r="C1330" s="211">
        <f t="shared" si="60"/>
        <v>2</v>
      </c>
      <c r="D1330" s="205">
        <v>8491500000000</v>
      </c>
      <c r="E1330" s="205">
        <v>68130257000</v>
      </c>
      <c r="F1330" s="205">
        <v>147020612500</v>
      </c>
      <c r="G1330" s="205">
        <v>711816661200</v>
      </c>
    </row>
    <row r="1331" spans="1:7">
      <c r="A1331" s="2102">
        <v>42415</v>
      </c>
      <c r="B1331" s="211">
        <f t="shared" si="59"/>
        <v>2016</v>
      </c>
      <c r="C1331" s="211">
        <f t="shared" si="60"/>
        <v>2</v>
      </c>
      <c r="D1331" s="205">
        <v>8510370000000</v>
      </c>
      <c r="E1331" s="205">
        <v>67578595000</v>
      </c>
      <c r="F1331" s="205">
        <v>147312900000</v>
      </c>
      <c r="G1331" s="205">
        <v>713217875100</v>
      </c>
    </row>
    <row r="1332" spans="1:7">
      <c r="A1332" s="2102">
        <v>42412</v>
      </c>
      <c r="B1332" s="211">
        <f t="shared" si="59"/>
        <v>2016</v>
      </c>
      <c r="C1332" s="211">
        <f t="shared" si="60"/>
        <v>2</v>
      </c>
      <c r="D1332" s="205">
        <v>8453760000000</v>
      </c>
      <c r="E1332" s="205">
        <v>67854426000</v>
      </c>
      <c r="F1332" s="205">
        <v>146728325000</v>
      </c>
      <c r="G1332" s="205">
        <v>690798452700</v>
      </c>
    </row>
    <row r="1333" spans="1:7">
      <c r="A1333" s="2102">
        <v>42411</v>
      </c>
      <c r="B1333" s="211">
        <f t="shared" si="59"/>
        <v>2016</v>
      </c>
      <c r="C1333" s="211">
        <f t="shared" si="60"/>
        <v>2</v>
      </c>
      <c r="D1333" s="205">
        <v>8453760000000</v>
      </c>
      <c r="E1333" s="205">
        <v>68406088000</v>
      </c>
      <c r="F1333" s="205">
        <v>147312900000</v>
      </c>
      <c r="G1333" s="205">
        <v>690798452700</v>
      </c>
    </row>
    <row r="1334" spans="1:7">
      <c r="A1334" s="2102">
        <v>42405</v>
      </c>
      <c r="B1334" s="211">
        <f t="shared" si="59"/>
        <v>2016</v>
      </c>
      <c r="C1334" s="211">
        <f t="shared" si="60"/>
        <v>2</v>
      </c>
      <c r="D1334" s="205">
        <v>8519805000000</v>
      </c>
      <c r="E1334" s="205">
        <v>68406088000</v>
      </c>
      <c r="F1334" s="205">
        <v>148189762500</v>
      </c>
      <c r="G1334" s="205">
        <v>721625158500</v>
      </c>
    </row>
    <row r="1335" spans="1:7">
      <c r="A1335" s="2102">
        <v>42404</v>
      </c>
      <c r="B1335" s="211">
        <f t="shared" si="59"/>
        <v>2016</v>
      </c>
      <c r="C1335" s="211">
        <f t="shared" si="60"/>
        <v>2</v>
      </c>
      <c r="D1335" s="205">
        <v>8604720000000</v>
      </c>
      <c r="E1335" s="205">
        <v>68130257000</v>
      </c>
      <c r="F1335" s="205">
        <v>148482050000</v>
      </c>
      <c r="G1335" s="205">
        <v>731433655800</v>
      </c>
    </row>
    <row r="1336" spans="1:7">
      <c r="A1336" s="2102">
        <v>42403</v>
      </c>
      <c r="B1336" s="211">
        <f t="shared" si="59"/>
        <v>2016</v>
      </c>
      <c r="C1336" s="211">
        <f t="shared" si="60"/>
        <v>2</v>
      </c>
      <c r="D1336" s="205">
        <v>8029185000000</v>
      </c>
      <c r="E1336" s="205">
        <v>67578595000</v>
      </c>
      <c r="F1336" s="205">
        <v>151112637500</v>
      </c>
      <c r="G1336" s="205">
        <v>714619089000</v>
      </c>
    </row>
    <row r="1337" spans="1:7">
      <c r="A1337" s="2102">
        <v>42402</v>
      </c>
      <c r="B1337" s="211">
        <f t="shared" si="59"/>
        <v>2016</v>
      </c>
      <c r="C1337" s="211">
        <f t="shared" si="60"/>
        <v>2</v>
      </c>
      <c r="D1337" s="205">
        <v>7982010000000</v>
      </c>
      <c r="E1337" s="205">
        <v>66613186500</v>
      </c>
      <c r="F1337" s="205">
        <v>151112637500</v>
      </c>
      <c r="G1337" s="205">
        <v>714619089000</v>
      </c>
    </row>
    <row r="1338" spans="1:7">
      <c r="A1338" s="2102">
        <v>42401</v>
      </c>
      <c r="B1338" s="211">
        <f t="shared" si="59"/>
        <v>2016</v>
      </c>
      <c r="C1338" s="211">
        <f t="shared" si="60"/>
        <v>2</v>
      </c>
      <c r="D1338" s="205">
        <v>8000880000000</v>
      </c>
      <c r="E1338" s="205">
        <v>66337355500</v>
      </c>
      <c r="F1338" s="205">
        <v>150528062500</v>
      </c>
      <c r="G1338" s="205">
        <v>718822730700</v>
      </c>
    </row>
    <row r="1339" spans="1:7">
      <c r="A1339" s="2102">
        <v>42398</v>
      </c>
      <c r="B1339" s="211">
        <f t="shared" si="59"/>
        <v>2016</v>
      </c>
      <c r="C1339" s="211">
        <f t="shared" si="60"/>
        <v>1</v>
      </c>
      <c r="D1339" s="205">
        <v>8227320000000</v>
      </c>
      <c r="E1339" s="205">
        <v>66199440000</v>
      </c>
      <c r="F1339" s="205">
        <v>150820350000</v>
      </c>
      <c r="G1339" s="205">
        <v>678187527600</v>
      </c>
    </row>
    <row r="1340" spans="1:7">
      <c r="A1340" s="2102">
        <v>42397</v>
      </c>
      <c r="B1340" s="211">
        <f t="shared" si="59"/>
        <v>2016</v>
      </c>
      <c r="C1340" s="211">
        <f t="shared" si="60"/>
        <v>1</v>
      </c>
      <c r="D1340" s="205">
        <v>8208450000000</v>
      </c>
      <c r="E1340" s="205">
        <v>66199440000</v>
      </c>
      <c r="F1340" s="205">
        <v>151989500000</v>
      </c>
      <c r="G1340" s="205">
        <v>668379030300</v>
      </c>
    </row>
    <row r="1341" spans="1:7">
      <c r="A1341" s="2102">
        <v>42396</v>
      </c>
      <c r="B1341" s="211">
        <f t="shared" si="59"/>
        <v>2016</v>
      </c>
      <c r="C1341" s="211">
        <f t="shared" si="60"/>
        <v>1</v>
      </c>
      <c r="D1341" s="205">
        <v>8199015000000</v>
      </c>
      <c r="E1341" s="205">
        <v>65509862500</v>
      </c>
      <c r="F1341" s="205">
        <v>150528062500</v>
      </c>
      <c r="G1341" s="205">
        <v>668379030300</v>
      </c>
    </row>
    <row r="1342" spans="1:7">
      <c r="A1342" s="2102">
        <v>42395</v>
      </c>
      <c r="B1342" s="211">
        <f t="shared" si="59"/>
        <v>2016</v>
      </c>
      <c r="C1342" s="211">
        <f t="shared" si="60"/>
        <v>1</v>
      </c>
      <c r="D1342" s="205">
        <v>7963140000000</v>
      </c>
      <c r="E1342" s="205">
        <v>63854876500</v>
      </c>
      <c r="F1342" s="205">
        <v>150820350000</v>
      </c>
      <c r="G1342" s="205">
        <v>641755966200</v>
      </c>
    </row>
    <row r="1343" spans="1:7">
      <c r="A1343" s="2102">
        <v>42394</v>
      </c>
      <c r="B1343" s="211">
        <f t="shared" si="59"/>
        <v>2016</v>
      </c>
      <c r="C1343" s="211">
        <f t="shared" si="60"/>
        <v>1</v>
      </c>
      <c r="D1343" s="205">
        <v>8066925000000</v>
      </c>
      <c r="E1343" s="205">
        <v>64820285000</v>
      </c>
      <c r="F1343" s="205">
        <v>151697212500</v>
      </c>
      <c r="G1343" s="205">
        <v>659971746900</v>
      </c>
    </row>
    <row r="1344" spans="1:7">
      <c r="A1344" s="2102">
        <v>42391</v>
      </c>
      <c r="B1344" s="211">
        <f t="shared" si="59"/>
        <v>2016</v>
      </c>
      <c r="C1344" s="211">
        <f t="shared" si="60"/>
        <v>1</v>
      </c>
      <c r="D1344" s="205">
        <v>7906530000000</v>
      </c>
      <c r="E1344" s="205">
        <v>63854876500</v>
      </c>
      <c r="F1344" s="205">
        <v>151697212500</v>
      </c>
      <c r="G1344" s="205">
        <v>662774174700</v>
      </c>
    </row>
    <row r="1345" spans="1:7">
      <c r="A1345" s="2102">
        <v>42390</v>
      </c>
      <c r="B1345" s="211">
        <f t="shared" si="59"/>
        <v>2016</v>
      </c>
      <c r="C1345" s="211">
        <f t="shared" si="60"/>
        <v>1</v>
      </c>
      <c r="D1345" s="205">
        <v>7717830000000</v>
      </c>
      <c r="E1345" s="205">
        <v>63441130000</v>
      </c>
      <c r="F1345" s="205">
        <v>149651200000</v>
      </c>
      <c r="G1345" s="205">
        <v>644558394000</v>
      </c>
    </row>
    <row r="1346" spans="1:7">
      <c r="A1346" s="2102">
        <v>42389</v>
      </c>
      <c r="B1346" s="211">
        <f t="shared" si="59"/>
        <v>2016</v>
      </c>
      <c r="C1346" s="211">
        <f t="shared" si="60"/>
        <v>1</v>
      </c>
      <c r="D1346" s="205">
        <v>7859355000000</v>
      </c>
      <c r="E1346" s="205">
        <v>64820285000</v>
      </c>
      <c r="F1346" s="205">
        <v>150235775000</v>
      </c>
      <c r="G1346" s="205">
        <v>638953538400</v>
      </c>
    </row>
    <row r="1347" spans="1:7">
      <c r="A1347" s="2102">
        <v>42388</v>
      </c>
      <c r="B1347" s="211">
        <f t="shared" si="59"/>
        <v>2016</v>
      </c>
      <c r="C1347" s="211">
        <f t="shared" si="60"/>
        <v>1</v>
      </c>
      <c r="D1347" s="205">
        <v>8114100000000</v>
      </c>
      <c r="E1347" s="205">
        <v>66199440000</v>
      </c>
      <c r="F1347" s="205">
        <v>150528062500</v>
      </c>
      <c r="G1347" s="205">
        <v>664175388600</v>
      </c>
    </row>
    <row r="1348" spans="1:7">
      <c r="A1348" s="2102">
        <v>42387</v>
      </c>
      <c r="B1348" s="211">
        <f t="shared" si="59"/>
        <v>2016</v>
      </c>
      <c r="C1348" s="211">
        <f t="shared" si="60"/>
        <v>1</v>
      </c>
      <c r="D1348" s="205">
        <v>8293365000000</v>
      </c>
      <c r="E1348" s="205">
        <v>65647778000</v>
      </c>
      <c r="F1348" s="205">
        <v>150528062500</v>
      </c>
      <c r="G1348" s="205">
        <v>696403308300</v>
      </c>
    </row>
    <row r="1349" spans="1:7">
      <c r="A1349" s="2102">
        <v>42384</v>
      </c>
      <c r="B1349" s="211">
        <f t="shared" si="59"/>
        <v>2016</v>
      </c>
      <c r="C1349" s="211">
        <f t="shared" si="60"/>
        <v>1</v>
      </c>
      <c r="D1349" s="205">
        <v>8302800000000</v>
      </c>
      <c r="E1349" s="205">
        <v>66751102000</v>
      </c>
      <c r="F1349" s="205">
        <v>151112637500</v>
      </c>
      <c r="G1349" s="205">
        <v>693600880500</v>
      </c>
    </row>
    <row r="1350" spans="1:7">
      <c r="A1350" s="2102">
        <v>42383</v>
      </c>
      <c r="B1350" s="211">
        <f t="shared" si="59"/>
        <v>2016</v>
      </c>
      <c r="C1350" s="211">
        <f t="shared" si="60"/>
        <v>1</v>
      </c>
      <c r="D1350" s="205">
        <v>8293365000000</v>
      </c>
      <c r="E1350" s="205">
        <v>67026933000</v>
      </c>
      <c r="F1350" s="205">
        <v>150528062500</v>
      </c>
      <c r="G1350" s="205">
        <v>699205736100</v>
      </c>
    </row>
    <row r="1351" spans="1:7">
      <c r="A1351" s="2102">
        <v>42382</v>
      </c>
      <c r="B1351" s="211">
        <f t="shared" si="59"/>
        <v>2016</v>
      </c>
      <c r="C1351" s="211">
        <f t="shared" si="60"/>
        <v>1</v>
      </c>
      <c r="D1351" s="205">
        <v>8425455000000</v>
      </c>
      <c r="E1351" s="205">
        <v>65923609000</v>
      </c>
      <c r="F1351" s="205">
        <v>151989500000</v>
      </c>
      <c r="G1351" s="205">
        <v>700606950000</v>
      </c>
    </row>
    <row r="1352" spans="1:7">
      <c r="A1352" s="2102">
        <v>42381</v>
      </c>
      <c r="B1352" s="211">
        <f t="shared" si="59"/>
        <v>2016</v>
      </c>
      <c r="C1352" s="211">
        <f t="shared" si="60"/>
        <v>1</v>
      </c>
      <c r="D1352" s="205">
        <v>8510370000000</v>
      </c>
      <c r="E1352" s="205">
        <v>66475271000</v>
      </c>
      <c r="F1352" s="205">
        <v>150235775000</v>
      </c>
      <c r="G1352" s="205">
        <v>700606950000</v>
      </c>
    </row>
    <row r="1353" spans="1:7">
      <c r="A1353" s="2102">
        <v>42380</v>
      </c>
      <c r="B1353" s="211">
        <f t="shared" si="59"/>
        <v>2016</v>
      </c>
      <c r="C1353" s="211">
        <f t="shared" si="60"/>
        <v>1</v>
      </c>
      <c r="D1353" s="205">
        <v>8604720000000</v>
      </c>
      <c r="E1353" s="205">
        <v>64406538500</v>
      </c>
      <c r="F1353" s="205">
        <v>150528062500</v>
      </c>
      <c r="G1353" s="205">
        <v>713217875100</v>
      </c>
    </row>
    <row r="1354" spans="1:7">
      <c r="A1354" s="2102">
        <v>42377</v>
      </c>
      <c r="B1354" s="211">
        <f t="shared" ref="B1354:B1358" si="61">YEAR(A1354)</f>
        <v>2016</v>
      </c>
      <c r="C1354" s="211">
        <f t="shared" ref="C1354:C1358" si="62">MONTH(A1354)</f>
        <v>1</v>
      </c>
      <c r="D1354" s="205">
        <v>8953815000000</v>
      </c>
      <c r="E1354" s="205">
        <v>64544454000</v>
      </c>
      <c r="F1354" s="205">
        <v>149358912500</v>
      </c>
      <c r="G1354" s="205">
        <v>731433655800</v>
      </c>
    </row>
    <row r="1355" spans="1:7">
      <c r="A1355" s="2102">
        <v>42376</v>
      </c>
      <c r="B1355" s="211">
        <f t="shared" si="61"/>
        <v>2016</v>
      </c>
      <c r="C1355" s="211">
        <f t="shared" si="62"/>
        <v>1</v>
      </c>
      <c r="D1355" s="205">
        <v>8585850000000</v>
      </c>
      <c r="E1355" s="205">
        <v>65371947000</v>
      </c>
      <c r="F1355" s="205">
        <v>151404925000</v>
      </c>
      <c r="G1355" s="205">
        <v>725828800200</v>
      </c>
    </row>
    <row r="1356" spans="1:7">
      <c r="A1356" s="2102">
        <v>42375</v>
      </c>
      <c r="B1356" s="211">
        <f t="shared" si="61"/>
        <v>2016</v>
      </c>
      <c r="C1356" s="211">
        <f t="shared" si="62"/>
        <v>1</v>
      </c>
      <c r="D1356" s="205">
        <v>8623590000000</v>
      </c>
      <c r="E1356" s="205">
        <v>66199440000</v>
      </c>
      <c r="F1356" s="205">
        <v>157250675000</v>
      </c>
      <c r="G1356" s="205">
        <v>752451864300</v>
      </c>
    </row>
    <row r="1357" spans="1:7">
      <c r="A1357" s="2102">
        <v>42374</v>
      </c>
      <c r="B1357" s="211">
        <f t="shared" si="61"/>
        <v>2016</v>
      </c>
      <c r="C1357" s="211">
        <f t="shared" si="62"/>
        <v>1</v>
      </c>
      <c r="D1357" s="205">
        <v>8604720000000</v>
      </c>
      <c r="E1357" s="205">
        <v>66199440000</v>
      </c>
      <c r="F1357" s="205">
        <v>159004400000</v>
      </c>
      <c r="G1357" s="205">
        <v>756655506000</v>
      </c>
    </row>
    <row r="1358" spans="1:7">
      <c r="A1358" s="2102">
        <v>42373</v>
      </c>
      <c r="B1358" s="211">
        <f t="shared" si="61"/>
        <v>2016</v>
      </c>
      <c r="C1358" s="211">
        <f t="shared" si="62"/>
        <v>1</v>
      </c>
      <c r="D1358" s="205">
        <v>8623590000000</v>
      </c>
      <c r="E1358" s="205">
        <v>66613186500</v>
      </c>
      <c r="F1358" s="205">
        <v>163388712500</v>
      </c>
      <c r="G1358" s="205">
        <v>745445794800</v>
      </c>
    </row>
  </sheetData>
  <phoneticPr fontId="1"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AM24"/>
  <sheetViews>
    <sheetView workbookViewId="0"/>
  </sheetViews>
  <sheetFormatPr defaultRowHeight="16.5"/>
  <cols>
    <col min="1" max="1" width="29.25" customWidth="1"/>
    <col min="2" max="2" width="22.375" bestFit="1" customWidth="1"/>
    <col min="3" max="3" width="5.75" bestFit="1" customWidth="1"/>
    <col min="4" max="9" width="10.625" bestFit="1" customWidth="1"/>
    <col min="10" max="15" width="11.625" bestFit="1" customWidth="1"/>
    <col min="16" max="22" width="9.125" bestFit="1" customWidth="1"/>
    <col min="23" max="27" width="12" bestFit="1" customWidth="1"/>
  </cols>
  <sheetData>
    <row r="1" spans="1:39">
      <c r="A1" s="3">
        <v>1</v>
      </c>
      <c r="B1" s="3">
        <f>A1+1</f>
        <v>2</v>
      </c>
      <c r="C1" s="3">
        <f t="shared" ref="C1:AM1" si="0">B1+1</f>
        <v>3</v>
      </c>
      <c r="D1" s="3">
        <f t="shared" si="0"/>
        <v>4</v>
      </c>
      <c r="E1" s="3">
        <f t="shared" si="0"/>
        <v>5</v>
      </c>
      <c r="F1" s="3">
        <f t="shared" si="0"/>
        <v>6</v>
      </c>
      <c r="G1" s="3">
        <f t="shared" si="0"/>
        <v>7</v>
      </c>
      <c r="H1" s="3">
        <f t="shared" si="0"/>
        <v>8</v>
      </c>
      <c r="I1" s="3">
        <f t="shared" si="0"/>
        <v>9</v>
      </c>
      <c r="J1" s="3">
        <f t="shared" si="0"/>
        <v>10</v>
      </c>
      <c r="K1" s="3">
        <f t="shared" si="0"/>
        <v>11</v>
      </c>
      <c r="L1" s="3">
        <f t="shared" si="0"/>
        <v>12</v>
      </c>
      <c r="M1" s="3">
        <f t="shared" si="0"/>
        <v>13</v>
      </c>
      <c r="N1" s="3">
        <f t="shared" si="0"/>
        <v>14</v>
      </c>
      <c r="O1" s="3">
        <f t="shared" si="0"/>
        <v>15</v>
      </c>
      <c r="P1" s="3">
        <f t="shared" si="0"/>
        <v>16</v>
      </c>
      <c r="Q1" s="3">
        <f t="shared" si="0"/>
        <v>17</v>
      </c>
      <c r="R1" s="3">
        <f t="shared" si="0"/>
        <v>18</v>
      </c>
      <c r="S1" s="3">
        <f t="shared" si="0"/>
        <v>19</v>
      </c>
      <c r="T1" s="3">
        <f t="shared" si="0"/>
        <v>20</v>
      </c>
      <c r="U1" s="3">
        <f t="shared" si="0"/>
        <v>21</v>
      </c>
      <c r="V1" s="3">
        <f t="shared" si="0"/>
        <v>22</v>
      </c>
      <c r="W1" s="3">
        <f t="shared" si="0"/>
        <v>23</v>
      </c>
      <c r="X1" s="3">
        <f t="shared" si="0"/>
        <v>24</v>
      </c>
      <c r="Y1" s="3">
        <f t="shared" si="0"/>
        <v>25</v>
      </c>
      <c r="Z1" s="3">
        <f t="shared" si="0"/>
        <v>26</v>
      </c>
      <c r="AA1" s="3">
        <f t="shared" si="0"/>
        <v>27</v>
      </c>
      <c r="AB1" s="3">
        <f t="shared" si="0"/>
        <v>28</v>
      </c>
      <c r="AC1" s="3">
        <f t="shared" si="0"/>
        <v>29</v>
      </c>
      <c r="AD1" s="3">
        <f t="shared" si="0"/>
        <v>30</v>
      </c>
      <c r="AE1" s="3">
        <f t="shared" si="0"/>
        <v>31</v>
      </c>
      <c r="AF1" s="3">
        <f t="shared" si="0"/>
        <v>32</v>
      </c>
      <c r="AG1" s="3">
        <f t="shared" si="0"/>
        <v>33</v>
      </c>
      <c r="AH1" s="3">
        <f t="shared" si="0"/>
        <v>34</v>
      </c>
      <c r="AI1" s="3">
        <f t="shared" si="0"/>
        <v>35</v>
      </c>
      <c r="AJ1" s="3">
        <f t="shared" si="0"/>
        <v>36</v>
      </c>
      <c r="AK1" s="3">
        <f t="shared" si="0"/>
        <v>37</v>
      </c>
      <c r="AL1" s="3">
        <f t="shared" si="0"/>
        <v>38</v>
      </c>
      <c r="AM1" s="3">
        <f t="shared" si="0"/>
        <v>39</v>
      </c>
    </row>
    <row r="2" spans="1:39">
      <c r="A2" s="3"/>
      <c r="B2" s="3"/>
      <c r="C2" s="3"/>
      <c r="D2" s="215" t="s">
        <v>3830</v>
      </c>
      <c r="E2" s="215" t="s">
        <v>3830</v>
      </c>
      <c r="F2" s="215" t="s">
        <v>3830</v>
      </c>
      <c r="G2" s="215" t="s">
        <v>3830</v>
      </c>
      <c r="H2" s="215" t="s">
        <v>3830</v>
      </c>
      <c r="I2" s="215" t="s">
        <v>3830</v>
      </c>
      <c r="J2" s="215" t="s">
        <v>3819</v>
      </c>
      <c r="K2" s="215" t="s">
        <v>3819</v>
      </c>
      <c r="L2" s="215" t="s">
        <v>3819</v>
      </c>
      <c r="M2" s="215" t="s">
        <v>3819</v>
      </c>
      <c r="N2" s="215" t="s">
        <v>3819</v>
      </c>
      <c r="O2" s="215" t="s">
        <v>3819</v>
      </c>
      <c r="P2" s="215" t="s">
        <v>122</v>
      </c>
      <c r="Q2" s="215" t="s">
        <v>122</v>
      </c>
      <c r="R2" s="215" t="s">
        <v>122</v>
      </c>
      <c r="S2" s="215" t="s">
        <v>122</v>
      </c>
      <c r="T2" s="215" t="s">
        <v>122</v>
      </c>
      <c r="U2" s="215" t="s">
        <v>122</v>
      </c>
      <c r="V2" s="215" t="s">
        <v>3813</v>
      </c>
      <c r="W2" s="215" t="s">
        <v>3813</v>
      </c>
      <c r="X2" s="215" t="s">
        <v>3813</v>
      </c>
      <c r="Y2" s="215" t="s">
        <v>3813</v>
      </c>
      <c r="Z2" s="215" t="s">
        <v>3813</v>
      </c>
      <c r="AA2" s="215" t="s">
        <v>3813</v>
      </c>
      <c r="AB2" s="215" t="s">
        <v>4970</v>
      </c>
      <c r="AC2" s="215" t="s">
        <v>4970</v>
      </c>
      <c r="AD2" s="215" t="s">
        <v>4970</v>
      </c>
      <c r="AE2" s="215" t="s">
        <v>4970</v>
      </c>
      <c r="AF2" s="215" t="s">
        <v>4970</v>
      </c>
      <c r="AG2" s="215" t="s">
        <v>4970</v>
      </c>
      <c r="AH2" s="215" t="s">
        <v>4971</v>
      </c>
      <c r="AI2" s="215" t="s">
        <v>4971</v>
      </c>
      <c r="AJ2" s="215" t="s">
        <v>4971</v>
      </c>
      <c r="AK2" s="215" t="s">
        <v>4971</v>
      </c>
      <c r="AL2" s="215" t="s">
        <v>4971</v>
      </c>
      <c r="AM2" s="215" t="s">
        <v>4971</v>
      </c>
    </row>
    <row r="3" spans="1:39">
      <c r="A3" s="2101" t="s">
        <v>2023</v>
      </c>
      <c r="B3" s="2101" t="s">
        <v>3831</v>
      </c>
      <c r="C3" s="2101" t="s">
        <v>3832</v>
      </c>
      <c r="D3" s="2101" t="s">
        <v>3833</v>
      </c>
      <c r="E3" s="2101" t="s">
        <v>240</v>
      </c>
      <c r="F3" s="2101" t="s">
        <v>69</v>
      </c>
      <c r="G3" s="2101" t="s">
        <v>27</v>
      </c>
      <c r="H3" s="2101" t="s">
        <v>60</v>
      </c>
      <c r="I3" s="2101" t="s">
        <v>3834</v>
      </c>
      <c r="J3" s="2101" t="s">
        <v>3833</v>
      </c>
      <c r="K3" s="2101" t="s">
        <v>240</v>
      </c>
      <c r="L3" s="2101" t="s">
        <v>69</v>
      </c>
      <c r="M3" s="2101" t="s">
        <v>27</v>
      </c>
      <c r="N3" s="2101" t="s">
        <v>60</v>
      </c>
      <c r="O3" s="2101" t="s">
        <v>3834</v>
      </c>
      <c r="P3" s="2101" t="s">
        <v>3833</v>
      </c>
      <c r="Q3" s="2101" t="s">
        <v>240</v>
      </c>
      <c r="R3" s="2101" t="s">
        <v>69</v>
      </c>
      <c r="S3" s="2101" t="s">
        <v>27</v>
      </c>
      <c r="T3" s="2101" t="s">
        <v>60</v>
      </c>
      <c r="U3" s="2101" t="s">
        <v>3834</v>
      </c>
      <c r="V3" s="2101" t="s">
        <v>3833</v>
      </c>
      <c r="W3" s="2101" t="s">
        <v>240</v>
      </c>
      <c r="X3" s="2101" t="s">
        <v>69</v>
      </c>
      <c r="Y3" s="2101" t="s">
        <v>27</v>
      </c>
      <c r="Z3" s="2101" t="s">
        <v>60</v>
      </c>
      <c r="AA3" s="2101" t="s">
        <v>3834</v>
      </c>
      <c r="AB3" s="2101" t="s">
        <v>3833</v>
      </c>
      <c r="AC3" s="2101" t="s">
        <v>240</v>
      </c>
      <c r="AD3" s="2101" t="s">
        <v>69</v>
      </c>
      <c r="AE3" s="2101" t="s">
        <v>27</v>
      </c>
      <c r="AF3" s="2101" t="s">
        <v>60</v>
      </c>
      <c r="AG3" s="2101" t="s">
        <v>3834</v>
      </c>
      <c r="AH3" s="2101" t="s">
        <v>3833</v>
      </c>
      <c r="AI3" s="2101" t="s">
        <v>240</v>
      </c>
      <c r="AJ3" s="2101" t="s">
        <v>69</v>
      </c>
      <c r="AK3" s="2101" t="s">
        <v>27</v>
      </c>
      <c r="AL3" s="2101" t="s">
        <v>60</v>
      </c>
      <c r="AM3" s="2101" t="s">
        <v>3834</v>
      </c>
    </row>
    <row r="4" spans="1:39">
      <c r="A4" s="3" t="s">
        <v>3803</v>
      </c>
      <c r="B4" s="3" t="s">
        <v>3318</v>
      </c>
      <c r="C4" s="3" t="s">
        <v>3372</v>
      </c>
      <c r="D4" s="105">
        <v>58099.947395000003</v>
      </c>
      <c r="E4" s="105">
        <v>60073.050636842097</v>
      </c>
      <c r="F4" s="105">
        <v>44212.404873684209</v>
      </c>
      <c r="G4" s="105">
        <v>49044.904309999998</v>
      </c>
      <c r="H4" s="105">
        <v>67320.346431818194</v>
      </c>
      <c r="I4" s="105">
        <v>81960.347142857136</v>
      </c>
      <c r="J4" s="105">
        <v>3508.8506000000002</v>
      </c>
      <c r="K4" s="105">
        <v>18843.6597</v>
      </c>
      <c r="L4" s="105">
        <v>15354.037200000001</v>
      </c>
      <c r="M4" s="105">
        <v>24546.121200000001</v>
      </c>
      <c r="N4" s="105">
        <v>51821.983200000002</v>
      </c>
      <c r="O4" s="105">
        <v>51267.335800000001</v>
      </c>
      <c r="P4" s="105">
        <v>2618.5102999999999</v>
      </c>
      <c r="Q4" s="105">
        <v>2942.5682000000002</v>
      </c>
      <c r="R4" s="105">
        <v>2573.7791999999999</v>
      </c>
      <c r="S4" s="105">
        <v>7032.5657000000001</v>
      </c>
      <c r="T4" s="105">
        <v>8254.6530000000002</v>
      </c>
      <c r="U4" s="105">
        <v>8701.0768000000007</v>
      </c>
      <c r="V4" s="105">
        <v>5230.9994999999999</v>
      </c>
      <c r="W4" s="105">
        <v>5939.3572999999997</v>
      </c>
      <c r="X4" s="105">
        <v>5245.2956000000004</v>
      </c>
      <c r="Y4" s="105">
        <v>6577.5120999999999</v>
      </c>
      <c r="Z4" s="105">
        <v>7119.2532000000001</v>
      </c>
      <c r="AA4" s="382">
        <v>19161.937159814599</v>
      </c>
      <c r="AB4" s="105">
        <v>979</v>
      </c>
      <c r="AC4" s="105">
        <v>1906</v>
      </c>
      <c r="AD4" s="105">
        <v>2864</v>
      </c>
      <c r="AE4" s="105">
        <v>2766</v>
      </c>
      <c r="AF4" s="105">
        <v>2507</v>
      </c>
      <c r="AG4" s="105">
        <v>5412</v>
      </c>
      <c r="AH4" s="105">
        <v>54948</v>
      </c>
      <c r="AI4" s="105">
        <v>60035</v>
      </c>
      <c r="AJ4" s="105">
        <v>59240</v>
      </c>
      <c r="AK4" s="105">
        <v>66033</v>
      </c>
      <c r="AL4" s="105">
        <v>79423</v>
      </c>
      <c r="AM4" s="105">
        <v>89032</v>
      </c>
    </row>
    <row r="5" spans="1:39">
      <c r="A5" s="3" t="s">
        <v>3320</v>
      </c>
      <c r="B5" s="3" t="s">
        <v>3319</v>
      </c>
      <c r="C5" s="3" t="s">
        <v>3373</v>
      </c>
      <c r="D5" s="105">
        <v>19832.018257142852</v>
      </c>
      <c r="E5" s="105">
        <v>23965.587305000001</v>
      </c>
      <c r="F5" s="105">
        <v>15478.73012631579</v>
      </c>
      <c r="G5" s="105">
        <v>18127.439280952378</v>
      </c>
      <c r="H5" s="105">
        <v>35837.641177272722</v>
      </c>
      <c r="I5" s="105">
        <v>56959.698418181826</v>
      </c>
      <c r="J5" s="105">
        <v>11782</v>
      </c>
      <c r="K5" s="105">
        <v>8703</v>
      </c>
      <c r="L5" s="105">
        <v>6924</v>
      </c>
      <c r="M5" s="105">
        <v>8054</v>
      </c>
      <c r="N5" s="105">
        <v>6282</v>
      </c>
      <c r="O5" s="105">
        <v>3382</v>
      </c>
      <c r="P5" s="105">
        <v>3206</v>
      </c>
      <c r="Q5" s="105">
        <v>3319</v>
      </c>
      <c r="R5" s="105">
        <v>8094</v>
      </c>
      <c r="S5" s="105">
        <v>8150</v>
      </c>
      <c r="T5" s="105">
        <v>8494</v>
      </c>
      <c r="U5" s="105">
        <v>8924</v>
      </c>
      <c r="V5" s="105">
        <v>-182</v>
      </c>
      <c r="W5" s="105">
        <v>5404</v>
      </c>
      <c r="X5" s="105">
        <v>6508</v>
      </c>
      <c r="Y5" s="105">
        <v>2558</v>
      </c>
      <c r="Z5" s="105">
        <v>4007</v>
      </c>
      <c r="AA5" s="105">
        <v>7919</v>
      </c>
      <c r="AB5" s="105">
        <v>-4154</v>
      </c>
      <c r="AC5" s="105">
        <v>1817</v>
      </c>
      <c r="AD5" s="105">
        <v>2602</v>
      </c>
      <c r="AE5" s="105">
        <v>-239</v>
      </c>
      <c r="AF5" s="105">
        <v>599</v>
      </c>
      <c r="AG5" s="105">
        <v>2838</v>
      </c>
      <c r="AH5" s="105">
        <v>71778</v>
      </c>
      <c r="AI5" s="105">
        <v>88248</v>
      </c>
      <c r="AJ5" s="105">
        <v>140134</v>
      </c>
      <c r="AK5" s="105">
        <v>135906</v>
      </c>
      <c r="AL5" s="105">
        <v>144746</v>
      </c>
      <c r="AM5" s="105">
        <v>162590</v>
      </c>
    </row>
    <row r="6" spans="1:39">
      <c r="A6" s="3" t="s">
        <v>3322</v>
      </c>
      <c r="B6" s="3" t="s">
        <v>3321</v>
      </c>
      <c r="C6" s="3" t="s">
        <v>3374</v>
      </c>
      <c r="D6" s="105">
        <v>911978.93687142862</v>
      </c>
      <c r="E6" s="105">
        <v>1322497.5056428569</v>
      </c>
      <c r="F6" s="105">
        <v>905992.79872631596</v>
      </c>
      <c r="G6" s="105">
        <v>1009637.0186476189</v>
      </c>
      <c r="H6" s="105">
        <v>1267750.8231181817</v>
      </c>
      <c r="I6" s="105">
        <v>1345147.0075727273</v>
      </c>
      <c r="J6" s="105">
        <v>325351</v>
      </c>
      <c r="K6" s="105">
        <v>252143</v>
      </c>
      <c r="L6" s="105">
        <v>292737</v>
      </c>
      <c r="M6" s="105">
        <v>240530</v>
      </c>
      <c r="N6" s="105">
        <v>209488</v>
      </c>
      <c r="O6" s="105">
        <v>237311</v>
      </c>
      <c r="P6" s="105">
        <v>62431</v>
      </c>
      <c r="Q6" s="105">
        <v>83964</v>
      </c>
      <c r="R6" s="105">
        <v>103719</v>
      </c>
      <c r="S6" s="105">
        <v>108914</v>
      </c>
      <c r="T6" s="105">
        <v>109060</v>
      </c>
      <c r="U6" s="105">
        <v>118472</v>
      </c>
      <c r="V6" s="105">
        <v>120622</v>
      </c>
      <c r="W6" s="105">
        <v>136328</v>
      </c>
      <c r="X6" s="105">
        <v>125702</v>
      </c>
      <c r="Y6" s="105">
        <v>110488</v>
      </c>
      <c r="Z6" s="105">
        <v>145258</v>
      </c>
      <c r="AA6" s="105">
        <v>185808</v>
      </c>
      <c r="AB6" s="105">
        <v>-18540</v>
      </c>
      <c r="AC6" s="105">
        <v>90227</v>
      </c>
      <c r="AD6" s="105">
        <v>66790</v>
      </c>
      <c r="AE6" s="105">
        <v>60600</v>
      </c>
      <c r="AF6" s="105">
        <v>94604</v>
      </c>
      <c r="AG6" s="105">
        <v>137488</v>
      </c>
      <c r="AH6" s="105">
        <v>1024121</v>
      </c>
      <c r="AI6" s="105">
        <v>1113349</v>
      </c>
      <c r="AJ6" s="105">
        <v>1151280</v>
      </c>
      <c r="AK6" s="105">
        <v>1110860</v>
      </c>
      <c r="AL6" s="105">
        <v>1222983</v>
      </c>
      <c r="AM6" s="382">
        <v>1284100</v>
      </c>
    </row>
    <row r="7" spans="1:39">
      <c r="A7" s="3" t="s">
        <v>3324</v>
      </c>
      <c r="B7" s="3" t="s">
        <v>3323</v>
      </c>
      <c r="C7" s="3" t="s">
        <v>3372</v>
      </c>
      <c r="D7" s="105">
        <v>2535.8037100000001</v>
      </c>
      <c r="E7" s="105">
        <v>1692.5450894736841</v>
      </c>
      <c r="F7" s="105">
        <v>1045.4786000000001</v>
      </c>
      <c r="G7" s="105">
        <v>851.82958500000007</v>
      </c>
      <c r="H7" s="105">
        <v>1364.9446772727274</v>
      </c>
      <c r="I7" s="105">
        <v>2085.261114285714</v>
      </c>
      <c r="J7" s="105">
        <v>9862.7168000000001</v>
      </c>
      <c r="K7" s="105">
        <v>9698.8094999999994</v>
      </c>
      <c r="L7" s="105">
        <v>11597.127200000001</v>
      </c>
      <c r="M7" s="105">
        <v>10236.5563</v>
      </c>
      <c r="N7" s="105">
        <v>9285.8729999999996</v>
      </c>
      <c r="O7" s="105">
        <v>8811.0512999999992</v>
      </c>
      <c r="P7" s="105">
        <v>176.69380000000001</v>
      </c>
      <c r="Q7" s="105">
        <v>197.14269999999999</v>
      </c>
      <c r="R7" s="105">
        <v>203.30930000000001</v>
      </c>
      <c r="S7" s="105">
        <v>543.00570000000005</v>
      </c>
      <c r="T7" s="105">
        <v>926.8732</v>
      </c>
      <c r="U7" s="105">
        <v>1260.0048999999999</v>
      </c>
      <c r="V7" s="105">
        <v>1087.2167999999999</v>
      </c>
      <c r="W7" s="105">
        <v>1026.8947000000001</v>
      </c>
      <c r="X7" s="105">
        <v>1311.9529</v>
      </c>
      <c r="Y7" s="105">
        <v>1543.8431</v>
      </c>
      <c r="Z7" s="105">
        <v>1582.7147</v>
      </c>
      <c r="AA7" s="105">
        <v>1944</v>
      </c>
      <c r="AB7" s="105">
        <v>-191</v>
      </c>
      <c r="AC7" s="105">
        <v>-112</v>
      </c>
      <c r="AD7" s="105">
        <v>-120</v>
      </c>
      <c r="AE7" s="105">
        <v>166</v>
      </c>
      <c r="AF7" s="105">
        <v>345</v>
      </c>
      <c r="AG7" s="105">
        <v>524</v>
      </c>
      <c r="AH7" s="105">
        <v>2619</v>
      </c>
      <c r="AI7" s="105">
        <v>2528</v>
      </c>
      <c r="AJ7" s="105">
        <v>2416</v>
      </c>
      <c r="AK7" s="105">
        <v>2870</v>
      </c>
      <c r="AL7" s="105">
        <v>3471</v>
      </c>
      <c r="AM7" s="105">
        <v>3865</v>
      </c>
    </row>
    <row r="8" spans="1:39">
      <c r="A8" s="3" t="s">
        <v>3326</v>
      </c>
      <c r="B8" s="3" t="s">
        <v>3325</v>
      </c>
      <c r="C8" s="3" t="s">
        <v>3372</v>
      </c>
      <c r="D8" s="105">
        <v>75469.782339999991</v>
      </c>
      <c r="E8" s="105">
        <v>98130.359815789488</v>
      </c>
      <c r="F8" s="105">
        <v>84020.942505263156</v>
      </c>
      <c r="G8" s="105">
        <v>106177.48115000001</v>
      </c>
      <c r="H8" s="105">
        <v>252835.75157727275</v>
      </c>
      <c r="I8" s="105">
        <v>312244.27047142858</v>
      </c>
      <c r="J8" s="105">
        <v>40213.849600000001</v>
      </c>
      <c r="K8" s="105">
        <v>29239.404999999999</v>
      </c>
      <c r="L8" s="105">
        <v>41388.015299999999</v>
      </c>
      <c r="M8" s="105">
        <v>45208.1492</v>
      </c>
      <c r="N8" s="105">
        <v>72740.630999999994</v>
      </c>
      <c r="O8" s="105">
        <v>66267.159499999994</v>
      </c>
      <c r="P8" s="105">
        <v>3747.5452</v>
      </c>
      <c r="Q8" s="105">
        <v>3173.4769999999999</v>
      </c>
      <c r="R8" s="105">
        <v>7763.6287000000002</v>
      </c>
      <c r="S8" s="105">
        <v>6592.5677999999998</v>
      </c>
      <c r="T8" s="105">
        <v>21451.072499999998</v>
      </c>
      <c r="U8" s="105">
        <v>25898.242399999999</v>
      </c>
      <c r="V8" s="105">
        <v>10232.4805</v>
      </c>
      <c r="W8" s="105">
        <v>12629.6024</v>
      </c>
      <c r="X8" s="105">
        <v>12550.8698</v>
      </c>
      <c r="Y8" s="105">
        <v>16064.8964</v>
      </c>
      <c r="Z8" s="105">
        <v>23132.8573</v>
      </c>
      <c r="AA8" s="105">
        <v>32552.1</v>
      </c>
      <c r="AB8" s="105">
        <v>2151</v>
      </c>
      <c r="AC8" s="105">
        <v>4050</v>
      </c>
      <c r="AD8" s="105">
        <v>4854</v>
      </c>
      <c r="AE8" s="105">
        <v>4860</v>
      </c>
      <c r="AF8" s="105">
        <v>7324</v>
      </c>
      <c r="AG8" s="105">
        <v>12581</v>
      </c>
      <c r="AH8" s="105">
        <v>34767</v>
      </c>
      <c r="AI8" s="105">
        <v>45196</v>
      </c>
      <c r="AJ8" s="105">
        <v>53828</v>
      </c>
      <c r="AK8" s="105">
        <v>63849</v>
      </c>
      <c r="AL8" s="105">
        <v>88614</v>
      </c>
      <c r="AM8" s="105">
        <v>106346</v>
      </c>
    </row>
    <row r="9" spans="1:39">
      <c r="A9" s="3" t="s">
        <v>3328</v>
      </c>
      <c r="B9" s="3" t="s">
        <v>3327</v>
      </c>
      <c r="C9" s="3" t="s">
        <v>1805</v>
      </c>
      <c r="D9" s="105">
        <v>9153298.2642333321</v>
      </c>
      <c r="E9" s="105">
        <v>9058096.578947369</v>
      </c>
      <c r="F9" s="105">
        <v>8353947.6315789474</v>
      </c>
      <c r="G9" s="105">
        <v>7927758.75</v>
      </c>
      <c r="H9" s="105">
        <v>7570015</v>
      </c>
      <c r="I9" s="105">
        <v>8239757.0454545459</v>
      </c>
      <c r="J9" s="105">
        <v>-1520246.1939999999</v>
      </c>
      <c r="K9" s="105">
        <v>-2224129.4780000001</v>
      </c>
      <c r="L9" s="105">
        <v>-2281415.2370000002</v>
      </c>
      <c r="M9" s="105">
        <v>-2580521.514</v>
      </c>
      <c r="N9" s="105">
        <v>-2029697.669</v>
      </c>
      <c r="O9" s="105">
        <v>-1694792.4920000001</v>
      </c>
      <c r="P9" s="105">
        <v>146250.67980000001</v>
      </c>
      <c r="Q9" s="105">
        <v>145334.05710000001</v>
      </c>
      <c r="R9" s="105">
        <v>124520.1333</v>
      </c>
      <c r="S9" s="105">
        <v>122965.6501</v>
      </c>
      <c r="T9" s="105">
        <v>117247.4584</v>
      </c>
      <c r="U9" s="105">
        <v>110575.80039999999</v>
      </c>
      <c r="V9" s="105">
        <v>983215.75600000005</v>
      </c>
      <c r="W9" s="105">
        <v>1122002.9380000001</v>
      </c>
      <c r="X9" s="105">
        <v>1022700.839</v>
      </c>
      <c r="Y9" s="105">
        <v>1084145.1159999999</v>
      </c>
      <c r="Z9" s="105">
        <v>1175596.213</v>
      </c>
      <c r="AA9" s="105">
        <v>1351087.6680000001</v>
      </c>
      <c r="AB9" s="105"/>
      <c r="AC9" s="105"/>
      <c r="AD9" s="105"/>
      <c r="AE9" s="105"/>
      <c r="AF9" s="105"/>
      <c r="AG9" s="105"/>
      <c r="AH9" s="105"/>
      <c r="AI9" s="105"/>
      <c r="AJ9" s="105"/>
      <c r="AK9" s="105"/>
      <c r="AL9" s="105"/>
      <c r="AM9" s="105"/>
    </row>
    <row r="10" spans="1:39">
      <c r="A10" s="3" t="s">
        <v>3330</v>
      </c>
      <c r="B10" s="3" t="s">
        <v>3329</v>
      </c>
      <c r="C10" s="3" t="s">
        <v>1805</v>
      </c>
      <c r="D10" s="105">
        <v>77593.885476190466</v>
      </c>
      <c r="E10" s="105">
        <v>79649.830605263138</v>
      </c>
      <c r="F10" s="105">
        <v>74989.738447368436</v>
      </c>
      <c r="G10" s="105">
        <v>118710.766625</v>
      </c>
      <c r="H10" s="105">
        <v>108053.51054761907</v>
      </c>
      <c r="I10" s="105">
        <v>135458.09654545452</v>
      </c>
      <c r="J10" s="105">
        <v>12166.208000000001</v>
      </c>
      <c r="K10" s="105">
        <v>-6397.8119999999999</v>
      </c>
      <c r="L10" s="105">
        <v>-4020.0680000000002</v>
      </c>
      <c r="M10" s="105">
        <v>-42115.167999999998</v>
      </c>
      <c r="N10" s="105">
        <v>-58104.014000000003</v>
      </c>
      <c r="O10" s="105">
        <v>-73502.782000000007</v>
      </c>
      <c r="P10" s="105">
        <v>54968.875699999997</v>
      </c>
      <c r="Q10" s="105">
        <v>56152.982600000003</v>
      </c>
      <c r="R10" s="105">
        <v>62282.806799999998</v>
      </c>
      <c r="S10" s="105">
        <v>69172.5144</v>
      </c>
      <c r="T10" s="105">
        <v>72206.666899999997</v>
      </c>
      <c r="U10" s="105">
        <v>77254.845199999996</v>
      </c>
      <c r="V10" s="105">
        <v>19577.350999999999</v>
      </c>
      <c r="W10" s="105">
        <v>18477.077000000001</v>
      </c>
      <c r="X10" s="105">
        <v>20098.857</v>
      </c>
      <c r="Y10" s="105">
        <v>14282.368</v>
      </c>
      <c r="Z10" s="105">
        <v>20311.455000000002</v>
      </c>
      <c r="AA10" s="105">
        <v>25087.108</v>
      </c>
      <c r="AB10" s="105"/>
      <c r="AC10" s="105"/>
      <c r="AD10" s="105"/>
      <c r="AE10" s="105"/>
      <c r="AF10" s="105"/>
      <c r="AG10" s="105"/>
      <c r="AH10" s="105"/>
      <c r="AI10" s="105"/>
      <c r="AJ10" s="105"/>
      <c r="AK10" s="105"/>
      <c r="AL10" s="105"/>
      <c r="AM10" s="105"/>
    </row>
    <row r="11" spans="1:39">
      <c r="A11" s="3" t="s">
        <v>3332</v>
      </c>
      <c r="B11" s="3" t="s">
        <v>3331</v>
      </c>
      <c r="C11" s="3" t="s">
        <v>1805</v>
      </c>
      <c r="D11" s="105">
        <v>139170.60645238092</v>
      </c>
      <c r="E11" s="105">
        <v>157773.7157894737</v>
      </c>
      <c r="F11" s="105">
        <v>166357.7381578947</v>
      </c>
      <c r="G11" s="105">
        <v>166983.84875</v>
      </c>
      <c r="H11" s="105">
        <v>175887.48273809525</v>
      </c>
      <c r="I11" s="105">
        <v>201386.08749999999</v>
      </c>
      <c r="J11" s="105">
        <v>112276.5864</v>
      </c>
      <c r="K11" s="105">
        <v>99047.230500000005</v>
      </c>
      <c r="L11" s="105">
        <v>106779.167</v>
      </c>
      <c r="M11" s="105">
        <v>21059.124299999999</v>
      </c>
      <c r="N11" s="105">
        <v>12658.0064</v>
      </c>
      <c r="O11" s="105">
        <v>-3746.1970999999999</v>
      </c>
      <c r="P11" s="105">
        <v>85831.685899999997</v>
      </c>
      <c r="Q11" s="105">
        <v>73083.826100000006</v>
      </c>
      <c r="R11" s="105">
        <v>83239.133400000006</v>
      </c>
      <c r="S11" s="105">
        <v>106761.3949</v>
      </c>
      <c r="T11" s="105">
        <v>112720.659</v>
      </c>
      <c r="U11" s="105">
        <v>116167.3118</v>
      </c>
      <c r="V11" s="105">
        <v>34604.94</v>
      </c>
      <c r="W11" s="105">
        <v>43040.538</v>
      </c>
      <c r="X11" s="105">
        <v>45980.555</v>
      </c>
      <c r="Y11" s="105">
        <v>33111.108</v>
      </c>
      <c r="Z11" s="105">
        <v>36600.074999999997</v>
      </c>
      <c r="AA11" s="105">
        <v>43712.794000000002</v>
      </c>
      <c r="AB11" s="105"/>
      <c r="AC11" s="105"/>
      <c r="AD11" s="105"/>
      <c r="AE11" s="105"/>
      <c r="AF11" s="105"/>
      <c r="AG11" s="105"/>
      <c r="AH11" s="105"/>
      <c r="AI11" s="105"/>
      <c r="AJ11" s="105"/>
      <c r="AK11" s="105"/>
      <c r="AL11" s="105"/>
      <c r="AM11" s="105"/>
    </row>
    <row r="12" spans="1:39">
      <c r="A12" s="3" t="s">
        <v>3334</v>
      </c>
      <c r="B12" s="3" t="s">
        <v>3333</v>
      </c>
      <c r="C12" s="3" t="s">
        <v>1805</v>
      </c>
      <c r="D12" s="105">
        <v>1179755.4063095241</v>
      </c>
      <c r="E12" s="105">
        <v>1249809.0506999998</v>
      </c>
      <c r="F12" s="105">
        <v>779001.18030000001</v>
      </c>
      <c r="G12" s="105">
        <v>636501.41407499998</v>
      </c>
      <c r="H12" s="105">
        <v>788416.35439999995</v>
      </c>
      <c r="I12" s="105">
        <v>1084348.4839772729</v>
      </c>
      <c r="J12" s="105">
        <v>930596.125</v>
      </c>
      <c r="K12" s="105">
        <v>860752.06359999999</v>
      </c>
      <c r="L12" s="105">
        <v>863040.28359999997</v>
      </c>
      <c r="M12" s="105">
        <v>743236.81550000003</v>
      </c>
      <c r="N12" s="105">
        <v>667771.79169999994</v>
      </c>
      <c r="O12" s="105">
        <v>781518.15469999996</v>
      </c>
      <c r="P12" s="105">
        <v>2057.3344999999999</v>
      </c>
      <c r="Q12" s="105">
        <v>2078.3175999999999</v>
      </c>
      <c r="R12" s="105">
        <v>2100.8154</v>
      </c>
      <c r="S12" s="105">
        <v>2040.8087</v>
      </c>
      <c r="T12" s="105">
        <v>2050.1905000000002</v>
      </c>
      <c r="U12" s="105">
        <v>2111.4191000000001</v>
      </c>
      <c r="V12" s="105">
        <v>301903.75160000002</v>
      </c>
      <c r="W12" s="105">
        <v>329506.06319999998</v>
      </c>
      <c r="X12" s="105">
        <v>197918.02929999999</v>
      </c>
      <c r="Y12" s="105">
        <v>139065.81270000001</v>
      </c>
      <c r="Z12" s="105">
        <v>220301.14259999999</v>
      </c>
      <c r="AA12" s="105">
        <v>367513.83880000003</v>
      </c>
      <c r="AB12" s="105"/>
      <c r="AC12" s="105"/>
      <c r="AD12" s="105"/>
      <c r="AE12" s="105"/>
      <c r="AF12" s="105"/>
      <c r="AG12" s="105"/>
      <c r="AH12" s="105"/>
      <c r="AI12" s="105"/>
      <c r="AJ12" s="105"/>
      <c r="AK12" s="105"/>
      <c r="AL12" s="105"/>
      <c r="AM12" s="105"/>
    </row>
    <row r="13" spans="1:39">
      <c r="A13" s="3" t="s">
        <v>4972</v>
      </c>
      <c r="B13" s="3" t="s">
        <v>3335</v>
      </c>
      <c r="C13" s="3" t="s">
        <v>3375</v>
      </c>
      <c r="D13" s="105">
        <v>347731.22954545449</v>
      </c>
      <c r="E13" s="105">
        <v>560113.78204499988</v>
      </c>
      <c r="F13" s="105">
        <v>499934.10803999985</v>
      </c>
      <c r="G13" s="105">
        <v>466363.59491428576</v>
      </c>
      <c r="H13" s="105">
        <v>542134.88605909096</v>
      </c>
      <c r="I13" s="105">
        <v>859451.91160000011</v>
      </c>
      <c r="J13" s="105">
        <v>412560.7</v>
      </c>
      <c r="K13" s="105">
        <v>393230.1</v>
      </c>
      <c r="L13" s="105">
        <v>386280</v>
      </c>
      <c r="M13" s="105">
        <v>404020</v>
      </c>
      <c r="N13" s="105">
        <v>481320</v>
      </c>
      <c r="O13" s="2104">
        <v>489740</v>
      </c>
      <c r="P13" s="105">
        <v>62.3</v>
      </c>
      <c r="Q13" s="105">
        <v>86.4</v>
      </c>
      <c r="R13" s="105">
        <v>90</v>
      </c>
      <c r="S13" s="105">
        <v>100</v>
      </c>
      <c r="T13" s="105">
        <v>100</v>
      </c>
      <c r="U13" s="382">
        <v>100</v>
      </c>
      <c r="V13" s="105">
        <v>123858.7</v>
      </c>
      <c r="W13" s="105">
        <v>138001.79999999999</v>
      </c>
      <c r="X13" s="105">
        <v>155770</v>
      </c>
      <c r="Y13" s="105">
        <v>144230</v>
      </c>
      <c r="Z13" s="105">
        <v>174780</v>
      </c>
      <c r="AA13" s="105">
        <v>217760</v>
      </c>
      <c r="AB13" s="105">
        <v>18997</v>
      </c>
      <c r="AC13" s="105">
        <v>60829</v>
      </c>
      <c r="AD13" s="105">
        <v>54960</v>
      </c>
      <c r="AE13" s="105">
        <v>37670</v>
      </c>
      <c r="AF13" s="105">
        <v>34830</v>
      </c>
      <c r="AG13" s="105">
        <v>69790</v>
      </c>
      <c r="AH13" s="105">
        <v>460650</v>
      </c>
      <c r="AI13" s="105">
        <v>548604</v>
      </c>
      <c r="AJ13" s="105">
        <v>575100</v>
      </c>
      <c r="AK13" s="105">
        <v>583270</v>
      </c>
      <c r="AL13" s="105">
        <v>665430</v>
      </c>
      <c r="AM13" s="382">
        <v>665430</v>
      </c>
    </row>
    <row r="14" spans="1:39">
      <c r="A14" s="3" t="s">
        <v>3337</v>
      </c>
      <c r="B14" s="3" t="s">
        <v>3336</v>
      </c>
      <c r="C14" s="3" t="s">
        <v>3376</v>
      </c>
      <c r="D14" s="105">
        <v>2384.1834190476197</v>
      </c>
      <c r="E14" s="105">
        <v>3280.9416368421043</v>
      </c>
      <c r="F14" s="105">
        <v>1984.231094117647</v>
      </c>
      <c r="G14" s="105">
        <v>2275.1099055555555</v>
      </c>
      <c r="H14" s="105">
        <v>2893.2348550000002</v>
      </c>
      <c r="I14" s="105">
        <v>3540.0149727272728</v>
      </c>
      <c r="J14" s="105">
        <v>-7.8609999999999998</v>
      </c>
      <c r="K14" s="105">
        <v>-156.95500000000001</v>
      </c>
      <c r="L14" s="105">
        <v>-97.182000000000002</v>
      </c>
      <c r="M14" s="105">
        <v>-96.688999999999993</v>
      </c>
      <c r="N14" s="105">
        <v>169.02099999999999</v>
      </c>
      <c r="O14" s="105">
        <v>-17</v>
      </c>
      <c r="P14" s="105">
        <v>2.7690000000000001</v>
      </c>
      <c r="Q14" s="105">
        <v>3.097</v>
      </c>
      <c r="R14" s="105">
        <v>0.55600000000000005</v>
      </c>
      <c r="S14" s="105">
        <v>0.53900000000000003</v>
      </c>
      <c r="T14" s="105">
        <v>0.53900000000000003</v>
      </c>
      <c r="U14" s="105">
        <v>1</v>
      </c>
      <c r="V14" s="105">
        <v>311.62200000000001</v>
      </c>
      <c r="W14" s="105">
        <v>559.048</v>
      </c>
      <c r="X14" s="105">
        <v>459.00599999999997</v>
      </c>
      <c r="Y14" s="105">
        <v>408.57799999999997</v>
      </c>
      <c r="Z14" s="105">
        <v>585.245</v>
      </c>
      <c r="AA14" s="105">
        <v>991.85299999999995</v>
      </c>
      <c r="AB14" s="105">
        <v>122</v>
      </c>
      <c r="AC14" s="105">
        <v>351</v>
      </c>
      <c r="AD14" s="105">
        <v>290</v>
      </c>
      <c r="AE14" s="105">
        <v>193</v>
      </c>
      <c r="AF14" s="105">
        <v>265</v>
      </c>
      <c r="AG14" s="105">
        <v>553</v>
      </c>
      <c r="AH14" s="105">
        <v>1991</v>
      </c>
      <c r="AI14" s="105">
        <v>2366</v>
      </c>
      <c r="AJ14" s="105">
        <v>2566</v>
      </c>
      <c r="AK14" s="105">
        <v>2598</v>
      </c>
      <c r="AL14" s="105">
        <v>2851</v>
      </c>
      <c r="AM14" s="105">
        <v>3117</v>
      </c>
    </row>
    <row r="15" spans="1:39">
      <c r="A15" s="3" t="s">
        <v>3339</v>
      </c>
      <c r="B15" s="3" t="s">
        <v>3338</v>
      </c>
      <c r="C15" s="3" t="s">
        <v>3377</v>
      </c>
      <c r="D15" s="105">
        <v>17719.79285909091</v>
      </c>
      <c r="E15" s="105">
        <v>18313.362019047618</v>
      </c>
      <c r="F15" s="105">
        <v>11590.391390000003</v>
      </c>
      <c r="G15" s="105">
        <v>20913.772095454548</v>
      </c>
      <c r="H15" s="105">
        <v>25819.595313043479</v>
      </c>
      <c r="I15" s="105">
        <v>22849.345442857146</v>
      </c>
      <c r="J15" s="105">
        <v>10776.7603</v>
      </c>
      <c r="K15" s="105">
        <v>15433.3477</v>
      </c>
      <c r="L15" s="105">
        <v>18292.850399999999</v>
      </c>
      <c r="M15" s="105">
        <v>21764.981599999999</v>
      </c>
      <c r="N15" s="105">
        <v>20494.262200000001</v>
      </c>
      <c r="O15" s="105">
        <v>24501.702700000002</v>
      </c>
      <c r="P15" s="105">
        <v>1019.3833</v>
      </c>
      <c r="Q15" s="105">
        <v>3300.7678000000001</v>
      </c>
      <c r="R15" s="105">
        <v>3416.3112000000001</v>
      </c>
      <c r="S15" s="105">
        <v>3754.4511000000002</v>
      </c>
      <c r="T15" s="105">
        <v>3576.7602999999999</v>
      </c>
      <c r="U15" s="105">
        <v>3990.8579</v>
      </c>
      <c r="V15" s="105">
        <v>1415.2288000000001</v>
      </c>
      <c r="W15" s="105">
        <v>1624.8787</v>
      </c>
      <c r="X15" s="105">
        <v>2659.1239999999998</v>
      </c>
      <c r="Y15" s="105">
        <v>3410.5603999999998</v>
      </c>
      <c r="Z15" s="105">
        <v>3693.1327000000001</v>
      </c>
      <c r="AA15" s="105">
        <v>3971.3</v>
      </c>
      <c r="AB15" s="105">
        <v>203</v>
      </c>
      <c r="AC15" s="105">
        <v>231</v>
      </c>
      <c r="AD15" s="105">
        <v>125</v>
      </c>
      <c r="AE15" s="105">
        <v>670</v>
      </c>
      <c r="AF15" s="105">
        <v>380</v>
      </c>
      <c r="AG15" s="105">
        <v>349</v>
      </c>
      <c r="AH15" s="105">
        <v>6617</v>
      </c>
      <c r="AI15" s="105">
        <v>9476</v>
      </c>
      <c r="AJ15" s="105">
        <v>11109</v>
      </c>
      <c r="AK15" s="105">
        <v>12127</v>
      </c>
      <c r="AL15" s="105">
        <v>11776</v>
      </c>
      <c r="AM15" s="105">
        <v>12741</v>
      </c>
    </row>
    <row r="16" spans="1:39">
      <c r="A16" s="3" t="s">
        <v>3341</v>
      </c>
      <c r="B16" s="3" t="s">
        <v>3340</v>
      </c>
      <c r="C16" s="3" t="s">
        <v>3377</v>
      </c>
      <c r="D16" s="105">
        <v>31006.905349999994</v>
      </c>
      <c r="E16" s="105">
        <v>29123.408828571432</v>
      </c>
      <c r="F16" s="105">
        <v>21347.809534999997</v>
      </c>
      <c r="G16" s="105">
        <v>23277.992968181818</v>
      </c>
      <c r="H16" s="105">
        <v>26870.120447826084</v>
      </c>
      <c r="I16" s="105">
        <v>29258.749961904756</v>
      </c>
      <c r="J16" s="105">
        <v>14692.739299999999</v>
      </c>
      <c r="K16" s="105">
        <v>15752.017599999999</v>
      </c>
      <c r="L16" s="105">
        <v>13663.18</v>
      </c>
      <c r="M16" s="105">
        <v>14992.8439</v>
      </c>
      <c r="N16" s="105">
        <v>16488.2549</v>
      </c>
      <c r="O16" s="105">
        <v>16274.289000000001</v>
      </c>
      <c r="P16" s="105">
        <v>890.33870000000002</v>
      </c>
      <c r="Q16" s="105">
        <v>1294.6175000000001</v>
      </c>
      <c r="R16" s="105">
        <v>1555.3964000000001</v>
      </c>
      <c r="S16" s="105">
        <v>1689.4975999999999</v>
      </c>
      <c r="T16" s="105">
        <v>1736.7119</v>
      </c>
      <c r="U16" s="105">
        <v>1506.1578999999999</v>
      </c>
      <c r="V16" s="105">
        <v>2523.1511</v>
      </c>
      <c r="W16" s="105">
        <v>2751.1350000000002</v>
      </c>
      <c r="X16" s="105">
        <v>3536.6019999999999</v>
      </c>
      <c r="Y16" s="105">
        <v>3374.5430000000001</v>
      </c>
      <c r="Z16" s="105">
        <v>3170.4645</v>
      </c>
      <c r="AA16" s="105">
        <v>4463</v>
      </c>
      <c r="AB16" s="105">
        <v>180</v>
      </c>
      <c r="AC16" s="105">
        <v>537</v>
      </c>
      <c r="AD16" s="105">
        <v>709</v>
      </c>
      <c r="AE16" s="105">
        <v>831</v>
      </c>
      <c r="AF16" s="105">
        <v>866</v>
      </c>
      <c r="AG16" s="105">
        <v>1811</v>
      </c>
      <c r="AH16" s="105">
        <v>17528</v>
      </c>
      <c r="AI16" s="105">
        <v>18656</v>
      </c>
      <c r="AJ16" s="105">
        <v>19483</v>
      </c>
      <c r="AK16" s="105">
        <v>20009</v>
      </c>
      <c r="AL16" s="105">
        <v>20660</v>
      </c>
      <c r="AM16" s="105">
        <v>21507</v>
      </c>
    </row>
    <row r="17" spans="1:39">
      <c r="A17" s="3" t="s">
        <v>3343</v>
      </c>
      <c r="B17" s="3" t="s">
        <v>3342</v>
      </c>
      <c r="C17" s="3" t="s">
        <v>3375</v>
      </c>
      <c r="D17" s="105">
        <v>672965.40043636353</v>
      </c>
      <c r="E17" s="105">
        <v>1126458.5124850001</v>
      </c>
      <c r="F17" s="105">
        <v>743476.49976999999</v>
      </c>
      <c r="G17" s="105">
        <v>545100.33570476191</v>
      </c>
      <c r="H17" s="105">
        <v>535757.83959090908</v>
      </c>
      <c r="I17" s="105">
        <v>990278.03968636366</v>
      </c>
      <c r="J17" s="105">
        <v>115690</v>
      </c>
      <c r="K17" s="105">
        <v>246380</v>
      </c>
      <c r="L17" s="105">
        <v>297870</v>
      </c>
      <c r="M17" s="105">
        <v>133960</v>
      </c>
      <c r="N17" s="105">
        <v>246380</v>
      </c>
      <c r="O17" s="2104">
        <v>259090</v>
      </c>
      <c r="P17" s="105">
        <v>139280</v>
      </c>
      <c r="Q17" s="105">
        <v>159610</v>
      </c>
      <c r="R17" s="105">
        <v>152270</v>
      </c>
      <c r="S17" s="105">
        <v>171120</v>
      </c>
      <c r="T17" s="105">
        <v>151380</v>
      </c>
      <c r="U17" s="382">
        <v>151380</v>
      </c>
      <c r="V17" s="105">
        <v>213570</v>
      </c>
      <c r="W17" s="105">
        <v>251910</v>
      </c>
      <c r="X17" s="105">
        <v>239400</v>
      </c>
      <c r="Y17" s="105">
        <v>214790</v>
      </c>
      <c r="Z17" s="105">
        <v>274070</v>
      </c>
      <c r="AA17" s="105">
        <v>331960</v>
      </c>
      <c r="AB17" s="105">
        <v>69580</v>
      </c>
      <c r="AC17" s="105">
        <v>103420</v>
      </c>
      <c r="AD17" s="105">
        <v>70650</v>
      </c>
      <c r="AE17" s="105">
        <v>-66640</v>
      </c>
      <c r="AF17" s="105">
        <v>116020</v>
      </c>
      <c r="AG17" s="105">
        <v>147790</v>
      </c>
      <c r="AH17" s="105">
        <v>744280</v>
      </c>
      <c r="AI17" s="105">
        <v>792730</v>
      </c>
      <c r="AJ17" s="105">
        <v>775240</v>
      </c>
      <c r="AK17" s="105">
        <v>717470</v>
      </c>
      <c r="AL17" s="105">
        <v>774160</v>
      </c>
      <c r="AM17" s="382">
        <v>774160</v>
      </c>
    </row>
    <row r="18" spans="1:39">
      <c r="A18" s="3" t="s">
        <v>3345</v>
      </c>
      <c r="B18" s="3" t="s">
        <v>3344</v>
      </c>
      <c r="C18" s="3" t="s">
        <v>3373</v>
      </c>
      <c r="D18" s="105">
        <v>27360.246364999999</v>
      </c>
      <c r="E18" s="105">
        <v>28442.958573684213</v>
      </c>
      <c r="F18" s="105">
        <v>30226.556231578947</v>
      </c>
      <c r="G18" s="105">
        <v>47108.102879999999</v>
      </c>
      <c r="H18" s="105">
        <v>49790.808704761897</v>
      </c>
      <c r="I18" s="105">
        <v>55897.33720454546</v>
      </c>
      <c r="J18" s="105">
        <v>4538</v>
      </c>
      <c r="K18" s="105">
        <v>8109</v>
      </c>
      <c r="L18" s="105">
        <v>6968</v>
      </c>
      <c r="M18" s="105">
        <v>7060</v>
      </c>
      <c r="N18" s="105">
        <v>4705</v>
      </c>
      <c r="O18" s="105">
        <v>7734</v>
      </c>
      <c r="P18" s="105">
        <v>74</v>
      </c>
      <c r="Q18" s="105">
        <v>331</v>
      </c>
      <c r="R18" s="105">
        <v>250</v>
      </c>
      <c r="S18" s="105">
        <v>474</v>
      </c>
      <c r="T18" s="105">
        <v>646</v>
      </c>
      <c r="U18" s="105">
        <v>903</v>
      </c>
      <c r="V18" s="105">
        <v>3838</v>
      </c>
      <c r="W18" s="105">
        <v>3768</v>
      </c>
      <c r="X18" s="105">
        <v>6181</v>
      </c>
      <c r="Y18" s="105">
        <v>7947</v>
      </c>
      <c r="Z18" s="105">
        <v>7343</v>
      </c>
      <c r="AA18" s="105">
        <v>11295</v>
      </c>
      <c r="AB18" s="105">
        <v>2536</v>
      </c>
      <c r="AC18" s="105">
        <v>2129</v>
      </c>
      <c r="AD18" s="105">
        <v>3085</v>
      </c>
      <c r="AE18" s="105">
        <v>5782</v>
      </c>
      <c r="AF18" s="105">
        <v>3385</v>
      </c>
      <c r="AG18" s="105">
        <v>7483</v>
      </c>
      <c r="AH18" s="105">
        <v>3896</v>
      </c>
      <c r="AI18" s="105">
        <v>4658</v>
      </c>
      <c r="AJ18" s="105">
        <v>3473</v>
      </c>
      <c r="AK18" s="105">
        <v>4287</v>
      </c>
      <c r="AL18" s="105">
        <v>4675</v>
      </c>
      <c r="AM18" s="105">
        <v>4911</v>
      </c>
    </row>
    <row r="19" spans="1:39">
      <c r="A19" s="3" t="s">
        <v>3347</v>
      </c>
      <c r="B19" s="3" t="s">
        <v>3346</v>
      </c>
      <c r="C19" s="3" t="s">
        <v>3373</v>
      </c>
      <c r="D19" s="105">
        <v>25552.611880952383</v>
      </c>
      <c r="E19" s="105">
        <v>34243.228615</v>
      </c>
      <c r="F19" s="105">
        <v>24311.027957894737</v>
      </c>
      <c r="G19" s="105">
        <v>31626.57459047619</v>
      </c>
      <c r="H19" s="105">
        <v>47824.77220454545</v>
      </c>
      <c r="I19" s="105">
        <v>50638.056118181819</v>
      </c>
      <c r="J19" s="105">
        <v>5356.9</v>
      </c>
      <c r="K19" s="105">
        <v>4901.8</v>
      </c>
      <c r="L19" s="105">
        <v>4901.7</v>
      </c>
      <c r="M19" s="105">
        <v>5981.4</v>
      </c>
      <c r="N19" s="105">
        <v>4928.8</v>
      </c>
      <c r="O19" s="105">
        <v>4550.1000000000004</v>
      </c>
      <c r="P19" s="105">
        <v>38.6</v>
      </c>
      <c r="Q19" s="105">
        <v>41.7</v>
      </c>
      <c r="R19" s="105">
        <v>45.4</v>
      </c>
      <c r="S19" s="105">
        <v>47.9</v>
      </c>
      <c r="T19" s="105">
        <v>51.2</v>
      </c>
      <c r="U19" s="105">
        <v>55.3</v>
      </c>
      <c r="V19" s="105">
        <v>2211.3000000000002</v>
      </c>
      <c r="W19" s="105">
        <v>3290</v>
      </c>
      <c r="X19" s="105">
        <v>3555.5</v>
      </c>
      <c r="Y19" s="105">
        <v>3631.8</v>
      </c>
      <c r="Z19" s="105">
        <v>4011</v>
      </c>
      <c r="AA19" s="105">
        <v>5936.4</v>
      </c>
      <c r="AB19" s="105">
        <v>777</v>
      </c>
      <c r="AC19" s="105">
        <v>729</v>
      </c>
      <c r="AD19" s="105">
        <v>1543</v>
      </c>
      <c r="AE19" s="105">
        <v>1486</v>
      </c>
      <c r="AF19" s="105">
        <v>1570</v>
      </c>
      <c r="AG19" s="105">
        <v>2793</v>
      </c>
      <c r="AH19" s="105">
        <v>5871</v>
      </c>
      <c r="AI19" s="105">
        <v>6149</v>
      </c>
      <c r="AJ19" s="105">
        <v>6613</v>
      </c>
      <c r="AK19" s="105">
        <v>6858</v>
      </c>
      <c r="AL19" s="105">
        <v>7276</v>
      </c>
      <c r="AM19" s="105">
        <v>7973</v>
      </c>
    </row>
    <row r="20" spans="1:39">
      <c r="A20" s="3" t="s">
        <v>3349</v>
      </c>
      <c r="B20" s="3" t="s">
        <v>3348</v>
      </c>
      <c r="C20" s="3" t="s">
        <v>3374</v>
      </c>
      <c r="D20" s="105">
        <v>487074.79670952383</v>
      </c>
      <c r="E20" s="105">
        <v>500442.90878571419</v>
      </c>
      <c r="F20" s="105">
        <v>403894.32848947373</v>
      </c>
      <c r="G20" s="105">
        <v>395639.48799047625</v>
      </c>
      <c r="H20" s="105">
        <v>283085.01525909087</v>
      </c>
      <c r="I20" s="105">
        <v>295863.40735000005</v>
      </c>
      <c r="J20" s="105">
        <v>402647</v>
      </c>
      <c r="K20" s="105">
        <v>443544</v>
      </c>
      <c r="L20" s="105">
        <v>411246</v>
      </c>
      <c r="M20" s="105">
        <v>444828</v>
      </c>
      <c r="N20" s="105">
        <v>508229</v>
      </c>
      <c r="O20" s="105">
        <v>521987</v>
      </c>
      <c r="P20" s="105">
        <v>88913</v>
      </c>
      <c r="Q20" s="105">
        <v>86023</v>
      </c>
      <c r="R20" s="105">
        <v>89754</v>
      </c>
      <c r="S20" s="105">
        <v>79252</v>
      </c>
      <c r="T20" s="105">
        <v>69161</v>
      </c>
      <c r="U20" s="105">
        <v>72526</v>
      </c>
      <c r="V20" s="105">
        <v>120557</v>
      </c>
      <c r="W20" s="105">
        <v>134239</v>
      </c>
      <c r="X20" s="105">
        <v>101379</v>
      </c>
      <c r="Y20" s="105">
        <v>106609</v>
      </c>
      <c r="Z20" s="105">
        <v>92903</v>
      </c>
      <c r="AA20" s="105">
        <v>105745</v>
      </c>
      <c r="AB20" s="105">
        <v>28352</v>
      </c>
      <c r="AC20" s="105">
        <v>34595</v>
      </c>
      <c r="AD20" s="105">
        <v>1298</v>
      </c>
      <c r="AE20" s="105">
        <v>-72850</v>
      </c>
      <c r="AF20" s="105">
        <v>24407</v>
      </c>
      <c r="AG20" s="105">
        <v>40878</v>
      </c>
      <c r="AH20" s="105">
        <v>710195</v>
      </c>
      <c r="AI20" s="105">
        <v>768495</v>
      </c>
      <c r="AJ20" s="105">
        <v>723337</v>
      </c>
      <c r="AK20" s="105">
        <v>586034</v>
      </c>
      <c r="AL20" s="105">
        <v>614394</v>
      </c>
      <c r="AM20" s="105">
        <v>639650</v>
      </c>
    </row>
    <row r="21" spans="1:39">
      <c r="A21" s="3" t="s">
        <v>3351</v>
      </c>
      <c r="B21" s="3" t="s">
        <v>3350</v>
      </c>
      <c r="C21" s="3" t="s">
        <v>3378</v>
      </c>
      <c r="D21" s="105">
        <v>453935.93571428582</v>
      </c>
      <c r="E21" s="105">
        <v>470058.3</v>
      </c>
      <c r="F21" s="105">
        <v>316501.2236842105</v>
      </c>
      <c r="G21" s="105">
        <v>411324.36750000005</v>
      </c>
      <c r="H21" s="105">
        <v>630878.70681818179</v>
      </c>
      <c r="I21" s="105">
        <v>720742.3772727272</v>
      </c>
      <c r="J21" s="105">
        <v>95932.832299999995</v>
      </c>
      <c r="K21" s="105">
        <v>99674.5916</v>
      </c>
      <c r="L21" s="105">
        <v>112644.1807</v>
      </c>
      <c r="M21" s="105">
        <v>109601.94010000001</v>
      </c>
      <c r="N21" s="105">
        <v>81165.511799999993</v>
      </c>
      <c r="O21" s="105">
        <v>84628.245599999995</v>
      </c>
      <c r="P21" s="105">
        <v>32650.7435</v>
      </c>
      <c r="Q21" s="105">
        <v>39451.763099999996</v>
      </c>
      <c r="R21" s="105">
        <v>42382.279300000002</v>
      </c>
      <c r="S21" s="105">
        <v>43682.400500000003</v>
      </c>
      <c r="T21" s="105">
        <v>46426.795599999998</v>
      </c>
      <c r="U21" s="105">
        <v>48300.827700000002</v>
      </c>
      <c r="V21" s="105">
        <v>67698.126300000004</v>
      </c>
      <c r="W21" s="105">
        <v>94617.346399999995</v>
      </c>
      <c r="X21" s="105">
        <v>79172.330499999996</v>
      </c>
      <c r="Y21" s="105">
        <v>104127.7896</v>
      </c>
      <c r="Z21" s="105">
        <v>122408.046</v>
      </c>
      <c r="AA21" s="105">
        <v>174497.2</v>
      </c>
      <c r="AB21" s="105">
        <v>19712</v>
      </c>
      <c r="AC21" s="105">
        <v>29655</v>
      </c>
      <c r="AD21" s="105">
        <v>25017</v>
      </c>
      <c r="AE21" s="105">
        <v>42635</v>
      </c>
      <c r="AF21" s="105">
        <v>49480</v>
      </c>
      <c r="AG21" s="105">
        <v>86740</v>
      </c>
      <c r="AH21" s="105">
        <v>248569</v>
      </c>
      <c r="AI21" s="105">
        <v>272617</v>
      </c>
      <c r="AJ21" s="105">
        <v>280321</v>
      </c>
      <c r="AK21" s="105">
        <v>289194</v>
      </c>
      <c r="AL21" s="105">
        <v>330200</v>
      </c>
      <c r="AM21" s="105">
        <v>354111</v>
      </c>
    </row>
    <row r="22" spans="1:39">
      <c r="A22" s="3" t="s">
        <v>3353</v>
      </c>
      <c r="B22" s="3" t="s">
        <v>3352</v>
      </c>
      <c r="C22" s="3" t="s">
        <v>3379</v>
      </c>
      <c r="D22" s="105">
        <v>15205.498170000001</v>
      </c>
      <c r="E22" s="105">
        <v>18490.278594736839</v>
      </c>
      <c r="F22" s="105">
        <v>21790.694484210526</v>
      </c>
      <c r="G22" s="105">
        <v>26728.091229999998</v>
      </c>
      <c r="H22" s="105">
        <v>30698.646290476183</v>
      </c>
      <c r="I22" s="105">
        <v>37694.967254545452</v>
      </c>
      <c r="J22" s="105">
        <v>576589.71239999996</v>
      </c>
      <c r="K22" s="105">
        <v>308414.67019999999</v>
      </c>
      <c r="L22" s="105">
        <v>188608.19080000001</v>
      </c>
      <c r="M22" s="105">
        <v>330920.60619999998</v>
      </c>
      <c r="N22" s="105">
        <v>438795.69260000001</v>
      </c>
      <c r="O22" s="105">
        <v>153985.50719999999</v>
      </c>
      <c r="P22" s="105">
        <v>430052.65289999999</v>
      </c>
      <c r="Q22" s="105">
        <v>437000.8873</v>
      </c>
      <c r="R22" s="105">
        <v>489094.61790000001</v>
      </c>
      <c r="S22" s="105">
        <v>496870.99449999997</v>
      </c>
      <c r="T22" s="105">
        <v>508534.17330000002</v>
      </c>
      <c r="U22" s="105">
        <v>577463.76809999999</v>
      </c>
      <c r="V22" s="105">
        <v>281684.13</v>
      </c>
      <c r="W22" s="105">
        <v>615164.78819999995</v>
      </c>
      <c r="X22" s="105">
        <v>649879.26500000001</v>
      </c>
      <c r="Y22" s="105">
        <v>704456.72869999998</v>
      </c>
      <c r="Z22" s="105">
        <v>641535.07649999997</v>
      </c>
      <c r="AA22" s="105">
        <v>1311325</v>
      </c>
      <c r="AB22" s="105">
        <v>118073</v>
      </c>
      <c r="AC22" s="105">
        <v>245901</v>
      </c>
      <c r="AD22" s="105">
        <v>266177</v>
      </c>
      <c r="AE22" s="105">
        <v>278005</v>
      </c>
      <c r="AF22" s="105">
        <v>162879</v>
      </c>
      <c r="AG22" s="105">
        <v>505773</v>
      </c>
      <c r="AH22" s="105">
        <v>1970433</v>
      </c>
      <c r="AI22" s="105">
        <v>2135611</v>
      </c>
      <c r="AJ22" s="105">
        <v>2340499</v>
      </c>
      <c r="AK22" s="105">
        <v>2366358</v>
      </c>
      <c r="AL22" s="105">
        <v>2400264</v>
      </c>
      <c r="AM22" s="105">
        <v>2731087</v>
      </c>
    </row>
    <row r="23" spans="1:39">
      <c r="A23" s="3" t="s">
        <v>3355</v>
      </c>
      <c r="B23" s="3" t="s">
        <v>3354</v>
      </c>
      <c r="C23" s="3" t="s">
        <v>3380</v>
      </c>
      <c r="D23" s="105">
        <v>129077.36196000001</v>
      </c>
      <c r="E23" s="105">
        <v>142409.53322631578</v>
      </c>
      <c r="F23" s="105">
        <v>160586.90422631579</v>
      </c>
      <c r="G23" s="105">
        <v>184872.43218499998</v>
      </c>
      <c r="H23" s="105">
        <v>197471.14577619045</v>
      </c>
      <c r="I23" s="105">
        <v>224221.5481333333</v>
      </c>
      <c r="J23" s="105">
        <v>21256.8377</v>
      </c>
      <c r="K23" s="105">
        <v>14763.321599999999</v>
      </c>
      <c r="L23" s="105">
        <v>13122.236500000001</v>
      </c>
      <c r="M23" s="105">
        <v>19770.682100000002</v>
      </c>
      <c r="N23" s="105">
        <v>7652.3942999999999</v>
      </c>
      <c r="O23" s="105">
        <v>7652.3942999999999</v>
      </c>
      <c r="P23" s="105">
        <v>7121.6463000000003</v>
      </c>
      <c r="Q23" s="105">
        <v>6867.7305999999999</v>
      </c>
      <c r="R23" s="105">
        <v>6538.2969999999996</v>
      </c>
      <c r="S23" s="105">
        <v>6255.4426999999996</v>
      </c>
      <c r="T23" s="105">
        <v>5790.3161</v>
      </c>
      <c r="U23" s="105">
        <v>5790.3161</v>
      </c>
      <c r="V23" s="105">
        <v>24632.375499999998</v>
      </c>
      <c r="W23" s="105">
        <v>28570.5082</v>
      </c>
      <c r="X23" s="105">
        <v>31450.679899999999</v>
      </c>
      <c r="Y23" s="105">
        <v>31392.194200000002</v>
      </c>
      <c r="Z23" s="105">
        <v>45099.077400000002</v>
      </c>
      <c r="AA23" s="105">
        <v>33651</v>
      </c>
      <c r="AB23" s="105">
        <v>7813</v>
      </c>
      <c r="AC23" s="105">
        <v>4782</v>
      </c>
      <c r="AD23" s="105">
        <v>11618</v>
      </c>
      <c r="AE23" s="105">
        <v>11868</v>
      </c>
      <c r="AF23" s="105">
        <v>15150</v>
      </c>
      <c r="AG23" s="105">
        <v>15150</v>
      </c>
      <c r="AH23" s="105">
        <v>81696</v>
      </c>
      <c r="AI23" s="105">
        <v>82053</v>
      </c>
      <c r="AJ23" s="105">
        <v>73918</v>
      </c>
      <c r="AK23" s="105">
        <v>75726</v>
      </c>
      <c r="AL23" s="105">
        <v>74170</v>
      </c>
      <c r="AM23" s="105">
        <v>74170</v>
      </c>
    </row>
    <row r="24" spans="1:39">
      <c r="A24" s="3" t="s">
        <v>3357</v>
      </c>
      <c r="B24" s="3" t="s">
        <v>3356</v>
      </c>
      <c r="C24" s="3" t="s">
        <v>3373</v>
      </c>
      <c r="D24" s="105">
        <v>12883.456249999999</v>
      </c>
      <c r="E24" s="105">
        <v>13957.001700000001</v>
      </c>
      <c r="F24" s="105">
        <v>12389.685626315788</v>
      </c>
      <c r="G24" s="105">
        <v>9182.953634999998</v>
      </c>
      <c r="H24" s="105">
        <v>9521.5041904761893</v>
      </c>
      <c r="I24" s="105">
        <v>12248.177104545453</v>
      </c>
      <c r="J24" s="105">
        <v>5156.8773000000001</v>
      </c>
      <c r="K24" s="105">
        <v>4324.2596000000003</v>
      </c>
      <c r="L24" s="105">
        <v>2778.1855999999998</v>
      </c>
      <c r="M24" s="105">
        <v>3057.4819000000002</v>
      </c>
      <c r="N24" s="105">
        <v>5088.5024999999996</v>
      </c>
      <c r="O24" s="105">
        <v>6108.9620000000004</v>
      </c>
      <c r="P24" s="105">
        <v>118.21559999999999</v>
      </c>
      <c r="Q24" s="105">
        <v>113.3552</v>
      </c>
      <c r="R24" s="105">
        <v>98.355800000000002</v>
      </c>
      <c r="S24" s="105">
        <v>593.31179999999995</v>
      </c>
      <c r="T24" s="105">
        <v>523.96619999999996</v>
      </c>
      <c r="U24" s="105">
        <v>533.52679999999998</v>
      </c>
      <c r="V24" s="105">
        <v>2348.7546000000002</v>
      </c>
      <c r="W24" s="105">
        <v>4442.1841999999997</v>
      </c>
      <c r="X24" s="105">
        <v>4837.1163999999999</v>
      </c>
      <c r="Y24" s="105">
        <v>1107.1719000000001</v>
      </c>
      <c r="Z24" s="105">
        <v>447.85669999999999</v>
      </c>
      <c r="AA24" s="105">
        <v>1811.5</v>
      </c>
      <c r="AB24" s="105">
        <v>786</v>
      </c>
      <c r="AC24" s="105">
        <v>1896</v>
      </c>
      <c r="AD24" s="105">
        <v>2398</v>
      </c>
      <c r="AE24" s="105">
        <v>-456</v>
      </c>
      <c r="AF24" s="105">
        <v>-645</v>
      </c>
      <c r="AG24" s="105">
        <v>126</v>
      </c>
      <c r="AH24" s="105">
        <v>13086</v>
      </c>
      <c r="AI24" s="105">
        <v>15960</v>
      </c>
      <c r="AJ24" s="105">
        <v>16895</v>
      </c>
      <c r="AK24" s="105">
        <v>16885</v>
      </c>
      <c r="AL24" s="105">
        <v>16219</v>
      </c>
      <c r="AM24" s="105">
        <v>17101</v>
      </c>
    </row>
  </sheetData>
  <phoneticPr fontId="1" type="noConversion"/>
  <pageMargins left="0.7" right="0.7" top="0.75" bottom="0.75" header="0.3" footer="0.3"/>
  <pageSetup paperSize="9" orientation="portrait" verticalDpi="0"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B2:J268"/>
  <sheetViews>
    <sheetView workbookViewId="0"/>
  </sheetViews>
  <sheetFormatPr defaultColWidth="9" defaultRowHeight="12"/>
  <cols>
    <col min="1" max="1" width="3.75" style="1" customWidth="1"/>
    <col min="2" max="2" width="14.75" style="1" bestFit="1" customWidth="1"/>
    <col min="3" max="3" width="43.875" style="1" bestFit="1" customWidth="1"/>
    <col min="4" max="4" width="16.375" style="1" bestFit="1" customWidth="1"/>
    <col min="5" max="5" width="13.875" style="1" bestFit="1" customWidth="1"/>
    <col min="6" max="6" width="14.75" style="1" bestFit="1" customWidth="1"/>
    <col min="7" max="7" width="13" style="1" bestFit="1" customWidth="1"/>
    <col min="8" max="8" width="11.375" style="1" bestFit="1" customWidth="1"/>
    <col min="9" max="9" width="14.75" style="1" bestFit="1" customWidth="1"/>
    <col min="10" max="16384" width="9" style="1"/>
  </cols>
  <sheetData>
    <row r="2" spans="2:10">
      <c r="B2" s="1" t="s">
        <v>3815</v>
      </c>
    </row>
    <row r="4" spans="2:10">
      <c r="D4" s="1" t="s">
        <v>4728</v>
      </c>
      <c r="E4" s="1" t="s">
        <v>4729</v>
      </c>
      <c r="F4" s="1" t="s">
        <v>4730</v>
      </c>
      <c r="G4" s="1" t="s">
        <v>4731</v>
      </c>
      <c r="H4" s="1" t="s">
        <v>4732</v>
      </c>
      <c r="I4" s="1" t="s">
        <v>4733</v>
      </c>
    </row>
    <row r="5" spans="2:10">
      <c r="C5" s="1" t="s">
        <v>4721</v>
      </c>
      <c r="D5" s="19">
        <f>D17</f>
        <v>180990258612</v>
      </c>
      <c r="E5" s="19">
        <f t="shared" ref="E5:I5" si="0">E17</f>
        <v>1788202051</v>
      </c>
      <c r="F5" s="19">
        <f t="shared" si="0"/>
        <v>46577636221</v>
      </c>
      <c r="G5" s="19">
        <f t="shared" si="0"/>
        <v>1710563227</v>
      </c>
      <c r="H5" s="19">
        <f t="shared" si="0"/>
        <v>242840267</v>
      </c>
      <c r="I5" s="19">
        <f t="shared" si="0"/>
        <v>132459218897</v>
      </c>
    </row>
    <row r="6" spans="2:10">
      <c r="C6" s="1" t="s">
        <v>4722</v>
      </c>
      <c r="D6" s="19">
        <f t="shared" ref="D6:I6" si="1">D18</f>
        <v>84851396120</v>
      </c>
      <c r="E6" s="19">
        <f t="shared" si="1"/>
        <v>1396071170</v>
      </c>
      <c r="F6" s="19">
        <f t="shared" si="1"/>
        <v>34654549545</v>
      </c>
      <c r="G6" s="19">
        <f t="shared" si="1"/>
        <v>786466160</v>
      </c>
      <c r="H6" s="19">
        <f t="shared" si="1"/>
        <v>56274910</v>
      </c>
      <c r="I6" s="19">
        <f t="shared" si="1"/>
        <v>49354105505</v>
      </c>
    </row>
    <row r="7" spans="2:10">
      <c r="C7" s="1" t="s">
        <v>4723</v>
      </c>
      <c r="D7" s="19">
        <f t="shared" ref="D7:I7" si="2">D19</f>
        <v>1076831180870</v>
      </c>
      <c r="E7" s="19">
        <f t="shared" si="2"/>
        <v>27842149537</v>
      </c>
      <c r="F7" s="19">
        <f t="shared" si="2"/>
        <v>768755786510</v>
      </c>
      <c r="G7" s="19">
        <f t="shared" si="2"/>
        <v>1951411221</v>
      </c>
      <c r="H7" s="19">
        <f t="shared" si="2"/>
        <v>0</v>
      </c>
      <c r="I7" s="19">
        <f t="shared" si="2"/>
        <v>306123983139</v>
      </c>
    </row>
    <row r="8" spans="2:10">
      <c r="C8" s="1" t="s">
        <v>4724</v>
      </c>
      <c r="D8" s="19">
        <f t="shared" ref="D8:I8" si="3">D20</f>
        <v>2261073160</v>
      </c>
      <c r="E8" s="19">
        <f t="shared" si="3"/>
        <v>148583547</v>
      </c>
      <c r="F8" s="19">
        <f t="shared" si="3"/>
        <v>1389378094</v>
      </c>
      <c r="G8" s="19">
        <f t="shared" si="3"/>
        <v>0</v>
      </c>
      <c r="H8" s="19">
        <f t="shared" si="3"/>
        <v>1000000</v>
      </c>
      <c r="I8" s="19">
        <f t="shared" si="3"/>
        <v>870695066</v>
      </c>
    </row>
    <row r="9" spans="2:10">
      <c r="C9" s="1" t="s">
        <v>4725</v>
      </c>
      <c r="D9" s="19">
        <f t="shared" ref="D9:I9" si="4">D21</f>
        <v>1254057410</v>
      </c>
      <c r="E9" s="19">
        <f t="shared" si="4"/>
        <v>12973336</v>
      </c>
      <c r="F9" s="19">
        <f t="shared" si="4"/>
        <v>1167608025</v>
      </c>
      <c r="G9" s="19">
        <f t="shared" si="4"/>
        <v>0</v>
      </c>
      <c r="H9" s="19">
        <f t="shared" si="4"/>
        <v>0</v>
      </c>
      <c r="I9" s="19">
        <f t="shared" si="4"/>
        <v>86449385</v>
      </c>
    </row>
    <row r="10" spans="2:10">
      <c r="C10" s="1" t="s">
        <v>4726</v>
      </c>
      <c r="D10" s="19">
        <f t="shared" ref="D10:I10" si="5">D22</f>
        <v>26499325901</v>
      </c>
      <c r="E10" s="19">
        <f t="shared" si="5"/>
        <v>980070243</v>
      </c>
      <c r="F10" s="19">
        <f t="shared" si="5"/>
        <v>19505320144</v>
      </c>
      <c r="G10" s="19">
        <f t="shared" si="5"/>
        <v>0</v>
      </c>
      <c r="H10" s="19">
        <f t="shared" si="5"/>
        <v>2765554</v>
      </c>
      <c r="I10" s="19">
        <f t="shared" si="5"/>
        <v>6991240203</v>
      </c>
    </row>
    <row r="11" spans="2:10">
      <c r="C11" s="1" t="s">
        <v>1458</v>
      </c>
      <c r="D11" s="19">
        <f>D262</f>
        <v>34864542524</v>
      </c>
      <c r="E11" s="19">
        <f t="shared" ref="E11:I11" si="6">E262</f>
        <v>1716786825</v>
      </c>
      <c r="F11" s="19">
        <f t="shared" si="6"/>
        <v>22985155840</v>
      </c>
      <c r="G11" s="19">
        <f t="shared" si="6"/>
        <v>0</v>
      </c>
      <c r="H11" s="19">
        <f t="shared" si="6"/>
        <v>0</v>
      </c>
      <c r="I11" s="19">
        <f t="shared" si="6"/>
        <v>11879386684</v>
      </c>
    </row>
    <row r="12" spans="2:10">
      <c r="C12" s="1" t="s">
        <v>4727</v>
      </c>
      <c r="D12" s="19">
        <f>D267</f>
        <v>1873278080</v>
      </c>
      <c r="E12" s="19">
        <f t="shared" ref="E12:I12" si="7">E267</f>
        <v>18732781</v>
      </c>
      <c r="F12" s="19">
        <f t="shared" si="7"/>
        <v>93663904</v>
      </c>
      <c r="G12" s="19">
        <f t="shared" si="7"/>
        <v>0</v>
      </c>
      <c r="H12" s="19">
        <f t="shared" si="7"/>
        <v>0</v>
      </c>
      <c r="I12" s="19">
        <f t="shared" si="7"/>
        <v>1873278080</v>
      </c>
    </row>
    <row r="13" spans="2:10">
      <c r="D13" s="19">
        <f>SUM(D5:D12)</f>
        <v>1409425112677</v>
      </c>
      <c r="E13" s="19">
        <f t="shared" ref="E13:I13" si="8">SUM(E5:E12)</f>
        <v>33903569490</v>
      </c>
      <c r="F13" s="19">
        <f t="shared" si="8"/>
        <v>895129098283</v>
      </c>
      <c r="G13" s="19">
        <f t="shared" si="8"/>
        <v>4448440608</v>
      </c>
      <c r="H13" s="19">
        <f t="shared" si="8"/>
        <v>302880731</v>
      </c>
      <c r="I13" s="19">
        <f t="shared" si="8"/>
        <v>509638356959</v>
      </c>
    </row>
    <row r="16" spans="2:10">
      <c r="B16" s="2455" t="s">
        <v>1459</v>
      </c>
      <c r="C16" s="2455" t="s">
        <v>4471</v>
      </c>
      <c r="D16" s="2455" t="s">
        <v>3610</v>
      </c>
      <c r="E16" s="2456" t="s">
        <v>4472</v>
      </c>
      <c r="F16" s="2456" t="s">
        <v>3616</v>
      </c>
      <c r="G16" s="2456" t="s">
        <v>4473</v>
      </c>
      <c r="H16" s="2456" t="s">
        <v>4474</v>
      </c>
      <c r="I16" s="2456" t="s">
        <v>4475</v>
      </c>
      <c r="J16" s="2456" t="s">
        <v>4476</v>
      </c>
    </row>
    <row r="17" spans="2:10">
      <c r="B17" s="2457" t="s">
        <v>4477</v>
      </c>
      <c r="C17" s="2458" t="s">
        <v>4478</v>
      </c>
      <c r="D17" s="2459">
        <v>180990258612</v>
      </c>
      <c r="E17" s="2459">
        <v>1788202051</v>
      </c>
      <c r="F17" s="2459">
        <v>46577636221</v>
      </c>
      <c r="G17" s="2459">
        <v>1710563227</v>
      </c>
      <c r="H17" s="2459">
        <v>242840267</v>
      </c>
      <c r="I17" s="2459">
        <v>132459218897</v>
      </c>
      <c r="J17" s="2460" t="s">
        <v>4479</v>
      </c>
    </row>
    <row r="18" spans="2:10">
      <c r="B18" s="2461"/>
      <c r="C18" s="2458" t="s">
        <v>4480</v>
      </c>
      <c r="D18" s="2459">
        <v>84851396120</v>
      </c>
      <c r="E18" s="2459">
        <v>1396071170</v>
      </c>
      <c r="F18" s="2459">
        <v>34654549545</v>
      </c>
      <c r="G18" s="2459">
        <v>786466160</v>
      </c>
      <c r="H18" s="2459">
        <v>56274910</v>
      </c>
      <c r="I18" s="2459">
        <v>49354105505</v>
      </c>
      <c r="J18" s="2460" t="s">
        <v>4481</v>
      </c>
    </row>
    <row r="19" spans="2:10">
      <c r="B19" s="2461"/>
      <c r="C19" s="2458" t="s">
        <v>4482</v>
      </c>
      <c r="D19" s="2459">
        <v>1076831180870</v>
      </c>
      <c r="E19" s="2459">
        <v>27842149537</v>
      </c>
      <c r="F19" s="2459">
        <v>768755786510</v>
      </c>
      <c r="G19" s="2459">
        <v>1951411221</v>
      </c>
      <c r="H19" s="2459">
        <v>0</v>
      </c>
      <c r="I19" s="2459">
        <v>306123983139</v>
      </c>
      <c r="J19" s="2460" t="s">
        <v>4481</v>
      </c>
    </row>
    <row r="20" spans="2:10">
      <c r="B20" s="2461"/>
      <c r="C20" s="2458" t="s">
        <v>4483</v>
      </c>
      <c r="D20" s="2459">
        <v>2261073160</v>
      </c>
      <c r="E20" s="2459">
        <v>148583547</v>
      </c>
      <c r="F20" s="2459">
        <v>1389378094</v>
      </c>
      <c r="G20" s="2459">
        <v>0</v>
      </c>
      <c r="H20" s="2459">
        <v>1000000</v>
      </c>
      <c r="I20" s="2459">
        <v>870695066</v>
      </c>
      <c r="J20" s="2460" t="s">
        <v>4481</v>
      </c>
    </row>
    <row r="21" spans="2:10">
      <c r="B21" s="2461"/>
      <c r="C21" s="2458" t="s">
        <v>4484</v>
      </c>
      <c r="D21" s="2459">
        <v>1254057410</v>
      </c>
      <c r="E21" s="2459">
        <v>12973336</v>
      </c>
      <c r="F21" s="2459">
        <v>1167608025</v>
      </c>
      <c r="G21" s="2459">
        <v>0</v>
      </c>
      <c r="H21" s="2459">
        <v>0</v>
      </c>
      <c r="I21" s="2459">
        <v>86449385</v>
      </c>
      <c r="J21" s="2460" t="s">
        <v>4481</v>
      </c>
    </row>
    <row r="22" spans="2:10">
      <c r="B22" s="2461"/>
      <c r="C22" s="2458" t="s">
        <v>4485</v>
      </c>
      <c r="D22" s="2459">
        <v>26499325901</v>
      </c>
      <c r="E22" s="2459">
        <v>980070243</v>
      </c>
      <c r="F22" s="2459">
        <v>19505320144</v>
      </c>
      <c r="G22" s="2459">
        <v>0</v>
      </c>
      <c r="H22" s="2459">
        <v>2765554</v>
      </c>
      <c r="I22" s="2462">
        <v>6991240203</v>
      </c>
      <c r="J22" s="2460" t="s">
        <v>4481</v>
      </c>
    </row>
    <row r="23" spans="2:10">
      <c r="B23" s="2463"/>
      <c r="C23" s="2464" t="s">
        <v>4486</v>
      </c>
      <c r="D23" s="2465">
        <v>1372687292073</v>
      </c>
      <c r="E23" s="2465">
        <v>32168049884</v>
      </c>
      <c r="F23" s="2465">
        <v>872050278539</v>
      </c>
      <c r="G23" s="2465">
        <v>4448440608</v>
      </c>
      <c r="H23" s="2465">
        <v>302880731</v>
      </c>
      <c r="I23" s="2465">
        <v>495885692195</v>
      </c>
      <c r="J23" s="2456"/>
    </row>
    <row r="24" spans="2:10">
      <c r="B24" s="2461" t="s">
        <v>4487</v>
      </c>
      <c r="C24" s="2458" t="s">
        <v>4488</v>
      </c>
      <c r="D24" s="2459">
        <v>8829622</v>
      </c>
      <c r="E24" s="2459">
        <v>0</v>
      </c>
      <c r="F24" s="2459">
        <v>8829622</v>
      </c>
      <c r="G24" s="2459">
        <v>0</v>
      </c>
      <c r="H24" s="2459">
        <v>0</v>
      </c>
      <c r="I24" s="2459">
        <v>0</v>
      </c>
      <c r="J24" s="2466" t="s">
        <v>4479</v>
      </c>
    </row>
    <row r="25" spans="2:10">
      <c r="B25" s="2461"/>
      <c r="C25" s="2458" t="s">
        <v>4489</v>
      </c>
      <c r="D25" s="2459">
        <v>0</v>
      </c>
      <c r="E25" s="2459">
        <v>0</v>
      </c>
      <c r="F25" s="2459">
        <v>0</v>
      </c>
      <c r="G25" s="2459">
        <v>0</v>
      </c>
      <c r="H25" s="2459">
        <v>0</v>
      </c>
      <c r="I25" s="2459">
        <v>0</v>
      </c>
      <c r="J25" s="2460" t="s">
        <v>4481</v>
      </c>
    </row>
    <row r="26" spans="2:10">
      <c r="B26" s="2461"/>
      <c r="C26" s="2467" t="s">
        <v>4490</v>
      </c>
      <c r="D26" s="2459">
        <v>34855712902</v>
      </c>
      <c r="E26" s="2459">
        <v>1716786825</v>
      </c>
      <c r="F26" s="2459">
        <v>22976326218</v>
      </c>
      <c r="G26" s="2459">
        <v>0</v>
      </c>
      <c r="H26" s="2459">
        <v>0</v>
      </c>
      <c r="I26" s="2459">
        <v>11879386684</v>
      </c>
      <c r="J26" s="2460" t="s">
        <v>4481</v>
      </c>
    </row>
    <row r="27" spans="2:10">
      <c r="B27" s="2468">
        <v>770000</v>
      </c>
      <c r="C27" s="2469" t="s">
        <v>4491</v>
      </c>
      <c r="D27" s="2470">
        <v>313795000</v>
      </c>
      <c r="E27" s="2471">
        <v>0</v>
      </c>
      <c r="F27" s="2471">
        <v>313795000</v>
      </c>
      <c r="G27" s="2470">
        <v>0</v>
      </c>
      <c r="H27" s="2470">
        <v>0</v>
      </c>
      <c r="I27" s="2470">
        <v>0</v>
      </c>
      <c r="J27" s="2457" t="s">
        <v>4481</v>
      </c>
    </row>
    <row r="28" spans="2:10">
      <c r="B28" s="2468">
        <v>770001</v>
      </c>
      <c r="C28" s="2472" t="s">
        <v>4492</v>
      </c>
      <c r="D28" s="2462">
        <v>4988836180</v>
      </c>
      <c r="E28" s="2459">
        <v>0</v>
      </c>
      <c r="F28" s="2459">
        <v>4988836180</v>
      </c>
      <c r="G28" s="2459">
        <v>0</v>
      </c>
      <c r="H28" s="2459">
        <v>0</v>
      </c>
      <c r="I28" s="2462">
        <v>0</v>
      </c>
      <c r="J28" s="2457" t="s">
        <v>4481</v>
      </c>
    </row>
    <row r="29" spans="2:10">
      <c r="B29" s="2468">
        <v>770002</v>
      </c>
      <c r="C29" s="2472" t="s">
        <v>4493</v>
      </c>
      <c r="D29" s="2462">
        <v>360490000</v>
      </c>
      <c r="E29" s="2459">
        <v>0</v>
      </c>
      <c r="F29" s="2459">
        <v>360490000</v>
      </c>
      <c r="G29" s="2459">
        <v>0</v>
      </c>
      <c r="H29" s="2459">
        <v>0</v>
      </c>
      <c r="I29" s="2462">
        <v>0</v>
      </c>
      <c r="J29" s="2457" t="s">
        <v>4481</v>
      </c>
    </row>
    <row r="30" spans="2:10">
      <c r="B30" s="2468">
        <v>770003</v>
      </c>
      <c r="C30" s="2472" t="s">
        <v>4494</v>
      </c>
      <c r="D30" s="2462">
        <v>776179275</v>
      </c>
      <c r="E30" s="2459">
        <v>0</v>
      </c>
      <c r="F30" s="2459">
        <v>776179275</v>
      </c>
      <c r="G30" s="2459">
        <v>0</v>
      </c>
      <c r="H30" s="2459">
        <v>0</v>
      </c>
      <c r="I30" s="2462">
        <v>0</v>
      </c>
      <c r="J30" s="2457" t="s">
        <v>4481</v>
      </c>
    </row>
    <row r="31" spans="2:10">
      <c r="B31" s="2468">
        <v>770005</v>
      </c>
      <c r="C31" s="2472" t="s">
        <v>4495</v>
      </c>
      <c r="D31" s="2462">
        <v>824913168</v>
      </c>
      <c r="E31" s="2459">
        <v>0</v>
      </c>
      <c r="F31" s="2459">
        <v>824913168</v>
      </c>
      <c r="G31" s="2459">
        <v>0</v>
      </c>
      <c r="H31" s="2459">
        <v>0</v>
      </c>
      <c r="I31" s="2462">
        <v>0</v>
      </c>
      <c r="J31" s="2457" t="s">
        <v>4481</v>
      </c>
    </row>
    <row r="32" spans="2:10">
      <c r="B32" s="2468">
        <v>770006</v>
      </c>
      <c r="C32" s="2472" t="s">
        <v>4496</v>
      </c>
      <c r="D32" s="2462">
        <v>25451200</v>
      </c>
      <c r="E32" s="2459">
        <v>0</v>
      </c>
      <c r="F32" s="2459">
        <v>25451200</v>
      </c>
      <c r="G32" s="2459">
        <v>0</v>
      </c>
      <c r="H32" s="2459">
        <v>0</v>
      </c>
      <c r="I32" s="2462">
        <v>0</v>
      </c>
      <c r="J32" s="2460" t="s">
        <v>4481</v>
      </c>
    </row>
    <row r="33" spans="2:10">
      <c r="B33" s="2468">
        <v>770008</v>
      </c>
      <c r="C33" s="2472" t="s">
        <v>4497</v>
      </c>
      <c r="D33" s="2462">
        <v>4800000</v>
      </c>
      <c r="E33" s="2459">
        <v>0</v>
      </c>
      <c r="F33" s="2459">
        <v>4800000</v>
      </c>
      <c r="G33" s="2459">
        <v>0</v>
      </c>
      <c r="H33" s="2459">
        <v>0</v>
      </c>
      <c r="I33" s="2462">
        <v>0</v>
      </c>
      <c r="J33" s="2460" t="s">
        <v>4481</v>
      </c>
    </row>
    <row r="34" spans="2:10">
      <c r="B34" s="2468">
        <v>770009</v>
      </c>
      <c r="C34" s="2472" t="s">
        <v>4498</v>
      </c>
      <c r="D34" s="2462">
        <v>348000</v>
      </c>
      <c r="E34" s="2459">
        <v>0</v>
      </c>
      <c r="F34" s="2459">
        <v>348000</v>
      </c>
      <c r="G34" s="2459">
        <v>0</v>
      </c>
      <c r="H34" s="2459">
        <v>0</v>
      </c>
      <c r="I34" s="2462">
        <v>0</v>
      </c>
      <c r="J34" s="2457" t="s">
        <v>4481</v>
      </c>
    </row>
    <row r="35" spans="2:10">
      <c r="B35" s="2468">
        <v>770010</v>
      </c>
      <c r="C35" s="2472" t="s">
        <v>4499</v>
      </c>
      <c r="D35" s="2462">
        <v>15900000</v>
      </c>
      <c r="E35" s="2459">
        <v>0</v>
      </c>
      <c r="F35" s="2459">
        <v>15900000</v>
      </c>
      <c r="G35" s="2459">
        <v>0</v>
      </c>
      <c r="H35" s="2459">
        <v>0</v>
      </c>
      <c r="I35" s="2462">
        <v>0</v>
      </c>
      <c r="J35" s="2457" t="s">
        <v>4481</v>
      </c>
    </row>
    <row r="36" spans="2:10">
      <c r="B36" s="2468">
        <v>770011</v>
      </c>
      <c r="C36" s="2472" t="s">
        <v>4500</v>
      </c>
      <c r="D36" s="2462">
        <v>16943000</v>
      </c>
      <c r="E36" s="2459">
        <v>0</v>
      </c>
      <c r="F36" s="2459">
        <v>16943000</v>
      </c>
      <c r="G36" s="2459">
        <v>0</v>
      </c>
      <c r="H36" s="2459">
        <v>0</v>
      </c>
      <c r="I36" s="2462">
        <v>0</v>
      </c>
      <c r="J36" s="2460" t="s">
        <v>4481</v>
      </c>
    </row>
    <row r="37" spans="2:10">
      <c r="B37" s="2468">
        <v>770013</v>
      </c>
      <c r="C37" s="2472" t="s">
        <v>4501</v>
      </c>
      <c r="D37" s="2462">
        <v>50400000</v>
      </c>
      <c r="E37" s="2459">
        <v>0</v>
      </c>
      <c r="F37" s="2459">
        <v>50400000</v>
      </c>
      <c r="G37" s="2459">
        <v>0</v>
      </c>
      <c r="H37" s="2459">
        <v>0</v>
      </c>
      <c r="I37" s="2462">
        <v>0</v>
      </c>
      <c r="J37" s="2460" t="s">
        <v>4481</v>
      </c>
    </row>
    <row r="38" spans="2:10">
      <c r="B38" s="2468">
        <v>770015</v>
      </c>
      <c r="C38" s="2472" t="s">
        <v>4502</v>
      </c>
      <c r="D38" s="2462">
        <v>200080000</v>
      </c>
      <c r="E38" s="2459">
        <v>0</v>
      </c>
      <c r="F38" s="2459">
        <v>200080000</v>
      </c>
      <c r="G38" s="2459">
        <v>0</v>
      </c>
      <c r="H38" s="2459">
        <v>0</v>
      </c>
      <c r="I38" s="2462">
        <v>0</v>
      </c>
      <c r="J38" s="2457" t="s">
        <v>4481</v>
      </c>
    </row>
    <row r="39" spans="2:10">
      <c r="B39" s="2468">
        <v>770018</v>
      </c>
      <c r="C39" s="2472" t="s">
        <v>4503</v>
      </c>
      <c r="D39" s="2462">
        <v>11617000</v>
      </c>
      <c r="E39" s="2459">
        <v>0</v>
      </c>
      <c r="F39" s="2459">
        <v>11617000</v>
      </c>
      <c r="G39" s="2459">
        <v>0</v>
      </c>
      <c r="H39" s="2459">
        <v>0</v>
      </c>
      <c r="I39" s="2462">
        <v>0</v>
      </c>
      <c r="J39" s="2457" t="s">
        <v>4481</v>
      </c>
    </row>
    <row r="40" spans="2:10">
      <c r="B40" s="2468">
        <v>770019</v>
      </c>
      <c r="C40" s="2472" t="s">
        <v>4504</v>
      </c>
      <c r="D40" s="2462">
        <v>8800000</v>
      </c>
      <c r="E40" s="2459">
        <v>0</v>
      </c>
      <c r="F40" s="2459">
        <v>8800000</v>
      </c>
      <c r="G40" s="2459">
        <v>0</v>
      </c>
      <c r="H40" s="2459">
        <v>0</v>
      </c>
      <c r="I40" s="2462">
        <v>0</v>
      </c>
      <c r="J40" s="2457" t="s">
        <v>4481</v>
      </c>
    </row>
    <row r="41" spans="2:10">
      <c r="B41" s="2468">
        <v>770020</v>
      </c>
      <c r="C41" s="2472" t="s">
        <v>4505</v>
      </c>
      <c r="D41" s="2462">
        <v>62956289</v>
      </c>
      <c r="E41" s="2459">
        <v>0</v>
      </c>
      <c r="F41" s="2459">
        <v>62956289</v>
      </c>
      <c r="G41" s="2459">
        <v>0</v>
      </c>
      <c r="H41" s="2459">
        <v>0</v>
      </c>
      <c r="I41" s="2462">
        <v>0</v>
      </c>
      <c r="J41" s="2457" t="s">
        <v>4481</v>
      </c>
    </row>
    <row r="42" spans="2:10">
      <c r="B42" s="2468">
        <v>770021</v>
      </c>
      <c r="C42" s="2472" t="s">
        <v>4506</v>
      </c>
      <c r="D42" s="2462">
        <v>8961000</v>
      </c>
      <c r="E42" s="2459">
        <v>0</v>
      </c>
      <c r="F42" s="2459">
        <v>8961000</v>
      </c>
      <c r="G42" s="2459">
        <v>0</v>
      </c>
      <c r="H42" s="2459">
        <v>0</v>
      </c>
      <c r="I42" s="2462">
        <v>0</v>
      </c>
      <c r="J42" s="2457" t="s">
        <v>4481</v>
      </c>
    </row>
    <row r="43" spans="2:10">
      <c r="B43" s="2468">
        <v>770022</v>
      </c>
      <c r="C43" s="2472" t="s">
        <v>4507</v>
      </c>
      <c r="D43" s="2462">
        <v>175445000</v>
      </c>
      <c r="E43" s="2459">
        <v>0</v>
      </c>
      <c r="F43" s="2459">
        <v>175445000</v>
      </c>
      <c r="G43" s="2459">
        <v>0</v>
      </c>
      <c r="H43" s="2459">
        <v>0</v>
      </c>
      <c r="I43" s="2462">
        <v>0</v>
      </c>
      <c r="J43" s="2457" t="s">
        <v>4481</v>
      </c>
    </row>
    <row r="44" spans="2:10">
      <c r="B44" s="2468">
        <v>770023</v>
      </c>
      <c r="C44" s="2472" t="s">
        <v>4508</v>
      </c>
      <c r="D44" s="2462">
        <v>95000000</v>
      </c>
      <c r="E44" s="2459">
        <v>0</v>
      </c>
      <c r="F44" s="2459">
        <v>95000000</v>
      </c>
      <c r="G44" s="2459">
        <v>0</v>
      </c>
      <c r="H44" s="2459">
        <v>0</v>
      </c>
      <c r="I44" s="2462">
        <v>0</v>
      </c>
      <c r="J44" s="2457" t="s">
        <v>4481</v>
      </c>
    </row>
    <row r="45" spans="2:10">
      <c r="B45" s="2468">
        <v>770024</v>
      </c>
      <c r="C45" s="2472" t="s">
        <v>4509</v>
      </c>
      <c r="D45" s="2462">
        <v>27500000</v>
      </c>
      <c r="E45" s="2459">
        <v>0</v>
      </c>
      <c r="F45" s="2459">
        <v>27500000</v>
      </c>
      <c r="G45" s="2459">
        <v>0</v>
      </c>
      <c r="H45" s="2459">
        <v>0</v>
      </c>
      <c r="I45" s="2462">
        <v>0</v>
      </c>
      <c r="J45" s="2457" t="s">
        <v>4481</v>
      </c>
    </row>
    <row r="46" spans="2:10">
      <c r="B46" s="2468">
        <v>770025</v>
      </c>
      <c r="C46" s="2472" t="s">
        <v>4510</v>
      </c>
      <c r="D46" s="2462">
        <v>1382727</v>
      </c>
      <c r="E46" s="2459">
        <v>0</v>
      </c>
      <c r="F46" s="2459">
        <v>1382727</v>
      </c>
      <c r="G46" s="2459">
        <v>0</v>
      </c>
      <c r="H46" s="2459">
        <v>0</v>
      </c>
      <c r="I46" s="2462">
        <v>0</v>
      </c>
      <c r="J46" s="2457" t="s">
        <v>4481</v>
      </c>
    </row>
    <row r="47" spans="2:10">
      <c r="B47" s="2468">
        <v>770026</v>
      </c>
      <c r="C47" s="2472" t="s">
        <v>4511</v>
      </c>
      <c r="D47" s="2462">
        <v>25373696</v>
      </c>
      <c r="E47" s="2459">
        <v>0</v>
      </c>
      <c r="F47" s="2459">
        <v>25373696</v>
      </c>
      <c r="G47" s="2459">
        <v>0</v>
      </c>
      <c r="H47" s="2459">
        <v>0</v>
      </c>
      <c r="I47" s="2462">
        <v>0</v>
      </c>
      <c r="J47" s="2457" t="s">
        <v>4481</v>
      </c>
    </row>
    <row r="48" spans="2:10">
      <c r="B48" s="2468">
        <v>770027</v>
      </c>
      <c r="C48" s="2472" t="s">
        <v>4512</v>
      </c>
      <c r="D48" s="2462">
        <v>59307000</v>
      </c>
      <c r="E48" s="2459">
        <v>0</v>
      </c>
      <c r="F48" s="2459">
        <v>59307000</v>
      </c>
      <c r="G48" s="2459">
        <v>0</v>
      </c>
      <c r="H48" s="2459">
        <v>0</v>
      </c>
      <c r="I48" s="2462">
        <v>0</v>
      </c>
      <c r="J48" s="2457" t="s">
        <v>4481</v>
      </c>
    </row>
    <row r="49" spans="2:10">
      <c r="B49" s="2468">
        <v>770028</v>
      </c>
      <c r="C49" s="2472" t="s">
        <v>4513</v>
      </c>
      <c r="D49" s="2462">
        <v>14000000</v>
      </c>
      <c r="E49" s="2459">
        <v>0</v>
      </c>
      <c r="F49" s="2459">
        <v>14000000</v>
      </c>
      <c r="G49" s="2459">
        <v>0</v>
      </c>
      <c r="H49" s="2459">
        <v>0</v>
      </c>
      <c r="I49" s="2462">
        <v>0</v>
      </c>
      <c r="J49" s="2457" t="s">
        <v>4481</v>
      </c>
    </row>
    <row r="50" spans="2:10">
      <c r="B50" s="2468">
        <v>770029</v>
      </c>
      <c r="C50" s="2472" t="s">
        <v>4514</v>
      </c>
      <c r="D50" s="2462">
        <v>6700000</v>
      </c>
      <c r="E50" s="2459">
        <v>0</v>
      </c>
      <c r="F50" s="2459">
        <v>6700000</v>
      </c>
      <c r="G50" s="2459">
        <v>0</v>
      </c>
      <c r="H50" s="2459">
        <v>0</v>
      </c>
      <c r="I50" s="2462">
        <v>0</v>
      </c>
      <c r="J50" s="2457" t="s">
        <v>4481</v>
      </c>
    </row>
    <row r="51" spans="2:10">
      <c r="B51" s="2468">
        <v>770032</v>
      </c>
      <c r="C51" s="2472" t="s">
        <v>4515</v>
      </c>
      <c r="D51" s="2462">
        <v>3100000</v>
      </c>
      <c r="E51" s="2459">
        <v>0</v>
      </c>
      <c r="F51" s="2459">
        <v>3100000</v>
      </c>
      <c r="G51" s="2459">
        <v>0</v>
      </c>
      <c r="H51" s="2459">
        <v>0</v>
      </c>
      <c r="I51" s="2462">
        <v>0</v>
      </c>
      <c r="J51" s="2457" t="s">
        <v>4481</v>
      </c>
    </row>
    <row r="52" spans="2:10">
      <c r="B52" s="2468">
        <v>770033</v>
      </c>
      <c r="C52" s="2472" t="s">
        <v>4516</v>
      </c>
      <c r="D52" s="2462">
        <v>48000000</v>
      </c>
      <c r="E52" s="2459">
        <v>0</v>
      </c>
      <c r="F52" s="2459">
        <v>48000000</v>
      </c>
      <c r="G52" s="2459">
        <v>0</v>
      </c>
      <c r="H52" s="2459">
        <v>0</v>
      </c>
      <c r="I52" s="2462">
        <v>0</v>
      </c>
      <c r="J52" s="2457" t="s">
        <v>4481</v>
      </c>
    </row>
    <row r="53" spans="2:10">
      <c r="B53" s="2468">
        <v>770034</v>
      </c>
      <c r="C53" s="2472" t="s">
        <v>4517</v>
      </c>
      <c r="D53" s="2462">
        <v>41491000</v>
      </c>
      <c r="E53" s="2459">
        <v>0</v>
      </c>
      <c r="F53" s="2459">
        <v>41491000</v>
      </c>
      <c r="G53" s="2459">
        <v>0</v>
      </c>
      <c r="H53" s="2459">
        <v>0</v>
      </c>
      <c r="I53" s="2462">
        <v>0</v>
      </c>
      <c r="J53" s="2457" t="s">
        <v>4481</v>
      </c>
    </row>
    <row r="54" spans="2:10">
      <c r="B54" s="2468">
        <v>770035</v>
      </c>
      <c r="C54" s="2472" t="s">
        <v>4518</v>
      </c>
      <c r="D54" s="2462">
        <v>5614000</v>
      </c>
      <c r="E54" s="2459">
        <v>0</v>
      </c>
      <c r="F54" s="2459">
        <v>5614000</v>
      </c>
      <c r="G54" s="2459">
        <v>0</v>
      </c>
      <c r="H54" s="2459">
        <v>0</v>
      </c>
      <c r="I54" s="2462">
        <v>0</v>
      </c>
      <c r="J54" s="2457" t="s">
        <v>4481</v>
      </c>
    </row>
    <row r="55" spans="2:10">
      <c r="B55" s="2468">
        <v>770036</v>
      </c>
      <c r="C55" s="2472" t="s">
        <v>4519</v>
      </c>
      <c r="D55" s="2462">
        <v>6030000</v>
      </c>
      <c r="E55" s="2459">
        <v>0</v>
      </c>
      <c r="F55" s="2459">
        <v>6030000</v>
      </c>
      <c r="G55" s="2459">
        <v>0</v>
      </c>
      <c r="H55" s="2459">
        <v>0</v>
      </c>
      <c r="I55" s="2462">
        <v>0</v>
      </c>
      <c r="J55" s="2457" t="s">
        <v>4481</v>
      </c>
    </row>
    <row r="56" spans="2:10">
      <c r="B56" s="2468">
        <v>770037</v>
      </c>
      <c r="C56" s="2472" t="s">
        <v>4520</v>
      </c>
      <c r="D56" s="2462">
        <v>55000000</v>
      </c>
      <c r="E56" s="2459">
        <v>0</v>
      </c>
      <c r="F56" s="2459">
        <v>55000000</v>
      </c>
      <c r="G56" s="2459">
        <v>0</v>
      </c>
      <c r="H56" s="2459">
        <v>0</v>
      </c>
      <c r="I56" s="2462">
        <v>0</v>
      </c>
      <c r="J56" s="2457" t="s">
        <v>4481</v>
      </c>
    </row>
    <row r="57" spans="2:10">
      <c r="B57" s="2468">
        <v>770038</v>
      </c>
      <c r="C57" s="2472" t="s">
        <v>4521</v>
      </c>
      <c r="D57" s="2462">
        <v>4000000</v>
      </c>
      <c r="E57" s="2459">
        <v>0</v>
      </c>
      <c r="F57" s="2459">
        <v>4000000</v>
      </c>
      <c r="G57" s="2459">
        <v>0</v>
      </c>
      <c r="H57" s="2459">
        <v>0</v>
      </c>
      <c r="I57" s="2462">
        <v>0</v>
      </c>
      <c r="J57" s="2457" t="s">
        <v>4481</v>
      </c>
    </row>
    <row r="58" spans="2:10">
      <c r="B58" s="2468">
        <v>770039</v>
      </c>
      <c r="C58" s="2472" t="s">
        <v>4522</v>
      </c>
      <c r="D58" s="2462">
        <v>8700000</v>
      </c>
      <c r="E58" s="2459">
        <v>0</v>
      </c>
      <c r="F58" s="2459">
        <v>8700000</v>
      </c>
      <c r="G58" s="2459">
        <v>0</v>
      </c>
      <c r="H58" s="2459">
        <v>0</v>
      </c>
      <c r="I58" s="2462">
        <v>0</v>
      </c>
      <c r="J58" s="2457" t="s">
        <v>4481</v>
      </c>
    </row>
    <row r="59" spans="2:10">
      <c r="B59" s="2468">
        <v>770040</v>
      </c>
      <c r="C59" s="2472" t="s">
        <v>4523</v>
      </c>
      <c r="D59" s="2462">
        <v>600000</v>
      </c>
      <c r="E59" s="2459">
        <v>0</v>
      </c>
      <c r="F59" s="2459">
        <v>600000</v>
      </c>
      <c r="G59" s="2459">
        <v>0</v>
      </c>
      <c r="H59" s="2459">
        <v>0</v>
      </c>
      <c r="I59" s="2462">
        <v>0</v>
      </c>
      <c r="J59" s="2457" t="s">
        <v>4481</v>
      </c>
    </row>
    <row r="60" spans="2:10">
      <c r="B60" s="2468">
        <v>770041</v>
      </c>
      <c r="C60" s="2472" t="s">
        <v>4524</v>
      </c>
      <c r="D60" s="2462">
        <v>380000</v>
      </c>
      <c r="E60" s="2459">
        <v>0</v>
      </c>
      <c r="F60" s="2459">
        <v>380000</v>
      </c>
      <c r="G60" s="2459">
        <v>0</v>
      </c>
      <c r="H60" s="2459">
        <v>0</v>
      </c>
      <c r="I60" s="2462">
        <v>0</v>
      </c>
      <c r="J60" s="2457" t="s">
        <v>4481</v>
      </c>
    </row>
    <row r="61" spans="2:10">
      <c r="B61" s="2468">
        <v>770042</v>
      </c>
      <c r="C61" s="2472" t="s">
        <v>4525</v>
      </c>
      <c r="D61" s="2462">
        <v>98539000</v>
      </c>
      <c r="E61" s="2459">
        <v>0</v>
      </c>
      <c r="F61" s="2459">
        <v>98539000</v>
      </c>
      <c r="G61" s="2459">
        <v>0</v>
      </c>
      <c r="H61" s="2459">
        <v>0</v>
      </c>
      <c r="I61" s="2462">
        <v>0</v>
      </c>
      <c r="J61" s="2457" t="s">
        <v>4481</v>
      </c>
    </row>
    <row r="62" spans="2:10">
      <c r="B62" s="2468">
        <v>770045</v>
      </c>
      <c r="C62" s="2473" t="s">
        <v>4526</v>
      </c>
      <c r="D62" s="2462">
        <v>2800000</v>
      </c>
      <c r="E62" s="2459">
        <v>0</v>
      </c>
      <c r="F62" s="2459">
        <v>2800000</v>
      </c>
      <c r="G62" s="2474">
        <v>0</v>
      </c>
      <c r="H62" s="2459">
        <v>0</v>
      </c>
      <c r="I62" s="2462">
        <v>0</v>
      </c>
      <c r="J62" s="2457" t="s">
        <v>4481</v>
      </c>
    </row>
    <row r="63" spans="2:10">
      <c r="B63" s="2468">
        <v>770046</v>
      </c>
      <c r="C63" s="2473" t="s">
        <v>4527</v>
      </c>
      <c r="D63" s="2462">
        <v>1370000</v>
      </c>
      <c r="E63" s="2459">
        <v>0</v>
      </c>
      <c r="F63" s="2459">
        <v>1370000</v>
      </c>
      <c r="G63" s="2474">
        <v>0</v>
      </c>
      <c r="H63" s="2459">
        <v>0</v>
      </c>
      <c r="I63" s="2462">
        <v>0</v>
      </c>
      <c r="J63" s="2457" t="s">
        <v>4481</v>
      </c>
    </row>
    <row r="64" spans="2:10">
      <c r="B64" s="2468">
        <v>770047</v>
      </c>
      <c r="C64" s="2473" t="s">
        <v>4528</v>
      </c>
      <c r="D64" s="2462">
        <v>30000000</v>
      </c>
      <c r="E64" s="2459">
        <v>0</v>
      </c>
      <c r="F64" s="2459">
        <v>30000000</v>
      </c>
      <c r="G64" s="2474">
        <v>0</v>
      </c>
      <c r="H64" s="2459">
        <v>0</v>
      </c>
      <c r="I64" s="2462">
        <v>0</v>
      </c>
      <c r="J64" s="2457" t="s">
        <v>4481</v>
      </c>
    </row>
    <row r="65" spans="2:10">
      <c r="B65" s="2468">
        <v>770048</v>
      </c>
      <c r="C65" s="2473" t="s">
        <v>4529</v>
      </c>
      <c r="D65" s="2462">
        <v>12000000</v>
      </c>
      <c r="E65" s="2459">
        <v>0</v>
      </c>
      <c r="F65" s="2459">
        <v>12000000</v>
      </c>
      <c r="G65" s="2474">
        <v>0</v>
      </c>
      <c r="H65" s="2459">
        <v>0</v>
      </c>
      <c r="I65" s="2462">
        <v>0</v>
      </c>
      <c r="J65" s="2457" t="s">
        <v>4481</v>
      </c>
    </row>
    <row r="66" spans="2:10">
      <c r="B66" s="2468">
        <v>770049</v>
      </c>
      <c r="C66" s="2473" t="s">
        <v>4530</v>
      </c>
      <c r="D66" s="2462">
        <v>33080000</v>
      </c>
      <c r="E66" s="2459">
        <v>0</v>
      </c>
      <c r="F66" s="2459">
        <v>33080000</v>
      </c>
      <c r="G66" s="2474">
        <v>0</v>
      </c>
      <c r="H66" s="2459">
        <v>0</v>
      </c>
      <c r="I66" s="2462">
        <v>0</v>
      </c>
      <c r="J66" s="2457" t="s">
        <v>4481</v>
      </c>
    </row>
    <row r="67" spans="2:10">
      <c r="B67" s="2468">
        <v>770050</v>
      </c>
      <c r="C67" s="2473" t="s">
        <v>4531</v>
      </c>
      <c r="D67" s="2462">
        <v>159000000</v>
      </c>
      <c r="E67" s="2459">
        <v>0</v>
      </c>
      <c r="F67" s="2459">
        <v>159000000</v>
      </c>
      <c r="G67" s="2474">
        <v>0</v>
      </c>
      <c r="H67" s="2459">
        <v>0</v>
      </c>
      <c r="I67" s="2462">
        <v>0</v>
      </c>
      <c r="J67" s="2457" t="s">
        <v>4481</v>
      </c>
    </row>
    <row r="68" spans="2:10">
      <c r="B68" s="2468">
        <v>770051</v>
      </c>
      <c r="C68" s="2473" t="s">
        <v>4532</v>
      </c>
      <c r="D68" s="2462">
        <v>30782192</v>
      </c>
      <c r="E68" s="2459">
        <v>0</v>
      </c>
      <c r="F68" s="2459">
        <v>30782192</v>
      </c>
      <c r="G68" s="2474">
        <v>0</v>
      </c>
      <c r="H68" s="2459">
        <v>0</v>
      </c>
      <c r="I68" s="2462">
        <v>0</v>
      </c>
      <c r="J68" s="2457" t="s">
        <v>4481</v>
      </c>
    </row>
    <row r="69" spans="2:10">
      <c r="B69" s="2468">
        <v>770052</v>
      </c>
      <c r="C69" s="2473" t="s">
        <v>4533</v>
      </c>
      <c r="D69" s="2462">
        <v>1600000</v>
      </c>
      <c r="E69" s="2459">
        <v>0</v>
      </c>
      <c r="F69" s="2459">
        <v>1600000</v>
      </c>
      <c r="G69" s="2474">
        <v>0</v>
      </c>
      <c r="H69" s="2459">
        <v>0</v>
      </c>
      <c r="I69" s="2462">
        <v>0</v>
      </c>
      <c r="J69" s="2457" t="s">
        <v>4481</v>
      </c>
    </row>
    <row r="70" spans="2:10">
      <c r="B70" s="2468">
        <v>770053</v>
      </c>
      <c r="C70" s="2473" t="s">
        <v>4534</v>
      </c>
      <c r="D70" s="2462">
        <v>31045000</v>
      </c>
      <c r="E70" s="2459">
        <v>0</v>
      </c>
      <c r="F70" s="2459">
        <v>31045000</v>
      </c>
      <c r="G70" s="2474">
        <v>0</v>
      </c>
      <c r="H70" s="2459">
        <v>0</v>
      </c>
      <c r="I70" s="2462">
        <v>0</v>
      </c>
      <c r="J70" s="2457" t="s">
        <v>4481</v>
      </c>
    </row>
    <row r="71" spans="2:10">
      <c r="B71" s="2468">
        <v>770054</v>
      </c>
      <c r="C71" s="2473" t="s">
        <v>4535</v>
      </c>
      <c r="D71" s="2462">
        <v>19000000</v>
      </c>
      <c r="E71" s="2459">
        <v>0</v>
      </c>
      <c r="F71" s="2459">
        <v>19000000</v>
      </c>
      <c r="G71" s="2474">
        <v>0</v>
      </c>
      <c r="H71" s="2459">
        <v>0</v>
      </c>
      <c r="I71" s="2462">
        <v>0</v>
      </c>
      <c r="J71" s="2457" t="s">
        <v>4481</v>
      </c>
    </row>
    <row r="72" spans="2:10">
      <c r="B72" s="2468">
        <v>770055</v>
      </c>
      <c r="C72" s="2473" t="s">
        <v>4536</v>
      </c>
      <c r="D72" s="2462">
        <v>3260000</v>
      </c>
      <c r="E72" s="2459">
        <v>0</v>
      </c>
      <c r="F72" s="2459">
        <v>3260000</v>
      </c>
      <c r="G72" s="2459">
        <v>0</v>
      </c>
      <c r="H72" s="2459">
        <v>0</v>
      </c>
      <c r="I72" s="2462">
        <v>0</v>
      </c>
      <c r="J72" s="2457" t="s">
        <v>4481</v>
      </c>
    </row>
    <row r="73" spans="2:10">
      <c r="B73" s="2468">
        <v>770056</v>
      </c>
      <c r="C73" s="2473" t="s">
        <v>4537</v>
      </c>
      <c r="D73" s="2462">
        <v>7622000</v>
      </c>
      <c r="E73" s="2459">
        <v>0</v>
      </c>
      <c r="F73" s="2459">
        <v>7622000</v>
      </c>
      <c r="G73" s="2459">
        <v>0</v>
      </c>
      <c r="H73" s="2459">
        <v>0</v>
      </c>
      <c r="I73" s="2462">
        <v>0</v>
      </c>
      <c r="J73" s="2457" t="s">
        <v>4481</v>
      </c>
    </row>
    <row r="74" spans="2:10">
      <c r="B74" s="2468">
        <v>770057</v>
      </c>
      <c r="C74" s="2473" t="s">
        <v>4538</v>
      </c>
      <c r="D74" s="2462">
        <v>40287400</v>
      </c>
      <c r="E74" s="2459">
        <v>0</v>
      </c>
      <c r="F74" s="2459">
        <v>40287400</v>
      </c>
      <c r="G74" s="2459">
        <v>0</v>
      </c>
      <c r="H74" s="2459">
        <v>0</v>
      </c>
      <c r="I74" s="2462">
        <v>0</v>
      </c>
      <c r="J74" s="2457" t="s">
        <v>4481</v>
      </c>
    </row>
    <row r="75" spans="2:10">
      <c r="B75" s="2468">
        <v>770058</v>
      </c>
      <c r="C75" s="2473" t="s">
        <v>4539</v>
      </c>
      <c r="D75" s="2462">
        <v>8500000</v>
      </c>
      <c r="E75" s="2459">
        <v>0</v>
      </c>
      <c r="F75" s="2459">
        <v>8500000</v>
      </c>
      <c r="G75" s="2459">
        <v>0</v>
      </c>
      <c r="H75" s="2459">
        <v>0</v>
      </c>
      <c r="I75" s="2462">
        <v>0</v>
      </c>
      <c r="J75" s="2457" t="s">
        <v>4481</v>
      </c>
    </row>
    <row r="76" spans="2:10">
      <c r="B76" s="2468">
        <v>770059</v>
      </c>
      <c r="C76" s="2473" t="s">
        <v>4540</v>
      </c>
      <c r="D76" s="2462">
        <v>1495900</v>
      </c>
      <c r="E76" s="2459">
        <v>0</v>
      </c>
      <c r="F76" s="2459">
        <v>1495900</v>
      </c>
      <c r="G76" s="2459">
        <v>0</v>
      </c>
      <c r="H76" s="2459">
        <v>0</v>
      </c>
      <c r="I76" s="2462">
        <v>0</v>
      </c>
      <c r="J76" s="2457" t="s">
        <v>4481</v>
      </c>
    </row>
    <row r="77" spans="2:10">
      <c r="B77" s="2468">
        <v>770060</v>
      </c>
      <c r="C77" s="2473" t="s">
        <v>4541</v>
      </c>
      <c r="D77" s="2462">
        <v>102650000</v>
      </c>
      <c r="E77" s="2459">
        <v>0</v>
      </c>
      <c r="F77" s="2459">
        <v>102650000</v>
      </c>
      <c r="G77" s="2459">
        <v>0</v>
      </c>
      <c r="H77" s="2459">
        <v>0</v>
      </c>
      <c r="I77" s="2462">
        <v>0</v>
      </c>
      <c r="J77" s="2457" t="s">
        <v>4481</v>
      </c>
    </row>
    <row r="78" spans="2:10">
      <c r="B78" s="2468">
        <v>770061</v>
      </c>
      <c r="C78" s="2473" t="s">
        <v>4542</v>
      </c>
      <c r="D78" s="2462">
        <v>2350700</v>
      </c>
      <c r="E78" s="2459">
        <v>0</v>
      </c>
      <c r="F78" s="2459">
        <v>2350700</v>
      </c>
      <c r="G78" s="2459">
        <v>0</v>
      </c>
      <c r="H78" s="2459">
        <v>0</v>
      </c>
      <c r="I78" s="2462">
        <v>0</v>
      </c>
      <c r="J78" s="2457" t="s">
        <v>4481</v>
      </c>
    </row>
    <row r="79" spans="2:10">
      <c r="B79" s="2468">
        <v>770062</v>
      </c>
      <c r="C79" s="2473" t="s">
        <v>4543</v>
      </c>
      <c r="D79" s="2462">
        <v>142228000</v>
      </c>
      <c r="E79" s="2459">
        <v>0</v>
      </c>
      <c r="F79" s="2459">
        <v>142228000</v>
      </c>
      <c r="G79" s="2459">
        <v>0</v>
      </c>
      <c r="H79" s="2459">
        <v>0</v>
      </c>
      <c r="I79" s="2462">
        <v>0</v>
      </c>
      <c r="J79" s="2457" t="s">
        <v>4481</v>
      </c>
    </row>
    <row r="80" spans="2:10">
      <c r="B80" s="2468">
        <v>770063</v>
      </c>
      <c r="C80" s="2473" t="s">
        <v>4544</v>
      </c>
      <c r="D80" s="2462">
        <v>40000000</v>
      </c>
      <c r="E80" s="2459">
        <v>0</v>
      </c>
      <c r="F80" s="2459">
        <v>40000000</v>
      </c>
      <c r="G80" s="2459">
        <v>0</v>
      </c>
      <c r="H80" s="2459">
        <v>0</v>
      </c>
      <c r="I80" s="2462">
        <v>0</v>
      </c>
      <c r="J80" s="2457" t="s">
        <v>4481</v>
      </c>
    </row>
    <row r="81" spans="2:10">
      <c r="B81" s="2468">
        <v>770064</v>
      </c>
      <c r="C81" s="2473" t="s">
        <v>4545</v>
      </c>
      <c r="D81" s="2462">
        <v>19860000</v>
      </c>
      <c r="E81" s="2459">
        <v>0</v>
      </c>
      <c r="F81" s="2459">
        <v>19860000</v>
      </c>
      <c r="G81" s="2459">
        <v>0</v>
      </c>
      <c r="H81" s="2459">
        <v>0</v>
      </c>
      <c r="I81" s="2462">
        <v>0</v>
      </c>
      <c r="J81" s="2457" t="s">
        <v>4481</v>
      </c>
    </row>
    <row r="82" spans="2:10">
      <c r="B82" s="2468">
        <v>770065</v>
      </c>
      <c r="C82" s="2473" t="s">
        <v>4546</v>
      </c>
      <c r="D82" s="2462">
        <v>145300000</v>
      </c>
      <c r="E82" s="2459">
        <v>0</v>
      </c>
      <c r="F82" s="2459">
        <v>145300000</v>
      </c>
      <c r="G82" s="2459">
        <v>0</v>
      </c>
      <c r="H82" s="2459">
        <v>0</v>
      </c>
      <c r="I82" s="2462">
        <v>0</v>
      </c>
      <c r="J82" s="2457" t="s">
        <v>4481</v>
      </c>
    </row>
    <row r="83" spans="2:10">
      <c r="B83" s="2468">
        <v>770066</v>
      </c>
      <c r="C83" s="2473" t="s">
        <v>4547</v>
      </c>
      <c r="D83" s="2462">
        <v>149700000</v>
      </c>
      <c r="E83" s="2459">
        <v>0</v>
      </c>
      <c r="F83" s="2459">
        <v>149700000</v>
      </c>
      <c r="G83" s="2459">
        <v>0</v>
      </c>
      <c r="H83" s="2459">
        <v>0</v>
      </c>
      <c r="I83" s="2462">
        <v>0</v>
      </c>
      <c r="J83" s="2457" t="s">
        <v>4481</v>
      </c>
    </row>
    <row r="84" spans="2:10">
      <c r="B84" s="2468">
        <v>770067</v>
      </c>
      <c r="C84" s="2473" t="s">
        <v>4548</v>
      </c>
      <c r="D84" s="2462">
        <v>19000000</v>
      </c>
      <c r="E84" s="2459">
        <v>0</v>
      </c>
      <c r="F84" s="2459">
        <v>19000000</v>
      </c>
      <c r="G84" s="2459">
        <v>0</v>
      </c>
      <c r="H84" s="2459">
        <v>0</v>
      </c>
      <c r="I84" s="2462">
        <v>0</v>
      </c>
      <c r="J84" s="2457" t="s">
        <v>4481</v>
      </c>
    </row>
    <row r="85" spans="2:10">
      <c r="B85" s="2468">
        <v>770068</v>
      </c>
      <c r="C85" s="2473" t="s">
        <v>4549</v>
      </c>
      <c r="D85" s="2462">
        <v>2260000</v>
      </c>
      <c r="E85" s="2459">
        <v>0</v>
      </c>
      <c r="F85" s="2459">
        <v>2260000</v>
      </c>
      <c r="G85" s="2459">
        <v>0</v>
      </c>
      <c r="H85" s="2459">
        <v>0</v>
      </c>
      <c r="I85" s="2462">
        <v>0</v>
      </c>
      <c r="J85" s="2457" t="s">
        <v>4481</v>
      </c>
    </row>
    <row r="86" spans="2:10">
      <c r="B86" s="2468">
        <v>770069</v>
      </c>
      <c r="C86" s="2473" t="s">
        <v>4550</v>
      </c>
      <c r="D86" s="2462">
        <v>1391000</v>
      </c>
      <c r="E86" s="2459">
        <v>0</v>
      </c>
      <c r="F86" s="2459">
        <v>1391000</v>
      </c>
      <c r="G86" s="2459">
        <v>0</v>
      </c>
      <c r="H86" s="2459">
        <v>0</v>
      </c>
      <c r="I86" s="2462">
        <v>0</v>
      </c>
      <c r="J86" s="2457" t="s">
        <v>4481</v>
      </c>
    </row>
    <row r="87" spans="2:10">
      <c r="B87" s="2468">
        <v>770070</v>
      </c>
      <c r="C87" s="2473" t="s">
        <v>4551</v>
      </c>
      <c r="D87" s="2462">
        <v>1157000</v>
      </c>
      <c r="E87" s="2459">
        <v>0</v>
      </c>
      <c r="F87" s="2459">
        <v>1157000</v>
      </c>
      <c r="G87" s="2459">
        <v>0</v>
      </c>
      <c r="H87" s="2459">
        <v>0</v>
      </c>
      <c r="I87" s="2462">
        <v>0</v>
      </c>
      <c r="J87" s="2457" t="s">
        <v>4481</v>
      </c>
    </row>
    <row r="88" spans="2:10">
      <c r="B88" s="2468">
        <v>770071</v>
      </c>
      <c r="C88" s="2473" t="s">
        <v>4552</v>
      </c>
      <c r="D88" s="2462">
        <v>3260000</v>
      </c>
      <c r="E88" s="2459">
        <v>0</v>
      </c>
      <c r="F88" s="2459">
        <v>3260000</v>
      </c>
      <c r="G88" s="2459">
        <v>0</v>
      </c>
      <c r="H88" s="2459">
        <v>0</v>
      </c>
      <c r="I88" s="2462">
        <v>0</v>
      </c>
      <c r="J88" s="2457" t="s">
        <v>4481</v>
      </c>
    </row>
    <row r="89" spans="2:10">
      <c r="B89" s="2468">
        <v>770072</v>
      </c>
      <c r="C89" s="2473" t="s">
        <v>4553</v>
      </c>
      <c r="D89" s="2462">
        <v>14800000</v>
      </c>
      <c r="E89" s="2459">
        <v>0</v>
      </c>
      <c r="F89" s="2459">
        <v>14800000</v>
      </c>
      <c r="G89" s="2459">
        <v>0</v>
      </c>
      <c r="H89" s="2459">
        <v>0</v>
      </c>
      <c r="I89" s="2462">
        <v>0</v>
      </c>
      <c r="J89" s="2457" t="s">
        <v>4481</v>
      </c>
    </row>
    <row r="90" spans="2:10">
      <c r="B90" s="2468">
        <v>770073</v>
      </c>
      <c r="C90" s="2473" t="s">
        <v>4554</v>
      </c>
      <c r="D90" s="2462">
        <v>9500000</v>
      </c>
      <c r="E90" s="2459">
        <v>0</v>
      </c>
      <c r="F90" s="2459">
        <v>9500000</v>
      </c>
      <c r="G90" s="2459">
        <v>0</v>
      </c>
      <c r="H90" s="2459">
        <v>0</v>
      </c>
      <c r="I90" s="2462">
        <v>0</v>
      </c>
      <c r="J90" s="2457" t="s">
        <v>4481</v>
      </c>
    </row>
    <row r="91" spans="2:10">
      <c r="B91" s="2468">
        <v>770074</v>
      </c>
      <c r="C91" s="2473" t="s">
        <v>4555</v>
      </c>
      <c r="D91" s="2462">
        <v>59800000</v>
      </c>
      <c r="E91" s="2459">
        <v>0</v>
      </c>
      <c r="F91" s="2459">
        <v>59800000</v>
      </c>
      <c r="G91" s="2459">
        <v>0</v>
      </c>
      <c r="H91" s="2459">
        <v>0</v>
      </c>
      <c r="I91" s="2462">
        <v>0</v>
      </c>
      <c r="J91" s="2457" t="s">
        <v>4481</v>
      </c>
    </row>
    <row r="92" spans="2:10">
      <c r="B92" s="2468">
        <v>770075</v>
      </c>
      <c r="C92" s="2473" t="s">
        <v>4556</v>
      </c>
      <c r="D92" s="2462">
        <v>14496000</v>
      </c>
      <c r="E92" s="2459">
        <v>0</v>
      </c>
      <c r="F92" s="2459">
        <v>14496000</v>
      </c>
      <c r="G92" s="2459">
        <v>0</v>
      </c>
      <c r="H92" s="2459">
        <v>0</v>
      </c>
      <c r="I92" s="2462">
        <v>0</v>
      </c>
      <c r="J92" s="2457" t="s">
        <v>4481</v>
      </c>
    </row>
    <row r="93" spans="2:10">
      <c r="B93" s="2468">
        <v>770076</v>
      </c>
      <c r="C93" s="2473" t="s">
        <v>4557</v>
      </c>
      <c r="D93" s="2462">
        <v>87000000</v>
      </c>
      <c r="E93" s="2459">
        <v>0</v>
      </c>
      <c r="F93" s="2459">
        <v>87000000</v>
      </c>
      <c r="G93" s="2459">
        <v>0</v>
      </c>
      <c r="H93" s="2459">
        <v>0</v>
      </c>
      <c r="I93" s="2462">
        <v>0</v>
      </c>
      <c r="J93" s="2457" t="s">
        <v>4481</v>
      </c>
    </row>
    <row r="94" spans="2:10">
      <c r="B94" s="2468">
        <v>770077</v>
      </c>
      <c r="C94" s="2473" t="s">
        <v>4558</v>
      </c>
      <c r="D94" s="2462">
        <v>20450000</v>
      </c>
      <c r="E94" s="2459">
        <v>0</v>
      </c>
      <c r="F94" s="2459">
        <v>20450000</v>
      </c>
      <c r="G94" s="2459">
        <v>0</v>
      </c>
      <c r="H94" s="2459">
        <v>0</v>
      </c>
      <c r="I94" s="2462">
        <v>0</v>
      </c>
      <c r="J94" s="2457" t="s">
        <v>4481</v>
      </c>
    </row>
    <row r="95" spans="2:10">
      <c r="B95" s="2468">
        <v>770078</v>
      </c>
      <c r="C95" s="2473" t="s">
        <v>4559</v>
      </c>
      <c r="D95" s="2462">
        <v>19500000</v>
      </c>
      <c r="E95" s="2459">
        <v>0</v>
      </c>
      <c r="F95" s="2459">
        <v>19500000</v>
      </c>
      <c r="G95" s="2459">
        <v>0</v>
      </c>
      <c r="H95" s="2459">
        <v>0</v>
      </c>
      <c r="I95" s="2462">
        <v>0</v>
      </c>
      <c r="J95" s="2457" t="s">
        <v>4481</v>
      </c>
    </row>
    <row r="96" spans="2:10">
      <c r="B96" s="2468">
        <v>770079</v>
      </c>
      <c r="C96" s="2473" t="s">
        <v>4560</v>
      </c>
      <c r="D96" s="2462">
        <v>55616000</v>
      </c>
      <c r="E96" s="2459">
        <v>0</v>
      </c>
      <c r="F96" s="2459">
        <v>55616000</v>
      </c>
      <c r="G96" s="2459">
        <v>0</v>
      </c>
      <c r="H96" s="2459">
        <v>0</v>
      </c>
      <c r="I96" s="2462">
        <v>0</v>
      </c>
      <c r="J96" s="2457" t="s">
        <v>4481</v>
      </c>
    </row>
    <row r="97" spans="2:10">
      <c r="B97" s="2468">
        <v>770080</v>
      </c>
      <c r="C97" s="2473" t="s">
        <v>4561</v>
      </c>
      <c r="D97" s="2462">
        <v>473457000</v>
      </c>
      <c r="E97" s="2459">
        <v>0</v>
      </c>
      <c r="F97" s="2459">
        <v>473457000</v>
      </c>
      <c r="G97" s="2459">
        <v>0</v>
      </c>
      <c r="H97" s="2459">
        <v>0</v>
      </c>
      <c r="I97" s="2462">
        <v>0</v>
      </c>
      <c r="J97" s="2457" t="s">
        <v>4481</v>
      </c>
    </row>
    <row r="98" spans="2:10">
      <c r="B98" s="2468">
        <v>770081</v>
      </c>
      <c r="C98" s="2473" t="s">
        <v>4549</v>
      </c>
      <c r="D98" s="2462">
        <v>2260000</v>
      </c>
      <c r="E98" s="2459">
        <v>0</v>
      </c>
      <c r="F98" s="2459">
        <v>2260000</v>
      </c>
      <c r="G98" s="2459">
        <v>0</v>
      </c>
      <c r="H98" s="2459">
        <v>0</v>
      </c>
      <c r="I98" s="2462">
        <v>0</v>
      </c>
      <c r="J98" s="2457" t="s">
        <v>4481</v>
      </c>
    </row>
    <row r="99" spans="2:10">
      <c r="B99" s="2468">
        <v>770082</v>
      </c>
      <c r="C99" s="2473" t="s">
        <v>4562</v>
      </c>
      <c r="D99" s="2462">
        <v>5560000</v>
      </c>
      <c r="E99" s="2459">
        <v>0</v>
      </c>
      <c r="F99" s="2459">
        <v>5560000</v>
      </c>
      <c r="G99" s="2459">
        <v>0</v>
      </c>
      <c r="H99" s="2459">
        <v>0</v>
      </c>
      <c r="I99" s="2462">
        <v>0</v>
      </c>
      <c r="J99" s="2457" t="s">
        <v>4481</v>
      </c>
    </row>
    <row r="100" spans="2:10">
      <c r="B100" s="2468">
        <v>770083</v>
      </c>
      <c r="C100" s="2473" t="s">
        <v>4563</v>
      </c>
      <c r="D100" s="2462">
        <v>1510000</v>
      </c>
      <c r="E100" s="2459">
        <v>0</v>
      </c>
      <c r="F100" s="2459">
        <v>1510000</v>
      </c>
      <c r="G100" s="2459">
        <v>0</v>
      </c>
      <c r="H100" s="2459">
        <v>0</v>
      </c>
      <c r="I100" s="2462">
        <v>0</v>
      </c>
      <c r="J100" s="2457" t="s">
        <v>4481</v>
      </c>
    </row>
    <row r="101" spans="2:10">
      <c r="B101" s="2468">
        <v>770084</v>
      </c>
      <c r="C101" s="2473" t="s">
        <v>4564</v>
      </c>
      <c r="D101" s="2462">
        <v>139600000</v>
      </c>
      <c r="E101" s="2459">
        <v>0</v>
      </c>
      <c r="F101" s="2459">
        <v>139600000</v>
      </c>
      <c r="G101" s="2459">
        <v>0</v>
      </c>
      <c r="H101" s="2459">
        <v>0</v>
      </c>
      <c r="I101" s="2462">
        <v>0</v>
      </c>
      <c r="J101" s="2457" t="s">
        <v>4481</v>
      </c>
    </row>
    <row r="102" spans="2:10">
      <c r="B102" s="2468">
        <v>770085</v>
      </c>
      <c r="C102" s="2473" t="s">
        <v>4565</v>
      </c>
      <c r="D102" s="2462">
        <v>5710000</v>
      </c>
      <c r="E102" s="2459">
        <v>0</v>
      </c>
      <c r="F102" s="2459">
        <v>5710000</v>
      </c>
      <c r="G102" s="2459">
        <v>0</v>
      </c>
      <c r="H102" s="2459">
        <v>0</v>
      </c>
      <c r="I102" s="2462">
        <v>0</v>
      </c>
      <c r="J102" s="2457" t="s">
        <v>4481</v>
      </c>
    </row>
    <row r="103" spans="2:10">
      <c r="B103" s="2468">
        <v>770086</v>
      </c>
      <c r="C103" s="2473" t="s">
        <v>4566</v>
      </c>
      <c r="D103" s="2462">
        <v>86500000</v>
      </c>
      <c r="E103" s="2459">
        <v>0</v>
      </c>
      <c r="F103" s="2459">
        <v>86500000</v>
      </c>
      <c r="G103" s="2459">
        <v>0</v>
      </c>
      <c r="H103" s="2459">
        <v>0</v>
      </c>
      <c r="I103" s="2462">
        <v>0</v>
      </c>
      <c r="J103" s="2457" t="s">
        <v>4481</v>
      </c>
    </row>
    <row r="104" spans="2:10">
      <c r="B104" s="2468">
        <v>770087</v>
      </c>
      <c r="C104" s="2473" t="s">
        <v>4567</v>
      </c>
      <c r="D104" s="2462">
        <v>2280000</v>
      </c>
      <c r="E104" s="2459">
        <v>0</v>
      </c>
      <c r="F104" s="2459">
        <v>2280000</v>
      </c>
      <c r="G104" s="2459">
        <v>0</v>
      </c>
      <c r="H104" s="2459">
        <v>0</v>
      </c>
      <c r="I104" s="2462">
        <v>0</v>
      </c>
      <c r="J104" s="2457" t="s">
        <v>4481</v>
      </c>
    </row>
    <row r="105" spans="2:10">
      <c r="B105" s="2468">
        <v>770088</v>
      </c>
      <c r="C105" s="2473" t="s">
        <v>4568</v>
      </c>
      <c r="D105" s="2462">
        <v>4500000</v>
      </c>
      <c r="E105" s="2459">
        <v>0</v>
      </c>
      <c r="F105" s="2459">
        <v>4500000</v>
      </c>
      <c r="G105" s="2459">
        <v>0</v>
      </c>
      <c r="H105" s="2459">
        <v>0</v>
      </c>
      <c r="I105" s="2462">
        <v>0</v>
      </c>
      <c r="J105" s="2457" t="s">
        <v>4481</v>
      </c>
    </row>
    <row r="106" spans="2:10">
      <c r="B106" s="2468">
        <v>770089</v>
      </c>
      <c r="C106" s="2473" t="s">
        <v>4569</v>
      </c>
      <c r="D106" s="2462">
        <v>54000000</v>
      </c>
      <c r="E106" s="2459">
        <v>0</v>
      </c>
      <c r="F106" s="2459">
        <v>54000000</v>
      </c>
      <c r="G106" s="2459">
        <v>0</v>
      </c>
      <c r="H106" s="2459">
        <v>0</v>
      </c>
      <c r="I106" s="2462">
        <v>0</v>
      </c>
      <c r="J106" s="2457" t="s">
        <v>4481</v>
      </c>
    </row>
    <row r="107" spans="2:10">
      <c r="B107" s="2468">
        <v>770090</v>
      </c>
      <c r="C107" s="2473" t="s">
        <v>4570</v>
      </c>
      <c r="D107" s="2462">
        <v>7450000</v>
      </c>
      <c r="E107" s="2459">
        <v>0</v>
      </c>
      <c r="F107" s="2459">
        <v>7450000</v>
      </c>
      <c r="G107" s="2459">
        <v>0</v>
      </c>
      <c r="H107" s="2459">
        <v>0</v>
      </c>
      <c r="I107" s="2462">
        <v>0</v>
      </c>
      <c r="J107" s="2457" t="s">
        <v>4481</v>
      </c>
    </row>
    <row r="108" spans="2:10">
      <c r="B108" s="2468">
        <v>770091</v>
      </c>
      <c r="C108" s="2473" t="s">
        <v>4571</v>
      </c>
      <c r="D108" s="2462">
        <v>85500000</v>
      </c>
      <c r="E108" s="2459">
        <v>0</v>
      </c>
      <c r="F108" s="2459">
        <v>85500000</v>
      </c>
      <c r="G108" s="2459">
        <v>0</v>
      </c>
      <c r="H108" s="2459">
        <v>0</v>
      </c>
      <c r="I108" s="2462">
        <v>0</v>
      </c>
      <c r="J108" s="2457" t="s">
        <v>4481</v>
      </c>
    </row>
    <row r="109" spans="2:10">
      <c r="B109" s="2468">
        <v>770092</v>
      </c>
      <c r="C109" s="2473" t="s">
        <v>4572</v>
      </c>
      <c r="D109" s="2462">
        <v>188600000</v>
      </c>
      <c r="E109" s="2459">
        <v>0</v>
      </c>
      <c r="F109" s="2459">
        <v>188600000</v>
      </c>
      <c r="G109" s="2459">
        <v>0</v>
      </c>
      <c r="H109" s="2459">
        <v>0</v>
      </c>
      <c r="I109" s="2462">
        <v>0</v>
      </c>
      <c r="J109" s="2457" t="s">
        <v>4481</v>
      </c>
    </row>
    <row r="110" spans="2:10">
      <c r="B110" s="2468">
        <v>770093</v>
      </c>
      <c r="C110" s="2473" t="s">
        <v>3185</v>
      </c>
      <c r="D110" s="2462">
        <v>27000000</v>
      </c>
      <c r="E110" s="2459">
        <v>0</v>
      </c>
      <c r="F110" s="2459">
        <v>27000000</v>
      </c>
      <c r="G110" s="2459">
        <v>0</v>
      </c>
      <c r="H110" s="2459">
        <v>0</v>
      </c>
      <c r="I110" s="2462">
        <v>0</v>
      </c>
      <c r="J110" s="2457" t="s">
        <v>4481</v>
      </c>
    </row>
    <row r="111" spans="2:10">
      <c r="B111" s="2468">
        <v>770094</v>
      </c>
      <c r="C111" s="2473" t="s">
        <v>4573</v>
      </c>
      <c r="D111" s="2462">
        <v>1960000</v>
      </c>
      <c r="E111" s="2459">
        <v>0</v>
      </c>
      <c r="F111" s="2459">
        <v>1960000</v>
      </c>
      <c r="G111" s="2459">
        <v>0</v>
      </c>
      <c r="H111" s="2459">
        <v>0</v>
      </c>
      <c r="I111" s="2462">
        <v>0</v>
      </c>
      <c r="J111" s="2457" t="s">
        <v>4481</v>
      </c>
    </row>
    <row r="112" spans="2:10">
      <c r="B112" s="2468">
        <v>770095</v>
      </c>
      <c r="C112" s="2473" t="s">
        <v>4574</v>
      </c>
      <c r="D112" s="2462">
        <v>60000000</v>
      </c>
      <c r="E112" s="2459">
        <v>0</v>
      </c>
      <c r="F112" s="2459">
        <v>60000000</v>
      </c>
      <c r="G112" s="2459">
        <v>0</v>
      </c>
      <c r="H112" s="2459">
        <v>0</v>
      </c>
      <c r="I112" s="2462">
        <v>0</v>
      </c>
      <c r="J112" s="2457" t="s">
        <v>4481</v>
      </c>
    </row>
    <row r="113" spans="2:10">
      <c r="B113" s="2468">
        <v>770096</v>
      </c>
      <c r="C113" s="2473" t="s">
        <v>4575</v>
      </c>
      <c r="D113" s="2462">
        <v>2784000</v>
      </c>
      <c r="E113" s="2459">
        <v>0</v>
      </c>
      <c r="F113" s="2459">
        <v>2784000</v>
      </c>
      <c r="G113" s="2459">
        <v>0</v>
      </c>
      <c r="H113" s="2459">
        <v>0</v>
      </c>
      <c r="I113" s="2462">
        <v>0</v>
      </c>
      <c r="J113" s="2457" t="s">
        <v>4481</v>
      </c>
    </row>
    <row r="114" spans="2:10">
      <c r="B114" s="2468">
        <v>770097</v>
      </c>
      <c r="C114" s="2473" t="s">
        <v>4575</v>
      </c>
      <c r="D114" s="2462">
        <v>4176000</v>
      </c>
      <c r="E114" s="2459">
        <v>0</v>
      </c>
      <c r="F114" s="2459">
        <v>4176000</v>
      </c>
      <c r="G114" s="2459">
        <v>0</v>
      </c>
      <c r="H114" s="2459">
        <v>0</v>
      </c>
      <c r="I114" s="2462">
        <v>0</v>
      </c>
      <c r="J114" s="2457" t="s">
        <v>4481</v>
      </c>
    </row>
    <row r="115" spans="2:10">
      <c r="B115" s="2468">
        <v>770098</v>
      </c>
      <c r="C115" s="2473" t="s">
        <v>4576</v>
      </c>
      <c r="D115" s="2462">
        <v>7920000</v>
      </c>
      <c r="E115" s="2459">
        <v>0</v>
      </c>
      <c r="F115" s="2459">
        <v>7920000</v>
      </c>
      <c r="G115" s="2459">
        <v>0</v>
      </c>
      <c r="H115" s="2459">
        <v>0</v>
      </c>
      <c r="I115" s="2462">
        <v>0</v>
      </c>
      <c r="J115" s="2457" t="s">
        <v>4481</v>
      </c>
    </row>
    <row r="116" spans="2:10">
      <c r="B116" s="2468">
        <v>770099</v>
      </c>
      <c r="C116" s="2473" t="s">
        <v>4577</v>
      </c>
      <c r="D116" s="2462">
        <v>210007000</v>
      </c>
      <c r="E116" s="2459">
        <v>0</v>
      </c>
      <c r="F116" s="2459">
        <v>210007000</v>
      </c>
      <c r="G116" s="2459">
        <v>0</v>
      </c>
      <c r="H116" s="2459">
        <v>0</v>
      </c>
      <c r="I116" s="2462">
        <v>0</v>
      </c>
      <c r="J116" s="2457" t="s">
        <v>4481</v>
      </c>
    </row>
    <row r="117" spans="2:10">
      <c r="B117" s="2468">
        <v>770100</v>
      </c>
      <c r="C117" s="2473" t="s">
        <v>4578</v>
      </c>
      <c r="D117" s="2462">
        <v>20000000</v>
      </c>
      <c r="E117" s="2459">
        <v>0</v>
      </c>
      <c r="F117" s="2459">
        <v>20000000</v>
      </c>
      <c r="G117" s="2459">
        <v>0</v>
      </c>
      <c r="H117" s="2459">
        <v>0</v>
      </c>
      <c r="I117" s="2462">
        <v>0</v>
      </c>
      <c r="J117" s="2457" t="s">
        <v>4481</v>
      </c>
    </row>
    <row r="118" spans="2:10">
      <c r="B118" s="2468">
        <v>770101</v>
      </c>
      <c r="C118" s="2473" t="s">
        <v>4579</v>
      </c>
      <c r="D118" s="2462">
        <v>30000000</v>
      </c>
      <c r="E118" s="2459">
        <v>0</v>
      </c>
      <c r="F118" s="2459">
        <v>30000000</v>
      </c>
      <c r="G118" s="2459">
        <v>0</v>
      </c>
      <c r="H118" s="2459">
        <v>0</v>
      </c>
      <c r="I118" s="2462">
        <v>0</v>
      </c>
      <c r="J118" s="2457" t="s">
        <v>4481</v>
      </c>
    </row>
    <row r="119" spans="2:10">
      <c r="B119" s="2468">
        <v>770102</v>
      </c>
      <c r="C119" s="2473" t="s">
        <v>4580</v>
      </c>
      <c r="D119" s="2462">
        <v>800000</v>
      </c>
      <c r="E119" s="2459">
        <v>0</v>
      </c>
      <c r="F119" s="2459">
        <v>800000</v>
      </c>
      <c r="G119" s="2459">
        <v>0</v>
      </c>
      <c r="H119" s="2459">
        <v>0</v>
      </c>
      <c r="I119" s="2462">
        <v>0</v>
      </c>
      <c r="J119" s="2457" t="s">
        <v>4481</v>
      </c>
    </row>
    <row r="120" spans="2:10">
      <c r="B120" s="2468">
        <v>770103</v>
      </c>
      <c r="C120" s="2473" t="s">
        <v>4581</v>
      </c>
      <c r="D120" s="2462">
        <v>300873783</v>
      </c>
      <c r="E120" s="2459">
        <v>0</v>
      </c>
      <c r="F120" s="2459">
        <v>300873783</v>
      </c>
      <c r="G120" s="2459">
        <v>0</v>
      </c>
      <c r="H120" s="2459">
        <v>0</v>
      </c>
      <c r="I120" s="2462">
        <v>0</v>
      </c>
      <c r="J120" s="2457" t="s">
        <v>4481</v>
      </c>
    </row>
    <row r="121" spans="2:10">
      <c r="B121" s="2468">
        <v>770104</v>
      </c>
      <c r="C121" s="2473" t="s">
        <v>4582</v>
      </c>
      <c r="D121" s="2462">
        <v>22000000</v>
      </c>
      <c r="E121" s="2459">
        <v>0</v>
      </c>
      <c r="F121" s="2459">
        <v>22000000</v>
      </c>
      <c r="G121" s="2459">
        <v>0</v>
      </c>
      <c r="H121" s="2459">
        <v>0</v>
      </c>
      <c r="I121" s="2462">
        <v>0</v>
      </c>
      <c r="J121" s="2457" t="s">
        <v>4481</v>
      </c>
    </row>
    <row r="122" spans="2:10">
      <c r="B122" s="2468">
        <v>770105</v>
      </c>
      <c r="C122" s="2473" t="s">
        <v>4583</v>
      </c>
      <c r="D122" s="2462">
        <v>20000000</v>
      </c>
      <c r="E122" s="2459">
        <v>0</v>
      </c>
      <c r="F122" s="2459">
        <v>20000000</v>
      </c>
      <c r="G122" s="2459">
        <v>0</v>
      </c>
      <c r="H122" s="2459">
        <v>0</v>
      </c>
      <c r="I122" s="2462">
        <v>0</v>
      </c>
      <c r="J122" s="2457" t="s">
        <v>4481</v>
      </c>
    </row>
    <row r="123" spans="2:10">
      <c r="B123" s="2468">
        <v>770106</v>
      </c>
      <c r="C123" s="2473" t="s">
        <v>4584</v>
      </c>
      <c r="D123" s="2462">
        <v>11000000</v>
      </c>
      <c r="E123" s="2459">
        <v>0</v>
      </c>
      <c r="F123" s="2459">
        <v>11000000</v>
      </c>
      <c r="G123" s="2459">
        <v>0</v>
      </c>
      <c r="H123" s="2459">
        <v>0</v>
      </c>
      <c r="I123" s="2462">
        <v>0</v>
      </c>
      <c r="J123" s="2457" t="s">
        <v>4481</v>
      </c>
    </row>
    <row r="124" spans="2:10">
      <c r="B124" s="2468">
        <v>770107</v>
      </c>
      <c r="C124" s="2473" t="s">
        <v>4585</v>
      </c>
      <c r="D124" s="2462">
        <v>3720000</v>
      </c>
      <c r="E124" s="2459">
        <v>0</v>
      </c>
      <c r="F124" s="2459">
        <v>3720000</v>
      </c>
      <c r="G124" s="2459">
        <v>0</v>
      </c>
      <c r="H124" s="2459">
        <v>0</v>
      </c>
      <c r="I124" s="2462">
        <v>0</v>
      </c>
      <c r="J124" s="2457" t="s">
        <v>4481</v>
      </c>
    </row>
    <row r="125" spans="2:10">
      <c r="B125" s="2468">
        <v>770108</v>
      </c>
      <c r="C125" s="2473" t="s">
        <v>4586</v>
      </c>
      <c r="D125" s="2462">
        <v>289500000</v>
      </c>
      <c r="E125" s="2459">
        <v>0</v>
      </c>
      <c r="F125" s="2459">
        <v>289500000</v>
      </c>
      <c r="G125" s="2459">
        <v>0</v>
      </c>
      <c r="H125" s="2459">
        <v>0</v>
      </c>
      <c r="I125" s="2462">
        <v>0</v>
      </c>
      <c r="J125" s="2457" t="s">
        <v>4481</v>
      </c>
    </row>
    <row r="126" spans="2:10">
      <c r="B126" s="2468">
        <v>770109</v>
      </c>
      <c r="C126" s="2473" t="s">
        <v>4587</v>
      </c>
      <c r="D126" s="2462">
        <v>219000000</v>
      </c>
      <c r="E126" s="2459">
        <v>0</v>
      </c>
      <c r="F126" s="2459">
        <v>219000000</v>
      </c>
      <c r="G126" s="2459">
        <v>0</v>
      </c>
      <c r="H126" s="2459">
        <v>0</v>
      </c>
      <c r="I126" s="2462">
        <v>0</v>
      </c>
      <c r="J126" s="2457" t="s">
        <v>4481</v>
      </c>
    </row>
    <row r="127" spans="2:10">
      <c r="B127" s="2468">
        <v>770110</v>
      </c>
      <c r="C127" s="2473" t="s">
        <v>4588</v>
      </c>
      <c r="D127" s="2462">
        <v>281124545</v>
      </c>
      <c r="E127" s="2459">
        <v>0</v>
      </c>
      <c r="F127" s="2459">
        <v>281124545</v>
      </c>
      <c r="G127" s="2459">
        <v>0</v>
      </c>
      <c r="H127" s="2459">
        <v>0</v>
      </c>
      <c r="I127" s="2462">
        <v>0</v>
      </c>
      <c r="J127" s="2457" t="s">
        <v>4481</v>
      </c>
    </row>
    <row r="128" spans="2:10">
      <c r="B128" s="2468">
        <v>770111</v>
      </c>
      <c r="C128" s="2473" t="s">
        <v>4589</v>
      </c>
      <c r="D128" s="2462">
        <v>29000000</v>
      </c>
      <c r="E128" s="2459">
        <v>0</v>
      </c>
      <c r="F128" s="2459">
        <v>29000000</v>
      </c>
      <c r="G128" s="2459">
        <v>0</v>
      </c>
      <c r="H128" s="2459">
        <v>0</v>
      </c>
      <c r="I128" s="2462">
        <v>0</v>
      </c>
      <c r="J128" s="2457" t="s">
        <v>4481</v>
      </c>
    </row>
    <row r="129" spans="2:10">
      <c r="B129" s="2468">
        <v>770112</v>
      </c>
      <c r="C129" s="2473" t="s">
        <v>4590</v>
      </c>
      <c r="D129" s="2462">
        <v>26000000</v>
      </c>
      <c r="E129" s="2459">
        <v>722224</v>
      </c>
      <c r="F129" s="2459">
        <v>26000000</v>
      </c>
      <c r="G129" s="2459">
        <v>0</v>
      </c>
      <c r="H129" s="2459">
        <v>0</v>
      </c>
      <c r="I129" s="2462">
        <v>0</v>
      </c>
      <c r="J129" s="2457" t="s">
        <v>4481</v>
      </c>
    </row>
    <row r="130" spans="2:10">
      <c r="B130" s="2468">
        <v>770113</v>
      </c>
      <c r="C130" s="2473" t="s">
        <v>4591</v>
      </c>
      <c r="D130" s="2462">
        <v>47500000</v>
      </c>
      <c r="E130" s="2459">
        <v>3298609</v>
      </c>
      <c r="F130" s="2459">
        <v>47500000</v>
      </c>
      <c r="G130" s="2459">
        <v>0</v>
      </c>
      <c r="H130" s="2459">
        <v>0</v>
      </c>
      <c r="I130" s="2462">
        <v>0</v>
      </c>
      <c r="J130" s="2457" t="s">
        <v>4481</v>
      </c>
    </row>
    <row r="131" spans="2:10">
      <c r="B131" s="2468">
        <v>770114</v>
      </c>
      <c r="C131" s="2473" t="s">
        <v>4592</v>
      </c>
      <c r="D131" s="2462">
        <v>7750000</v>
      </c>
      <c r="E131" s="2459">
        <v>538193</v>
      </c>
      <c r="F131" s="2459">
        <v>7750000</v>
      </c>
      <c r="G131" s="2459">
        <v>0</v>
      </c>
      <c r="H131" s="2459">
        <v>0</v>
      </c>
      <c r="I131" s="2462">
        <v>0</v>
      </c>
      <c r="J131" s="2457" t="s">
        <v>4481</v>
      </c>
    </row>
    <row r="132" spans="2:10">
      <c r="B132" s="2468">
        <v>770115</v>
      </c>
      <c r="C132" s="2473" t="s">
        <v>4593</v>
      </c>
      <c r="D132" s="2462">
        <v>295700000</v>
      </c>
      <c r="E132" s="2459">
        <v>24641667</v>
      </c>
      <c r="F132" s="2459">
        <v>287486110</v>
      </c>
      <c r="G132" s="2459">
        <v>0</v>
      </c>
      <c r="H132" s="2459">
        <v>0</v>
      </c>
      <c r="I132" s="2462">
        <v>8213890</v>
      </c>
      <c r="J132" s="2457" t="s">
        <v>4481</v>
      </c>
    </row>
    <row r="133" spans="2:10">
      <c r="B133" s="2468">
        <v>770116</v>
      </c>
      <c r="C133" s="2473" t="s">
        <v>4594</v>
      </c>
      <c r="D133" s="2462">
        <v>189000000</v>
      </c>
      <c r="E133" s="2459">
        <v>15750000</v>
      </c>
      <c r="F133" s="2459">
        <v>175875000</v>
      </c>
      <c r="G133" s="2459">
        <v>0</v>
      </c>
      <c r="H133" s="2459">
        <v>0</v>
      </c>
      <c r="I133" s="2462">
        <v>13125000</v>
      </c>
      <c r="J133" s="2457" t="s">
        <v>4481</v>
      </c>
    </row>
    <row r="134" spans="2:10">
      <c r="B134" s="2468">
        <v>770117</v>
      </c>
      <c r="C134" s="2473" t="s">
        <v>4595</v>
      </c>
      <c r="D134" s="2462">
        <v>32500000</v>
      </c>
      <c r="E134" s="2459">
        <v>2708333</v>
      </c>
      <c r="F134" s="2459">
        <v>30243057</v>
      </c>
      <c r="G134" s="2459">
        <v>0</v>
      </c>
      <c r="H134" s="2459">
        <v>0</v>
      </c>
      <c r="I134" s="2462">
        <v>2256943</v>
      </c>
      <c r="J134" s="2457" t="s">
        <v>4481</v>
      </c>
    </row>
    <row r="135" spans="2:10">
      <c r="B135" s="2468">
        <v>770118</v>
      </c>
      <c r="C135" s="2473" t="s">
        <v>4596</v>
      </c>
      <c r="D135" s="2462">
        <v>27900000</v>
      </c>
      <c r="E135" s="2459">
        <v>2325000</v>
      </c>
      <c r="F135" s="2459">
        <v>25962500</v>
      </c>
      <c r="G135" s="2459">
        <v>0</v>
      </c>
      <c r="H135" s="2459">
        <v>0</v>
      </c>
      <c r="I135" s="2462">
        <v>1937500</v>
      </c>
      <c r="J135" s="2457" t="s">
        <v>4481</v>
      </c>
    </row>
    <row r="136" spans="2:10">
      <c r="B136" s="2468">
        <v>770119</v>
      </c>
      <c r="C136" s="2473" t="s">
        <v>4597</v>
      </c>
      <c r="D136" s="2462">
        <v>12000000</v>
      </c>
      <c r="E136" s="2459">
        <v>1000000</v>
      </c>
      <c r="F136" s="2459">
        <v>11166667</v>
      </c>
      <c r="G136" s="2459">
        <v>0</v>
      </c>
      <c r="H136" s="2459">
        <v>0</v>
      </c>
      <c r="I136" s="2462">
        <v>833333</v>
      </c>
      <c r="J136" s="2457" t="s">
        <v>4481</v>
      </c>
    </row>
    <row r="137" spans="2:10">
      <c r="B137" s="2468">
        <v>770120</v>
      </c>
      <c r="C137" s="2473" t="s">
        <v>4598</v>
      </c>
      <c r="D137" s="2462">
        <v>5920000</v>
      </c>
      <c r="E137" s="2459">
        <v>493333</v>
      </c>
      <c r="F137" s="2459">
        <v>5508890</v>
      </c>
      <c r="G137" s="2459">
        <v>0</v>
      </c>
      <c r="H137" s="2459">
        <v>0</v>
      </c>
      <c r="I137" s="2462">
        <v>411110</v>
      </c>
      <c r="J137" s="2457" t="s">
        <v>4481</v>
      </c>
    </row>
    <row r="138" spans="2:10">
      <c r="B138" s="2468">
        <v>770121</v>
      </c>
      <c r="C138" s="2473" t="s">
        <v>4599</v>
      </c>
      <c r="D138" s="2462">
        <v>19900000</v>
      </c>
      <c r="E138" s="2459">
        <v>1658333</v>
      </c>
      <c r="F138" s="2459">
        <v>18518057</v>
      </c>
      <c r="G138" s="2459">
        <v>0</v>
      </c>
      <c r="H138" s="2459">
        <v>0</v>
      </c>
      <c r="I138" s="2462">
        <v>1381943</v>
      </c>
      <c r="J138" s="2457" t="s">
        <v>4481</v>
      </c>
    </row>
    <row r="139" spans="2:10">
      <c r="B139" s="2468">
        <v>770122</v>
      </c>
      <c r="C139" s="2473" t="s">
        <v>4600</v>
      </c>
      <c r="D139" s="2462">
        <v>728700000</v>
      </c>
      <c r="E139" s="2459">
        <v>60725000</v>
      </c>
      <c r="F139" s="2459">
        <v>678095833</v>
      </c>
      <c r="G139" s="2459">
        <v>0</v>
      </c>
      <c r="H139" s="2459">
        <v>0</v>
      </c>
      <c r="I139" s="2462">
        <v>50604167</v>
      </c>
      <c r="J139" s="2457" t="s">
        <v>4481</v>
      </c>
    </row>
    <row r="140" spans="2:10">
      <c r="B140" s="2468">
        <v>770123</v>
      </c>
      <c r="C140" s="2473" t="s">
        <v>4601</v>
      </c>
      <c r="D140" s="2462">
        <v>485000000</v>
      </c>
      <c r="E140" s="2459">
        <v>40416667</v>
      </c>
      <c r="F140" s="2459">
        <v>451319443</v>
      </c>
      <c r="G140" s="2459">
        <v>0</v>
      </c>
      <c r="H140" s="2459">
        <v>0</v>
      </c>
      <c r="I140" s="2462">
        <v>33680557</v>
      </c>
      <c r="J140" s="2457" t="s">
        <v>4481</v>
      </c>
    </row>
    <row r="141" spans="2:10">
      <c r="B141" s="2468">
        <v>770124</v>
      </c>
      <c r="C141" s="2473" t="s">
        <v>4602</v>
      </c>
      <c r="D141" s="2462">
        <v>180000000</v>
      </c>
      <c r="E141" s="2459">
        <v>15000000</v>
      </c>
      <c r="F141" s="2459">
        <v>165000000</v>
      </c>
      <c r="G141" s="2459">
        <v>0</v>
      </c>
      <c r="H141" s="2459">
        <v>0</v>
      </c>
      <c r="I141" s="2462">
        <v>15000000</v>
      </c>
      <c r="J141" s="2457" t="s">
        <v>4481</v>
      </c>
    </row>
    <row r="142" spans="2:10">
      <c r="B142" s="2468">
        <v>770125</v>
      </c>
      <c r="C142" s="2473" t="s">
        <v>4603</v>
      </c>
      <c r="D142" s="2462">
        <v>12400000</v>
      </c>
      <c r="E142" s="2459">
        <v>1033333</v>
      </c>
      <c r="F142" s="2459">
        <v>10505557</v>
      </c>
      <c r="G142" s="2459">
        <v>0</v>
      </c>
      <c r="H142" s="2459">
        <v>0</v>
      </c>
      <c r="I142" s="2462">
        <v>1894443</v>
      </c>
      <c r="J142" s="2457" t="s">
        <v>4481</v>
      </c>
    </row>
    <row r="143" spans="2:10">
      <c r="B143" s="2468">
        <v>770126</v>
      </c>
      <c r="C143" s="2473" t="s">
        <v>4604</v>
      </c>
      <c r="D143" s="2462">
        <v>22000000</v>
      </c>
      <c r="E143" s="2459">
        <v>1833333</v>
      </c>
      <c r="F143" s="2459">
        <v>17722223</v>
      </c>
      <c r="G143" s="2459">
        <v>0</v>
      </c>
      <c r="H143" s="2459">
        <v>0</v>
      </c>
      <c r="I143" s="2462">
        <v>4277777</v>
      </c>
      <c r="J143" s="2457" t="s">
        <v>4481</v>
      </c>
    </row>
    <row r="144" spans="2:10">
      <c r="B144" s="2468">
        <v>770127</v>
      </c>
      <c r="C144" s="2473" t="s">
        <v>4605</v>
      </c>
      <c r="D144" s="2462">
        <v>73000000</v>
      </c>
      <c r="E144" s="2459">
        <v>6083333</v>
      </c>
      <c r="F144" s="2459">
        <v>58805557</v>
      </c>
      <c r="G144" s="2459">
        <v>0</v>
      </c>
      <c r="H144" s="2459">
        <v>0</v>
      </c>
      <c r="I144" s="2462">
        <v>14194443</v>
      </c>
      <c r="J144" s="2457" t="s">
        <v>4481</v>
      </c>
    </row>
    <row r="145" spans="2:10">
      <c r="B145" s="2468">
        <v>770128</v>
      </c>
      <c r="C145" s="2473" t="s">
        <v>4606</v>
      </c>
      <c r="D145" s="2462">
        <v>20000000</v>
      </c>
      <c r="E145" s="2459">
        <v>1666667</v>
      </c>
      <c r="F145" s="2459">
        <v>15277777</v>
      </c>
      <c r="G145" s="2459">
        <v>0</v>
      </c>
      <c r="H145" s="2459">
        <v>0</v>
      </c>
      <c r="I145" s="2462">
        <v>4722223</v>
      </c>
      <c r="J145" s="2457" t="s">
        <v>4481</v>
      </c>
    </row>
    <row r="146" spans="2:10">
      <c r="B146" s="2468">
        <v>770129</v>
      </c>
      <c r="C146" s="2473" t="s">
        <v>4607</v>
      </c>
      <c r="D146" s="2462">
        <v>30000000</v>
      </c>
      <c r="E146" s="2459">
        <v>2500000</v>
      </c>
      <c r="F146" s="2459">
        <v>22916667</v>
      </c>
      <c r="G146" s="2459">
        <v>0</v>
      </c>
      <c r="H146" s="2459">
        <v>0</v>
      </c>
      <c r="I146" s="2462">
        <v>7083333</v>
      </c>
      <c r="J146" s="2457" t="s">
        <v>4481</v>
      </c>
    </row>
    <row r="147" spans="2:10">
      <c r="B147" s="2468">
        <v>770130</v>
      </c>
      <c r="C147" s="2473" t="s">
        <v>4608</v>
      </c>
      <c r="D147" s="2462">
        <v>20000000</v>
      </c>
      <c r="E147" s="2459">
        <v>1666667</v>
      </c>
      <c r="F147" s="2459">
        <v>15277777</v>
      </c>
      <c r="G147" s="2459">
        <v>0</v>
      </c>
      <c r="H147" s="2459">
        <v>0</v>
      </c>
      <c r="I147" s="2462">
        <v>4722223</v>
      </c>
      <c r="J147" s="2457" t="s">
        <v>4481</v>
      </c>
    </row>
    <row r="148" spans="2:10">
      <c r="B148" s="2468">
        <v>770131</v>
      </c>
      <c r="C148" s="2473" t="s">
        <v>4609</v>
      </c>
      <c r="D148" s="2462">
        <v>72600000</v>
      </c>
      <c r="E148" s="2459">
        <v>6050000</v>
      </c>
      <c r="F148" s="2459">
        <v>55458333</v>
      </c>
      <c r="G148" s="2459">
        <v>0</v>
      </c>
      <c r="H148" s="2459">
        <v>0</v>
      </c>
      <c r="I148" s="2462">
        <v>17141667</v>
      </c>
      <c r="J148" s="2457" t="s">
        <v>4481</v>
      </c>
    </row>
    <row r="149" spans="2:10">
      <c r="B149" s="2468">
        <v>770132</v>
      </c>
      <c r="C149" s="2473" t="s">
        <v>4610</v>
      </c>
      <c r="D149" s="2462">
        <v>15600000</v>
      </c>
      <c r="E149" s="2459">
        <v>1300000</v>
      </c>
      <c r="F149" s="2459">
        <v>11916667</v>
      </c>
      <c r="G149" s="2459">
        <v>0</v>
      </c>
      <c r="H149" s="2459">
        <v>0</v>
      </c>
      <c r="I149" s="2462">
        <v>3683333</v>
      </c>
      <c r="J149" s="2457" t="s">
        <v>4481</v>
      </c>
    </row>
    <row r="150" spans="2:10">
      <c r="B150" s="2468">
        <v>770133</v>
      </c>
      <c r="C150" s="2473" t="s">
        <v>4611</v>
      </c>
      <c r="D150" s="2462">
        <v>14400000</v>
      </c>
      <c r="E150" s="2459">
        <v>1200000</v>
      </c>
      <c r="F150" s="2459">
        <v>11000000</v>
      </c>
      <c r="G150" s="2459">
        <v>0</v>
      </c>
      <c r="H150" s="2459">
        <v>0</v>
      </c>
      <c r="I150" s="2462">
        <v>3400000</v>
      </c>
      <c r="J150" s="2457" t="s">
        <v>4481</v>
      </c>
    </row>
    <row r="151" spans="2:10">
      <c r="B151" s="2468">
        <v>770134</v>
      </c>
      <c r="C151" s="2473" t="s">
        <v>4612</v>
      </c>
      <c r="D151" s="2462">
        <v>556710000</v>
      </c>
      <c r="E151" s="2459">
        <v>46392500</v>
      </c>
      <c r="F151" s="2459">
        <v>425264583</v>
      </c>
      <c r="G151" s="2459">
        <v>0</v>
      </c>
      <c r="H151" s="2459">
        <v>0</v>
      </c>
      <c r="I151" s="2462">
        <v>131445417</v>
      </c>
      <c r="J151" s="2457" t="s">
        <v>4481</v>
      </c>
    </row>
    <row r="152" spans="2:10">
      <c r="B152" s="2468">
        <v>770135</v>
      </c>
      <c r="C152" s="2473" t="s">
        <v>4613</v>
      </c>
      <c r="D152" s="2462">
        <v>8640000</v>
      </c>
      <c r="E152" s="2459">
        <v>720000</v>
      </c>
      <c r="F152" s="2459">
        <v>6360000</v>
      </c>
      <c r="G152" s="2459">
        <v>0</v>
      </c>
      <c r="H152" s="2459">
        <v>0</v>
      </c>
      <c r="I152" s="2462">
        <v>2280000</v>
      </c>
      <c r="J152" s="2457" t="s">
        <v>4481</v>
      </c>
    </row>
    <row r="153" spans="2:10">
      <c r="B153" s="2468">
        <v>770136</v>
      </c>
      <c r="C153" s="2473" t="s">
        <v>4614</v>
      </c>
      <c r="D153" s="2462">
        <v>302466833</v>
      </c>
      <c r="E153" s="2459">
        <v>25205569</v>
      </c>
      <c r="F153" s="2459">
        <v>226850125</v>
      </c>
      <c r="G153" s="2459">
        <v>0</v>
      </c>
      <c r="H153" s="2459">
        <v>0</v>
      </c>
      <c r="I153" s="2462">
        <v>75616708</v>
      </c>
      <c r="J153" s="2457" t="s">
        <v>4481</v>
      </c>
    </row>
    <row r="154" spans="2:10">
      <c r="B154" s="2468">
        <v>770137</v>
      </c>
      <c r="C154" s="2473" t="s">
        <v>4615</v>
      </c>
      <c r="D154" s="2462">
        <v>9360000</v>
      </c>
      <c r="E154" s="2459">
        <v>780000</v>
      </c>
      <c r="F154" s="2459">
        <v>6370000</v>
      </c>
      <c r="G154" s="2459">
        <v>0</v>
      </c>
      <c r="H154" s="2459">
        <v>0</v>
      </c>
      <c r="I154" s="2462">
        <v>2990000</v>
      </c>
      <c r="J154" s="2457" t="s">
        <v>4481</v>
      </c>
    </row>
    <row r="155" spans="2:10">
      <c r="B155" s="2468">
        <v>770138</v>
      </c>
      <c r="C155" s="2473" t="s">
        <v>4616</v>
      </c>
      <c r="D155" s="2462">
        <v>427910000</v>
      </c>
      <c r="E155" s="2459">
        <v>35659167</v>
      </c>
      <c r="F155" s="2459">
        <v>279330138</v>
      </c>
      <c r="G155" s="2459">
        <v>0</v>
      </c>
      <c r="H155" s="2459">
        <v>0</v>
      </c>
      <c r="I155" s="2462">
        <v>148579862</v>
      </c>
      <c r="J155" s="2457" t="s">
        <v>4481</v>
      </c>
    </row>
    <row r="156" spans="2:10">
      <c r="B156" s="2468">
        <v>770139</v>
      </c>
      <c r="C156" s="2473" t="s">
        <v>4617</v>
      </c>
      <c r="D156" s="2462">
        <v>16500000</v>
      </c>
      <c r="E156" s="2459">
        <v>1375000</v>
      </c>
      <c r="F156" s="2459">
        <v>10770833</v>
      </c>
      <c r="G156" s="2459">
        <v>0</v>
      </c>
      <c r="H156" s="2459">
        <v>0</v>
      </c>
      <c r="I156" s="2462">
        <v>5729167</v>
      </c>
      <c r="J156" s="2457" t="s">
        <v>4481</v>
      </c>
    </row>
    <row r="157" spans="2:10">
      <c r="B157" s="2468">
        <v>770140</v>
      </c>
      <c r="C157" s="2473" t="s">
        <v>4618</v>
      </c>
      <c r="D157" s="2462">
        <v>798900000</v>
      </c>
      <c r="E157" s="2459">
        <v>66575000</v>
      </c>
      <c r="F157" s="2459">
        <v>488216667</v>
      </c>
      <c r="G157" s="2459">
        <v>0</v>
      </c>
      <c r="H157" s="2459">
        <v>0</v>
      </c>
      <c r="I157" s="2462">
        <v>310683333</v>
      </c>
      <c r="J157" s="2457" t="s">
        <v>4481</v>
      </c>
    </row>
    <row r="158" spans="2:10">
      <c r="B158" s="2468">
        <v>770141</v>
      </c>
      <c r="C158" s="2473" t="s">
        <v>4619</v>
      </c>
      <c r="D158" s="2462">
        <v>25009000</v>
      </c>
      <c r="E158" s="2459">
        <v>2084083</v>
      </c>
      <c r="F158" s="2459">
        <v>19451444</v>
      </c>
      <c r="G158" s="2459">
        <v>0</v>
      </c>
      <c r="H158" s="2459">
        <v>0</v>
      </c>
      <c r="I158" s="2462">
        <v>5557556</v>
      </c>
      <c r="J158" s="2457" t="s">
        <v>4481</v>
      </c>
    </row>
    <row r="159" spans="2:10">
      <c r="B159" s="2468">
        <v>770142</v>
      </c>
      <c r="C159" s="2473" t="s">
        <v>4620</v>
      </c>
      <c r="D159" s="2462">
        <v>22134924</v>
      </c>
      <c r="E159" s="2459">
        <v>1844577</v>
      </c>
      <c r="F159" s="2459">
        <v>13526898</v>
      </c>
      <c r="G159" s="2459">
        <v>0</v>
      </c>
      <c r="H159" s="2459">
        <v>0</v>
      </c>
      <c r="I159" s="2462">
        <v>8608026</v>
      </c>
      <c r="J159" s="2457" t="s">
        <v>4481</v>
      </c>
    </row>
    <row r="160" spans="2:10">
      <c r="B160" s="2468">
        <v>770143</v>
      </c>
      <c r="C160" s="2473" t="s">
        <v>4621</v>
      </c>
      <c r="D160" s="2462">
        <v>13968000</v>
      </c>
      <c r="E160" s="2459">
        <v>1164000</v>
      </c>
      <c r="F160" s="2459">
        <v>10864000</v>
      </c>
      <c r="G160" s="2459">
        <v>0</v>
      </c>
      <c r="H160" s="2459">
        <v>0</v>
      </c>
      <c r="I160" s="2462">
        <v>3104000</v>
      </c>
      <c r="J160" s="2457" t="s">
        <v>4481</v>
      </c>
    </row>
    <row r="161" spans="2:10">
      <c r="B161" s="2468">
        <v>770144</v>
      </c>
      <c r="C161" s="2473" t="s">
        <v>4622</v>
      </c>
      <c r="D161" s="2462">
        <v>2000000</v>
      </c>
      <c r="E161" s="2459">
        <v>166667</v>
      </c>
      <c r="F161" s="2459">
        <v>1194444</v>
      </c>
      <c r="G161" s="2459">
        <v>0</v>
      </c>
      <c r="H161" s="2459">
        <v>0</v>
      </c>
      <c r="I161" s="2462">
        <v>805556</v>
      </c>
      <c r="J161" s="2457" t="s">
        <v>4481</v>
      </c>
    </row>
    <row r="162" spans="2:10">
      <c r="B162" s="2468">
        <v>770145</v>
      </c>
      <c r="C162" s="2472" t="s">
        <v>4623</v>
      </c>
      <c r="D162" s="2462">
        <v>40000000</v>
      </c>
      <c r="E162" s="2459">
        <v>3333333</v>
      </c>
      <c r="F162" s="2459">
        <v>22777778</v>
      </c>
      <c r="G162" s="2459">
        <v>0</v>
      </c>
      <c r="H162" s="2459">
        <v>0</v>
      </c>
      <c r="I162" s="2462">
        <v>17222222</v>
      </c>
      <c r="J162" s="2457" t="s">
        <v>4481</v>
      </c>
    </row>
    <row r="163" spans="2:10">
      <c r="B163" s="2468">
        <v>770146</v>
      </c>
      <c r="C163" s="2472" t="s">
        <v>4624</v>
      </c>
      <c r="D163" s="2462">
        <v>1050000</v>
      </c>
      <c r="E163" s="2459">
        <v>87500</v>
      </c>
      <c r="F163" s="2459">
        <v>597917</v>
      </c>
      <c r="G163" s="2459">
        <v>0</v>
      </c>
      <c r="H163" s="2459">
        <v>0</v>
      </c>
      <c r="I163" s="2462">
        <v>452083</v>
      </c>
      <c r="J163" s="2457" t="s">
        <v>4481</v>
      </c>
    </row>
    <row r="164" spans="2:10">
      <c r="B164" s="2468">
        <v>770147</v>
      </c>
      <c r="C164" s="2472" t="s">
        <v>4625</v>
      </c>
      <c r="D164" s="2462">
        <v>20000000</v>
      </c>
      <c r="E164" s="2459">
        <v>1666667</v>
      </c>
      <c r="F164" s="2459">
        <v>11388889</v>
      </c>
      <c r="G164" s="2459">
        <v>0</v>
      </c>
      <c r="H164" s="2459">
        <v>0</v>
      </c>
      <c r="I164" s="2462">
        <v>8611111</v>
      </c>
      <c r="J164" s="2457" t="s">
        <v>4481</v>
      </c>
    </row>
    <row r="165" spans="2:10">
      <c r="B165" s="2468">
        <v>770148</v>
      </c>
      <c r="C165" s="2472" t="s">
        <v>4626</v>
      </c>
      <c r="D165" s="2462">
        <v>84000000</v>
      </c>
      <c r="E165" s="2459">
        <v>7000000</v>
      </c>
      <c r="F165" s="2459">
        <v>47833333</v>
      </c>
      <c r="G165" s="2459">
        <v>0</v>
      </c>
      <c r="H165" s="2459">
        <v>0</v>
      </c>
      <c r="I165" s="2462">
        <v>36166667</v>
      </c>
      <c r="J165" s="2457" t="s">
        <v>4481</v>
      </c>
    </row>
    <row r="166" spans="2:10">
      <c r="B166" s="2468">
        <v>770149</v>
      </c>
      <c r="C166" s="2472" t="s">
        <v>4627</v>
      </c>
      <c r="D166" s="2462">
        <v>51434815</v>
      </c>
      <c r="E166" s="2459">
        <v>4286235</v>
      </c>
      <c r="F166" s="2459">
        <v>28574897</v>
      </c>
      <c r="G166" s="2459">
        <v>0</v>
      </c>
      <c r="H166" s="2459">
        <v>0</v>
      </c>
      <c r="I166" s="2462">
        <v>22859918</v>
      </c>
      <c r="J166" s="2457" t="s">
        <v>4481</v>
      </c>
    </row>
    <row r="167" spans="2:10">
      <c r="B167" s="2468">
        <v>770150</v>
      </c>
      <c r="C167" s="2472" t="s">
        <v>4628</v>
      </c>
      <c r="D167" s="2462">
        <v>3165740900</v>
      </c>
      <c r="E167" s="2459">
        <v>263811742</v>
      </c>
      <c r="F167" s="2459">
        <v>1710406764</v>
      </c>
      <c r="G167" s="2459">
        <v>0</v>
      </c>
      <c r="H167" s="2459">
        <v>0</v>
      </c>
      <c r="I167" s="2462">
        <v>1455334136</v>
      </c>
      <c r="J167" s="2457" t="s">
        <v>4481</v>
      </c>
    </row>
    <row r="168" spans="2:10">
      <c r="B168" s="2468">
        <v>770151</v>
      </c>
      <c r="C168" s="2472" t="s">
        <v>4629</v>
      </c>
      <c r="D168" s="2462">
        <v>17335628</v>
      </c>
      <c r="E168" s="2459">
        <v>1444636</v>
      </c>
      <c r="F168" s="2459">
        <v>8908586</v>
      </c>
      <c r="G168" s="2459">
        <v>0</v>
      </c>
      <c r="H168" s="2459">
        <v>0</v>
      </c>
      <c r="I168" s="2462">
        <v>8427042</v>
      </c>
      <c r="J168" s="2457" t="s">
        <v>4481</v>
      </c>
    </row>
    <row r="169" spans="2:10">
      <c r="B169" s="2468">
        <v>770152</v>
      </c>
      <c r="C169" s="2472" t="s">
        <v>4630</v>
      </c>
      <c r="D169" s="2462">
        <v>27051000</v>
      </c>
      <c r="E169" s="2459">
        <v>2254250</v>
      </c>
      <c r="F169" s="2459">
        <v>13149792</v>
      </c>
      <c r="G169" s="2459">
        <v>0</v>
      </c>
      <c r="H169" s="2459">
        <v>0</v>
      </c>
      <c r="I169" s="2462">
        <v>13901208</v>
      </c>
      <c r="J169" s="2457" t="s">
        <v>4481</v>
      </c>
    </row>
    <row r="170" spans="2:10">
      <c r="B170" s="2468">
        <v>770153</v>
      </c>
      <c r="C170" s="2472" t="s">
        <v>4631</v>
      </c>
      <c r="D170" s="2462">
        <v>41968000</v>
      </c>
      <c r="E170" s="2459">
        <v>3497333</v>
      </c>
      <c r="F170" s="2459">
        <v>19818223</v>
      </c>
      <c r="G170" s="2459">
        <v>0</v>
      </c>
      <c r="H170" s="2459">
        <v>0</v>
      </c>
      <c r="I170" s="2462">
        <v>22149777</v>
      </c>
      <c r="J170" s="2457" t="s">
        <v>4481</v>
      </c>
    </row>
    <row r="171" spans="2:10">
      <c r="B171" s="2468">
        <v>770154</v>
      </c>
      <c r="C171" s="2472" t="s">
        <v>4632</v>
      </c>
      <c r="D171" s="2462">
        <v>795000</v>
      </c>
      <c r="E171" s="2459">
        <v>66250</v>
      </c>
      <c r="F171" s="2459">
        <v>364375</v>
      </c>
      <c r="G171" s="2459">
        <v>0</v>
      </c>
      <c r="H171" s="2459">
        <v>0</v>
      </c>
      <c r="I171" s="2462">
        <v>430625</v>
      </c>
      <c r="J171" s="2457" t="s">
        <v>4481</v>
      </c>
    </row>
    <row r="172" spans="2:10">
      <c r="B172" s="2468">
        <v>770155</v>
      </c>
      <c r="C172" s="2472" t="s">
        <v>4633</v>
      </c>
      <c r="D172" s="2462">
        <v>8520000</v>
      </c>
      <c r="E172" s="2459">
        <v>710000</v>
      </c>
      <c r="F172" s="2459">
        <v>3786667</v>
      </c>
      <c r="G172" s="2459">
        <v>0</v>
      </c>
      <c r="H172" s="2459">
        <v>0</v>
      </c>
      <c r="I172" s="2462">
        <v>4733333</v>
      </c>
      <c r="J172" s="2457" t="s">
        <v>4481</v>
      </c>
    </row>
    <row r="173" spans="2:10">
      <c r="B173" s="2468">
        <v>770156</v>
      </c>
      <c r="C173" s="2472" t="s">
        <v>4634</v>
      </c>
      <c r="D173" s="2462">
        <v>6475200</v>
      </c>
      <c r="E173" s="2459">
        <v>539600</v>
      </c>
      <c r="F173" s="2459">
        <v>2877867</v>
      </c>
      <c r="G173" s="2459">
        <v>0</v>
      </c>
      <c r="H173" s="2459">
        <v>0</v>
      </c>
      <c r="I173" s="2462">
        <v>3597333</v>
      </c>
      <c r="J173" s="2457" t="s">
        <v>4481</v>
      </c>
    </row>
    <row r="174" spans="2:10">
      <c r="B174" s="2468">
        <v>770158</v>
      </c>
      <c r="C174" s="2472" t="s">
        <v>4635</v>
      </c>
      <c r="D174" s="2462">
        <v>21400000</v>
      </c>
      <c r="E174" s="2459">
        <v>1783333</v>
      </c>
      <c r="F174" s="2459">
        <v>9213889</v>
      </c>
      <c r="G174" s="2459">
        <v>0</v>
      </c>
      <c r="H174" s="2459">
        <v>0</v>
      </c>
      <c r="I174" s="2462">
        <v>12186111</v>
      </c>
      <c r="J174" s="2457" t="s">
        <v>4481</v>
      </c>
    </row>
    <row r="175" spans="2:10">
      <c r="B175" s="2468">
        <v>770159</v>
      </c>
      <c r="C175" s="2472" t="s">
        <v>4636</v>
      </c>
      <c r="D175" s="2462">
        <v>209350000</v>
      </c>
      <c r="E175" s="2459">
        <v>17445833</v>
      </c>
      <c r="F175" s="2459">
        <v>93044445</v>
      </c>
      <c r="G175" s="2459">
        <v>0</v>
      </c>
      <c r="H175" s="2459">
        <v>0</v>
      </c>
      <c r="I175" s="2462">
        <v>116305555</v>
      </c>
      <c r="J175" s="2457" t="s">
        <v>4481</v>
      </c>
    </row>
    <row r="176" spans="2:10">
      <c r="B176" s="2468">
        <v>770160</v>
      </c>
      <c r="C176" s="2472" t="s">
        <v>4637</v>
      </c>
      <c r="D176" s="2462">
        <v>690000</v>
      </c>
      <c r="E176" s="2459">
        <v>57500</v>
      </c>
      <c r="F176" s="2459">
        <v>287500</v>
      </c>
      <c r="G176" s="2459">
        <v>0</v>
      </c>
      <c r="H176" s="2459">
        <v>0</v>
      </c>
      <c r="I176" s="2462">
        <v>402500</v>
      </c>
      <c r="J176" s="2457" t="s">
        <v>4481</v>
      </c>
    </row>
    <row r="177" spans="2:10">
      <c r="B177" s="2468">
        <v>770162</v>
      </c>
      <c r="C177" s="2472" t="s">
        <v>4638</v>
      </c>
      <c r="D177" s="2462">
        <v>1300000</v>
      </c>
      <c r="E177" s="2459">
        <v>108333</v>
      </c>
      <c r="F177" s="2459">
        <v>505556</v>
      </c>
      <c r="G177" s="2459">
        <v>0</v>
      </c>
      <c r="H177" s="2459">
        <v>0</v>
      </c>
      <c r="I177" s="2462">
        <v>794444</v>
      </c>
      <c r="J177" s="2457" t="s">
        <v>4481</v>
      </c>
    </row>
    <row r="178" spans="2:10">
      <c r="B178" s="2468">
        <v>770163</v>
      </c>
      <c r="C178" s="2472" t="s">
        <v>4639</v>
      </c>
      <c r="D178" s="2462">
        <v>13143715</v>
      </c>
      <c r="E178" s="2459">
        <v>1095310</v>
      </c>
      <c r="F178" s="2459">
        <v>4746342</v>
      </c>
      <c r="G178" s="2459">
        <v>0</v>
      </c>
      <c r="H178" s="2459">
        <v>0</v>
      </c>
      <c r="I178" s="2462">
        <v>8397373</v>
      </c>
      <c r="J178" s="2457" t="s">
        <v>4481</v>
      </c>
    </row>
    <row r="179" spans="2:10">
      <c r="B179" s="2468">
        <v>770164</v>
      </c>
      <c r="C179" s="2472" t="s">
        <v>4640</v>
      </c>
      <c r="D179" s="2462">
        <v>132483000</v>
      </c>
      <c r="E179" s="2459">
        <v>11040250</v>
      </c>
      <c r="F179" s="2459">
        <v>50913305</v>
      </c>
      <c r="G179" s="2459">
        <v>0</v>
      </c>
      <c r="H179" s="2459">
        <v>0</v>
      </c>
      <c r="I179" s="2462">
        <v>81569695</v>
      </c>
      <c r="J179" s="2457" t="s">
        <v>4481</v>
      </c>
    </row>
    <row r="180" spans="2:10">
      <c r="B180" s="2468">
        <v>770165</v>
      </c>
      <c r="C180" s="2472" t="s">
        <v>4641</v>
      </c>
      <c r="D180" s="2462">
        <v>55853000</v>
      </c>
      <c r="E180" s="2459">
        <v>4654417</v>
      </c>
      <c r="F180" s="2459">
        <v>22496347</v>
      </c>
      <c r="G180" s="2459">
        <v>0</v>
      </c>
      <c r="H180" s="2459">
        <v>0</v>
      </c>
      <c r="I180" s="2462">
        <v>33356653</v>
      </c>
      <c r="J180" s="2457" t="s">
        <v>4481</v>
      </c>
    </row>
    <row r="181" spans="2:10">
      <c r="B181" s="2468">
        <v>770166</v>
      </c>
      <c r="C181" s="2472" t="s">
        <v>4642</v>
      </c>
      <c r="D181" s="2462">
        <v>59746225</v>
      </c>
      <c r="E181" s="2459">
        <v>4978852</v>
      </c>
      <c r="F181" s="2459">
        <v>23234643</v>
      </c>
      <c r="G181" s="2459">
        <v>0</v>
      </c>
      <c r="H181" s="2459">
        <v>0</v>
      </c>
      <c r="I181" s="2462">
        <v>36511582</v>
      </c>
      <c r="J181" s="2457" t="s">
        <v>4481</v>
      </c>
    </row>
    <row r="182" spans="2:10">
      <c r="B182" s="2468">
        <v>770168</v>
      </c>
      <c r="C182" s="2472" t="s">
        <v>4643</v>
      </c>
      <c r="D182" s="2462">
        <v>10500000</v>
      </c>
      <c r="E182" s="2459">
        <v>875000</v>
      </c>
      <c r="F182" s="2459">
        <v>2770833</v>
      </c>
      <c r="G182" s="2459">
        <v>0</v>
      </c>
      <c r="H182" s="2459">
        <v>0</v>
      </c>
      <c r="I182" s="2462">
        <v>7729167</v>
      </c>
      <c r="J182" s="2457" t="s">
        <v>4481</v>
      </c>
    </row>
    <row r="183" spans="2:10">
      <c r="B183" s="2468">
        <v>770170</v>
      </c>
      <c r="C183" s="2472" t="s">
        <v>4644</v>
      </c>
      <c r="D183" s="2462">
        <v>49000000</v>
      </c>
      <c r="E183" s="2459">
        <v>4083333</v>
      </c>
      <c r="F183" s="2459">
        <v>12930556</v>
      </c>
      <c r="G183" s="2459">
        <v>0</v>
      </c>
      <c r="H183" s="2459">
        <v>0</v>
      </c>
      <c r="I183" s="2462">
        <v>36069444</v>
      </c>
      <c r="J183" s="2457" t="s">
        <v>4481</v>
      </c>
    </row>
    <row r="184" spans="2:10">
      <c r="B184" s="2468">
        <v>770171</v>
      </c>
      <c r="C184" s="2472" t="s">
        <v>4645</v>
      </c>
      <c r="D184" s="2462">
        <v>20000000</v>
      </c>
      <c r="E184" s="2459">
        <v>1666667</v>
      </c>
      <c r="F184" s="2459">
        <v>5277778</v>
      </c>
      <c r="G184" s="2459">
        <v>0</v>
      </c>
      <c r="H184" s="2459">
        <v>0</v>
      </c>
      <c r="I184" s="2462">
        <v>14722222</v>
      </c>
      <c r="J184" s="2457" t="s">
        <v>4481</v>
      </c>
    </row>
    <row r="185" spans="2:10">
      <c r="B185" s="2468">
        <v>770173</v>
      </c>
      <c r="C185" s="2472" t="s">
        <v>4646</v>
      </c>
      <c r="D185" s="2462">
        <v>200836000</v>
      </c>
      <c r="E185" s="2459">
        <v>16736333</v>
      </c>
      <c r="F185" s="2459">
        <v>52998389</v>
      </c>
      <c r="G185" s="2459">
        <v>0</v>
      </c>
      <c r="H185" s="2459">
        <v>0</v>
      </c>
      <c r="I185" s="2462">
        <v>147837611</v>
      </c>
      <c r="J185" s="2457" t="s">
        <v>4481</v>
      </c>
    </row>
    <row r="186" spans="2:10">
      <c r="B186" s="2468">
        <v>770174</v>
      </c>
      <c r="C186" s="2472" t="s">
        <v>4647</v>
      </c>
      <c r="D186" s="2462">
        <v>33900000</v>
      </c>
      <c r="E186" s="2459">
        <v>2825000</v>
      </c>
      <c r="F186" s="2459">
        <v>8945833</v>
      </c>
      <c r="G186" s="2459">
        <v>0</v>
      </c>
      <c r="H186" s="2459">
        <v>0</v>
      </c>
      <c r="I186" s="2462">
        <v>24954167</v>
      </c>
      <c r="J186" s="2457" t="s">
        <v>4481</v>
      </c>
    </row>
    <row r="187" spans="2:10">
      <c r="B187" s="2468">
        <v>770175</v>
      </c>
      <c r="C187" s="2472" t="s">
        <v>4648</v>
      </c>
      <c r="D187" s="2462">
        <v>4000000</v>
      </c>
      <c r="E187" s="2459">
        <v>333333</v>
      </c>
      <c r="F187" s="2459">
        <v>1055556</v>
      </c>
      <c r="G187" s="2459">
        <v>0</v>
      </c>
      <c r="H187" s="2459">
        <v>0</v>
      </c>
      <c r="I187" s="2462">
        <v>2944444</v>
      </c>
      <c r="J187" s="2457" t="s">
        <v>4481</v>
      </c>
    </row>
    <row r="188" spans="2:10">
      <c r="B188" s="2468">
        <v>770176</v>
      </c>
      <c r="C188" s="2472" t="s">
        <v>4649</v>
      </c>
      <c r="D188" s="2462">
        <v>1075000</v>
      </c>
      <c r="E188" s="2459">
        <v>89583</v>
      </c>
      <c r="F188" s="2459">
        <v>268750</v>
      </c>
      <c r="G188" s="2459">
        <v>0</v>
      </c>
      <c r="H188" s="2459">
        <v>0</v>
      </c>
      <c r="I188" s="2462">
        <v>806250</v>
      </c>
      <c r="J188" s="2457" t="s">
        <v>4481</v>
      </c>
    </row>
    <row r="189" spans="2:10">
      <c r="B189" s="2468">
        <v>770177</v>
      </c>
      <c r="C189" s="2472" t="s">
        <v>4650</v>
      </c>
      <c r="D189" s="2462">
        <v>570000</v>
      </c>
      <c r="E189" s="2459">
        <v>95000</v>
      </c>
      <c r="F189" s="2459">
        <v>253333</v>
      </c>
      <c r="G189" s="2459">
        <v>0</v>
      </c>
      <c r="H189" s="2459">
        <v>0</v>
      </c>
      <c r="I189" s="2462">
        <v>316667</v>
      </c>
      <c r="J189" s="2457" t="s">
        <v>4481</v>
      </c>
    </row>
    <row r="190" spans="2:10">
      <c r="B190" s="2468">
        <v>770178</v>
      </c>
      <c r="C190" s="2472" t="s">
        <v>4651</v>
      </c>
      <c r="D190" s="2462">
        <v>708000</v>
      </c>
      <c r="E190" s="2459">
        <v>59000</v>
      </c>
      <c r="F190" s="2459">
        <v>157333</v>
      </c>
      <c r="G190" s="2459">
        <v>0</v>
      </c>
      <c r="H190" s="2459">
        <v>0</v>
      </c>
      <c r="I190" s="2462">
        <v>550667</v>
      </c>
      <c r="J190" s="2457" t="s">
        <v>4481</v>
      </c>
    </row>
    <row r="191" spans="2:10">
      <c r="B191" s="2468">
        <v>770179</v>
      </c>
      <c r="C191" s="2472" t="s">
        <v>4652</v>
      </c>
      <c r="D191" s="2462">
        <v>8600000</v>
      </c>
      <c r="E191" s="2459">
        <v>716667</v>
      </c>
      <c r="F191" s="2459">
        <v>1672223</v>
      </c>
      <c r="G191" s="2459">
        <v>0</v>
      </c>
      <c r="H191" s="2459">
        <v>0</v>
      </c>
      <c r="I191" s="2462">
        <v>6927777</v>
      </c>
      <c r="J191" s="2457" t="s">
        <v>4481</v>
      </c>
    </row>
    <row r="192" spans="2:10">
      <c r="B192" s="2468">
        <v>770180</v>
      </c>
      <c r="C192" s="2472" t="s">
        <v>4653</v>
      </c>
      <c r="D192" s="2462">
        <v>7500000</v>
      </c>
      <c r="E192" s="2459">
        <v>625000</v>
      </c>
      <c r="F192" s="2459">
        <v>1562500</v>
      </c>
      <c r="G192" s="2459">
        <v>0</v>
      </c>
      <c r="H192" s="2459">
        <v>0</v>
      </c>
      <c r="I192" s="2462">
        <v>5937500</v>
      </c>
      <c r="J192" s="2457" t="s">
        <v>4481</v>
      </c>
    </row>
    <row r="193" spans="2:10">
      <c r="B193" s="2468">
        <v>770181</v>
      </c>
      <c r="C193" s="2472" t="s">
        <v>4654</v>
      </c>
      <c r="D193" s="2462">
        <v>87500000</v>
      </c>
      <c r="E193" s="2459">
        <v>7291667</v>
      </c>
      <c r="F193" s="2459">
        <v>8506945</v>
      </c>
      <c r="G193" s="2459">
        <v>0</v>
      </c>
      <c r="H193" s="2459">
        <v>0</v>
      </c>
      <c r="I193" s="2462">
        <v>78993055</v>
      </c>
      <c r="J193" s="2457" t="s">
        <v>4481</v>
      </c>
    </row>
    <row r="194" spans="2:10">
      <c r="B194" s="2468">
        <v>770182</v>
      </c>
      <c r="C194" s="2472" t="s">
        <v>4655</v>
      </c>
      <c r="D194" s="2462">
        <v>90000000</v>
      </c>
      <c r="E194" s="2459">
        <v>7500000</v>
      </c>
      <c r="F194" s="2459">
        <v>15000000</v>
      </c>
      <c r="G194" s="2459">
        <v>0</v>
      </c>
      <c r="H194" s="2459">
        <v>0</v>
      </c>
      <c r="I194" s="2462">
        <v>75000000</v>
      </c>
      <c r="J194" s="2457" t="s">
        <v>4481</v>
      </c>
    </row>
    <row r="195" spans="2:10">
      <c r="B195" s="2468">
        <v>770183</v>
      </c>
      <c r="C195" s="2472" t="s">
        <v>4656</v>
      </c>
      <c r="D195" s="2462">
        <v>2893722948</v>
      </c>
      <c r="E195" s="2459">
        <v>241143579</v>
      </c>
      <c r="F195" s="2459">
        <v>482287158</v>
      </c>
      <c r="G195" s="2459">
        <v>0</v>
      </c>
      <c r="H195" s="2459">
        <v>0</v>
      </c>
      <c r="I195" s="2462">
        <v>2411435790</v>
      </c>
      <c r="J195" s="2457" t="s">
        <v>4481</v>
      </c>
    </row>
    <row r="196" spans="2:10">
      <c r="B196" s="2468">
        <v>770184</v>
      </c>
      <c r="C196" s="2472" t="s">
        <v>4657</v>
      </c>
      <c r="D196" s="2462">
        <v>212290000</v>
      </c>
      <c r="E196" s="2459">
        <v>17690833</v>
      </c>
      <c r="F196" s="2459">
        <v>35381666</v>
      </c>
      <c r="G196" s="2459">
        <v>0</v>
      </c>
      <c r="H196" s="2459">
        <v>0</v>
      </c>
      <c r="I196" s="2462">
        <v>176908334</v>
      </c>
      <c r="J196" s="2457" t="s">
        <v>4481</v>
      </c>
    </row>
    <row r="197" spans="2:10">
      <c r="B197" s="2468">
        <v>770185</v>
      </c>
      <c r="C197" s="2472" t="s">
        <v>4658</v>
      </c>
      <c r="D197" s="2462">
        <v>1248000</v>
      </c>
      <c r="E197" s="2459">
        <v>104000</v>
      </c>
      <c r="F197" s="2459">
        <v>190667</v>
      </c>
      <c r="G197" s="2459">
        <v>0</v>
      </c>
      <c r="H197" s="2459">
        <v>0</v>
      </c>
      <c r="I197" s="2462">
        <v>1057333</v>
      </c>
      <c r="J197" s="2457" t="s">
        <v>4481</v>
      </c>
    </row>
    <row r="198" spans="2:10">
      <c r="B198" s="2468">
        <v>770186</v>
      </c>
      <c r="C198" s="2472" t="s">
        <v>4659</v>
      </c>
      <c r="D198" s="2462">
        <v>390000000</v>
      </c>
      <c r="E198" s="2459">
        <v>32500000</v>
      </c>
      <c r="F198" s="2459">
        <v>59583333</v>
      </c>
      <c r="G198" s="2459">
        <v>0</v>
      </c>
      <c r="H198" s="2459">
        <v>0</v>
      </c>
      <c r="I198" s="2462">
        <v>330416667</v>
      </c>
      <c r="J198" s="2457" t="s">
        <v>4481</v>
      </c>
    </row>
    <row r="199" spans="2:10">
      <c r="B199" s="2468">
        <v>770187</v>
      </c>
      <c r="C199" s="2472" t="s">
        <v>4660</v>
      </c>
      <c r="D199" s="2462">
        <v>470600000</v>
      </c>
      <c r="E199" s="2459">
        <v>39216667</v>
      </c>
      <c r="F199" s="2459">
        <v>71897223</v>
      </c>
      <c r="G199" s="2459">
        <v>0</v>
      </c>
      <c r="H199" s="2459">
        <v>0</v>
      </c>
      <c r="I199" s="2462">
        <v>398702777</v>
      </c>
      <c r="J199" s="2457" t="s">
        <v>4481</v>
      </c>
    </row>
    <row r="200" spans="2:10">
      <c r="B200" s="2468">
        <v>770188</v>
      </c>
      <c r="C200" s="2472" t="s">
        <v>4661</v>
      </c>
      <c r="D200" s="2462">
        <v>23958313</v>
      </c>
      <c r="E200" s="2459">
        <v>1996526</v>
      </c>
      <c r="F200" s="2459">
        <v>3327543</v>
      </c>
      <c r="G200" s="2459">
        <v>0</v>
      </c>
      <c r="H200" s="2459">
        <v>0</v>
      </c>
      <c r="I200" s="2462">
        <v>20630770</v>
      </c>
      <c r="J200" s="2457" t="s">
        <v>4481</v>
      </c>
    </row>
    <row r="201" spans="2:10">
      <c r="B201" s="2468">
        <v>770189</v>
      </c>
      <c r="C201" s="2472" t="s">
        <v>4662</v>
      </c>
      <c r="D201" s="2462">
        <v>11812491</v>
      </c>
      <c r="E201" s="2459">
        <v>984374</v>
      </c>
      <c r="F201" s="2459">
        <v>1640624</v>
      </c>
      <c r="G201" s="2459">
        <v>0</v>
      </c>
      <c r="H201" s="2459">
        <v>0</v>
      </c>
      <c r="I201" s="2462">
        <v>10171867</v>
      </c>
      <c r="J201" s="2457" t="s">
        <v>4481</v>
      </c>
    </row>
    <row r="202" spans="2:10">
      <c r="B202" s="2468">
        <v>770190</v>
      </c>
      <c r="C202" s="2472" t="s">
        <v>4663</v>
      </c>
      <c r="D202" s="2462">
        <v>19594828</v>
      </c>
      <c r="E202" s="2459">
        <v>1632902</v>
      </c>
      <c r="F202" s="2459">
        <v>2177203</v>
      </c>
      <c r="G202" s="2459">
        <v>0</v>
      </c>
      <c r="H202" s="2459">
        <v>0</v>
      </c>
      <c r="I202" s="2462">
        <v>17417625</v>
      </c>
      <c r="J202" s="2457" t="s">
        <v>4481</v>
      </c>
    </row>
    <row r="203" spans="2:10">
      <c r="B203" s="2468">
        <v>770191</v>
      </c>
      <c r="C203" s="2472" t="s">
        <v>4664</v>
      </c>
      <c r="D203" s="2462">
        <v>10500000</v>
      </c>
      <c r="E203" s="2459">
        <v>875000</v>
      </c>
      <c r="F203" s="2459">
        <v>1166667</v>
      </c>
      <c r="G203" s="2459">
        <v>0</v>
      </c>
      <c r="H203" s="2459">
        <v>0</v>
      </c>
      <c r="I203" s="2462">
        <v>9333333</v>
      </c>
      <c r="J203" s="2457" t="s">
        <v>4481</v>
      </c>
    </row>
    <row r="204" spans="2:10">
      <c r="B204" s="2468">
        <v>770192</v>
      </c>
      <c r="C204" s="2472" t="s">
        <v>4665</v>
      </c>
      <c r="D204" s="2462">
        <v>798000000</v>
      </c>
      <c r="E204" s="2459">
        <v>66500000</v>
      </c>
      <c r="F204" s="2459">
        <v>88666667</v>
      </c>
      <c r="G204" s="2459">
        <v>0</v>
      </c>
      <c r="H204" s="2459">
        <v>0</v>
      </c>
      <c r="I204" s="2462">
        <v>709333333</v>
      </c>
      <c r="J204" s="2457" t="s">
        <v>4481</v>
      </c>
    </row>
    <row r="205" spans="2:10">
      <c r="B205" s="2468">
        <v>770193</v>
      </c>
      <c r="C205" s="2472" t="s">
        <v>4666</v>
      </c>
      <c r="D205" s="2462">
        <v>5795000</v>
      </c>
      <c r="E205" s="2459">
        <v>482917</v>
      </c>
      <c r="F205" s="2459">
        <v>563403</v>
      </c>
      <c r="G205" s="2459">
        <v>0</v>
      </c>
      <c r="H205" s="2459">
        <v>0</v>
      </c>
      <c r="I205" s="2462">
        <v>5231597</v>
      </c>
      <c r="J205" s="2457" t="s">
        <v>4481</v>
      </c>
    </row>
    <row r="206" spans="2:10">
      <c r="B206" s="2468">
        <v>770194</v>
      </c>
      <c r="C206" s="2472" t="s">
        <v>4667</v>
      </c>
      <c r="D206" s="2462">
        <v>96182000</v>
      </c>
      <c r="E206" s="2459">
        <v>8015167</v>
      </c>
      <c r="F206" s="2459">
        <v>9351028</v>
      </c>
      <c r="G206" s="2459">
        <v>0</v>
      </c>
      <c r="H206" s="2459">
        <v>0</v>
      </c>
      <c r="I206" s="2462">
        <v>86830972</v>
      </c>
      <c r="J206" s="2457" t="s">
        <v>4481</v>
      </c>
    </row>
    <row r="207" spans="2:10">
      <c r="B207" s="2468">
        <v>770195</v>
      </c>
      <c r="C207" s="2472" t="s">
        <v>4668</v>
      </c>
      <c r="D207" s="2462">
        <v>5000000</v>
      </c>
      <c r="E207" s="2459">
        <v>416667</v>
      </c>
      <c r="F207" s="2459">
        <v>486111</v>
      </c>
      <c r="G207" s="2459">
        <v>0</v>
      </c>
      <c r="H207" s="2459">
        <v>0</v>
      </c>
      <c r="I207" s="2462">
        <v>4513889</v>
      </c>
      <c r="J207" s="2457" t="s">
        <v>4481</v>
      </c>
    </row>
    <row r="208" spans="2:10">
      <c r="B208" s="2468">
        <v>770196</v>
      </c>
      <c r="C208" s="2472" t="s">
        <v>4669</v>
      </c>
      <c r="D208" s="2462">
        <v>88000000</v>
      </c>
      <c r="E208" s="2459">
        <v>7333333</v>
      </c>
      <c r="F208" s="2459">
        <v>8555555</v>
      </c>
      <c r="G208" s="2459">
        <v>0</v>
      </c>
      <c r="H208" s="2459">
        <v>0</v>
      </c>
      <c r="I208" s="2462">
        <v>79444445</v>
      </c>
      <c r="J208" s="2457" t="s">
        <v>4481</v>
      </c>
    </row>
    <row r="209" spans="2:10">
      <c r="B209" s="2468">
        <v>770197</v>
      </c>
      <c r="C209" s="2472" t="s">
        <v>4670</v>
      </c>
      <c r="D209" s="2462">
        <v>10000000</v>
      </c>
      <c r="E209" s="2459">
        <v>833333</v>
      </c>
      <c r="F209" s="2459">
        <v>972222</v>
      </c>
      <c r="G209" s="2459">
        <v>0</v>
      </c>
      <c r="H209" s="2459">
        <v>0</v>
      </c>
      <c r="I209" s="2462">
        <v>9027778</v>
      </c>
      <c r="J209" s="2457" t="s">
        <v>4481</v>
      </c>
    </row>
    <row r="210" spans="2:10">
      <c r="B210" s="2468">
        <v>770198</v>
      </c>
      <c r="C210" s="2472" t="s">
        <v>4671</v>
      </c>
      <c r="D210" s="2462">
        <v>10000000</v>
      </c>
      <c r="E210" s="2459">
        <v>833333</v>
      </c>
      <c r="F210" s="2459">
        <v>972222</v>
      </c>
      <c r="G210" s="2459">
        <v>0</v>
      </c>
      <c r="H210" s="2459">
        <v>0</v>
      </c>
      <c r="I210" s="2462">
        <v>9027778</v>
      </c>
      <c r="J210" s="2457" t="s">
        <v>4481</v>
      </c>
    </row>
    <row r="211" spans="2:10">
      <c r="B211" s="2468">
        <v>770199</v>
      </c>
      <c r="C211" s="2472" t="s">
        <v>4672</v>
      </c>
      <c r="D211" s="2462">
        <v>28500000</v>
      </c>
      <c r="E211" s="2459">
        <v>2375000</v>
      </c>
      <c r="F211" s="2459">
        <v>2770833</v>
      </c>
      <c r="G211" s="2459">
        <v>0</v>
      </c>
      <c r="H211" s="2459">
        <v>0</v>
      </c>
      <c r="I211" s="2462">
        <v>25729167</v>
      </c>
      <c r="J211" s="2457" t="s">
        <v>4481</v>
      </c>
    </row>
    <row r="212" spans="2:10">
      <c r="B212" s="2468">
        <v>770200</v>
      </c>
      <c r="C212" s="2472" t="s">
        <v>4673</v>
      </c>
      <c r="D212" s="2462">
        <v>11750000</v>
      </c>
      <c r="E212" s="2459">
        <v>979167</v>
      </c>
      <c r="F212" s="2459">
        <v>1142361</v>
      </c>
      <c r="G212" s="2459">
        <v>0</v>
      </c>
      <c r="H212" s="2459">
        <v>0</v>
      </c>
      <c r="I212" s="2462">
        <v>10607639</v>
      </c>
      <c r="J212" s="2457" t="s">
        <v>4481</v>
      </c>
    </row>
    <row r="213" spans="2:10">
      <c r="B213" s="2468">
        <v>770201</v>
      </c>
      <c r="C213" s="2472" t="s">
        <v>4674</v>
      </c>
      <c r="D213" s="2462">
        <v>18000000</v>
      </c>
      <c r="E213" s="2459">
        <v>1500000</v>
      </c>
      <c r="F213" s="2459">
        <v>1750000</v>
      </c>
      <c r="G213" s="2459">
        <v>0</v>
      </c>
      <c r="H213" s="2459">
        <v>0</v>
      </c>
      <c r="I213" s="2462">
        <v>16250000</v>
      </c>
      <c r="J213" s="2457" t="s">
        <v>4481</v>
      </c>
    </row>
    <row r="214" spans="2:10">
      <c r="B214" s="2468">
        <v>770202</v>
      </c>
      <c r="C214" s="2472" t="s">
        <v>4675</v>
      </c>
      <c r="D214" s="2462">
        <v>310000000</v>
      </c>
      <c r="E214" s="2459">
        <v>25833333</v>
      </c>
      <c r="F214" s="2459">
        <v>30138889</v>
      </c>
      <c r="G214" s="2459">
        <v>0</v>
      </c>
      <c r="H214" s="2459">
        <v>0</v>
      </c>
      <c r="I214" s="2462">
        <v>279861111</v>
      </c>
      <c r="J214" s="2457" t="s">
        <v>4481</v>
      </c>
    </row>
    <row r="215" spans="2:10">
      <c r="B215" s="2468">
        <v>770203</v>
      </c>
      <c r="C215" s="2472" t="s">
        <v>4676</v>
      </c>
      <c r="D215" s="2462">
        <v>489733860</v>
      </c>
      <c r="E215" s="2459">
        <v>20405578</v>
      </c>
      <c r="F215" s="2459">
        <v>20405578</v>
      </c>
      <c r="G215" s="2459">
        <v>0</v>
      </c>
      <c r="H215" s="2459">
        <v>0</v>
      </c>
      <c r="I215" s="2462">
        <v>469328282</v>
      </c>
      <c r="J215" s="2457" t="s">
        <v>4481</v>
      </c>
    </row>
    <row r="216" spans="2:10">
      <c r="B216" s="2468">
        <v>770204</v>
      </c>
      <c r="C216" s="2472" t="s">
        <v>4677</v>
      </c>
      <c r="D216" s="2462">
        <v>3780000</v>
      </c>
      <c r="E216" s="2459">
        <v>157500</v>
      </c>
      <c r="F216" s="2459">
        <v>157500</v>
      </c>
      <c r="G216" s="2459">
        <v>0</v>
      </c>
      <c r="H216" s="2459">
        <v>0</v>
      </c>
      <c r="I216" s="2462">
        <v>3622500</v>
      </c>
      <c r="J216" s="2457" t="s">
        <v>4481</v>
      </c>
    </row>
    <row r="217" spans="2:10">
      <c r="B217" s="2468">
        <v>770205</v>
      </c>
      <c r="C217" s="2472" t="s">
        <v>4678</v>
      </c>
      <c r="D217" s="2462">
        <v>5250000</v>
      </c>
      <c r="E217" s="2459">
        <v>218750</v>
      </c>
      <c r="F217" s="2459">
        <v>218750</v>
      </c>
      <c r="G217" s="2459">
        <v>0</v>
      </c>
      <c r="H217" s="2459">
        <v>0</v>
      </c>
      <c r="I217" s="2462">
        <v>5031250</v>
      </c>
      <c r="J217" s="2457" t="s">
        <v>4481</v>
      </c>
    </row>
    <row r="218" spans="2:10">
      <c r="B218" s="2468">
        <v>770206</v>
      </c>
      <c r="C218" s="2472" t="s">
        <v>4679</v>
      </c>
      <c r="D218" s="2462">
        <v>2750000</v>
      </c>
      <c r="E218" s="2459">
        <v>114583</v>
      </c>
      <c r="F218" s="2459">
        <v>114583</v>
      </c>
      <c r="G218" s="2459">
        <v>0</v>
      </c>
      <c r="H218" s="2459">
        <v>0</v>
      </c>
      <c r="I218" s="2462">
        <v>2635417</v>
      </c>
      <c r="J218" s="2457" t="s">
        <v>4481</v>
      </c>
    </row>
    <row r="219" spans="2:10">
      <c r="B219" s="2468">
        <v>775000</v>
      </c>
      <c r="C219" s="2472" t="s">
        <v>4680</v>
      </c>
      <c r="D219" s="2462">
        <v>1041292762</v>
      </c>
      <c r="E219" s="2459">
        <v>0</v>
      </c>
      <c r="F219" s="2459">
        <v>1041292762</v>
      </c>
      <c r="G219" s="2459">
        <v>0</v>
      </c>
      <c r="H219" s="2459">
        <v>0</v>
      </c>
      <c r="I219" s="2462">
        <v>0</v>
      </c>
      <c r="J219" s="2457" t="s">
        <v>4481</v>
      </c>
    </row>
    <row r="220" spans="2:10">
      <c r="B220" s="2468">
        <v>775001</v>
      </c>
      <c r="C220" s="2472" t="s">
        <v>4681</v>
      </c>
      <c r="D220" s="2462">
        <v>95193200</v>
      </c>
      <c r="E220" s="2459">
        <v>0</v>
      </c>
      <c r="F220" s="2459">
        <v>95193200</v>
      </c>
      <c r="G220" s="2459">
        <v>0</v>
      </c>
      <c r="H220" s="2459">
        <v>0</v>
      </c>
      <c r="I220" s="2462">
        <v>0</v>
      </c>
      <c r="J220" s="2457" t="s">
        <v>4481</v>
      </c>
    </row>
    <row r="221" spans="2:10">
      <c r="B221" s="2468">
        <v>775002</v>
      </c>
      <c r="C221" s="2472" t="s">
        <v>4682</v>
      </c>
      <c r="D221" s="2462">
        <v>26488700</v>
      </c>
      <c r="E221" s="2459">
        <v>0</v>
      </c>
      <c r="F221" s="2459">
        <v>26488700</v>
      </c>
      <c r="G221" s="2459">
        <v>0</v>
      </c>
      <c r="H221" s="2459">
        <v>0</v>
      </c>
      <c r="I221" s="2462">
        <v>0</v>
      </c>
      <c r="J221" s="2457" t="s">
        <v>4481</v>
      </c>
    </row>
    <row r="222" spans="2:10">
      <c r="B222" s="2468">
        <v>775004</v>
      </c>
      <c r="C222" s="2472" t="s">
        <v>4683</v>
      </c>
      <c r="D222" s="2462">
        <v>174000</v>
      </c>
      <c r="E222" s="2459">
        <v>0</v>
      </c>
      <c r="F222" s="2459">
        <v>174000</v>
      </c>
      <c r="G222" s="2459">
        <v>0</v>
      </c>
      <c r="H222" s="2459">
        <v>0</v>
      </c>
      <c r="I222" s="2462">
        <v>0</v>
      </c>
      <c r="J222" s="2457" t="s">
        <v>4481</v>
      </c>
    </row>
    <row r="223" spans="2:10">
      <c r="B223" s="2468">
        <v>775006</v>
      </c>
      <c r="C223" s="2472" t="s">
        <v>4684</v>
      </c>
      <c r="D223" s="2462">
        <v>174000</v>
      </c>
      <c r="E223" s="2459">
        <v>0</v>
      </c>
      <c r="F223" s="2459">
        <v>174000</v>
      </c>
      <c r="G223" s="2459">
        <v>0</v>
      </c>
      <c r="H223" s="2459">
        <v>0</v>
      </c>
      <c r="I223" s="2462">
        <v>0</v>
      </c>
      <c r="J223" s="2457" t="s">
        <v>4481</v>
      </c>
    </row>
    <row r="224" spans="2:10">
      <c r="B224" s="2468">
        <v>775007</v>
      </c>
      <c r="C224" s="2472" t="s">
        <v>4685</v>
      </c>
      <c r="D224" s="2462">
        <v>30300000</v>
      </c>
      <c r="E224" s="2459">
        <v>0</v>
      </c>
      <c r="F224" s="2459">
        <v>30300000</v>
      </c>
      <c r="G224" s="2459">
        <v>0</v>
      </c>
      <c r="H224" s="2459">
        <v>0</v>
      </c>
      <c r="I224" s="2462">
        <v>0</v>
      </c>
      <c r="J224" s="2457" t="s">
        <v>4481</v>
      </c>
    </row>
    <row r="225" spans="2:10">
      <c r="B225" s="2468">
        <v>775008</v>
      </c>
      <c r="C225" s="2472" t="s">
        <v>4686</v>
      </c>
      <c r="D225" s="2462">
        <v>279250000</v>
      </c>
      <c r="E225" s="2459">
        <v>0</v>
      </c>
      <c r="F225" s="2459">
        <v>279250000</v>
      </c>
      <c r="G225" s="2459">
        <v>0</v>
      </c>
      <c r="H225" s="2459">
        <v>0</v>
      </c>
      <c r="I225" s="2462">
        <v>0</v>
      </c>
      <c r="J225" s="2457" t="s">
        <v>4481</v>
      </c>
    </row>
    <row r="226" spans="2:10">
      <c r="B226" s="2468">
        <v>775009</v>
      </c>
      <c r="C226" s="2472" t="s">
        <v>4502</v>
      </c>
      <c r="D226" s="2462">
        <v>43920000</v>
      </c>
      <c r="E226" s="2459">
        <v>0</v>
      </c>
      <c r="F226" s="2459">
        <v>43920000</v>
      </c>
      <c r="G226" s="2459">
        <v>0</v>
      </c>
      <c r="H226" s="2459">
        <v>0</v>
      </c>
      <c r="I226" s="2462">
        <v>0</v>
      </c>
      <c r="J226" s="2457" t="s">
        <v>4481</v>
      </c>
    </row>
    <row r="227" spans="2:10">
      <c r="B227" s="2468">
        <v>775010</v>
      </c>
      <c r="C227" s="2472" t="s">
        <v>4687</v>
      </c>
      <c r="D227" s="2462">
        <v>30000000</v>
      </c>
      <c r="E227" s="2459">
        <v>0</v>
      </c>
      <c r="F227" s="2459">
        <v>30000000</v>
      </c>
      <c r="G227" s="2459">
        <v>0</v>
      </c>
      <c r="H227" s="2459">
        <v>0</v>
      </c>
      <c r="I227" s="2462">
        <v>0</v>
      </c>
      <c r="J227" s="2457" t="s">
        <v>4481</v>
      </c>
    </row>
    <row r="228" spans="2:10">
      <c r="B228" s="2468">
        <v>775011</v>
      </c>
      <c r="C228" s="2472" t="s">
        <v>4511</v>
      </c>
      <c r="D228" s="2462">
        <v>10363904</v>
      </c>
      <c r="E228" s="2459">
        <v>0</v>
      </c>
      <c r="F228" s="2459">
        <v>10363904</v>
      </c>
      <c r="G228" s="2459">
        <v>0</v>
      </c>
      <c r="H228" s="2459">
        <v>0</v>
      </c>
      <c r="I228" s="2462">
        <v>0</v>
      </c>
      <c r="J228" s="2457" t="s">
        <v>4481</v>
      </c>
    </row>
    <row r="229" spans="2:10">
      <c r="B229" s="2468">
        <v>775013</v>
      </c>
      <c r="C229" s="2472" t="s">
        <v>4688</v>
      </c>
      <c r="D229" s="2462">
        <v>11867000</v>
      </c>
      <c r="E229" s="2459">
        <v>0</v>
      </c>
      <c r="F229" s="2459">
        <v>11867000</v>
      </c>
      <c r="G229" s="2459">
        <v>0</v>
      </c>
      <c r="H229" s="2459">
        <v>0</v>
      </c>
      <c r="I229" s="2462">
        <v>0</v>
      </c>
      <c r="J229" s="2457" t="s">
        <v>4481</v>
      </c>
    </row>
    <row r="230" spans="2:10">
      <c r="B230" s="2468">
        <v>775014</v>
      </c>
      <c r="C230" s="2472" t="s">
        <v>4689</v>
      </c>
      <c r="D230" s="2462">
        <v>180000000</v>
      </c>
      <c r="E230" s="2459">
        <v>15000000</v>
      </c>
      <c r="F230" s="2459">
        <v>165000000</v>
      </c>
      <c r="G230" s="2459">
        <v>0</v>
      </c>
      <c r="H230" s="2459">
        <v>0</v>
      </c>
      <c r="I230" s="2462">
        <v>15000000</v>
      </c>
      <c r="J230" s="2457" t="s">
        <v>4481</v>
      </c>
    </row>
    <row r="231" spans="2:10">
      <c r="B231" s="2468">
        <v>775015</v>
      </c>
      <c r="C231" s="2472" t="s">
        <v>4690</v>
      </c>
      <c r="D231" s="2462">
        <v>8800000</v>
      </c>
      <c r="E231" s="2459">
        <v>733333</v>
      </c>
      <c r="F231" s="2459">
        <v>5255556</v>
      </c>
      <c r="G231" s="2459">
        <v>0</v>
      </c>
      <c r="H231" s="2459">
        <v>0</v>
      </c>
      <c r="I231" s="2462">
        <v>3544444</v>
      </c>
      <c r="J231" s="2457" t="s">
        <v>4481</v>
      </c>
    </row>
    <row r="232" spans="2:10">
      <c r="B232" s="2468">
        <v>775017</v>
      </c>
      <c r="C232" s="2472" t="s">
        <v>4691</v>
      </c>
      <c r="D232" s="2462">
        <v>462000000</v>
      </c>
      <c r="E232" s="2459">
        <v>38500000</v>
      </c>
      <c r="F232" s="2459">
        <v>263083333</v>
      </c>
      <c r="G232" s="2459">
        <v>0</v>
      </c>
      <c r="H232" s="2459">
        <v>0</v>
      </c>
      <c r="I232" s="2462">
        <v>198916667</v>
      </c>
      <c r="J232" s="2457" t="s">
        <v>4481</v>
      </c>
    </row>
    <row r="233" spans="2:10">
      <c r="B233" s="2468">
        <v>775018</v>
      </c>
      <c r="C233" s="2472" t="s">
        <v>4692</v>
      </c>
      <c r="D233" s="2462">
        <v>610630000</v>
      </c>
      <c r="E233" s="2459">
        <v>50885833</v>
      </c>
      <c r="F233" s="2459">
        <v>324068056</v>
      </c>
      <c r="G233" s="2459">
        <v>0</v>
      </c>
      <c r="H233" s="2459">
        <v>0</v>
      </c>
      <c r="I233" s="2462">
        <v>286561944</v>
      </c>
      <c r="J233" s="2457" t="s">
        <v>4481</v>
      </c>
    </row>
    <row r="234" spans="2:10">
      <c r="B234" s="2468">
        <v>775020</v>
      </c>
      <c r="C234" s="2472" t="s">
        <v>4693</v>
      </c>
      <c r="D234" s="2462">
        <v>899500000</v>
      </c>
      <c r="E234" s="2459">
        <v>74958333</v>
      </c>
      <c r="F234" s="2459">
        <v>499722223</v>
      </c>
      <c r="G234" s="2459">
        <v>0</v>
      </c>
      <c r="H234" s="2459">
        <v>0</v>
      </c>
      <c r="I234" s="2462">
        <v>399777777</v>
      </c>
      <c r="J234" s="2457" t="s">
        <v>4481</v>
      </c>
    </row>
    <row r="235" spans="2:10">
      <c r="B235" s="2468">
        <v>775021</v>
      </c>
      <c r="C235" s="2472" t="s">
        <v>4694</v>
      </c>
      <c r="D235" s="2462">
        <v>225000000</v>
      </c>
      <c r="E235" s="2459">
        <v>18750000</v>
      </c>
      <c r="F235" s="2459">
        <v>125000000</v>
      </c>
      <c r="G235" s="2459">
        <v>0</v>
      </c>
      <c r="H235" s="2459">
        <v>0</v>
      </c>
      <c r="I235" s="2462">
        <v>100000000</v>
      </c>
      <c r="J235" s="2457" t="s">
        <v>4481</v>
      </c>
    </row>
    <row r="236" spans="2:10">
      <c r="B236" s="2468">
        <v>775022</v>
      </c>
      <c r="C236" s="2472" t="s">
        <v>4695</v>
      </c>
      <c r="D236" s="2462">
        <v>1293049100</v>
      </c>
      <c r="E236" s="2459">
        <v>107754092</v>
      </c>
      <c r="F236" s="2459">
        <v>698616847</v>
      </c>
      <c r="G236" s="2459">
        <v>0</v>
      </c>
      <c r="H236" s="2459">
        <v>0</v>
      </c>
      <c r="I236" s="2462">
        <v>594432253</v>
      </c>
      <c r="J236" s="2457" t="s">
        <v>4481</v>
      </c>
    </row>
    <row r="237" spans="2:10">
      <c r="B237" s="2468">
        <v>775023</v>
      </c>
      <c r="C237" s="2472" t="s">
        <v>4696</v>
      </c>
      <c r="D237" s="2462">
        <v>10000000</v>
      </c>
      <c r="E237" s="2459">
        <v>833333</v>
      </c>
      <c r="F237" s="2459">
        <v>5138889</v>
      </c>
      <c r="G237" s="2459">
        <v>0</v>
      </c>
      <c r="H237" s="2459">
        <v>0</v>
      </c>
      <c r="I237" s="2462">
        <v>4861111</v>
      </c>
      <c r="J237" s="2457" t="s">
        <v>4481</v>
      </c>
    </row>
    <row r="238" spans="2:10">
      <c r="B238" s="2468">
        <v>775024</v>
      </c>
      <c r="C238" s="2472" t="s">
        <v>4630</v>
      </c>
      <c r="D238" s="2462">
        <v>11049000</v>
      </c>
      <c r="E238" s="2459">
        <v>920750</v>
      </c>
      <c r="F238" s="2459">
        <v>5371042</v>
      </c>
      <c r="G238" s="2459">
        <v>0</v>
      </c>
      <c r="H238" s="2459">
        <v>0</v>
      </c>
      <c r="I238" s="2462">
        <v>5677958</v>
      </c>
      <c r="J238" s="2457" t="s">
        <v>4481</v>
      </c>
    </row>
    <row r="239" spans="2:10">
      <c r="B239" s="2468">
        <v>775026</v>
      </c>
      <c r="C239" s="2472" t="s">
        <v>4633</v>
      </c>
      <c r="D239" s="2462">
        <v>3480000</v>
      </c>
      <c r="E239" s="2459">
        <v>290000</v>
      </c>
      <c r="F239" s="2459">
        <v>1546667</v>
      </c>
      <c r="G239" s="2459">
        <v>0</v>
      </c>
      <c r="H239" s="2459">
        <v>0</v>
      </c>
      <c r="I239" s="2462">
        <v>1933333</v>
      </c>
      <c r="J239" s="2457" t="s">
        <v>4481</v>
      </c>
    </row>
    <row r="240" spans="2:10">
      <c r="B240" s="2468">
        <v>775027</v>
      </c>
      <c r="C240" s="2472" t="s">
        <v>4634</v>
      </c>
      <c r="D240" s="2462">
        <v>2644800</v>
      </c>
      <c r="E240" s="2459">
        <v>220400</v>
      </c>
      <c r="F240" s="2459">
        <v>1175467</v>
      </c>
      <c r="G240" s="2459">
        <v>0</v>
      </c>
      <c r="H240" s="2459">
        <v>0</v>
      </c>
      <c r="I240" s="2462">
        <v>1469333</v>
      </c>
      <c r="J240" s="2457" t="s">
        <v>4481</v>
      </c>
    </row>
    <row r="241" spans="2:10">
      <c r="B241" s="2468">
        <v>775028</v>
      </c>
      <c r="C241" s="2472" t="s">
        <v>4697</v>
      </c>
      <c r="D241" s="2462">
        <v>28000000</v>
      </c>
      <c r="E241" s="2459">
        <v>2333333</v>
      </c>
      <c r="F241" s="2459">
        <v>17888889</v>
      </c>
      <c r="G241" s="2459">
        <v>0</v>
      </c>
      <c r="H241" s="2459">
        <v>0</v>
      </c>
      <c r="I241" s="2462">
        <v>10111111</v>
      </c>
      <c r="J241" s="2457" t="s">
        <v>4481</v>
      </c>
    </row>
    <row r="242" spans="2:10">
      <c r="B242" s="2468">
        <v>775030</v>
      </c>
      <c r="C242" s="2472" t="s">
        <v>4698</v>
      </c>
      <c r="D242" s="2462">
        <v>11000000</v>
      </c>
      <c r="E242" s="2459">
        <v>916667</v>
      </c>
      <c r="F242" s="2459">
        <v>4736111</v>
      </c>
      <c r="G242" s="2459">
        <v>0</v>
      </c>
      <c r="H242" s="2459">
        <v>0</v>
      </c>
      <c r="I242" s="2462">
        <v>6263889</v>
      </c>
      <c r="J242" s="2457" t="s">
        <v>4481</v>
      </c>
    </row>
    <row r="243" spans="2:10">
      <c r="B243" s="2468">
        <v>775031</v>
      </c>
      <c r="C243" s="2472" t="s">
        <v>4699</v>
      </c>
      <c r="D243" s="2462">
        <v>1299385</v>
      </c>
      <c r="E243" s="2459">
        <v>108282</v>
      </c>
      <c r="F243" s="2459">
        <v>559457</v>
      </c>
      <c r="G243" s="2459">
        <v>0</v>
      </c>
      <c r="H243" s="2459">
        <v>0</v>
      </c>
      <c r="I243" s="2462">
        <v>739928</v>
      </c>
      <c r="J243" s="2457" t="s">
        <v>4481</v>
      </c>
    </row>
    <row r="244" spans="2:10">
      <c r="B244" s="2468">
        <v>775032</v>
      </c>
      <c r="C244" s="2472" t="s">
        <v>4700</v>
      </c>
      <c r="D244" s="2462">
        <v>55650000</v>
      </c>
      <c r="E244" s="2459">
        <v>4637500</v>
      </c>
      <c r="F244" s="2459">
        <v>24733333</v>
      </c>
      <c r="G244" s="2459">
        <v>0</v>
      </c>
      <c r="H244" s="2459">
        <v>0</v>
      </c>
      <c r="I244" s="2462">
        <v>30916667</v>
      </c>
      <c r="J244" s="2457" t="s">
        <v>4481</v>
      </c>
    </row>
    <row r="245" spans="2:10">
      <c r="B245" s="2468">
        <v>775034</v>
      </c>
      <c r="C245" s="2472" t="s">
        <v>4701</v>
      </c>
      <c r="D245" s="2462">
        <v>1410000</v>
      </c>
      <c r="E245" s="2459">
        <v>117500</v>
      </c>
      <c r="F245" s="2459">
        <v>1057500</v>
      </c>
      <c r="G245" s="2459">
        <v>0</v>
      </c>
      <c r="H245" s="2459">
        <v>0</v>
      </c>
      <c r="I245" s="2462">
        <v>352500</v>
      </c>
      <c r="J245" s="2457" t="s">
        <v>4481</v>
      </c>
    </row>
    <row r="246" spans="2:10">
      <c r="B246" s="2468">
        <v>775035</v>
      </c>
      <c r="C246" s="2472" t="s">
        <v>4702</v>
      </c>
      <c r="D246" s="2462">
        <v>750000</v>
      </c>
      <c r="E246" s="2459">
        <v>62500</v>
      </c>
      <c r="F246" s="2459">
        <v>312500</v>
      </c>
      <c r="G246" s="2459">
        <v>0</v>
      </c>
      <c r="H246" s="2459">
        <v>0</v>
      </c>
      <c r="I246" s="2462">
        <v>437500</v>
      </c>
      <c r="J246" s="2457" t="s">
        <v>4481</v>
      </c>
    </row>
    <row r="247" spans="2:10">
      <c r="B247" s="2468">
        <v>775036</v>
      </c>
      <c r="C247" s="2472" t="s">
        <v>4703</v>
      </c>
      <c r="D247" s="2462">
        <v>63750000</v>
      </c>
      <c r="E247" s="2459">
        <v>5312500</v>
      </c>
      <c r="F247" s="2459">
        <v>26562500</v>
      </c>
      <c r="G247" s="2459">
        <v>0</v>
      </c>
      <c r="H247" s="2459">
        <v>0</v>
      </c>
      <c r="I247" s="2462">
        <v>37187500</v>
      </c>
      <c r="J247" s="2457" t="s">
        <v>4481</v>
      </c>
    </row>
    <row r="248" spans="2:10">
      <c r="B248" s="2468">
        <v>775037</v>
      </c>
      <c r="C248" s="2472" t="s">
        <v>4704</v>
      </c>
      <c r="D248" s="2462">
        <v>71500000</v>
      </c>
      <c r="E248" s="2459">
        <v>5958333</v>
      </c>
      <c r="F248" s="2459">
        <v>28798611</v>
      </c>
      <c r="G248" s="2459">
        <v>0</v>
      </c>
      <c r="H248" s="2459">
        <v>0</v>
      </c>
      <c r="I248" s="2462">
        <v>42701389</v>
      </c>
      <c r="J248" s="2457" t="s">
        <v>4481</v>
      </c>
    </row>
    <row r="249" spans="2:10">
      <c r="B249" s="2468">
        <v>775039</v>
      </c>
      <c r="C249" s="2472" t="s">
        <v>4640</v>
      </c>
      <c r="D249" s="2462">
        <v>35217000</v>
      </c>
      <c r="E249" s="2459">
        <v>2934750</v>
      </c>
      <c r="F249" s="2459">
        <v>13533917</v>
      </c>
      <c r="G249" s="2459">
        <v>0</v>
      </c>
      <c r="H249" s="2459">
        <v>0</v>
      </c>
      <c r="I249" s="2462">
        <v>21683083</v>
      </c>
      <c r="J249" s="2457" t="s">
        <v>4481</v>
      </c>
    </row>
    <row r="250" spans="2:10">
      <c r="B250" s="2468">
        <v>775040</v>
      </c>
      <c r="C250" s="2472" t="s">
        <v>4641</v>
      </c>
      <c r="D250" s="2462">
        <v>14847000</v>
      </c>
      <c r="E250" s="2459">
        <v>1237250</v>
      </c>
      <c r="F250" s="2459">
        <v>5980042</v>
      </c>
      <c r="G250" s="2459">
        <v>0</v>
      </c>
      <c r="H250" s="2459">
        <v>0</v>
      </c>
      <c r="I250" s="2462">
        <v>8866958</v>
      </c>
      <c r="J250" s="2457" t="s">
        <v>4481</v>
      </c>
    </row>
    <row r="251" spans="2:10">
      <c r="B251" s="2468">
        <v>775041</v>
      </c>
      <c r="C251" s="2472" t="s">
        <v>4572</v>
      </c>
      <c r="D251" s="2462">
        <v>11500000</v>
      </c>
      <c r="E251" s="2459">
        <v>958333</v>
      </c>
      <c r="F251" s="2459">
        <v>3194444</v>
      </c>
      <c r="G251" s="2459">
        <v>0</v>
      </c>
      <c r="H251" s="2459">
        <v>0</v>
      </c>
      <c r="I251" s="2462">
        <v>8305556</v>
      </c>
      <c r="J251" s="2457" t="s">
        <v>4481</v>
      </c>
    </row>
    <row r="252" spans="2:10">
      <c r="B252" s="2468">
        <v>775043</v>
      </c>
      <c r="C252" s="2472" t="s">
        <v>4705</v>
      </c>
      <c r="D252" s="2462">
        <v>650000</v>
      </c>
      <c r="E252" s="2459">
        <v>54167</v>
      </c>
      <c r="F252" s="2459">
        <v>171528</v>
      </c>
      <c r="G252" s="2459">
        <v>0</v>
      </c>
      <c r="H252" s="2459">
        <v>0</v>
      </c>
      <c r="I252" s="2462">
        <v>478472</v>
      </c>
      <c r="J252" s="2457" t="s">
        <v>4481</v>
      </c>
    </row>
    <row r="253" spans="2:10">
      <c r="B253" s="2468">
        <v>775044</v>
      </c>
      <c r="C253" s="2472" t="s">
        <v>4706</v>
      </c>
      <c r="D253" s="2462">
        <v>10000000</v>
      </c>
      <c r="E253" s="2459">
        <v>833333</v>
      </c>
      <c r="F253" s="2459">
        <v>2638889</v>
      </c>
      <c r="G253" s="2459">
        <v>0</v>
      </c>
      <c r="H253" s="2459">
        <v>0</v>
      </c>
      <c r="I253" s="2462">
        <v>7361111</v>
      </c>
      <c r="J253" s="2457" t="s">
        <v>4481</v>
      </c>
    </row>
    <row r="254" spans="2:10">
      <c r="B254" s="2468">
        <v>775045</v>
      </c>
      <c r="C254" s="2472" t="s">
        <v>4707</v>
      </c>
      <c r="D254" s="2462">
        <v>143860000</v>
      </c>
      <c r="E254" s="2459">
        <v>11988333</v>
      </c>
      <c r="F254" s="2459">
        <v>35965000</v>
      </c>
      <c r="G254" s="2459">
        <v>0</v>
      </c>
      <c r="H254" s="2459">
        <v>0</v>
      </c>
      <c r="I254" s="2462">
        <v>107895000</v>
      </c>
      <c r="J254" s="2457" t="s">
        <v>4481</v>
      </c>
    </row>
    <row r="255" spans="2:10">
      <c r="B255" s="2468">
        <v>775046</v>
      </c>
      <c r="C255" s="2472" t="s">
        <v>4708</v>
      </c>
      <c r="D255" s="2462">
        <v>1320000</v>
      </c>
      <c r="E255" s="2459">
        <v>110000</v>
      </c>
      <c r="F255" s="2459">
        <v>293333</v>
      </c>
      <c r="G255" s="2459">
        <v>0</v>
      </c>
      <c r="H255" s="2459">
        <v>0</v>
      </c>
      <c r="I255" s="2462">
        <v>1026667</v>
      </c>
      <c r="J255" s="2457" t="s">
        <v>4481</v>
      </c>
    </row>
    <row r="256" spans="2:10">
      <c r="B256" s="2468">
        <v>775047</v>
      </c>
      <c r="C256" s="2472" t="s">
        <v>4709</v>
      </c>
      <c r="D256" s="2462">
        <v>1181943176</v>
      </c>
      <c r="E256" s="2459">
        <v>98495265</v>
      </c>
      <c r="F256" s="2459">
        <v>196990530</v>
      </c>
      <c r="G256" s="2459">
        <v>0</v>
      </c>
      <c r="H256" s="2459">
        <v>0</v>
      </c>
      <c r="I256" s="2462">
        <v>984952646</v>
      </c>
      <c r="J256" s="2457" t="s">
        <v>4481</v>
      </c>
    </row>
    <row r="257" spans="2:10">
      <c r="B257" s="2468">
        <v>775048</v>
      </c>
      <c r="C257" s="2472" t="s">
        <v>4710</v>
      </c>
      <c r="D257" s="2462">
        <v>86710000</v>
      </c>
      <c r="E257" s="2459">
        <v>7225833</v>
      </c>
      <c r="F257" s="2459">
        <v>14451666</v>
      </c>
      <c r="G257" s="2459">
        <v>0</v>
      </c>
      <c r="H257" s="2459">
        <v>0</v>
      </c>
      <c r="I257" s="2462">
        <v>72258334</v>
      </c>
      <c r="J257" s="2457" t="s">
        <v>4481</v>
      </c>
    </row>
    <row r="258" spans="2:10">
      <c r="B258" s="2468">
        <v>775049</v>
      </c>
      <c r="C258" s="2472" t="s">
        <v>4711</v>
      </c>
      <c r="D258" s="2462">
        <v>5000000</v>
      </c>
      <c r="E258" s="2459">
        <v>416667</v>
      </c>
      <c r="F258" s="2459">
        <v>486111</v>
      </c>
      <c r="G258" s="2459">
        <v>0</v>
      </c>
      <c r="H258" s="2459">
        <v>0</v>
      </c>
      <c r="I258" s="2462">
        <v>4513889</v>
      </c>
      <c r="J258" s="2457" t="s">
        <v>4481</v>
      </c>
    </row>
    <row r="259" spans="2:10">
      <c r="B259" s="2468">
        <v>775050</v>
      </c>
      <c r="C259" s="2472" t="s">
        <v>4712</v>
      </c>
      <c r="D259" s="2462">
        <v>422750000</v>
      </c>
      <c r="E259" s="2459">
        <v>35229167</v>
      </c>
      <c r="F259" s="2459">
        <v>41100695</v>
      </c>
      <c r="G259" s="2459">
        <v>0</v>
      </c>
      <c r="H259" s="2459">
        <v>0</v>
      </c>
      <c r="I259" s="2462">
        <v>381649305</v>
      </c>
      <c r="J259" s="2457" t="s">
        <v>4481</v>
      </c>
    </row>
    <row r="260" spans="2:10">
      <c r="B260" s="2468">
        <v>775051</v>
      </c>
      <c r="C260" s="2472" t="s">
        <v>4713</v>
      </c>
      <c r="D260" s="2462">
        <v>200032140</v>
      </c>
      <c r="E260" s="2459">
        <v>8334673</v>
      </c>
      <c r="F260" s="2459">
        <v>8334673</v>
      </c>
      <c r="G260" s="2459">
        <v>0</v>
      </c>
      <c r="H260" s="2459">
        <v>0</v>
      </c>
      <c r="I260" s="2462">
        <v>191697467</v>
      </c>
      <c r="J260" s="2457" t="s">
        <v>4481</v>
      </c>
    </row>
    <row r="261" spans="2:10">
      <c r="B261" s="2468">
        <v>775052</v>
      </c>
      <c r="C261" s="2472" t="s">
        <v>4714</v>
      </c>
      <c r="D261" s="2462">
        <v>86300000</v>
      </c>
      <c r="E261" s="2459">
        <v>1198611</v>
      </c>
      <c r="F261" s="2459">
        <v>1198611</v>
      </c>
      <c r="G261" s="2459">
        <v>0</v>
      </c>
      <c r="H261" s="2459">
        <v>0</v>
      </c>
      <c r="I261" s="2462">
        <v>85101389</v>
      </c>
      <c r="J261" s="2457" t="s">
        <v>4481</v>
      </c>
    </row>
    <row r="262" spans="2:10">
      <c r="B262" s="2463"/>
      <c r="C262" s="2464" t="s">
        <v>4486</v>
      </c>
      <c r="D262" s="2475">
        <v>34864542524</v>
      </c>
      <c r="E262" s="2475">
        <v>1716786825</v>
      </c>
      <c r="F262" s="2475">
        <v>22985155840</v>
      </c>
      <c r="G262" s="2475">
        <v>0</v>
      </c>
      <c r="H262" s="2475">
        <v>0</v>
      </c>
      <c r="I262" s="2475">
        <v>11879386684</v>
      </c>
      <c r="J262" s="2456"/>
    </row>
    <row r="263" spans="2:10">
      <c r="B263" s="2461" t="s">
        <v>4715</v>
      </c>
      <c r="C263" s="2458" t="s">
        <v>4716</v>
      </c>
      <c r="D263" s="2459">
        <v>1873278080</v>
      </c>
      <c r="E263" s="2459">
        <v>18732781</v>
      </c>
      <c r="F263" s="2459">
        <v>93663904</v>
      </c>
      <c r="G263" s="2459">
        <v>0</v>
      </c>
      <c r="H263" s="2459">
        <v>0</v>
      </c>
      <c r="I263" s="2459">
        <v>1873278080</v>
      </c>
      <c r="J263" s="2466" t="s">
        <v>4479</v>
      </c>
    </row>
    <row r="264" spans="2:10">
      <c r="B264" s="2468">
        <v>110000</v>
      </c>
      <c r="C264" s="2469" t="s">
        <v>4717</v>
      </c>
      <c r="D264" s="2470">
        <v>1247649181</v>
      </c>
      <c r="E264" s="2470">
        <v>12476492</v>
      </c>
      <c r="F264" s="2470">
        <v>62382459</v>
      </c>
      <c r="G264" s="2470">
        <v>0</v>
      </c>
      <c r="H264" s="2470">
        <v>0</v>
      </c>
      <c r="I264" s="2470">
        <v>1185266722</v>
      </c>
      <c r="J264" s="2457" t="s">
        <v>4481</v>
      </c>
    </row>
    <row r="265" spans="2:10">
      <c r="B265" s="2468">
        <v>110001</v>
      </c>
      <c r="C265" s="2472" t="s">
        <v>4718</v>
      </c>
      <c r="D265" s="2462">
        <v>549758341</v>
      </c>
      <c r="E265" s="2459">
        <v>5497583</v>
      </c>
      <c r="F265" s="2459">
        <v>27487917</v>
      </c>
      <c r="G265" s="2459">
        <v>0</v>
      </c>
      <c r="H265" s="2459">
        <v>0</v>
      </c>
      <c r="I265" s="2462">
        <v>522270424</v>
      </c>
      <c r="J265" s="2457" t="s">
        <v>4481</v>
      </c>
    </row>
    <row r="266" spans="2:10">
      <c r="B266" s="2468">
        <v>110002</v>
      </c>
      <c r="C266" s="2472" t="s">
        <v>4719</v>
      </c>
      <c r="D266" s="2462">
        <v>75870558</v>
      </c>
      <c r="E266" s="2459">
        <v>758706</v>
      </c>
      <c r="F266" s="2459">
        <v>3793528</v>
      </c>
      <c r="G266" s="2459">
        <v>0</v>
      </c>
      <c r="H266" s="2459">
        <v>0</v>
      </c>
      <c r="I266" s="2462">
        <v>72077030</v>
      </c>
      <c r="J266" s="2457" t="s">
        <v>4481</v>
      </c>
    </row>
    <row r="267" spans="2:10">
      <c r="B267" s="2463"/>
      <c r="C267" s="2464" t="s">
        <v>4486</v>
      </c>
      <c r="D267" s="2475">
        <v>1873278080</v>
      </c>
      <c r="E267" s="2475">
        <v>18732781</v>
      </c>
      <c r="F267" s="2475">
        <v>93663904</v>
      </c>
      <c r="G267" s="2475">
        <v>0</v>
      </c>
      <c r="H267" s="2475">
        <v>0</v>
      </c>
      <c r="I267" s="2475">
        <v>1873278080</v>
      </c>
      <c r="J267" s="2456"/>
    </row>
    <row r="268" spans="2:10">
      <c r="B268" s="5552" t="s">
        <v>4720</v>
      </c>
      <c r="C268" s="5553"/>
      <c r="D268" s="2476">
        <v>1409425112677</v>
      </c>
      <c r="E268" s="2476">
        <v>33903569490</v>
      </c>
      <c r="F268" s="2476">
        <v>895129098283</v>
      </c>
      <c r="G268" s="2476">
        <v>4448440608</v>
      </c>
      <c r="H268" s="2476">
        <v>302880731</v>
      </c>
      <c r="I268" s="2476">
        <v>509638356959</v>
      </c>
      <c r="J268" s="2477"/>
    </row>
  </sheetData>
  <mergeCells count="1">
    <mergeCell ref="B268:C268"/>
  </mergeCells>
  <phoneticPr fontId="1" type="noConversion"/>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T1264"/>
  <sheetViews>
    <sheetView workbookViewId="0"/>
  </sheetViews>
  <sheetFormatPr defaultRowHeight="16.5"/>
  <cols>
    <col min="1" max="1" width="11.125" bestFit="1" customWidth="1"/>
    <col min="2" max="3" width="11.125" customWidth="1"/>
    <col min="8" max="8" width="21.125" customWidth="1"/>
  </cols>
  <sheetData>
    <row r="1" spans="1:18">
      <c r="A1" t="s">
        <v>3654</v>
      </c>
      <c r="B1" t="s">
        <v>3810</v>
      </c>
      <c r="C1" t="s">
        <v>3811</v>
      </c>
      <c r="D1" t="s">
        <v>3655</v>
      </c>
      <c r="H1">
        <v>2018</v>
      </c>
      <c r="I1">
        <v>2019</v>
      </c>
      <c r="J1">
        <v>2020</v>
      </c>
      <c r="K1" t="s">
        <v>3815</v>
      </c>
      <c r="L1" t="s">
        <v>4736</v>
      </c>
      <c r="M1">
        <v>2022</v>
      </c>
      <c r="N1">
        <v>2023</v>
      </c>
      <c r="O1">
        <v>2024</v>
      </c>
      <c r="P1">
        <v>2025</v>
      </c>
      <c r="Q1">
        <v>2026</v>
      </c>
    </row>
    <row r="2" spans="1:18">
      <c r="A2" s="2042">
        <v>44453</v>
      </c>
      <c r="B2" s="2510" cm="1">
        <f t="array" ref="B2:B1264">YEAR(A2:A1264)</f>
        <v>2021</v>
      </c>
      <c r="C2" s="2510" cm="1">
        <f t="array" ref="C2:C1264">MONTH(A2:A1264)</f>
        <v>9</v>
      </c>
      <c r="G2" t="s">
        <v>3656</v>
      </c>
      <c r="H2" s="2043">
        <f>SUMIF($E$3:$E$1264,H$1,$D$3:$D$1264)/COUNTIF($E$3:$E$1264,H$1)</f>
        <v>2.3069743478260869</v>
      </c>
      <c r="I2" s="2043">
        <f t="shared" ref="I2:J2" si="0">SUMIF($E$3:$E$1264,I$1,$D$3:$D$1264)/COUNTIF($E$3:$E$1264,I$1)</f>
        <v>2.3267490118577068</v>
      </c>
      <c r="J2" s="2043">
        <f t="shared" si="0"/>
        <v>0.64969003937007896</v>
      </c>
      <c r="K2" s="2043">
        <f>AVERAGE(AVERAGEIFS($D$3:$D$1264,$B$3:$B$1264,2021,$C$3:$C$1264,1),AVERAGEIFS($D$3:$D$1264,$B$3:$B$1264,2021,$C$3:$C$1264,2),AVERAGEIFS($D$3:$D$1264,$B$3:$B$1264,2021,$C$3:$C$1264,3),AVERAGEIFS($D$3:$D$1264,$B$3:$B$1264,2021,$C$3:$C$1264,4),AVERAGEIFS($D$3:$D$1264,$B$3:$B$1264,2021,$C$3:$C$1264,5),AVERAGEIFS($D$3:$D$1264,$B$3:$B$1264,2021,$C$3:$C$1264,6))</f>
        <v>0.17877354025379655</v>
      </c>
      <c r="L2" s="2043">
        <f>AVERAGE(J7)</f>
        <v>0.22</v>
      </c>
      <c r="M2" s="2043">
        <f>AVERAGE(K7:N7)</f>
        <v>0.32750000000000001</v>
      </c>
      <c r="N2" s="2043">
        <f>AVERAGE(O7:R7)</f>
        <v>0.75250000000000006</v>
      </c>
      <c r="O2" s="2047">
        <f>N2+($N$2-$M$2)</f>
        <v>1.1775000000000002</v>
      </c>
      <c r="P2" s="2047">
        <f>O2+($N$2-$M$2)</f>
        <v>1.6025000000000003</v>
      </c>
      <c r="Q2" s="2047">
        <f>P2+($N$2-$M$2)</f>
        <v>2.0275000000000003</v>
      </c>
    </row>
    <row r="3" spans="1:18">
      <c r="A3" s="2042">
        <v>44449</v>
      </c>
      <c r="B3" s="2510">
        <v>2021</v>
      </c>
      <c r="C3" s="2510">
        <v>9</v>
      </c>
      <c r="D3">
        <v>0.11575000000000001</v>
      </c>
      <c r="E3">
        <f>YEAR(A3)</f>
        <v>2021</v>
      </c>
      <c r="G3" t="s">
        <v>3738</v>
      </c>
      <c r="H3" s="2046">
        <f>Assumption!J476</f>
        <v>2.1242351435171711E-2</v>
      </c>
      <c r="I3" s="2046">
        <f>Assumption!K476</f>
        <v>2.5378051438325278E-2</v>
      </c>
      <c r="J3" s="2046">
        <f>Assumption!L476</f>
        <v>1.2172897543120252E-2</v>
      </c>
      <c r="K3" s="2046">
        <f>Assumption!M476</f>
        <v>2.5242051092055316E-3</v>
      </c>
      <c r="L3" s="2511">
        <f>_xlfn.FORECAST.LINEAR(L2,$H$3:$K$3,$H$2:$K$2)</f>
        <v>5.295114130341257E-3</v>
      </c>
      <c r="M3" s="2511">
        <f t="shared" ref="M3:Q3" si="1">_xlfn.FORECAST.LINEAR(M2,$H$3:$K$3,$H$2:$K$2)</f>
        <v>6.2367458937610028E-3</v>
      </c>
      <c r="N3" s="2511">
        <f t="shared" si="1"/>
        <v>9.959476121234415E-3</v>
      </c>
      <c r="O3" s="2511">
        <f t="shared" si="1"/>
        <v>1.3682206348707829E-2</v>
      </c>
      <c r="P3" s="2511">
        <f t="shared" si="1"/>
        <v>1.7404936576181241E-2</v>
      </c>
      <c r="Q3" s="2511">
        <f t="shared" si="1"/>
        <v>2.1127666803654653E-2</v>
      </c>
    </row>
    <row r="4" spans="1:18">
      <c r="A4" s="2042">
        <v>44448</v>
      </c>
      <c r="B4" s="2510">
        <v>2021</v>
      </c>
      <c r="C4" s="2510">
        <v>9</v>
      </c>
      <c r="D4">
        <v>0.11413</v>
      </c>
      <c r="E4">
        <f t="shared" ref="E4:E67" si="2">YEAR(A4)</f>
        <v>2021</v>
      </c>
    </row>
    <row r="5" spans="1:18">
      <c r="A5" s="2042">
        <v>44447</v>
      </c>
      <c r="B5" s="2510">
        <v>2021</v>
      </c>
      <c r="C5" s="2510">
        <v>9</v>
      </c>
      <c r="D5">
        <v>0.11575000000000001</v>
      </c>
      <c r="E5">
        <f t="shared" si="2"/>
        <v>2021</v>
      </c>
    </row>
    <row r="6" spans="1:18">
      <c r="A6" s="2042">
        <v>44446</v>
      </c>
      <c r="B6" s="2510">
        <v>2021</v>
      </c>
      <c r="C6" s="2510">
        <v>9</v>
      </c>
      <c r="D6">
        <v>0.11600000000000001</v>
      </c>
      <c r="E6">
        <f t="shared" si="2"/>
        <v>2021</v>
      </c>
      <c r="H6" s="2044"/>
      <c r="I6" s="2044" t="s">
        <v>3657</v>
      </c>
      <c r="J6" s="2044" t="s">
        <v>3658</v>
      </c>
      <c r="K6" s="2044" t="s">
        <v>3659</v>
      </c>
      <c r="L6" s="2044" t="s">
        <v>3660</v>
      </c>
      <c r="M6" s="2044" t="s">
        <v>3661</v>
      </c>
      <c r="N6" s="2044" t="s">
        <v>3662</v>
      </c>
      <c r="O6" s="2044" t="s">
        <v>3663</v>
      </c>
      <c r="P6" s="2044" t="s">
        <v>3664</v>
      </c>
      <c r="Q6" s="2044" t="s">
        <v>3665</v>
      </c>
      <c r="R6" s="2044" t="s">
        <v>3666</v>
      </c>
    </row>
    <row r="7" spans="1:18">
      <c r="A7" s="2042">
        <v>44445</v>
      </c>
      <c r="B7" s="2510">
        <v>2021</v>
      </c>
      <c r="C7" s="2510">
        <v>9</v>
      </c>
      <c r="D7">
        <v>0.11463</v>
      </c>
      <c r="E7">
        <f t="shared" si="2"/>
        <v>2021</v>
      </c>
      <c r="H7" s="2045" t="s">
        <v>3667</v>
      </c>
      <c r="I7" s="2045">
        <v>0.16</v>
      </c>
      <c r="J7" s="2045">
        <v>0.22</v>
      </c>
      <c r="K7" s="2045">
        <v>0.24</v>
      </c>
      <c r="L7" s="2045">
        <v>0.28000000000000003</v>
      </c>
      <c r="M7" s="2045">
        <v>0.36</v>
      </c>
      <c r="N7" s="2045">
        <v>0.43</v>
      </c>
      <c r="O7" s="2045">
        <v>0.59</v>
      </c>
      <c r="P7" s="2045">
        <v>0.68</v>
      </c>
      <c r="Q7" s="2045">
        <v>0.8</v>
      </c>
      <c r="R7" s="2045">
        <v>0.94</v>
      </c>
    </row>
    <row r="8" spans="1:18">
      <c r="A8" s="2042">
        <v>44442</v>
      </c>
      <c r="B8" s="2510">
        <v>2021</v>
      </c>
      <c r="C8" s="2510">
        <v>9</v>
      </c>
      <c r="D8">
        <v>0.11550000000000001</v>
      </c>
      <c r="E8">
        <f t="shared" si="2"/>
        <v>2021</v>
      </c>
      <c r="H8" s="2045" t="s">
        <v>3668</v>
      </c>
      <c r="I8" s="2045">
        <v>0.23</v>
      </c>
      <c r="J8" s="2045">
        <v>0.22</v>
      </c>
      <c r="K8" s="2045">
        <v>0.23</v>
      </c>
      <c r="L8" s="2045">
        <v>0.23</v>
      </c>
      <c r="M8" s="2045">
        <v>0.23</v>
      </c>
      <c r="N8" s="2045">
        <v>0.23</v>
      </c>
      <c r="O8" s="2045">
        <v>0.23</v>
      </c>
      <c r="P8" s="2045">
        <v>0.23</v>
      </c>
      <c r="Q8" s="2045">
        <v>0.23</v>
      </c>
      <c r="R8" s="2045">
        <v>0.23</v>
      </c>
    </row>
    <row r="9" spans="1:18">
      <c r="A9" s="2042">
        <v>44441</v>
      </c>
      <c r="B9" s="2510">
        <v>2021</v>
      </c>
      <c r="C9" s="2510">
        <v>9</v>
      </c>
      <c r="D9">
        <v>0.11763</v>
      </c>
      <c r="E9">
        <f t="shared" si="2"/>
        <v>2021</v>
      </c>
      <c r="H9" s="2045" t="s">
        <v>3669</v>
      </c>
      <c r="I9" s="2045">
        <v>0.15</v>
      </c>
      <c r="J9" s="2045">
        <v>0.2</v>
      </c>
      <c r="K9" s="2045">
        <v>0.22</v>
      </c>
      <c r="L9" s="2045">
        <v>0.25</v>
      </c>
      <c r="M9" s="2045">
        <v>0.26</v>
      </c>
      <c r="N9" s="2045">
        <v>0.3</v>
      </c>
      <c r="O9" s="2045">
        <v>0.41</v>
      </c>
      <c r="P9" s="2045">
        <v>0.6</v>
      </c>
      <c r="Q9" s="2045">
        <v>0.65</v>
      </c>
      <c r="R9" s="2045">
        <v>0.78</v>
      </c>
    </row>
    <row r="10" spans="1:18">
      <c r="A10" s="2042">
        <v>44440</v>
      </c>
      <c r="B10" s="2510">
        <v>2021</v>
      </c>
      <c r="C10" s="2510">
        <v>9</v>
      </c>
      <c r="D10">
        <v>0.11888</v>
      </c>
      <c r="E10">
        <f t="shared" si="2"/>
        <v>2021</v>
      </c>
      <c r="H10" s="2045" t="s">
        <v>3670</v>
      </c>
      <c r="I10" s="2045">
        <v>0.16</v>
      </c>
      <c r="J10" s="2045">
        <v>0.22</v>
      </c>
      <c r="K10" s="2045">
        <v>0.24</v>
      </c>
      <c r="L10" s="2045">
        <v>0.28000000000000003</v>
      </c>
      <c r="M10" s="2045">
        <v>0.36</v>
      </c>
      <c r="N10" s="2045">
        <v>0.43</v>
      </c>
      <c r="O10" s="2045">
        <v>0.59</v>
      </c>
      <c r="P10" s="2045">
        <v>0.68</v>
      </c>
      <c r="Q10" s="2045">
        <v>0.8</v>
      </c>
      <c r="R10" s="2045">
        <v>0.94</v>
      </c>
    </row>
    <row r="11" spans="1:18">
      <c r="A11" s="2042">
        <v>44439</v>
      </c>
      <c r="B11" s="2510">
        <v>2021</v>
      </c>
      <c r="C11" s="2510">
        <v>8</v>
      </c>
      <c r="D11">
        <v>0.11963</v>
      </c>
      <c r="E11">
        <f t="shared" si="2"/>
        <v>2021</v>
      </c>
      <c r="H11" s="2045" t="s">
        <v>3671</v>
      </c>
      <c r="I11" s="2045">
        <v>0.45</v>
      </c>
      <c r="J11" s="2045">
        <v>0.8</v>
      </c>
      <c r="K11" s="2045">
        <v>0.8</v>
      </c>
      <c r="L11" s="2045">
        <v>0.9</v>
      </c>
      <c r="M11" s="2045">
        <v>1.58</v>
      </c>
      <c r="N11" s="2045">
        <v>1.97</v>
      </c>
      <c r="O11" s="2045">
        <v>1.97</v>
      </c>
      <c r="P11" s="2045">
        <v>2.36</v>
      </c>
      <c r="Q11" s="2045">
        <v>2.36</v>
      </c>
      <c r="R11" s="2045">
        <v>2.76</v>
      </c>
    </row>
    <row r="12" spans="1:18">
      <c r="A12" s="2042">
        <v>44435</v>
      </c>
      <c r="B12" s="2510">
        <v>2021</v>
      </c>
      <c r="C12" s="2510">
        <v>8</v>
      </c>
      <c r="D12">
        <v>0.11988</v>
      </c>
      <c r="E12">
        <f t="shared" si="2"/>
        <v>2021</v>
      </c>
      <c r="H12" s="2045" t="s">
        <v>3672</v>
      </c>
      <c r="I12" s="2045">
        <v>0.1</v>
      </c>
      <c r="J12" s="2045">
        <v>0.1</v>
      </c>
      <c r="K12" s="2045">
        <v>0.1</v>
      </c>
      <c r="L12" s="2045">
        <v>0.1</v>
      </c>
      <c r="M12" s="2045">
        <v>0.1</v>
      </c>
      <c r="N12" s="2045">
        <v>0.1</v>
      </c>
      <c r="O12" s="2045">
        <v>0.15</v>
      </c>
      <c r="P12" s="2045">
        <v>0.21</v>
      </c>
      <c r="Q12" s="2045">
        <v>0.25</v>
      </c>
      <c r="R12" s="2045">
        <v>0.28999999999999998</v>
      </c>
    </row>
    <row r="13" spans="1:18">
      <c r="A13" s="2042">
        <v>44434</v>
      </c>
      <c r="B13" s="2510">
        <v>2021</v>
      </c>
      <c r="C13" s="2510">
        <v>8</v>
      </c>
      <c r="D13">
        <v>0.12075</v>
      </c>
      <c r="E13">
        <f t="shared" si="2"/>
        <v>2021</v>
      </c>
      <c r="H13" s="2045" t="s">
        <v>3673</v>
      </c>
      <c r="I13" s="2045">
        <v>27</v>
      </c>
      <c r="J13" s="2045">
        <v>30</v>
      </c>
      <c r="K13" s="2045">
        <v>29</v>
      </c>
      <c r="L13" s="2045">
        <v>29</v>
      </c>
      <c r="M13" s="2045">
        <v>28</v>
      </c>
      <c r="N13" s="2045">
        <v>26</v>
      </c>
      <c r="O13" s="2045">
        <v>19</v>
      </c>
      <c r="P13" s="2045">
        <v>19</v>
      </c>
      <c r="Q13" s="2045">
        <v>19</v>
      </c>
      <c r="R13" s="2045">
        <v>19</v>
      </c>
    </row>
    <row r="14" spans="1:18">
      <c r="A14" s="2042">
        <v>44433</v>
      </c>
      <c r="B14" s="2510">
        <v>2021</v>
      </c>
      <c r="C14" s="2510">
        <v>8</v>
      </c>
      <c r="D14">
        <v>0.12375</v>
      </c>
      <c r="E14">
        <f t="shared" si="2"/>
        <v>2021</v>
      </c>
    </row>
    <row r="15" spans="1:18">
      <c r="A15" s="2042">
        <v>44432</v>
      </c>
      <c r="B15" s="2510">
        <v>2021</v>
      </c>
      <c r="C15" s="2510">
        <v>8</v>
      </c>
      <c r="D15">
        <v>0.12175</v>
      </c>
      <c r="E15">
        <f t="shared" si="2"/>
        <v>2021</v>
      </c>
    </row>
    <row r="16" spans="1:18">
      <c r="A16" s="2042">
        <v>44431</v>
      </c>
      <c r="B16" s="2510">
        <v>2021</v>
      </c>
      <c r="C16" s="2510">
        <v>8</v>
      </c>
      <c r="D16">
        <v>0.12925</v>
      </c>
      <c r="E16">
        <f t="shared" si="2"/>
        <v>2021</v>
      </c>
    </row>
    <row r="17" spans="1:20">
      <c r="A17" s="2042">
        <v>44428</v>
      </c>
      <c r="B17" s="2510">
        <v>2021</v>
      </c>
      <c r="C17" s="2510">
        <v>8</v>
      </c>
      <c r="D17">
        <v>0.12837999999999999</v>
      </c>
      <c r="E17">
        <f t="shared" si="2"/>
        <v>2021</v>
      </c>
      <c r="H17" s="2044" t="s">
        <v>3674</v>
      </c>
      <c r="I17" s="2044" t="s">
        <v>3675</v>
      </c>
      <c r="J17" s="2044" t="s">
        <v>3676</v>
      </c>
      <c r="K17" s="2044" t="s">
        <v>3657</v>
      </c>
      <c r="L17" s="2044" t="s">
        <v>3658</v>
      </c>
      <c r="M17" s="2044" t="s">
        <v>3659</v>
      </c>
      <c r="N17" s="2044" t="s">
        <v>3660</v>
      </c>
      <c r="O17" s="2044" t="s">
        <v>3661</v>
      </c>
      <c r="P17" s="2044" t="s">
        <v>3662</v>
      </c>
      <c r="Q17" s="2044" t="s">
        <v>3663</v>
      </c>
      <c r="R17" s="2044" t="s">
        <v>3664</v>
      </c>
      <c r="S17" s="2044" t="s">
        <v>3665</v>
      </c>
      <c r="T17" s="2044" t="s">
        <v>3666</v>
      </c>
    </row>
    <row r="18" spans="1:20">
      <c r="A18" s="2042">
        <v>44427</v>
      </c>
      <c r="B18" s="2510">
        <v>2021</v>
      </c>
      <c r="C18" s="2510">
        <v>8</v>
      </c>
      <c r="D18">
        <v>0.13075000000000001</v>
      </c>
      <c r="E18">
        <f t="shared" si="2"/>
        <v>2021</v>
      </c>
      <c r="H18" s="2045" t="s">
        <v>3677</v>
      </c>
      <c r="I18" s="2045" t="s">
        <v>3678</v>
      </c>
      <c r="J18" s="2045" t="s">
        <v>3679</v>
      </c>
      <c r="K18" s="2045">
        <v>0.45</v>
      </c>
      <c r="L18" s="2045">
        <v>0.8</v>
      </c>
      <c r="M18" s="2045">
        <v>0.8</v>
      </c>
      <c r="N18" s="2045">
        <v>0.9</v>
      </c>
      <c r="O18" s="2045">
        <v>0.9</v>
      </c>
      <c r="P18" s="2045">
        <v>0.9</v>
      </c>
      <c r="Q18" s="2045">
        <v>0.9</v>
      </c>
      <c r="R18" s="2045">
        <v>0.9</v>
      </c>
      <c r="S18" s="2045">
        <v>0.9</v>
      </c>
      <c r="T18" s="2045">
        <v>0.9</v>
      </c>
    </row>
    <row r="19" spans="1:20">
      <c r="A19" s="2042">
        <v>44426</v>
      </c>
      <c r="B19" s="2510">
        <v>2021</v>
      </c>
      <c r="C19" s="2510">
        <v>8</v>
      </c>
      <c r="D19">
        <v>0.13088</v>
      </c>
      <c r="E19">
        <f t="shared" si="2"/>
        <v>2021</v>
      </c>
      <c r="H19" s="2045" t="s">
        <v>3680</v>
      </c>
      <c r="I19" s="2045" t="s">
        <v>3681</v>
      </c>
      <c r="J19" s="2045" t="s">
        <v>3679</v>
      </c>
      <c r="K19" s="2045">
        <v>0.28999999999999998</v>
      </c>
      <c r="L19" s="2045">
        <v>0.28999999999999998</v>
      </c>
      <c r="M19" s="2045">
        <v>0.28999999999999998</v>
      </c>
      <c r="N19" s="2045">
        <v>0.28999999999999998</v>
      </c>
      <c r="O19" s="2045">
        <v>0.28999999999999998</v>
      </c>
      <c r="P19" s="2045">
        <v>0.28999999999999998</v>
      </c>
      <c r="Q19" s="2045">
        <v>0.28999999999999998</v>
      </c>
      <c r="R19" s="2045">
        <v>0.28999999999999998</v>
      </c>
      <c r="S19" s="2045">
        <v>0.28999999999999998</v>
      </c>
      <c r="T19" s="2045">
        <v>0.28999999999999998</v>
      </c>
    </row>
    <row r="20" spans="1:20">
      <c r="A20" s="2042">
        <v>44425</v>
      </c>
      <c r="B20" s="2510">
        <v>2021</v>
      </c>
      <c r="C20" s="2510">
        <v>8</v>
      </c>
      <c r="D20">
        <v>0.12725</v>
      </c>
      <c r="E20">
        <f t="shared" si="2"/>
        <v>2021</v>
      </c>
      <c r="H20" s="2045" t="s">
        <v>3682</v>
      </c>
      <c r="I20" s="2045" t="s">
        <v>3683</v>
      </c>
      <c r="J20" s="2045" t="s">
        <v>3679</v>
      </c>
      <c r="K20" s="2045">
        <v>0.22</v>
      </c>
      <c r="L20" s="2045">
        <v>0.33</v>
      </c>
      <c r="M20" s="2045">
        <v>0.41</v>
      </c>
      <c r="N20" s="2045">
        <v>0.45</v>
      </c>
      <c r="O20" s="2045">
        <v>0.45</v>
      </c>
      <c r="P20" s="2045">
        <v>0.44</v>
      </c>
      <c r="Q20" s="2045">
        <v>0.67</v>
      </c>
      <c r="R20" s="2045">
        <v>0.66</v>
      </c>
      <c r="S20" s="2045">
        <v>0.9</v>
      </c>
      <c r="T20" s="2045">
        <v>0.9</v>
      </c>
    </row>
    <row r="21" spans="1:20">
      <c r="A21" s="2042">
        <v>44424</v>
      </c>
      <c r="B21" s="2510">
        <v>2021</v>
      </c>
      <c r="C21" s="2510">
        <v>8</v>
      </c>
      <c r="D21">
        <v>0.1245</v>
      </c>
      <c r="E21">
        <f t="shared" si="2"/>
        <v>2021</v>
      </c>
      <c r="H21" s="2045" t="s">
        <v>3684</v>
      </c>
      <c r="I21" s="2045" t="s">
        <v>3685</v>
      </c>
      <c r="J21" s="2045" t="s">
        <v>3679</v>
      </c>
      <c r="K21" s="2045">
        <v>0.2</v>
      </c>
      <c r="L21" s="2045">
        <v>0.2</v>
      </c>
      <c r="M21" s="2045">
        <v>0.25</v>
      </c>
      <c r="N21" s="2045">
        <v>0.25</v>
      </c>
      <c r="O21" s="2045">
        <v>0.25</v>
      </c>
      <c r="P21" s="2045">
        <v>0.25</v>
      </c>
      <c r="Q21" s="2045"/>
      <c r="R21" s="2045"/>
      <c r="S21" s="2045"/>
      <c r="T21" s="2045"/>
    </row>
    <row r="22" spans="1:20">
      <c r="A22" s="2042">
        <v>44421</v>
      </c>
      <c r="B22" s="2510">
        <v>2021</v>
      </c>
      <c r="C22" s="2510">
        <v>8</v>
      </c>
      <c r="D22">
        <v>0.12425</v>
      </c>
      <c r="E22">
        <f t="shared" si="2"/>
        <v>2021</v>
      </c>
      <c r="H22" s="2045" t="s">
        <v>3686</v>
      </c>
      <c r="I22" s="2045" t="s">
        <v>3687</v>
      </c>
      <c r="J22" s="2045" t="s">
        <v>3679</v>
      </c>
      <c r="K22" s="2045">
        <v>0.2</v>
      </c>
      <c r="L22" s="2045">
        <v>0.25</v>
      </c>
      <c r="M22" s="2045">
        <v>0.25</v>
      </c>
      <c r="N22" s="2045">
        <v>0.25</v>
      </c>
      <c r="O22" s="2045">
        <v>0.3</v>
      </c>
      <c r="P22" s="2045"/>
      <c r="Q22" s="2045"/>
      <c r="R22" s="2045"/>
      <c r="S22" s="2045"/>
      <c r="T22" s="2045"/>
    </row>
    <row r="23" spans="1:20">
      <c r="A23" s="2042">
        <v>44420</v>
      </c>
      <c r="B23" s="2510">
        <v>2021</v>
      </c>
      <c r="C23" s="2510">
        <v>8</v>
      </c>
      <c r="D23">
        <v>0.12475</v>
      </c>
      <c r="E23">
        <f t="shared" si="2"/>
        <v>2021</v>
      </c>
      <c r="H23" s="2045" t="s">
        <v>3688</v>
      </c>
      <c r="I23" s="2045" t="s">
        <v>3689</v>
      </c>
      <c r="J23" s="2045" t="s">
        <v>3679</v>
      </c>
      <c r="K23" s="2045">
        <v>0.18</v>
      </c>
      <c r="L23" s="2045">
        <v>0.21</v>
      </c>
      <c r="M23" s="2045">
        <v>0.24</v>
      </c>
      <c r="N23" s="2045">
        <v>0.25</v>
      </c>
      <c r="O23" s="2045">
        <v>0.28000000000000003</v>
      </c>
      <c r="P23" s="2045">
        <v>0.32</v>
      </c>
      <c r="Q23" s="2045">
        <v>0.59</v>
      </c>
      <c r="R23" s="2045">
        <v>0.62</v>
      </c>
      <c r="S23" s="2045">
        <v>0.65</v>
      </c>
      <c r="T23" s="2045">
        <v>0.71</v>
      </c>
    </row>
    <row r="24" spans="1:20">
      <c r="A24" s="2042">
        <v>44419</v>
      </c>
      <c r="B24" s="2510">
        <v>2021</v>
      </c>
      <c r="C24" s="2510">
        <v>8</v>
      </c>
      <c r="D24">
        <v>0.12125</v>
      </c>
      <c r="E24">
        <f t="shared" si="2"/>
        <v>2021</v>
      </c>
      <c r="H24" s="2045" t="s">
        <v>3690</v>
      </c>
      <c r="I24" s="2045" t="s">
        <v>3691</v>
      </c>
      <c r="J24" s="2045" t="s">
        <v>3679</v>
      </c>
      <c r="K24" s="2045">
        <v>0.18</v>
      </c>
      <c r="L24" s="2045">
        <v>0.35</v>
      </c>
      <c r="M24" s="2045">
        <v>0.48</v>
      </c>
      <c r="N24" s="2045">
        <v>0.6</v>
      </c>
      <c r="O24" s="2045">
        <v>0.65</v>
      </c>
      <c r="P24" s="2045">
        <v>0.62</v>
      </c>
      <c r="Q24" s="2045">
        <v>0.56000000000000005</v>
      </c>
      <c r="R24" s="2045">
        <v>0.6</v>
      </c>
      <c r="S24" s="2045">
        <v>0.73</v>
      </c>
      <c r="T24" s="2045">
        <v>0.78</v>
      </c>
    </row>
    <row r="25" spans="1:20">
      <c r="A25" s="2042">
        <v>44418</v>
      </c>
      <c r="B25" s="2510">
        <v>2021</v>
      </c>
      <c r="C25" s="2510">
        <v>8</v>
      </c>
      <c r="D25">
        <v>0.12275</v>
      </c>
      <c r="E25">
        <f t="shared" si="2"/>
        <v>2021</v>
      </c>
      <c r="H25" s="2045" t="s">
        <v>3692</v>
      </c>
      <c r="I25" s="2045" t="s">
        <v>3693</v>
      </c>
      <c r="J25" s="2045" t="s">
        <v>3679</v>
      </c>
      <c r="K25" s="2045">
        <v>0.16</v>
      </c>
      <c r="L25" s="2045">
        <v>0.22</v>
      </c>
      <c r="M25" s="2045">
        <v>0.26</v>
      </c>
      <c r="N25" s="2045">
        <v>0.34</v>
      </c>
      <c r="O25" s="2045">
        <v>0.41</v>
      </c>
      <c r="P25" s="2045">
        <v>0.48</v>
      </c>
      <c r="Q25" s="2045">
        <v>0.55000000000000004</v>
      </c>
      <c r="R25" s="2045">
        <v>0.61</v>
      </c>
      <c r="S25" s="2045">
        <v>0.66</v>
      </c>
      <c r="T25" s="2045">
        <v>0.7</v>
      </c>
    </row>
    <row r="26" spans="1:20">
      <c r="A26" s="2042">
        <v>44417</v>
      </c>
      <c r="B26" s="2510">
        <v>2021</v>
      </c>
      <c r="C26" s="2510">
        <v>8</v>
      </c>
      <c r="D26">
        <v>0.12725</v>
      </c>
      <c r="E26">
        <f t="shared" si="2"/>
        <v>2021</v>
      </c>
      <c r="H26" s="2045" t="s">
        <v>3694</v>
      </c>
      <c r="I26" s="2045" t="s">
        <v>3695</v>
      </c>
      <c r="J26" s="2045" t="s">
        <v>3679</v>
      </c>
      <c r="K26" s="2045">
        <v>0.15</v>
      </c>
      <c r="L26" s="2045">
        <v>0.2</v>
      </c>
      <c r="M26" s="2045">
        <v>0.2</v>
      </c>
      <c r="N26" s="2045">
        <v>0.2</v>
      </c>
      <c r="O26" s="2045">
        <v>0.2</v>
      </c>
      <c r="P26" s="2045">
        <v>0.25</v>
      </c>
      <c r="Q26" s="2045">
        <v>0.25</v>
      </c>
      <c r="R26" s="2045">
        <v>0.25</v>
      </c>
      <c r="S26" s="2045">
        <v>0.6</v>
      </c>
      <c r="T26" s="2045">
        <v>0.6</v>
      </c>
    </row>
    <row r="27" spans="1:20">
      <c r="A27" s="2042">
        <v>44414</v>
      </c>
      <c r="B27" s="2510">
        <v>2021</v>
      </c>
      <c r="C27" s="2510">
        <v>8</v>
      </c>
      <c r="D27">
        <v>0.12837999999999999</v>
      </c>
      <c r="E27">
        <f t="shared" si="2"/>
        <v>2021</v>
      </c>
      <c r="H27" s="2045" t="s">
        <v>3696</v>
      </c>
      <c r="I27" s="2045" t="s">
        <v>3697</v>
      </c>
      <c r="J27" s="2045" t="s">
        <v>3679</v>
      </c>
      <c r="K27" s="2045">
        <v>0.15</v>
      </c>
      <c r="L27" s="2045">
        <v>0.25</v>
      </c>
      <c r="M27" s="2045">
        <v>0.3</v>
      </c>
      <c r="N27" s="2045">
        <v>0.3</v>
      </c>
      <c r="O27" s="2045">
        <v>0.3</v>
      </c>
      <c r="P27" s="2045">
        <v>0.3</v>
      </c>
      <c r="Q27" s="2045"/>
      <c r="R27" s="2045"/>
      <c r="S27" s="2045"/>
      <c r="T27" s="2045"/>
    </row>
    <row r="28" spans="1:20">
      <c r="A28" s="2042">
        <v>44413</v>
      </c>
      <c r="B28" s="2510">
        <v>2021</v>
      </c>
      <c r="C28" s="2510">
        <v>8</v>
      </c>
      <c r="D28">
        <v>0.12537999999999999</v>
      </c>
      <c r="E28">
        <f t="shared" si="2"/>
        <v>2021</v>
      </c>
      <c r="H28" s="2045" t="s">
        <v>3698</v>
      </c>
      <c r="I28" s="2045" t="s">
        <v>3699</v>
      </c>
      <c r="J28" s="2045" t="s">
        <v>3679</v>
      </c>
      <c r="K28" s="2045">
        <v>0.15</v>
      </c>
      <c r="L28" s="2045">
        <v>0.2</v>
      </c>
      <c r="M28" s="2045">
        <v>0.25</v>
      </c>
      <c r="N28" s="2045">
        <v>0.25</v>
      </c>
      <c r="O28" s="2045">
        <v>0.25</v>
      </c>
      <c r="P28" s="2045">
        <v>0.25</v>
      </c>
      <c r="Q28" s="2045">
        <v>0.35</v>
      </c>
      <c r="R28" s="2045">
        <v>0.6</v>
      </c>
      <c r="S28" s="2045">
        <v>0.85</v>
      </c>
      <c r="T28" s="2045">
        <v>1</v>
      </c>
    </row>
    <row r="29" spans="1:20">
      <c r="A29" s="2042">
        <v>44412</v>
      </c>
      <c r="B29" s="2510">
        <v>2021</v>
      </c>
      <c r="C29" s="2510">
        <v>8</v>
      </c>
      <c r="D29">
        <v>0.12175</v>
      </c>
      <c r="E29">
        <f t="shared" si="2"/>
        <v>2021</v>
      </c>
      <c r="H29" s="2045" t="s">
        <v>3700</v>
      </c>
      <c r="I29" s="2045" t="s">
        <v>3701</v>
      </c>
      <c r="J29" s="2045" t="s">
        <v>3679</v>
      </c>
      <c r="K29" s="2045">
        <v>0.15</v>
      </c>
      <c r="L29" s="2045">
        <v>0.2</v>
      </c>
      <c r="M29" s="2045">
        <v>0.2</v>
      </c>
      <c r="N29" s="2045">
        <v>0.2</v>
      </c>
      <c r="O29" s="2045">
        <v>0.25</v>
      </c>
      <c r="P29" s="2045"/>
      <c r="Q29" s="2045"/>
      <c r="R29" s="2045"/>
      <c r="S29" s="2045"/>
      <c r="T29" s="2045"/>
    </row>
    <row r="30" spans="1:20">
      <c r="A30" s="2042">
        <v>44411</v>
      </c>
      <c r="B30" s="2510">
        <v>2021</v>
      </c>
      <c r="C30" s="2510">
        <v>8</v>
      </c>
      <c r="D30">
        <v>0.12138</v>
      </c>
      <c r="E30">
        <f t="shared" si="2"/>
        <v>2021</v>
      </c>
      <c r="H30" s="2045" t="s">
        <v>3702</v>
      </c>
      <c r="I30" s="2045" t="s">
        <v>3703</v>
      </c>
      <c r="J30" s="2045" t="s">
        <v>3679</v>
      </c>
      <c r="K30" s="2045">
        <v>0.15</v>
      </c>
      <c r="L30" s="2045">
        <v>0.15</v>
      </c>
      <c r="M30" s="2045">
        <v>0.15</v>
      </c>
      <c r="N30" s="2045">
        <v>0.15</v>
      </c>
      <c r="O30" s="2045">
        <v>0.15</v>
      </c>
      <c r="P30" s="2045">
        <v>0.15</v>
      </c>
      <c r="Q30" s="2045"/>
      <c r="R30" s="2045"/>
      <c r="S30" s="2045"/>
      <c r="T30" s="2045"/>
    </row>
    <row r="31" spans="1:20">
      <c r="A31" s="2042">
        <v>44410</v>
      </c>
      <c r="B31" s="2510">
        <v>2021</v>
      </c>
      <c r="C31" s="2510">
        <v>8</v>
      </c>
      <c r="D31">
        <v>0.12375</v>
      </c>
      <c r="E31">
        <f t="shared" si="2"/>
        <v>2021</v>
      </c>
      <c r="H31" s="2045" t="s">
        <v>3704</v>
      </c>
      <c r="I31" s="2045" t="s">
        <v>3705</v>
      </c>
      <c r="J31" s="2045" t="s">
        <v>3679</v>
      </c>
      <c r="K31" s="2045">
        <v>0.15</v>
      </c>
      <c r="L31" s="2045">
        <v>0.25</v>
      </c>
      <c r="M31" s="2045">
        <v>0.3</v>
      </c>
      <c r="N31" s="2045">
        <v>0.45</v>
      </c>
      <c r="O31" s="2045">
        <v>1.58</v>
      </c>
      <c r="P31" s="2045">
        <v>1.97</v>
      </c>
      <c r="Q31" s="2045">
        <v>1.97</v>
      </c>
      <c r="R31" s="2045">
        <v>2.36</v>
      </c>
      <c r="S31" s="2045">
        <v>2.36</v>
      </c>
      <c r="T31" s="2045">
        <v>2.76</v>
      </c>
    </row>
    <row r="32" spans="1:20">
      <c r="A32" s="2042">
        <v>44407</v>
      </c>
      <c r="B32" s="2510">
        <v>2021</v>
      </c>
      <c r="C32" s="2510">
        <v>7</v>
      </c>
      <c r="D32">
        <v>0.11774999999999999</v>
      </c>
      <c r="E32">
        <f t="shared" si="2"/>
        <v>2021</v>
      </c>
      <c r="H32" s="2045" t="s">
        <v>3706</v>
      </c>
      <c r="I32" s="2045" t="s">
        <v>3707</v>
      </c>
      <c r="J32" s="2045" t="s">
        <v>3679</v>
      </c>
      <c r="K32" s="2045">
        <v>0.15</v>
      </c>
      <c r="L32" s="2045">
        <v>0.15</v>
      </c>
      <c r="M32" s="2045">
        <v>0.15</v>
      </c>
      <c r="N32" s="2045">
        <v>0.15</v>
      </c>
      <c r="O32" s="2045">
        <v>0.2</v>
      </c>
      <c r="P32" s="2045"/>
      <c r="Q32" s="2045"/>
      <c r="R32" s="2045"/>
      <c r="S32" s="2045"/>
      <c r="T32" s="2045"/>
    </row>
    <row r="33" spans="1:20">
      <c r="A33" s="2042">
        <v>44406</v>
      </c>
      <c r="B33" s="2510">
        <v>2021</v>
      </c>
      <c r="C33" s="2510">
        <v>7</v>
      </c>
      <c r="D33">
        <v>0.12575</v>
      </c>
      <c r="E33">
        <f t="shared" si="2"/>
        <v>2021</v>
      </c>
      <c r="H33" s="2045" t="s">
        <v>3708</v>
      </c>
      <c r="I33" s="2045" t="s">
        <v>3709</v>
      </c>
      <c r="J33" s="2045" t="s">
        <v>3679</v>
      </c>
      <c r="K33" s="2045">
        <v>0.15</v>
      </c>
      <c r="L33" s="2045">
        <v>0.21</v>
      </c>
      <c r="M33" s="2045">
        <v>0.25</v>
      </c>
      <c r="N33" s="2045">
        <v>0.27</v>
      </c>
      <c r="O33" s="2045">
        <v>0.27</v>
      </c>
      <c r="P33" s="2045">
        <v>0.28999999999999998</v>
      </c>
      <c r="Q33" s="2045">
        <v>0.41</v>
      </c>
      <c r="R33" s="2045">
        <v>0.53</v>
      </c>
      <c r="S33" s="2045">
        <v>0.54</v>
      </c>
      <c r="T33" s="2045">
        <v>0.67</v>
      </c>
    </row>
    <row r="34" spans="1:20">
      <c r="A34" s="2042">
        <v>44405</v>
      </c>
      <c r="B34" s="2510">
        <v>2021</v>
      </c>
      <c r="C34" s="2510">
        <v>7</v>
      </c>
      <c r="D34">
        <v>0.1285</v>
      </c>
      <c r="E34">
        <f t="shared" si="2"/>
        <v>2021</v>
      </c>
      <c r="H34" s="2045" t="s">
        <v>3710</v>
      </c>
      <c r="I34" s="2045" t="s">
        <v>3711</v>
      </c>
      <c r="J34" s="2045" t="s">
        <v>3679</v>
      </c>
      <c r="K34" s="2045">
        <v>0.15</v>
      </c>
      <c r="L34" s="2045">
        <v>0.2</v>
      </c>
      <c r="M34" s="2045">
        <v>0.2</v>
      </c>
      <c r="N34" s="2045">
        <v>0.25</v>
      </c>
      <c r="O34" s="2045">
        <v>0.25</v>
      </c>
      <c r="P34" s="2045">
        <v>0.3</v>
      </c>
      <c r="Q34" s="2045">
        <v>0.4</v>
      </c>
      <c r="R34" s="2045">
        <v>0.45</v>
      </c>
      <c r="S34" s="2045">
        <v>0.55000000000000004</v>
      </c>
      <c r="T34" s="2045">
        <v>0.6</v>
      </c>
    </row>
    <row r="35" spans="1:20">
      <c r="A35" s="2042">
        <v>44404</v>
      </c>
      <c r="B35" s="2510">
        <v>2021</v>
      </c>
      <c r="C35" s="2510">
        <v>7</v>
      </c>
      <c r="D35">
        <v>0.12963</v>
      </c>
      <c r="E35">
        <f t="shared" si="2"/>
        <v>2021</v>
      </c>
      <c r="H35" s="2045" t="s">
        <v>3712</v>
      </c>
      <c r="I35" s="2045" t="s">
        <v>3713</v>
      </c>
      <c r="J35" s="2045" t="s">
        <v>3679</v>
      </c>
      <c r="K35" s="2045">
        <v>0.14000000000000001</v>
      </c>
      <c r="L35" s="2045">
        <v>0.18</v>
      </c>
      <c r="M35" s="2045">
        <v>0.22</v>
      </c>
      <c r="N35" s="2045">
        <v>0.25</v>
      </c>
      <c r="O35" s="2045">
        <v>0.28000000000000003</v>
      </c>
      <c r="P35" s="2045">
        <v>0.31</v>
      </c>
      <c r="Q35" s="2045">
        <v>0.34</v>
      </c>
      <c r="R35" s="2045">
        <v>0.41</v>
      </c>
      <c r="S35" s="2045">
        <v>0.66</v>
      </c>
      <c r="T35" s="2045">
        <v>0.93</v>
      </c>
    </row>
    <row r="36" spans="1:20">
      <c r="A36" s="2042">
        <v>44403</v>
      </c>
      <c r="B36" s="2510">
        <v>2021</v>
      </c>
      <c r="C36" s="2510">
        <v>7</v>
      </c>
      <c r="D36">
        <v>0.13163</v>
      </c>
      <c r="E36">
        <f t="shared" si="2"/>
        <v>2021</v>
      </c>
      <c r="H36" s="2045" t="s">
        <v>3714</v>
      </c>
      <c r="I36" s="2045" t="s">
        <v>3715</v>
      </c>
      <c r="J36" s="2045" t="s">
        <v>3679</v>
      </c>
      <c r="K36" s="2045">
        <v>0.13</v>
      </c>
      <c r="L36" s="2045">
        <v>0.13</v>
      </c>
      <c r="M36" s="2045">
        <v>0.13</v>
      </c>
      <c r="N36" s="2045">
        <v>0.13</v>
      </c>
      <c r="O36" s="2045">
        <v>0.13</v>
      </c>
      <c r="P36" s="2045">
        <v>0.13</v>
      </c>
      <c r="Q36" s="2045"/>
      <c r="R36" s="2045"/>
      <c r="S36" s="2045"/>
      <c r="T36" s="2045"/>
    </row>
    <row r="37" spans="1:20">
      <c r="A37" s="2042">
        <v>44400</v>
      </c>
      <c r="B37" s="2510">
        <v>2021</v>
      </c>
      <c r="C37" s="2510">
        <v>7</v>
      </c>
      <c r="D37">
        <v>0.12887999999999999</v>
      </c>
      <c r="E37">
        <f t="shared" si="2"/>
        <v>2021</v>
      </c>
      <c r="H37" s="2045" t="s">
        <v>3716</v>
      </c>
      <c r="I37" s="2045" t="s">
        <v>3717</v>
      </c>
      <c r="J37" s="2045" t="s">
        <v>3679</v>
      </c>
      <c r="K37" s="2045">
        <v>0.13</v>
      </c>
      <c r="L37" s="2045">
        <v>0.13</v>
      </c>
      <c r="M37" s="2045">
        <v>0.14000000000000001</v>
      </c>
      <c r="N37" s="2045">
        <v>0.16</v>
      </c>
      <c r="O37" s="2045">
        <v>0.16</v>
      </c>
      <c r="P37" s="2045">
        <v>0.18</v>
      </c>
      <c r="Q37" s="2045">
        <v>0.2</v>
      </c>
      <c r="R37" s="2045">
        <v>0.21</v>
      </c>
      <c r="S37" s="2045">
        <v>0.3</v>
      </c>
      <c r="T37" s="2045">
        <v>0.48</v>
      </c>
    </row>
    <row r="38" spans="1:20">
      <c r="A38" s="2042">
        <v>44399</v>
      </c>
      <c r="B38" s="2510">
        <v>2021</v>
      </c>
      <c r="C38" s="2510">
        <v>7</v>
      </c>
      <c r="D38">
        <v>0.12525</v>
      </c>
      <c r="E38">
        <f t="shared" si="2"/>
        <v>2021</v>
      </c>
      <c r="H38" s="2045" t="s">
        <v>3718</v>
      </c>
      <c r="I38" s="2045" t="s">
        <v>3719</v>
      </c>
      <c r="J38" s="2045" t="s">
        <v>3679</v>
      </c>
      <c r="K38" s="2045">
        <v>0.13</v>
      </c>
      <c r="L38" s="2045">
        <v>0.19</v>
      </c>
      <c r="M38" s="2045">
        <v>0.23</v>
      </c>
      <c r="N38" s="2045">
        <v>0.28000000000000003</v>
      </c>
      <c r="O38" s="2045">
        <v>0.34</v>
      </c>
      <c r="P38" s="2045">
        <v>0.4</v>
      </c>
      <c r="Q38" s="2045">
        <v>0.41</v>
      </c>
      <c r="R38" s="2045">
        <v>0.42</v>
      </c>
      <c r="S38" s="2045">
        <v>0.44</v>
      </c>
      <c r="T38" s="2045">
        <v>0.51</v>
      </c>
    </row>
    <row r="39" spans="1:20">
      <c r="A39" s="2042">
        <v>44398</v>
      </c>
      <c r="B39" s="2510">
        <v>2021</v>
      </c>
      <c r="C39" s="2510">
        <v>7</v>
      </c>
      <c r="D39">
        <v>0.13788</v>
      </c>
      <c r="E39">
        <f t="shared" si="2"/>
        <v>2021</v>
      </c>
      <c r="H39" s="2045" t="s">
        <v>3720</v>
      </c>
      <c r="I39" s="2045" t="s">
        <v>3721</v>
      </c>
      <c r="J39" s="2045" t="s">
        <v>3679</v>
      </c>
      <c r="K39" s="2045">
        <v>0.12</v>
      </c>
      <c r="L39" s="2045">
        <v>0.17</v>
      </c>
      <c r="M39" s="2045">
        <v>0.32</v>
      </c>
      <c r="N39" s="2045">
        <v>0.65</v>
      </c>
      <c r="O39" s="2045">
        <v>0.9</v>
      </c>
      <c r="P39" s="2045">
        <v>1.17</v>
      </c>
      <c r="Q39" s="2045">
        <v>1.48</v>
      </c>
      <c r="R39" s="2045">
        <v>1.66</v>
      </c>
      <c r="S39" s="2045">
        <v>1.91</v>
      </c>
      <c r="T39" s="2045">
        <v>2.1</v>
      </c>
    </row>
    <row r="40" spans="1:20">
      <c r="A40" s="2042">
        <v>44397</v>
      </c>
      <c r="B40" s="2510">
        <v>2021</v>
      </c>
      <c r="C40" s="2510">
        <v>7</v>
      </c>
      <c r="D40">
        <v>0.13825000000000001</v>
      </c>
      <c r="E40">
        <f t="shared" si="2"/>
        <v>2021</v>
      </c>
      <c r="H40" s="2045" t="s">
        <v>3722</v>
      </c>
      <c r="I40" s="2045" t="s">
        <v>3723</v>
      </c>
      <c r="J40" s="2045" t="s">
        <v>3679</v>
      </c>
      <c r="K40" s="2045">
        <v>0.12</v>
      </c>
      <c r="L40" s="2045">
        <v>0.17</v>
      </c>
      <c r="M40" s="2045">
        <v>0.16</v>
      </c>
      <c r="N40" s="2045">
        <v>0.25</v>
      </c>
      <c r="O40" s="2045"/>
      <c r="P40" s="2045"/>
      <c r="Q40" s="2045"/>
      <c r="R40" s="2045"/>
      <c r="S40" s="2045"/>
      <c r="T40" s="2045"/>
    </row>
    <row r="41" spans="1:20">
      <c r="A41" s="2042">
        <v>44396</v>
      </c>
      <c r="B41" s="2510">
        <v>2021</v>
      </c>
      <c r="C41" s="2510">
        <v>7</v>
      </c>
      <c r="D41">
        <v>0.13425000000000001</v>
      </c>
      <c r="E41">
        <f t="shared" si="2"/>
        <v>2021</v>
      </c>
      <c r="H41" s="2045" t="s">
        <v>3724</v>
      </c>
      <c r="I41" s="2045" t="s">
        <v>3725</v>
      </c>
      <c r="J41" s="2045" t="s">
        <v>3679</v>
      </c>
      <c r="K41" s="2045">
        <v>0.12</v>
      </c>
      <c r="L41" s="2045">
        <v>0.12</v>
      </c>
      <c r="M41" s="2045">
        <v>0.16</v>
      </c>
      <c r="N41" s="2045">
        <v>0.18</v>
      </c>
      <c r="O41" s="2045">
        <v>0.2</v>
      </c>
      <c r="P41" s="2045">
        <v>0.22</v>
      </c>
      <c r="Q41" s="2045">
        <v>0.25</v>
      </c>
      <c r="R41" s="2045">
        <v>0.25</v>
      </c>
      <c r="S41" s="2045">
        <v>0.25</v>
      </c>
      <c r="T41" s="2045">
        <v>0.35</v>
      </c>
    </row>
    <row r="42" spans="1:20">
      <c r="A42" s="2042">
        <v>44393</v>
      </c>
      <c r="B42" s="2510">
        <v>2021</v>
      </c>
      <c r="C42" s="2510">
        <v>7</v>
      </c>
      <c r="D42">
        <v>0.13425000000000001</v>
      </c>
      <c r="E42">
        <f t="shared" si="2"/>
        <v>2021</v>
      </c>
      <c r="H42" s="2045" t="s">
        <v>3726</v>
      </c>
      <c r="I42" s="2045" t="s">
        <v>3727</v>
      </c>
      <c r="J42" s="2045" t="s">
        <v>3679</v>
      </c>
      <c r="K42" s="2045">
        <v>0.12</v>
      </c>
      <c r="L42" s="2045">
        <v>0.14000000000000001</v>
      </c>
      <c r="M42" s="2045">
        <v>0.14000000000000001</v>
      </c>
      <c r="N42" s="2045">
        <v>0.14000000000000001</v>
      </c>
      <c r="O42" s="2045">
        <v>0.14000000000000001</v>
      </c>
      <c r="P42" s="2045">
        <v>0.39</v>
      </c>
      <c r="Q42" s="2045">
        <v>0.39</v>
      </c>
      <c r="R42" s="2045">
        <v>0.64</v>
      </c>
      <c r="S42" s="2045">
        <v>0.64</v>
      </c>
      <c r="T42" s="2045">
        <v>0.89</v>
      </c>
    </row>
    <row r="43" spans="1:20">
      <c r="A43" s="2042">
        <v>44392</v>
      </c>
      <c r="B43" s="2510">
        <v>2021</v>
      </c>
      <c r="C43" s="2510">
        <v>7</v>
      </c>
      <c r="D43">
        <v>0.13388</v>
      </c>
      <c r="E43">
        <f t="shared" si="2"/>
        <v>2021</v>
      </c>
      <c r="H43" s="2045" t="s">
        <v>3728</v>
      </c>
      <c r="I43" s="2045" t="s">
        <v>3729</v>
      </c>
      <c r="J43" s="2045" t="s">
        <v>3679</v>
      </c>
      <c r="K43" s="2045">
        <v>0.1</v>
      </c>
      <c r="L43" s="2045">
        <v>0.1</v>
      </c>
      <c r="M43" s="2045">
        <v>0.1</v>
      </c>
      <c r="N43" s="2045">
        <v>0.1</v>
      </c>
      <c r="O43" s="2045">
        <v>0.1</v>
      </c>
      <c r="P43" s="2045">
        <v>0.1</v>
      </c>
      <c r="Q43" s="2045">
        <v>0.15</v>
      </c>
      <c r="R43" s="2045">
        <v>0.25</v>
      </c>
      <c r="S43" s="2045">
        <v>0.5</v>
      </c>
      <c r="T43" s="2045">
        <v>1</v>
      </c>
    </row>
    <row r="44" spans="1:20">
      <c r="A44" s="2042">
        <v>44391</v>
      </c>
      <c r="B44" s="2510">
        <v>2021</v>
      </c>
      <c r="C44" s="2510">
        <v>7</v>
      </c>
      <c r="D44">
        <v>0.12637999999999999</v>
      </c>
      <c r="E44">
        <f t="shared" si="2"/>
        <v>2021</v>
      </c>
      <c r="H44" s="2045" t="s">
        <v>3730</v>
      </c>
      <c r="I44" s="2045" t="s">
        <v>3731</v>
      </c>
      <c r="J44" s="2045" t="s">
        <v>3679</v>
      </c>
      <c r="K44" s="2045">
        <v>0.1</v>
      </c>
      <c r="L44" s="2045">
        <v>0.15</v>
      </c>
      <c r="M44" s="2045">
        <v>0.15</v>
      </c>
      <c r="N44" s="2045">
        <v>0.2</v>
      </c>
      <c r="O44" s="2045">
        <v>0.5</v>
      </c>
      <c r="P44" s="2045">
        <v>0.75</v>
      </c>
      <c r="Q44" s="2045">
        <v>1</v>
      </c>
      <c r="R44" s="2045">
        <v>1.2</v>
      </c>
      <c r="S44" s="2045">
        <v>1.5</v>
      </c>
      <c r="T44" s="2045">
        <v>1.7</v>
      </c>
    </row>
    <row r="45" spans="1:20">
      <c r="A45" s="2042">
        <v>44390</v>
      </c>
      <c r="B45" s="2510">
        <v>2021</v>
      </c>
      <c r="C45" s="2510">
        <v>7</v>
      </c>
      <c r="D45">
        <v>0.12612999999999999</v>
      </c>
      <c r="E45">
        <f t="shared" si="2"/>
        <v>2021</v>
      </c>
      <c r="H45" s="2045" t="s">
        <v>3732</v>
      </c>
      <c r="I45" s="2045" t="s">
        <v>3733</v>
      </c>
      <c r="J45" s="2045" t="s">
        <v>3679</v>
      </c>
      <c r="K45" s="2045"/>
      <c r="L45" s="2045">
        <v>0.2</v>
      </c>
      <c r="M45" s="2045">
        <v>0.2</v>
      </c>
      <c r="N45" s="2045">
        <v>0.2</v>
      </c>
      <c r="O45" s="2045">
        <v>0.2</v>
      </c>
      <c r="P45" s="2045">
        <v>0.2</v>
      </c>
      <c r="Q45" s="2045"/>
      <c r="R45" s="2045"/>
      <c r="S45" s="2045"/>
      <c r="T45" s="2045"/>
    </row>
    <row r="46" spans="1:20">
      <c r="A46" s="2042">
        <v>44389</v>
      </c>
      <c r="B46" s="2510">
        <v>2021</v>
      </c>
      <c r="C46" s="2510">
        <v>7</v>
      </c>
      <c r="D46">
        <v>0.13288</v>
      </c>
      <c r="E46">
        <f t="shared" si="2"/>
        <v>2021</v>
      </c>
      <c r="H46" s="2045" t="s">
        <v>3734</v>
      </c>
      <c r="I46" s="2045" t="s">
        <v>3735</v>
      </c>
      <c r="J46" s="2045" t="s">
        <v>3679</v>
      </c>
      <c r="K46" s="2045"/>
      <c r="L46" s="2045">
        <v>0.15</v>
      </c>
      <c r="M46" s="2045">
        <v>0.15</v>
      </c>
      <c r="N46" s="2045">
        <v>0.15</v>
      </c>
      <c r="O46" s="2045">
        <v>0.15</v>
      </c>
      <c r="P46" s="2045">
        <v>0.2</v>
      </c>
      <c r="Q46" s="2045"/>
      <c r="R46" s="2045"/>
      <c r="S46" s="2045"/>
      <c r="T46" s="2045"/>
    </row>
    <row r="47" spans="1:20">
      <c r="A47" s="2042">
        <v>44386</v>
      </c>
      <c r="B47" s="2510">
        <v>2021</v>
      </c>
      <c r="C47" s="2510">
        <v>7</v>
      </c>
      <c r="D47">
        <v>0.12862999999999999</v>
      </c>
      <c r="E47">
        <f t="shared" si="2"/>
        <v>2021</v>
      </c>
      <c r="H47" s="2045" t="s">
        <v>3736</v>
      </c>
      <c r="I47" s="2045" t="s">
        <v>3737</v>
      </c>
      <c r="J47" s="2045" t="s">
        <v>3679</v>
      </c>
      <c r="K47" s="2045"/>
      <c r="L47" s="2045">
        <v>0.25</v>
      </c>
      <c r="M47" s="2045"/>
      <c r="N47" s="2045"/>
      <c r="O47" s="2045"/>
      <c r="P47" s="2045">
        <v>0.25</v>
      </c>
      <c r="Q47" s="2045"/>
      <c r="R47" s="2045"/>
      <c r="S47" s="2045"/>
      <c r="T47" s="2045"/>
    </row>
    <row r="48" spans="1:20">
      <c r="A48" s="2042">
        <v>44385</v>
      </c>
      <c r="B48" s="2510">
        <v>2021</v>
      </c>
      <c r="C48" s="2510">
        <v>7</v>
      </c>
      <c r="D48">
        <v>0.11899999999999999</v>
      </c>
      <c r="E48">
        <f t="shared" si="2"/>
        <v>2021</v>
      </c>
    </row>
    <row r="49" spans="1:5">
      <c r="A49" s="2042">
        <v>44384</v>
      </c>
      <c r="B49" s="2510">
        <v>2021</v>
      </c>
      <c r="C49" s="2510">
        <v>7</v>
      </c>
      <c r="D49">
        <v>0.12388</v>
      </c>
      <c r="E49">
        <f t="shared" si="2"/>
        <v>2021</v>
      </c>
    </row>
    <row r="50" spans="1:5">
      <c r="A50" s="2042">
        <v>44383</v>
      </c>
      <c r="B50" s="2510">
        <v>2021</v>
      </c>
      <c r="C50" s="2510">
        <v>7</v>
      </c>
      <c r="D50">
        <v>0.13488</v>
      </c>
      <c r="E50">
        <f t="shared" si="2"/>
        <v>2021</v>
      </c>
    </row>
    <row r="51" spans="1:5">
      <c r="A51" s="2042">
        <v>44382</v>
      </c>
      <c r="B51" s="2510">
        <v>2021</v>
      </c>
      <c r="C51" s="2510">
        <v>7</v>
      </c>
      <c r="D51">
        <v>0.13800000000000001</v>
      </c>
      <c r="E51">
        <f t="shared" si="2"/>
        <v>2021</v>
      </c>
    </row>
    <row r="52" spans="1:5">
      <c r="A52" s="2042">
        <v>44379</v>
      </c>
      <c r="B52" s="2510">
        <v>2021</v>
      </c>
      <c r="C52" s="2510">
        <v>7</v>
      </c>
      <c r="D52">
        <v>0.13788</v>
      </c>
      <c r="E52">
        <f t="shared" si="2"/>
        <v>2021</v>
      </c>
    </row>
    <row r="53" spans="1:5">
      <c r="A53" s="2042">
        <v>44378</v>
      </c>
      <c r="B53" s="2510">
        <v>2021</v>
      </c>
      <c r="C53" s="2510">
        <v>7</v>
      </c>
      <c r="D53">
        <v>0.14474999999999999</v>
      </c>
      <c r="E53">
        <f t="shared" si="2"/>
        <v>2021</v>
      </c>
    </row>
    <row r="54" spans="1:5">
      <c r="A54" s="2042">
        <v>44377</v>
      </c>
      <c r="B54" s="2510">
        <v>2021</v>
      </c>
      <c r="C54" s="2510">
        <v>6</v>
      </c>
      <c r="D54">
        <v>0.14574999999999999</v>
      </c>
      <c r="E54">
        <f t="shared" si="2"/>
        <v>2021</v>
      </c>
    </row>
    <row r="55" spans="1:5">
      <c r="A55" s="2042">
        <v>44376</v>
      </c>
      <c r="B55" s="2510">
        <v>2021</v>
      </c>
      <c r="C55" s="2510">
        <v>6</v>
      </c>
      <c r="D55">
        <v>0.14488000000000001</v>
      </c>
      <c r="E55">
        <f t="shared" si="2"/>
        <v>2021</v>
      </c>
    </row>
    <row r="56" spans="1:5">
      <c r="A56" s="2042">
        <v>44375</v>
      </c>
      <c r="B56" s="2510">
        <v>2021</v>
      </c>
      <c r="C56" s="2510">
        <v>6</v>
      </c>
      <c r="D56">
        <v>0.14724999999999999</v>
      </c>
      <c r="E56">
        <f t="shared" si="2"/>
        <v>2021</v>
      </c>
    </row>
    <row r="57" spans="1:5">
      <c r="A57" s="2042">
        <v>44372</v>
      </c>
      <c r="B57" s="2510">
        <v>2021</v>
      </c>
      <c r="C57" s="2510">
        <v>6</v>
      </c>
      <c r="D57">
        <v>0.14599999999999999</v>
      </c>
      <c r="E57">
        <f t="shared" si="2"/>
        <v>2021</v>
      </c>
    </row>
    <row r="58" spans="1:5">
      <c r="A58" s="2042">
        <v>44371</v>
      </c>
      <c r="B58" s="2510">
        <v>2021</v>
      </c>
      <c r="C58" s="2510">
        <v>6</v>
      </c>
      <c r="D58">
        <v>0.14599999999999999</v>
      </c>
      <c r="E58">
        <f t="shared" si="2"/>
        <v>2021</v>
      </c>
    </row>
    <row r="59" spans="1:5">
      <c r="A59" s="2042">
        <v>44370</v>
      </c>
      <c r="B59" s="2510">
        <v>2021</v>
      </c>
      <c r="C59" s="2510">
        <v>6</v>
      </c>
      <c r="D59">
        <v>0.14724999999999999</v>
      </c>
      <c r="E59">
        <f t="shared" si="2"/>
        <v>2021</v>
      </c>
    </row>
    <row r="60" spans="1:5">
      <c r="A60" s="2042">
        <v>44369</v>
      </c>
      <c r="B60" s="2510">
        <v>2021</v>
      </c>
      <c r="C60" s="2510">
        <v>6</v>
      </c>
      <c r="D60">
        <v>0.13375000000000001</v>
      </c>
      <c r="E60">
        <f t="shared" si="2"/>
        <v>2021</v>
      </c>
    </row>
    <row r="61" spans="1:5">
      <c r="A61" s="2042">
        <v>44368</v>
      </c>
      <c r="B61" s="2510">
        <v>2021</v>
      </c>
      <c r="C61" s="2510">
        <v>6</v>
      </c>
      <c r="D61">
        <v>0.13788</v>
      </c>
      <c r="E61">
        <f t="shared" si="2"/>
        <v>2021</v>
      </c>
    </row>
    <row r="62" spans="1:5">
      <c r="A62" s="2042">
        <v>44365</v>
      </c>
      <c r="B62" s="2510">
        <v>2021</v>
      </c>
      <c r="C62" s="2510">
        <v>6</v>
      </c>
      <c r="D62">
        <v>0.13488</v>
      </c>
      <c r="E62">
        <f t="shared" si="2"/>
        <v>2021</v>
      </c>
    </row>
    <row r="63" spans="1:5">
      <c r="A63" s="2042">
        <v>44364</v>
      </c>
      <c r="B63" s="2510">
        <v>2021</v>
      </c>
      <c r="C63" s="2510">
        <v>6</v>
      </c>
      <c r="D63">
        <v>0.13450000000000001</v>
      </c>
      <c r="E63">
        <f t="shared" si="2"/>
        <v>2021</v>
      </c>
    </row>
    <row r="64" spans="1:5">
      <c r="A64" s="2042">
        <v>44363</v>
      </c>
      <c r="B64" s="2510">
        <v>2021</v>
      </c>
      <c r="C64" s="2510">
        <v>6</v>
      </c>
      <c r="D64">
        <v>0.1245</v>
      </c>
      <c r="E64">
        <f t="shared" si="2"/>
        <v>2021</v>
      </c>
    </row>
    <row r="65" spans="1:5">
      <c r="A65" s="2042">
        <v>44362</v>
      </c>
      <c r="B65" s="2510">
        <v>2021</v>
      </c>
      <c r="C65" s="2510">
        <v>6</v>
      </c>
      <c r="D65">
        <v>0.12475</v>
      </c>
      <c r="E65">
        <f t="shared" si="2"/>
        <v>2021</v>
      </c>
    </row>
    <row r="66" spans="1:5">
      <c r="A66" s="2042">
        <v>44361</v>
      </c>
      <c r="B66" s="2510">
        <v>2021</v>
      </c>
      <c r="C66" s="2510">
        <v>6</v>
      </c>
      <c r="D66">
        <v>0.11799999999999999</v>
      </c>
      <c r="E66">
        <f t="shared" si="2"/>
        <v>2021</v>
      </c>
    </row>
    <row r="67" spans="1:5">
      <c r="A67" s="2042">
        <v>44358</v>
      </c>
      <c r="B67" s="2510">
        <v>2021</v>
      </c>
      <c r="C67" s="2510">
        <v>6</v>
      </c>
      <c r="D67">
        <v>0.11888</v>
      </c>
      <c r="E67">
        <f t="shared" si="2"/>
        <v>2021</v>
      </c>
    </row>
    <row r="68" spans="1:5">
      <c r="A68" s="2042">
        <v>44357</v>
      </c>
      <c r="B68" s="2510">
        <v>2021</v>
      </c>
      <c r="C68" s="2510">
        <v>6</v>
      </c>
      <c r="D68">
        <v>0.11899999999999999</v>
      </c>
      <c r="E68">
        <f t="shared" ref="E68:E131" si="3">YEAR(A68)</f>
        <v>2021</v>
      </c>
    </row>
    <row r="69" spans="1:5">
      <c r="A69" s="2042">
        <v>44356</v>
      </c>
      <c r="B69" s="2510">
        <v>2021</v>
      </c>
      <c r="C69" s="2510">
        <v>6</v>
      </c>
      <c r="D69">
        <v>0.12475</v>
      </c>
      <c r="E69">
        <f t="shared" si="3"/>
        <v>2021</v>
      </c>
    </row>
    <row r="70" spans="1:5">
      <c r="A70" s="2042">
        <v>44355</v>
      </c>
      <c r="B70" s="2510">
        <v>2021</v>
      </c>
      <c r="C70" s="2510">
        <v>6</v>
      </c>
      <c r="D70">
        <v>0.128</v>
      </c>
      <c r="E70">
        <f t="shared" si="3"/>
        <v>2021</v>
      </c>
    </row>
    <row r="71" spans="1:5">
      <c r="A71" s="2042">
        <v>44354</v>
      </c>
      <c r="B71" s="2510">
        <v>2021</v>
      </c>
      <c r="C71" s="2510">
        <v>6</v>
      </c>
      <c r="D71">
        <v>0.12313</v>
      </c>
      <c r="E71">
        <f t="shared" si="3"/>
        <v>2021</v>
      </c>
    </row>
    <row r="72" spans="1:5">
      <c r="A72" s="2042">
        <v>44351</v>
      </c>
      <c r="B72" s="2510">
        <v>2021</v>
      </c>
      <c r="C72" s="2510">
        <v>6</v>
      </c>
      <c r="D72">
        <v>0.12825</v>
      </c>
      <c r="E72">
        <f t="shared" si="3"/>
        <v>2021</v>
      </c>
    </row>
    <row r="73" spans="1:5">
      <c r="A73" s="2042">
        <v>44350</v>
      </c>
      <c r="B73" s="2510">
        <v>2021</v>
      </c>
      <c r="C73" s="2510">
        <v>6</v>
      </c>
      <c r="D73">
        <v>0.13075000000000001</v>
      </c>
      <c r="E73">
        <f t="shared" si="3"/>
        <v>2021</v>
      </c>
    </row>
    <row r="74" spans="1:5">
      <c r="A74" s="2042">
        <v>44349</v>
      </c>
      <c r="B74" s="2510">
        <v>2021</v>
      </c>
      <c r="C74" s="2510">
        <v>6</v>
      </c>
      <c r="D74">
        <v>0.13400000000000001</v>
      </c>
      <c r="E74">
        <f t="shared" si="3"/>
        <v>2021</v>
      </c>
    </row>
    <row r="75" spans="1:5">
      <c r="A75" s="2042">
        <v>44348</v>
      </c>
      <c r="B75" s="2510">
        <v>2021</v>
      </c>
      <c r="C75" s="2510">
        <v>6</v>
      </c>
      <c r="D75">
        <v>0.1285</v>
      </c>
      <c r="E75">
        <f t="shared" si="3"/>
        <v>2021</v>
      </c>
    </row>
    <row r="76" spans="1:5">
      <c r="A76" s="2042">
        <v>44344</v>
      </c>
      <c r="B76" s="2510">
        <v>2021</v>
      </c>
      <c r="C76" s="2510">
        <v>5</v>
      </c>
      <c r="D76">
        <v>0.13138</v>
      </c>
      <c r="E76">
        <f t="shared" si="3"/>
        <v>2021</v>
      </c>
    </row>
    <row r="77" spans="1:5">
      <c r="A77" s="2042">
        <v>44343</v>
      </c>
      <c r="B77" s="2510">
        <v>2021</v>
      </c>
      <c r="C77" s="2510">
        <v>5</v>
      </c>
      <c r="D77">
        <v>0.13463</v>
      </c>
      <c r="E77">
        <f t="shared" si="3"/>
        <v>2021</v>
      </c>
    </row>
    <row r="78" spans="1:5">
      <c r="A78" s="2042">
        <v>44342</v>
      </c>
      <c r="B78" s="2510">
        <v>2021</v>
      </c>
      <c r="C78" s="2510">
        <v>5</v>
      </c>
      <c r="D78">
        <v>0.13500000000000001</v>
      </c>
      <c r="E78">
        <f t="shared" si="3"/>
        <v>2021</v>
      </c>
    </row>
    <row r="79" spans="1:5">
      <c r="A79" s="2042">
        <v>44341</v>
      </c>
      <c r="B79" s="2510">
        <v>2021</v>
      </c>
      <c r="C79" s="2510">
        <v>5</v>
      </c>
      <c r="D79">
        <v>0.13850000000000001</v>
      </c>
      <c r="E79">
        <f t="shared" si="3"/>
        <v>2021</v>
      </c>
    </row>
    <row r="80" spans="1:5">
      <c r="A80" s="2042">
        <v>44340</v>
      </c>
      <c r="B80" s="2510">
        <v>2021</v>
      </c>
      <c r="C80" s="2510">
        <v>5</v>
      </c>
      <c r="D80">
        <v>0.14088000000000001</v>
      </c>
      <c r="E80">
        <f t="shared" si="3"/>
        <v>2021</v>
      </c>
    </row>
    <row r="81" spans="1:5">
      <c r="A81" s="2042">
        <v>44337</v>
      </c>
      <c r="B81" s="2510">
        <v>2021</v>
      </c>
      <c r="C81" s="2510">
        <v>5</v>
      </c>
      <c r="D81">
        <v>0.14699999999999999</v>
      </c>
      <c r="E81">
        <f t="shared" si="3"/>
        <v>2021</v>
      </c>
    </row>
    <row r="82" spans="1:5">
      <c r="A82" s="2042">
        <v>44336</v>
      </c>
      <c r="B82" s="2510">
        <v>2021</v>
      </c>
      <c r="C82" s="2510">
        <v>5</v>
      </c>
      <c r="D82">
        <v>0.15013000000000001</v>
      </c>
      <c r="E82">
        <f t="shared" si="3"/>
        <v>2021</v>
      </c>
    </row>
    <row r="83" spans="1:5">
      <c r="A83" s="2042">
        <v>44335</v>
      </c>
      <c r="B83" s="2510">
        <v>2021</v>
      </c>
      <c r="C83" s="2510">
        <v>5</v>
      </c>
      <c r="D83">
        <v>0.14924999999999999</v>
      </c>
      <c r="E83">
        <f t="shared" si="3"/>
        <v>2021</v>
      </c>
    </row>
    <row r="84" spans="1:5">
      <c r="A84" s="2042">
        <v>44334</v>
      </c>
      <c r="B84" s="2510">
        <v>2021</v>
      </c>
      <c r="C84" s="2510">
        <v>5</v>
      </c>
      <c r="D84">
        <v>0.15525</v>
      </c>
      <c r="E84">
        <f t="shared" si="3"/>
        <v>2021</v>
      </c>
    </row>
    <row r="85" spans="1:5">
      <c r="A85" s="2042">
        <v>44333</v>
      </c>
      <c r="B85" s="2510">
        <v>2021</v>
      </c>
      <c r="C85" s="2510">
        <v>5</v>
      </c>
      <c r="D85">
        <v>0.14963000000000001</v>
      </c>
      <c r="E85">
        <f t="shared" si="3"/>
        <v>2021</v>
      </c>
    </row>
    <row r="86" spans="1:5">
      <c r="A86" s="2042">
        <v>44330</v>
      </c>
      <c r="B86" s="2510">
        <v>2021</v>
      </c>
      <c r="C86" s="2510">
        <v>5</v>
      </c>
      <c r="D86">
        <v>0.15512999999999999</v>
      </c>
      <c r="E86">
        <f t="shared" si="3"/>
        <v>2021</v>
      </c>
    </row>
    <row r="87" spans="1:5">
      <c r="A87" s="2042">
        <v>44329</v>
      </c>
      <c r="B87" s="2510">
        <v>2021</v>
      </c>
      <c r="C87" s="2510">
        <v>5</v>
      </c>
      <c r="D87">
        <v>0.15587999999999999</v>
      </c>
      <c r="E87">
        <f t="shared" si="3"/>
        <v>2021</v>
      </c>
    </row>
    <row r="88" spans="1:5">
      <c r="A88" s="2042">
        <v>44328</v>
      </c>
      <c r="B88" s="2510">
        <v>2021</v>
      </c>
      <c r="C88" s="2510">
        <v>5</v>
      </c>
      <c r="D88">
        <v>0.15412999999999999</v>
      </c>
      <c r="E88">
        <f t="shared" si="3"/>
        <v>2021</v>
      </c>
    </row>
    <row r="89" spans="1:5">
      <c r="A89" s="2042">
        <v>44327</v>
      </c>
      <c r="B89" s="2510">
        <v>2021</v>
      </c>
      <c r="C89" s="2510">
        <v>5</v>
      </c>
      <c r="D89">
        <v>0.16025</v>
      </c>
      <c r="E89">
        <f t="shared" si="3"/>
        <v>2021</v>
      </c>
    </row>
    <row r="90" spans="1:5">
      <c r="A90" s="2042">
        <v>44326</v>
      </c>
      <c r="B90" s="2510">
        <v>2021</v>
      </c>
      <c r="C90" s="2510">
        <v>5</v>
      </c>
      <c r="D90">
        <v>0.16750000000000001</v>
      </c>
      <c r="E90">
        <f t="shared" si="3"/>
        <v>2021</v>
      </c>
    </row>
    <row r="91" spans="1:5">
      <c r="A91" s="2042">
        <v>44323</v>
      </c>
      <c r="B91" s="2510">
        <v>2021</v>
      </c>
      <c r="C91" s="2510">
        <v>5</v>
      </c>
      <c r="D91">
        <v>0.15987999999999999</v>
      </c>
      <c r="E91">
        <f t="shared" si="3"/>
        <v>2021</v>
      </c>
    </row>
    <row r="92" spans="1:5">
      <c r="A92" s="2042">
        <v>44322</v>
      </c>
      <c r="B92" s="2510">
        <v>2021</v>
      </c>
      <c r="C92" s="2510">
        <v>5</v>
      </c>
      <c r="D92">
        <v>0.16200000000000001</v>
      </c>
      <c r="E92">
        <f t="shared" si="3"/>
        <v>2021</v>
      </c>
    </row>
    <row r="93" spans="1:5">
      <c r="A93" s="2042">
        <v>44321</v>
      </c>
      <c r="B93" s="2510">
        <v>2021</v>
      </c>
      <c r="C93" s="2510">
        <v>5</v>
      </c>
      <c r="D93">
        <v>0.16988</v>
      </c>
      <c r="E93">
        <f t="shared" si="3"/>
        <v>2021</v>
      </c>
    </row>
    <row r="94" spans="1:5">
      <c r="A94" s="2042">
        <v>44320</v>
      </c>
      <c r="B94" s="2510">
        <v>2021</v>
      </c>
      <c r="C94" s="2510">
        <v>5</v>
      </c>
      <c r="D94">
        <v>0.17538000000000001</v>
      </c>
      <c r="E94">
        <f t="shared" si="3"/>
        <v>2021</v>
      </c>
    </row>
    <row r="95" spans="1:5">
      <c r="A95" s="2042">
        <v>44316</v>
      </c>
      <c r="B95" s="2510">
        <v>2021</v>
      </c>
      <c r="C95" s="2510">
        <v>4</v>
      </c>
      <c r="D95">
        <v>0.17638000000000001</v>
      </c>
      <c r="E95">
        <f t="shared" si="3"/>
        <v>2021</v>
      </c>
    </row>
    <row r="96" spans="1:5">
      <c r="A96" s="2042">
        <v>44315</v>
      </c>
      <c r="B96" s="2510">
        <v>2021</v>
      </c>
      <c r="C96" s="2510">
        <v>4</v>
      </c>
      <c r="D96">
        <v>0.17563000000000001</v>
      </c>
      <c r="E96">
        <f t="shared" si="3"/>
        <v>2021</v>
      </c>
    </row>
    <row r="97" spans="1:5">
      <c r="A97" s="2042">
        <v>44314</v>
      </c>
      <c r="B97" s="2510">
        <v>2021</v>
      </c>
      <c r="C97" s="2510">
        <v>4</v>
      </c>
      <c r="D97">
        <v>0.1855</v>
      </c>
      <c r="E97">
        <f t="shared" si="3"/>
        <v>2021</v>
      </c>
    </row>
    <row r="98" spans="1:5">
      <c r="A98" s="2042">
        <v>44313</v>
      </c>
      <c r="B98" s="2510">
        <v>2021</v>
      </c>
      <c r="C98" s="2510">
        <v>4</v>
      </c>
      <c r="D98">
        <v>0.17713000000000001</v>
      </c>
      <c r="E98">
        <f t="shared" si="3"/>
        <v>2021</v>
      </c>
    </row>
    <row r="99" spans="1:5">
      <c r="A99" s="2042">
        <v>44312</v>
      </c>
      <c r="B99" s="2510">
        <v>2021</v>
      </c>
      <c r="C99" s="2510">
        <v>4</v>
      </c>
      <c r="D99">
        <v>0.184</v>
      </c>
      <c r="E99">
        <f t="shared" si="3"/>
        <v>2021</v>
      </c>
    </row>
    <row r="100" spans="1:5">
      <c r="A100" s="2042">
        <v>44309</v>
      </c>
      <c r="B100" s="2510">
        <v>2021</v>
      </c>
      <c r="C100" s="2510">
        <v>4</v>
      </c>
      <c r="D100">
        <v>0.18138000000000001</v>
      </c>
      <c r="E100">
        <f t="shared" si="3"/>
        <v>2021</v>
      </c>
    </row>
    <row r="101" spans="1:5">
      <c r="A101" s="2042">
        <v>44308</v>
      </c>
      <c r="B101" s="2510">
        <v>2021</v>
      </c>
      <c r="C101" s="2510">
        <v>4</v>
      </c>
      <c r="D101">
        <v>0.17574999999999999</v>
      </c>
      <c r="E101">
        <f t="shared" si="3"/>
        <v>2021</v>
      </c>
    </row>
    <row r="102" spans="1:5">
      <c r="A102" s="2042">
        <v>44307</v>
      </c>
      <c r="B102" s="2510">
        <v>2021</v>
      </c>
      <c r="C102" s="2510">
        <v>4</v>
      </c>
      <c r="D102">
        <v>0.17288000000000001</v>
      </c>
      <c r="E102">
        <f t="shared" si="3"/>
        <v>2021</v>
      </c>
    </row>
    <row r="103" spans="1:5">
      <c r="A103" s="2042">
        <v>44306</v>
      </c>
      <c r="B103" s="2510">
        <v>2021</v>
      </c>
      <c r="C103" s="2510">
        <v>4</v>
      </c>
      <c r="D103">
        <v>0.18375</v>
      </c>
      <c r="E103">
        <f t="shared" si="3"/>
        <v>2021</v>
      </c>
    </row>
    <row r="104" spans="1:5">
      <c r="A104" s="2042">
        <v>44305</v>
      </c>
      <c r="B104" s="2510">
        <v>2021</v>
      </c>
      <c r="C104" s="2510">
        <v>4</v>
      </c>
      <c r="D104">
        <v>0.186</v>
      </c>
      <c r="E104">
        <f t="shared" si="3"/>
        <v>2021</v>
      </c>
    </row>
    <row r="105" spans="1:5">
      <c r="A105" s="2042">
        <v>44302</v>
      </c>
      <c r="B105" s="2510">
        <v>2021</v>
      </c>
      <c r="C105" s="2510">
        <v>4</v>
      </c>
      <c r="D105">
        <v>0.18825</v>
      </c>
      <c r="E105">
        <f t="shared" si="3"/>
        <v>2021</v>
      </c>
    </row>
    <row r="106" spans="1:5">
      <c r="A106" s="2042">
        <v>44301</v>
      </c>
      <c r="B106" s="2510">
        <v>2021</v>
      </c>
      <c r="C106" s="2510">
        <v>4</v>
      </c>
      <c r="D106">
        <v>0.18975</v>
      </c>
      <c r="E106">
        <f t="shared" si="3"/>
        <v>2021</v>
      </c>
    </row>
    <row r="107" spans="1:5">
      <c r="A107" s="2042">
        <v>44300</v>
      </c>
      <c r="B107" s="2510">
        <v>2021</v>
      </c>
      <c r="C107" s="2510">
        <v>4</v>
      </c>
      <c r="D107">
        <v>0.18362999999999999</v>
      </c>
      <c r="E107">
        <f t="shared" si="3"/>
        <v>2021</v>
      </c>
    </row>
    <row r="108" spans="1:5">
      <c r="A108" s="2042">
        <v>44299</v>
      </c>
      <c r="B108" s="2510">
        <v>2021</v>
      </c>
      <c r="C108" s="2510">
        <v>4</v>
      </c>
      <c r="D108">
        <v>0.18375</v>
      </c>
      <c r="E108">
        <f t="shared" si="3"/>
        <v>2021</v>
      </c>
    </row>
    <row r="109" spans="1:5">
      <c r="A109" s="2042">
        <v>44298</v>
      </c>
      <c r="B109" s="2510">
        <v>2021</v>
      </c>
      <c r="C109" s="2510">
        <v>4</v>
      </c>
      <c r="D109">
        <v>0.18575</v>
      </c>
      <c r="E109">
        <f t="shared" si="3"/>
        <v>2021</v>
      </c>
    </row>
    <row r="110" spans="1:5">
      <c r="A110" s="2042">
        <v>44295</v>
      </c>
      <c r="B110" s="2510">
        <v>2021</v>
      </c>
      <c r="C110" s="2510">
        <v>4</v>
      </c>
      <c r="D110">
        <v>0.1875</v>
      </c>
      <c r="E110">
        <f t="shared" si="3"/>
        <v>2021</v>
      </c>
    </row>
    <row r="111" spans="1:5">
      <c r="A111" s="2042">
        <v>44294</v>
      </c>
      <c r="B111" s="2510">
        <v>2021</v>
      </c>
      <c r="C111" s="2510">
        <v>4</v>
      </c>
      <c r="D111">
        <v>0.18775</v>
      </c>
      <c r="E111">
        <f t="shared" si="3"/>
        <v>2021</v>
      </c>
    </row>
    <row r="112" spans="1:5">
      <c r="A112" s="2042">
        <v>44293</v>
      </c>
      <c r="B112" s="2510">
        <v>2021</v>
      </c>
      <c r="C112" s="2510">
        <v>4</v>
      </c>
      <c r="D112">
        <v>0.19363</v>
      </c>
      <c r="E112">
        <f t="shared" si="3"/>
        <v>2021</v>
      </c>
    </row>
    <row r="113" spans="1:5">
      <c r="A113" s="2042">
        <v>44292</v>
      </c>
      <c r="B113" s="2510">
        <v>2021</v>
      </c>
      <c r="C113" s="2510">
        <v>4</v>
      </c>
      <c r="D113">
        <v>0.19738</v>
      </c>
      <c r="E113">
        <f t="shared" si="3"/>
        <v>2021</v>
      </c>
    </row>
    <row r="114" spans="1:5">
      <c r="A114" s="2042">
        <v>44287</v>
      </c>
      <c r="B114" s="2510">
        <v>2021</v>
      </c>
      <c r="C114" s="2510">
        <v>4</v>
      </c>
      <c r="D114">
        <v>0.19975000000000001</v>
      </c>
      <c r="E114">
        <f t="shared" si="3"/>
        <v>2021</v>
      </c>
    </row>
    <row r="115" spans="1:5">
      <c r="A115" s="2042">
        <v>44286</v>
      </c>
      <c r="B115" s="2510">
        <v>2021</v>
      </c>
      <c r="C115" s="2510">
        <v>3</v>
      </c>
      <c r="D115">
        <v>0.19425000000000001</v>
      </c>
      <c r="E115">
        <f t="shared" si="3"/>
        <v>2021</v>
      </c>
    </row>
    <row r="116" spans="1:5">
      <c r="A116" s="2042">
        <v>44285</v>
      </c>
      <c r="B116" s="2510">
        <v>2021</v>
      </c>
      <c r="C116" s="2510">
        <v>3</v>
      </c>
      <c r="D116">
        <v>0.20163</v>
      </c>
      <c r="E116">
        <f t="shared" si="3"/>
        <v>2021</v>
      </c>
    </row>
    <row r="117" spans="1:5">
      <c r="A117" s="2042">
        <v>44284</v>
      </c>
      <c r="B117" s="2510">
        <v>2021</v>
      </c>
      <c r="C117" s="2510">
        <v>3</v>
      </c>
      <c r="D117">
        <v>0.20250000000000001</v>
      </c>
      <c r="E117">
        <f t="shared" si="3"/>
        <v>2021</v>
      </c>
    </row>
    <row r="118" spans="1:5">
      <c r="A118" s="2042">
        <v>44281</v>
      </c>
      <c r="B118" s="2510">
        <v>2021</v>
      </c>
      <c r="C118" s="2510">
        <v>3</v>
      </c>
      <c r="D118">
        <v>0.19900000000000001</v>
      </c>
      <c r="E118">
        <f t="shared" si="3"/>
        <v>2021</v>
      </c>
    </row>
    <row r="119" spans="1:5">
      <c r="A119" s="2042">
        <v>44280</v>
      </c>
      <c r="B119" s="2510">
        <v>2021</v>
      </c>
      <c r="C119" s="2510">
        <v>3</v>
      </c>
      <c r="D119">
        <v>0.193</v>
      </c>
      <c r="E119">
        <f t="shared" si="3"/>
        <v>2021</v>
      </c>
    </row>
    <row r="120" spans="1:5">
      <c r="A120" s="2042">
        <v>44279</v>
      </c>
      <c r="B120" s="2510">
        <v>2021</v>
      </c>
      <c r="C120" s="2510">
        <v>3</v>
      </c>
      <c r="D120">
        <v>0.19513</v>
      </c>
      <c r="E120">
        <f t="shared" si="3"/>
        <v>2021</v>
      </c>
    </row>
    <row r="121" spans="1:5">
      <c r="A121" s="2042">
        <v>44278</v>
      </c>
      <c r="B121" s="2510">
        <v>2021</v>
      </c>
      <c r="C121" s="2510">
        <v>3</v>
      </c>
      <c r="D121">
        <v>0.20063</v>
      </c>
      <c r="E121">
        <f t="shared" si="3"/>
        <v>2021</v>
      </c>
    </row>
    <row r="122" spans="1:5">
      <c r="A122" s="2042">
        <v>44277</v>
      </c>
      <c r="B122" s="2510">
        <v>2021</v>
      </c>
      <c r="C122" s="2510">
        <v>3</v>
      </c>
      <c r="D122">
        <v>0.1905</v>
      </c>
      <c r="E122">
        <f t="shared" si="3"/>
        <v>2021</v>
      </c>
    </row>
    <row r="123" spans="1:5">
      <c r="A123" s="2042">
        <v>44274</v>
      </c>
      <c r="B123" s="2510">
        <v>2021</v>
      </c>
      <c r="C123" s="2510">
        <v>3</v>
      </c>
      <c r="D123">
        <v>0.19688</v>
      </c>
      <c r="E123">
        <f t="shared" si="3"/>
        <v>2021</v>
      </c>
    </row>
    <row r="124" spans="1:5">
      <c r="A124" s="2042">
        <v>44273</v>
      </c>
      <c r="B124" s="2510">
        <v>2021</v>
      </c>
      <c r="C124" s="2510">
        <v>3</v>
      </c>
      <c r="D124">
        <v>0.18662999999999999</v>
      </c>
      <c r="E124">
        <f t="shared" si="3"/>
        <v>2021</v>
      </c>
    </row>
    <row r="125" spans="1:5">
      <c r="A125" s="2042">
        <v>44272</v>
      </c>
      <c r="B125" s="2510">
        <v>2021</v>
      </c>
      <c r="C125" s="2510">
        <v>3</v>
      </c>
      <c r="D125">
        <v>0.18962999999999999</v>
      </c>
      <c r="E125">
        <f t="shared" si="3"/>
        <v>2021</v>
      </c>
    </row>
    <row r="126" spans="1:5">
      <c r="A126" s="2042">
        <v>44271</v>
      </c>
      <c r="B126" s="2510">
        <v>2021</v>
      </c>
      <c r="C126" s="2510">
        <v>3</v>
      </c>
      <c r="D126">
        <v>0.19</v>
      </c>
      <c r="E126">
        <f t="shared" si="3"/>
        <v>2021</v>
      </c>
    </row>
    <row r="127" spans="1:5">
      <c r="A127" s="2042">
        <v>44270</v>
      </c>
      <c r="B127" s="2510">
        <v>2021</v>
      </c>
      <c r="C127" s="2510">
        <v>3</v>
      </c>
      <c r="D127">
        <v>0.182</v>
      </c>
      <c r="E127">
        <f t="shared" si="3"/>
        <v>2021</v>
      </c>
    </row>
    <row r="128" spans="1:5">
      <c r="A128" s="2042">
        <v>44267</v>
      </c>
      <c r="B128" s="2510">
        <v>2021</v>
      </c>
      <c r="C128" s="2510">
        <v>3</v>
      </c>
      <c r="D128">
        <v>0.1895</v>
      </c>
      <c r="E128">
        <f t="shared" si="3"/>
        <v>2021</v>
      </c>
    </row>
    <row r="129" spans="1:5">
      <c r="A129" s="2042">
        <v>44266</v>
      </c>
      <c r="B129" s="2510">
        <v>2021</v>
      </c>
      <c r="C129" s="2510">
        <v>3</v>
      </c>
      <c r="D129">
        <v>0.18387999999999999</v>
      </c>
      <c r="E129">
        <f t="shared" si="3"/>
        <v>2021</v>
      </c>
    </row>
    <row r="130" spans="1:5">
      <c r="A130" s="2042">
        <v>44265</v>
      </c>
      <c r="B130" s="2510">
        <v>2021</v>
      </c>
      <c r="C130" s="2510">
        <v>3</v>
      </c>
      <c r="D130">
        <v>0.18412999999999999</v>
      </c>
      <c r="E130">
        <f t="shared" si="3"/>
        <v>2021</v>
      </c>
    </row>
    <row r="131" spans="1:5">
      <c r="A131" s="2042">
        <v>44264</v>
      </c>
      <c r="B131" s="2510">
        <v>2021</v>
      </c>
      <c r="C131" s="2510">
        <v>3</v>
      </c>
      <c r="D131">
        <v>0.17724999999999999</v>
      </c>
      <c r="E131">
        <f t="shared" si="3"/>
        <v>2021</v>
      </c>
    </row>
    <row r="132" spans="1:5">
      <c r="A132" s="2042">
        <v>44263</v>
      </c>
      <c r="B132" s="2510">
        <v>2021</v>
      </c>
      <c r="C132" s="2510">
        <v>3</v>
      </c>
      <c r="D132">
        <v>0.1825</v>
      </c>
      <c r="E132">
        <f t="shared" ref="E132:E195" si="4">YEAR(A132)</f>
        <v>2021</v>
      </c>
    </row>
    <row r="133" spans="1:5">
      <c r="A133" s="2042">
        <v>44260</v>
      </c>
      <c r="B133" s="2510">
        <v>2021</v>
      </c>
      <c r="C133" s="2510">
        <v>3</v>
      </c>
      <c r="D133">
        <v>0.18537999999999999</v>
      </c>
      <c r="E133">
        <f t="shared" si="4"/>
        <v>2021</v>
      </c>
    </row>
    <row r="134" spans="1:5">
      <c r="A134" s="2042">
        <v>44259</v>
      </c>
      <c r="B134" s="2510">
        <v>2021</v>
      </c>
      <c r="C134" s="2510">
        <v>3</v>
      </c>
      <c r="D134">
        <v>0.17549999999999999</v>
      </c>
      <c r="E134">
        <f t="shared" si="4"/>
        <v>2021</v>
      </c>
    </row>
    <row r="135" spans="1:5">
      <c r="A135" s="2042">
        <v>44258</v>
      </c>
      <c r="B135" s="2510">
        <v>2021</v>
      </c>
      <c r="C135" s="2510">
        <v>3</v>
      </c>
      <c r="D135">
        <v>0.19375000000000001</v>
      </c>
      <c r="E135">
        <f t="shared" si="4"/>
        <v>2021</v>
      </c>
    </row>
    <row r="136" spans="1:5">
      <c r="A136" s="2042">
        <v>44257</v>
      </c>
      <c r="B136" s="2510">
        <v>2021</v>
      </c>
      <c r="C136" s="2510">
        <v>3</v>
      </c>
      <c r="D136">
        <v>0.18337999999999999</v>
      </c>
      <c r="E136">
        <f t="shared" si="4"/>
        <v>2021</v>
      </c>
    </row>
    <row r="137" spans="1:5">
      <c r="A137" s="2042">
        <v>44256</v>
      </c>
      <c r="B137" s="2510">
        <v>2021</v>
      </c>
      <c r="C137" s="2510">
        <v>3</v>
      </c>
      <c r="D137">
        <v>0.18425</v>
      </c>
      <c r="E137">
        <f t="shared" si="4"/>
        <v>2021</v>
      </c>
    </row>
    <row r="138" spans="1:5">
      <c r="A138" s="2042">
        <v>44253</v>
      </c>
      <c r="B138" s="2510">
        <v>2021</v>
      </c>
      <c r="C138" s="2510">
        <v>2</v>
      </c>
      <c r="D138">
        <v>0.18837999999999999</v>
      </c>
      <c r="E138">
        <f t="shared" si="4"/>
        <v>2021</v>
      </c>
    </row>
    <row r="139" spans="1:5">
      <c r="A139" s="2042">
        <v>44252</v>
      </c>
      <c r="B139" s="2510">
        <v>2021</v>
      </c>
      <c r="C139" s="2510">
        <v>2</v>
      </c>
      <c r="D139">
        <v>0.1905</v>
      </c>
      <c r="E139">
        <f t="shared" si="4"/>
        <v>2021</v>
      </c>
    </row>
    <row r="140" spans="1:5">
      <c r="A140" s="2042">
        <v>44251</v>
      </c>
      <c r="B140" s="2510">
        <v>2021</v>
      </c>
      <c r="C140" s="2510">
        <v>2</v>
      </c>
      <c r="D140">
        <v>0.18975</v>
      </c>
      <c r="E140">
        <f t="shared" si="4"/>
        <v>2021</v>
      </c>
    </row>
    <row r="141" spans="1:5">
      <c r="A141" s="2042">
        <v>44250</v>
      </c>
      <c r="B141" s="2510">
        <v>2021</v>
      </c>
      <c r="C141" s="2510">
        <v>2</v>
      </c>
      <c r="D141">
        <v>0.1875</v>
      </c>
      <c r="E141">
        <f t="shared" si="4"/>
        <v>2021</v>
      </c>
    </row>
    <row r="142" spans="1:5">
      <c r="A142" s="2042">
        <v>44249</v>
      </c>
      <c r="B142" s="2510">
        <v>2021</v>
      </c>
      <c r="C142" s="2510">
        <v>2</v>
      </c>
      <c r="D142">
        <v>0.17549999999999999</v>
      </c>
      <c r="E142">
        <f t="shared" si="4"/>
        <v>2021</v>
      </c>
    </row>
    <row r="143" spans="1:5">
      <c r="A143" s="2042">
        <v>44246</v>
      </c>
      <c r="B143" s="2510">
        <v>2021</v>
      </c>
      <c r="C143" s="2510">
        <v>2</v>
      </c>
      <c r="D143">
        <v>0.17524999999999999</v>
      </c>
      <c r="E143">
        <f t="shared" si="4"/>
        <v>2021</v>
      </c>
    </row>
    <row r="144" spans="1:5">
      <c r="A144" s="2042">
        <v>44245</v>
      </c>
      <c r="B144" s="2510">
        <v>2021</v>
      </c>
      <c r="C144" s="2510">
        <v>2</v>
      </c>
      <c r="D144">
        <v>0.18237999999999999</v>
      </c>
      <c r="E144">
        <f t="shared" si="4"/>
        <v>2021</v>
      </c>
    </row>
    <row r="145" spans="1:5">
      <c r="A145" s="2042">
        <v>44244</v>
      </c>
      <c r="B145" s="2510">
        <v>2021</v>
      </c>
      <c r="C145" s="2510">
        <v>2</v>
      </c>
      <c r="D145">
        <v>0.18138000000000001</v>
      </c>
      <c r="E145">
        <f t="shared" si="4"/>
        <v>2021</v>
      </c>
    </row>
    <row r="146" spans="1:5">
      <c r="A146" s="2042">
        <v>44243</v>
      </c>
      <c r="B146" s="2510">
        <v>2021</v>
      </c>
      <c r="C146" s="2510">
        <v>2</v>
      </c>
      <c r="D146">
        <v>0.18862999999999999</v>
      </c>
      <c r="E146">
        <f t="shared" si="4"/>
        <v>2021</v>
      </c>
    </row>
    <row r="147" spans="1:5">
      <c r="A147" s="2042">
        <v>44242</v>
      </c>
      <c r="B147" s="2510">
        <v>2021</v>
      </c>
      <c r="C147" s="2510">
        <v>2</v>
      </c>
      <c r="D147">
        <v>0.1915</v>
      </c>
      <c r="E147">
        <f t="shared" si="4"/>
        <v>2021</v>
      </c>
    </row>
    <row r="148" spans="1:5">
      <c r="A148" s="2042">
        <v>44239</v>
      </c>
      <c r="B148" s="2510">
        <v>2021</v>
      </c>
      <c r="C148" s="2510">
        <v>2</v>
      </c>
      <c r="D148">
        <v>0.19375000000000001</v>
      </c>
      <c r="E148">
        <f t="shared" si="4"/>
        <v>2021</v>
      </c>
    </row>
    <row r="149" spans="1:5">
      <c r="A149" s="2042">
        <v>44238</v>
      </c>
      <c r="B149" s="2510">
        <v>2021</v>
      </c>
      <c r="C149" s="2510">
        <v>2</v>
      </c>
      <c r="D149">
        <v>0.19763</v>
      </c>
      <c r="E149">
        <f t="shared" si="4"/>
        <v>2021</v>
      </c>
    </row>
    <row r="150" spans="1:5">
      <c r="A150" s="2042">
        <v>44237</v>
      </c>
      <c r="B150" s="2510">
        <v>2021</v>
      </c>
      <c r="C150" s="2510">
        <v>2</v>
      </c>
      <c r="D150">
        <v>0.20088</v>
      </c>
      <c r="E150">
        <f t="shared" si="4"/>
        <v>2021</v>
      </c>
    </row>
    <row r="151" spans="1:5">
      <c r="A151" s="2042">
        <v>44236</v>
      </c>
      <c r="B151" s="2510">
        <v>2021</v>
      </c>
      <c r="C151" s="2510">
        <v>2</v>
      </c>
      <c r="D151">
        <v>0.20250000000000001</v>
      </c>
      <c r="E151">
        <f t="shared" si="4"/>
        <v>2021</v>
      </c>
    </row>
    <row r="152" spans="1:5">
      <c r="A152" s="2042">
        <v>44235</v>
      </c>
      <c r="B152" s="2510">
        <v>2021</v>
      </c>
      <c r="C152" s="2510">
        <v>2</v>
      </c>
      <c r="D152">
        <v>0.19538</v>
      </c>
      <c r="E152">
        <f t="shared" si="4"/>
        <v>2021</v>
      </c>
    </row>
    <row r="153" spans="1:5">
      <c r="A153" s="2042">
        <v>44232</v>
      </c>
      <c r="B153" s="2510">
        <v>2021</v>
      </c>
      <c r="C153" s="2510">
        <v>2</v>
      </c>
      <c r="D153">
        <v>0.19087999999999999</v>
      </c>
      <c r="E153">
        <f t="shared" si="4"/>
        <v>2021</v>
      </c>
    </row>
    <row r="154" spans="1:5">
      <c r="A154" s="2042">
        <v>44231</v>
      </c>
      <c r="B154" s="2510">
        <v>2021</v>
      </c>
      <c r="C154" s="2510">
        <v>2</v>
      </c>
      <c r="D154">
        <v>0.19263</v>
      </c>
      <c r="E154">
        <f t="shared" si="4"/>
        <v>2021</v>
      </c>
    </row>
    <row r="155" spans="1:5">
      <c r="A155" s="2042">
        <v>44230</v>
      </c>
      <c r="B155" s="2510">
        <v>2021</v>
      </c>
      <c r="C155" s="2510">
        <v>2</v>
      </c>
      <c r="D155">
        <v>0.19513</v>
      </c>
      <c r="E155">
        <f t="shared" si="4"/>
        <v>2021</v>
      </c>
    </row>
    <row r="156" spans="1:5">
      <c r="A156" s="2042">
        <v>44229</v>
      </c>
      <c r="B156" s="2510">
        <v>2021</v>
      </c>
      <c r="C156" s="2510">
        <v>2</v>
      </c>
      <c r="D156">
        <v>0.19225</v>
      </c>
      <c r="E156">
        <f t="shared" si="4"/>
        <v>2021</v>
      </c>
    </row>
    <row r="157" spans="1:5">
      <c r="A157" s="2042">
        <v>44228</v>
      </c>
      <c r="B157" s="2510">
        <v>2021</v>
      </c>
      <c r="C157" s="2510">
        <v>2</v>
      </c>
      <c r="D157">
        <v>0.19550000000000001</v>
      </c>
      <c r="E157">
        <f t="shared" si="4"/>
        <v>2021</v>
      </c>
    </row>
    <row r="158" spans="1:5">
      <c r="A158" s="2042">
        <v>44225</v>
      </c>
      <c r="B158" s="2510">
        <v>2021</v>
      </c>
      <c r="C158" s="2510">
        <v>1</v>
      </c>
      <c r="D158">
        <v>0.20188</v>
      </c>
      <c r="E158">
        <f t="shared" si="4"/>
        <v>2021</v>
      </c>
    </row>
    <row r="159" spans="1:5">
      <c r="A159" s="2042">
        <v>44224</v>
      </c>
      <c r="B159" s="2510">
        <v>2021</v>
      </c>
      <c r="C159" s="2510">
        <v>1</v>
      </c>
      <c r="D159">
        <v>0.20499999999999999</v>
      </c>
      <c r="E159">
        <f t="shared" si="4"/>
        <v>2021</v>
      </c>
    </row>
    <row r="160" spans="1:5">
      <c r="A160" s="2042">
        <v>44223</v>
      </c>
      <c r="B160" s="2510">
        <v>2021</v>
      </c>
      <c r="C160" s="2510">
        <v>1</v>
      </c>
      <c r="D160">
        <v>0.21149999999999999</v>
      </c>
      <c r="E160">
        <f t="shared" si="4"/>
        <v>2021</v>
      </c>
    </row>
    <row r="161" spans="1:5">
      <c r="A161" s="2042">
        <v>44222</v>
      </c>
      <c r="B161" s="2510">
        <v>2021</v>
      </c>
      <c r="C161" s="2510">
        <v>1</v>
      </c>
      <c r="D161">
        <v>0.2185</v>
      </c>
      <c r="E161">
        <f t="shared" si="4"/>
        <v>2021</v>
      </c>
    </row>
    <row r="162" spans="1:5">
      <c r="A162" s="2042">
        <v>44221</v>
      </c>
      <c r="B162" s="2510">
        <v>2021</v>
      </c>
      <c r="C162" s="2510">
        <v>1</v>
      </c>
      <c r="D162">
        <v>0.21288000000000001</v>
      </c>
      <c r="E162">
        <f t="shared" si="4"/>
        <v>2021</v>
      </c>
    </row>
    <row r="163" spans="1:5">
      <c r="A163" s="2042">
        <v>44218</v>
      </c>
      <c r="B163" s="2510">
        <v>2021</v>
      </c>
      <c r="C163" s="2510">
        <v>1</v>
      </c>
      <c r="D163">
        <v>0.21525</v>
      </c>
      <c r="E163">
        <f t="shared" si="4"/>
        <v>2021</v>
      </c>
    </row>
    <row r="164" spans="1:5">
      <c r="A164" s="2042">
        <v>44217</v>
      </c>
      <c r="B164" s="2510">
        <v>2021</v>
      </c>
      <c r="C164" s="2510">
        <v>1</v>
      </c>
      <c r="D164">
        <v>0.21775</v>
      </c>
      <c r="E164">
        <f t="shared" si="4"/>
        <v>2021</v>
      </c>
    </row>
    <row r="165" spans="1:5">
      <c r="A165" s="2042">
        <v>44216</v>
      </c>
      <c r="B165" s="2510">
        <v>2021</v>
      </c>
      <c r="C165" s="2510">
        <v>1</v>
      </c>
      <c r="D165">
        <v>0.22237999999999999</v>
      </c>
      <c r="E165">
        <f t="shared" si="4"/>
        <v>2021</v>
      </c>
    </row>
    <row r="166" spans="1:5">
      <c r="A166" s="2042">
        <v>44215</v>
      </c>
      <c r="B166" s="2510">
        <v>2021</v>
      </c>
      <c r="C166" s="2510">
        <v>1</v>
      </c>
      <c r="D166">
        <v>0.22363</v>
      </c>
      <c r="E166">
        <f t="shared" si="4"/>
        <v>2021</v>
      </c>
    </row>
    <row r="167" spans="1:5">
      <c r="A167" s="2042">
        <v>44214</v>
      </c>
      <c r="B167" s="2510">
        <v>2021</v>
      </c>
      <c r="C167" s="2510">
        <v>1</v>
      </c>
      <c r="D167">
        <v>0.224</v>
      </c>
      <c r="E167">
        <f t="shared" si="4"/>
        <v>2021</v>
      </c>
    </row>
    <row r="168" spans="1:5">
      <c r="A168" s="2042">
        <v>44211</v>
      </c>
      <c r="B168" s="2510">
        <v>2021</v>
      </c>
      <c r="C168" s="2510">
        <v>1</v>
      </c>
      <c r="D168">
        <v>0.22338</v>
      </c>
      <c r="E168">
        <f t="shared" si="4"/>
        <v>2021</v>
      </c>
    </row>
    <row r="169" spans="1:5">
      <c r="A169" s="2042">
        <v>44210</v>
      </c>
      <c r="B169" s="2510">
        <v>2021</v>
      </c>
      <c r="C169" s="2510">
        <v>1</v>
      </c>
      <c r="D169">
        <v>0.22563</v>
      </c>
      <c r="E169">
        <f t="shared" si="4"/>
        <v>2021</v>
      </c>
    </row>
    <row r="170" spans="1:5">
      <c r="A170" s="2042">
        <v>44209</v>
      </c>
      <c r="B170" s="2510">
        <v>2021</v>
      </c>
      <c r="C170" s="2510">
        <v>1</v>
      </c>
      <c r="D170">
        <v>0.24124999999999999</v>
      </c>
      <c r="E170">
        <f t="shared" si="4"/>
        <v>2021</v>
      </c>
    </row>
    <row r="171" spans="1:5">
      <c r="A171" s="2042">
        <v>44208</v>
      </c>
      <c r="B171" s="2510">
        <v>2021</v>
      </c>
      <c r="C171" s="2510">
        <v>1</v>
      </c>
      <c r="D171">
        <v>0.23375000000000001</v>
      </c>
      <c r="E171">
        <f t="shared" si="4"/>
        <v>2021</v>
      </c>
    </row>
    <row r="172" spans="1:5">
      <c r="A172" s="2042">
        <v>44207</v>
      </c>
      <c r="B172" s="2510">
        <v>2021</v>
      </c>
      <c r="C172" s="2510">
        <v>1</v>
      </c>
      <c r="D172">
        <v>0.22450000000000001</v>
      </c>
      <c r="E172">
        <f t="shared" si="4"/>
        <v>2021</v>
      </c>
    </row>
    <row r="173" spans="1:5">
      <c r="A173" s="2042">
        <v>44204</v>
      </c>
      <c r="B173" s="2510">
        <v>2021</v>
      </c>
      <c r="C173" s="2510">
        <v>1</v>
      </c>
      <c r="D173">
        <v>0.22438</v>
      </c>
      <c r="E173">
        <f t="shared" si="4"/>
        <v>2021</v>
      </c>
    </row>
    <row r="174" spans="1:5">
      <c r="A174" s="2042">
        <v>44203</v>
      </c>
      <c r="B174" s="2510">
        <v>2021</v>
      </c>
      <c r="C174" s="2510">
        <v>1</v>
      </c>
      <c r="D174">
        <v>0.22475000000000001</v>
      </c>
      <c r="E174">
        <f t="shared" si="4"/>
        <v>2021</v>
      </c>
    </row>
    <row r="175" spans="1:5">
      <c r="A175" s="2042">
        <v>44202</v>
      </c>
      <c r="B175" s="2510">
        <v>2021</v>
      </c>
      <c r="C175" s="2510">
        <v>1</v>
      </c>
      <c r="D175">
        <v>0.23400000000000001</v>
      </c>
      <c r="E175">
        <f t="shared" si="4"/>
        <v>2021</v>
      </c>
    </row>
    <row r="176" spans="1:5">
      <c r="A176" s="2042">
        <v>44201</v>
      </c>
      <c r="B176" s="2510">
        <v>2021</v>
      </c>
      <c r="C176" s="2510">
        <v>1</v>
      </c>
      <c r="D176">
        <v>0.23688000000000001</v>
      </c>
      <c r="E176">
        <f t="shared" si="4"/>
        <v>2021</v>
      </c>
    </row>
    <row r="177" spans="1:5">
      <c r="A177" s="2042">
        <v>44200</v>
      </c>
      <c r="B177" s="2510">
        <v>2021</v>
      </c>
      <c r="C177" s="2510">
        <v>1</v>
      </c>
      <c r="D177">
        <v>0.23724999999999999</v>
      </c>
      <c r="E177">
        <f t="shared" si="4"/>
        <v>2021</v>
      </c>
    </row>
    <row r="178" spans="1:5">
      <c r="A178" s="2042">
        <v>44196</v>
      </c>
      <c r="B178" s="2510">
        <v>2020</v>
      </c>
      <c r="C178" s="2510">
        <v>12</v>
      </c>
      <c r="D178">
        <v>0.23838000000000001</v>
      </c>
      <c r="E178">
        <f t="shared" si="4"/>
        <v>2020</v>
      </c>
    </row>
    <row r="179" spans="1:5">
      <c r="A179" s="2042">
        <v>44195</v>
      </c>
      <c r="B179" s="2510">
        <v>2020</v>
      </c>
      <c r="C179" s="2510">
        <v>12</v>
      </c>
      <c r="D179">
        <v>0.23749999999999999</v>
      </c>
      <c r="E179">
        <f t="shared" si="4"/>
        <v>2020</v>
      </c>
    </row>
    <row r="180" spans="1:5">
      <c r="A180" s="2042">
        <v>44194</v>
      </c>
      <c r="B180" s="2510">
        <v>2020</v>
      </c>
      <c r="C180" s="2510">
        <v>12</v>
      </c>
      <c r="D180">
        <v>0.25387999999999999</v>
      </c>
      <c r="E180">
        <f t="shared" si="4"/>
        <v>2020</v>
      </c>
    </row>
    <row r="181" spans="1:5">
      <c r="A181" s="2042">
        <v>44189</v>
      </c>
      <c r="B181" s="2510">
        <v>2020</v>
      </c>
      <c r="C181" s="2510">
        <v>12</v>
      </c>
      <c r="D181">
        <v>0.24013000000000001</v>
      </c>
      <c r="E181">
        <f t="shared" si="4"/>
        <v>2020</v>
      </c>
    </row>
    <row r="182" spans="1:5">
      <c r="A182" s="2042">
        <v>44188</v>
      </c>
      <c r="B182" s="2510">
        <v>2020</v>
      </c>
      <c r="C182" s="2510">
        <v>12</v>
      </c>
      <c r="D182">
        <v>0.251</v>
      </c>
      <c r="E182">
        <f t="shared" si="4"/>
        <v>2020</v>
      </c>
    </row>
    <row r="183" spans="1:5">
      <c r="A183" s="2042">
        <v>44187</v>
      </c>
      <c r="B183" s="2510">
        <v>2020</v>
      </c>
      <c r="C183" s="2510">
        <v>12</v>
      </c>
      <c r="D183">
        <v>0.23813000000000001</v>
      </c>
      <c r="E183">
        <f t="shared" si="4"/>
        <v>2020</v>
      </c>
    </row>
    <row r="184" spans="1:5">
      <c r="A184" s="2042">
        <v>44186</v>
      </c>
      <c r="B184" s="2510">
        <v>2020</v>
      </c>
      <c r="C184" s="2510">
        <v>12</v>
      </c>
      <c r="D184">
        <v>0.24487999999999999</v>
      </c>
      <c r="E184">
        <f t="shared" si="4"/>
        <v>2020</v>
      </c>
    </row>
    <row r="185" spans="1:5">
      <c r="A185" s="2042">
        <v>44183</v>
      </c>
      <c r="B185" s="2510">
        <v>2020</v>
      </c>
      <c r="C185" s="2510">
        <v>12</v>
      </c>
      <c r="D185">
        <v>0.23574999999999999</v>
      </c>
      <c r="E185">
        <f t="shared" si="4"/>
        <v>2020</v>
      </c>
    </row>
    <row r="186" spans="1:5">
      <c r="A186" s="2042">
        <v>44182</v>
      </c>
      <c r="B186" s="2510">
        <v>2020</v>
      </c>
      <c r="C186" s="2510">
        <v>12</v>
      </c>
      <c r="D186">
        <v>0.23863000000000001</v>
      </c>
      <c r="E186">
        <f t="shared" si="4"/>
        <v>2020</v>
      </c>
    </row>
    <row r="187" spans="1:5">
      <c r="A187" s="2042">
        <v>44181</v>
      </c>
      <c r="B187" s="2510">
        <v>2020</v>
      </c>
      <c r="C187" s="2510">
        <v>12</v>
      </c>
      <c r="D187">
        <v>0.23638000000000001</v>
      </c>
      <c r="E187">
        <f t="shared" si="4"/>
        <v>2020</v>
      </c>
    </row>
    <row r="188" spans="1:5">
      <c r="A188" s="2042">
        <v>44180</v>
      </c>
      <c r="B188" s="2510">
        <v>2020</v>
      </c>
      <c r="C188" s="2510">
        <v>12</v>
      </c>
      <c r="D188">
        <v>0.22875000000000001</v>
      </c>
      <c r="E188">
        <f t="shared" si="4"/>
        <v>2020</v>
      </c>
    </row>
    <row r="189" spans="1:5">
      <c r="A189" s="2042">
        <v>44179</v>
      </c>
      <c r="B189" s="2510">
        <v>2020</v>
      </c>
      <c r="C189" s="2510">
        <v>12</v>
      </c>
      <c r="D189">
        <v>0.21925</v>
      </c>
      <c r="E189">
        <f t="shared" si="4"/>
        <v>2020</v>
      </c>
    </row>
    <row r="190" spans="1:5">
      <c r="A190" s="2042">
        <v>44176</v>
      </c>
      <c r="B190" s="2510">
        <v>2020</v>
      </c>
      <c r="C190" s="2510">
        <v>12</v>
      </c>
      <c r="D190">
        <v>0.2165</v>
      </c>
      <c r="E190">
        <f t="shared" si="4"/>
        <v>2020</v>
      </c>
    </row>
    <row r="191" spans="1:5">
      <c r="A191" s="2042">
        <v>44175</v>
      </c>
      <c r="B191" s="2510">
        <v>2020</v>
      </c>
      <c r="C191" s="2510">
        <v>12</v>
      </c>
      <c r="D191">
        <v>0.2195</v>
      </c>
      <c r="E191">
        <f t="shared" si="4"/>
        <v>2020</v>
      </c>
    </row>
    <row r="192" spans="1:5">
      <c r="A192" s="2042">
        <v>44174</v>
      </c>
      <c r="B192" s="2510">
        <v>2020</v>
      </c>
      <c r="C192" s="2510">
        <v>12</v>
      </c>
      <c r="D192">
        <v>0.22062999999999999</v>
      </c>
      <c r="E192">
        <f t="shared" si="4"/>
        <v>2020</v>
      </c>
    </row>
    <row r="193" spans="1:5">
      <c r="A193" s="2042">
        <v>44173</v>
      </c>
      <c r="B193" s="2510">
        <v>2020</v>
      </c>
      <c r="C193" s="2510">
        <v>12</v>
      </c>
      <c r="D193">
        <v>0.23</v>
      </c>
      <c r="E193">
        <f t="shared" si="4"/>
        <v>2020</v>
      </c>
    </row>
    <row r="194" spans="1:5">
      <c r="A194" s="2042">
        <v>44172</v>
      </c>
      <c r="B194" s="2510">
        <v>2020</v>
      </c>
      <c r="C194" s="2510">
        <v>12</v>
      </c>
      <c r="D194">
        <v>0.23038</v>
      </c>
      <c r="E194">
        <f t="shared" si="4"/>
        <v>2020</v>
      </c>
    </row>
    <row r="195" spans="1:5">
      <c r="A195" s="2042">
        <v>44169</v>
      </c>
      <c r="B195" s="2510">
        <v>2020</v>
      </c>
      <c r="C195" s="2510">
        <v>12</v>
      </c>
      <c r="D195">
        <v>0.22588</v>
      </c>
      <c r="E195">
        <f t="shared" si="4"/>
        <v>2020</v>
      </c>
    </row>
    <row r="196" spans="1:5">
      <c r="A196" s="2042">
        <v>44168</v>
      </c>
      <c r="B196" s="2510">
        <v>2020</v>
      </c>
      <c r="C196" s="2510">
        <v>12</v>
      </c>
      <c r="D196">
        <v>0.22538</v>
      </c>
      <c r="E196">
        <f t="shared" ref="E196:E259" si="5">YEAR(A196)</f>
        <v>2020</v>
      </c>
    </row>
    <row r="197" spans="1:5">
      <c r="A197" s="2042">
        <v>44167</v>
      </c>
      <c r="B197" s="2510">
        <v>2020</v>
      </c>
      <c r="C197" s="2510">
        <v>12</v>
      </c>
      <c r="D197">
        <v>0.23050000000000001</v>
      </c>
      <c r="E197">
        <f t="shared" si="5"/>
        <v>2020</v>
      </c>
    </row>
    <row r="198" spans="1:5">
      <c r="A198" s="2042">
        <v>44166</v>
      </c>
      <c r="B198" s="2510">
        <v>2020</v>
      </c>
      <c r="C198" s="2510">
        <v>12</v>
      </c>
      <c r="D198">
        <v>0.23200000000000001</v>
      </c>
      <c r="E198">
        <f t="shared" si="5"/>
        <v>2020</v>
      </c>
    </row>
    <row r="199" spans="1:5">
      <c r="A199" s="2042">
        <v>44165</v>
      </c>
      <c r="B199" s="2510">
        <v>2020</v>
      </c>
      <c r="C199" s="2510">
        <v>11</v>
      </c>
      <c r="D199">
        <v>0.22763</v>
      </c>
      <c r="E199">
        <f t="shared" si="5"/>
        <v>2020</v>
      </c>
    </row>
    <row r="200" spans="1:5">
      <c r="A200" s="2042">
        <v>44162</v>
      </c>
      <c r="B200" s="2510">
        <v>2020</v>
      </c>
      <c r="C200" s="2510">
        <v>11</v>
      </c>
      <c r="D200">
        <v>0.22538</v>
      </c>
      <c r="E200">
        <f t="shared" si="5"/>
        <v>2020</v>
      </c>
    </row>
    <row r="201" spans="1:5">
      <c r="A201" s="2042">
        <v>44161</v>
      </c>
      <c r="B201" s="2510">
        <v>2020</v>
      </c>
      <c r="C201" s="2510">
        <v>11</v>
      </c>
      <c r="D201">
        <v>0.22438</v>
      </c>
      <c r="E201">
        <f t="shared" si="5"/>
        <v>2020</v>
      </c>
    </row>
    <row r="202" spans="1:5">
      <c r="A202" s="2042">
        <v>44160</v>
      </c>
      <c r="B202" s="2510">
        <v>2020</v>
      </c>
      <c r="C202" s="2510">
        <v>11</v>
      </c>
      <c r="D202">
        <v>0.23300000000000001</v>
      </c>
      <c r="E202">
        <f t="shared" si="5"/>
        <v>2020</v>
      </c>
    </row>
    <row r="203" spans="1:5">
      <c r="A203" s="2042">
        <v>44159</v>
      </c>
      <c r="B203" s="2510">
        <v>2020</v>
      </c>
      <c r="C203" s="2510">
        <v>11</v>
      </c>
      <c r="D203">
        <v>0.23225000000000001</v>
      </c>
      <c r="E203">
        <f t="shared" si="5"/>
        <v>2020</v>
      </c>
    </row>
    <row r="204" spans="1:5">
      <c r="A204" s="2042">
        <v>44158</v>
      </c>
      <c r="B204" s="2510">
        <v>2020</v>
      </c>
      <c r="C204" s="2510">
        <v>11</v>
      </c>
      <c r="D204">
        <v>0.20649999999999999</v>
      </c>
      <c r="E204">
        <f t="shared" si="5"/>
        <v>2020</v>
      </c>
    </row>
    <row r="205" spans="1:5">
      <c r="A205" s="2042">
        <v>44155</v>
      </c>
      <c r="B205" s="2510">
        <v>2020</v>
      </c>
      <c r="C205" s="2510">
        <v>11</v>
      </c>
      <c r="D205">
        <v>0.20488000000000001</v>
      </c>
      <c r="E205">
        <f t="shared" si="5"/>
        <v>2020</v>
      </c>
    </row>
    <row r="206" spans="1:5">
      <c r="A206" s="2042">
        <v>44154</v>
      </c>
      <c r="B206" s="2510">
        <v>2020</v>
      </c>
      <c r="C206" s="2510">
        <v>11</v>
      </c>
      <c r="D206">
        <v>0.21263000000000001</v>
      </c>
      <c r="E206">
        <f t="shared" si="5"/>
        <v>2020</v>
      </c>
    </row>
    <row r="207" spans="1:5">
      <c r="A207" s="2042">
        <v>44153</v>
      </c>
      <c r="B207" s="2510">
        <v>2020</v>
      </c>
      <c r="C207" s="2510">
        <v>11</v>
      </c>
      <c r="D207">
        <v>0.22375</v>
      </c>
      <c r="E207">
        <f t="shared" si="5"/>
        <v>2020</v>
      </c>
    </row>
    <row r="208" spans="1:5">
      <c r="A208" s="2042">
        <v>44152</v>
      </c>
      <c r="B208" s="2510">
        <v>2020</v>
      </c>
      <c r="C208" s="2510">
        <v>11</v>
      </c>
      <c r="D208">
        <v>0.23100000000000001</v>
      </c>
      <c r="E208">
        <f t="shared" si="5"/>
        <v>2020</v>
      </c>
    </row>
    <row r="209" spans="1:5">
      <c r="A209" s="2042">
        <v>44151</v>
      </c>
      <c r="B209" s="2510">
        <v>2020</v>
      </c>
      <c r="C209" s="2510">
        <v>11</v>
      </c>
      <c r="D209">
        <v>0.22037999999999999</v>
      </c>
      <c r="E209">
        <f t="shared" si="5"/>
        <v>2020</v>
      </c>
    </row>
    <row r="210" spans="1:5">
      <c r="A210" s="2042">
        <v>44148</v>
      </c>
      <c r="B210" s="2510">
        <v>2020</v>
      </c>
      <c r="C210" s="2510">
        <v>11</v>
      </c>
      <c r="D210">
        <v>0.222</v>
      </c>
      <c r="E210">
        <f t="shared" si="5"/>
        <v>2020</v>
      </c>
    </row>
    <row r="211" spans="1:5">
      <c r="A211" s="2042">
        <v>44147</v>
      </c>
      <c r="B211" s="2510">
        <v>2020</v>
      </c>
      <c r="C211" s="2510">
        <v>11</v>
      </c>
      <c r="D211">
        <v>0.221</v>
      </c>
      <c r="E211">
        <f t="shared" si="5"/>
        <v>2020</v>
      </c>
    </row>
    <row r="212" spans="1:5">
      <c r="A212" s="2042">
        <v>44146</v>
      </c>
      <c r="B212" s="2510">
        <v>2020</v>
      </c>
      <c r="C212" s="2510">
        <v>11</v>
      </c>
      <c r="D212">
        <v>0.22062999999999999</v>
      </c>
      <c r="E212">
        <f t="shared" si="5"/>
        <v>2020</v>
      </c>
    </row>
    <row r="213" spans="1:5">
      <c r="A213" s="2042">
        <v>44145</v>
      </c>
      <c r="B213" s="2510">
        <v>2020</v>
      </c>
      <c r="C213" s="2510">
        <v>11</v>
      </c>
      <c r="D213">
        <v>0.21362999999999999</v>
      </c>
      <c r="E213">
        <f t="shared" si="5"/>
        <v>2020</v>
      </c>
    </row>
    <row r="214" spans="1:5">
      <c r="A214" s="2042">
        <v>44144</v>
      </c>
      <c r="B214" s="2510">
        <v>2020</v>
      </c>
      <c r="C214" s="2510">
        <v>11</v>
      </c>
      <c r="D214">
        <v>0.20499999999999999</v>
      </c>
      <c r="E214">
        <f t="shared" si="5"/>
        <v>2020</v>
      </c>
    </row>
    <row r="215" spans="1:5">
      <c r="A215" s="2042">
        <v>44141</v>
      </c>
      <c r="B215" s="2510">
        <v>2020</v>
      </c>
      <c r="C215" s="2510">
        <v>11</v>
      </c>
      <c r="D215">
        <v>0.20588000000000001</v>
      </c>
      <c r="E215">
        <f t="shared" si="5"/>
        <v>2020</v>
      </c>
    </row>
    <row r="216" spans="1:5">
      <c r="A216" s="2042">
        <v>44140</v>
      </c>
      <c r="B216" s="2510">
        <v>2020</v>
      </c>
      <c r="C216" s="2510">
        <v>11</v>
      </c>
      <c r="D216">
        <v>0.21299999999999999</v>
      </c>
      <c r="E216">
        <f t="shared" si="5"/>
        <v>2020</v>
      </c>
    </row>
    <row r="217" spans="1:5">
      <c r="A217" s="2042">
        <v>44139</v>
      </c>
      <c r="B217" s="2510">
        <v>2020</v>
      </c>
      <c r="C217" s="2510">
        <v>11</v>
      </c>
      <c r="D217">
        <v>0.23225000000000001</v>
      </c>
      <c r="E217">
        <f t="shared" si="5"/>
        <v>2020</v>
      </c>
    </row>
    <row r="218" spans="1:5">
      <c r="A218" s="2042">
        <v>44138</v>
      </c>
      <c r="B218" s="2510">
        <v>2020</v>
      </c>
      <c r="C218" s="2510">
        <v>11</v>
      </c>
      <c r="D218">
        <v>0.22475000000000001</v>
      </c>
      <c r="E218">
        <f t="shared" si="5"/>
        <v>2020</v>
      </c>
    </row>
    <row r="219" spans="1:5">
      <c r="A219" s="2042">
        <v>44137</v>
      </c>
      <c r="B219" s="2510">
        <v>2020</v>
      </c>
      <c r="C219" s="2510">
        <v>11</v>
      </c>
      <c r="D219">
        <v>0.22012999999999999</v>
      </c>
      <c r="E219">
        <f t="shared" si="5"/>
        <v>2020</v>
      </c>
    </row>
    <row r="220" spans="1:5">
      <c r="A220" s="2042">
        <v>44134</v>
      </c>
      <c r="B220" s="2510">
        <v>2020</v>
      </c>
      <c r="C220" s="2510">
        <v>10</v>
      </c>
      <c r="D220">
        <v>0.21575</v>
      </c>
      <c r="E220">
        <f t="shared" si="5"/>
        <v>2020</v>
      </c>
    </row>
    <row r="221" spans="1:5">
      <c r="A221" s="2042">
        <v>44133</v>
      </c>
      <c r="B221" s="2510">
        <v>2020</v>
      </c>
      <c r="C221" s="2510">
        <v>10</v>
      </c>
      <c r="D221">
        <v>0.21437999999999999</v>
      </c>
      <c r="E221">
        <f t="shared" si="5"/>
        <v>2020</v>
      </c>
    </row>
    <row r="222" spans="1:5">
      <c r="A222" s="2042">
        <v>44132</v>
      </c>
      <c r="B222" s="2510">
        <v>2020</v>
      </c>
      <c r="C222" s="2510">
        <v>10</v>
      </c>
      <c r="D222">
        <v>0.21437999999999999</v>
      </c>
      <c r="E222">
        <f t="shared" si="5"/>
        <v>2020</v>
      </c>
    </row>
    <row r="223" spans="1:5">
      <c r="A223" s="2042">
        <v>44131</v>
      </c>
      <c r="B223" s="2510">
        <v>2020</v>
      </c>
      <c r="C223" s="2510">
        <v>10</v>
      </c>
      <c r="D223">
        <v>0.21325</v>
      </c>
      <c r="E223">
        <f t="shared" si="5"/>
        <v>2020</v>
      </c>
    </row>
    <row r="224" spans="1:5">
      <c r="A224" s="2042">
        <v>44130</v>
      </c>
      <c r="B224" s="2510">
        <v>2020</v>
      </c>
      <c r="C224" s="2510">
        <v>10</v>
      </c>
      <c r="D224">
        <v>0.22225</v>
      </c>
      <c r="E224">
        <f t="shared" si="5"/>
        <v>2020</v>
      </c>
    </row>
    <row r="225" spans="1:5">
      <c r="A225" s="2042">
        <v>44127</v>
      </c>
      <c r="B225" s="2510">
        <v>2020</v>
      </c>
      <c r="C225" s="2510">
        <v>10</v>
      </c>
      <c r="D225">
        <v>0.2165</v>
      </c>
      <c r="E225">
        <f t="shared" si="5"/>
        <v>2020</v>
      </c>
    </row>
    <row r="226" spans="1:5">
      <c r="A226" s="2042">
        <v>44126</v>
      </c>
      <c r="B226" s="2510">
        <v>2020</v>
      </c>
      <c r="C226" s="2510">
        <v>10</v>
      </c>
      <c r="D226">
        <v>0.21475</v>
      </c>
      <c r="E226">
        <f t="shared" si="5"/>
        <v>2020</v>
      </c>
    </row>
    <row r="227" spans="1:5">
      <c r="A227" s="2042">
        <v>44125</v>
      </c>
      <c r="B227" s="2510">
        <v>2020</v>
      </c>
      <c r="C227" s="2510">
        <v>10</v>
      </c>
      <c r="D227">
        <v>0.20913000000000001</v>
      </c>
      <c r="E227">
        <f t="shared" si="5"/>
        <v>2020</v>
      </c>
    </row>
    <row r="228" spans="1:5">
      <c r="A228" s="2042">
        <v>44124</v>
      </c>
      <c r="B228" s="2510">
        <v>2020</v>
      </c>
      <c r="C228" s="2510">
        <v>10</v>
      </c>
      <c r="D228">
        <v>0.21575</v>
      </c>
      <c r="E228">
        <f t="shared" si="5"/>
        <v>2020</v>
      </c>
    </row>
    <row r="229" spans="1:5">
      <c r="A229" s="2042">
        <v>44123</v>
      </c>
      <c r="B229" s="2510">
        <v>2020</v>
      </c>
      <c r="C229" s="2510">
        <v>10</v>
      </c>
      <c r="D229">
        <v>0.20863000000000001</v>
      </c>
      <c r="E229">
        <f t="shared" si="5"/>
        <v>2020</v>
      </c>
    </row>
    <row r="230" spans="1:5">
      <c r="A230" s="2042">
        <v>44120</v>
      </c>
      <c r="B230" s="2510">
        <v>2020</v>
      </c>
      <c r="C230" s="2510">
        <v>10</v>
      </c>
      <c r="D230">
        <v>0.21837999999999999</v>
      </c>
      <c r="E230">
        <f t="shared" si="5"/>
        <v>2020</v>
      </c>
    </row>
    <row r="231" spans="1:5">
      <c r="A231" s="2042">
        <v>44119</v>
      </c>
      <c r="B231" s="2510">
        <v>2020</v>
      </c>
      <c r="C231" s="2510">
        <v>10</v>
      </c>
      <c r="D231">
        <v>0.21775</v>
      </c>
      <c r="E231">
        <f t="shared" si="5"/>
        <v>2020</v>
      </c>
    </row>
    <row r="232" spans="1:5">
      <c r="A232" s="2042">
        <v>44118</v>
      </c>
      <c r="B232" s="2510">
        <v>2020</v>
      </c>
      <c r="C232" s="2510">
        <v>10</v>
      </c>
      <c r="D232">
        <v>0.23013</v>
      </c>
      <c r="E232">
        <f t="shared" si="5"/>
        <v>2020</v>
      </c>
    </row>
    <row r="233" spans="1:5">
      <c r="A233" s="2042">
        <v>44117</v>
      </c>
      <c r="B233" s="2510">
        <v>2020</v>
      </c>
      <c r="C233" s="2510">
        <v>10</v>
      </c>
      <c r="D233">
        <v>0.23688000000000001</v>
      </c>
      <c r="E233">
        <f t="shared" si="5"/>
        <v>2020</v>
      </c>
    </row>
    <row r="234" spans="1:5">
      <c r="A234" s="2042">
        <v>44116</v>
      </c>
      <c r="B234" s="2510">
        <v>2020</v>
      </c>
      <c r="C234" s="2510">
        <v>10</v>
      </c>
      <c r="D234">
        <v>0.22888</v>
      </c>
      <c r="E234">
        <f t="shared" si="5"/>
        <v>2020</v>
      </c>
    </row>
    <row r="235" spans="1:5">
      <c r="A235" s="2042">
        <v>44113</v>
      </c>
      <c r="B235" s="2510">
        <v>2020</v>
      </c>
      <c r="C235" s="2510">
        <v>10</v>
      </c>
      <c r="D235">
        <v>0.22413</v>
      </c>
      <c r="E235">
        <f t="shared" si="5"/>
        <v>2020</v>
      </c>
    </row>
    <row r="236" spans="1:5">
      <c r="A236" s="2042">
        <v>44112</v>
      </c>
      <c r="B236" s="2510">
        <v>2020</v>
      </c>
      <c r="C236" s="2510">
        <v>10</v>
      </c>
      <c r="D236">
        <v>0.2205</v>
      </c>
      <c r="E236">
        <f t="shared" si="5"/>
        <v>2020</v>
      </c>
    </row>
    <row r="237" spans="1:5">
      <c r="A237" s="2042">
        <v>44111</v>
      </c>
      <c r="B237" s="2510">
        <v>2020</v>
      </c>
      <c r="C237" s="2510">
        <v>10</v>
      </c>
      <c r="D237">
        <v>0.22950000000000001</v>
      </c>
      <c r="E237">
        <f t="shared" si="5"/>
        <v>2020</v>
      </c>
    </row>
    <row r="238" spans="1:5">
      <c r="A238" s="2042">
        <v>44110</v>
      </c>
      <c r="B238" s="2510">
        <v>2020</v>
      </c>
      <c r="C238" s="2510">
        <v>10</v>
      </c>
      <c r="D238">
        <v>0.22975000000000001</v>
      </c>
      <c r="E238">
        <f t="shared" si="5"/>
        <v>2020</v>
      </c>
    </row>
    <row r="239" spans="1:5">
      <c r="A239" s="2042">
        <v>44109</v>
      </c>
      <c r="B239" s="2510">
        <v>2020</v>
      </c>
      <c r="C239" s="2510">
        <v>10</v>
      </c>
      <c r="D239">
        <v>0.22025</v>
      </c>
      <c r="E239">
        <f t="shared" si="5"/>
        <v>2020</v>
      </c>
    </row>
    <row r="240" spans="1:5">
      <c r="A240" s="2042">
        <v>44106</v>
      </c>
      <c r="B240" s="2510">
        <v>2020</v>
      </c>
      <c r="C240" s="2510">
        <v>10</v>
      </c>
      <c r="D240">
        <v>0.23350000000000001</v>
      </c>
      <c r="E240">
        <f t="shared" si="5"/>
        <v>2020</v>
      </c>
    </row>
    <row r="241" spans="1:5">
      <c r="A241" s="2042">
        <v>44105</v>
      </c>
      <c r="B241" s="2510">
        <v>2020</v>
      </c>
      <c r="C241" s="2510">
        <v>10</v>
      </c>
      <c r="D241">
        <v>0.23400000000000001</v>
      </c>
      <c r="E241">
        <f t="shared" si="5"/>
        <v>2020</v>
      </c>
    </row>
    <row r="242" spans="1:5">
      <c r="A242" s="2042">
        <v>44104</v>
      </c>
      <c r="B242" s="2510">
        <v>2020</v>
      </c>
      <c r="C242" s="2510">
        <v>9</v>
      </c>
      <c r="D242">
        <v>0.23388</v>
      </c>
      <c r="E242">
        <f t="shared" si="5"/>
        <v>2020</v>
      </c>
    </row>
    <row r="243" spans="1:5">
      <c r="A243" s="2042">
        <v>44103</v>
      </c>
      <c r="B243" s="2510">
        <v>2020</v>
      </c>
      <c r="C243" s="2510">
        <v>9</v>
      </c>
      <c r="D243">
        <v>0.22513</v>
      </c>
      <c r="E243">
        <f t="shared" si="5"/>
        <v>2020</v>
      </c>
    </row>
    <row r="244" spans="1:5">
      <c r="A244" s="2042">
        <v>44102</v>
      </c>
      <c r="B244" s="2510">
        <v>2020</v>
      </c>
      <c r="C244" s="2510">
        <v>9</v>
      </c>
      <c r="D244">
        <v>0.22037999999999999</v>
      </c>
      <c r="E244">
        <f t="shared" si="5"/>
        <v>2020</v>
      </c>
    </row>
    <row r="245" spans="1:5">
      <c r="A245" s="2042">
        <v>44099</v>
      </c>
      <c r="B245" s="2510">
        <v>2020</v>
      </c>
      <c r="C245" s="2510">
        <v>9</v>
      </c>
      <c r="D245">
        <v>0.21787999999999999</v>
      </c>
      <c r="E245">
        <f t="shared" si="5"/>
        <v>2020</v>
      </c>
    </row>
    <row r="246" spans="1:5">
      <c r="A246" s="2042">
        <v>44098</v>
      </c>
      <c r="B246" s="2510">
        <v>2020</v>
      </c>
      <c r="C246" s="2510">
        <v>9</v>
      </c>
      <c r="D246">
        <v>0.23325000000000001</v>
      </c>
      <c r="E246">
        <f t="shared" si="5"/>
        <v>2020</v>
      </c>
    </row>
    <row r="247" spans="1:5">
      <c r="A247" s="2042">
        <v>44097</v>
      </c>
      <c r="B247" s="2510">
        <v>2020</v>
      </c>
      <c r="C247" s="2510">
        <v>9</v>
      </c>
      <c r="D247">
        <v>0.22500000000000001</v>
      </c>
      <c r="E247">
        <f t="shared" si="5"/>
        <v>2020</v>
      </c>
    </row>
    <row r="248" spans="1:5">
      <c r="A248" s="2042">
        <v>44096</v>
      </c>
      <c r="B248" s="2510">
        <v>2020</v>
      </c>
      <c r="C248" s="2510">
        <v>9</v>
      </c>
      <c r="D248">
        <v>0.2225</v>
      </c>
      <c r="E248">
        <f t="shared" si="5"/>
        <v>2020</v>
      </c>
    </row>
    <row r="249" spans="1:5">
      <c r="A249" s="2042">
        <v>44095</v>
      </c>
      <c r="B249" s="2510">
        <v>2020</v>
      </c>
      <c r="C249" s="2510">
        <v>9</v>
      </c>
      <c r="D249">
        <v>0.22325</v>
      </c>
      <c r="E249">
        <f t="shared" si="5"/>
        <v>2020</v>
      </c>
    </row>
    <row r="250" spans="1:5">
      <c r="A250" s="2042">
        <v>44092</v>
      </c>
      <c r="B250" s="2510">
        <v>2020</v>
      </c>
      <c r="C250" s="2510">
        <v>9</v>
      </c>
      <c r="D250">
        <v>0.22538</v>
      </c>
      <c r="E250">
        <f t="shared" si="5"/>
        <v>2020</v>
      </c>
    </row>
    <row r="251" spans="1:5">
      <c r="A251" s="2042">
        <v>44091</v>
      </c>
      <c r="B251" s="2510">
        <v>2020</v>
      </c>
      <c r="C251" s="2510">
        <v>9</v>
      </c>
      <c r="D251">
        <v>0.22738</v>
      </c>
      <c r="E251">
        <f t="shared" si="5"/>
        <v>2020</v>
      </c>
    </row>
    <row r="252" spans="1:5">
      <c r="A252" s="2042">
        <v>44090</v>
      </c>
      <c r="B252" s="2510">
        <v>2020</v>
      </c>
      <c r="C252" s="2510">
        <v>9</v>
      </c>
      <c r="D252">
        <v>0.23325000000000001</v>
      </c>
      <c r="E252">
        <f t="shared" si="5"/>
        <v>2020</v>
      </c>
    </row>
    <row r="253" spans="1:5">
      <c r="A253" s="2042">
        <v>44089</v>
      </c>
      <c r="B253" s="2510">
        <v>2020</v>
      </c>
      <c r="C253" s="2510">
        <v>9</v>
      </c>
      <c r="D253">
        <v>0.24612999999999999</v>
      </c>
      <c r="E253">
        <f t="shared" si="5"/>
        <v>2020</v>
      </c>
    </row>
    <row r="254" spans="1:5">
      <c r="A254" s="2042">
        <v>44088</v>
      </c>
      <c r="B254" s="2510">
        <v>2020</v>
      </c>
      <c r="C254" s="2510">
        <v>9</v>
      </c>
      <c r="D254">
        <v>0.23724999999999999</v>
      </c>
      <c r="E254">
        <f t="shared" si="5"/>
        <v>2020</v>
      </c>
    </row>
    <row r="255" spans="1:5">
      <c r="A255" s="2042">
        <v>44085</v>
      </c>
      <c r="B255" s="2510">
        <v>2020</v>
      </c>
      <c r="C255" s="2510">
        <v>9</v>
      </c>
      <c r="D255">
        <v>0.25037999999999999</v>
      </c>
      <c r="E255">
        <f t="shared" si="5"/>
        <v>2020</v>
      </c>
    </row>
    <row r="256" spans="1:5">
      <c r="A256" s="2042">
        <v>44084</v>
      </c>
      <c r="B256" s="2510">
        <v>2020</v>
      </c>
      <c r="C256" s="2510">
        <v>9</v>
      </c>
      <c r="D256">
        <v>0.24912999999999999</v>
      </c>
      <c r="E256">
        <f t="shared" si="5"/>
        <v>2020</v>
      </c>
    </row>
    <row r="257" spans="1:5">
      <c r="A257" s="2042">
        <v>44083</v>
      </c>
      <c r="B257" s="2510">
        <v>2020</v>
      </c>
      <c r="C257" s="2510">
        <v>9</v>
      </c>
      <c r="D257">
        <v>0.25024999999999997</v>
      </c>
      <c r="E257">
        <f t="shared" si="5"/>
        <v>2020</v>
      </c>
    </row>
    <row r="258" spans="1:5">
      <c r="A258" s="2042">
        <v>44082</v>
      </c>
      <c r="B258" s="2510">
        <v>2020</v>
      </c>
      <c r="C258" s="2510">
        <v>9</v>
      </c>
      <c r="D258">
        <v>0.2495</v>
      </c>
      <c r="E258">
        <f t="shared" si="5"/>
        <v>2020</v>
      </c>
    </row>
    <row r="259" spans="1:5">
      <c r="A259" s="2042">
        <v>44081</v>
      </c>
      <c r="B259" s="2510">
        <v>2020</v>
      </c>
      <c r="C259" s="2510">
        <v>9</v>
      </c>
      <c r="D259">
        <v>0.24174999999999999</v>
      </c>
      <c r="E259">
        <f t="shared" si="5"/>
        <v>2020</v>
      </c>
    </row>
    <row r="260" spans="1:5">
      <c r="A260" s="2042">
        <v>44078</v>
      </c>
      <c r="B260" s="2510">
        <v>2020</v>
      </c>
      <c r="C260" s="2510">
        <v>9</v>
      </c>
      <c r="D260">
        <v>0.248</v>
      </c>
      <c r="E260">
        <f t="shared" ref="E260:E323" si="6">YEAR(A260)</f>
        <v>2020</v>
      </c>
    </row>
    <row r="261" spans="1:5">
      <c r="A261" s="2042">
        <v>44077</v>
      </c>
      <c r="B261" s="2510">
        <v>2020</v>
      </c>
      <c r="C261" s="2510">
        <v>9</v>
      </c>
      <c r="D261">
        <v>0.2495</v>
      </c>
      <c r="E261">
        <f t="shared" si="6"/>
        <v>2020</v>
      </c>
    </row>
    <row r="262" spans="1:5">
      <c r="A262" s="2042">
        <v>44076</v>
      </c>
      <c r="B262" s="2510">
        <v>2020</v>
      </c>
      <c r="C262" s="2510">
        <v>9</v>
      </c>
      <c r="D262">
        <v>0.25124999999999997</v>
      </c>
      <c r="E262">
        <f t="shared" si="6"/>
        <v>2020</v>
      </c>
    </row>
    <row r="263" spans="1:5">
      <c r="A263" s="2042">
        <v>44075</v>
      </c>
      <c r="B263" s="2510">
        <v>2020</v>
      </c>
      <c r="C263" s="2510">
        <v>9</v>
      </c>
      <c r="D263">
        <v>0.25113000000000002</v>
      </c>
      <c r="E263">
        <f t="shared" si="6"/>
        <v>2020</v>
      </c>
    </row>
    <row r="264" spans="1:5">
      <c r="A264" s="2042">
        <v>44071</v>
      </c>
      <c r="B264" s="2510">
        <v>2020</v>
      </c>
      <c r="C264" s="2510">
        <v>8</v>
      </c>
      <c r="D264">
        <v>0.24088000000000001</v>
      </c>
      <c r="E264">
        <f t="shared" si="6"/>
        <v>2020</v>
      </c>
    </row>
    <row r="265" spans="1:5">
      <c r="A265" s="2042">
        <v>44070</v>
      </c>
      <c r="B265" s="2510">
        <v>2020</v>
      </c>
      <c r="C265" s="2510">
        <v>8</v>
      </c>
      <c r="D265">
        <v>0.246</v>
      </c>
      <c r="E265">
        <f t="shared" si="6"/>
        <v>2020</v>
      </c>
    </row>
    <row r="266" spans="1:5">
      <c r="A266" s="2042">
        <v>44069</v>
      </c>
      <c r="B266" s="2510">
        <v>2020</v>
      </c>
      <c r="C266" s="2510">
        <v>8</v>
      </c>
      <c r="D266">
        <v>0.25588</v>
      </c>
      <c r="E266">
        <f t="shared" si="6"/>
        <v>2020</v>
      </c>
    </row>
    <row r="267" spans="1:5">
      <c r="A267" s="2042">
        <v>44068</v>
      </c>
      <c r="B267" s="2510">
        <v>2020</v>
      </c>
      <c r="C267" s="2510">
        <v>8</v>
      </c>
      <c r="D267">
        <v>0.251</v>
      </c>
      <c r="E267">
        <f t="shared" si="6"/>
        <v>2020</v>
      </c>
    </row>
    <row r="268" spans="1:5">
      <c r="A268" s="2042">
        <v>44067</v>
      </c>
      <c r="B268" s="2510">
        <v>2020</v>
      </c>
      <c r="C268" s="2510">
        <v>8</v>
      </c>
      <c r="D268">
        <v>0.23375000000000001</v>
      </c>
      <c r="E268">
        <f t="shared" si="6"/>
        <v>2020</v>
      </c>
    </row>
    <row r="269" spans="1:5">
      <c r="A269" s="2042">
        <v>44064</v>
      </c>
      <c r="B269" s="2510">
        <v>2020</v>
      </c>
      <c r="C269" s="2510">
        <v>8</v>
      </c>
      <c r="D269">
        <v>0.25</v>
      </c>
      <c r="E269">
        <f t="shared" si="6"/>
        <v>2020</v>
      </c>
    </row>
    <row r="270" spans="1:5">
      <c r="A270" s="2042">
        <v>44063</v>
      </c>
      <c r="B270" s="2510">
        <v>2020</v>
      </c>
      <c r="C270" s="2510">
        <v>8</v>
      </c>
      <c r="D270">
        <v>0.25613000000000002</v>
      </c>
      <c r="E270">
        <f t="shared" si="6"/>
        <v>2020</v>
      </c>
    </row>
    <row r="271" spans="1:5">
      <c r="A271" s="2042">
        <v>44062</v>
      </c>
      <c r="B271" s="2510">
        <v>2020</v>
      </c>
      <c r="C271" s="2510">
        <v>8</v>
      </c>
      <c r="D271">
        <v>0.24687999999999999</v>
      </c>
      <c r="E271">
        <f t="shared" si="6"/>
        <v>2020</v>
      </c>
    </row>
    <row r="272" spans="1:5">
      <c r="A272" s="2042">
        <v>44061</v>
      </c>
      <c r="B272" s="2510">
        <v>2020</v>
      </c>
      <c r="C272" s="2510">
        <v>8</v>
      </c>
      <c r="D272">
        <v>0.253</v>
      </c>
      <c r="E272">
        <f t="shared" si="6"/>
        <v>2020</v>
      </c>
    </row>
    <row r="273" spans="1:5">
      <c r="A273" s="2042">
        <v>44060</v>
      </c>
      <c r="B273" s="2510">
        <v>2020</v>
      </c>
      <c r="C273" s="2510">
        <v>8</v>
      </c>
      <c r="D273">
        <v>0.26774999999999999</v>
      </c>
      <c r="E273">
        <f t="shared" si="6"/>
        <v>2020</v>
      </c>
    </row>
    <row r="274" spans="1:5">
      <c r="A274" s="2042">
        <v>44057</v>
      </c>
      <c r="B274" s="2510">
        <v>2020</v>
      </c>
      <c r="C274" s="2510">
        <v>8</v>
      </c>
      <c r="D274">
        <v>0.27038000000000001</v>
      </c>
      <c r="E274">
        <f t="shared" si="6"/>
        <v>2020</v>
      </c>
    </row>
    <row r="275" spans="1:5">
      <c r="A275" s="2042">
        <v>44056</v>
      </c>
      <c r="B275" s="2510">
        <v>2020</v>
      </c>
      <c r="C275" s="2510">
        <v>8</v>
      </c>
      <c r="D275">
        <v>0.28012999999999999</v>
      </c>
      <c r="E275">
        <f t="shared" si="6"/>
        <v>2020</v>
      </c>
    </row>
    <row r="276" spans="1:5">
      <c r="A276" s="2042">
        <v>44055</v>
      </c>
      <c r="B276" s="2510">
        <v>2020</v>
      </c>
      <c r="C276" s="2510">
        <v>8</v>
      </c>
      <c r="D276">
        <v>0.26474999999999999</v>
      </c>
      <c r="E276">
        <f t="shared" si="6"/>
        <v>2020</v>
      </c>
    </row>
    <row r="277" spans="1:5">
      <c r="A277" s="2042">
        <v>44054</v>
      </c>
      <c r="B277" s="2510">
        <v>2020</v>
      </c>
      <c r="C277" s="2510">
        <v>8</v>
      </c>
      <c r="D277">
        <v>0.2535</v>
      </c>
      <c r="E277">
        <f t="shared" si="6"/>
        <v>2020</v>
      </c>
    </row>
    <row r="278" spans="1:5">
      <c r="A278" s="2042">
        <v>44053</v>
      </c>
      <c r="B278" s="2510">
        <v>2020</v>
      </c>
      <c r="C278" s="2510">
        <v>8</v>
      </c>
      <c r="D278">
        <v>0.25688</v>
      </c>
      <c r="E278">
        <f t="shared" si="6"/>
        <v>2020</v>
      </c>
    </row>
    <row r="279" spans="1:5">
      <c r="A279" s="2042">
        <v>44050</v>
      </c>
      <c r="B279" s="2510">
        <v>2020</v>
      </c>
      <c r="C279" s="2510">
        <v>8</v>
      </c>
      <c r="D279">
        <v>0.2525</v>
      </c>
      <c r="E279">
        <f t="shared" si="6"/>
        <v>2020</v>
      </c>
    </row>
    <row r="280" spans="1:5">
      <c r="A280" s="2042">
        <v>44049</v>
      </c>
      <c r="B280" s="2510">
        <v>2020</v>
      </c>
      <c r="C280" s="2510">
        <v>8</v>
      </c>
      <c r="D280">
        <v>0.24324999999999999</v>
      </c>
      <c r="E280">
        <f t="shared" si="6"/>
        <v>2020</v>
      </c>
    </row>
    <row r="281" spans="1:5">
      <c r="A281" s="2042">
        <v>44048</v>
      </c>
      <c r="B281" s="2510">
        <v>2020</v>
      </c>
      <c r="C281" s="2510">
        <v>8</v>
      </c>
      <c r="D281">
        <v>0.24199999999999999</v>
      </c>
      <c r="E281">
        <f t="shared" si="6"/>
        <v>2020</v>
      </c>
    </row>
    <row r="282" spans="1:5">
      <c r="A282" s="2042">
        <v>44047</v>
      </c>
      <c r="B282" s="2510">
        <v>2020</v>
      </c>
      <c r="C282" s="2510">
        <v>8</v>
      </c>
      <c r="D282">
        <v>0.2485</v>
      </c>
      <c r="E282">
        <f t="shared" si="6"/>
        <v>2020</v>
      </c>
    </row>
    <row r="283" spans="1:5">
      <c r="A283" s="2042">
        <v>44046</v>
      </c>
      <c r="B283" s="2510">
        <v>2020</v>
      </c>
      <c r="C283" s="2510">
        <v>8</v>
      </c>
      <c r="D283">
        <v>0.249</v>
      </c>
      <c r="E283">
        <f t="shared" si="6"/>
        <v>2020</v>
      </c>
    </row>
    <row r="284" spans="1:5">
      <c r="A284" s="2042">
        <v>44043</v>
      </c>
      <c r="B284" s="2510">
        <v>2020</v>
      </c>
      <c r="C284" s="2510">
        <v>7</v>
      </c>
      <c r="D284">
        <v>0.24875</v>
      </c>
      <c r="E284">
        <f t="shared" si="6"/>
        <v>2020</v>
      </c>
    </row>
    <row r="285" spans="1:5">
      <c r="A285" s="2042">
        <v>44042</v>
      </c>
      <c r="B285" s="2510">
        <v>2020</v>
      </c>
      <c r="C285" s="2510">
        <v>7</v>
      </c>
      <c r="D285">
        <v>0.251</v>
      </c>
      <c r="E285">
        <f t="shared" si="6"/>
        <v>2020</v>
      </c>
    </row>
    <row r="286" spans="1:5">
      <c r="A286" s="2042">
        <v>44041</v>
      </c>
      <c r="B286" s="2510">
        <v>2020</v>
      </c>
      <c r="C286" s="2510">
        <v>7</v>
      </c>
      <c r="D286">
        <v>0.26062999999999997</v>
      </c>
      <c r="E286">
        <f t="shared" si="6"/>
        <v>2020</v>
      </c>
    </row>
    <row r="287" spans="1:5">
      <c r="A287" s="2042">
        <v>44040</v>
      </c>
      <c r="B287" s="2510">
        <v>2020</v>
      </c>
      <c r="C287" s="2510">
        <v>7</v>
      </c>
      <c r="D287">
        <v>0.26824999999999999</v>
      </c>
      <c r="E287">
        <f t="shared" si="6"/>
        <v>2020</v>
      </c>
    </row>
    <row r="288" spans="1:5">
      <c r="A288" s="2042">
        <v>44039</v>
      </c>
      <c r="B288" s="2510">
        <v>2020</v>
      </c>
      <c r="C288" s="2510">
        <v>7</v>
      </c>
      <c r="D288">
        <v>0.26962999999999998</v>
      </c>
      <c r="E288">
        <f t="shared" si="6"/>
        <v>2020</v>
      </c>
    </row>
    <row r="289" spans="1:5">
      <c r="A289" s="2042">
        <v>44036</v>
      </c>
      <c r="B289" s="2510">
        <v>2020</v>
      </c>
      <c r="C289" s="2510">
        <v>7</v>
      </c>
      <c r="D289">
        <v>0.24675</v>
      </c>
      <c r="E289">
        <f t="shared" si="6"/>
        <v>2020</v>
      </c>
    </row>
    <row r="290" spans="1:5">
      <c r="A290" s="2042">
        <v>44035</v>
      </c>
      <c r="B290" s="2510">
        <v>2020</v>
      </c>
      <c r="C290" s="2510">
        <v>7</v>
      </c>
      <c r="D290">
        <v>0.2445</v>
      </c>
      <c r="E290">
        <f t="shared" si="6"/>
        <v>2020</v>
      </c>
    </row>
    <row r="291" spans="1:5">
      <c r="A291" s="2042">
        <v>44034</v>
      </c>
      <c r="B291" s="2510">
        <v>2020</v>
      </c>
      <c r="C291" s="2510">
        <v>7</v>
      </c>
      <c r="D291">
        <v>0.26350000000000001</v>
      </c>
      <c r="E291">
        <f t="shared" si="6"/>
        <v>2020</v>
      </c>
    </row>
    <row r="292" spans="1:5">
      <c r="A292" s="2042">
        <v>44033</v>
      </c>
      <c r="B292" s="2510">
        <v>2020</v>
      </c>
      <c r="C292" s="2510">
        <v>7</v>
      </c>
      <c r="D292">
        <v>0.2555</v>
      </c>
      <c r="E292">
        <f t="shared" si="6"/>
        <v>2020</v>
      </c>
    </row>
    <row r="293" spans="1:5">
      <c r="A293" s="2042">
        <v>44032</v>
      </c>
      <c r="B293" s="2510">
        <v>2020</v>
      </c>
      <c r="C293" s="2510">
        <v>7</v>
      </c>
      <c r="D293">
        <v>0.25774999999999998</v>
      </c>
      <c r="E293">
        <f t="shared" si="6"/>
        <v>2020</v>
      </c>
    </row>
    <row r="294" spans="1:5">
      <c r="A294" s="2042">
        <v>44029</v>
      </c>
      <c r="B294" s="2510">
        <v>2020</v>
      </c>
      <c r="C294" s="2510">
        <v>7</v>
      </c>
      <c r="D294">
        <v>0.27138000000000001</v>
      </c>
      <c r="E294">
        <f t="shared" si="6"/>
        <v>2020</v>
      </c>
    </row>
    <row r="295" spans="1:5">
      <c r="A295" s="2042">
        <v>44028</v>
      </c>
      <c r="B295" s="2510">
        <v>2020</v>
      </c>
      <c r="C295" s="2510">
        <v>7</v>
      </c>
      <c r="D295">
        <v>0.27174999999999999</v>
      </c>
      <c r="E295">
        <f t="shared" si="6"/>
        <v>2020</v>
      </c>
    </row>
    <row r="296" spans="1:5">
      <c r="A296" s="2042">
        <v>44027</v>
      </c>
      <c r="B296" s="2510">
        <v>2020</v>
      </c>
      <c r="C296" s="2510">
        <v>7</v>
      </c>
      <c r="D296">
        <v>0.27288000000000001</v>
      </c>
      <c r="E296">
        <f t="shared" si="6"/>
        <v>2020</v>
      </c>
    </row>
    <row r="297" spans="1:5">
      <c r="A297" s="2042">
        <v>44026</v>
      </c>
      <c r="B297" s="2510">
        <v>2020</v>
      </c>
      <c r="C297" s="2510">
        <v>7</v>
      </c>
      <c r="D297">
        <v>0.27088000000000001</v>
      </c>
      <c r="E297">
        <f t="shared" si="6"/>
        <v>2020</v>
      </c>
    </row>
    <row r="298" spans="1:5">
      <c r="A298" s="2042">
        <v>44025</v>
      </c>
      <c r="B298" s="2510">
        <v>2020</v>
      </c>
      <c r="C298" s="2510">
        <v>7</v>
      </c>
      <c r="D298">
        <v>0.27500000000000002</v>
      </c>
      <c r="E298">
        <f t="shared" si="6"/>
        <v>2020</v>
      </c>
    </row>
    <row r="299" spans="1:5">
      <c r="A299" s="2042">
        <v>44022</v>
      </c>
      <c r="B299" s="2510">
        <v>2020</v>
      </c>
      <c r="C299" s="2510">
        <v>7</v>
      </c>
      <c r="D299">
        <v>0.26812999999999998</v>
      </c>
      <c r="E299">
        <f t="shared" si="6"/>
        <v>2020</v>
      </c>
    </row>
    <row r="300" spans="1:5">
      <c r="A300" s="2042">
        <v>44021</v>
      </c>
      <c r="B300" s="2510">
        <v>2020</v>
      </c>
      <c r="C300" s="2510">
        <v>7</v>
      </c>
      <c r="D300">
        <v>0.26624999999999999</v>
      </c>
      <c r="E300">
        <f t="shared" si="6"/>
        <v>2020</v>
      </c>
    </row>
    <row r="301" spans="1:5">
      <c r="A301" s="2042">
        <v>44020</v>
      </c>
      <c r="B301" s="2510">
        <v>2020</v>
      </c>
      <c r="C301" s="2510">
        <v>7</v>
      </c>
      <c r="D301">
        <v>0.27288000000000001</v>
      </c>
      <c r="E301">
        <f t="shared" si="6"/>
        <v>2020</v>
      </c>
    </row>
    <row r="302" spans="1:5">
      <c r="A302" s="2042">
        <v>44019</v>
      </c>
      <c r="B302" s="2510">
        <v>2020</v>
      </c>
      <c r="C302" s="2510">
        <v>7</v>
      </c>
      <c r="D302">
        <v>0.26838000000000001</v>
      </c>
      <c r="E302">
        <f t="shared" si="6"/>
        <v>2020</v>
      </c>
    </row>
    <row r="303" spans="1:5">
      <c r="A303" s="2042">
        <v>44018</v>
      </c>
      <c r="B303" s="2510">
        <v>2020</v>
      </c>
      <c r="C303" s="2510">
        <v>7</v>
      </c>
      <c r="D303">
        <v>0.27650000000000002</v>
      </c>
      <c r="E303">
        <f t="shared" si="6"/>
        <v>2020</v>
      </c>
    </row>
    <row r="304" spans="1:5">
      <c r="A304" s="2042">
        <v>44015</v>
      </c>
      <c r="B304" s="2510">
        <v>2020</v>
      </c>
      <c r="C304" s="2510">
        <v>7</v>
      </c>
      <c r="D304">
        <v>0.27588000000000001</v>
      </c>
      <c r="E304">
        <f t="shared" si="6"/>
        <v>2020</v>
      </c>
    </row>
    <row r="305" spans="1:5">
      <c r="A305" s="2042">
        <v>44014</v>
      </c>
      <c r="B305" s="2510">
        <v>2020</v>
      </c>
      <c r="C305" s="2510">
        <v>7</v>
      </c>
      <c r="D305">
        <v>0.30375000000000002</v>
      </c>
      <c r="E305">
        <f t="shared" si="6"/>
        <v>2020</v>
      </c>
    </row>
    <row r="306" spans="1:5">
      <c r="A306" s="2042">
        <v>44013</v>
      </c>
      <c r="B306" s="2510">
        <v>2020</v>
      </c>
      <c r="C306" s="2510">
        <v>7</v>
      </c>
      <c r="D306">
        <v>0.29849999999999999</v>
      </c>
      <c r="E306">
        <f t="shared" si="6"/>
        <v>2020</v>
      </c>
    </row>
    <row r="307" spans="1:5">
      <c r="A307" s="2042">
        <v>44012</v>
      </c>
      <c r="B307" s="2510">
        <v>2020</v>
      </c>
      <c r="C307" s="2510">
        <v>6</v>
      </c>
      <c r="D307">
        <v>0.30199999999999999</v>
      </c>
      <c r="E307">
        <f t="shared" si="6"/>
        <v>2020</v>
      </c>
    </row>
    <row r="308" spans="1:5">
      <c r="A308" s="2042">
        <v>44011</v>
      </c>
      <c r="B308" s="2510">
        <v>2020</v>
      </c>
      <c r="C308" s="2510">
        <v>6</v>
      </c>
      <c r="D308">
        <v>0.29613</v>
      </c>
      <c r="E308">
        <f t="shared" si="6"/>
        <v>2020</v>
      </c>
    </row>
    <row r="309" spans="1:5">
      <c r="A309" s="2042">
        <v>44008</v>
      </c>
      <c r="B309" s="2510">
        <v>2020</v>
      </c>
      <c r="C309" s="2510">
        <v>6</v>
      </c>
      <c r="D309">
        <v>0.30787999999999999</v>
      </c>
      <c r="E309">
        <f t="shared" si="6"/>
        <v>2020</v>
      </c>
    </row>
    <row r="310" spans="1:5">
      <c r="A310" s="2042">
        <v>44007</v>
      </c>
      <c r="B310" s="2510">
        <v>2020</v>
      </c>
      <c r="C310" s="2510">
        <v>6</v>
      </c>
      <c r="D310">
        <v>0.30599999999999999</v>
      </c>
      <c r="E310">
        <f t="shared" si="6"/>
        <v>2020</v>
      </c>
    </row>
    <row r="311" spans="1:5">
      <c r="A311" s="2042">
        <v>44006</v>
      </c>
      <c r="B311" s="2510">
        <v>2020</v>
      </c>
      <c r="C311" s="2510">
        <v>6</v>
      </c>
      <c r="D311">
        <v>0.28375</v>
      </c>
      <c r="E311">
        <f t="shared" si="6"/>
        <v>2020</v>
      </c>
    </row>
    <row r="312" spans="1:5">
      <c r="A312" s="2042">
        <v>44005</v>
      </c>
      <c r="B312" s="2510">
        <v>2020</v>
      </c>
      <c r="C312" s="2510">
        <v>6</v>
      </c>
      <c r="D312">
        <v>0.29687999999999998</v>
      </c>
      <c r="E312">
        <f t="shared" si="6"/>
        <v>2020</v>
      </c>
    </row>
    <row r="313" spans="1:5">
      <c r="A313" s="2042">
        <v>44004</v>
      </c>
      <c r="B313" s="2510">
        <v>2020</v>
      </c>
      <c r="C313" s="2510">
        <v>6</v>
      </c>
      <c r="D313">
        <v>0.29663</v>
      </c>
      <c r="E313">
        <f t="shared" si="6"/>
        <v>2020</v>
      </c>
    </row>
    <row r="314" spans="1:5">
      <c r="A314" s="2042">
        <v>44001</v>
      </c>
      <c r="B314" s="2510">
        <v>2020</v>
      </c>
      <c r="C314" s="2510">
        <v>6</v>
      </c>
      <c r="D314">
        <v>0.30513000000000001</v>
      </c>
      <c r="E314">
        <f t="shared" si="6"/>
        <v>2020</v>
      </c>
    </row>
    <row r="315" spans="1:5">
      <c r="A315" s="2042">
        <v>44000</v>
      </c>
      <c r="B315" s="2510">
        <v>2020</v>
      </c>
      <c r="C315" s="2510">
        <v>6</v>
      </c>
      <c r="D315">
        <v>0.30637999999999999</v>
      </c>
      <c r="E315">
        <f t="shared" si="6"/>
        <v>2020</v>
      </c>
    </row>
    <row r="316" spans="1:5">
      <c r="A316" s="2042">
        <v>43999</v>
      </c>
      <c r="B316" s="2510">
        <v>2020</v>
      </c>
      <c r="C316" s="2510">
        <v>6</v>
      </c>
      <c r="D316">
        <v>0.31624999999999998</v>
      </c>
      <c r="E316">
        <f t="shared" si="6"/>
        <v>2020</v>
      </c>
    </row>
    <row r="317" spans="1:5">
      <c r="A317" s="2042">
        <v>43998</v>
      </c>
      <c r="B317" s="2510">
        <v>2020</v>
      </c>
      <c r="C317" s="2510">
        <v>6</v>
      </c>
      <c r="D317">
        <v>0.30787999999999999</v>
      </c>
      <c r="E317">
        <f t="shared" si="6"/>
        <v>2020</v>
      </c>
    </row>
    <row r="318" spans="1:5">
      <c r="A318" s="2042">
        <v>43997</v>
      </c>
      <c r="B318" s="2510">
        <v>2020</v>
      </c>
      <c r="C318" s="2510">
        <v>6</v>
      </c>
      <c r="D318">
        <v>0.29899999999999999</v>
      </c>
      <c r="E318">
        <f t="shared" si="6"/>
        <v>2020</v>
      </c>
    </row>
    <row r="319" spans="1:5">
      <c r="A319" s="2042">
        <v>43994</v>
      </c>
      <c r="B319" s="2510">
        <v>2020</v>
      </c>
      <c r="C319" s="2510">
        <v>6</v>
      </c>
      <c r="D319">
        <v>0.32088</v>
      </c>
      <c r="E319">
        <f t="shared" si="6"/>
        <v>2020</v>
      </c>
    </row>
    <row r="320" spans="1:5">
      <c r="A320" s="2042">
        <v>43993</v>
      </c>
      <c r="B320" s="2510">
        <v>2020</v>
      </c>
      <c r="C320" s="2510">
        <v>6</v>
      </c>
      <c r="D320">
        <v>0.31337999999999999</v>
      </c>
      <c r="E320">
        <f t="shared" si="6"/>
        <v>2020</v>
      </c>
    </row>
    <row r="321" spans="1:5">
      <c r="A321" s="2042">
        <v>43992</v>
      </c>
      <c r="B321" s="2510">
        <v>2020</v>
      </c>
      <c r="C321" s="2510">
        <v>6</v>
      </c>
      <c r="D321">
        <v>0.31838</v>
      </c>
      <c r="E321">
        <f t="shared" si="6"/>
        <v>2020</v>
      </c>
    </row>
    <row r="322" spans="1:5">
      <c r="A322" s="2042">
        <v>43991</v>
      </c>
      <c r="B322" s="2510">
        <v>2020</v>
      </c>
      <c r="C322" s="2510">
        <v>6</v>
      </c>
      <c r="D322">
        <v>0.31463000000000002</v>
      </c>
      <c r="E322">
        <f t="shared" si="6"/>
        <v>2020</v>
      </c>
    </row>
    <row r="323" spans="1:5">
      <c r="A323" s="2042">
        <v>43990</v>
      </c>
      <c r="B323" s="2510">
        <v>2020</v>
      </c>
      <c r="C323" s="2510">
        <v>6</v>
      </c>
      <c r="D323">
        <v>0.30975000000000003</v>
      </c>
      <c r="E323">
        <f t="shared" si="6"/>
        <v>2020</v>
      </c>
    </row>
    <row r="324" spans="1:5">
      <c r="A324" s="2042">
        <v>43987</v>
      </c>
      <c r="B324" s="2510">
        <v>2020</v>
      </c>
      <c r="C324" s="2510">
        <v>6</v>
      </c>
      <c r="D324">
        <v>0.31287999999999999</v>
      </c>
      <c r="E324">
        <f t="shared" ref="E324:E387" si="7">YEAR(A324)</f>
        <v>2020</v>
      </c>
    </row>
    <row r="325" spans="1:5">
      <c r="A325" s="2042">
        <v>43986</v>
      </c>
      <c r="B325" s="2510">
        <v>2020</v>
      </c>
      <c r="C325" s="2510">
        <v>6</v>
      </c>
      <c r="D325">
        <v>0.31763000000000002</v>
      </c>
      <c r="E325">
        <f t="shared" si="7"/>
        <v>2020</v>
      </c>
    </row>
    <row r="326" spans="1:5">
      <c r="A326" s="2042">
        <v>43985</v>
      </c>
      <c r="B326" s="2510">
        <v>2020</v>
      </c>
      <c r="C326" s="2510">
        <v>6</v>
      </c>
      <c r="D326">
        <v>0.32662999999999998</v>
      </c>
      <c r="E326">
        <f t="shared" si="7"/>
        <v>2020</v>
      </c>
    </row>
    <row r="327" spans="1:5">
      <c r="A327" s="2042">
        <v>43984</v>
      </c>
      <c r="B327" s="2510">
        <v>2020</v>
      </c>
      <c r="C327" s="2510">
        <v>6</v>
      </c>
      <c r="D327">
        <v>0.33050000000000002</v>
      </c>
      <c r="E327">
        <f t="shared" si="7"/>
        <v>2020</v>
      </c>
    </row>
    <row r="328" spans="1:5">
      <c r="A328" s="2042">
        <v>43983</v>
      </c>
      <c r="B328" s="2510">
        <v>2020</v>
      </c>
      <c r="C328" s="2510">
        <v>6</v>
      </c>
      <c r="D328">
        <v>0.33712999999999999</v>
      </c>
      <c r="E328">
        <f t="shared" si="7"/>
        <v>2020</v>
      </c>
    </row>
    <row r="329" spans="1:5">
      <c r="A329" s="2042">
        <v>43980</v>
      </c>
      <c r="B329" s="2510">
        <v>2020</v>
      </c>
      <c r="C329" s="2510">
        <v>5</v>
      </c>
      <c r="D329">
        <v>0.34399999999999997</v>
      </c>
      <c r="E329">
        <f t="shared" si="7"/>
        <v>2020</v>
      </c>
    </row>
    <row r="330" spans="1:5">
      <c r="A330" s="2042">
        <v>43979</v>
      </c>
      <c r="B330" s="2510">
        <v>2020</v>
      </c>
      <c r="C330" s="2510">
        <v>5</v>
      </c>
      <c r="D330">
        <v>0.35</v>
      </c>
      <c r="E330">
        <f t="shared" si="7"/>
        <v>2020</v>
      </c>
    </row>
    <row r="331" spans="1:5">
      <c r="A331" s="2042">
        <v>43978</v>
      </c>
      <c r="B331" s="2510">
        <v>2020</v>
      </c>
      <c r="C331" s="2510">
        <v>5</v>
      </c>
      <c r="D331">
        <v>0.36249999999999999</v>
      </c>
      <c r="E331">
        <f t="shared" si="7"/>
        <v>2020</v>
      </c>
    </row>
    <row r="332" spans="1:5">
      <c r="A332" s="2042">
        <v>43977</v>
      </c>
      <c r="B332" s="2510">
        <v>2020</v>
      </c>
      <c r="C332" s="2510">
        <v>5</v>
      </c>
      <c r="D332">
        <v>0.37125000000000002</v>
      </c>
      <c r="E332">
        <f t="shared" si="7"/>
        <v>2020</v>
      </c>
    </row>
    <row r="333" spans="1:5">
      <c r="A333" s="2042">
        <v>43973</v>
      </c>
      <c r="B333" s="2510">
        <v>2020</v>
      </c>
      <c r="C333" s="2510">
        <v>5</v>
      </c>
      <c r="D333">
        <v>0.36925000000000002</v>
      </c>
      <c r="E333">
        <f t="shared" si="7"/>
        <v>2020</v>
      </c>
    </row>
    <row r="334" spans="1:5">
      <c r="A334" s="2042">
        <v>43972</v>
      </c>
      <c r="B334" s="2510">
        <v>2020</v>
      </c>
      <c r="C334" s="2510">
        <v>5</v>
      </c>
      <c r="D334">
        <v>0.35949999999999999</v>
      </c>
      <c r="E334">
        <f t="shared" si="7"/>
        <v>2020</v>
      </c>
    </row>
    <row r="335" spans="1:5">
      <c r="A335" s="2042">
        <v>43971</v>
      </c>
      <c r="B335" s="2510">
        <v>2020</v>
      </c>
      <c r="C335" s="2510">
        <v>5</v>
      </c>
      <c r="D335">
        <v>0.35799999999999998</v>
      </c>
      <c r="E335">
        <f t="shared" si="7"/>
        <v>2020</v>
      </c>
    </row>
    <row r="336" spans="1:5">
      <c r="A336" s="2042">
        <v>43970</v>
      </c>
      <c r="B336" s="2510">
        <v>2020</v>
      </c>
      <c r="C336" s="2510">
        <v>5</v>
      </c>
      <c r="D336">
        <v>0.37413000000000002</v>
      </c>
      <c r="E336">
        <f t="shared" si="7"/>
        <v>2020</v>
      </c>
    </row>
    <row r="337" spans="1:5">
      <c r="A337" s="2042">
        <v>43969</v>
      </c>
      <c r="B337" s="2510">
        <v>2020</v>
      </c>
      <c r="C337" s="2510">
        <v>5</v>
      </c>
      <c r="D337">
        <v>0.37663000000000002</v>
      </c>
      <c r="E337">
        <f t="shared" si="7"/>
        <v>2020</v>
      </c>
    </row>
    <row r="338" spans="1:5">
      <c r="A338" s="2042">
        <v>43966</v>
      </c>
      <c r="B338" s="2510">
        <v>2020</v>
      </c>
      <c r="C338" s="2510">
        <v>5</v>
      </c>
      <c r="D338">
        <v>0.3805</v>
      </c>
      <c r="E338">
        <f t="shared" si="7"/>
        <v>2020</v>
      </c>
    </row>
    <row r="339" spans="1:5">
      <c r="A339" s="2042">
        <v>43965</v>
      </c>
      <c r="B339" s="2510">
        <v>2020</v>
      </c>
      <c r="C339" s="2510">
        <v>5</v>
      </c>
      <c r="D339">
        <v>0.38562999999999997</v>
      </c>
      <c r="E339">
        <f t="shared" si="7"/>
        <v>2020</v>
      </c>
    </row>
    <row r="340" spans="1:5">
      <c r="A340" s="2042">
        <v>43964</v>
      </c>
      <c r="B340" s="2510">
        <v>2020</v>
      </c>
      <c r="C340" s="2510">
        <v>5</v>
      </c>
      <c r="D340">
        <v>0.39238000000000001</v>
      </c>
      <c r="E340">
        <f t="shared" si="7"/>
        <v>2020</v>
      </c>
    </row>
    <row r="341" spans="1:5">
      <c r="A341" s="2042">
        <v>43963</v>
      </c>
      <c r="B341" s="2510">
        <v>2020</v>
      </c>
      <c r="C341" s="2510">
        <v>5</v>
      </c>
      <c r="D341">
        <v>0.42399999999999999</v>
      </c>
      <c r="E341">
        <f t="shared" si="7"/>
        <v>2020</v>
      </c>
    </row>
    <row r="342" spans="1:5">
      <c r="A342" s="2042">
        <v>43962</v>
      </c>
      <c r="B342" s="2510">
        <v>2020</v>
      </c>
      <c r="C342" s="2510">
        <v>5</v>
      </c>
      <c r="D342">
        <v>0.4335</v>
      </c>
      <c r="E342">
        <f t="shared" si="7"/>
        <v>2020</v>
      </c>
    </row>
    <row r="343" spans="1:5">
      <c r="A343" s="2042">
        <v>43958</v>
      </c>
      <c r="B343" s="2510">
        <v>2020</v>
      </c>
      <c r="C343" s="2510">
        <v>5</v>
      </c>
      <c r="D343">
        <v>0.43463000000000002</v>
      </c>
      <c r="E343">
        <f t="shared" si="7"/>
        <v>2020</v>
      </c>
    </row>
    <row r="344" spans="1:5">
      <c r="A344" s="2042">
        <v>43957</v>
      </c>
      <c r="B344" s="2510">
        <v>2020</v>
      </c>
      <c r="C344" s="2510">
        <v>5</v>
      </c>
      <c r="D344">
        <v>0.44762999999999997</v>
      </c>
      <c r="E344">
        <f t="shared" si="7"/>
        <v>2020</v>
      </c>
    </row>
    <row r="345" spans="1:5">
      <c r="A345" s="2042">
        <v>43956</v>
      </c>
      <c r="B345" s="2510">
        <v>2020</v>
      </c>
      <c r="C345" s="2510">
        <v>5</v>
      </c>
      <c r="D345">
        <v>0.47399999999999998</v>
      </c>
      <c r="E345">
        <f t="shared" si="7"/>
        <v>2020</v>
      </c>
    </row>
    <row r="346" spans="1:5">
      <c r="A346" s="2042">
        <v>43955</v>
      </c>
      <c r="B346" s="2510">
        <v>2020</v>
      </c>
      <c r="C346" s="2510">
        <v>5</v>
      </c>
      <c r="D346">
        <v>0.50087999999999999</v>
      </c>
      <c r="E346">
        <f t="shared" si="7"/>
        <v>2020</v>
      </c>
    </row>
    <row r="347" spans="1:5">
      <c r="A347" s="2042">
        <v>43952</v>
      </c>
      <c r="B347" s="2510">
        <v>2020</v>
      </c>
      <c r="C347" s="2510">
        <v>5</v>
      </c>
      <c r="D347">
        <v>0.54088000000000003</v>
      </c>
      <c r="E347">
        <f t="shared" si="7"/>
        <v>2020</v>
      </c>
    </row>
    <row r="348" spans="1:5">
      <c r="A348" s="2042">
        <v>43951</v>
      </c>
      <c r="B348" s="2510">
        <v>2020</v>
      </c>
      <c r="C348" s="2510">
        <v>4</v>
      </c>
      <c r="D348">
        <v>0.55613000000000001</v>
      </c>
      <c r="E348">
        <f t="shared" si="7"/>
        <v>2020</v>
      </c>
    </row>
    <row r="349" spans="1:5">
      <c r="A349" s="2042">
        <v>43950</v>
      </c>
      <c r="B349" s="2510">
        <v>2020</v>
      </c>
      <c r="C349" s="2510">
        <v>4</v>
      </c>
      <c r="D349">
        <v>0.68662999999999996</v>
      </c>
      <c r="E349">
        <f t="shared" si="7"/>
        <v>2020</v>
      </c>
    </row>
    <row r="350" spans="1:5">
      <c r="A350" s="2042">
        <v>43949</v>
      </c>
      <c r="B350" s="2510">
        <v>2020</v>
      </c>
      <c r="C350" s="2510">
        <v>4</v>
      </c>
      <c r="D350">
        <v>0.76012999999999997</v>
      </c>
      <c r="E350">
        <f t="shared" si="7"/>
        <v>2020</v>
      </c>
    </row>
    <row r="351" spans="1:5">
      <c r="A351" s="2042">
        <v>43948</v>
      </c>
      <c r="B351" s="2510">
        <v>2020</v>
      </c>
      <c r="C351" s="2510">
        <v>4</v>
      </c>
      <c r="D351">
        <v>0.84075</v>
      </c>
      <c r="E351">
        <f t="shared" si="7"/>
        <v>2020</v>
      </c>
    </row>
    <row r="352" spans="1:5">
      <c r="A352" s="2042">
        <v>43945</v>
      </c>
      <c r="B352" s="2510">
        <v>2020</v>
      </c>
      <c r="C352" s="2510">
        <v>4</v>
      </c>
      <c r="D352">
        <v>0.88712999999999997</v>
      </c>
      <c r="E352">
        <f t="shared" si="7"/>
        <v>2020</v>
      </c>
    </row>
    <row r="353" spans="1:5">
      <c r="A353" s="2042">
        <v>43944</v>
      </c>
      <c r="B353" s="2510">
        <v>2020</v>
      </c>
      <c r="C353" s="2510">
        <v>4</v>
      </c>
      <c r="D353">
        <v>0.99138000000000004</v>
      </c>
      <c r="E353">
        <f t="shared" si="7"/>
        <v>2020</v>
      </c>
    </row>
    <row r="354" spans="1:5">
      <c r="A354" s="2042">
        <v>43943</v>
      </c>
      <c r="B354" s="2510">
        <v>2020</v>
      </c>
      <c r="C354" s="2510">
        <v>4</v>
      </c>
      <c r="D354">
        <v>1.0202500000000001</v>
      </c>
      <c r="E354">
        <f t="shared" si="7"/>
        <v>2020</v>
      </c>
    </row>
    <row r="355" spans="1:5">
      <c r="A355" s="2042">
        <v>43942</v>
      </c>
      <c r="B355" s="2510">
        <v>2020</v>
      </c>
      <c r="C355" s="2510">
        <v>4</v>
      </c>
      <c r="D355">
        <v>1.0429999999999999</v>
      </c>
      <c r="E355">
        <f t="shared" si="7"/>
        <v>2020</v>
      </c>
    </row>
    <row r="356" spans="1:5">
      <c r="A356" s="2042">
        <v>43941</v>
      </c>
      <c r="B356" s="2510">
        <v>2020</v>
      </c>
      <c r="C356" s="2510">
        <v>4</v>
      </c>
      <c r="D356">
        <v>1.0976300000000001</v>
      </c>
      <c r="E356">
        <f t="shared" si="7"/>
        <v>2020</v>
      </c>
    </row>
    <row r="357" spans="1:5">
      <c r="A357" s="2042">
        <v>43938</v>
      </c>
      <c r="B357" s="2510">
        <v>2020</v>
      </c>
      <c r="C357" s="2510">
        <v>4</v>
      </c>
      <c r="D357">
        <v>1.109</v>
      </c>
      <c r="E357">
        <f t="shared" si="7"/>
        <v>2020</v>
      </c>
    </row>
    <row r="358" spans="1:5">
      <c r="A358" s="2042">
        <v>43937</v>
      </c>
      <c r="B358" s="2510">
        <v>2020</v>
      </c>
      <c r="C358" s="2510">
        <v>4</v>
      </c>
      <c r="D358">
        <v>1.1352500000000001</v>
      </c>
      <c r="E358">
        <f t="shared" si="7"/>
        <v>2020</v>
      </c>
    </row>
    <row r="359" spans="1:5">
      <c r="A359" s="2042">
        <v>43936</v>
      </c>
      <c r="B359" s="2510">
        <v>2020</v>
      </c>
      <c r="C359" s="2510">
        <v>4</v>
      </c>
      <c r="D359">
        <v>1.1348800000000001</v>
      </c>
      <c r="E359">
        <f t="shared" si="7"/>
        <v>2020</v>
      </c>
    </row>
    <row r="360" spans="1:5">
      <c r="A360" s="2042">
        <v>43935</v>
      </c>
      <c r="B360" s="2510">
        <v>2020</v>
      </c>
      <c r="C360" s="2510">
        <v>4</v>
      </c>
      <c r="D360">
        <v>1.1761299999999999</v>
      </c>
      <c r="E360">
        <f t="shared" si="7"/>
        <v>2020</v>
      </c>
    </row>
    <row r="361" spans="1:5">
      <c r="A361" s="2042">
        <v>43930</v>
      </c>
      <c r="B361" s="2510">
        <v>2020</v>
      </c>
      <c r="C361" s="2510">
        <v>4</v>
      </c>
      <c r="D361">
        <v>1.21888</v>
      </c>
      <c r="E361">
        <f t="shared" si="7"/>
        <v>2020</v>
      </c>
    </row>
    <row r="362" spans="1:5">
      <c r="A362" s="2042">
        <v>43929</v>
      </c>
      <c r="B362" s="2510">
        <v>2020</v>
      </c>
      <c r="C362" s="2510">
        <v>4</v>
      </c>
      <c r="D362">
        <v>1.31138</v>
      </c>
      <c r="E362">
        <f t="shared" si="7"/>
        <v>2020</v>
      </c>
    </row>
    <row r="363" spans="1:5">
      <c r="A363" s="2042">
        <v>43928</v>
      </c>
      <c r="B363" s="2510">
        <v>2020</v>
      </c>
      <c r="C363" s="2510">
        <v>4</v>
      </c>
      <c r="D363">
        <v>1.3198799999999999</v>
      </c>
      <c r="E363">
        <f t="shared" si="7"/>
        <v>2020</v>
      </c>
    </row>
    <row r="364" spans="1:5">
      <c r="A364" s="2042">
        <v>43927</v>
      </c>
      <c r="B364" s="2510">
        <v>2020</v>
      </c>
      <c r="C364" s="2510">
        <v>4</v>
      </c>
      <c r="D364">
        <v>1.3523799999999999</v>
      </c>
      <c r="E364">
        <f t="shared" si="7"/>
        <v>2020</v>
      </c>
    </row>
    <row r="365" spans="1:5">
      <c r="A365" s="2042">
        <v>43924</v>
      </c>
      <c r="B365" s="2510">
        <v>2020</v>
      </c>
      <c r="C365" s="2510">
        <v>4</v>
      </c>
      <c r="D365">
        <v>1.3873800000000001</v>
      </c>
      <c r="E365">
        <f t="shared" si="7"/>
        <v>2020</v>
      </c>
    </row>
    <row r="366" spans="1:5">
      <c r="A366" s="2042">
        <v>43923</v>
      </c>
      <c r="B366" s="2510">
        <v>2020</v>
      </c>
      <c r="C366" s="2510">
        <v>4</v>
      </c>
      <c r="D366">
        <v>1.373</v>
      </c>
      <c r="E366">
        <f t="shared" si="7"/>
        <v>2020</v>
      </c>
    </row>
    <row r="367" spans="1:5">
      <c r="A367" s="2042">
        <v>43922</v>
      </c>
      <c r="B367" s="2510">
        <v>2020</v>
      </c>
      <c r="C367" s="2510">
        <v>4</v>
      </c>
      <c r="D367">
        <v>1.4365000000000001</v>
      </c>
      <c r="E367">
        <f t="shared" si="7"/>
        <v>2020</v>
      </c>
    </row>
    <row r="368" spans="1:5">
      <c r="A368" s="2042">
        <v>43921</v>
      </c>
      <c r="B368" s="2510">
        <v>2020</v>
      </c>
      <c r="C368" s="2510">
        <v>3</v>
      </c>
      <c r="D368">
        <v>1.4504999999999999</v>
      </c>
      <c r="E368">
        <f t="shared" si="7"/>
        <v>2020</v>
      </c>
    </row>
    <row r="369" spans="1:5">
      <c r="A369" s="2042">
        <v>43920</v>
      </c>
      <c r="B369" s="2510">
        <v>2020</v>
      </c>
      <c r="C369" s="2510">
        <v>3</v>
      </c>
      <c r="D369">
        <v>1.4333800000000001</v>
      </c>
      <c r="E369">
        <f t="shared" si="7"/>
        <v>2020</v>
      </c>
    </row>
    <row r="370" spans="1:5">
      <c r="A370" s="2042">
        <v>43917</v>
      </c>
      <c r="B370" s="2510">
        <v>2020</v>
      </c>
      <c r="C370" s="2510">
        <v>3</v>
      </c>
      <c r="D370">
        <v>1.4501299999999999</v>
      </c>
      <c r="E370">
        <f t="shared" si="7"/>
        <v>2020</v>
      </c>
    </row>
    <row r="371" spans="1:5">
      <c r="A371" s="2042">
        <v>43916</v>
      </c>
      <c r="B371" s="2510">
        <v>2020</v>
      </c>
      <c r="C371" s="2510">
        <v>3</v>
      </c>
      <c r="D371">
        <v>1.37463</v>
      </c>
      <c r="E371">
        <f t="shared" si="7"/>
        <v>2020</v>
      </c>
    </row>
    <row r="372" spans="1:5">
      <c r="A372" s="2042">
        <v>43915</v>
      </c>
      <c r="B372" s="2510">
        <v>2020</v>
      </c>
      <c r="C372" s="2510">
        <v>3</v>
      </c>
      <c r="D372">
        <v>1.2669999999999999</v>
      </c>
      <c r="E372">
        <f t="shared" si="7"/>
        <v>2020</v>
      </c>
    </row>
    <row r="373" spans="1:5">
      <c r="A373" s="2042">
        <v>43914</v>
      </c>
      <c r="B373" s="2510">
        <v>2020</v>
      </c>
      <c r="C373" s="2510">
        <v>3</v>
      </c>
      <c r="D373">
        <v>1.23238</v>
      </c>
      <c r="E373">
        <f t="shared" si="7"/>
        <v>2020</v>
      </c>
    </row>
    <row r="374" spans="1:5">
      <c r="A374" s="2042">
        <v>43913</v>
      </c>
      <c r="B374" s="2510">
        <v>2020</v>
      </c>
      <c r="C374" s="2510">
        <v>3</v>
      </c>
      <c r="D374">
        <v>1.21563</v>
      </c>
      <c r="E374">
        <f t="shared" si="7"/>
        <v>2020</v>
      </c>
    </row>
    <row r="375" spans="1:5">
      <c r="A375" s="2042">
        <v>43910</v>
      </c>
      <c r="B375" s="2510">
        <v>2020</v>
      </c>
      <c r="C375" s="2510">
        <v>3</v>
      </c>
      <c r="D375">
        <v>1.2041299999999999</v>
      </c>
      <c r="E375">
        <f t="shared" si="7"/>
        <v>2020</v>
      </c>
    </row>
    <row r="376" spans="1:5">
      <c r="A376" s="2042">
        <v>43909</v>
      </c>
      <c r="B376" s="2510">
        <v>2020</v>
      </c>
      <c r="C376" s="2510">
        <v>3</v>
      </c>
      <c r="D376">
        <v>1.19513</v>
      </c>
      <c r="E376">
        <f t="shared" si="7"/>
        <v>2020</v>
      </c>
    </row>
    <row r="377" spans="1:5">
      <c r="A377" s="2042">
        <v>43908</v>
      </c>
      <c r="B377" s="2510">
        <v>2020</v>
      </c>
      <c r="C377" s="2510">
        <v>3</v>
      </c>
      <c r="D377">
        <v>1.11575</v>
      </c>
      <c r="E377">
        <f t="shared" si="7"/>
        <v>2020</v>
      </c>
    </row>
    <row r="378" spans="1:5">
      <c r="A378" s="2042">
        <v>43907</v>
      </c>
      <c r="B378" s="2510">
        <v>2020</v>
      </c>
      <c r="C378" s="2510">
        <v>3</v>
      </c>
      <c r="D378">
        <v>1.0518799999999999</v>
      </c>
      <c r="E378">
        <f t="shared" si="7"/>
        <v>2020</v>
      </c>
    </row>
    <row r="379" spans="1:5">
      <c r="A379" s="2042">
        <v>43906</v>
      </c>
      <c r="B379" s="2510">
        <v>2020</v>
      </c>
      <c r="C379" s="2510">
        <v>3</v>
      </c>
      <c r="D379">
        <v>0.88937999999999995</v>
      </c>
      <c r="E379">
        <f t="shared" si="7"/>
        <v>2020</v>
      </c>
    </row>
    <row r="380" spans="1:5">
      <c r="A380" s="2042">
        <v>43903</v>
      </c>
      <c r="B380" s="2510">
        <v>2020</v>
      </c>
      <c r="C380" s="2510">
        <v>3</v>
      </c>
      <c r="D380">
        <v>0.84313000000000005</v>
      </c>
      <c r="E380">
        <f t="shared" si="7"/>
        <v>2020</v>
      </c>
    </row>
    <row r="381" spans="1:5">
      <c r="A381" s="2042">
        <v>43902</v>
      </c>
      <c r="B381" s="2510">
        <v>2020</v>
      </c>
      <c r="C381" s="2510">
        <v>3</v>
      </c>
      <c r="D381">
        <v>0.74050000000000005</v>
      </c>
      <c r="E381">
        <f t="shared" si="7"/>
        <v>2020</v>
      </c>
    </row>
    <row r="382" spans="1:5">
      <c r="A382" s="2042">
        <v>43901</v>
      </c>
      <c r="B382" s="2510">
        <v>2020</v>
      </c>
      <c r="C382" s="2510">
        <v>3</v>
      </c>
      <c r="D382">
        <v>0.77249999999999996</v>
      </c>
      <c r="E382">
        <f t="shared" si="7"/>
        <v>2020</v>
      </c>
    </row>
    <row r="383" spans="1:5">
      <c r="A383" s="2042">
        <v>43900</v>
      </c>
      <c r="B383" s="2510">
        <v>2020</v>
      </c>
      <c r="C383" s="2510">
        <v>3</v>
      </c>
      <c r="D383">
        <v>0.78412999999999999</v>
      </c>
      <c r="E383">
        <f t="shared" si="7"/>
        <v>2020</v>
      </c>
    </row>
    <row r="384" spans="1:5">
      <c r="A384" s="2042">
        <v>43899</v>
      </c>
      <c r="B384" s="2510">
        <v>2020</v>
      </c>
      <c r="C384" s="2510">
        <v>3</v>
      </c>
      <c r="D384">
        <v>0.76812999999999998</v>
      </c>
      <c r="E384">
        <f t="shared" si="7"/>
        <v>2020</v>
      </c>
    </row>
    <row r="385" spans="1:5">
      <c r="A385" s="2042">
        <v>43896</v>
      </c>
      <c r="B385" s="2510">
        <v>2020</v>
      </c>
      <c r="C385" s="2510">
        <v>3</v>
      </c>
      <c r="D385">
        <v>0.89600000000000002</v>
      </c>
      <c r="E385">
        <f t="shared" si="7"/>
        <v>2020</v>
      </c>
    </row>
    <row r="386" spans="1:5">
      <c r="A386" s="2042">
        <v>43895</v>
      </c>
      <c r="B386" s="2510">
        <v>2020</v>
      </c>
      <c r="C386" s="2510">
        <v>3</v>
      </c>
      <c r="D386">
        <v>0.99887999999999999</v>
      </c>
      <c r="E386">
        <f t="shared" si="7"/>
        <v>2020</v>
      </c>
    </row>
    <row r="387" spans="1:5">
      <c r="A387" s="2042">
        <v>43894</v>
      </c>
      <c r="B387" s="2510">
        <v>2020</v>
      </c>
      <c r="C387" s="2510">
        <v>3</v>
      </c>
      <c r="D387">
        <v>1.0006299999999999</v>
      </c>
      <c r="E387">
        <f t="shared" si="7"/>
        <v>2020</v>
      </c>
    </row>
    <row r="388" spans="1:5">
      <c r="A388" s="2042">
        <v>43893</v>
      </c>
      <c r="B388" s="2510">
        <v>2020</v>
      </c>
      <c r="C388" s="2510">
        <v>3</v>
      </c>
      <c r="D388">
        <v>1.3142499999999999</v>
      </c>
      <c r="E388">
        <f t="shared" ref="E388:E451" si="8">YEAR(A388)</f>
        <v>2020</v>
      </c>
    </row>
    <row r="389" spans="1:5">
      <c r="A389" s="2042">
        <v>43892</v>
      </c>
      <c r="B389" s="2510">
        <v>2020</v>
      </c>
      <c r="C389" s="2510">
        <v>3</v>
      </c>
      <c r="D389">
        <v>1.2537499999999999</v>
      </c>
      <c r="E389">
        <f t="shared" si="8"/>
        <v>2020</v>
      </c>
    </row>
    <row r="390" spans="1:5">
      <c r="A390" s="2042">
        <v>43889</v>
      </c>
      <c r="B390" s="2510">
        <v>2020</v>
      </c>
      <c r="C390" s="2510">
        <v>2</v>
      </c>
      <c r="D390">
        <v>1.46275</v>
      </c>
      <c r="E390">
        <f t="shared" si="8"/>
        <v>2020</v>
      </c>
    </row>
    <row r="391" spans="1:5">
      <c r="A391" s="2042">
        <v>43888</v>
      </c>
      <c r="B391" s="2510">
        <v>2020</v>
      </c>
      <c r="C391" s="2510">
        <v>2</v>
      </c>
      <c r="D391">
        <v>1.5803799999999999</v>
      </c>
      <c r="E391">
        <f t="shared" si="8"/>
        <v>2020</v>
      </c>
    </row>
    <row r="392" spans="1:5">
      <c r="A392" s="2042">
        <v>43887</v>
      </c>
      <c r="B392" s="2510">
        <v>2020</v>
      </c>
      <c r="C392" s="2510">
        <v>2</v>
      </c>
      <c r="D392">
        <v>1.6132500000000001</v>
      </c>
      <c r="E392">
        <f t="shared" si="8"/>
        <v>2020</v>
      </c>
    </row>
    <row r="393" spans="1:5">
      <c r="A393" s="2042">
        <v>43886</v>
      </c>
      <c r="B393" s="2510">
        <v>2020</v>
      </c>
      <c r="C393" s="2510">
        <v>2</v>
      </c>
      <c r="D393">
        <v>1.6376299999999999</v>
      </c>
      <c r="E393">
        <f t="shared" si="8"/>
        <v>2020</v>
      </c>
    </row>
    <row r="394" spans="1:5">
      <c r="A394" s="2042">
        <v>43885</v>
      </c>
      <c r="B394" s="2510">
        <v>2020</v>
      </c>
      <c r="C394" s="2510">
        <v>2</v>
      </c>
      <c r="D394">
        <v>1.64663</v>
      </c>
      <c r="E394">
        <f t="shared" si="8"/>
        <v>2020</v>
      </c>
    </row>
    <row r="395" spans="1:5">
      <c r="A395" s="2042">
        <v>43882</v>
      </c>
      <c r="B395" s="2510">
        <v>2020</v>
      </c>
      <c r="C395" s="2510">
        <v>2</v>
      </c>
      <c r="D395">
        <v>1.6792499999999999</v>
      </c>
      <c r="E395">
        <f t="shared" si="8"/>
        <v>2020</v>
      </c>
    </row>
    <row r="396" spans="1:5">
      <c r="A396" s="2042">
        <v>43881</v>
      </c>
      <c r="B396" s="2510">
        <v>2020</v>
      </c>
      <c r="C396" s="2510">
        <v>2</v>
      </c>
      <c r="D396">
        <v>1.68275</v>
      </c>
      <c r="E396">
        <f t="shared" si="8"/>
        <v>2020</v>
      </c>
    </row>
    <row r="397" spans="1:5">
      <c r="A397" s="2042">
        <v>43880</v>
      </c>
      <c r="B397" s="2510">
        <v>2020</v>
      </c>
      <c r="C397" s="2510">
        <v>2</v>
      </c>
      <c r="D397">
        <v>1.696</v>
      </c>
      <c r="E397">
        <f t="shared" si="8"/>
        <v>2020</v>
      </c>
    </row>
    <row r="398" spans="1:5">
      <c r="A398" s="2042">
        <v>43879</v>
      </c>
      <c r="B398" s="2510">
        <v>2020</v>
      </c>
      <c r="C398" s="2510">
        <v>2</v>
      </c>
      <c r="D398">
        <v>1.6946300000000001</v>
      </c>
      <c r="E398">
        <f t="shared" si="8"/>
        <v>2020</v>
      </c>
    </row>
    <row r="399" spans="1:5">
      <c r="A399" s="2042">
        <v>43878</v>
      </c>
      <c r="B399" s="2510">
        <v>2020</v>
      </c>
      <c r="C399" s="2510">
        <v>2</v>
      </c>
      <c r="D399">
        <v>1.6928799999999999</v>
      </c>
      <c r="E399">
        <f t="shared" si="8"/>
        <v>2020</v>
      </c>
    </row>
    <row r="400" spans="1:5">
      <c r="A400" s="2042">
        <v>43875</v>
      </c>
      <c r="B400" s="2510">
        <v>2020</v>
      </c>
      <c r="C400" s="2510">
        <v>2</v>
      </c>
      <c r="D400">
        <v>1.6917500000000001</v>
      </c>
      <c r="E400">
        <f t="shared" si="8"/>
        <v>2020</v>
      </c>
    </row>
    <row r="401" spans="1:5">
      <c r="A401" s="2042">
        <v>43874</v>
      </c>
      <c r="B401" s="2510">
        <v>2020</v>
      </c>
      <c r="C401" s="2510">
        <v>2</v>
      </c>
      <c r="D401">
        <v>1.69163</v>
      </c>
      <c r="E401">
        <f t="shared" si="8"/>
        <v>2020</v>
      </c>
    </row>
    <row r="402" spans="1:5">
      <c r="A402" s="2042">
        <v>43873</v>
      </c>
      <c r="B402" s="2510">
        <v>2020</v>
      </c>
      <c r="C402" s="2510">
        <v>2</v>
      </c>
      <c r="D402">
        <v>1.7037500000000001</v>
      </c>
      <c r="E402">
        <f t="shared" si="8"/>
        <v>2020</v>
      </c>
    </row>
    <row r="403" spans="1:5">
      <c r="A403" s="2042">
        <v>43872</v>
      </c>
      <c r="B403" s="2510">
        <v>2020</v>
      </c>
      <c r="C403" s="2510">
        <v>2</v>
      </c>
      <c r="D403">
        <v>1.7072499999999999</v>
      </c>
      <c r="E403">
        <f t="shared" si="8"/>
        <v>2020</v>
      </c>
    </row>
    <row r="404" spans="1:5">
      <c r="A404" s="2042">
        <v>43871</v>
      </c>
      <c r="B404" s="2510">
        <v>2020</v>
      </c>
      <c r="C404" s="2510">
        <v>2</v>
      </c>
      <c r="D404">
        <v>1.71313</v>
      </c>
      <c r="E404">
        <f t="shared" si="8"/>
        <v>2020</v>
      </c>
    </row>
    <row r="405" spans="1:5">
      <c r="A405" s="2042">
        <v>43868</v>
      </c>
      <c r="B405" s="2510">
        <v>2020</v>
      </c>
      <c r="C405" s="2510">
        <v>2</v>
      </c>
      <c r="D405">
        <v>1.73088</v>
      </c>
      <c r="E405">
        <f t="shared" si="8"/>
        <v>2020</v>
      </c>
    </row>
    <row r="406" spans="1:5">
      <c r="A406" s="2042">
        <v>43867</v>
      </c>
      <c r="B406" s="2510">
        <v>2020</v>
      </c>
      <c r="C406" s="2510">
        <v>2</v>
      </c>
      <c r="D406">
        <v>1.7341299999999999</v>
      </c>
      <c r="E406">
        <f t="shared" si="8"/>
        <v>2020</v>
      </c>
    </row>
    <row r="407" spans="1:5">
      <c r="A407" s="2042">
        <v>43866</v>
      </c>
      <c r="B407" s="2510">
        <v>2020</v>
      </c>
      <c r="C407" s="2510">
        <v>2</v>
      </c>
      <c r="D407">
        <v>1.74163</v>
      </c>
      <c r="E407">
        <f t="shared" si="8"/>
        <v>2020</v>
      </c>
    </row>
    <row r="408" spans="1:5">
      <c r="A408" s="2042">
        <v>43865</v>
      </c>
      <c r="B408" s="2510">
        <v>2020</v>
      </c>
      <c r="C408" s="2510">
        <v>2</v>
      </c>
      <c r="D408">
        <v>1.7373799999999999</v>
      </c>
      <c r="E408">
        <f t="shared" si="8"/>
        <v>2020</v>
      </c>
    </row>
    <row r="409" spans="1:5">
      <c r="A409" s="2042">
        <v>43864</v>
      </c>
      <c r="B409" s="2510">
        <v>2020</v>
      </c>
      <c r="C409" s="2510">
        <v>2</v>
      </c>
      <c r="D409">
        <v>1.7410000000000001</v>
      </c>
      <c r="E409">
        <f t="shared" si="8"/>
        <v>2020</v>
      </c>
    </row>
    <row r="410" spans="1:5">
      <c r="A410" s="2042">
        <v>43861</v>
      </c>
      <c r="B410" s="2510">
        <v>2020</v>
      </c>
      <c r="C410" s="2510">
        <v>1</v>
      </c>
      <c r="D410">
        <v>1.7511300000000001</v>
      </c>
      <c r="E410">
        <f t="shared" si="8"/>
        <v>2020</v>
      </c>
    </row>
    <row r="411" spans="1:5">
      <c r="A411" s="2042">
        <v>43860</v>
      </c>
      <c r="B411" s="2510">
        <v>2020</v>
      </c>
      <c r="C411" s="2510">
        <v>1</v>
      </c>
      <c r="D411">
        <v>1.76325</v>
      </c>
      <c r="E411">
        <f t="shared" si="8"/>
        <v>2020</v>
      </c>
    </row>
    <row r="412" spans="1:5">
      <c r="A412" s="2042">
        <v>43859</v>
      </c>
      <c r="B412" s="2510">
        <v>2020</v>
      </c>
      <c r="C412" s="2510">
        <v>1</v>
      </c>
      <c r="D412">
        <v>1.7771300000000001</v>
      </c>
      <c r="E412">
        <f t="shared" si="8"/>
        <v>2020</v>
      </c>
    </row>
    <row r="413" spans="1:5">
      <c r="A413" s="2042">
        <v>43858</v>
      </c>
      <c r="B413" s="2510">
        <v>2020</v>
      </c>
      <c r="C413" s="2510">
        <v>1</v>
      </c>
      <c r="D413">
        <v>1.7695000000000001</v>
      </c>
      <c r="E413">
        <f t="shared" si="8"/>
        <v>2020</v>
      </c>
    </row>
    <row r="414" spans="1:5">
      <c r="A414" s="2042">
        <v>43857</v>
      </c>
      <c r="B414" s="2510">
        <v>2020</v>
      </c>
      <c r="C414" s="2510">
        <v>1</v>
      </c>
      <c r="D414">
        <v>1.7745</v>
      </c>
      <c r="E414">
        <f t="shared" si="8"/>
        <v>2020</v>
      </c>
    </row>
    <row r="415" spans="1:5">
      <c r="A415" s="2042">
        <v>43854</v>
      </c>
      <c r="B415" s="2510">
        <v>2020</v>
      </c>
      <c r="C415" s="2510">
        <v>1</v>
      </c>
      <c r="D415">
        <v>1.79538</v>
      </c>
      <c r="E415">
        <f t="shared" si="8"/>
        <v>2020</v>
      </c>
    </row>
    <row r="416" spans="1:5">
      <c r="A416" s="2042">
        <v>43853</v>
      </c>
      <c r="B416" s="2510">
        <v>2020</v>
      </c>
      <c r="C416" s="2510">
        <v>1</v>
      </c>
      <c r="D416">
        <v>1.79413</v>
      </c>
      <c r="E416">
        <f t="shared" si="8"/>
        <v>2020</v>
      </c>
    </row>
    <row r="417" spans="1:5">
      <c r="A417" s="2042">
        <v>43852</v>
      </c>
      <c r="B417" s="2510">
        <v>2020</v>
      </c>
      <c r="C417" s="2510">
        <v>1</v>
      </c>
      <c r="D417">
        <v>1.80088</v>
      </c>
      <c r="E417">
        <f t="shared" si="8"/>
        <v>2020</v>
      </c>
    </row>
    <row r="418" spans="1:5">
      <c r="A418" s="2042">
        <v>43851</v>
      </c>
      <c r="B418" s="2510">
        <v>2020</v>
      </c>
      <c r="C418" s="2510">
        <v>1</v>
      </c>
      <c r="D418">
        <v>1.8062499999999999</v>
      </c>
      <c r="E418">
        <f t="shared" si="8"/>
        <v>2020</v>
      </c>
    </row>
    <row r="419" spans="1:5">
      <c r="A419" s="2042">
        <v>43850</v>
      </c>
      <c r="B419" s="2510">
        <v>2020</v>
      </c>
      <c r="C419" s="2510">
        <v>1</v>
      </c>
      <c r="D419">
        <v>1.80213</v>
      </c>
      <c r="E419">
        <f t="shared" si="8"/>
        <v>2020</v>
      </c>
    </row>
    <row r="420" spans="1:5">
      <c r="A420" s="2042">
        <v>43847</v>
      </c>
      <c r="B420" s="2510">
        <v>2020</v>
      </c>
      <c r="C420" s="2510">
        <v>1</v>
      </c>
      <c r="D420">
        <v>1.8191299999999999</v>
      </c>
      <c r="E420">
        <f t="shared" si="8"/>
        <v>2020</v>
      </c>
    </row>
    <row r="421" spans="1:5">
      <c r="A421" s="2042">
        <v>43846</v>
      </c>
      <c r="B421" s="2510">
        <v>2020</v>
      </c>
      <c r="C421" s="2510">
        <v>1</v>
      </c>
      <c r="D421">
        <v>1.82663</v>
      </c>
      <c r="E421">
        <f t="shared" si="8"/>
        <v>2020</v>
      </c>
    </row>
    <row r="422" spans="1:5">
      <c r="A422" s="2042">
        <v>43845</v>
      </c>
      <c r="B422" s="2510">
        <v>2020</v>
      </c>
      <c r="C422" s="2510">
        <v>1</v>
      </c>
      <c r="D422">
        <v>1.83613</v>
      </c>
      <c r="E422">
        <f t="shared" si="8"/>
        <v>2020</v>
      </c>
    </row>
    <row r="423" spans="1:5">
      <c r="A423" s="2042">
        <v>43844</v>
      </c>
      <c r="B423" s="2510">
        <v>2020</v>
      </c>
      <c r="C423" s="2510">
        <v>1</v>
      </c>
      <c r="D423">
        <v>1.84263</v>
      </c>
      <c r="E423">
        <f t="shared" si="8"/>
        <v>2020</v>
      </c>
    </row>
    <row r="424" spans="1:5">
      <c r="A424" s="2042">
        <v>43843</v>
      </c>
      <c r="B424" s="2510">
        <v>2020</v>
      </c>
      <c r="C424" s="2510">
        <v>1</v>
      </c>
      <c r="D424">
        <v>1.83125</v>
      </c>
      <c r="E424">
        <f t="shared" si="8"/>
        <v>2020</v>
      </c>
    </row>
    <row r="425" spans="1:5">
      <c r="A425" s="2042">
        <v>43840</v>
      </c>
      <c r="B425" s="2510">
        <v>2020</v>
      </c>
      <c r="C425" s="2510">
        <v>1</v>
      </c>
      <c r="D425">
        <v>1.83775</v>
      </c>
      <c r="E425">
        <f t="shared" si="8"/>
        <v>2020</v>
      </c>
    </row>
    <row r="426" spans="1:5">
      <c r="A426" s="2042">
        <v>43839</v>
      </c>
      <c r="B426" s="2510">
        <v>2020</v>
      </c>
      <c r="C426" s="2510">
        <v>1</v>
      </c>
      <c r="D426">
        <v>1.84788</v>
      </c>
      <c r="E426">
        <f t="shared" si="8"/>
        <v>2020</v>
      </c>
    </row>
    <row r="427" spans="1:5">
      <c r="A427" s="2042">
        <v>43838</v>
      </c>
      <c r="B427" s="2510">
        <v>2020</v>
      </c>
      <c r="C427" s="2510">
        <v>1</v>
      </c>
      <c r="D427">
        <v>1.8340000000000001</v>
      </c>
      <c r="E427">
        <f t="shared" si="8"/>
        <v>2020</v>
      </c>
    </row>
    <row r="428" spans="1:5">
      <c r="A428" s="2042">
        <v>43837</v>
      </c>
      <c r="B428" s="2510">
        <v>2020</v>
      </c>
      <c r="C428" s="2510">
        <v>1</v>
      </c>
      <c r="D428">
        <v>1.8779999999999999</v>
      </c>
      <c r="E428">
        <f t="shared" si="8"/>
        <v>2020</v>
      </c>
    </row>
    <row r="429" spans="1:5">
      <c r="A429" s="2042">
        <v>43836</v>
      </c>
      <c r="B429" s="2510">
        <v>2020</v>
      </c>
      <c r="C429" s="2510">
        <v>1</v>
      </c>
      <c r="D429">
        <v>1.87225</v>
      </c>
      <c r="E429">
        <f t="shared" si="8"/>
        <v>2020</v>
      </c>
    </row>
    <row r="430" spans="1:5">
      <c r="A430" s="2042">
        <v>43833</v>
      </c>
      <c r="B430" s="2510">
        <v>2020</v>
      </c>
      <c r="C430" s="2510">
        <v>1</v>
      </c>
      <c r="D430">
        <v>1.87388</v>
      </c>
      <c r="E430">
        <f t="shared" si="8"/>
        <v>2020</v>
      </c>
    </row>
    <row r="431" spans="1:5">
      <c r="A431" s="2042">
        <v>43832</v>
      </c>
      <c r="B431" s="2510">
        <v>2020</v>
      </c>
      <c r="C431" s="2510">
        <v>1</v>
      </c>
      <c r="D431">
        <v>1.90025</v>
      </c>
      <c r="E431">
        <f t="shared" si="8"/>
        <v>2020</v>
      </c>
    </row>
    <row r="432" spans="1:5">
      <c r="A432" s="2042">
        <v>43830</v>
      </c>
      <c r="B432" s="2510">
        <v>2019</v>
      </c>
      <c r="C432" s="2510">
        <v>12</v>
      </c>
      <c r="D432">
        <v>1.90838</v>
      </c>
      <c r="E432">
        <f t="shared" si="8"/>
        <v>2019</v>
      </c>
    </row>
    <row r="433" spans="1:5">
      <c r="A433" s="2042">
        <v>43829</v>
      </c>
      <c r="B433" s="2510">
        <v>2019</v>
      </c>
      <c r="C433" s="2510">
        <v>12</v>
      </c>
      <c r="D433">
        <v>1.9093800000000001</v>
      </c>
      <c r="E433">
        <f t="shared" si="8"/>
        <v>2019</v>
      </c>
    </row>
    <row r="434" spans="1:5">
      <c r="A434" s="2042">
        <v>43826</v>
      </c>
      <c r="B434" s="2510">
        <v>2019</v>
      </c>
      <c r="C434" s="2510">
        <v>12</v>
      </c>
      <c r="D434">
        <v>1.9446300000000001</v>
      </c>
      <c r="E434">
        <f t="shared" si="8"/>
        <v>2019</v>
      </c>
    </row>
    <row r="435" spans="1:5">
      <c r="A435" s="2042">
        <v>43823</v>
      </c>
      <c r="B435" s="2510">
        <v>2019</v>
      </c>
      <c r="C435" s="2510">
        <v>12</v>
      </c>
      <c r="D435">
        <v>1.9604999999999999</v>
      </c>
      <c r="E435">
        <f t="shared" si="8"/>
        <v>2019</v>
      </c>
    </row>
    <row r="436" spans="1:5">
      <c r="A436" s="2042">
        <v>43822</v>
      </c>
      <c r="B436" s="2510">
        <v>2019</v>
      </c>
      <c r="C436" s="2510">
        <v>12</v>
      </c>
      <c r="D436">
        <v>1.9466300000000001</v>
      </c>
      <c r="E436">
        <f t="shared" si="8"/>
        <v>2019</v>
      </c>
    </row>
    <row r="437" spans="1:5">
      <c r="A437" s="2042">
        <v>43819</v>
      </c>
      <c r="B437" s="2510">
        <v>2019</v>
      </c>
      <c r="C437" s="2510">
        <v>12</v>
      </c>
      <c r="D437">
        <v>1.93475</v>
      </c>
      <c r="E437">
        <f t="shared" si="8"/>
        <v>2019</v>
      </c>
    </row>
    <row r="438" spans="1:5">
      <c r="A438" s="2042">
        <v>43818</v>
      </c>
      <c r="B438" s="2510">
        <v>2019</v>
      </c>
      <c r="C438" s="2510">
        <v>12</v>
      </c>
      <c r="D438">
        <v>1.9277500000000001</v>
      </c>
      <c r="E438">
        <f t="shared" si="8"/>
        <v>2019</v>
      </c>
    </row>
    <row r="439" spans="1:5">
      <c r="A439" s="2042">
        <v>43817</v>
      </c>
      <c r="B439" s="2510">
        <v>2019</v>
      </c>
      <c r="C439" s="2510">
        <v>12</v>
      </c>
      <c r="D439">
        <v>1.9079999999999999</v>
      </c>
      <c r="E439">
        <f t="shared" si="8"/>
        <v>2019</v>
      </c>
    </row>
    <row r="440" spans="1:5">
      <c r="A440" s="2042">
        <v>43816</v>
      </c>
      <c r="B440" s="2510">
        <v>2019</v>
      </c>
      <c r="C440" s="2510">
        <v>12</v>
      </c>
      <c r="D440">
        <v>1.9025000000000001</v>
      </c>
      <c r="E440">
        <f t="shared" si="8"/>
        <v>2019</v>
      </c>
    </row>
    <row r="441" spans="1:5">
      <c r="A441" s="2042">
        <v>43815</v>
      </c>
      <c r="B441" s="2510">
        <v>2019</v>
      </c>
      <c r="C441" s="2510">
        <v>12</v>
      </c>
      <c r="D441">
        <v>1.8985000000000001</v>
      </c>
      <c r="E441">
        <f t="shared" si="8"/>
        <v>2019</v>
      </c>
    </row>
    <row r="442" spans="1:5">
      <c r="A442" s="2042">
        <v>43812</v>
      </c>
      <c r="B442" s="2510">
        <v>2019</v>
      </c>
      <c r="C442" s="2510">
        <v>12</v>
      </c>
      <c r="D442">
        <v>1.8996299999999999</v>
      </c>
      <c r="E442">
        <f t="shared" si="8"/>
        <v>2019</v>
      </c>
    </row>
    <row r="443" spans="1:5">
      <c r="A443" s="2042">
        <v>43811</v>
      </c>
      <c r="B443" s="2510">
        <v>2019</v>
      </c>
      <c r="C443" s="2510">
        <v>12</v>
      </c>
      <c r="D443">
        <v>1.8936299999999999</v>
      </c>
      <c r="E443">
        <f t="shared" si="8"/>
        <v>2019</v>
      </c>
    </row>
    <row r="444" spans="1:5">
      <c r="A444" s="2042">
        <v>43810</v>
      </c>
      <c r="B444" s="2510">
        <v>2019</v>
      </c>
      <c r="C444" s="2510">
        <v>12</v>
      </c>
      <c r="D444">
        <v>1.8873800000000001</v>
      </c>
      <c r="E444">
        <f t="shared" si="8"/>
        <v>2019</v>
      </c>
    </row>
    <row r="445" spans="1:5">
      <c r="A445" s="2042">
        <v>43809</v>
      </c>
      <c r="B445" s="2510">
        <v>2019</v>
      </c>
      <c r="C445" s="2510">
        <v>12</v>
      </c>
      <c r="D445">
        <v>1.8872500000000001</v>
      </c>
      <c r="E445">
        <f t="shared" si="8"/>
        <v>2019</v>
      </c>
    </row>
    <row r="446" spans="1:5">
      <c r="A446" s="2042">
        <v>43808</v>
      </c>
      <c r="B446" s="2510">
        <v>2019</v>
      </c>
      <c r="C446" s="2510">
        <v>12</v>
      </c>
      <c r="D446">
        <v>1.8883799999999999</v>
      </c>
      <c r="E446">
        <f t="shared" si="8"/>
        <v>2019</v>
      </c>
    </row>
    <row r="447" spans="1:5">
      <c r="A447" s="2042">
        <v>43805</v>
      </c>
      <c r="B447" s="2510">
        <v>2019</v>
      </c>
      <c r="C447" s="2510">
        <v>12</v>
      </c>
      <c r="D447">
        <v>1.8905000000000001</v>
      </c>
      <c r="E447">
        <f t="shared" si="8"/>
        <v>2019</v>
      </c>
    </row>
    <row r="448" spans="1:5">
      <c r="A448" s="2042">
        <v>43804</v>
      </c>
      <c r="B448" s="2510">
        <v>2019</v>
      </c>
      <c r="C448" s="2510">
        <v>12</v>
      </c>
      <c r="D448">
        <v>1.885</v>
      </c>
      <c r="E448">
        <f t="shared" si="8"/>
        <v>2019</v>
      </c>
    </row>
    <row r="449" spans="1:5">
      <c r="A449" s="2042">
        <v>43803</v>
      </c>
      <c r="B449" s="2510">
        <v>2019</v>
      </c>
      <c r="C449" s="2510">
        <v>12</v>
      </c>
      <c r="D449">
        <v>1.88713</v>
      </c>
      <c r="E449">
        <f t="shared" si="8"/>
        <v>2019</v>
      </c>
    </row>
    <row r="450" spans="1:5">
      <c r="A450" s="2042">
        <v>43802</v>
      </c>
      <c r="B450" s="2510">
        <v>2019</v>
      </c>
      <c r="C450" s="2510">
        <v>12</v>
      </c>
      <c r="D450">
        <v>1.8915</v>
      </c>
      <c r="E450">
        <f t="shared" si="8"/>
        <v>2019</v>
      </c>
    </row>
    <row r="451" spans="1:5">
      <c r="A451" s="2042">
        <v>43801</v>
      </c>
      <c r="B451" s="2510">
        <v>2019</v>
      </c>
      <c r="C451" s="2510">
        <v>12</v>
      </c>
      <c r="D451">
        <v>1.9001300000000001</v>
      </c>
      <c r="E451">
        <f t="shared" si="8"/>
        <v>2019</v>
      </c>
    </row>
    <row r="452" spans="1:5">
      <c r="A452" s="2042">
        <v>43798</v>
      </c>
      <c r="B452" s="2510">
        <v>2019</v>
      </c>
      <c r="C452" s="2510">
        <v>11</v>
      </c>
      <c r="D452">
        <v>1.9055</v>
      </c>
      <c r="E452">
        <f t="shared" ref="E452:E515" si="9">YEAR(A452)</f>
        <v>2019</v>
      </c>
    </row>
    <row r="453" spans="1:5">
      <c r="A453" s="2042">
        <v>43797</v>
      </c>
      <c r="B453" s="2510">
        <v>2019</v>
      </c>
      <c r="C453" s="2510">
        <v>11</v>
      </c>
      <c r="D453">
        <v>1.9068799999999999</v>
      </c>
      <c r="E453">
        <f t="shared" si="9"/>
        <v>2019</v>
      </c>
    </row>
    <row r="454" spans="1:5">
      <c r="A454" s="2042">
        <v>43796</v>
      </c>
      <c r="B454" s="2510">
        <v>2019</v>
      </c>
      <c r="C454" s="2510">
        <v>11</v>
      </c>
      <c r="D454">
        <v>1.9137500000000001</v>
      </c>
      <c r="E454">
        <f t="shared" si="9"/>
        <v>2019</v>
      </c>
    </row>
    <row r="455" spans="1:5">
      <c r="A455" s="2042">
        <v>43795</v>
      </c>
      <c r="B455" s="2510">
        <v>2019</v>
      </c>
      <c r="C455" s="2510">
        <v>11</v>
      </c>
      <c r="D455">
        <v>1.90863</v>
      </c>
      <c r="E455">
        <f t="shared" si="9"/>
        <v>2019</v>
      </c>
    </row>
    <row r="456" spans="1:5">
      <c r="A456" s="2042">
        <v>43794</v>
      </c>
      <c r="B456" s="2510">
        <v>2019</v>
      </c>
      <c r="C456" s="2510">
        <v>11</v>
      </c>
      <c r="D456">
        <v>1.9186300000000001</v>
      </c>
      <c r="E456">
        <f t="shared" si="9"/>
        <v>2019</v>
      </c>
    </row>
    <row r="457" spans="1:5">
      <c r="A457" s="2042">
        <v>43791</v>
      </c>
      <c r="B457" s="2510">
        <v>2019</v>
      </c>
      <c r="C457" s="2510">
        <v>11</v>
      </c>
      <c r="D457">
        <v>1.9172499999999999</v>
      </c>
      <c r="E457">
        <f t="shared" si="9"/>
        <v>2019</v>
      </c>
    </row>
    <row r="458" spans="1:5">
      <c r="A458" s="2042">
        <v>43790</v>
      </c>
      <c r="B458" s="2510">
        <v>2019</v>
      </c>
      <c r="C458" s="2510">
        <v>11</v>
      </c>
      <c r="D458">
        <v>1.9095</v>
      </c>
      <c r="E458">
        <f t="shared" si="9"/>
        <v>2019</v>
      </c>
    </row>
    <row r="459" spans="1:5">
      <c r="A459" s="2042">
        <v>43789</v>
      </c>
      <c r="B459" s="2510">
        <v>2019</v>
      </c>
      <c r="C459" s="2510">
        <v>11</v>
      </c>
      <c r="D459">
        <v>1.8987499999999999</v>
      </c>
      <c r="E459">
        <f t="shared" si="9"/>
        <v>2019</v>
      </c>
    </row>
    <row r="460" spans="1:5">
      <c r="A460" s="2042">
        <v>43788</v>
      </c>
      <c r="B460" s="2510">
        <v>2019</v>
      </c>
      <c r="C460" s="2510">
        <v>11</v>
      </c>
      <c r="D460">
        <v>1.89463</v>
      </c>
      <c r="E460">
        <f t="shared" si="9"/>
        <v>2019</v>
      </c>
    </row>
    <row r="461" spans="1:5">
      <c r="A461" s="2042">
        <v>43787</v>
      </c>
      <c r="B461" s="2510">
        <v>2019</v>
      </c>
      <c r="C461" s="2510">
        <v>11</v>
      </c>
      <c r="D461">
        <v>1.8985000000000001</v>
      </c>
      <c r="E461">
        <f t="shared" si="9"/>
        <v>2019</v>
      </c>
    </row>
    <row r="462" spans="1:5">
      <c r="A462" s="2042">
        <v>43784</v>
      </c>
      <c r="B462" s="2510">
        <v>2019</v>
      </c>
      <c r="C462" s="2510">
        <v>11</v>
      </c>
      <c r="D462">
        <v>1.90263</v>
      </c>
      <c r="E462">
        <f t="shared" si="9"/>
        <v>2019</v>
      </c>
    </row>
    <row r="463" spans="1:5">
      <c r="A463" s="2042">
        <v>43783</v>
      </c>
      <c r="B463" s="2510">
        <v>2019</v>
      </c>
      <c r="C463" s="2510">
        <v>11</v>
      </c>
      <c r="D463">
        <v>1.9041300000000001</v>
      </c>
      <c r="E463">
        <f t="shared" si="9"/>
        <v>2019</v>
      </c>
    </row>
    <row r="464" spans="1:5">
      <c r="A464" s="2042">
        <v>43782</v>
      </c>
      <c r="B464" s="2510">
        <v>2019</v>
      </c>
      <c r="C464" s="2510">
        <v>11</v>
      </c>
      <c r="D464">
        <v>1.90988</v>
      </c>
      <c r="E464">
        <f t="shared" si="9"/>
        <v>2019</v>
      </c>
    </row>
    <row r="465" spans="1:5">
      <c r="A465" s="2042">
        <v>43781</v>
      </c>
      <c r="B465" s="2510">
        <v>2019</v>
      </c>
      <c r="C465" s="2510">
        <v>11</v>
      </c>
      <c r="D465">
        <v>1.9092499999999999</v>
      </c>
      <c r="E465">
        <f t="shared" si="9"/>
        <v>2019</v>
      </c>
    </row>
    <row r="466" spans="1:5">
      <c r="A466" s="2042">
        <v>43780</v>
      </c>
      <c r="B466" s="2510">
        <v>2019</v>
      </c>
      <c r="C466" s="2510">
        <v>11</v>
      </c>
      <c r="D466">
        <v>1.90463</v>
      </c>
      <c r="E466">
        <f t="shared" si="9"/>
        <v>2019</v>
      </c>
    </row>
    <row r="467" spans="1:5">
      <c r="A467" s="2042">
        <v>43777</v>
      </c>
      <c r="B467" s="2510">
        <v>2019</v>
      </c>
      <c r="C467" s="2510">
        <v>11</v>
      </c>
      <c r="D467">
        <v>1.90063</v>
      </c>
      <c r="E467">
        <f t="shared" si="9"/>
        <v>2019</v>
      </c>
    </row>
    <row r="468" spans="1:5">
      <c r="A468" s="2042">
        <v>43776</v>
      </c>
      <c r="B468" s="2510">
        <v>2019</v>
      </c>
      <c r="C468" s="2510">
        <v>11</v>
      </c>
      <c r="D468">
        <v>1.9013800000000001</v>
      </c>
      <c r="E468">
        <f t="shared" si="9"/>
        <v>2019</v>
      </c>
    </row>
    <row r="469" spans="1:5">
      <c r="A469" s="2042">
        <v>43775</v>
      </c>
      <c r="B469" s="2510">
        <v>2019</v>
      </c>
      <c r="C469" s="2510">
        <v>11</v>
      </c>
      <c r="D469">
        <v>1.90425</v>
      </c>
      <c r="E469">
        <f t="shared" si="9"/>
        <v>2019</v>
      </c>
    </row>
    <row r="470" spans="1:5">
      <c r="A470" s="2042">
        <v>43774</v>
      </c>
      <c r="B470" s="2510">
        <v>2019</v>
      </c>
      <c r="C470" s="2510">
        <v>11</v>
      </c>
      <c r="D470">
        <v>1.8935</v>
      </c>
      <c r="E470">
        <f t="shared" si="9"/>
        <v>2019</v>
      </c>
    </row>
    <row r="471" spans="1:5">
      <c r="A471" s="2042">
        <v>43773</v>
      </c>
      <c r="B471" s="2510">
        <v>2019</v>
      </c>
      <c r="C471" s="2510">
        <v>11</v>
      </c>
      <c r="D471">
        <v>1.90825</v>
      </c>
      <c r="E471">
        <f t="shared" si="9"/>
        <v>2019</v>
      </c>
    </row>
    <row r="472" spans="1:5">
      <c r="A472" s="2042">
        <v>43770</v>
      </c>
      <c r="B472" s="2510">
        <v>2019</v>
      </c>
      <c r="C472" s="2510">
        <v>11</v>
      </c>
      <c r="D472">
        <v>1.8905000000000001</v>
      </c>
      <c r="E472">
        <f t="shared" si="9"/>
        <v>2019</v>
      </c>
    </row>
    <row r="473" spans="1:5">
      <c r="A473" s="2042">
        <v>43769</v>
      </c>
      <c r="B473" s="2510">
        <v>2019</v>
      </c>
      <c r="C473" s="2510">
        <v>10</v>
      </c>
      <c r="D473">
        <v>1.90225</v>
      </c>
      <c r="E473">
        <f t="shared" si="9"/>
        <v>2019</v>
      </c>
    </row>
    <row r="474" spans="1:5">
      <c r="A474" s="2042">
        <v>43768</v>
      </c>
      <c r="B474" s="2510">
        <v>2019</v>
      </c>
      <c r="C474" s="2510">
        <v>10</v>
      </c>
      <c r="D474">
        <v>1.90913</v>
      </c>
      <c r="E474">
        <f t="shared" si="9"/>
        <v>2019</v>
      </c>
    </row>
    <row r="475" spans="1:5">
      <c r="A475" s="2042">
        <v>43767</v>
      </c>
      <c r="B475" s="2510">
        <v>2019</v>
      </c>
      <c r="C475" s="2510">
        <v>10</v>
      </c>
      <c r="D475">
        <v>1.92713</v>
      </c>
      <c r="E475">
        <f t="shared" si="9"/>
        <v>2019</v>
      </c>
    </row>
    <row r="476" spans="1:5">
      <c r="A476" s="2042">
        <v>43766</v>
      </c>
      <c r="B476" s="2510">
        <v>2019</v>
      </c>
      <c r="C476" s="2510">
        <v>10</v>
      </c>
      <c r="D476">
        <v>1.9355</v>
      </c>
      <c r="E476">
        <f t="shared" si="9"/>
        <v>2019</v>
      </c>
    </row>
    <row r="477" spans="1:5">
      <c r="A477" s="2042">
        <v>43763</v>
      </c>
      <c r="B477" s="2510">
        <v>2019</v>
      </c>
      <c r="C477" s="2510">
        <v>10</v>
      </c>
      <c r="D477">
        <v>1.9281299999999999</v>
      </c>
      <c r="E477">
        <f t="shared" si="9"/>
        <v>2019</v>
      </c>
    </row>
    <row r="478" spans="1:5">
      <c r="A478" s="2042">
        <v>43762</v>
      </c>
      <c r="B478" s="2510">
        <v>2019</v>
      </c>
      <c r="C478" s="2510">
        <v>10</v>
      </c>
      <c r="D478">
        <v>1.93563</v>
      </c>
      <c r="E478">
        <f t="shared" si="9"/>
        <v>2019</v>
      </c>
    </row>
    <row r="479" spans="1:5">
      <c r="A479" s="2042">
        <v>43761</v>
      </c>
      <c r="B479" s="2510">
        <v>2019</v>
      </c>
      <c r="C479" s="2510">
        <v>10</v>
      </c>
      <c r="D479">
        <v>1.93963</v>
      </c>
      <c r="E479">
        <f t="shared" si="9"/>
        <v>2019</v>
      </c>
    </row>
    <row r="480" spans="1:5">
      <c r="A480" s="2042">
        <v>43760</v>
      </c>
      <c r="B480" s="2510">
        <v>2019</v>
      </c>
      <c r="C480" s="2510">
        <v>10</v>
      </c>
      <c r="D480">
        <v>1.9359999999999999</v>
      </c>
      <c r="E480">
        <f t="shared" si="9"/>
        <v>2019</v>
      </c>
    </row>
    <row r="481" spans="1:5">
      <c r="A481" s="2042">
        <v>43759</v>
      </c>
      <c r="B481" s="2510">
        <v>2019</v>
      </c>
      <c r="C481" s="2510">
        <v>10</v>
      </c>
      <c r="D481">
        <v>1.9339999999999999</v>
      </c>
      <c r="E481">
        <f t="shared" si="9"/>
        <v>2019</v>
      </c>
    </row>
    <row r="482" spans="1:5">
      <c r="A482" s="2042">
        <v>43756</v>
      </c>
      <c r="B482" s="2510">
        <v>2019</v>
      </c>
      <c r="C482" s="2510">
        <v>10</v>
      </c>
      <c r="D482">
        <v>1.9532499999999999</v>
      </c>
      <c r="E482">
        <f t="shared" si="9"/>
        <v>2019</v>
      </c>
    </row>
    <row r="483" spans="1:5">
      <c r="A483" s="2042">
        <v>43755</v>
      </c>
      <c r="B483" s="2510">
        <v>2019</v>
      </c>
      <c r="C483" s="2510">
        <v>10</v>
      </c>
      <c r="D483">
        <v>1.9658800000000001</v>
      </c>
      <c r="E483">
        <f t="shared" si="9"/>
        <v>2019</v>
      </c>
    </row>
    <row r="484" spans="1:5">
      <c r="A484" s="2042">
        <v>43754</v>
      </c>
      <c r="B484" s="2510">
        <v>2019</v>
      </c>
      <c r="C484" s="2510">
        <v>10</v>
      </c>
      <c r="D484">
        <v>2.00325</v>
      </c>
      <c r="E484">
        <f t="shared" si="9"/>
        <v>2019</v>
      </c>
    </row>
    <row r="485" spans="1:5">
      <c r="A485" s="2042">
        <v>43753</v>
      </c>
      <c r="B485" s="2510">
        <v>2019</v>
      </c>
      <c r="C485" s="2510">
        <v>10</v>
      </c>
      <c r="D485">
        <v>2.0021300000000002</v>
      </c>
      <c r="E485">
        <f t="shared" si="9"/>
        <v>2019</v>
      </c>
    </row>
    <row r="486" spans="1:5">
      <c r="A486" s="2042">
        <v>43752</v>
      </c>
      <c r="B486" s="2510">
        <v>2019</v>
      </c>
      <c r="C486" s="2510">
        <v>10</v>
      </c>
      <c r="D486">
        <v>2.00088</v>
      </c>
      <c r="E486">
        <f t="shared" si="9"/>
        <v>2019</v>
      </c>
    </row>
    <row r="487" spans="1:5">
      <c r="A487" s="2042">
        <v>43749</v>
      </c>
      <c r="B487" s="2510">
        <v>2019</v>
      </c>
      <c r="C487" s="2510">
        <v>10</v>
      </c>
      <c r="D487">
        <v>2.00088</v>
      </c>
      <c r="E487">
        <f t="shared" si="9"/>
        <v>2019</v>
      </c>
    </row>
    <row r="488" spans="1:5">
      <c r="A488" s="2042">
        <v>43748</v>
      </c>
      <c r="B488" s="2510">
        <v>2019</v>
      </c>
      <c r="C488" s="2510">
        <v>10</v>
      </c>
      <c r="D488">
        <v>1.98613</v>
      </c>
      <c r="E488">
        <f t="shared" si="9"/>
        <v>2019</v>
      </c>
    </row>
    <row r="489" spans="1:5">
      <c r="A489" s="2042">
        <v>43747</v>
      </c>
      <c r="B489" s="2510">
        <v>2019</v>
      </c>
      <c r="C489" s="2510">
        <v>10</v>
      </c>
      <c r="D489">
        <v>1.9842500000000001</v>
      </c>
      <c r="E489">
        <f t="shared" si="9"/>
        <v>2019</v>
      </c>
    </row>
    <row r="490" spans="1:5">
      <c r="A490" s="2042">
        <v>43746</v>
      </c>
      <c r="B490" s="2510">
        <v>2019</v>
      </c>
      <c r="C490" s="2510">
        <v>10</v>
      </c>
      <c r="D490">
        <v>2.0095000000000001</v>
      </c>
      <c r="E490">
        <f t="shared" si="9"/>
        <v>2019</v>
      </c>
    </row>
    <row r="491" spans="1:5">
      <c r="A491" s="2042">
        <v>43745</v>
      </c>
      <c r="B491" s="2510">
        <v>2019</v>
      </c>
      <c r="C491" s="2510">
        <v>10</v>
      </c>
      <c r="D491">
        <v>2.012</v>
      </c>
      <c r="E491">
        <f t="shared" si="9"/>
        <v>2019</v>
      </c>
    </row>
    <row r="492" spans="1:5">
      <c r="A492" s="2042">
        <v>43742</v>
      </c>
      <c r="B492" s="2510">
        <v>2019</v>
      </c>
      <c r="C492" s="2510">
        <v>10</v>
      </c>
      <c r="D492">
        <v>2.0270000000000001</v>
      </c>
      <c r="E492">
        <f t="shared" si="9"/>
        <v>2019</v>
      </c>
    </row>
    <row r="493" spans="1:5">
      <c r="A493" s="2042">
        <v>43741</v>
      </c>
      <c r="B493" s="2510">
        <v>2019</v>
      </c>
      <c r="C493" s="2510">
        <v>10</v>
      </c>
      <c r="D493">
        <v>2.0431300000000001</v>
      </c>
      <c r="E493">
        <f t="shared" si="9"/>
        <v>2019</v>
      </c>
    </row>
    <row r="494" spans="1:5">
      <c r="A494" s="2042">
        <v>43740</v>
      </c>
      <c r="B494" s="2510">
        <v>2019</v>
      </c>
      <c r="C494" s="2510">
        <v>10</v>
      </c>
      <c r="D494">
        <v>2.0563799999999999</v>
      </c>
      <c r="E494">
        <f t="shared" si="9"/>
        <v>2019</v>
      </c>
    </row>
    <row r="495" spans="1:5">
      <c r="A495" s="2042">
        <v>43739</v>
      </c>
      <c r="B495" s="2510">
        <v>2019</v>
      </c>
      <c r="C495" s="2510">
        <v>10</v>
      </c>
      <c r="D495">
        <v>2.0886300000000002</v>
      </c>
      <c r="E495">
        <f t="shared" si="9"/>
        <v>2019</v>
      </c>
    </row>
    <row r="496" spans="1:5">
      <c r="A496" s="2042">
        <v>43738</v>
      </c>
      <c r="B496" s="2510">
        <v>2019</v>
      </c>
      <c r="C496" s="2510">
        <v>9</v>
      </c>
      <c r="D496">
        <v>2.0851299999999999</v>
      </c>
      <c r="E496">
        <f t="shared" si="9"/>
        <v>2019</v>
      </c>
    </row>
    <row r="497" spans="1:5">
      <c r="A497" s="2042">
        <v>43735</v>
      </c>
      <c r="B497" s="2510">
        <v>2019</v>
      </c>
      <c r="C497" s="2510">
        <v>9</v>
      </c>
      <c r="D497">
        <v>2.09863</v>
      </c>
      <c r="E497">
        <f t="shared" si="9"/>
        <v>2019</v>
      </c>
    </row>
    <row r="498" spans="1:5">
      <c r="A498" s="2042">
        <v>43734</v>
      </c>
      <c r="B498" s="2510">
        <v>2019</v>
      </c>
      <c r="C498" s="2510">
        <v>9</v>
      </c>
      <c r="D498">
        <v>2.1043799999999999</v>
      </c>
      <c r="E498">
        <f t="shared" si="9"/>
        <v>2019</v>
      </c>
    </row>
    <row r="499" spans="1:5">
      <c r="A499" s="2042">
        <v>43733</v>
      </c>
      <c r="B499" s="2510">
        <v>2019</v>
      </c>
      <c r="C499" s="2510">
        <v>9</v>
      </c>
      <c r="D499">
        <v>2.0996299999999999</v>
      </c>
      <c r="E499">
        <f t="shared" si="9"/>
        <v>2019</v>
      </c>
    </row>
    <row r="500" spans="1:5">
      <c r="A500" s="2042">
        <v>43732</v>
      </c>
      <c r="B500" s="2510">
        <v>2019</v>
      </c>
      <c r="C500" s="2510">
        <v>9</v>
      </c>
      <c r="D500">
        <v>2.113</v>
      </c>
      <c r="E500">
        <f t="shared" si="9"/>
        <v>2019</v>
      </c>
    </row>
    <row r="501" spans="1:5">
      <c r="A501" s="2042">
        <v>43731</v>
      </c>
      <c r="B501" s="2510">
        <v>2019</v>
      </c>
      <c r="C501" s="2510">
        <v>9</v>
      </c>
      <c r="D501">
        <v>2.1062500000000002</v>
      </c>
      <c r="E501">
        <f t="shared" si="9"/>
        <v>2019</v>
      </c>
    </row>
    <row r="502" spans="1:5">
      <c r="A502" s="2042">
        <v>43728</v>
      </c>
      <c r="B502" s="2510">
        <v>2019</v>
      </c>
      <c r="C502" s="2510">
        <v>9</v>
      </c>
      <c r="D502">
        <v>2.13463</v>
      </c>
      <c r="E502">
        <f t="shared" si="9"/>
        <v>2019</v>
      </c>
    </row>
    <row r="503" spans="1:5">
      <c r="A503" s="2042">
        <v>43727</v>
      </c>
      <c r="B503" s="2510">
        <v>2019</v>
      </c>
      <c r="C503" s="2510">
        <v>9</v>
      </c>
      <c r="D503">
        <v>2.1588799999999999</v>
      </c>
      <c r="E503">
        <f t="shared" si="9"/>
        <v>2019</v>
      </c>
    </row>
    <row r="504" spans="1:5">
      <c r="A504" s="2042">
        <v>43726</v>
      </c>
      <c r="B504" s="2510">
        <v>2019</v>
      </c>
      <c r="C504" s="2510">
        <v>9</v>
      </c>
      <c r="D504">
        <v>2.1558799999999998</v>
      </c>
      <c r="E504">
        <f t="shared" si="9"/>
        <v>2019</v>
      </c>
    </row>
    <row r="505" spans="1:5">
      <c r="A505" s="2042">
        <v>43725</v>
      </c>
      <c r="B505" s="2510">
        <v>2019</v>
      </c>
      <c r="C505" s="2510">
        <v>9</v>
      </c>
      <c r="D505">
        <v>2.1641300000000001</v>
      </c>
      <c r="E505">
        <f t="shared" si="9"/>
        <v>2019</v>
      </c>
    </row>
    <row r="506" spans="1:5">
      <c r="A506" s="2042">
        <v>43724</v>
      </c>
      <c r="B506" s="2510">
        <v>2019</v>
      </c>
      <c r="C506" s="2510">
        <v>9</v>
      </c>
      <c r="D506">
        <v>2.14513</v>
      </c>
      <c r="E506">
        <f t="shared" si="9"/>
        <v>2019</v>
      </c>
    </row>
    <row r="507" spans="1:5">
      <c r="A507" s="2042">
        <v>43721</v>
      </c>
      <c r="B507" s="2510">
        <v>2019</v>
      </c>
      <c r="C507" s="2510">
        <v>9</v>
      </c>
      <c r="D507">
        <v>2.1393800000000001</v>
      </c>
      <c r="E507">
        <f t="shared" si="9"/>
        <v>2019</v>
      </c>
    </row>
    <row r="508" spans="1:5">
      <c r="A508" s="2042">
        <v>43720</v>
      </c>
      <c r="B508" s="2510">
        <v>2019</v>
      </c>
      <c r="C508" s="2510">
        <v>9</v>
      </c>
      <c r="D508">
        <v>2.1185</v>
      </c>
      <c r="E508">
        <f t="shared" si="9"/>
        <v>2019</v>
      </c>
    </row>
    <row r="509" spans="1:5">
      <c r="A509" s="2042">
        <v>43719</v>
      </c>
      <c r="B509" s="2510">
        <v>2019</v>
      </c>
      <c r="C509" s="2510">
        <v>9</v>
      </c>
      <c r="D509">
        <v>2.1272500000000001</v>
      </c>
      <c r="E509">
        <f t="shared" si="9"/>
        <v>2019</v>
      </c>
    </row>
    <row r="510" spans="1:5">
      <c r="A510" s="2042">
        <v>43718</v>
      </c>
      <c r="B510" s="2510">
        <v>2019</v>
      </c>
      <c r="C510" s="2510">
        <v>9</v>
      </c>
      <c r="D510">
        <v>2.1316299999999999</v>
      </c>
      <c r="E510">
        <f t="shared" si="9"/>
        <v>2019</v>
      </c>
    </row>
    <row r="511" spans="1:5">
      <c r="A511" s="2042">
        <v>43717</v>
      </c>
      <c r="B511" s="2510">
        <v>2019</v>
      </c>
      <c r="C511" s="2510">
        <v>9</v>
      </c>
      <c r="D511">
        <v>2.1383800000000002</v>
      </c>
      <c r="E511">
        <f t="shared" si="9"/>
        <v>2019</v>
      </c>
    </row>
    <row r="512" spans="1:5">
      <c r="A512" s="2042">
        <v>43714</v>
      </c>
      <c r="B512" s="2510">
        <v>2019</v>
      </c>
      <c r="C512" s="2510">
        <v>9</v>
      </c>
      <c r="D512">
        <v>2.1341299999999999</v>
      </c>
      <c r="E512">
        <f t="shared" si="9"/>
        <v>2019</v>
      </c>
    </row>
    <row r="513" spans="1:5">
      <c r="A513" s="2042">
        <v>43713</v>
      </c>
      <c r="B513" s="2510">
        <v>2019</v>
      </c>
      <c r="C513" s="2510">
        <v>9</v>
      </c>
      <c r="D513">
        <v>2.1021299999999998</v>
      </c>
      <c r="E513">
        <f t="shared" si="9"/>
        <v>2019</v>
      </c>
    </row>
    <row r="514" spans="1:5">
      <c r="A514" s="2042">
        <v>43712</v>
      </c>
      <c r="B514" s="2510">
        <v>2019</v>
      </c>
      <c r="C514" s="2510">
        <v>9</v>
      </c>
      <c r="D514">
        <v>2.1123799999999999</v>
      </c>
      <c r="E514">
        <f t="shared" si="9"/>
        <v>2019</v>
      </c>
    </row>
    <row r="515" spans="1:5">
      <c r="A515" s="2042">
        <v>43711</v>
      </c>
      <c r="B515" s="2510">
        <v>2019</v>
      </c>
      <c r="C515" s="2510">
        <v>9</v>
      </c>
      <c r="D515">
        <v>2.12663</v>
      </c>
      <c r="E515">
        <f t="shared" si="9"/>
        <v>2019</v>
      </c>
    </row>
    <row r="516" spans="1:5">
      <c r="A516" s="2042">
        <v>43710</v>
      </c>
      <c r="B516" s="2510">
        <v>2019</v>
      </c>
      <c r="C516" s="2510">
        <v>9</v>
      </c>
      <c r="D516">
        <v>2.1327500000000001</v>
      </c>
      <c r="E516">
        <f t="shared" ref="E516:E579" si="10">YEAR(A516)</f>
        <v>2019</v>
      </c>
    </row>
    <row r="517" spans="1:5">
      <c r="A517" s="2042">
        <v>43707</v>
      </c>
      <c r="B517" s="2510">
        <v>2019</v>
      </c>
      <c r="C517" s="2510">
        <v>8</v>
      </c>
      <c r="D517">
        <v>2.1376300000000001</v>
      </c>
      <c r="E517">
        <f t="shared" si="10"/>
        <v>2019</v>
      </c>
    </row>
    <row r="518" spans="1:5">
      <c r="A518" s="2042">
        <v>43706</v>
      </c>
      <c r="B518" s="2510">
        <v>2019</v>
      </c>
      <c r="C518" s="2510">
        <v>8</v>
      </c>
      <c r="D518">
        <v>2.1317499999999998</v>
      </c>
      <c r="E518">
        <f t="shared" si="10"/>
        <v>2019</v>
      </c>
    </row>
    <row r="519" spans="1:5">
      <c r="A519" s="2042">
        <v>43705</v>
      </c>
      <c r="B519" s="2510">
        <v>2019</v>
      </c>
      <c r="C519" s="2510">
        <v>8</v>
      </c>
      <c r="D519">
        <v>2.1241300000000001</v>
      </c>
      <c r="E519">
        <f t="shared" si="10"/>
        <v>2019</v>
      </c>
    </row>
    <row r="520" spans="1:5">
      <c r="A520" s="2042">
        <v>43704</v>
      </c>
      <c r="B520" s="2510">
        <v>2019</v>
      </c>
      <c r="C520" s="2510">
        <v>8</v>
      </c>
      <c r="D520">
        <v>2.1173799999999998</v>
      </c>
      <c r="E520">
        <f t="shared" si="10"/>
        <v>2019</v>
      </c>
    </row>
    <row r="521" spans="1:5">
      <c r="A521" s="2042">
        <v>43700</v>
      </c>
      <c r="B521" s="2510">
        <v>2019</v>
      </c>
      <c r="C521" s="2510">
        <v>8</v>
      </c>
      <c r="D521">
        <v>2.14438</v>
      </c>
      <c r="E521">
        <f t="shared" si="10"/>
        <v>2019</v>
      </c>
    </row>
    <row r="522" spans="1:5">
      <c r="A522" s="2042">
        <v>43699</v>
      </c>
      <c r="B522" s="2510">
        <v>2019</v>
      </c>
      <c r="C522" s="2510">
        <v>8</v>
      </c>
      <c r="D522">
        <v>2.13225</v>
      </c>
      <c r="E522">
        <f t="shared" si="10"/>
        <v>2019</v>
      </c>
    </row>
    <row r="523" spans="1:5">
      <c r="A523" s="2042">
        <v>43698</v>
      </c>
      <c r="B523" s="2510">
        <v>2019</v>
      </c>
      <c r="C523" s="2510">
        <v>8</v>
      </c>
      <c r="D523">
        <v>2.1476299999999999</v>
      </c>
      <c r="E523">
        <f t="shared" si="10"/>
        <v>2019</v>
      </c>
    </row>
    <row r="524" spans="1:5">
      <c r="A524" s="2042">
        <v>43697</v>
      </c>
      <c r="B524" s="2510">
        <v>2019</v>
      </c>
      <c r="C524" s="2510">
        <v>8</v>
      </c>
      <c r="D524">
        <v>2.1495000000000002</v>
      </c>
      <c r="E524">
        <f t="shared" si="10"/>
        <v>2019</v>
      </c>
    </row>
    <row r="525" spans="1:5">
      <c r="A525" s="2042">
        <v>43696</v>
      </c>
      <c r="B525" s="2510">
        <v>2019</v>
      </c>
      <c r="C525" s="2510">
        <v>8</v>
      </c>
      <c r="D525">
        <v>2.1515</v>
      </c>
      <c r="E525">
        <f t="shared" si="10"/>
        <v>2019</v>
      </c>
    </row>
    <row r="526" spans="1:5">
      <c r="A526" s="2042">
        <v>43693</v>
      </c>
      <c r="B526" s="2510">
        <v>2019</v>
      </c>
      <c r="C526" s="2510">
        <v>8</v>
      </c>
      <c r="D526">
        <v>2.1358799999999998</v>
      </c>
      <c r="E526">
        <f t="shared" si="10"/>
        <v>2019</v>
      </c>
    </row>
    <row r="527" spans="1:5">
      <c r="A527" s="2042">
        <v>43692</v>
      </c>
      <c r="B527" s="2510">
        <v>2019</v>
      </c>
      <c r="C527" s="2510">
        <v>8</v>
      </c>
      <c r="D527">
        <v>2.1237499999999998</v>
      </c>
      <c r="E527">
        <f t="shared" si="10"/>
        <v>2019</v>
      </c>
    </row>
    <row r="528" spans="1:5">
      <c r="A528" s="2042">
        <v>43691</v>
      </c>
      <c r="B528" s="2510">
        <v>2019</v>
      </c>
      <c r="C528" s="2510">
        <v>8</v>
      </c>
      <c r="D528">
        <v>2.16838</v>
      </c>
      <c r="E528">
        <f t="shared" si="10"/>
        <v>2019</v>
      </c>
    </row>
    <row r="529" spans="1:5">
      <c r="A529" s="2042">
        <v>43690</v>
      </c>
      <c r="B529" s="2510">
        <v>2019</v>
      </c>
      <c r="C529" s="2510">
        <v>8</v>
      </c>
      <c r="D529">
        <v>2.1581299999999999</v>
      </c>
      <c r="E529">
        <f t="shared" si="10"/>
        <v>2019</v>
      </c>
    </row>
    <row r="530" spans="1:5">
      <c r="A530" s="2042">
        <v>43689</v>
      </c>
      <c r="B530" s="2510">
        <v>2019</v>
      </c>
      <c r="C530" s="2510">
        <v>8</v>
      </c>
      <c r="D530">
        <v>2.1752500000000001</v>
      </c>
      <c r="E530">
        <f t="shared" si="10"/>
        <v>2019</v>
      </c>
    </row>
    <row r="531" spans="1:5">
      <c r="A531" s="2042">
        <v>43686</v>
      </c>
      <c r="B531" s="2510">
        <v>2019</v>
      </c>
      <c r="C531" s="2510">
        <v>8</v>
      </c>
      <c r="D531">
        <v>2.17563</v>
      </c>
      <c r="E531">
        <f t="shared" si="10"/>
        <v>2019</v>
      </c>
    </row>
    <row r="532" spans="1:5">
      <c r="A532" s="2042">
        <v>43685</v>
      </c>
      <c r="B532" s="2510">
        <v>2019</v>
      </c>
      <c r="C532" s="2510">
        <v>8</v>
      </c>
      <c r="D532">
        <v>2.181</v>
      </c>
      <c r="E532">
        <f t="shared" si="10"/>
        <v>2019</v>
      </c>
    </row>
    <row r="533" spans="1:5">
      <c r="A533" s="2042">
        <v>43684</v>
      </c>
      <c r="B533" s="2510">
        <v>2019</v>
      </c>
      <c r="C533" s="2510">
        <v>8</v>
      </c>
      <c r="D533">
        <v>2.1844999999999999</v>
      </c>
      <c r="E533">
        <f t="shared" si="10"/>
        <v>2019</v>
      </c>
    </row>
    <row r="534" spans="1:5">
      <c r="A534" s="2042">
        <v>43683</v>
      </c>
      <c r="B534" s="2510">
        <v>2019</v>
      </c>
      <c r="C534" s="2510">
        <v>8</v>
      </c>
      <c r="D534">
        <v>2.1869999999999998</v>
      </c>
      <c r="E534">
        <f t="shared" si="10"/>
        <v>2019</v>
      </c>
    </row>
    <row r="535" spans="1:5">
      <c r="A535" s="2042">
        <v>43682</v>
      </c>
      <c r="B535" s="2510">
        <v>2019</v>
      </c>
      <c r="C535" s="2510">
        <v>8</v>
      </c>
      <c r="D535">
        <v>2.2090000000000001</v>
      </c>
      <c r="E535">
        <f t="shared" si="10"/>
        <v>2019</v>
      </c>
    </row>
    <row r="536" spans="1:5">
      <c r="A536" s="2042">
        <v>43679</v>
      </c>
      <c r="B536" s="2510">
        <v>2019</v>
      </c>
      <c r="C536" s="2510">
        <v>8</v>
      </c>
      <c r="D536">
        <v>2.2392500000000002</v>
      </c>
      <c r="E536">
        <f t="shared" si="10"/>
        <v>2019</v>
      </c>
    </row>
    <row r="537" spans="1:5">
      <c r="A537" s="2042">
        <v>43678</v>
      </c>
      <c r="B537" s="2510">
        <v>2019</v>
      </c>
      <c r="C537" s="2510">
        <v>8</v>
      </c>
      <c r="D537">
        <v>2.2867500000000001</v>
      </c>
      <c r="E537">
        <f t="shared" si="10"/>
        <v>2019</v>
      </c>
    </row>
    <row r="538" spans="1:5">
      <c r="A538" s="2042">
        <v>43677</v>
      </c>
      <c r="B538" s="2510">
        <v>2019</v>
      </c>
      <c r="C538" s="2510">
        <v>7</v>
      </c>
      <c r="D538">
        <v>2.2656299999999998</v>
      </c>
      <c r="E538">
        <f t="shared" si="10"/>
        <v>2019</v>
      </c>
    </row>
    <row r="539" spans="1:5">
      <c r="A539" s="2042">
        <v>43676</v>
      </c>
      <c r="B539" s="2510">
        <v>2019</v>
      </c>
      <c r="C539" s="2510">
        <v>7</v>
      </c>
      <c r="D539">
        <v>2.2531300000000001</v>
      </c>
      <c r="E539">
        <f t="shared" si="10"/>
        <v>2019</v>
      </c>
    </row>
    <row r="540" spans="1:5">
      <c r="A540" s="2042">
        <v>43675</v>
      </c>
      <c r="B540" s="2510">
        <v>2019</v>
      </c>
      <c r="C540" s="2510">
        <v>7</v>
      </c>
      <c r="D540">
        <v>2.2555000000000001</v>
      </c>
      <c r="E540">
        <f t="shared" si="10"/>
        <v>2019</v>
      </c>
    </row>
    <row r="541" spans="1:5">
      <c r="A541" s="2042">
        <v>43672</v>
      </c>
      <c r="B541" s="2510">
        <v>2019</v>
      </c>
      <c r="C541" s="2510">
        <v>7</v>
      </c>
      <c r="D541">
        <v>2.2657500000000002</v>
      </c>
      <c r="E541">
        <f t="shared" si="10"/>
        <v>2019</v>
      </c>
    </row>
    <row r="542" spans="1:5">
      <c r="A542" s="2042">
        <v>43671</v>
      </c>
      <c r="B542" s="2510">
        <v>2019</v>
      </c>
      <c r="C542" s="2510">
        <v>7</v>
      </c>
      <c r="D542">
        <v>2.2557499999999999</v>
      </c>
      <c r="E542">
        <f t="shared" si="10"/>
        <v>2019</v>
      </c>
    </row>
    <row r="543" spans="1:5">
      <c r="A543" s="2042">
        <v>43670</v>
      </c>
      <c r="B543" s="2510">
        <v>2019</v>
      </c>
      <c r="C543" s="2510">
        <v>7</v>
      </c>
      <c r="D543">
        <v>2.2666300000000001</v>
      </c>
      <c r="E543">
        <f t="shared" si="10"/>
        <v>2019</v>
      </c>
    </row>
    <row r="544" spans="1:5">
      <c r="A544" s="2042">
        <v>43669</v>
      </c>
      <c r="B544" s="2510">
        <v>2019</v>
      </c>
      <c r="C544" s="2510">
        <v>7</v>
      </c>
      <c r="D544">
        <v>2.2755000000000001</v>
      </c>
      <c r="E544">
        <f t="shared" si="10"/>
        <v>2019</v>
      </c>
    </row>
    <row r="545" spans="1:5">
      <c r="A545" s="2042">
        <v>43668</v>
      </c>
      <c r="B545" s="2510">
        <v>2019</v>
      </c>
      <c r="C545" s="2510">
        <v>7</v>
      </c>
      <c r="D545">
        <v>2.2827500000000001</v>
      </c>
      <c r="E545">
        <f t="shared" si="10"/>
        <v>2019</v>
      </c>
    </row>
    <row r="546" spans="1:5">
      <c r="A546" s="2042">
        <v>43665</v>
      </c>
      <c r="B546" s="2510">
        <v>2019</v>
      </c>
      <c r="C546" s="2510">
        <v>7</v>
      </c>
      <c r="D546">
        <v>2.2593800000000002</v>
      </c>
      <c r="E546">
        <f t="shared" si="10"/>
        <v>2019</v>
      </c>
    </row>
    <row r="547" spans="1:5">
      <c r="A547" s="2042">
        <v>43664</v>
      </c>
      <c r="B547" s="2510">
        <v>2019</v>
      </c>
      <c r="C547" s="2510">
        <v>7</v>
      </c>
      <c r="D547">
        <v>2.2776299999999998</v>
      </c>
      <c r="E547">
        <f t="shared" si="10"/>
        <v>2019</v>
      </c>
    </row>
    <row r="548" spans="1:5">
      <c r="A548" s="2042">
        <v>43663</v>
      </c>
      <c r="B548" s="2510">
        <v>2019</v>
      </c>
      <c r="C548" s="2510">
        <v>7</v>
      </c>
      <c r="D548">
        <v>2.3025000000000002</v>
      </c>
      <c r="E548">
        <f t="shared" si="10"/>
        <v>2019</v>
      </c>
    </row>
    <row r="549" spans="1:5">
      <c r="A549" s="2042">
        <v>43662</v>
      </c>
      <c r="B549" s="2510">
        <v>2019</v>
      </c>
      <c r="C549" s="2510">
        <v>7</v>
      </c>
      <c r="D549">
        <v>2.2996300000000001</v>
      </c>
      <c r="E549">
        <f t="shared" si="10"/>
        <v>2019</v>
      </c>
    </row>
    <row r="550" spans="1:5">
      <c r="A550" s="2042">
        <v>43661</v>
      </c>
      <c r="B550" s="2510">
        <v>2019</v>
      </c>
      <c r="C550" s="2510">
        <v>7</v>
      </c>
      <c r="D550">
        <v>2.3032499999999998</v>
      </c>
      <c r="E550">
        <f t="shared" si="10"/>
        <v>2019</v>
      </c>
    </row>
    <row r="551" spans="1:5">
      <c r="A551" s="2042">
        <v>43658</v>
      </c>
      <c r="B551" s="2510">
        <v>2019</v>
      </c>
      <c r="C551" s="2510">
        <v>7</v>
      </c>
      <c r="D551">
        <v>2.3222499999999999</v>
      </c>
      <c r="E551">
        <f t="shared" si="10"/>
        <v>2019</v>
      </c>
    </row>
    <row r="552" spans="1:5">
      <c r="A552" s="2042">
        <v>43657</v>
      </c>
      <c r="B552" s="2510">
        <v>2019</v>
      </c>
      <c r="C552" s="2510">
        <v>7</v>
      </c>
      <c r="D552">
        <v>2.3033800000000002</v>
      </c>
      <c r="E552">
        <f t="shared" si="10"/>
        <v>2019</v>
      </c>
    </row>
    <row r="553" spans="1:5">
      <c r="A553" s="2042">
        <v>43656</v>
      </c>
      <c r="B553" s="2510">
        <v>2019</v>
      </c>
      <c r="C553" s="2510">
        <v>7</v>
      </c>
      <c r="D553">
        <v>2.3395000000000001</v>
      </c>
      <c r="E553">
        <f t="shared" si="10"/>
        <v>2019</v>
      </c>
    </row>
    <row r="554" spans="1:5">
      <c r="A554" s="2042">
        <v>43655</v>
      </c>
      <c r="B554" s="2510">
        <v>2019</v>
      </c>
      <c r="C554" s="2510">
        <v>7</v>
      </c>
      <c r="D554">
        <v>2.3407499999999999</v>
      </c>
      <c r="E554">
        <f t="shared" si="10"/>
        <v>2019</v>
      </c>
    </row>
    <row r="555" spans="1:5">
      <c r="A555" s="2042">
        <v>43654</v>
      </c>
      <c r="B555" s="2510">
        <v>2019</v>
      </c>
      <c r="C555" s="2510">
        <v>7</v>
      </c>
      <c r="D555">
        <v>2.3377500000000002</v>
      </c>
      <c r="E555">
        <f t="shared" si="10"/>
        <v>2019</v>
      </c>
    </row>
    <row r="556" spans="1:5">
      <c r="A556" s="2042">
        <v>43651</v>
      </c>
      <c r="B556" s="2510">
        <v>2019</v>
      </c>
      <c r="C556" s="2510">
        <v>7</v>
      </c>
      <c r="D556">
        <v>2.3113800000000002</v>
      </c>
      <c r="E556">
        <f t="shared" si="10"/>
        <v>2019</v>
      </c>
    </row>
    <row r="557" spans="1:5">
      <c r="A557" s="2042">
        <v>43650</v>
      </c>
      <c r="B557" s="2510">
        <v>2019</v>
      </c>
      <c r="C557" s="2510">
        <v>7</v>
      </c>
      <c r="D557">
        <v>2.3026300000000002</v>
      </c>
      <c r="E557">
        <f t="shared" si="10"/>
        <v>2019</v>
      </c>
    </row>
    <row r="558" spans="1:5">
      <c r="A558" s="2042">
        <v>43649</v>
      </c>
      <c r="B558" s="2510">
        <v>2019</v>
      </c>
      <c r="C558" s="2510">
        <v>7</v>
      </c>
      <c r="D558">
        <v>2.2885</v>
      </c>
      <c r="E558">
        <f t="shared" si="10"/>
        <v>2019</v>
      </c>
    </row>
    <row r="559" spans="1:5">
      <c r="A559" s="2042">
        <v>43648</v>
      </c>
      <c r="B559" s="2510">
        <v>2019</v>
      </c>
      <c r="C559" s="2510">
        <v>7</v>
      </c>
      <c r="D559">
        <v>2.3130000000000002</v>
      </c>
      <c r="E559">
        <f t="shared" si="10"/>
        <v>2019</v>
      </c>
    </row>
    <row r="560" spans="1:5">
      <c r="A560" s="2042">
        <v>43647</v>
      </c>
      <c r="B560" s="2510">
        <v>2019</v>
      </c>
      <c r="C560" s="2510">
        <v>7</v>
      </c>
      <c r="D560">
        <v>2.33188</v>
      </c>
      <c r="E560">
        <f t="shared" si="10"/>
        <v>2019</v>
      </c>
    </row>
    <row r="561" spans="1:5">
      <c r="A561" s="2042">
        <v>43644</v>
      </c>
      <c r="B561" s="2510">
        <v>2019</v>
      </c>
      <c r="C561" s="2510">
        <v>6</v>
      </c>
      <c r="D561">
        <v>2.3198799999999999</v>
      </c>
      <c r="E561">
        <f t="shared" si="10"/>
        <v>2019</v>
      </c>
    </row>
    <row r="562" spans="1:5">
      <c r="A562" s="2042">
        <v>43643</v>
      </c>
      <c r="B562" s="2510">
        <v>2019</v>
      </c>
      <c r="C562" s="2510">
        <v>6</v>
      </c>
      <c r="D562">
        <v>2.3188800000000001</v>
      </c>
      <c r="E562">
        <f t="shared" si="10"/>
        <v>2019</v>
      </c>
    </row>
    <row r="563" spans="1:5">
      <c r="A563" s="2042">
        <v>43642</v>
      </c>
      <c r="B563" s="2510">
        <v>2019</v>
      </c>
      <c r="C563" s="2510">
        <v>6</v>
      </c>
      <c r="D563">
        <v>2.3298800000000002</v>
      </c>
      <c r="E563">
        <f t="shared" si="10"/>
        <v>2019</v>
      </c>
    </row>
    <row r="564" spans="1:5">
      <c r="A564" s="2042">
        <v>43641</v>
      </c>
      <c r="B564" s="2510">
        <v>2019</v>
      </c>
      <c r="C564" s="2510">
        <v>6</v>
      </c>
      <c r="D564">
        <v>2.3112499999999998</v>
      </c>
      <c r="E564">
        <f t="shared" si="10"/>
        <v>2019</v>
      </c>
    </row>
    <row r="565" spans="1:5">
      <c r="A565" s="2042">
        <v>43640</v>
      </c>
      <c r="B565" s="2510">
        <v>2019</v>
      </c>
      <c r="C565" s="2510">
        <v>6</v>
      </c>
      <c r="D565">
        <v>2.3328799999999998</v>
      </c>
      <c r="E565">
        <f t="shared" si="10"/>
        <v>2019</v>
      </c>
    </row>
    <row r="566" spans="1:5">
      <c r="A566" s="2042">
        <v>43637</v>
      </c>
      <c r="B566" s="2510">
        <v>2019</v>
      </c>
      <c r="C566" s="2510">
        <v>6</v>
      </c>
      <c r="D566">
        <v>2.3492500000000001</v>
      </c>
      <c r="E566">
        <f t="shared" si="10"/>
        <v>2019</v>
      </c>
    </row>
    <row r="567" spans="1:5">
      <c r="A567" s="2042">
        <v>43636</v>
      </c>
      <c r="B567" s="2510">
        <v>2019</v>
      </c>
      <c r="C567" s="2510">
        <v>6</v>
      </c>
      <c r="D567">
        <v>2.3431299999999999</v>
      </c>
      <c r="E567">
        <f t="shared" si="10"/>
        <v>2019</v>
      </c>
    </row>
    <row r="568" spans="1:5">
      <c r="A568" s="2042">
        <v>43635</v>
      </c>
      <c r="B568" s="2510">
        <v>2019</v>
      </c>
      <c r="C568" s="2510">
        <v>6</v>
      </c>
      <c r="D568">
        <v>2.3861300000000001</v>
      </c>
      <c r="E568">
        <f t="shared" si="10"/>
        <v>2019</v>
      </c>
    </row>
    <row r="569" spans="1:5">
      <c r="A569" s="2042">
        <v>43634</v>
      </c>
      <c r="B569" s="2510">
        <v>2019</v>
      </c>
      <c r="C569" s="2510">
        <v>6</v>
      </c>
      <c r="D569">
        <v>2.3866299999999998</v>
      </c>
      <c r="E569">
        <f t="shared" si="10"/>
        <v>2019</v>
      </c>
    </row>
    <row r="570" spans="1:5">
      <c r="A570" s="2042">
        <v>43633</v>
      </c>
      <c r="B570" s="2510">
        <v>2019</v>
      </c>
      <c r="C570" s="2510">
        <v>6</v>
      </c>
      <c r="D570">
        <v>2.4184999999999999</v>
      </c>
      <c r="E570">
        <f t="shared" si="10"/>
        <v>2019</v>
      </c>
    </row>
    <row r="571" spans="1:5">
      <c r="A571" s="2042">
        <v>43630</v>
      </c>
      <c r="B571" s="2510">
        <v>2019</v>
      </c>
      <c r="C571" s="2510">
        <v>6</v>
      </c>
      <c r="D571">
        <v>2.4020000000000001</v>
      </c>
      <c r="E571">
        <f t="shared" si="10"/>
        <v>2019</v>
      </c>
    </row>
    <row r="572" spans="1:5">
      <c r="A572" s="2042">
        <v>43629</v>
      </c>
      <c r="B572" s="2510">
        <v>2019</v>
      </c>
      <c r="C572" s="2510">
        <v>6</v>
      </c>
      <c r="D572">
        <v>2.41025</v>
      </c>
      <c r="E572">
        <f t="shared" si="10"/>
        <v>2019</v>
      </c>
    </row>
    <row r="573" spans="1:5">
      <c r="A573" s="2042">
        <v>43628</v>
      </c>
      <c r="B573" s="2510">
        <v>2019</v>
      </c>
      <c r="C573" s="2510">
        <v>6</v>
      </c>
      <c r="D573">
        <v>2.42788</v>
      </c>
      <c r="E573">
        <f t="shared" si="10"/>
        <v>2019</v>
      </c>
    </row>
    <row r="574" spans="1:5">
      <c r="A574" s="2042">
        <v>43627</v>
      </c>
      <c r="B574" s="2510">
        <v>2019</v>
      </c>
      <c r="C574" s="2510">
        <v>6</v>
      </c>
      <c r="D574">
        <v>2.4495</v>
      </c>
      <c r="E574">
        <f t="shared" si="10"/>
        <v>2019</v>
      </c>
    </row>
    <row r="575" spans="1:5">
      <c r="A575" s="2042">
        <v>43626</v>
      </c>
      <c r="B575" s="2510">
        <v>2019</v>
      </c>
      <c r="C575" s="2510">
        <v>6</v>
      </c>
      <c r="D575">
        <v>2.4357500000000001</v>
      </c>
      <c r="E575">
        <f t="shared" si="10"/>
        <v>2019</v>
      </c>
    </row>
    <row r="576" spans="1:5">
      <c r="A576" s="2042">
        <v>43623</v>
      </c>
      <c r="B576" s="2510">
        <v>2019</v>
      </c>
      <c r="C576" s="2510">
        <v>6</v>
      </c>
      <c r="D576">
        <v>2.4506299999999999</v>
      </c>
      <c r="E576">
        <f t="shared" si="10"/>
        <v>2019</v>
      </c>
    </row>
    <row r="577" spans="1:5">
      <c r="A577" s="2042">
        <v>43622</v>
      </c>
      <c r="B577" s="2510">
        <v>2019</v>
      </c>
      <c r="C577" s="2510">
        <v>6</v>
      </c>
      <c r="D577">
        <v>2.4529999999999998</v>
      </c>
      <c r="E577">
        <f t="shared" si="10"/>
        <v>2019</v>
      </c>
    </row>
    <row r="578" spans="1:5">
      <c r="A578" s="2042">
        <v>43621</v>
      </c>
      <c r="B578" s="2510">
        <v>2019</v>
      </c>
      <c r="C578" s="2510">
        <v>6</v>
      </c>
      <c r="D578">
        <v>2.4716300000000002</v>
      </c>
      <c r="E578">
        <f t="shared" si="10"/>
        <v>2019</v>
      </c>
    </row>
    <row r="579" spans="1:5">
      <c r="A579" s="2042">
        <v>43620</v>
      </c>
      <c r="B579" s="2510">
        <v>2019</v>
      </c>
      <c r="C579" s="2510">
        <v>6</v>
      </c>
      <c r="D579">
        <v>2.47438</v>
      </c>
      <c r="E579">
        <f t="shared" si="10"/>
        <v>2019</v>
      </c>
    </row>
    <row r="580" spans="1:5">
      <c r="A580" s="2042">
        <v>43619</v>
      </c>
      <c r="B580" s="2510">
        <v>2019</v>
      </c>
      <c r="C580" s="2510">
        <v>6</v>
      </c>
      <c r="D580">
        <v>2.4784999999999999</v>
      </c>
      <c r="E580">
        <f t="shared" ref="E580:E643" si="11">YEAR(A580)</f>
        <v>2019</v>
      </c>
    </row>
    <row r="581" spans="1:5">
      <c r="A581" s="2042">
        <v>43616</v>
      </c>
      <c r="B581" s="2510">
        <v>2019</v>
      </c>
      <c r="C581" s="2510">
        <v>5</v>
      </c>
      <c r="D581">
        <v>2.5024999999999999</v>
      </c>
      <c r="E581">
        <f t="shared" si="11"/>
        <v>2019</v>
      </c>
    </row>
    <row r="582" spans="1:5">
      <c r="A582" s="2042">
        <v>43615</v>
      </c>
      <c r="B582" s="2510">
        <v>2019</v>
      </c>
      <c r="C582" s="2510">
        <v>5</v>
      </c>
      <c r="D582">
        <v>2.5202499999999999</v>
      </c>
      <c r="E582">
        <f t="shared" si="11"/>
        <v>2019</v>
      </c>
    </row>
    <row r="583" spans="1:5">
      <c r="A583" s="2042">
        <v>43614</v>
      </c>
      <c r="B583" s="2510">
        <v>2019</v>
      </c>
      <c r="C583" s="2510">
        <v>5</v>
      </c>
      <c r="D583">
        <v>2.5217499999999999</v>
      </c>
      <c r="E583">
        <f t="shared" si="11"/>
        <v>2019</v>
      </c>
    </row>
    <row r="584" spans="1:5">
      <c r="A584" s="2042">
        <v>43613</v>
      </c>
      <c r="B584" s="2510">
        <v>2019</v>
      </c>
      <c r="C584" s="2510">
        <v>5</v>
      </c>
      <c r="D584">
        <v>2.5237500000000002</v>
      </c>
      <c r="E584">
        <f t="shared" si="11"/>
        <v>2019</v>
      </c>
    </row>
    <row r="585" spans="1:5">
      <c r="A585" s="2042">
        <v>43609</v>
      </c>
      <c r="B585" s="2510">
        <v>2019</v>
      </c>
      <c r="C585" s="2510">
        <v>5</v>
      </c>
      <c r="D585">
        <v>2.52488</v>
      </c>
      <c r="E585">
        <f t="shared" si="11"/>
        <v>2019</v>
      </c>
    </row>
    <row r="586" spans="1:5">
      <c r="A586" s="2042">
        <v>43608</v>
      </c>
      <c r="B586" s="2510">
        <v>2019</v>
      </c>
      <c r="C586" s="2510">
        <v>5</v>
      </c>
      <c r="D586">
        <v>2.5206300000000001</v>
      </c>
      <c r="E586">
        <f t="shared" si="11"/>
        <v>2019</v>
      </c>
    </row>
    <row r="587" spans="1:5">
      <c r="A587" s="2042">
        <v>43607</v>
      </c>
      <c r="B587" s="2510">
        <v>2019</v>
      </c>
      <c r="C587" s="2510">
        <v>5</v>
      </c>
      <c r="D587">
        <v>2.52475</v>
      </c>
      <c r="E587">
        <f t="shared" si="11"/>
        <v>2019</v>
      </c>
    </row>
    <row r="588" spans="1:5">
      <c r="A588" s="2042">
        <v>43606</v>
      </c>
      <c r="B588" s="2510">
        <v>2019</v>
      </c>
      <c r="C588" s="2510">
        <v>5</v>
      </c>
      <c r="D588">
        <v>2.5234999999999999</v>
      </c>
      <c r="E588">
        <f t="shared" si="11"/>
        <v>2019</v>
      </c>
    </row>
    <row r="589" spans="1:5">
      <c r="A589" s="2042">
        <v>43605</v>
      </c>
      <c r="B589" s="2510">
        <v>2019</v>
      </c>
      <c r="C589" s="2510">
        <v>5</v>
      </c>
      <c r="D589">
        <v>2.52338</v>
      </c>
      <c r="E589">
        <f t="shared" si="11"/>
        <v>2019</v>
      </c>
    </row>
    <row r="590" spans="1:5">
      <c r="A590" s="2042">
        <v>43602</v>
      </c>
      <c r="B590" s="2510">
        <v>2019</v>
      </c>
      <c r="C590" s="2510">
        <v>5</v>
      </c>
      <c r="D590">
        <v>2.5218799999999999</v>
      </c>
      <c r="E590">
        <f t="shared" si="11"/>
        <v>2019</v>
      </c>
    </row>
    <row r="591" spans="1:5">
      <c r="A591" s="2042">
        <v>43601</v>
      </c>
      <c r="B591" s="2510">
        <v>2019</v>
      </c>
      <c r="C591" s="2510">
        <v>5</v>
      </c>
      <c r="D591">
        <v>2.5196299999999998</v>
      </c>
      <c r="E591">
        <f t="shared" si="11"/>
        <v>2019</v>
      </c>
    </row>
    <row r="592" spans="1:5">
      <c r="A592" s="2042">
        <v>43600</v>
      </c>
      <c r="B592" s="2510">
        <v>2019</v>
      </c>
      <c r="C592" s="2510">
        <v>5</v>
      </c>
      <c r="D592">
        <v>2.5251299999999999</v>
      </c>
      <c r="E592">
        <f t="shared" si="11"/>
        <v>2019</v>
      </c>
    </row>
    <row r="593" spans="1:5">
      <c r="A593" s="2042">
        <v>43599</v>
      </c>
      <c r="B593" s="2510">
        <v>2019</v>
      </c>
      <c r="C593" s="2510">
        <v>5</v>
      </c>
      <c r="D593">
        <v>2.5245000000000002</v>
      </c>
      <c r="E593">
        <f t="shared" si="11"/>
        <v>2019</v>
      </c>
    </row>
    <row r="594" spans="1:5">
      <c r="A594" s="2042">
        <v>43598</v>
      </c>
      <c r="B594" s="2510">
        <v>2019</v>
      </c>
      <c r="C594" s="2510">
        <v>5</v>
      </c>
      <c r="D594">
        <v>2.5179999999999998</v>
      </c>
      <c r="E594">
        <f t="shared" si="11"/>
        <v>2019</v>
      </c>
    </row>
    <row r="595" spans="1:5">
      <c r="A595" s="2042">
        <v>43595</v>
      </c>
      <c r="B595" s="2510">
        <v>2019</v>
      </c>
      <c r="C595" s="2510">
        <v>5</v>
      </c>
      <c r="D595">
        <v>2.5278800000000001</v>
      </c>
      <c r="E595">
        <f t="shared" si="11"/>
        <v>2019</v>
      </c>
    </row>
    <row r="596" spans="1:5">
      <c r="A596" s="2042">
        <v>43594</v>
      </c>
      <c r="B596" s="2510">
        <v>2019</v>
      </c>
      <c r="C596" s="2510">
        <v>5</v>
      </c>
      <c r="D596">
        <v>2.53525</v>
      </c>
      <c r="E596">
        <f t="shared" si="11"/>
        <v>2019</v>
      </c>
    </row>
    <row r="597" spans="1:5">
      <c r="A597" s="2042">
        <v>43593</v>
      </c>
      <c r="B597" s="2510">
        <v>2019</v>
      </c>
      <c r="C597" s="2510">
        <v>5</v>
      </c>
      <c r="D597">
        <v>2.5451299999999999</v>
      </c>
      <c r="E597">
        <f t="shared" si="11"/>
        <v>2019</v>
      </c>
    </row>
    <row r="598" spans="1:5">
      <c r="A598" s="2042">
        <v>43592</v>
      </c>
      <c r="B598" s="2510">
        <v>2019</v>
      </c>
      <c r="C598" s="2510">
        <v>5</v>
      </c>
      <c r="D598">
        <v>2.5619999999999998</v>
      </c>
      <c r="E598">
        <f t="shared" si="11"/>
        <v>2019</v>
      </c>
    </row>
    <row r="599" spans="1:5">
      <c r="A599" s="2042">
        <v>43588</v>
      </c>
      <c r="B599" s="2510">
        <v>2019</v>
      </c>
      <c r="C599" s="2510">
        <v>5</v>
      </c>
      <c r="D599">
        <v>2.5598800000000002</v>
      </c>
      <c r="E599">
        <f t="shared" si="11"/>
        <v>2019</v>
      </c>
    </row>
    <row r="600" spans="1:5">
      <c r="A600" s="2042">
        <v>43587</v>
      </c>
      <c r="B600" s="2510">
        <v>2019</v>
      </c>
      <c r="C600" s="2510">
        <v>5</v>
      </c>
      <c r="D600">
        <v>2.5651299999999999</v>
      </c>
      <c r="E600">
        <f t="shared" si="11"/>
        <v>2019</v>
      </c>
    </row>
    <row r="601" spans="1:5">
      <c r="A601" s="2042">
        <v>43586</v>
      </c>
      <c r="B601" s="2510">
        <v>2019</v>
      </c>
      <c r="C601" s="2510">
        <v>5</v>
      </c>
      <c r="D601">
        <v>2.5754999999999999</v>
      </c>
      <c r="E601">
        <f t="shared" si="11"/>
        <v>2019</v>
      </c>
    </row>
    <row r="602" spans="1:5">
      <c r="A602" s="2042">
        <v>43585</v>
      </c>
      <c r="B602" s="2510">
        <v>2019</v>
      </c>
      <c r="C602" s="2510">
        <v>4</v>
      </c>
      <c r="D602">
        <v>2.5756299999999999</v>
      </c>
      <c r="E602">
        <f t="shared" si="11"/>
        <v>2019</v>
      </c>
    </row>
    <row r="603" spans="1:5">
      <c r="A603" s="2042">
        <v>43584</v>
      </c>
      <c r="B603" s="2510">
        <v>2019</v>
      </c>
      <c r="C603" s="2510">
        <v>4</v>
      </c>
      <c r="D603">
        <v>2.5790000000000002</v>
      </c>
      <c r="E603">
        <f t="shared" si="11"/>
        <v>2019</v>
      </c>
    </row>
    <row r="604" spans="1:5">
      <c r="A604" s="2042">
        <v>43581</v>
      </c>
      <c r="B604" s="2510">
        <v>2019</v>
      </c>
      <c r="C604" s="2510">
        <v>4</v>
      </c>
      <c r="D604">
        <v>2.5827499999999999</v>
      </c>
      <c r="E604">
        <f t="shared" si="11"/>
        <v>2019</v>
      </c>
    </row>
    <row r="605" spans="1:5">
      <c r="A605" s="2042">
        <v>43580</v>
      </c>
      <c r="B605" s="2510">
        <v>2019</v>
      </c>
      <c r="C605" s="2510">
        <v>4</v>
      </c>
      <c r="D605">
        <v>2.5823800000000001</v>
      </c>
      <c r="E605">
        <f t="shared" si="11"/>
        <v>2019</v>
      </c>
    </row>
    <row r="606" spans="1:5">
      <c r="A606" s="2042">
        <v>43579</v>
      </c>
      <c r="B606" s="2510">
        <v>2019</v>
      </c>
      <c r="C606" s="2510">
        <v>4</v>
      </c>
      <c r="D606">
        <v>2.5863800000000001</v>
      </c>
      <c r="E606">
        <f t="shared" si="11"/>
        <v>2019</v>
      </c>
    </row>
    <row r="607" spans="1:5">
      <c r="A607" s="2042">
        <v>43578</v>
      </c>
      <c r="B607" s="2510">
        <v>2019</v>
      </c>
      <c r="C607" s="2510">
        <v>4</v>
      </c>
      <c r="D607">
        <v>2.5802499999999999</v>
      </c>
      <c r="E607">
        <f t="shared" si="11"/>
        <v>2019</v>
      </c>
    </row>
    <row r="608" spans="1:5">
      <c r="A608" s="2042">
        <v>43573</v>
      </c>
      <c r="B608" s="2510">
        <v>2019</v>
      </c>
      <c r="C608" s="2510">
        <v>4</v>
      </c>
      <c r="D608">
        <v>2.5811299999999999</v>
      </c>
      <c r="E608">
        <f t="shared" si="11"/>
        <v>2019</v>
      </c>
    </row>
    <row r="609" spans="1:5">
      <c r="A609" s="2042">
        <v>43572</v>
      </c>
      <c r="B609" s="2510">
        <v>2019</v>
      </c>
      <c r="C609" s="2510">
        <v>4</v>
      </c>
      <c r="D609">
        <v>2.5914999999999999</v>
      </c>
      <c r="E609">
        <f t="shared" si="11"/>
        <v>2019</v>
      </c>
    </row>
    <row r="610" spans="1:5">
      <c r="A610" s="2042">
        <v>43571</v>
      </c>
      <c r="B610" s="2510">
        <v>2019</v>
      </c>
      <c r="C610" s="2510">
        <v>4</v>
      </c>
      <c r="D610">
        <v>2.6008800000000001</v>
      </c>
      <c r="E610">
        <f t="shared" si="11"/>
        <v>2019</v>
      </c>
    </row>
    <row r="611" spans="1:5">
      <c r="A611" s="2042">
        <v>43570</v>
      </c>
      <c r="B611" s="2510">
        <v>2019</v>
      </c>
      <c r="C611" s="2510">
        <v>4</v>
      </c>
      <c r="D611">
        <v>2.5880000000000001</v>
      </c>
      <c r="E611">
        <f t="shared" si="11"/>
        <v>2019</v>
      </c>
    </row>
    <row r="612" spans="1:5">
      <c r="A612" s="2042">
        <v>43567</v>
      </c>
      <c r="B612" s="2510">
        <v>2019</v>
      </c>
      <c r="C612" s="2510">
        <v>4</v>
      </c>
      <c r="D612">
        <v>2.601</v>
      </c>
      <c r="E612">
        <f t="shared" si="11"/>
        <v>2019</v>
      </c>
    </row>
    <row r="613" spans="1:5">
      <c r="A613" s="2042">
        <v>43566</v>
      </c>
      <c r="B613" s="2510">
        <v>2019</v>
      </c>
      <c r="C613" s="2510">
        <v>4</v>
      </c>
      <c r="D613">
        <v>2.5967500000000001</v>
      </c>
      <c r="E613">
        <f t="shared" si="11"/>
        <v>2019</v>
      </c>
    </row>
    <row r="614" spans="1:5">
      <c r="A614" s="2042">
        <v>43565</v>
      </c>
      <c r="B614" s="2510">
        <v>2019</v>
      </c>
      <c r="C614" s="2510">
        <v>4</v>
      </c>
      <c r="D614">
        <v>2.6034999999999999</v>
      </c>
      <c r="E614">
        <f t="shared" si="11"/>
        <v>2019</v>
      </c>
    </row>
    <row r="615" spans="1:5">
      <c r="A615" s="2042">
        <v>43564</v>
      </c>
      <c r="B615" s="2510">
        <v>2019</v>
      </c>
      <c r="C615" s="2510">
        <v>4</v>
      </c>
      <c r="D615">
        <v>2.5812499999999998</v>
      </c>
      <c r="E615">
        <f t="shared" si="11"/>
        <v>2019</v>
      </c>
    </row>
    <row r="616" spans="1:5">
      <c r="A616" s="2042">
        <v>43563</v>
      </c>
      <c r="B616" s="2510">
        <v>2019</v>
      </c>
      <c r="C616" s="2510">
        <v>4</v>
      </c>
      <c r="D616">
        <v>2.5840000000000001</v>
      </c>
      <c r="E616">
        <f t="shared" si="11"/>
        <v>2019</v>
      </c>
    </row>
    <row r="617" spans="1:5">
      <c r="A617" s="2042">
        <v>43560</v>
      </c>
      <c r="B617" s="2510">
        <v>2019</v>
      </c>
      <c r="C617" s="2510">
        <v>4</v>
      </c>
      <c r="D617">
        <v>2.59213</v>
      </c>
      <c r="E617">
        <f t="shared" si="11"/>
        <v>2019</v>
      </c>
    </row>
    <row r="618" spans="1:5">
      <c r="A618" s="2042">
        <v>43559</v>
      </c>
      <c r="B618" s="2510">
        <v>2019</v>
      </c>
      <c r="C618" s="2510">
        <v>4</v>
      </c>
      <c r="D618">
        <v>2.5886300000000002</v>
      </c>
      <c r="E618">
        <f t="shared" si="11"/>
        <v>2019</v>
      </c>
    </row>
    <row r="619" spans="1:5">
      <c r="A619" s="2042">
        <v>43558</v>
      </c>
      <c r="B619" s="2510">
        <v>2019</v>
      </c>
      <c r="C619" s="2510">
        <v>4</v>
      </c>
      <c r="D619">
        <v>2.59775</v>
      </c>
      <c r="E619">
        <f t="shared" si="11"/>
        <v>2019</v>
      </c>
    </row>
    <row r="620" spans="1:5">
      <c r="A620" s="2042">
        <v>43557</v>
      </c>
      <c r="B620" s="2510">
        <v>2019</v>
      </c>
      <c r="C620" s="2510">
        <v>4</v>
      </c>
      <c r="D620">
        <v>2.6023800000000001</v>
      </c>
      <c r="E620">
        <f t="shared" si="11"/>
        <v>2019</v>
      </c>
    </row>
    <row r="621" spans="1:5">
      <c r="A621" s="2042">
        <v>43556</v>
      </c>
      <c r="B621" s="2510">
        <v>2019</v>
      </c>
      <c r="C621" s="2510">
        <v>4</v>
      </c>
      <c r="D621">
        <v>2.5954999999999999</v>
      </c>
      <c r="E621">
        <f t="shared" si="11"/>
        <v>2019</v>
      </c>
    </row>
    <row r="622" spans="1:5">
      <c r="A622" s="2042">
        <v>43553</v>
      </c>
      <c r="B622" s="2510">
        <v>2019</v>
      </c>
      <c r="C622" s="2510">
        <v>3</v>
      </c>
      <c r="D622">
        <v>2.5997499999999998</v>
      </c>
      <c r="E622">
        <f t="shared" si="11"/>
        <v>2019</v>
      </c>
    </row>
    <row r="623" spans="1:5">
      <c r="A623" s="2042">
        <v>43552</v>
      </c>
      <c r="B623" s="2510">
        <v>2019</v>
      </c>
      <c r="C623" s="2510">
        <v>3</v>
      </c>
      <c r="D623">
        <v>2.5917500000000002</v>
      </c>
      <c r="E623">
        <f t="shared" si="11"/>
        <v>2019</v>
      </c>
    </row>
    <row r="624" spans="1:5">
      <c r="A624" s="2042">
        <v>43551</v>
      </c>
      <c r="B624" s="2510">
        <v>2019</v>
      </c>
      <c r="C624" s="2510">
        <v>3</v>
      </c>
      <c r="D624">
        <v>2.601</v>
      </c>
      <c r="E624">
        <f t="shared" si="11"/>
        <v>2019</v>
      </c>
    </row>
    <row r="625" spans="1:5">
      <c r="A625" s="2042">
        <v>43550</v>
      </c>
      <c r="B625" s="2510">
        <v>2019</v>
      </c>
      <c r="C625" s="2510">
        <v>3</v>
      </c>
      <c r="D625">
        <v>2.5973799999999998</v>
      </c>
      <c r="E625">
        <f t="shared" si="11"/>
        <v>2019</v>
      </c>
    </row>
    <row r="626" spans="1:5">
      <c r="A626" s="2042">
        <v>43549</v>
      </c>
      <c r="B626" s="2510">
        <v>2019</v>
      </c>
      <c r="C626" s="2510">
        <v>3</v>
      </c>
      <c r="D626">
        <v>2.6087500000000001</v>
      </c>
      <c r="E626">
        <f t="shared" si="11"/>
        <v>2019</v>
      </c>
    </row>
    <row r="627" spans="1:5">
      <c r="A627" s="2042">
        <v>43546</v>
      </c>
      <c r="B627" s="2510">
        <v>2019</v>
      </c>
      <c r="C627" s="2510">
        <v>3</v>
      </c>
      <c r="D627">
        <v>2.60988</v>
      </c>
      <c r="E627">
        <f t="shared" si="11"/>
        <v>2019</v>
      </c>
    </row>
    <row r="628" spans="1:5">
      <c r="A628" s="2042">
        <v>43545</v>
      </c>
      <c r="B628" s="2510">
        <v>2019</v>
      </c>
      <c r="C628" s="2510">
        <v>3</v>
      </c>
      <c r="D628">
        <v>2.6015000000000001</v>
      </c>
      <c r="E628">
        <f t="shared" si="11"/>
        <v>2019</v>
      </c>
    </row>
    <row r="629" spans="1:5">
      <c r="A629" s="2042">
        <v>43544</v>
      </c>
      <c r="B629" s="2510">
        <v>2019</v>
      </c>
      <c r="C629" s="2510">
        <v>3</v>
      </c>
      <c r="D629">
        <v>2.6070000000000002</v>
      </c>
      <c r="E629">
        <f t="shared" si="11"/>
        <v>2019</v>
      </c>
    </row>
    <row r="630" spans="1:5">
      <c r="A630" s="2042">
        <v>43543</v>
      </c>
      <c r="B630" s="2510">
        <v>2019</v>
      </c>
      <c r="C630" s="2510">
        <v>3</v>
      </c>
      <c r="D630">
        <v>2.6127500000000001</v>
      </c>
      <c r="E630">
        <f t="shared" si="11"/>
        <v>2019</v>
      </c>
    </row>
    <row r="631" spans="1:5">
      <c r="A631" s="2042">
        <v>43542</v>
      </c>
      <c r="B631" s="2510">
        <v>2019</v>
      </c>
      <c r="C631" s="2510">
        <v>3</v>
      </c>
      <c r="D631">
        <v>2.6326299999999998</v>
      </c>
      <c r="E631">
        <f t="shared" si="11"/>
        <v>2019</v>
      </c>
    </row>
    <row r="632" spans="1:5">
      <c r="A632" s="2042">
        <v>43539</v>
      </c>
      <c r="B632" s="2510">
        <v>2019</v>
      </c>
      <c r="C632" s="2510">
        <v>3</v>
      </c>
      <c r="D632">
        <v>2.6252499999999999</v>
      </c>
      <c r="E632">
        <f t="shared" si="11"/>
        <v>2019</v>
      </c>
    </row>
    <row r="633" spans="1:5">
      <c r="A633" s="2042">
        <v>43538</v>
      </c>
      <c r="B633" s="2510">
        <v>2019</v>
      </c>
      <c r="C633" s="2510">
        <v>3</v>
      </c>
      <c r="D633">
        <v>2.61463</v>
      </c>
      <c r="E633">
        <f t="shared" si="11"/>
        <v>2019</v>
      </c>
    </row>
    <row r="634" spans="1:5">
      <c r="A634" s="2042">
        <v>43537</v>
      </c>
      <c r="B634" s="2510">
        <v>2019</v>
      </c>
      <c r="C634" s="2510">
        <v>3</v>
      </c>
      <c r="D634">
        <v>2.6108799999999999</v>
      </c>
      <c r="E634">
        <f t="shared" si="11"/>
        <v>2019</v>
      </c>
    </row>
    <row r="635" spans="1:5">
      <c r="A635" s="2042">
        <v>43536</v>
      </c>
      <c r="B635" s="2510">
        <v>2019</v>
      </c>
      <c r="C635" s="2510">
        <v>3</v>
      </c>
      <c r="D635">
        <v>2.5932499999999998</v>
      </c>
      <c r="E635">
        <f t="shared" si="11"/>
        <v>2019</v>
      </c>
    </row>
    <row r="636" spans="1:5">
      <c r="A636" s="2042">
        <v>43535</v>
      </c>
      <c r="B636" s="2510">
        <v>2019</v>
      </c>
      <c r="C636" s="2510">
        <v>3</v>
      </c>
      <c r="D636">
        <v>2.60825</v>
      </c>
      <c r="E636">
        <f t="shared" si="11"/>
        <v>2019</v>
      </c>
    </row>
    <row r="637" spans="1:5">
      <c r="A637" s="2042">
        <v>43532</v>
      </c>
      <c r="B637" s="2510">
        <v>2019</v>
      </c>
      <c r="C637" s="2510">
        <v>3</v>
      </c>
      <c r="D637">
        <v>2.5966300000000002</v>
      </c>
      <c r="E637">
        <f t="shared" si="11"/>
        <v>2019</v>
      </c>
    </row>
    <row r="638" spans="1:5">
      <c r="A638" s="2042">
        <v>43531</v>
      </c>
      <c r="B638" s="2510">
        <v>2019</v>
      </c>
      <c r="C638" s="2510">
        <v>3</v>
      </c>
      <c r="D638">
        <v>2.6006300000000002</v>
      </c>
      <c r="E638">
        <f t="shared" si="11"/>
        <v>2019</v>
      </c>
    </row>
    <row r="639" spans="1:5">
      <c r="A639" s="2042">
        <v>43530</v>
      </c>
      <c r="B639" s="2510">
        <v>2019</v>
      </c>
      <c r="C639" s="2510">
        <v>3</v>
      </c>
      <c r="D639">
        <v>2.5945</v>
      </c>
      <c r="E639">
        <f t="shared" si="11"/>
        <v>2019</v>
      </c>
    </row>
    <row r="640" spans="1:5">
      <c r="A640" s="2042">
        <v>43529</v>
      </c>
      <c r="B640" s="2510">
        <v>2019</v>
      </c>
      <c r="C640" s="2510">
        <v>3</v>
      </c>
      <c r="D640">
        <v>2.60663</v>
      </c>
      <c r="E640">
        <f t="shared" si="11"/>
        <v>2019</v>
      </c>
    </row>
    <row r="641" spans="1:5">
      <c r="A641" s="2042">
        <v>43528</v>
      </c>
      <c r="B641" s="2510">
        <v>2019</v>
      </c>
      <c r="C641" s="2510">
        <v>3</v>
      </c>
      <c r="D641">
        <v>2.6076299999999999</v>
      </c>
      <c r="E641">
        <f t="shared" si="11"/>
        <v>2019</v>
      </c>
    </row>
    <row r="642" spans="1:5">
      <c r="A642" s="2042">
        <v>43525</v>
      </c>
      <c r="B642" s="2510">
        <v>2019</v>
      </c>
      <c r="C642" s="2510">
        <v>3</v>
      </c>
      <c r="D642">
        <v>2.5985</v>
      </c>
      <c r="E642">
        <f t="shared" si="11"/>
        <v>2019</v>
      </c>
    </row>
    <row r="643" spans="1:5">
      <c r="A643" s="2042">
        <v>43524</v>
      </c>
      <c r="B643" s="2510">
        <v>2019</v>
      </c>
      <c r="C643" s="2510">
        <v>2</v>
      </c>
      <c r="D643">
        <v>2.6151300000000002</v>
      </c>
      <c r="E643">
        <f t="shared" si="11"/>
        <v>2019</v>
      </c>
    </row>
    <row r="644" spans="1:5">
      <c r="A644" s="2042">
        <v>43523</v>
      </c>
      <c r="B644" s="2510">
        <v>2019</v>
      </c>
      <c r="C644" s="2510">
        <v>2</v>
      </c>
      <c r="D644">
        <v>2.6261299999999999</v>
      </c>
      <c r="E644">
        <f t="shared" ref="E644:E707" si="12">YEAR(A644)</f>
        <v>2019</v>
      </c>
    </row>
    <row r="645" spans="1:5">
      <c r="A645" s="2042">
        <v>43522</v>
      </c>
      <c r="B645" s="2510">
        <v>2019</v>
      </c>
      <c r="C645" s="2510">
        <v>2</v>
      </c>
      <c r="D645">
        <v>2.6288800000000001</v>
      </c>
      <c r="E645">
        <f t="shared" si="12"/>
        <v>2019</v>
      </c>
    </row>
    <row r="646" spans="1:5">
      <c r="A646" s="2042">
        <v>43521</v>
      </c>
      <c r="B646" s="2510">
        <v>2019</v>
      </c>
      <c r="C646" s="2510">
        <v>2</v>
      </c>
      <c r="D646">
        <v>2.63863</v>
      </c>
      <c r="E646">
        <f t="shared" si="12"/>
        <v>2019</v>
      </c>
    </row>
    <row r="647" spans="1:5">
      <c r="A647" s="2042">
        <v>43518</v>
      </c>
      <c r="B647" s="2510">
        <v>2019</v>
      </c>
      <c r="C647" s="2510">
        <v>2</v>
      </c>
      <c r="D647">
        <v>2.6462500000000002</v>
      </c>
      <c r="E647">
        <f t="shared" si="12"/>
        <v>2019</v>
      </c>
    </row>
    <row r="648" spans="1:5">
      <c r="A648" s="2042">
        <v>43517</v>
      </c>
      <c r="B648" s="2510">
        <v>2019</v>
      </c>
      <c r="C648" s="2510">
        <v>2</v>
      </c>
      <c r="D648">
        <v>2.6509999999999998</v>
      </c>
      <c r="E648">
        <f t="shared" si="12"/>
        <v>2019</v>
      </c>
    </row>
    <row r="649" spans="1:5">
      <c r="A649" s="2042">
        <v>43516</v>
      </c>
      <c r="B649" s="2510">
        <v>2019</v>
      </c>
      <c r="C649" s="2510">
        <v>2</v>
      </c>
      <c r="D649">
        <v>2.6633800000000001</v>
      </c>
      <c r="E649">
        <f t="shared" si="12"/>
        <v>2019</v>
      </c>
    </row>
    <row r="650" spans="1:5">
      <c r="A650" s="2042">
        <v>43515</v>
      </c>
      <c r="B650" s="2510">
        <v>2019</v>
      </c>
      <c r="C650" s="2510">
        <v>2</v>
      </c>
      <c r="D650">
        <v>2.6412499999999999</v>
      </c>
      <c r="E650">
        <f t="shared" si="12"/>
        <v>2019</v>
      </c>
    </row>
    <row r="651" spans="1:5">
      <c r="A651" s="2042">
        <v>43514</v>
      </c>
      <c r="B651" s="2510">
        <v>2019</v>
      </c>
      <c r="C651" s="2510">
        <v>2</v>
      </c>
      <c r="D651">
        <v>2.6436299999999999</v>
      </c>
      <c r="E651">
        <f t="shared" si="12"/>
        <v>2019</v>
      </c>
    </row>
    <row r="652" spans="1:5">
      <c r="A652" s="2042">
        <v>43511</v>
      </c>
      <c r="B652" s="2510">
        <v>2019</v>
      </c>
      <c r="C652" s="2510">
        <v>2</v>
      </c>
      <c r="D652">
        <v>2.6828799999999999</v>
      </c>
      <c r="E652">
        <f t="shared" si="12"/>
        <v>2019</v>
      </c>
    </row>
    <row r="653" spans="1:5">
      <c r="A653" s="2042">
        <v>43510</v>
      </c>
      <c r="B653" s="2510">
        <v>2019</v>
      </c>
      <c r="C653" s="2510">
        <v>2</v>
      </c>
      <c r="D653">
        <v>2.6938800000000001</v>
      </c>
      <c r="E653">
        <f t="shared" si="12"/>
        <v>2019</v>
      </c>
    </row>
    <row r="654" spans="1:5">
      <c r="A654" s="2042">
        <v>43509</v>
      </c>
      <c r="B654" s="2510">
        <v>2019</v>
      </c>
      <c r="C654" s="2510">
        <v>2</v>
      </c>
      <c r="D654">
        <v>2.6837499999999999</v>
      </c>
      <c r="E654">
        <f t="shared" si="12"/>
        <v>2019</v>
      </c>
    </row>
    <row r="655" spans="1:5">
      <c r="A655" s="2042">
        <v>43508</v>
      </c>
      <c r="B655" s="2510">
        <v>2019</v>
      </c>
      <c r="C655" s="2510">
        <v>2</v>
      </c>
      <c r="D655">
        <v>2.6928800000000002</v>
      </c>
      <c r="E655">
        <f t="shared" si="12"/>
        <v>2019</v>
      </c>
    </row>
    <row r="656" spans="1:5">
      <c r="A656" s="2042">
        <v>43507</v>
      </c>
      <c r="B656" s="2510">
        <v>2019</v>
      </c>
      <c r="C656" s="2510">
        <v>2</v>
      </c>
      <c r="D656">
        <v>2.6880000000000002</v>
      </c>
      <c r="E656">
        <f t="shared" si="12"/>
        <v>2019</v>
      </c>
    </row>
    <row r="657" spans="1:5">
      <c r="A657" s="2042">
        <v>43504</v>
      </c>
      <c r="B657" s="2510">
        <v>2019</v>
      </c>
      <c r="C657" s="2510">
        <v>2</v>
      </c>
      <c r="D657">
        <v>2.6977500000000001</v>
      </c>
      <c r="E657">
        <f t="shared" si="12"/>
        <v>2019</v>
      </c>
    </row>
    <row r="658" spans="1:5">
      <c r="A658" s="2042">
        <v>43503</v>
      </c>
      <c r="B658" s="2510">
        <v>2019</v>
      </c>
      <c r="C658" s="2510">
        <v>2</v>
      </c>
      <c r="D658">
        <v>2.6970000000000001</v>
      </c>
      <c r="E658">
        <f t="shared" si="12"/>
        <v>2019</v>
      </c>
    </row>
    <row r="659" spans="1:5">
      <c r="A659" s="2042">
        <v>43502</v>
      </c>
      <c r="B659" s="2510">
        <v>2019</v>
      </c>
      <c r="C659" s="2510">
        <v>2</v>
      </c>
      <c r="D659">
        <v>2.7376299999999998</v>
      </c>
      <c r="E659">
        <f t="shared" si="12"/>
        <v>2019</v>
      </c>
    </row>
    <row r="660" spans="1:5">
      <c r="A660" s="2042">
        <v>43501</v>
      </c>
      <c r="B660" s="2510">
        <v>2019</v>
      </c>
      <c r="C660" s="2510">
        <v>2</v>
      </c>
      <c r="D660">
        <v>2.7385000000000002</v>
      </c>
      <c r="E660">
        <f t="shared" si="12"/>
        <v>2019</v>
      </c>
    </row>
    <row r="661" spans="1:5">
      <c r="A661" s="2042">
        <v>43500</v>
      </c>
      <c r="B661" s="2510">
        <v>2019</v>
      </c>
      <c r="C661" s="2510">
        <v>2</v>
      </c>
      <c r="D661">
        <v>2.7343799999999998</v>
      </c>
      <c r="E661">
        <f t="shared" si="12"/>
        <v>2019</v>
      </c>
    </row>
    <row r="662" spans="1:5">
      <c r="A662" s="2042">
        <v>43497</v>
      </c>
      <c r="B662" s="2510">
        <v>2019</v>
      </c>
      <c r="C662" s="2510">
        <v>2</v>
      </c>
      <c r="D662">
        <v>2.7326299999999999</v>
      </c>
      <c r="E662">
        <f t="shared" si="12"/>
        <v>2019</v>
      </c>
    </row>
    <row r="663" spans="1:5">
      <c r="A663" s="2042">
        <v>43496</v>
      </c>
      <c r="B663" s="2510">
        <v>2019</v>
      </c>
      <c r="C663" s="2510">
        <v>1</v>
      </c>
      <c r="D663">
        <v>2.7374999999999998</v>
      </c>
      <c r="E663">
        <f t="shared" si="12"/>
        <v>2019</v>
      </c>
    </row>
    <row r="664" spans="1:5">
      <c r="A664" s="2042">
        <v>43495</v>
      </c>
      <c r="B664" s="2510">
        <v>2019</v>
      </c>
      <c r="C664" s="2510">
        <v>1</v>
      </c>
      <c r="D664">
        <v>2.7362500000000001</v>
      </c>
      <c r="E664">
        <f t="shared" si="12"/>
        <v>2019</v>
      </c>
    </row>
    <row r="665" spans="1:5">
      <c r="A665" s="2042">
        <v>43494</v>
      </c>
      <c r="B665" s="2510">
        <v>2019</v>
      </c>
      <c r="C665" s="2510">
        <v>1</v>
      </c>
      <c r="D665">
        <v>2.74438</v>
      </c>
      <c r="E665">
        <f t="shared" si="12"/>
        <v>2019</v>
      </c>
    </row>
    <row r="666" spans="1:5">
      <c r="A666" s="2042">
        <v>43493</v>
      </c>
      <c r="B666" s="2510">
        <v>2019</v>
      </c>
      <c r="C666" s="2510">
        <v>1</v>
      </c>
      <c r="D666">
        <v>2.7505000000000002</v>
      </c>
      <c r="E666">
        <f t="shared" si="12"/>
        <v>2019</v>
      </c>
    </row>
    <row r="667" spans="1:5">
      <c r="A667" s="2042">
        <v>43490</v>
      </c>
      <c r="B667" s="2510">
        <v>2019</v>
      </c>
      <c r="C667" s="2510">
        <v>1</v>
      </c>
      <c r="D667">
        <v>2.75163</v>
      </c>
      <c r="E667">
        <f t="shared" si="12"/>
        <v>2019</v>
      </c>
    </row>
    <row r="668" spans="1:5">
      <c r="A668" s="2042">
        <v>43489</v>
      </c>
      <c r="B668" s="2510">
        <v>2019</v>
      </c>
      <c r="C668" s="2510">
        <v>1</v>
      </c>
      <c r="D668">
        <v>2.7647499999999998</v>
      </c>
      <c r="E668">
        <f t="shared" si="12"/>
        <v>2019</v>
      </c>
    </row>
    <row r="669" spans="1:5">
      <c r="A669" s="2042">
        <v>43488</v>
      </c>
      <c r="B669" s="2510">
        <v>2019</v>
      </c>
      <c r="C669" s="2510">
        <v>1</v>
      </c>
      <c r="D669">
        <v>2.7706300000000001</v>
      </c>
      <c r="E669">
        <f t="shared" si="12"/>
        <v>2019</v>
      </c>
    </row>
    <row r="670" spans="1:5">
      <c r="A670" s="2042">
        <v>43487</v>
      </c>
      <c r="B670" s="2510">
        <v>2019</v>
      </c>
      <c r="C670" s="2510">
        <v>1</v>
      </c>
      <c r="D670">
        <v>2.7792500000000002</v>
      </c>
      <c r="E670">
        <f t="shared" si="12"/>
        <v>2019</v>
      </c>
    </row>
    <row r="671" spans="1:5">
      <c r="A671" s="2042">
        <v>43486</v>
      </c>
      <c r="B671" s="2510">
        <v>2019</v>
      </c>
      <c r="C671" s="2510">
        <v>1</v>
      </c>
      <c r="D671">
        <v>2.7723800000000001</v>
      </c>
      <c r="E671">
        <f t="shared" si="12"/>
        <v>2019</v>
      </c>
    </row>
    <row r="672" spans="1:5">
      <c r="A672" s="2042">
        <v>43483</v>
      </c>
      <c r="B672" s="2510">
        <v>2019</v>
      </c>
      <c r="C672" s="2510">
        <v>1</v>
      </c>
      <c r="D672">
        <v>2.7610000000000001</v>
      </c>
      <c r="E672">
        <f t="shared" si="12"/>
        <v>2019</v>
      </c>
    </row>
    <row r="673" spans="1:5">
      <c r="A673" s="2042">
        <v>43482</v>
      </c>
      <c r="B673" s="2510">
        <v>2019</v>
      </c>
      <c r="C673" s="2510">
        <v>1</v>
      </c>
      <c r="D673">
        <v>2.7757499999999999</v>
      </c>
      <c r="E673">
        <f t="shared" si="12"/>
        <v>2019</v>
      </c>
    </row>
    <row r="674" spans="1:5">
      <c r="A674" s="2042">
        <v>43481</v>
      </c>
      <c r="B674" s="2510">
        <v>2019</v>
      </c>
      <c r="C674" s="2510">
        <v>1</v>
      </c>
      <c r="D674">
        <v>2.7803100000000001</v>
      </c>
      <c r="E674">
        <f t="shared" si="12"/>
        <v>2019</v>
      </c>
    </row>
    <row r="675" spans="1:5">
      <c r="A675" s="2042">
        <v>43480</v>
      </c>
      <c r="B675" s="2510">
        <v>2019</v>
      </c>
      <c r="C675" s="2510">
        <v>1</v>
      </c>
      <c r="D675">
        <v>2.7734399999999999</v>
      </c>
      <c r="E675">
        <f t="shared" si="12"/>
        <v>2019</v>
      </c>
    </row>
    <row r="676" spans="1:5">
      <c r="A676" s="2042">
        <v>43479</v>
      </c>
      <c r="B676" s="2510">
        <v>2019</v>
      </c>
      <c r="C676" s="2510">
        <v>1</v>
      </c>
      <c r="D676">
        <v>2.77894</v>
      </c>
      <c r="E676">
        <f t="shared" si="12"/>
        <v>2019</v>
      </c>
    </row>
    <row r="677" spans="1:5">
      <c r="A677" s="2042">
        <v>43476</v>
      </c>
      <c r="B677" s="2510">
        <v>2019</v>
      </c>
      <c r="C677" s="2510">
        <v>1</v>
      </c>
      <c r="D677">
        <v>2.7873100000000002</v>
      </c>
      <c r="E677">
        <f t="shared" si="12"/>
        <v>2019</v>
      </c>
    </row>
    <row r="678" spans="1:5">
      <c r="A678" s="2042">
        <v>43475</v>
      </c>
      <c r="B678" s="2510">
        <v>2019</v>
      </c>
      <c r="C678" s="2510">
        <v>1</v>
      </c>
      <c r="D678">
        <v>2.7969400000000002</v>
      </c>
      <c r="E678">
        <f t="shared" si="12"/>
        <v>2019</v>
      </c>
    </row>
    <row r="679" spans="1:5">
      <c r="A679" s="2042">
        <v>43474</v>
      </c>
      <c r="B679" s="2510">
        <v>2019</v>
      </c>
      <c r="C679" s="2510">
        <v>1</v>
      </c>
      <c r="D679">
        <v>2.79888</v>
      </c>
      <c r="E679">
        <f t="shared" si="12"/>
        <v>2019</v>
      </c>
    </row>
    <row r="680" spans="1:5">
      <c r="A680" s="2042">
        <v>43473</v>
      </c>
      <c r="B680" s="2510">
        <v>2019</v>
      </c>
      <c r="C680" s="2510">
        <v>1</v>
      </c>
      <c r="D680">
        <v>2.7825000000000002</v>
      </c>
      <c r="E680">
        <f t="shared" si="12"/>
        <v>2019</v>
      </c>
    </row>
    <row r="681" spans="1:5">
      <c r="A681" s="2042">
        <v>43472</v>
      </c>
      <c r="B681" s="2510">
        <v>2019</v>
      </c>
      <c r="C681" s="2510">
        <v>1</v>
      </c>
      <c r="D681">
        <v>2.7968099999999998</v>
      </c>
      <c r="E681">
        <f t="shared" si="12"/>
        <v>2019</v>
      </c>
    </row>
    <row r="682" spans="1:5">
      <c r="A682" s="2042">
        <v>43469</v>
      </c>
      <c r="B682" s="2510">
        <v>2019</v>
      </c>
      <c r="C682" s="2510">
        <v>1</v>
      </c>
      <c r="D682">
        <v>2.8038799999999999</v>
      </c>
      <c r="E682">
        <f t="shared" si="12"/>
        <v>2019</v>
      </c>
    </row>
    <row r="683" spans="1:5">
      <c r="A683" s="2042">
        <v>43468</v>
      </c>
      <c r="B683" s="2510">
        <v>2019</v>
      </c>
      <c r="C683" s="2510">
        <v>1</v>
      </c>
      <c r="D683">
        <v>2.7949999999999999</v>
      </c>
      <c r="E683">
        <f t="shared" si="12"/>
        <v>2019</v>
      </c>
    </row>
    <row r="684" spans="1:5">
      <c r="A684" s="2042">
        <v>43467</v>
      </c>
      <c r="B684" s="2510">
        <v>2019</v>
      </c>
      <c r="C684" s="2510">
        <v>1</v>
      </c>
      <c r="D684">
        <v>2.7938800000000001</v>
      </c>
      <c r="E684">
        <f t="shared" si="12"/>
        <v>2019</v>
      </c>
    </row>
    <row r="685" spans="1:5">
      <c r="A685" s="2042">
        <v>43465</v>
      </c>
      <c r="B685" s="2510">
        <v>2018</v>
      </c>
      <c r="C685" s="2510">
        <v>12</v>
      </c>
      <c r="D685">
        <v>2.8076300000000001</v>
      </c>
      <c r="E685">
        <f t="shared" si="12"/>
        <v>2018</v>
      </c>
    </row>
    <row r="686" spans="1:5">
      <c r="A686" s="2042">
        <v>43462</v>
      </c>
      <c r="B686" s="2510">
        <v>2018</v>
      </c>
      <c r="C686" s="2510">
        <v>12</v>
      </c>
      <c r="D686">
        <v>2.7970000000000002</v>
      </c>
      <c r="E686">
        <f t="shared" si="12"/>
        <v>2018</v>
      </c>
    </row>
    <row r="687" spans="1:5">
      <c r="A687" s="2042">
        <v>43461</v>
      </c>
      <c r="B687" s="2510">
        <v>2018</v>
      </c>
      <c r="C687" s="2510">
        <v>12</v>
      </c>
      <c r="D687">
        <v>2.8029999999999999</v>
      </c>
      <c r="E687">
        <f t="shared" si="12"/>
        <v>2018</v>
      </c>
    </row>
    <row r="688" spans="1:5">
      <c r="A688" s="2042">
        <v>43458</v>
      </c>
      <c r="B688" s="2510">
        <v>2018</v>
      </c>
      <c r="C688" s="2510">
        <v>12</v>
      </c>
      <c r="D688">
        <v>2.8134399999999999</v>
      </c>
      <c r="E688">
        <f t="shared" si="12"/>
        <v>2018</v>
      </c>
    </row>
    <row r="689" spans="1:5">
      <c r="A689" s="2042">
        <v>43455</v>
      </c>
      <c r="B689" s="2510">
        <v>2018</v>
      </c>
      <c r="C689" s="2510">
        <v>12</v>
      </c>
      <c r="D689">
        <v>2.8216299999999999</v>
      </c>
      <c r="E689">
        <f t="shared" si="12"/>
        <v>2018</v>
      </c>
    </row>
    <row r="690" spans="1:5">
      <c r="A690" s="2042">
        <v>43454</v>
      </c>
      <c r="B690" s="2510">
        <v>2018</v>
      </c>
      <c r="C690" s="2510">
        <v>12</v>
      </c>
      <c r="D690">
        <v>2.82375</v>
      </c>
      <c r="E690">
        <f t="shared" si="12"/>
        <v>2018</v>
      </c>
    </row>
    <row r="691" spans="1:5">
      <c r="A691" s="2042">
        <v>43453</v>
      </c>
      <c r="B691" s="2510">
        <v>2018</v>
      </c>
      <c r="C691" s="2510">
        <v>12</v>
      </c>
      <c r="D691">
        <v>2.7896299999999998</v>
      </c>
      <c r="E691">
        <f t="shared" si="12"/>
        <v>2018</v>
      </c>
    </row>
    <row r="692" spans="1:5">
      <c r="A692" s="2042">
        <v>43452</v>
      </c>
      <c r="B692" s="2510">
        <v>2018</v>
      </c>
      <c r="C692" s="2510">
        <v>12</v>
      </c>
      <c r="D692">
        <v>2.7919999999999998</v>
      </c>
      <c r="E692">
        <f t="shared" si="12"/>
        <v>2018</v>
      </c>
    </row>
    <row r="693" spans="1:5">
      <c r="A693" s="2042">
        <v>43451</v>
      </c>
      <c r="B693" s="2510">
        <v>2018</v>
      </c>
      <c r="C693" s="2510">
        <v>12</v>
      </c>
      <c r="D693">
        <v>2.8036300000000001</v>
      </c>
      <c r="E693">
        <f t="shared" si="12"/>
        <v>2018</v>
      </c>
    </row>
    <row r="694" spans="1:5">
      <c r="A694" s="2042">
        <v>43448</v>
      </c>
      <c r="B694" s="2510">
        <v>2018</v>
      </c>
      <c r="C694" s="2510">
        <v>12</v>
      </c>
      <c r="D694">
        <v>2.8006899999999999</v>
      </c>
      <c r="E694">
        <f t="shared" si="12"/>
        <v>2018</v>
      </c>
    </row>
    <row r="695" spans="1:5">
      <c r="A695" s="2042">
        <v>43447</v>
      </c>
      <c r="B695" s="2510">
        <v>2018</v>
      </c>
      <c r="C695" s="2510">
        <v>12</v>
      </c>
      <c r="D695">
        <v>2.7881900000000002</v>
      </c>
      <c r="E695">
        <f t="shared" si="12"/>
        <v>2018</v>
      </c>
    </row>
    <row r="696" spans="1:5">
      <c r="A696" s="2042">
        <v>43446</v>
      </c>
      <c r="B696" s="2510">
        <v>2018</v>
      </c>
      <c r="C696" s="2510">
        <v>12</v>
      </c>
      <c r="D696">
        <v>2.7774999999999999</v>
      </c>
      <c r="E696">
        <f t="shared" si="12"/>
        <v>2018</v>
      </c>
    </row>
    <row r="697" spans="1:5">
      <c r="A697" s="2042">
        <v>43445</v>
      </c>
      <c r="B697" s="2510">
        <v>2018</v>
      </c>
      <c r="C697" s="2510">
        <v>12</v>
      </c>
      <c r="D697">
        <v>2.7789999999999999</v>
      </c>
      <c r="E697">
        <f t="shared" si="12"/>
        <v>2018</v>
      </c>
    </row>
    <row r="698" spans="1:5">
      <c r="A698" s="2042">
        <v>43444</v>
      </c>
      <c r="B698" s="2510">
        <v>2018</v>
      </c>
      <c r="C698" s="2510">
        <v>12</v>
      </c>
      <c r="D698">
        <v>2.7759399999999999</v>
      </c>
      <c r="E698">
        <f t="shared" si="12"/>
        <v>2018</v>
      </c>
    </row>
    <row r="699" spans="1:5">
      <c r="A699" s="2042">
        <v>43441</v>
      </c>
      <c r="B699" s="2510">
        <v>2018</v>
      </c>
      <c r="C699" s="2510">
        <v>12</v>
      </c>
      <c r="D699">
        <v>2.7710599999999999</v>
      </c>
      <c r="E699">
        <f t="shared" si="12"/>
        <v>2018</v>
      </c>
    </row>
    <row r="700" spans="1:5">
      <c r="A700" s="2042">
        <v>43440</v>
      </c>
      <c r="B700" s="2510">
        <v>2018</v>
      </c>
      <c r="C700" s="2510">
        <v>12</v>
      </c>
      <c r="D700">
        <v>2.7671299999999999</v>
      </c>
      <c r="E700">
        <f t="shared" si="12"/>
        <v>2018</v>
      </c>
    </row>
    <row r="701" spans="1:5">
      <c r="A701" s="2042">
        <v>43439</v>
      </c>
      <c r="B701" s="2510">
        <v>2018</v>
      </c>
      <c r="C701" s="2510">
        <v>12</v>
      </c>
      <c r="D701">
        <v>2.7657500000000002</v>
      </c>
      <c r="E701">
        <f t="shared" si="12"/>
        <v>2018</v>
      </c>
    </row>
    <row r="702" spans="1:5">
      <c r="A702" s="2042">
        <v>43438</v>
      </c>
      <c r="B702" s="2510">
        <v>2018</v>
      </c>
      <c r="C702" s="2510">
        <v>12</v>
      </c>
      <c r="D702">
        <v>2.73888</v>
      </c>
      <c r="E702">
        <f t="shared" si="12"/>
        <v>2018</v>
      </c>
    </row>
    <row r="703" spans="1:5">
      <c r="A703" s="2042">
        <v>43437</v>
      </c>
      <c r="B703" s="2510">
        <v>2018</v>
      </c>
      <c r="C703" s="2510">
        <v>12</v>
      </c>
      <c r="D703">
        <v>2.7512500000000002</v>
      </c>
      <c r="E703">
        <f t="shared" si="12"/>
        <v>2018</v>
      </c>
    </row>
    <row r="704" spans="1:5">
      <c r="A704" s="2042">
        <v>43434</v>
      </c>
      <c r="B704" s="2510">
        <v>2018</v>
      </c>
      <c r="C704" s="2510">
        <v>11</v>
      </c>
      <c r="D704">
        <v>2.7361300000000002</v>
      </c>
      <c r="E704">
        <f t="shared" si="12"/>
        <v>2018</v>
      </c>
    </row>
    <row r="705" spans="1:5">
      <c r="A705" s="2042">
        <v>43433</v>
      </c>
      <c r="B705" s="2510">
        <v>2018</v>
      </c>
      <c r="C705" s="2510">
        <v>11</v>
      </c>
      <c r="D705">
        <v>2.73813</v>
      </c>
      <c r="E705">
        <f t="shared" si="12"/>
        <v>2018</v>
      </c>
    </row>
    <row r="706" spans="1:5">
      <c r="A706" s="2042">
        <v>43432</v>
      </c>
      <c r="B706" s="2510">
        <v>2018</v>
      </c>
      <c r="C706" s="2510">
        <v>11</v>
      </c>
      <c r="D706">
        <v>2.7066300000000001</v>
      </c>
      <c r="E706">
        <f t="shared" si="12"/>
        <v>2018</v>
      </c>
    </row>
    <row r="707" spans="1:5">
      <c r="A707" s="2042">
        <v>43431</v>
      </c>
      <c r="B707" s="2510">
        <v>2018</v>
      </c>
      <c r="C707" s="2510">
        <v>11</v>
      </c>
      <c r="D707">
        <v>2.706</v>
      </c>
      <c r="E707">
        <f t="shared" si="12"/>
        <v>2018</v>
      </c>
    </row>
    <row r="708" spans="1:5">
      <c r="A708" s="2042">
        <v>43430</v>
      </c>
      <c r="B708" s="2510">
        <v>2018</v>
      </c>
      <c r="C708" s="2510">
        <v>11</v>
      </c>
      <c r="D708">
        <v>2.7068099999999999</v>
      </c>
      <c r="E708">
        <f t="shared" ref="E708:E771" si="13">YEAR(A708)</f>
        <v>2018</v>
      </c>
    </row>
    <row r="709" spans="1:5">
      <c r="A709" s="2042">
        <v>43427</v>
      </c>
      <c r="B709" s="2510">
        <v>2018</v>
      </c>
      <c r="C709" s="2510">
        <v>11</v>
      </c>
      <c r="D709">
        <v>2.6911900000000002</v>
      </c>
      <c r="E709">
        <f t="shared" si="13"/>
        <v>2018</v>
      </c>
    </row>
    <row r="710" spans="1:5">
      <c r="A710" s="2042">
        <v>43426</v>
      </c>
      <c r="B710" s="2510">
        <v>2018</v>
      </c>
      <c r="C710" s="2510">
        <v>11</v>
      </c>
      <c r="D710">
        <v>2.6892499999999999</v>
      </c>
      <c r="E710">
        <f t="shared" si="13"/>
        <v>2018</v>
      </c>
    </row>
    <row r="711" spans="1:5">
      <c r="A711" s="2042">
        <v>43425</v>
      </c>
      <c r="B711" s="2510">
        <v>2018</v>
      </c>
      <c r="C711" s="2510">
        <v>11</v>
      </c>
      <c r="D711">
        <v>2.6769400000000001</v>
      </c>
      <c r="E711">
        <f t="shared" si="13"/>
        <v>2018</v>
      </c>
    </row>
    <row r="712" spans="1:5">
      <c r="A712" s="2042">
        <v>43424</v>
      </c>
      <c r="B712" s="2510">
        <v>2018</v>
      </c>
      <c r="C712" s="2510">
        <v>11</v>
      </c>
      <c r="D712">
        <v>2.65313</v>
      </c>
      <c r="E712">
        <f t="shared" si="13"/>
        <v>2018</v>
      </c>
    </row>
    <row r="713" spans="1:5">
      <c r="A713" s="2042">
        <v>43423</v>
      </c>
      <c r="B713" s="2510">
        <v>2018</v>
      </c>
      <c r="C713" s="2510">
        <v>11</v>
      </c>
      <c r="D713">
        <v>2.64581</v>
      </c>
      <c r="E713">
        <f t="shared" si="13"/>
        <v>2018</v>
      </c>
    </row>
    <row r="714" spans="1:5">
      <c r="A714" s="2042">
        <v>43420</v>
      </c>
      <c r="B714" s="2510">
        <v>2018</v>
      </c>
      <c r="C714" s="2510">
        <v>11</v>
      </c>
      <c r="D714">
        <v>2.6444999999999999</v>
      </c>
      <c r="E714">
        <f t="shared" si="13"/>
        <v>2018</v>
      </c>
    </row>
    <row r="715" spans="1:5">
      <c r="A715" s="2042">
        <v>43419</v>
      </c>
      <c r="B715" s="2510">
        <v>2018</v>
      </c>
      <c r="C715" s="2510">
        <v>11</v>
      </c>
      <c r="D715">
        <v>2.64</v>
      </c>
      <c r="E715">
        <f t="shared" si="13"/>
        <v>2018</v>
      </c>
    </row>
    <row r="716" spans="1:5">
      <c r="A716" s="2042">
        <v>43418</v>
      </c>
      <c r="B716" s="2510">
        <v>2018</v>
      </c>
      <c r="C716" s="2510">
        <v>11</v>
      </c>
      <c r="D716">
        <v>2.629</v>
      </c>
      <c r="E716">
        <f t="shared" si="13"/>
        <v>2018</v>
      </c>
    </row>
    <row r="717" spans="1:5">
      <c r="A717" s="2042">
        <v>43417</v>
      </c>
      <c r="B717" s="2510">
        <v>2018</v>
      </c>
      <c r="C717" s="2510">
        <v>11</v>
      </c>
      <c r="D717">
        <v>2.6161300000000001</v>
      </c>
      <c r="E717">
        <f t="shared" si="13"/>
        <v>2018</v>
      </c>
    </row>
    <row r="718" spans="1:5">
      <c r="A718" s="2042">
        <v>43416</v>
      </c>
      <c r="B718" s="2510">
        <v>2018</v>
      </c>
      <c r="C718" s="2510">
        <v>11</v>
      </c>
      <c r="D718">
        <v>2.6141299999999998</v>
      </c>
      <c r="E718">
        <f t="shared" si="13"/>
        <v>2018</v>
      </c>
    </row>
    <row r="719" spans="1:5">
      <c r="A719" s="2042">
        <v>43413</v>
      </c>
      <c r="B719" s="2510">
        <v>2018</v>
      </c>
      <c r="C719" s="2510">
        <v>11</v>
      </c>
      <c r="D719">
        <v>2.6181299999999998</v>
      </c>
      <c r="E719">
        <f t="shared" si="13"/>
        <v>2018</v>
      </c>
    </row>
    <row r="720" spans="1:5">
      <c r="A720" s="2042">
        <v>43412</v>
      </c>
      <c r="B720" s="2510">
        <v>2018</v>
      </c>
      <c r="C720" s="2510">
        <v>11</v>
      </c>
      <c r="D720">
        <v>2.61463</v>
      </c>
      <c r="E720">
        <f t="shared" si="13"/>
        <v>2018</v>
      </c>
    </row>
    <row r="721" spans="1:5">
      <c r="A721" s="2042">
        <v>43411</v>
      </c>
      <c r="B721" s="2510">
        <v>2018</v>
      </c>
      <c r="C721" s="2510">
        <v>11</v>
      </c>
      <c r="D721">
        <v>2.6011299999999999</v>
      </c>
      <c r="E721">
        <f t="shared" si="13"/>
        <v>2018</v>
      </c>
    </row>
    <row r="722" spans="1:5">
      <c r="A722" s="2042">
        <v>43410</v>
      </c>
      <c r="B722" s="2510">
        <v>2018</v>
      </c>
      <c r="C722" s="2510">
        <v>11</v>
      </c>
      <c r="D722">
        <v>2.5912500000000001</v>
      </c>
      <c r="E722">
        <f t="shared" si="13"/>
        <v>2018</v>
      </c>
    </row>
    <row r="723" spans="1:5">
      <c r="A723" s="2042">
        <v>43409</v>
      </c>
      <c r="B723" s="2510">
        <v>2018</v>
      </c>
      <c r="C723" s="2510">
        <v>11</v>
      </c>
      <c r="D723">
        <v>2.5892499999999998</v>
      </c>
      <c r="E723">
        <f t="shared" si="13"/>
        <v>2018</v>
      </c>
    </row>
    <row r="724" spans="1:5">
      <c r="A724" s="2042">
        <v>43406</v>
      </c>
      <c r="B724" s="2510">
        <v>2018</v>
      </c>
      <c r="C724" s="2510">
        <v>11</v>
      </c>
      <c r="D724">
        <v>2.5923799999999999</v>
      </c>
      <c r="E724">
        <f t="shared" si="13"/>
        <v>2018</v>
      </c>
    </row>
    <row r="725" spans="1:5">
      <c r="A725" s="2042">
        <v>43405</v>
      </c>
      <c r="B725" s="2510">
        <v>2018</v>
      </c>
      <c r="C725" s="2510">
        <v>11</v>
      </c>
      <c r="D725">
        <v>2.5815000000000001</v>
      </c>
      <c r="E725">
        <f t="shared" si="13"/>
        <v>2018</v>
      </c>
    </row>
    <row r="726" spans="1:5">
      <c r="A726" s="2042">
        <v>43404</v>
      </c>
      <c r="B726" s="2510">
        <v>2018</v>
      </c>
      <c r="C726" s="2510">
        <v>10</v>
      </c>
      <c r="D726">
        <v>2.5585</v>
      </c>
      <c r="E726">
        <f t="shared" si="13"/>
        <v>2018</v>
      </c>
    </row>
    <row r="727" spans="1:5">
      <c r="A727" s="2042">
        <v>43403</v>
      </c>
      <c r="B727" s="2510">
        <v>2018</v>
      </c>
      <c r="C727" s="2510">
        <v>10</v>
      </c>
      <c r="D727">
        <v>2.5409999999999999</v>
      </c>
      <c r="E727">
        <f t="shared" si="13"/>
        <v>2018</v>
      </c>
    </row>
    <row r="728" spans="1:5">
      <c r="A728" s="2042">
        <v>43402</v>
      </c>
      <c r="B728" s="2510">
        <v>2018</v>
      </c>
      <c r="C728" s="2510">
        <v>10</v>
      </c>
      <c r="D728">
        <v>2.5266299999999999</v>
      </c>
      <c r="E728">
        <f t="shared" si="13"/>
        <v>2018</v>
      </c>
    </row>
    <row r="729" spans="1:5">
      <c r="A729" s="2042">
        <v>43399</v>
      </c>
      <c r="B729" s="2510">
        <v>2018</v>
      </c>
      <c r="C729" s="2510">
        <v>10</v>
      </c>
      <c r="D729">
        <v>2.5203799999999998</v>
      </c>
      <c r="E729">
        <f t="shared" si="13"/>
        <v>2018</v>
      </c>
    </row>
    <row r="730" spans="1:5">
      <c r="A730" s="2042">
        <v>43398</v>
      </c>
      <c r="B730" s="2510">
        <v>2018</v>
      </c>
      <c r="C730" s="2510">
        <v>10</v>
      </c>
      <c r="D730">
        <v>2.5092500000000002</v>
      </c>
      <c r="E730">
        <f t="shared" si="13"/>
        <v>2018</v>
      </c>
    </row>
    <row r="731" spans="1:5">
      <c r="A731" s="2042">
        <v>43397</v>
      </c>
      <c r="B731" s="2510">
        <v>2018</v>
      </c>
      <c r="C731" s="2510">
        <v>10</v>
      </c>
      <c r="D731">
        <v>2.508</v>
      </c>
      <c r="E731">
        <f t="shared" si="13"/>
        <v>2018</v>
      </c>
    </row>
    <row r="732" spans="1:5">
      <c r="A732" s="2042">
        <v>43396</v>
      </c>
      <c r="B732" s="2510">
        <v>2018</v>
      </c>
      <c r="C732" s="2510">
        <v>10</v>
      </c>
      <c r="D732">
        <v>2.4898799999999999</v>
      </c>
      <c r="E732">
        <f t="shared" si="13"/>
        <v>2018</v>
      </c>
    </row>
    <row r="733" spans="1:5">
      <c r="A733" s="2042">
        <v>43395</v>
      </c>
      <c r="B733" s="2510">
        <v>2018</v>
      </c>
      <c r="C733" s="2510">
        <v>10</v>
      </c>
      <c r="D733">
        <v>2.4873799999999999</v>
      </c>
      <c r="E733">
        <f t="shared" si="13"/>
        <v>2018</v>
      </c>
    </row>
    <row r="734" spans="1:5">
      <c r="A734" s="2042">
        <v>43392</v>
      </c>
      <c r="B734" s="2510">
        <v>2018</v>
      </c>
      <c r="C734" s="2510">
        <v>10</v>
      </c>
      <c r="D734">
        <v>2.4771899999999998</v>
      </c>
      <c r="E734">
        <f t="shared" si="13"/>
        <v>2018</v>
      </c>
    </row>
    <row r="735" spans="1:5">
      <c r="A735" s="2042">
        <v>43391</v>
      </c>
      <c r="B735" s="2510">
        <v>2018</v>
      </c>
      <c r="C735" s="2510">
        <v>10</v>
      </c>
      <c r="D735">
        <v>2.4689999999999999</v>
      </c>
      <c r="E735">
        <f t="shared" si="13"/>
        <v>2018</v>
      </c>
    </row>
    <row r="736" spans="1:5">
      <c r="A736" s="2042">
        <v>43390</v>
      </c>
      <c r="B736" s="2510">
        <v>2018</v>
      </c>
      <c r="C736" s="2510">
        <v>10</v>
      </c>
      <c r="D736">
        <v>2.44963</v>
      </c>
      <c r="E736">
        <f t="shared" si="13"/>
        <v>2018</v>
      </c>
    </row>
    <row r="737" spans="1:5">
      <c r="A737" s="2042">
        <v>43389</v>
      </c>
      <c r="B737" s="2510">
        <v>2018</v>
      </c>
      <c r="C737" s="2510">
        <v>10</v>
      </c>
      <c r="D737">
        <v>2.4445600000000001</v>
      </c>
      <c r="E737">
        <f t="shared" si="13"/>
        <v>2018</v>
      </c>
    </row>
    <row r="738" spans="1:5">
      <c r="A738" s="2042">
        <v>43388</v>
      </c>
      <c r="B738" s="2510">
        <v>2018</v>
      </c>
      <c r="C738" s="2510">
        <v>10</v>
      </c>
      <c r="D738">
        <v>2.4488099999999999</v>
      </c>
      <c r="E738">
        <f t="shared" si="13"/>
        <v>2018</v>
      </c>
    </row>
    <row r="739" spans="1:5">
      <c r="A739" s="2042">
        <v>43385</v>
      </c>
      <c r="B739" s="2510">
        <v>2018</v>
      </c>
      <c r="C739" s="2510">
        <v>10</v>
      </c>
      <c r="D739">
        <v>2.4364400000000002</v>
      </c>
      <c r="E739">
        <f t="shared" si="13"/>
        <v>2018</v>
      </c>
    </row>
    <row r="740" spans="1:5">
      <c r="A740" s="2042">
        <v>43384</v>
      </c>
      <c r="B740" s="2510">
        <v>2018</v>
      </c>
      <c r="C740" s="2510">
        <v>10</v>
      </c>
      <c r="D740">
        <v>2.4363100000000002</v>
      </c>
      <c r="E740">
        <f t="shared" si="13"/>
        <v>2018</v>
      </c>
    </row>
    <row r="741" spans="1:5">
      <c r="A741" s="2042">
        <v>43383</v>
      </c>
      <c r="B741" s="2510">
        <v>2018</v>
      </c>
      <c r="C741" s="2510">
        <v>10</v>
      </c>
      <c r="D741">
        <v>2.4251900000000002</v>
      </c>
      <c r="E741">
        <f t="shared" si="13"/>
        <v>2018</v>
      </c>
    </row>
    <row r="742" spans="1:5">
      <c r="A742" s="2042">
        <v>43382</v>
      </c>
      <c r="B742" s="2510">
        <v>2018</v>
      </c>
      <c r="C742" s="2510">
        <v>10</v>
      </c>
      <c r="D742">
        <v>2.4204400000000001</v>
      </c>
      <c r="E742">
        <f t="shared" si="13"/>
        <v>2018</v>
      </c>
    </row>
    <row r="743" spans="1:5">
      <c r="A743" s="2042">
        <v>43381</v>
      </c>
      <c r="B743" s="2510">
        <v>2018</v>
      </c>
      <c r="C743" s="2510">
        <v>10</v>
      </c>
      <c r="D743">
        <v>2.41425</v>
      </c>
      <c r="E743">
        <f t="shared" si="13"/>
        <v>2018</v>
      </c>
    </row>
    <row r="744" spans="1:5">
      <c r="A744" s="2042">
        <v>43378</v>
      </c>
      <c r="B744" s="2510">
        <v>2018</v>
      </c>
      <c r="C744" s="2510">
        <v>10</v>
      </c>
      <c r="D744">
        <v>2.4080599999999999</v>
      </c>
      <c r="E744">
        <f t="shared" si="13"/>
        <v>2018</v>
      </c>
    </row>
    <row r="745" spans="1:5">
      <c r="A745" s="2042">
        <v>43377</v>
      </c>
      <c r="B745" s="2510">
        <v>2018</v>
      </c>
      <c r="C745" s="2510">
        <v>10</v>
      </c>
      <c r="D745">
        <v>2.4096299999999999</v>
      </c>
      <c r="E745">
        <f t="shared" si="13"/>
        <v>2018</v>
      </c>
    </row>
    <row r="746" spans="1:5">
      <c r="A746" s="2042">
        <v>43376</v>
      </c>
      <c r="B746" s="2510">
        <v>2018</v>
      </c>
      <c r="C746" s="2510">
        <v>10</v>
      </c>
      <c r="D746">
        <v>2.4082499999999998</v>
      </c>
      <c r="E746">
        <f t="shared" si="13"/>
        <v>2018</v>
      </c>
    </row>
    <row r="747" spans="1:5">
      <c r="A747" s="2042">
        <v>43375</v>
      </c>
      <c r="B747" s="2510">
        <v>2018</v>
      </c>
      <c r="C747" s="2510">
        <v>10</v>
      </c>
      <c r="D747">
        <v>2.4075000000000002</v>
      </c>
      <c r="E747">
        <f t="shared" si="13"/>
        <v>2018</v>
      </c>
    </row>
    <row r="748" spans="1:5">
      <c r="A748" s="2042">
        <v>43374</v>
      </c>
      <c r="B748" s="2510">
        <v>2018</v>
      </c>
      <c r="C748" s="2510">
        <v>10</v>
      </c>
      <c r="D748">
        <v>2.3981300000000001</v>
      </c>
      <c r="E748">
        <f t="shared" si="13"/>
        <v>2018</v>
      </c>
    </row>
    <row r="749" spans="1:5">
      <c r="A749" s="2042">
        <v>43371</v>
      </c>
      <c r="B749" s="2510">
        <v>2018</v>
      </c>
      <c r="C749" s="2510">
        <v>9</v>
      </c>
      <c r="D749">
        <v>2.39838</v>
      </c>
      <c r="E749">
        <f t="shared" si="13"/>
        <v>2018</v>
      </c>
    </row>
    <row r="750" spans="1:5">
      <c r="A750" s="2042">
        <v>43370</v>
      </c>
      <c r="B750" s="2510">
        <v>2018</v>
      </c>
      <c r="C750" s="2510">
        <v>9</v>
      </c>
      <c r="D750">
        <v>2.3959999999999999</v>
      </c>
      <c r="E750">
        <f t="shared" si="13"/>
        <v>2018</v>
      </c>
    </row>
    <row r="751" spans="1:5">
      <c r="A751" s="2042">
        <v>43369</v>
      </c>
      <c r="B751" s="2510">
        <v>2018</v>
      </c>
      <c r="C751" s="2510">
        <v>9</v>
      </c>
      <c r="D751">
        <v>2.3861300000000001</v>
      </c>
      <c r="E751">
        <f t="shared" si="13"/>
        <v>2018</v>
      </c>
    </row>
    <row r="752" spans="1:5">
      <c r="A752" s="2042">
        <v>43368</v>
      </c>
      <c r="B752" s="2510">
        <v>2018</v>
      </c>
      <c r="C752" s="2510">
        <v>9</v>
      </c>
      <c r="D752">
        <v>2.3809999999999998</v>
      </c>
      <c r="E752">
        <f t="shared" si="13"/>
        <v>2018</v>
      </c>
    </row>
    <row r="753" spans="1:5">
      <c r="A753" s="2042">
        <v>43367</v>
      </c>
      <c r="B753" s="2510">
        <v>2018</v>
      </c>
      <c r="C753" s="2510">
        <v>9</v>
      </c>
      <c r="D753">
        <v>2.3736299999999999</v>
      </c>
      <c r="E753">
        <f t="shared" si="13"/>
        <v>2018</v>
      </c>
    </row>
    <row r="754" spans="1:5">
      <c r="A754" s="2042">
        <v>43364</v>
      </c>
      <c r="B754" s="2510">
        <v>2018</v>
      </c>
      <c r="C754" s="2510">
        <v>9</v>
      </c>
      <c r="D754">
        <v>2.37263</v>
      </c>
      <c r="E754">
        <f t="shared" si="13"/>
        <v>2018</v>
      </c>
    </row>
    <row r="755" spans="1:5">
      <c r="A755" s="2042">
        <v>43363</v>
      </c>
      <c r="B755" s="2510">
        <v>2018</v>
      </c>
      <c r="C755" s="2510">
        <v>9</v>
      </c>
      <c r="D755">
        <v>2.3663799999999999</v>
      </c>
      <c r="E755">
        <f t="shared" si="13"/>
        <v>2018</v>
      </c>
    </row>
    <row r="756" spans="1:5">
      <c r="A756" s="2042">
        <v>43362</v>
      </c>
      <c r="B756" s="2510">
        <v>2018</v>
      </c>
      <c r="C756" s="2510">
        <v>9</v>
      </c>
      <c r="D756">
        <v>2.35338</v>
      </c>
      <c r="E756">
        <f t="shared" si="13"/>
        <v>2018</v>
      </c>
    </row>
    <row r="757" spans="1:5">
      <c r="A757" s="2042">
        <v>43361</v>
      </c>
      <c r="B757" s="2510">
        <v>2018</v>
      </c>
      <c r="C757" s="2510">
        <v>9</v>
      </c>
      <c r="D757">
        <v>2.3374999999999999</v>
      </c>
      <c r="E757">
        <f t="shared" si="13"/>
        <v>2018</v>
      </c>
    </row>
    <row r="758" spans="1:5">
      <c r="A758" s="2042">
        <v>43360</v>
      </c>
      <c r="B758" s="2510">
        <v>2018</v>
      </c>
      <c r="C758" s="2510">
        <v>9</v>
      </c>
      <c r="D758">
        <v>2.3387500000000001</v>
      </c>
      <c r="E758">
        <f t="shared" si="13"/>
        <v>2018</v>
      </c>
    </row>
    <row r="759" spans="1:5">
      <c r="A759" s="2042">
        <v>43357</v>
      </c>
      <c r="B759" s="2510">
        <v>2018</v>
      </c>
      <c r="C759" s="2510">
        <v>9</v>
      </c>
      <c r="D759">
        <v>2.3371300000000002</v>
      </c>
      <c r="E759">
        <f t="shared" si="13"/>
        <v>2018</v>
      </c>
    </row>
    <row r="760" spans="1:5">
      <c r="A760" s="2042">
        <v>43356</v>
      </c>
      <c r="B760" s="2510">
        <v>2018</v>
      </c>
      <c r="C760" s="2510">
        <v>9</v>
      </c>
      <c r="D760">
        <v>2.33413</v>
      </c>
      <c r="E760">
        <f t="shared" si="13"/>
        <v>2018</v>
      </c>
    </row>
    <row r="761" spans="1:5">
      <c r="A761" s="2042">
        <v>43355</v>
      </c>
      <c r="B761" s="2510">
        <v>2018</v>
      </c>
      <c r="C761" s="2510">
        <v>9</v>
      </c>
      <c r="D761">
        <v>2.3315000000000001</v>
      </c>
      <c r="E761">
        <f t="shared" si="13"/>
        <v>2018</v>
      </c>
    </row>
    <row r="762" spans="1:5">
      <c r="A762" s="2042">
        <v>43354</v>
      </c>
      <c r="B762" s="2510">
        <v>2018</v>
      </c>
      <c r="C762" s="2510">
        <v>9</v>
      </c>
      <c r="D762">
        <v>2.3342499999999999</v>
      </c>
      <c r="E762">
        <f t="shared" si="13"/>
        <v>2018</v>
      </c>
    </row>
    <row r="763" spans="1:5">
      <c r="A763" s="2042">
        <v>43353</v>
      </c>
      <c r="B763" s="2510">
        <v>2018</v>
      </c>
      <c r="C763" s="2510">
        <v>9</v>
      </c>
      <c r="D763">
        <v>2.3342499999999999</v>
      </c>
      <c r="E763">
        <f t="shared" si="13"/>
        <v>2018</v>
      </c>
    </row>
    <row r="764" spans="1:5">
      <c r="A764" s="2042">
        <v>43350</v>
      </c>
      <c r="B764" s="2510">
        <v>2018</v>
      </c>
      <c r="C764" s="2510">
        <v>9</v>
      </c>
      <c r="D764">
        <v>2.3312499999999998</v>
      </c>
      <c r="E764">
        <f t="shared" si="13"/>
        <v>2018</v>
      </c>
    </row>
    <row r="765" spans="1:5">
      <c r="A765" s="2042">
        <v>43349</v>
      </c>
      <c r="B765" s="2510">
        <v>2018</v>
      </c>
      <c r="C765" s="2510">
        <v>9</v>
      </c>
      <c r="D765">
        <v>2.3270599999999999</v>
      </c>
      <c r="E765">
        <f t="shared" si="13"/>
        <v>2018</v>
      </c>
    </row>
    <row r="766" spans="1:5">
      <c r="A766" s="2042">
        <v>43348</v>
      </c>
      <c r="B766" s="2510">
        <v>2018</v>
      </c>
      <c r="C766" s="2510">
        <v>9</v>
      </c>
      <c r="D766">
        <v>2.3168099999999998</v>
      </c>
      <c r="E766">
        <f t="shared" si="13"/>
        <v>2018</v>
      </c>
    </row>
    <row r="767" spans="1:5">
      <c r="A767" s="2042">
        <v>43347</v>
      </c>
      <c r="B767" s="2510">
        <v>2018</v>
      </c>
      <c r="C767" s="2510">
        <v>9</v>
      </c>
      <c r="D767">
        <v>2.3227500000000001</v>
      </c>
      <c r="E767">
        <f t="shared" si="13"/>
        <v>2018</v>
      </c>
    </row>
    <row r="768" spans="1:5">
      <c r="A768" s="2042">
        <v>43346</v>
      </c>
      <c r="B768" s="2510">
        <v>2018</v>
      </c>
      <c r="C768" s="2510">
        <v>9</v>
      </c>
      <c r="D768">
        <v>2.3156300000000001</v>
      </c>
      <c r="E768">
        <f t="shared" si="13"/>
        <v>2018</v>
      </c>
    </row>
    <row r="769" spans="1:5">
      <c r="A769" s="2042">
        <v>43343</v>
      </c>
      <c r="B769" s="2510">
        <v>2018</v>
      </c>
      <c r="C769" s="2510">
        <v>8</v>
      </c>
      <c r="D769">
        <v>2.3207499999999999</v>
      </c>
      <c r="E769">
        <f t="shared" si="13"/>
        <v>2018</v>
      </c>
    </row>
    <row r="770" spans="1:5">
      <c r="A770" s="2042">
        <v>43342</v>
      </c>
      <c r="B770" s="2510">
        <v>2018</v>
      </c>
      <c r="C770" s="2510">
        <v>8</v>
      </c>
      <c r="D770">
        <v>2.32125</v>
      </c>
      <c r="E770">
        <f t="shared" si="13"/>
        <v>2018</v>
      </c>
    </row>
    <row r="771" spans="1:5">
      <c r="A771" s="2042">
        <v>43341</v>
      </c>
      <c r="B771" s="2510">
        <v>2018</v>
      </c>
      <c r="C771" s="2510">
        <v>8</v>
      </c>
      <c r="D771">
        <v>2.31263</v>
      </c>
      <c r="E771">
        <f t="shared" si="13"/>
        <v>2018</v>
      </c>
    </row>
    <row r="772" spans="1:5">
      <c r="A772" s="2042">
        <v>43340</v>
      </c>
      <c r="B772" s="2510">
        <v>2018</v>
      </c>
      <c r="C772" s="2510">
        <v>8</v>
      </c>
      <c r="D772">
        <v>2.3147500000000001</v>
      </c>
      <c r="E772">
        <f t="shared" ref="E772:E835" si="14">YEAR(A772)</f>
        <v>2018</v>
      </c>
    </row>
    <row r="773" spans="1:5">
      <c r="A773" s="2042">
        <v>43336</v>
      </c>
      <c r="B773" s="2510">
        <v>2018</v>
      </c>
      <c r="C773" s="2510">
        <v>8</v>
      </c>
      <c r="D773">
        <v>2.31725</v>
      </c>
      <c r="E773">
        <f t="shared" si="14"/>
        <v>2018</v>
      </c>
    </row>
    <row r="774" spans="1:5">
      <c r="A774" s="2042">
        <v>43335</v>
      </c>
      <c r="B774" s="2510">
        <v>2018</v>
      </c>
      <c r="C774" s="2510">
        <v>8</v>
      </c>
      <c r="D774">
        <v>2.3113800000000002</v>
      </c>
      <c r="E774">
        <f t="shared" si="14"/>
        <v>2018</v>
      </c>
    </row>
    <row r="775" spans="1:5">
      <c r="A775" s="2042">
        <v>43334</v>
      </c>
      <c r="B775" s="2510">
        <v>2018</v>
      </c>
      <c r="C775" s="2510">
        <v>8</v>
      </c>
      <c r="D775">
        <v>2.31175</v>
      </c>
      <c r="E775">
        <f t="shared" si="14"/>
        <v>2018</v>
      </c>
    </row>
    <row r="776" spans="1:5">
      <c r="A776" s="2042">
        <v>43333</v>
      </c>
      <c r="B776" s="2510">
        <v>2018</v>
      </c>
      <c r="C776" s="2510">
        <v>8</v>
      </c>
      <c r="D776">
        <v>2.3102499999999999</v>
      </c>
      <c r="E776">
        <f t="shared" si="14"/>
        <v>2018</v>
      </c>
    </row>
    <row r="777" spans="1:5">
      <c r="A777" s="2042">
        <v>43332</v>
      </c>
      <c r="B777" s="2510">
        <v>2018</v>
      </c>
      <c r="C777" s="2510">
        <v>8</v>
      </c>
      <c r="D777">
        <v>2.3096299999999998</v>
      </c>
      <c r="E777">
        <f t="shared" si="14"/>
        <v>2018</v>
      </c>
    </row>
    <row r="778" spans="1:5">
      <c r="A778" s="2042">
        <v>43329</v>
      </c>
      <c r="B778" s="2510">
        <v>2018</v>
      </c>
      <c r="C778" s="2510">
        <v>8</v>
      </c>
      <c r="D778">
        <v>2.3118799999999999</v>
      </c>
      <c r="E778">
        <f t="shared" si="14"/>
        <v>2018</v>
      </c>
    </row>
    <row r="779" spans="1:5">
      <c r="A779" s="2042">
        <v>43328</v>
      </c>
      <c r="B779" s="2510">
        <v>2018</v>
      </c>
      <c r="C779" s="2510">
        <v>8</v>
      </c>
      <c r="D779">
        <v>2.3222499999999999</v>
      </c>
      <c r="E779">
        <f t="shared" si="14"/>
        <v>2018</v>
      </c>
    </row>
    <row r="780" spans="1:5">
      <c r="A780" s="2042">
        <v>43327</v>
      </c>
      <c r="B780" s="2510">
        <v>2018</v>
      </c>
      <c r="C780" s="2510">
        <v>8</v>
      </c>
      <c r="D780">
        <v>2.31175</v>
      </c>
      <c r="E780">
        <f t="shared" si="14"/>
        <v>2018</v>
      </c>
    </row>
    <row r="781" spans="1:5">
      <c r="A781" s="2042">
        <v>43326</v>
      </c>
      <c r="B781" s="2510">
        <v>2018</v>
      </c>
      <c r="C781" s="2510">
        <v>8</v>
      </c>
      <c r="D781">
        <v>2.3151899999999999</v>
      </c>
      <c r="E781">
        <f t="shared" si="14"/>
        <v>2018</v>
      </c>
    </row>
    <row r="782" spans="1:5">
      <c r="A782" s="2042">
        <v>43325</v>
      </c>
      <c r="B782" s="2510">
        <v>2018</v>
      </c>
      <c r="C782" s="2510">
        <v>8</v>
      </c>
      <c r="D782">
        <v>2.3137500000000002</v>
      </c>
      <c r="E782">
        <f t="shared" si="14"/>
        <v>2018</v>
      </c>
    </row>
    <row r="783" spans="1:5">
      <c r="A783" s="2042">
        <v>43322</v>
      </c>
      <c r="B783" s="2510">
        <v>2018</v>
      </c>
      <c r="C783" s="2510">
        <v>8</v>
      </c>
      <c r="D783">
        <v>2.3192499999999998</v>
      </c>
      <c r="E783">
        <f t="shared" si="14"/>
        <v>2018</v>
      </c>
    </row>
    <row r="784" spans="1:5">
      <c r="A784" s="2042">
        <v>43321</v>
      </c>
      <c r="B784" s="2510">
        <v>2018</v>
      </c>
      <c r="C784" s="2510">
        <v>8</v>
      </c>
      <c r="D784">
        <v>2.3380000000000001</v>
      </c>
      <c r="E784">
        <f t="shared" si="14"/>
        <v>2018</v>
      </c>
    </row>
    <row r="785" spans="1:5">
      <c r="A785" s="2042">
        <v>43320</v>
      </c>
      <c r="B785" s="2510">
        <v>2018</v>
      </c>
      <c r="C785" s="2510">
        <v>8</v>
      </c>
      <c r="D785">
        <v>2.3405</v>
      </c>
      <c r="E785">
        <f t="shared" si="14"/>
        <v>2018</v>
      </c>
    </row>
    <row r="786" spans="1:5">
      <c r="A786" s="2042">
        <v>43319</v>
      </c>
      <c r="B786" s="2510">
        <v>2018</v>
      </c>
      <c r="C786" s="2510">
        <v>8</v>
      </c>
      <c r="D786">
        <v>2.34144</v>
      </c>
      <c r="E786">
        <f t="shared" si="14"/>
        <v>2018</v>
      </c>
    </row>
    <row r="787" spans="1:5">
      <c r="A787" s="2042">
        <v>43318</v>
      </c>
      <c r="B787" s="2510">
        <v>2018</v>
      </c>
      <c r="C787" s="2510">
        <v>8</v>
      </c>
      <c r="D787">
        <v>2.3432499999999998</v>
      </c>
      <c r="E787">
        <f t="shared" si="14"/>
        <v>2018</v>
      </c>
    </row>
    <row r="788" spans="1:5">
      <c r="A788" s="2042">
        <v>43315</v>
      </c>
      <c r="B788" s="2510">
        <v>2018</v>
      </c>
      <c r="C788" s="2510">
        <v>8</v>
      </c>
      <c r="D788">
        <v>2.343</v>
      </c>
      <c r="E788">
        <f t="shared" si="14"/>
        <v>2018</v>
      </c>
    </row>
    <row r="789" spans="1:5">
      <c r="A789" s="2042">
        <v>43314</v>
      </c>
      <c r="B789" s="2510">
        <v>2018</v>
      </c>
      <c r="C789" s="2510">
        <v>8</v>
      </c>
      <c r="D789">
        <v>2.3405</v>
      </c>
      <c r="E789">
        <f t="shared" si="14"/>
        <v>2018</v>
      </c>
    </row>
    <row r="790" spans="1:5">
      <c r="A790" s="2042">
        <v>43313</v>
      </c>
      <c r="B790" s="2510">
        <v>2018</v>
      </c>
      <c r="C790" s="2510">
        <v>8</v>
      </c>
      <c r="D790">
        <v>2.3482500000000002</v>
      </c>
      <c r="E790">
        <f t="shared" si="14"/>
        <v>2018</v>
      </c>
    </row>
    <row r="791" spans="1:5">
      <c r="A791" s="2042">
        <v>43312</v>
      </c>
      <c r="B791" s="2510">
        <v>2018</v>
      </c>
      <c r="C791" s="2510">
        <v>7</v>
      </c>
      <c r="D791">
        <v>2.34856</v>
      </c>
      <c r="E791">
        <f t="shared" si="14"/>
        <v>2018</v>
      </c>
    </row>
    <row r="792" spans="1:5">
      <c r="A792" s="2042">
        <v>43311</v>
      </c>
      <c r="B792" s="2510">
        <v>2018</v>
      </c>
      <c r="C792" s="2510">
        <v>7</v>
      </c>
      <c r="D792">
        <v>2.3431299999999999</v>
      </c>
      <c r="E792">
        <f t="shared" si="14"/>
        <v>2018</v>
      </c>
    </row>
    <row r="793" spans="1:5">
      <c r="A793" s="2042">
        <v>43308</v>
      </c>
      <c r="B793" s="2510">
        <v>2018</v>
      </c>
      <c r="C793" s="2510">
        <v>7</v>
      </c>
      <c r="D793">
        <v>2.3423799999999999</v>
      </c>
      <c r="E793">
        <f t="shared" si="14"/>
        <v>2018</v>
      </c>
    </row>
    <row r="794" spans="1:5">
      <c r="A794" s="2042">
        <v>43307</v>
      </c>
      <c r="B794" s="2510">
        <v>2018</v>
      </c>
      <c r="C794" s="2510">
        <v>7</v>
      </c>
      <c r="D794">
        <v>2.3388800000000001</v>
      </c>
      <c r="E794">
        <f t="shared" si="14"/>
        <v>2018</v>
      </c>
    </row>
    <row r="795" spans="1:5">
      <c r="A795" s="2042">
        <v>43306</v>
      </c>
      <c r="B795" s="2510">
        <v>2018</v>
      </c>
      <c r="C795" s="2510">
        <v>7</v>
      </c>
      <c r="D795">
        <v>2.3368799999999998</v>
      </c>
      <c r="E795">
        <f t="shared" si="14"/>
        <v>2018</v>
      </c>
    </row>
    <row r="796" spans="1:5">
      <c r="A796" s="2042">
        <v>43305</v>
      </c>
      <c r="B796" s="2510">
        <v>2018</v>
      </c>
      <c r="C796" s="2510">
        <v>7</v>
      </c>
      <c r="D796">
        <v>2.3348800000000001</v>
      </c>
      <c r="E796">
        <f t="shared" si="14"/>
        <v>2018</v>
      </c>
    </row>
    <row r="797" spans="1:5">
      <c r="A797" s="2042">
        <v>43304</v>
      </c>
      <c r="B797" s="2510">
        <v>2018</v>
      </c>
      <c r="C797" s="2510">
        <v>7</v>
      </c>
      <c r="D797">
        <v>2.3353100000000002</v>
      </c>
      <c r="E797">
        <f t="shared" si="14"/>
        <v>2018</v>
      </c>
    </row>
    <row r="798" spans="1:5">
      <c r="A798" s="2042">
        <v>43301</v>
      </c>
      <c r="B798" s="2510">
        <v>2018</v>
      </c>
      <c r="C798" s="2510">
        <v>7</v>
      </c>
      <c r="D798">
        <v>2.3415599999999999</v>
      </c>
      <c r="E798">
        <f t="shared" si="14"/>
        <v>2018</v>
      </c>
    </row>
    <row r="799" spans="1:5">
      <c r="A799" s="2042">
        <v>43300</v>
      </c>
      <c r="B799" s="2510">
        <v>2018</v>
      </c>
      <c r="C799" s="2510">
        <v>7</v>
      </c>
      <c r="D799">
        <v>2.3470599999999999</v>
      </c>
      <c r="E799">
        <f t="shared" si="14"/>
        <v>2018</v>
      </c>
    </row>
    <row r="800" spans="1:5">
      <c r="A800" s="2042">
        <v>43299</v>
      </c>
      <c r="B800" s="2510">
        <v>2018</v>
      </c>
      <c r="C800" s="2510">
        <v>7</v>
      </c>
      <c r="D800">
        <v>2.3475000000000001</v>
      </c>
      <c r="E800">
        <f t="shared" si="14"/>
        <v>2018</v>
      </c>
    </row>
    <row r="801" spans="1:5">
      <c r="A801" s="2042">
        <v>43298</v>
      </c>
      <c r="B801" s="2510">
        <v>2018</v>
      </c>
      <c r="C801" s="2510">
        <v>7</v>
      </c>
      <c r="D801">
        <v>2.3419400000000001</v>
      </c>
      <c r="E801">
        <f t="shared" si="14"/>
        <v>2018</v>
      </c>
    </row>
    <row r="802" spans="1:5">
      <c r="A802" s="2042">
        <v>43297</v>
      </c>
      <c r="B802" s="2510">
        <v>2018</v>
      </c>
      <c r="C802" s="2510">
        <v>7</v>
      </c>
      <c r="D802">
        <v>2.33263</v>
      </c>
      <c r="E802">
        <f t="shared" si="14"/>
        <v>2018</v>
      </c>
    </row>
    <row r="803" spans="1:5">
      <c r="A803" s="2042">
        <v>43294</v>
      </c>
      <c r="B803" s="2510">
        <v>2018</v>
      </c>
      <c r="C803" s="2510">
        <v>7</v>
      </c>
      <c r="D803">
        <v>2.3359999999999999</v>
      </c>
      <c r="E803">
        <f t="shared" si="14"/>
        <v>2018</v>
      </c>
    </row>
    <row r="804" spans="1:5">
      <c r="A804" s="2042">
        <v>43293</v>
      </c>
      <c r="B804" s="2510">
        <v>2018</v>
      </c>
      <c r="C804" s="2510">
        <v>7</v>
      </c>
      <c r="D804">
        <v>2.3391899999999999</v>
      </c>
      <c r="E804">
        <f t="shared" si="14"/>
        <v>2018</v>
      </c>
    </row>
    <row r="805" spans="1:5">
      <c r="A805" s="2042">
        <v>43292</v>
      </c>
      <c r="B805" s="2510">
        <v>2018</v>
      </c>
      <c r="C805" s="2510">
        <v>7</v>
      </c>
      <c r="D805">
        <v>2.3370000000000002</v>
      </c>
      <c r="E805">
        <f t="shared" si="14"/>
        <v>2018</v>
      </c>
    </row>
    <row r="806" spans="1:5">
      <c r="A806" s="2042">
        <v>43291</v>
      </c>
      <c r="B806" s="2510">
        <v>2018</v>
      </c>
      <c r="C806" s="2510">
        <v>7</v>
      </c>
      <c r="D806">
        <v>2.33744</v>
      </c>
      <c r="E806">
        <f t="shared" si="14"/>
        <v>2018</v>
      </c>
    </row>
    <row r="807" spans="1:5">
      <c r="A807" s="2042">
        <v>43290</v>
      </c>
      <c r="B807" s="2510">
        <v>2018</v>
      </c>
      <c r="C807" s="2510">
        <v>7</v>
      </c>
      <c r="D807">
        <v>2.3331300000000001</v>
      </c>
      <c r="E807">
        <f t="shared" si="14"/>
        <v>2018</v>
      </c>
    </row>
    <row r="808" spans="1:5">
      <c r="A808" s="2042">
        <v>43287</v>
      </c>
      <c r="B808" s="2510">
        <v>2018</v>
      </c>
      <c r="C808" s="2510">
        <v>7</v>
      </c>
      <c r="D808">
        <v>2.3314400000000002</v>
      </c>
      <c r="E808">
        <f t="shared" si="14"/>
        <v>2018</v>
      </c>
    </row>
    <row r="809" spans="1:5">
      <c r="A809" s="2042">
        <v>43286</v>
      </c>
      <c r="B809" s="2510">
        <v>2018</v>
      </c>
      <c r="C809" s="2510">
        <v>7</v>
      </c>
      <c r="D809">
        <v>2.3386300000000002</v>
      </c>
      <c r="E809">
        <f t="shared" si="14"/>
        <v>2018</v>
      </c>
    </row>
    <row r="810" spans="1:5">
      <c r="A810" s="2042">
        <v>43285</v>
      </c>
      <c r="B810" s="2510">
        <v>2018</v>
      </c>
      <c r="C810" s="2510">
        <v>7</v>
      </c>
      <c r="D810">
        <v>2.33731</v>
      </c>
      <c r="E810">
        <f t="shared" si="14"/>
        <v>2018</v>
      </c>
    </row>
    <row r="811" spans="1:5">
      <c r="A811" s="2042">
        <v>43284</v>
      </c>
      <c r="B811" s="2510">
        <v>2018</v>
      </c>
      <c r="C811" s="2510">
        <v>7</v>
      </c>
      <c r="D811">
        <v>2.33725</v>
      </c>
      <c r="E811">
        <f t="shared" si="14"/>
        <v>2018</v>
      </c>
    </row>
    <row r="812" spans="1:5">
      <c r="A812" s="2042">
        <v>43283</v>
      </c>
      <c r="B812" s="2510">
        <v>2018</v>
      </c>
      <c r="C812" s="2510">
        <v>7</v>
      </c>
      <c r="D812">
        <v>2.3424999999999998</v>
      </c>
      <c r="E812">
        <f t="shared" si="14"/>
        <v>2018</v>
      </c>
    </row>
    <row r="813" spans="1:5">
      <c r="A813" s="2042">
        <v>43280</v>
      </c>
      <c r="B813" s="2510">
        <v>2018</v>
      </c>
      <c r="C813" s="2510">
        <v>6</v>
      </c>
      <c r="D813">
        <v>2.33575</v>
      </c>
      <c r="E813">
        <f t="shared" si="14"/>
        <v>2018</v>
      </c>
    </row>
    <row r="814" spans="1:5">
      <c r="A814" s="2042">
        <v>43279</v>
      </c>
      <c r="B814" s="2510">
        <v>2018</v>
      </c>
      <c r="C814" s="2510">
        <v>6</v>
      </c>
      <c r="D814">
        <v>2.33738</v>
      </c>
      <c r="E814">
        <f t="shared" si="14"/>
        <v>2018</v>
      </c>
    </row>
    <row r="815" spans="1:5">
      <c r="A815" s="2042">
        <v>43278</v>
      </c>
      <c r="B815" s="2510">
        <v>2018</v>
      </c>
      <c r="C815" s="2510">
        <v>6</v>
      </c>
      <c r="D815">
        <v>2.3343799999999999</v>
      </c>
      <c r="E815">
        <f t="shared" si="14"/>
        <v>2018</v>
      </c>
    </row>
    <row r="816" spans="1:5">
      <c r="A816" s="2042">
        <v>43277</v>
      </c>
      <c r="B816" s="2510">
        <v>2018</v>
      </c>
      <c r="C816" s="2510">
        <v>6</v>
      </c>
      <c r="D816">
        <v>2.3356300000000001</v>
      </c>
      <c r="E816">
        <f t="shared" si="14"/>
        <v>2018</v>
      </c>
    </row>
    <row r="817" spans="1:5">
      <c r="A817" s="2042">
        <v>43276</v>
      </c>
      <c r="B817" s="2510">
        <v>2018</v>
      </c>
      <c r="C817" s="2510">
        <v>6</v>
      </c>
      <c r="D817">
        <v>2.3370000000000002</v>
      </c>
      <c r="E817">
        <f t="shared" si="14"/>
        <v>2018</v>
      </c>
    </row>
    <row r="818" spans="1:5">
      <c r="A818" s="2042">
        <v>43273</v>
      </c>
      <c r="B818" s="2510">
        <v>2018</v>
      </c>
      <c r="C818" s="2510">
        <v>6</v>
      </c>
      <c r="D818">
        <v>2.3388800000000001</v>
      </c>
      <c r="E818">
        <f t="shared" si="14"/>
        <v>2018</v>
      </c>
    </row>
    <row r="819" spans="1:5">
      <c r="A819" s="2042">
        <v>43272</v>
      </c>
      <c r="B819" s="2510">
        <v>2018</v>
      </c>
      <c r="C819" s="2510">
        <v>6</v>
      </c>
      <c r="D819">
        <v>2.3350599999999999</v>
      </c>
      <c r="E819">
        <f t="shared" si="14"/>
        <v>2018</v>
      </c>
    </row>
    <row r="820" spans="1:5">
      <c r="A820" s="2042">
        <v>43271</v>
      </c>
      <c r="B820" s="2510">
        <v>2018</v>
      </c>
      <c r="C820" s="2510">
        <v>6</v>
      </c>
      <c r="D820">
        <v>2.33188</v>
      </c>
      <c r="E820">
        <f t="shared" si="14"/>
        <v>2018</v>
      </c>
    </row>
    <row r="821" spans="1:5">
      <c r="A821" s="2042">
        <v>43270</v>
      </c>
      <c r="B821" s="2510">
        <v>2018</v>
      </c>
      <c r="C821" s="2510">
        <v>6</v>
      </c>
      <c r="D821">
        <v>2.3302499999999999</v>
      </c>
      <c r="E821">
        <f t="shared" si="14"/>
        <v>2018</v>
      </c>
    </row>
    <row r="822" spans="1:5">
      <c r="A822" s="2042">
        <v>43269</v>
      </c>
      <c r="B822" s="2510">
        <v>2018</v>
      </c>
      <c r="C822" s="2510">
        <v>6</v>
      </c>
      <c r="D822">
        <v>2.3246899999999999</v>
      </c>
      <c r="E822">
        <f t="shared" si="14"/>
        <v>2018</v>
      </c>
    </row>
    <row r="823" spans="1:5">
      <c r="A823" s="2042">
        <v>43266</v>
      </c>
      <c r="B823" s="2510">
        <v>2018</v>
      </c>
      <c r="C823" s="2510">
        <v>6</v>
      </c>
      <c r="D823">
        <v>2.3259400000000001</v>
      </c>
      <c r="E823">
        <f t="shared" si="14"/>
        <v>2018</v>
      </c>
    </row>
    <row r="824" spans="1:5">
      <c r="A824" s="2042">
        <v>43265</v>
      </c>
      <c r="B824" s="2510">
        <v>2018</v>
      </c>
      <c r="C824" s="2510">
        <v>6</v>
      </c>
      <c r="D824">
        <v>2.3346900000000002</v>
      </c>
      <c r="E824">
        <f t="shared" si="14"/>
        <v>2018</v>
      </c>
    </row>
    <row r="825" spans="1:5">
      <c r="A825" s="2042">
        <v>43264</v>
      </c>
      <c r="B825" s="2510">
        <v>2018</v>
      </c>
      <c r="C825" s="2510">
        <v>6</v>
      </c>
      <c r="D825">
        <v>2.34063</v>
      </c>
      <c r="E825">
        <f t="shared" si="14"/>
        <v>2018</v>
      </c>
    </row>
    <row r="826" spans="1:5">
      <c r="A826" s="2042">
        <v>43263</v>
      </c>
      <c r="B826" s="2510">
        <v>2018</v>
      </c>
      <c r="C826" s="2510">
        <v>6</v>
      </c>
      <c r="D826">
        <v>2.3356300000000001</v>
      </c>
      <c r="E826">
        <f t="shared" si="14"/>
        <v>2018</v>
      </c>
    </row>
    <row r="827" spans="1:5">
      <c r="A827" s="2042">
        <v>43262</v>
      </c>
      <c r="B827" s="2510">
        <v>2018</v>
      </c>
      <c r="C827" s="2510">
        <v>6</v>
      </c>
      <c r="D827">
        <v>2.33263</v>
      </c>
      <c r="E827">
        <f t="shared" si="14"/>
        <v>2018</v>
      </c>
    </row>
    <row r="828" spans="1:5">
      <c r="A828" s="2042">
        <v>43259</v>
      </c>
      <c r="B828" s="2510">
        <v>2018</v>
      </c>
      <c r="C828" s="2510">
        <v>6</v>
      </c>
      <c r="D828">
        <v>2.3263099999999999</v>
      </c>
      <c r="E828">
        <f t="shared" si="14"/>
        <v>2018</v>
      </c>
    </row>
    <row r="829" spans="1:5">
      <c r="A829" s="2042">
        <v>43258</v>
      </c>
      <c r="B829" s="2510">
        <v>2018</v>
      </c>
      <c r="C829" s="2510">
        <v>6</v>
      </c>
      <c r="D829">
        <v>2.3271299999999999</v>
      </c>
      <c r="E829">
        <f t="shared" si="14"/>
        <v>2018</v>
      </c>
    </row>
    <row r="830" spans="1:5">
      <c r="A830" s="2042">
        <v>43257</v>
      </c>
      <c r="B830" s="2510">
        <v>2018</v>
      </c>
      <c r="C830" s="2510">
        <v>6</v>
      </c>
      <c r="D830">
        <v>2.3208799999999998</v>
      </c>
      <c r="E830">
        <f t="shared" si="14"/>
        <v>2018</v>
      </c>
    </row>
    <row r="831" spans="1:5">
      <c r="A831" s="2042">
        <v>43256</v>
      </c>
      <c r="B831" s="2510">
        <v>2018</v>
      </c>
      <c r="C831" s="2510">
        <v>6</v>
      </c>
      <c r="D831">
        <v>2.3191899999999999</v>
      </c>
      <c r="E831">
        <f t="shared" si="14"/>
        <v>2018</v>
      </c>
    </row>
    <row r="832" spans="1:5">
      <c r="A832" s="2042">
        <v>43255</v>
      </c>
      <c r="B832" s="2510">
        <v>2018</v>
      </c>
      <c r="C832" s="2510">
        <v>6</v>
      </c>
      <c r="D832">
        <v>2.3138100000000001</v>
      </c>
      <c r="E832">
        <f t="shared" si="14"/>
        <v>2018</v>
      </c>
    </row>
    <row r="833" spans="1:5">
      <c r="A833" s="2042">
        <v>43252</v>
      </c>
      <c r="B833" s="2510">
        <v>2018</v>
      </c>
      <c r="C833" s="2510">
        <v>6</v>
      </c>
      <c r="D833">
        <v>2.3178100000000001</v>
      </c>
      <c r="E833">
        <f t="shared" si="14"/>
        <v>2018</v>
      </c>
    </row>
    <row r="834" spans="1:5">
      <c r="A834" s="2042">
        <v>43251</v>
      </c>
      <c r="B834" s="2510">
        <v>2018</v>
      </c>
      <c r="C834" s="2510">
        <v>5</v>
      </c>
      <c r="D834">
        <v>2.32125</v>
      </c>
      <c r="E834">
        <f t="shared" si="14"/>
        <v>2018</v>
      </c>
    </row>
    <row r="835" spans="1:5">
      <c r="A835" s="2042">
        <v>43250</v>
      </c>
      <c r="B835" s="2510">
        <v>2018</v>
      </c>
      <c r="C835" s="2510">
        <v>5</v>
      </c>
      <c r="D835">
        <v>2.3003100000000001</v>
      </c>
      <c r="E835">
        <f t="shared" si="14"/>
        <v>2018</v>
      </c>
    </row>
    <row r="836" spans="1:5">
      <c r="A836" s="2042">
        <v>43249</v>
      </c>
      <c r="B836" s="2510">
        <v>2018</v>
      </c>
      <c r="C836" s="2510">
        <v>5</v>
      </c>
      <c r="D836">
        <v>2.3071899999999999</v>
      </c>
      <c r="E836">
        <f t="shared" ref="E836:E899" si="15">YEAR(A836)</f>
        <v>2018</v>
      </c>
    </row>
    <row r="837" spans="1:5">
      <c r="A837" s="2042">
        <v>43245</v>
      </c>
      <c r="B837" s="2510">
        <v>2018</v>
      </c>
      <c r="C837" s="2510">
        <v>5</v>
      </c>
      <c r="D837">
        <v>2.31813</v>
      </c>
      <c r="E837">
        <f t="shared" si="15"/>
        <v>2018</v>
      </c>
    </row>
    <row r="838" spans="1:5">
      <c r="A838" s="2042">
        <v>43244</v>
      </c>
      <c r="B838" s="2510">
        <v>2018</v>
      </c>
      <c r="C838" s="2510">
        <v>5</v>
      </c>
      <c r="D838">
        <v>2.3193800000000002</v>
      </c>
      <c r="E838">
        <f t="shared" si="15"/>
        <v>2018</v>
      </c>
    </row>
    <row r="839" spans="1:5">
      <c r="A839" s="2042">
        <v>43243</v>
      </c>
      <c r="B839" s="2510">
        <v>2018</v>
      </c>
      <c r="C839" s="2510">
        <v>5</v>
      </c>
      <c r="D839">
        <v>2.33</v>
      </c>
      <c r="E839">
        <f t="shared" si="15"/>
        <v>2018</v>
      </c>
    </row>
    <row r="840" spans="1:5">
      <c r="A840" s="2042">
        <v>43242</v>
      </c>
      <c r="B840" s="2510">
        <v>2018</v>
      </c>
      <c r="C840" s="2510">
        <v>5</v>
      </c>
      <c r="D840">
        <v>2.33</v>
      </c>
      <c r="E840">
        <f t="shared" si="15"/>
        <v>2018</v>
      </c>
    </row>
    <row r="841" spans="1:5">
      <c r="A841" s="2042">
        <v>43241</v>
      </c>
      <c r="B841" s="2510">
        <v>2018</v>
      </c>
      <c r="C841" s="2510">
        <v>5</v>
      </c>
      <c r="D841">
        <v>2.33</v>
      </c>
      <c r="E841">
        <f t="shared" si="15"/>
        <v>2018</v>
      </c>
    </row>
    <row r="842" spans="1:5">
      <c r="A842" s="2042">
        <v>43238</v>
      </c>
      <c r="B842" s="2510">
        <v>2018</v>
      </c>
      <c r="C842" s="2510">
        <v>5</v>
      </c>
      <c r="D842">
        <v>2.32938</v>
      </c>
      <c r="E842">
        <f t="shared" si="15"/>
        <v>2018</v>
      </c>
    </row>
    <row r="843" spans="1:5">
      <c r="A843" s="2042">
        <v>43237</v>
      </c>
      <c r="B843" s="2510">
        <v>2018</v>
      </c>
      <c r="C843" s="2510">
        <v>5</v>
      </c>
      <c r="D843">
        <v>2.3312499999999998</v>
      </c>
      <c r="E843">
        <f t="shared" si="15"/>
        <v>2018</v>
      </c>
    </row>
    <row r="844" spans="1:5">
      <c r="A844" s="2042">
        <v>43236</v>
      </c>
      <c r="B844" s="2510">
        <v>2018</v>
      </c>
      <c r="C844" s="2510">
        <v>5</v>
      </c>
      <c r="D844">
        <v>2.3256299999999999</v>
      </c>
      <c r="E844">
        <f t="shared" si="15"/>
        <v>2018</v>
      </c>
    </row>
    <row r="845" spans="1:5">
      <c r="A845" s="2042">
        <v>43235</v>
      </c>
      <c r="B845" s="2510">
        <v>2018</v>
      </c>
      <c r="C845" s="2510">
        <v>5</v>
      </c>
      <c r="D845">
        <v>2.32063</v>
      </c>
      <c r="E845">
        <f t="shared" si="15"/>
        <v>2018</v>
      </c>
    </row>
    <row r="846" spans="1:5">
      <c r="A846" s="2042">
        <v>43234</v>
      </c>
      <c r="B846" s="2510">
        <v>2018</v>
      </c>
      <c r="C846" s="2510">
        <v>5</v>
      </c>
      <c r="D846">
        <v>2.33</v>
      </c>
      <c r="E846">
        <f t="shared" si="15"/>
        <v>2018</v>
      </c>
    </row>
    <row r="847" spans="1:5">
      <c r="A847" s="2042">
        <v>43231</v>
      </c>
      <c r="B847" s="2510">
        <v>2018</v>
      </c>
      <c r="C847" s="2510">
        <v>5</v>
      </c>
      <c r="D847">
        <v>2.3424999999999998</v>
      </c>
      <c r="E847">
        <f t="shared" si="15"/>
        <v>2018</v>
      </c>
    </row>
    <row r="848" spans="1:5">
      <c r="A848" s="2042">
        <v>43230</v>
      </c>
      <c r="B848" s="2510">
        <v>2018</v>
      </c>
      <c r="C848" s="2510">
        <v>5</v>
      </c>
      <c r="D848">
        <v>2.355</v>
      </c>
      <c r="E848">
        <f t="shared" si="15"/>
        <v>2018</v>
      </c>
    </row>
    <row r="849" spans="1:5">
      <c r="A849" s="2042">
        <v>43229</v>
      </c>
      <c r="B849" s="2510">
        <v>2018</v>
      </c>
      <c r="C849" s="2510">
        <v>5</v>
      </c>
      <c r="D849">
        <v>2.35575</v>
      </c>
      <c r="E849">
        <f t="shared" si="15"/>
        <v>2018</v>
      </c>
    </row>
    <row r="850" spans="1:5">
      <c r="A850" s="2042">
        <v>43228</v>
      </c>
      <c r="B850" s="2510">
        <v>2018</v>
      </c>
      <c r="C850" s="2510">
        <v>5</v>
      </c>
      <c r="D850">
        <v>2.3525</v>
      </c>
      <c r="E850">
        <f t="shared" si="15"/>
        <v>2018</v>
      </c>
    </row>
    <row r="851" spans="1:5">
      <c r="A851" s="2042">
        <v>43224</v>
      </c>
      <c r="B851" s="2510">
        <v>2018</v>
      </c>
      <c r="C851" s="2510">
        <v>5</v>
      </c>
      <c r="D851">
        <v>2.3690600000000002</v>
      </c>
      <c r="E851">
        <f t="shared" si="15"/>
        <v>2018</v>
      </c>
    </row>
    <row r="852" spans="1:5">
      <c r="A852" s="2042">
        <v>43223</v>
      </c>
      <c r="B852" s="2510">
        <v>2018</v>
      </c>
      <c r="C852" s="2510">
        <v>5</v>
      </c>
      <c r="D852">
        <v>2.36313</v>
      </c>
      <c r="E852">
        <f t="shared" si="15"/>
        <v>2018</v>
      </c>
    </row>
    <row r="853" spans="1:5">
      <c r="A853" s="2042">
        <v>43222</v>
      </c>
      <c r="B853" s="2510">
        <v>2018</v>
      </c>
      <c r="C853" s="2510">
        <v>5</v>
      </c>
      <c r="D853">
        <v>2.36294</v>
      </c>
      <c r="E853">
        <f t="shared" si="15"/>
        <v>2018</v>
      </c>
    </row>
    <row r="854" spans="1:5">
      <c r="A854" s="2042">
        <v>43221</v>
      </c>
      <c r="B854" s="2510">
        <v>2018</v>
      </c>
      <c r="C854" s="2510">
        <v>5</v>
      </c>
      <c r="D854">
        <v>2.3537499999999998</v>
      </c>
      <c r="E854">
        <f t="shared" si="15"/>
        <v>2018</v>
      </c>
    </row>
    <row r="855" spans="1:5">
      <c r="A855" s="2042">
        <v>43220</v>
      </c>
      <c r="B855" s="2510">
        <v>2018</v>
      </c>
      <c r="C855" s="2510">
        <v>4</v>
      </c>
      <c r="D855">
        <v>2.36294</v>
      </c>
      <c r="E855">
        <f t="shared" si="15"/>
        <v>2018</v>
      </c>
    </row>
    <row r="856" spans="1:5">
      <c r="A856" s="2042">
        <v>43217</v>
      </c>
      <c r="B856" s="2510">
        <v>2018</v>
      </c>
      <c r="C856" s="2510">
        <v>4</v>
      </c>
      <c r="D856">
        <v>2.35805</v>
      </c>
      <c r="E856">
        <f t="shared" si="15"/>
        <v>2018</v>
      </c>
    </row>
    <row r="857" spans="1:5">
      <c r="A857" s="2042">
        <v>43216</v>
      </c>
      <c r="B857" s="2510">
        <v>2018</v>
      </c>
      <c r="C857" s="2510">
        <v>4</v>
      </c>
      <c r="D857">
        <v>2.3587799999999999</v>
      </c>
      <c r="E857">
        <f t="shared" si="15"/>
        <v>2018</v>
      </c>
    </row>
    <row r="858" spans="1:5">
      <c r="A858" s="2042">
        <v>43215</v>
      </c>
      <c r="B858" s="2510">
        <v>2018</v>
      </c>
      <c r="C858" s="2510">
        <v>4</v>
      </c>
      <c r="D858">
        <v>2.3656100000000002</v>
      </c>
      <c r="E858">
        <f t="shared" si="15"/>
        <v>2018</v>
      </c>
    </row>
    <row r="859" spans="1:5">
      <c r="A859" s="2042">
        <v>43214</v>
      </c>
      <c r="B859" s="2510">
        <v>2018</v>
      </c>
      <c r="C859" s="2510">
        <v>4</v>
      </c>
      <c r="D859">
        <v>2.3616700000000002</v>
      </c>
      <c r="E859">
        <f t="shared" si="15"/>
        <v>2018</v>
      </c>
    </row>
    <row r="860" spans="1:5">
      <c r="A860" s="2042">
        <v>43213</v>
      </c>
      <c r="B860" s="2510">
        <v>2018</v>
      </c>
      <c r="C860" s="2510">
        <v>4</v>
      </c>
      <c r="D860">
        <v>2.35954</v>
      </c>
      <c r="E860">
        <f t="shared" si="15"/>
        <v>2018</v>
      </c>
    </row>
    <row r="861" spans="1:5">
      <c r="A861" s="2042">
        <v>43210</v>
      </c>
      <c r="B861" s="2510">
        <v>2018</v>
      </c>
      <c r="C861" s="2510">
        <v>4</v>
      </c>
      <c r="D861">
        <v>2.3592300000000002</v>
      </c>
      <c r="E861">
        <f t="shared" si="15"/>
        <v>2018</v>
      </c>
    </row>
    <row r="862" spans="1:5">
      <c r="A862" s="2042">
        <v>43209</v>
      </c>
      <c r="B862" s="2510">
        <v>2018</v>
      </c>
      <c r="C862" s="2510">
        <v>4</v>
      </c>
      <c r="D862">
        <v>2.3615599999999999</v>
      </c>
      <c r="E862">
        <f t="shared" si="15"/>
        <v>2018</v>
      </c>
    </row>
    <row r="863" spans="1:5">
      <c r="A863" s="2042">
        <v>43208</v>
      </c>
      <c r="B863" s="2510">
        <v>2018</v>
      </c>
      <c r="C863" s="2510">
        <v>4</v>
      </c>
      <c r="D863">
        <v>2.35866</v>
      </c>
      <c r="E863">
        <f t="shared" si="15"/>
        <v>2018</v>
      </c>
    </row>
    <row r="864" spans="1:5">
      <c r="A864" s="2042">
        <v>43207</v>
      </c>
      <c r="B864" s="2510">
        <v>2018</v>
      </c>
      <c r="C864" s="2510">
        <v>4</v>
      </c>
      <c r="D864">
        <v>2.3553899999999999</v>
      </c>
      <c r="E864">
        <f t="shared" si="15"/>
        <v>2018</v>
      </c>
    </row>
    <row r="865" spans="1:5">
      <c r="A865" s="2042">
        <v>43206</v>
      </c>
      <c r="B865" s="2510">
        <v>2018</v>
      </c>
      <c r="C865" s="2510">
        <v>4</v>
      </c>
      <c r="D865">
        <v>2.3550900000000001</v>
      </c>
      <c r="E865">
        <f t="shared" si="15"/>
        <v>2018</v>
      </c>
    </row>
    <row r="866" spans="1:5">
      <c r="A866" s="2042">
        <v>43203</v>
      </c>
      <c r="B866" s="2510">
        <v>2018</v>
      </c>
      <c r="C866" s="2510">
        <v>4</v>
      </c>
      <c r="D866">
        <v>2.3528099999999998</v>
      </c>
      <c r="E866">
        <f t="shared" si="15"/>
        <v>2018</v>
      </c>
    </row>
    <row r="867" spans="1:5">
      <c r="A867" s="2042">
        <v>43202</v>
      </c>
      <c r="B867" s="2510">
        <v>2018</v>
      </c>
      <c r="C867" s="2510">
        <v>4</v>
      </c>
      <c r="D867">
        <v>2.3476900000000001</v>
      </c>
      <c r="E867">
        <f t="shared" si="15"/>
        <v>2018</v>
      </c>
    </row>
    <row r="868" spans="1:5">
      <c r="A868" s="2042">
        <v>43201</v>
      </c>
      <c r="B868" s="2510">
        <v>2018</v>
      </c>
      <c r="C868" s="2510">
        <v>4</v>
      </c>
      <c r="D868">
        <v>2.3416299999999999</v>
      </c>
      <c r="E868">
        <f t="shared" si="15"/>
        <v>2018</v>
      </c>
    </row>
    <row r="869" spans="1:5">
      <c r="A869" s="2042">
        <v>43200</v>
      </c>
      <c r="B869" s="2510">
        <v>2018</v>
      </c>
      <c r="C869" s="2510">
        <v>4</v>
      </c>
      <c r="D869">
        <v>2.3390300000000002</v>
      </c>
      <c r="E869">
        <f t="shared" si="15"/>
        <v>2018</v>
      </c>
    </row>
    <row r="870" spans="1:5">
      <c r="A870" s="2042">
        <v>43199</v>
      </c>
      <c r="B870" s="2510">
        <v>2018</v>
      </c>
      <c r="C870" s="2510">
        <v>4</v>
      </c>
      <c r="D870">
        <v>2.3372999999999999</v>
      </c>
      <c r="E870">
        <f t="shared" si="15"/>
        <v>2018</v>
      </c>
    </row>
    <row r="871" spans="1:5">
      <c r="A871" s="2042">
        <v>43196</v>
      </c>
      <c r="B871" s="2510">
        <v>2018</v>
      </c>
      <c r="C871" s="2510">
        <v>4</v>
      </c>
      <c r="D871">
        <v>2.3374600000000001</v>
      </c>
      <c r="E871">
        <f t="shared" si="15"/>
        <v>2018</v>
      </c>
    </row>
    <row r="872" spans="1:5">
      <c r="A872" s="2042">
        <v>43195</v>
      </c>
      <c r="B872" s="2510">
        <v>2018</v>
      </c>
      <c r="C872" s="2510">
        <v>4</v>
      </c>
      <c r="D872">
        <v>2.3306300000000002</v>
      </c>
      <c r="E872">
        <f t="shared" si="15"/>
        <v>2018</v>
      </c>
    </row>
    <row r="873" spans="1:5">
      <c r="A873" s="2042">
        <v>43194</v>
      </c>
      <c r="B873" s="2510">
        <v>2018</v>
      </c>
      <c r="C873" s="2510">
        <v>4</v>
      </c>
      <c r="D873">
        <v>2.3246099999999998</v>
      </c>
      <c r="E873">
        <f t="shared" si="15"/>
        <v>2018</v>
      </c>
    </row>
    <row r="874" spans="1:5">
      <c r="A874" s="2042">
        <v>43193</v>
      </c>
      <c r="B874" s="2510">
        <v>2018</v>
      </c>
      <c r="C874" s="2510">
        <v>4</v>
      </c>
      <c r="D874">
        <v>2.32084</v>
      </c>
      <c r="E874">
        <f t="shared" si="15"/>
        <v>2018</v>
      </c>
    </row>
    <row r="875" spans="1:5">
      <c r="A875" s="2042">
        <v>43188</v>
      </c>
      <c r="B875" s="2510">
        <v>2018</v>
      </c>
      <c r="C875" s="2510">
        <v>3</v>
      </c>
      <c r="D875">
        <v>2.31175</v>
      </c>
      <c r="E875">
        <f t="shared" si="15"/>
        <v>2018</v>
      </c>
    </row>
    <row r="876" spans="1:5">
      <c r="A876" s="2042">
        <v>43187</v>
      </c>
      <c r="B876" s="2510">
        <v>2018</v>
      </c>
      <c r="C876" s="2510">
        <v>3</v>
      </c>
      <c r="D876">
        <v>2.3079999999999998</v>
      </c>
      <c r="E876">
        <f t="shared" si="15"/>
        <v>2018</v>
      </c>
    </row>
    <row r="877" spans="1:5">
      <c r="A877" s="2042">
        <v>43186</v>
      </c>
      <c r="B877" s="2510">
        <v>2018</v>
      </c>
      <c r="C877" s="2510">
        <v>3</v>
      </c>
      <c r="D877">
        <v>2.302</v>
      </c>
      <c r="E877">
        <f t="shared" si="15"/>
        <v>2018</v>
      </c>
    </row>
    <row r="878" spans="1:5">
      <c r="A878" s="2042">
        <v>43185</v>
      </c>
      <c r="B878" s="2510">
        <v>2018</v>
      </c>
      <c r="C878" s="2510">
        <v>3</v>
      </c>
      <c r="D878">
        <v>2.2949600000000001</v>
      </c>
      <c r="E878">
        <f t="shared" si="15"/>
        <v>2018</v>
      </c>
    </row>
    <row r="879" spans="1:5">
      <c r="A879" s="2042">
        <v>43182</v>
      </c>
      <c r="B879" s="2510">
        <v>2018</v>
      </c>
      <c r="C879" s="2510">
        <v>3</v>
      </c>
      <c r="D879">
        <v>2.29155</v>
      </c>
      <c r="E879">
        <f t="shared" si="15"/>
        <v>2018</v>
      </c>
    </row>
    <row r="880" spans="1:5">
      <c r="A880" s="2042">
        <v>43181</v>
      </c>
      <c r="B880" s="2510">
        <v>2018</v>
      </c>
      <c r="C880" s="2510">
        <v>3</v>
      </c>
      <c r="D880">
        <v>2.2855699999999999</v>
      </c>
      <c r="E880">
        <f t="shared" si="15"/>
        <v>2018</v>
      </c>
    </row>
    <row r="881" spans="1:5">
      <c r="A881" s="2042">
        <v>43180</v>
      </c>
      <c r="B881" s="2510">
        <v>2018</v>
      </c>
      <c r="C881" s="2510">
        <v>3</v>
      </c>
      <c r="D881">
        <v>2.27108</v>
      </c>
      <c r="E881">
        <f t="shared" si="15"/>
        <v>2018</v>
      </c>
    </row>
    <row r="882" spans="1:5">
      <c r="A882" s="2042">
        <v>43179</v>
      </c>
      <c r="B882" s="2510">
        <v>2018</v>
      </c>
      <c r="C882" s="2510">
        <v>3</v>
      </c>
      <c r="D882">
        <v>2.2481399999999998</v>
      </c>
      <c r="E882">
        <f t="shared" si="15"/>
        <v>2018</v>
      </c>
    </row>
    <row r="883" spans="1:5">
      <c r="A883" s="2042">
        <v>43178</v>
      </c>
      <c r="B883" s="2510">
        <v>2018</v>
      </c>
      <c r="C883" s="2510">
        <v>3</v>
      </c>
      <c r="D883">
        <v>2.2224900000000001</v>
      </c>
      <c r="E883">
        <f t="shared" si="15"/>
        <v>2018</v>
      </c>
    </row>
    <row r="884" spans="1:5">
      <c r="A884" s="2042">
        <v>43175</v>
      </c>
      <c r="B884" s="2510">
        <v>2018</v>
      </c>
      <c r="C884" s="2510">
        <v>3</v>
      </c>
      <c r="D884">
        <v>2.2017500000000001</v>
      </c>
      <c r="E884">
        <f t="shared" si="15"/>
        <v>2018</v>
      </c>
    </row>
    <row r="885" spans="1:5">
      <c r="A885" s="2042">
        <v>43174</v>
      </c>
      <c r="B885" s="2510">
        <v>2018</v>
      </c>
      <c r="C885" s="2510">
        <v>3</v>
      </c>
      <c r="D885">
        <v>2.1775000000000002</v>
      </c>
      <c r="E885">
        <f t="shared" si="15"/>
        <v>2018</v>
      </c>
    </row>
    <row r="886" spans="1:5">
      <c r="A886" s="2042">
        <v>43173</v>
      </c>
      <c r="B886" s="2510">
        <v>2018</v>
      </c>
      <c r="C886" s="2510">
        <v>3</v>
      </c>
      <c r="D886">
        <v>2.145</v>
      </c>
      <c r="E886">
        <f t="shared" si="15"/>
        <v>2018</v>
      </c>
    </row>
    <row r="887" spans="1:5">
      <c r="A887" s="2042">
        <v>43172</v>
      </c>
      <c r="B887" s="2510">
        <v>2018</v>
      </c>
      <c r="C887" s="2510">
        <v>3</v>
      </c>
      <c r="D887">
        <v>2.1244999999999998</v>
      </c>
      <c r="E887">
        <f t="shared" si="15"/>
        <v>2018</v>
      </c>
    </row>
    <row r="888" spans="1:5">
      <c r="A888" s="2042">
        <v>43171</v>
      </c>
      <c r="B888" s="2510">
        <v>2018</v>
      </c>
      <c r="C888" s="2510">
        <v>3</v>
      </c>
      <c r="D888">
        <v>2.1068799999999999</v>
      </c>
      <c r="E888">
        <f t="shared" si="15"/>
        <v>2018</v>
      </c>
    </row>
    <row r="889" spans="1:5">
      <c r="A889" s="2042">
        <v>43168</v>
      </c>
      <c r="B889" s="2510">
        <v>2018</v>
      </c>
      <c r="C889" s="2510">
        <v>3</v>
      </c>
      <c r="D889">
        <v>2.0887500000000001</v>
      </c>
      <c r="E889">
        <f t="shared" si="15"/>
        <v>2018</v>
      </c>
    </row>
    <row r="890" spans="1:5">
      <c r="A890" s="2042">
        <v>43167</v>
      </c>
      <c r="B890" s="2510">
        <v>2018</v>
      </c>
      <c r="C890" s="2510">
        <v>3</v>
      </c>
      <c r="D890">
        <v>2.0714000000000001</v>
      </c>
      <c r="E890">
        <f t="shared" si="15"/>
        <v>2018</v>
      </c>
    </row>
    <row r="891" spans="1:5">
      <c r="A891" s="2042">
        <v>43166</v>
      </c>
      <c r="B891" s="2510">
        <v>2018</v>
      </c>
      <c r="C891" s="2510">
        <v>3</v>
      </c>
      <c r="D891">
        <v>2.0572499999999998</v>
      </c>
      <c r="E891">
        <f t="shared" si="15"/>
        <v>2018</v>
      </c>
    </row>
    <row r="892" spans="1:5">
      <c r="A892" s="2042">
        <v>43165</v>
      </c>
      <c r="B892" s="2510">
        <v>2018</v>
      </c>
      <c r="C892" s="2510">
        <v>3</v>
      </c>
      <c r="D892">
        <v>2.0472800000000002</v>
      </c>
      <c r="E892">
        <f t="shared" si="15"/>
        <v>2018</v>
      </c>
    </row>
    <row r="893" spans="1:5">
      <c r="A893" s="2042">
        <v>43164</v>
      </c>
      <c r="B893" s="2510">
        <v>2018</v>
      </c>
      <c r="C893" s="2510">
        <v>3</v>
      </c>
      <c r="D893">
        <v>2.0348999999999999</v>
      </c>
      <c r="E893">
        <f t="shared" si="15"/>
        <v>2018</v>
      </c>
    </row>
    <row r="894" spans="1:5">
      <c r="A894" s="2042">
        <v>43161</v>
      </c>
      <c r="B894" s="2510">
        <v>2018</v>
      </c>
      <c r="C894" s="2510">
        <v>3</v>
      </c>
      <c r="D894">
        <v>2.0251899999999998</v>
      </c>
      <c r="E894">
        <f t="shared" si="15"/>
        <v>2018</v>
      </c>
    </row>
    <row r="895" spans="1:5">
      <c r="A895" s="2042">
        <v>43160</v>
      </c>
      <c r="B895" s="2510">
        <v>2018</v>
      </c>
      <c r="C895" s="2510">
        <v>3</v>
      </c>
      <c r="D895">
        <v>2.0245700000000002</v>
      </c>
      <c r="E895">
        <f t="shared" si="15"/>
        <v>2018</v>
      </c>
    </row>
    <row r="896" spans="1:5">
      <c r="A896" s="2042">
        <v>43159</v>
      </c>
      <c r="B896" s="2510">
        <v>2018</v>
      </c>
      <c r="C896" s="2510">
        <v>2</v>
      </c>
      <c r="D896">
        <v>2.0171899999999998</v>
      </c>
      <c r="E896">
        <f t="shared" si="15"/>
        <v>2018</v>
      </c>
    </row>
    <row r="897" spans="1:5">
      <c r="A897" s="2042">
        <v>43158</v>
      </c>
      <c r="B897" s="2510">
        <v>2018</v>
      </c>
      <c r="C897" s="2510">
        <v>2</v>
      </c>
      <c r="D897">
        <v>2.0062500000000001</v>
      </c>
      <c r="E897">
        <f t="shared" si="15"/>
        <v>2018</v>
      </c>
    </row>
    <row r="898" spans="1:5">
      <c r="A898" s="2042">
        <v>43157</v>
      </c>
      <c r="B898" s="2510">
        <v>2018</v>
      </c>
      <c r="C898" s="2510">
        <v>2</v>
      </c>
      <c r="D898">
        <v>1.9841899999999999</v>
      </c>
      <c r="E898">
        <f t="shared" si="15"/>
        <v>2018</v>
      </c>
    </row>
    <row r="899" spans="1:5">
      <c r="A899" s="2042">
        <v>43154</v>
      </c>
      <c r="B899" s="2510">
        <v>2018</v>
      </c>
      <c r="C899" s="2510">
        <v>2</v>
      </c>
      <c r="D899">
        <v>1.95625</v>
      </c>
      <c r="E899">
        <f t="shared" si="15"/>
        <v>2018</v>
      </c>
    </row>
    <row r="900" spans="1:5">
      <c r="A900" s="2042">
        <v>43153</v>
      </c>
      <c r="B900" s="2510">
        <v>2018</v>
      </c>
      <c r="C900" s="2510">
        <v>2</v>
      </c>
      <c r="D900">
        <v>1.94363</v>
      </c>
      <c r="E900">
        <f t="shared" ref="E900:E963" si="16">YEAR(A900)</f>
        <v>2018</v>
      </c>
    </row>
    <row r="901" spans="1:5">
      <c r="A901" s="2042">
        <v>43152</v>
      </c>
      <c r="B901" s="2510">
        <v>2018</v>
      </c>
      <c r="C901" s="2510">
        <v>2</v>
      </c>
      <c r="D901">
        <v>1.9197500000000001</v>
      </c>
      <c r="E901">
        <f t="shared" si="16"/>
        <v>2018</v>
      </c>
    </row>
    <row r="902" spans="1:5">
      <c r="A902" s="2042">
        <v>43151</v>
      </c>
      <c r="B902" s="2510">
        <v>2018</v>
      </c>
      <c r="C902" s="2510">
        <v>2</v>
      </c>
      <c r="D902">
        <v>1.90394</v>
      </c>
      <c r="E902">
        <f t="shared" si="16"/>
        <v>2018</v>
      </c>
    </row>
    <row r="903" spans="1:5">
      <c r="A903" s="2042">
        <v>43150</v>
      </c>
      <c r="B903" s="2510">
        <v>2018</v>
      </c>
      <c r="C903" s="2510">
        <v>2</v>
      </c>
      <c r="D903">
        <v>1.8921300000000001</v>
      </c>
      <c r="E903">
        <f t="shared" si="16"/>
        <v>2018</v>
      </c>
    </row>
    <row r="904" spans="1:5">
      <c r="A904" s="2042">
        <v>43147</v>
      </c>
      <c r="B904" s="2510">
        <v>2018</v>
      </c>
      <c r="C904" s="2510">
        <v>2</v>
      </c>
      <c r="D904">
        <v>1.8849400000000001</v>
      </c>
      <c r="E904">
        <f t="shared" si="16"/>
        <v>2018</v>
      </c>
    </row>
    <row r="905" spans="1:5">
      <c r="A905" s="2042">
        <v>43146</v>
      </c>
      <c r="B905" s="2510">
        <v>2018</v>
      </c>
      <c r="C905" s="2510">
        <v>2</v>
      </c>
      <c r="D905">
        <v>1.8725000000000001</v>
      </c>
      <c r="E905">
        <f t="shared" si="16"/>
        <v>2018</v>
      </c>
    </row>
    <row r="906" spans="1:5">
      <c r="A906" s="2042">
        <v>43145</v>
      </c>
      <c r="B906" s="2510">
        <v>2018</v>
      </c>
      <c r="C906" s="2510">
        <v>2</v>
      </c>
      <c r="D906">
        <v>1.85</v>
      </c>
      <c r="E906">
        <f t="shared" si="16"/>
        <v>2018</v>
      </c>
    </row>
    <row r="907" spans="1:5">
      <c r="A907" s="2042">
        <v>43144</v>
      </c>
      <c r="B907" s="2510">
        <v>2018</v>
      </c>
      <c r="C907" s="2510">
        <v>2</v>
      </c>
      <c r="D907">
        <v>1.8387500000000001</v>
      </c>
      <c r="E907">
        <f t="shared" si="16"/>
        <v>2018</v>
      </c>
    </row>
    <row r="908" spans="1:5">
      <c r="A908" s="2042">
        <v>43143</v>
      </c>
      <c r="B908" s="2510">
        <v>2018</v>
      </c>
      <c r="C908" s="2510">
        <v>2</v>
      </c>
      <c r="D908">
        <v>1.83338</v>
      </c>
      <c r="E908">
        <f t="shared" si="16"/>
        <v>2018</v>
      </c>
    </row>
    <row r="909" spans="1:5">
      <c r="A909" s="2042">
        <v>43140</v>
      </c>
      <c r="B909" s="2510">
        <v>2018</v>
      </c>
      <c r="C909" s="2510">
        <v>2</v>
      </c>
      <c r="D909">
        <v>1.82</v>
      </c>
      <c r="E909">
        <f t="shared" si="16"/>
        <v>2018</v>
      </c>
    </row>
    <row r="910" spans="1:5">
      <c r="A910" s="2042">
        <v>43139</v>
      </c>
      <c r="B910" s="2510">
        <v>2018</v>
      </c>
      <c r="C910" s="2510">
        <v>2</v>
      </c>
      <c r="D910">
        <v>1.8105</v>
      </c>
      <c r="E910">
        <f t="shared" si="16"/>
        <v>2018</v>
      </c>
    </row>
    <row r="911" spans="1:5">
      <c r="A911" s="2042">
        <v>43138</v>
      </c>
      <c r="B911" s="2510">
        <v>2018</v>
      </c>
      <c r="C911" s="2510">
        <v>2</v>
      </c>
      <c r="D911">
        <v>1.79989</v>
      </c>
      <c r="E911">
        <f t="shared" si="16"/>
        <v>2018</v>
      </c>
    </row>
    <row r="912" spans="1:5">
      <c r="A912" s="2042">
        <v>43137</v>
      </c>
      <c r="B912" s="2510">
        <v>2018</v>
      </c>
      <c r="C912" s="2510">
        <v>2</v>
      </c>
      <c r="D912">
        <v>1.7907</v>
      </c>
      <c r="E912">
        <f t="shared" si="16"/>
        <v>2018</v>
      </c>
    </row>
    <row r="913" spans="1:5">
      <c r="A913" s="2042">
        <v>43136</v>
      </c>
      <c r="B913" s="2510">
        <v>2018</v>
      </c>
      <c r="C913" s="2510">
        <v>2</v>
      </c>
      <c r="D913">
        <v>1.79345</v>
      </c>
      <c r="E913">
        <f t="shared" si="16"/>
        <v>2018</v>
      </c>
    </row>
    <row r="914" spans="1:5">
      <c r="A914" s="2042">
        <v>43133</v>
      </c>
      <c r="B914" s="2510">
        <v>2018</v>
      </c>
      <c r="C914" s="2510">
        <v>2</v>
      </c>
      <c r="D914">
        <v>1.7890200000000001</v>
      </c>
      <c r="E914">
        <f t="shared" si="16"/>
        <v>2018</v>
      </c>
    </row>
    <row r="915" spans="1:5">
      <c r="A915" s="2042">
        <v>43132</v>
      </c>
      <c r="B915" s="2510">
        <v>2018</v>
      </c>
      <c r="C915" s="2510">
        <v>2</v>
      </c>
      <c r="D915">
        <v>1.78698</v>
      </c>
      <c r="E915">
        <f t="shared" si="16"/>
        <v>2018</v>
      </c>
    </row>
    <row r="916" spans="1:5">
      <c r="A916" s="2042">
        <v>43131</v>
      </c>
      <c r="B916" s="2510">
        <v>2018</v>
      </c>
      <c r="C916" s="2510">
        <v>1</v>
      </c>
      <c r="D916">
        <v>1.7777700000000001</v>
      </c>
      <c r="E916">
        <f t="shared" si="16"/>
        <v>2018</v>
      </c>
    </row>
    <row r="917" spans="1:5">
      <c r="A917" s="2042">
        <v>43130</v>
      </c>
      <c r="B917" s="2510">
        <v>2018</v>
      </c>
      <c r="C917" s="2510">
        <v>1</v>
      </c>
      <c r="D917">
        <v>1.7734000000000001</v>
      </c>
      <c r="E917">
        <f t="shared" si="16"/>
        <v>2018</v>
      </c>
    </row>
    <row r="918" spans="1:5">
      <c r="A918" s="2042">
        <v>43129</v>
      </c>
      <c r="B918" s="2510">
        <v>2018</v>
      </c>
      <c r="C918" s="2510">
        <v>1</v>
      </c>
      <c r="D918">
        <v>1.7722500000000001</v>
      </c>
      <c r="E918">
        <f t="shared" si="16"/>
        <v>2018</v>
      </c>
    </row>
    <row r="919" spans="1:5">
      <c r="A919" s="2042">
        <v>43126</v>
      </c>
      <c r="B919" s="2510">
        <v>2018</v>
      </c>
      <c r="C919" s="2510">
        <v>1</v>
      </c>
      <c r="D919">
        <v>1.7668999999999999</v>
      </c>
      <c r="E919">
        <f t="shared" si="16"/>
        <v>2018</v>
      </c>
    </row>
    <row r="920" spans="1:5">
      <c r="A920" s="2042">
        <v>43125</v>
      </c>
      <c r="B920" s="2510">
        <v>2018</v>
      </c>
      <c r="C920" s="2510">
        <v>1</v>
      </c>
      <c r="D920">
        <v>1.76031</v>
      </c>
      <c r="E920">
        <f t="shared" si="16"/>
        <v>2018</v>
      </c>
    </row>
    <row r="921" spans="1:5">
      <c r="A921" s="2042">
        <v>43124</v>
      </c>
      <c r="B921" s="2510">
        <v>2018</v>
      </c>
      <c r="C921" s="2510">
        <v>1</v>
      </c>
      <c r="D921">
        <v>1.7524599999999999</v>
      </c>
      <c r="E921">
        <f t="shared" si="16"/>
        <v>2018</v>
      </c>
    </row>
    <row r="922" spans="1:5">
      <c r="A922" s="2042">
        <v>43123</v>
      </c>
      <c r="B922" s="2510">
        <v>2018</v>
      </c>
      <c r="C922" s="2510">
        <v>1</v>
      </c>
      <c r="D922">
        <v>1.7452000000000001</v>
      </c>
      <c r="E922">
        <f t="shared" si="16"/>
        <v>2018</v>
      </c>
    </row>
    <row r="923" spans="1:5">
      <c r="A923" s="2042">
        <v>43122</v>
      </c>
      <c r="B923" s="2510">
        <v>2018</v>
      </c>
      <c r="C923" s="2510">
        <v>1</v>
      </c>
      <c r="D923">
        <v>1.7413000000000001</v>
      </c>
      <c r="E923">
        <f t="shared" si="16"/>
        <v>2018</v>
      </c>
    </row>
    <row r="924" spans="1:5">
      <c r="A924" s="2042">
        <v>43119</v>
      </c>
      <c r="B924" s="2510">
        <v>2018</v>
      </c>
      <c r="C924" s="2510">
        <v>1</v>
      </c>
      <c r="D924">
        <v>1.74447</v>
      </c>
      <c r="E924">
        <f t="shared" si="16"/>
        <v>2018</v>
      </c>
    </row>
    <row r="925" spans="1:5">
      <c r="A925" s="2042">
        <v>43118</v>
      </c>
      <c r="B925" s="2510">
        <v>2018</v>
      </c>
      <c r="C925" s="2510">
        <v>1</v>
      </c>
      <c r="D925">
        <v>1.7446999999999999</v>
      </c>
      <c r="E925">
        <f t="shared" si="16"/>
        <v>2018</v>
      </c>
    </row>
    <row r="926" spans="1:5">
      <c r="A926" s="2042">
        <v>43117</v>
      </c>
      <c r="B926" s="2510">
        <v>2018</v>
      </c>
      <c r="C926" s="2510">
        <v>1</v>
      </c>
      <c r="D926">
        <v>1.7391799999999999</v>
      </c>
      <c r="E926">
        <f t="shared" si="16"/>
        <v>2018</v>
      </c>
    </row>
    <row r="927" spans="1:5">
      <c r="A927" s="2042">
        <v>43116</v>
      </c>
      <c r="B927" s="2510">
        <v>2018</v>
      </c>
      <c r="C927" s="2510">
        <v>1</v>
      </c>
      <c r="D927">
        <v>1.7340800000000001</v>
      </c>
      <c r="E927">
        <f t="shared" si="16"/>
        <v>2018</v>
      </c>
    </row>
    <row r="928" spans="1:5">
      <c r="A928" s="2042">
        <v>43115</v>
      </c>
      <c r="B928" s="2510">
        <v>2018</v>
      </c>
      <c r="C928" s="2510">
        <v>1</v>
      </c>
      <c r="D928">
        <v>1.73133</v>
      </c>
      <c r="E928">
        <f t="shared" si="16"/>
        <v>2018</v>
      </c>
    </row>
    <row r="929" spans="1:5">
      <c r="A929" s="2042">
        <v>43112</v>
      </c>
      <c r="B929" s="2510">
        <v>2018</v>
      </c>
      <c r="C929" s="2510">
        <v>1</v>
      </c>
      <c r="D929">
        <v>1.7215199999999999</v>
      </c>
      <c r="E929">
        <f t="shared" si="16"/>
        <v>2018</v>
      </c>
    </row>
    <row r="930" spans="1:5">
      <c r="A930" s="2042">
        <v>43111</v>
      </c>
      <c r="B930" s="2510">
        <v>2018</v>
      </c>
      <c r="C930" s="2510">
        <v>1</v>
      </c>
      <c r="D930">
        <v>1.7201900000000001</v>
      </c>
      <c r="E930">
        <f t="shared" si="16"/>
        <v>2018</v>
      </c>
    </row>
    <row r="931" spans="1:5">
      <c r="A931" s="2042">
        <v>43110</v>
      </c>
      <c r="B931" s="2510">
        <v>2018</v>
      </c>
      <c r="C931" s="2510">
        <v>1</v>
      </c>
      <c r="D931">
        <v>1.7091099999999999</v>
      </c>
      <c r="E931">
        <f t="shared" si="16"/>
        <v>2018</v>
      </c>
    </row>
    <row r="932" spans="1:5">
      <c r="A932" s="2042">
        <v>43109</v>
      </c>
      <c r="B932" s="2510">
        <v>2018</v>
      </c>
      <c r="C932" s="2510">
        <v>1</v>
      </c>
      <c r="D932">
        <v>1.7045699999999999</v>
      </c>
      <c r="E932">
        <f t="shared" si="16"/>
        <v>2018</v>
      </c>
    </row>
    <row r="933" spans="1:5">
      <c r="A933" s="2042">
        <v>43108</v>
      </c>
      <c r="B933" s="2510">
        <v>2018</v>
      </c>
      <c r="C933" s="2510">
        <v>1</v>
      </c>
      <c r="D933">
        <v>1.7080200000000001</v>
      </c>
      <c r="E933">
        <f t="shared" si="16"/>
        <v>2018</v>
      </c>
    </row>
    <row r="934" spans="1:5">
      <c r="A934" s="2042">
        <v>43105</v>
      </c>
      <c r="B934" s="2510">
        <v>2018</v>
      </c>
      <c r="C934" s="2510">
        <v>1</v>
      </c>
      <c r="D934">
        <v>1.7039299999999999</v>
      </c>
      <c r="E934">
        <f t="shared" si="16"/>
        <v>2018</v>
      </c>
    </row>
    <row r="935" spans="1:5">
      <c r="A935" s="2042">
        <v>43104</v>
      </c>
      <c r="B935" s="2510">
        <v>2018</v>
      </c>
      <c r="C935" s="2510">
        <v>1</v>
      </c>
      <c r="D935">
        <v>1.70381</v>
      </c>
      <c r="E935">
        <f t="shared" si="16"/>
        <v>2018</v>
      </c>
    </row>
    <row r="936" spans="1:5">
      <c r="A936" s="2042">
        <v>43103</v>
      </c>
      <c r="B936" s="2510">
        <v>2018</v>
      </c>
      <c r="C936" s="2510">
        <v>1</v>
      </c>
      <c r="D936">
        <v>1.6959299999999999</v>
      </c>
      <c r="E936">
        <f t="shared" si="16"/>
        <v>2018</v>
      </c>
    </row>
    <row r="937" spans="1:5">
      <c r="A937" s="2042">
        <v>43102</v>
      </c>
      <c r="B937" s="2510">
        <v>2018</v>
      </c>
      <c r="C937" s="2510">
        <v>1</v>
      </c>
      <c r="D937">
        <v>1.69693</v>
      </c>
      <c r="E937">
        <f t="shared" si="16"/>
        <v>2018</v>
      </c>
    </row>
    <row r="938" spans="1:5">
      <c r="A938" s="2042">
        <v>43098</v>
      </c>
      <c r="B938" s="2510">
        <v>2017</v>
      </c>
      <c r="C938" s="2510">
        <v>12</v>
      </c>
      <c r="D938">
        <v>1.69428</v>
      </c>
      <c r="E938">
        <f t="shared" si="16"/>
        <v>2017</v>
      </c>
    </row>
    <row r="939" spans="1:5">
      <c r="A939" s="2042">
        <v>43097</v>
      </c>
      <c r="B939" s="2510">
        <v>2017</v>
      </c>
      <c r="C939" s="2510">
        <v>12</v>
      </c>
      <c r="D939">
        <v>1.69465</v>
      </c>
      <c r="E939">
        <f t="shared" si="16"/>
        <v>2017</v>
      </c>
    </row>
    <row r="940" spans="1:5">
      <c r="A940" s="2042">
        <v>43096</v>
      </c>
      <c r="B940" s="2510">
        <v>2017</v>
      </c>
      <c r="C940" s="2510">
        <v>12</v>
      </c>
      <c r="D940">
        <v>1.69339</v>
      </c>
      <c r="E940">
        <f t="shared" si="16"/>
        <v>2017</v>
      </c>
    </row>
    <row r="941" spans="1:5">
      <c r="A941" s="2042">
        <v>43091</v>
      </c>
      <c r="B941" s="2510">
        <v>2017</v>
      </c>
      <c r="C941" s="2510">
        <v>12</v>
      </c>
      <c r="D941">
        <v>1.68577</v>
      </c>
      <c r="E941">
        <f t="shared" si="16"/>
        <v>2017</v>
      </c>
    </row>
    <row r="942" spans="1:5">
      <c r="A942" s="2042">
        <v>43090</v>
      </c>
      <c r="B942" s="2510">
        <v>2017</v>
      </c>
      <c r="C942" s="2510">
        <v>12</v>
      </c>
      <c r="D942">
        <v>1.6746399999999999</v>
      </c>
      <c r="E942">
        <f t="shared" si="16"/>
        <v>2017</v>
      </c>
    </row>
    <row r="943" spans="1:5">
      <c r="A943" s="2042">
        <v>43089</v>
      </c>
      <c r="B943" s="2510">
        <v>2017</v>
      </c>
      <c r="C943" s="2510">
        <v>12</v>
      </c>
      <c r="D943">
        <v>1.6579299999999999</v>
      </c>
      <c r="E943">
        <f t="shared" si="16"/>
        <v>2017</v>
      </c>
    </row>
    <row r="944" spans="1:5">
      <c r="A944" s="2042">
        <v>43088</v>
      </c>
      <c r="B944" s="2510">
        <v>2017</v>
      </c>
      <c r="C944" s="2510">
        <v>12</v>
      </c>
      <c r="D944">
        <v>1.6420300000000001</v>
      </c>
      <c r="E944">
        <f t="shared" si="16"/>
        <v>2017</v>
      </c>
    </row>
    <row r="945" spans="1:5">
      <c r="A945" s="2042">
        <v>43087</v>
      </c>
      <c r="B945" s="2510">
        <v>2017</v>
      </c>
      <c r="C945" s="2510">
        <v>12</v>
      </c>
      <c r="D945">
        <v>1.62548</v>
      </c>
      <c r="E945">
        <f t="shared" si="16"/>
        <v>2017</v>
      </c>
    </row>
    <row r="946" spans="1:5">
      <c r="A946" s="2042">
        <v>43084</v>
      </c>
      <c r="B946" s="2510">
        <v>2017</v>
      </c>
      <c r="C946" s="2510">
        <v>12</v>
      </c>
      <c r="D946">
        <v>1.61331</v>
      </c>
      <c r="E946">
        <f t="shared" si="16"/>
        <v>2017</v>
      </c>
    </row>
    <row r="947" spans="1:5">
      <c r="A947" s="2042">
        <v>43083</v>
      </c>
      <c r="B947" s="2510">
        <v>2017</v>
      </c>
      <c r="C947" s="2510">
        <v>12</v>
      </c>
      <c r="D947">
        <v>1.60042</v>
      </c>
      <c r="E947">
        <f t="shared" si="16"/>
        <v>2017</v>
      </c>
    </row>
    <row r="948" spans="1:5">
      <c r="A948" s="2042">
        <v>43082</v>
      </c>
      <c r="B948" s="2510">
        <v>2017</v>
      </c>
      <c r="C948" s="2510">
        <v>12</v>
      </c>
      <c r="D948">
        <v>1.58849</v>
      </c>
      <c r="E948">
        <f t="shared" si="16"/>
        <v>2017</v>
      </c>
    </row>
    <row r="949" spans="1:5">
      <c r="A949" s="2042">
        <v>43081</v>
      </c>
      <c r="B949" s="2510">
        <v>2017</v>
      </c>
      <c r="C949" s="2510">
        <v>12</v>
      </c>
      <c r="D949">
        <v>1.57352</v>
      </c>
      <c r="E949">
        <f t="shared" si="16"/>
        <v>2017</v>
      </c>
    </row>
    <row r="950" spans="1:5">
      <c r="A950" s="2042">
        <v>43080</v>
      </c>
      <c r="B950" s="2510">
        <v>2017</v>
      </c>
      <c r="C950" s="2510">
        <v>12</v>
      </c>
      <c r="D950">
        <v>1.5634699999999999</v>
      </c>
      <c r="E950">
        <f t="shared" si="16"/>
        <v>2017</v>
      </c>
    </row>
    <row r="951" spans="1:5">
      <c r="A951" s="2042">
        <v>43077</v>
      </c>
      <c r="B951" s="2510">
        <v>2017</v>
      </c>
      <c r="C951" s="2510">
        <v>12</v>
      </c>
      <c r="D951">
        <v>1.54878</v>
      </c>
      <c r="E951">
        <f t="shared" si="16"/>
        <v>2017</v>
      </c>
    </row>
    <row r="952" spans="1:5">
      <c r="A952" s="2042">
        <v>43076</v>
      </c>
      <c r="B952" s="2510">
        <v>2017</v>
      </c>
      <c r="C952" s="2510">
        <v>12</v>
      </c>
      <c r="D952">
        <v>1.53606</v>
      </c>
      <c r="E952">
        <f t="shared" si="16"/>
        <v>2017</v>
      </c>
    </row>
    <row r="953" spans="1:5">
      <c r="A953" s="2042">
        <v>43075</v>
      </c>
      <c r="B953" s="2510">
        <v>2017</v>
      </c>
      <c r="C953" s="2510">
        <v>12</v>
      </c>
      <c r="D953">
        <v>1.5226299999999999</v>
      </c>
      <c r="E953">
        <f t="shared" si="16"/>
        <v>2017</v>
      </c>
    </row>
    <row r="954" spans="1:5">
      <c r="A954" s="2042">
        <v>43074</v>
      </c>
      <c r="B954" s="2510">
        <v>2017</v>
      </c>
      <c r="C954" s="2510">
        <v>12</v>
      </c>
      <c r="D954">
        <v>1.51532</v>
      </c>
      <c r="E954">
        <f t="shared" si="16"/>
        <v>2017</v>
      </c>
    </row>
    <row r="955" spans="1:5">
      <c r="A955" s="2042">
        <v>43073</v>
      </c>
      <c r="B955" s="2510">
        <v>2017</v>
      </c>
      <c r="C955" s="2510">
        <v>12</v>
      </c>
      <c r="D955">
        <v>1.5084900000000001</v>
      </c>
      <c r="E955">
        <f t="shared" si="16"/>
        <v>2017</v>
      </c>
    </row>
    <row r="956" spans="1:5">
      <c r="A956" s="2042">
        <v>43070</v>
      </c>
      <c r="B956" s="2510">
        <v>2017</v>
      </c>
      <c r="C956" s="2510">
        <v>12</v>
      </c>
      <c r="D956">
        <v>1.4946299999999999</v>
      </c>
      <c r="E956">
        <f t="shared" si="16"/>
        <v>2017</v>
      </c>
    </row>
    <row r="957" spans="1:5">
      <c r="A957" s="2042">
        <v>43069</v>
      </c>
      <c r="B957" s="2510">
        <v>2017</v>
      </c>
      <c r="C957" s="2510">
        <v>11</v>
      </c>
      <c r="D957">
        <v>1.4873799999999999</v>
      </c>
      <c r="E957">
        <f t="shared" si="16"/>
        <v>2017</v>
      </c>
    </row>
    <row r="958" spans="1:5">
      <c r="A958" s="2042">
        <v>43068</v>
      </c>
      <c r="B958" s="2510">
        <v>2017</v>
      </c>
      <c r="C958" s="2510">
        <v>11</v>
      </c>
      <c r="D958">
        <v>1.4806299999999999</v>
      </c>
      <c r="E958">
        <f t="shared" si="16"/>
        <v>2017</v>
      </c>
    </row>
    <row r="959" spans="1:5">
      <c r="A959" s="2042">
        <v>43067</v>
      </c>
      <c r="B959" s="2510">
        <v>2017</v>
      </c>
      <c r="C959" s="2510">
        <v>11</v>
      </c>
      <c r="D959">
        <v>1.47882</v>
      </c>
      <c r="E959">
        <f t="shared" si="16"/>
        <v>2017</v>
      </c>
    </row>
    <row r="960" spans="1:5">
      <c r="A960" s="2042">
        <v>43066</v>
      </c>
      <c r="B960" s="2510">
        <v>2017</v>
      </c>
      <c r="C960" s="2510">
        <v>11</v>
      </c>
      <c r="D960">
        <v>1.47725</v>
      </c>
      <c r="E960">
        <f t="shared" si="16"/>
        <v>2017</v>
      </c>
    </row>
    <row r="961" spans="1:5">
      <c r="A961" s="2042">
        <v>43063</v>
      </c>
      <c r="B961" s="2510">
        <v>2017</v>
      </c>
      <c r="C961" s="2510">
        <v>11</v>
      </c>
      <c r="D961">
        <v>1.46763</v>
      </c>
      <c r="E961">
        <f t="shared" si="16"/>
        <v>2017</v>
      </c>
    </row>
    <row r="962" spans="1:5">
      <c r="A962" s="2042">
        <v>43062</v>
      </c>
      <c r="B962" s="2510">
        <v>2017</v>
      </c>
      <c r="C962" s="2510">
        <v>11</v>
      </c>
      <c r="D962">
        <v>1.4620599999999999</v>
      </c>
      <c r="E962">
        <f t="shared" si="16"/>
        <v>2017</v>
      </c>
    </row>
    <row r="963" spans="1:5">
      <c r="A963" s="2042">
        <v>43061</v>
      </c>
      <c r="B963" s="2510">
        <v>2017</v>
      </c>
      <c r="C963" s="2510">
        <v>11</v>
      </c>
      <c r="D963">
        <v>1.4623299999999999</v>
      </c>
      <c r="E963">
        <f t="shared" si="16"/>
        <v>2017</v>
      </c>
    </row>
    <row r="964" spans="1:5">
      <c r="A964" s="2042">
        <v>43060</v>
      </c>
      <c r="B964" s="2510">
        <v>2017</v>
      </c>
      <c r="C964" s="2510">
        <v>11</v>
      </c>
      <c r="D964">
        <v>1.454</v>
      </c>
      <c r="E964">
        <f t="shared" ref="E964:E1027" si="17">YEAR(A964)</f>
        <v>2017</v>
      </c>
    </row>
    <row r="965" spans="1:5">
      <c r="A965" s="2042">
        <v>43059</v>
      </c>
      <c r="B965" s="2510">
        <v>2017</v>
      </c>
      <c r="C965" s="2510">
        <v>11</v>
      </c>
      <c r="D965">
        <v>1.44594</v>
      </c>
      <c r="E965">
        <f t="shared" si="17"/>
        <v>2017</v>
      </c>
    </row>
    <row r="966" spans="1:5">
      <c r="A966" s="2042">
        <v>43056</v>
      </c>
      <c r="B966" s="2510">
        <v>2017</v>
      </c>
      <c r="C966" s="2510">
        <v>11</v>
      </c>
      <c r="D966">
        <v>1.4406699999999999</v>
      </c>
      <c r="E966">
        <f t="shared" si="17"/>
        <v>2017</v>
      </c>
    </row>
    <row r="967" spans="1:5">
      <c r="A967" s="2042">
        <v>43055</v>
      </c>
      <c r="B967" s="2510">
        <v>2017</v>
      </c>
      <c r="C967" s="2510">
        <v>11</v>
      </c>
      <c r="D967">
        <v>1.43567</v>
      </c>
      <c r="E967">
        <f t="shared" si="17"/>
        <v>2017</v>
      </c>
    </row>
    <row r="968" spans="1:5">
      <c r="A968" s="2042">
        <v>43054</v>
      </c>
      <c r="B968" s="2510">
        <v>2017</v>
      </c>
      <c r="C968" s="2510">
        <v>11</v>
      </c>
      <c r="D968">
        <v>1.4218999999999999</v>
      </c>
      <c r="E968">
        <f t="shared" si="17"/>
        <v>2017</v>
      </c>
    </row>
    <row r="969" spans="1:5">
      <c r="A969" s="2042">
        <v>43053</v>
      </c>
      <c r="B969" s="2510">
        <v>2017</v>
      </c>
      <c r="C969" s="2510">
        <v>11</v>
      </c>
      <c r="D969">
        <v>1.41899</v>
      </c>
      <c r="E969">
        <f t="shared" si="17"/>
        <v>2017</v>
      </c>
    </row>
    <row r="970" spans="1:5">
      <c r="A970" s="2042">
        <v>43052</v>
      </c>
      <c r="B970" s="2510">
        <v>2017</v>
      </c>
      <c r="C970" s="2510">
        <v>11</v>
      </c>
      <c r="D970">
        <v>1.4158599999999999</v>
      </c>
      <c r="E970">
        <f t="shared" si="17"/>
        <v>2017</v>
      </c>
    </row>
    <row r="971" spans="1:5">
      <c r="A971" s="2042">
        <v>43049</v>
      </c>
      <c r="B971" s="2510">
        <v>2017</v>
      </c>
      <c r="C971" s="2510">
        <v>11</v>
      </c>
      <c r="D971">
        <v>1.41289</v>
      </c>
      <c r="E971">
        <f t="shared" si="17"/>
        <v>2017</v>
      </c>
    </row>
    <row r="972" spans="1:5">
      <c r="A972" s="2042">
        <v>43048</v>
      </c>
      <c r="B972" s="2510">
        <v>2017</v>
      </c>
      <c r="C972" s="2510">
        <v>11</v>
      </c>
      <c r="D972">
        <v>1.41289</v>
      </c>
      <c r="E972">
        <f t="shared" si="17"/>
        <v>2017</v>
      </c>
    </row>
    <row r="973" spans="1:5">
      <c r="A973" s="2042">
        <v>43047</v>
      </c>
      <c r="B973" s="2510">
        <v>2017</v>
      </c>
      <c r="C973" s="2510">
        <v>11</v>
      </c>
      <c r="D973">
        <v>1.40981</v>
      </c>
      <c r="E973">
        <f t="shared" si="17"/>
        <v>2017</v>
      </c>
    </row>
    <row r="974" spans="1:5">
      <c r="A974" s="2042">
        <v>43046</v>
      </c>
      <c r="B974" s="2510">
        <v>2017</v>
      </c>
      <c r="C974" s="2510">
        <v>11</v>
      </c>
      <c r="D974">
        <v>1.4025799999999999</v>
      </c>
      <c r="E974">
        <f t="shared" si="17"/>
        <v>2017</v>
      </c>
    </row>
    <row r="975" spans="1:5">
      <c r="A975" s="2042">
        <v>43045</v>
      </c>
      <c r="B975" s="2510">
        <v>2017</v>
      </c>
      <c r="C975" s="2510">
        <v>11</v>
      </c>
      <c r="D975">
        <v>1.39703</v>
      </c>
      <c r="E975">
        <f t="shared" si="17"/>
        <v>2017</v>
      </c>
    </row>
    <row r="976" spans="1:5">
      <c r="A976" s="2042">
        <v>43042</v>
      </c>
      <c r="B976" s="2510">
        <v>2017</v>
      </c>
      <c r="C976" s="2510">
        <v>11</v>
      </c>
      <c r="D976">
        <v>1.39194</v>
      </c>
      <c r="E976">
        <f t="shared" si="17"/>
        <v>2017</v>
      </c>
    </row>
    <row r="977" spans="1:5">
      <c r="A977" s="2042">
        <v>43041</v>
      </c>
      <c r="B977" s="2510">
        <v>2017</v>
      </c>
      <c r="C977" s="2510">
        <v>11</v>
      </c>
      <c r="D977">
        <v>1.3913899999999999</v>
      </c>
      <c r="E977">
        <f t="shared" si="17"/>
        <v>2017</v>
      </c>
    </row>
    <row r="978" spans="1:5">
      <c r="A978" s="2042">
        <v>43040</v>
      </c>
      <c r="B978" s="2510">
        <v>2017</v>
      </c>
      <c r="C978" s="2510">
        <v>11</v>
      </c>
      <c r="D978">
        <v>1.38483</v>
      </c>
      <c r="E978">
        <f t="shared" si="17"/>
        <v>2017</v>
      </c>
    </row>
    <row r="979" spans="1:5">
      <c r="A979" s="2042">
        <v>43039</v>
      </c>
      <c r="B979" s="2510">
        <v>2017</v>
      </c>
      <c r="C979" s="2510">
        <v>10</v>
      </c>
      <c r="D979">
        <v>1.3812199999999999</v>
      </c>
      <c r="E979">
        <f t="shared" si="17"/>
        <v>2017</v>
      </c>
    </row>
    <row r="980" spans="1:5">
      <c r="A980" s="2042">
        <v>43038</v>
      </c>
      <c r="B980" s="2510">
        <v>2017</v>
      </c>
      <c r="C980" s="2510">
        <v>10</v>
      </c>
      <c r="D980">
        <v>1.3767799999999999</v>
      </c>
      <c r="E980">
        <f t="shared" si="17"/>
        <v>2017</v>
      </c>
    </row>
    <row r="981" spans="1:5">
      <c r="A981" s="2042">
        <v>43035</v>
      </c>
      <c r="B981" s="2510">
        <v>2017</v>
      </c>
      <c r="C981" s="2510">
        <v>10</v>
      </c>
      <c r="D981">
        <v>1.38009</v>
      </c>
      <c r="E981">
        <f t="shared" si="17"/>
        <v>2017</v>
      </c>
    </row>
    <row r="982" spans="1:5">
      <c r="A982" s="2042">
        <v>43034</v>
      </c>
      <c r="B982" s="2510">
        <v>2017</v>
      </c>
      <c r="C982" s="2510">
        <v>10</v>
      </c>
      <c r="D982">
        <v>1.3779600000000001</v>
      </c>
      <c r="E982">
        <f t="shared" si="17"/>
        <v>2017</v>
      </c>
    </row>
    <row r="983" spans="1:5">
      <c r="A983" s="2042">
        <v>43033</v>
      </c>
      <c r="B983" s="2510">
        <v>2017</v>
      </c>
      <c r="C983" s="2510">
        <v>10</v>
      </c>
      <c r="D983">
        <v>1.37446</v>
      </c>
      <c r="E983">
        <f t="shared" si="17"/>
        <v>2017</v>
      </c>
    </row>
    <row r="984" spans="1:5">
      <c r="A984" s="2042">
        <v>43032</v>
      </c>
      <c r="B984" s="2510">
        <v>2017</v>
      </c>
      <c r="C984" s="2510">
        <v>10</v>
      </c>
      <c r="D984">
        <v>1.3706400000000001</v>
      </c>
      <c r="E984">
        <f t="shared" si="17"/>
        <v>2017</v>
      </c>
    </row>
    <row r="985" spans="1:5">
      <c r="A985" s="2042">
        <v>43031</v>
      </c>
      <c r="B985" s="2510">
        <v>2017</v>
      </c>
      <c r="C985" s="2510">
        <v>10</v>
      </c>
      <c r="D985">
        <v>1.3674200000000001</v>
      </c>
      <c r="E985">
        <f t="shared" si="17"/>
        <v>2017</v>
      </c>
    </row>
    <row r="986" spans="1:5">
      <c r="A986" s="2042">
        <v>43028</v>
      </c>
      <c r="B986" s="2510">
        <v>2017</v>
      </c>
      <c r="C986" s="2510">
        <v>10</v>
      </c>
      <c r="D986">
        <v>1.36476</v>
      </c>
      <c r="E986">
        <f t="shared" si="17"/>
        <v>2017</v>
      </c>
    </row>
    <row r="987" spans="1:5">
      <c r="A987" s="2042">
        <v>43027</v>
      </c>
      <c r="B987" s="2510">
        <v>2017</v>
      </c>
      <c r="C987" s="2510">
        <v>10</v>
      </c>
      <c r="D987">
        <v>1.3625</v>
      </c>
      <c r="E987">
        <f t="shared" si="17"/>
        <v>2017</v>
      </c>
    </row>
    <row r="988" spans="1:5">
      <c r="A988" s="2042">
        <v>43026</v>
      </c>
      <c r="B988" s="2510">
        <v>2017</v>
      </c>
      <c r="C988" s="2510">
        <v>10</v>
      </c>
      <c r="D988">
        <v>1.3626100000000001</v>
      </c>
      <c r="E988">
        <f t="shared" si="17"/>
        <v>2017</v>
      </c>
    </row>
    <row r="989" spans="1:5">
      <c r="A989" s="2042">
        <v>43025</v>
      </c>
      <c r="B989" s="2510">
        <v>2017</v>
      </c>
      <c r="C989" s="2510">
        <v>10</v>
      </c>
      <c r="D989">
        <v>1.3573299999999999</v>
      </c>
      <c r="E989">
        <f t="shared" si="17"/>
        <v>2017</v>
      </c>
    </row>
    <row r="990" spans="1:5">
      <c r="A990" s="2042">
        <v>43024</v>
      </c>
      <c r="B990" s="2510">
        <v>2017</v>
      </c>
      <c r="C990" s="2510">
        <v>10</v>
      </c>
      <c r="D990">
        <v>1.35389</v>
      </c>
      <c r="E990">
        <f t="shared" si="17"/>
        <v>2017</v>
      </c>
    </row>
    <row r="991" spans="1:5">
      <c r="A991" s="2042">
        <v>43021</v>
      </c>
      <c r="B991" s="2510">
        <v>2017</v>
      </c>
      <c r="C991" s="2510">
        <v>10</v>
      </c>
      <c r="D991">
        <v>1.3533299999999999</v>
      </c>
      <c r="E991">
        <f t="shared" si="17"/>
        <v>2017</v>
      </c>
    </row>
    <row r="992" spans="1:5">
      <c r="A992" s="2042">
        <v>43020</v>
      </c>
      <c r="B992" s="2510">
        <v>2017</v>
      </c>
      <c r="C992" s="2510">
        <v>10</v>
      </c>
      <c r="D992">
        <v>1.35917</v>
      </c>
      <c r="E992">
        <f t="shared" si="17"/>
        <v>2017</v>
      </c>
    </row>
    <row r="993" spans="1:5">
      <c r="A993" s="2042">
        <v>43019</v>
      </c>
      <c r="B993" s="2510">
        <v>2017</v>
      </c>
      <c r="C993" s="2510">
        <v>10</v>
      </c>
      <c r="D993">
        <v>1.3586100000000001</v>
      </c>
      <c r="E993">
        <f t="shared" si="17"/>
        <v>2017</v>
      </c>
    </row>
    <row r="994" spans="1:5">
      <c r="A994" s="2042">
        <v>43018</v>
      </c>
      <c r="B994" s="2510">
        <v>2017</v>
      </c>
      <c r="C994" s="2510">
        <v>10</v>
      </c>
      <c r="D994">
        <v>1.35667</v>
      </c>
      <c r="E994">
        <f t="shared" si="17"/>
        <v>2017</v>
      </c>
    </row>
    <row r="995" spans="1:5">
      <c r="A995" s="2042">
        <v>43017</v>
      </c>
      <c r="B995" s="2510">
        <v>2017</v>
      </c>
      <c r="C995" s="2510">
        <v>10</v>
      </c>
      <c r="D995">
        <v>1.35639</v>
      </c>
      <c r="E995">
        <f t="shared" si="17"/>
        <v>2017</v>
      </c>
    </row>
    <row r="996" spans="1:5">
      <c r="A996" s="2042">
        <v>43014</v>
      </c>
      <c r="B996" s="2510">
        <v>2017</v>
      </c>
      <c r="C996" s="2510">
        <v>10</v>
      </c>
      <c r="D996">
        <v>1.3502799999999999</v>
      </c>
      <c r="E996">
        <f t="shared" si="17"/>
        <v>2017</v>
      </c>
    </row>
    <row r="997" spans="1:5">
      <c r="A997" s="2042">
        <v>43013</v>
      </c>
      <c r="B997" s="2510">
        <v>2017</v>
      </c>
      <c r="C997" s="2510">
        <v>10</v>
      </c>
      <c r="D997">
        <v>1.3486100000000001</v>
      </c>
      <c r="E997">
        <f t="shared" si="17"/>
        <v>2017</v>
      </c>
    </row>
    <row r="998" spans="1:5">
      <c r="A998" s="2042">
        <v>43012</v>
      </c>
      <c r="B998" s="2510">
        <v>2017</v>
      </c>
      <c r="C998" s="2510">
        <v>10</v>
      </c>
      <c r="D998">
        <v>1.34667</v>
      </c>
      <c r="E998">
        <f t="shared" si="17"/>
        <v>2017</v>
      </c>
    </row>
    <row r="999" spans="1:5">
      <c r="A999" s="2042">
        <v>43011</v>
      </c>
      <c r="B999" s="2510">
        <v>2017</v>
      </c>
      <c r="C999" s="2510">
        <v>10</v>
      </c>
      <c r="D999">
        <v>1.3425</v>
      </c>
      <c r="E999">
        <f t="shared" si="17"/>
        <v>2017</v>
      </c>
    </row>
    <row r="1000" spans="1:5">
      <c r="A1000" s="2042">
        <v>43010</v>
      </c>
      <c r="B1000" s="2510">
        <v>2017</v>
      </c>
      <c r="C1000" s="2510">
        <v>10</v>
      </c>
      <c r="D1000">
        <v>1.3355600000000001</v>
      </c>
      <c r="E1000">
        <f t="shared" si="17"/>
        <v>2017</v>
      </c>
    </row>
    <row r="1001" spans="1:5">
      <c r="A1001" s="2042">
        <v>43007</v>
      </c>
      <c r="B1001" s="2510">
        <v>2017</v>
      </c>
      <c r="C1001" s="2510">
        <v>9</v>
      </c>
      <c r="D1001">
        <v>1.33389</v>
      </c>
      <c r="E1001">
        <f t="shared" si="17"/>
        <v>2017</v>
      </c>
    </row>
    <row r="1002" spans="1:5">
      <c r="A1002" s="2042">
        <v>43006</v>
      </c>
      <c r="B1002" s="2510">
        <v>2017</v>
      </c>
      <c r="C1002" s="2510">
        <v>9</v>
      </c>
      <c r="D1002">
        <v>1.335</v>
      </c>
      <c r="E1002">
        <f t="shared" si="17"/>
        <v>2017</v>
      </c>
    </row>
    <row r="1003" spans="1:5">
      <c r="A1003" s="2042">
        <v>43005</v>
      </c>
      <c r="B1003" s="2510">
        <v>2017</v>
      </c>
      <c r="C1003" s="2510">
        <v>9</v>
      </c>
      <c r="D1003">
        <v>1.3327800000000001</v>
      </c>
      <c r="E1003">
        <f t="shared" si="17"/>
        <v>2017</v>
      </c>
    </row>
    <row r="1004" spans="1:5">
      <c r="A1004" s="2042">
        <v>43004</v>
      </c>
      <c r="B1004" s="2510">
        <v>2017</v>
      </c>
      <c r="C1004" s="2510">
        <v>9</v>
      </c>
      <c r="D1004">
        <v>1.33083</v>
      </c>
      <c r="E1004">
        <f t="shared" si="17"/>
        <v>2017</v>
      </c>
    </row>
    <row r="1005" spans="1:5">
      <c r="A1005" s="2042">
        <v>43003</v>
      </c>
      <c r="B1005" s="2510">
        <v>2017</v>
      </c>
      <c r="C1005" s="2510">
        <v>9</v>
      </c>
      <c r="D1005">
        <v>1.32972</v>
      </c>
      <c r="E1005">
        <f t="shared" si="17"/>
        <v>2017</v>
      </c>
    </row>
    <row r="1006" spans="1:5">
      <c r="A1006" s="2042">
        <v>43000</v>
      </c>
      <c r="B1006" s="2510">
        <v>2017</v>
      </c>
      <c r="C1006" s="2510">
        <v>9</v>
      </c>
      <c r="D1006">
        <v>1.32944</v>
      </c>
      <c r="E1006">
        <f t="shared" si="17"/>
        <v>2017</v>
      </c>
    </row>
    <row r="1007" spans="1:5">
      <c r="A1007" s="2042">
        <v>42999</v>
      </c>
      <c r="B1007" s="2510">
        <v>2017</v>
      </c>
      <c r="C1007" s="2510">
        <v>9</v>
      </c>
      <c r="D1007">
        <v>1.32833</v>
      </c>
      <c r="E1007">
        <f t="shared" si="17"/>
        <v>2017</v>
      </c>
    </row>
    <row r="1008" spans="1:5">
      <c r="A1008" s="2042">
        <v>42998</v>
      </c>
      <c r="B1008" s="2510">
        <v>2017</v>
      </c>
      <c r="C1008" s="2510">
        <v>9</v>
      </c>
      <c r="D1008">
        <v>1.3230599999999999</v>
      </c>
      <c r="E1008">
        <f t="shared" si="17"/>
        <v>2017</v>
      </c>
    </row>
    <row r="1009" spans="1:5">
      <c r="A1009" s="2042">
        <v>42997</v>
      </c>
      <c r="B1009" s="2510">
        <v>2017</v>
      </c>
      <c r="C1009" s="2510">
        <v>9</v>
      </c>
      <c r="D1009">
        <v>1.3261099999999999</v>
      </c>
      <c r="E1009">
        <f t="shared" si="17"/>
        <v>2017</v>
      </c>
    </row>
    <row r="1010" spans="1:5">
      <c r="A1010" s="2042">
        <v>42996</v>
      </c>
      <c r="B1010" s="2510">
        <v>2017</v>
      </c>
      <c r="C1010" s="2510">
        <v>9</v>
      </c>
      <c r="D1010">
        <v>1.325</v>
      </c>
      <c r="E1010">
        <f t="shared" si="17"/>
        <v>2017</v>
      </c>
    </row>
    <row r="1011" spans="1:5">
      <c r="A1011" s="2042">
        <v>42993</v>
      </c>
      <c r="B1011" s="2510">
        <v>2017</v>
      </c>
      <c r="C1011" s="2510">
        <v>9</v>
      </c>
      <c r="D1011">
        <v>1.32389</v>
      </c>
      <c r="E1011">
        <f t="shared" si="17"/>
        <v>2017</v>
      </c>
    </row>
    <row r="1012" spans="1:5">
      <c r="A1012" s="2042">
        <v>42992</v>
      </c>
      <c r="B1012" s="2510">
        <v>2017</v>
      </c>
      <c r="C1012" s="2510">
        <v>9</v>
      </c>
      <c r="D1012">
        <v>1.32111</v>
      </c>
      <c r="E1012">
        <f t="shared" si="17"/>
        <v>2017</v>
      </c>
    </row>
    <row r="1013" spans="1:5">
      <c r="A1013" s="2042">
        <v>42991</v>
      </c>
      <c r="B1013" s="2510">
        <v>2017</v>
      </c>
      <c r="C1013" s="2510">
        <v>9</v>
      </c>
      <c r="D1013">
        <v>1.32</v>
      </c>
      <c r="E1013">
        <f t="shared" si="17"/>
        <v>2017</v>
      </c>
    </row>
    <row r="1014" spans="1:5">
      <c r="A1014" s="2042">
        <v>42990</v>
      </c>
      <c r="B1014" s="2510">
        <v>2017</v>
      </c>
      <c r="C1014" s="2510">
        <v>9</v>
      </c>
      <c r="D1014">
        <v>1.31917</v>
      </c>
      <c r="E1014">
        <f t="shared" si="17"/>
        <v>2017</v>
      </c>
    </row>
    <row r="1015" spans="1:5">
      <c r="A1015" s="2042">
        <v>42989</v>
      </c>
      <c r="B1015" s="2510">
        <v>2017</v>
      </c>
      <c r="C1015" s="2510">
        <v>9</v>
      </c>
      <c r="D1015">
        <v>1.31667</v>
      </c>
      <c r="E1015">
        <f t="shared" si="17"/>
        <v>2017</v>
      </c>
    </row>
    <row r="1016" spans="1:5">
      <c r="A1016" s="2042">
        <v>42986</v>
      </c>
      <c r="B1016" s="2510">
        <v>2017</v>
      </c>
      <c r="C1016" s="2510">
        <v>9</v>
      </c>
      <c r="D1016">
        <v>1.31033</v>
      </c>
      <c r="E1016">
        <f t="shared" si="17"/>
        <v>2017</v>
      </c>
    </row>
    <row r="1017" spans="1:5">
      <c r="A1017" s="2042">
        <v>42985</v>
      </c>
      <c r="B1017" s="2510">
        <v>2017</v>
      </c>
      <c r="C1017" s="2510">
        <v>9</v>
      </c>
      <c r="D1017">
        <v>1.3172200000000001</v>
      </c>
      <c r="E1017">
        <f t="shared" si="17"/>
        <v>2017</v>
      </c>
    </row>
    <row r="1018" spans="1:5">
      <c r="A1018" s="2042">
        <v>42984</v>
      </c>
      <c r="B1018" s="2510">
        <v>2017</v>
      </c>
      <c r="C1018" s="2510">
        <v>9</v>
      </c>
      <c r="D1018">
        <v>1.3172200000000001</v>
      </c>
      <c r="E1018">
        <f t="shared" si="17"/>
        <v>2017</v>
      </c>
    </row>
    <row r="1019" spans="1:5">
      <c r="A1019" s="2042">
        <v>42983</v>
      </c>
      <c r="B1019" s="2510">
        <v>2017</v>
      </c>
      <c r="C1019" s="2510">
        <v>9</v>
      </c>
      <c r="D1019">
        <v>1.3172200000000001</v>
      </c>
      <c r="E1019">
        <f t="shared" si="17"/>
        <v>2017</v>
      </c>
    </row>
    <row r="1020" spans="1:5">
      <c r="A1020" s="2042">
        <v>42982</v>
      </c>
      <c r="B1020" s="2510">
        <v>2017</v>
      </c>
      <c r="C1020" s="2510">
        <v>9</v>
      </c>
      <c r="D1020">
        <v>1.3161099999999999</v>
      </c>
      <c r="E1020">
        <f t="shared" si="17"/>
        <v>2017</v>
      </c>
    </row>
    <row r="1021" spans="1:5">
      <c r="A1021" s="2042">
        <v>42979</v>
      </c>
      <c r="B1021" s="2510">
        <v>2017</v>
      </c>
      <c r="C1021" s="2510">
        <v>9</v>
      </c>
      <c r="D1021">
        <v>1.3161099999999999</v>
      </c>
      <c r="E1021">
        <f t="shared" si="17"/>
        <v>2017</v>
      </c>
    </row>
    <row r="1022" spans="1:5">
      <c r="A1022" s="2042">
        <v>42978</v>
      </c>
      <c r="B1022" s="2510">
        <v>2017</v>
      </c>
      <c r="C1022" s="2510">
        <v>8</v>
      </c>
      <c r="D1022">
        <v>1.31778</v>
      </c>
      <c r="E1022">
        <f t="shared" si="17"/>
        <v>2017</v>
      </c>
    </row>
    <row r="1023" spans="1:5">
      <c r="A1023" s="2042">
        <v>42977</v>
      </c>
      <c r="B1023" s="2510">
        <v>2017</v>
      </c>
      <c r="C1023" s="2510">
        <v>8</v>
      </c>
      <c r="D1023">
        <v>1.3161099999999999</v>
      </c>
      <c r="E1023">
        <f t="shared" si="17"/>
        <v>2017</v>
      </c>
    </row>
    <row r="1024" spans="1:5">
      <c r="A1024" s="2042">
        <v>42976</v>
      </c>
      <c r="B1024" s="2510">
        <v>2017</v>
      </c>
      <c r="C1024" s="2510">
        <v>8</v>
      </c>
      <c r="D1024">
        <v>1.31694</v>
      </c>
      <c r="E1024">
        <f t="shared" si="17"/>
        <v>2017</v>
      </c>
    </row>
    <row r="1025" spans="1:5">
      <c r="A1025" s="2042">
        <v>42972</v>
      </c>
      <c r="B1025" s="2510">
        <v>2017</v>
      </c>
      <c r="C1025" s="2510">
        <v>8</v>
      </c>
      <c r="D1025">
        <v>1.31778</v>
      </c>
      <c r="E1025">
        <f t="shared" si="17"/>
        <v>2017</v>
      </c>
    </row>
    <row r="1026" spans="1:5">
      <c r="A1026" s="2042">
        <v>42971</v>
      </c>
      <c r="B1026" s="2510">
        <v>2017</v>
      </c>
      <c r="C1026" s="2510">
        <v>8</v>
      </c>
      <c r="D1026">
        <v>1.3172200000000001</v>
      </c>
      <c r="E1026">
        <f t="shared" si="17"/>
        <v>2017</v>
      </c>
    </row>
    <row r="1027" spans="1:5">
      <c r="A1027" s="2042">
        <v>42970</v>
      </c>
      <c r="B1027" s="2510">
        <v>2017</v>
      </c>
      <c r="C1027" s="2510">
        <v>8</v>
      </c>
      <c r="D1027">
        <v>1.3172200000000001</v>
      </c>
      <c r="E1027">
        <f t="shared" si="17"/>
        <v>2017</v>
      </c>
    </row>
    <row r="1028" spans="1:5">
      <c r="A1028" s="2042">
        <v>42969</v>
      </c>
      <c r="B1028" s="2510">
        <v>2017</v>
      </c>
      <c r="C1028" s="2510">
        <v>8</v>
      </c>
      <c r="D1028">
        <v>1.3172200000000001</v>
      </c>
      <c r="E1028">
        <f t="shared" ref="E1028:E1091" si="18">YEAR(A1028)</f>
        <v>2017</v>
      </c>
    </row>
    <row r="1029" spans="1:5">
      <c r="A1029" s="2042">
        <v>42968</v>
      </c>
      <c r="B1029" s="2510">
        <v>2017</v>
      </c>
      <c r="C1029" s="2510">
        <v>8</v>
      </c>
      <c r="D1029">
        <v>1.3144400000000001</v>
      </c>
      <c r="E1029">
        <f t="shared" si="18"/>
        <v>2017</v>
      </c>
    </row>
    <row r="1030" spans="1:5">
      <c r="A1030" s="2042">
        <v>42965</v>
      </c>
      <c r="B1030" s="2510">
        <v>2017</v>
      </c>
      <c r="C1030" s="2510">
        <v>8</v>
      </c>
      <c r="D1030">
        <v>1.3147200000000001</v>
      </c>
      <c r="E1030">
        <f t="shared" si="18"/>
        <v>2017</v>
      </c>
    </row>
    <row r="1031" spans="1:5">
      <c r="A1031" s="2042">
        <v>42964</v>
      </c>
      <c r="B1031" s="2510">
        <v>2017</v>
      </c>
      <c r="C1031" s="2510">
        <v>8</v>
      </c>
      <c r="D1031">
        <v>1.3163899999999999</v>
      </c>
      <c r="E1031">
        <f t="shared" si="18"/>
        <v>2017</v>
      </c>
    </row>
    <row r="1032" spans="1:5">
      <c r="A1032" s="2042">
        <v>42963</v>
      </c>
      <c r="B1032" s="2510">
        <v>2017</v>
      </c>
      <c r="C1032" s="2510">
        <v>8</v>
      </c>
      <c r="D1032">
        <v>1.31667</v>
      </c>
      <c r="E1032">
        <f t="shared" si="18"/>
        <v>2017</v>
      </c>
    </row>
    <row r="1033" spans="1:5">
      <c r="A1033" s="2042">
        <v>42962</v>
      </c>
      <c r="B1033" s="2510">
        <v>2017</v>
      </c>
      <c r="C1033" s="2510">
        <v>8</v>
      </c>
      <c r="D1033">
        <v>1.3141700000000001</v>
      </c>
      <c r="E1033">
        <f t="shared" si="18"/>
        <v>2017</v>
      </c>
    </row>
    <row r="1034" spans="1:5">
      <c r="A1034" s="2042">
        <v>42961</v>
      </c>
      <c r="B1034" s="2510">
        <v>2017</v>
      </c>
      <c r="C1034" s="2510">
        <v>8</v>
      </c>
      <c r="D1034">
        <v>1.3141700000000001</v>
      </c>
      <c r="E1034">
        <f t="shared" si="18"/>
        <v>2017</v>
      </c>
    </row>
    <row r="1035" spans="1:5">
      <c r="A1035" s="2042">
        <v>42958</v>
      </c>
      <c r="B1035" s="2510">
        <v>2017</v>
      </c>
      <c r="C1035" s="2510">
        <v>8</v>
      </c>
      <c r="D1035">
        <v>1.3149999999999999</v>
      </c>
      <c r="E1035">
        <f t="shared" si="18"/>
        <v>2017</v>
      </c>
    </row>
    <row r="1036" spans="1:5">
      <c r="A1036" s="2042">
        <v>42957</v>
      </c>
      <c r="B1036" s="2510">
        <v>2017</v>
      </c>
      <c r="C1036" s="2510">
        <v>8</v>
      </c>
      <c r="D1036">
        <v>1.30911</v>
      </c>
      <c r="E1036">
        <f t="shared" si="18"/>
        <v>2017</v>
      </c>
    </row>
    <row r="1037" spans="1:5">
      <c r="A1037" s="2042">
        <v>42956</v>
      </c>
      <c r="B1037" s="2510">
        <v>2017</v>
      </c>
      <c r="C1037" s="2510">
        <v>8</v>
      </c>
      <c r="D1037">
        <v>1.3091699999999999</v>
      </c>
      <c r="E1037">
        <f t="shared" si="18"/>
        <v>2017</v>
      </c>
    </row>
    <row r="1038" spans="1:5">
      <c r="A1038" s="2042">
        <v>42955</v>
      </c>
      <c r="B1038" s="2510">
        <v>2017</v>
      </c>
      <c r="C1038" s="2510">
        <v>8</v>
      </c>
      <c r="D1038">
        <v>1.3094399999999999</v>
      </c>
      <c r="E1038">
        <f t="shared" si="18"/>
        <v>2017</v>
      </c>
    </row>
    <row r="1039" spans="1:5">
      <c r="A1039" s="2042">
        <v>42954</v>
      </c>
      <c r="B1039" s="2510">
        <v>2017</v>
      </c>
      <c r="C1039" s="2510">
        <v>8</v>
      </c>
      <c r="D1039">
        <v>1.3113900000000001</v>
      </c>
      <c r="E1039">
        <f t="shared" si="18"/>
        <v>2017</v>
      </c>
    </row>
    <row r="1040" spans="1:5">
      <c r="A1040" s="2042">
        <v>42951</v>
      </c>
      <c r="B1040" s="2510">
        <v>2017</v>
      </c>
      <c r="C1040" s="2510">
        <v>8</v>
      </c>
      <c r="D1040">
        <v>1.3119400000000001</v>
      </c>
      <c r="E1040">
        <f t="shared" si="18"/>
        <v>2017</v>
      </c>
    </row>
    <row r="1041" spans="1:5">
      <c r="A1041" s="2042">
        <v>42950</v>
      </c>
      <c r="B1041" s="2510">
        <v>2017</v>
      </c>
      <c r="C1041" s="2510">
        <v>8</v>
      </c>
      <c r="D1041">
        <v>1.3116699999999999</v>
      </c>
      <c r="E1041">
        <f t="shared" si="18"/>
        <v>2017</v>
      </c>
    </row>
    <row r="1042" spans="1:5">
      <c r="A1042" s="2042">
        <v>42949</v>
      </c>
      <c r="B1042" s="2510">
        <v>2017</v>
      </c>
      <c r="C1042" s="2510">
        <v>8</v>
      </c>
      <c r="D1042">
        <v>1.3127800000000001</v>
      </c>
      <c r="E1042">
        <f t="shared" si="18"/>
        <v>2017</v>
      </c>
    </row>
    <row r="1043" spans="1:5">
      <c r="A1043" s="2042">
        <v>42948</v>
      </c>
      <c r="B1043" s="2510">
        <v>2017</v>
      </c>
      <c r="C1043" s="2510">
        <v>8</v>
      </c>
      <c r="D1043">
        <v>1.3105599999999999</v>
      </c>
      <c r="E1043">
        <f t="shared" si="18"/>
        <v>2017</v>
      </c>
    </row>
    <row r="1044" spans="1:5">
      <c r="A1044" s="2042">
        <v>42947</v>
      </c>
      <c r="B1044" s="2510">
        <v>2017</v>
      </c>
      <c r="C1044" s="2510">
        <v>7</v>
      </c>
      <c r="D1044">
        <v>1.3105599999999999</v>
      </c>
      <c r="E1044">
        <f t="shared" si="18"/>
        <v>2017</v>
      </c>
    </row>
    <row r="1045" spans="1:5">
      <c r="A1045" s="2042">
        <v>42944</v>
      </c>
      <c r="B1045" s="2510">
        <v>2017</v>
      </c>
      <c r="C1045" s="2510">
        <v>7</v>
      </c>
      <c r="D1045">
        <v>1.3105599999999999</v>
      </c>
      <c r="E1045">
        <f t="shared" si="18"/>
        <v>2017</v>
      </c>
    </row>
    <row r="1046" spans="1:5">
      <c r="A1046" s="2042">
        <v>42943</v>
      </c>
      <c r="B1046" s="2510">
        <v>2017</v>
      </c>
      <c r="C1046" s="2510">
        <v>7</v>
      </c>
      <c r="D1046">
        <v>1.31111</v>
      </c>
      <c r="E1046">
        <f t="shared" si="18"/>
        <v>2017</v>
      </c>
    </row>
    <row r="1047" spans="1:5">
      <c r="A1047" s="2042">
        <v>42942</v>
      </c>
      <c r="B1047" s="2510">
        <v>2017</v>
      </c>
      <c r="C1047" s="2510">
        <v>7</v>
      </c>
      <c r="D1047">
        <v>1.31389</v>
      </c>
      <c r="E1047">
        <f t="shared" si="18"/>
        <v>2017</v>
      </c>
    </row>
    <row r="1048" spans="1:5">
      <c r="A1048" s="2042">
        <v>42941</v>
      </c>
      <c r="B1048" s="2510">
        <v>2017</v>
      </c>
      <c r="C1048" s="2510">
        <v>7</v>
      </c>
      <c r="D1048">
        <v>1.31667</v>
      </c>
      <c r="E1048">
        <f t="shared" si="18"/>
        <v>2017</v>
      </c>
    </row>
    <row r="1049" spans="1:5">
      <c r="A1049" s="2042">
        <v>42940</v>
      </c>
      <c r="B1049" s="2510">
        <v>2017</v>
      </c>
      <c r="C1049" s="2510">
        <v>7</v>
      </c>
      <c r="D1049">
        <v>1.31389</v>
      </c>
      <c r="E1049">
        <f t="shared" si="18"/>
        <v>2017</v>
      </c>
    </row>
    <row r="1050" spans="1:5">
      <c r="A1050" s="2042">
        <v>42937</v>
      </c>
      <c r="B1050" s="2510">
        <v>2017</v>
      </c>
      <c r="C1050" s="2510">
        <v>7</v>
      </c>
      <c r="D1050">
        <v>1.3144400000000001</v>
      </c>
      <c r="E1050">
        <f t="shared" si="18"/>
        <v>2017</v>
      </c>
    </row>
    <row r="1051" spans="1:5">
      <c r="A1051" s="2042">
        <v>42936</v>
      </c>
      <c r="B1051" s="2510">
        <v>2017</v>
      </c>
      <c r="C1051" s="2510">
        <v>7</v>
      </c>
      <c r="D1051">
        <v>1.3125</v>
      </c>
      <c r="E1051">
        <f t="shared" si="18"/>
        <v>2017</v>
      </c>
    </row>
    <row r="1052" spans="1:5">
      <c r="A1052" s="2042">
        <v>42935</v>
      </c>
      <c r="B1052" s="2510">
        <v>2017</v>
      </c>
      <c r="C1052" s="2510">
        <v>7</v>
      </c>
      <c r="D1052">
        <v>1.30722</v>
      </c>
      <c r="E1052">
        <f t="shared" si="18"/>
        <v>2017</v>
      </c>
    </row>
    <row r="1053" spans="1:5">
      <c r="A1053" s="2042">
        <v>42934</v>
      </c>
      <c r="B1053" s="2510">
        <v>2017</v>
      </c>
      <c r="C1053" s="2510">
        <v>7</v>
      </c>
      <c r="D1053">
        <v>1.30694</v>
      </c>
      <c r="E1053">
        <f t="shared" si="18"/>
        <v>2017</v>
      </c>
    </row>
    <row r="1054" spans="1:5">
      <c r="A1054" s="2042">
        <v>42933</v>
      </c>
      <c r="B1054" s="2510">
        <v>2017</v>
      </c>
      <c r="C1054" s="2510">
        <v>7</v>
      </c>
      <c r="D1054">
        <v>1.3061100000000001</v>
      </c>
      <c r="E1054">
        <f t="shared" si="18"/>
        <v>2017</v>
      </c>
    </row>
    <row r="1055" spans="1:5">
      <c r="A1055" s="2042">
        <v>42930</v>
      </c>
      <c r="B1055" s="2510">
        <v>2017</v>
      </c>
      <c r="C1055" s="2510">
        <v>7</v>
      </c>
      <c r="D1055">
        <v>1.3036099999999999</v>
      </c>
      <c r="E1055">
        <f t="shared" si="18"/>
        <v>2017</v>
      </c>
    </row>
    <row r="1056" spans="1:5">
      <c r="A1056" s="2042">
        <v>42929</v>
      </c>
      <c r="B1056" s="2510">
        <v>2017</v>
      </c>
      <c r="C1056" s="2510">
        <v>7</v>
      </c>
      <c r="D1056">
        <v>1.3036099999999999</v>
      </c>
      <c r="E1056">
        <f t="shared" si="18"/>
        <v>2017</v>
      </c>
    </row>
    <row r="1057" spans="1:5">
      <c r="A1057" s="2042">
        <v>42928</v>
      </c>
      <c r="B1057" s="2510">
        <v>2017</v>
      </c>
      <c r="C1057" s="2510">
        <v>7</v>
      </c>
      <c r="D1057">
        <v>1.30389</v>
      </c>
      <c r="E1057">
        <f t="shared" si="18"/>
        <v>2017</v>
      </c>
    </row>
    <row r="1058" spans="1:5">
      <c r="A1058" s="2042">
        <v>42927</v>
      </c>
      <c r="B1058" s="2510">
        <v>2017</v>
      </c>
      <c r="C1058" s="2510">
        <v>7</v>
      </c>
      <c r="D1058">
        <v>1.3035000000000001</v>
      </c>
      <c r="E1058">
        <f t="shared" si="18"/>
        <v>2017</v>
      </c>
    </row>
    <row r="1059" spans="1:5">
      <c r="A1059" s="2042">
        <v>42926</v>
      </c>
      <c r="B1059" s="2510">
        <v>2017</v>
      </c>
      <c r="C1059" s="2510">
        <v>7</v>
      </c>
      <c r="D1059">
        <v>1.3041100000000001</v>
      </c>
      <c r="E1059">
        <f t="shared" si="18"/>
        <v>2017</v>
      </c>
    </row>
    <row r="1060" spans="1:5">
      <c r="A1060" s="2042">
        <v>42923</v>
      </c>
      <c r="B1060" s="2510">
        <v>2017</v>
      </c>
      <c r="C1060" s="2510">
        <v>7</v>
      </c>
      <c r="D1060">
        <v>1.30522</v>
      </c>
      <c r="E1060">
        <f t="shared" si="18"/>
        <v>2017</v>
      </c>
    </row>
    <row r="1061" spans="1:5">
      <c r="A1061" s="2042">
        <v>42922</v>
      </c>
      <c r="B1061" s="2510">
        <v>2017</v>
      </c>
      <c r="C1061" s="2510">
        <v>7</v>
      </c>
      <c r="D1061">
        <v>1.3041100000000001</v>
      </c>
      <c r="E1061">
        <f t="shared" si="18"/>
        <v>2017</v>
      </c>
    </row>
    <row r="1062" spans="1:5">
      <c r="A1062" s="2042">
        <v>42921</v>
      </c>
      <c r="B1062" s="2510">
        <v>2017</v>
      </c>
      <c r="C1062" s="2510">
        <v>7</v>
      </c>
      <c r="D1062">
        <v>1.3029999999999999</v>
      </c>
      <c r="E1062">
        <f t="shared" si="18"/>
        <v>2017</v>
      </c>
    </row>
    <row r="1063" spans="1:5">
      <c r="A1063" s="2042">
        <v>42920</v>
      </c>
      <c r="B1063" s="2510">
        <v>2017</v>
      </c>
      <c r="C1063" s="2510">
        <v>7</v>
      </c>
      <c r="D1063">
        <v>1.3021100000000001</v>
      </c>
      <c r="E1063">
        <f t="shared" si="18"/>
        <v>2017</v>
      </c>
    </row>
    <row r="1064" spans="1:5">
      <c r="A1064" s="2042">
        <v>42919</v>
      </c>
      <c r="B1064" s="2510">
        <v>2017</v>
      </c>
      <c r="C1064" s="2510">
        <v>7</v>
      </c>
      <c r="D1064">
        <v>1.3007200000000001</v>
      </c>
      <c r="E1064">
        <f t="shared" si="18"/>
        <v>2017</v>
      </c>
    </row>
    <row r="1065" spans="1:5">
      <c r="A1065" s="2042">
        <v>42916</v>
      </c>
      <c r="B1065" s="2510">
        <v>2017</v>
      </c>
      <c r="C1065" s="2510">
        <v>6</v>
      </c>
      <c r="D1065">
        <v>1.2991699999999999</v>
      </c>
      <c r="E1065">
        <f t="shared" si="18"/>
        <v>2017</v>
      </c>
    </row>
    <row r="1066" spans="1:5">
      <c r="A1066" s="2042">
        <v>42915</v>
      </c>
      <c r="B1066" s="2510">
        <v>2017</v>
      </c>
      <c r="C1066" s="2510">
        <v>6</v>
      </c>
      <c r="D1066">
        <v>1.29861</v>
      </c>
      <c r="E1066">
        <f t="shared" si="18"/>
        <v>2017</v>
      </c>
    </row>
    <row r="1067" spans="1:5">
      <c r="A1067" s="2042">
        <v>42914</v>
      </c>
      <c r="B1067" s="2510">
        <v>2017</v>
      </c>
      <c r="C1067" s="2510">
        <v>6</v>
      </c>
      <c r="D1067">
        <v>1.2963899999999999</v>
      </c>
      <c r="E1067">
        <f t="shared" si="18"/>
        <v>2017</v>
      </c>
    </row>
    <row r="1068" spans="1:5">
      <c r="A1068" s="2042">
        <v>42913</v>
      </c>
      <c r="B1068" s="2510">
        <v>2017</v>
      </c>
      <c r="C1068" s="2510">
        <v>6</v>
      </c>
      <c r="D1068">
        <v>1.2950600000000001</v>
      </c>
      <c r="E1068">
        <f t="shared" si="18"/>
        <v>2017</v>
      </c>
    </row>
    <row r="1069" spans="1:5">
      <c r="A1069" s="2042">
        <v>42912</v>
      </c>
      <c r="B1069" s="2510">
        <v>2017</v>
      </c>
      <c r="C1069" s="2510">
        <v>6</v>
      </c>
      <c r="D1069">
        <v>1.2948299999999999</v>
      </c>
      <c r="E1069">
        <f t="shared" si="18"/>
        <v>2017</v>
      </c>
    </row>
    <row r="1070" spans="1:5">
      <c r="A1070" s="2042">
        <v>42909</v>
      </c>
      <c r="B1070" s="2510">
        <v>2017</v>
      </c>
      <c r="C1070" s="2510">
        <v>6</v>
      </c>
      <c r="D1070">
        <v>1.29328</v>
      </c>
      <c r="E1070">
        <f t="shared" si="18"/>
        <v>2017</v>
      </c>
    </row>
    <row r="1071" spans="1:5">
      <c r="A1071" s="2042">
        <v>42908</v>
      </c>
      <c r="B1071" s="2510">
        <v>2017</v>
      </c>
      <c r="C1071" s="2510">
        <v>6</v>
      </c>
      <c r="D1071">
        <v>1.29556</v>
      </c>
      <c r="E1071">
        <f t="shared" si="18"/>
        <v>2017</v>
      </c>
    </row>
    <row r="1072" spans="1:5">
      <c r="A1072" s="2042">
        <v>42907</v>
      </c>
      <c r="B1072" s="2510">
        <v>2017</v>
      </c>
      <c r="C1072" s="2510">
        <v>6</v>
      </c>
      <c r="D1072">
        <v>1.2894399999999999</v>
      </c>
      <c r="E1072">
        <f t="shared" si="18"/>
        <v>2017</v>
      </c>
    </row>
    <row r="1073" spans="1:5">
      <c r="A1073" s="2042">
        <v>42906</v>
      </c>
      <c r="B1073" s="2510">
        <v>2017</v>
      </c>
      <c r="C1073" s="2510">
        <v>6</v>
      </c>
      <c r="D1073">
        <v>1.28722</v>
      </c>
      <c r="E1073">
        <f t="shared" si="18"/>
        <v>2017</v>
      </c>
    </row>
    <row r="1074" spans="1:5">
      <c r="A1074" s="2042">
        <v>42905</v>
      </c>
      <c r="B1074" s="2510">
        <v>2017</v>
      </c>
      <c r="C1074" s="2510">
        <v>6</v>
      </c>
      <c r="D1074">
        <v>1.2802199999999999</v>
      </c>
      <c r="E1074">
        <f t="shared" si="18"/>
        <v>2017</v>
      </c>
    </row>
    <row r="1075" spans="1:5">
      <c r="A1075" s="2042">
        <v>42902</v>
      </c>
      <c r="B1075" s="2510">
        <v>2017</v>
      </c>
      <c r="C1075" s="2510">
        <v>6</v>
      </c>
      <c r="D1075">
        <v>1.27356</v>
      </c>
      <c r="E1075">
        <f t="shared" si="18"/>
        <v>2017</v>
      </c>
    </row>
    <row r="1076" spans="1:5">
      <c r="A1076" s="2042">
        <v>42901</v>
      </c>
      <c r="B1076" s="2510">
        <v>2017</v>
      </c>
      <c r="C1076" s="2510">
        <v>6</v>
      </c>
      <c r="D1076">
        <v>1.2674399999999999</v>
      </c>
      <c r="E1076">
        <f t="shared" si="18"/>
        <v>2017</v>
      </c>
    </row>
    <row r="1077" spans="1:5">
      <c r="A1077" s="2042">
        <v>42900</v>
      </c>
      <c r="B1077" s="2510">
        <v>2017</v>
      </c>
      <c r="C1077" s="2510">
        <v>6</v>
      </c>
      <c r="D1077">
        <v>1.2503299999999999</v>
      </c>
      <c r="E1077">
        <f t="shared" si="18"/>
        <v>2017</v>
      </c>
    </row>
    <row r="1078" spans="1:5">
      <c r="A1078" s="2042">
        <v>42899</v>
      </c>
      <c r="B1078" s="2510">
        <v>2017</v>
      </c>
      <c r="C1078" s="2510">
        <v>6</v>
      </c>
      <c r="D1078">
        <v>1.24556</v>
      </c>
      <c r="E1078">
        <f t="shared" si="18"/>
        <v>2017</v>
      </c>
    </row>
    <row r="1079" spans="1:5">
      <c r="A1079" s="2042">
        <v>42898</v>
      </c>
      <c r="B1079" s="2510">
        <v>2017</v>
      </c>
      <c r="C1079" s="2510">
        <v>6</v>
      </c>
      <c r="D1079">
        <v>1.2416700000000001</v>
      </c>
      <c r="E1079">
        <f t="shared" si="18"/>
        <v>2017</v>
      </c>
    </row>
    <row r="1080" spans="1:5">
      <c r="A1080" s="2042">
        <v>42895</v>
      </c>
      <c r="B1080" s="2510">
        <v>2017</v>
      </c>
      <c r="C1080" s="2510">
        <v>6</v>
      </c>
      <c r="D1080">
        <v>1.23644</v>
      </c>
      <c r="E1080">
        <f t="shared" si="18"/>
        <v>2017</v>
      </c>
    </row>
    <row r="1081" spans="1:5">
      <c r="A1081" s="2042">
        <v>42894</v>
      </c>
      <c r="B1081" s="2510">
        <v>2017</v>
      </c>
      <c r="C1081" s="2510">
        <v>6</v>
      </c>
      <c r="D1081">
        <v>1.22811</v>
      </c>
      <c r="E1081">
        <f t="shared" si="18"/>
        <v>2017</v>
      </c>
    </row>
    <row r="1082" spans="1:5">
      <c r="A1082" s="2042">
        <v>42893</v>
      </c>
      <c r="B1082" s="2510">
        <v>2017</v>
      </c>
      <c r="C1082" s="2510">
        <v>6</v>
      </c>
      <c r="D1082">
        <v>1.2210000000000001</v>
      </c>
      <c r="E1082">
        <f t="shared" si="18"/>
        <v>2017</v>
      </c>
    </row>
    <row r="1083" spans="1:5">
      <c r="A1083" s="2042">
        <v>42892</v>
      </c>
      <c r="B1083" s="2510">
        <v>2017</v>
      </c>
      <c r="C1083" s="2510">
        <v>6</v>
      </c>
      <c r="D1083">
        <v>1.2190000000000001</v>
      </c>
      <c r="E1083">
        <f t="shared" si="18"/>
        <v>2017</v>
      </c>
    </row>
    <row r="1084" spans="1:5">
      <c r="A1084" s="2042">
        <v>42891</v>
      </c>
      <c r="B1084" s="2510">
        <v>2017</v>
      </c>
      <c r="C1084" s="2510">
        <v>6</v>
      </c>
      <c r="D1084">
        <v>1.21956</v>
      </c>
      <c r="E1084">
        <f t="shared" si="18"/>
        <v>2017</v>
      </c>
    </row>
    <row r="1085" spans="1:5">
      <c r="A1085" s="2042">
        <v>42888</v>
      </c>
      <c r="B1085" s="2510">
        <v>2017</v>
      </c>
      <c r="C1085" s="2510">
        <v>6</v>
      </c>
      <c r="D1085">
        <v>1.2224999999999999</v>
      </c>
      <c r="E1085">
        <f t="shared" si="18"/>
        <v>2017</v>
      </c>
    </row>
    <row r="1086" spans="1:5">
      <c r="A1086" s="2042">
        <v>42887</v>
      </c>
      <c r="B1086" s="2510">
        <v>2017</v>
      </c>
      <c r="C1086" s="2510">
        <v>6</v>
      </c>
      <c r="D1086">
        <v>1.2180599999999999</v>
      </c>
      <c r="E1086">
        <f t="shared" si="18"/>
        <v>2017</v>
      </c>
    </row>
    <row r="1087" spans="1:5">
      <c r="A1087" s="2042">
        <v>42886</v>
      </c>
      <c r="B1087" s="2510">
        <v>2017</v>
      </c>
      <c r="C1087" s="2510">
        <v>5</v>
      </c>
      <c r="D1087">
        <v>1.21</v>
      </c>
      <c r="E1087">
        <f t="shared" si="18"/>
        <v>2017</v>
      </c>
    </row>
    <row r="1088" spans="1:5">
      <c r="A1088" s="2042">
        <v>42885</v>
      </c>
      <c r="B1088" s="2510">
        <v>2017</v>
      </c>
      <c r="C1088" s="2510">
        <v>5</v>
      </c>
      <c r="D1088">
        <v>1.2017800000000001</v>
      </c>
      <c r="E1088">
        <f t="shared" si="18"/>
        <v>2017</v>
      </c>
    </row>
    <row r="1089" spans="1:5">
      <c r="A1089" s="2042">
        <v>42881</v>
      </c>
      <c r="B1089" s="2510">
        <v>2017</v>
      </c>
      <c r="C1089" s="2510">
        <v>5</v>
      </c>
      <c r="D1089">
        <v>1.2017800000000001</v>
      </c>
      <c r="E1089">
        <f t="shared" si="18"/>
        <v>2017</v>
      </c>
    </row>
    <row r="1090" spans="1:5">
      <c r="A1090" s="2042">
        <v>42880</v>
      </c>
      <c r="B1090" s="2510">
        <v>2017</v>
      </c>
      <c r="C1090" s="2510">
        <v>5</v>
      </c>
      <c r="D1090">
        <v>1.2003900000000001</v>
      </c>
      <c r="E1090">
        <f t="shared" si="18"/>
        <v>2017</v>
      </c>
    </row>
    <row r="1091" spans="1:5">
      <c r="A1091" s="2042">
        <v>42879</v>
      </c>
      <c r="B1091" s="2510">
        <v>2017</v>
      </c>
      <c r="C1091" s="2510">
        <v>5</v>
      </c>
      <c r="D1091">
        <v>1.1976100000000001</v>
      </c>
      <c r="E1091">
        <f t="shared" si="18"/>
        <v>2017</v>
      </c>
    </row>
    <row r="1092" spans="1:5">
      <c r="A1092" s="2042">
        <v>42878</v>
      </c>
      <c r="B1092" s="2510">
        <v>2017</v>
      </c>
      <c r="C1092" s="2510">
        <v>5</v>
      </c>
      <c r="D1092">
        <v>1.1886699999999999</v>
      </c>
      <c r="E1092">
        <f t="shared" ref="E1092:E1155" si="19">YEAR(A1092)</f>
        <v>2017</v>
      </c>
    </row>
    <row r="1093" spans="1:5">
      <c r="A1093" s="2042">
        <v>42877</v>
      </c>
      <c r="B1093" s="2510">
        <v>2017</v>
      </c>
      <c r="C1093" s="2510">
        <v>5</v>
      </c>
      <c r="D1093">
        <v>1.1919999999999999</v>
      </c>
      <c r="E1093">
        <f t="shared" si="19"/>
        <v>2017</v>
      </c>
    </row>
    <row r="1094" spans="1:5">
      <c r="A1094" s="2042">
        <v>42874</v>
      </c>
      <c r="B1094" s="2510">
        <v>2017</v>
      </c>
      <c r="C1094" s="2510">
        <v>5</v>
      </c>
      <c r="D1094">
        <v>1.1864399999999999</v>
      </c>
      <c r="E1094">
        <f t="shared" si="19"/>
        <v>2017</v>
      </c>
    </row>
    <row r="1095" spans="1:5">
      <c r="A1095" s="2042">
        <v>42873</v>
      </c>
      <c r="B1095" s="2510">
        <v>2017</v>
      </c>
      <c r="C1095" s="2510">
        <v>5</v>
      </c>
      <c r="D1095">
        <v>1.1717200000000001</v>
      </c>
      <c r="E1095">
        <f t="shared" si="19"/>
        <v>2017</v>
      </c>
    </row>
    <row r="1096" spans="1:5">
      <c r="A1096" s="2042">
        <v>42872</v>
      </c>
      <c r="B1096" s="2510">
        <v>2017</v>
      </c>
      <c r="C1096" s="2510">
        <v>5</v>
      </c>
      <c r="D1096">
        <v>1.17839</v>
      </c>
      <c r="E1096">
        <f t="shared" si="19"/>
        <v>2017</v>
      </c>
    </row>
    <row r="1097" spans="1:5">
      <c r="A1097" s="2042">
        <v>42871</v>
      </c>
      <c r="B1097" s="2510">
        <v>2017</v>
      </c>
      <c r="C1097" s="2510">
        <v>5</v>
      </c>
      <c r="D1097">
        <v>1.1811700000000001</v>
      </c>
      <c r="E1097">
        <f t="shared" si="19"/>
        <v>2017</v>
      </c>
    </row>
    <row r="1098" spans="1:5">
      <c r="A1098" s="2042">
        <v>42870</v>
      </c>
      <c r="B1098" s="2510">
        <v>2017</v>
      </c>
      <c r="C1098" s="2510">
        <v>5</v>
      </c>
      <c r="D1098">
        <v>1.17944</v>
      </c>
      <c r="E1098">
        <f t="shared" si="19"/>
        <v>2017</v>
      </c>
    </row>
    <row r="1099" spans="1:5">
      <c r="A1099" s="2042">
        <v>42867</v>
      </c>
      <c r="B1099" s="2510">
        <v>2017</v>
      </c>
      <c r="C1099" s="2510">
        <v>5</v>
      </c>
      <c r="D1099">
        <v>1.1795599999999999</v>
      </c>
      <c r="E1099">
        <f t="shared" si="19"/>
        <v>2017</v>
      </c>
    </row>
    <row r="1100" spans="1:5">
      <c r="A1100" s="2042">
        <v>42866</v>
      </c>
      <c r="B1100" s="2510">
        <v>2017</v>
      </c>
      <c r="C1100" s="2510">
        <v>5</v>
      </c>
      <c r="D1100">
        <v>1.1817800000000001</v>
      </c>
      <c r="E1100">
        <f t="shared" si="19"/>
        <v>2017</v>
      </c>
    </row>
    <row r="1101" spans="1:5">
      <c r="A1101" s="2042">
        <v>42865</v>
      </c>
      <c r="B1101" s="2510">
        <v>2017</v>
      </c>
      <c r="C1101" s="2510">
        <v>5</v>
      </c>
      <c r="D1101">
        <v>1.1809400000000001</v>
      </c>
      <c r="E1101">
        <f t="shared" si="19"/>
        <v>2017</v>
      </c>
    </row>
    <row r="1102" spans="1:5">
      <c r="A1102" s="2042">
        <v>42864</v>
      </c>
      <c r="B1102" s="2510">
        <v>2017</v>
      </c>
      <c r="C1102" s="2510">
        <v>5</v>
      </c>
      <c r="D1102">
        <v>1.1819999999999999</v>
      </c>
      <c r="E1102">
        <f t="shared" si="19"/>
        <v>2017</v>
      </c>
    </row>
    <row r="1103" spans="1:5">
      <c r="A1103" s="2042">
        <v>42863</v>
      </c>
      <c r="B1103" s="2510">
        <v>2017</v>
      </c>
      <c r="C1103" s="2510">
        <v>5</v>
      </c>
      <c r="D1103">
        <v>1.1845600000000001</v>
      </c>
      <c r="E1103">
        <f t="shared" si="19"/>
        <v>2017</v>
      </c>
    </row>
    <row r="1104" spans="1:5">
      <c r="A1104" s="2042">
        <v>42860</v>
      </c>
      <c r="B1104" s="2510">
        <v>2017</v>
      </c>
      <c r="C1104" s="2510">
        <v>5</v>
      </c>
      <c r="D1104">
        <v>1.1803900000000001</v>
      </c>
      <c r="E1104">
        <f t="shared" si="19"/>
        <v>2017</v>
      </c>
    </row>
    <row r="1105" spans="1:5">
      <c r="A1105" s="2042">
        <v>42859</v>
      </c>
      <c r="B1105" s="2510">
        <v>2017</v>
      </c>
      <c r="C1105" s="2510">
        <v>5</v>
      </c>
      <c r="D1105">
        <v>1.1792800000000001</v>
      </c>
      <c r="E1105">
        <f t="shared" si="19"/>
        <v>2017</v>
      </c>
    </row>
    <row r="1106" spans="1:5">
      <c r="A1106" s="2042">
        <v>42858</v>
      </c>
      <c r="B1106" s="2510">
        <v>2017</v>
      </c>
      <c r="C1106" s="2510">
        <v>5</v>
      </c>
      <c r="D1106">
        <v>1.1712199999999999</v>
      </c>
      <c r="E1106">
        <f t="shared" si="19"/>
        <v>2017</v>
      </c>
    </row>
    <row r="1107" spans="1:5">
      <c r="A1107" s="2042">
        <v>42857</v>
      </c>
      <c r="B1107" s="2510">
        <v>2017</v>
      </c>
      <c r="C1107" s="2510">
        <v>5</v>
      </c>
      <c r="D1107">
        <v>1.1737200000000001</v>
      </c>
      <c r="E1107">
        <f t="shared" si="19"/>
        <v>2017</v>
      </c>
    </row>
    <row r="1108" spans="1:5">
      <c r="A1108" s="2042">
        <v>42853</v>
      </c>
      <c r="B1108" s="2510">
        <v>2017</v>
      </c>
      <c r="C1108" s="2510">
        <v>4</v>
      </c>
      <c r="D1108">
        <v>1.1723300000000001</v>
      </c>
      <c r="E1108">
        <f t="shared" si="19"/>
        <v>2017</v>
      </c>
    </row>
    <row r="1109" spans="1:5">
      <c r="A1109" s="2042">
        <v>42852</v>
      </c>
      <c r="B1109" s="2510">
        <v>2017</v>
      </c>
      <c r="C1109" s="2510">
        <v>4</v>
      </c>
      <c r="D1109">
        <v>1.1695599999999999</v>
      </c>
      <c r="E1109">
        <f t="shared" si="19"/>
        <v>2017</v>
      </c>
    </row>
    <row r="1110" spans="1:5">
      <c r="A1110" s="2042">
        <v>42851</v>
      </c>
      <c r="B1110" s="2510">
        <v>2017</v>
      </c>
      <c r="C1110" s="2510">
        <v>4</v>
      </c>
      <c r="D1110">
        <v>1.17178</v>
      </c>
      <c r="E1110">
        <f t="shared" si="19"/>
        <v>2017</v>
      </c>
    </row>
    <row r="1111" spans="1:5">
      <c r="A1111" s="2042">
        <v>42850</v>
      </c>
      <c r="B1111" s="2510">
        <v>2017</v>
      </c>
      <c r="C1111" s="2510">
        <v>4</v>
      </c>
      <c r="D1111">
        <v>1.17039</v>
      </c>
      <c r="E1111">
        <f t="shared" si="19"/>
        <v>2017</v>
      </c>
    </row>
    <row r="1112" spans="1:5">
      <c r="A1112" s="2042">
        <v>42849</v>
      </c>
      <c r="B1112" s="2510">
        <v>2017</v>
      </c>
      <c r="C1112" s="2510">
        <v>4</v>
      </c>
      <c r="D1112">
        <v>1.1665000000000001</v>
      </c>
      <c r="E1112">
        <f t="shared" si="19"/>
        <v>2017</v>
      </c>
    </row>
    <row r="1113" spans="1:5">
      <c r="A1113" s="2042">
        <v>42846</v>
      </c>
      <c r="B1113" s="2510">
        <v>2017</v>
      </c>
      <c r="C1113" s="2510">
        <v>4</v>
      </c>
      <c r="D1113">
        <v>1.15622</v>
      </c>
      <c r="E1113">
        <f t="shared" si="19"/>
        <v>2017</v>
      </c>
    </row>
    <row r="1114" spans="1:5">
      <c r="A1114" s="2042">
        <v>42845</v>
      </c>
      <c r="B1114" s="2510">
        <v>2017</v>
      </c>
      <c r="C1114" s="2510">
        <v>4</v>
      </c>
      <c r="D1114">
        <v>1.15317</v>
      </c>
      <c r="E1114">
        <f t="shared" si="19"/>
        <v>2017</v>
      </c>
    </row>
    <row r="1115" spans="1:5">
      <c r="A1115" s="2042">
        <v>42844</v>
      </c>
      <c r="B1115" s="2510">
        <v>2017</v>
      </c>
      <c r="C1115" s="2510">
        <v>4</v>
      </c>
      <c r="D1115">
        <v>1.15567</v>
      </c>
      <c r="E1115">
        <f t="shared" si="19"/>
        <v>2017</v>
      </c>
    </row>
    <row r="1116" spans="1:5">
      <c r="A1116" s="2042">
        <v>42843</v>
      </c>
      <c r="B1116" s="2510">
        <v>2017</v>
      </c>
      <c r="C1116" s="2510">
        <v>4</v>
      </c>
      <c r="D1116">
        <v>1.15622</v>
      </c>
      <c r="E1116">
        <f t="shared" si="19"/>
        <v>2017</v>
      </c>
    </row>
    <row r="1117" spans="1:5">
      <c r="A1117" s="2042">
        <v>42838</v>
      </c>
      <c r="B1117" s="2510">
        <v>2017</v>
      </c>
      <c r="C1117" s="2510">
        <v>4</v>
      </c>
      <c r="D1117">
        <v>1.1584399999999999</v>
      </c>
      <c r="E1117">
        <f t="shared" si="19"/>
        <v>2017</v>
      </c>
    </row>
    <row r="1118" spans="1:5">
      <c r="A1118" s="2042">
        <v>42837</v>
      </c>
      <c r="B1118" s="2510">
        <v>2017</v>
      </c>
      <c r="C1118" s="2510">
        <v>4</v>
      </c>
      <c r="D1118">
        <v>1.1584399999999999</v>
      </c>
      <c r="E1118">
        <f t="shared" si="19"/>
        <v>2017</v>
      </c>
    </row>
    <row r="1119" spans="1:5">
      <c r="A1119" s="2042">
        <v>42836</v>
      </c>
      <c r="B1119" s="2510">
        <v>2017</v>
      </c>
      <c r="C1119" s="2510">
        <v>4</v>
      </c>
      <c r="D1119">
        <v>1.1551100000000001</v>
      </c>
      <c r="E1119">
        <f t="shared" si="19"/>
        <v>2017</v>
      </c>
    </row>
    <row r="1120" spans="1:5">
      <c r="A1120" s="2042">
        <v>42835</v>
      </c>
      <c r="B1120" s="2510">
        <v>2017</v>
      </c>
      <c r="C1120" s="2510">
        <v>4</v>
      </c>
      <c r="D1120">
        <v>1.15567</v>
      </c>
      <c r="E1120">
        <f t="shared" si="19"/>
        <v>2017</v>
      </c>
    </row>
    <row r="1121" spans="1:5">
      <c r="A1121" s="2042">
        <v>42832</v>
      </c>
      <c r="B1121" s="2510">
        <v>2017</v>
      </c>
      <c r="C1121" s="2510">
        <v>4</v>
      </c>
      <c r="D1121">
        <v>1.15761</v>
      </c>
      <c r="E1121">
        <f t="shared" si="19"/>
        <v>2017</v>
      </c>
    </row>
    <row r="1122" spans="1:5">
      <c r="A1122" s="2042">
        <v>42831</v>
      </c>
      <c r="B1122" s="2510">
        <v>2017</v>
      </c>
      <c r="C1122" s="2510">
        <v>4</v>
      </c>
      <c r="D1122">
        <v>1.1553899999999999</v>
      </c>
      <c r="E1122">
        <f t="shared" si="19"/>
        <v>2017</v>
      </c>
    </row>
    <row r="1123" spans="1:5">
      <c r="A1123" s="2042">
        <v>42830</v>
      </c>
      <c r="B1123" s="2510">
        <v>2017</v>
      </c>
      <c r="C1123" s="2510">
        <v>4</v>
      </c>
      <c r="D1123">
        <v>1.15039</v>
      </c>
      <c r="E1123">
        <f t="shared" si="19"/>
        <v>2017</v>
      </c>
    </row>
    <row r="1124" spans="1:5">
      <c r="A1124" s="2042">
        <v>42829</v>
      </c>
      <c r="B1124" s="2510">
        <v>2017</v>
      </c>
      <c r="C1124" s="2510">
        <v>4</v>
      </c>
      <c r="D1124">
        <v>1.1498299999999999</v>
      </c>
      <c r="E1124">
        <f t="shared" si="19"/>
        <v>2017</v>
      </c>
    </row>
    <row r="1125" spans="1:5">
      <c r="A1125" s="2042">
        <v>42828</v>
      </c>
      <c r="B1125" s="2510">
        <v>2017</v>
      </c>
      <c r="C1125" s="2510">
        <v>4</v>
      </c>
      <c r="D1125">
        <v>1.1498299999999999</v>
      </c>
      <c r="E1125">
        <f t="shared" si="19"/>
        <v>2017</v>
      </c>
    </row>
    <row r="1126" spans="1:5">
      <c r="A1126" s="2042">
        <v>42825</v>
      </c>
      <c r="B1126" s="2510">
        <v>2017</v>
      </c>
      <c r="C1126" s="2510">
        <v>3</v>
      </c>
      <c r="D1126">
        <v>1.1495599999999999</v>
      </c>
      <c r="E1126">
        <f t="shared" si="19"/>
        <v>2017</v>
      </c>
    </row>
    <row r="1127" spans="1:5">
      <c r="A1127" s="2042">
        <v>42824</v>
      </c>
      <c r="B1127" s="2510">
        <v>2017</v>
      </c>
      <c r="C1127" s="2510">
        <v>3</v>
      </c>
      <c r="D1127">
        <v>1.14761</v>
      </c>
      <c r="E1127">
        <f t="shared" si="19"/>
        <v>2017</v>
      </c>
    </row>
    <row r="1128" spans="1:5">
      <c r="A1128" s="2042">
        <v>42823</v>
      </c>
      <c r="B1128" s="2510">
        <v>2017</v>
      </c>
      <c r="C1128" s="2510">
        <v>3</v>
      </c>
      <c r="D1128">
        <v>1.1467799999999999</v>
      </c>
      <c r="E1128">
        <f t="shared" si="19"/>
        <v>2017</v>
      </c>
    </row>
    <row r="1129" spans="1:5">
      <c r="A1129" s="2042">
        <v>42822</v>
      </c>
      <c r="B1129" s="2510">
        <v>2017</v>
      </c>
      <c r="C1129" s="2510">
        <v>3</v>
      </c>
      <c r="D1129">
        <v>1.15222</v>
      </c>
      <c r="E1129">
        <f t="shared" si="19"/>
        <v>2017</v>
      </c>
    </row>
    <row r="1130" spans="1:5">
      <c r="A1130" s="2042">
        <v>42821</v>
      </c>
      <c r="B1130" s="2510">
        <v>2017</v>
      </c>
      <c r="C1130" s="2510">
        <v>3</v>
      </c>
      <c r="D1130">
        <v>1.1518900000000001</v>
      </c>
      <c r="E1130">
        <f t="shared" si="19"/>
        <v>2017</v>
      </c>
    </row>
    <row r="1131" spans="1:5">
      <c r="A1131" s="2042">
        <v>42818</v>
      </c>
      <c r="B1131" s="2510">
        <v>2017</v>
      </c>
      <c r="C1131" s="2510">
        <v>3</v>
      </c>
      <c r="D1131">
        <v>1.1512800000000001</v>
      </c>
      <c r="E1131">
        <f t="shared" si="19"/>
        <v>2017</v>
      </c>
    </row>
    <row r="1132" spans="1:5">
      <c r="A1132" s="2042">
        <v>42817</v>
      </c>
      <c r="B1132" s="2510">
        <v>2017</v>
      </c>
      <c r="C1132" s="2510">
        <v>3</v>
      </c>
      <c r="D1132">
        <v>1.15289</v>
      </c>
      <c r="E1132">
        <f t="shared" si="19"/>
        <v>2017</v>
      </c>
    </row>
    <row r="1133" spans="1:5">
      <c r="A1133" s="2042">
        <v>42816</v>
      </c>
      <c r="B1133" s="2510">
        <v>2017</v>
      </c>
      <c r="C1133" s="2510">
        <v>3</v>
      </c>
      <c r="D1133">
        <v>1.1567799999999999</v>
      </c>
      <c r="E1133">
        <f t="shared" si="19"/>
        <v>2017</v>
      </c>
    </row>
    <row r="1134" spans="1:5">
      <c r="A1134" s="2042">
        <v>42815</v>
      </c>
      <c r="B1134" s="2510">
        <v>2017</v>
      </c>
      <c r="C1134" s="2510">
        <v>3</v>
      </c>
      <c r="D1134">
        <v>1.15622</v>
      </c>
      <c r="E1134">
        <f t="shared" si="19"/>
        <v>2017</v>
      </c>
    </row>
    <row r="1135" spans="1:5">
      <c r="A1135" s="2042">
        <v>42814</v>
      </c>
      <c r="B1135" s="2510">
        <v>2017</v>
      </c>
      <c r="C1135" s="2510">
        <v>3</v>
      </c>
      <c r="D1135">
        <v>1.15622</v>
      </c>
      <c r="E1135">
        <f t="shared" si="19"/>
        <v>2017</v>
      </c>
    </row>
    <row r="1136" spans="1:5">
      <c r="A1136" s="2042">
        <v>42811</v>
      </c>
      <c r="B1136" s="2510">
        <v>2017</v>
      </c>
      <c r="C1136" s="2510">
        <v>3</v>
      </c>
      <c r="D1136">
        <v>1.15178</v>
      </c>
      <c r="E1136">
        <f t="shared" si="19"/>
        <v>2017</v>
      </c>
    </row>
    <row r="1137" spans="1:5">
      <c r="A1137" s="2042">
        <v>42810</v>
      </c>
      <c r="B1137" s="2510">
        <v>2017</v>
      </c>
      <c r="C1137" s="2510">
        <v>3</v>
      </c>
      <c r="D1137">
        <v>1.15178</v>
      </c>
      <c r="E1137">
        <f t="shared" si="19"/>
        <v>2017</v>
      </c>
    </row>
    <row r="1138" spans="1:5">
      <c r="A1138" s="2042">
        <v>42809</v>
      </c>
      <c r="B1138" s="2510">
        <v>2017</v>
      </c>
      <c r="C1138" s="2510">
        <v>3</v>
      </c>
      <c r="D1138">
        <v>1.1481699999999999</v>
      </c>
      <c r="E1138">
        <f t="shared" si="19"/>
        <v>2017</v>
      </c>
    </row>
    <row r="1139" spans="1:5">
      <c r="A1139" s="2042">
        <v>42808</v>
      </c>
      <c r="B1139" s="2510">
        <v>2017</v>
      </c>
      <c r="C1139" s="2510">
        <v>3</v>
      </c>
      <c r="D1139">
        <v>1.13733</v>
      </c>
      <c r="E1139">
        <f t="shared" si="19"/>
        <v>2017</v>
      </c>
    </row>
    <row r="1140" spans="1:5">
      <c r="A1140" s="2042">
        <v>42807</v>
      </c>
      <c r="B1140" s="2510">
        <v>2017</v>
      </c>
      <c r="C1140" s="2510">
        <v>3</v>
      </c>
      <c r="D1140">
        <v>1.1312199999999999</v>
      </c>
      <c r="E1140">
        <f t="shared" si="19"/>
        <v>2017</v>
      </c>
    </row>
    <row r="1141" spans="1:5">
      <c r="A1141" s="2042">
        <v>42804</v>
      </c>
      <c r="B1141" s="2510">
        <v>2017</v>
      </c>
      <c r="C1141" s="2510">
        <v>3</v>
      </c>
      <c r="D1141">
        <v>1.1212200000000001</v>
      </c>
      <c r="E1141">
        <f t="shared" si="19"/>
        <v>2017</v>
      </c>
    </row>
    <row r="1142" spans="1:5">
      <c r="A1142" s="2042">
        <v>42803</v>
      </c>
      <c r="B1142" s="2510">
        <v>2017</v>
      </c>
      <c r="C1142" s="2510">
        <v>3</v>
      </c>
      <c r="D1142">
        <v>1.1195600000000001</v>
      </c>
      <c r="E1142">
        <f t="shared" si="19"/>
        <v>2017</v>
      </c>
    </row>
    <row r="1143" spans="1:5">
      <c r="A1143" s="2042">
        <v>42802</v>
      </c>
      <c r="B1143" s="2510">
        <v>2017</v>
      </c>
      <c r="C1143" s="2510">
        <v>3</v>
      </c>
      <c r="D1143">
        <v>1.109</v>
      </c>
      <c r="E1143">
        <f t="shared" si="19"/>
        <v>2017</v>
      </c>
    </row>
    <row r="1144" spans="1:5">
      <c r="A1144" s="2042">
        <v>42801</v>
      </c>
      <c r="B1144" s="2510">
        <v>2017</v>
      </c>
      <c r="C1144" s="2510">
        <v>3</v>
      </c>
      <c r="D1144">
        <v>1.10622</v>
      </c>
      <c r="E1144">
        <f t="shared" si="19"/>
        <v>2017</v>
      </c>
    </row>
    <row r="1145" spans="1:5">
      <c r="A1145" s="2042">
        <v>42800</v>
      </c>
      <c r="B1145" s="2510">
        <v>2017</v>
      </c>
      <c r="C1145" s="2510">
        <v>3</v>
      </c>
      <c r="D1145">
        <v>1.10622</v>
      </c>
      <c r="E1145">
        <f t="shared" si="19"/>
        <v>2017</v>
      </c>
    </row>
    <row r="1146" spans="1:5">
      <c r="A1146" s="2042">
        <v>42797</v>
      </c>
      <c r="B1146" s="2510">
        <v>2017</v>
      </c>
      <c r="C1146" s="2510">
        <v>3</v>
      </c>
      <c r="D1146">
        <v>1.1016699999999999</v>
      </c>
      <c r="E1146">
        <f t="shared" si="19"/>
        <v>2017</v>
      </c>
    </row>
    <row r="1147" spans="1:5">
      <c r="A1147" s="2042">
        <v>42796</v>
      </c>
      <c r="B1147" s="2510">
        <v>2017</v>
      </c>
      <c r="C1147" s="2510">
        <v>3</v>
      </c>
      <c r="D1147">
        <v>1.1000000000000001</v>
      </c>
      <c r="E1147">
        <f t="shared" si="19"/>
        <v>2017</v>
      </c>
    </row>
    <row r="1148" spans="1:5">
      <c r="A1148" s="2042">
        <v>42795</v>
      </c>
      <c r="B1148" s="2510">
        <v>2017</v>
      </c>
      <c r="C1148" s="2510">
        <v>3</v>
      </c>
      <c r="D1148">
        <v>1.0927800000000001</v>
      </c>
      <c r="E1148">
        <f t="shared" si="19"/>
        <v>2017</v>
      </c>
    </row>
    <row r="1149" spans="1:5">
      <c r="A1149" s="2042">
        <v>42794</v>
      </c>
      <c r="B1149" s="2510">
        <v>2017</v>
      </c>
      <c r="C1149" s="2510">
        <v>2</v>
      </c>
      <c r="D1149">
        <v>1.0640000000000001</v>
      </c>
      <c r="E1149">
        <f t="shared" si="19"/>
        <v>2017</v>
      </c>
    </row>
    <row r="1150" spans="1:5">
      <c r="A1150" s="2042">
        <v>42793</v>
      </c>
      <c r="B1150" s="2510">
        <v>2017</v>
      </c>
      <c r="C1150" s="2510">
        <v>2</v>
      </c>
      <c r="D1150">
        <v>1.0545599999999999</v>
      </c>
      <c r="E1150">
        <f t="shared" si="19"/>
        <v>2017</v>
      </c>
    </row>
    <row r="1151" spans="1:5">
      <c r="A1151" s="2042">
        <v>42790</v>
      </c>
      <c r="B1151" s="2510">
        <v>2017</v>
      </c>
      <c r="C1151" s="2510">
        <v>2</v>
      </c>
      <c r="D1151">
        <v>1.054</v>
      </c>
      <c r="E1151">
        <f t="shared" si="19"/>
        <v>2017</v>
      </c>
    </row>
    <row r="1152" spans="1:5">
      <c r="A1152" s="2042">
        <v>42789</v>
      </c>
      <c r="B1152" s="2510">
        <v>2017</v>
      </c>
      <c r="C1152" s="2510">
        <v>2</v>
      </c>
      <c r="D1152">
        <v>1.05233</v>
      </c>
      <c r="E1152">
        <f t="shared" si="19"/>
        <v>2017</v>
      </c>
    </row>
    <row r="1153" spans="1:5">
      <c r="A1153" s="2042">
        <v>42788</v>
      </c>
      <c r="B1153" s="2510">
        <v>2017</v>
      </c>
      <c r="C1153" s="2510">
        <v>2</v>
      </c>
      <c r="D1153">
        <v>1.054</v>
      </c>
      <c r="E1153">
        <f t="shared" si="19"/>
        <v>2017</v>
      </c>
    </row>
    <row r="1154" spans="1:5">
      <c r="A1154" s="2042">
        <v>42787</v>
      </c>
      <c r="B1154" s="2510">
        <v>2017</v>
      </c>
      <c r="C1154" s="2510">
        <v>2</v>
      </c>
      <c r="D1154">
        <v>1.0534399999999999</v>
      </c>
      <c r="E1154">
        <f t="shared" si="19"/>
        <v>2017</v>
      </c>
    </row>
    <row r="1155" spans="1:5">
      <c r="A1155" s="2042">
        <v>42786</v>
      </c>
      <c r="B1155" s="2510">
        <v>2017</v>
      </c>
      <c r="C1155" s="2510">
        <v>2</v>
      </c>
      <c r="D1155">
        <v>1.0501100000000001</v>
      </c>
      <c r="E1155">
        <f t="shared" si="19"/>
        <v>2017</v>
      </c>
    </row>
    <row r="1156" spans="1:5">
      <c r="A1156" s="2042">
        <v>42783</v>
      </c>
      <c r="B1156" s="2510">
        <v>2017</v>
      </c>
      <c r="C1156" s="2510">
        <v>2</v>
      </c>
      <c r="D1156">
        <v>1.05233</v>
      </c>
      <c r="E1156">
        <f t="shared" ref="E1156:E1219" si="20">YEAR(A1156)</f>
        <v>2017</v>
      </c>
    </row>
    <row r="1157" spans="1:5">
      <c r="A1157" s="2042">
        <v>42782</v>
      </c>
      <c r="B1157" s="2510">
        <v>2017</v>
      </c>
      <c r="C1157" s="2510">
        <v>2</v>
      </c>
      <c r="D1157">
        <v>1.0565</v>
      </c>
      <c r="E1157">
        <f t="shared" si="20"/>
        <v>2017</v>
      </c>
    </row>
    <row r="1158" spans="1:5">
      <c r="A1158" s="2042">
        <v>42781</v>
      </c>
      <c r="B1158" s="2510">
        <v>2017</v>
      </c>
      <c r="C1158" s="2510">
        <v>2</v>
      </c>
      <c r="D1158">
        <v>1.0417799999999999</v>
      </c>
      <c r="E1158">
        <f t="shared" si="20"/>
        <v>2017</v>
      </c>
    </row>
    <row r="1159" spans="1:5">
      <c r="A1159" s="2042">
        <v>42780</v>
      </c>
      <c r="B1159" s="2510">
        <v>2017</v>
      </c>
      <c r="C1159" s="2510">
        <v>2</v>
      </c>
      <c r="D1159">
        <v>1.0373300000000001</v>
      </c>
      <c r="E1159">
        <f t="shared" si="20"/>
        <v>2017</v>
      </c>
    </row>
    <row r="1160" spans="1:5">
      <c r="A1160" s="2042">
        <v>42779</v>
      </c>
      <c r="B1160" s="2510">
        <v>2017</v>
      </c>
      <c r="C1160" s="2510">
        <v>2</v>
      </c>
      <c r="D1160">
        <v>1.0389999999999999</v>
      </c>
      <c r="E1160">
        <f t="shared" si="20"/>
        <v>2017</v>
      </c>
    </row>
    <row r="1161" spans="1:5">
      <c r="A1161" s="2042">
        <v>42776</v>
      </c>
      <c r="B1161" s="2510">
        <v>2017</v>
      </c>
      <c r="C1161" s="2510">
        <v>2</v>
      </c>
      <c r="D1161">
        <v>1.0362199999999999</v>
      </c>
      <c r="E1161">
        <f t="shared" si="20"/>
        <v>2017</v>
      </c>
    </row>
    <row r="1162" spans="1:5">
      <c r="A1162" s="2042">
        <v>42775</v>
      </c>
      <c r="B1162" s="2510">
        <v>2017</v>
      </c>
      <c r="C1162" s="2510">
        <v>2</v>
      </c>
      <c r="D1162">
        <v>1.03372</v>
      </c>
      <c r="E1162">
        <f t="shared" si="20"/>
        <v>2017</v>
      </c>
    </row>
    <row r="1163" spans="1:5">
      <c r="A1163" s="2042">
        <v>42774</v>
      </c>
      <c r="B1163" s="2510">
        <v>2017</v>
      </c>
      <c r="C1163" s="2510">
        <v>2</v>
      </c>
      <c r="D1163">
        <v>1.03372</v>
      </c>
      <c r="E1163">
        <f t="shared" si="20"/>
        <v>2017</v>
      </c>
    </row>
    <row r="1164" spans="1:5">
      <c r="A1164" s="2042">
        <v>42773</v>
      </c>
      <c r="B1164" s="2510">
        <v>2017</v>
      </c>
      <c r="C1164" s="2510">
        <v>2</v>
      </c>
      <c r="D1164">
        <v>1.03817</v>
      </c>
      <c r="E1164">
        <f t="shared" si="20"/>
        <v>2017</v>
      </c>
    </row>
    <row r="1165" spans="1:5">
      <c r="A1165" s="2042">
        <v>42772</v>
      </c>
      <c r="B1165" s="2510">
        <v>2017</v>
      </c>
      <c r="C1165" s="2510">
        <v>2</v>
      </c>
      <c r="D1165">
        <v>1.03844</v>
      </c>
      <c r="E1165">
        <f t="shared" si="20"/>
        <v>2017</v>
      </c>
    </row>
    <row r="1166" spans="1:5">
      <c r="A1166" s="2042">
        <v>42769</v>
      </c>
      <c r="B1166" s="2510">
        <v>2017</v>
      </c>
      <c r="C1166" s="2510">
        <v>2</v>
      </c>
      <c r="D1166">
        <v>1.034</v>
      </c>
      <c r="E1166">
        <f t="shared" si="20"/>
        <v>2017</v>
      </c>
    </row>
    <row r="1167" spans="1:5">
      <c r="A1167" s="2042">
        <v>42768</v>
      </c>
      <c r="B1167" s="2510">
        <v>2017</v>
      </c>
      <c r="C1167" s="2510">
        <v>2</v>
      </c>
      <c r="D1167">
        <v>1.03372</v>
      </c>
      <c r="E1167">
        <f t="shared" si="20"/>
        <v>2017</v>
      </c>
    </row>
    <row r="1168" spans="1:5">
      <c r="A1168" s="2042">
        <v>42767</v>
      </c>
      <c r="B1168" s="2510">
        <v>2017</v>
      </c>
      <c r="C1168" s="2510">
        <v>2</v>
      </c>
      <c r="D1168">
        <v>1.0345599999999999</v>
      </c>
      <c r="E1168">
        <f t="shared" si="20"/>
        <v>2017</v>
      </c>
    </row>
    <row r="1169" spans="1:5">
      <c r="A1169" s="2042">
        <v>42766</v>
      </c>
      <c r="B1169" s="2510">
        <v>2017</v>
      </c>
      <c r="C1169" s="2510">
        <v>1</v>
      </c>
      <c r="D1169">
        <v>1.0345599999999999</v>
      </c>
      <c r="E1169">
        <f t="shared" si="20"/>
        <v>2017</v>
      </c>
    </row>
    <row r="1170" spans="1:5">
      <c r="A1170" s="2042">
        <v>42765</v>
      </c>
      <c r="B1170" s="2510">
        <v>2017</v>
      </c>
      <c r="C1170" s="2510">
        <v>1</v>
      </c>
      <c r="D1170">
        <v>1.034</v>
      </c>
      <c r="E1170">
        <f t="shared" si="20"/>
        <v>2017</v>
      </c>
    </row>
    <row r="1171" spans="1:5">
      <c r="A1171" s="2042">
        <v>42762</v>
      </c>
      <c r="B1171" s="2510">
        <v>2017</v>
      </c>
      <c r="C1171" s="2510">
        <v>1</v>
      </c>
      <c r="D1171">
        <v>1.0389999999999999</v>
      </c>
      <c r="E1171">
        <f t="shared" si="20"/>
        <v>2017</v>
      </c>
    </row>
    <row r="1172" spans="1:5">
      <c r="A1172" s="2042">
        <v>42761</v>
      </c>
      <c r="B1172" s="2510">
        <v>2017</v>
      </c>
      <c r="C1172" s="2510">
        <v>1</v>
      </c>
      <c r="D1172">
        <v>1.0389999999999999</v>
      </c>
      <c r="E1172">
        <f t="shared" si="20"/>
        <v>2017</v>
      </c>
    </row>
    <row r="1173" spans="1:5">
      <c r="A1173" s="2042">
        <v>42760</v>
      </c>
      <c r="B1173" s="2510">
        <v>2017</v>
      </c>
      <c r="C1173" s="2510">
        <v>1</v>
      </c>
      <c r="D1173">
        <v>1.0373300000000001</v>
      </c>
      <c r="E1173">
        <f t="shared" si="20"/>
        <v>2017</v>
      </c>
    </row>
    <row r="1174" spans="1:5">
      <c r="A1174" s="2042">
        <v>42759</v>
      </c>
      <c r="B1174" s="2510">
        <v>2017</v>
      </c>
      <c r="C1174" s="2510">
        <v>1</v>
      </c>
      <c r="D1174">
        <v>1.0317799999999999</v>
      </c>
      <c r="E1174">
        <f t="shared" si="20"/>
        <v>2017</v>
      </c>
    </row>
    <row r="1175" spans="1:5">
      <c r="A1175" s="2042">
        <v>42758</v>
      </c>
      <c r="B1175" s="2510">
        <v>2017</v>
      </c>
      <c r="C1175" s="2510">
        <v>1</v>
      </c>
      <c r="D1175">
        <v>1.03789</v>
      </c>
      <c r="E1175">
        <f t="shared" si="20"/>
        <v>2017</v>
      </c>
    </row>
    <row r="1176" spans="1:5">
      <c r="A1176" s="2042">
        <v>42755</v>
      </c>
      <c r="B1176" s="2510">
        <v>2017</v>
      </c>
      <c r="C1176" s="2510">
        <v>1</v>
      </c>
      <c r="D1176">
        <v>1.0434399999999999</v>
      </c>
      <c r="E1176">
        <f t="shared" si="20"/>
        <v>2017</v>
      </c>
    </row>
    <row r="1177" spans="1:5">
      <c r="A1177" s="2042">
        <v>42754</v>
      </c>
      <c r="B1177" s="2510">
        <v>2017</v>
      </c>
      <c r="C1177" s="2510">
        <v>1</v>
      </c>
      <c r="D1177">
        <v>1.04122</v>
      </c>
      <c r="E1177">
        <f t="shared" si="20"/>
        <v>2017</v>
      </c>
    </row>
    <row r="1178" spans="1:5">
      <c r="A1178" s="2042">
        <v>42753</v>
      </c>
      <c r="B1178" s="2510">
        <v>2017</v>
      </c>
      <c r="C1178" s="2510">
        <v>1</v>
      </c>
      <c r="D1178">
        <v>1.0301100000000001</v>
      </c>
      <c r="E1178">
        <f t="shared" si="20"/>
        <v>2017</v>
      </c>
    </row>
    <row r="1179" spans="1:5">
      <c r="A1179" s="2042">
        <v>42752</v>
      </c>
      <c r="B1179" s="2510">
        <v>2017</v>
      </c>
      <c r="C1179" s="2510">
        <v>1</v>
      </c>
      <c r="D1179">
        <v>1.0248299999999999</v>
      </c>
      <c r="E1179">
        <f t="shared" si="20"/>
        <v>2017</v>
      </c>
    </row>
    <row r="1180" spans="1:5">
      <c r="A1180" s="2042">
        <v>42751</v>
      </c>
      <c r="B1180" s="2510">
        <v>2017</v>
      </c>
      <c r="C1180" s="2510">
        <v>1</v>
      </c>
      <c r="D1180">
        <v>1.02372</v>
      </c>
      <c r="E1180">
        <f t="shared" si="20"/>
        <v>2017</v>
      </c>
    </row>
    <row r="1181" spans="1:5">
      <c r="A1181" s="2042">
        <v>42748</v>
      </c>
      <c r="B1181" s="2510">
        <v>2017</v>
      </c>
      <c r="C1181" s="2510">
        <v>1</v>
      </c>
      <c r="D1181">
        <v>1.0231699999999999</v>
      </c>
      <c r="E1181">
        <f t="shared" si="20"/>
        <v>2017</v>
      </c>
    </row>
    <row r="1182" spans="1:5">
      <c r="A1182" s="2042">
        <v>42747</v>
      </c>
      <c r="B1182" s="2510">
        <v>2017</v>
      </c>
      <c r="C1182" s="2510">
        <v>1</v>
      </c>
      <c r="D1182">
        <v>1.0217799999999999</v>
      </c>
      <c r="E1182">
        <f t="shared" si="20"/>
        <v>2017</v>
      </c>
    </row>
    <row r="1183" spans="1:5">
      <c r="A1183" s="2042">
        <v>42746</v>
      </c>
      <c r="B1183" s="2510">
        <v>2017</v>
      </c>
      <c r="C1183" s="2510">
        <v>1</v>
      </c>
      <c r="D1183">
        <v>1.0217799999999999</v>
      </c>
      <c r="E1183">
        <f t="shared" si="20"/>
        <v>2017</v>
      </c>
    </row>
    <row r="1184" spans="1:5">
      <c r="A1184" s="2042">
        <v>42745</v>
      </c>
      <c r="B1184" s="2510">
        <v>2017</v>
      </c>
      <c r="C1184" s="2510">
        <v>1</v>
      </c>
      <c r="D1184">
        <v>1.01789</v>
      </c>
      <c r="E1184">
        <f t="shared" si="20"/>
        <v>2017</v>
      </c>
    </row>
    <row r="1185" spans="1:5">
      <c r="A1185" s="2042">
        <v>42744</v>
      </c>
      <c r="B1185" s="2510">
        <v>2017</v>
      </c>
      <c r="C1185" s="2510">
        <v>1</v>
      </c>
      <c r="D1185">
        <v>1.0148299999999999</v>
      </c>
      <c r="E1185">
        <f t="shared" si="20"/>
        <v>2017</v>
      </c>
    </row>
    <row r="1186" spans="1:5">
      <c r="A1186" s="2042">
        <v>42741</v>
      </c>
      <c r="B1186" s="2510">
        <v>2017</v>
      </c>
      <c r="C1186" s="2510">
        <v>1</v>
      </c>
      <c r="D1186">
        <v>1.0101100000000001</v>
      </c>
      <c r="E1186">
        <f t="shared" si="20"/>
        <v>2017</v>
      </c>
    </row>
    <row r="1187" spans="1:5">
      <c r="A1187" s="2042">
        <v>42740</v>
      </c>
      <c r="B1187" s="2510">
        <v>2017</v>
      </c>
      <c r="C1187" s="2510">
        <v>1</v>
      </c>
      <c r="D1187">
        <v>1.00928</v>
      </c>
      <c r="E1187">
        <f t="shared" si="20"/>
        <v>2017</v>
      </c>
    </row>
    <row r="1188" spans="1:5">
      <c r="A1188" s="2042">
        <v>42739</v>
      </c>
      <c r="B1188" s="2510">
        <v>2017</v>
      </c>
      <c r="C1188" s="2510">
        <v>1</v>
      </c>
      <c r="D1188">
        <v>1.0051099999999999</v>
      </c>
      <c r="E1188">
        <f t="shared" si="20"/>
        <v>2017</v>
      </c>
    </row>
    <row r="1189" spans="1:5">
      <c r="A1189" s="2042">
        <v>42738</v>
      </c>
      <c r="B1189" s="2510">
        <v>2017</v>
      </c>
      <c r="C1189" s="2510">
        <v>1</v>
      </c>
      <c r="D1189">
        <v>0.99872000000000005</v>
      </c>
      <c r="E1189">
        <f t="shared" si="20"/>
        <v>2017</v>
      </c>
    </row>
    <row r="1190" spans="1:5">
      <c r="A1190" s="2042">
        <v>42734</v>
      </c>
      <c r="B1190" s="2510">
        <v>2016</v>
      </c>
      <c r="C1190" s="2510">
        <v>12</v>
      </c>
      <c r="D1190">
        <v>0.99789000000000005</v>
      </c>
      <c r="E1190">
        <f t="shared" si="20"/>
        <v>2016</v>
      </c>
    </row>
    <row r="1191" spans="1:5">
      <c r="A1191" s="2042">
        <v>42733</v>
      </c>
      <c r="B1191" s="2510">
        <v>2016</v>
      </c>
      <c r="C1191" s="2510">
        <v>12</v>
      </c>
      <c r="D1191">
        <v>0.99789000000000005</v>
      </c>
      <c r="E1191">
        <f t="shared" si="20"/>
        <v>2016</v>
      </c>
    </row>
    <row r="1192" spans="1:5">
      <c r="A1192" s="2042">
        <v>42732</v>
      </c>
      <c r="B1192" s="2510">
        <v>2016</v>
      </c>
      <c r="C1192" s="2510">
        <v>12</v>
      </c>
      <c r="D1192">
        <v>0.99817</v>
      </c>
      <c r="E1192">
        <f t="shared" si="20"/>
        <v>2016</v>
      </c>
    </row>
    <row r="1193" spans="1:5">
      <c r="A1193" s="2042">
        <v>42727</v>
      </c>
      <c r="B1193" s="2510">
        <v>2016</v>
      </c>
      <c r="C1193" s="2510">
        <v>12</v>
      </c>
      <c r="D1193">
        <v>0.99705999999999995</v>
      </c>
      <c r="E1193">
        <f t="shared" si="20"/>
        <v>2016</v>
      </c>
    </row>
    <row r="1194" spans="1:5">
      <c r="A1194" s="2042">
        <v>42726</v>
      </c>
      <c r="B1194" s="2510">
        <v>2016</v>
      </c>
      <c r="C1194" s="2510">
        <v>12</v>
      </c>
      <c r="D1194">
        <v>0.99705999999999995</v>
      </c>
      <c r="E1194">
        <f t="shared" si="20"/>
        <v>2016</v>
      </c>
    </row>
    <row r="1195" spans="1:5">
      <c r="A1195" s="2042">
        <v>42725</v>
      </c>
      <c r="B1195" s="2510">
        <v>2016</v>
      </c>
      <c r="C1195" s="2510">
        <v>12</v>
      </c>
      <c r="D1195">
        <v>0.99761</v>
      </c>
      <c r="E1195">
        <f t="shared" si="20"/>
        <v>2016</v>
      </c>
    </row>
    <row r="1196" spans="1:5">
      <c r="A1196" s="2042">
        <v>42724</v>
      </c>
      <c r="B1196" s="2510">
        <v>2016</v>
      </c>
      <c r="C1196" s="2510">
        <v>12</v>
      </c>
      <c r="D1196">
        <v>0.99621999999999999</v>
      </c>
      <c r="E1196">
        <f t="shared" si="20"/>
        <v>2016</v>
      </c>
    </row>
    <row r="1197" spans="1:5">
      <c r="A1197" s="2042">
        <v>42723</v>
      </c>
      <c r="B1197" s="2510">
        <v>2016</v>
      </c>
      <c r="C1197" s="2510">
        <v>12</v>
      </c>
      <c r="D1197">
        <v>0.99428000000000005</v>
      </c>
      <c r="E1197">
        <f t="shared" si="20"/>
        <v>2016</v>
      </c>
    </row>
    <row r="1198" spans="1:5">
      <c r="A1198" s="2042">
        <v>42720</v>
      </c>
      <c r="B1198" s="2510">
        <v>2016</v>
      </c>
      <c r="C1198" s="2510">
        <v>12</v>
      </c>
      <c r="D1198">
        <v>0.99733000000000005</v>
      </c>
      <c r="E1198">
        <f t="shared" si="20"/>
        <v>2016</v>
      </c>
    </row>
    <row r="1199" spans="1:5">
      <c r="A1199" s="2042">
        <v>42719</v>
      </c>
      <c r="B1199" s="2510">
        <v>2016</v>
      </c>
      <c r="C1199" s="2510">
        <v>12</v>
      </c>
      <c r="D1199">
        <v>0.99317</v>
      </c>
      <c r="E1199">
        <f t="shared" si="20"/>
        <v>2016</v>
      </c>
    </row>
    <row r="1200" spans="1:5">
      <c r="A1200" s="2042">
        <v>42718</v>
      </c>
      <c r="B1200" s="2510">
        <v>2016</v>
      </c>
      <c r="C1200" s="2510">
        <v>12</v>
      </c>
      <c r="D1200">
        <v>0.97038999999999997</v>
      </c>
      <c r="E1200">
        <f t="shared" si="20"/>
        <v>2016</v>
      </c>
    </row>
    <row r="1201" spans="1:5">
      <c r="A1201" s="2042">
        <v>42717</v>
      </c>
      <c r="B1201" s="2510">
        <v>2016</v>
      </c>
      <c r="C1201" s="2510">
        <v>12</v>
      </c>
      <c r="D1201">
        <v>0.96343999999999996</v>
      </c>
      <c r="E1201">
        <f t="shared" si="20"/>
        <v>2016</v>
      </c>
    </row>
    <row r="1202" spans="1:5">
      <c r="A1202" s="2042">
        <v>42716</v>
      </c>
      <c r="B1202" s="2510">
        <v>2016</v>
      </c>
      <c r="C1202" s="2510">
        <v>12</v>
      </c>
      <c r="D1202">
        <v>0.95872000000000002</v>
      </c>
      <c r="E1202">
        <f t="shared" si="20"/>
        <v>2016</v>
      </c>
    </row>
    <row r="1203" spans="1:5">
      <c r="A1203" s="2042">
        <v>42713</v>
      </c>
      <c r="B1203" s="2510">
        <v>2016</v>
      </c>
      <c r="C1203" s="2510">
        <v>12</v>
      </c>
      <c r="D1203">
        <v>0.95650000000000002</v>
      </c>
      <c r="E1203">
        <f t="shared" si="20"/>
        <v>2016</v>
      </c>
    </row>
    <row r="1204" spans="1:5">
      <c r="A1204" s="2042">
        <v>42712</v>
      </c>
      <c r="B1204" s="2510">
        <v>2016</v>
      </c>
      <c r="C1204" s="2510">
        <v>12</v>
      </c>
      <c r="D1204">
        <v>0.95306000000000002</v>
      </c>
      <c r="E1204">
        <f t="shared" si="20"/>
        <v>2016</v>
      </c>
    </row>
    <row r="1205" spans="1:5">
      <c r="A1205" s="2042">
        <v>42711</v>
      </c>
      <c r="B1205" s="2510">
        <v>2016</v>
      </c>
      <c r="C1205" s="2510">
        <v>12</v>
      </c>
      <c r="D1205">
        <v>0.95082999999999995</v>
      </c>
      <c r="E1205">
        <f t="shared" si="20"/>
        <v>2016</v>
      </c>
    </row>
    <row r="1206" spans="1:5">
      <c r="A1206" s="2042">
        <v>42710</v>
      </c>
      <c r="B1206" s="2510">
        <v>2016</v>
      </c>
      <c r="C1206" s="2510">
        <v>12</v>
      </c>
      <c r="D1206">
        <v>0.95082999999999995</v>
      </c>
      <c r="E1206">
        <f t="shared" si="20"/>
        <v>2016</v>
      </c>
    </row>
    <row r="1207" spans="1:5">
      <c r="A1207" s="2042">
        <v>42709</v>
      </c>
      <c r="B1207" s="2510">
        <v>2016</v>
      </c>
      <c r="C1207" s="2510">
        <v>12</v>
      </c>
      <c r="D1207">
        <v>0.94806000000000001</v>
      </c>
      <c r="E1207">
        <f t="shared" si="20"/>
        <v>2016</v>
      </c>
    </row>
    <row r="1208" spans="1:5">
      <c r="A1208" s="2042">
        <v>42706</v>
      </c>
      <c r="B1208" s="2510">
        <v>2016</v>
      </c>
      <c r="C1208" s="2510">
        <v>12</v>
      </c>
      <c r="D1208">
        <v>0.94638999999999995</v>
      </c>
      <c r="E1208">
        <f t="shared" si="20"/>
        <v>2016</v>
      </c>
    </row>
    <row r="1209" spans="1:5">
      <c r="A1209" s="2042">
        <v>42705</v>
      </c>
      <c r="B1209" s="2510">
        <v>2016</v>
      </c>
      <c r="C1209" s="2510">
        <v>12</v>
      </c>
      <c r="D1209">
        <v>0.94167000000000001</v>
      </c>
      <c r="E1209">
        <f t="shared" si="20"/>
        <v>2016</v>
      </c>
    </row>
    <row r="1210" spans="1:5">
      <c r="A1210" s="2042">
        <v>42704</v>
      </c>
      <c r="B1210" s="2510">
        <v>2016</v>
      </c>
      <c r="C1210" s="2510">
        <v>11</v>
      </c>
      <c r="D1210">
        <v>0.93416999999999994</v>
      </c>
      <c r="E1210">
        <f t="shared" si="20"/>
        <v>2016</v>
      </c>
    </row>
    <row r="1211" spans="1:5">
      <c r="A1211" s="2042">
        <v>42703</v>
      </c>
      <c r="B1211" s="2510">
        <v>2016</v>
      </c>
      <c r="C1211" s="2510">
        <v>11</v>
      </c>
      <c r="D1211">
        <v>0.93067</v>
      </c>
      <c r="E1211">
        <f t="shared" si="20"/>
        <v>2016</v>
      </c>
    </row>
    <row r="1212" spans="1:5">
      <c r="A1212" s="2042">
        <v>42702</v>
      </c>
      <c r="B1212" s="2510">
        <v>2016</v>
      </c>
      <c r="C1212" s="2510">
        <v>11</v>
      </c>
      <c r="D1212">
        <v>0.93511</v>
      </c>
      <c r="E1212">
        <f t="shared" si="20"/>
        <v>2016</v>
      </c>
    </row>
    <row r="1213" spans="1:5">
      <c r="A1213" s="2042">
        <v>42699</v>
      </c>
      <c r="B1213" s="2510">
        <v>2016</v>
      </c>
      <c r="C1213" s="2510">
        <v>11</v>
      </c>
      <c r="D1213">
        <v>0.93733</v>
      </c>
      <c r="E1213">
        <f t="shared" si="20"/>
        <v>2016</v>
      </c>
    </row>
    <row r="1214" spans="1:5">
      <c r="A1214" s="2042">
        <v>42698</v>
      </c>
      <c r="B1214" s="2510">
        <v>2016</v>
      </c>
      <c r="C1214" s="2510">
        <v>11</v>
      </c>
      <c r="D1214">
        <v>0.93706</v>
      </c>
      <c r="E1214">
        <f t="shared" si="20"/>
        <v>2016</v>
      </c>
    </row>
    <row r="1215" spans="1:5">
      <c r="A1215" s="2042">
        <v>42697</v>
      </c>
      <c r="B1215" s="2510">
        <v>2016</v>
      </c>
      <c r="C1215" s="2510">
        <v>11</v>
      </c>
      <c r="D1215">
        <v>0.93010999999999999</v>
      </c>
      <c r="E1215">
        <f t="shared" si="20"/>
        <v>2016</v>
      </c>
    </row>
    <row r="1216" spans="1:5">
      <c r="A1216" s="2042">
        <v>42696</v>
      </c>
      <c r="B1216" s="2510">
        <v>2016</v>
      </c>
      <c r="C1216" s="2510">
        <v>11</v>
      </c>
      <c r="D1216">
        <v>0.92483000000000004</v>
      </c>
      <c r="E1216">
        <f t="shared" si="20"/>
        <v>2016</v>
      </c>
    </row>
    <row r="1217" spans="1:5">
      <c r="A1217" s="2042">
        <v>42695</v>
      </c>
      <c r="B1217" s="2510">
        <v>2016</v>
      </c>
      <c r="C1217" s="2510">
        <v>11</v>
      </c>
      <c r="D1217">
        <v>0.91983000000000004</v>
      </c>
      <c r="E1217">
        <f t="shared" si="20"/>
        <v>2016</v>
      </c>
    </row>
    <row r="1218" spans="1:5">
      <c r="A1218" s="2042">
        <v>42692</v>
      </c>
      <c r="B1218" s="2510">
        <v>2016</v>
      </c>
      <c r="C1218" s="2510">
        <v>11</v>
      </c>
      <c r="D1218">
        <v>0.91622000000000003</v>
      </c>
      <c r="E1218">
        <f t="shared" si="20"/>
        <v>2016</v>
      </c>
    </row>
    <row r="1219" spans="1:5">
      <c r="A1219" s="2042">
        <v>42691</v>
      </c>
      <c r="B1219" s="2510">
        <v>2016</v>
      </c>
      <c r="C1219" s="2510">
        <v>11</v>
      </c>
      <c r="D1219">
        <v>0.91122000000000003</v>
      </c>
      <c r="E1219">
        <f t="shared" si="20"/>
        <v>2016</v>
      </c>
    </row>
    <row r="1220" spans="1:5">
      <c r="A1220" s="2042">
        <v>42690</v>
      </c>
      <c r="B1220" s="2510">
        <v>2016</v>
      </c>
      <c r="C1220" s="2510">
        <v>11</v>
      </c>
      <c r="D1220">
        <v>0.90871999999999997</v>
      </c>
      <c r="E1220">
        <f t="shared" ref="E1220:E1264" si="21">YEAR(A1220)</f>
        <v>2016</v>
      </c>
    </row>
    <row r="1221" spans="1:5">
      <c r="A1221" s="2042">
        <v>42689</v>
      </c>
      <c r="B1221" s="2510">
        <v>2016</v>
      </c>
      <c r="C1221" s="2510">
        <v>11</v>
      </c>
      <c r="D1221">
        <v>0.90622000000000003</v>
      </c>
      <c r="E1221">
        <f t="shared" si="21"/>
        <v>2016</v>
      </c>
    </row>
    <row r="1222" spans="1:5">
      <c r="A1222" s="2042">
        <v>42688</v>
      </c>
      <c r="B1222" s="2510">
        <v>2016</v>
      </c>
      <c r="C1222" s="2510">
        <v>11</v>
      </c>
      <c r="D1222">
        <v>0.91122000000000003</v>
      </c>
      <c r="E1222">
        <f t="shared" si="21"/>
        <v>2016</v>
      </c>
    </row>
    <row r="1223" spans="1:5">
      <c r="A1223" s="2042">
        <v>42685</v>
      </c>
      <c r="B1223" s="2510">
        <v>2016</v>
      </c>
      <c r="C1223" s="2510">
        <v>11</v>
      </c>
      <c r="D1223">
        <v>0.90566999999999998</v>
      </c>
      <c r="E1223">
        <f t="shared" si="21"/>
        <v>2016</v>
      </c>
    </row>
    <row r="1224" spans="1:5">
      <c r="A1224" s="2042">
        <v>42684</v>
      </c>
      <c r="B1224" s="2510">
        <v>2016</v>
      </c>
      <c r="C1224" s="2510">
        <v>11</v>
      </c>
      <c r="D1224">
        <v>0.90205999999999997</v>
      </c>
      <c r="E1224">
        <f t="shared" si="21"/>
        <v>2016</v>
      </c>
    </row>
    <row r="1225" spans="1:5">
      <c r="A1225" s="2042">
        <v>42683</v>
      </c>
      <c r="B1225" s="2510">
        <v>2016</v>
      </c>
      <c r="C1225" s="2510">
        <v>11</v>
      </c>
      <c r="D1225">
        <v>0.88649999999999995</v>
      </c>
      <c r="E1225">
        <f t="shared" si="21"/>
        <v>2016</v>
      </c>
    </row>
    <row r="1226" spans="1:5">
      <c r="A1226" s="2042">
        <v>42682</v>
      </c>
      <c r="B1226" s="2510">
        <v>2016</v>
      </c>
      <c r="C1226" s="2510">
        <v>11</v>
      </c>
      <c r="D1226">
        <v>0.88232999999999995</v>
      </c>
      <c r="E1226">
        <f t="shared" si="21"/>
        <v>2016</v>
      </c>
    </row>
    <row r="1227" spans="1:5">
      <c r="A1227" s="2042">
        <v>42681</v>
      </c>
      <c r="B1227" s="2510">
        <v>2016</v>
      </c>
      <c r="C1227" s="2510">
        <v>11</v>
      </c>
      <c r="D1227">
        <v>0.88678000000000001</v>
      </c>
      <c r="E1227">
        <f t="shared" si="21"/>
        <v>2016</v>
      </c>
    </row>
    <row r="1228" spans="1:5">
      <c r="A1228" s="2042">
        <v>42678</v>
      </c>
      <c r="B1228" s="2510">
        <v>2016</v>
      </c>
      <c r="C1228" s="2510">
        <v>11</v>
      </c>
      <c r="D1228">
        <v>0.88261000000000001</v>
      </c>
      <c r="E1228">
        <f t="shared" si="21"/>
        <v>2016</v>
      </c>
    </row>
    <row r="1229" spans="1:5">
      <c r="A1229" s="2042">
        <v>42677</v>
      </c>
      <c r="B1229" s="2510">
        <v>2016</v>
      </c>
      <c r="C1229" s="2510">
        <v>11</v>
      </c>
      <c r="D1229">
        <v>0.88093999999999995</v>
      </c>
      <c r="E1229">
        <f t="shared" si="21"/>
        <v>2016</v>
      </c>
    </row>
    <row r="1230" spans="1:5">
      <c r="A1230" s="2042">
        <v>42676</v>
      </c>
      <c r="B1230" s="2510">
        <v>2016</v>
      </c>
      <c r="C1230" s="2510">
        <v>11</v>
      </c>
      <c r="D1230">
        <v>0.87566999999999995</v>
      </c>
      <c r="E1230">
        <f t="shared" si="21"/>
        <v>2016</v>
      </c>
    </row>
    <row r="1231" spans="1:5">
      <c r="A1231" s="2042">
        <v>42675</v>
      </c>
      <c r="B1231" s="2510">
        <v>2016</v>
      </c>
      <c r="C1231" s="2510">
        <v>11</v>
      </c>
      <c r="D1231">
        <v>0.88093999999999995</v>
      </c>
      <c r="E1231">
        <f t="shared" si="21"/>
        <v>2016</v>
      </c>
    </row>
    <row r="1232" spans="1:5">
      <c r="A1232" s="2042">
        <v>42674</v>
      </c>
      <c r="B1232" s="2510">
        <v>2016</v>
      </c>
      <c r="C1232" s="2510">
        <v>10</v>
      </c>
      <c r="D1232">
        <v>0.88427999999999995</v>
      </c>
      <c r="E1232">
        <f t="shared" si="21"/>
        <v>2016</v>
      </c>
    </row>
    <row r="1233" spans="1:5">
      <c r="A1233" s="2042">
        <v>42671</v>
      </c>
      <c r="B1233" s="2510">
        <v>2016</v>
      </c>
      <c r="C1233" s="2510">
        <v>10</v>
      </c>
      <c r="D1233">
        <v>0.88593999999999995</v>
      </c>
      <c r="E1233">
        <f t="shared" si="21"/>
        <v>2016</v>
      </c>
    </row>
    <row r="1234" spans="1:5">
      <c r="A1234" s="2042">
        <v>42670</v>
      </c>
      <c r="B1234" s="2510">
        <v>2016</v>
      </c>
      <c r="C1234" s="2510">
        <v>10</v>
      </c>
      <c r="D1234">
        <v>0.88732999999999995</v>
      </c>
      <c r="E1234">
        <f t="shared" si="21"/>
        <v>2016</v>
      </c>
    </row>
    <row r="1235" spans="1:5">
      <c r="A1235" s="2042">
        <v>42669</v>
      </c>
      <c r="B1235" s="2510">
        <v>2016</v>
      </c>
      <c r="C1235" s="2510">
        <v>10</v>
      </c>
      <c r="D1235">
        <v>0.89039000000000001</v>
      </c>
      <c r="E1235">
        <f t="shared" si="21"/>
        <v>2016</v>
      </c>
    </row>
    <row r="1236" spans="1:5">
      <c r="A1236" s="2042">
        <v>42668</v>
      </c>
      <c r="B1236" s="2510">
        <v>2016</v>
      </c>
      <c r="C1236" s="2510">
        <v>10</v>
      </c>
      <c r="D1236">
        <v>0.88566999999999996</v>
      </c>
      <c r="E1236">
        <f t="shared" si="21"/>
        <v>2016</v>
      </c>
    </row>
    <row r="1237" spans="1:5">
      <c r="A1237" s="2042">
        <v>42667</v>
      </c>
      <c r="B1237" s="2510">
        <v>2016</v>
      </c>
      <c r="C1237" s="2510">
        <v>10</v>
      </c>
      <c r="D1237">
        <v>0.88371999999999995</v>
      </c>
      <c r="E1237">
        <f t="shared" si="21"/>
        <v>2016</v>
      </c>
    </row>
    <row r="1238" spans="1:5">
      <c r="A1238" s="2042">
        <v>42664</v>
      </c>
      <c r="B1238" s="2510">
        <v>2016</v>
      </c>
      <c r="C1238" s="2510">
        <v>10</v>
      </c>
      <c r="D1238">
        <v>0.88178000000000001</v>
      </c>
      <c r="E1238">
        <f t="shared" si="21"/>
        <v>2016</v>
      </c>
    </row>
    <row r="1239" spans="1:5">
      <c r="A1239" s="2042">
        <v>42663</v>
      </c>
      <c r="B1239" s="2510">
        <v>2016</v>
      </c>
      <c r="C1239" s="2510">
        <v>10</v>
      </c>
      <c r="D1239">
        <v>0.88178000000000001</v>
      </c>
      <c r="E1239">
        <f t="shared" si="21"/>
        <v>2016</v>
      </c>
    </row>
    <row r="1240" spans="1:5">
      <c r="A1240" s="2042">
        <v>42662</v>
      </c>
      <c r="B1240" s="2510">
        <v>2016</v>
      </c>
      <c r="C1240" s="2510">
        <v>10</v>
      </c>
      <c r="D1240">
        <v>0.88066999999999995</v>
      </c>
      <c r="E1240">
        <f t="shared" si="21"/>
        <v>2016</v>
      </c>
    </row>
    <row r="1241" spans="1:5">
      <c r="A1241" s="2042">
        <v>42661</v>
      </c>
      <c r="B1241" s="2510">
        <v>2016</v>
      </c>
      <c r="C1241" s="2510">
        <v>10</v>
      </c>
      <c r="D1241">
        <v>0.88122</v>
      </c>
      <c r="E1241">
        <f t="shared" si="21"/>
        <v>2016</v>
      </c>
    </row>
    <row r="1242" spans="1:5">
      <c r="A1242" s="2042">
        <v>42660</v>
      </c>
      <c r="B1242" s="2510">
        <v>2016</v>
      </c>
      <c r="C1242" s="2510">
        <v>10</v>
      </c>
      <c r="D1242">
        <v>0.87761</v>
      </c>
      <c r="E1242">
        <f t="shared" si="21"/>
        <v>2016</v>
      </c>
    </row>
    <row r="1243" spans="1:5">
      <c r="A1243" s="2042">
        <v>42657</v>
      </c>
      <c r="B1243" s="2510">
        <v>2016</v>
      </c>
      <c r="C1243" s="2510">
        <v>10</v>
      </c>
      <c r="D1243">
        <v>0.88166999999999995</v>
      </c>
      <c r="E1243">
        <f t="shared" si="21"/>
        <v>2016</v>
      </c>
    </row>
    <row r="1244" spans="1:5">
      <c r="A1244" s="2042">
        <v>42656</v>
      </c>
      <c r="B1244" s="2510">
        <v>2016</v>
      </c>
      <c r="C1244" s="2510">
        <v>10</v>
      </c>
      <c r="D1244">
        <v>0.88</v>
      </c>
      <c r="E1244">
        <f t="shared" si="21"/>
        <v>2016</v>
      </c>
    </row>
    <row r="1245" spans="1:5">
      <c r="A1245" s="2042">
        <v>42655</v>
      </c>
      <c r="B1245" s="2510">
        <v>2016</v>
      </c>
      <c r="C1245" s="2510">
        <v>10</v>
      </c>
      <c r="D1245">
        <v>0.88110999999999995</v>
      </c>
      <c r="E1245">
        <f t="shared" si="21"/>
        <v>2016</v>
      </c>
    </row>
    <row r="1246" spans="1:5">
      <c r="A1246" s="2042">
        <v>42654</v>
      </c>
      <c r="B1246" s="2510">
        <v>2016</v>
      </c>
      <c r="C1246" s="2510">
        <v>10</v>
      </c>
      <c r="D1246">
        <v>0.87749999999999995</v>
      </c>
      <c r="E1246">
        <f t="shared" si="21"/>
        <v>2016</v>
      </c>
    </row>
    <row r="1247" spans="1:5">
      <c r="A1247" s="2042">
        <v>42653</v>
      </c>
      <c r="B1247" s="2510">
        <v>2016</v>
      </c>
      <c r="C1247" s="2510">
        <v>10</v>
      </c>
      <c r="D1247">
        <v>0.87388999999999994</v>
      </c>
      <c r="E1247">
        <f t="shared" si="21"/>
        <v>2016</v>
      </c>
    </row>
    <row r="1248" spans="1:5">
      <c r="A1248" s="2042">
        <v>42650</v>
      </c>
      <c r="B1248" s="2510">
        <v>2016</v>
      </c>
      <c r="C1248" s="2510">
        <v>10</v>
      </c>
      <c r="D1248">
        <v>0.87605999999999995</v>
      </c>
      <c r="E1248">
        <f t="shared" si="21"/>
        <v>2016</v>
      </c>
    </row>
    <row r="1249" spans="1:5">
      <c r="A1249" s="2042">
        <v>42649</v>
      </c>
      <c r="B1249" s="2510">
        <v>2016</v>
      </c>
      <c r="C1249" s="2510">
        <v>10</v>
      </c>
      <c r="D1249">
        <v>0.87156</v>
      </c>
      <c r="E1249">
        <f t="shared" si="21"/>
        <v>2016</v>
      </c>
    </row>
    <row r="1250" spans="1:5">
      <c r="A1250" s="2042">
        <v>42648</v>
      </c>
      <c r="B1250" s="2510">
        <v>2016</v>
      </c>
      <c r="C1250" s="2510">
        <v>10</v>
      </c>
      <c r="D1250">
        <v>0.86794000000000004</v>
      </c>
      <c r="E1250">
        <f t="shared" si="21"/>
        <v>2016</v>
      </c>
    </row>
    <row r="1251" spans="1:5">
      <c r="A1251" s="2042">
        <v>42647</v>
      </c>
      <c r="B1251" s="2510">
        <v>2016</v>
      </c>
      <c r="C1251" s="2510">
        <v>10</v>
      </c>
      <c r="D1251">
        <v>0.86433000000000004</v>
      </c>
      <c r="E1251">
        <f t="shared" si="21"/>
        <v>2016</v>
      </c>
    </row>
    <row r="1252" spans="1:5">
      <c r="A1252" s="2042">
        <v>42646</v>
      </c>
      <c r="B1252" s="2510">
        <v>2016</v>
      </c>
      <c r="C1252" s="2510">
        <v>10</v>
      </c>
      <c r="D1252">
        <v>0.85789000000000004</v>
      </c>
      <c r="E1252">
        <f t="shared" si="21"/>
        <v>2016</v>
      </c>
    </row>
    <row r="1253" spans="1:5">
      <c r="A1253" s="2042">
        <v>42643</v>
      </c>
      <c r="B1253" s="2510">
        <v>2016</v>
      </c>
      <c r="C1253" s="2510">
        <v>9</v>
      </c>
      <c r="D1253">
        <v>0.85367000000000004</v>
      </c>
      <c r="E1253">
        <f t="shared" si="21"/>
        <v>2016</v>
      </c>
    </row>
    <row r="1254" spans="1:5">
      <c r="A1254" s="2042">
        <v>42642</v>
      </c>
      <c r="B1254" s="2510">
        <v>2016</v>
      </c>
      <c r="C1254" s="2510">
        <v>9</v>
      </c>
      <c r="D1254">
        <v>0.84560999999999997</v>
      </c>
      <c r="E1254">
        <f t="shared" si="21"/>
        <v>2016</v>
      </c>
    </row>
    <row r="1255" spans="1:5">
      <c r="A1255" s="2042">
        <v>42641</v>
      </c>
      <c r="B1255" s="2510">
        <v>2016</v>
      </c>
      <c r="C1255" s="2510">
        <v>9</v>
      </c>
      <c r="D1255">
        <v>0.83769000000000005</v>
      </c>
      <c r="E1255">
        <f t="shared" si="21"/>
        <v>2016</v>
      </c>
    </row>
    <row r="1256" spans="1:5">
      <c r="A1256" s="2042">
        <v>42640</v>
      </c>
      <c r="B1256" s="2510">
        <v>2016</v>
      </c>
      <c r="C1256" s="2510">
        <v>9</v>
      </c>
      <c r="D1256">
        <v>0.85377999999999998</v>
      </c>
      <c r="E1256">
        <f t="shared" si="21"/>
        <v>2016</v>
      </c>
    </row>
    <row r="1257" spans="1:5">
      <c r="A1257" s="2042">
        <v>42639</v>
      </c>
      <c r="B1257" s="2510">
        <v>2016</v>
      </c>
      <c r="C1257" s="2510">
        <v>9</v>
      </c>
      <c r="D1257">
        <v>0.85294000000000003</v>
      </c>
      <c r="E1257">
        <f t="shared" si="21"/>
        <v>2016</v>
      </c>
    </row>
    <row r="1258" spans="1:5">
      <c r="A1258" s="2042">
        <v>42636</v>
      </c>
      <c r="B1258" s="2510">
        <v>2016</v>
      </c>
      <c r="C1258" s="2510">
        <v>9</v>
      </c>
      <c r="D1258">
        <v>0.85294000000000003</v>
      </c>
      <c r="E1258">
        <f t="shared" si="21"/>
        <v>2016</v>
      </c>
    </row>
    <row r="1259" spans="1:5">
      <c r="A1259" s="2042">
        <v>42635</v>
      </c>
      <c r="B1259" s="2510">
        <v>2016</v>
      </c>
      <c r="C1259" s="2510">
        <v>9</v>
      </c>
      <c r="D1259">
        <v>0.85672000000000004</v>
      </c>
      <c r="E1259">
        <f t="shared" si="21"/>
        <v>2016</v>
      </c>
    </row>
    <row r="1260" spans="1:5">
      <c r="A1260" s="2042">
        <v>42634</v>
      </c>
      <c r="B1260" s="2510">
        <v>2016</v>
      </c>
      <c r="C1260" s="2510">
        <v>9</v>
      </c>
      <c r="D1260">
        <v>0.86333000000000004</v>
      </c>
      <c r="E1260">
        <f t="shared" si="21"/>
        <v>2016</v>
      </c>
    </row>
    <row r="1261" spans="1:5">
      <c r="A1261" s="2042">
        <v>42633</v>
      </c>
      <c r="B1261" s="2510">
        <v>2016</v>
      </c>
      <c r="C1261" s="2510">
        <v>9</v>
      </c>
      <c r="D1261">
        <v>0.86589000000000005</v>
      </c>
      <c r="E1261">
        <f t="shared" si="21"/>
        <v>2016</v>
      </c>
    </row>
    <row r="1262" spans="1:5">
      <c r="A1262" s="2042">
        <v>42632</v>
      </c>
      <c r="B1262" s="2510">
        <v>2016</v>
      </c>
      <c r="C1262" s="2510">
        <v>9</v>
      </c>
      <c r="D1262">
        <v>0.86067000000000005</v>
      </c>
      <c r="E1262">
        <f t="shared" si="21"/>
        <v>2016</v>
      </c>
    </row>
    <row r="1263" spans="1:5">
      <c r="A1263" s="2042">
        <v>42629</v>
      </c>
      <c r="B1263" s="2510">
        <v>2016</v>
      </c>
      <c r="C1263" s="2510">
        <v>9</v>
      </c>
      <c r="D1263">
        <v>0.85711000000000004</v>
      </c>
      <c r="E1263">
        <f t="shared" si="21"/>
        <v>2016</v>
      </c>
    </row>
    <row r="1264" spans="1:5">
      <c r="A1264" s="2042">
        <v>42628</v>
      </c>
      <c r="B1264" s="2510">
        <v>2016</v>
      </c>
      <c r="C1264" s="2510">
        <v>9</v>
      </c>
      <c r="D1264">
        <v>0.85655999999999999</v>
      </c>
      <c r="E1264">
        <f t="shared" si="21"/>
        <v>2016</v>
      </c>
    </row>
  </sheetData>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B2:K42"/>
  <sheetViews>
    <sheetView workbookViewId="0"/>
  </sheetViews>
  <sheetFormatPr defaultColWidth="9" defaultRowHeight="12"/>
  <cols>
    <col min="1" max="1" width="3.5" style="1" customWidth="1"/>
    <col min="2" max="2" width="30.375" style="1" bestFit="1" customWidth="1"/>
    <col min="3" max="3" width="4.75" style="1" bestFit="1" customWidth="1"/>
    <col min="4" max="5" width="12.875" style="1" bestFit="1" customWidth="1"/>
    <col min="6" max="6" width="13.875" style="1" bestFit="1" customWidth="1"/>
    <col min="7" max="7" width="16.25" style="1" bestFit="1" customWidth="1"/>
    <col min="8" max="8" width="12.75" style="1" bestFit="1" customWidth="1"/>
    <col min="9" max="9" width="8.75" style="1" bestFit="1" customWidth="1"/>
    <col min="10" max="10" width="9" style="1"/>
    <col min="11" max="11" width="12.875" style="1" bestFit="1" customWidth="1"/>
    <col min="12" max="16384" width="9" style="1"/>
  </cols>
  <sheetData>
    <row r="2" spans="2:11">
      <c r="B2" s="1" t="s">
        <v>3815</v>
      </c>
    </row>
    <row r="3" spans="2:11" ht="13.5">
      <c r="B3" s="5554" t="s">
        <v>4441</v>
      </c>
      <c r="C3" s="5556" t="s">
        <v>4442</v>
      </c>
      <c r="D3" s="5556"/>
      <c r="E3" s="5556"/>
      <c r="F3" s="5557" t="s">
        <v>4443</v>
      </c>
      <c r="G3" s="5558"/>
      <c r="H3" s="5558"/>
      <c r="I3" s="5558"/>
      <c r="J3" s="2416"/>
      <c r="K3" s="5559" t="s">
        <v>4444</v>
      </c>
    </row>
    <row r="4" spans="2:11" ht="13.5">
      <c r="B4" s="5555"/>
      <c r="C4" s="2417" t="s">
        <v>3832</v>
      </c>
      <c r="D4" s="2418" t="s">
        <v>4445</v>
      </c>
      <c r="E4" s="2419" t="s">
        <v>4446</v>
      </c>
      <c r="F4" s="2420" t="s">
        <v>4447</v>
      </c>
      <c r="G4" s="2420" t="s">
        <v>4448</v>
      </c>
      <c r="H4" s="2420" t="s">
        <v>4449</v>
      </c>
      <c r="I4" s="2420" t="s">
        <v>4450</v>
      </c>
      <c r="J4" s="2416"/>
      <c r="K4" s="5560"/>
    </row>
    <row r="5" spans="2:11" ht="13.5">
      <c r="B5" s="2421" t="s">
        <v>4451</v>
      </c>
      <c r="C5" s="2421" t="s">
        <v>3373</v>
      </c>
      <c r="D5" s="2422">
        <v>350000000</v>
      </c>
      <c r="E5" s="2423">
        <v>98590754.420000002</v>
      </c>
      <c r="F5" s="2424">
        <v>143870484.97</v>
      </c>
      <c r="G5" s="2425">
        <v>161414977477</v>
      </c>
      <c r="H5" s="2426">
        <v>306593617</v>
      </c>
      <c r="I5" s="2427">
        <f>H5/G5*2</f>
        <v>3.7988248896380942E-3</v>
      </c>
      <c r="J5" s="2416"/>
      <c r="K5" s="2428">
        <v>184132081</v>
      </c>
    </row>
    <row r="6" spans="2:11" ht="13.5">
      <c r="B6" s="2429" t="s">
        <v>4452</v>
      </c>
      <c r="C6" s="2429" t="s">
        <v>3373</v>
      </c>
      <c r="D6" s="2430">
        <v>500000000</v>
      </c>
      <c r="E6" s="2431">
        <v>237114189.59999999</v>
      </c>
      <c r="F6" s="2432">
        <v>225003478.18000001</v>
      </c>
      <c r="G6" s="2428">
        <v>252344645891</v>
      </c>
      <c r="H6" s="2433">
        <v>465727333</v>
      </c>
      <c r="I6" s="2434">
        <f t="shared" ref="I6:I18" si="0">H6/G6*2</f>
        <v>3.6912004322942555E-3</v>
      </c>
      <c r="J6" s="2416"/>
      <c r="K6" s="2428">
        <v>276869611</v>
      </c>
    </row>
    <row r="7" spans="2:11" ht="13.5">
      <c r="B7" s="2429" t="s">
        <v>4453</v>
      </c>
      <c r="C7" s="2429" t="s">
        <v>3373</v>
      </c>
      <c r="D7" s="2428">
        <v>240000000</v>
      </c>
      <c r="E7" s="2431">
        <v>114409213.43000001</v>
      </c>
      <c r="F7" s="2432">
        <v>67694802.359999999</v>
      </c>
      <c r="G7" s="2428">
        <v>76065441447</v>
      </c>
      <c r="H7" s="2433">
        <v>154273674</v>
      </c>
      <c r="I7" s="2434">
        <f t="shared" si="0"/>
        <v>4.0563407262282974E-3</v>
      </c>
      <c r="J7" s="2416"/>
      <c r="K7" s="2428">
        <v>89609542</v>
      </c>
    </row>
    <row r="8" spans="2:11" ht="13.5">
      <c r="B8" s="2429" t="s">
        <v>4454</v>
      </c>
      <c r="C8" s="2429" t="s">
        <v>3373</v>
      </c>
      <c r="D8" s="2428">
        <v>420000000</v>
      </c>
      <c r="E8" s="2431">
        <v>134949641.87</v>
      </c>
      <c r="F8" s="2432">
        <v>156163873.34</v>
      </c>
      <c r="G8" s="2428">
        <v>175533699930</v>
      </c>
      <c r="H8" s="2433">
        <v>323002790</v>
      </c>
      <c r="I8" s="2434">
        <f t="shared" si="0"/>
        <v>3.6802367879080573E-3</v>
      </c>
      <c r="J8" s="2416"/>
      <c r="K8" s="2428">
        <v>204043904</v>
      </c>
    </row>
    <row r="9" spans="2:11" ht="13.5">
      <c r="B9" s="2429" t="s">
        <v>4455</v>
      </c>
      <c r="C9" s="2429" t="s">
        <v>3373</v>
      </c>
      <c r="D9" s="2430">
        <v>50000000</v>
      </c>
      <c r="E9" s="2431">
        <v>9333479.6699999999</v>
      </c>
      <c r="F9" s="2432">
        <v>10852902.4</v>
      </c>
      <c r="G9" s="2428">
        <v>12249762550</v>
      </c>
      <c r="H9" s="2433">
        <v>45025217</v>
      </c>
      <c r="I9" s="2434">
        <f t="shared" si="0"/>
        <v>7.3511983299627305E-3</v>
      </c>
      <c r="J9" s="2416"/>
      <c r="K9" s="2428">
        <v>7250649</v>
      </c>
    </row>
    <row r="10" spans="2:11" ht="13.5">
      <c r="B10" s="2429" t="s">
        <v>4456</v>
      </c>
      <c r="C10" s="2429" t="s">
        <v>3373</v>
      </c>
      <c r="D10" s="2430">
        <v>150000000</v>
      </c>
      <c r="E10" s="2431">
        <v>43341230.780000001</v>
      </c>
      <c r="F10" s="2432">
        <v>25006801.16</v>
      </c>
      <c r="G10" s="2428">
        <v>28142776871</v>
      </c>
      <c r="H10" s="2433">
        <v>75929983</v>
      </c>
      <c r="I10" s="2434">
        <f t="shared" si="0"/>
        <v>5.3960547921795728E-3</v>
      </c>
      <c r="J10" s="2416"/>
      <c r="K10" s="2428">
        <v>0</v>
      </c>
    </row>
    <row r="11" spans="2:11" ht="13.5">
      <c r="B11" s="2429" t="s">
        <v>4457</v>
      </c>
      <c r="C11" s="2429" t="s">
        <v>3373</v>
      </c>
      <c r="D11" s="2428">
        <v>150000000</v>
      </c>
      <c r="E11" s="2431">
        <v>32090443.149999999</v>
      </c>
      <c r="F11" s="2432">
        <v>38312152.759999998</v>
      </c>
      <c r="G11" s="2428">
        <v>42944711178</v>
      </c>
      <c r="H11" s="2433">
        <v>112782222</v>
      </c>
      <c r="I11" s="2434">
        <f t="shared" si="0"/>
        <v>5.2524382586965363E-3</v>
      </c>
      <c r="J11" s="2416"/>
      <c r="K11" s="2428">
        <v>10770717</v>
      </c>
    </row>
    <row r="12" spans="2:11" ht="13.5">
      <c r="B12" s="2429" t="s">
        <v>4458</v>
      </c>
      <c r="C12" s="2429" t="s">
        <v>3373</v>
      </c>
      <c r="D12" s="2430">
        <v>300000000</v>
      </c>
      <c r="E12" s="2431">
        <v>98317872.170000002</v>
      </c>
      <c r="F12" s="2432">
        <v>61261154.810000002</v>
      </c>
      <c r="G12" s="2428">
        <v>68808450459</v>
      </c>
      <c r="H12" s="2433">
        <v>155380614</v>
      </c>
      <c r="I12" s="2434">
        <f t="shared" si="0"/>
        <v>4.5163235900097659E-3</v>
      </c>
      <c r="J12" s="2416"/>
      <c r="K12" s="2428">
        <v>126407412</v>
      </c>
    </row>
    <row r="13" spans="2:11" ht="13.5">
      <c r="B13" s="2429" t="s">
        <v>4459</v>
      </c>
      <c r="C13" s="2429" t="s">
        <v>3373</v>
      </c>
      <c r="D13" s="2428">
        <v>150000000</v>
      </c>
      <c r="E13" s="2435">
        <v>0</v>
      </c>
      <c r="F13" s="2432">
        <v>20813989.52</v>
      </c>
      <c r="G13" s="2428">
        <v>23219498536</v>
      </c>
      <c r="H13" s="2433">
        <v>85226861</v>
      </c>
      <c r="I13" s="2434">
        <f t="shared" si="0"/>
        <v>7.3409734381526355E-3</v>
      </c>
      <c r="J13" s="2416"/>
      <c r="K13" s="2428">
        <v>0</v>
      </c>
    </row>
    <row r="14" spans="2:11" ht="13.5">
      <c r="B14" s="2429" t="s">
        <v>4460</v>
      </c>
      <c r="C14" s="2429" t="s">
        <v>3373</v>
      </c>
      <c r="D14" s="2430">
        <v>40000000</v>
      </c>
      <c r="E14" s="2435">
        <v>0</v>
      </c>
      <c r="F14" s="2432">
        <v>5831091.0999999996</v>
      </c>
      <c r="G14" s="2428">
        <v>6538985560</v>
      </c>
      <c r="H14" s="2433">
        <v>11564281</v>
      </c>
      <c r="I14" s="2434">
        <f t="shared" si="0"/>
        <v>3.537026009275971E-3</v>
      </c>
      <c r="J14" s="2416"/>
      <c r="K14" s="2428">
        <v>10403865</v>
      </c>
    </row>
    <row r="15" spans="2:11" ht="13.5">
      <c r="B15" s="2429" t="s">
        <v>4461</v>
      </c>
      <c r="C15" s="2429" t="s">
        <v>3373</v>
      </c>
      <c r="D15" s="2430">
        <v>620000000</v>
      </c>
      <c r="E15" s="2431">
        <v>139363230.06</v>
      </c>
      <c r="F15" s="2432">
        <v>167742263.97</v>
      </c>
      <c r="G15" s="2428">
        <v>188342100115</v>
      </c>
      <c r="H15" s="2433">
        <v>353014360</v>
      </c>
      <c r="I15" s="2434">
        <f t="shared" si="0"/>
        <v>3.74865056495019E-3</v>
      </c>
      <c r="J15" s="2416"/>
      <c r="K15" s="2428">
        <v>184611380</v>
      </c>
    </row>
    <row r="16" spans="2:11" ht="13.5">
      <c r="B16" s="2429" t="s">
        <v>4462</v>
      </c>
      <c r="C16" s="2429" t="s">
        <v>3373</v>
      </c>
      <c r="D16" s="2428">
        <v>150000000</v>
      </c>
      <c r="E16" s="2431">
        <v>30678617.57</v>
      </c>
      <c r="F16" s="2432">
        <v>10061032.65</v>
      </c>
      <c r="G16" s="2428">
        <v>11327487244</v>
      </c>
      <c r="H16" s="2433">
        <v>28654814</v>
      </c>
      <c r="I16" s="2434">
        <f t="shared" si="0"/>
        <v>5.0593416496987056E-3</v>
      </c>
      <c r="J16" s="2416"/>
      <c r="K16" s="2428">
        <v>484348</v>
      </c>
    </row>
    <row r="17" spans="2:11" ht="13.5">
      <c r="B17" s="2429" t="s">
        <v>4463</v>
      </c>
      <c r="C17" s="2429" t="s">
        <v>3373</v>
      </c>
      <c r="D17" s="2428">
        <v>30000000</v>
      </c>
      <c r="E17" s="2431">
        <v>8584326.8000000007</v>
      </c>
      <c r="F17" s="2432">
        <v>9481958.0099999998</v>
      </c>
      <c r="G17" s="2428">
        <v>10632616247</v>
      </c>
      <c r="H17" s="2433">
        <v>27977929</v>
      </c>
      <c r="I17" s="2434">
        <f t="shared" si="0"/>
        <v>5.2626612961591632E-3</v>
      </c>
      <c r="J17" s="2416"/>
      <c r="K17" s="2428">
        <v>0</v>
      </c>
    </row>
    <row r="18" spans="2:11" ht="13.5">
      <c r="B18" s="2429" t="s">
        <v>4464</v>
      </c>
      <c r="C18" s="2429" t="s">
        <v>3373</v>
      </c>
      <c r="D18" s="2428">
        <v>80000000</v>
      </c>
      <c r="E18" s="2431">
        <v>6233196.8200000003</v>
      </c>
      <c r="F18" s="2432">
        <v>3295867.17</v>
      </c>
      <c r="G18" s="2428">
        <v>3683154167</v>
      </c>
      <c r="H18" s="2433">
        <v>11883796</v>
      </c>
      <c r="I18" s="2434">
        <f t="shared" si="0"/>
        <v>6.4530538018068252E-3</v>
      </c>
      <c r="J18" s="2416"/>
      <c r="K18" s="2433">
        <v>9553793</v>
      </c>
    </row>
    <row r="19" spans="2:11" ht="13.5">
      <c r="B19" s="2429" t="s">
        <v>4465</v>
      </c>
      <c r="C19" s="2429" t="s">
        <v>3373</v>
      </c>
      <c r="D19" s="2430">
        <v>50000000</v>
      </c>
      <c r="E19" s="2428">
        <v>0</v>
      </c>
      <c r="F19" s="2432">
        <v>0</v>
      </c>
      <c r="G19" s="2428">
        <v>0</v>
      </c>
      <c r="H19" s="2428">
        <v>0</v>
      </c>
      <c r="I19" s="2428"/>
      <c r="J19" s="2416"/>
      <c r="K19" s="2433"/>
    </row>
    <row r="20" spans="2:11" ht="13.5">
      <c r="B20" s="2436" t="s">
        <v>4466</v>
      </c>
      <c r="C20" s="2436" t="s">
        <v>3373</v>
      </c>
      <c r="D20" s="2437">
        <v>100000000</v>
      </c>
      <c r="E20" s="2438">
        <v>51678503.280000001</v>
      </c>
      <c r="F20" s="2439">
        <v>28542328.530000001</v>
      </c>
      <c r="G20" s="2440">
        <v>32059502339</v>
      </c>
      <c r="H20" s="2441">
        <v>89661000</v>
      </c>
      <c r="I20" s="2442">
        <f>H20/G20*2</f>
        <v>5.5934118410146663E-3</v>
      </c>
      <c r="J20" s="2416"/>
      <c r="K20" s="2428">
        <v>0</v>
      </c>
    </row>
    <row r="21" spans="2:11" ht="13.5">
      <c r="B21" s="2443" t="s">
        <v>3632</v>
      </c>
      <c r="C21" s="2443" t="s">
        <v>3373</v>
      </c>
      <c r="D21" s="2444">
        <f>SUM(D5:D20)</f>
        <v>3380000000</v>
      </c>
      <c r="E21" s="2444">
        <f>SUM(E5:E20)</f>
        <v>1004684699.6199999</v>
      </c>
      <c r="F21" s="2445">
        <f>SUM(F5:F20)</f>
        <v>973934180.92999995</v>
      </c>
      <c r="G21" s="2444">
        <f>SUM(G5:G20)</f>
        <v>1093307810011</v>
      </c>
      <c r="H21" s="2446">
        <f>SUM(H5:H20)</f>
        <v>2246698491</v>
      </c>
      <c r="I21" s="2447">
        <f>H21/G21*2</f>
        <v>4.1099102566136345E-3</v>
      </c>
      <c r="J21" s="2448"/>
      <c r="K21" s="2444">
        <f>SUM(K5:K20)</f>
        <v>1104137302</v>
      </c>
    </row>
    <row r="23" spans="2:11">
      <c r="B23" s="1" t="s">
        <v>4470</v>
      </c>
    </row>
    <row r="24" spans="2:11" ht="13.5">
      <c r="B24" s="5554" t="s">
        <v>4441</v>
      </c>
      <c r="C24" s="5556" t="s">
        <v>4467</v>
      </c>
      <c r="D24" s="5556"/>
      <c r="E24" s="5556"/>
      <c r="F24" s="5557" t="s">
        <v>4468</v>
      </c>
      <c r="G24" s="5558"/>
      <c r="H24" s="5558"/>
      <c r="I24" s="5558"/>
      <c r="J24" s="2416"/>
      <c r="K24" s="5559" t="s">
        <v>4444</v>
      </c>
    </row>
    <row r="25" spans="2:11" ht="13.5">
      <c r="B25" s="5555"/>
      <c r="C25" s="2417" t="s">
        <v>3832</v>
      </c>
      <c r="D25" s="2418" t="s">
        <v>4445</v>
      </c>
      <c r="E25" s="2419" t="s">
        <v>4446</v>
      </c>
      <c r="F25" s="2420" t="s">
        <v>4447</v>
      </c>
      <c r="G25" s="2420" t="s">
        <v>4448</v>
      </c>
      <c r="H25" s="2420" t="s">
        <v>4449</v>
      </c>
      <c r="I25" s="2420" t="s">
        <v>4450</v>
      </c>
      <c r="J25" s="2416"/>
      <c r="K25" s="5560"/>
    </row>
    <row r="26" spans="2:11" ht="13.5">
      <c r="B26" s="2421" t="s">
        <v>4451</v>
      </c>
      <c r="C26" s="2421" t="s">
        <v>3373</v>
      </c>
      <c r="D26" s="2422">
        <v>350000000</v>
      </c>
      <c r="E26" s="2423">
        <v>151515622.75</v>
      </c>
      <c r="F26" s="2424">
        <v>84559300.239999995</v>
      </c>
      <c r="G26" s="2425">
        <v>97794899207</v>
      </c>
      <c r="H26" s="2426">
        <v>950660322</v>
      </c>
      <c r="I26" s="2427">
        <f>H26/G26</f>
        <v>9.7209601902422463E-3</v>
      </c>
      <c r="J26" s="2416"/>
      <c r="K26" s="2428">
        <v>187139389</v>
      </c>
    </row>
    <row r="27" spans="2:11" ht="13.5">
      <c r="B27" s="2429" t="s">
        <v>4452</v>
      </c>
      <c r="C27" s="2429" t="s">
        <v>3373</v>
      </c>
      <c r="D27" s="2430">
        <v>450000000</v>
      </c>
      <c r="E27" s="2431">
        <v>161498067.91</v>
      </c>
      <c r="F27" s="2432">
        <v>167305855.77000001</v>
      </c>
      <c r="G27" s="2428">
        <v>195128616591</v>
      </c>
      <c r="H27" s="2433">
        <v>2268799639</v>
      </c>
      <c r="I27" s="2434">
        <f t="shared" ref="I27:I42" si="1">H27/G27</f>
        <v>1.1627200964354323E-2</v>
      </c>
      <c r="J27" s="2416"/>
      <c r="K27" s="2428">
        <v>352000329</v>
      </c>
    </row>
    <row r="28" spans="2:11" ht="13.5">
      <c r="B28" s="2429" t="s">
        <v>4453</v>
      </c>
      <c r="C28" s="2429" t="s">
        <v>3373</v>
      </c>
      <c r="D28" s="2428">
        <v>240000000</v>
      </c>
      <c r="E28" s="2431">
        <v>43324971.869999997</v>
      </c>
      <c r="F28" s="2432">
        <v>66527634.659999996</v>
      </c>
      <c r="G28" s="2428">
        <v>78800712939</v>
      </c>
      <c r="H28" s="2433">
        <v>1153266205</v>
      </c>
      <c r="I28" s="2434">
        <f t="shared" si="1"/>
        <v>1.4635225520012094E-2</v>
      </c>
      <c r="J28" s="2416"/>
      <c r="K28" s="2428">
        <v>133422527</v>
      </c>
    </row>
    <row r="29" spans="2:11" ht="13.5">
      <c r="B29" s="2429" t="s">
        <v>4454</v>
      </c>
      <c r="C29" s="2429" t="s">
        <v>3373</v>
      </c>
      <c r="D29" s="2428">
        <v>420000000</v>
      </c>
      <c r="E29" s="2431">
        <v>141445332.06999999</v>
      </c>
      <c r="F29" s="2432">
        <v>112733548.23</v>
      </c>
      <c r="G29" s="2428">
        <v>131742612707</v>
      </c>
      <c r="H29" s="2433">
        <v>1503918839</v>
      </c>
      <c r="I29" s="2434">
        <f t="shared" si="1"/>
        <v>1.1415583827419348E-2</v>
      </c>
      <c r="J29" s="2416"/>
      <c r="K29" s="2428">
        <v>24443682</v>
      </c>
    </row>
    <row r="30" spans="2:11" ht="13.5">
      <c r="B30" s="2429" t="s">
        <v>4455</v>
      </c>
      <c r="C30" s="2429" t="s">
        <v>3373</v>
      </c>
      <c r="D30" s="2430">
        <v>50000000</v>
      </c>
      <c r="E30" s="2435">
        <v>0</v>
      </c>
      <c r="F30" s="2432">
        <v>3427118.53</v>
      </c>
      <c r="G30" s="2428">
        <v>3793134789</v>
      </c>
      <c r="H30" s="2433">
        <v>38529977</v>
      </c>
      <c r="I30" s="2434">
        <f t="shared" si="1"/>
        <v>1.015781909773837E-2</v>
      </c>
      <c r="J30" s="2416"/>
      <c r="K30" s="2428">
        <v>8309337</v>
      </c>
    </row>
    <row r="31" spans="2:11" ht="13.5">
      <c r="B31" s="2429" t="s">
        <v>4456</v>
      </c>
      <c r="C31" s="2429" t="s">
        <v>3373</v>
      </c>
      <c r="D31" s="2430">
        <v>200000000</v>
      </c>
      <c r="E31" s="2431">
        <v>11310666.779999999</v>
      </c>
      <c r="F31" s="2432">
        <v>11517852.23</v>
      </c>
      <c r="G31" s="2428">
        <v>13532006295</v>
      </c>
      <c r="H31" s="2433">
        <v>168599079</v>
      </c>
      <c r="I31" s="2434">
        <f t="shared" si="1"/>
        <v>1.2459281744666081E-2</v>
      </c>
      <c r="J31" s="2416"/>
      <c r="K31" s="2428"/>
    </row>
    <row r="32" spans="2:11" ht="13.5">
      <c r="B32" s="2429" t="s">
        <v>4457</v>
      </c>
      <c r="C32" s="2429" t="s">
        <v>3373</v>
      </c>
      <c r="D32" s="2428">
        <v>100000000</v>
      </c>
      <c r="E32" s="2431">
        <v>57622023.039999999</v>
      </c>
      <c r="F32" s="2432">
        <v>28493222.199999999</v>
      </c>
      <c r="G32" s="2428">
        <v>32447040461</v>
      </c>
      <c r="H32" s="2433">
        <v>287037258</v>
      </c>
      <c r="I32" s="2434">
        <f t="shared" si="1"/>
        <v>8.8463309418005901E-3</v>
      </c>
      <c r="J32" s="2416"/>
      <c r="K32" s="2428">
        <v>8464077</v>
      </c>
    </row>
    <row r="33" spans="2:11" ht="13.5">
      <c r="B33" s="2429" t="s">
        <v>4458</v>
      </c>
      <c r="C33" s="2429" t="s">
        <v>3373</v>
      </c>
      <c r="D33" s="2430">
        <v>300000000</v>
      </c>
      <c r="E33" s="2431">
        <v>79850423.859999999</v>
      </c>
      <c r="F33" s="2432">
        <v>73683473.230000004</v>
      </c>
      <c r="G33" s="2428">
        <v>86776802299</v>
      </c>
      <c r="H33" s="2433">
        <v>1081142367</v>
      </c>
      <c r="I33" s="2434">
        <f t="shared" si="1"/>
        <v>1.2458886918589058E-2</v>
      </c>
      <c r="J33" s="2416"/>
      <c r="K33" s="2428">
        <v>203500224</v>
      </c>
    </row>
    <row r="34" spans="2:11" ht="13.5">
      <c r="B34" s="2429" t="s">
        <v>4459</v>
      </c>
      <c r="C34" s="2429" t="s">
        <v>3373</v>
      </c>
      <c r="D34" s="2428">
        <v>150000000</v>
      </c>
      <c r="E34" s="2431">
        <v>119904095.11</v>
      </c>
      <c r="F34" s="2432">
        <v>50565982.119999997</v>
      </c>
      <c r="G34" s="2428">
        <v>59353628609</v>
      </c>
      <c r="H34" s="2433">
        <v>929317093</v>
      </c>
      <c r="I34" s="2434">
        <f t="shared" si="1"/>
        <v>1.5657291976569808E-2</v>
      </c>
      <c r="J34" s="2416"/>
      <c r="K34" s="2428">
        <v>11132263</v>
      </c>
    </row>
    <row r="35" spans="2:11" ht="13.5">
      <c r="B35" s="2429" t="s">
        <v>4460</v>
      </c>
      <c r="C35" s="2429" t="s">
        <v>3373</v>
      </c>
      <c r="D35" s="2430">
        <v>40000000</v>
      </c>
      <c r="E35" s="2435">
        <v>0</v>
      </c>
      <c r="F35" s="2432">
        <v>3445701.79</v>
      </c>
      <c r="G35" s="2428">
        <v>4216417433</v>
      </c>
      <c r="H35" s="2433">
        <v>53543875</v>
      </c>
      <c r="I35" s="2434">
        <f t="shared" si="1"/>
        <v>1.269890276539894E-2</v>
      </c>
      <c r="J35" s="2416"/>
      <c r="K35" s="2428">
        <v>17903733</v>
      </c>
    </row>
    <row r="36" spans="2:11" ht="13.5">
      <c r="B36" s="2429" t="s">
        <v>4469</v>
      </c>
      <c r="C36" s="2429" t="s">
        <v>3373</v>
      </c>
      <c r="D36" s="2450" t="s">
        <v>125</v>
      </c>
      <c r="E36" s="2435">
        <v>0</v>
      </c>
      <c r="F36" s="2432">
        <v>139950.9</v>
      </c>
      <c r="G36" s="2428">
        <v>168942676</v>
      </c>
      <c r="H36" s="2433">
        <v>2343649</v>
      </c>
      <c r="I36" s="2434">
        <f t="shared" si="1"/>
        <v>1.3872451031851774E-2</v>
      </c>
      <c r="J36" s="2416"/>
      <c r="K36" s="2428">
        <v>762587</v>
      </c>
    </row>
    <row r="37" spans="2:11" ht="13.5">
      <c r="B37" s="2429" t="s">
        <v>4461</v>
      </c>
      <c r="C37" s="2429" t="s">
        <v>3373</v>
      </c>
      <c r="D37" s="2430">
        <v>480000000</v>
      </c>
      <c r="E37" s="2431">
        <v>167439929.49000001</v>
      </c>
      <c r="F37" s="2432">
        <v>159652551.97999999</v>
      </c>
      <c r="G37" s="2428">
        <v>187101686787</v>
      </c>
      <c r="H37" s="2433">
        <v>2305556918</v>
      </c>
      <c r="I37" s="2434">
        <f t="shared" si="1"/>
        <v>1.2322480665952993E-2</v>
      </c>
      <c r="J37" s="2416"/>
      <c r="K37" s="2428">
        <v>217729095</v>
      </c>
    </row>
    <row r="38" spans="2:11" ht="13.5">
      <c r="B38" s="2429" t="s">
        <v>4462</v>
      </c>
      <c r="C38" s="2429" t="s">
        <v>3373</v>
      </c>
      <c r="D38" s="2428">
        <v>150000000</v>
      </c>
      <c r="E38" s="2435">
        <v>0</v>
      </c>
      <c r="F38" s="2432">
        <v>16772832.51</v>
      </c>
      <c r="G38" s="2428">
        <v>19183562361</v>
      </c>
      <c r="H38" s="2433">
        <v>185011466</v>
      </c>
      <c r="I38" s="2434">
        <f t="shared" si="1"/>
        <v>9.64427057490253E-3</v>
      </c>
      <c r="J38" s="2416"/>
      <c r="K38" s="2428">
        <v>40339686</v>
      </c>
    </row>
    <row r="39" spans="2:11" ht="13.5">
      <c r="B39" s="2429" t="s">
        <v>4463</v>
      </c>
      <c r="C39" s="2429" t="s">
        <v>3373</v>
      </c>
      <c r="D39" s="2428">
        <v>30000000</v>
      </c>
      <c r="E39" s="2431">
        <v>27037559.870000001</v>
      </c>
      <c r="F39" s="2432">
        <v>11380214.890000001</v>
      </c>
      <c r="G39" s="2428">
        <v>13022528224</v>
      </c>
      <c r="H39" s="2433">
        <v>104357575</v>
      </c>
      <c r="I39" s="2434">
        <f t="shared" si="1"/>
        <v>8.0136186464678308E-3</v>
      </c>
      <c r="J39" s="2416"/>
      <c r="K39" s="2428"/>
    </row>
    <row r="40" spans="2:11" ht="13.5">
      <c r="B40" s="2429" t="s">
        <v>4464</v>
      </c>
      <c r="C40" s="2429" t="s">
        <v>3373</v>
      </c>
      <c r="D40" s="2428">
        <v>80000000</v>
      </c>
      <c r="E40" s="2431">
        <v>15322384.91</v>
      </c>
      <c r="F40" s="2432">
        <v>17190585.039999999</v>
      </c>
      <c r="G40" s="2428">
        <v>19985648219</v>
      </c>
      <c r="H40" s="2433">
        <v>259686765</v>
      </c>
      <c r="I40" s="2434">
        <f t="shared" si="1"/>
        <v>1.299366235982881E-2</v>
      </c>
      <c r="J40" s="2416"/>
      <c r="K40" s="2433">
        <v>34718643</v>
      </c>
    </row>
    <row r="41" spans="2:11" ht="13.5">
      <c r="B41" s="2436" t="s">
        <v>4466</v>
      </c>
      <c r="C41" s="2436" t="s">
        <v>3373</v>
      </c>
      <c r="D41" s="2437">
        <v>100000000</v>
      </c>
      <c r="E41" s="2438">
        <v>23538185.300000001</v>
      </c>
      <c r="F41" s="2439">
        <v>20419184.239999998</v>
      </c>
      <c r="G41" s="2440">
        <v>23730730412</v>
      </c>
      <c r="H41" s="2441">
        <v>371149060</v>
      </c>
      <c r="I41" s="2442">
        <f t="shared" si="1"/>
        <v>1.5640018387816659E-2</v>
      </c>
      <c r="J41" s="2416"/>
      <c r="K41" s="2428">
        <v>6015028</v>
      </c>
    </row>
    <row r="42" spans="2:11" ht="13.5">
      <c r="B42" s="2443" t="s">
        <v>3632</v>
      </c>
      <c r="C42" s="2443" t="s">
        <v>3373</v>
      </c>
      <c r="D42" s="2444">
        <f>SUM(D26:D41)</f>
        <v>3140000000</v>
      </c>
      <c r="E42" s="2445">
        <f>SUM(E26:E41)</f>
        <v>999809262.95999992</v>
      </c>
      <c r="F42" s="2445">
        <f>SUM(F26:F41)</f>
        <v>827815008.55999982</v>
      </c>
      <c r="G42" s="2444">
        <f>SUM(G26:G41)</f>
        <v>966778970009</v>
      </c>
      <c r="H42" s="2446">
        <f>SUM(H26:H41)</f>
        <v>11662920087</v>
      </c>
      <c r="I42" s="2447">
        <f t="shared" si="1"/>
        <v>1.2063688235679585E-2</v>
      </c>
      <c r="J42" s="2448"/>
      <c r="K42" s="2444">
        <f>SUM(K26:K41)</f>
        <v>1245880600</v>
      </c>
    </row>
  </sheetData>
  <mergeCells count="8">
    <mergeCell ref="B3:B4"/>
    <mergeCell ref="C3:E3"/>
    <mergeCell ref="F3:I3"/>
    <mergeCell ref="K3:K4"/>
    <mergeCell ref="B24:B25"/>
    <mergeCell ref="C24:E24"/>
    <mergeCell ref="F24:I24"/>
    <mergeCell ref="K24:K25"/>
  </mergeCells>
  <phoneticPr fontId="1" type="noConversion"/>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B1:AY57"/>
  <sheetViews>
    <sheetView topLeftCell="AC1" workbookViewId="0">
      <selection activeCell="AS5" sqref="AS5"/>
    </sheetView>
  </sheetViews>
  <sheetFormatPr defaultColWidth="9" defaultRowHeight="12" customHeight="1"/>
  <cols>
    <col min="1" max="1" width="1.625" style="115" customWidth="1"/>
    <col min="2" max="2" width="24.875" style="115" customWidth="1"/>
    <col min="3" max="6" width="19" style="115" bestFit="1" customWidth="1"/>
    <col min="7" max="7" width="1.625" style="115" customWidth="1"/>
    <col min="8" max="8" width="13.5" style="115" customWidth="1"/>
    <col min="9" max="11" width="16.75" style="115" bestFit="1" customWidth="1"/>
    <col min="12" max="12" width="16.625" style="115" customWidth="1"/>
    <col min="13" max="13" width="16.75" style="115" bestFit="1" customWidth="1"/>
    <col min="14" max="15" width="9" style="115"/>
    <col min="16" max="18" width="18.5" style="115" customWidth="1"/>
    <col min="19" max="21" width="9" style="115"/>
    <col min="22" max="22" width="16.75" style="115" customWidth="1"/>
    <col min="23" max="25" width="20.5" style="115" customWidth="1"/>
    <col min="26" max="26" width="9" style="115"/>
    <col min="27" max="30" width="16.5" style="115" customWidth="1"/>
    <col min="31" max="35" width="9" style="115"/>
    <col min="36" max="36" width="9.375" style="115" bestFit="1" customWidth="1"/>
    <col min="37" max="37" width="9.25" style="115" bestFit="1" customWidth="1"/>
    <col min="38" max="38" width="9.375" style="115" bestFit="1" customWidth="1"/>
    <col min="39" max="41" width="9.25" style="115" bestFit="1" customWidth="1"/>
    <col min="42" max="46" width="9" style="115"/>
    <col min="47" max="47" width="9.25" style="115" bestFit="1" customWidth="1"/>
    <col min="48" max="16384" width="9" style="115"/>
  </cols>
  <sheetData>
    <row r="1" spans="2:48" ht="12" customHeight="1">
      <c r="B1" s="114" t="s">
        <v>180</v>
      </c>
      <c r="H1" s="114" t="s">
        <v>184</v>
      </c>
      <c r="V1" s="130"/>
      <c r="AH1" s="387" t="s">
        <v>2122</v>
      </c>
      <c r="AQ1" s="387" t="s">
        <v>2122</v>
      </c>
    </row>
    <row r="2" spans="2:48" ht="12" customHeight="1">
      <c r="B2" s="116" t="s">
        <v>171</v>
      </c>
      <c r="C2" s="117" t="s">
        <v>136</v>
      </c>
      <c r="D2" s="117" t="s">
        <v>134</v>
      </c>
      <c r="E2" s="117" t="s">
        <v>129</v>
      </c>
      <c r="F2" s="118" t="s">
        <v>127</v>
      </c>
      <c r="H2" s="116" t="s">
        <v>181</v>
      </c>
      <c r="I2" s="117" t="s">
        <v>136</v>
      </c>
      <c r="J2" s="117" t="s">
        <v>134</v>
      </c>
      <c r="K2" s="117" t="s">
        <v>129</v>
      </c>
      <c r="L2" s="383" t="s">
        <v>1374</v>
      </c>
      <c r="M2" s="118" t="s">
        <v>127</v>
      </c>
      <c r="V2" s="130"/>
      <c r="AH2" s="388" t="s">
        <v>1406</v>
      </c>
      <c r="AQ2" s="388" t="s">
        <v>1406</v>
      </c>
    </row>
    <row r="3" spans="2:48" ht="13.5" customHeight="1">
      <c r="B3" s="119" t="s">
        <v>82</v>
      </c>
      <c r="C3" s="120"/>
      <c r="D3" s="120"/>
      <c r="E3" s="120"/>
      <c r="F3" s="121"/>
      <c r="H3" s="119" t="s">
        <v>140</v>
      </c>
      <c r="I3" s="123">
        <v>7234642755416</v>
      </c>
      <c r="J3" s="123">
        <v>7224134526872</v>
      </c>
      <c r="K3" s="123">
        <v>7642856610554</v>
      </c>
      <c r="L3" s="385">
        <v>5583142166163</v>
      </c>
      <c r="M3" s="122">
        <v>7672617576452</v>
      </c>
      <c r="V3" s="130"/>
      <c r="AH3" s="5574" t="s">
        <v>1407</v>
      </c>
      <c r="AI3" s="5576" t="s">
        <v>2023</v>
      </c>
      <c r="AJ3" s="5570">
        <v>2018</v>
      </c>
      <c r="AK3" s="5573"/>
      <c r="AL3" s="5570">
        <v>2017</v>
      </c>
      <c r="AM3" s="5572"/>
      <c r="AQ3" s="5574" t="s">
        <v>1407</v>
      </c>
      <c r="AR3" s="5576" t="s">
        <v>2023</v>
      </c>
      <c r="AS3" s="5570">
        <v>2020</v>
      </c>
      <c r="AT3" s="5573"/>
      <c r="AU3" s="5570">
        <v>2019</v>
      </c>
      <c r="AV3" s="5572"/>
    </row>
    <row r="4" spans="2:48" ht="12" customHeight="1">
      <c r="B4" s="119" t="s">
        <v>130</v>
      </c>
      <c r="C4" s="123">
        <v>2327397650611</v>
      </c>
      <c r="D4" s="123">
        <v>2420903939489</v>
      </c>
      <c r="E4" s="123">
        <v>2285556932124</v>
      </c>
      <c r="F4" s="122">
        <v>2907902947733</v>
      </c>
      <c r="H4" s="119" t="s">
        <v>141</v>
      </c>
      <c r="I4" s="123">
        <v>6956501179744</v>
      </c>
      <c r="J4" s="123">
        <v>6897247359997</v>
      </c>
      <c r="K4" s="123">
        <v>7270011476753</v>
      </c>
      <c r="L4" s="385">
        <v>5350880603517</v>
      </c>
      <c r="M4" s="122">
        <v>7397477842707</v>
      </c>
      <c r="V4" s="408" t="s">
        <v>1509</v>
      </c>
      <c r="AA4" s="517" t="s">
        <v>1547</v>
      </c>
      <c r="AH4" s="5575"/>
      <c r="AI4" s="5564"/>
      <c r="AJ4" s="1920" t="s">
        <v>140</v>
      </c>
      <c r="AK4" s="1920" t="s">
        <v>145</v>
      </c>
      <c r="AL4" s="1920" t="s">
        <v>140</v>
      </c>
      <c r="AM4" s="1921" t="s">
        <v>145</v>
      </c>
      <c r="AQ4" s="5575"/>
      <c r="AR4" s="5564"/>
      <c r="AS4" s="1920" t="s">
        <v>140</v>
      </c>
      <c r="AT4" s="1920" t="s">
        <v>3402</v>
      </c>
      <c r="AU4" s="1920" t="s">
        <v>140</v>
      </c>
      <c r="AV4" s="1921" t="s">
        <v>3402</v>
      </c>
    </row>
    <row r="5" spans="2:48" ht="12" customHeight="1">
      <c r="B5" s="119" t="s">
        <v>84</v>
      </c>
      <c r="C5" s="123">
        <v>325401883145</v>
      </c>
      <c r="D5" s="123">
        <v>279408858984</v>
      </c>
      <c r="E5" s="123">
        <v>314010007153</v>
      </c>
      <c r="F5" s="122">
        <v>421695790379</v>
      </c>
      <c r="H5" s="119" t="s">
        <v>142</v>
      </c>
      <c r="I5" s="123">
        <v>278141575672</v>
      </c>
      <c r="J5" s="123">
        <v>326887166875</v>
      </c>
      <c r="K5" s="123">
        <v>372845133801</v>
      </c>
      <c r="L5" s="385">
        <f>L3-L4</f>
        <v>232261562646</v>
      </c>
      <c r="M5" s="122">
        <v>275139733745</v>
      </c>
      <c r="V5" s="116" t="s">
        <v>1510</v>
      </c>
      <c r="W5" s="117" t="s">
        <v>134</v>
      </c>
      <c r="X5" s="117" t="s">
        <v>129</v>
      </c>
      <c r="Y5" s="118" t="s">
        <v>127</v>
      </c>
      <c r="AA5" s="517"/>
      <c r="AH5" s="125" t="s">
        <v>3383</v>
      </c>
      <c r="AI5" s="1922" t="s">
        <v>2125</v>
      </c>
      <c r="AJ5" s="1923" t="s">
        <v>125</v>
      </c>
      <c r="AK5" s="1923">
        <v>317</v>
      </c>
      <c r="AL5" s="389" t="s">
        <v>125</v>
      </c>
      <c r="AM5" s="390" t="s">
        <v>125</v>
      </c>
      <c r="AQ5" s="5567" t="s">
        <v>3384</v>
      </c>
      <c r="AR5" s="1922" t="s">
        <v>3403</v>
      </c>
      <c r="AS5" s="1924">
        <v>4512</v>
      </c>
      <c r="AT5" s="1923">
        <v>18</v>
      </c>
      <c r="AU5" s="1924">
        <v>4618</v>
      </c>
      <c r="AV5" s="1925">
        <v>9</v>
      </c>
    </row>
    <row r="6" spans="2:48" ht="12" customHeight="1">
      <c r="B6" s="119" t="s">
        <v>85</v>
      </c>
      <c r="C6" s="123">
        <v>10000000000</v>
      </c>
      <c r="D6" s="123">
        <v>10000000000</v>
      </c>
      <c r="E6" s="123">
        <v>10000000000</v>
      </c>
      <c r="F6" s="122">
        <v>40000000000</v>
      </c>
      <c r="H6" s="119" t="s">
        <v>143</v>
      </c>
      <c r="I6" s="123">
        <v>103021112473</v>
      </c>
      <c r="J6" s="123">
        <v>88383691806</v>
      </c>
      <c r="K6" s="123">
        <v>88063900545</v>
      </c>
      <c r="L6" s="385">
        <v>62043343494</v>
      </c>
      <c r="M6" s="122">
        <v>86285928556</v>
      </c>
      <c r="V6" s="119" t="s">
        <v>1424</v>
      </c>
      <c r="W6" s="123">
        <v>-42380287692</v>
      </c>
      <c r="X6" s="120" t="s">
        <v>1511</v>
      </c>
      <c r="Y6" s="122">
        <v>-55321281240</v>
      </c>
      <c r="AA6" s="517" t="s">
        <v>1548</v>
      </c>
      <c r="AH6" s="5567" t="s">
        <v>3384</v>
      </c>
      <c r="AI6" s="1922" t="s">
        <v>3385</v>
      </c>
      <c r="AJ6" s="1924">
        <v>4351</v>
      </c>
      <c r="AK6" s="1923" t="s">
        <v>125</v>
      </c>
      <c r="AL6" s="393">
        <v>25768</v>
      </c>
      <c r="AM6" s="390">
        <v>6</v>
      </c>
      <c r="AQ6" s="5569"/>
      <c r="AR6" s="1922" t="s">
        <v>2422</v>
      </c>
      <c r="AS6" s="1923" t="s">
        <v>125</v>
      </c>
      <c r="AT6" s="1923" t="s">
        <v>125</v>
      </c>
      <c r="AU6" s="1923" t="s">
        <v>125</v>
      </c>
      <c r="AV6" s="1925">
        <v>8</v>
      </c>
    </row>
    <row r="7" spans="2:48" ht="12" customHeight="1">
      <c r="B7" s="119" t="s">
        <v>86</v>
      </c>
      <c r="C7" s="123">
        <v>500018634246</v>
      </c>
      <c r="D7" s="123">
        <v>491843487137</v>
      </c>
      <c r="E7" s="123">
        <v>552749138457</v>
      </c>
      <c r="F7" s="122">
        <v>640501519941</v>
      </c>
      <c r="H7" s="119" t="s">
        <v>144</v>
      </c>
      <c r="I7" s="123">
        <v>175120463199</v>
      </c>
      <c r="J7" s="123">
        <v>238503475069</v>
      </c>
      <c r="K7" s="123">
        <v>284781233256</v>
      </c>
      <c r="L7" s="385">
        <f>L5-L6</f>
        <v>170218219152</v>
      </c>
      <c r="M7" s="122">
        <v>188853805189</v>
      </c>
      <c r="V7" s="119" t="s">
        <v>1425</v>
      </c>
      <c r="W7" s="123">
        <v>37750565381</v>
      </c>
      <c r="X7" s="120" t="s">
        <v>1513</v>
      </c>
      <c r="Y7" s="121" t="s">
        <v>1512</v>
      </c>
      <c r="AA7" s="525" t="s">
        <v>1406</v>
      </c>
      <c r="AH7" s="5569"/>
      <c r="AI7" s="1922" t="s">
        <v>2422</v>
      </c>
      <c r="AJ7" s="1923" t="s">
        <v>125</v>
      </c>
      <c r="AK7" s="1923">
        <v>6</v>
      </c>
      <c r="AL7" s="389" t="s">
        <v>125</v>
      </c>
      <c r="AM7" s="390">
        <v>185</v>
      </c>
      <c r="AQ7" s="5568"/>
      <c r="AR7" s="1922" t="s">
        <v>3386</v>
      </c>
      <c r="AS7" s="1923" t="s">
        <v>125</v>
      </c>
      <c r="AT7" s="1923">
        <v>52</v>
      </c>
      <c r="AU7" s="1923" t="s">
        <v>125</v>
      </c>
      <c r="AV7" s="1925">
        <v>54</v>
      </c>
    </row>
    <row r="8" spans="2:48" ht="12" customHeight="1">
      <c r="B8" s="119" t="s">
        <v>87</v>
      </c>
      <c r="C8" s="123">
        <v>220393365168</v>
      </c>
      <c r="D8" s="123">
        <v>132711192245</v>
      </c>
      <c r="E8" s="123">
        <v>117909233540</v>
      </c>
      <c r="F8" s="122">
        <v>129201686909</v>
      </c>
      <c r="H8" s="119" t="s">
        <v>145</v>
      </c>
      <c r="I8" s="123">
        <v>124512264545</v>
      </c>
      <c r="J8" s="123">
        <v>52629353944</v>
      </c>
      <c r="K8" s="123">
        <v>67894113479</v>
      </c>
      <c r="L8" s="385">
        <v>73309430206</v>
      </c>
      <c r="M8" s="122">
        <v>136622324635</v>
      </c>
      <c r="V8" s="119" t="s">
        <v>1514</v>
      </c>
      <c r="W8" s="123">
        <v>3370288492</v>
      </c>
      <c r="X8" s="120" t="s">
        <v>1516</v>
      </c>
      <c r="Y8" s="121" t="s">
        <v>1515</v>
      </c>
      <c r="AA8" s="518" t="s">
        <v>1407</v>
      </c>
      <c r="AB8" s="519">
        <v>2020</v>
      </c>
      <c r="AC8" s="520">
        <v>2019</v>
      </c>
      <c r="AH8" s="5568"/>
      <c r="AI8" s="1922" t="s">
        <v>3386</v>
      </c>
      <c r="AJ8" s="1923" t="s">
        <v>125</v>
      </c>
      <c r="AK8" s="1923">
        <v>53</v>
      </c>
      <c r="AL8" s="389" t="s">
        <v>125</v>
      </c>
      <c r="AM8" s="390">
        <v>45</v>
      </c>
      <c r="AQ8" s="125" t="s">
        <v>3387</v>
      </c>
      <c r="AR8" s="1922" t="s">
        <v>1483</v>
      </c>
      <c r="AS8" s="389" t="s">
        <v>125</v>
      </c>
      <c r="AT8" s="393">
        <v>2301</v>
      </c>
      <c r="AU8" s="389" t="s">
        <v>125</v>
      </c>
      <c r="AV8" s="391">
        <v>2316</v>
      </c>
    </row>
    <row r="9" spans="2:48" ht="15" customHeight="1">
      <c r="B9" s="119" t="s">
        <v>88</v>
      </c>
      <c r="C9" s="123">
        <v>8267155216</v>
      </c>
      <c r="D9" s="123">
        <v>7270140740</v>
      </c>
      <c r="E9" s="123">
        <v>4643698585</v>
      </c>
      <c r="F9" s="122">
        <v>9199517612</v>
      </c>
      <c r="H9" s="119" t="s">
        <v>146</v>
      </c>
      <c r="I9" s="123">
        <v>61822933965</v>
      </c>
      <c r="J9" s="123">
        <v>75375279052</v>
      </c>
      <c r="K9" s="123">
        <v>87394561846</v>
      </c>
      <c r="L9" s="385">
        <v>73229592535</v>
      </c>
      <c r="M9" s="122">
        <v>89873841436</v>
      </c>
      <c r="V9" s="119" t="s">
        <v>1517</v>
      </c>
      <c r="W9" s="123">
        <v>0</v>
      </c>
      <c r="X9" s="120" t="s">
        <v>1519</v>
      </c>
      <c r="Y9" s="121" t="s">
        <v>1518</v>
      </c>
      <c r="AA9" s="526" t="s">
        <v>1549</v>
      </c>
      <c r="AB9" s="527"/>
      <c r="AC9" s="528"/>
      <c r="AH9" s="5567" t="s">
        <v>3387</v>
      </c>
      <c r="AI9" s="1922" t="s">
        <v>3388</v>
      </c>
      <c r="AJ9" s="1923" t="s">
        <v>125</v>
      </c>
      <c r="AK9" s="1923" t="s">
        <v>125</v>
      </c>
      <c r="AL9" s="389" t="s">
        <v>125</v>
      </c>
      <c r="AM9" s="391">
        <v>53828</v>
      </c>
      <c r="AQ9" s="5567" t="s">
        <v>2032</v>
      </c>
      <c r="AR9" s="1922" t="s">
        <v>3389</v>
      </c>
      <c r="AS9" s="1924">
        <v>1376692</v>
      </c>
      <c r="AT9" s="1923" t="s">
        <v>125</v>
      </c>
      <c r="AU9" s="1924">
        <v>1267828</v>
      </c>
      <c r="AV9" s="1925">
        <v>45</v>
      </c>
    </row>
    <row r="10" spans="2:48" ht="12" customHeight="1">
      <c r="B10" s="119" t="s">
        <v>89</v>
      </c>
      <c r="C10" s="123">
        <v>1257083088461</v>
      </c>
      <c r="D10" s="123">
        <v>1489324230692</v>
      </c>
      <c r="E10" s="123">
        <v>1210435008318</v>
      </c>
      <c r="F10" s="122">
        <v>1609405688633</v>
      </c>
      <c r="H10" s="119" t="s">
        <v>147</v>
      </c>
      <c r="I10" s="123">
        <v>62130954247</v>
      </c>
      <c r="J10" s="123">
        <v>24088467153</v>
      </c>
      <c r="K10" s="123">
        <v>21998232223</v>
      </c>
      <c r="L10" s="385">
        <v>18986407939</v>
      </c>
      <c r="M10" s="122">
        <v>17443270723</v>
      </c>
      <c r="V10" s="119" t="s">
        <v>1520</v>
      </c>
      <c r="W10" s="123">
        <v>-24234028096</v>
      </c>
      <c r="X10" s="123">
        <v>-26084103337</v>
      </c>
      <c r="Y10" s="122">
        <v>-12756312068</v>
      </c>
      <c r="AA10" s="526" t="s">
        <v>1550</v>
      </c>
      <c r="AB10" s="529">
        <v>2099</v>
      </c>
      <c r="AC10" s="530">
        <v>1948</v>
      </c>
      <c r="AH10" s="5568"/>
      <c r="AI10" s="1922" t="s">
        <v>1483</v>
      </c>
      <c r="AJ10" s="1923" t="s">
        <v>125</v>
      </c>
      <c r="AK10" s="1924">
        <v>2228</v>
      </c>
      <c r="AL10" s="389" t="s">
        <v>125</v>
      </c>
      <c r="AM10" s="391">
        <v>2187</v>
      </c>
      <c r="AQ10" s="5568"/>
      <c r="AR10" s="1922" t="s">
        <v>3390</v>
      </c>
      <c r="AS10" s="1923" t="s">
        <v>125</v>
      </c>
      <c r="AT10" s="1923">
        <v>111</v>
      </c>
      <c r="AU10" s="1923" t="s">
        <v>125</v>
      </c>
      <c r="AV10" s="1925">
        <v>112</v>
      </c>
    </row>
    <row r="11" spans="2:48" ht="15" customHeight="1">
      <c r="B11" s="119" t="s">
        <v>90</v>
      </c>
      <c r="C11" s="123">
        <v>6233524375</v>
      </c>
      <c r="D11" s="123">
        <v>10346029691</v>
      </c>
      <c r="E11" s="123">
        <v>75809846071</v>
      </c>
      <c r="F11" s="122">
        <v>57898744259</v>
      </c>
      <c r="H11" s="119" t="s">
        <v>148</v>
      </c>
      <c r="I11" s="123">
        <v>22839248586</v>
      </c>
      <c r="J11" s="123">
        <v>27969391036</v>
      </c>
      <c r="K11" s="123">
        <v>25937671811</v>
      </c>
      <c r="L11" s="385">
        <v>10968696586</v>
      </c>
      <c r="M11" s="122">
        <v>12911129892</v>
      </c>
      <c r="V11" s="119" t="s">
        <v>1521</v>
      </c>
      <c r="W11" s="123">
        <v>-59267113469</v>
      </c>
      <c r="X11" s="123">
        <v>-58173609231</v>
      </c>
      <c r="Y11" s="122">
        <v>-76460967841</v>
      </c>
      <c r="AA11" s="526" t="s">
        <v>1502</v>
      </c>
      <c r="AB11" s="527">
        <v>226</v>
      </c>
      <c r="AC11" s="531">
        <v>258</v>
      </c>
      <c r="AH11" s="5567" t="s">
        <v>2032</v>
      </c>
      <c r="AI11" s="1922" t="s">
        <v>3389</v>
      </c>
      <c r="AJ11" s="1924">
        <v>1414686</v>
      </c>
      <c r="AK11" s="1923" t="s">
        <v>125</v>
      </c>
      <c r="AL11" s="393">
        <v>1262006</v>
      </c>
      <c r="AM11" s="390" t="s">
        <v>125</v>
      </c>
      <c r="AQ11" s="5567" t="s">
        <v>3404</v>
      </c>
      <c r="AR11" s="1922" t="s">
        <v>3392</v>
      </c>
      <c r="AS11" s="1923">
        <v>95</v>
      </c>
      <c r="AT11" s="1923">
        <v>647</v>
      </c>
      <c r="AU11" s="1923">
        <v>35</v>
      </c>
      <c r="AV11" s="1925">
        <v>563</v>
      </c>
    </row>
    <row r="12" spans="2:48" ht="12" customHeight="1">
      <c r="B12" s="119" t="s">
        <v>131</v>
      </c>
      <c r="C12" s="123">
        <v>1087386875666</v>
      </c>
      <c r="D12" s="123">
        <v>1031920915814</v>
      </c>
      <c r="E12" s="123">
        <v>944657875076</v>
      </c>
      <c r="F12" s="122">
        <v>873767137405</v>
      </c>
      <c r="H12" s="119" t="s">
        <v>150</v>
      </c>
      <c r="I12" s="123">
        <v>16232280895</v>
      </c>
      <c r="J12" s="123">
        <v>19776289807</v>
      </c>
      <c r="K12" s="123">
        <v>6953246309</v>
      </c>
      <c r="L12" s="385">
        <f>8114227321-7318589168</f>
        <v>795638153</v>
      </c>
      <c r="M12" s="122">
        <v>-5371819170</v>
      </c>
      <c r="V12" s="119" t="s">
        <v>1429</v>
      </c>
      <c r="W12" s="123">
        <v>126607237692</v>
      </c>
      <c r="X12" s="120" t="s">
        <v>1523</v>
      </c>
      <c r="Y12" s="121" t="s">
        <v>1522</v>
      </c>
      <c r="AA12" s="526" t="s">
        <v>1413</v>
      </c>
      <c r="AB12" s="529">
        <v>2325</v>
      </c>
      <c r="AC12" s="532">
        <v>2206</v>
      </c>
      <c r="AH12" s="5568"/>
      <c r="AI12" s="1922" t="s">
        <v>3390</v>
      </c>
      <c r="AJ12" s="1923" t="s">
        <v>125</v>
      </c>
      <c r="AK12" s="1923">
        <v>114</v>
      </c>
      <c r="AL12" s="389" t="s">
        <v>125</v>
      </c>
      <c r="AM12" s="390">
        <v>114</v>
      </c>
      <c r="AQ12" s="5568"/>
      <c r="AR12" s="1922" t="s">
        <v>3405</v>
      </c>
      <c r="AS12" s="1923" t="s">
        <v>125</v>
      </c>
      <c r="AT12" s="1923">
        <v>49</v>
      </c>
      <c r="AU12" s="1923" t="s">
        <v>125</v>
      </c>
      <c r="AV12" s="1925" t="s">
        <v>125</v>
      </c>
    </row>
    <row r="13" spans="2:48" ht="13.5" customHeight="1">
      <c r="B13" s="119" t="s">
        <v>92</v>
      </c>
      <c r="C13" s="123">
        <v>595981106450</v>
      </c>
      <c r="D13" s="123">
        <v>594417571202</v>
      </c>
      <c r="E13" s="123">
        <v>618006814660</v>
      </c>
      <c r="F13" s="122">
        <v>632612145456</v>
      </c>
      <c r="H13" s="119" t="s">
        <v>151</v>
      </c>
      <c r="I13" s="123">
        <v>293333780335</v>
      </c>
      <c r="J13" s="123">
        <v>231652915885</v>
      </c>
      <c r="K13" s="123">
        <v>268294591610</v>
      </c>
      <c r="L13" s="385">
        <f>L7+L8-L9+L10-L11+L12</f>
        <v>179111406329</v>
      </c>
      <c r="M13" s="122">
        <v>234762610049</v>
      </c>
      <c r="V13" s="119" t="s">
        <v>1430</v>
      </c>
      <c r="W13" s="123">
        <v>10000000000</v>
      </c>
      <c r="X13" s="120" t="s">
        <v>1432</v>
      </c>
      <c r="Y13" s="121" t="s">
        <v>1524</v>
      </c>
      <c r="AA13" s="526" t="s">
        <v>1551</v>
      </c>
      <c r="AB13" s="527">
        <v>130</v>
      </c>
      <c r="AC13" s="531">
        <v>167</v>
      </c>
      <c r="AH13" s="5567" t="s">
        <v>3391</v>
      </c>
      <c r="AI13" s="1922" t="s">
        <v>3392</v>
      </c>
      <c r="AJ13" s="1923">
        <v>19</v>
      </c>
      <c r="AK13" s="1923">
        <v>603</v>
      </c>
      <c r="AL13" s="389">
        <v>19</v>
      </c>
      <c r="AM13" s="390">
        <v>670</v>
      </c>
      <c r="AQ13" s="5561" t="s">
        <v>1413</v>
      </c>
      <c r="AR13" s="5562"/>
      <c r="AS13" s="127">
        <v>1381299</v>
      </c>
      <c r="AT13" s="127">
        <v>3178</v>
      </c>
      <c r="AU13" s="127">
        <v>1272481</v>
      </c>
      <c r="AV13" s="128">
        <v>3107</v>
      </c>
    </row>
    <row r="14" spans="2:48" ht="12" customHeight="1">
      <c r="B14" s="119" t="s">
        <v>94</v>
      </c>
      <c r="C14" s="123">
        <v>14721527818</v>
      </c>
      <c r="D14" s="123">
        <v>19499431165</v>
      </c>
      <c r="E14" s="123">
        <v>18374791813</v>
      </c>
      <c r="F14" s="122">
        <v>23975633490</v>
      </c>
      <c r="H14" s="119" t="s">
        <v>152</v>
      </c>
      <c r="I14" s="123">
        <v>76548091678</v>
      </c>
      <c r="J14" s="123">
        <v>52401096343</v>
      </c>
      <c r="K14" s="123">
        <v>63630739429</v>
      </c>
      <c r="L14" s="385">
        <v>48044884928</v>
      </c>
      <c r="M14" s="122">
        <v>63830682338</v>
      </c>
      <c r="V14" s="119" t="s">
        <v>1433</v>
      </c>
      <c r="W14" s="123">
        <v>198209000000</v>
      </c>
      <c r="X14" s="120" t="s">
        <v>1526</v>
      </c>
      <c r="Y14" s="121" t="s">
        <v>1525</v>
      </c>
      <c r="AA14" s="526" t="s">
        <v>1552</v>
      </c>
      <c r="AB14" s="527">
        <v>137</v>
      </c>
      <c r="AC14" s="531">
        <v>276</v>
      </c>
      <c r="AH14" s="5568"/>
      <c r="AI14" s="1922" t="s">
        <v>3393</v>
      </c>
      <c r="AJ14" s="1923" t="s">
        <v>125</v>
      </c>
      <c r="AK14" s="1923">
        <v>11</v>
      </c>
      <c r="AL14" s="389" t="s">
        <v>125</v>
      </c>
      <c r="AM14" s="390">
        <v>13</v>
      </c>
      <c r="AQ14" s="521"/>
    </row>
    <row r="15" spans="2:48" ht="12" customHeight="1">
      <c r="B15" s="119" t="s">
        <v>93</v>
      </c>
      <c r="C15" s="120"/>
      <c r="D15" s="120"/>
      <c r="E15" s="120" t="s">
        <v>125</v>
      </c>
      <c r="F15" s="122">
        <v>9329716661</v>
      </c>
      <c r="H15" s="119" t="s">
        <v>153</v>
      </c>
      <c r="I15" s="123">
        <v>216785688657</v>
      </c>
      <c r="J15" s="123">
        <v>179251819542</v>
      </c>
      <c r="K15" s="123">
        <v>204663852181</v>
      </c>
      <c r="L15" s="385">
        <f>L13-L14</f>
        <v>131066521401</v>
      </c>
      <c r="M15" s="122">
        <v>170931927711</v>
      </c>
      <c r="V15" s="119" t="s">
        <v>1527</v>
      </c>
      <c r="W15" s="120"/>
      <c r="X15" s="120" t="s">
        <v>1432</v>
      </c>
      <c r="Y15" s="121" t="s">
        <v>1528</v>
      </c>
      <c r="AA15" s="526" t="s">
        <v>1553</v>
      </c>
      <c r="AB15" s="527">
        <v>63</v>
      </c>
      <c r="AC15" s="531">
        <v>59</v>
      </c>
      <c r="AH15" s="5561" t="s">
        <v>1413</v>
      </c>
      <c r="AI15" s="5562"/>
      <c r="AJ15" s="127">
        <v>1419056</v>
      </c>
      <c r="AK15" s="127">
        <v>3332</v>
      </c>
      <c r="AL15" s="394">
        <v>1287793</v>
      </c>
      <c r="AM15" s="395">
        <v>57048</v>
      </c>
      <c r="AQ15" s="387" t="s">
        <v>2143</v>
      </c>
    </row>
    <row r="16" spans="2:48" ht="12" customHeight="1">
      <c r="B16" s="119" t="s">
        <v>95</v>
      </c>
      <c r="C16" s="123"/>
      <c r="D16" s="123"/>
      <c r="E16" s="123">
        <v>6687403205</v>
      </c>
      <c r="F16" s="122">
        <v>4955942065</v>
      </c>
      <c r="H16" s="119" t="s">
        <v>154</v>
      </c>
      <c r="I16" s="120">
        <v>0</v>
      </c>
      <c r="J16" s="120">
        <v>0</v>
      </c>
      <c r="K16" s="120"/>
      <c r="L16" s="384"/>
      <c r="M16" s="121"/>
      <c r="V16" s="119" t="s">
        <v>1529</v>
      </c>
      <c r="W16" s="123">
        <v>1116474170</v>
      </c>
      <c r="X16" s="120" t="s">
        <v>1530</v>
      </c>
      <c r="Y16" s="121" t="s">
        <v>1432</v>
      </c>
      <c r="AA16" s="533" t="s">
        <v>1554</v>
      </c>
      <c r="AB16" s="534">
        <v>52</v>
      </c>
      <c r="AC16" s="535">
        <v>53</v>
      </c>
      <c r="AH16" s="387" t="s">
        <v>3394</v>
      </c>
      <c r="AQ16" s="388" t="s">
        <v>1406</v>
      </c>
    </row>
    <row r="17" spans="2:51" ht="13.5" customHeight="1">
      <c r="B17" s="119" t="s">
        <v>85</v>
      </c>
      <c r="C17" s="123">
        <v>14000000</v>
      </c>
      <c r="D17" s="123">
        <v>14000000</v>
      </c>
      <c r="E17" s="123">
        <v>14000000</v>
      </c>
      <c r="F17" s="122">
        <v>14000000</v>
      </c>
      <c r="H17" s="119" t="s">
        <v>155</v>
      </c>
      <c r="I17" s="120">
        <v>0</v>
      </c>
      <c r="J17" s="120">
        <v>0</v>
      </c>
      <c r="K17" s="120"/>
      <c r="L17" s="384"/>
      <c r="M17" s="121"/>
      <c r="V17" s="119" t="s">
        <v>1434</v>
      </c>
      <c r="W17" s="123">
        <v>490308681</v>
      </c>
      <c r="X17" s="120" t="s">
        <v>1532</v>
      </c>
      <c r="Y17" s="121" t="s">
        <v>1531</v>
      </c>
      <c r="AA17" s="536" t="s">
        <v>1556</v>
      </c>
      <c r="AB17" s="115">
        <v>1814</v>
      </c>
      <c r="AC17" s="115">
        <v>1955</v>
      </c>
      <c r="AH17" s="521"/>
      <c r="AQ17" s="5574" t="s">
        <v>1407</v>
      </c>
      <c r="AR17" s="5576" t="s">
        <v>2023</v>
      </c>
      <c r="AS17" s="5570">
        <v>2020</v>
      </c>
      <c r="AT17" s="5571"/>
      <c r="AU17" s="5573"/>
      <c r="AV17" s="5570">
        <v>2019</v>
      </c>
      <c r="AW17" s="5571"/>
      <c r="AX17" s="5571"/>
      <c r="AY17" s="5572"/>
    </row>
    <row r="18" spans="2:51" ht="28.5" customHeight="1">
      <c r="B18" s="119" t="s">
        <v>87</v>
      </c>
      <c r="C18" s="123">
        <v>337356894054</v>
      </c>
      <c r="D18" s="123">
        <v>254972748671</v>
      </c>
      <c r="E18" s="123">
        <v>162127061410</v>
      </c>
      <c r="F18" s="122">
        <v>53798860452</v>
      </c>
      <c r="H18" s="119" t="s">
        <v>156</v>
      </c>
      <c r="I18" s="123">
        <v>152722348</v>
      </c>
      <c r="J18" s="123">
        <v>-2581249203</v>
      </c>
      <c r="K18" s="123">
        <v>-2178988895</v>
      </c>
      <c r="L18" s="385"/>
      <c r="M18" s="122">
        <v>1347733802</v>
      </c>
      <c r="V18" s="119" t="s">
        <v>1435</v>
      </c>
      <c r="W18" s="123">
        <v>258408398</v>
      </c>
      <c r="X18" s="120" t="s">
        <v>1436</v>
      </c>
      <c r="Y18" s="121" t="s">
        <v>1533</v>
      </c>
      <c r="AH18" s="387" t="s">
        <v>2143</v>
      </c>
      <c r="AQ18" s="5577"/>
      <c r="AR18" s="5578"/>
      <c r="AS18" s="5563" t="s">
        <v>2144</v>
      </c>
      <c r="AT18" s="5563" t="s">
        <v>3395</v>
      </c>
      <c r="AU18" s="5563" t="s">
        <v>146</v>
      </c>
      <c r="AV18" s="5563" t="s">
        <v>2144</v>
      </c>
      <c r="AW18" s="5563" t="s">
        <v>3406</v>
      </c>
      <c r="AX18" s="1926" t="s">
        <v>3407</v>
      </c>
      <c r="AY18" s="5565" t="s">
        <v>146</v>
      </c>
    </row>
    <row r="19" spans="2:51" ht="12" customHeight="1">
      <c r="B19" s="119" t="s">
        <v>178</v>
      </c>
      <c r="C19" s="123">
        <v>6469191172</v>
      </c>
      <c r="D19" s="123" t="s">
        <v>125</v>
      </c>
      <c r="E19" s="123"/>
      <c r="F19" s="122"/>
      <c r="H19" s="119" t="s">
        <v>157</v>
      </c>
      <c r="I19" s="123" t="s">
        <v>125</v>
      </c>
      <c r="J19" s="123">
        <v>878498435</v>
      </c>
      <c r="K19" s="123">
        <v>-5401813708</v>
      </c>
      <c r="L19" s="385"/>
      <c r="M19" s="121" t="s">
        <v>125</v>
      </c>
      <c r="V19" s="119" t="s">
        <v>1534</v>
      </c>
      <c r="W19" s="120"/>
      <c r="X19" s="120" t="s">
        <v>1535</v>
      </c>
      <c r="Y19" s="121" t="s">
        <v>1432</v>
      </c>
      <c r="AA19" s="537" t="s">
        <v>1555</v>
      </c>
      <c r="AH19" s="388" t="s">
        <v>1406</v>
      </c>
      <c r="AQ19" s="5575"/>
      <c r="AR19" s="5564"/>
      <c r="AS19" s="5564"/>
      <c r="AT19" s="5564"/>
      <c r="AU19" s="5564"/>
      <c r="AV19" s="5564"/>
      <c r="AW19" s="5564"/>
      <c r="AX19" s="1927" t="s">
        <v>3408</v>
      </c>
      <c r="AY19" s="5566"/>
    </row>
    <row r="20" spans="2:51" ht="15" customHeight="1">
      <c r="B20" s="119" t="s">
        <v>97</v>
      </c>
      <c r="C20" s="123" t="s">
        <v>125</v>
      </c>
      <c r="D20" s="123">
        <v>7356889607</v>
      </c>
      <c r="E20" s="123">
        <v>1955075899</v>
      </c>
      <c r="F20" s="122">
        <v>1955075899</v>
      </c>
      <c r="H20" s="119" t="s">
        <v>158</v>
      </c>
      <c r="I20" s="120">
        <v>0</v>
      </c>
      <c r="J20" s="120">
        <v>0</v>
      </c>
      <c r="K20" s="120"/>
      <c r="L20" s="384"/>
      <c r="M20" s="121"/>
      <c r="V20" s="119" t="s">
        <v>1437</v>
      </c>
      <c r="W20" s="123">
        <v>-10000000000</v>
      </c>
      <c r="X20" s="120" t="s">
        <v>1432</v>
      </c>
      <c r="Y20" s="122">
        <v>-40000000000</v>
      </c>
      <c r="AH20" s="5574" t="s">
        <v>1407</v>
      </c>
      <c r="AI20" s="5576" t="s">
        <v>2023</v>
      </c>
      <c r="AJ20" s="5570">
        <v>2018</v>
      </c>
      <c r="AK20" s="5571"/>
      <c r="AL20" s="5573"/>
      <c r="AM20" s="5570">
        <v>2017</v>
      </c>
      <c r="AN20" s="5571"/>
      <c r="AO20" s="5572"/>
      <c r="AQ20" s="5567" t="s">
        <v>3383</v>
      </c>
      <c r="AR20" s="1922" t="s">
        <v>2125</v>
      </c>
      <c r="AS20" s="1923" t="s">
        <v>1432</v>
      </c>
      <c r="AT20" s="1923" t="s">
        <v>1432</v>
      </c>
      <c r="AU20" s="1923" t="s">
        <v>3409</v>
      </c>
      <c r="AV20" s="1923" t="s">
        <v>1432</v>
      </c>
      <c r="AW20" s="1923" t="s">
        <v>1432</v>
      </c>
      <c r="AX20" s="1923" t="s">
        <v>1432</v>
      </c>
      <c r="AY20" s="1925" t="s">
        <v>3410</v>
      </c>
    </row>
    <row r="21" spans="2:51" ht="12" customHeight="1">
      <c r="B21" s="119" t="s">
        <v>88</v>
      </c>
      <c r="C21" s="123"/>
      <c r="D21" s="123"/>
      <c r="E21" s="123">
        <v>18843195</v>
      </c>
      <c r="F21" s="122">
        <v>3284400</v>
      </c>
      <c r="H21" s="119" t="s">
        <v>161</v>
      </c>
      <c r="I21" s="123">
        <v>38990054696</v>
      </c>
      <c r="J21" s="123">
        <v>-10232262097</v>
      </c>
      <c r="K21" s="123">
        <v>-3961576164</v>
      </c>
      <c r="L21" s="385"/>
      <c r="M21" s="122">
        <v>5539078585</v>
      </c>
      <c r="V21" s="119" t="s">
        <v>1439</v>
      </c>
      <c r="W21" s="123">
        <v>-4225123400</v>
      </c>
      <c r="X21" s="120" t="s">
        <v>1432</v>
      </c>
      <c r="Y21" s="122">
        <v>-406976000</v>
      </c>
      <c r="AA21" s="518" t="s">
        <v>1407</v>
      </c>
      <c r="AB21" s="117" t="s">
        <v>134</v>
      </c>
      <c r="AC21" s="117" t="s">
        <v>129</v>
      </c>
      <c r="AD21" s="118" t="s">
        <v>127</v>
      </c>
      <c r="AH21" s="5575"/>
      <c r="AI21" s="5564"/>
      <c r="AJ21" s="1920" t="s">
        <v>2144</v>
      </c>
      <c r="AK21" s="1920" t="s">
        <v>3395</v>
      </c>
      <c r="AL21" s="1920" t="s">
        <v>146</v>
      </c>
      <c r="AM21" s="1920" t="s">
        <v>2144</v>
      </c>
      <c r="AN21" s="1920" t="s">
        <v>3395</v>
      </c>
      <c r="AO21" s="1921" t="s">
        <v>146</v>
      </c>
      <c r="AQ21" s="5568"/>
      <c r="AR21" s="1922" t="s">
        <v>3411</v>
      </c>
      <c r="AS21" s="1923" t="s">
        <v>1432</v>
      </c>
      <c r="AT21" s="1923" t="s">
        <v>1432</v>
      </c>
      <c r="AU21" s="1923" t="s">
        <v>3412</v>
      </c>
      <c r="AV21" s="1923" t="s">
        <v>1432</v>
      </c>
      <c r="AW21" s="1923" t="s">
        <v>1432</v>
      </c>
      <c r="AX21" s="1923" t="s">
        <v>1432</v>
      </c>
      <c r="AY21" s="1925" t="s">
        <v>3413</v>
      </c>
    </row>
    <row r="22" spans="2:51" ht="12" customHeight="1">
      <c r="B22" s="119" t="s">
        <v>172</v>
      </c>
      <c r="C22" s="123">
        <v>123337789917</v>
      </c>
      <c r="D22" s="123">
        <v>146139280899</v>
      </c>
      <c r="E22" s="123">
        <v>126139280899</v>
      </c>
      <c r="F22" s="122">
        <v>126139280899</v>
      </c>
      <c r="H22" s="119" t="s">
        <v>162</v>
      </c>
      <c r="I22" s="123">
        <v>39142777044</v>
      </c>
      <c r="J22" s="123">
        <v>-11935012865</v>
      </c>
      <c r="K22" s="123">
        <v>-11542378767</v>
      </c>
      <c r="L22" s="385"/>
      <c r="M22" s="122">
        <v>6886812387</v>
      </c>
      <c r="V22" s="119" t="s">
        <v>1440</v>
      </c>
      <c r="W22" s="123">
        <v>-67246593885</v>
      </c>
      <c r="X22" s="123">
        <v>-93443943172</v>
      </c>
      <c r="Y22" s="122">
        <v>-79612289063</v>
      </c>
      <c r="AA22" s="115" t="s">
        <v>1557</v>
      </c>
      <c r="AB22" s="516">
        <v>61035</v>
      </c>
      <c r="AC22" s="516">
        <v>63785</v>
      </c>
      <c r="AD22" s="516">
        <v>63224</v>
      </c>
      <c r="AH22" s="5567" t="s">
        <v>3383</v>
      </c>
      <c r="AI22" s="1922" t="s">
        <v>2125</v>
      </c>
      <c r="AJ22" s="1923" t="s">
        <v>125</v>
      </c>
      <c r="AK22" s="1923" t="s">
        <v>125</v>
      </c>
      <c r="AL22" s="1924">
        <v>7958</v>
      </c>
      <c r="AM22" s="389" t="s">
        <v>125</v>
      </c>
      <c r="AN22" s="389" t="s">
        <v>125</v>
      </c>
      <c r="AO22" s="391">
        <v>7931</v>
      </c>
      <c r="AQ22" s="5567" t="s">
        <v>3384</v>
      </c>
      <c r="AR22" s="1922" t="s">
        <v>3403</v>
      </c>
      <c r="AS22" s="1923" t="s">
        <v>1432</v>
      </c>
      <c r="AT22" s="1923" t="s">
        <v>1432</v>
      </c>
      <c r="AU22" s="1923" t="s">
        <v>1432</v>
      </c>
      <c r="AV22" s="1923" t="s">
        <v>3414</v>
      </c>
      <c r="AW22" s="1923" t="s">
        <v>1432</v>
      </c>
      <c r="AX22" s="1923" t="s">
        <v>1432</v>
      </c>
      <c r="AY22" s="1925" t="s">
        <v>1432</v>
      </c>
    </row>
    <row r="23" spans="2:51" ht="12" customHeight="1">
      <c r="B23" s="119" t="s">
        <v>99</v>
      </c>
      <c r="C23" s="123">
        <v>4568736250</v>
      </c>
      <c r="D23" s="123">
        <v>4969677833</v>
      </c>
      <c r="E23" s="123">
        <v>8414649938</v>
      </c>
      <c r="F23" s="122">
        <v>16109099258</v>
      </c>
      <c r="H23" s="119" t="s">
        <v>163</v>
      </c>
      <c r="I23" s="123">
        <v>255928465701</v>
      </c>
      <c r="J23" s="123">
        <v>167316806677</v>
      </c>
      <c r="K23" s="123">
        <v>193121473414</v>
      </c>
      <c r="L23" s="385"/>
      <c r="M23" s="122">
        <v>177818740098</v>
      </c>
      <c r="V23" s="119" t="s">
        <v>1441</v>
      </c>
      <c r="W23" s="123">
        <v>-1986036272</v>
      </c>
      <c r="X23" s="123">
        <v>-1298876100</v>
      </c>
      <c r="Y23" s="122">
        <v>-2262492500</v>
      </c>
      <c r="AA23" s="115" t="s">
        <v>1558</v>
      </c>
      <c r="AB23" s="516">
        <v>2182</v>
      </c>
      <c r="AC23" s="516">
        <v>2365</v>
      </c>
      <c r="AD23" s="516">
        <v>2789</v>
      </c>
      <c r="AH23" s="5568"/>
      <c r="AI23" s="1922" t="s">
        <v>3396</v>
      </c>
      <c r="AJ23" s="1923" t="s">
        <v>125</v>
      </c>
      <c r="AK23" s="1923" t="s">
        <v>125</v>
      </c>
      <c r="AL23" s="1924">
        <v>7223</v>
      </c>
      <c r="AM23" s="389" t="s">
        <v>125</v>
      </c>
      <c r="AN23" s="389" t="s">
        <v>125</v>
      </c>
      <c r="AO23" s="391">
        <v>7600</v>
      </c>
      <c r="AQ23" s="5569"/>
      <c r="AR23" s="1922" t="s">
        <v>3415</v>
      </c>
      <c r="AS23" s="1923" t="s">
        <v>1432</v>
      </c>
      <c r="AT23" s="1924">
        <v>28019</v>
      </c>
      <c r="AU23" s="1923" t="s">
        <v>3416</v>
      </c>
      <c r="AV23" s="1923" t="s">
        <v>1432</v>
      </c>
      <c r="AW23" s="1924">
        <v>34526</v>
      </c>
      <c r="AX23" s="1923" t="s">
        <v>1432</v>
      </c>
      <c r="AY23" s="1925" t="s">
        <v>3417</v>
      </c>
    </row>
    <row r="24" spans="2:51" ht="12" customHeight="1">
      <c r="B24" s="119" t="s">
        <v>100</v>
      </c>
      <c r="C24" s="123" t="s">
        <v>125</v>
      </c>
      <c r="D24" s="123">
        <v>3552084872</v>
      </c>
      <c r="E24" s="123">
        <v>2748747678</v>
      </c>
      <c r="F24" s="122">
        <v>4843672161</v>
      </c>
      <c r="H24" s="119" t="s">
        <v>182</v>
      </c>
      <c r="I24" s="120">
        <v>0</v>
      </c>
      <c r="J24" s="120">
        <v>0</v>
      </c>
      <c r="K24" s="120"/>
      <c r="L24" s="384"/>
      <c r="M24" s="121"/>
      <c r="V24" s="119" t="s">
        <v>1442</v>
      </c>
      <c r="W24" s="123">
        <v>-9200000</v>
      </c>
      <c r="X24" s="123">
        <v>-317081954</v>
      </c>
      <c r="Y24" s="122">
        <v>-313537013</v>
      </c>
      <c r="AH24" s="5567" t="s">
        <v>3384</v>
      </c>
      <c r="AI24" s="1922" t="s">
        <v>3385</v>
      </c>
      <c r="AJ24" s="1923">
        <v>163</v>
      </c>
      <c r="AK24" s="1923" t="s">
        <v>125</v>
      </c>
      <c r="AL24" s="1923" t="s">
        <v>125</v>
      </c>
      <c r="AM24" s="389">
        <v>160</v>
      </c>
      <c r="AN24" s="389" t="s">
        <v>125</v>
      </c>
      <c r="AO24" s="390" t="s">
        <v>125</v>
      </c>
      <c r="AQ24" s="5569"/>
      <c r="AR24" s="1922" t="s">
        <v>2422</v>
      </c>
      <c r="AS24" s="1923" t="s">
        <v>3418</v>
      </c>
      <c r="AT24" s="1923" t="s">
        <v>1432</v>
      </c>
      <c r="AU24" s="1923" t="s">
        <v>1432</v>
      </c>
      <c r="AV24" s="1923" t="s">
        <v>3419</v>
      </c>
      <c r="AW24" s="1923" t="s">
        <v>1432</v>
      </c>
      <c r="AX24" s="1923" t="s">
        <v>1432</v>
      </c>
      <c r="AY24" s="1925" t="s">
        <v>1432</v>
      </c>
    </row>
    <row r="25" spans="2:51" ht="12" customHeight="1">
      <c r="B25" s="119" t="s">
        <v>90</v>
      </c>
      <c r="C25" s="123">
        <v>4937630005</v>
      </c>
      <c r="D25" s="123">
        <v>999231565</v>
      </c>
      <c r="E25" s="123">
        <v>171206379</v>
      </c>
      <c r="F25" s="122">
        <v>30426664</v>
      </c>
      <c r="H25" s="126" t="s">
        <v>183</v>
      </c>
      <c r="I25" s="128">
        <v>4198</v>
      </c>
      <c r="J25" s="128">
        <v>3471</v>
      </c>
      <c r="K25" s="128">
        <v>3963</v>
      </c>
      <c r="L25" s="386"/>
      <c r="M25" s="127">
        <v>3310</v>
      </c>
      <c r="V25" s="119" t="s">
        <v>1443</v>
      </c>
      <c r="W25" s="123">
        <v>-130220367991</v>
      </c>
      <c r="X25" s="123">
        <v>-439052420668</v>
      </c>
      <c r="Y25" s="121" t="s">
        <v>1536</v>
      </c>
      <c r="AH25" s="5569"/>
      <c r="AI25" s="1922" t="s">
        <v>3397</v>
      </c>
      <c r="AJ25" s="1923" t="s">
        <v>125</v>
      </c>
      <c r="AK25" s="1924">
        <v>15532</v>
      </c>
      <c r="AL25" s="1924">
        <v>9691</v>
      </c>
      <c r="AM25" s="389" t="s">
        <v>125</v>
      </c>
      <c r="AN25" s="393">
        <v>16474</v>
      </c>
      <c r="AO25" s="391">
        <v>8854</v>
      </c>
      <c r="AQ25" s="5568"/>
      <c r="AR25" s="1922" t="s">
        <v>3386</v>
      </c>
      <c r="AS25" s="1923" t="s">
        <v>1432</v>
      </c>
      <c r="AT25" s="1923" t="s">
        <v>1432</v>
      </c>
      <c r="AU25" s="1923" t="s">
        <v>3420</v>
      </c>
      <c r="AV25" s="1923" t="s">
        <v>1432</v>
      </c>
      <c r="AW25" s="1923" t="s">
        <v>1432</v>
      </c>
      <c r="AX25" s="1923" t="s">
        <v>1432</v>
      </c>
      <c r="AY25" s="1925" t="s">
        <v>3421</v>
      </c>
    </row>
    <row r="26" spans="2:51" ht="12" customHeight="1">
      <c r="B26" s="124" t="s">
        <v>101</v>
      </c>
      <c r="C26" s="123">
        <v>3414784526277</v>
      </c>
      <c r="D26" s="123">
        <v>3452824855303</v>
      </c>
      <c r="E26" s="123">
        <v>3230214807200</v>
      </c>
      <c r="F26" s="122">
        <v>3781670085138</v>
      </c>
      <c r="V26" s="119" t="s">
        <v>1537</v>
      </c>
      <c r="W26" s="123">
        <v>7007214900480</v>
      </c>
      <c r="X26" s="120" t="s">
        <v>1539</v>
      </c>
      <c r="Y26" s="121" t="s">
        <v>1538</v>
      </c>
      <c r="AH26" s="5569"/>
      <c r="AI26" s="1922" t="s">
        <v>2422</v>
      </c>
      <c r="AJ26" s="1924">
        <v>206679</v>
      </c>
      <c r="AK26" s="1923" t="s">
        <v>125</v>
      </c>
      <c r="AL26" s="1923" t="s">
        <v>125</v>
      </c>
      <c r="AM26" s="393">
        <v>205291</v>
      </c>
      <c r="AN26" s="389" t="s">
        <v>125</v>
      </c>
      <c r="AO26" s="390" t="s">
        <v>125</v>
      </c>
      <c r="AQ26" s="5567" t="s">
        <v>2032</v>
      </c>
      <c r="AR26" s="1922" t="s">
        <v>3422</v>
      </c>
      <c r="AS26" s="1923" t="s">
        <v>1432</v>
      </c>
      <c r="AT26" s="1923" t="s">
        <v>3423</v>
      </c>
      <c r="AU26" s="1923" t="s">
        <v>3424</v>
      </c>
      <c r="AV26" s="1923" t="s">
        <v>1432</v>
      </c>
      <c r="AW26" s="1923" t="s">
        <v>3425</v>
      </c>
      <c r="AX26" s="1923" t="s">
        <v>1432</v>
      </c>
      <c r="AY26" s="1925" t="s">
        <v>3426</v>
      </c>
    </row>
    <row r="27" spans="2:51" ht="12" customHeight="1">
      <c r="B27" s="125" t="s">
        <v>102</v>
      </c>
      <c r="C27" s="120"/>
      <c r="D27" s="120"/>
      <c r="E27" s="120"/>
      <c r="F27" s="121"/>
      <c r="H27" s="114" t="s">
        <v>1375</v>
      </c>
      <c r="P27" s="387" t="s">
        <v>1405</v>
      </c>
      <c r="V27" s="119" t="s">
        <v>1445</v>
      </c>
      <c r="W27" s="123">
        <v>-7047416455901</v>
      </c>
      <c r="X27" s="123">
        <v>-5831682488305</v>
      </c>
      <c r="Y27" s="122">
        <v>-5996332149416</v>
      </c>
      <c r="AH27" s="5568"/>
      <c r="AI27" s="1922" t="s">
        <v>3386</v>
      </c>
      <c r="AJ27" s="1923" t="s">
        <v>125</v>
      </c>
      <c r="AK27" s="1923" t="s">
        <v>125</v>
      </c>
      <c r="AL27" s="1924">
        <v>10611</v>
      </c>
      <c r="AM27" s="389" t="s">
        <v>125</v>
      </c>
      <c r="AN27" s="389" t="s">
        <v>125</v>
      </c>
      <c r="AO27" s="391">
        <v>7847</v>
      </c>
      <c r="AQ27" s="5569"/>
      <c r="AR27" s="1922" t="s">
        <v>3427</v>
      </c>
      <c r="AS27" s="1923" t="s">
        <v>1432</v>
      </c>
      <c r="AT27" s="1923" t="s">
        <v>3428</v>
      </c>
      <c r="AU27" s="1923" t="s">
        <v>3429</v>
      </c>
      <c r="AV27" s="1923" t="s">
        <v>1432</v>
      </c>
      <c r="AW27" s="1923" t="s">
        <v>3304</v>
      </c>
      <c r="AX27" s="1923" t="s">
        <v>1432</v>
      </c>
      <c r="AY27" s="1925" t="s">
        <v>1432</v>
      </c>
    </row>
    <row r="28" spans="2:51" ht="12" customHeight="1">
      <c r="B28" s="119" t="s">
        <v>103</v>
      </c>
      <c r="C28" s="123">
        <v>1471467133658</v>
      </c>
      <c r="D28" s="123">
        <v>1490044185836</v>
      </c>
      <c r="E28" s="123">
        <v>1191991275711</v>
      </c>
      <c r="F28" s="122">
        <v>1669969208618</v>
      </c>
      <c r="H28" s="116" t="s">
        <v>181</v>
      </c>
      <c r="I28" s="117" t="s">
        <v>136</v>
      </c>
      <c r="J28" s="117" t="s">
        <v>134</v>
      </c>
      <c r="K28" s="117" t="s">
        <v>129</v>
      </c>
      <c r="L28" s="383" t="s">
        <v>1374</v>
      </c>
      <c r="M28" s="383" t="s">
        <v>127</v>
      </c>
      <c r="P28" s="388" t="s">
        <v>1406</v>
      </c>
      <c r="V28" s="119" t="s">
        <v>1540</v>
      </c>
      <c r="W28" s="123"/>
      <c r="X28" s="123">
        <v>-1453105690</v>
      </c>
      <c r="Y28" s="122">
        <v>-1484044871</v>
      </c>
      <c r="AH28" s="5567" t="s">
        <v>2032</v>
      </c>
      <c r="AI28" s="1922" t="s">
        <v>3389</v>
      </c>
      <c r="AJ28" s="1923" t="s">
        <v>125</v>
      </c>
      <c r="AK28" s="1924">
        <v>3428</v>
      </c>
      <c r="AL28" s="1924">
        <v>5112</v>
      </c>
      <c r="AM28" s="389" t="s">
        <v>125</v>
      </c>
      <c r="AN28" s="393">
        <v>5261</v>
      </c>
      <c r="AO28" s="391">
        <v>4987</v>
      </c>
      <c r="AQ28" s="5569"/>
      <c r="AR28" s="1922" t="s">
        <v>3390</v>
      </c>
      <c r="AS28" s="1923" t="s">
        <v>3430</v>
      </c>
      <c r="AT28" s="1923" t="s">
        <v>1432</v>
      </c>
      <c r="AU28" s="1923" t="s">
        <v>3431</v>
      </c>
      <c r="AV28" s="1923" t="s">
        <v>3432</v>
      </c>
      <c r="AW28" s="1923" t="s">
        <v>1432</v>
      </c>
      <c r="AX28" s="1923" t="s">
        <v>1432</v>
      </c>
      <c r="AY28" s="1925" t="s">
        <v>1432</v>
      </c>
    </row>
    <row r="29" spans="2:51" ht="12" customHeight="1">
      <c r="B29" s="119" t="s">
        <v>104</v>
      </c>
      <c r="C29" s="123">
        <v>213563113830</v>
      </c>
      <c r="D29" s="123">
        <v>217021568497</v>
      </c>
      <c r="E29" s="123">
        <v>222744216489</v>
      </c>
      <c r="F29" s="122">
        <v>370323374233</v>
      </c>
      <c r="H29" s="115" t="s">
        <v>1376</v>
      </c>
      <c r="I29" s="5">
        <v>9763482257</v>
      </c>
      <c r="J29" s="5">
        <v>9813284622</v>
      </c>
      <c r="K29" s="5">
        <v>10185235468</v>
      </c>
      <c r="L29" s="5">
        <v>7411791715</v>
      </c>
      <c r="P29" s="116" t="s">
        <v>1407</v>
      </c>
      <c r="Q29" s="118" t="s">
        <v>1408</v>
      </c>
      <c r="R29" s="117" t="s">
        <v>1409</v>
      </c>
      <c r="V29" s="119" t="s">
        <v>1447</v>
      </c>
      <c r="W29" s="123">
        <v>-90009914400</v>
      </c>
      <c r="X29" s="123">
        <v>-104004571200</v>
      </c>
      <c r="Y29" s="122">
        <v>-107051378400</v>
      </c>
      <c r="AH29" s="5569"/>
      <c r="AI29" s="1922" t="s">
        <v>3398</v>
      </c>
      <c r="AJ29" s="1923" t="s">
        <v>125</v>
      </c>
      <c r="AK29" s="1924">
        <v>14356</v>
      </c>
      <c r="AL29" s="1923" t="s">
        <v>125</v>
      </c>
      <c r="AM29" s="389">
        <v>10</v>
      </c>
      <c r="AN29" s="389">
        <v>200</v>
      </c>
      <c r="AO29" s="390">
        <v>8</v>
      </c>
      <c r="AQ29" s="5568"/>
      <c r="AR29" s="1928" t="s">
        <v>3433</v>
      </c>
      <c r="AS29" s="1923" t="s">
        <v>1432</v>
      </c>
      <c r="AT29" s="1923" t="s">
        <v>1432</v>
      </c>
      <c r="AU29" s="1923" t="s">
        <v>3434</v>
      </c>
      <c r="AV29" s="1923" t="s">
        <v>1432</v>
      </c>
      <c r="AW29" s="1923" t="s">
        <v>1432</v>
      </c>
      <c r="AX29" s="1923" t="s">
        <v>1432</v>
      </c>
      <c r="AY29" s="1925" t="s">
        <v>1432</v>
      </c>
    </row>
    <row r="30" spans="2:51" ht="16.5" customHeight="1">
      <c r="B30" s="119" t="s">
        <v>105</v>
      </c>
      <c r="C30" s="123">
        <v>1118098498897</v>
      </c>
      <c r="D30" s="123">
        <v>1149011603962</v>
      </c>
      <c r="E30" s="123">
        <v>828419093262</v>
      </c>
      <c r="F30" s="122">
        <v>1087792478104</v>
      </c>
      <c r="H30" s="115" t="s">
        <v>1377</v>
      </c>
      <c r="I30" s="5">
        <v>9551014450</v>
      </c>
      <c r="J30" s="5">
        <v>13220783230</v>
      </c>
      <c r="K30" s="5">
        <v>15007730159</v>
      </c>
      <c r="L30" s="5">
        <v>10310415612</v>
      </c>
      <c r="P30" s="125" t="s">
        <v>1410</v>
      </c>
      <c r="Q30" s="122">
        <v>23844</v>
      </c>
      <c r="R30" s="123">
        <v>25193</v>
      </c>
      <c r="V30" s="119" t="s">
        <v>1448</v>
      </c>
      <c r="W30" s="123">
        <v>-8898170</v>
      </c>
      <c r="X30" s="123">
        <v>-6568430</v>
      </c>
      <c r="Y30" s="121" t="s">
        <v>1432</v>
      </c>
      <c r="AH30" s="5568"/>
      <c r="AI30" s="1922" t="s">
        <v>3390</v>
      </c>
      <c r="AJ30" s="1923" t="s">
        <v>125</v>
      </c>
      <c r="AK30" s="1923" t="s">
        <v>125</v>
      </c>
      <c r="AL30" s="1923">
        <v>349</v>
      </c>
      <c r="AM30" s="389" t="s">
        <v>125</v>
      </c>
      <c r="AN30" s="389" t="s">
        <v>125</v>
      </c>
      <c r="AO30" s="390">
        <v>5</v>
      </c>
      <c r="AQ30" s="5567" t="s">
        <v>3435</v>
      </c>
      <c r="AR30" s="1928" t="s">
        <v>3436</v>
      </c>
      <c r="AS30" s="1923" t="s">
        <v>1432</v>
      </c>
      <c r="AT30" s="1923" t="s">
        <v>1432</v>
      </c>
      <c r="AU30" s="1923" t="s">
        <v>3437</v>
      </c>
      <c r="AV30" s="1923" t="s">
        <v>1432</v>
      </c>
      <c r="AW30" s="1923" t="s">
        <v>1432</v>
      </c>
      <c r="AX30" s="1923" t="s">
        <v>3438</v>
      </c>
      <c r="AY30" s="1925" t="s">
        <v>3439</v>
      </c>
    </row>
    <row r="31" spans="2:51" ht="12" customHeight="1">
      <c r="B31" s="119" t="s">
        <v>106</v>
      </c>
      <c r="C31" s="123">
        <v>9154838689</v>
      </c>
      <c r="D31" s="123">
        <v>4867919740</v>
      </c>
      <c r="E31" s="123">
        <v>8016328046</v>
      </c>
      <c r="F31" s="122">
        <v>6474090235</v>
      </c>
      <c r="H31" s="115" t="s">
        <v>1378</v>
      </c>
      <c r="I31" s="5">
        <v>2453525715</v>
      </c>
      <c r="J31" s="5">
        <v>1988292790</v>
      </c>
      <c r="K31" s="5">
        <v>2045474266</v>
      </c>
      <c r="L31" s="5">
        <v>1435499812</v>
      </c>
      <c r="P31" s="125" t="s">
        <v>1378</v>
      </c>
      <c r="Q31" s="122">
        <v>1913</v>
      </c>
      <c r="R31" s="123">
        <v>2045</v>
      </c>
      <c r="V31" s="119" t="s">
        <v>1541</v>
      </c>
      <c r="W31" s="123">
        <v>-45993417991</v>
      </c>
      <c r="X31" s="120" t="s">
        <v>1542</v>
      </c>
      <c r="Y31" s="122">
        <v>107603756084</v>
      </c>
      <c r="AH31" s="5567" t="s">
        <v>3399</v>
      </c>
      <c r="AI31" s="1922" t="s">
        <v>3392</v>
      </c>
      <c r="AJ31" s="1923" t="s">
        <v>125</v>
      </c>
      <c r="AK31" s="1923" t="s">
        <v>125</v>
      </c>
      <c r="AL31" s="1923">
        <v>300</v>
      </c>
      <c r="AM31" s="389" t="s">
        <v>125</v>
      </c>
      <c r="AN31" s="389" t="s">
        <v>3400</v>
      </c>
      <c r="AO31" s="390">
        <v>300</v>
      </c>
      <c r="AQ31" s="5569"/>
      <c r="AR31" s="1922" t="s">
        <v>3392</v>
      </c>
      <c r="AS31" s="1923" t="s">
        <v>1432</v>
      </c>
      <c r="AT31" s="1923" t="s">
        <v>1432</v>
      </c>
      <c r="AU31" s="1923" t="s">
        <v>1432</v>
      </c>
      <c r="AV31" s="1923" t="s">
        <v>1432</v>
      </c>
      <c r="AW31" s="1923" t="s">
        <v>1432</v>
      </c>
      <c r="AX31" s="1923" t="s">
        <v>1432</v>
      </c>
      <c r="AY31" s="1925" t="s">
        <v>3440</v>
      </c>
    </row>
    <row r="32" spans="2:51" ht="12" customHeight="1">
      <c r="B32" s="119" t="s">
        <v>107</v>
      </c>
      <c r="C32" s="123">
        <v>68922113031</v>
      </c>
      <c r="D32" s="123">
        <v>67947908720</v>
      </c>
      <c r="E32" s="123">
        <v>75252383405</v>
      </c>
      <c r="F32" s="122">
        <v>124551253894</v>
      </c>
      <c r="H32" s="115" t="s">
        <v>1379</v>
      </c>
      <c r="I32" s="5">
        <v>765927568</v>
      </c>
      <c r="J32" s="5">
        <v>813400690</v>
      </c>
      <c r="K32" s="5">
        <v>750435831</v>
      </c>
      <c r="L32" s="5">
        <v>562916310</v>
      </c>
      <c r="P32" s="125" t="s">
        <v>1388</v>
      </c>
      <c r="Q32" s="122">
        <v>3385</v>
      </c>
      <c r="R32" s="123">
        <v>2994</v>
      </c>
      <c r="V32" s="119" t="s">
        <v>1451</v>
      </c>
      <c r="W32" s="123">
        <v>325401883145</v>
      </c>
      <c r="X32" s="120" t="s">
        <v>1543</v>
      </c>
      <c r="Y32" s="122">
        <v>314010007153</v>
      </c>
      <c r="AH32" s="5568"/>
      <c r="AI32" s="1922" t="s">
        <v>3401</v>
      </c>
      <c r="AJ32" s="1923" t="s">
        <v>125</v>
      </c>
      <c r="AK32" s="1923" t="s">
        <v>125</v>
      </c>
      <c r="AL32" s="1923">
        <v>10</v>
      </c>
      <c r="AM32" s="389" t="s">
        <v>125</v>
      </c>
      <c r="AN32" s="389" t="s">
        <v>125</v>
      </c>
      <c r="AO32" s="390">
        <v>8</v>
      </c>
      <c r="AQ32" s="5568"/>
      <c r="AR32" s="1928" t="s">
        <v>3441</v>
      </c>
      <c r="AS32" s="1923" t="s">
        <v>3442</v>
      </c>
      <c r="AT32" s="1923" t="s">
        <v>1432</v>
      </c>
      <c r="AU32" s="1923" t="s">
        <v>1432</v>
      </c>
      <c r="AV32" s="1923" t="s">
        <v>3443</v>
      </c>
      <c r="AW32" s="1923" t="s">
        <v>1432</v>
      </c>
      <c r="AX32" s="1923" t="s">
        <v>1432</v>
      </c>
      <c r="AY32" s="1925" t="s">
        <v>1432</v>
      </c>
    </row>
    <row r="33" spans="2:51" ht="13.5" customHeight="1">
      <c r="B33" s="119" t="s">
        <v>108</v>
      </c>
      <c r="C33" s="123">
        <v>52330240235</v>
      </c>
      <c r="D33" s="123">
        <v>41360636583</v>
      </c>
      <c r="E33" s="123">
        <v>47600863141</v>
      </c>
      <c r="F33" s="122">
        <v>44113273261</v>
      </c>
      <c r="H33" s="115" t="s">
        <v>1380</v>
      </c>
      <c r="I33" s="5">
        <v>35312450190</v>
      </c>
      <c r="J33" s="5">
        <v>17687900951</v>
      </c>
      <c r="K33" s="5">
        <v>16707113994</v>
      </c>
      <c r="L33" s="5">
        <v>11350660097</v>
      </c>
      <c r="P33" s="125" t="s">
        <v>1379</v>
      </c>
      <c r="Q33" s="121">
        <v>752</v>
      </c>
      <c r="R33" s="120">
        <v>750</v>
      </c>
      <c r="V33" s="119" t="s">
        <v>1452</v>
      </c>
      <c r="W33" s="123">
        <v>393830</v>
      </c>
      <c r="X33" s="123">
        <v>-2273245</v>
      </c>
      <c r="Y33" s="122">
        <v>82027142</v>
      </c>
      <c r="AH33" s="5561" t="s">
        <v>1413</v>
      </c>
      <c r="AI33" s="5562"/>
      <c r="AJ33" s="127">
        <v>206842</v>
      </c>
      <c r="AK33" s="127">
        <v>33316</v>
      </c>
      <c r="AL33" s="127">
        <v>41254</v>
      </c>
      <c r="AM33" s="394">
        <v>205461</v>
      </c>
      <c r="AN33" s="394">
        <v>21935</v>
      </c>
      <c r="AO33" s="395">
        <v>37540</v>
      </c>
      <c r="AQ33" s="5561" t="s">
        <v>1413</v>
      </c>
      <c r="AR33" s="5562"/>
      <c r="AS33" s="409" t="s">
        <v>3444</v>
      </c>
      <c r="AT33" s="409" t="s">
        <v>3445</v>
      </c>
      <c r="AU33" s="409" t="s">
        <v>3446</v>
      </c>
      <c r="AV33" s="409" t="s">
        <v>3447</v>
      </c>
      <c r="AW33" s="409" t="s">
        <v>3448</v>
      </c>
      <c r="AX33" s="409" t="s">
        <v>3438</v>
      </c>
      <c r="AY33" s="410" t="s">
        <v>3449</v>
      </c>
    </row>
    <row r="34" spans="2:51" ht="12" customHeight="1">
      <c r="B34" s="119" t="s">
        <v>109</v>
      </c>
      <c r="C34" s="123">
        <v>1212689510</v>
      </c>
      <c r="D34" s="123">
        <v>2307088918</v>
      </c>
      <c r="E34" s="123">
        <v>1278692889</v>
      </c>
      <c r="F34" s="122">
        <v>1880161988</v>
      </c>
      <c r="H34" s="115" t="s">
        <v>1381</v>
      </c>
      <c r="I34" s="5">
        <v>308363774</v>
      </c>
      <c r="J34" s="5">
        <v>322993628</v>
      </c>
      <c r="K34" s="5">
        <v>892465364</v>
      </c>
      <c r="L34" s="5">
        <v>711296631</v>
      </c>
      <c r="P34" s="125" t="s">
        <v>1380</v>
      </c>
      <c r="Q34" s="122">
        <v>16430</v>
      </c>
      <c r="R34" s="123">
        <v>16707</v>
      </c>
      <c r="V34" s="126" t="s">
        <v>1453</v>
      </c>
      <c r="W34" s="128">
        <v>279408858984</v>
      </c>
      <c r="X34" s="410" t="s">
        <v>1544</v>
      </c>
      <c r="Y34" s="127">
        <v>421695790379</v>
      </c>
      <c r="AA34" s="1"/>
      <c r="AB34" s="1" t="s">
        <v>3555</v>
      </c>
      <c r="AC34" s="1">
        <v>2017</v>
      </c>
      <c r="AD34" s="1">
        <v>2018</v>
      </c>
      <c r="AE34" s="1">
        <v>2019</v>
      </c>
      <c r="AQ34" s="387"/>
    </row>
    <row r="35" spans="2:51" ht="12" customHeight="1">
      <c r="B35" s="119" t="s">
        <v>110</v>
      </c>
      <c r="C35" s="123"/>
      <c r="D35" s="123"/>
      <c r="E35" s="123">
        <v>1654311882</v>
      </c>
      <c r="F35" s="122">
        <v>1512945897</v>
      </c>
      <c r="H35" s="115" t="s">
        <v>1382</v>
      </c>
      <c r="I35" s="5">
        <v>0</v>
      </c>
      <c r="J35" s="5">
        <v>0</v>
      </c>
      <c r="K35" s="5">
        <v>1670977095</v>
      </c>
      <c r="L35" s="5">
        <v>1238896337</v>
      </c>
      <c r="P35" s="125" t="s">
        <v>1381</v>
      </c>
      <c r="Q35" s="121">
        <v>985</v>
      </c>
      <c r="R35" s="120">
        <v>892</v>
      </c>
      <c r="V35" s="130" t="s">
        <v>177</v>
      </c>
      <c r="AA35" s="1" t="s">
        <v>3556</v>
      </c>
      <c r="AB35" s="1" t="s">
        <v>3557</v>
      </c>
      <c r="AC35" s="19">
        <v>12963241731</v>
      </c>
      <c r="AD35" s="19">
        <v>23356390250</v>
      </c>
      <c r="AE35" s="19">
        <v>24650665728</v>
      </c>
    </row>
    <row r="36" spans="2:51" ht="12" customHeight="1">
      <c r="B36" s="119" t="s">
        <v>111</v>
      </c>
      <c r="C36" s="123">
        <v>8185639466</v>
      </c>
      <c r="D36" s="123">
        <v>7527459416</v>
      </c>
      <c r="E36" s="123">
        <v>7025386597</v>
      </c>
      <c r="F36" s="122">
        <v>33321631006</v>
      </c>
      <c r="H36" s="115" t="s">
        <v>1383</v>
      </c>
      <c r="I36" s="5">
        <v>539696365</v>
      </c>
      <c r="J36" s="5">
        <v>399816641</v>
      </c>
      <c r="K36" s="5">
        <v>29574500</v>
      </c>
      <c r="L36" s="5">
        <v>42367400</v>
      </c>
      <c r="P36" s="119" t="s">
        <v>1411</v>
      </c>
      <c r="Q36" s="122">
        <v>1651</v>
      </c>
      <c r="R36" s="123">
        <v>1671</v>
      </c>
    </row>
    <row r="37" spans="2:51" ht="12" customHeight="1">
      <c r="B37" s="119" t="s">
        <v>132</v>
      </c>
      <c r="C37" s="123">
        <v>76678712866</v>
      </c>
      <c r="D37" s="123">
        <v>20720125948</v>
      </c>
      <c r="E37" s="123">
        <v>7046085756</v>
      </c>
      <c r="F37" s="122">
        <v>9756069089</v>
      </c>
      <c r="H37" s="115" t="s">
        <v>1384</v>
      </c>
      <c r="I37" s="5">
        <v>58882515</v>
      </c>
      <c r="J37" s="5">
        <v>50128488</v>
      </c>
      <c r="K37" s="5">
        <v>13448788</v>
      </c>
      <c r="L37" s="5">
        <v>36466816</v>
      </c>
      <c r="P37" s="125" t="s">
        <v>1401</v>
      </c>
      <c r="Q37" s="121">
        <v>804</v>
      </c>
      <c r="R37" s="120">
        <v>668</v>
      </c>
    </row>
    <row r="38" spans="2:51" ht="12" customHeight="1">
      <c r="B38" s="119" t="s">
        <v>179</v>
      </c>
      <c r="C38" s="123">
        <v>68627279496</v>
      </c>
      <c r="D38" s="123">
        <v>14129666766</v>
      </c>
      <c r="E38" s="123"/>
      <c r="F38" s="122"/>
      <c r="H38" s="115" t="s">
        <v>1385</v>
      </c>
      <c r="I38" s="5">
        <v>718410633</v>
      </c>
      <c r="J38" s="5">
        <v>650856843</v>
      </c>
      <c r="K38" s="5">
        <v>728626919</v>
      </c>
      <c r="L38" s="5">
        <v>816091284</v>
      </c>
      <c r="P38" s="125" t="s">
        <v>1385</v>
      </c>
      <c r="Q38" s="121">
        <v>954</v>
      </c>
      <c r="R38" s="120">
        <v>729</v>
      </c>
    </row>
    <row r="39" spans="2:51" ht="12" customHeight="1">
      <c r="B39" s="119" t="s">
        <v>107</v>
      </c>
      <c r="C39" s="123">
        <v>4137269751</v>
      </c>
      <c r="D39" s="123">
        <v>3653144879</v>
      </c>
      <c r="E39" s="123">
        <v>1969497731</v>
      </c>
      <c r="F39" s="122">
        <v>6563459989</v>
      </c>
      <c r="H39" s="115" t="s">
        <v>1386</v>
      </c>
      <c r="I39" s="5">
        <v>2139349413</v>
      </c>
      <c r="J39" s="5">
        <v>2223132856</v>
      </c>
      <c r="K39" s="5">
        <v>102131920</v>
      </c>
      <c r="L39" s="5">
        <v>14947739</v>
      </c>
      <c r="P39" s="125" t="s">
        <v>1386</v>
      </c>
      <c r="Q39" s="121">
        <v>30</v>
      </c>
      <c r="R39" s="120">
        <v>102</v>
      </c>
    </row>
    <row r="40" spans="2:51" ht="12" customHeight="1">
      <c r="B40" s="119" t="s">
        <v>106</v>
      </c>
      <c r="C40" s="120"/>
      <c r="D40" s="120"/>
      <c r="E40" s="120" t="s">
        <v>125</v>
      </c>
      <c r="F40" s="122">
        <v>329963200</v>
      </c>
      <c r="H40" s="115" t="s">
        <v>1387</v>
      </c>
      <c r="I40" s="5">
        <v>54808225</v>
      </c>
      <c r="J40" s="5">
        <v>47170864</v>
      </c>
      <c r="K40" s="5">
        <v>46124244</v>
      </c>
      <c r="L40" s="5">
        <v>43802330</v>
      </c>
      <c r="P40" s="125" t="s">
        <v>1389</v>
      </c>
      <c r="Q40" s="121">
        <v>136</v>
      </c>
      <c r="R40" s="123">
        <v>1050</v>
      </c>
    </row>
    <row r="41" spans="2:51" ht="12" customHeight="1">
      <c r="B41" s="119" t="s">
        <v>109</v>
      </c>
      <c r="C41" s="123">
        <v>3887122024</v>
      </c>
      <c r="D41" s="123">
        <v>2937314303</v>
      </c>
      <c r="E41" s="123">
        <v>952832618</v>
      </c>
      <c r="F41" s="121" t="s">
        <v>125</v>
      </c>
      <c r="H41" s="115" t="s">
        <v>1388</v>
      </c>
      <c r="I41" s="5">
        <v>3062831035</v>
      </c>
      <c r="J41" s="5">
        <v>3060338559</v>
      </c>
      <c r="K41" s="5">
        <v>2994299357</v>
      </c>
      <c r="L41" s="5">
        <v>2072487618</v>
      </c>
      <c r="P41" s="125" t="s">
        <v>1390</v>
      </c>
      <c r="Q41" s="121">
        <v>266</v>
      </c>
      <c r="R41" s="120">
        <v>280</v>
      </c>
    </row>
    <row r="42" spans="2:51" ht="12" customHeight="1">
      <c r="B42" s="119" t="s">
        <v>110</v>
      </c>
      <c r="C42" s="123"/>
      <c r="D42" s="123"/>
      <c r="E42" s="123">
        <v>4099521428</v>
      </c>
      <c r="F42" s="122">
        <v>2859361500</v>
      </c>
      <c r="H42" s="115" t="s">
        <v>1389</v>
      </c>
      <c r="I42" s="5">
        <v>1195735021</v>
      </c>
      <c r="J42" s="5">
        <v>1120606961</v>
      </c>
      <c r="K42" s="5">
        <v>1050167695</v>
      </c>
      <c r="L42" s="5">
        <v>96714417</v>
      </c>
      <c r="P42" s="125" t="s">
        <v>1391</v>
      </c>
      <c r="Q42" s="122">
        <v>21729</v>
      </c>
      <c r="R42" s="123">
        <v>21624</v>
      </c>
    </row>
    <row r="43" spans="2:51" ht="12" customHeight="1">
      <c r="B43" s="119" t="s">
        <v>111</v>
      </c>
      <c r="C43" s="123">
        <v>27041595</v>
      </c>
      <c r="D43" s="123" t="s">
        <v>125</v>
      </c>
      <c r="E43" s="123">
        <v>24233979</v>
      </c>
      <c r="F43" s="122">
        <v>3284400</v>
      </c>
      <c r="H43" s="115" t="s">
        <v>1390</v>
      </c>
      <c r="I43" s="5">
        <v>319175535</v>
      </c>
      <c r="J43" s="5">
        <v>295698030</v>
      </c>
      <c r="K43" s="5">
        <v>279541414</v>
      </c>
      <c r="L43" s="5">
        <v>192166883</v>
      </c>
      <c r="P43" s="125" t="s">
        <v>1392</v>
      </c>
      <c r="Q43" s="121">
        <v>722</v>
      </c>
      <c r="R43" s="120">
        <v>799</v>
      </c>
    </row>
    <row r="44" spans="2:51" ht="12" customHeight="1">
      <c r="B44" s="124" t="s">
        <v>115</v>
      </c>
      <c r="C44" s="123">
        <v>1548145846524</v>
      </c>
      <c r="D44" s="123">
        <v>1510764311784</v>
      </c>
      <c r="E44" s="123">
        <v>1199037361467</v>
      </c>
      <c r="F44" s="122">
        <v>1679725277707</v>
      </c>
      <c r="H44" s="115" t="s">
        <v>1391</v>
      </c>
      <c r="I44" s="5">
        <v>21967963557</v>
      </c>
      <c r="J44" s="5">
        <v>22071162924</v>
      </c>
      <c r="K44" s="5">
        <v>21624497748</v>
      </c>
      <c r="L44" s="5">
        <v>15685230642</v>
      </c>
      <c r="P44" s="125" t="s">
        <v>1394</v>
      </c>
      <c r="Q44" s="121">
        <v>593</v>
      </c>
      <c r="R44" s="120">
        <v>645</v>
      </c>
    </row>
    <row r="45" spans="2:51" ht="12" customHeight="1">
      <c r="B45" s="119" t="s">
        <v>116</v>
      </c>
      <c r="C45" s="120"/>
      <c r="D45" s="120"/>
      <c r="E45" s="120"/>
      <c r="F45" s="121"/>
      <c r="H45" s="115" t="s">
        <v>1392</v>
      </c>
      <c r="I45" s="5">
        <v>848934661</v>
      </c>
      <c r="J45" s="5">
        <v>896494759</v>
      </c>
      <c r="K45" s="5">
        <v>798581827</v>
      </c>
      <c r="L45" s="5">
        <v>548956142</v>
      </c>
      <c r="P45" s="125" t="s">
        <v>1395</v>
      </c>
      <c r="Q45" s="121">
        <v>127</v>
      </c>
      <c r="R45" s="120">
        <v>181</v>
      </c>
    </row>
    <row r="46" spans="2:51" ht="12" customHeight="1">
      <c r="B46" s="119" t="s">
        <v>173</v>
      </c>
      <c r="C46" s="123">
        <v>258204000000</v>
      </c>
      <c r="D46" s="123">
        <v>258204000000</v>
      </c>
      <c r="E46" s="123">
        <v>258204000000</v>
      </c>
      <c r="F46" s="122">
        <v>258204000000</v>
      </c>
      <c r="H46" s="115" t="s">
        <v>1393</v>
      </c>
      <c r="I46" s="5">
        <v>357472913</v>
      </c>
      <c r="J46" s="5">
        <v>422697195</v>
      </c>
      <c r="K46" s="5">
        <v>463079734</v>
      </c>
      <c r="L46" s="5">
        <v>281259005</v>
      </c>
      <c r="P46" s="125" t="s">
        <v>1397</v>
      </c>
      <c r="Q46" s="393">
        <v>9040</v>
      </c>
      <c r="R46" s="391">
        <v>8697</v>
      </c>
    </row>
    <row r="47" spans="2:51" ht="12" customHeight="1">
      <c r="B47" s="119" t="s">
        <v>174</v>
      </c>
      <c r="C47" s="123">
        <v>-296335913</v>
      </c>
      <c r="D47" s="123">
        <v>-296335913</v>
      </c>
      <c r="E47" s="123">
        <v>-296335913</v>
      </c>
      <c r="F47" s="122">
        <v>-296335913</v>
      </c>
      <c r="H47" s="115" t="s">
        <v>1394</v>
      </c>
      <c r="I47" s="5">
        <v>696981638</v>
      </c>
      <c r="J47" s="5">
        <v>637503708</v>
      </c>
      <c r="K47" s="5">
        <v>645352010</v>
      </c>
      <c r="L47" s="5">
        <v>417060452</v>
      </c>
      <c r="P47" s="125" t="s">
        <v>1398</v>
      </c>
      <c r="Q47" s="389">
        <v>889</v>
      </c>
      <c r="R47" s="390">
        <v>874</v>
      </c>
    </row>
    <row r="48" spans="2:51" ht="12" customHeight="1">
      <c r="B48" s="119" t="s">
        <v>175</v>
      </c>
      <c r="C48" s="123">
        <v>17008420106</v>
      </c>
      <c r="D48" s="123">
        <v>1849971717</v>
      </c>
      <c r="E48" s="123">
        <v>-7513418155</v>
      </c>
      <c r="F48" s="122">
        <v>-1974339570</v>
      </c>
      <c r="H48" s="115" t="s">
        <v>1395</v>
      </c>
      <c r="I48" s="5">
        <v>213154740</v>
      </c>
      <c r="J48" s="5">
        <v>196010883</v>
      </c>
      <c r="K48" s="5">
        <v>180856804</v>
      </c>
      <c r="L48" s="5">
        <v>92406135</v>
      </c>
      <c r="P48" s="125" t="s">
        <v>1402</v>
      </c>
      <c r="Q48" s="389">
        <v>202</v>
      </c>
      <c r="R48" s="390">
        <v>229</v>
      </c>
    </row>
    <row r="49" spans="2:18" ht="12" customHeight="1">
      <c r="B49" s="119" t="s">
        <v>176</v>
      </c>
      <c r="C49" s="123">
        <v>1591722595560</v>
      </c>
      <c r="D49" s="123">
        <v>1682302907715</v>
      </c>
      <c r="E49" s="123">
        <v>1780783199801</v>
      </c>
      <c r="F49" s="122">
        <v>1846011482914</v>
      </c>
      <c r="H49" s="115" t="s">
        <v>1396</v>
      </c>
      <c r="I49" s="5">
        <v>15671895</v>
      </c>
      <c r="J49" s="5">
        <v>8441401</v>
      </c>
      <c r="K49" s="5">
        <v>27932075</v>
      </c>
      <c r="L49" s="5">
        <v>23805440</v>
      </c>
      <c r="P49" s="125" t="s">
        <v>1403</v>
      </c>
      <c r="Q49" s="393">
        <v>1261</v>
      </c>
      <c r="R49" s="391">
        <v>1351</v>
      </c>
    </row>
    <row r="50" spans="2:18" ht="12" customHeight="1">
      <c r="B50" s="124" t="s">
        <v>123</v>
      </c>
      <c r="C50" s="123">
        <v>1866638679753</v>
      </c>
      <c r="D50" s="123">
        <v>1942060543519</v>
      </c>
      <c r="E50" s="123">
        <v>2031177445733</v>
      </c>
      <c r="F50" s="122">
        <v>2101944807431</v>
      </c>
      <c r="H50" s="115" t="s">
        <v>1397</v>
      </c>
      <c r="I50" s="5">
        <v>10176868680</v>
      </c>
      <c r="J50" s="5">
        <v>9557464114</v>
      </c>
      <c r="K50" s="5">
        <v>8697115426</v>
      </c>
      <c r="L50" s="5">
        <v>6377956318</v>
      </c>
      <c r="P50" s="125" t="s">
        <v>1412</v>
      </c>
      <c r="Q50" s="389">
        <v>573</v>
      </c>
      <c r="R50" s="390">
        <v>583</v>
      </c>
    </row>
    <row r="51" spans="2:18" ht="12" customHeight="1">
      <c r="B51" s="129" t="s">
        <v>124</v>
      </c>
      <c r="C51" s="128">
        <v>3414784526277</v>
      </c>
      <c r="D51" s="128">
        <v>3452824855303</v>
      </c>
      <c r="E51" s="128">
        <v>3230214807200</v>
      </c>
      <c r="F51" s="127">
        <v>3781670085138</v>
      </c>
      <c r="H51" s="115" t="s">
        <v>1398</v>
      </c>
      <c r="I51" s="5">
        <v>918076314</v>
      </c>
      <c r="J51" s="5">
        <v>854623200</v>
      </c>
      <c r="K51" s="5">
        <v>874133295</v>
      </c>
      <c r="L51" s="5">
        <v>640252573</v>
      </c>
      <c r="P51" s="392" t="s">
        <v>1413</v>
      </c>
      <c r="Q51" s="394">
        <v>86286</v>
      </c>
      <c r="R51" s="395">
        <v>88064</v>
      </c>
    </row>
    <row r="52" spans="2:18" ht="12" customHeight="1">
      <c r="B52" s="130" t="s">
        <v>177</v>
      </c>
      <c r="H52" s="115" t="s">
        <v>1399</v>
      </c>
      <c r="I52" s="5">
        <v>11492255</v>
      </c>
      <c r="J52" s="5">
        <v>26277993</v>
      </c>
      <c r="K52" s="5">
        <v>698302</v>
      </c>
      <c r="L52" s="5">
        <v>979168</v>
      </c>
    </row>
    <row r="53" spans="2:18" ht="12" customHeight="1">
      <c r="H53" s="115" t="s">
        <v>1400</v>
      </c>
      <c r="I53" s="5">
        <v>32502739</v>
      </c>
      <c r="J53" s="5">
        <v>0</v>
      </c>
      <c r="K53" s="5">
        <v>0</v>
      </c>
      <c r="L53" s="5">
        <v>0</v>
      </c>
    </row>
    <row r="54" spans="2:18" ht="12" customHeight="1">
      <c r="H54" s="115" t="s">
        <v>1401</v>
      </c>
      <c r="I54" s="5">
        <v>30946321</v>
      </c>
      <c r="J54" s="5">
        <v>492897696</v>
      </c>
      <c r="K54" s="5">
        <v>668354368</v>
      </c>
      <c r="L54" s="5">
        <v>572303237</v>
      </c>
    </row>
    <row r="55" spans="2:18" ht="12" customHeight="1">
      <c r="H55" s="115" t="s">
        <v>1402</v>
      </c>
      <c r="I55" s="5">
        <v>322592371</v>
      </c>
      <c r="J55" s="5">
        <v>257719315</v>
      </c>
      <c r="K55" s="5">
        <v>228982434</v>
      </c>
      <c r="L55" s="5">
        <v>136280766</v>
      </c>
    </row>
    <row r="56" spans="2:18" ht="12" customHeight="1">
      <c r="H56" s="115" t="s">
        <v>1403</v>
      </c>
      <c r="I56" s="5">
        <v>1185148533</v>
      </c>
      <c r="J56" s="5">
        <v>1269147486</v>
      </c>
      <c r="K56" s="5">
        <v>1350969508</v>
      </c>
      <c r="L56" s="5">
        <v>930332615</v>
      </c>
    </row>
    <row r="57" spans="2:18" ht="12" customHeight="1">
      <c r="H57" s="115" t="s">
        <v>1404</v>
      </c>
      <c r="I57" s="5">
        <v>-346840</v>
      </c>
      <c r="J57" s="5">
        <v>-1154021</v>
      </c>
      <c r="K57" s="5">
        <v>0</v>
      </c>
      <c r="L57" s="5">
        <v>0</v>
      </c>
    </row>
  </sheetData>
  <mergeCells count="41">
    <mergeCell ref="AH3:AH4"/>
    <mergeCell ref="AI3:AI4"/>
    <mergeCell ref="AJ3:AK3"/>
    <mergeCell ref="AL3:AM3"/>
    <mergeCell ref="AH6:AH8"/>
    <mergeCell ref="AH31:AH32"/>
    <mergeCell ref="AH33:AI33"/>
    <mergeCell ref="AH11:AH12"/>
    <mergeCell ref="AH13:AH14"/>
    <mergeCell ref="AH15:AI15"/>
    <mergeCell ref="AH20:AH21"/>
    <mergeCell ref="AI20:AI21"/>
    <mergeCell ref="AQ9:AQ10"/>
    <mergeCell ref="AM20:AO20"/>
    <mergeCell ref="AH22:AH23"/>
    <mergeCell ref="AH24:AH27"/>
    <mergeCell ref="AH28:AH30"/>
    <mergeCell ref="AJ20:AL20"/>
    <mergeCell ref="AH9:AH10"/>
    <mergeCell ref="AQ11:AQ12"/>
    <mergeCell ref="AQ13:AR13"/>
    <mergeCell ref="AQ17:AQ19"/>
    <mergeCell ref="AR17:AR19"/>
    <mergeCell ref="AQ3:AQ4"/>
    <mergeCell ref="AR3:AR4"/>
    <mergeCell ref="AS3:AT3"/>
    <mergeCell ref="AU3:AV3"/>
    <mergeCell ref="AQ5:AQ7"/>
    <mergeCell ref="AV17:AY17"/>
    <mergeCell ref="AS18:AS19"/>
    <mergeCell ref="AT18:AT19"/>
    <mergeCell ref="AU18:AU19"/>
    <mergeCell ref="AV18:AV19"/>
    <mergeCell ref="AS17:AU17"/>
    <mergeCell ref="AQ33:AR33"/>
    <mergeCell ref="AW18:AW19"/>
    <mergeCell ref="AY18:AY19"/>
    <mergeCell ref="AQ20:AQ21"/>
    <mergeCell ref="AQ22:AQ25"/>
    <mergeCell ref="AQ26:AQ29"/>
    <mergeCell ref="AQ30:AQ32"/>
  </mergeCells>
  <phoneticPr fontId="1"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B1:O155"/>
  <sheetViews>
    <sheetView workbookViewId="0"/>
  </sheetViews>
  <sheetFormatPr defaultColWidth="9" defaultRowHeight="12"/>
  <cols>
    <col min="1" max="1" width="9" style="1"/>
    <col min="2" max="2" width="13.375" style="1" customWidth="1"/>
    <col min="3" max="4" width="12.875" style="1" customWidth="1"/>
    <col min="5" max="5" width="15.125" style="1" customWidth="1"/>
    <col min="6" max="6" width="14.625" style="1" bestFit="1" customWidth="1"/>
    <col min="7" max="8" width="12.875" style="1" customWidth="1"/>
    <col min="9" max="9" width="14.625" style="1" bestFit="1" customWidth="1"/>
    <col min="10" max="10" width="12.875" style="1" customWidth="1"/>
    <col min="11" max="11" width="70.625" style="1" bestFit="1" customWidth="1"/>
    <col min="12" max="12" width="12.625" style="1" customWidth="1"/>
    <col min="13" max="13" width="13.625" style="1" bestFit="1" customWidth="1"/>
    <col min="14" max="15" width="11.375" style="1" bestFit="1" customWidth="1"/>
    <col min="16" max="16384" width="9" style="1"/>
  </cols>
  <sheetData>
    <row r="1" spans="2:15" ht="12.75" thickBot="1"/>
    <row r="2" spans="2:15" ht="12.75" thickTop="1">
      <c r="B2" s="2341"/>
      <c r="C2" s="2342"/>
      <c r="D2" s="2343"/>
      <c r="E2" s="2343"/>
      <c r="F2" s="2344"/>
      <c r="G2" s="2343"/>
      <c r="H2" s="2343"/>
      <c r="I2" s="2344"/>
      <c r="J2" s="2344"/>
      <c r="K2" s="2345"/>
      <c r="L2" s="2233"/>
      <c r="M2" s="2234">
        <v>0</v>
      </c>
      <c r="N2" s="5579" t="s">
        <v>3894</v>
      </c>
      <c r="O2" s="5579"/>
    </row>
    <row r="3" spans="2:15">
      <c r="B3" s="2235" t="s">
        <v>3895</v>
      </c>
      <c r="C3" s="2236"/>
      <c r="D3" s="2237"/>
      <c r="E3" s="2237"/>
      <c r="F3" s="2238"/>
      <c r="G3" s="2239"/>
      <c r="H3" s="2237"/>
      <c r="I3" s="2238"/>
      <c r="J3" s="2238"/>
      <c r="K3" s="2240"/>
      <c r="L3" s="2233"/>
      <c r="M3" s="2233"/>
      <c r="N3" s="2241" t="s">
        <v>2472</v>
      </c>
      <c r="O3" s="2241" t="s">
        <v>2473</v>
      </c>
    </row>
    <row r="4" spans="2:15">
      <c r="B4" s="2242" t="s">
        <v>3896</v>
      </c>
      <c r="C4" s="2232" t="s">
        <v>1480</v>
      </c>
      <c r="D4" s="2243">
        <v>31141015</v>
      </c>
      <c r="E4" s="2243" t="s">
        <v>3897</v>
      </c>
      <c r="F4" s="2244">
        <v>18646554</v>
      </c>
      <c r="G4" s="2245">
        <v>42010010</v>
      </c>
      <c r="H4" s="2243" t="s">
        <v>2165</v>
      </c>
      <c r="I4" s="2244">
        <v>18646554</v>
      </c>
      <c r="J4" s="2246" t="s">
        <v>3898</v>
      </c>
      <c r="K4" s="2247" t="s">
        <v>3899</v>
      </c>
      <c r="L4" s="2233"/>
      <c r="M4" s="2233"/>
      <c r="N4" s="2248"/>
      <c r="O4" s="2249" t="s">
        <v>144</v>
      </c>
    </row>
    <row r="5" spans="2:15">
      <c r="B5" s="2250"/>
      <c r="C5" s="2232"/>
      <c r="D5" s="2243">
        <v>31141015</v>
      </c>
      <c r="E5" s="2243" t="s">
        <v>3979</v>
      </c>
      <c r="F5" s="2244">
        <v>-4102242</v>
      </c>
      <c r="G5" s="2245">
        <v>76100000</v>
      </c>
      <c r="H5" s="2243" t="s">
        <v>152</v>
      </c>
      <c r="I5" s="2244">
        <v>-4102242</v>
      </c>
      <c r="J5" s="2246" t="s">
        <v>3898</v>
      </c>
      <c r="K5" s="2247" t="s">
        <v>3900</v>
      </c>
      <c r="L5" s="2233"/>
      <c r="M5" s="2233"/>
      <c r="N5" s="2248"/>
      <c r="O5" s="2249" t="s">
        <v>153</v>
      </c>
    </row>
    <row r="6" spans="2:15">
      <c r="B6" s="2250"/>
      <c r="C6" s="2232"/>
      <c r="D6" s="2243">
        <v>31141015</v>
      </c>
      <c r="E6" s="2243" t="s">
        <v>3897</v>
      </c>
      <c r="F6" s="2234"/>
      <c r="G6" s="2245">
        <v>42010010</v>
      </c>
      <c r="H6" s="2243" t="s">
        <v>2165</v>
      </c>
      <c r="I6" s="2234"/>
      <c r="J6" s="2246" t="s">
        <v>3901</v>
      </c>
      <c r="K6" s="2247" t="s">
        <v>3902</v>
      </c>
      <c r="L6" s="2233"/>
      <c r="M6" s="2233"/>
      <c r="N6" s="2248"/>
      <c r="O6" s="2248"/>
    </row>
    <row r="7" spans="2:15">
      <c r="B7" s="2250"/>
      <c r="C7" s="2232"/>
      <c r="D7" s="2243">
        <v>31141015</v>
      </c>
      <c r="E7" s="2243" t="s">
        <v>3897</v>
      </c>
      <c r="F7" s="2234"/>
      <c r="G7" s="2245">
        <v>76100000</v>
      </c>
      <c r="H7" s="2243" t="s">
        <v>152</v>
      </c>
      <c r="I7" s="2234"/>
      <c r="J7" s="2246" t="s">
        <v>3901</v>
      </c>
      <c r="K7" s="2247" t="s">
        <v>3903</v>
      </c>
      <c r="L7" s="2233"/>
      <c r="M7" s="2233"/>
      <c r="N7" s="2248"/>
      <c r="O7" s="2248"/>
    </row>
    <row r="8" spans="2:15">
      <c r="B8" s="2250"/>
      <c r="C8" s="2232" t="s">
        <v>3904</v>
      </c>
      <c r="D8" s="2243">
        <v>31141015</v>
      </c>
      <c r="E8" s="2243" t="s">
        <v>3897</v>
      </c>
      <c r="F8" s="2234"/>
      <c r="G8" s="2245">
        <v>42010010</v>
      </c>
      <c r="H8" s="2243" t="s">
        <v>2165</v>
      </c>
      <c r="I8" s="2234"/>
      <c r="J8" s="2246" t="s">
        <v>3898</v>
      </c>
      <c r="K8" s="2247" t="s">
        <v>3905</v>
      </c>
      <c r="L8" s="2233"/>
      <c r="M8" s="2233"/>
      <c r="N8" s="2248"/>
      <c r="O8" s="2248"/>
    </row>
    <row r="9" spans="2:15">
      <c r="B9" s="2250"/>
      <c r="C9" s="2232"/>
      <c r="D9" s="2243">
        <v>31141015</v>
      </c>
      <c r="E9" s="2243" t="s">
        <v>3897</v>
      </c>
      <c r="F9" s="2234"/>
      <c r="G9" s="2245">
        <v>76100000</v>
      </c>
      <c r="H9" s="2243" t="s">
        <v>152</v>
      </c>
      <c r="I9" s="2234"/>
      <c r="J9" s="2246" t="s">
        <v>3898</v>
      </c>
      <c r="K9" s="2247" t="s">
        <v>3906</v>
      </c>
      <c r="L9" s="2233"/>
      <c r="M9" s="2233"/>
      <c r="N9" s="2248"/>
      <c r="O9" s="2248"/>
    </row>
    <row r="10" spans="2:15">
      <c r="B10" s="2250"/>
      <c r="C10" s="2232"/>
      <c r="D10" s="2243">
        <v>31141015</v>
      </c>
      <c r="E10" s="2243" t="s">
        <v>3897</v>
      </c>
      <c r="F10" s="2234"/>
      <c r="G10" s="2245">
        <v>42010010</v>
      </c>
      <c r="H10" s="2243" t="s">
        <v>2165</v>
      </c>
      <c r="I10" s="2234"/>
      <c r="J10" s="2246" t="s">
        <v>3901</v>
      </c>
      <c r="K10" s="2247" t="s">
        <v>3907</v>
      </c>
      <c r="L10" s="2233"/>
      <c r="M10" s="2233"/>
      <c r="N10" s="2248"/>
      <c r="O10" s="2248"/>
    </row>
    <row r="11" spans="2:15">
      <c r="B11" s="2250"/>
      <c r="C11" s="2232"/>
      <c r="D11" s="2243">
        <v>31141015</v>
      </c>
      <c r="E11" s="2243" t="s">
        <v>3897</v>
      </c>
      <c r="F11" s="2234"/>
      <c r="G11" s="2245">
        <v>76100000</v>
      </c>
      <c r="H11" s="2243" t="s">
        <v>152</v>
      </c>
      <c r="I11" s="2234"/>
      <c r="J11" s="2246" t="s">
        <v>3901</v>
      </c>
      <c r="K11" s="2247" t="s">
        <v>3908</v>
      </c>
      <c r="L11" s="2233"/>
      <c r="M11" s="2233"/>
      <c r="N11" s="2248"/>
      <c r="O11" s="2248"/>
    </row>
    <row r="12" spans="2:15">
      <c r="B12" s="2250"/>
      <c r="C12" s="2232"/>
      <c r="D12" s="2243">
        <v>31141015</v>
      </c>
      <c r="E12" s="2243" t="s">
        <v>3897</v>
      </c>
      <c r="F12" s="2234"/>
      <c r="G12" s="2245">
        <v>42010010</v>
      </c>
      <c r="H12" s="2243" t="s">
        <v>2165</v>
      </c>
      <c r="I12" s="2234"/>
      <c r="J12" s="2246" t="s">
        <v>3901</v>
      </c>
      <c r="K12" s="2247" t="s">
        <v>3909</v>
      </c>
      <c r="L12" s="2233"/>
      <c r="M12" s="2233"/>
      <c r="N12" s="2248"/>
      <c r="O12" s="2248"/>
    </row>
    <row r="13" spans="2:15">
      <c r="B13" s="2250"/>
      <c r="C13" s="2232"/>
      <c r="D13" s="2243">
        <v>31141015</v>
      </c>
      <c r="E13" s="2243" t="s">
        <v>3897</v>
      </c>
      <c r="F13" s="2234"/>
      <c r="G13" s="2245">
        <v>76100000</v>
      </c>
      <c r="H13" s="2243" t="s">
        <v>152</v>
      </c>
      <c r="I13" s="2234"/>
      <c r="J13" s="2246" t="s">
        <v>3901</v>
      </c>
      <c r="K13" s="2247" t="s">
        <v>3910</v>
      </c>
      <c r="L13" s="2233"/>
      <c r="M13" s="2233"/>
      <c r="N13" s="2248"/>
      <c r="O13" s="2248"/>
    </row>
    <row r="14" spans="2:15">
      <c r="B14" s="2250"/>
      <c r="C14" s="2232" t="s">
        <v>3911</v>
      </c>
      <c r="D14" s="2243">
        <v>31141015</v>
      </c>
      <c r="E14" s="2243" t="s">
        <v>3897</v>
      </c>
      <c r="F14" s="2244">
        <v>4812846915</v>
      </c>
      <c r="G14" s="2245">
        <v>42010010</v>
      </c>
      <c r="H14" s="2243" t="s">
        <v>2165</v>
      </c>
      <c r="I14" s="2244">
        <v>4812846915</v>
      </c>
      <c r="J14" s="2246" t="s">
        <v>3901</v>
      </c>
      <c r="K14" s="2247" t="s">
        <v>3912</v>
      </c>
      <c r="L14" s="2233"/>
      <c r="M14" s="2233"/>
      <c r="N14" s="2248"/>
      <c r="O14" s="2249" t="s">
        <v>144</v>
      </c>
    </row>
    <row r="15" spans="2:15">
      <c r="B15" s="2250"/>
      <c r="C15" s="2232"/>
      <c r="D15" s="2243">
        <v>31141015</v>
      </c>
      <c r="E15" s="2243" t="s">
        <v>3897</v>
      </c>
      <c r="F15" s="2244">
        <v>-1164708953</v>
      </c>
      <c r="G15" s="2245">
        <v>76100000</v>
      </c>
      <c r="H15" s="2243" t="s">
        <v>152</v>
      </c>
      <c r="I15" s="2244">
        <v>-1164708953</v>
      </c>
      <c r="J15" s="2246" t="s">
        <v>3901</v>
      </c>
      <c r="K15" s="2247" t="s">
        <v>3913</v>
      </c>
      <c r="L15" s="2233"/>
      <c r="M15" s="2234"/>
      <c r="N15" s="2248"/>
      <c r="O15" s="2249" t="s">
        <v>153</v>
      </c>
    </row>
    <row r="16" spans="2:15">
      <c r="B16" s="2250"/>
      <c r="C16" s="2232"/>
      <c r="D16" s="2243">
        <v>31141015</v>
      </c>
      <c r="E16" s="2243" t="s">
        <v>3897</v>
      </c>
      <c r="F16" s="2234"/>
      <c r="G16" s="2245">
        <v>42010010</v>
      </c>
      <c r="H16" s="2243" t="s">
        <v>2165</v>
      </c>
      <c r="I16" s="2234"/>
      <c r="J16" s="2246" t="s">
        <v>3898</v>
      </c>
      <c r="K16" s="2247" t="s">
        <v>3914</v>
      </c>
      <c r="L16" s="2233"/>
      <c r="M16" s="2233"/>
      <c r="N16" s="2248"/>
      <c r="O16" s="2248"/>
    </row>
    <row r="17" spans="2:15">
      <c r="B17" s="2250"/>
      <c r="C17" s="2232"/>
      <c r="D17" s="2243">
        <v>31141015</v>
      </c>
      <c r="E17" s="2243" t="s">
        <v>3897</v>
      </c>
      <c r="F17" s="2234"/>
      <c r="G17" s="2245">
        <v>76100000</v>
      </c>
      <c r="H17" s="2243" t="s">
        <v>152</v>
      </c>
      <c r="I17" s="2234"/>
      <c r="J17" s="2246" t="s">
        <v>3898</v>
      </c>
      <c r="K17" s="2247" t="s">
        <v>3915</v>
      </c>
      <c r="L17" s="2233"/>
      <c r="M17" s="2233"/>
      <c r="N17" s="2248"/>
      <c r="O17" s="2248"/>
    </row>
    <row r="18" spans="2:15">
      <c r="B18" s="2250"/>
      <c r="C18" s="2232"/>
      <c r="D18" s="2243">
        <v>31141015</v>
      </c>
      <c r="E18" s="2243" t="s">
        <v>3897</v>
      </c>
      <c r="F18" s="2234"/>
      <c r="G18" s="2245">
        <v>42010010</v>
      </c>
      <c r="H18" s="2243" t="s">
        <v>2165</v>
      </c>
      <c r="I18" s="2234"/>
      <c r="J18" s="2246" t="s">
        <v>3898</v>
      </c>
      <c r="K18" s="2251" t="s">
        <v>3916</v>
      </c>
      <c r="L18" s="2233"/>
      <c r="M18" s="2233"/>
      <c r="N18" s="2248"/>
      <c r="O18" s="2248"/>
    </row>
    <row r="19" spans="2:15">
      <c r="B19" s="2250"/>
      <c r="C19" s="2232"/>
      <c r="D19" s="2243">
        <v>31141015</v>
      </c>
      <c r="E19" s="2243" t="s">
        <v>3897</v>
      </c>
      <c r="F19" s="2234"/>
      <c r="G19" s="2245">
        <v>76100000</v>
      </c>
      <c r="H19" s="2243" t="s">
        <v>152</v>
      </c>
      <c r="I19" s="2234"/>
      <c r="J19" s="2246" t="s">
        <v>3898</v>
      </c>
      <c r="K19" s="2251" t="s">
        <v>3917</v>
      </c>
      <c r="L19" s="2233"/>
      <c r="M19" s="2233"/>
      <c r="N19" s="2248"/>
      <c r="O19" s="2248"/>
    </row>
    <row r="20" spans="2:15">
      <c r="B20" s="2250"/>
      <c r="C20" s="2233"/>
      <c r="D20" s="2243">
        <v>42010010</v>
      </c>
      <c r="E20" s="2243" t="s">
        <v>2165</v>
      </c>
      <c r="F20" s="2252"/>
      <c r="G20" s="2245">
        <v>31141015</v>
      </c>
      <c r="H20" s="2243" t="s">
        <v>3897</v>
      </c>
      <c r="I20" s="2253"/>
      <c r="J20" s="2246" t="s">
        <v>3898</v>
      </c>
      <c r="K20" s="2247" t="s">
        <v>3918</v>
      </c>
      <c r="L20" s="2254"/>
      <c r="M20" s="2233"/>
      <c r="N20" s="2255"/>
      <c r="O20" s="2248"/>
    </row>
    <row r="21" spans="2:15">
      <c r="B21" s="2242" t="s">
        <v>3919</v>
      </c>
      <c r="C21" s="2256" t="s">
        <v>3904</v>
      </c>
      <c r="D21" s="2256">
        <v>42010010</v>
      </c>
      <c r="E21" s="2256" t="s">
        <v>2165</v>
      </c>
      <c r="F21" s="2257">
        <v>0</v>
      </c>
      <c r="G21" s="2258">
        <v>11161802</v>
      </c>
      <c r="H21" s="2256" t="s">
        <v>3920</v>
      </c>
      <c r="I21" s="2259">
        <v>0</v>
      </c>
      <c r="J21" s="2260" t="s">
        <v>3901</v>
      </c>
      <c r="K21" s="2261" t="s">
        <v>3921</v>
      </c>
      <c r="L21" s="2262"/>
      <c r="M21" s="2262"/>
      <c r="N21" s="2255"/>
      <c r="O21" s="2248"/>
    </row>
    <row r="22" spans="2:15">
      <c r="B22" s="2263"/>
      <c r="C22" s="2264"/>
      <c r="D22" s="2264">
        <v>76100000</v>
      </c>
      <c r="E22" s="2264" t="s">
        <v>152</v>
      </c>
      <c r="F22" s="2265">
        <v>0</v>
      </c>
      <c r="G22" s="2266">
        <v>12201001</v>
      </c>
      <c r="H22" s="2264" t="s">
        <v>3922</v>
      </c>
      <c r="I22" s="2267">
        <v>0</v>
      </c>
      <c r="J22" s="2268" t="s">
        <v>3901</v>
      </c>
      <c r="K22" s="2269" t="s">
        <v>3923</v>
      </c>
      <c r="L22" s="2262"/>
      <c r="M22" s="2262"/>
      <c r="N22" s="2248"/>
      <c r="O22" s="2248"/>
    </row>
    <row r="23" spans="2:15">
      <c r="B23" s="2270"/>
      <c r="C23" s="2264"/>
      <c r="D23" s="2264">
        <v>42010010</v>
      </c>
      <c r="E23" s="2264" t="s">
        <v>2165</v>
      </c>
      <c r="F23" s="2267">
        <v>0</v>
      </c>
      <c r="G23" s="2266">
        <v>11161802</v>
      </c>
      <c r="H23" s="2264" t="s">
        <v>3920</v>
      </c>
      <c r="I23" s="2267">
        <v>0</v>
      </c>
      <c r="J23" s="2268" t="s">
        <v>3901</v>
      </c>
      <c r="K23" s="2269" t="s">
        <v>3924</v>
      </c>
      <c r="L23" s="2262"/>
      <c r="M23" s="2262"/>
      <c r="N23" s="2255"/>
      <c r="O23" s="2248"/>
    </row>
    <row r="24" spans="2:15">
      <c r="B24" s="2270"/>
      <c r="C24" s="2264"/>
      <c r="D24" s="2271">
        <v>76100000</v>
      </c>
      <c r="E24" s="2271" t="s">
        <v>152</v>
      </c>
      <c r="F24" s="2272">
        <v>0</v>
      </c>
      <c r="G24" s="2273">
        <v>12201001</v>
      </c>
      <c r="H24" s="2271" t="s">
        <v>3922</v>
      </c>
      <c r="I24" s="2272">
        <v>0</v>
      </c>
      <c r="J24" s="2274" t="s">
        <v>3901</v>
      </c>
      <c r="K24" s="2275" t="s">
        <v>3925</v>
      </c>
      <c r="L24" s="2262"/>
      <c r="M24" s="2262"/>
      <c r="N24" s="2248"/>
      <c r="O24" s="2248"/>
    </row>
    <row r="25" spans="2:15">
      <c r="B25" s="2242" t="s">
        <v>3919</v>
      </c>
      <c r="C25" s="2264" t="s">
        <v>1480</v>
      </c>
      <c r="D25" s="2264">
        <v>42010010</v>
      </c>
      <c r="E25" s="2264" t="s">
        <v>2165</v>
      </c>
      <c r="F25" s="2276">
        <v>65570683</v>
      </c>
      <c r="G25" s="2266">
        <v>11161802</v>
      </c>
      <c r="H25" s="2264" t="s">
        <v>3920</v>
      </c>
      <c r="I25" s="2267">
        <v>65570683</v>
      </c>
      <c r="J25" s="2268" t="s">
        <v>3898</v>
      </c>
      <c r="K25" s="2269" t="s">
        <v>3926</v>
      </c>
      <c r="L25" s="2262"/>
      <c r="M25" s="2262"/>
      <c r="N25" s="2249" t="s">
        <v>144</v>
      </c>
      <c r="O25" s="2248"/>
    </row>
    <row r="26" spans="2:15">
      <c r="B26" s="2270"/>
      <c r="C26" s="2277"/>
      <c r="D26" s="2264">
        <v>76100000</v>
      </c>
      <c r="E26" s="2264" t="s">
        <v>152</v>
      </c>
      <c r="F26" s="2276">
        <v>-14425550</v>
      </c>
      <c r="G26" s="2266">
        <v>12201001</v>
      </c>
      <c r="H26" s="2264" t="s">
        <v>3922</v>
      </c>
      <c r="I26" s="2267">
        <v>-14425550</v>
      </c>
      <c r="J26" s="2268" t="s">
        <v>3898</v>
      </c>
      <c r="K26" s="2269" t="s">
        <v>3927</v>
      </c>
      <c r="L26" s="2262"/>
      <c r="M26" s="2262"/>
      <c r="N26" s="2249" t="s">
        <v>153</v>
      </c>
      <c r="O26" s="2248"/>
    </row>
    <row r="27" spans="2:15">
      <c r="B27" s="2270"/>
      <c r="C27" s="2264" t="s">
        <v>3911</v>
      </c>
      <c r="D27" s="2256">
        <v>42010010</v>
      </c>
      <c r="E27" s="2256" t="s">
        <v>2165</v>
      </c>
      <c r="F27" s="2278">
        <v>2233733732</v>
      </c>
      <c r="G27" s="2258">
        <v>11161802</v>
      </c>
      <c r="H27" s="2256" t="s">
        <v>3920</v>
      </c>
      <c r="I27" s="2259">
        <v>2233733732</v>
      </c>
      <c r="J27" s="2260" t="s">
        <v>3901</v>
      </c>
      <c r="K27" s="2261" t="s">
        <v>3928</v>
      </c>
      <c r="L27" s="2262"/>
      <c r="M27" s="2262"/>
      <c r="N27" s="2249" t="s">
        <v>144</v>
      </c>
      <c r="O27" s="2248"/>
    </row>
    <row r="28" spans="2:15">
      <c r="B28" s="2270"/>
      <c r="C28" s="2277"/>
      <c r="D28" s="2264">
        <v>76100000</v>
      </c>
      <c r="E28" s="2264" t="s">
        <v>152</v>
      </c>
      <c r="F28" s="2276">
        <v>-540563563</v>
      </c>
      <c r="G28" s="2266">
        <v>12201001</v>
      </c>
      <c r="H28" s="2264" t="s">
        <v>3922</v>
      </c>
      <c r="I28" s="2267">
        <v>-540563563</v>
      </c>
      <c r="J28" s="2268" t="s">
        <v>3901</v>
      </c>
      <c r="K28" s="2269" t="s">
        <v>3929</v>
      </c>
      <c r="L28" s="2262"/>
      <c r="M28" s="2279">
        <v>-649328835</v>
      </c>
      <c r="N28" s="2249" t="s">
        <v>153</v>
      </c>
      <c r="O28" s="2248"/>
    </row>
    <row r="29" spans="2:15">
      <c r="B29" s="2270"/>
      <c r="C29" s="2277"/>
      <c r="D29" s="2264">
        <v>42010010</v>
      </c>
      <c r="E29" s="2264" t="s">
        <v>2165</v>
      </c>
      <c r="F29" s="2267">
        <v>0</v>
      </c>
      <c r="G29" s="2266">
        <v>11161802</v>
      </c>
      <c r="H29" s="2264" t="s">
        <v>3920</v>
      </c>
      <c r="I29" s="2267">
        <v>0</v>
      </c>
      <c r="J29" s="2268" t="s">
        <v>3898</v>
      </c>
      <c r="K29" s="2269" t="s">
        <v>3930</v>
      </c>
      <c r="L29" s="2262"/>
      <c r="M29" s="2262"/>
      <c r="N29" s="2248"/>
      <c r="O29" s="2248"/>
    </row>
    <row r="30" spans="2:15" ht="12.75" thickBot="1">
      <c r="B30" s="2270"/>
      <c r="C30" s="2277"/>
      <c r="D30" s="2271">
        <v>76100000</v>
      </c>
      <c r="E30" s="2271" t="s">
        <v>152</v>
      </c>
      <c r="F30" s="2272">
        <v>0</v>
      </c>
      <c r="G30" s="2273">
        <v>12201001</v>
      </c>
      <c r="H30" s="2271" t="s">
        <v>3922</v>
      </c>
      <c r="I30" s="2272">
        <v>0</v>
      </c>
      <c r="J30" s="2274" t="s">
        <v>3898</v>
      </c>
      <c r="K30" s="2275" t="s">
        <v>3931</v>
      </c>
      <c r="L30" s="2262"/>
      <c r="M30" s="2280">
        <v>0</v>
      </c>
      <c r="N30" s="2248"/>
      <c r="O30" s="2248"/>
    </row>
    <row r="31" spans="2:15" ht="12.75" thickTop="1">
      <c r="B31" s="2281" t="s">
        <v>3932</v>
      </c>
      <c r="C31" s="2282"/>
      <c r="D31" s="2283"/>
      <c r="E31" s="2283"/>
      <c r="F31" s="2284"/>
      <c r="G31" s="2285"/>
      <c r="H31" s="2283"/>
      <c r="I31" s="2284"/>
      <c r="J31" s="2284"/>
      <c r="K31" s="2286"/>
      <c r="L31" s="2233"/>
      <c r="M31" s="2233"/>
      <c r="N31" s="2248"/>
      <c r="O31" s="2248"/>
    </row>
    <row r="32" spans="2:15" ht="12.75" thickBot="1">
      <c r="B32" s="2250"/>
      <c r="C32" s="2232"/>
      <c r="D32" s="2287">
        <v>42010010</v>
      </c>
      <c r="E32" s="2288" t="s">
        <v>2165</v>
      </c>
      <c r="F32" s="2289">
        <v>0</v>
      </c>
      <c r="G32" s="2290">
        <v>42089990</v>
      </c>
      <c r="H32" s="2288" t="s">
        <v>2185</v>
      </c>
      <c r="I32" s="2289">
        <v>0</v>
      </c>
      <c r="J32" s="2289"/>
      <c r="K32" s="2291" t="s">
        <v>3933</v>
      </c>
      <c r="L32" s="2233"/>
      <c r="M32" s="2233"/>
      <c r="N32" s="2249" t="s">
        <v>373</v>
      </c>
      <c r="O32" s="2292"/>
    </row>
    <row r="33" spans="2:15" ht="12.75" thickTop="1">
      <c r="B33" s="2281" t="s">
        <v>3934</v>
      </c>
      <c r="C33" s="2282"/>
      <c r="D33" s="2283"/>
      <c r="E33" s="2283"/>
      <c r="F33" s="2284"/>
      <c r="G33" s="2285"/>
      <c r="H33" s="2283"/>
      <c r="I33" s="2284"/>
      <c r="J33" s="2284"/>
      <c r="K33" s="2286"/>
      <c r="L33" s="2233"/>
      <c r="M33" s="2233"/>
      <c r="N33" s="2248"/>
      <c r="O33" s="2248"/>
    </row>
    <row r="34" spans="2:15">
      <c r="B34" s="2242" t="s">
        <v>3896</v>
      </c>
      <c r="C34" s="2233" t="s">
        <v>3935</v>
      </c>
      <c r="D34" s="2245">
        <v>41089990</v>
      </c>
      <c r="E34" s="2243" t="s">
        <v>2189</v>
      </c>
      <c r="F34" s="2244">
        <v>1230958530</v>
      </c>
      <c r="G34" s="2245">
        <v>31141015</v>
      </c>
      <c r="H34" s="2243" t="s">
        <v>3897</v>
      </c>
      <c r="I34" s="2244">
        <v>1230958530</v>
      </c>
      <c r="J34" s="2234"/>
      <c r="K34" s="2247" t="s">
        <v>3936</v>
      </c>
      <c r="L34" s="2233" t="s">
        <v>1561</v>
      </c>
      <c r="M34" s="2233"/>
      <c r="N34" s="2249" t="s">
        <v>2127</v>
      </c>
      <c r="O34" s="2248"/>
    </row>
    <row r="35" spans="2:15">
      <c r="B35" s="2242"/>
      <c r="C35" s="2233"/>
      <c r="D35" s="2245">
        <v>31141015</v>
      </c>
      <c r="E35" s="2243" t="s">
        <v>3897</v>
      </c>
      <c r="F35" s="2244">
        <v>1232218120</v>
      </c>
      <c r="G35" s="2293">
        <v>42089990</v>
      </c>
      <c r="H35" s="2293" t="s">
        <v>2185</v>
      </c>
      <c r="I35" s="2244">
        <v>1232218120</v>
      </c>
      <c r="J35" s="2234"/>
      <c r="K35" s="2247" t="s">
        <v>3937</v>
      </c>
      <c r="L35" s="2233"/>
      <c r="M35" s="2233"/>
      <c r="N35" s="2249"/>
      <c r="O35" s="2248" t="s">
        <v>144</v>
      </c>
    </row>
    <row r="36" spans="2:15">
      <c r="B36" s="2242"/>
      <c r="C36" s="2233"/>
      <c r="D36" s="2243">
        <v>42089990</v>
      </c>
      <c r="E36" s="2243" t="s">
        <v>2185</v>
      </c>
      <c r="F36" s="2244">
        <v>0</v>
      </c>
      <c r="G36" s="2245">
        <v>31141015</v>
      </c>
      <c r="H36" s="2243" t="s">
        <v>3897</v>
      </c>
      <c r="I36" s="2244">
        <v>0</v>
      </c>
      <c r="J36" s="2234"/>
      <c r="K36" s="2247" t="s">
        <v>3937</v>
      </c>
      <c r="L36" s="2233"/>
      <c r="M36" s="2233"/>
      <c r="N36" s="2249" t="s">
        <v>144</v>
      </c>
      <c r="O36" s="2248"/>
    </row>
    <row r="37" spans="2:15">
      <c r="B37" s="2294"/>
      <c r="C37" s="2295"/>
      <c r="D37" s="2296">
        <v>31141015</v>
      </c>
      <c r="E37" s="2296" t="s">
        <v>3897</v>
      </c>
      <c r="F37" s="2297">
        <v>297891964</v>
      </c>
      <c r="G37" s="2298">
        <v>76100000</v>
      </c>
      <c r="H37" s="2296" t="s">
        <v>152</v>
      </c>
      <c r="I37" s="2297">
        <v>297891964</v>
      </c>
      <c r="J37" s="2299"/>
      <c r="K37" s="2300" t="s">
        <v>3938</v>
      </c>
      <c r="L37" s="2233"/>
      <c r="M37" s="2234"/>
      <c r="N37" s="2248"/>
      <c r="O37" s="2249"/>
    </row>
    <row r="38" spans="2:15">
      <c r="B38" s="2294"/>
      <c r="C38" s="2233" t="s">
        <v>3939</v>
      </c>
      <c r="D38" s="2243">
        <v>31141015</v>
      </c>
      <c r="E38" s="2243" t="s">
        <v>3897</v>
      </c>
      <c r="F38" s="2244">
        <v>165161412</v>
      </c>
      <c r="G38" s="2245" t="s">
        <v>2182</v>
      </c>
      <c r="H38" s="2243" t="s">
        <v>2181</v>
      </c>
      <c r="I38" s="2244">
        <v>165161412</v>
      </c>
      <c r="J38" s="2234"/>
      <c r="K38" s="2247" t="s">
        <v>3940</v>
      </c>
      <c r="L38" s="2233" t="s">
        <v>1507</v>
      </c>
      <c r="M38" s="2233"/>
      <c r="N38" s="2248"/>
      <c r="O38" s="2301" t="s">
        <v>2127</v>
      </c>
    </row>
    <row r="39" spans="2:15">
      <c r="B39" s="2294"/>
      <c r="C39" s="2233"/>
      <c r="D39" s="2245" t="s">
        <v>2182</v>
      </c>
      <c r="E39" s="2243" t="s">
        <v>2181</v>
      </c>
      <c r="F39" s="2244">
        <v>5964320482</v>
      </c>
      <c r="G39" s="2245">
        <v>31141015</v>
      </c>
      <c r="H39" s="2243" t="s">
        <v>3897</v>
      </c>
      <c r="I39" s="2244">
        <v>5964320482</v>
      </c>
      <c r="J39" s="2234"/>
      <c r="K39" s="2247"/>
      <c r="L39" s="2233" t="s">
        <v>1507</v>
      </c>
      <c r="M39" s="2233"/>
      <c r="N39" s="2249" t="s">
        <v>2127</v>
      </c>
      <c r="O39" s="2248"/>
    </row>
    <row r="40" spans="2:15">
      <c r="B40" s="2294"/>
      <c r="C40" s="2233"/>
      <c r="D40" s="2302">
        <v>31141015</v>
      </c>
      <c r="E40" s="2302" t="s">
        <v>3897</v>
      </c>
      <c r="F40" s="2297">
        <v>1439396474</v>
      </c>
      <c r="G40" s="2298">
        <v>76100000</v>
      </c>
      <c r="H40" s="2296" t="s">
        <v>152</v>
      </c>
      <c r="I40" s="2297">
        <v>1439396474</v>
      </c>
      <c r="J40" s="2234"/>
      <c r="K40" s="2247"/>
      <c r="L40" s="2233"/>
      <c r="M40" s="2234"/>
      <c r="N40" s="2249"/>
      <c r="O40" s="2249" t="s">
        <v>153</v>
      </c>
    </row>
    <row r="41" spans="2:15">
      <c r="B41" s="2294"/>
      <c r="C41" s="2233"/>
      <c r="D41" s="2243">
        <v>42012010</v>
      </c>
      <c r="E41" s="2243" t="s">
        <v>2497</v>
      </c>
      <c r="F41" s="2244">
        <v>148760243</v>
      </c>
      <c r="G41" s="2245">
        <v>31141015</v>
      </c>
      <c r="H41" s="2243" t="s">
        <v>3897</v>
      </c>
      <c r="I41" s="2244">
        <v>148760243</v>
      </c>
      <c r="J41" s="2234"/>
      <c r="K41" s="2247" t="s">
        <v>3940</v>
      </c>
      <c r="L41" s="2233"/>
      <c r="M41" s="2233"/>
      <c r="N41" s="2249" t="s">
        <v>144</v>
      </c>
      <c r="O41" s="2248"/>
    </row>
    <row r="42" spans="2:15">
      <c r="B42" s="2294"/>
      <c r="C42" s="2295"/>
      <c r="D42" s="2296">
        <v>31141015</v>
      </c>
      <c r="E42" s="2302" t="s">
        <v>3897</v>
      </c>
      <c r="F42" s="2299"/>
      <c r="G42" s="2298">
        <v>76100000</v>
      </c>
      <c r="H42" s="2296" t="s">
        <v>152</v>
      </c>
      <c r="I42" s="2299">
        <v>0</v>
      </c>
      <c r="J42" s="2299"/>
      <c r="K42" s="2300"/>
      <c r="L42" s="2233"/>
      <c r="M42" s="2234"/>
      <c r="N42" s="2248"/>
      <c r="O42" s="2249" t="s">
        <v>153</v>
      </c>
    </row>
    <row r="43" spans="2:15">
      <c r="B43" s="2294"/>
      <c r="C43" s="2233" t="s">
        <v>3939</v>
      </c>
      <c r="D43" s="2243">
        <v>31141015</v>
      </c>
      <c r="E43" s="2243" t="s">
        <v>3897</v>
      </c>
      <c r="F43" s="2234"/>
      <c r="G43" s="2245">
        <v>31141015</v>
      </c>
      <c r="H43" s="2243" t="s">
        <v>3897</v>
      </c>
      <c r="I43" s="2244">
        <v>-12019923236</v>
      </c>
      <c r="J43" s="2234"/>
      <c r="K43" s="2247" t="s">
        <v>3941</v>
      </c>
      <c r="L43" s="2233"/>
      <c r="M43" s="2233"/>
      <c r="N43" s="2248"/>
      <c r="O43" s="2248"/>
    </row>
    <row r="44" spans="2:15">
      <c r="B44" s="2294"/>
      <c r="C44" s="2233" t="s">
        <v>3942</v>
      </c>
      <c r="D44" s="2243">
        <v>31141015</v>
      </c>
      <c r="E44" s="2243" t="s">
        <v>3897</v>
      </c>
      <c r="F44" s="2234"/>
      <c r="G44" s="2245"/>
      <c r="H44" s="2243"/>
      <c r="I44" s="2234"/>
      <c r="J44" s="2234"/>
      <c r="K44" s="2247" t="s">
        <v>3943</v>
      </c>
      <c r="L44" s="2233"/>
      <c r="M44" s="2233"/>
      <c r="N44" s="2248"/>
      <c r="O44" s="2248"/>
    </row>
    <row r="45" spans="2:15">
      <c r="B45" s="2294"/>
      <c r="C45" s="2233"/>
      <c r="D45" s="2243">
        <v>12171301</v>
      </c>
      <c r="E45" s="2243" t="s">
        <v>3944</v>
      </c>
      <c r="F45" s="2244">
        <v>-12019923236</v>
      </c>
      <c r="G45" s="2245"/>
      <c r="H45" s="2243"/>
      <c r="I45" s="2234"/>
      <c r="J45" s="2234"/>
      <c r="K45" s="2247" t="s">
        <v>3945</v>
      </c>
      <c r="L45" s="2233"/>
      <c r="M45" s="2233"/>
      <c r="N45" s="2248"/>
      <c r="O45" s="2248"/>
    </row>
    <row r="46" spans="2:15">
      <c r="B46" s="2294"/>
      <c r="C46" s="2233"/>
      <c r="D46" s="2243">
        <v>31141015</v>
      </c>
      <c r="E46" s="2243" t="s">
        <v>3897</v>
      </c>
      <c r="F46" s="2244">
        <v>-2908821423</v>
      </c>
      <c r="G46" s="2266">
        <v>12201001</v>
      </c>
      <c r="H46" s="2264" t="s">
        <v>3922</v>
      </c>
      <c r="I46" s="2244">
        <v>-2908821423</v>
      </c>
      <c r="J46" s="2234"/>
      <c r="K46" s="2247" t="s">
        <v>3946</v>
      </c>
      <c r="L46" s="2233"/>
      <c r="M46" s="2233"/>
      <c r="N46" s="2248"/>
      <c r="O46" s="2248"/>
    </row>
    <row r="47" spans="2:15">
      <c r="B47" s="2294"/>
      <c r="C47" s="2233"/>
      <c r="D47" s="2243">
        <v>31141015</v>
      </c>
      <c r="E47" s="2243" t="s">
        <v>3897</v>
      </c>
      <c r="F47" s="2244">
        <v>-2853038219</v>
      </c>
      <c r="G47" s="2303">
        <v>12171302</v>
      </c>
      <c r="H47" s="2304" t="s">
        <v>3947</v>
      </c>
      <c r="I47" s="2244">
        <v>-2853038219</v>
      </c>
      <c r="J47" s="2234"/>
      <c r="K47" s="2247" t="s">
        <v>3948</v>
      </c>
      <c r="L47" s="2233"/>
      <c r="M47" s="2233"/>
      <c r="N47" s="2248"/>
      <c r="O47" s="2248"/>
    </row>
    <row r="48" spans="2:15">
      <c r="B48" s="2305"/>
      <c r="C48" s="2295"/>
      <c r="D48" s="2296">
        <v>31141015</v>
      </c>
      <c r="E48" s="2296" t="s">
        <v>3897</v>
      </c>
      <c r="F48" s="2297">
        <v>690435250</v>
      </c>
      <c r="G48" s="2306">
        <v>12201001</v>
      </c>
      <c r="H48" s="2307" t="s">
        <v>3922</v>
      </c>
      <c r="I48" s="2297">
        <v>690435250</v>
      </c>
      <c r="J48" s="2299"/>
      <c r="K48" s="2300" t="s">
        <v>3949</v>
      </c>
      <c r="L48" s="2233"/>
      <c r="M48" s="2233"/>
      <c r="N48" s="2248"/>
      <c r="O48" s="2248"/>
    </row>
    <row r="49" spans="2:15">
      <c r="B49" s="2305"/>
      <c r="C49" s="2233" t="s">
        <v>3950</v>
      </c>
      <c r="D49" s="2243">
        <v>31141015</v>
      </c>
      <c r="E49" s="2243" t="s">
        <v>3897</v>
      </c>
      <c r="F49" s="2234"/>
      <c r="G49" s="2245">
        <v>42010010</v>
      </c>
      <c r="H49" s="2243" t="s">
        <v>2165</v>
      </c>
      <c r="I49" s="2234"/>
      <c r="J49" s="2234"/>
      <c r="K49" s="2247"/>
      <c r="L49" s="2233"/>
      <c r="M49" s="2233"/>
      <c r="N49" s="2248"/>
      <c r="O49" s="2249" t="s">
        <v>144</v>
      </c>
    </row>
    <row r="50" spans="2:15">
      <c r="B50" s="2305"/>
      <c r="C50" s="2233"/>
      <c r="D50" s="2243">
        <v>76100000</v>
      </c>
      <c r="E50" s="2243" t="s">
        <v>152</v>
      </c>
      <c r="F50" s="2234"/>
      <c r="G50" s="2245">
        <v>31141015</v>
      </c>
      <c r="H50" s="2243" t="s">
        <v>3897</v>
      </c>
      <c r="I50" s="2234"/>
      <c r="J50" s="2234"/>
      <c r="K50" s="2247"/>
      <c r="L50" s="2233"/>
      <c r="M50" s="2233"/>
      <c r="N50" s="2249" t="s">
        <v>153</v>
      </c>
      <c r="O50" s="2248"/>
    </row>
    <row r="51" spans="2:15">
      <c r="B51" s="2305"/>
      <c r="C51" s="2233"/>
      <c r="D51" s="2243">
        <v>31141015</v>
      </c>
      <c r="E51" s="2243" t="s">
        <v>3897</v>
      </c>
      <c r="F51" s="2244">
        <v>560812641</v>
      </c>
      <c r="G51" s="2264" t="s">
        <v>3951</v>
      </c>
      <c r="H51" s="2264" t="s">
        <v>3851</v>
      </c>
      <c r="I51" s="2244">
        <v>560812641</v>
      </c>
      <c r="J51" s="2234"/>
      <c r="K51" s="2251"/>
      <c r="L51" s="2233" t="s">
        <v>1506</v>
      </c>
      <c r="M51" s="2233"/>
      <c r="N51" s="2248"/>
      <c r="O51" s="2301" t="s">
        <v>2127</v>
      </c>
    </row>
    <row r="52" spans="2:15">
      <c r="B52" s="2305"/>
      <c r="C52" s="2295"/>
      <c r="D52" s="2296">
        <v>76100000</v>
      </c>
      <c r="E52" s="2296" t="s">
        <v>152</v>
      </c>
      <c r="F52" s="2297">
        <v>135716659</v>
      </c>
      <c r="G52" s="2298">
        <v>31141015</v>
      </c>
      <c r="H52" s="2296" t="s">
        <v>3897</v>
      </c>
      <c r="I52" s="2297">
        <v>135716659</v>
      </c>
      <c r="J52" s="2299"/>
      <c r="K52" s="2300"/>
      <c r="L52" s="2233"/>
      <c r="M52" s="2234">
        <v>0</v>
      </c>
      <c r="N52" s="2292" t="s">
        <v>153</v>
      </c>
      <c r="O52" s="2248"/>
    </row>
    <row r="53" spans="2:15">
      <c r="B53" s="2308" t="s">
        <v>3919</v>
      </c>
      <c r="C53" s="2309" t="s">
        <v>3935</v>
      </c>
      <c r="D53" s="2288">
        <v>21191301</v>
      </c>
      <c r="E53" s="2288" t="s">
        <v>3952</v>
      </c>
      <c r="F53" s="2310">
        <v>23200499</v>
      </c>
      <c r="G53" s="2290">
        <v>41089990</v>
      </c>
      <c r="H53" s="2288" t="s">
        <v>2189</v>
      </c>
      <c r="I53" s="2289">
        <v>23200499</v>
      </c>
      <c r="J53" s="2289"/>
      <c r="K53" s="2291" t="s">
        <v>3936</v>
      </c>
      <c r="L53" s="2233" t="s">
        <v>1561</v>
      </c>
      <c r="M53" s="2311"/>
      <c r="N53" s="2292" t="s">
        <v>3953</v>
      </c>
      <c r="O53" s="2292" t="s">
        <v>2127</v>
      </c>
    </row>
    <row r="54" spans="2:15">
      <c r="B54" s="2294"/>
      <c r="C54" s="2312"/>
      <c r="D54" s="2313">
        <v>61000600</v>
      </c>
      <c r="E54" s="2313" t="s">
        <v>1380</v>
      </c>
      <c r="F54" s="2314">
        <v>4321843730</v>
      </c>
      <c r="G54" s="2264">
        <v>42089990</v>
      </c>
      <c r="H54" s="2264" t="s">
        <v>2185</v>
      </c>
      <c r="I54" s="2267">
        <v>4321843730</v>
      </c>
      <c r="J54" s="2315"/>
      <c r="K54" s="2316" t="s">
        <v>3937</v>
      </c>
      <c r="L54" s="2233"/>
      <c r="M54" s="2311"/>
      <c r="N54" s="2292" t="s">
        <v>144</v>
      </c>
      <c r="O54" s="2292" t="s">
        <v>144</v>
      </c>
    </row>
    <row r="55" spans="2:15">
      <c r="B55" s="2294"/>
      <c r="C55" s="2312"/>
      <c r="D55" s="2313"/>
      <c r="E55" s="2313"/>
      <c r="F55" s="2234"/>
      <c r="G55" s="2264">
        <v>11191501</v>
      </c>
      <c r="H55" s="2264" t="s">
        <v>3954</v>
      </c>
      <c r="I55" s="2267">
        <v>0</v>
      </c>
      <c r="J55" s="2315"/>
      <c r="K55" s="2316" t="s">
        <v>3937</v>
      </c>
      <c r="L55" s="2233"/>
      <c r="M55" s="2311"/>
      <c r="N55" s="2292" t="s">
        <v>3953</v>
      </c>
      <c r="O55" s="2292"/>
    </row>
    <row r="56" spans="2:15">
      <c r="B56" s="2294"/>
      <c r="C56" s="2317"/>
      <c r="D56" s="2318">
        <v>76100000</v>
      </c>
      <c r="E56" s="2318" t="s">
        <v>152</v>
      </c>
      <c r="F56" s="2319">
        <v>5614521</v>
      </c>
      <c r="G56" s="2306">
        <v>12201001</v>
      </c>
      <c r="H56" s="2307" t="s">
        <v>3922</v>
      </c>
      <c r="I56" s="2320">
        <v>5614521</v>
      </c>
      <c r="J56" s="2321"/>
      <c r="K56" s="2322" t="s">
        <v>3938</v>
      </c>
      <c r="L56" s="2233"/>
      <c r="M56" s="2311"/>
      <c r="N56" s="2292" t="s">
        <v>153</v>
      </c>
      <c r="O56" s="2292" t="s">
        <v>3953</v>
      </c>
    </row>
    <row r="57" spans="2:15">
      <c r="B57" s="2250"/>
      <c r="C57" s="2232" t="s">
        <v>3939</v>
      </c>
      <c r="D57" s="2264">
        <v>11111701</v>
      </c>
      <c r="E57" s="2264" t="s">
        <v>2178</v>
      </c>
      <c r="F57" s="2323">
        <v>-1191338248</v>
      </c>
      <c r="G57" s="2245" t="s">
        <v>2182</v>
      </c>
      <c r="H57" s="2243" t="s">
        <v>2181</v>
      </c>
      <c r="I57" s="2234">
        <v>-1191338248</v>
      </c>
      <c r="J57" s="2234"/>
      <c r="K57" s="2247" t="s">
        <v>3940</v>
      </c>
      <c r="L57" s="2233" t="s">
        <v>1507</v>
      </c>
      <c r="M57" s="2324"/>
      <c r="N57" s="2248"/>
      <c r="O57" s="2325" t="s">
        <v>2127</v>
      </c>
    </row>
    <row r="58" spans="2:15">
      <c r="B58" s="2250"/>
      <c r="C58" s="2232"/>
      <c r="D58" s="2245" t="s">
        <v>2182</v>
      </c>
      <c r="E58" s="2243" t="s">
        <v>2181</v>
      </c>
      <c r="F58" s="2323">
        <v>-1132154594</v>
      </c>
      <c r="G58" s="2245">
        <v>21191101</v>
      </c>
      <c r="H58" s="2243" t="s">
        <v>3955</v>
      </c>
      <c r="I58" s="2234">
        <v>-1132154594</v>
      </c>
      <c r="J58" s="2234"/>
      <c r="K58" s="2247" t="s">
        <v>3940</v>
      </c>
      <c r="L58" s="2233" t="s">
        <v>1481</v>
      </c>
      <c r="M58" s="2326">
        <v>-32649823986</v>
      </c>
      <c r="N58" s="2249" t="s">
        <v>2127</v>
      </c>
      <c r="O58" s="2327"/>
    </row>
    <row r="59" spans="2:15">
      <c r="B59" s="2250"/>
      <c r="C59" s="2232"/>
      <c r="D59" s="2243">
        <v>42012010</v>
      </c>
      <c r="E59" s="2243" t="s">
        <v>2497</v>
      </c>
      <c r="F59" s="2323">
        <v>-1099595298</v>
      </c>
      <c r="G59" s="2266">
        <v>12171801</v>
      </c>
      <c r="H59" s="2264" t="s">
        <v>3956</v>
      </c>
      <c r="I59" s="2234">
        <v>-1099595298</v>
      </c>
      <c r="J59" s="2234"/>
      <c r="K59" s="2247" t="s">
        <v>3940</v>
      </c>
      <c r="L59" s="2233"/>
      <c r="M59" s="2311">
        <v>1985535252</v>
      </c>
      <c r="N59" s="2249" t="s">
        <v>144</v>
      </c>
      <c r="O59" s="2327"/>
    </row>
    <row r="60" spans="2:15">
      <c r="B60" s="2250"/>
      <c r="C60" s="2328"/>
      <c r="D60" s="2307">
        <v>76100000</v>
      </c>
      <c r="E60" s="2307" t="s">
        <v>152</v>
      </c>
      <c r="F60" s="2329">
        <v>251779618</v>
      </c>
      <c r="G60" s="2306">
        <v>12201001</v>
      </c>
      <c r="H60" s="2307" t="s">
        <v>3922</v>
      </c>
      <c r="I60" s="2299">
        <v>251779618</v>
      </c>
      <c r="J60" s="2299"/>
      <c r="K60" s="2300" t="s">
        <v>3940</v>
      </c>
      <c r="L60" s="2233"/>
      <c r="M60" s="2311"/>
      <c r="N60" s="2292" t="s">
        <v>153</v>
      </c>
      <c r="O60" s="2327"/>
    </row>
    <row r="61" spans="2:15">
      <c r="B61" s="2250"/>
      <c r="C61" s="2232" t="s">
        <v>3939</v>
      </c>
      <c r="D61" s="2243" t="s">
        <v>2166</v>
      </c>
      <c r="E61" s="2243" t="s">
        <v>2165</v>
      </c>
      <c r="F61" s="2323">
        <v>-9457243695</v>
      </c>
      <c r="G61" s="2245" t="s">
        <v>2166</v>
      </c>
      <c r="H61" s="2243" t="s">
        <v>2165</v>
      </c>
      <c r="I61" s="2314">
        <v>-41083920090</v>
      </c>
      <c r="J61" s="2234"/>
      <c r="K61" s="2247" t="s">
        <v>3941</v>
      </c>
      <c r="L61" s="2233"/>
      <c r="M61" s="2324"/>
      <c r="N61" s="2249" t="s">
        <v>144</v>
      </c>
      <c r="O61" s="2249" t="s">
        <v>144</v>
      </c>
    </row>
    <row r="62" spans="2:15">
      <c r="B62" s="2250"/>
      <c r="C62" s="2232" t="s">
        <v>3942</v>
      </c>
      <c r="D62" s="2243">
        <v>42012010</v>
      </c>
      <c r="E62" s="2243" t="s">
        <v>2497</v>
      </c>
      <c r="F62" s="2323">
        <v>-29252933292</v>
      </c>
      <c r="G62" s="2266"/>
      <c r="H62" s="2264"/>
      <c r="I62" s="2234"/>
      <c r="J62" s="2234"/>
      <c r="K62" s="2247" t="s">
        <v>3943</v>
      </c>
      <c r="L62" s="2233"/>
      <c r="M62" s="2324"/>
      <c r="N62" s="2249" t="s">
        <v>144</v>
      </c>
      <c r="O62" s="2327"/>
    </row>
    <row r="63" spans="2:15">
      <c r="B63" s="2250"/>
      <c r="C63" s="2232"/>
      <c r="D63" s="2243">
        <v>12171301</v>
      </c>
      <c r="E63" s="2243" t="s">
        <v>3944</v>
      </c>
      <c r="F63" s="2323">
        <v>-2373743103</v>
      </c>
      <c r="G63" s="2245"/>
      <c r="H63" s="2243"/>
      <c r="I63" s="2234"/>
      <c r="J63" s="2234"/>
      <c r="K63" s="2247" t="s">
        <v>3945</v>
      </c>
      <c r="L63" s="2233"/>
      <c r="M63" s="2324"/>
      <c r="N63" s="2327"/>
      <c r="O63" s="2327"/>
    </row>
    <row r="64" spans="2:15">
      <c r="B64" s="2250"/>
      <c r="C64" s="2232"/>
      <c r="D64" s="2264">
        <v>76100000</v>
      </c>
      <c r="E64" s="2264" t="s">
        <v>152</v>
      </c>
      <c r="F64" s="2323">
        <v>-574445831</v>
      </c>
      <c r="G64" s="2266">
        <v>12201001</v>
      </c>
      <c r="H64" s="2264" t="s">
        <v>3922</v>
      </c>
      <c r="I64" s="2267">
        <v>-574445831</v>
      </c>
      <c r="J64" s="2234"/>
      <c r="K64" s="2247" t="s">
        <v>3946</v>
      </c>
      <c r="L64" s="2233"/>
      <c r="M64" s="2324"/>
      <c r="N64" s="2292" t="s">
        <v>153</v>
      </c>
      <c r="O64" s="2327"/>
    </row>
    <row r="65" spans="2:15">
      <c r="B65" s="2250"/>
      <c r="C65" s="2232"/>
      <c r="D65" s="2243">
        <v>42010010</v>
      </c>
      <c r="E65" s="2243" t="s">
        <v>2165</v>
      </c>
      <c r="F65" s="2323">
        <v>-861553311</v>
      </c>
      <c r="G65" s="2303">
        <v>12171302</v>
      </c>
      <c r="H65" s="2304" t="s">
        <v>3947</v>
      </c>
      <c r="I65" s="2234">
        <v>-861553311</v>
      </c>
      <c r="J65" s="2234"/>
      <c r="K65" s="2247" t="s">
        <v>3948</v>
      </c>
      <c r="L65" s="2233"/>
      <c r="M65" s="2324"/>
      <c r="N65" s="2249" t="s">
        <v>144</v>
      </c>
      <c r="O65" s="2327"/>
    </row>
    <row r="66" spans="2:15">
      <c r="B66" s="2250"/>
      <c r="C66" s="2328"/>
      <c r="D66" s="2307">
        <v>76100000</v>
      </c>
      <c r="E66" s="2307" t="s">
        <v>152</v>
      </c>
      <c r="F66" s="2329">
        <v>208495901</v>
      </c>
      <c r="G66" s="2306">
        <v>12201001</v>
      </c>
      <c r="H66" s="2307" t="s">
        <v>3922</v>
      </c>
      <c r="I66" s="2299">
        <v>208495901</v>
      </c>
      <c r="J66" s="2299"/>
      <c r="K66" s="2300" t="s">
        <v>3949</v>
      </c>
      <c r="L66" s="2233"/>
      <c r="M66" s="2324"/>
      <c r="N66" s="2292" t="s">
        <v>153</v>
      </c>
      <c r="O66" s="2327"/>
    </row>
    <row r="67" spans="2:15">
      <c r="B67" s="2250"/>
      <c r="C67" s="2232" t="s">
        <v>3957</v>
      </c>
      <c r="D67" s="2264">
        <v>11111701</v>
      </c>
      <c r="E67" s="2264" t="s">
        <v>2178</v>
      </c>
      <c r="F67" s="2323">
        <v>0</v>
      </c>
      <c r="G67" s="2245" t="s">
        <v>2182</v>
      </c>
      <c r="H67" s="2243" t="s">
        <v>2181</v>
      </c>
      <c r="I67" s="2234">
        <v>0</v>
      </c>
      <c r="J67" s="2234"/>
      <c r="K67" s="2247" t="s">
        <v>3958</v>
      </c>
      <c r="L67" s="2233" t="s">
        <v>1507</v>
      </c>
      <c r="M67" s="2324"/>
      <c r="N67" s="2248"/>
      <c r="O67" s="2325" t="s">
        <v>2127</v>
      </c>
    </row>
    <row r="68" spans="2:15">
      <c r="B68" s="2250"/>
      <c r="C68" s="2232"/>
      <c r="D68" s="2243">
        <v>42010010</v>
      </c>
      <c r="E68" s="2243" t="s">
        <v>2165</v>
      </c>
      <c r="F68" s="2323">
        <v>0</v>
      </c>
      <c r="G68" s="2245">
        <v>21191101</v>
      </c>
      <c r="H68" s="2243" t="s">
        <v>3955</v>
      </c>
      <c r="I68" s="2234">
        <v>0</v>
      </c>
      <c r="J68" s="2234"/>
      <c r="K68" s="2247" t="s">
        <v>3958</v>
      </c>
      <c r="L68" s="2233"/>
      <c r="M68" s="2324">
        <v>1209</v>
      </c>
      <c r="N68" s="2249" t="s">
        <v>144</v>
      </c>
      <c r="O68" s="2327"/>
    </row>
    <row r="69" spans="2:15">
      <c r="B69" s="2250"/>
      <c r="C69" s="2232"/>
      <c r="D69" s="2264">
        <v>42012010</v>
      </c>
      <c r="E69" s="2264" t="s">
        <v>2497</v>
      </c>
      <c r="F69" s="2323">
        <v>0</v>
      </c>
      <c r="G69" s="2245">
        <v>12171801</v>
      </c>
      <c r="H69" s="2243" t="s">
        <v>3956</v>
      </c>
      <c r="I69" s="2234">
        <v>0</v>
      </c>
      <c r="J69" s="2234"/>
      <c r="K69" s="2247" t="s">
        <v>3958</v>
      </c>
      <c r="L69" s="2233"/>
      <c r="M69" s="2330"/>
      <c r="N69" s="2249" t="s">
        <v>144</v>
      </c>
      <c r="O69" s="2327"/>
    </row>
    <row r="70" spans="2:15">
      <c r="B70" s="2250"/>
      <c r="C70" s="2232"/>
      <c r="D70" s="2307">
        <v>76100000</v>
      </c>
      <c r="E70" s="2307" t="s">
        <v>152</v>
      </c>
      <c r="F70" s="2329">
        <v>0</v>
      </c>
      <c r="G70" s="2306">
        <v>12201001</v>
      </c>
      <c r="H70" s="2307" t="s">
        <v>3922</v>
      </c>
      <c r="I70" s="2299">
        <v>0</v>
      </c>
      <c r="J70" s="2299"/>
      <c r="K70" s="2300" t="s">
        <v>3959</v>
      </c>
      <c r="L70" s="2233"/>
      <c r="M70" s="2330"/>
      <c r="N70" s="2292" t="s">
        <v>153</v>
      </c>
      <c r="O70" s="2327"/>
    </row>
    <row r="71" spans="2:15">
      <c r="B71" s="2250"/>
      <c r="C71" s="2232" t="s">
        <v>3950</v>
      </c>
      <c r="D71" s="2264" t="s">
        <v>2166</v>
      </c>
      <c r="E71" s="2264" t="s">
        <v>2165</v>
      </c>
      <c r="F71" s="2234"/>
      <c r="G71" s="2266">
        <v>11111701</v>
      </c>
      <c r="H71" s="2264" t="s">
        <v>2178</v>
      </c>
      <c r="I71" s="2234"/>
      <c r="J71" s="2234"/>
      <c r="K71" s="2247" t="s">
        <v>3960</v>
      </c>
      <c r="L71" s="2233"/>
      <c r="M71" s="2330"/>
      <c r="N71" s="2331" t="s">
        <v>144</v>
      </c>
      <c r="O71" s="2327"/>
    </row>
    <row r="72" spans="2:15">
      <c r="B72" s="2250"/>
      <c r="C72" s="2232"/>
      <c r="D72" s="2264">
        <v>12201001</v>
      </c>
      <c r="E72" s="2264" t="s">
        <v>3922</v>
      </c>
      <c r="F72" s="2234"/>
      <c r="G72" s="2266">
        <v>76100000</v>
      </c>
      <c r="H72" s="2264" t="s">
        <v>152</v>
      </c>
      <c r="I72" s="2234"/>
      <c r="J72" s="2234"/>
      <c r="K72" s="2247" t="s">
        <v>3961</v>
      </c>
      <c r="L72" s="2233"/>
      <c r="M72" s="2332"/>
      <c r="N72" s="2327"/>
      <c r="O72" s="2327"/>
    </row>
    <row r="73" spans="2:15">
      <c r="B73" s="2250"/>
      <c r="C73" s="2232"/>
      <c r="D73" s="2264" t="s">
        <v>3951</v>
      </c>
      <c r="E73" s="2264" t="s">
        <v>3851</v>
      </c>
      <c r="F73" s="2314">
        <v>-1038512086</v>
      </c>
      <c r="G73" s="2266">
        <v>11111001</v>
      </c>
      <c r="H73" s="2264" t="s">
        <v>2190</v>
      </c>
      <c r="I73" s="2234">
        <v>-1038512086</v>
      </c>
      <c r="J73" s="2234"/>
      <c r="K73" s="2247" t="s">
        <v>3962</v>
      </c>
      <c r="L73" s="2233" t="s">
        <v>1506</v>
      </c>
      <c r="M73" s="2330"/>
      <c r="N73" s="2292" t="s">
        <v>2127</v>
      </c>
      <c r="O73" s="2327"/>
    </row>
    <row r="74" spans="2:15" ht="12.75" thickBot="1">
      <c r="B74" s="2250"/>
      <c r="C74" s="2232"/>
      <c r="D74" s="2264">
        <v>12201001</v>
      </c>
      <c r="E74" s="2264" t="s">
        <v>3922</v>
      </c>
      <c r="F74" s="2314">
        <v>-251319925</v>
      </c>
      <c r="G74" s="2266">
        <v>76100000</v>
      </c>
      <c r="H74" s="2264" t="s">
        <v>152</v>
      </c>
      <c r="I74" s="2234">
        <v>-251319925</v>
      </c>
      <c r="J74" s="2234"/>
      <c r="K74" s="2247" t="s">
        <v>3961</v>
      </c>
      <c r="L74" s="2233"/>
      <c r="M74" s="2330"/>
      <c r="N74" s="2327"/>
      <c r="O74" s="2292" t="s">
        <v>153</v>
      </c>
    </row>
    <row r="75" spans="2:15" ht="12.75" thickTop="1">
      <c r="B75" s="2281" t="s">
        <v>3963</v>
      </c>
      <c r="C75" s="2282"/>
      <c r="D75" s="2283"/>
      <c r="E75" s="2283"/>
      <c r="F75" s="2284"/>
      <c r="G75" s="2285"/>
      <c r="H75" s="2283"/>
      <c r="I75" s="2284"/>
      <c r="J75" s="2284"/>
      <c r="K75" s="2286"/>
      <c r="L75" s="2233"/>
      <c r="M75" s="2333">
        <v>0</v>
      </c>
      <c r="N75" s="2248"/>
      <c r="O75" s="2248" t="s">
        <v>3953</v>
      </c>
    </row>
    <row r="76" spans="2:15">
      <c r="B76" s="2242" t="s">
        <v>3919</v>
      </c>
      <c r="C76" s="2233" t="s">
        <v>1480</v>
      </c>
      <c r="D76" s="2243">
        <v>71101500</v>
      </c>
      <c r="E76" s="2334" t="s">
        <v>3858</v>
      </c>
      <c r="F76" s="2234"/>
      <c r="G76" s="2245">
        <v>71101400</v>
      </c>
      <c r="H76" s="2334" t="s">
        <v>3857</v>
      </c>
      <c r="I76" s="2234"/>
      <c r="J76" s="2234"/>
      <c r="K76" s="2247" t="s">
        <v>3964</v>
      </c>
      <c r="L76" s="2233"/>
      <c r="M76" s="2233"/>
      <c r="N76" s="2248"/>
      <c r="O76" s="2248" t="s">
        <v>3953</v>
      </c>
    </row>
    <row r="77" spans="2:15">
      <c r="B77" s="2294"/>
      <c r="C77" s="2233"/>
      <c r="D77" s="2243">
        <v>72101800</v>
      </c>
      <c r="E77" s="2334" t="s">
        <v>3866</v>
      </c>
      <c r="F77" s="2234"/>
      <c r="G77" s="2245">
        <v>72101900</v>
      </c>
      <c r="H77" s="2334" t="s">
        <v>3867</v>
      </c>
      <c r="I77" s="2234"/>
      <c r="J77" s="2234"/>
      <c r="K77" s="2247" t="s">
        <v>3964</v>
      </c>
      <c r="L77" s="2233"/>
      <c r="M77" s="2233"/>
      <c r="N77" s="2248"/>
      <c r="O77" s="2248" t="s">
        <v>3953</v>
      </c>
    </row>
    <row r="78" spans="2:15">
      <c r="B78" s="2294"/>
      <c r="C78" s="2233" t="s">
        <v>3238</v>
      </c>
      <c r="D78" s="2243">
        <v>72100200</v>
      </c>
      <c r="E78" s="2334" t="s">
        <v>3862</v>
      </c>
      <c r="F78" s="2234"/>
      <c r="G78" s="2245">
        <v>71100400</v>
      </c>
      <c r="H78" s="2334" t="s">
        <v>3856</v>
      </c>
      <c r="I78" s="2234"/>
      <c r="J78" s="2234"/>
      <c r="K78" s="2247" t="s">
        <v>3964</v>
      </c>
      <c r="L78" s="2233"/>
      <c r="M78" s="2233"/>
      <c r="N78" s="2248"/>
      <c r="O78" s="2248" t="s">
        <v>3953</v>
      </c>
    </row>
    <row r="79" spans="2:15">
      <c r="B79" s="2294"/>
      <c r="C79" s="2233" t="s">
        <v>1508</v>
      </c>
      <c r="D79" s="2243">
        <v>74110800</v>
      </c>
      <c r="E79" s="2334" t="s">
        <v>3887</v>
      </c>
      <c r="F79" s="2234"/>
      <c r="G79" s="2245">
        <v>73110800</v>
      </c>
      <c r="H79" s="2233" t="s">
        <v>3878</v>
      </c>
      <c r="I79" s="2234"/>
      <c r="J79" s="2234"/>
      <c r="K79" s="2247" t="s">
        <v>3965</v>
      </c>
      <c r="L79" s="2233"/>
      <c r="M79" s="2233"/>
      <c r="N79" s="2248"/>
      <c r="O79" s="2248" t="s">
        <v>3953</v>
      </c>
    </row>
    <row r="80" spans="2:15">
      <c r="B80" s="2294"/>
      <c r="C80" s="2233" t="s">
        <v>1480</v>
      </c>
      <c r="D80" s="2243">
        <v>72101800</v>
      </c>
      <c r="E80" s="2233" t="s">
        <v>3866</v>
      </c>
      <c r="F80" s="2234"/>
      <c r="G80" s="2245">
        <v>71101400</v>
      </c>
      <c r="H80" s="2233" t="s">
        <v>3857</v>
      </c>
      <c r="I80" s="2234"/>
      <c r="J80" s="2234"/>
      <c r="K80" s="2247" t="s">
        <v>3965</v>
      </c>
      <c r="L80" s="2233"/>
      <c r="M80" s="2233"/>
      <c r="N80" s="2248"/>
      <c r="O80" s="2248" t="s">
        <v>3953</v>
      </c>
    </row>
    <row r="81" spans="2:15">
      <c r="B81" s="2294"/>
      <c r="C81" s="2233" t="s">
        <v>1480</v>
      </c>
      <c r="D81" s="2243">
        <v>72101800</v>
      </c>
      <c r="E81" s="2233" t="s">
        <v>3866</v>
      </c>
      <c r="F81" s="2234"/>
      <c r="G81" s="2245">
        <v>71101400</v>
      </c>
      <c r="H81" s="2233" t="s">
        <v>3857</v>
      </c>
      <c r="I81" s="2234"/>
      <c r="J81" s="2234"/>
      <c r="K81" s="2247" t="s">
        <v>3965</v>
      </c>
      <c r="L81" s="2233"/>
      <c r="M81" s="2233"/>
      <c r="N81" s="2248"/>
      <c r="O81" s="2248" t="s">
        <v>3953</v>
      </c>
    </row>
    <row r="82" spans="2:15">
      <c r="B82" s="2294"/>
      <c r="C82" s="2233" t="s">
        <v>3238</v>
      </c>
      <c r="D82" s="2243">
        <v>72100200</v>
      </c>
      <c r="E82" s="2243" t="s">
        <v>3862</v>
      </c>
      <c r="F82" s="2234"/>
      <c r="G82" s="2245">
        <v>71100400</v>
      </c>
      <c r="H82" s="2243" t="s">
        <v>3856</v>
      </c>
      <c r="I82" s="2234"/>
      <c r="J82" s="2234"/>
      <c r="K82" s="2247" t="s">
        <v>3965</v>
      </c>
      <c r="L82" s="2233"/>
      <c r="M82" s="2233"/>
      <c r="N82" s="2248"/>
      <c r="O82" s="2248" t="s">
        <v>3953</v>
      </c>
    </row>
    <row r="83" spans="2:15" ht="15">
      <c r="B83" s="2211"/>
      <c r="C83" s="2190"/>
      <c r="D83" s="2192"/>
      <c r="E83" s="2192"/>
      <c r="F83" s="2191"/>
      <c r="G83" s="2193"/>
      <c r="H83" s="2192"/>
      <c r="I83" s="2191"/>
      <c r="J83" s="2191"/>
      <c r="K83" s="2194"/>
      <c r="L83" s="2190"/>
      <c r="M83" s="2190"/>
      <c r="N83" s="2195"/>
      <c r="O83" s="2195"/>
    </row>
    <row r="84" spans="2:15" ht="16.5">
      <c r="B84" s="2210"/>
      <c r="C84" s="2212"/>
      <c r="D84" s="2206"/>
      <c r="E84" s="2206"/>
      <c r="F84" s="2207"/>
      <c r="G84" s="2218"/>
      <c r="H84" s="2206"/>
      <c r="I84" s="2207"/>
      <c r="J84" s="2207"/>
      <c r="K84" s="2208"/>
      <c r="L84" s="2190"/>
      <c r="M84" s="2214"/>
      <c r="N84" s="2215"/>
      <c r="O84" s="2215"/>
    </row>
    <row r="85" spans="2:15" ht="16.5">
      <c r="B85" s="2210"/>
      <c r="C85" s="2189"/>
      <c r="D85" s="2217"/>
      <c r="E85" s="2217"/>
      <c r="F85" s="2191"/>
      <c r="G85" s="2219"/>
      <c r="H85" s="2217"/>
      <c r="I85" s="2191"/>
      <c r="J85" s="2191"/>
      <c r="K85" s="2194"/>
      <c r="L85" s="2190"/>
      <c r="M85" s="2213"/>
      <c r="N85" s="2215"/>
      <c r="O85" s="2215"/>
    </row>
    <row r="86" spans="2:15" ht="16.5">
      <c r="B86" s="2210"/>
      <c r="C86" s="2189"/>
      <c r="D86" s="2217"/>
      <c r="E86" s="2217"/>
      <c r="F86" s="2191"/>
      <c r="G86" s="2219"/>
      <c r="H86" s="2217"/>
      <c r="I86" s="2191" t="s">
        <v>3966</v>
      </c>
      <c r="J86" s="2191" t="s">
        <v>3967</v>
      </c>
      <c r="K86" s="2194" t="s">
        <v>3968</v>
      </c>
      <c r="L86" s="2190"/>
      <c r="M86" s="2214"/>
      <c r="N86" s="2215"/>
      <c r="O86" s="2215"/>
    </row>
    <row r="87" spans="2:15" ht="16.5">
      <c r="B87" s="2210"/>
      <c r="C87" s="2189"/>
      <c r="D87" s="2217"/>
      <c r="E87" s="2217"/>
      <c r="F87" s="2191"/>
      <c r="G87" s="2219"/>
      <c r="H87" s="2217" t="s">
        <v>3238</v>
      </c>
      <c r="I87" s="2191">
        <v>1368945827</v>
      </c>
      <c r="J87" s="2191">
        <v>1370452786</v>
      </c>
      <c r="K87" s="2197">
        <v>-1506959</v>
      </c>
      <c r="L87" s="2190"/>
      <c r="M87" s="2213"/>
      <c r="N87" s="2215"/>
      <c r="O87" s="2215"/>
    </row>
    <row r="88" spans="2:15" ht="16.5">
      <c r="B88" s="2210"/>
      <c r="C88" s="2189"/>
      <c r="D88" s="2217"/>
      <c r="E88" s="2220"/>
      <c r="F88" s="2191"/>
      <c r="G88" s="2219"/>
      <c r="H88" s="2217" t="s">
        <v>1481</v>
      </c>
      <c r="I88" s="2191">
        <v>-4235594461</v>
      </c>
      <c r="J88" s="2191">
        <v>-3459097899</v>
      </c>
      <c r="K88" s="2197">
        <v>-776496562</v>
      </c>
      <c r="L88" s="2190"/>
      <c r="M88" s="2213"/>
      <c r="N88" s="2215"/>
      <c r="O88" s="2215"/>
    </row>
    <row r="89" spans="2:15" ht="16.5">
      <c r="B89" s="2210"/>
      <c r="C89" s="2189"/>
      <c r="D89" s="2217"/>
      <c r="E89" s="2220"/>
      <c r="F89" s="2191"/>
      <c r="G89" s="2219"/>
      <c r="H89" s="2217" t="s">
        <v>1482</v>
      </c>
      <c r="I89" s="2191">
        <v>24460089</v>
      </c>
      <c r="J89" s="2191">
        <v>24460089</v>
      </c>
      <c r="K89" s="2197">
        <v>0</v>
      </c>
      <c r="L89" s="2190"/>
      <c r="M89" s="2213"/>
      <c r="N89" s="2215"/>
      <c r="O89" s="2215"/>
    </row>
    <row r="90" spans="2:15" ht="16.5">
      <c r="B90" s="2210"/>
      <c r="C90" s="2189"/>
      <c r="D90" s="2217"/>
      <c r="E90" s="2217"/>
      <c r="F90" s="2191"/>
      <c r="G90" s="2219"/>
      <c r="H90" s="2217" t="s">
        <v>1480</v>
      </c>
      <c r="I90" s="2191">
        <v>-28313565</v>
      </c>
      <c r="J90" s="2191">
        <v>-19757014</v>
      </c>
      <c r="K90" s="2197">
        <v>-8556551</v>
      </c>
      <c r="L90" s="2190"/>
      <c r="M90" s="2213"/>
      <c r="N90" s="2215"/>
      <c r="O90" s="2215"/>
    </row>
    <row r="91" spans="2:15" ht="16.5">
      <c r="B91" s="2210"/>
      <c r="C91" s="2189"/>
      <c r="D91" s="2217"/>
      <c r="E91" s="2217"/>
      <c r="F91" s="2191"/>
      <c r="G91" s="2219"/>
      <c r="H91" s="2217"/>
      <c r="I91" s="2191"/>
      <c r="J91" s="2191"/>
      <c r="K91" s="2191"/>
      <c r="L91" s="2190"/>
      <c r="M91" s="2213">
        <v>300000</v>
      </c>
      <c r="N91" s="2215"/>
      <c r="O91" s="2215"/>
    </row>
    <row r="92" spans="2:15" ht="16.5">
      <c r="B92" s="2210"/>
      <c r="C92" s="2189"/>
      <c r="D92" s="2217"/>
      <c r="E92" s="2217"/>
      <c r="F92" s="2191"/>
      <c r="G92" s="2219"/>
      <c r="H92" s="2217"/>
      <c r="I92" s="2191">
        <v>0</v>
      </c>
      <c r="J92" s="2191"/>
      <c r="K92" s="2194"/>
      <c r="L92" s="2190"/>
      <c r="M92" s="2213"/>
      <c r="N92" s="2215"/>
      <c r="O92" s="2215"/>
    </row>
    <row r="93" spans="2:15" ht="16.5">
      <c r="B93" s="2210"/>
      <c r="C93" s="2189"/>
      <c r="D93" s="2217"/>
      <c r="E93" s="2217"/>
      <c r="F93" s="2191"/>
      <c r="G93" s="2219"/>
      <c r="H93" s="2217"/>
      <c r="I93" s="2191"/>
      <c r="J93" s="2191"/>
      <c r="K93" s="2194"/>
      <c r="L93" s="2190"/>
      <c r="M93" s="2213"/>
      <c r="N93" s="2215"/>
      <c r="O93" s="2215"/>
    </row>
    <row r="94" spans="2:15" ht="17.25" thickBot="1">
      <c r="B94" s="2210"/>
      <c r="C94" s="2189"/>
      <c r="D94" s="2221"/>
      <c r="E94" s="2221"/>
      <c r="F94" s="2191"/>
      <c r="G94" s="2222"/>
      <c r="H94" s="2221"/>
      <c r="I94" s="2199"/>
      <c r="J94" s="2191"/>
      <c r="K94" s="2194"/>
      <c r="L94" s="2190"/>
      <c r="M94" s="2213"/>
      <c r="N94" s="2215"/>
      <c r="O94" s="2215"/>
    </row>
    <row r="95" spans="2:15" ht="17.25" thickTop="1">
      <c r="B95" s="2200" t="s">
        <v>3969</v>
      </c>
      <c r="C95" s="2201"/>
      <c r="D95" s="2202"/>
      <c r="E95" s="2202"/>
      <c r="F95" s="2203"/>
      <c r="G95" s="2204"/>
      <c r="H95" s="2202"/>
      <c r="I95" s="2203"/>
      <c r="J95" s="2203"/>
      <c r="K95" s="2205"/>
      <c r="L95" s="2190"/>
      <c r="M95" s="2216"/>
      <c r="N95" s="2215"/>
      <c r="O95" s="2215"/>
    </row>
    <row r="96" spans="2:15" ht="13.5">
      <c r="B96" s="2211"/>
      <c r="C96" s="2190"/>
      <c r="D96" s="2192" t="s">
        <v>3951</v>
      </c>
      <c r="E96" s="2190" t="s">
        <v>3851</v>
      </c>
      <c r="F96" s="2191"/>
      <c r="G96" s="2192" t="s">
        <v>3951</v>
      </c>
      <c r="H96" s="2190" t="s">
        <v>3851</v>
      </c>
      <c r="I96" s="2223">
        <v>-231180747327</v>
      </c>
      <c r="J96" s="2224"/>
      <c r="K96" s="2225" t="s">
        <v>3970</v>
      </c>
      <c r="L96" s="2190" t="s">
        <v>1506</v>
      </c>
      <c r="M96" s="2226"/>
      <c r="N96" s="2209" t="s">
        <v>3953</v>
      </c>
      <c r="O96" s="2209" t="s">
        <v>2127</v>
      </c>
    </row>
    <row r="97" spans="2:15" ht="13.5">
      <c r="B97" s="2211"/>
      <c r="C97" s="2190"/>
      <c r="D97" s="2192" t="s">
        <v>3971</v>
      </c>
      <c r="E97" s="2190" t="s">
        <v>1391</v>
      </c>
      <c r="F97" s="2191"/>
      <c r="G97" s="2192" t="s">
        <v>3971</v>
      </c>
      <c r="H97" s="2190" t="s">
        <v>1391</v>
      </c>
      <c r="I97" s="2191"/>
      <c r="J97" s="2198"/>
      <c r="K97" s="2225" t="s">
        <v>3970</v>
      </c>
      <c r="L97" s="2190"/>
      <c r="M97" s="2226"/>
      <c r="N97" s="2209" t="s">
        <v>3953</v>
      </c>
      <c r="O97" s="2227" t="s">
        <v>3953</v>
      </c>
    </row>
    <row r="98" spans="2:15" ht="13.5">
      <c r="B98" s="2211"/>
      <c r="C98" s="2190"/>
      <c r="D98" s="2192" t="s">
        <v>2166</v>
      </c>
      <c r="E98" s="2190" t="s">
        <v>2165</v>
      </c>
      <c r="F98" s="2191"/>
      <c r="G98" s="2192" t="s">
        <v>2166</v>
      </c>
      <c r="H98" s="2190" t="s">
        <v>2165</v>
      </c>
      <c r="I98" s="2191"/>
      <c r="J98" s="2224"/>
      <c r="K98" s="2225" t="s">
        <v>3970</v>
      </c>
      <c r="L98" s="2190"/>
      <c r="M98" s="2226"/>
      <c r="N98" s="2209" t="s">
        <v>3953</v>
      </c>
      <c r="O98" s="2209" t="s">
        <v>3953</v>
      </c>
    </row>
    <row r="99" spans="2:15" ht="13.5">
      <c r="B99" s="2211"/>
      <c r="C99" s="2190"/>
      <c r="D99" s="2192" t="s">
        <v>2191</v>
      </c>
      <c r="E99" s="2190" t="s">
        <v>2190</v>
      </c>
      <c r="F99" s="2223">
        <v>-3436618351</v>
      </c>
      <c r="G99" s="2192" t="s">
        <v>2191</v>
      </c>
      <c r="H99" s="2190" t="s">
        <v>2190</v>
      </c>
      <c r="I99" s="2191"/>
      <c r="J99" s="2224"/>
      <c r="K99" s="2225" t="s">
        <v>3970</v>
      </c>
      <c r="L99" s="2190"/>
      <c r="M99" s="2226"/>
      <c r="N99" s="2209" t="s">
        <v>3953</v>
      </c>
      <c r="O99" s="2209" t="s">
        <v>3953</v>
      </c>
    </row>
    <row r="100" spans="2:15" ht="13.5">
      <c r="B100" s="2211"/>
      <c r="C100" s="2190"/>
      <c r="D100" s="2192" t="s">
        <v>2166</v>
      </c>
      <c r="E100" s="2190" t="s">
        <v>2165</v>
      </c>
      <c r="F100" s="2223">
        <v>-27400000</v>
      </c>
      <c r="G100" s="2192" t="s">
        <v>2166</v>
      </c>
      <c r="H100" s="2190" t="s">
        <v>2165</v>
      </c>
      <c r="I100" s="2191"/>
      <c r="J100" s="2224"/>
      <c r="K100" s="2225" t="s">
        <v>2167</v>
      </c>
      <c r="L100" s="2190"/>
      <c r="M100" s="2226"/>
      <c r="N100" s="2209" t="s">
        <v>144</v>
      </c>
      <c r="O100" s="2209" t="s">
        <v>3953</v>
      </c>
    </row>
    <row r="101" spans="2:15" ht="13.5">
      <c r="B101" s="2211"/>
      <c r="C101" s="2190"/>
      <c r="D101" s="2192" t="s">
        <v>2172</v>
      </c>
      <c r="E101" s="2190" t="s">
        <v>2171</v>
      </c>
      <c r="F101" s="2191"/>
      <c r="G101" s="2192" t="s">
        <v>2172</v>
      </c>
      <c r="H101" s="2190" t="s">
        <v>2171</v>
      </c>
      <c r="I101" s="2191"/>
      <c r="J101" s="2224"/>
      <c r="K101" s="2225" t="s">
        <v>2167</v>
      </c>
      <c r="L101" s="2190"/>
      <c r="M101" s="2226"/>
      <c r="N101" s="2209" t="s">
        <v>3953</v>
      </c>
      <c r="O101" s="2209" t="s">
        <v>3953</v>
      </c>
    </row>
    <row r="102" spans="2:15" ht="13.5">
      <c r="B102" s="2211"/>
      <c r="C102" s="2190"/>
      <c r="D102" s="2192" t="s">
        <v>2166</v>
      </c>
      <c r="E102" s="2190" t="s">
        <v>2165</v>
      </c>
      <c r="F102" s="2191"/>
      <c r="G102" s="2192" t="s">
        <v>2166</v>
      </c>
      <c r="H102" s="2190" t="s">
        <v>2165</v>
      </c>
      <c r="I102" s="2191"/>
      <c r="J102" s="2224"/>
      <c r="K102" s="2225" t="s">
        <v>2167</v>
      </c>
      <c r="L102" s="2190"/>
      <c r="M102" s="2226"/>
      <c r="N102" s="2209" t="s">
        <v>3953</v>
      </c>
      <c r="O102" s="2209" t="s">
        <v>3953</v>
      </c>
    </row>
    <row r="103" spans="2:15" ht="13.5">
      <c r="B103" s="2211"/>
      <c r="C103" s="2190"/>
      <c r="D103" s="2192" t="s">
        <v>2166</v>
      </c>
      <c r="E103" s="2190" t="s">
        <v>2165</v>
      </c>
      <c r="F103" s="2223">
        <v>-46593610</v>
      </c>
      <c r="G103" s="2192" t="s">
        <v>2166</v>
      </c>
      <c r="H103" s="2190" t="s">
        <v>2165</v>
      </c>
      <c r="I103" s="2191"/>
      <c r="J103" s="2198"/>
      <c r="K103" s="2225" t="s">
        <v>3972</v>
      </c>
      <c r="L103" s="2190"/>
      <c r="M103" s="2226"/>
      <c r="N103" s="2209" t="s">
        <v>144</v>
      </c>
      <c r="O103" s="2209" t="s">
        <v>3953</v>
      </c>
    </row>
    <row r="104" spans="2:15" ht="13.5">
      <c r="B104" s="2211"/>
      <c r="C104" s="2190"/>
      <c r="D104" s="2192" t="s">
        <v>3973</v>
      </c>
      <c r="E104" s="2190" t="s">
        <v>3974</v>
      </c>
      <c r="F104" s="2191"/>
      <c r="G104" s="2192" t="s">
        <v>3973</v>
      </c>
      <c r="H104" s="2190" t="s">
        <v>3974</v>
      </c>
      <c r="I104" s="2228"/>
      <c r="J104" s="2198"/>
      <c r="K104" s="2225" t="s">
        <v>3972</v>
      </c>
      <c r="L104" s="2190"/>
      <c r="M104" s="2226"/>
      <c r="N104" s="2209" t="s">
        <v>3953</v>
      </c>
      <c r="O104" s="2209" t="s">
        <v>3953</v>
      </c>
    </row>
    <row r="105" spans="2:15" ht="13.5">
      <c r="B105" s="2211"/>
      <c r="C105" s="2190"/>
      <c r="D105" s="2192" t="s">
        <v>2172</v>
      </c>
      <c r="E105" s="2190" t="s">
        <v>2171</v>
      </c>
      <c r="F105" s="2191"/>
      <c r="G105" s="2192" t="s">
        <v>2172</v>
      </c>
      <c r="H105" s="2190" t="s">
        <v>2171</v>
      </c>
      <c r="I105" s="2191"/>
      <c r="J105" s="2198"/>
      <c r="K105" s="2225" t="s">
        <v>3972</v>
      </c>
      <c r="L105" s="2190"/>
      <c r="M105" s="2226"/>
      <c r="N105" s="2209" t="s">
        <v>3953</v>
      </c>
      <c r="O105" s="2209" t="s">
        <v>3953</v>
      </c>
    </row>
    <row r="106" spans="2:15" ht="13.5">
      <c r="B106" s="2211"/>
      <c r="C106" s="2190"/>
      <c r="D106" s="2192" t="s">
        <v>2168</v>
      </c>
      <c r="E106" s="2190" t="s">
        <v>2169</v>
      </c>
      <c r="F106" s="2191"/>
      <c r="G106" s="2192" t="s">
        <v>2168</v>
      </c>
      <c r="H106" s="2190" t="s">
        <v>2169</v>
      </c>
      <c r="I106" s="2191"/>
      <c r="J106" s="2198"/>
      <c r="K106" s="2225" t="s">
        <v>3975</v>
      </c>
      <c r="L106" s="2190"/>
      <c r="M106" s="2226"/>
      <c r="N106" s="2209" t="s">
        <v>3953</v>
      </c>
      <c r="O106" s="2209" t="s">
        <v>3953</v>
      </c>
    </row>
    <row r="107" spans="2:15" ht="13.5">
      <c r="B107" s="2211"/>
      <c r="C107" s="2190"/>
      <c r="D107" s="2192" t="s">
        <v>2166</v>
      </c>
      <c r="E107" s="2190" t="s">
        <v>2165</v>
      </c>
      <c r="F107" s="2223">
        <v>-229770213260</v>
      </c>
      <c r="G107" s="2192" t="s">
        <v>2166</v>
      </c>
      <c r="H107" s="2190" t="s">
        <v>2165</v>
      </c>
      <c r="I107" s="2191"/>
      <c r="J107" s="2224"/>
      <c r="K107" s="2225" t="s">
        <v>3975</v>
      </c>
      <c r="L107" s="2190"/>
      <c r="M107" s="2226"/>
      <c r="N107" s="2209" t="s">
        <v>144</v>
      </c>
      <c r="O107" s="2209" t="s">
        <v>3953</v>
      </c>
    </row>
    <row r="108" spans="2:15" ht="13.5">
      <c r="B108" s="2211"/>
      <c r="C108" s="2190"/>
      <c r="D108" s="2192" t="s">
        <v>2166</v>
      </c>
      <c r="E108" s="2190" t="s">
        <v>2165</v>
      </c>
      <c r="F108" s="2223">
        <v>-1410534067</v>
      </c>
      <c r="G108" s="2192" t="s">
        <v>2166</v>
      </c>
      <c r="H108" s="2190" t="s">
        <v>2165</v>
      </c>
      <c r="I108" s="2191"/>
      <c r="J108" s="2224"/>
      <c r="K108" s="2225" t="s">
        <v>3975</v>
      </c>
      <c r="L108" s="2190"/>
      <c r="M108" s="2226"/>
      <c r="N108" s="2209" t="s">
        <v>144</v>
      </c>
      <c r="O108" s="2209" t="s">
        <v>3953</v>
      </c>
    </row>
    <row r="109" spans="2:15" ht="13.5">
      <c r="B109" s="2211"/>
      <c r="C109" s="2190"/>
      <c r="D109" s="2192" t="s">
        <v>3973</v>
      </c>
      <c r="E109" s="2190" t="s">
        <v>3974</v>
      </c>
      <c r="F109" s="2191"/>
      <c r="G109" s="2192" t="s">
        <v>3973</v>
      </c>
      <c r="H109" s="2190" t="s">
        <v>3974</v>
      </c>
      <c r="I109" s="2223">
        <v>-3436618351</v>
      </c>
      <c r="J109" s="2224"/>
      <c r="K109" s="2225" t="s">
        <v>3975</v>
      </c>
      <c r="L109" s="2229"/>
      <c r="M109" s="2190"/>
      <c r="N109" s="2209" t="s">
        <v>3953</v>
      </c>
      <c r="O109" s="2209" t="s">
        <v>3953</v>
      </c>
    </row>
    <row r="110" spans="2:15" ht="13.5">
      <c r="B110" s="2211"/>
      <c r="C110" s="2190"/>
      <c r="D110" s="2192" t="s">
        <v>2168</v>
      </c>
      <c r="E110" s="2190" t="s">
        <v>2169</v>
      </c>
      <c r="F110" s="2191"/>
      <c r="G110" s="2192" t="s">
        <v>2168</v>
      </c>
      <c r="H110" s="2190" t="s">
        <v>2169</v>
      </c>
      <c r="I110" s="2191"/>
      <c r="J110" s="2224"/>
      <c r="K110" s="2230" t="s">
        <v>3975</v>
      </c>
      <c r="L110" s="2190"/>
      <c r="M110" s="2226"/>
      <c r="N110" s="2209" t="s">
        <v>3953</v>
      </c>
      <c r="O110" s="2209" t="s">
        <v>3953</v>
      </c>
    </row>
    <row r="111" spans="2:15" ht="13.5">
      <c r="B111" s="2211"/>
      <c r="C111" s="2190"/>
      <c r="D111" s="2192" t="s">
        <v>2168</v>
      </c>
      <c r="E111" s="2190" t="s">
        <v>2169</v>
      </c>
      <c r="F111" s="2191"/>
      <c r="G111" s="2192" t="s">
        <v>2168</v>
      </c>
      <c r="H111" s="2190" t="s">
        <v>2169</v>
      </c>
      <c r="I111" s="2223">
        <v>-39765000</v>
      </c>
      <c r="J111" s="2198"/>
      <c r="K111" s="2225" t="s">
        <v>2170</v>
      </c>
      <c r="L111" s="2190"/>
      <c r="M111" s="2226"/>
      <c r="N111" s="2209" t="s">
        <v>3953</v>
      </c>
      <c r="O111" s="2209" t="s">
        <v>3868</v>
      </c>
    </row>
    <row r="112" spans="2:15" ht="13.5">
      <c r="B112" s="2211"/>
      <c r="C112" s="2190"/>
      <c r="D112" s="2192" t="s">
        <v>2173</v>
      </c>
      <c r="E112" s="2190" t="s">
        <v>2174</v>
      </c>
      <c r="F112" s="2223">
        <v>-18117044</v>
      </c>
      <c r="G112" s="2192" t="s">
        <v>2173</v>
      </c>
      <c r="H112" s="2190" t="s">
        <v>2174</v>
      </c>
      <c r="I112" s="2191"/>
      <c r="J112" s="2198"/>
      <c r="K112" s="2225" t="s">
        <v>2170</v>
      </c>
      <c r="L112" s="2190"/>
      <c r="M112" s="2226"/>
      <c r="N112" s="2209" t="s">
        <v>3868</v>
      </c>
      <c r="O112" s="2209" t="s">
        <v>3953</v>
      </c>
    </row>
    <row r="113" spans="2:15" ht="13.5">
      <c r="B113" s="2211"/>
      <c r="C113" s="2190"/>
      <c r="D113" s="2192" t="s">
        <v>2175</v>
      </c>
      <c r="E113" s="2190" t="s">
        <v>1380</v>
      </c>
      <c r="F113" s="2223">
        <v>-4319984140</v>
      </c>
      <c r="G113" s="2192" t="s">
        <v>2175</v>
      </c>
      <c r="H113" s="2190" t="s">
        <v>1380</v>
      </c>
      <c r="I113" s="2191"/>
      <c r="J113" s="2224"/>
      <c r="K113" s="2225" t="s">
        <v>2170</v>
      </c>
      <c r="L113" s="2190"/>
      <c r="M113" s="2190"/>
      <c r="N113" s="2209" t="s">
        <v>144</v>
      </c>
      <c r="O113" s="2209" t="s">
        <v>3953</v>
      </c>
    </row>
    <row r="114" spans="2:15" ht="13.5">
      <c r="B114" s="2211"/>
      <c r="C114" s="2190"/>
      <c r="D114" s="2192" t="s">
        <v>2177</v>
      </c>
      <c r="E114" s="2190" t="s">
        <v>2178</v>
      </c>
      <c r="F114" s="2223">
        <v>-4845500</v>
      </c>
      <c r="G114" s="2192" t="s">
        <v>2177</v>
      </c>
      <c r="H114" s="2190" t="s">
        <v>2178</v>
      </c>
      <c r="I114" s="2191"/>
      <c r="J114" s="2224"/>
      <c r="K114" s="2225" t="s">
        <v>2170</v>
      </c>
      <c r="L114" s="2229"/>
      <c r="M114" s="2190"/>
      <c r="N114" s="2209" t="s">
        <v>3953</v>
      </c>
      <c r="O114" s="2209" t="s">
        <v>3953</v>
      </c>
    </row>
    <row r="115" spans="2:15" ht="13.5">
      <c r="B115" s="2211"/>
      <c r="C115" s="2190"/>
      <c r="D115" s="2192" t="s">
        <v>2172</v>
      </c>
      <c r="E115" s="2190" t="s">
        <v>2171</v>
      </c>
      <c r="F115" s="2191"/>
      <c r="G115" s="2192" t="s">
        <v>2172</v>
      </c>
      <c r="H115" s="2190" t="s">
        <v>2171</v>
      </c>
      <c r="I115" s="2191"/>
      <c r="J115" s="2224"/>
      <c r="K115" s="2225" t="s">
        <v>2170</v>
      </c>
      <c r="L115" s="2229"/>
      <c r="M115" s="2190"/>
      <c r="N115" s="2209" t="s">
        <v>3953</v>
      </c>
      <c r="O115" s="2209" t="s">
        <v>3953</v>
      </c>
    </row>
    <row r="116" spans="2:15" ht="13.5">
      <c r="B116" s="2211"/>
      <c r="C116" s="2190"/>
      <c r="D116" s="2192" t="s">
        <v>2166</v>
      </c>
      <c r="E116" s="2190" t="s">
        <v>2165</v>
      </c>
      <c r="F116" s="2223">
        <v>-41083920090</v>
      </c>
      <c r="G116" s="2192" t="s">
        <v>2166</v>
      </c>
      <c r="H116" s="2190" t="s">
        <v>2165</v>
      </c>
      <c r="I116" s="2191"/>
      <c r="J116" s="2224"/>
      <c r="K116" s="2225" t="s">
        <v>2176</v>
      </c>
      <c r="L116" s="2190"/>
      <c r="M116" s="2190"/>
      <c r="N116" s="2209" t="s">
        <v>144</v>
      </c>
      <c r="O116" s="2209" t="s">
        <v>3953</v>
      </c>
    </row>
    <row r="117" spans="2:15" ht="13.5">
      <c r="B117" s="2211"/>
      <c r="C117" s="2190"/>
      <c r="D117" s="2192" t="s">
        <v>2166</v>
      </c>
      <c r="E117" s="2190" t="s">
        <v>2165</v>
      </c>
      <c r="F117" s="2191"/>
      <c r="G117" s="2192" t="s">
        <v>2166</v>
      </c>
      <c r="H117" s="2190" t="s">
        <v>2165</v>
      </c>
      <c r="I117" s="2191"/>
      <c r="J117" s="2224"/>
      <c r="K117" s="2225" t="s">
        <v>2176</v>
      </c>
      <c r="L117" s="2190"/>
      <c r="M117" s="2190"/>
      <c r="N117" s="2209" t="s">
        <v>3953</v>
      </c>
      <c r="O117" s="2209" t="s">
        <v>3953</v>
      </c>
    </row>
    <row r="118" spans="2:15" ht="13.5">
      <c r="B118" s="2196"/>
      <c r="C118" s="2190"/>
      <c r="D118" s="2192" t="s">
        <v>2172</v>
      </c>
      <c r="E118" s="2190" t="s">
        <v>2171</v>
      </c>
      <c r="F118" s="2191"/>
      <c r="G118" s="2192" t="s">
        <v>2172</v>
      </c>
      <c r="H118" s="2190" t="s">
        <v>2171</v>
      </c>
      <c r="I118" s="2223">
        <v>-2574460978</v>
      </c>
      <c r="J118" s="2224"/>
      <c r="K118" s="2225" t="s">
        <v>2176</v>
      </c>
      <c r="L118" s="2190"/>
      <c r="M118" s="2190"/>
      <c r="N118" s="2209" t="s">
        <v>3953</v>
      </c>
      <c r="O118" s="2227" t="s">
        <v>3953</v>
      </c>
    </row>
    <row r="119" spans="2:15" ht="13.5">
      <c r="B119" s="2196"/>
      <c r="C119" s="2190"/>
      <c r="D119" s="2192" t="s">
        <v>2166</v>
      </c>
      <c r="E119" s="2217" t="s">
        <v>2165</v>
      </c>
      <c r="F119" s="2191"/>
      <c r="G119" s="2192" t="s">
        <v>2166</v>
      </c>
      <c r="H119" s="2217" t="s">
        <v>2165</v>
      </c>
      <c r="I119" s="2191"/>
      <c r="J119" s="2191"/>
      <c r="K119" s="2194" t="s">
        <v>3976</v>
      </c>
      <c r="L119" s="2190"/>
      <c r="M119" s="2191">
        <v>-21459887284</v>
      </c>
      <c r="N119" s="2209" t="s">
        <v>3953</v>
      </c>
      <c r="O119" s="2209" t="s">
        <v>3953</v>
      </c>
    </row>
    <row r="120" spans="2:15" ht="13.5">
      <c r="B120" s="2196"/>
      <c r="C120" s="2190"/>
      <c r="D120" s="2192" t="s">
        <v>2166</v>
      </c>
      <c r="E120" s="2217" t="s">
        <v>2165</v>
      </c>
      <c r="F120" s="2191"/>
      <c r="G120" s="2192" t="s">
        <v>2166</v>
      </c>
      <c r="H120" s="2217" t="s">
        <v>2165</v>
      </c>
      <c r="I120" s="2191"/>
      <c r="J120" s="2191"/>
      <c r="K120" s="2194" t="s">
        <v>3976</v>
      </c>
      <c r="L120" s="2190"/>
      <c r="M120" s="2190"/>
      <c r="N120" s="2209" t="s">
        <v>3953</v>
      </c>
      <c r="O120" s="2209" t="s">
        <v>3953</v>
      </c>
    </row>
    <row r="121" spans="2:15" ht="13.5">
      <c r="B121" s="2196"/>
      <c r="C121" s="2190"/>
      <c r="D121" s="2192" t="s">
        <v>2166</v>
      </c>
      <c r="E121" s="2190" t="s">
        <v>2165</v>
      </c>
      <c r="F121" s="2191"/>
      <c r="G121" s="2192" t="s">
        <v>2166</v>
      </c>
      <c r="H121" s="2190" t="s">
        <v>2165</v>
      </c>
      <c r="I121" s="2191"/>
      <c r="J121" s="2191"/>
      <c r="K121" s="2194" t="s">
        <v>3976</v>
      </c>
      <c r="L121" s="2190"/>
      <c r="M121" s="2190"/>
      <c r="N121" s="2209" t="s">
        <v>3953</v>
      </c>
      <c r="O121" s="2227" t="s">
        <v>3953</v>
      </c>
    </row>
    <row r="122" spans="2:15" ht="13.5">
      <c r="B122" s="2196"/>
      <c r="C122" s="2190"/>
      <c r="D122" s="2192" t="s">
        <v>2168</v>
      </c>
      <c r="E122" s="2190" t="s">
        <v>2169</v>
      </c>
      <c r="F122" s="2191"/>
      <c r="G122" s="2192" t="s">
        <v>2168</v>
      </c>
      <c r="H122" s="2190" t="s">
        <v>2169</v>
      </c>
      <c r="I122" s="2191"/>
      <c r="J122" s="2224"/>
      <c r="K122" s="2225" t="s">
        <v>3976</v>
      </c>
      <c r="L122" s="2190"/>
      <c r="M122" s="2190"/>
      <c r="N122" s="2209" t="s">
        <v>3953</v>
      </c>
      <c r="O122" s="2209" t="s">
        <v>3953</v>
      </c>
    </row>
    <row r="123" spans="2:15" ht="13.5">
      <c r="B123" s="2196"/>
      <c r="C123" s="2190"/>
      <c r="D123" s="2192" t="s">
        <v>3951</v>
      </c>
      <c r="E123" s="2190" t="s">
        <v>3851</v>
      </c>
      <c r="F123" s="2191"/>
      <c r="G123" s="2192" t="s">
        <v>3951</v>
      </c>
      <c r="H123" s="2190" t="s">
        <v>3851</v>
      </c>
      <c r="I123" s="2223">
        <v>-4266753602</v>
      </c>
      <c r="J123" s="2191"/>
      <c r="K123" s="2194" t="s">
        <v>3976</v>
      </c>
      <c r="L123" s="2190" t="s">
        <v>65</v>
      </c>
      <c r="M123" s="2231"/>
      <c r="N123" s="2209" t="s">
        <v>3953</v>
      </c>
      <c r="O123" s="2209" t="s">
        <v>2127</v>
      </c>
    </row>
    <row r="124" spans="2:15" ht="13.5">
      <c r="B124" s="2196"/>
      <c r="C124" s="2190"/>
      <c r="D124" s="2192" t="s">
        <v>2177</v>
      </c>
      <c r="E124" s="2190" t="s">
        <v>2178</v>
      </c>
      <c r="F124" s="2191"/>
      <c r="G124" s="2192" t="s">
        <v>2177</v>
      </c>
      <c r="H124" s="2190" t="s">
        <v>2178</v>
      </c>
      <c r="I124" s="2191"/>
      <c r="J124" s="2198"/>
      <c r="K124" s="2225" t="s">
        <v>3976</v>
      </c>
      <c r="L124" s="2190"/>
      <c r="M124" s="2190"/>
      <c r="N124" s="2209" t="s">
        <v>3953</v>
      </c>
      <c r="O124" s="2209" t="s">
        <v>3953</v>
      </c>
    </row>
    <row r="125" spans="2:15" ht="13.5">
      <c r="B125" s="2196"/>
      <c r="C125" s="2190"/>
      <c r="D125" s="2192" t="s">
        <v>2191</v>
      </c>
      <c r="E125" s="2190" t="s">
        <v>2190</v>
      </c>
      <c r="F125" s="2228"/>
      <c r="G125" s="2192" t="s">
        <v>2191</v>
      </c>
      <c r="H125" s="2190" t="s">
        <v>2190</v>
      </c>
      <c r="I125" s="2191"/>
      <c r="J125" s="2198"/>
      <c r="K125" s="2225" t="s">
        <v>3976</v>
      </c>
      <c r="L125" s="2190"/>
      <c r="M125" s="2190"/>
      <c r="N125" s="2209" t="s">
        <v>3953</v>
      </c>
      <c r="O125" s="2209" t="s">
        <v>3953</v>
      </c>
    </row>
    <row r="126" spans="2:15" ht="13.5">
      <c r="B126" s="2196"/>
      <c r="C126" s="2190"/>
      <c r="D126" s="2192" t="s">
        <v>2179</v>
      </c>
      <c r="E126" s="2217" t="s">
        <v>1386</v>
      </c>
      <c r="F126" s="2223">
        <v>-39765000</v>
      </c>
      <c r="G126" s="2192" t="s">
        <v>2179</v>
      </c>
      <c r="H126" s="2217" t="s">
        <v>1386</v>
      </c>
      <c r="I126" s="2191"/>
      <c r="J126" s="2191"/>
      <c r="K126" s="2194" t="s">
        <v>2180</v>
      </c>
      <c r="L126" s="2190"/>
      <c r="M126" s="2190"/>
      <c r="N126" s="2209" t="s">
        <v>144</v>
      </c>
      <c r="O126" s="2209" t="s">
        <v>3953</v>
      </c>
    </row>
    <row r="127" spans="2:15" ht="13.5">
      <c r="B127" s="2196"/>
      <c r="C127" s="2190"/>
      <c r="D127" s="2192" t="s">
        <v>2184</v>
      </c>
      <c r="E127" s="2190" t="s">
        <v>2185</v>
      </c>
      <c r="F127" s="2191"/>
      <c r="G127" s="2192" t="s">
        <v>2184</v>
      </c>
      <c r="H127" s="2190" t="s">
        <v>2185</v>
      </c>
      <c r="I127" s="2191"/>
      <c r="J127" s="2191"/>
      <c r="K127" s="2194" t="s">
        <v>2180</v>
      </c>
      <c r="L127" s="2190"/>
      <c r="M127" s="2190"/>
      <c r="N127" s="2209" t="s">
        <v>3953</v>
      </c>
      <c r="O127" s="2209" t="s">
        <v>3953</v>
      </c>
    </row>
    <row r="128" spans="2:15" ht="13.5">
      <c r="B128" s="2196"/>
      <c r="C128" s="2190"/>
      <c r="D128" s="2192" t="s">
        <v>2188</v>
      </c>
      <c r="E128" s="2190" t="s">
        <v>2189</v>
      </c>
      <c r="F128" s="2191"/>
      <c r="G128" s="2192" t="s">
        <v>2188</v>
      </c>
      <c r="H128" s="2190" t="s">
        <v>2189</v>
      </c>
      <c r="I128" s="2223">
        <v>-4338101184</v>
      </c>
      <c r="J128" s="2191"/>
      <c r="K128" s="2194" t="s">
        <v>2180</v>
      </c>
      <c r="L128" s="2190" t="s">
        <v>1561</v>
      </c>
      <c r="M128" s="2190"/>
      <c r="N128" s="2209" t="s">
        <v>3953</v>
      </c>
      <c r="O128" s="2209" t="s">
        <v>2127</v>
      </c>
    </row>
    <row r="129" spans="2:15" ht="13.5">
      <c r="B129" s="2196"/>
      <c r="C129" s="2190"/>
      <c r="D129" s="2192" t="s">
        <v>2172</v>
      </c>
      <c r="E129" s="2190" t="s">
        <v>2171</v>
      </c>
      <c r="F129" s="2191"/>
      <c r="G129" s="2192" t="s">
        <v>2172</v>
      </c>
      <c r="H129" s="2190" t="s">
        <v>2171</v>
      </c>
      <c r="I129" s="2223">
        <v>-4845500</v>
      </c>
      <c r="J129" s="2224"/>
      <c r="K129" s="2225" t="s">
        <v>2180</v>
      </c>
      <c r="L129" s="2190"/>
      <c r="M129" s="2190"/>
      <c r="N129" s="2209" t="s">
        <v>3953</v>
      </c>
      <c r="O129" s="2209" t="s">
        <v>3953</v>
      </c>
    </row>
    <row r="130" spans="2:15" ht="13.5">
      <c r="B130" s="2196"/>
      <c r="C130" s="2190"/>
      <c r="D130" s="2192" t="s">
        <v>2193</v>
      </c>
      <c r="E130" s="2190" t="s">
        <v>2194</v>
      </c>
      <c r="F130" s="2191"/>
      <c r="G130" s="2192" t="s">
        <v>2193</v>
      </c>
      <c r="H130" s="2190" t="s">
        <v>2194</v>
      </c>
      <c r="I130" s="2191"/>
      <c r="J130" s="2224"/>
      <c r="K130" s="2225" t="s">
        <v>2180</v>
      </c>
      <c r="L130" s="2190"/>
      <c r="M130" s="2190"/>
      <c r="N130" s="2209" t="s">
        <v>3953</v>
      </c>
      <c r="O130" s="2209" t="s">
        <v>3953</v>
      </c>
    </row>
    <row r="131" spans="2:15" ht="13.5">
      <c r="B131" s="2196"/>
      <c r="C131" s="2190"/>
      <c r="D131" s="2192" t="s">
        <v>2182</v>
      </c>
      <c r="E131" s="2190" t="s">
        <v>2181</v>
      </c>
      <c r="F131" s="2191"/>
      <c r="G131" s="2192" t="s">
        <v>2182</v>
      </c>
      <c r="H131" s="2190" t="s">
        <v>2181</v>
      </c>
      <c r="I131" s="2223">
        <v>-27400000</v>
      </c>
      <c r="J131" s="2224"/>
      <c r="K131" s="2225" t="s">
        <v>2183</v>
      </c>
      <c r="L131" s="2190" t="s">
        <v>1507</v>
      </c>
      <c r="M131" s="2190"/>
      <c r="N131" s="2209" t="s">
        <v>3953</v>
      </c>
      <c r="O131" s="2209" t="s">
        <v>2127</v>
      </c>
    </row>
    <row r="132" spans="2:15" ht="13.5">
      <c r="B132" s="2196"/>
      <c r="C132" s="2190"/>
      <c r="D132" s="2192" t="s">
        <v>2187</v>
      </c>
      <c r="E132" s="2190" t="s">
        <v>2186</v>
      </c>
      <c r="F132" s="2191"/>
      <c r="G132" s="2192" t="s">
        <v>2187</v>
      </c>
      <c r="H132" s="2190" t="s">
        <v>2186</v>
      </c>
      <c r="I132" s="2191"/>
      <c r="J132" s="2224"/>
      <c r="K132" s="2225" t="s">
        <v>2183</v>
      </c>
      <c r="L132" s="2190"/>
      <c r="M132" s="2190"/>
      <c r="N132" s="2209" t="s">
        <v>3953</v>
      </c>
      <c r="O132" s="2209" t="s">
        <v>3953</v>
      </c>
    </row>
    <row r="133" spans="2:15" ht="13.5">
      <c r="B133" s="2196"/>
      <c r="C133" s="2190"/>
      <c r="D133" s="2192" t="s">
        <v>2191</v>
      </c>
      <c r="E133" s="2190" t="s">
        <v>2190</v>
      </c>
      <c r="F133" s="2191"/>
      <c r="G133" s="2192" t="s">
        <v>2191</v>
      </c>
      <c r="H133" s="2190" t="s">
        <v>2190</v>
      </c>
      <c r="I133" s="2191"/>
      <c r="J133" s="2224"/>
      <c r="K133" s="2225" t="s">
        <v>2183</v>
      </c>
      <c r="L133" s="2190"/>
      <c r="M133" s="2190"/>
      <c r="N133" s="2209" t="s">
        <v>3953</v>
      </c>
      <c r="O133" s="2209" t="s">
        <v>3953</v>
      </c>
    </row>
    <row r="134" spans="2:15" ht="13.5">
      <c r="B134" s="2196"/>
      <c r="C134" s="2190"/>
      <c r="D134" s="2192" t="s">
        <v>2182</v>
      </c>
      <c r="E134" s="2217" t="s">
        <v>2181</v>
      </c>
      <c r="F134" s="2191"/>
      <c r="G134" s="2192" t="s">
        <v>2182</v>
      </c>
      <c r="H134" s="2217" t="s">
        <v>2181</v>
      </c>
      <c r="I134" s="2223">
        <v>-41083920090</v>
      </c>
      <c r="J134" s="2191"/>
      <c r="K134" s="2194" t="s">
        <v>2192</v>
      </c>
      <c r="L134" s="2190" t="s">
        <v>1507</v>
      </c>
      <c r="M134" s="2190"/>
      <c r="N134" s="2209" t="s">
        <v>3953</v>
      </c>
      <c r="O134" s="2209" t="s">
        <v>2127</v>
      </c>
    </row>
    <row r="135" spans="2:15" ht="13.5">
      <c r="B135" s="2196"/>
      <c r="C135" s="2190"/>
      <c r="D135" s="2192" t="s">
        <v>2187</v>
      </c>
      <c r="E135" s="2190" t="s">
        <v>2186</v>
      </c>
      <c r="F135" s="2223">
        <v>-145200000</v>
      </c>
      <c r="G135" s="2192" t="s">
        <v>2187</v>
      </c>
      <c r="H135" s="2190" t="s">
        <v>2186</v>
      </c>
      <c r="I135" s="2191"/>
      <c r="J135" s="2224"/>
      <c r="K135" s="2225" t="s">
        <v>2192</v>
      </c>
      <c r="L135" s="2190"/>
      <c r="M135" s="2190"/>
      <c r="N135" s="2209" t="s">
        <v>3953</v>
      </c>
      <c r="O135" s="2209" t="s">
        <v>3953</v>
      </c>
    </row>
    <row r="136" spans="2:15" ht="13.5">
      <c r="B136" s="2196"/>
      <c r="C136" s="2190"/>
      <c r="D136" s="2192" t="s">
        <v>2191</v>
      </c>
      <c r="E136" s="2217" t="s">
        <v>2190</v>
      </c>
      <c r="F136" s="2223">
        <v>-2429260978</v>
      </c>
      <c r="G136" s="2192" t="s">
        <v>2191</v>
      </c>
      <c r="H136" s="2217" t="s">
        <v>2190</v>
      </c>
      <c r="I136" s="2191"/>
      <c r="J136" s="2191"/>
      <c r="K136" s="2194" t="s">
        <v>2192</v>
      </c>
      <c r="L136" s="2190"/>
      <c r="M136" s="2190"/>
      <c r="N136" s="2209" t="s">
        <v>3953</v>
      </c>
      <c r="O136" s="2209" t="s">
        <v>3953</v>
      </c>
    </row>
    <row r="137" spans="2:15" ht="13.5">
      <c r="B137" s="2196"/>
      <c r="C137" s="2190"/>
      <c r="D137" s="2192" t="s">
        <v>3951</v>
      </c>
      <c r="E137" s="2190" t="s">
        <v>3851</v>
      </c>
      <c r="F137" s="2191"/>
      <c r="G137" s="2192" t="s">
        <v>3951</v>
      </c>
      <c r="H137" s="2190" t="s">
        <v>3851</v>
      </c>
      <c r="I137" s="2223">
        <v>-46593610</v>
      </c>
      <c r="J137" s="2224"/>
      <c r="K137" s="2225" t="s">
        <v>3977</v>
      </c>
      <c r="L137" s="2190" t="s">
        <v>1505</v>
      </c>
      <c r="M137" s="2190"/>
      <c r="N137" s="2209" t="s">
        <v>3953</v>
      </c>
      <c r="O137" s="2209" t="s">
        <v>2127</v>
      </c>
    </row>
    <row r="138" spans="2:15" ht="13.5">
      <c r="B138" s="2196"/>
      <c r="C138" s="2190"/>
      <c r="D138" s="2192" t="s">
        <v>2177</v>
      </c>
      <c r="E138" s="2190" t="s">
        <v>2178</v>
      </c>
      <c r="F138" s="2228"/>
      <c r="G138" s="2192" t="s">
        <v>2177</v>
      </c>
      <c r="H138" s="2190" t="s">
        <v>2178</v>
      </c>
      <c r="I138" s="2191"/>
      <c r="J138" s="2224"/>
      <c r="K138" s="2225" t="s">
        <v>3977</v>
      </c>
      <c r="L138" s="2190"/>
      <c r="M138" s="2190"/>
      <c r="N138" s="2209" t="s">
        <v>3953</v>
      </c>
      <c r="O138" s="2209" t="s">
        <v>3953</v>
      </c>
    </row>
    <row r="139" spans="2:15" ht="13.5">
      <c r="B139" s="2196"/>
      <c r="C139" s="2190"/>
      <c r="D139" s="2192" t="s">
        <v>3951</v>
      </c>
      <c r="E139" s="2190" t="s">
        <v>3851</v>
      </c>
      <c r="F139" s="2191"/>
      <c r="G139" s="2192" t="s">
        <v>3951</v>
      </c>
      <c r="H139" s="2190" t="s">
        <v>3851</v>
      </c>
      <c r="I139" s="2191"/>
      <c r="J139" s="2198"/>
      <c r="K139" s="2225" t="s">
        <v>3978</v>
      </c>
      <c r="L139" s="2190"/>
      <c r="M139" s="2190"/>
      <c r="N139" s="2209" t="s">
        <v>3953</v>
      </c>
      <c r="O139" s="2209" t="s">
        <v>3953</v>
      </c>
    </row>
    <row r="140" spans="2:15" ht="13.5">
      <c r="B140" s="2196"/>
      <c r="C140" s="2190"/>
      <c r="D140" s="2192" t="s">
        <v>2166</v>
      </c>
      <c r="E140" s="2190" t="s">
        <v>2165</v>
      </c>
      <c r="F140" s="2191"/>
      <c r="G140" s="2192" t="s">
        <v>2166</v>
      </c>
      <c r="H140" s="2190" t="s">
        <v>2165</v>
      </c>
      <c r="I140" s="2191"/>
      <c r="J140" s="2224"/>
      <c r="K140" s="2225" t="s">
        <v>3978</v>
      </c>
      <c r="L140" s="2190"/>
      <c r="M140" s="2190"/>
      <c r="N140" s="2209" t="s">
        <v>3953</v>
      </c>
      <c r="O140" s="2209" t="s">
        <v>3953</v>
      </c>
    </row>
    <row r="141" spans="2:15" ht="13.5">
      <c r="B141" s="2196"/>
      <c r="C141" s="2190"/>
      <c r="D141" s="2192" t="s">
        <v>2166</v>
      </c>
      <c r="E141" s="2217" t="s">
        <v>2165</v>
      </c>
      <c r="F141" s="2223">
        <v>-4266753602</v>
      </c>
      <c r="G141" s="2192" t="s">
        <v>2166</v>
      </c>
      <c r="H141" s="2217" t="s">
        <v>2165</v>
      </c>
      <c r="I141" s="2191"/>
      <c r="J141" s="2191"/>
      <c r="K141" s="2194" t="s">
        <v>3978</v>
      </c>
      <c r="L141" s="2190"/>
      <c r="M141" s="2198"/>
      <c r="N141" s="2209" t="s">
        <v>144</v>
      </c>
      <c r="O141" s="2209" t="s">
        <v>3953</v>
      </c>
    </row>
    <row r="142" spans="2:15" ht="13.5">
      <c r="B142" s="2196"/>
      <c r="C142" s="2190"/>
      <c r="D142" s="2192" t="s">
        <v>3973</v>
      </c>
      <c r="E142" s="2190" t="s">
        <v>3974</v>
      </c>
      <c r="F142" s="2191"/>
      <c r="G142" s="2192" t="s">
        <v>3973</v>
      </c>
      <c r="H142" s="2190" t="s">
        <v>3974</v>
      </c>
      <c r="I142" s="2228"/>
      <c r="J142" s="2224"/>
      <c r="K142" s="2225" t="s">
        <v>3978</v>
      </c>
      <c r="L142" s="2190"/>
      <c r="M142" s="2198"/>
      <c r="N142" s="2209" t="s">
        <v>3953</v>
      </c>
      <c r="O142" s="2209" t="s">
        <v>3953</v>
      </c>
    </row>
    <row r="143" spans="2:15" ht="14.25" thickBot="1">
      <c r="B143" s="2335"/>
      <c r="C143" s="2336"/>
      <c r="D143" s="2337" t="s">
        <v>2172</v>
      </c>
      <c r="E143" s="2336" t="s">
        <v>2171</v>
      </c>
      <c r="F143" s="2338"/>
      <c r="G143" s="2337" t="s">
        <v>2172</v>
      </c>
      <c r="H143" s="2336" t="s">
        <v>2171</v>
      </c>
      <c r="I143" s="2338"/>
      <c r="J143" s="2339"/>
      <c r="K143" s="2340" t="s">
        <v>3978</v>
      </c>
      <c r="L143" s="2190"/>
      <c r="M143" s="2198"/>
      <c r="N143" s="2209" t="s">
        <v>3953</v>
      </c>
      <c r="O143" s="2209" t="s">
        <v>3953</v>
      </c>
    </row>
    <row r="144" spans="2:15" ht="12.75" thickTop="1">
      <c r="N144" s="1" t="s">
        <v>3953</v>
      </c>
      <c r="O144" s="1" t="s">
        <v>3953</v>
      </c>
    </row>
    <row r="145" spans="4:15">
      <c r="N145" s="1" t="s">
        <v>3953</v>
      </c>
      <c r="O145" s="1" t="s">
        <v>3953</v>
      </c>
    </row>
    <row r="146" spans="4:15">
      <c r="N146" s="1" t="s">
        <v>3953</v>
      </c>
      <c r="O146" s="1" t="s">
        <v>3953</v>
      </c>
    </row>
    <row r="147" spans="4:15">
      <c r="D147" s="1" t="s">
        <v>3980</v>
      </c>
      <c r="N147" s="1" t="s">
        <v>3953</v>
      </c>
      <c r="O147" s="1" t="s">
        <v>3953</v>
      </c>
    </row>
    <row r="148" spans="4:15">
      <c r="D148" s="2346"/>
      <c r="E148" s="2346" t="s">
        <v>3981</v>
      </c>
      <c r="F148" s="2346" t="s">
        <v>3982</v>
      </c>
      <c r="N148" s="1" t="s">
        <v>3953</v>
      </c>
      <c r="O148" s="1" t="s">
        <v>3953</v>
      </c>
    </row>
    <row r="149" spans="4:15">
      <c r="D149" s="323" t="s">
        <v>1508</v>
      </c>
      <c r="E149" s="2347">
        <f>SUMIFS($F$1:$F$143,$L$1:$L$143,$D149,$N$1:$N$143,"매출액")</f>
        <v>0</v>
      </c>
      <c r="F149" s="2347">
        <f>SUMIFS($I$1:$I$143,$L$1:$L$143,$D149,$O$1:$O$143,"매출액")</f>
        <v>-4266753602</v>
      </c>
      <c r="N149" s="1" t="s">
        <v>3953</v>
      </c>
      <c r="O149" s="1" t="s">
        <v>3953</v>
      </c>
    </row>
    <row r="150" spans="4:15">
      <c r="D150" s="1" t="s">
        <v>1480</v>
      </c>
      <c r="E150" s="2348">
        <f t="shared" ref="E150:E153" si="0">SUMIFS($F$1:$F$143,$L$1:$L$143,$D150,$N$1:$N$143,"매출액")</f>
        <v>0</v>
      </c>
      <c r="F150" s="2348">
        <f t="shared" ref="F150:F153" si="1">SUMIFS($I$1:$I$143,$L$1:$L$143,$D150,$O$1:$O$143,"매출액")</f>
        <v>-46593610</v>
      </c>
      <c r="N150" s="1" t="s">
        <v>3953</v>
      </c>
      <c r="O150" s="1" t="s">
        <v>3953</v>
      </c>
    </row>
    <row r="151" spans="4:15">
      <c r="D151" s="1" t="s">
        <v>3238</v>
      </c>
      <c r="E151" s="2348">
        <f>SUMIFS($F$1:$F$143,$L$1:$L$143,$D151,$N$1:$N$143,"매출액")</f>
        <v>-1038512086</v>
      </c>
      <c r="F151" s="2348">
        <f t="shared" si="1"/>
        <v>-230619934686</v>
      </c>
      <c r="N151" s="1" t="s">
        <v>3953</v>
      </c>
      <c r="O151" s="1" t="s">
        <v>3953</v>
      </c>
    </row>
    <row r="152" spans="4:15">
      <c r="D152" s="1" t="s">
        <v>1481</v>
      </c>
      <c r="E152" s="2348">
        <f t="shared" si="0"/>
        <v>4832165888</v>
      </c>
      <c r="F152" s="2348">
        <f t="shared" si="1"/>
        <v>-42137496926</v>
      </c>
    </row>
    <row r="153" spans="4:15">
      <c r="D153" s="68" t="s">
        <v>1560</v>
      </c>
      <c r="E153" s="2349">
        <f t="shared" si="0"/>
        <v>1230958530</v>
      </c>
      <c r="F153" s="2349">
        <f t="shared" si="1"/>
        <v>-4314900685</v>
      </c>
    </row>
    <row r="155" spans="4:15">
      <c r="D155" s="1" t="s">
        <v>1298</v>
      </c>
    </row>
  </sheetData>
  <mergeCells count="1">
    <mergeCell ref="N2:O2"/>
  </mergeCells>
  <phoneticPr fontId="1" type="noConversion"/>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561A4-E388-4019-80C3-B47DC4582E4C}">
  <sheetPr codeName="Sheet61"/>
  <dimension ref="B2:T67"/>
  <sheetViews>
    <sheetView workbookViewId="0">
      <selection activeCell="G6" sqref="G6"/>
    </sheetView>
  </sheetViews>
  <sheetFormatPr defaultColWidth="9" defaultRowHeight="12"/>
  <cols>
    <col min="1" max="1" width="1.625" style="1" customWidth="1"/>
    <col min="2" max="2" width="9" style="1"/>
    <col min="3" max="3" width="9.625" style="1" customWidth="1"/>
    <col min="4" max="5" width="9" style="1"/>
    <col min="6" max="23" width="9.625" style="1" customWidth="1"/>
    <col min="24" max="16384" width="9" style="1"/>
  </cols>
  <sheetData>
    <row r="2" spans="2:20">
      <c r="B2" s="204" t="s">
        <v>354</v>
      </c>
      <c r="C2" s="204" t="s">
        <v>5573</v>
      </c>
      <c r="D2" s="204" t="s">
        <v>2889</v>
      </c>
      <c r="E2" s="204" t="s">
        <v>5556</v>
      </c>
      <c r="F2" s="204" t="s">
        <v>1597</v>
      </c>
      <c r="G2" s="204" t="s">
        <v>1353</v>
      </c>
      <c r="H2" s="204" t="s">
        <v>2448</v>
      </c>
      <c r="I2" s="204" t="s">
        <v>1288</v>
      </c>
      <c r="J2" s="204" t="s">
        <v>1284</v>
      </c>
      <c r="K2" s="204" t="s">
        <v>1289</v>
      </c>
      <c r="L2" s="204" t="s">
        <v>1293</v>
      </c>
      <c r="M2" s="204" t="s">
        <v>1359</v>
      </c>
      <c r="N2" s="204" t="s">
        <v>1294</v>
      </c>
      <c r="O2" s="204" t="s">
        <v>1291</v>
      </c>
      <c r="P2" s="204" t="s">
        <v>5560</v>
      </c>
      <c r="Q2" s="204" t="s">
        <v>2114</v>
      </c>
      <c r="R2" s="204" t="s">
        <v>5562</v>
      </c>
      <c r="S2" s="204" t="s">
        <v>5561</v>
      </c>
      <c r="T2" s="204" t="s">
        <v>1298</v>
      </c>
    </row>
    <row r="3" spans="2:20">
      <c r="B3" s="1" t="s">
        <v>242</v>
      </c>
      <c r="C3" s="322" t="s">
        <v>5565</v>
      </c>
      <c r="D3" s="210" t="s">
        <v>3486</v>
      </c>
      <c r="E3" s="210" t="s">
        <v>69</v>
      </c>
      <c r="F3" s="2999">
        <f>SUMIFS(과거손익_본체!$E$51:$E$69,과거손익_본체!$C$51:$C$69,B3)/10^6</f>
        <v>45074.526232999997</v>
      </c>
      <c r="G3" s="205">
        <f>SUMIFS(과거손익_본체!$D$51:$D$69,과거손익_본체!$C$51:$C$69,B3)</f>
        <v>1525031.8219999985</v>
      </c>
      <c r="H3" s="205">
        <f>(SUMIFS(과거손익_본체!$I$51:$I$69,과거손익_본체!$C$51:$C$69,B3)+SUMIFS(과거손익_본체!$R$51:$R$69,과거손익_본체!$C$51:$C$69,B3)+SUMIFS(과거손익_본체!$S$51:$S$69,과거손익_본체!$C$51:$C$69,B3)+SUMIFS(과거손익_본체!$T$51:$T$69,과거손익_본체!$C$51:$C$69,B3)+SUMIFS(과거손익_본체!$U$51:$U$69,과거손익_본체!$C$51:$C$69,B3)+SUMIFS(과거손익_본체!$V$51:$V$69,과거손익_본체!$C$51:$C$69,B3)+SUMIFS(과거손익_본체!$W$51:$W$69,과거손익_본체!$C$51:$C$69,B3)+SUMIFS(과거손익_본체!$X$51:$X$69,과거손익_본체!$C$51:$C$69,B3)+SUMIFS(과거손익_본체!$V$51:$V$69,과거손익_본체!$C$51:$C$69,B3)+SUMIFS(과거손익_본체!$W$51:$W$69,과거손익_본체!$C$51:$C$69,B3))/10^6</f>
        <v>1313.1034629999999</v>
      </c>
      <c r="I3" s="205">
        <f>SUMIFS(과거손익_본체!$J$51:$J$69,과거손익_본체!$C$51:$C$69,B3)/10^6</f>
        <v>0</v>
      </c>
      <c r="J3" s="2999">
        <f>SUM(H3:I3)</f>
        <v>1313.1034629999999</v>
      </c>
      <c r="K3" s="2999">
        <f>(SUMIFS(과거손익_본체!$K$51:$K$69,과거손익_본체!$C$51:$C$69,B3)+SUMIFS(과거손익_본체!$L$51:$L$69,과거손익_본체!$C$51:$C$69,B3))/10^6</f>
        <v>7084.6905640000004</v>
      </c>
      <c r="L3" s="205">
        <f>SUMIFS(과거손익_본체!$N$51:$N$69,과거손익_본체!$C$51:$C$69,B3)/10^6</f>
        <v>10197.725628</v>
      </c>
      <c r="M3" s="205">
        <v>0</v>
      </c>
      <c r="N3" s="205">
        <f>SUMIFS(과거손익_본체!$P$51:$P$69,과거손익_본체!$C$51:$C$69,B3)/10^6</f>
        <v>3695.0511289999999</v>
      </c>
      <c r="O3" s="2999">
        <f>SUM(L3:N3)</f>
        <v>13892.776757</v>
      </c>
      <c r="P3" s="205">
        <f>SUMIFS(과거손익_본체!$O$51:$O$69,과거손익_본체!$C$51:$C$69,B3)/10^6</f>
        <v>5093.172286</v>
      </c>
      <c r="Q3" s="205">
        <f>SUMIFS(과거손익_본체!$M$51:$M$69,과거손익_본체!$C$51:$C$69,B3)/10^6</f>
        <v>9991.0995149999999</v>
      </c>
      <c r="R3" s="205">
        <v>0</v>
      </c>
      <c r="S3" s="205">
        <f>T3-Q3-P3-J3-K3-O3-R3</f>
        <v>19686.369812999998</v>
      </c>
      <c r="T3" s="2999">
        <f>SUMIFS(과거손익_본체!$H$51:$H$69,과거손익_본체!$C$51:$C$69,B3)/10^6</f>
        <v>57061.212398000003</v>
      </c>
    </row>
    <row r="4" spans="2:20">
      <c r="B4" s="1" t="s">
        <v>244</v>
      </c>
      <c r="C4" s="210" t="s">
        <v>5565</v>
      </c>
      <c r="D4" s="210" t="s">
        <v>3486</v>
      </c>
      <c r="E4" s="210" t="s">
        <v>69</v>
      </c>
      <c r="F4" s="2999">
        <f>SUMIFS(과거손익_본체!$E$51:$E$69,과거손익_본체!$C$51:$C$69,B4)/10^6</f>
        <v>44524.598474999999</v>
      </c>
      <c r="G4" s="205">
        <f>SUMIFS(과거손익_본체!$D$51:$D$69,과거손익_본체!$C$51:$C$69,B4)/1000</f>
        <v>93190.22</v>
      </c>
      <c r="H4" s="205">
        <f>(SUMIFS(과거손익_본체!$I$51:$I$69,과거손익_본체!$C$51:$C$69,B4)+SUMIFS(과거손익_본체!$R$51:$R$69,과거손익_본체!$C$51:$C$69,B4)+SUMIFS(과거손익_본체!$S$51:$S$69,과거손익_본체!$C$51:$C$69,B4)+SUMIFS(과거손익_본체!$T$51:$T$69,과거손익_본체!$C$51:$C$69,B4)+SUMIFS(과거손익_본체!$U$51:$U$69,과거손익_본체!$C$51:$C$69,B4)+SUMIFS(과거손익_본체!$V$51:$V$69,과거손익_본체!$C$51:$C$69,B4)+SUMIFS(과거손익_본체!$W$51:$W$69,과거손익_본체!$C$51:$C$69,B4)+SUMIFS(과거손익_본체!$X$51:$X$69,과거손익_본체!$C$51:$C$69,B4)+SUMIFS(과거손익_본체!$V$51:$V$69,과거손익_본체!$C$51:$C$69,B4)+SUMIFS(과거손익_본체!$W$51:$W$69,과거손익_본체!$C$51:$C$69,B4))/10^6</f>
        <v>-7.4200000000000004E-3</v>
      </c>
      <c r="I4" s="205">
        <f>SUMIFS(과거손익_본체!$J$51:$J$69,과거손익_본체!$C$51:$C$69,B4)/10^6</f>
        <v>0</v>
      </c>
      <c r="J4" s="2999">
        <f t="shared" ref="J4:J41" si="0">SUM(H4:I4)</f>
        <v>-7.4200000000000004E-3</v>
      </c>
      <c r="K4" s="2999">
        <f>(SUMIFS(과거손익_본체!$K$51:$K$69,과거손익_본체!$C$51:$C$69,B4)+SUMIFS(과거손익_본체!$L$51:$L$69,과거손익_본체!$C$51:$C$69,B4))/10^6</f>
        <v>5776.2563739999996</v>
      </c>
      <c r="L4" s="205">
        <f>SUMIFS(과거손익_본체!$N$51:$N$69,과거손익_본체!$C$51:$C$69,B4)/10^6</f>
        <v>1136.7404289999999</v>
      </c>
      <c r="M4" s="205">
        <v>0</v>
      </c>
      <c r="N4" s="205">
        <f>SUMIFS(과거손익_본체!$P$51:$P$69,과거손익_본체!$C$51:$C$69,B4)/10^6</f>
        <v>1439.3912600000001</v>
      </c>
      <c r="O4" s="2999">
        <f t="shared" ref="O4:O42" si="1">SUM(L4:N4)</f>
        <v>2576.1316889999998</v>
      </c>
      <c r="P4" s="205">
        <f>SUMIFS(과거손익_본체!$O$51:$O$69,과거손익_본체!$C$51:$C$69,B4)/10^6</f>
        <v>810.56884500000001</v>
      </c>
      <c r="Q4" s="205">
        <f>SUMIFS(과거손익_본체!$M$51:$M$69,과거손익_본체!$C$51:$C$69,B4)/10^6</f>
        <v>6935.3608350000004</v>
      </c>
      <c r="R4" s="205">
        <v>0</v>
      </c>
      <c r="S4" s="205">
        <f t="shared" ref="S4:S42" si="2">T4-Q4-P4-J4-K4-O4-R4</f>
        <v>1626.1687840000004</v>
      </c>
      <c r="T4" s="2999">
        <f>SUMIFS(과거손익_본체!$H$51:$H$69,과거손익_본체!$C$51:$C$69,B4)/10^6</f>
        <v>17724.479106999999</v>
      </c>
    </row>
    <row r="5" spans="2:20">
      <c r="B5" s="1" t="s">
        <v>246</v>
      </c>
      <c r="C5" s="210" t="s">
        <v>5566</v>
      </c>
      <c r="D5" s="210" t="s">
        <v>2627</v>
      </c>
      <c r="E5" s="210" t="s">
        <v>69</v>
      </c>
      <c r="F5" s="2999">
        <f>SUMIFS(과거손익_본체!$E$51:$E$69,과거손익_본체!$C$51:$C$69,B5)/10^6</f>
        <v>178811.24355300001</v>
      </c>
      <c r="G5" s="205">
        <f>SUMIFS(과거손익_본체!$D$51:$D$69,과거손익_본체!$C$51:$C$69,B5)</f>
        <v>5205351.8420000002</v>
      </c>
      <c r="H5" s="205">
        <f>(SUMIFS(과거손익_본체!$I$51:$I$69,과거손익_본체!$C$51:$C$69,B5)+SUMIFS(과거손익_본체!$R$51:$R$69,과거손익_본체!$C$51:$C$69,B5)+SUMIFS(과거손익_본체!$S$51:$S$69,과거손익_본체!$C$51:$C$69,B5)+SUMIFS(과거손익_본체!$T$51:$T$69,과거손익_본체!$C$51:$C$69,B5)+SUMIFS(과거손익_본체!$U$51:$U$69,과거손익_본체!$C$51:$C$69,B5)+SUMIFS(과거손익_본체!$V$51:$V$69,과거손익_본체!$C$51:$C$69,B5)+SUMIFS(과거손익_본체!$W$51:$W$69,과거손익_본체!$C$51:$C$69,B5)+SUMIFS(과거손익_본체!$X$51:$X$69,과거손익_본체!$C$51:$C$69,B5)+SUMIFS(과거손익_본체!$V$51:$V$69,과거손익_본체!$C$51:$C$69,B5)+SUMIFS(과거손익_본체!$W$51:$W$69,과거손익_본체!$C$51:$C$69,B5))/10^6</f>
        <v>160218.99924500001</v>
      </c>
      <c r="I5" s="205">
        <f>SUMIFS(과거손익_본체!$J$51:$J$69,과거손익_본체!$C$51:$C$69,B5)/10^6</f>
        <v>449.77256199999999</v>
      </c>
      <c r="J5" s="2999">
        <f t="shared" si="0"/>
        <v>160668.77180700001</v>
      </c>
      <c r="K5" s="2999">
        <f>(SUMIFS(과거손익_본체!$K$51:$K$69,과거손익_본체!$C$51:$C$69,B5)+SUMIFS(과거손익_본체!$L$51:$L$69,과거손익_본체!$C$51:$C$69,B5))/10^6</f>
        <v>3762.6892330000001</v>
      </c>
      <c r="L5" s="205">
        <f>SUMIFS(과거손익_본체!$N$51:$N$69,과거손익_본체!$C$51:$C$69,B5)/10^6</f>
        <v>1260.263966</v>
      </c>
      <c r="M5" s="205">
        <v>0</v>
      </c>
      <c r="N5" s="205">
        <f>SUMIFS(과거손익_본체!$P$51:$P$69,과거손익_본체!$C$51:$C$69,B5)/10^6</f>
        <v>2265.0352910000001</v>
      </c>
      <c r="O5" s="2999">
        <f t="shared" si="1"/>
        <v>3525.2992570000001</v>
      </c>
      <c r="P5" s="205">
        <f>SUMIFS(과거손익_본체!$O$51:$O$69,과거손익_본체!$C$51:$C$69,B5)/10^6</f>
        <v>2442.412773</v>
      </c>
      <c r="Q5" s="205">
        <f>SUMIFS(과거손익_본체!$M$51:$M$69,과거손익_본체!$C$51:$C$69,B5)/10^6</f>
        <v>4443.0422040000003</v>
      </c>
      <c r="R5" s="205">
        <v>0</v>
      </c>
      <c r="S5" s="205">
        <f t="shared" si="2"/>
        <v>-2378.1637480000031</v>
      </c>
      <c r="T5" s="2999">
        <f>SUMIFS(과거손익_본체!$H$51:$H$69,과거손익_본체!$C$51:$C$69,B5)/10^6</f>
        <v>172464.051526</v>
      </c>
    </row>
    <row r="6" spans="2:20">
      <c r="B6" s="1" t="s">
        <v>5587</v>
      </c>
      <c r="C6" s="210" t="s">
        <v>5566</v>
      </c>
      <c r="D6" s="210" t="s">
        <v>3486</v>
      </c>
      <c r="E6" s="210" t="s">
        <v>69</v>
      </c>
      <c r="F6" s="2999">
        <f>SUMIFS(과거손익_본체!$E$51:$E$69,과거손익_본체!$C$51:$C$69,B6)/10^6</f>
        <v>10930.6432</v>
      </c>
      <c r="G6" s="205">
        <f>SUMIFS(과거손익_본체!$D$51:$D$69,과거손익_본체!$C$51:$C$69,B6)</f>
        <v>4077.6499999999905</v>
      </c>
      <c r="H6" s="205">
        <f>(SUMIFS(과거손익_본체!$I$51:$I$69,과거손익_본체!$C$51:$C$69,B6)+SUMIFS(과거손익_본체!$R$51:$R$69,과거손익_본체!$C$51:$C$69,B6)+SUMIFS(과거손익_본체!$S$51:$S$69,과거손익_본체!$C$51:$C$69,B6)+SUMIFS(과거손익_본체!$T$51:$T$69,과거손익_본체!$C$51:$C$69,B6)+SUMIFS(과거손익_본체!$U$51:$U$69,과거손익_본체!$C$51:$C$69,B6)+SUMIFS(과거손익_본체!$V$51:$V$69,과거손익_본체!$C$51:$C$69,B6)+SUMIFS(과거손익_본체!$W$51:$W$69,과거손익_본체!$C$51:$C$69,B6)+SUMIFS(과거손익_본체!$X$51:$X$69,과거손익_본체!$C$51:$C$69,B6)+SUMIFS(과거손익_본체!$V$51:$V$69,과거손익_본체!$C$51:$C$69,B6)+SUMIFS(과거손익_본체!$W$51:$W$69,과거손익_본체!$C$51:$C$69,B6))/10^6</f>
        <v>360.88403299999999</v>
      </c>
      <c r="I6" s="205">
        <f>SUMIFS(과거손익_본체!$J$51:$J$69,과거손익_본체!$C$51:$C$69,B6)/10^6</f>
        <v>0</v>
      </c>
      <c r="J6" s="2999">
        <f t="shared" si="0"/>
        <v>360.88403299999999</v>
      </c>
      <c r="K6" s="2999">
        <f>(SUMIFS(과거손익_본체!$K$51:$K$69,과거손익_본체!$C$51:$C$69,B6)+SUMIFS(과거손익_본체!$L$51:$L$69,과거손익_본체!$C$51:$C$69,B6))/10^6</f>
        <v>745.53170799999998</v>
      </c>
      <c r="L6" s="205">
        <f>SUMIFS(과거손익_본체!$N$51:$N$69,과거손익_본체!$C$51:$C$69,B6)/10^6</f>
        <v>422.80148000000003</v>
      </c>
      <c r="M6" s="205">
        <v>0</v>
      </c>
      <c r="N6" s="205">
        <f>SUMIFS(과거손익_본체!$P$51:$P$69,과거손익_본체!$C$51:$C$69,B6)/10^6</f>
        <v>87.254441999999997</v>
      </c>
      <c r="O6" s="2999">
        <f t="shared" si="1"/>
        <v>510.05592200000001</v>
      </c>
      <c r="P6" s="205">
        <f>SUMIFS(과거손익_본체!$O$51:$O$69,과거손익_본체!$C$51:$C$69,B6)/10^6</f>
        <v>317.17559399999999</v>
      </c>
      <c r="Q6" s="205">
        <f>SUMIFS(과거손익_본체!$M$51:$M$69,과거손익_본체!$C$51:$C$69,B6)/10^6</f>
        <v>418.93738100000002</v>
      </c>
      <c r="R6" s="205">
        <v>0</v>
      </c>
      <c r="S6" s="205">
        <f t="shared" si="2"/>
        <v>338.04223899999988</v>
      </c>
      <c r="T6" s="2999">
        <f>SUMIFS(과거손익_본체!$H$51:$H$69,과거손익_본체!$C$51:$C$69,B6)/10^6</f>
        <v>2690.6268770000001</v>
      </c>
    </row>
    <row r="7" spans="2:20">
      <c r="B7" s="1" t="s">
        <v>252</v>
      </c>
      <c r="C7" s="210" t="s">
        <v>5572</v>
      </c>
      <c r="D7" s="210" t="s">
        <v>3486</v>
      </c>
      <c r="E7" s="210" t="s">
        <v>69</v>
      </c>
      <c r="F7" s="2999">
        <f>SUMIFS(과거손익_본체!$E$51:$E$69,과거손익_본체!$C$51:$C$69,B7)/10^6</f>
        <v>18034.886059</v>
      </c>
      <c r="G7" s="205">
        <f>SUMIFS(과거손익_본체!$D$51:$D$69,과거손익_본체!$C$51:$C$69,B7)</f>
        <v>547430</v>
      </c>
      <c r="H7" s="205">
        <f>(SUMIFS(과거손익_본체!$I$51:$I$69,과거손익_본체!$C$51:$C$69,B7)+SUMIFS(과거손익_본체!$R$51:$R$69,과거손익_본체!$C$51:$C$69,B7)+SUMIFS(과거손익_본체!$S$51:$S$69,과거손익_본체!$C$51:$C$69,B7)+SUMIFS(과거손익_본체!$T$51:$T$69,과거손익_본체!$C$51:$C$69,B7)+SUMIFS(과거손익_본체!$U$51:$U$69,과거손익_본체!$C$51:$C$69,B7)+SUMIFS(과거손익_본체!$V$51:$V$69,과거손익_본체!$C$51:$C$69,B7)+SUMIFS(과거손익_본체!$W$51:$W$69,과거손익_본체!$C$51:$C$69,B7)+SUMIFS(과거손익_본체!$X$51:$X$69,과거손익_본체!$C$51:$C$69,B7)+SUMIFS(과거손익_본체!$V$51:$V$69,과거손익_본체!$C$51:$C$69,B7)+SUMIFS(과거손익_본체!$W$51:$W$69,과거손익_본체!$C$51:$C$69,B7))/10^6</f>
        <v>0</v>
      </c>
      <c r="I7" s="205">
        <f>SUMIFS(과거손익_본체!$J$51:$J$69,과거손익_본체!$C$51:$C$69,B7)/10^6</f>
        <v>0</v>
      </c>
      <c r="J7" s="2999">
        <f t="shared" si="0"/>
        <v>0</v>
      </c>
      <c r="K7" s="2999">
        <f>(SUMIFS(과거손익_본체!$K$51:$K$69,과거손익_본체!$C$51:$C$69,B7)+SUMIFS(과거손익_본체!$L$51:$L$69,과거손익_본체!$C$51:$C$69,B7))/10^6</f>
        <v>239.70237700000001</v>
      </c>
      <c r="L7" s="205">
        <f>SUMIFS(과거손익_본체!$N$51:$N$69,과거손익_본체!$C$51:$C$69,B7)/10^6</f>
        <v>7814.2119199999997</v>
      </c>
      <c r="M7" s="205">
        <v>0</v>
      </c>
      <c r="N7" s="205">
        <f>SUMIFS(과거손익_본체!$P$51:$P$69,과거손익_본체!$C$51:$C$69,B7)/10^6</f>
        <v>7.875737</v>
      </c>
      <c r="O7" s="2999">
        <f t="shared" si="1"/>
        <v>7822.087657</v>
      </c>
      <c r="P7" s="205">
        <f>SUMIFS(과거손익_본체!$O$51:$O$69,과거손익_본체!$C$51:$C$69,B7)/10^6</f>
        <v>223.50394800000001</v>
      </c>
      <c r="Q7" s="205">
        <f>SUMIFS(과거손익_본체!$M$51:$M$69,과거손익_본체!$C$51:$C$69,B7)/10^6</f>
        <v>1231.5995740000001</v>
      </c>
      <c r="R7" s="205">
        <v>0</v>
      </c>
      <c r="S7" s="205">
        <f>T7-Q7-P7-J7-K7-O7-R7</f>
        <v>300.47903300000144</v>
      </c>
      <c r="T7" s="2999">
        <f>SUMIFS(과거손익_본체!$H$51:$H$69,과거손익_본체!$C$51:$C$69,B7)/10^6</f>
        <v>9817.3725890000005</v>
      </c>
    </row>
    <row r="8" spans="2:20">
      <c r="B8" s="1" t="s">
        <v>258</v>
      </c>
      <c r="C8" s="210" t="s">
        <v>5572</v>
      </c>
      <c r="D8" s="210" t="s">
        <v>3486</v>
      </c>
      <c r="E8" s="210" t="s">
        <v>69</v>
      </c>
      <c r="F8" s="2999">
        <f>SUMIFS(과거손익_본체!$E$51:$E$69,과거손익_본체!$C$51:$C$69,B8)/10^6</f>
        <v>4705127.5894449996</v>
      </c>
      <c r="G8" s="205">
        <f>SUMIFS(과거손익_본체!$D$51:$D$69,과거손익_본체!$C$51:$C$69,B8)</f>
        <v>651602.01399999962</v>
      </c>
      <c r="H8" s="205">
        <f>(SUMIFS(과거손익_본체!$I$51:$I$69,과거손익_본체!$C$51:$C$69,B8)+SUMIFS(과거손익_본체!$R$51:$R$69,과거손익_본체!$C$51:$C$69,B8)+SUMIFS(과거손익_본체!$S$51:$S$69,과거손익_본체!$C$51:$C$69,B8)+SUMIFS(과거손익_본체!$T$51:$T$69,과거손익_본체!$C$51:$C$69,B8)+SUMIFS(과거손익_본체!$U$51:$U$69,과거손익_본체!$C$51:$C$69,B8)+SUMIFS(과거손익_본체!$V$51:$V$69,과거손익_본체!$C$51:$C$69,B8)+SUMIFS(과거손익_본체!$W$51:$W$69,과거손익_본체!$C$51:$C$69,B8)+SUMIFS(과거손익_본체!$X$51:$X$69,과거손익_본체!$C$51:$C$69,B8)+SUMIFS(과거손익_본체!$V$51:$V$69,과거손익_본체!$C$51:$C$69,B8)+SUMIFS(과거손익_본체!$W$51:$W$69,과거손익_본체!$C$51:$C$69,B8))/10^6</f>
        <v>4276425.0872250004</v>
      </c>
      <c r="I8" s="205">
        <f>SUMIFS(과거손익_본체!$J$51:$J$69,과거손익_본체!$C$51:$C$69,B8)/10^6</f>
        <v>29472.053577999999</v>
      </c>
      <c r="J8" s="2999">
        <f t="shared" si="0"/>
        <v>4305897.140803</v>
      </c>
      <c r="K8" s="2999">
        <f>(SUMIFS(과거손익_본체!$K$51:$K$69,과거손익_본체!$C$51:$C$69,B8)+SUMIFS(과거손익_본체!$L$51:$L$69,과거손익_본체!$C$51:$C$69,B8))/10^6</f>
        <v>46691.654863000003</v>
      </c>
      <c r="L8" s="205">
        <f>SUMIFS(과거손익_본체!$N$51:$N$69,과거손익_본체!$C$51:$C$69,B8)/10^6</f>
        <v>66922.919385999994</v>
      </c>
      <c r="M8" s="205">
        <v>0</v>
      </c>
      <c r="N8" s="205">
        <f>SUMIFS(과거손익_본체!$P$51:$P$69,과거손익_본체!$C$51:$C$69,B8)/10^6</f>
        <v>18472.706145</v>
      </c>
      <c r="O8" s="2999">
        <f t="shared" si="1"/>
        <v>85395.625530999998</v>
      </c>
      <c r="P8" s="205">
        <f>SUMIFS(과거손익_본체!$O$51:$O$69,과거손익_본체!$C$51:$C$69,B8)/10^6</f>
        <v>26395.548341999998</v>
      </c>
      <c r="Q8" s="205">
        <f>SUMIFS(과거손익_본체!$M$51:$M$69,과거손익_본체!$C$51:$C$69,B8)/10^6</f>
        <v>34618.421784999999</v>
      </c>
      <c r="R8" s="205">
        <v>0</v>
      </c>
      <c r="S8" s="205">
        <f t="shared" si="2"/>
        <v>31456.617915000767</v>
      </c>
      <c r="T8" s="2999">
        <f>SUMIFS(과거손익_본체!$H$51:$H$69,과거손익_본체!$C$51:$C$69,B8)/10^6</f>
        <v>4530455.0092390003</v>
      </c>
    </row>
    <row r="9" spans="2:20">
      <c r="B9" s="1" t="s">
        <v>260</v>
      </c>
      <c r="C9" s="210" t="s">
        <v>5572</v>
      </c>
      <c r="D9" s="210" t="s">
        <v>3486</v>
      </c>
      <c r="E9" s="210" t="s">
        <v>69</v>
      </c>
      <c r="F9" s="2999">
        <f>SUMIFS(과거손익_본체!$E$51:$E$69,과거손익_본체!$C$51:$C$69,B9)/10^6</f>
        <v>1694.562338</v>
      </c>
      <c r="G9" s="205">
        <f>SUMIFS(과거손익_본체!$D$51:$D$69,과거손익_본체!$C$51:$C$69,B9)</f>
        <v>1255656.4199999988</v>
      </c>
      <c r="H9" s="205">
        <f>(SUMIFS(과거손익_본체!$I$51:$I$69,과거손익_본체!$C$51:$C$69,B9)+SUMIFS(과거손익_본체!$R$51:$R$69,과거손익_본체!$C$51:$C$69,B9)+SUMIFS(과거손익_본체!$S$51:$S$69,과거손익_본체!$C$51:$C$69,B9)+SUMIFS(과거손익_본체!$T$51:$T$69,과거손익_본체!$C$51:$C$69,B9)+SUMIFS(과거손익_본체!$U$51:$U$69,과거손익_본체!$C$51:$C$69,B9)+SUMIFS(과거손익_본체!$V$51:$V$69,과거손익_본체!$C$51:$C$69,B9)+SUMIFS(과거손익_본체!$W$51:$W$69,과거손익_본체!$C$51:$C$69,B9)+SUMIFS(과거손익_본체!$X$51:$X$69,과거손익_본체!$C$51:$C$69,B9)+SUMIFS(과거손익_본체!$V$51:$V$69,과거손익_본체!$C$51:$C$69,B9)+SUMIFS(과거손익_본체!$W$51:$W$69,과거손익_본체!$C$51:$C$69,B9))/10^6</f>
        <v>0</v>
      </c>
      <c r="I9" s="205">
        <f>SUMIFS(과거손익_본체!$J$51:$J$69,과거손익_본체!$C$51:$C$69,B9)/10^6</f>
        <v>0</v>
      </c>
      <c r="J9" s="2999">
        <f t="shared" si="0"/>
        <v>0</v>
      </c>
      <c r="K9" s="2999">
        <f>(SUMIFS(과거손익_본체!$K$51:$K$69,과거손익_본체!$C$51:$C$69,B9)+SUMIFS(과거손익_본체!$L$51:$L$69,과거손익_본체!$C$51:$C$69,B9))/10^6</f>
        <v>922.503871</v>
      </c>
      <c r="L9" s="205">
        <f>SUMIFS(과거손익_본체!$N$51:$N$69,과거손익_본체!$C$51:$C$69,B9)/10^6</f>
        <v>1.7421629999999999</v>
      </c>
      <c r="M9" s="205">
        <v>0</v>
      </c>
      <c r="N9" s="205">
        <f>SUMIFS(과거손익_본체!$P$51:$P$69,과거손익_본체!$C$51:$C$69,B9)/10^6</f>
        <v>2.4298790000000001</v>
      </c>
      <c r="O9" s="2999">
        <f t="shared" si="1"/>
        <v>4.1720420000000003</v>
      </c>
      <c r="P9" s="205">
        <f>SUMIFS(과거손익_본체!$O$51:$O$69,과거손익_본체!$C$51:$C$69,B9)/10^6</f>
        <v>248.17022399999999</v>
      </c>
      <c r="Q9" s="205">
        <f>SUMIFS(과거손익_본체!$M$51:$M$69,과거손익_본체!$C$51:$C$69,B9)/10^6</f>
        <v>162.83374800000001</v>
      </c>
      <c r="R9" s="205">
        <v>0</v>
      </c>
      <c r="S9" s="205">
        <f t="shared" si="2"/>
        <v>291.47495200000009</v>
      </c>
      <c r="T9" s="2999">
        <f>SUMIFS(과거손익_본체!$H$51:$H$69,과거손익_본체!$C$51:$C$69,B9)/10^6</f>
        <v>1629.154837</v>
      </c>
    </row>
    <row r="10" spans="2:20">
      <c r="B10" s="1" t="s">
        <v>262</v>
      </c>
      <c r="C10" s="210" t="s">
        <v>5566</v>
      </c>
      <c r="D10" s="210" t="s">
        <v>5558</v>
      </c>
      <c r="E10" s="210" t="s">
        <v>69</v>
      </c>
      <c r="F10" s="2999">
        <f>SUMIFS(과거손익_본체!$E$51:$E$69,과거손익_본체!$C$51:$C$69,B10)/10^6</f>
        <v>1774353.059317</v>
      </c>
      <c r="G10" s="205">
        <f>SUMIFS(과거손익_본체!$D$51:$D$69,과거손익_본체!$C$51:$C$69,B10)/1000</f>
        <v>39446.750799999994</v>
      </c>
      <c r="H10" s="205">
        <f>(SUMIFS(과거손익_본체!$I$51:$I$69,과거손익_본체!$C$51:$C$69,B10)+SUMIFS(과거손익_본체!$R$51:$R$69,과거손익_본체!$C$51:$C$69,B10)+SUMIFS(과거손익_본체!$S$51:$S$69,과거손익_본체!$C$51:$C$69,B10)+SUMIFS(과거손익_본체!$T$51:$T$69,과거손익_본체!$C$51:$C$69,B10)+SUMIFS(과거손익_본체!$U$51:$U$69,과거손익_본체!$C$51:$C$69,B10)+SUMIFS(과거손익_본체!$V$51:$V$69,과거손익_본체!$C$51:$C$69,B10)+SUMIFS(과거손익_본체!$W$51:$W$69,과거손익_본체!$C$51:$C$69,B10)+SUMIFS(과거손익_본체!$X$51:$X$69,과거손익_본체!$C$51:$C$69,B10)+SUMIFS(과거손익_본체!$V$51:$V$69,과거손익_본체!$C$51:$C$69,B10)+SUMIFS(과거손익_본체!$W$51:$W$69,과거손익_본체!$C$51:$C$69,B10))/10^6</f>
        <v>1703010.6514669999</v>
      </c>
      <c r="I10" s="205">
        <f>SUMIFS(과거손익_본체!$J$51:$J$69,과거손익_본체!$C$51:$C$69,B10)/10^6</f>
        <v>509.28552999999999</v>
      </c>
      <c r="J10" s="2999">
        <f t="shared" si="0"/>
        <v>1703519.9369969999</v>
      </c>
      <c r="K10" s="2999">
        <f>(SUMIFS(과거손익_본체!$K$51:$K$69,과거손익_본체!$C$51:$C$69,B10)+SUMIFS(과거손익_본체!$L$51:$L$69,과거손익_본체!$C$51:$C$69,B10))/10^6</f>
        <v>3546.1397280000001</v>
      </c>
      <c r="L10" s="205">
        <f>SUMIFS(과거손익_본체!$N$51:$N$69,과거손익_본체!$C$51:$C$69,B10)/10^6</f>
        <v>1645.449042</v>
      </c>
      <c r="M10" s="205">
        <v>0</v>
      </c>
      <c r="N10" s="205">
        <f>SUMIFS(과거손익_본체!$P$51:$P$69,과거손익_본체!$C$51:$C$69,B10)/10^6</f>
        <v>901.20074499999998</v>
      </c>
      <c r="O10" s="2999">
        <f t="shared" si="1"/>
        <v>2546.6497869999998</v>
      </c>
      <c r="P10" s="205">
        <f>SUMIFS(과거손익_본체!$O$51:$O$69,과거손익_본체!$C$51:$C$69,B10)/10^6</f>
        <v>1027.128185</v>
      </c>
      <c r="Q10" s="205">
        <f>SUMIFS(과거손익_본체!$M$51:$M$69,과거손익_본체!$C$51:$C$69,B10)/10^6</f>
        <v>1417.530557</v>
      </c>
      <c r="R10" s="205">
        <v>0</v>
      </c>
      <c r="S10" s="205">
        <f t="shared" si="2"/>
        <v>-6816.2613419999143</v>
      </c>
      <c r="T10" s="2999">
        <f>SUMIFS(과거손익_본체!$H$51:$H$69,과거손익_본체!$C$51:$C$69,B10)/10^6</f>
        <v>1705241.1239120001</v>
      </c>
    </row>
    <row r="11" spans="2:20">
      <c r="B11" s="1" t="s">
        <v>264</v>
      </c>
      <c r="C11" s="210" t="s">
        <v>5566</v>
      </c>
      <c r="D11" s="210" t="s">
        <v>5558</v>
      </c>
      <c r="E11" s="210" t="s">
        <v>69</v>
      </c>
      <c r="F11" s="2999">
        <f>SUMIFS(과거손익_본체!$E$51:$E$69,과거손익_본체!$C$51:$C$69,B11)/10^6</f>
        <v>364131.15433200001</v>
      </c>
      <c r="G11" s="205">
        <f>SUMIFS(과거손익_본체!$D$51:$D$69,과거손익_본체!$C$51:$C$69,B11)/1000</f>
        <v>659376.72400000005</v>
      </c>
      <c r="H11" s="205">
        <f>(SUMIFS(과거손익_본체!$I$51:$I$69,과거손익_본체!$C$51:$C$69,B11)+SUMIFS(과거손익_본체!$R$51:$R$69,과거손익_본체!$C$51:$C$69,B11)+SUMIFS(과거손익_본체!$S$51:$S$69,과거손익_본체!$C$51:$C$69,B11)+SUMIFS(과거손익_본체!$T$51:$T$69,과거손익_본체!$C$51:$C$69,B11)+SUMIFS(과거손익_본체!$U$51:$U$69,과거손익_본체!$C$51:$C$69,B11)+SUMIFS(과거손익_본체!$V$51:$V$69,과거손익_본체!$C$51:$C$69,B11)+SUMIFS(과거손익_본체!$W$51:$W$69,과거손익_본체!$C$51:$C$69,B11)+SUMIFS(과거손익_본체!$X$51:$X$69,과거손익_본체!$C$51:$C$69,B11)+SUMIFS(과거손익_본체!$V$51:$V$69,과거손익_본체!$C$51:$C$69,B11)+SUMIFS(과거손익_본체!$W$51:$W$69,과거손익_본체!$C$51:$C$69,B11))/10^6</f>
        <v>332458.41149199998</v>
      </c>
      <c r="I11" s="205">
        <f>SUMIFS(과거손익_본체!$J$51:$J$69,과거손익_본체!$C$51:$C$69,B11)/10^6</f>
        <v>112.57781199999999</v>
      </c>
      <c r="J11" s="2999">
        <f t="shared" si="0"/>
        <v>332570.98930399999</v>
      </c>
      <c r="K11" s="2999">
        <f>(SUMIFS(과거손익_본체!$K$51:$K$69,과거손익_본체!$C$51:$C$69,B11)+SUMIFS(과거손익_본체!$L$51:$L$69,과거손익_본체!$C$51:$C$69,B11))/10^6</f>
        <v>1367.117608</v>
      </c>
      <c r="L11" s="205">
        <f>SUMIFS(과거손익_본체!$N$51:$N$69,과거손익_본체!$C$51:$C$69,B11)/10^6</f>
        <v>365.32750499999997</v>
      </c>
      <c r="M11" s="205">
        <v>0</v>
      </c>
      <c r="N11" s="205">
        <f>SUMIFS(과거손익_본체!$P$51:$P$69,과거손익_본체!$C$51:$C$69,B11)/10^6</f>
        <v>876.81232299999999</v>
      </c>
      <c r="O11" s="2999">
        <f t="shared" si="1"/>
        <v>1242.1398279999999</v>
      </c>
      <c r="P11" s="205">
        <f>SUMIFS(과거손익_본체!$O$51:$O$69,과거손익_본체!$C$51:$C$69,B11)/10^6</f>
        <v>465.75835999999998</v>
      </c>
      <c r="Q11" s="205">
        <f>SUMIFS(과거손익_본체!$M$51:$M$69,과거손익_본체!$C$51:$C$69,B11)/10^6</f>
        <v>1218.39708</v>
      </c>
      <c r="R11" s="205">
        <v>0</v>
      </c>
      <c r="S11" s="205">
        <f t="shared" si="2"/>
        <v>-1079.6012710000068</v>
      </c>
      <c r="T11" s="2999">
        <f>SUMIFS(과거손익_본체!$H$51:$H$69,과거손익_본체!$C$51:$C$69,B11)/10^6</f>
        <v>335784.80090899998</v>
      </c>
    </row>
    <row r="12" spans="2:20">
      <c r="B12" s="1" t="s">
        <v>316</v>
      </c>
      <c r="C12" s="210" t="s">
        <v>5566</v>
      </c>
      <c r="D12" s="210" t="s">
        <v>5558</v>
      </c>
      <c r="E12" s="210" t="s">
        <v>69</v>
      </c>
      <c r="F12" s="2999">
        <f>SUMIFS(과거손익_본체!$E$51:$E$69,과거손익_본체!$C$51:$C$69,B12)/10^6</f>
        <v>0</v>
      </c>
      <c r="G12" s="205">
        <f>SUMIFS(과거손익_본체!$D$51:$D$69,과거손익_본체!$C$51:$C$69,B12)/1000</f>
        <v>0</v>
      </c>
      <c r="H12" s="205">
        <f>(SUMIFS(과거손익_본체!$I$51:$I$69,과거손익_본체!$C$51:$C$69,B12)+SUMIFS(과거손익_본체!$R$51:$R$69,과거손익_본체!$C$51:$C$69,B12)+SUMIFS(과거손익_본체!$S$51:$S$69,과거손익_본체!$C$51:$C$69,B12)+SUMIFS(과거손익_본체!$T$51:$T$69,과거손익_본체!$C$51:$C$69,B12)+SUMIFS(과거손익_본체!$U$51:$U$69,과거손익_본체!$C$51:$C$69,B12)+SUMIFS(과거손익_본체!$V$51:$V$69,과거손익_본체!$C$51:$C$69,B12)+SUMIFS(과거손익_본체!$W$51:$W$69,과거손익_본체!$C$51:$C$69,B12)+SUMIFS(과거손익_본체!$X$51:$X$69,과거손익_본체!$C$51:$C$69,B12)+SUMIFS(과거손익_본체!$V$51:$V$69,과거손익_본체!$C$51:$C$69,B12)+SUMIFS(과거손익_본체!$W$51:$W$69,과거손익_본체!$C$51:$C$69,B12))/10^6</f>
        <v>0</v>
      </c>
      <c r="I12" s="205">
        <f>SUMIFS(과거손익_본체!$J$51:$J$69,과거손익_본체!$C$51:$C$69,B12)/10^6</f>
        <v>0</v>
      </c>
      <c r="J12" s="2999">
        <f t="shared" ref="J12" si="3">SUM(H12:I12)</f>
        <v>0</v>
      </c>
      <c r="K12" s="2999">
        <f>(SUMIFS(과거손익_본체!$K$51:$K$69,과거손익_본체!$C$51:$C$69,B12)+SUMIFS(과거손익_본체!$L$51:$L$69,과거손익_본체!$C$51:$C$69,B12))/10^6</f>
        <v>0</v>
      </c>
      <c r="L12" s="205">
        <f>SUMIFS(과거손익_본체!$N$51:$N$69,과거손익_본체!$C$51:$C$69,B12)/10^6</f>
        <v>0</v>
      </c>
      <c r="M12" s="205">
        <v>0</v>
      </c>
      <c r="N12" s="205">
        <f>SUMIFS(과거손익_본체!$P$51:$P$69,과거손익_본체!$C$51:$C$69,B12)/10^6</f>
        <v>0</v>
      </c>
      <c r="O12" s="2999">
        <f t="shared" ref="O12" si="4">SUM(L12:N12)</f>
        <v>0</v>
      </c>
      <c r="P12" s="205">
        <f>SUMIFS(과거손익_본체!$O$51:$O$69,과거손익_본체!$C$51:$C$69,B12)/10^6</f>
        <v>0</v>
      </c>
      <c r="Q12" s="205">
        <f>SUMIFS(과거손익_본체!$M$51:$M$69,과거손익_본체!$C$51:$C$69,B12)/10^6</f>
        <v>0</v>
      </c>
      <c r="R12" s="205">
        <v>0</v>
      </c>
      <c r="S12" s="205">
        <f t="shared" ref="S12" si="5">T12-Q12-P12-J12-K12-O12-R12</f>
        <v>0</v>
      </c>
      <c r="T12" s="2999">
        <f>SUMIFS(과거손익_본체!$H$51:$H$69,과거손익_본체!$C$51:$C$69,B12)/10^6</f>
        <v>0</v>
      </c>
    </row>
    <row r="13" spans="2:20">
      <c r="B13" s="1" t="s">
        <v>266</v>
      </c>
      <c r="C13" s="210" t="s">
        <v>5566</v>
      </c>
      <c r="D13" s="210" t="s">
        <v>5558</v>
      </c>
      <c r="E13" s="210" t="s">
        <v>69</v>
      </c>
      <c r="F13" s="2999">
        <f>SUMIFS(과거손익_본체!$E$51:$E$69,과거손익_본체!$C$51:$C$69,B13)/10^6</f>
        <v>5666.2825590000002</v>
      </c>
      <c r="G13" s="205">
        <f>SUMIFS(과거손익_본체!$D$51:$D$69,과거손익_본체!$C$51:$C$69,B13)/1000</f>
        <v>180.76269999999988</v>
      </c>
      <c r="H13" s="205">
        <f>(SUMIFS(과거손익_본체!$I$51:$I$69,과거손익_본체!$C$51:$C$69,B13)+SUMIFS(과거손익_본체!$R$51:$R$69,과거손익_본체!$C$51:$C$69,B13)+SUMIFS(과거손익_본체!$S$51:$S$69,과거손익_본체!$C$51:$C$69,B13)+SUMIFS(과거손익_본체!$T$51:$T$69,과거손익_본체!$C$51:$C$69,B13)+SUMIFS(과거손익_본체!$U$51:$U$69,과거손익_본체!$C$51:$C$69,B13)+SUMIFS(과거손익_본체!$V$51:$V$69,과거손익_본체!$C$51:$C$69,B13)+SUMIFS(과거손익_본체!$W$51:$W$69,과거손익_본체!$C$51:$C$69,B13)+SUMIFS(과거손익_본체!$X$51:$X$69,과거손익_본체!$C$51:$C$69,B13)+SUMIFS(과거손익_본체!$V$51:$V$69,과거손익_본체!$C$51:$C$69,B13)+SUMIFS(과거손익_본체!$W$51:$W$69,과거손익_본체!$C$51:$C$69,B13))/10^6</f>
        <v>2548.434604</v>
      </c>
      <c r="I13" s="205">
        <f>SUMIFS(과거손익_본체!$J$51:$J$69,과거손익_본체!$C$51:$C$69,B13)/10^6</f>
        <v>0</v>
      </c>
      <c r="J13" s="2999">
        <f t="shared" si="0"/>
        <v>2548.434604</v>
      </c>
      <c r="K13" s="2999">
        <f>(SUMIFS(과거손익_본체!$K$51:$K$69,과거손익_본체!$C$51:$C$69,B13)+SUMIFS(과거손익_본체!$L$51:$L$69,과거손익_본체!$C$51:$C$69,B13))/10^6</f>
        <v>43.725501000000001</v>
      </c>
      <c r="L13" s="205">
        <f>SUMIFS(과거손익_본체!$N$51:$N$69,과거손익_본체!$C$51:$C$69,B13)/10^6</f>
        <v>0.23899100000000001</v>
      </c>
      <c r="M13" s="205">
        <v>0</v>
      </c>
      <c r="N13" s="205">
        <f>SUMIFS(과거손익_본체!$P$51:$P$69,과거손익_본체!$C$51:$C$69,B13)/10^6</f>
        <v>11.457333999999999</v>
      </c>
      <c r="O13" s="2999">
        <f t="shared" si="1"/>
        <v>11.696325</v>
      </c>
      <c r="P13" s="205">
        <f>SUMIFS(과거손익_본체!$O$51:$O$69,과거손익_본체!$C$51:$C$69,B13)/10^6</f>
        <v>57.413919999999997</v>
      </c>
      <c r="Q13" s="205">
        <f>SUMIFS(과거손익_본체!$M$51:$M$69,과거손익_본체!$C$51:$C$69,B13)/10^6</f>
        <v>35.529121000000004</v>
      </c>
      <c r="R13" s="205">
        <v>0</v>
      </c>
      <c r="S13" s="205">
        <f t="shared" si="2"/>
        <v>22.752397999999864</v>
      </c>
      <c r="T13" s="2999">
        <f>SUMIFS(과거손익_본체!$H$51:$H$69,과거손익_본체!$C$51:$C$69,B13)/10^6</f>
        <v>2719.5518689999999</v>
      </c>
    </row>
    <row r="14" spans="2:20">
      <c r="B14" s="1" t="s">
        <v>268</v>
      </c>
      <c r="C14" s="210" t="s">
        <v>5566</v>
      </c>
      <c r="D14" s="210" t="s">
        <v>5558</v>
      </c>
      <c r="E14" s="210" t="s">
        <v>69</v>
      </c>
      <c r="F14" s="2999">
        <f>SUMIFS(과거손익_본체!$E$51:$E$69,과거손익_본체!$C$51:$C$69,B14)/10^6</f>
        <v>57807.594981000002</v>
      </c>
      <c r="G14" s="205">
        <f>SUMIFS(과거손익_본체!$D$51:$D$69,과거손익_본체!$C$51:$C$69,B14)/1000</f>
        <v>1584.3124999999991</v>
      </c>
      <c r="H14" s="205">
        <f>(SUMIFS(과거손익_본체!$I$51:$I$69,과거손익_본체!$C$51:$C$69,B14)+SUMIFS(과거손익_본체!$R$51:$R$69,과거손익_본체!$C$51:$C$69,B14)+SUMIFS(과거손익_본체!$S$51:$S$69,과거손익_본체!$C$51:$C$69,B14)+SUMIFS(과거손익_본체!$T$51:$T$69,과거손익_본체!$C$51:$C$69,B14)+SUMIFS(과거손익_본체!$U$51:$U$69,과거손익_본체!$C$51:$C$69,B14)+SUMIFS(과거손익_본체!$V$51:$V$69,과거손익_본체!$C$51:$C$69,B14)+SUMIFS(과거손익_본체!$W$51:$W$69,과거손익_본체!$C$51:$C$69,B14)+SUMIFS(과거손익_본체!$X$51:$X$69,과거손익_본체!$C$51:$C$69,B14)+SUMIFS(과거손익_본체!$V$51:$V$69,과거손익_본체!$C$51:$C$69,B14)+SUMIFS(과거손익_본체!$W$51:$W$69,과거손익_본체!$C$51:$C$69,B14))/10^6</f>
        <v>43089.261714</v>
      </c>
      <c r="I14" s="205">
        <f>SUMIFS(과거손익_본체!$J$51:$J$69,과거손익_본체!$C$51:$C$69,B14)/10^6</f>
        <v>0</v>
      </c>
      <c r="J14" s="2999">
        <f t="shared" si="0"/>
        <v>43089.261714</v>
      </c>
      <c r="K14" s="2999">
        <f>(SUMIFS(과거손익_본체!$K$51:$K$69,과거손익_본체!$C$51:$C$69,B14)+SUMIFS(과거손익_본체!$L$51:$L$69,과거손익_본체!$C$51:$C$69,B14))/10^6</f>
        <v>124.24832000000001</v>
      </c>
      <c r="L14" s="205">
        <f>SUMIFS(과거손익_본체!$N$51:$N$69,과거손익_본체!$C$51:$C$69,B14)/10^6</f>
        <v>0.69140999999999997</v>
      </c>
      <c r="M14" s="205">
        <v>0</v>
      </c>
      <c r="N14" s="205">
        <f>SUMIFS(과거손익_본체!$P$51:$P$69,과거손익_본체!$C$51:$C$69,B14)/10^6</f>
        <v>87.915514999999999</v>
      </c>
      <c r="O14" s="2999">
        <f t="shared" si="1"/>
        <v>88.606925000000004</v>
      </c>
      <c r="P14" s="205">
        <f>SUMIFS(과거손익_본체!$O$51:$O$69,과거손익_본체!$C$51:$C$69,B14)/10^6</f>
        <v>138.72434799999999</v>
      </c>
      <c r="Q14" s="205">
        <f>SUMIFS(과거손익_본체!$M$51:$M$69,과거손익_본체!$C$51:$C$69,B14)/10^6</f>
        <v>102.19344100000001</v>
      </c>
      <c r="R14" s="205">
        <v>0</v>
      </c>
      <c r="S14" s="205">
        <f t="shared" si="2"/>
        <v>-49.394341000007714</v>
      </c>
      <c r="T14" s="2999">
        <f>SUMIFS(과거손익_본체!$H$51:$H$69,과거손익_본체!$C$51:$C$69,B14)/10^6</f>
        <v>43493.640406999999</v>
      </c>
    </row>
    <row r="15" spans="2:20">
      <c r="B15" s="68" t="s">
        <v>272</v>
      </c>
      <c r="C15" s="212" t="s">
        <v>5566</v>
      </c>
      <c r="D15" s="212" t="s">
        <v>3486</v>
      </c>
      <c r="E15" s="212" t="s">
        <v>69</v>
      </c>
      <c r="F15" s="3000">
        <f>SUMIFS(과거손익_본체!$E$51:$E$69,과거손익_본체!$C$51:$C$69,B15)/10^6</f>
        <v>17978.38638</v>
      </c>
      <c r="G15" s="208">
        <f>SUMIFS(과거손익_본체!$D$51:$D$69,과거손익_본체!$C$51:$C$69,B15)/1000</f>
        <v>1808.117</v>
      </c>
      <c r="H15" s="208">
        <f>(SUMIFS(과거손익_본체!$I$51:$I$69,과거손익_본체!$C$51:$C$69,B15)+SUMIFS(과거손익_본체!$R$51:$R$69,과거손익_본체!$C$51:$C$69,B15)+SUMIFS(과거손익_본체!$S$51:$S$69,과거손익_본체!$C$51:$C$69,B15)+SUMIFS(과거손익_본체!$T$51:$T$69,과거손익_본체!$C$51:$C$69,B15)+SUMIFS(과거손익_본체!$U$51:$U$69,과거손익_본체!$C$51:$C$69,B15)+SUMIFS(과거손익_본체!$V$51:$V$69,과거손익_본체!$C$51:$C$69,B15)+SUMIFS(과거손익_본체!$W$51:$W$69,과거손익_본체!$C$51:$C$69,B15)+SUMIFS(과거손익_본체!$X$51:$X$69,과거손익_본체!$C$51:$C$69,B15)+SUMIFS(과거손익_본체!$V$51:$V$69,과거손익_본체!$C$51:$C$69,B15)+SUMIFS(과거손익_본체!$W$51:$W$69,과거손익_본체!$C$51:$C$69,B15))/10^6</f>
        <v>18520.601676999999</v>
      </c>
      <c r="I15" s="208">
        <f>SUMIFS(과거손익_본체!$J$51:$J$69,과거손익_본체!$C$51:$C$69,B15)/10^6</f>
        <v>0</v>
      </c>
      <c r="J15" s="3000">
        <f t="shared" si="0"/>
        <v>18520.601676999999</v>
      </c>
      <c r="K15" s="3000">
        <f>(SUMIFS(과거손익_본체!$K$51:$K$69,과거손익_본체!$C$51:$C$69,B15)+SUMIFS(과거손익_본체!$L$51:$L$69,과거손익_본체!$C$51:$C$69,B15))/10^6</f>
        <v>0</v>
      </c>
      <c r="L15" s="208">
        <f>SUMIFS(과거손익_본체!$N$51:$N$69,과거손익_본체!$C$51:$C$69,B15)/10^6</f>
        <v>0</v>
      </c>
      <c r="M15" s="208">
        <v>0</v>
      </c>
      <c r="N15" s="208">
        <f>SUMIFS(과거손익_본체!$P$51:$P$69,과거손익_본체!$C$51:$C$69,B15)/10^6</f>
        <v>0</v>
      </c>
      <c r="O15" s="3000">
        <f t="shared" si="1"/>
        <v>0</v>
      </c>
      <c r="P15" s="208">
        <f>SUMIFS(과거손익_본체!$O$51:$O$69,과거손익_본체!$C$51:$C$69,B15)/10^6</f>
        <v>0</v>
      </c>
      <c r="Q15" s="208">
        <f>SUMIFS(과거손익_본체!$M$51:$M$69,과거손익_본체!$C$51:$C$69,B15)/10^6</f>
        <v>0</v>
      </c>
      <c r="R15" s="208">
        <v>0</v>
      </c>
      <c r="S15" s="208">
        <f t="shared" si="2"/>
        <v>-354.26534999999785</v>
      </c>
      <c r="T15" s="3000">
        <f>SUMIFS(과거손익_본체!$H$51:$H$69,과거손익_본체!$C$51:$C$69,B15)/10^6</f>
        <v>18166.336327000001</v>
      </c>
    </row>
    <row r="16" spans="2:20">
      <c r="B16" s="323" t="s">
        <v>242</v>
      </c>
      <c r="C16" s="210" t="s">
        <v>5565</v>
      </c>
      <c r="D16" s="322" t="s">
        <v>3545</v>
      </c>
      <c r="E16" s="322" t="s">
        <v>27</v>
      </c>
      <c r="F16" s="3001">
        <f>SUMIFS(과거손익_본체!$E$98:$E$117,과거손익_본체!$C$98:$C$117,B16)/10^6</f>
        <v>57170.859078000001</v>
      </c>
      <c r="G16" s="324">
        <f>SUMIFS(과거손익_본체!$D$98:$D$117,과거손익_본체!$C$98:$C$117,B16)</f>
        <v>1479118.5029999989</v>
      </c>
      <c r="H16" s="324">
        <f>(SUMIFS(과거손익_본체!$N$98:$N$117,과거손익_본체!$C$98:$C$117,B16)+SUMIFS(과거손익_본체!$AE$98:$AE$117,과거손익_본체!$C$98:$C$117,B16)+SUMIFS(과거손익_본체!$AF$98:$AF$117,과거손익_본체!$C$98:$C$117,B16))/10^6+SUMIFS(과거손익_본체!$AK$98:$AK$117,과거손익_본체!$C$98:$C$117,B16)/10^6</f>
        <v>851.40905399999997</v>
      </c>
      <c r="I16" s="324">
        <f>SUMIFS(과거손익_본체!$O$98:$O$117,과거손익_본체!$C$98:$C$117,B16)/10^6+SUMIFS(과거손익_본체!$P$98:$P$117,과거손익_본체!$C$98:$C$117,B16)/10^6</f>
        <v>0</v>
      </c>
      <c r="J16" s="3001">
        <f t="shared" si="0"/>
        <v>851.40905399999997</v>
      </c>
      <c r="K16" s="3001">
        <f>(SUMIFS(과거손익_본체!$R$98:$R$117,과거손익_본체!$C$98:$C$117,B16)+SUMIFS(과거손익_본체!$T$98:$T$117,과거손익_본체!$C$98:$C$117,B16))/10^6</f>
        <v>6254.94589</v>
      </c>
      <c r="L16" s="324">
        <f>(SUMIFS(과거손익_본체!$W$98:$W$117,과거손익_본체!$C$98:$C$117,B16)+SUMIFS(과거손익_본체!$X$98:$X$117,과거손익_본체!$C$98:$C$117,B16))/10^6</f>
        <v>9858.9594460000008</v>
      </c>
      <c r="M16" s="324">
        <f>SUMIFS(과거손익_본체!$AM$98:$AM$117,과거손익_본체!$C$98:$C$117,B16)/10^6</f>
        <v>10876.728720999999</v>
      </c>
      <c r="N16" s="324">
        <f>(SUMIFS(과거손익_본체!$AA$98:$AA$117,과거손익_본체!$C$98:$C$117,B16)+SUMIFS(과거손익_본체!$AB$98:$AB$117,과거손익_본체!$C$98:$C$117,B16))/10^6</f>
        <v>3452.109547</v>
      </c>
      <c r="O16" s="3001">
        <f t="shared" si="1"/>
        <v>24187.797714</v>
      </c>
      <c r="P16" s="324">
        <f>(SUMIFS(과거손익_본체!$Y$98:$Y$117,과거손익_본체!$C$98:$C$117,B16)+SUMIFS(과거손익_본체!$Z$98:$Z$117,과거손익_본체!$C$98:$C$117,B16))/10^6</f>
        <v>4849.1387359999999</v>
      </c>
      <c r="Q16" s="324">
        <f>SUMIFS(과거손익_본체!$V$98:$V$117,과거손익_본체!$C$98:$C$117,B16)/10^6</f>
        <v>9556.6171209999993</v>
      </c>
      <c r="R16" s="324">
        <v>0</v>
      </c>
      <c r="S16" s="324">
        <f t="shared" si="2"/>
        <v>4082.1986460000007</v>
      </c>
      <c r="T16" s="3001">
        <f>SUMIFS(과거손익_본체!$M$98:$M$117,과거손익_본체!$C$98:$C$117,B16)/10^6</f>
        <v>49782.107161</v>
      </c>
    </row>
    <row r="17" spans="2:20">
      <c r="B17" s="1" t="s">
        <v>244</v>
      </c>
      <c r="C17" s="210" t="s">
        <v>5565</v>
      </c>
      <c r="D17" s="210" t="s">
        <v>3486</v>
      </c>
      <c r="E17" s="210" t="s">
        <v>27</v>
      </c>
      <c r="F17" s="2999">
        <f>SUMIFS(과거손익_본체!$E$98:$E$117,과거손익_본체!$C$98:$C$117,B17)/10^6</f>
        <v>48329.020396</v>
      </c>
      <c r="G17" s="205">
        <f>SUMIFS(과거손익_본체!$D$98:$D$117,과거손익_본체!$C$98:$C$117,B17)/1000</f>
        <v>102868.208</v>
      </c>
      <c r="H17" s="205">
        <f>(SUMIFS(과거손익_본체!$N$98:$N$117,과거손익_본체!$C$98:$C$117,B17)+SUMIFS(과거손익_본체!$AE$98:$AE$117,과거손익_본체!$C$98:$C$117,B17)+SUMIFS(과거손익_본체!$AF$98:$AF$117,과거손익_본체!$C$98:$C$117,B17))/10^6+SUMIFS(과거손익_본체!$AK$98:$AK$117,과거손익_본체!$C$98:$C$117,B17)/10^6</f>
        <v>0</v>
      </c>
      <c r="I17" s="205">
        <f>SUMIFS(과거손익_본체!$O$98:$O$117,과거손익_본체!$C$98:$C$117,B17)/10^6+SUMIFS(과거손익_본체!$P$98:$P$117,과거손익_본체!$C$98:$C$117,B17)/10^6</f>
        <v>0</v>
      </c>
      <c r="J17" s="2999">
        <f t="shared" si="0"/>
        <v>0</v>
      </c>
      <c r="K17" s="2999">
        <f>(SUMIFS(과거손익_본체!$R$98:$R$117,과거손익_본체!$C$98:$C$117,B17)+SUMIFS(과거손익_본체!$T$98:$T$117,과거손익_본체!$C$98:$C$117,B17))/10^6</f>
        <v>7072.7724189999999</v>
      </c>
      <c r="L17" s="205">
        <f>(SUMIFS(과거손익_본체!$W$98:$W$117,과거손익_본체!$C$98:$C$117,B17)+SUMIFS(과거손익_본체!$X$98:$X$117,과거손익_본체!$C$98:$C$117,B17))/10^6</f>
        <v>1838.259335</v>
      </c>
      <c r="M17" s="205">
        <f>SUMIFS(과거손익_본체!$AM$98:$AM$117,과거손익_본체!$C$98:$C$117,B17)/10^6</f>
        <v>3.5154359999999998</v>
      </c>
      <c r="N17" s="205">
        <f>(SUMIFS(과거손익_본체!$AA$98:$AA$117,과거손익_본체!$C$98:$C$117,B17)+SUMIFS(과거손익_본체!$AB$98:$AB$117,과거손익_본체!$C$98:$C$117,B17))/10^6</f>
        <v>1805.3361110000001</v>
      </c>
      <c r="O17" s="2999">
        <f t="shared" si="1"/>
        <v>3647.1108819999999</v>
      </c>
      <c r="P17" s="205">
        <f>(SUMIFS(과거손익_본체!$Y$98:$Y$117,과거손익_본체!$C$98:$C$117,B17)+SUMIFS(과거손익_본체!$Z$98:$Z$117,과거손익_본체!$C$98:$C$117,B17))/10^6</f>
        <v>1200.667569</v>
      </c>
      <c r="Q17" s="205">
        <f>SUMIFS(과거손익_본체!$V$98:$V$117,과거손익_본체!$C$98:$C$117,B17)/10^6</f>
        <v>7456.1559370000004</v>
      </c>
      <c r="R17" s="205">
        <v>0</v>
      </c>
      <c r="S17" s="205">
        <f t="shared" si="2"/>
        <v>1832.821183</v>
      </c>
      <c r="T17" s="2999">
        <f>SUMIFS(과거손익_본체!$M$98:$M$117,과거손익_본체!$C$98:$C$117,B17)/10^6</f>
        <v>21209.527989999999</v>
      </c>
    </row>
    <row r="18" spans="2:20">
      <c r="B18" s="1" t="s">
        <v>246</v>
      </c>
      <c r="C18" s="210" t="s">
        <v>5566</v>
      </c>
      <c r="D18" s="210" t="s">
        <v>125</v>
      </c>
      <c r="E18" s="210" t="s">
        <v>27</v>
      </c>
      <c r="F18" s="2999">
        <f>SUMIFS(과거손익_본체!$E$98:$E$117,과거손익_본체!$C$98:$C$117,B18)/10^6</f>
        <v>157964.72969000001</v>
      </c>
      <c r="G18" s="205">
        <f>SUMIFS(과거손익_본체!$D$98:$D$117,과거손익_본체!$C$98:$C$117,B18)</f>
        <v>4224344.1629999997</v>
      </c>
      <c r="H18" s="205">
        <f>(SUMIFS(과거손익_본체!$N$98:$N$117,과거손익_본체!$C$98:$C$117,B18)+SUMIFS(과거손익_본체!$AE$98:$AE$117,과거손익_본체!$C$98:$C$117,B18)+SUMIFS(과거손익_본체!$AF$98:$AF$117,과거손익_본체!$C$98:$C$117,B18))/10^6+SUMIFS(과거손익_본체!$AK$98:$AK$117,과거손익_본체!$C$98:$C$117,B18)/10^6</f>
        <v>140274.57352199999</v>
      </c>
      <c r="I18" s="205">
        <f>SUMIFS(과거손익_본체!$O$98:$O$117,과거손익_본체!$C$98:$C$117,B18)/10^6+SUMIFS(과거손익_본체!$P$98:$P$117,과거손익_본체!$C$98:$C$117,B18)/10^6</f>
        <v>1979.1406030000001</v>
      </c>
      <c r="J18" s="2999">
        <f t="shared" si="0"/>
        <v>142253.714125</v>
      </c>
      <c r="K18" s="2999">
        <f>(SUMIFS(과거손익_본체!$R$98:$R$117,과거손익_본체!$C$98:$C$117,B18)+SUMIFS(과거손익_본체!$T$98:$T$117,과거손익_본체!$C$98:$C$117,B18))/10^6</f>
        <v>2830.9921169999998</v>
      </c>
      <c r="L18" s="205">
        <f>(SUMIFS(과거손익_본체!$W$98:$W$117,과거손익_본체!$C$98:$C$117,B18)+SUMIFS(과거손익_본체!$X$98:$X$117,과거손익_본체!$C$98:$C$117,B18))/10^6</f>
        <v>956.77851599999997</v>
      </c>
      <c r="M18" s="205">
        <f>SUMIFS(과거손익_본체!$AM$98:$AM$117,과거손익_본체!$C$98:$C$117,B18)/10^6</f>
        <v>77.518153999999996</v>
      </c>
      <c r="N18" s="205">
        <f>(SUMIFS(과거손익_본체!$AA$98:$AA$117,과거손익_본체!$C$98:$C$117,B18)+SUMIFS(과거손익_본체!$AB$98:$AB$117,과거손익_본체!$C$98:$C$117,B18))/10^6</f>
        <v>1396.9305549999999</v>
      </c>
      <c r="O18" s="2999">
        <f t="shared" si="1"/>
        <v>2431.2272249999996</v>
      </c>
      <c r="P18" s="205">
        <f>(SUMIFS(과거손익_본체!$Y$98:$Y$117,과거손익_본체!$C$98:$C$117,B18)+SUMIFS(과거손익_본체!$Z$98:$Z$117,과거손익_본체!$C$98:$C$117,B18))/10^6</f>
        <v>1163.164499</v>
      </c>
      <c r="Q18" s="205">
        <f>SUMIFS(과거손익_본체!$V$98:$V$117,과거손익_본체!$C$98:$C$117,B18)/10^6</f>
        <v>3347.949568</v>
      </c>
      <c r="R18" s="205">
        <v>0</v>
      </c>
      <c r="S18" s="205">
        <f t="shared" si="2"/>
        <v>3848.7482149999969</v>
      </c>
      <c r="T18" s="2999">
        <f>SUMIFS(과거손익_본체!$M$98:$M$117,과거손익_본체!$C$98:$C$117,B18)/10^6</f>
        <v>155875.79574900001</v>
      </c>
    </row>
    <row r="19" spans="2:20">
      <c r="B19" s="1" t="s">
        <v>5586</v>
      </c>
      <c r="C19" s="210" t="s">
        <v>5566</v>
      </c>
      <c r="D19" s="210" t="s">
        <v>3545</v>
      </c>
      <c r="E19" s="210" t="s">
        <v>27</v>
      </c>
      <c r="F19" s="2999">
        <f>SUMIFS(과거손익_본체!$E$98:$E$117,과거손익_본체!$C$98:$C$117,B19)/10^6</f>
        <v>13391.442376000001</v>
      </c>
      <c r="G19" s="205">
        <f>SUMIFS(과거손익_본체!$D$98:$D$117,과거손익_본체!$C$98:$C$117,B19)</f>
        <v>4303.5590000000002</v>
      </c>
      <c r="H19" s="205">
        <f>(SUMIFS(과거손익_본체!$N$98:$N$117,과거손익_본체!$C$98:$C$117,B19)+SUMIFS(과거손익_본체!$AE$98:$AE$117,과거손익_본체!$C$98:$C$117,B19)+SUMIFS(과거손익_본체!$AF$98:$AF$117,과거손익_본체!$C$98:$C$117,B19))/10^6+SUMIFS(과거손익_본체!$AK$98:$AK$117,과거손익_본체!$C$98:$C$117,B19)/10^6</f>
        <v>1148.4467850000001</v>
      </c>
      <c r="I19" s="205">
        <f>SUMIFS(과거손익_본체!$O$98:$O$117,과거손익_본체!$C$98:$C$117,B19)/10^6+SUMIFS(과거손익_본체!$P$98:$P$117,과거손익_본체!$C$98:$C$117,B19)/10^6</f>
        <v>0</v>
      </c>
      <c r="J19" s="2999">
        <f t="shared" si="0"/>
        <v>1148.4467850000001</v>
      </c>
      <c r="K19" s="2999">
        <f>(SUMIFS(과거손익_본체!$R$98:$R$117,과거손익_본체!$C$98:$C$117,B19)+SUMIFS(과거손익_본체!$T$98:$T$117,과거손익_본체!$C$98:$C$117,B19))/10^6</f>
        <v>1246.136741</v>
      </c>
      <c r="L19" s="205">
        <f>(SUMIFS(과거손익_본체!$W$98:$W$117,과거손익_본체!$C$98:$C$117,B19)+SUMIFS(과거손익_본체!$X$98:$X$117,과거손익_본체!$C$98:$C$117,B19))/10^6</f>
        <v>1069.760031</v>
      </c>
      <c r="M19" s="205">
        <f>SUMIFS(과거손익_본체!$AM$98:$AM$117,과거손익_본체!$C$98:$C$117,B19)/10^6</f>
        <v>84.30932</v>
      </c>
      <c r="N19" s="205">
        <f>(SUMIFS(과거손익_본체!$AA$98:$AA$117,과거손익_본체!$C$98:$C$117,B19)+SUMIFS(과거손익_본체!$AB$98:$AB$117,과거손익_본체!$C$98:$C$117,B19))/10^6</f>
        <v>124.481723</v>
      </c>
      <c r="O19" s="2999">
        <f t="shared" si="1"/>
        <v>1278.5510740000002</v>
      </c>
      <c r="P19" s="205">
        <f>(SUMIFS(과거손익_본체!$Y$98:$Y$117,과거손익_본체!$C$98:$C$117,B19)+SUMIFS(과거손익_본체!$Z$98:$Z$117,과거손익_본체!$C$98:$C$117,B19))/10^6</f>
        <v>332.61236400000001</v>
      </c>
      <c r="Q19" s="205">
        <f>SUMIFS(과거손익_본체!$V$98:$V$117,과거손익_본체!$C$98:$C$117,B19)/10^6</f>
        <v>765.25962800000002</v>
      </c>
      <c r="R19" s="205">
        <v>0</v>
      </c>
      <c r="S19" s="205">
        <f t="shared" si="2"/>
        <v>179.03806299999951</v>
      </c>
      <c r="T19" s="2999">
        <f>SUMIFS(과거손익_본체!$M$98:$M$117,과거손익_본체!$C$98:$C$117,B19)/10^6</f>
        <v>4950.0446549999997</v>
      </c>
    </row>
    <row r="20" spans="2:20">
      <c r="B20" s="1" t="s">
        <v>252</v>
      </c>
      <c r="C20" s="210" t="s">
        <v>5572</v>
      </c>
      <c r="D20" s="210" t="s">
        <v>3545</v>
      </c>
      <c r="E20" s="210" t="s">
        <v>27</v>
      </c>
      <c r="F20" s="2999">
        <f>SUMIFS(과거손익_본체!$E$98:$E$117,과거손익_본체!$C$98:$C$117,B20)/10^6</f>
        <v>17163.826193000001</v>
      </c>
      <c r="G20" s="205">
        <f>SUMIFS(과거손익_본체!$D$98:$D$117,과거손익_본체!$C$98:$C$117,B20)</f>
        <v>507088</v>
      </c>
      <c r="H20" s="205">
        <f>(SUMIFS(과거손익_본체!$N$98:$N$117,과거손익_본체!$C$98:$C$117,B20)+SUMIFS(과거손익_본체!$AE$98:$AE$117,과거손익_본체!$C$98:$C$117,B20)+SUMIFS(과거손익_본체!$AF$98:$AF$117,과거손익_본체!$C$98:$C$117,B20))/10^6+SUMIFS(과거손익_본체!$AK$98:$AK$117,과거손익_본체!$C$98:$C$117,B20)/10^6</f>
        <v>0</v>
      </c>
      <c r="I20" s="205">
        <f>SUMIFS(과거손익_본체!$O$98:$O$117,과거손익_본체!$C$98:$C$117,B20)/10^6+SUMIFS(과거손익_본체!$P$98:$P$117,과거손익_본체!$C$98:$C$117,B20)/10^6</f>
        <v>0</v>
      </c>
      <c r="J20" s="2999">
        <f t="shared" si="0"/>
        <v>0</v>
      </c>
      <c r="K20" s="2999">
        <f>(SUMIFS(과거손익_본체!$R$98:$R$117,과거손익_본체!$C$98:$C$117,B20)+SUMIFS(과거손익_본체!$T$98:$T$117,과거손익_본체!$C$98:$C$117,B20))/10^6</f>
        <v>227.83174700000001</v>
      </c>
      <c r="L20" s="205">
        <f>(SUMIFS(과거손익_본체!$W$98:$W$117,과거손익_본체!$C$98:$C$117,B20)+SUMIFS(과거손익_본체!$X$98:$X$117,과거손익_본체!$C$98:$C$117,B20))/10^6</f>
        <v>7447.9183279999997</v>
      </c>
      <c r="M20" s="205">
        <f>SUMIFS(과거손익_본체!$AM$98:$AM$117,과거손익_본체!$C$98:$C$117,B20)/10^6</f>
        <v>0</v>
      </c>
      <c r="N20" s="205">
        <f>(SUMIFS(과거손익_본체!$AA$98:$AA$117,과거손익_본체!$C$98:$C$117,B20)+SUMIFS(과거손익_본체!$AB$98:$AB$117,과거손익_본체!$C$98:$C$117,B20))/10^6</f>
        <v>7.4981689999999999</v>
      </c>
      <c r="O20" s="2999">
        <f t="shared" si="1"/>
        <v>7455.4164970000002</v>
      </c>
      <c r="P20" s="205">
        <f>(SUMIFS(과거손익_본체!$Y$98:$Y$117,과거손익_본체!$C$98:$C$117,B20)+SUMIFS(과거손익_본체!$Z$98:$Z$117,과거손익_본체!$C$98:$C$117,B20))/10^6</f>
        <v>232.13391300000001</v>
      </c>
      <c r="Q20" s="205">
        <f>SUMIFS(과거손익_본체!$V$98:$V$117,과거손익_본체!$C$98:$C$117,B20)/10^6</f>
        <v>1233.0999650000001</v>
      </c>
      <c r="R20" s="205">
        <v>0</v>
      </c>
      <c r="S20" s="205">
        <f t="shared" si="2"/>
        <v>206.00060699999904</v>
      </c>
      <c r="T20" s="2999">
        <f>SUMIFS(과거손익_본체!$M$98:$M$117,과거손익_본체!$C$98:$C$117,B20)/10^6</f>
        <v>9354.4827289999994</v>
      </c>
    </row>
    <row r="21" spans="2:20">
      <c r="B21" s="1" t="s">
        <v>258</v>
      </c>
      <c r="C21" s="210" t="s">
        <v>5572</v>
      </c>
      <c r="D21" s="210" t="s">
        <v>3545</v>
      </c>
      <c r="E21" s="210" t="s">
        <v>27</v>
      </c>
      <c r="F21" s="2999">
        <f>SUMIFS(과거손익_본체!$E$98:$E$117,과거손익_본체!$C$98:$C$117,B21)/10^6</f>
        <v>4525733.8217209997</v>
      </c>
      <c r="G21" s="205">
        <f>SUMIFS(과거손익_본체!$D$98:$D$117,과거손익_본체!$C$98:$C$117,B21)</f>
        <v>640466.69499999925</v>
      </c>
      <c r="H21" s="205">
        <f>(SUMIFS(과거손익_본체!$N$98:$N$117,과거손익_본체!$C$98:$C$117,B21)+SUMIFS(과거손익_본체!$AE$98:$AE$117,과거손익_본체!$C$98:$C$117,B21)+SUMIFS(과거손익_본체!$AF$98:$AF$117,과거손익_본체!$C$98:$C$117,B21))/10^6+SUMIFS(과거손익_본체!$AK$98:$AK$117,과거손익_본체!$C$98:$C$117,B21)/10^6</f>
        <v>4116108.5259799999</v>
      </c>
      <c r="I21" s="205">
        <f>SUMIFS(과거손익_본체!$O$98:$O$117,과거손익_본체!$C$98:$C$117,B21)/10^6+SUMIFS(과거손익_본체!$P$98:$P$117,과거손익_본체!$C$98:$C$117,B21)/10^6</f>
        <v>28251.104239</v>
      </c>
      <c r="J21" s="2999">
        <f t="shared" si="0"/>
        <v>4144359.6302189999</v>
      </c>
      <c r="K21" s="2999">
        <f>(SUMIFS(과거손익_본체!$R$98:$R$117,과거손익_본체!$C$98:$C$117,B21)+SUMIFS(과거손익_본체!$T$98:$T$117,과거손익_본체!$C$98:$C$117,B21))/10^6</f>
        <v>49659.636469999998</v>
      </c>
      <c r="L21" s="205">
        <f>(SUMIFS(과거손익_본체!$W$98:$W$117,과거손익_본체!$C$98:$C$117,B21)+SUMIFS(과거손익_본체!$X$98:$X$117,과거손익_본체!$C$98:$C$117,B21))/10^6</f>
        <v>64576.889040000002</v>
      </c>
      <c r="M21" s="205">
        <f>SUMIFS(과거손익_본체!$AM$98:$AM$117,과거손익_본체!$C$98:$C$117,B21)/10^6</f>
        <v>3578.9050400000001</v>
      </c>
      <c r="N21" s="205">
        <f>(SUMIFS(과거손익_본체!$AA$98:$AA$117,과거손익_본체!$C$98:$C$117,B21)+SUMIFS(과거손익_본체!$AB$98:$AB$117,과거손익_본체!$C$98:$C$117,B21))/10^6</f>
        <v>16332.612024</v>
      </c>
      <c r="O21" s="2999">
        <f t="shared" si="1"/>
        <v>84488.406104000009</v>
      </c>
      <c r="P21" s="205">
        <f>(SUMIFS(과거손익_본체!$Y$98:$Y$117,과거손익_본체!$C$98:$C$117,B21)+SUMIFS(과거손익_본체!$Z$98:$Z$117,과거손익_본체!$C$98:$C$117,B21))/10^6</f>
        <v>30617.750002000001</v>
      </c>
      <c r="Q21" s="205">
        <f>SUMIFS(과거손익_본체!$V$98:$V$117,과거손익_본체!$C$98:$C$117,B21)/10^6</f>
        <v>36521.593823000003</v>
      </c>
      <c r="R21" s="205">
        <v>0</v>
      </c>
      <c r="S21" s="205">
        <f t="shared" si="2"/>
        <v>29945.211785000822</v>
      </c>
      <c r="T21" s="2999">
        <f>SUMIFS(과거손익_본체!$M$98:$M$117,과거손익_본체!$C$98:$C$117,B21)/10^6</f>
        <v>4375592.2284030002</v>
      </c>
    </row>
    <row r="22" spans="2:20">
      <c r="B22" s="1" t="s">
        <v>260</v>
      </c>
      <c r="C22" s="210" t="s">
        <v>5572</v>
      </c>
      <c r="D22" s="210" t="s">
        <v>3545</v>
      </c>
      <c r="E22" s="210" t="s">
        <v>27</v>
      </c>
      <c r="F22" s="2999">
        <f>SUMIFS(과거손익_본체!$E$98:$E$117,과거손익_본체!$C$98:$C$117,B22)/10^6</f>
        <v>1657.3720020000001</v>
      </c>
      <c r="G22" s="205">
        <f>SUMIFS(과거손익_본체!$D$98:$D$117,과거손익_본체!$C$98:$C$117,B22)</f>
        <v>1205404.7499999991</v>
      </c>
      <c r="H22" s="205">
        <f>(SUMIFS(과거손익_본체!$N$98:$N$117,과거손익_본체!$C$98:$C$117,B22)+SUMIFS(과거손익_본체!$AE$98:$AE$117,과거손익_본체!$C$98:$C$117,B22)+SUMIFS(과거손익_본체!$AF$98:$AF$117,과거손익_본체!$C$98:$C$117,B22))/10^6+SUMIFS(과거손익_본체!$AK$98:$AK$117,과거손익_본체!$C$98:$C$117,B22)/10^6</f>
        <v>0</v>
      </c>
      <c r="I22" s="205">
        <f>SUMIFS(과거손익_본체!$O$98:$O$117,과거손익_본체!$C$98:$C$117,B22)/10^6+SUMIFS(과거손익_본체!$P$98:$P$117,과거손익_본체!$C$98:$C$117,B22)/10^6</f>
        <v>0</v>
      </c>
      <c r="J22" s="2999">
        <f t="shared" si="0"/>
        <v>0</v>
      </c>
      <c r="K22" s="2999">
        <f>(SUMIFS(과거손익_본체!$R$98:$R$117,과거손익_본체!$C$98:$C$117,B22)+SUMIFS(과거손익_본체!$T$98:$T$117,과거손익_본체!$C$98:$C$117,B22))/10^6</f>
        <v>781.21231399999999</v>
      </c>
      <c r="L22" s="205">
        <f>(SUMIFS(과거손익_본체!$W$98:$W$117,과거손익_본체!$C$98:$C$117,B22)+SUMIFS(과거손익_본체!$X$98:$X$117,과거손익_본체!$C$98:$C$117,B22))/10^6</f>
        <v>1.161867</v>
      </c>
      <c r="M22" s="205">
        <f>SUMIFS(과거손익_본체!$AM$98:$AM$117,과거손익_본체!$C$98:$C$117,B22)/10^6</f>
        <v>0</v>
      </c>
      <c r="N22" s="205">
        <f>(SUMIFS(과거손익_본체!$AA$98:$AA$117,과거손익_본체!$C$98:$C$117,B22)+SUMIFS(과거손익_본체!$AB$98:$AB$117,과거손익_본체!$C$98:$C$117,B22))/10^6</f>
        <v>2.0270039999999998</v>
      </c>
      <c r="O22" s="2999">
        <f t="shared" si="1"/>
        <v>3.1888709999999998</v>
      </c>
      <c r="P22" s="205">
        <f>(SUMIFS(과거손익_본체!$Y$98:$Y$117,과거손익_본체!$C$98:$C$117,B22)+SUMIFS(과거손익_본체!$Z$98:$Z$117,과거손익_본체!$C$98:$C$117,B22))/10^6</f>
        <v>200.82873499999999</v>
      </c>
      <c r="Q22" s="205">
        <f>SUMIFS(과거손익_본체!$V$98:$V$117,과거손익_본체!$C$98:$C$117,B22)/10^6</f>
        <v>139.87516500000001</v>
      </c>
      <c r="R22" s="205">
        <v>0</v>
      </c>
      <c r="S22" s="205">
        <f t="shared" si="2"/>
        <v>259.30422599999991</v>
      </c>
      <c r="T22" s="2999">
        <f>SUMIFS(과거손익_본체!$M$98:$M$117,과거손익_본체!$C$98:$C$117,B22)/10^6</f>
        <v>1384.4093109999999</v>
      </c>
    </row>
    <row r="23" spans="2:20">
      <c r="B23" s="1" t="s">
        <v>262</v>
      </c>
      <c r="C23" s="210" t="s">
        <v>5566</v>
      </c>
      <c r="D23" s="210" t="s">
        <v>5558</v>
      </c>
      <c r="E23" s="210" t="s">
        <v>27</v>
      </c>
      <c r="F23" s="2999">
        <f>SUMIFS(과거손익_본체!$E$98:$E$117,과거손익_본체!$C$98:$C$117,B23)/10^6</f>
        <v>2330714.888756</v>
      </c>
      <c r="G23" s="205">
        <f>SUMIFS(과거손익_본체!$D$98:$D$117,과거손익_본체!$C$98:$C$117,B23)/1000</f>
        <v>45910.3151</v>
      </c>
      <c r="H23" s="205">
        <f>(SUMIFS(과거손익_본체!$N$98:$N$117,과거손익_본체!$C$98:$C$117,B23)+SUMIFS(과거손익_본체!$AE$98:$AE$117,과거손익_본체!$C$98:$C$117,B23)+SUMIFS(과거손익_본체!$AF$98:$AF$117,과거손익_본체!$C$98:$C$117,B23))/10^6+SUMIFS(과거손익_본체!$AK$98:$AK$117,과거손익_본체!$C$98:$C$117,B23)/10^6</f>
        <v>2217324.5540080001</v>
      </c>
      <c r="I23" s="205">
        <f>SUMIFS(과거손익_본체!$O$98:$O$117,과거손익_본체!$C$98:$C$117,B23)/10^6+SUMIFS(과거손익_본체!$P$98:$P$117,과거손익_본체!$C$98:$C$117,B23)/10^6</f>
        <v>440.04362900000001</v>
      </c>
      <c r="J23" s="2999">
        <f t="shared" si="0"/>
        <v>2217764.597637</v>
      </c>
      <c r="K23" s="2999">
        <f>(SUMIFS(과거손익_본체!$R$98:$R$117,과거손익_본체!$C$98:$C$117,B23)+SUMIFS(과거손익_본체!$T$98:$T$117,과거손익_본체!$C$98:$C$117,B23))/10^6</f>
        <v>2916.2651609999998</v>
      </c>
      <c r="L23" s="205">
        <f>(SUMIFS(과거손익_본체!$W$98:$W$117,과거손익_본체!$C$98:$C$117,B23)+SUMIFS(과거손익_본체!$X$98:$X$117,과거손익_본체!$C$98:$C$117,B23))/10^6</f>
        <v>1248.548839</v>
      </c>
      <c r="M23" s="205">
        <f>SUMIFS(과거손익_본체!$AM$98:$AM$117,과거손익_본체!$C$98:$C$117,B23)/10^6</f>
        <v>0</v>
      </c>
      <c r="N23" s="205">
        <f>(SUMIFS(과거손익_본체!$AA$98:$AA$117,과거손익_본체!$C$98:$C$117,B23)+SUMIFS(과거손익_본체!$AB$98:$AB$117,과거손익_본체!$C$98:$C$117,B23))/10^6</f>
        <v>924.70185300000003</v>
      </c>
      <c r="O23" s="2999">
        <f t="shared" si="1"/>
        <v>2173.2506920000001</v>
      </c>
      <c r="P23" s="205">
        <f>(SUMIFS(과거손익_본체!$Y$98:$Y$117,과거손익_본체!$C$98:$C$117,B23)+SUMIFS(과거손익_본체!$Z$98:$Z$117,과거손익_본체!$C$98:$C$117,B23))/10^6</f>
        <v>1023.606087</v>
      </c>
      <c r="Q23" s="205">
        <f>SUMIFS(과거손익_본체!$V$98:$V$117,과거손익_본체!$C$98:$C$117,B23)/10^6</f>
        <v>1462.6650689999999</v>
      </c>
      <c r="R23" s="205">
        <v>0</v>
      </c>
      <c r="S23" s="205">
        <f t="shared" si="2"/>
        <v>695.0097399999986</v>
      </c>
      <c r="T23" s="2999">
        <f>SUMIFS(과거손익_본체!$M$98:$M$117,과거손익_본체!$C$98:$C$117,B23)/10^6</f>
        <v>2226035.394386</v>
      </c>
    </row>
    <row r="24" spans="2:20">
      <c r="B24" s="1" t="s">
        <v>264</v>
      </c>
      <c r="C24" s="210" t="s">
        <v>5566</v>
      </c>
      <c r="D24" s="210" t="s">
        <v>5558</v>
      </c>
      <c r="E24" s="210" t="s">
        <v>27</v>
      </c>
      <c r="F24" s="2999">
        <f>SUMIFS(과거손익_본체!$E$98:$E$117,과거손익_본체!$C$98:$C$117,B24)/10^6</f>
        <v>363298.17271299998</v>
      </c>
      <c r="G24" s="205">
        <f>SUMIFS(과거손익_본체!$D$98:$D$117,과거손익_본체!$C$98:$C$117,B24)/1000</f>
        <v>608975.16399999999</v>
      </c>
      <c r="H24" s="205">
        <f>(SUMIFS(과거손익_본체!$N$98:$N$117,과거손익_본체!$C$98:$C$117,B24)+SUMIFS(과거손익_본체!$AE$98:$AE$117,과거손익_본체!$C$98:$C$117,B24)+SUMIFS(과거손익_본체!$AF$98:$AF$117,과거손익_본체!$C$98:$C$117,B24))/10^6+SUMIFS(과거손익_본체!$AK$98:$AK$117,과거손익_본체!$C$98:$C$117,B24)/10^6</f>
        <v>330312.01139499998</v>
      </c>
      <c r="I24" s="205">
        <f>SUMIFS(과거손익_본체!$O$98:$O$117,과거손익_본체!$C$98:$C$117,B24)/10^6+SUMIFS(과거손익_본체!$P$98:$P$117,과거손익_본체!$C$98:$C$117,B24)/10^6</f>
        <v>156.33225400000001</v>
      </c>
      <c r="J24" s="2999">
        <f t="shared" si="0"/>
        <v>330468.34364899999</v>
      </c>
      <c r="K24" s="2999">
        <f>(SUMIFS(과거손익_본체!$R$98:$R$117,과거손익_본체!$C$98:$C$117,B24)+SUMIFS(과거손익_본체!$T$98:$T$117,과거손익_본체!$C$98:$C$117,B24))/10^6</f>
        <v>1584.7613719999999</v>
      </c>
      <c r="L24" s="205">
        <f>(SUMIFS(과거손익_본체!$W$98:$W$117,과거손익_본체!$C$98:$C$117,B24)+SUMIFS(과거손익_본체!$X$98:$X$117,과거손익_본체!$C$98:$C$117,B24))/10^6</f>
        <v>546.52554199999997</v>
      </c>
      <c r="M24" s="205">
        <f>SUMIFS(과거손익_본체!$AM$98:$AM$117,과거손익_본체!$C$98:$C$117,B24)/10^6</f>
        <v>0</v>
      </c>
      <c r="N24" s="205">
        <f>(SUMIFS(과거손익_본체!$AA$98:$AA$117,과거손익_본체!$C$98:$C$117,B24)+SUMIFS(과거손익_본체!$AB$98:$AB$117,과거손익_본체!$C$98:$C$117,B24))/10^6</f>
        <v>623.84522700000002</v>
      </c>
      <c r="O24" s="2999">
        <f t="shared" si="1"/>
        <v>1170.3707690000001</v>
      </c>
      <c r="P24" s="205">
        <f>(SUMIFS(과거손익_본체!$Y$98:$Y$117,과거손익_본체!$C$98:$C$117,B24)+SUMIFS(과거손익_본체!$Z$98:$Z$117,과거손익_본체!$C$98:$C$117,B24))/10^6</f>
        <v>588.31527300000005</v>
      </c>
      <c r="Q24" s="205">
        <f>SUMIFS(과거손익_본체!$V$98:$V$117,과거손익_본체!$C$98:$C$117,B24)/10^6</f>
        <v>1099.076102</v>
      </c>
      <c r="R24" s="205">
        <v>0</v>
      </c>
      <c r="S24" s="205">
        <f t="shared" si="2"/>
        <v>614.8285850000193</v>
      </c>
      <c r="T24" s="2999">
        <f>SUMIFS(과거손익_본체!$M$98:$M$117,과거손익_본체!$C$98:$C$117,B24)/10^6</f>
        <v>335525.69575000001</v>
      </c>
    </row>
    <row r="25" spans="2:20">
      <c r="B25" s="1" t="s">
        <v>316</v>
      </c>
      <c r="C25" s="210" t="s">
        <v>5566</v>
      </c>
      <c r="D25" s="210" t="s">
        <v>5558</v>
      </c>
      <c r="E25" s="210" t="s">
        <v>27</v>
      </c>
      <c r="F25" s="2999">
        <f>SUMIFS(과거손익_본체!$E$98:$E$117,과거손익_본체!$C$98:$C$117,B25)/10^6</f>
        <v>3473.861429</v>
      </c>
      <c r="G25" s="205">
        <f>SUMIFS(과거손익_본체!$D$98:$D$117,과거손익_본체!$C$98:$C$117,B25)/1000</f>
        <v>5204</v>
      </c>
      <c r="H25" s="205">
        <f>(SUMIFS(과거손익_본체!$N$98:$N$117,과거손익_본체!$C$98:$C$117,B25)+SUMIFS(과거손익_본체!$AE$98:$AE$117,과거손익_본체!$C$98:$C$117,B25)+SUMIFS(과거손익_본체!$AF$98:$AF$117,과거손익_본체!$C$98:$C$117,B25))/10^6+SUMIFS(과거손익_본체!$AK$98:$AK$117,과거손익_본체!$C$98:$C$117,B25)/10^6</f>
        <v>2454.67652</v>
      </c>
      <c r="I25" s="205">
        <f>SUMIFS(과거손익_본체!$O$98:$O$117,과거손익_본체!$C$98:$C$117,B25)/10^6+SUMIFS(과거손익_본체!$P$98:$P$117,과거손익_본체!$C$98:$C$117,B25)/10^6</f>
        <v>2.947819</v>
      </c>
      <c r="J25" s="2999">
        <f t="shared" si="0"/>
        <v>2457.624339</v>
      </c>
      <c r="K25" s="2999">
        <f>(SUMIFS(과거손익_본체!$R$98:$R$117,과거손익_본체!$C$98:$C$117,B25)+SUMIFS(과거손익_본체!$T$98:$T$117,과거손익_본체!$C$98:$C$117,B25))/10^6</f>
        <v>761.04862700000001</v>
      </c>
      <c r="L25" s="205">
        <f>(SUMIFS(과거손익_본체!$W$98:$W$117,과거손익_본체!$C$98:$C$117,B25)+SUMIFS(과거손익_본체!$X$98:$X$117,과거손익_본체!$C$98:$C$117,B25))/10^6</f>
        <v>42.766702000000002</v>
      </c>
      <c r="M25" s="205">
        <f>SUMIFS(과거손익_본체!$AM$98:$AM$117,과거손익_본체!$C$98:$C$117,B25)/10^6</f>
        <v>0</v>
      </c>
      <c r="N25" s="205">
        <f>(SUMIFS(과거손익_본체!$AA$98:$AA$117,과거손익_본체!$C$98:$C$117,B25)+SUMIFS(과거손익_본체!$AB$98:$AB$117,과거손익_본체!$C$98:$C$117,B25))/10^6</f>
        <v>557.53611999999998</v>
      </c>
      <c r="O25" s="2999">
        <f t="shared" si="1"/>
        <v>600.30282199999999</v>
      </c>
      <c r="P25" s="205">
        <f>(SUMIFS(과거손익_본체!$Y$98:$Y$117,과거손익_본체!$C$98:$C$117,B25)+SUMIFS(과거손익_본체!$Z$98:$Z$117,과거손익_본체!$C$98:$C$117,B25))/10^6</f>
        <v>72.110584000000003</v>
      </c>
      <c r="Q25" s="205">
        <f>SUMIFS(과거손익_본체!$V$98:$V$117,과거손익_본체!$C$98:$C$117,B25)/10^6</f>
        <v>549.89060500000005</v>
      </c>
      <c r="R25" s="205">
        <v>0</v>
      </c>
      <c r="S25" s="205">
        <f t="shared" si="2"/>
        <v>240.84123300000078</v>
      </c>
      <c r="T25" s="2999">
        <f>SUMIFS(과거손익_본체!$M$98:$M$117,과거손익_본체!$C$98:$C$117,B25)/10^6</f>
        <v>4681.8182100000004</v>
      </c>
    </row>
    <row r="26" spans="2:20">
      <c r="B26" s="1" t="s">
        <v>266</v>
      </c>
      <c r="C26" s="210" t="s">
        <v>5566</v>
      </c>
      <c r="D26" s="210" t="s">
        <v>5558</v>
      </c>
      <c r="E26" s="210" t="s">
        <v>27</v>
      </c>
      <c r="F26" s="2999">
        <f>SUMIFS(과거손익_본체!$E$98:$E$117,과거손익_본체!$C$98:$C$117,B26)/10^6</f>
        <v>5955.5239929999998</v>
      </c>
      <c r="G26" s="205">
        <f>SUMIFS(과거손익_본체!$D$98:$D$117,과거손익_본체!$C$98:$C$117,B26)/1000</f>
        <v>182.15029999999999</v>
      </c>
      <c r="H26" s="205">
        <f>(SUMIFS(과거손익_본체!$N$98:$N$117,과거손익_본체!$C$98:$C$117,B26)+SUMIFS(과거손익_본체!$AE$98:$AE$117,과거손익_본체!$C$98:$C$117,B26)+SUMIFS(과거손익_본체!$AF$98:$AF$117,과거손익_본체!$C$98:$C$117,B26))/10^6+SUMIFS(과거손익_본체!$AK$98:$AK$117,과거손익_본체!$C$98:$C$117,B26)/10^6</f>
        <v>3451.7423319999998</v>
      </c>
      <c r="I26" s="205">
        <f>SUMIFS(과거손익_본체!$O$98:$O$117,과거손익_본체!$C$98:$C$117,B26)/10^6+SUMIFS(과거손익_본체!$P$98:$P$117,과거손익_본체!$C$98:$C$117,B26)/10^6</f>
        <v>1.0170410000000001</v>
      </c>
      <c r="J26" s="2999">
        <f t="shared" si="0"/>
        <v>3452.7593729999999</v>
      </c>
      <c r="K26" s="2999">
        <f>(SUMIFS(과거손익_본체!$R$98:$R$117,과거손익_본체!$C$98:$C$117,B26)+SUMIFS(과거손익_본체!$T$98:$T$117,과거손익_본체!$C$98:$C$117,B26))/10^6</f>
        <v>109.492403</v>
      </c>
      <c r="L26" s="205">
        <f>(SUMIFS(과거손익_본체!$W$98:$W$117,과거손익_본체!$C$98:$C$117,B26)+SUMIFS(과거손익_본체!$X$98:$X$117,과거손익_본체!$C$98:$C$117,B26))/10^6</f>
        <v>3.0184060000000001</v>
      </c>
      <c r="M26" s="205">
        <f>SUMIFS(과거손익_본체!$AM$98:$AM$117,과거손익_본체!$C$98:$C$117,B26)/10^6</f>
        <v>0</v>
      </c>
      <c r="N26" s="205">
        <f>(SUMIFS(과거손익_본체!$AA$98:$AA$117,과거손익_본체!$C$98:$C$117,B26)+SUMIFS(과거손익_본체!$AB$98:$AB$117,과거손익_본체!$C$98:$C$117,B26))/10^6</f>
        <v>8.1709110000000003</v>
      </c>
      <c r="O26" s="2999">
        <f t="shared" si="1"/>
        <v>11.189317000000001</v>
      </c>
      <c r="P26" s="205">
        <f>(SUMIFS(과거손익_본체!$Y$98:$Y$117,과거손익_본체!$C$98:$C$117,B26)+SUMIFS(과거손익_본체!$Z$98:$Z$117,과거손익_본체!$C$98:$C$117,B26))/10^6</f>
        <v>28.132543999999999</v>
      </c>
      <c r="Q26" s="205">
        <f>SUMIFS(과거손익_본체!$V$98:$V$117,과거손익_본체!$C$98:$C$117,B26)/10^6</f>
        <v>49.212671999999998</v>
      </c>
      <c r="R26" s="205">
        <v>0</v>
      </c>
      <c r="S26" s="205">
        <f t="shared" si="2"/>
        <v>-1.1034840000001633</v>
      </c>
      <c r="T26" s="2999">
        <f>SUMIFS(과거손익_본체!$M$98:$M$117,과거손익_본체!$C$98:$C$117,B26)/10^6</f>
        <v>3649.6828249999999</v>
      </c>
    </row>
    <row r="27" spans="2:20">
      <c r="B27" s="1" t="s">
        <v>268</v>
      </c>
      <c r="C27" s="210" t="s">
        <v>5566</v>
      </c>
      <c r="D27" s="210" t="s">
        <v>5558</v>
      </c>
      <c r="E27" s="210" t="s">
        <v>27</v>
      </c>
      <c r="F27" s="2999">
        <f>SUMIFS(과거손익_본체!$E$98:$E$117,과거손익_본체!$C$98:$C$117,B27)/10^6</f>
        <v>94481.115502000001</v>
      </c>
      <c r="G27" s="205">
        <f>SUMIFS(과거손익_본체!$D$98:$D$117,과거손익_본체!$C$98:$C$117,B27)/1000</f>
        <v>1675.5292999999999</v>
      </c>
      <c r="H27" s="205">
        <f>(SUMIFS(과거손익_본체!$N$98:$N$117,과거손익_본체!$C$98:$C$117,B27)+SUMIFS(과거손익_본체!$AE$98:$AE$117,과거손익_본체!$C$98:$C$117,B27)+SUMIFS(과거손익_본체!$AF$98:$AF$117,과거손익_본체!$C$98:$C$117,B27))/10^6+SUMIFS(과거손익_본체!$AK$98:$AK$117,과거손익_본체!$C$98:$C$117,B27)/10^6</f>
        <v>59928.803297999999</v>
      </c>
      <c r="I27" s="205">
        <f>SUMIFS(과거손익_본체!$O$98:$O$117,과거손익_본체!$C$98:$C$117,B27)/10^6+SUMIFS(과거손익_본체!$P$98:$P$117,과거손익_본체!$C$98:$C$117,B27)/10^6</f>
        <v>20.205386000000001</v>
      </c>
      <c r="J27" s="2999">
        <f t="shared" si="0"/>
        <v>59949.008684</v>
      </c>
      <c r="K27" s="2999">
        <f>(SUMIFS(과거손익_본체!$R$98:$R$117,과거손익_본체!$C$98:$C$117,B27)+SUMIFS(과거손익_본체!$T$98:$T$117,과거손익_본체!$C$98:$C$117,B27))/10^6</f>
        <v>230.53602000000001</v>
      </c>
      <c r="L27" s="205">
        <f>(SUMIFS(과거손익_본체!$W$98:$W$117,과거손익_본체!$C$98:$C$117,B27)+SUMIFS(과거손익_본체!$X$98:$X$117,과거손익_본체!$C$98:$C$117,B27))/10^6</f>
        <v>53.993088</v>
      </c>
      <c r="M27" s="205">
        <f>SUMIFS(과거손익_본체!$AM$98:$AM$117,과거손익_본체!$C$98:$C$117,B27)/10^6</f>
        <v>0</v>
      </c>
      <c r="N27" s="205">
        <f>(SUMIFS(과거손익_본체!$AA$98:$AA$117,과거손익_본체!$C$98:$C$117,B27)+SUMIFS(과거손익_본체!$AB$98:$AB$117,과거손익_본체!$C$98:$C$117,B27))/10^6</f>
        <v>126.273241</v>
      </c>
      <c r="O27" s="2999">
        <f t="shared" si="1"/>
        <v>180.26632899999998</v>
      </c>
      <c r="P27" s="205">
        <f>(SUMIFS(과거손익_본체!$Y$98:$Y$117,과거손익_본체!$C$98:$C$117,B27)+SUMIFS(과거손익_본체!$Z$98:$Z$117,과거손익_본체!$C$98:$C$117,B27))/10^6</f>
        <v>80.043439000000006</v>
      </c>
      <c r="Q27" s="205">
        <f>SUMIFS(과거손익_본체!$V$98:$V$117,과거손익_본체!$C$98:$C$117,B27)/10^6</f>
        <v>138.73148399999999</v>
      </c>
      <c r="R27" s="205">
        <v>0</v>
      </c>
      <c r="S27" s="205">
        <f t="shared" si="2"/>
        <v>20.371848999993347</v>
      </c>
      <c r="T27" s="2999">
        <f>SUMIFS(과거손익_본체!$M$98:$M$117,과거손익_본체!$C$98:$C$117,B27)/10^6</f>
        <v>60598.957804999998</v>
      </c>
    </row>
    <row r="28" spans="2:20">
      <c r="B28" s="68" t="s">
        <v>272</v>
      </c>
      <c r="C28" s="212" t="s">
        <v>5566</v>
      </c>
      <c r="D28" s="212" t="s">
        <v>3486</v>
      </c>
      <c r="E28" s="212" t="s">
        <v>27</v>
      </c>
      <c r="F28" s="3000">
        <f>SUMIFS(과거손익_본체!$E$98:$E$117,과거손익_본체!$C$98:$C$117,B28)/10^6</f>
        <v>23521.976705000001</v>
      </c>
      <c r="G28" s="208">
        <f>SUMIFS(과거손익_본체!$D$98:$D$117,과거손익_본체!$C$98:$C$117,B28)/1000</f>
        <v>1791.309</v>
      </c>
      <c r="H28" s="208">
        <f>(SUMIFS(과거손익_본체!$N$98:$N$117,과거손익_본체!$C$98:$C$117,B28)+SUMIFS(과거손익_본체!$AE$98:$AE$117,과거손익_본체!$C$98:$C$117,B28)+SUMIFS(과거손익_본체!$AF$98:$AF$117,과거손익_본체!$C$98:$C$117,B28))/10^6+SUMIFS(과거손익_본체!$AK$98:$AK$117,과거손익_본체!$C$98:$C$117,B28)/10^6</f>
        <v>21287.130293999999</v>
      </c>
      <c r="I28" s="208">
        <f>SUMIFS(과거손익_본체!$O$98:$O$117,과거손익_본체!$C$98:$C$117,B28)/10^6+SUMIFS(과거손익_본체!$P$98:$P$117,과거손익_본체!$C$98:$C$117,B28)/10^6</f>
        <v>0</v>
      </c>
      <c r="J28" s="3000">
        <f t="shared" si="0"/>
        <v>21287.130293999999</v>
      </c>
      <c r="K28" s="3000">
        <f>(SUMIFS(과거손익_본체!$R$98:$R$117,과거손익_본체!$C$98:$C$117,B28)+SUMIFS(과거손익_본체!$T$98:$T$117,과거손익_본체!$C$98:$C$117,B28))/10^6</f>
        <v>0</v>
      </c>
      <c r="L28" s="208">
        <f>(SUMIFS(과거손익_본체!$W$98:$W$117,과거손익_본체!$C$98:$C$117,B28)+SUMIFS(과거손익_본체!$X$98:$X$117,과거손익_본체!$C$98:$C$117,B28))/10^6</f>
        <v>0</v>
      </c>
      <c r="M28" s="208">
        <f>SUMIFS(과거손익_본체!$AM$98:$AM$117,과거손익_본체!$C$98:$C$117,B28)/10^6</f>
        <v>0</v>
      </c>
      <c r="N28" s="208">
        <f>(SUMIFS(과거손익_본체!$AA$98:$AA$117,과거손익_본체!$C$98:$C$117,B28)+SUMIFS(과거손익_본체!$AB$98:$AB$117,과거손익_본체!$C$98:$C$117,B28))/10^6</f>
        <v>0</v>
      </c>
      <c r="O28" s="3000">
        <f t="shared" si="1"/>
        <v>0</v>
      </c>
      <c r="P28" s="208">
        <f>(SUMIFS(과거손익_본체!$Y$98:$Y$117,과거손익_본체!$C$98:$C$117,B28)+SUMIFS(과거손익_본체!$Z$98:$Z$117,과거손익_본체!$C$98:$C$117,B28))/10^6</f>
        <v>0</v>
      </c>
      <c r="Q28" s="208">
        <f>SUMIFS(과거손익_본체!$V$98:$V$117,과거손익_본체!$C$98:$C$117,B28)/10^6</f>
        <v>0</v>
      </c>
      <c r="R28" s="208">
        <v>0</v>
      </c>
      <c r="S28" s="208">
        <f t="shared" si="2"/>
        <v>84.201485000001412</v>
      </c>
      <c r="T28" s="3000">
        <f>SUMIFS(과거손익_본체!$M$98:$M$117,과거손익_본체!$C$98:$C$117,B28)/10^6</f>
        <v>21371.331779</v>
      </c>
    </row>
    <row r="29" spans="2:20">
      <c r="B29" s="323" t="s">
        <v>242</v>
      </c>
      <c r="C29" s="210" t="s">
        <v>5565</v>
      </c>
      <c r="D29" s="322" t="s">
        <v>3545</v>
      </c>
      <c r="E29" s="322" t="s">
        <v>61</v>
      </c>
      <c r="F29" s="3001">
        <f>SUMIFS(과거손익_본체!$E$177:$E$196,과거손익_본체!$C$177:$C$196,B29)/10^6</f>
        <v>13408.01303</v>
      </c>
      <c r="G29" s="324">
        <f>SUMIFS(과거손익_본체!$D$177:$D$196,과거손익_본체!$C$177:$C$196,B29)</f>
        <v>1509961.892</v>
      </c>
      <c r="H29" s="324">
        <f>SUMIFS(과거손익_본체!$N$177:$N$196,과거손익_본체!$C$177:$C$196,B29)/10^6+SUMIFS(과거손익_본체!$AE$177:$AE$196,과거손익_본체!$C$177:$C$196,B29)/10^6+SUMIFS(과거손익_본체!$AF$177:$AF$196,과거손익_본체!$C$177:$C$196,B29)/10^6+SUMIFS(과거손익_본체!$AK$177:$AK$196,과거손익_본체!$C$177:$C$196,B29)/10^6</f>
        <v>85.892174999999995</v>
      </c>
      <c r="I29" s="324">
        <f>SUMIFS(과거손익_본체!$O$177:$O$196,과거손익_본체!$C$177:$C$196,B29)/10^6+SUMIFS(과거손익_본체!$P$177:$P$196,과거손익_본체!$C$177:$C$196,B29)/10^6</f>
        <v>0.206735</v>
      </c>
      <c r="J29" s="3001">
        <f t="shared" si="0"/>
        <v>86.098909999999989</v>
      </c>
      <c r="K29" s="3001">
        <f>SUMIFS(과거손익_본체!$R$177:$R$196,과거손익_본체!$C$177:$C$196,B29)/10^6+SUMIFS(과거손익_본체!$T$177:$T$196,과거손익_본체!$C$177:$C$196,B29)/10^6</f>
        <v>5538.1036219999996</v>
      </c>
      <c r="L29" s="324">
        <f>SUMIFS(과거손익_본체!$W$177:$W$196,과거손익_본체!$C$177:$C$196,B29)/10^6+SUMIFS(과거손익_본체!$X$177:$X$196,과거손익_본체!$C$177:$C$196,B29)/10^6</f>
        <v>11959.180425999999</v>
      </c>
      <c r="M29" s="324">
        <f>SUMIFS(과거손익_본체!$AN$177:$AN$196,과거손익_본체!$C$177:$C$196,B29)/10^6</f>
        <v>6907.7946330000004</v>
      </c>
      <c r="N29" s="324">
        <f>SUMIFS(과거손익_본체!$AA$177:$AA$196,과거손익_본체!$C$177:$C$196,B29)/10^6+SUMIFS(과거손익_본체!$AB$177:$AB$196,과거손익_본체!$C$177:$C$196,B29)/10^6</f>
        <v>3356.1821399999999</v>
      </c>
      <c r="O29" s="3001">
        <f t="shared" si="1"/>
        <v>22223.157199000001</v>
      </c>
      <c r="P29" s="324">
        <f>SUMIFS(과거손익_본체!$Y$177:$Y$196,과거손익_본체!$C$177:$C$196,B29)/10^6+SUMIFS(과거손익_본체!$Z$177:$Z$196,과거손익_본체!$C$177:$C$196,B29)/10^6</f>
        <v>4860.692489</v>
      </c>
      <c r="Q29" s="324">
        <f>SUMIFS(과거손익_본체!$V$177:$V$196,과거손익_본체!$C$177:$C$196,B29)/10^6</f>
        <v>8625.9630140000008</v>
      </c>
      <c r="R29" s="324">
        <f>SUMIFS(과거손익_본체!$AM$177:$AM$196,과거손익_본체!$C$177:$C$196,B29)/10^6</f>
        <v>13449.348098</v>
      </c>
      <c r="S29" s="324">
        <f t="shared" si="2"/>
        <v>5054.3502489999973</v>
      </c>
      <c r="T29" s="3001">
        <f>SUMIFS(과거손익_본체!$M$177:$M$196,과거손익_본체!$C$177:$C$196,B29)/10^6</f>
        <v>59837.713581000004</v>
      </c>
    </row>
    <row r="30" spans="2:20">
      <c r="B30" s="1" t="s">
        <v>244</v>
      </c>
      <c r="C30" s="210" t="s">
        <v>5565</v>
      </c>
      <c r="D30" s="210" t="s">
        <v>3486</v>
      </c>
      <c r="E30" s="210" t="s">
        <v>60</v>
      </c>
      <c r="F30" s="2999">
        <f>SUMIFS(과거손익_본체!$E$177:$E$196,과거손익_본체!$C$177:$C$196,B30)/10^6</f>
        <v>65454.036650000002</v>
      </c>
      <c r="G30" s="205">
        <f>SUMIFS(과거손익_본체!$D$177:$D$196,과거손익_본체!$C$177:$C$196,B30)/1000</f>
        <v>130519.17600000001</v>
      </c>
      <c r="H30" s="205">
        <f>SUMIFS(과거손익_본체!$N$177:$N$196,과거손익_본체!$C$177:$C$196,B30)/10^6+SUMIFS(과거손익_본체!$AE$177:$AE$196,과거손익_본체!$C$177:$C$196,B30)/10^6+SUMIFS(과거손익_본체!$AF$177:$AF$196,과거손익_본체!$C$177:$C$196,B30)/10^6+SUMIFS(과거손익_본체!$AK$177:$AK$196,과거손익_본체!$C$177:$C$196,B30)/10^6</f>
        <v>0</v>
      </c>
      <c r="I30" s="205">
        <f>SUMIFS(과거손익_본체!$O$177:$O$196,과거손익_본체!$C$177:$C$196,B30)/10^6+SUMIFS(과거손익_본체!$P$177:$P$196,과거손익_본체!$C$177:$C$196,B30)/10^6</f>
        <v>2.2952E-2</v>
      </c>
      <c r="J30" s="2999">
        <f t="shared" si="0"/>
        <v>2.2952E-2</v>
      </c>
      <c r="K30" s="2999">
        <f>SUMIFS(과거손익_본체!$R$177:$R$196,과거손익_본체!$C$177:$C$196,B30)/10^6+SUMIFS(과거손익_본체!$T$177:$T$196,과거손익_본체!$C$177:$C$196,B30)/10^6</f>
        <v>7125.6456020000005</v>
      </c>
      <c r="L30" s="205">
        <f>SUMIFS(과거손익_본체!$W$177:$W$196,과거손익_본체!$C$177:$C$196,B30)/10^6+SUMIFS(과거손익_본체!$X$177:$X$196,과거손익_본체!$C$177:$C$196,B30)/10^6</f>
        <v>2600.4623579999998</v>
      </c>
      <c r="M30" s="205">
        <f>SUMIFS(과거손익_본체!$AN$177:$AN$196,과거손익_본체!$C$177:$C$196,B30)/10^6</f>
        <v>0.47150599999999998</v>
      </c>
      <c r="N30" s="205">
        <f>SUMIFS(과거손익_본체!$AA$177:$AA$196,과거손익_본체!$C$177:$C$196,B30)/10^6+SUMIFS(과거손익_본체!$AB$177:$AB$196,과거손익_본체!$C$177:$C$196,B30)/10^6</f>
        <v>1787.3785809999999</v>
      </c>
      <c r="O30" s="2999">
        <f t="shared" si="1"/>
        <v>4388.3124449999996</v>
      </c>
      <c r="P30" s="205">
        <f>SUMIFS(과거손익_본체!$Y$177:$Y$196,과거손익_본체!$C$177:$C$196,B30)/10^6+SUMIFS(과거손익_본체!$Z$177:$Z$196,과거손익_본체!$C$177:$C$196,B30)/10^6</f>
        <v>1257.061715</v>
      </c>
      <c r="Q30" s="205">
        <f>SUMIFS(과거손익_본체!$V$177:$V$196,과거손익_본체!$C$177:$C$196,B30)/10^6</f>
        <v>8507.7842779999992</v>
      </c>
      <c r="R30" s="205">
        <f>SUMIFS(과거손익_본체!$AM$177:$AM$196,과거손익_본체!$C$177:$C$196,B30)/10^6</f>
        <v>0</v>
      </c>
      <c r="S30" s="205">
        <f t="shared" si="2"/>
        <v>2105.2714550000019</v>
      </c>
      <c r="T30" s="2999">
        <f>SUMIFS(과거손익_본체!$M$177:$M$196,과거손익_본체!$C$177:$C$196,B30)/10^6</f>
        <v>23384.098447</v>
      </c>
    </row>
    <row r="31" spans="2:20">
      <c r="B31" s="1" t="s">
        <v>246</v>
      </c>
      <c r="C31" s="210" t="s">
        <v>5566</v>
      </c>
      <c r="D31" s="210" t="s">
        <v>125</v>
      </c>
      <c r="E31" s="210" t="s">
        <v>60</v>
      </c>
      <c r="F31" s="2999">
        <f>SUMIFS(과거손익_본체!$E$177:$E$196,과거손익_본체!$C$177:$C$196,B31)/10^6</f>
        <v>122108.719054</v>
      </c>
      <c r="G31" s="205">
        <f>SUMIFS(과거손익_본체!$D$177:$D$196,과거손익_본체!$C$177:$C$196,B31)</f>
        <v>4542783.6560000004</v>
      </c>
      <c r="H31" s="205">
        <f>SUMIFS(과거손익_본체!$N$177:$N$196,과거손익_본체!$C$177:$C$196,B31)/10^6+SUMIFS(과거손익_본체!$AE$177:$AE$196,과거손익_본체!$C$177:$C$196,B31)/10^6+SUMIFS(과거손익_본체!$AF$177:$AF$196,과거손익_본체!$C$177:$C$196,B31)/10^6+SUMIFS(과거손익_본체!$AK$177:$AK$196,과거손익_본체!$C$177:$C$196,B31)/10^6</f>
        <v>103474.94891199999</v>
      </c>
      <c r="I31" s="205">
        <f>SUMIFS(과거손익_본체!$O$177:$O$196,과거손익_본체!$C$177:$C$196,B31)/10^6+SUMIFS(과거손익_본체!$P$177:$P$196,과거손익_본체!$C$177:$C$196,B31)/10^6</f>
        <v>2098.568816</v>
      </c>
      <c r="J31" s="2999">
        <f t="shared" si="0"/>
        <v>105573.51772799999</v>
      </c>
      <c r="K31" s="2999">
        <f>SUMIFS(과거손익_본체!$R$177:$R$196,과거손익_본체!$C$177:$C$196,B31)/10^6+SUMIFS(과거손익_본체!$T$177:$T$196,과거손익_본체!$C$177:$C$196,B31)/10^6</f>
        <v>2994.7614899999999</v>
      </c>
      <c r="L31" s="205">
        <f>SUMIFS(과거손익_본체!$W$177:$W$196,과거손익_본체!$C$177:$C$196,B31)/10^6+SUMIFS(과거손익_본체!$X$177:$X$196,과거손익_본체!$C$177:$C$196,B31)/10^6</f>
        <v>868.52901400000007</v>
      </c>
      <c r="M31" s="205">
        <f>SUMIFS(과거손익_본체!$AN$177:$AN$196,과거손익_본체!$C$177:$C$196,B31)/10^6</f>
        <v>96.147531000000001</v>
      </c>
      <c r="N31" s="205">
        <f>SUMIFS(과거손익_본체!$AA$177:$AA$196,과거손익_본체!$C$177:$C$196,B31)/10^6+SUMIFS(과거손익_본체!$AB$177:$AB$196,과거손익_본체!$C$177:$C$196,B31)/10^6</f>
        <v>1167.7255570000002</v>
      </c>
      <c r="O31" s="2999">
        <f t="shared" si="1"/>
        <v>2132.402102</v>
      </c>
      <c r="P31" s="205">
        <f>SUMIFS(과거손익_본체!$Y$177:$Y$196,과거손익_본체!$C$177:$C$196,B31)/10^6+SUMIFS(과거손익_본체!$Z$177:$Z$196,과거손익_본체!$C$177:$C$196,B31)/10^6</f>
        <v>1356.167927</v>
      </c>
      <c r="Q31" s="205">
        <f>SUMIFS(과거손익_본체!$V$177:$V$196,과거손익_본체!$C$177:$C$196,B31)/10^6</f>
        <v>2940.9732819999999</v>
      </c>
      <c r="R31" s="205">
        <f>SUMIFS(과거손익_본체!$AM$177:$AM$196,과거손익_본체!$C$177:$C$196,B31)/10^6</f>
        <v>0</v>
      </c>
      <c r="S31" s="205">
        <f t="shared" si="2"/>
        <v>4868.0790450000031</v>
      </c>
      <c r="T31" s="2999">
        <f>SUMIFS(과거손익_본체!$M$177:$M$196,과거손익_본체!$C$177:$C$196,B31)/10^6</f>
        <v>119865.901574</v>
      </c>
    </row>
    <row r="32" spans="2:20">
      <c r="B32" s="1" t="s">
        <v>5586</v>
      </c>
      <c r="C32" s="210" t="s">
        <v>5566</v>
      </c>
      <c r="D32" s="210" t="s">
        <v>3545</v>
      </c>
      <c r="E32" s="210" t="s">
        <v>60</v>
      </c>
      <c r="F32" s="2999">
        <f>SUMIFS(과거손익_본체!$E$177:$E$196,과거손익_본체!$C$177:$C$196,B32)/10^6</f>
        <v>13284.762438</v>
      </c>
      <c r="G32" s="205">
        <f>SUMIFS(과거손익_본체!$D$177:$D$196,과거손익_본체!$C$177:$C$196,B32)</f>
        <v>4675.2550000000001</v>
      </c>
      <c r="H32" s="205">
        <f>SUMIFS(과거손익_본체!$N$177:$N$196,과거손익_본체!$C$177:$C$196,B32)/10^6+SUMIFS(과거손익_본체!$AE$177:$AE$196,과거손익_본체!$C$177:$C$196,B32)/10^6+SUMIFS(과거손익_본체!$AF$177:$AF$196,과거손익_본체!$C$177:$C$196,B32)/10^6+SUMIFS(과거손익_본체!$AK$177:$AK$196,과거손익_본체!$C$177:$C$196,B32)/10^6</f>
        <v>914.7077589999999</v>
      </c>
      <c r="I32" s="205">
        <f>SUMIFS(과거손익_본체!$O$177:$O$196,과거손익_본체!$C$177:$C$196,B32)/10^6+SUMIFS(과거손익_본체!$P$177:$P$196,과거손익_본체!$C$177:$C$196,B32)/10^6</f>
        <v>0</v>
      </c>
      <c r="J32" s="2999">
        <f t="shared" si="0"/>
        <v>914.7077589999999</v>
      </c>
      <c r="K32" s="2999">
        <f>SUMIFS(과거손익_본체!$R$177:$R$196,과거손익_본체!$C$177:$C$196,B32)/10^6+SUMIFS(과거손익_본체!$T$177:$T$196,과거손익_본체!$C$177:$C$196,B32)/10^6</f>
        <v>1250.063398</v>
      </c>
      <c r="L32" s="205">
        <f>SUMIFS(과거손익_본체!$W$177:$W$196,과거손익_본체!$C$177:$C$196,B32)/10^6+SUMIFS(과거손익_본체!$X$177:$X$196,과거손익_본체!$C$177:$C$196,B32)/10^6</f>
        <v>894.81703800000003</v>
      </c>
      <c r="M32" s="205">
        <f>SUMIFS(과거손익_본체!$AN$177:$AN$196,과거손익_본체!$C$177:$C$196,B32)/10^6</f>
        <v>177.222846</v>
      </c>
      <c r="N32" s="205">
        <f>SUMIFS(과거손익_본체!$AA$177:$AA$196,과거손익_본체!$C$177:$C$196,B32)/10^6+SUMIFS(과거손익_본체!$AB$177:$AB$196,과거손익_본체!$C$177:$C$196,B32)/10^6</f>
        <v>139.661416</v>
      </c>
      <c r="O32" s="2999">
        <f t="shared" si="1"/>
        <v>1211.7012999999999</v>
      </c>
      <c r="P32" s="205">
        <f>SUMIFS(과거손익_본체!$Y$177:$Y$196,과거손익_본체!$C$177:$C$196,B32)/10^6+SUMIFS(과거손익_본체!$Z$177:$Z$196,과거손익_본체!$C$177:$C$196,B32)/10^6</f>
        <v>442.30016899999998</v>
      </c>
      <c r="Q32" s="205">
        <f>SUMIFS(과거손익_본체!$V$177:$V$196,과거손익_본체!$C$177:$C$196,B32)/10^6</f>
        <v>834.65969700000005</v>
      </c>
      <c r="R32" s="205">
        <f>SUMIFS(과거손익_본체!$AM$177:$AM$196,과거손익_본체!$C$177:$C$196,B32)/10^6</f>
        <v>0</v>
      </c>
      <c r="S32" s="205">
        <f t="shared" si="2"/>
        <v>231.65814299999965</v>
      </c>
      <c r="T32" s="2999">
        <f>SUMIFS(과거손익_본체!$M$177:$M$196,과거손익_본체!$C$177:$C$196,B32)/10^6</f>
        <v>4885.0904659999997</v>
      </c>
    </row>
    <row r="33" spans="2:20">
      <c r="B33" s="1" t="s">
        <v>252</v>
      </c>
      <c r="C33" s="210" t="s">
        <v>5572</v>
      </c>
      <c r="D33" s="210" t="s">
        <v>3545</v>
      </c>
      <c r="E33" s="210" t="s">
        <v>60</v>
      </c>
      <c r="F33" s="2999">
        <f>SUMIFS(과거손익_본체!$E$177:$E$196,과거손익_본체!$C$177:$C$196,B33)/10^6</f>
        <v>14141.527991000001</v>
      </c>
      <c r="G33" s="205">
        <f>SUMIFS(과거손익_본체!$D$177:$D$196,과거손익_본체!$C$177:$C$196,B33)</f>
        <v>481577</v>
      </c>
      <c r="H33" s="205">
        <f>SUMIFS(과거손익_본체!$N$177:$N$196,과거손익_본체!$C$177:$C$196,B33)/10^6+SUMIFS(과거손익_본체!$AE$177:$AE$196,과거손익_본체!$C$177:$C$196,B33)/10^6+SUMIFS(과거손익_본체!$AF$177:$AF$196,과거손익_본체!$C$177:$C$196,B33)/10^6+SUMIFS(과거손익_본체!$AK$177:$AK$196,과거손익_본체!$C$177:$C$196,B33)/10^6</f>
        <v>0</v>
      </c>
      <c r="I33" s="205">
        <f>SUMIFS(과거손익_본체!$O$177:$O$196,과거손익_본체!$C$177:$C$196,B33)/10^6+SUMIFS(과거손익_본체!$P$177:$P$196,과거손익_본체!$C$177:$C$196,B33)/10^6</f>
        <v>-8.4849999999999995E-3</v>
      </c>
      <c r="J33" s="2999">
        <f t="shared" si="0"/>
        <v>-8.4849999999999995E-3</v>
      </c>
      <c r="K33" s="2999">
        <f>SUMIFS(과거손익_본체!$R$177:$R$196,과거손익_본체!$C$177:$C$196,B33)/10^6+SUMIFS(과거손익_본체!$T$177:$T$196,과거손익_본체!$C$177:$C$196,B33)/10^6</f>
        <v>172.54471100000001</v>
      </c>
      <c r="L33" s="205">
        <f>SUMIFS(과거손익_본체!$W$177:$W$196,과거손익_본체!$C$177:$C$196,B33)/10^6+SUMIFS(과거손익_본체!$X$177:$X$196,과거손익_본체!$C$177:$C$196,B33)/10^6</f>
        <v>5669.2161319999996</v>
      </c>
      <c r="M33" s="205">
        <f>SUMIFS(과거손익_본체!$AN$177:$AN$196,과거손익_본체!$C$177:$C$196,B33)/10^6</f>
        <v>0</v>
      </c>
      <c r="N33" s="205">
        <f>SUMIFS(과거손익_본체!$AA$177:$AA$196,과거손익_본체!$C$177:$C$196,B33)/10^6+SUMIFS(과거손익_본체!$AB$177:$AB$196,과거손익_본체!$C$177:$C$196,B33)/10^6</f>
        <v>3.1326879999999999</v>
      </c>
      <c r="O33" s="2999">
        <f t="shared" si="1"/>
        <v>5672.3488199999993</v>
      </c>
      <c r="P33" s="205">
        <f>SUMIFS(과거손익_본체!$Y$177:$Y$196,과거손익_본체!$C$177:$C$196,B33)/10^6+SUMIFS(과거손익_본체!$Z$177:$Z$196,과거손익_본체!$C$177:$C$196,B33)/10^6</f>
        <v>131.036464</v>
      </c>
      <c r="Q33" s="205">
        <f>SUMIFS(과거손익_본체!$V$177:$V$196,과거손익_본체!$C$177:$C$196,B33)/10^6</f>
        <v>1074.717535</v>
      </c>
      <c r="R33" s="205">
        <f>SUMIFS(과거손익_본체!$AM$177:$AM$196,과거손익_본체!$C$177:$C$196,B33)/10^6</f>
        <v>0</v>
      </c>
      <c r="S33" s="205">
        <f t="shared" si="2"/>
        <v>192.0661850000015</v>
      </c>
      <c r="T33" s="2999">
        <f>SUMIFS(과거손익_본체!$M$177:$M$196,과거손익_본체!$C$177:$C$196,B33)/10^6</f>
        <v>7242.7052299999996</v>
      </c>
    </row>
    <row r="34" spans="2:20">
      <c r="B34" s="1" t="s">
        <v>258</v>
      </c>
      <c r="C34" s="210" t="s">
        <v>5572</v>
      </c>
      <c r="D34" s="210" t="s">
        <v>3545</v>
      </c>
      <c r="E34" s="210" t="s">
        <v>60</v>
      </c>
      <c r="F34" s="2999">
        <f>SUMIFS(과거손익_본체!$E$177:$E$196,과거손익_본체!$C$177:$C$196,B34)/10^6</f>
        <v>4719730.2486990001</v>
      </c>
      <c r="G34" s="205">
        <f>SUMIFS(과거손익_본체!$D$177:$D$196,과거손익_본체!$C$177:$C$196,B34)</f>
        <v>642520.47100000002</v>
      </c>
      <c r="H34" s="205">
        <f>SUMIFS(과거손익_본체!$N$177:$N$196,과거손익_본체!$C$177:$C$196,B34)/10^6+SUMIFS(과거손익_본체!$AE$177:$AE$196,과거손익_본체!$C$177:$C$196,B34)/10^6+SUMIFS(과거손익_본체!$AF$177:$AF$196,과거손익_본체!$C$177:$C$196,B34)/10^6+SUMIFS(과거손익_본체!$AK$177:$AK$196,과거손익_본체!$C$177:$C$196,B34)/10^6</f>
        <v>4341259.6480239993</v>
      </c>
      <c r="I34" s="205">
        <f>SUMIFS(과거손익_본체!$O$177:$O$196,과거손익_본체!$C$177:$C$196,B34)/10^6+SUMIFS(과거손익_본체!$P$177:$P$196,과거손익_본체!$C$177:$C$196,B34)/10^6</f>
        <v>26946.949606000002</v>
      </c>
      <c r="J34" s="2999">
        <f t="shared" si="0"/>
        <v>4368206.5976299997</v>
      </c>
      <c r="K34" s="2999">
        <f>SUMIFS(과거손익_본체!$R$177:$R$196,과거손익_본체!$C$177:$C$196,B34)/10^6+SUMIFS(과거손익_본체!$T$177:$T$196,과거손익_본체!$C$177:$C$196,B34)/10^6</f>
        <v>49879.821598000002</v>
      </c>
      <c r="L34" s="205">
        <f>SUMIFS(과거손익_본체!$W$177:$W$196,과거손익_본체!$C$177:$C$196,B34)/10^6+SUMIFS(과거손익_본체!$X$177:$X$196,과거손익_본체!$C$177:$C$196,B34)/10^6</f>
        <v>63366.795796000006</v>
      </c>
      <c r="M34" s="205">
        <f>SUMIFS(과거손익_본체!$AN$177:$AN$196,과거손익_본체!$C$177:$C$196,B34)/10^6</f>
        <v>3884.4182989999999</v>
      </c>
      <c r="N34" s="205">
        <f>SUMIFS(과거손익_본체!$AA$177:$AA$196,과거손익_본체!$C$177:$C$196,B34)/10^6+SUMIFS(과거손익_본체!$AB$177:$AB$196,과거손익_본체!$C$177:$C$196,B34)/10^6</f>
        <v>15997.669798999999</v>
      </c>
      <c r="O34" s="2999">
        <f t="shared" si="1"/>
        <v>83248.883893999999</v>
      </c>
      <c r="P34" s="205">
        <f>SUMIFS(과거손익_본체!$Y$177:$Y$196,과거손익_본체!$C$177:$C$196,B34)/10^6+SUMIFS(과거손익_본체!$Z$177:$Z$196,과거손익_본체!$C$177:$C$196,B34)/10^6</f>
        <v>29280.130653</v>
      </c>
      <c r="Q34" s="205">
        <f>SUMIFS(과거손익_본체!$V$177:$V$196,과거손익_본체!$C$177:$C$196,B34)/10^6</f>
        <v>37145.524673</v>
      </c>
      <c r="R34" s="205">
        <f>SUMIFS(과거손익_본체!$AM$177:$AM$196,과거손익_본체!$C$177:$C$196,B34)/10^6</f>
        <v>0</v>
      </c>
      <c r="S34" s="205">
        <f t="shared" si="2"/>
        <v>37754.383828999562</v>
      </c>
      <c r="T34" s="2999">
        <f>SUMIFS(과거손익_본체!$M$177:$M$196,과거손익_본체!$C$177:$C$196,B34)/10^6</f>
        <v>4605515.3422769997</v>
      </c>
    </row>
    <row r="35" spans="2:20">
      <c r="B35" s="1" t="s">
        <v>260</v>
      </c>
      <c r="C35" s="210" t="s">
        <v>5572</v>
      </c>
      <c r="D35" s="210" t="s">
        <v>3545</v>
      </c>
      <c r="E35" s="210" t="s">
        <v>60</v>
      </c>
      <c r="F35" s="2999">
        <f>SUMIFS(과거손익_본체!$E$177:$E$196,과거손익_본체!$C$177:$C$196,B35)/10^6</f>
        <v>2055.6219759999999</v>
      </c>
      <c r="G35" s="205">
        <f>SUMIFS(과거손익_본체!$D$177:$D$196,과거손익_본체!$C$177:$C$196,B35)</f>
        <v>1199212.8400000001</v>
      </c>
      <c r="H35" s="205">
        <f>SUMIFS(과거손익_본체!$N$177:$N$196,과거손익_본체!$C$177:$C$196,B35)/10^6+SUMIFS(과거손익_본체!$AE$177:$AE$196,과거손익_본체!$C$177:$C$196,B35)/10^6+SUMIFS(과거손익_본체!$AF$177:$AF$196,과거손익_본체!$C$177:$C$196,B35)/10^6+SUMIFS(과거손익_본체!$AK$177:$AK$196,과거손익_본체!$C$177:$C$196,B35)/10^6</f>
        <v>0</v>
      </c>
      <c r="I35" s="205">
        <f>SUMIFS(과거손익_본체!$O$177:$O$196,과거손익_본체!$C$177:$C$196,B35)/10^6+SUMIFS(과거손익_본체!$P$177:$P$196,과거손익_본체!$C$177:$C$196,B35)/10^6</f>
        <v>-1.3028E-2</v>
      </c>
      <c r="J35" s="2999">
        <f t="shared" si="0"/>
        <v>-1.3028E-2</v>
      </c>
      <c r="K35" s="2999">
        <f>SUMIFS(과거손익_본체!$R$177:$R$196,과거손익_본체!$C$177:$C$196,B35)/10^6+SUMIFS(과거손익_본체!$T$177:$T$196,과거손익_본체!$C$177:$C$196,B35)/10^6</f>
        <v>347.39768799999996</v>
      </c>
      <c r="L35" s="205">
        <f>SUMIFS(과거손익_본체!$W$177:$W$196,과거손익_본체!$C$177:$C$196,B35)/10^6+SUMIFS(과거손익_본체!$X$177:$X$196,과거손익_본체!$C$177:$C$196,B35)/10^6</f>
        <v>0.82523599999999997</v>
      </c>
      <c r="M35" s="205">
        <f>SUMIFS(과거손익_본체!$AN$177:$AN$196,과거손익_본체!$C$177:$C$196,B35)/10^6</f>
        <v>0</v>
      </c>
      <c r="N35" s="205">
        <f>SUMIFS(과거손익_본체!$AA$177:$AA$196,과거손익_본체!$C$177:$C$196,B35)/10^6+SUMIFS(과거손익_본체!$AB$177:$AB$196,과거손익_본체!$C$177:$C$196,B35)/10^6</f>
        <v>3.173756</v>
      </c>
      <c r="O35" s="2999">
        <f t="shared" si="1"/>
        <v>3.9989919999999999</v>
      </c>
      <c r="P35" s="205">
        <f>SUMIFS(과거손익_본체!$Y$177:$Y$196,과거손익_본체!$C$177:$C$196,B35)/10^6+SUMIFS(과거손익_본체!$Z$177:$Z$196,과거손익_본체!$C$177:$C$196,B35)/10^6</f>
        <v>269.99150299999997</v>
      </c>
      <c r="Q35" s="205">
        <f>SUMIFS(과거손익_본체!$V$177:$V$196,과거손익_본체!$C$177:$C$196,B35)/10^6</f>
        <v>159.2577</v>
      </c>
      <c r="R35" s="205">
        <f>SUMIFS(과거손익_본체!$AM$177:$AM$196,과거손익_본체!$C$177:$C$196,B35)/10^6</f>
        <v>0</v>
      </c>
      <c r="S35" s="205">
        <f t="shared" si="2"/>
        <v>249.30207900000016</v>
      </c>
      <c r="T35" s="2999">
        <f>SUMIFS(과거손익_본체!$M$177:$M$196,과거손익_본체!$C$177:$C$196,B35)/10^6</f>
        <v>1029.9349340000001</v>
      </c>
    </row>
    <row r="36" spans="2:20">
      <c r="B36" s="1" t="s">
        <v>262</v>
      </c>
      <c r="C36" s="210" t="s">
        <v>5566</v>
      </c>
      <c r="D36" s="210" t="s">
        <v>5558</v>
      </c>
      <c r="E36" s="210" t="s">
        <v>60</v>
      </c>
      <c r="F36" s="2999">
        <f>SUMIFS(과거손익_본체!$E$177:$E$196,과거손익_본체!$C$177:$C$196,B36)/10^6</f>
        <v>2147863.56091</v>
      </c>
      <c r="G36" s="205">
        <f>SUMIFS(과거손익_본체!$D$177:$D$196,과거손익_본체!$C$177:$C$196,B36)/1000</f>
        <v>32290</v>
      </c>
      <c r="H36" s="205">
        <f>SUMIFS(과거손익_본체!$N$177:$N$196,과거손익_본체!$C$177:$C$196,B36)/10^6+SUMIFS(과거손익_본체!$AE$177:$AE$196,과거손익_본체!$C$177:$C$196,B36)/10^6+SUMIFS(과거손익_본체!$AF$177:$AF$196,과거손익_본체!$C$177:$C$196,B36)/10^6+SUMIFS(과거손익_본체!$AK$177:$AK$196,과거손익_본체!$C$177:$C$196,B36)/10^6</f>
        <v>2075208.5074799999</v>
      </c>
      <c r="I36" s="205">
        <f>SUMIFS(과거손익_본체!$O$177:$O$196,과거손익_본체!$C$177:$C$196,B36)/10^6+SUMIFS(과거손익_본체!$P$177:$P$196,과거손익_본체!$C$177:$C$196,B36)/10^6</f>
        <v>360.41652099999999</v>
      </c>
      <c r="J36" s="2999">
        <f t="shared" si="0"/>
        <v>2075568.9240009999</v>
      </c>
      <c r="K36" s="2999">
        <f>SUMIFS(과거손익_본체!$R$177:$R$196,과거손익_본체!$C$177:$C$196,B36)/10^6+SUMIFS(과거손익_본체!$T$177:$T$196,과거손익_본체!$C$177:$C$196,B36)/10^6</f>
        <v>2563.0247499999996</v>
      </c>
      <c r="L36" s="205">
        <f>SUMIFS(과거손익_본체!$W$177:$W$196,과거손익_본체!$C$177:$C$196,B36)/10^6+SUMIFS(과거손익_본체!$X$177:$X$196,과거손익_본체!$C$177:$C$196,B36)/10^6</f>
        <v>1017.865532</v>
      </c>
      <c r="M36" s="205">
        <f>SUMIFS(과거손익_본체!$AN$177:$AN$196,과거손익_본체!$C$177:$C$196,B36)/10^6</f>
        <v>0</v>
      </c>
      <c r="N36" s="205">
        <f>SUMIFS(과거손익_본체!$AA$177:$AA$196,과거손익_본체!$C$177:$C$196,B36)/10^6+SUMIFS(과거손익_본체!$AB$177:$AB$196,과거손익_본체!$C$177:$C$196,B36)/10^6</f>
        <v>769.95037200000002</v>
      </c>
      <c r="O36" s="2999">
        <f t="shared" si="1"/>
        <v>1787.815904</v>
      </c>
      <c r="P36" s="205">
        <f>SUMIFS(과거손익_본체!$Y$177:$Y$196,과거손익_본체!$C$177:$C$196,B36)/10^6+SUMIFS(과거손익_본체!$Z$177:$Z$196,과거손익_본체!$C$177:$C$196,B36)/10^6</f>
        <v>923.19563100000005</v>
      </c>
      <c r="Q36" s="205">
        <f>SUMIFS(과거손익_본체!$V$177:$V$196,과거손익_본체!$C$177:$C$196,B36)/10^6</f>
        <v>1425.408549</v>
      </c>
      <c r="R36" s="205">
        <f>SUMIFS(과거손익_본체!$AM$177:$AM$196,과거손익_본체!$C$177:$C$196,B36)/10^6</f>
        <v>0</v>
      </c>
      <c r="S36" s="205">
        <f t="shared" si="2"/>
        <v>599.99111300002551</v>
      </c>
      <c r="T36" s="2999">
        <f>SUMIFS(과거손익_본체!$M$177:$M$196,과거손익_본체!$C$177:$C$196,B36)/10^6</f>
        <v>2082868.3599479999</v>
      </c>
    </row>
    <row r="37" spans="2:20">
      <c r="B37" s="1" t="s">
        <v>264</v>
      </c>
      <c r="C37" s="210" t="s">
        <v>5566</v>
      </c>
      <c r="D37" s="210" t="s">
        <v>5558</v>
      </c>
      <c r="E37" s="210" t="s">
        <v>60</v>
      </c>
      <c r="F37" s="2999">
        <f>SUMIFS(과거손익_본체!$E$177:$E$196,과거손익_본체!$C$177:$C$196,B37)/10^6</f>
        <v>403096.37652699999</v>
      </c>
      <c r="G37" s="205">
        <f>SUMIFS(과거손익_본체!$D$177:$D$196,과거손익_본체!$C$177:$C$196,B37)/1000</f>
        <v>528834.73800000001</v>
      </c>
      <c r="H37" s="205">
        <f>SUMIFS(과거손익_본체!$N$177:$N$196,과거손익_본체!$C$177:$C$196,B37)/10^6+SUMIFS(과거손익_본체!$AE$177:$AE$196,과거손익_본체!$C$177:$C$196,B37)/10^6+SUMIFS(과거손익_본체!$AF$177:$AF$196,과거손익_본체!$C$177:$C$196,B37)/10^6+SUMIFS(과거손익_본체!$AK$177:$AK$196,과거손익_본체!$C$177:$C$196,B37)/10^6</f>
        <v>375439.13475199998</v>
      </c>
      <c r="I37" s="205">
        <f>SUMIFS(과거손익_본체!$O$177:$O$196,과거손익_본체!$C$177:$C$196,B37)/10^6+SUMIFS(과거손익_본체!$P$177:$P$196,과거손익_본체!$C$177:$C$196,B37)/10^6</f>
        <v>222.32050100000001</v>
      </c>
      <c r="J37" s="2999">
        <f t="shared" si="0"/>
        <v>375661.45525299996</v>
      </c>
      <c r="K37" s="2999">
        <f>SUMIFS(과거손익_본체!$R$177:$R$196,과거손익_본체!$C$177:$C$196,B37)/10^6+SUMIFS(과거손익_본체!$T$177:$T$196,과거손익_본체!$C$177:$C$196,B37)/10^6</f>
        <v>1910.273402</v>
      </c>
      <c r="L37" s="205">
        <f>SUMIFS(과거손익_본체!$W$177:$W$196,과거손익_본체!$C$177:$C$196,B37)/10^6+SUMIFS(과거손익_본체!$X$177:$X$196,과거손익_본체!$C$177:$C$196,B37)/10^6</f>
        <v>704.20061299999998</v>
      </c>
      <c r="M37" s="205">
        <f>SUMIFS(과거손익_본체!$AN$177:$AN$196,과거손익_본체!$C$177:$C$196,B37)/10^6</f>
        <v>8.375</v>
      </c>
      <c r="N37" s="205">
        <f>SUMIFS(과거손익_본체!$AA$177:$AA$196,과거손익_본체!$C$177:$C$196,B37)/10^6+SUMIFS(과거손익_본체!$AB$177:$AB$196,과거손익_본체!$C$177:$C$196,B37)/10^6</f>
        <v>693.00820599999997</v>
      </c>
      <c r="O37" s="2999">
        <f t="shared" si="1"/>
        <v>1405.5838189999999</v>
      </c>
      <c r="P37" s="205">
        <f>SUMIFS(과거손익_본체!$Y$177:$Y$196,과거손익_본체!$C$177:$C$196,B37)/10^6+SUMIFS(과거손익_본체!$Z$177:$Z$196,과거손익_본체!$C$177:$C$196,B37)/10^6</f>
        <v>895.65323699999999</v>
      </c>
      <c r="Q37" s="205">
        <f>SUMIFS(과거손익_본체!$V$177:$V$196,과거손익_본체!$C$177:$C$196,B37)/10^6</f>
        <v>1340.6629459999999</v>
      </c>
      <c r="R37" s="205">
        <f>SUMIFS(과거손익_본체!$AM$177:$AM$196,과거손익_본체!$C$177:$C$196,B37)/10^6</f>
        <v>0</v>
      </c>
      <c r="S37" s="205">
        <f t="shared" si="2"/>
        <v>878.01483700006656</v>
      </c>
      <c r="T37" s="2999">
        <f>SUMIFS(과거손익_본체!$M$177:$M$196,과거손익_본체!$C$177:$C$196,B37)/10^6</f>
        <v>382091.64349400002</v>
      </c>
    </row>
    <row r="38" spans="2:20">
      <c r="B38" s="1" t="s">
        <v>316</v>
      </c>
      <c r="C38" s="210" t="s">
        <v>5566</v>
      </c>
      <c r="D38" s="210" t="s">
        <v>5558</v>
      </c>
      <c r="E38" s="210" t="s">
        <v>60</v>
      </c>
      <c r="F38" s="2999">
        <f>SUMIFS(과거손익_본체!$E$177:$E$196,과거손익_본체!$C$177:$C$196,B38)/10^6</f>
        <v>199.31267500000001</v>
      </c>
      <c r="G38" s="205">
        <f>SUMIFS(과거손익_본체!$D$177:$D$196,과거손익_본체!$C$177:$C$196,B38)/1000</f>
        <v>204</v>
      </c>
      <c r="H38" s="205">
        <f>SUMIFS(과거손익_본체!$N$177:$N$196,과거손익_본체!$C$177:$C$196,B38)/10^6+SUMIFS(과거손익_본체!$AE$177:$AE$196,과거손익_본체!$C$177:$C$196,B38)/10^6+SUMIFS(과거손익_본체!$AF$177:$AF$196,과거손익_본체!$C$177:$C$196,B38)/10^6+SUMIFS(과거손익_본체!$AK$177:$AK$196,과거손익_본체!$C$177:$C$196,B38)/10^6</f>
        <v>107.065111</v>
      </c>
      <c r="I38" s="205">
        <f>SUMIFS(과거손익_본체!$O$177:$O$196,과거손익_본체!$C$177:$C$196,B38)/10^6+SUMIFS(과거손익_본체!$P$177:$P$196,과거손익_본체!$C$177:$C$196,B38)/10^6</f>
        <v>0.16619900000000001</v>
      </c>
      <c r="J38" s="2999">
        <f t="shared" si="0"/>
        <v>107.23131000000001</v>
      </c>
      <c r="K38" s="2999">
        <f>SUMIFS(과거손익_본체!$R$177:$R$196,과거손익_본체!$C$177:$C$196,B38)/10^6+SUMIFS(과거손익_본체!$T$177:$T$196,과거손익_본체!$C$177:$C$196,B38)/10^6</f>
        <v>59.747557</v>
      </c>
      <c r="L38" s="205">
        <f>SUMIFS(과거손익_본체!$W$177:$W$196,과거손익_본체!$C$177:$C$196,B38)/10^6+SUMIFS(과거손익_본체!$X$177:$X$196,과거손익_본체!$C$177:$C$196,B38)/10^6</f>
        <v>2.4295970000000002</v>
      </c>
      <c r="M38" s="205">
        <f>SUMIFS(과거손익_본체!$AN$177:$AN$196,과거손익_본체!$C$177:$C$196,B38)/10^6</f>
        <v>0</v>
      </c>
      <c r="N38" s="205">
        <f>SUMIFS(과거손익_본체!$AA$177:$AA$196,과거손익_본체!$C$177:$C$196,B38)/10^6+SUMIFS(과거손익_본체!$AB$177:$AB$196,과거손익_본체!$C$177:$C$196,B38)/10^6</f>
        <v>13.503202999999999</v>
      </c>
      <c r="O38" s="2999">
        <f t="shared" si="1"/>
        <v>15.9328</v>
      </c>
      <c r="P38" s="205">
        <f>SUMIFS(과거손익_본체!$Y$177:$Y$196,과거손익_본체!$C$177:$C$196,B38)/10^6+SUMIFS(과거손익_본체!$Z$177:$Z$196,과거손익_본체!$C$177:$C$196,B38)/10^6</f>
        <v>6.2767949999999999</v>
      </c>
      <c r="Q38" s="205">
        <f>SUMIFS(과거손익_본체!$V$177:$V$196,과거손익_본체!$C$177:$C$196,B38)/10^6</f>
        <v>41.649362000000004</v>
      </c>
      <c r="R38" s="205">
        <f>SUMIFS(과거손익_본체!$AM$177:$AM$196,과거손익_본체!$C$177:$C$196,B38)/10^6</f>
        <v>0</v>
      </c>
      <c r="S38" s="205">
        <f t="shared" si="2"/>
        <v>3516.6889539999993</v>
      </c>
      <c r="T38" s="2999">
        <f>SUMIFS(과거손익_본체!$M$177:$M$196,과거손익_본체!$C$177:$C$196,B38)/10^6</f>
        <v>3747.5267779999999</v>
      </c>
    </row>
    <row r="39" spans="2:20">
      <c r="B39" s="1" t="s">
        <v>266</v>
      </c>
      <c r="C39" s="210" t="s">
        <v>5566</v>
      </c>
      <c r="D39" s="210" t="s">
        <v>5558</v>
      </c>
      <c r="E39" s="210" t="s">
        <v>60</v>
      </c>
      <c r="F39" s="2999">
        <f>SUMIFS(과거손익_본체!$E$177:$E$196,과거손익_본체!$C$177:$C$196,B39)/10^6</f>
        <v>6779.385894</v>
      </c>
      <c r="G39" s="205">
        <f>SUMIFS(과거손익_본체!$D$177:$D$196,과거손익_본체!$C$177:$C$196,B39)/1000</f>
        <v>199.13170000000002</v>
      </c>
      <c r="H39" s="205">
        <f>SUMIFS(과거손익_본체!$N$177:$N$196,과거손익_본체!$C$177:$C$196,B39)/10^6+SUMIFS(과거손익_본체!$AE$177:$AE$196,과거손익_본체!$C$177:$C$196,B39)/10^6+SUMIFS(과거손익_본체!$AF$177:$AF$196,과거손익_본체!$C$177:$C$196,B39)/10^6+SUMIFS(과거손익_본체!$AK$177:$AK$196,과거손익_본체!$C$177:$C$196,B39)/10^6</f>
        <v>3279.269272</v>
      </c>
      <c r="I39" s="205">
        <f>SUMIFS(과거손익_본체!$O$177:$O$196,과거손익_본체!$C$177:$C$196,B39)/10^6+SUMIFS(과거손익_본체!$P$177:$P$196,과거손익_본체!$C$177:$C$196,B39)/10^6</f>
        <v>2.165143</v>
      </c>
      <c r="J39" s="2999">
        <f t="shared" si="0"/>
        <v>3281.4344150000002</v>
      </c>
      <c r="K39" s="2999">
        <f>SUMIFS(과거손익_본체!$R$177:$R$196,과거손익_본체!$C$177:$C$196,B39)/10^6+SUMIFS(과거손익_본체!$T$177:$T$196,과거손익_본체!$C$177:$C$196,B39)/10^6</f>
        <v>74.651395000000008</v>
      </c>
      <c r="L39" s="205">
        <f>SUMIFS(과거손익_본체!$W$177:$W$196,과거손익_본체!$C$177:$C$196,B39)/10^6+SUMIFS(과거손익_본체!$X$177:$X$196,과거손익_본체!$C$177:$C$196,B39)/10^6</f>
        <v>5.8780110000000008</v>
      </c>
      <c r="M39" s="205">
        <f>SUMIFS(과거손익_본체!$AN$177:$AN$196,과거손익_본체!$C$177:$C$196,B39)/10^6</f>
        <v>0</v>
      </c>
      <c r="N39" s="205">
        <f>SUMIFS(과거손익_본체!$AA$177:$AA$196,과거손익_본체!$C$177:$C$196,B39)/10^6+SUMIFS(과거손익_본체!$AB$177:$AB$196,과거손익_본체!$C$177:$C$196,B39)/10^6</f>
        <v>7.8198120000000007</v>
      </c>
      <c r="O39" s="2999">
        <f t="shared" si="1"/>
        <v>13.697823000000001</v>
      </c>
      <c r="P39" s="205">
        <f>SUMIFS(과거손익_본체!$Y$177:$Y$196,과거손익_본체!$C$177:$C$196,B39)/10^6+SUMIFS(과거손익_본체!$Z$177:$Z$196,과거손익_본체!$C$177:$C$196,B39)/10^6</f>
        <v>25.556597</v>
      </c>
      <c r="Q39" s="205">
        <f>SUMIFS(과거손익_본체!$V$177:$V$196,과거손익_본체!$C$177:$C$196,B39)/10^6</f>
        <v>50.640552999999997</v>
      </c>
      <c r="R39" s="205">
        <f>SUMIFS(과거손익_본체!$AM$177:$AM$196,과거손익_본체!$C$177:$C$196,B39)/10^6</f>
        <v>0</v>
      </c>
      <c r="S39" s="205">
        <f t="shared" si="2"/>
        <v>17.544070999999633</v>
      </c>
      <c r="T39" s="2999">
        <f>SUMIFS(과거손익_본체!$M$177:$M$196,과거손익_본체!$C$177:$C$196,B39)/10^6</f>
        <v>3463.5248539999998</v>
      </c>
    </row>
    <row r="40" spans="2:20">
      <c r="B40" s="1" t="s">
        <v>268</v>
      </c>
      <c r="C40" s="210" t="s">
        <v>5566</v>
      </c>
      <c r="D40" s="210" t="s">
        <v>5558</v>
      </c>
      <c r="E40" s="210" t="s">
        <v>60</v>
      </c>
      <c r="F40" s="2999">
        <f>SUMIFS(과거손익_본체!$E$177:$E$196,과거손익_본체!$C$177:$C$196,B40)/10^6</f>
        <v>136593.721192</v>
      </c>
      <c r="G40" s="205">
        <f>SUMIFS(과거손익_본체!$D$177:$D$196,과거손익_본체!$C$177:$C$196,B40)/1000</f>
        <v>1648.8732</v>
      </c>
      <c r="H40" s="205">
        <f>SUMIFS(과거손익_본체!$N$177:$N$196,과거손익_본체!$C$177:$C$196,B40)/10^6+SUMIFS(과거손익_본체!$AE$177:$AE$196,과거손익_본체!$C$177:$C$196,B40)/10^6+SUMIFS(과거손익_본체!$AF$177:$AF$196,과거손익_본체!$C$177:$C$196,B40)/10^6+SUMIFS(과거손익_본체!$AK$177:$AK$196,과거손익_본체!$C$177:$C$196,B40)/10^6</f>
        <v>77138.084858999995</v>
      </c>
      <c r="I40" s="205">
        <f>SUMIFS(과거손익_본체!$O$177:$O$196,과거손익_본체!$C$177:$C$196,B40)/10^6+SUMIFS(과거손익_본체!$P$177:$P$196,과거손익_본체!$C$177:$C$196,B40)/10^6</f>
        <v>35.986026000000003</v>
      </c>
      <c r="J40" s="2999">
        <f t="shared" si="0"/>
        <v>77174.070884999994</v>
      </c>
      <c r="K40" s="2999">
        <f>SUMIFS(과거손익_본체!$R$177:$R$196,과거손익_본체!$C$177:$C$196,B40)/10^6+SUMIFS(과거손익_본체!$T$177:$T$196,과거손익_본체!$C$177:$C$196,B40)/10^6</f>
        <v>254.08412800000002</v>
      </c>
      <c r="L40" s="205">
        <f>SUMIFS(과거손익_본체!$W$177:$W$196,과거손익_본체!$C$177:$C$196,B40)/10^6+SUMIFS(과거손익_본체!$X$177:$X$196,과거손익_본체!$C$177:$C$196,B40)/10^6</f>
        <v>90.223532000000006</v>
      </c>
      <c r="M40" s="205">
        <f>SUMIFS(과거손익_본체!$AN$177:$AN$196,과거손익_본체!$C$177:$C$196,B40)/10^6</f>
        <v>0</v>
      </c>
      <c r="N40" s="205">
        <f>SUMIFS(과거손익_본체!$AA$177:$AA$196,과거손익_본체!$C$177:$C$196,B40)/10^6+SUMIFS(과거손익_본체!$AB$177:$AB$196,과거손익_본체!$C$177:$C$196,B40)/10^6</f>
        <v>127.43032600000001</v>
      </c>
      <c r="O40" s="2999">
        <f t="shared" si="1"/>
        <v>217.65385800000001</v>
      </c>
      <c r="P40" s="205">
        <f>SUMIFS(과거손익_본체!$Y$177:$Y$196,과거손익_본체!$C$177:$C$196,B40)/10^6+SUMIFS(과거손익_본체!$Z$177:$Z$196,과거손익_본체!$C$177:$C$196,B40)/10^6</f>
        <v>129.48479499999999</v>
      </c>
      <c r="Q40" s="205">
        <f>SUMIFS(과거손익_본체!$V$177:$V$196,과거손익_본체!$C$177:$C$196,B40)/10^6</f>
        <v>181.190124</v>
      </c>
      <c r="R40" s="205">
        <f>SUMIFS(과거손익_본체!$AM$177:$AM$196,과거손익_본체!$C$177:$C$196,B40)/10^6</f>
        <v>0</v>
      </c>
      <c r="S40" s="205">
        <f t="shared" si="2"/>
        <v>-19.919459999997287</v>
      </c>
      <c r="T40" s="2999">
        <f>SUMIFS(과거손익_본체!$M$177:$M$196,과거손익_본체!$C$177:$C$196,B40)/10^6</f>
        <v>77936.564329999994</v>
      </c>
    </row>
    <row r="41" spans="2:20">
      <c r="B41" s="68" t="s">
        <v>272</v>
      </c>
      <c r="C41" s="212" t="s">
        <v>5566</v>
      </c>
      <c r="D41" s="212" t="s">
        <v>3486</v>
      </c>
      <c r="E41" s="212" t="s">
        <v>60</v>
      </c>
      <c r="F41" s="3000">
        <f>SUMIFS(과거손익_본체!$E$177:$E$196,과거손익_본체!$C$177:$C$196,B41)/10^6</f>
        <v>27902.289416</v>
      </c>
      <c r="G41" s="208">
        <f>SUMIFS(과거손익_본체!$D$177:$D$196,과거손익_본체!$C$177:$C$196,B41)/1000</f>
        <v>1881.585</v>
      </c>
      <c r="H41" s="208">
        <f>SUMIFS(과거손익_본체!$N$177:$N$196,과거손익_본체!$C$177:$C$196,B41)/10^6+SUMIFS(과거손익_본체!$AE$177:$AE$196,과거손익_본체!$C$177:$C$196,B41)/10^6+SUMIFS(과거손익_본체!$AF$177:$AF$196,과거손익_본체!$C$177:$C$196,B41)/10^6+SUMIFS(과거손익_본체!$AK$177:$AK$196,과거손익_본체!$C$177:$C$196,B41)/10^6</f>
        <v>25609.436794000001</v>
      </c>
      <c r="I41" s="208">
        <f>SUMIFS(과거손익_본체!$O$177:$O$196,과거손익_본체!$C$177:$C$196,B41)/10^6+SUMIFS(과거손익_본체!$P$177:$P$196,과거손익_본체!$C$177:$C$196,B41)/10^6</f>
        <v>0</v>
      </c>
      <c r="J41" s="3000">
        <f t="shared" si="0"/>
        <v>25609.436794000001</v>
      </c>
      <c r="K41" s="3000">
        <f>SUMIFS(과거손익_본체!$R$177:$R$196,과거손익_본체!$C$177:$C$196,B41)/10^6+SUMIFS(과거손익_본체!$T$177:$T$196,과거손익_본체!$C$177:$C$196,B41)/10^6</f>
        <v>0</v>
      </c>
      <c r="L41" s="208">
        <f>SUMIFS(과거손익_본체!$W$177:$W$196,과거손익_본체!$C$177:$C$196,B41)/10^6+SUMIFS(과거손익_본체!$X$177:$X$196,과거손익_본체!$C$177:$C$196,B41)/10^6</f>
        <v>0</v>
      </c>
      <c r="M41" s="208">
        <f>SUMIFS(과거손익_본체!$AN$177:$AN$196,과거손익_본체!$C$177:$C$196,B41)/10^6</f>
        <v>0</v>
      </c>
      <c r="N41" s="208">
        <f>SUMIFS(과거손익_본체!$AA$177:$AA$196,과거손익_본체!$C$177:$C$196,B41)/10^6+SUMIFS(과거손익_본체!$AB$177:$AB$196,과거손익_본체!$C$177:$C$196,B41)/10^6</f>
        <v>0</v>
      </c>
      <c r="O41" s="3000">
        <f t="shared" si="1"/>
        <v>0</v>
      </c>
      <c r="P41" s="208">
        <f>SUMIFS(과거손익_본체!$Y$177:$Y$196,과거손익_본체!$C$177:$C$196,B41)/10^6+SUMIFS(과거손익_본체!$Z$177:$Z$196,과거손익_본체!$C$177:$C$196,B41)/10^6</f>
        <v>0</v>
      </c>
      <c r="Q41" s="208">
        <f>SUMIFS(과거손익_본체!$V$177:$V$196,과거손익_본체!$C$177:$C$196,B41)/10^6</f>
        <v>0</v>
      </c>
      <c r="R41" s="208">
        <f>SUMIFS(과거손익_본체!$AM$177:$AM$196,과거손익_본체!$C$177:$C$196,B41)/10^6</f>
        <v>0</v>
      </c>
      <c r="S41" s="208">
        <f t="shared" si="2"/>
        <v>0</v>
      </c>
      <c r="T41" s="3000">
        <f>SUMIFS(과거손익_본체!$M$177:$M$196,과거손익_본체!$C$177:$C$196,B41)/10^6</f>
        <v>25609.436794000001</v>
      </c>
    </row>
    <row r="42" spans="2:20">
      <c r="B42" s="323" t="s">
        <v>242</v>
      </c>
      <c r="C42" s="210" t="s">
        <v>5565</v>
      </c>
      <c r="D42" s="322" t="s">
        <v>3545</v>
      </c>
      <c r="E42" s="322" t="s">
        <v>5103</v>
      </c>
      <c r="F42" s="3001">
        <f>SUMIFS(과거손익_본체!$E$279:$E$298,과거손익_본체!$C$279:$C$298,B42)/10^6</f>
        <v>32874.086164</v>
      </c>
      <c r="G42" s="324">
        <f>SUMIFS(과거손익_본체!$D$279:$D$298,과거손익_본체!$C$279:$C$298,B42)</f>
        <v>898230.92700000003</v>
      </c>
      <c r="H42" s="324">
        <f>SUMIFS(과거손익_본체!$N$279:$N$298,과거손익_본체!$C$279:$C$298,B42)/10^6+SUMIFS(과거손익_본체!$AE$279:$AE$298,과거손익_본체!$C$279:$C$298,B42)/10^6+SUMIFS(과거손익_본체!$AF$279:$AF$298,과거손익_본체!$C$279:$C$298,B42)/10^6+SUMIFS(과거손익_본체!$AK$279:$AK$298,과거손익_본체!$C$279:$C$298,B42)/10^6</f>
        <v>12.040129</v>
      </c>
      <c r="I42" s="324">
        <f>SUMIFS(과거손익_본체!$O$279:$O$298,과거손익_본체!$C$279:$C$298,B42)/10^6+SUMIFS(과거손익_본체!$P$279:$P$298,과거손익_본체!$C$279:$C$298,B42)/10^6</f>
        <v>0</v>
      </c>
      <c r="J42" s="3001">
        <f>SUM(H42:I42)</f>
        <v>12.040129</v>
      </c>
      <c r="K42" s="3001">
        <f>SUMIFS(과거손익_본체!$R$279:$R$298,과거손익_본체!$C$279:$C$298,B42)/10^6+SUMIFS(과거손익_본체!$T$279:$T$298,과거손익_본체!$C$279:$C$298,B42)/10^6</f>
        <v>3781.6307919999999</v>
      </c>
      <c r="L42" s="324">
        <f>SUMIFS(과거손익_본체!$W$279:$W$298,과거손익_본체!$C$279:$C$298,B42)/10^6+SUMIFS(과거손익_본체!$X$279:$X$298,과거손익_본체!$C$279:$C$298,B42)/10^6</f>
        <v>8132.6277139999993</v>
      </c>
      <c r="M42" s="324">
        <f>SUMIFS(과거손익_본체!$AN$279:$AN$298,과거손익_본체!$C$279:$C$298,B42)/10^6</f>
        <v>5554.06185</v>
      </c>
      <c r="N42" s="324">
        <f>SUMIFS(과거손익_본체!$AA$279:$AA$298,과거손익_본체!$C$279:$C$298,B42)/10^6+SUMIFS(과거손익_본체!$AB$279:$AB$298,과거손익_본체!$C$279:$C$298,B42)/10^6</f>
        <v>1999.9092149999999</v>
      </c>
      <c r="O42" s="3001">
        <f t="shared" si="1"/>
        <v>15686.598779</v>
      </c>
      <c r="P42" s="324">
        <f>SUMIFS(과거손익_본체!$Y$279:$Y$298,과거손익_본체!$C$279:$C$298,B42)/10^6+SUMIFS(과거손익_본체!$Z$279:$Z$298,과거손익_본체!$C$279:$C$298,B42)/10^6</f>
        <v>3316.2415550000001</v>
      </c>
      <c r="Q42" s="324">
        <f>SUMIFS(과거손익_본체!$V$279:$V$298,과거손익_본체!$C$279:$C$298,B42)/10^6</f>
        <v>4733.6187049999999</v>
      </c>
      <c r="R42" s="324">
        <f>SUMIFS(과거손익_본체!$AM$279:$AM$298,과거손익_본체!$C$279:$C$298,B42)/10^6</f>
        <v>1397.9372169999999</v>
      </c>
      <c r="S42" s="324">
        <f t="shared" si="2"/>
        <v>1811.1622659999982</v>
      </c>
      <c r="T42" s="3001">
        <f>SUMIFS(과거손익_본체!$M$279:$M$298,과거손익_본체!$C$279:$C$298,B42)/10^6</f>
        <v>30739.229443</v>
      </c>
    </row>
    <row r="43" spans="2:20">
      <c r="B43" s="1" t="s">
        <v>244</v>
      </c>
      <c r="C43" s="210" t="s">
        <v>5565</v>
      </c>
      <c r="D43" s="210" t="s">
        <v>3486</v>
      </c>
      <c r="E43" s="210" t="s">
        <v>5103</v>
      </c>
      <c r="F43" s="2999">
        <f>SUMIFS(과거손익_본체!$E$279:$E$298,과거손익_본체!$C$279:$C$298,B43)/10^6</f>
        <v>62521.190900000001</v>
      </c>
      <c r="G43" s="205">
        <f>SUMIFS(과거손익_본체!$D$279:$D$298,과거손익_본체!$C$279:$C$298,B43)/1000</f>
        <v>121394.99</v>
      </c>
      <c r="H43" s="205">
        <f>SUMIFS(과거손익_본체!$N$279:$N$298,과거손익_본체!$C$279:$C$298,B43)/10^6+SUMIFS(과거손익_본체!$AE$279:$AE$298,과거손익_본체!$C$279:$C$298,B43)/10^6+SUMIFS(과거손익_본체!$AF$279:$AF$298,과거손익_본체!$C$279:$C$298,B43)/10^6+SUMIFS(과거손익_본체!$AK$279:$AK$298,과거손익_본체!$C$279:$C$298,B43)/10^6</f>
        <v>824.58789999999999</v>
      </c>
      <c r="I43" s="205">
        <f>SUMIFS(과거손익_본체!$O$279:$O$298,과거손익_본체!$C$279:$C$298,B43)/10^6+SUMIFS(과거손익_본체!$P$279:$P$298,과거손익_본체!$C$279:$C$298,B43)/10^6</f>
        <v>0</v>
      </c>
      <c r="J43" s="2999">
        <f t="shared" ref="J43:J54" si="6">SUM(H43:I43)</f>
        <v>824.58789999999999</v>
      </c>
      <c r="K43" s="2999">
        <f>SUMIFS(과거손익_본체!$R$279:$R$298,과거손익_본체!$C$279:$C$298,B43)/10^6+SUMIFS(과거손익_본체!$T$279:$T$298,과거손익_본체!$C$279:$C$298,B43)/10^6</f>
        <v>6946.5200030000005</v>
      </c>
      <c r="L43" s="205">
        <f>SUMIFS(과거손익_본체!$W$279:$W$298,과거손익_본체!$C$279:$C$298,B43)/10^6+SUMIFS(과거손익_본체!$X$279:$X$298,과거손익_본체!$C$279:$C$298,B43)/10^6</f>
        <v>2727.9559400000003</v>
      </c>
      <c r="M43" s="205">
        <f>SUMIFS(과거손익_본체!$AN$279:$AN$298,과거손익_본체!$C$279:$C$298,B43)/10^6</f>
        <v>0</v>
      </c>
      <c r="N43" s="205">
        <f>SUMIFS(과거손익_본체!$AA$279:$AA$298,과거손익_본체!$C$279:$C$298,B43)/10^6+SUMIFS(과거손익_본체!$AB$279:$AB$298,과거손익_본체!$C$279:$C$298,B43)/10^6</f>
        <v>2245.0569049999999</v>
      </c>
      <c r="O43" s="2999">
        <f t="shared" ref="O43:O54" si="7">SUM(L43:N43)</f>
        <v>4973.0128450000002</v>
      </c>
      <c r="P43" s="205">
        <f>SUMIFS(과거손익_본체!$Y$279:$Y$298,과거손익_본체!$C$279:$C$298,B43)/10^6+SUMIFS(과거손익_본체!$Z$279:$Z$298,과거손익_본체!$C$279:$C$298,B43)/10^6</f>
        <v>1443.132611</v>
      </c>
      <c r="Q43" s="205">
        <f>SUMIFS(과거손익_본체!$V$279:$V$298,과거손익_본체!$C$279:$C$298,B43)/10^6</f>
        <v>8676.0891429999992</v>
      </c>
      <c r="R43" s="205">
        <f>SUMIFS(과거손익_본체!$AM$279:$AM$298,과거손익_본체!$C$279:$C$298,B43)/10^6</f>
        <v>0</v>
      </c>
      <c r="S43" s="205">
        <f t="shared" ref="S43:S54" si="8">T43-Q43-P43-J43-K43-O43-R43</f>
        <v>2231.4430779999966</v>
      </c>
      <c r="T43" s="2999">
        <f>SUMIFS(과거손익_본체!$M$279:$M$298,과거손익_본체!$C$279:$C$298,B43)/10^6</f>
        <v>25094.78558</v>
      </c>
    </row>
    <row r="44" spans="2:20">
      <c r="B44" s="1" t="s">
        <v>246</v>
      </c>
      <c r="C44" s="210" t="s">
        <v>5566</v>
      </c>
      <c r="D44" s="210" t="s">
        <v>125</v>
      </c>
      <c r="E44" s="210" t="s">
        <v>5103</v>
      </c>
      <c r="F44" s="2999">
        <f>SUMIFS(과거손익_본체!$E$279:$E$298,과거손익_본체!$C$279:$C$298,B44)/10^6</f>
        <v>68029.393337000001</v>
      </c>
      <c r="G44" s="205">
        <f>SUMIFS(과거손익_본체!$D$279:$D$298,과거손익_본체!$C$279:$C$298,B44)</f>
        <v>2191870.5159999998</v>
      </c>
      <c r="H44" s="205">
        <f>SUMIFS(과거손익_본체!$N$279:$N$298,과거손익_본체!$C$279:$C$298,B44)/10^6+SUMIFS(과거손익_본체!$AE$279:$AE$298,과거손익_본체!$C$279:$C$298,B44)/10^6+SUMIFS(과거손익_본체!$AF$279:$AF$298,과거손익_본체!$C$279:$C$298,B44)/10^6+SUMIFS(과거손익_본체!$AK$279:$AK$298,과거손익_본체!$C$279:$C$298,B44)/10^6</f>
        <v>37227.334217999996</v>
      </c>
      <c r="I44" s="205">
        <f>SUMIFS(과거손익_본체!$O$279:$O$298,과거손익_본체!$C$279:$C$298,B44)/10^6+SUMIFS(과거손익_본체!$P$279:$P$298,과거손익_본체!$C$279:$C$298,B44)/10^6</f>
        <v>1783.1019080000001</v>
      </c>
      <c r="J44" s="2999">
        <f t="shared" si="6"/>
        <v>39010.436125999993</v>
      </c>
      <c r="K44" s="2999">
        <f>SUMIFS(과거손익_본체!$R$279:$R$298,과거손익_본체!$C$279:$C$298,B44)/10^6+SUMIFS(과거손익_본체!$T$279:$T$298,과거손익_본체!$C$279:$C$298,B44)/10^6</f>
        <v>1939.2135499999999</v>
      </c>
      <c r="L44" s="205">
        <f>SUMIFS(과거손익_본체!$W$279:$W$298,과거손익_본체!$C$279:$C$298,B44)/10^6+SUMIFS(과거손익_본체!$X$279:$X$298,과거손익_본체!$C$279:$C$298,B44)/10^6</f>
        <v>741.34162700000002</v>
      </c>
      <c r="M44" s="205">
        <f>SUMIFS(과거손익_본체!$AN$279:$AN$298,과거손익_본체!$C$279:$C$298,B44)/10^6</f>
        <v>121.29495900000001</v>
      </c>
      <c r="N44" s="205">
        <f>SUMIFS(과거손익_본체!$AA$279:$AA$298,과거손익_본체!$C$279:$C$298,B44)/10^6+SUMIFS(과거손익_본체!$AB$279:$AB$298,과거손익_본체!$C$279:$C$298,B44)/10^6</f>
        <v>1174.772209</v>
      </c>
      <c r="O44" s="2999">
        <f t="shared" si="7"/>
        <v>2037.4087950000001</v>
      </c>
      <c r="P44" s="205">
        <f>SUMIFS(과거손익_본체!$Y$279:$Y$298,과거손익_본체!$C$279:$C$298,B44)/10^6+SUMIFS(과거손익_본체!$Z$279:$Z$298,과거손익_본체!$C$279:$C$298,B44)/10^6</f>
        <v>1015.2934220000001</v>
      </c>
      <c r="Q44" s="205">
        <f>SUMIFS(과거손익_본체!$V$279:$V$298,과거손익_본체!$C$279:$C$298,B44)/10^6</f>
        <v>1933.629473</v>
      </c>
      <c r="R44" s="205">
        <f>SUMIFS(과거손익_본체!$AM$279:$AM$298,과거손익_본체!$C$279:$C$298,B44)/10^6</f>
        <v>0</v>
      </c>
      <c r="S44" s="205">
        <f t="shared" si="8"/>
        <v>22700.349938000018</v>
      </c>
      <c r="T44" s="2999">
        <f>SUMIFS(과거손익_본체!$M$279:$M$298,과거손익_본체!$C$279:$C$298,B44)/10^6</f>
        <v>68636.331304000007</v>
      </c>
    </row>
    <row r="45" spans="2:20">
      <c r="B45" s="1" t="s">
        <v>5586</v>
      </c>
      <c r="C45" s="210" t="s">
        <v>5566</v>
      </c>
      <c r="D45" s="210" t="s">
        <v>3545</v>
      </c>
      <c r="E45" s="210" t="s">
        <v>5103</v>
      </c>
      <c r="F45" s="2999">
        <f>SUMIFS(과거손익_본체!$E$279:$E$298,과거손익_본체!$C$279:$C$298,B45)/10^6</f>
        <v>11215.691314</v>
      </c>
      <c r="G45" s="205">
        <f>SUMIFS(과거손익_본체!$D$279:$D$298,과거손익_본체!$C$279:$C$298,B45)</f>
        <v>3185.777</v>
      </c>
      <c r="H45" s="205">
        <f>SUMIFS(과거손익_본체!$N$279:$N$298,과거손익_본체!$C$279:$C$298,B45)/10^6+SUMIFS(과거손익_본체!$AE$279:$AE$298,과거손익_본체!$C$279:$C$298,B45)/10^6+SUMIFS(과거손익_본체!$AF$279:$AF$298,과거손익_본체!$C$279:$C$298,B45)/10^6+SUMIFS(과거손익_본체!$AK$279:$AK$298,과거손익_본체!$C$279:$C$298,B45)/10^6</f>
        <v>1222.7519649999999</v>
      </c>
      <c r="I45" s="205">
        <f>SUMIFS(과거손익_본체!$O$279:$O$298,과거손익_본체!$C$279:$C$298,B45)/10^6+SUMIFS(과거손익_본체!$P$279:$P$298,과거손익_본체!$C$279:$C$298,B45)/10^6</f>
        <v>-3.2009999999999997E-2</v>
      </c>
      <c r="J45" s="2999">
        <f t="shared" si="6"/>
        <v>1222.719955</v>
      </c>
      <c r="K45" s="2999">
        <f>SUMIFS(과거손익_본체!$R$279:$R$298,과거손익_본체!$C$279:$C$298,B45)/10^6+SUMIFS(과거손익_본체!$T$279:$T$298,과거손익_본체!$C$279:$C$298,B45)/10^6</f>
        <v>1292.4458280000001</v>
      </c>
      <c r="L45" s="205">
        <f>SUMIFS(과거손익_본체!$W$279:$W$298,과거손익_본체!$C$279:$C$298,B45)/10^6+SUMIFS(과거손익_본체!$X$279:$X$298,과거손익_본체!$C$279:$C$298,B45)/10^6</f>
        <v>960.52685299999996</v>
      </c>
      <c r="M45" s="205">
        <f>SUMIFS(과거손익_본체!$AN$279:$AN$298,과거손익_본체!$C$279:$C$298,B45)/10^6</f>
        <v>74.653532999999996</v>
      </c>
      <c r="N45" s="205">
        <f>SUMIFS(과거손익_본체!$AA$279:$AA$298,과거손익_본체!$C$279:$C$298,B45)/10^6+SUMIFS(과거손익_본체!$AB$279:$AB$298,과거손익_본체!$C$279:$C$298,B45)/10^6</f>
        <v>103.089958</v>
      </c>
      <c r="O45" s="2999">
        <f t="shared" si="7"/>
        <v>1138.270344</v>
      </c>
      <c r="P45" s="205">
        <f>SUMIFS(과거손익_본체!$Y$279:$Y$298,과거손익_본체!$C$279:$C$298,B45)/10^6+SUMIFS(과거손익_본체!$Z$279:$Z$298,과거손익_본체!$C$279:$C$298,B45)/10^6</f>
        <v>323.23091699999998</v>
      </c>
      <c r="Q45" s="205">
        <f>SUMIFS(과거손익_본체!$V$279:$V$298,과거손익_본체!$C$279:$C$298,B45)/10^6</f>
        <v>736.805474</v>
      </c>
      <c r="R45" s="205">
        <f>SUMIFS(과거손익_본체!$AM$279:$AM$298,과거손익_본체!$C$279:$C$298,B45)/10^6</f>
        <v>0</v>
      </c>
      <c r="S45" s="205">
        <f t="shared" si="8"/>
        <v>204.89316399999984</v>
      </c>
      <c r="T45" s="2999">
        <f>SUMIFS(과거손익_본체!$M$279:$M$298,과거손익_본체!$C$279:$C$298,B45)/10^6</f>
        <v>4918.3656819999997</v>
      </c>
    </row>
    <row r="46" spans="2:20">
      <c r="B46" s="1" t="s">
        <v>252</v>
      </c>
      <c r="C46" s="210" t="s">
        <v>5572</v>
      </c>
      <c r="D46" s="210" t="s">
        <v>3545</v>
      </c>
      <c r="E46" s="210" t="s">
        <v>5103</v>
      </c>
      <c r="F46" s="2999">
        <f>SUMIFS(과거손익_본체!$E$279:$E$298,과거손익_본체!$C$279:$C$298,B46)/10^6</f>
        <v>9545.495508</v>
      </c>
      <c r="G46" s="205">
        <f>SUMIFS(과거손익_본체!$D$279:$D$298,과거손익_본체!$C$279:$C$298,B46)</f>
        <v>286940</v>
      </c>
      <c r="H46" s="205">
        <f>SUMIFS(과거손익_본체!$N$279:$N$298,과거손익_본체!$C$279:$C$298,B46)/10^6+SUMIFS(과거손익_본체!$AE$279:$AE$298,과거손익_본체!$C$279:$C$298,B46)/10^6+SUMIFS(과거손익_본체!$AF$279:$AF$298,과거손익_본체!$C$279:$C$298,B46)/10^6+SUMIFS(과거손익_본체!$AK$279:$AK$298,과거손익_본체!$C$279:$C$298,B46)/10^6</f>
        <v>0</v>
      </c>
      <c r="I46" s="205">
        <f>SUMIFS(과거손익_본체!$O$279:$O$298,과거손익_본체!$C$279:$C$298,B46)/10^6+SUMIFS(과거손익_본체!$P$279:$P$298,과거손익_본체!$C$279:$C$298,B46)/10^6</f>
        <v>0</v>
      </c>
      <c r="J46" s="2999">
        <f t="shared" si="6"/>
        <v>0</v>
      </c>
      <c r="K46" s="2999">
        <f>SUMIFS(과거손익_본체!$R$279:$R$298,과거손익_본체!$C$279:$C$298,B46)/10^6+SUMIFS(과거손익_본체!$T$279:$T$298,과거손익_본체!$C$279:$C$298,B46)/10^6</f>
        <v>127.91518199999999</v>
      </c>
      <c r="L46" s="205">
        <f>SUMIFS(과거손익_본체!$W$279:$W$298,과거손익_본체!$C$279:$C$298,B46)/10^6+SUMIFS(과거손익_본체!$X$279:$X$298,과거손익_본체!$C$279:$C$298,B46)/10^6</f>
        <v>4187.8494129999999</v>
      </c>
      <c r="M46" s="205">
        <f>SUMIFS(과거손익_본체!$AN$279:$AN$298,과거손익_본체!$C$279:$C$298,B46)/10^6</f>
        <v>0</v>
      </c>
      <c r="N46" s="205">
        <f>SUMIFS(과거손익_본체!$AA$279:$AA$298,과거손익_본체!$C$279:$C$298,B46)/10^6+SUMIFS(과거손익_본체!$AB$279:$AB$298,과거손익_본체!$C$279:$C$298,B46)/10^6</f>
        <v>6.8312609999999996</v>
      </c>
      <c r="O46" s="2999">
        <f t="shared" si="7"/>
        <v>4194.6806740000002</v>
      </c>
      <c r="P46" s="205">
        <f>SUMIFS(과거손익_본체!$Y$279:$Y$298,과거손익_본체!$C$279:$C$298,B46)/10^6+SUMIFS(과거손익_본체!$Z$279:$Z$298,과거손익_본체!$C$279:$C$298,B46)/10^6</f>
        <v>63.978176999999995</v>
      </c>
      <c r="Q46" s="205">
        <f>SUMIFS(과거손익_본체!$V$279:$V$298,과거손익_본체!$C$279:$C$298,B46)/10^6</f>
        <v>598.04367200000002</v>
      </c>
      <c r="R46" s="205">
        <f>SUMIFS(과거손익_본체!$AM$279:$AM$298,과거손익_본체!$C$279:$C$298,B46)/10^6</f>
        <v>0</v>
      </c>
      <c r="S46" s="205">
        <f t="shared" si="8"/>
        <v>95.478759999999966</v>
      </c>
      <c r="T46" s="2999">
        <f>SUMIFS(과거손익_본체!$M$279:$M$298,과거손익_본체!$C$279:$C$298,B46)/10^6</f>
        <v>5080.0964649999996</v>
      </c>
    </row>
    <row r="47" spans="2:20">
      <c r="B47" s="1" t="s">
        <v>258</v>
      </c>
      <c r="C47" s="210" t="s">
        <v>5572</v>
      </c>
      <c r="D47" s="210" t="s">
        <v>3545</v>
      </c>
      <c r="E47" s="210" t="s">
        <v>5103</v>
      </c>
      <c r="F47" s="2999">
        <f>SUMIFS(과거손익_본체!$E$279:$E$298,과거손익_본체!$C$279:$C$298,B47)/10^6</f>
        <v>4669103.0703840004</v>
      </c>
      <c r="G47" s="205">
        <f>SUMIFS(과거손익_본체!$D$279:$D$298,과거손익_본체!$C$279:$C$298,B47)</f>
        <v>454818.78399999999</v>
      </c>
      <c r="H47" s="205">
        <f>SUMIFS(과거손익_본체!$N$279:$N$298,과거손익_본체!$C$279:$C$298,B47)/10^6+SUMIFS(과거손익_본체!$AE$279:$AE$298,과거손익_본체!$C$279:$C$298,B47)/10^6+SUMIFS(과거손익_본체!$AF$279:$AF$298,과거손익_본체!$C$279:$C$298,B47)/10^6+SUMIFS(과거손익_본체!$AK$279:$AK$298,과거손익_본체!$C$279:$C$298,B47)/10^6</f>
        <v>4375961.4242279995</v>
      </c>
      <c r="I47" s="205">
        <f>SUMIFS(과거손익_본체!$O$279:$O$298,과거손익_본체!$C$279:$C$298,B47)/10^6+SUMIFS(과거손익_본체!$P$279:$P$298,과거손익_본체!$C$279:$C$298,B47)/10^6</f>
        <v>16252.025378</v>
      </c>
      <c r="J47" s="2999">
        <f t="shared" si="6"/>
        <v>4392213.4496059995</v>
      </c>
      <c r="K47" s="2999">
        <f>SUMIFS(과거손익_본체!$R$279:$R$298,과거손익_본체!$C$279:$C$298,B47)/10^6+SUMIFS(과거손익_본체!$T$279:$T$298,과거손익_본체!$C$279:$C$298,B47)/10^6</f>
        <v>36214.288895999998</v>
      </c>
      <c r="L47" s="205">
        <f>SUMIFS(과거손익_본체!$W$279:$W$298,과거손익_본체!$C$279:$C$298,B47)/10^6+SUMIFS(과거손익_본체!$X$279:$X$298,과거손익_본체!$C$279:$C$298,B47)/10^6</f>
        <v>47449.262234000002</v>
      </c>
      <c r="M47" s="205">
        <f>SUMIFS(과거손익_본체!$AN$279:$AN$298,과거손익_본체!$C$279:$C$298,B47)/10^6</f>
        <v>5699.3624170000003</v>
      </c>
      <c r="N47" s="205">
        <f>SUMIFS(과거손익_본체!$AA$279:$AA$298,과거손익_본체!$C$279:$C$298,B47)/10^6+SUMIFS(과거손익_본체!$AB$279:$AB$298,과거손익_본체!$C$279:$C$298,B47)/10^6</f>
        <v>12171.819061999999</v>
      </c>
      <c r="O47" s="2999">
        <f t="shared" si="7"/>
        <v>65320.443713000001</v>
      </c>
      <c r="P47" s="205">
        <f>SUMIFS(과거손익_본체!$Y$279:$Y$298,과거손익_본체!$C$279:$C$298,B47)/10^6+SUMIFS(과거손익_본체!$Z$279:$Z$298,과거손익_본체!$C$279:$C$298,B47)/10^6</f>
        <v>25855.075033000001</v>
      </c>
      <c r="Q47" s="205">
        <f>SUMIFS(과거손익_본체!$V$279:$V$298,과거손익_본체!$C$279:$C$298,B47)/10^6</f>
        <v>28919.545391</v>
      </c>
      <c r="R47" s="205">
        <f>SUMIFS(과거손익_본체!$AM$279:$AM$298,과거손익_본체!$C$279:$C$298,B47)/10^6</f>
        <v>0</v>
      </c>
      <c r="S47" s="205">
        <f t="shared" si="8"/>
        <v>26411.861629000923</v>
      </c>
      <c r="T47" s="2999">
        <f>SUMIFS(과거손익_본체!$M$279:$M$298,과거손익_본체!$C$279:$C$298,B47)/10^6</f>
        <v>4574934.6642680001</v>
      </c>
    </row>
    <row r="48" spans="2:20">
      <c r="B48" s="1" t="s">
        <v>260</v>
      </c>
      <c r="C48" s="210" t="s">
        <v>5572</v>
      </c>
      <c r="D48" s="210" t="s">
        <v>3545</v>
      </c>
      <c r="E48" s="210" t="s">
        <v>5103</v>
      </c>
      <c r="F48" s="2999">
        <f>SUMIFS(과거손익_본체!$E$279:$E$298,과거손익_본체!$C$279:$C$298,B48)/10^6</f>
        <v>2178.6547690000002</v>
      </c>
      <c r="G48" s="205">
        <f>SUMIFS(과거손익_본체!$D$279:$D$298,과거손익_본체!$C$279:$C$298,B48)</f>
        <v>844439.02</v>
      </c>
      <c r="H48" s="205">
        <f>SUMIFS(과거손익_본체!$N$279:$N$298,과거손익_본체!$C$279:$C$298,B48)/10^6+SUMIFS(과거손익_본체!$AE$279:$AE$298,과거손익_본체!$C$279:$C$298,B48)/10^6+SUMIFS(과거손익_본체!$AF$279:$AF$298,과거손익_본체!$C$279:$C$298,B48)/10^6+SUMIFS(과거손익_본체!$AK$279:$AK$298,과거손익_본체!$C$279:$C$298,B48)/10^6</f>
        <v>0</v>
      </c>
      <c r="I48" s="205">
        <f>SUMIFS(과거손익_본체!$O$279:$O$298,과거손익_본체!$C$279:$C$298,B48)/10^6+SUMIFS(과거손익_본체!$P$279:$P$298,과거손익_본체!$C$279:$C$298,B48)/10^6</f>
        <v>0</v>
      </c>
      <c r="J48" s="2999">
        <f t="shared" si="6"/>
        <v>0</v>
      </c>
      <c r="K48" s="2999">
        <f>SUMIFS(과거손익_본체!$R$279:$R$298,과거손익_본체!$C$279:$C$298,B48)/10^6+SUMIFS(과거손익_본체!$T$279:$T$298,과거손익_본체!$C$279:$C$298,B48)/10^6</f>
        <v>449.136098</v>
      </c>
      <c r="L48" s="205">
        <f>SUMIFS(과거손익_본체!$W$279:$W$298,과거손익_본체!$C$279:$C$298,B48)/10^6+SUMIFS(과거손익_본체!$X$279:$X$298,과거손익_본체!$C$279:$C$298,B48)/10^6</f>
        <v>0.63723300000000005</v>
      </c>
      <c r="M48" s="205">
        <f>SUMIFS(과거손익_본체!$AN$279:$AN$298,과거손익_본체!$C$279:$C$298,B48)/10^6</f>
        <v>0</v>
      </c>
      <c r="N48" s="205">
        <f>SUMIFS(과거손익_본체!$AA$279:$AA$298,과거손익_본체!$C$279:$C$298,B48)/10^6+SUMIFS(과거손익_본체!$AB$279:$AB$298,과거손익_본체!$C$279:$C$298,B48)/10^6</f>
        <v>1.9552350000000001</v>
      </c>
      <c r="O48" s="2999">
        <f t="shared" si="7"/>
        <v>2.5924680000000002</v>
      </c>
      <c r="P48" s="205">
        <f>SUMIFS(과거손익_본체!$Y$279:$Y$298,과거손익_본체!$C$279:$C$298,B48)/10^6+SUMIFS(과거손익_본체!$Z$279:$Z$298,과거손익_본체!$C$279:$C$298,B48)/10^6</f>
        <v>216.849446</v>
      </c>
      <c r="Q48" s="205">
        <f>SUMIFS(과거손익_본체!$V$279:$V$298,과거손익_본체!$C$279:$C$298,B48)/10^6</f>
        <v>94.407801000000006</v>
      </c>
      <c r="R48" s="205">
        <f>SUMIFS(과거손익_본체!$AM$279:$AM$298,과거손익_본체!$C$279:$C$298,B48)/10^6</f>
        <v>0</v>
      </c>
      <c r="S48" s="205">
        <f t="shared" si="8"/>
        <v>178.90088500000002</v>
      </c>
      <c r="T48" s="2999">
        <f>SUMIFS(과거손익_본체!$M$279:$M$298,과거손익_본체!$C$279:$C$298,B48)/10^6</f>
        <v>941.88669800000002</v>
      </c>
    </row>
    <row r="49" spans="2:20">
      <c r="B49" s="1" t="s">
        <v>262</v>
      </c>
      <c r="C49" s="210" t="s">
        <v>5566</v>
      </c>
      <c r="D49" s="210" t="s">
        <v>5558</v>
      </c>
      <c r="E49" s="210" t="s">
        <v>5103</v>
      </c>
      <c r="F49" s="2999">
        <f>SUMIFS(과거손익_본체!$E$279:$E$298,과거손익_본체!$C$279:$C$298,B49)/10^6</f>
        <v>1625323.251748</v>
      </c>
      <c r="G49" s="205">
        <f>SUMIFS(과거손익_본체!$D$279:$D$298,과거손익_본체!$C$279:$C$298,B49)/1000</f>
        <v>24624</v>
      </c>
      <c r="H49" s="205">
        <f>SUMIFS(과거손익_본체!$N$279:$N$298,과거손익_본체!$C$279:$C$298,B49)/10^6+SUMIFS(과거손익_본체!$AE$279:$AE$298,과거손익_본체!$C$279:$C$298,B49)/10^6+SUMIFS(과거손익_본체!$AF$279:$AF$298,과거손익_본체!$C$279:$C$298,B49)/10^6+SUMIFS(과거손익_본체!$AK$279:$AK$298,과거손익_본체!$C$279:$C$298,B49)/10^6</f>
        <v>1549221.7531890001</v>
      </c>
      <c r="I49" s="205">
        <f>SUMIFS(과거손익_본체!$O$279:$O$298,과거손익_본체!$C$279:$C$298,B49)/10^6+SUMIFS(과거손익_본체!$P$279:$P$298,과거손익_본체!$C$279:$C$298,B49)/10^6</f>
        <v>190.539985</v>
      </c>
      <c r="J49" s="2999">
        <f t="shared" si="6"/>
        <v>1549412.293174</v>
      </c>
      <c r="K49" s="2999">
        <f>SUMIFS(과거손익_본체!$R$279:$R$298,과거손익_본체!$C$279:$C$298,B49)/10^6+SUMIFS(과거손익_본체!$T$279:$T$298,과거손익_본체!$C$279:$C$298,B49)/10^6</f>
        <v>1737.6888760000002</v>
      </c>
      <c r="L49" s="205">
        <f>SUMIFS(과거손익_본체!$W$279:$W$298,과거손익_본체!$C$279:$C$298,B49)/10^6+SUMIFS(과거손익_본체!$X$279:$X$298,과거손익_본체!$C$279:$C$298,B49)/10^6</f>
        <v>697.03026</v>
      </c>
      <c r="M49" s="205">
        <f>SUMIFS(과거손익_본체!$AN$279:$AN$298,과거손익_본체!$C$279:$C$298,B49)/10^6</f>
        <v>0</v>
      </c>
      <c r="N49" s="205">
        <f>SUMIFS(과거손익_본체!$AA$279:$AA$298,과거손익_본체!$C$279:$C$298,B49)/10^6+SUMIFS(과거손익_본체!$AB$279:$AB$298,과거손익_본체!$C$279:$C$298,B49)/10^6</f>
        <v>505.89947100000001</v>
      </c>
      <c r="O49" s="2999">
        <f t="shared" si="7"/>
        <v>1202.9297309999999</v>
      </c>
      <c r="P49" s="205">
        <f>SUMIFS(과거손익_본체!$Y$279:$Y$298,과거손익_본체!$C$279:$C$298,B49)/10^6+SUMIFS(과거손익_본체!$Z$279:$Z$298,과거손익_본체!$C$279:$C$298,B49)/10^6</f>
        <v>497.60727500000002</v>
      </c>
      <c r="Q49" s="205">
        <f>SUMIFS(과거손익_본체!$V$279:$V$298,과거손익_본체!$C$279:$C$298,B49)/10^6</f>
        <v>884.96695399999999</v>
      </c>
      <c r="R49" s="205">
        <f>SUMIFS(과거손익_본체!$AM$279:$AM$298,과거손익_본체!$C$279:$C$298,B49)/10^6</f>
        <v>0</v>
      </c>
      <c r="S49" s="205">
        <f t="shared" si="8"/>
        <v>358.70009199993751</v>
      </c>
      <c r="T49" s="2999">
        <f>SUMIFS(과거손익_본체!$M$279:$M$298,과거손익_본체!$C$279:$C$298,B49)/10^6</f>
        <v>1554094.1861020001</v>
      </c>
    </row>
    <row r="50" spans="2:20">
      <c r="B50" s="1" t="s">
        <v>264</v>
      </c>
      <c r="C50" s="210" t="s">
        <v>5566</v>
      </c>
      <c r="D50" s="210" t="s">
        <v>5558</v>
      </c>
      <c r="E50" s="210" t="s">
        <v>5103</v>
      </c>
      <c r="F50" s="2999">
        <f>SUMIFS(과거손익_본체!$E$279:$E$298,과거손익_본체!$C$279:$C$298,B50)/10^6</f>
        <v>423015.36886300001</v>
      </c>
      <c r="G50" s="205">
        <f>SUMIFS(과거손익_본체!$D$279:$D$298,과거손익_본체!$C$279:$C$298,B50)/1000</f>
        <v>447318.83100000001</v>
      </c>
      <c r="H50" s="205">
        <f>SUMIFS(과거손익_본체!$N$279:$N$298,과거손익_본체!$C$279:$C$298,B50)/10^6+SUMIFS(과거손익_본체!$AE$279:$AE$298,과거손익_본체!$C$279:$C$298,B50)/10^6+SUMIFS(과거손익_본체!$AF$279:$AF$298,과거손익_본체!$C$279:$C$298,B50)/10^6+SUMIFS(과거손익_본체!$AK$279:$AK$298,과거손익_본체!$C$279:$C$298,B50)/10^6</f>
        <v>387696.02974900004</v>
      </c>
      <c r="I50" s="205">
        <f>SUMIFS(과거손익_본체!$O$279:$O$298,과거손익_본체!$C$279:$C$298,B50)/10^6+SUMIFS(과거손익_본체!$P$279:$P$298,과거손익_본체!$C$279:$C$298,B50)/10^6</f>
        <v>185.30550400000001</v>
      </c>
      <c r="J50" s="2999">
        <f t="shared" si="6"/>
        <v>387881.33525300003</v>
      </c>
      <c r="K50" s="2999">
        <f>SUMIFS(과거손익_본체!$R$279:$R$298,과거손익_본체!$C$279:$C$298,B50)/10^6+SUMIFS(과거손익_본체!$T$279:$T$298,과거손익_본체!$C$279:$C$298,B50)/10^6</f>
        <v>1699.909547</v>
      </c>
      <c r="L50" s="205">
        <f>SUMIFS(과거손익_본체!$W$279:$W$298,과거손익_본체!$C$279:$C$298,B50)/10^6+SUMIFS(과거손익_본체!$X$279:$X$298,과거손익_본체!$C$279:$C$298,B50)/10^6</f>
        <v>740.75413500000002</v>
      </c>
      <c r="M50" s="205">
        <f>SUMIFS(과거손익_본체!$AN$279:$AN$298,과거손익_본체!$C$279:$C$298,B50)/10^6</f>
        <v>7.0098130000000003</v>
      </c>
      <c r="N50" s="205">
        <f>SUMIFS(과거손익_본체!$AA$279:$AA$298,과거손익_본체!$C$279:$C$298,B50)/10^6+SUMIFS(과거손익_본체!$AB$279:$AB$298,과거손익_본체!$C$279:$C$298,B50)/10^6</f>
        <v>715.79865199999995</v>
      </c>
      <c r="O50" s="2999">
        <f t="shared" si="7"/>
        <v>1463.5626</v>
      </c>
      <c r="P50" s="205">
        <f>SUMIFS(과거손익_본체!$Y$279:$Y$298,과거손익_본체!$C$279:$C$298,B50)/10^6+SUMIFS(과거손익_본체!$Z$279:$Z$298,과거손익_본체!$C$279:$C$298,B50)/10^6</f>
        <v>677.73938799999996</v>
      </c>
      <c r="Q50" s="205">
        <f>SUMIFS(과거손익_본체!$V$279:$V$298,과거손익_본체!$C$279:$C$298,B50)/10^6</f>
        <v>1097.885509</v>
      </c>
      <c r="R50" s="205">
        <f>SUMIFS(과거손익_본체!$AM$279:$AM$298,과거손익_본체!$C$279:$C$298,B50)/10^6</f>
        <v>0</v>
      </c>
      <c r="S50" s="205">
        <f t="shared" si="8"/>
        <v>615.37495300001342</v>
      </c>
      <c r="T50" s="2999">
        <f>SUMIFS(과거손익_본체!$M$279:$M$298,과거손익_본체!$C$279:$C$298,B50)/10^6</f>
        <v>393435.80725000001</v>
      </c>
    </row>
    <row r="51" spans="2:20">
      <c r="B51" s="1" t="s">
        <v>316</v>
      </c>
      <c r="C51" s="210" t="s">
        <v>5566</v>
      </c>
      <c r="D51" s="210" t="s">
        <v>5558</v>
      </c>
      <c r="E51" s="210" t="s">
        <v>5103</v>
      </c>
      <c r="F51" s="2999">
        <f>SUMIFS(과거손익_본체!$E$279:$E$298,과거손익_본체!$C$279:$C$298,B51)/10^6</f>
        <v>1824.777666</v>
      </c>
      <c r="G51" s="205">
        <f>SUMIFS(과거손익_본체!$D$279:$D$298,과거손익_본체!$C$279:$C$298,B51)/1000</f>
        <v>1820</v>
      </c>
      <c r="H51" s="205">
        <f>SUMIFS(과거손익_본체!$N$279:$N$298,과거손익_본체!$C$279:$C$298,B51)/10^6+SUMIFS(과거손익_본체!$AE$279:$AE$298,과거손익_본체!$C$279:$C$298,B51)/10^6+SUMIFS(과거손익_본체!$AF$279:$AF$298,과거손익_본체!$C$279:$C$298,B51)/10^6+SUMIFS(과거손익_본체!$AK$279:$AK$298,과거손익_본체!$C$279:$C$298,B51)/10^6</f>
        <v>928.93871300000001</v>
      </c>
      <c r="I51" s="205">
        <f>SUMIFS(과거손익_본체!$O$279:$O$298,과거손익_본체!$C$279:$C$298,B51)/10^6+SUMIFS(과거손익_본체!$P$279:$P$298,과거손익_본체!$C$279:$C$298,B51)/10^6</f>
        <v>1.5062820000000001</v>
      </c>
      <c r="J51" s="2999">
        <f t="shared" si="6"/>
        <v>930.44499500000006</v>
      </c>
      <c r="K51" s="2999">
        <f>SUMIFS(과거손익_본체!$R$279:$R$298,과거손익_본체!$C$279:$C$298,B51)/10^6+SUMIFS(과거손익_본체!$T$279:$T$298,과거손익_본체!$C$279:$C$298,B51)/10^6</f>
        <v>564.79208299999993</v>
      </c>
      <c r="L51" s="205">
        <f>SUMIFS(과거손익_본체!$W$279:$W$298,과거손익_본체!$C$279:$C$298,B51)/10^6+SUMIFS(과거손익_본체!$X$279:$X$298,과거손익_본체!$C$279:$C$298,B51)/10^6</f>
        <v>22.154608</v>
      </c>
      <c r="M51" s="205">
        <f>SUMIFS(과거손익_본체!$AN$279:$AN$298,과거손익_본체!$C$279:$C$298,B51)/10^6</f>
        <v>0</v>
      </c>
      <c r="N51" s="205">
        <f>SUMIFS(과거손익_본체!$AA$279:$AA$298,과거손익_본체!$C$279:$C$298,B51)/10^6+SUMIFS(과거손익_본체!$AB$279:$AB$298,과거손익_본체!$C$279:$C$298,B51)/10^6</f>
        <v>145.339719</v>
      </c>
      <c r="O51" s="2999">
        <f t="shared" si="7"/>
        <v>167.494327</v>
      </c>
      <c r="P51" s="205">
        <f>SUMIFS(과거손익_본체!$Y$279:$Y$298,과거손익_본체!$C$279:$C$298,B51)/10^6+SUMIFS(과거손익_본체!$Z$279:$Z$298,과거손익_본체!$C$279:$C$298,B51)/10^6</f>
        <v>50.528879000000003</v>
      </c>
      <c r="Q51" s="205">
        <f>SUMIFS(과거손익_본체!$V$279:$V$298,과거손익_본체!$C$279:$C$298,B51)/10^6</f>
        <v>404.50660800000003</v>
      </c>
      <c r="R51" s="205">
        <f>SUMIFS(과거손익_본체!$AM$279:$AM$298,과거손익_본체!$C$279:$C$298,B51)/10^6</f>
        <v>0</v>
      </c>
      <c r="S51" s="205">
        <f t="shared" si="8"/>
        <v>384.31860400000005</v>
      </c>
      <c r="T51" s="2999">
        <f>SUMIFS(과거손익_본체!$M$279:$M$298,과거손익_본체!$C$279:$C$298,B51)/10^6</f>
        <v>2502.0854960000001</v>
      </c>
    </row>
    <row r="52" spans="2:20">
      <c r="B52" s="1" t="s">
        <v>266</v>
      </c>
      <c r="C52" s="210" t="s">
        <v>5566</v>
      </c>
      <c r="D52" s="210" t="s">
        <v>5558</v>
      </c>
      <c r="E52" s="210" t="s">
        <v>5103</v>
      </c>
      <c r="F52" s="2999">
        <f>SUMIFS(과거손익_본체!$E$279:$E$298,과거손익_본체!$C$279:$C$298,B52)/10^6</f>
        <v>6344.8046450000002</v>
      </c>
      <c r="G52" s="205">
        <f>SUMIFS(과거손익_본체!$D$279:$D$298,과거손익_본체!$C$279:$C$298,B52)/1000</f>
        <v>153.9744</v>
      </c>
      <c r="H52" s="205">
        <f>SUMIFS(과거손익_본체!$N$279:$N$298,과거손익_본체!$C$279:$C$298,B52)/10^6+SUMIFS(과거손익_본체!$AE$279:$AE$298,과거손익_본체!$C$279:$C$298,B52)/10^6+SUMIFS(과거손익_본체!$AF$279:$AF$298,과거손익_본체!$C$279:$C$298,B52)/10^6+SUMIFS(과거손익_본체!$AK$279:$AK$298,과거손익_본체!$C$279:$C$298,B52)/10^6</f>
        <v>3601.2722359999998</v>
      </c>
      <c r="I52" s="205">
        <f>SUMIFS(과거손익_본체!$O$279:$O$298,과거손익_본체!$C$279:$C$298,B52)/10^6+SUMIFS(과거손익_본체!$P$279:$P$298,과거손익_본체!$C$279:$C$298,B52)/10^6</f>
        <v>1.8939159999999999</v>
      </c>
      <c r="J52" s="2999">
        <f t="shared" si="6"/>
        <v>3603.1661519999998</v>
      </c>
      <c r="K52" s="2999">
        <f>SUMIFS(과거손익_본체!$R$279:$R$298,과거손익_본체!$C$279:$C$298,B52)/10^6+SUMIFS(과거손익_본체!$T$279:$T$298,과거손익_본체!$C$279:$C$298,B52)/10^6</f>
        <v>16.913278999999999</v>
      </c>
      <c r="L52" s="205">
        <f>SUMIFS(과거손익_본체!$W$279:$W$298,과거손익_본체!$C$279:$C$298,B52)/10^6+SUMIFS(과거손익_본체!$X$279:$X$298,과거손익_본체!$C$279:$C$298,B52)/10^6</f>
        <v>4.77569</v>
      </c>
      <c r="M52" s="205">
        <f>SUMIFS(과거손익_본체!$AN$279:$AN$298,과거손익_본체!$C$279:$C$298,B52)/10^6</f>
        <v>0</v>
      </c>
      <c r="N52" s="205">
        <f>SUMIFS(과거손익_본체!$AA$279:$AA$298,과거손익_본체!$C$279:$C$298,B52)/10^6+SUMIFS(과거손익_본체!$AB$279:$AB$298,과거손익_본체!$C$279:$C$298,B52)/10^6</f>
        <v>6.820011</v>
      </c>
      <c r="O52" s="2999">
        <f t="shared" si="7"/>
        <v>11.595701</v>
      </c>
      <c r="P52" s="205">
        <f>SUMIFS(과거손익_본체!$Y$279:$Y$298,과거손익_본체!$C$279:$C$298,B52)/10^6+SUMIFS(과거손익_본체!$Z$279:$Z$298,과거손익_본체!$C$279:$C$298,B52)/10^6</f>
        <v>15.067314999999999</v>
      </c>
      <c r="Q52" s="205">
        <f>SUMIFS(과거손익_본체!$V$279:$V$298,과거손익_본체!$C$279:$C$298,B52)/10^6</f>
        <v>28.60951</v>
      </c>
      <c r="R52" s="205">
        <f>SUMIFS(과거손익_본체!$AM$279:$AM$298,과거손익_본체!$C$279:$C$298,B52)/10^6</f>
        <v>0</v>
      </c>
      <c r="S52" s="205">
        <f t="shared" si="8"/>
        <v>22.790487000000276</v>
      </c>
      <c r="T52" s="2999">
        <f>SUMIFS(과거손익_본체!$M$279:$M$298,과거손익_본체!$C$279:$C$298,B52)/10^6</f>
        <v>3698.1424440000001</v>
      </c>
    </row>
    <row r="53" spans="2:20">
      <c r="B53" s="1" t="s">
        <v>268</v>
      </c>
      <c r="C53" s="210" t="s">
        <v>5566</v>
      </c>
      <c r="D53" s="210" t="s">
        <v>5558</v>
      </c>
      <c r="E53" s="210" t="s">
        <v>5103</v>
      </c>
      <c r="F53" s="2999">
        <f>SUMIFS(과거손익_본체!$E$279:$E$298,과거손익_본체!$C$279:$C$298,B53)/10^6</f>
        <v>110794.403028</v>
      </c>
      <c r="G53" s="205">
        <f>SUMIFS(과거손익_본체!$D$279:$D$298,과거손익_본체!$C$279:$C$298,B53)/1000</f>
        <v>1195.6563000000001</v>
      </c>
      <c r="H53" s="205">
        <f>SUMIFS(과거손익_본체!$N$279:$N$298,과거손익_본체!$C$279:$C$298,B53)/10^6+SUMIFS(과거손익_본체!$AE$279:$AE$298,과거손익_본체!$C$279:$C$298,B53)/10^6+SUMIFS(과거손익_본체!$AF$279:$AF$298,과거손익_본체!$C$279:$C$298,B53)/10^6+SUMIFS(과거손익_본체!$AK$279:$AK$298,과거손익_본체!$C$279:$C$298,B53)/10^6</f>
        <v>56695.100783000002</v>
      </c>
      <c r="I53" s="205">
        <f>SUMIFS(과거손익_본체!$O$279:$O$298,과거손익_본체!$C$279:$C$298,B53)/10^6+SUMIFS(과거손익_본체!$P$279:$P$298,과거손익_본체!$C$279:$C$298,B53)/10^6</f>
        <v>23.686574</v>
      </c>
      <c r="J53" s="2999">
        <f t="shared" si="6"/>
        <v>56718.787357000001</v>
      </c>
      <c r="K53" s="2999">
        <f>SUMIFS(과거손익_본체!$R$279:$R$298,과거손익_본체!$C$279:$C$298,B53)/10^6+SUMIFS(과거손익_본체!$T$279:$T$298,과거손익_본체!$C$279:$C$298,B53)/10^6</f>
        <v>199.405509</v>
      </c>
      <c r="L53" s="205">
        <f>SUMIFS(과거손익_본체!$W$279:$W$298,과거손익_본체!$C$279:$C$298,B53)/10^6+SUMIFS(과거손익_본체!$X$279:$X$298,과거손익_본체!$C$279:$C$298,B53)/10^6</f>
        <v>70.740977000000001</v>
      </c>
      <c r="M53" s="205">
        <f>SUMIFS(과거손익_본체!$AN$279:$AN$298,과거손익_본체!$C$279:$C$298,B53)/10^6</f>
        <v>0</v>
      </c>
      <c r="N53" s="205">
        <f>SUMIFS(과거손익_본체!$AA$279:$AA$298,과거손익_본체!$C$279:$C$298,B53)/10^6+SUMIFS(과거손익_본체!$AB$279:$AB$298,과거손익_본체!$C$279:$C$298,B53)/10^6</f>
        <v>77.048327</v>
      </c>
      <c r="O53" s="2999">
        <f t="shared" si="7"/>
        <v>147.78930400000002</v>
      </c>
      <c r="P53" s="205">
        <f>SUMIFS(과거손익_본체!$Y$279:$Y$298,과거손익_본체!$C$279:$C$298,B53)/10^6+SUMIFS(과거손익_본체!$Z$279:$Z$298,과거손익_본체!$C$279:$C$298,B53)/10^6</f>
        <v>62.634196000000003</v>
      </c>
      <c r="Q53" s="205">
        <f>SUMIFS(과거손익_본체!$V$279:$V$298,과거손익_본체!$C$279:$C$298,B53)/10^6</f>
        <v>134.56448</v>
      </c>
      <c r="R53" s="205">
        <f>SUMIFS(과거손익_본체!$AM$279:$AM$298,과거손익_본체!$C$279:$C$298,B53)/10^6</f>
        <v>0</v>
      </c>
      <c r="S53" s="205">
        <f t="shared" si="8"/>
        <v>-49.931260000002965</v>
      </c>
      <c r="T53" s="2999">
        <f>SUMIFS(과거손익_본체!$M$279:$M$298,과거손익_본체!$C$279:$C$298,B53)/10^6</f>
        <v>57213.249585999998</v>
      </c>
    </row>
    <row r="54" spans="2:20">
      <c r="B54" s="68" t="s">
        <v>272</v>
      </c>
      <c r="C54" s="212" t="s">
        <v>5566</v>
      </c>
      <c r="D54" s="212" t="s">
        <v>3486</v>
      </c>
      <c r="E54" s="212" t="s">
        <v>5103</v>
      </c>
      <c r="F54" s="3000">
        <f>SUMIFS(과거손익_본체!$E$279:$E$298,과거손익_본체!$C$279:$C$298,B54)/10^6</f>
        <v>18611.672498</v>
      </c>
      <c r="G54" s="208">
        <f>SUMIFS(과거손익_본체!$D$279:$D$298,과거손익_본체!$C$279:$C$298,B54)/1000</f>
        <v>1489.7560000000001</v>
      </c>
      <c r="H54" s="208">
        <f>SUMIFS(과거손익_본체!$N$279:$N$298,과거손익_본체!$C$279:$C$298,B54)/10^6+SUMIFS(과거손익_본체!$AE$279:$AE$298,과거손익_본체!$C$279:$C$298,B54)/10^6+SUMIFS(과거손익_본체!$AF$279:$AF$298,과거손익_본체!$C$279:$C$298,B54)/10^6+SUMIFS(과거손익_본체!$AK$279:$AK$298,과거손익_본체!$C$279:$C$298,B54)/10^6</f>
        <v>17537.919037</v>
      </c>
      <c r="I54" s="208">
        <f>SUMIFS(과거손익_본체!$O$279:$O$298,과거손익_본체!$C$279:$C$298,B54)/10^6+SUMIFS(과거손익_본체!$P$279:$P$298,과거손익_본체!$C$279:$C$298,B54)/10^6</f>
        <v>0</v>
      </c>
      <c r="J54" s="3000">
        <f t="shared" si="6"/>
        <v>17537.919037</v>
      </c>
      <c r="K54" s="3000">
        <f>SUMIFS(과거손익_본체!$R$279:$R$298,과거손익_본체!$C$279:$C$298,B54)/10^6+SUMIFS(과거손익_본체!$T$279:$T$298,과거손익_본체!$C$279:$C$298,B54)/10^6</f>
        <v>0</v>
      </c>
      <c r="L54" s="208">
        <f>SUMIFS(과거손익_본체!$W$279:$W$298,과거손익_본체!$C$279:$C$298,B54)/10^6+SUMIFS(과거손익_본체!$X$279:$X$298,과거손익_본체!$C$279:$C$298,B54)/10^6</f>
        <v>0</v>
      </c>
      <c r="M54" s="208">
        <f>SUMIFS(과거손익_본체!$AN$279:$AN$298,과거손익_본체!$C$279:$C$298,B54)/10^6</f>
        <v>0</v>
      </c>
      <c r="N54" s="208">
        <f>SUMIFS(과거손익_본체!$AA$279:$AA$298,과거손익_본체!$C$279:$C$298,B54)/10^6+SUMIFS(과거손익_본체!$AB$279:$AB$298,과거손익_본체!$C$279:$C$298,B54)/10^6</f>
        <v>0</v>
      </c>
      <c r="O54" s="3000">
        <f t="shared" si="7"/>
        <v>0</v>
      </c>
      <c r="P54" s="208">
        <f>SUMIFS(과거손익_본체!$Y$279:$Y$298,과거손익_본체!$C$279:$C$298,B54)/10^6+SUMIFS(과거손익_본체!$Z$279:$Z$298,과거손익_본체!$C$279:$C$298,B54)/10^6</f>
        <v>0</v>
      </c>
      <c r="Q54" s="208">
        <f>SUMIFS(과거손익_본체!$V$279:$V$298,과거손익_본체!$C$279:$C$298,B54)/10^6</f>
        <v>0</v>
      </c>
      <c r="R54" s="208">
        <f>SUMIFS(과거손익_본체!$AM$279:$AM$298,과거손익_본체!$C$279:$C$298,B54)/10^6</f>
        <v>0</v>
      </c>
      <c r="S54" s="208">
        <f t="shared" si="8"/>
        <v>0</v>
      </c>
      <c r="T54" s="3000">
        <f>SUMIFS(과거손익_본체!$M$279:$M$298,과거손익_본체!$C$279:$C$298,B54)/10^6</f>
        <v>17537.919037</v>
      </c>
    </row>
    <row r="55" spans="2:20">
      <c r="F55" s="205"/>
      <c r="G55" s="205"/>
      <c r="H55" s="205"/>
      <c r="I55" s="205"/>
      <c r="J55" s="205"/>
      <c r="K55" s="205"/>
      <c r="L55" s="205"/>
      <c r="M55" s="205"/>
      <c r="N55" s="205"/>
      <c r="O55" s="205"/>
      <c r="P55" s="205"/>
      <c r="Q55" s="205"/>
      <c r="R55" s="205"/>
      <c r="S55" s="205"/>
      <c r="T55" s="205"/>
    </row>
    <row r="56" spans="2:20">
      <c r="F56" s="205"/>
      <c r="G56" s="205"/>
      <c r="H56" s="205"/>
      <c r="I56" s="205"/>
      <c r="J56" s="205"/>
      <c r="K56" s="205"/>
      <c r="L56" s="205"/>
      <c r="M56" s="205"/>
      <c r="N56" s="205"/>
      <c r="O56" s="205"/>
      <c r="P56" s="205"/>
      <c r="Q56" s="205"/>
      <c r="R56" s="205"/>
      <c r="S56" s="205"/>
      <c r="T56" s="205"/>
    </row>
    <row r="57" spans="2:20">
      <c r="F57" s="205"/>
      <c r="G57" s="205"/>
      <c r="H57" s="205"/>
      <c r="I57" s="205"/>
      <c r="J57" s="205"/>
      <c r="K57" s="205"/>
      <c r="L57" s="205"/>
      <c r="M57" s="205"/>
      <c r="N57" s="205"/>
      <c r="O57" s="205"/>
      <c r="P57" s="205"/>
      <c r="Q57" s="205"/>
      <c r="R57" s="205"/>
      <c r="S57" s="205"/>
      <c r="T57" s="205"/>
    </row>
    <row r="58" spans="2:20">
      <c r="F58" s="205"/>
      <c r="G58" s="205"/>
      <c r="H58" s="205"/>
      <c r="I58" s="205"/>
      <c r="J58" s="205"/>
      <c r="K58" s="205"/>
      <c r="L58" s="205"/>
      <c r="M58" s="205"/>
      <c r="N58" s="205"/>
      <c r="O58" s="205"/>
      <c r="P58" s="205"/>
      <c r="Q58" s="205"/>
      <c r="R58" s="205"/>
      <c r="S58" s="205"/>
      <c r="T58" s="205"/>
    </row>
    <row r="59" spans="2:20">
      <c r="F59" s="205"/>
      <c r="G59" s="205"/>
      <c r="H59" s="205"/>
      <c r="I59" s="205"/>
      <c r="J59" s="205"/>
      <c r="K59" s="205"/>
      <c r="L59" s="205"/>
      <c r="M59" s="205"/>
      <c r="N59" s="205"/>
      <c r="O59" s="205"/>
      <c r="P59" s="205"/>
      <c r="Q59" s="205"/>
      <c r="R59" s="205"/>
      <c r="S59" s="205"/>
      <c r="T59" s="205"/>
    </row>
    <row r="60" spans="2:20">
      <c r="F60" s="205"/>
      <c r="G60" s="205"/>
      <c r="H60" s="205"/>
      <c r="I60" s="205"/>
      <c r="J60" s="205"/>
      <c r="K60" s="205"/>
      <c r="L60" s="205"/>
      <c r="M60" s="205"/>
      <c r="N60" s="205"/>
      <c r="O60" s="205"/>
      <c r="P60" s="205"/>
      <c r="Q60" s="205"/>
      <c r="R60" s="205"/>
      <c r="S60" s="205"/>
      <c r="T60" s="205"/>
    </row>
    <row r="61" spans="2:20">
      <c r="F61" s="205"/>
      <c r="G61" s="205"/>
      <c r="H61" s="205"/>
      <c r="I61" s="205"/>
      <c r="J61" s="205"/>
      <c r="K61" s="205"/>
      <c r="L61" s="205"/>
      <c r="M61" s="205"/>
      <c r="N61" s="205"/>
      <c r="O61" s="205"/>
      <c r="P61" s="205"/>
      <c r="Q61" s="205"/>
      <c r="R61" s="205"/>
      <c r="S61" s="205"/>
      <c r="T61" s="205"/>
    </row>
    <row r="62" spans="2:20">
      <c r="F62" s="205"/>
      <c r="G62" s="205"/>
      <c r="H62" s="205"/>
      <c r="I62" s="205"/>
      <c r="J62" s="205"/>
      <c r="K62" s="205"/>
      <c r="L62" s="205"/>
      <c r="M62" s="205"/>
      <c r="N62" s="205"/>
      <c r="O62" s="205"/>
      <c r="P62" s="205"/>
      <c r="Q62" s="205"/>
      <c r="R62" s="205"/>
      <c r="S62" s="205"/>
      <c r="T62" s="205"/>
    </row>
    <row r="63" spans="2:20">
      <c r="F63" s="205"/>
      <c r="G63" s="205"/>
      <c r="H63" s="205"/>
      <c r="I63" s="205"/>
      <c r="J63" s="205"/>
      <c r="K63" s="205"/>
      <c r="L63" s="205"/>
      <c r="M63" s="205"/>
      <c r="N63" s="205"/>
      <c r="O63" s="205"/>
      <c r="P63" s="205"/>
      <c r="Q63" s="205"/>
      <c r="R63" s="205"/>
      <c r="S63" s="205"/>
      <c r="T63" s="205"/>
    </row>
    <row r="64" spans="2:20">
      <c r="F64" s="205"/>
      <c r="G64" s="205"/>
      <c r="H64" s="205"/>
      <c r="I64" s="205"/>
      <c r="J64" s="205"/>
      <c r="K64" s="205"/>
      <c r="L64" s="205"/>
      <c r="M64" s="205"/>
      <c r="N64" s="205"/>
      <c r="O64" s="205"/>
      <c r="P64" s="205"/>
      <c r="Q64" s="205"/>
      <c r="R64" s="205"/>
      <c r="S64" s="205"/>
      <c r="T64" s="205"/>
    </row>
    <row r="65" spans="6:20">
      <c r="F65" s="205"/>
      <c r="G65" s="205"/>
      <c r="H65" s="205"/>
      <c r="I65" s="205"/>
      <c r="J65" s="205"/>
      <c r="K65" s="205"/>
      <c r="L65" s="205"/>
      <c r="M65" s="205"/>
      <c r="N65" s="205"/>
      <c r="O65" s="205"/>
      <c r="P65" s="205"/>
      <c r="Q65" s="205"/>
      <c r="R65" s="205"/>
      <c r="S65" s="205"/>
      <c r="T65" s="205"/>
    </row>
    <row r="66" spans="6:20">
      <c r="F66" s="205"/>
      <c r="G66" s="205"/>
      <c r="H66" s="205"/>
      <c r="I66" s="205"/>
      <c r="J66" s="205"/>
      <c r="K66" s="205"/>
      <c r="L66" s="205"/>
      <c r="M66" s="205"/>
      <c r="N66" s="205"/>
      <c r="O66" s="205"/>
      <c r="P66" s="205"/>
      <c r="Q66" s="205"/>
      <c r="R66" s="205"/>
      <c r="S66" s="205"/>
      <c r="T66" s="205"/>
    </row>
    <row r="67" spans="6:20">
      <c r="F67" s="205"/>
      <c r="G67" s="205"/>
      <c r="H67" s="205"/>
      <c r="I67" s="205"/>
      <c r="J67" s="205"/>
      <c r="K67" s="205"/>
      <c r="L67" s="205"/>
      <c r="M67" s="205"/>
      <c r="N67" s="205"/>
      <c r="O67" s="205"/>
      <c r="P67" s="205"/>
      <c r="Q67" s="205"/>
      <c r="R67" s="205"/>
      <c r="S67" s="205"/>
      <c r="T67" s="205"/>
    </row>
  </sheetData>
  <phoneticPr fontId="1" type="noConversion"/>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2:CG325"/>
  <sheetViews>
    <sheetView topLeftCell="A48" workbookViewId="0">
      <selection activeCell="D51" sqref="D51:D69"/>
    </sheetView>
  </sheetViews>
  <sheetFormatPr defaultColWidth="9" defaultRowHeight="12"/>
  <cols>
    <col min="1" max="1" width="11.875" style="110" customWidth="1"/>
    <col min="2" max="2" width="21.125" style="3" bestFit="1" customWidth="1"/>
    <col min="3" max="3" width="21" style="3" customWidth="1"/>
    <col min="4" max="4" width="15.375" style="3" bestFit="1" customWidth="1"/>
    <col min="5" max="5" width="17.375" style="3" customWidth="1"/>
    <col min="6" max="6" width="15.375" style="3" customWidth="1"/>
    <col min="7" max="7" width="13.625" style="3" customWidth="1"/>
    <col min="8" max="8" width="17.5" style="3" bestFit="1" customWidth="1"/>
    <col min="9" max="12" width="15.5" style="3" bestFit="1" customWidth="1"/>
    <col min="13" max="13" width="17.5" style="3" bestFit="1" customWidth="1"/>
    <col min="14" max="14" width="15.5" style="3" bestFit="1" customWidth="1"/>
    <col min="15" max="15" width="13.125" style="3" bestFit="1" customWidth="1"/>
    <col min="16" max="17" width="13" style="3" customWidth="1"/>
    <col min="18" max="18" width="13.625" style="3" customWidth="1"/>
    <col min="19" max="19" width="14" style="3" customWidth="1"/>
    <col min="20" max="20" width="13.625" style="3" customWidth="1"/>
    <col min="21" max="21" width="11.25" style="3" customWidth="1"/>
    <col min="22" max="23" width="13" style="3" customWidth="1"/>
    <col min="24" max="25" width="13.625" style="3" customWidth="1"/>
    <col min="26" max="27" width="15.875" style="3" customWidth="1"/>
    <col min="28" max="28" width="13" style="3" customWidth="1"/>
    <col min="29" max="29" width="12.125" style="3" customWidth="1"/>
    <col min="30" max="31" width="13" style="3" customWidth="1"/>
    <col min="32" max="32" width="14" style="3" customWidth="1"/>
    <col min="33" max="33" width="10.625" style="3" customWidth="1"/>
    <col min="34" max="34" width="9.75" style="3" customWidth="1"/>
    <col min="35" max="35" width="12.125" style="3" customWidth="1"/>
    <col min="36" max="36" width="13" style="3" customWidth="1"/>
    <col min="37" max="37" width="12.125" style="3" customWidth="1"/>
    <col min="38" max="39" width="13" style="3" customWidth="1"/>
    <col min="40" max="42" width="15.875" style="3" customWidth="1"/>
    <col min="43" max="46" width="13" style="3" customWidth="1"/>
    <col min="47" max="47" width="10.625" style="3" customWidth="1"/>
    <col min="48" max="49" width="12.125" style="3" customWidth="1"/>
    <col min="50" max="50" width="14.75" style="3" customWidth="1"/>
    <col min="51" max="53" width="13" style="3" customWidth="1"/>
    <col min="54" max="54" width="12.125" style="3" customWidth="1"/>
    <col min="55" max="55" width="15.875" style="3" customWidth="1"/>
    <col min="56" max="56" width="14.75" style="3" customWidth="1"/>
    <col min="57" max="57" width="13" style="3" customWidth="1"/>
    <col min="58" max="58" width="15.875" style="3" hidden="1" customWidth="1"/>
    <col min="59" max="60" width="12.125" style="3" hidden="1" customWidth="1"/>
    <col min="61" max="61" width="10.625" style="3" hidden="1" customWidth="1"/>
    <col min="62" max="62" width="12.125" style="3" hidden="1" customWidth="1"/>
    <col min="63" max="63" width="9.125" style="3" hidden="1" customWidth="1"/>
    <col min="64" max="64" width="14.75" style="3" hidden="1" customWidth="1"/>
    <col min="65" max="65" width="13" style="3" hidden="1" customWidth="1"/>
    <col min="66" max="66" width="12.125" style="3" hidden="1" customWidth="1"/>
    <col min="67" max="67" width="13" style="3" hidden="1" customWidth="1"/>
    <col min="68" max="68" width="10.625" style="3" hidden="1" customWidth="1"/>
    <col min="69" max="69" width="12.125" style="3" hidden="1" customWidth="1"/>
    <col min="70" max="70" width="10.625" style="3" hidden="1" customWidth="1"/>
    <col min="71" max="71" width="9.75" style="3" hidden="1" customWidth="1"/>
    <col min="72" max="72" width="15.875" style="3" hidden="1" customWidth="1"/>
    <col min="73" max="73" width="9" style="3" hidden="1" customWidth="1"/>
    <col min="74" max="74" width="0" style="3" hidden="1" customWidth="1"/>
    <col min="75" max="82" width="18.625" style="3" customWidth="1"/>
    <col min="83" max="84" width="9" style="3"/>
    <col min="85" max="85" width="13.125" style="3" bestFit="1" customWidth="1"/>
    <col min="86" max="16384" width="9" style="3"/>
  </cols>
  <sheetData>
    <row r="2" spans="8:14">
      <c r="H2" s="204" t="s">
        <v>354</v>
      </c>
      <c r="I2" s="204">
        <v>2017</v>
      </c>
      <c r="J2" s="204">
        <v>2018</v>
      </c>
      <c r="K2" s="204">
        <v>2019</v>
      </c>
      <c r="L2" s="204" t="s">
        <v>3983</v>
      </c>
      <c r="M2" s="204" t="s">
        <v>3984</v>
      </c>
      <c r="N2" s="204" t="s">
        <v>3815</v>
      </c>
    </row>
    <row r="3" spans="8:14">
      <c r="H3" s="3" t="s">
        <v>1284</v>
      </c>
      <c r="I3" s="255">
        <f>I47</f>
        <v>6424790895635</v>
      </c>
      <c r="J3" s="255">
        <f>I70</f>
        <v>6639778450166</v>
      </c>
      <c r="K3" s="255">
        <f>N118</f>
        <v>6790447672641</v>
      </c>
      <c r="L3" s="255">
        <f>N172</f>
        <v>4882842454402</v>
      </c>
      <c r="M3" s="255">
        <f>N197</f>
        <v>6739831411651</v>
      </c>
      <c r="N3" s="255">
        <f>N248</f>
        <v>3959808395195</v>
      </c>
    </row>
    <row r="4" spans="8:14">
      <c r="H4" s="3" t="s">
        <v>1288</v>
      </c>
      <c r="I4" s="255">
        <f>J47</f>
        <v>26372308911</v>
      </c>
      <c r="J4" s="255">
        <f>J70</f>
        <v>30543689482</v>
      </c>
      <c r="K4" s="255">
        <f>O118+P118</f>
        <v>30850790971</v>
      </c>
      <c r="L4" s="255">
        <f>O172+P172</f>
        <v>22776934857</v>
      </c>
      <c r="M4" s="255">
        <f>SUM(O197:P197)</f>
        <v>29666780986</v>
      </c>
      <c r="N4" s="255">
        <f>O248+P248</f>
        <v>11861901429</v>
      </c>
    </row>
    <row r="5" spans="8:14">
      <c r="H5" s="3" t="s">
        <v>1289</v>
      </c>
      <c r="I5" s="255">
        <f>K47</f>
        <v>67215241066</v>
      </c>
      <c r="J5" s="255">
        <f>K70</f>
        <v>65389963040</v>
      </c>
      <c r="K5" s="255">
        <f>Q118+R118</f>
        <v>67050102847</v>
      </c>
      <c r="L5" s="255">
        <f>R172+Q172</f>
        <v>47676479563</v>
      </c>
      <c r="M5" s="255">
        <f>R197</f>
        <v>65887736614</v>
      </c>
      <c r="N5" s="255">
        <f>R248</f>
        <v>32410951031</v>
      </c>
    </row>
    <row r="6" spans="8:14">
      <c r="H6" s="3" t="s">
        <v>1290</v>
      </c>
      <c r="I6" s="255">
        <f>L47</f>
        <v>394433667</v>
      </c>
      <c r="J6" s="255">
        <f>L70</f>
        <v>4914297107</v>
      </c>
      <c r="K6" s="255">
        <f>S118+T118</f>
        <v>6625528434</v>
      </c>
      <c r="L6" s="255">
        <f>T172+S172</f>
        <v>4011084679</v>
      </c>
      <c r="M6" s="255">
        <f>T197</f>
        <v>6282382727</v>
      </c>
      <c r="N6" s="255">
        <f>T248</f>
        <v>2420002037</v>
      </c>
    </row>
    <row r="7" spans="8:14">
      <c r="H7" s="3" t="s">
        <v>1295</v>
      </c>
      <c r="I7" s="255">
        <f>I8+I9+I10</f>
        <v>89977723693</v>
      </c>
      <c r="J7" s="255">
        <f t="shared" ref="J7:N7" si="0">J8+J9+J10</f>
        <v>117615241720</v>
      </c>
      <c r="K7" s="255">
        <f t="shared" si="0"/>
        <v>127627078296</v>
      </c>
      <c r="L7" s="255">
        <f t="shared" si="0"/>
        <v>92621630509</v>
      </c>
      <c r="M7" s="255">
        <f t="shared" si="0"/>
        <v>122321488956</v>
      </c>
      <c r="N7" s="255">
        <f t="shared" si="0"/>
        <v>61853788525</v>
      </c>
    </row>
    <row r="8" spans="8:14">
      <c r="H8" s="316" t="s">
        <v>1293</v>
      </c>
      <c r="I8" s="255">
        <f>N47</f>
        <v>86986171377</v>
      </c>
      <c r="J8" s="255">
        <f>N70</f>
        <v>89768111920</v>
      </c>
      <c r="K8" s="255">
        <f>W118+X118</f>
        <v>87644579140</v>
      </c>
      <c r="L8" s="255">
        <f>W172+X172</f>
        <v>66005388457</v>
      </c>
      <c r="M8" s="255">
        <f>W197+X197</f>
        <v>87180423285</v>
      </c>
      <c r="N8" s="255">
        <f>W248+X248</f>
        <v>42250764906</v>
      </c>
    </row>
    <row r="9" spans="8:14">
      <c r="H9" s="316" t="s">
        <v>1294</v>
      </c>
      <c r="I9" s="255">
        <f>P47</f>
        <v>2991552316</v>
      </c>
      <c r="J9" s="255">
        <f>P70</f>
        <v>27847129800</v>
      </c>
      <c r="K9" s="255">
        <f>AA118+AB118</f>
        <v>25361522485</v>
      </c>
      <c r="L9" s="255">
        <f>AA172+AB172</f>
        <v>18179390130</v>
      </c>
      <c r="M9" s="255">
        <f>AA197+AB197</f>
        <v>24066635856</v>
      </c>
      <c r="N9" s="255">
        <f>AA248+AB248</f>
        <v>12686039306</v>
      </c>
    </row>
    <row r="10" spans="8:14">
      <c r="H10" s="316" t="s">
        <v>1359</v>
      </c>
      <c r="I10" s="255">
        <v>0</v>
      </c>
      <c r="J10" s="255">
        <v>0</v>
      </c>
      <c r="K10" s="255">
        <f>AM118</f>
        <v>14620976671</v>
      </c>
      <c r="L10" s="255">
        <f>AM172</f>
        <v>8436851922</v>
      </c>
      <c r="M10" s="255">
        <f>AN197</f>
        <v>11074429815</v>
      </c>
      <c r="N10" s="255">
        <f>AN248</f>
        <v>6916984313</v>
      </c>
    </row>
    <row r="11" spans="8:14">
      <c r="H11" s="3" t="s">
        <v>1296</v>
      </c>
      <c r="I11" s="255">
        <f>I13-I12-I7-I6-I5-I4-I3</f>
        <v>151782406334</v>
      </c>
      <c r="J11" s="255">
        <f t="shared" ref="J11:N11" si="1">J13-J12-J7-J6-J5-J4-J3</f>
        <v>154632973770</v>
      </c>
      <c r="K11" s="255">
        <f t="shared" si="1"/>
        <v>143018138160</v>
      </c>
      <c r="L11" s="255">
        <f t="shared" si="1"/>
        <v>109042970335</v>
      </c>
      <c r="M11" s="255">
        <f t="shared" si="1"/>
        <v>160981456672</v>
      </c>
      <c r="N11" s="255">
        <f t="shared" si="1"/>
        <v>79780762151</v>
      </c>
    </row>
    <row r="12" spans="8:14">
      <c r="H12" s="3" t="s">
        <v>1297</v>
      </c>
      <c r="I12" s="255">
        <f>SUM(R47:Y47)</f>
        <v>195968170438</v>
      </c>
      <c r="J12" s="255">
        <f>SUM(R70:Y70)</f>
        <v>-115627255288</v>
      </c>
      <c r="K12" s="255">
        <f>SUM(AE118:AL118)</f>
        <v>104392165404</v>
      </c>
      <c r="L12" s="255">
        <f>SUM(AE172:AL172)</f>
        <v>191909049172</v>
      </c>
      <c r="M12" s="255">
        <f>SUM(AE197:AL197)</f>
        <v>272506585101</v>
      </c>
      <c r="N12" s="255">
        <f>SUM(AE248:AL248)</f>
        <v>194639788724</v>
      </c>
    </row>
    <row r="13" spans="8:14">
      <c r="H13" s="3" t="s">
        <v>1298</v>
      </c>
      <c r="I13" s="255">
        <f>H47</f>
        <v>6956501179744</v>
      </c>
      <c r="J13" s="255">
        <f>H70</f>
        <v>6897247359997</v>
      </c>
      <c r="K13" s="255">
        <f>M118</f>
        <v>7270011476753</v>
      </c>
      <c r="L13" s="255">
        <f>M172</f>
        <v>5350880603517</v>
      </c>
      <c r="M13" s="255">
        <f>M197</f>
        <v>7397477842707</v>
      </c>
      <c r="N13" s="255">
        <f>M248</f>
        <v>4342775589092</v>
      </c>
    </row>
    <row r="19" spans="1:85">
      <c r="A19" s="3"/>
    </row>
    <row r="20" spans="1:85">
      <c r="A20" s="3"/>
    </row>
    <row r="21" spans="1:85">
      <c r="A21" s="3"/>
    </row>
    <row r="22" spans="1:85">
      <c r="A22" s="3"/>
    </row>
    <row r="23" spans="1:85">
      <c r="B23" s="3">
        <v>2017</v>
      </c>
    </row>
    <row r="24" spans="1:85">
      <c r="B24" s="131" t="s">
        <v>318</v>
      </c>
      <c r="C24" s="131" t="s">
        <v>319</v>
      </c>
      <c r="D24" s="131" t="s">
        <v>187</v>
      </c>
      <c r="E24" s="132" t="s">
        <v>188</v>
      </c>
      <c r="F24" s="132" t="s">
        <v>189</v>
      </c>
      <c r="G24" s="132" t="s">
        <v>190</v>
      </c>
      <c r="H24" s="133" t="s">
        <v>141</v>
      </c>
      <c r="I24" s="133" t="s">
        <v>191</v>
      </c>
      <c r="J24" s="133" t="s">
        <v>192</v>
      </c>
      <c r="K24" s="133" t="s">
        <v>193</v>
      </c>
      <c r="L24" s="133" t="s">
        <v>194</v>
      </c>
      <c r="M24" s="133" t="s">
        <v>195</v>
      </c>
      <c r="N24" s="133" t="s">
        <v>196</v>
      </c>
      <c r="O24" s="133" t="s">
        <v>197</v>
      </c>
      <c r="P24" s="133" t="s">
        <v>198</v>
      </c>
      <c r="Q24" s="133" t="s">
        <v>199</v>
      </c>
      <c r="R24" s="133" t="s">
        <v>200</v>
      </c>
      <c r="S24" s="133" t="s">
        <v>201</v>
      </c>
      <c r="T24" s="133" t="s">
        <v>202</v>
      </c>
      <c r="U24" s="133" t="s">
        <v>203</v>
      </c>
      <c r="V24" s="133" t="s">
        <v>204</v>
      </c>
      <c r="W24" s="133" t="s">
        <v>205</v>
      </c>
      <c r="X24" s="133" t="s">
        <v>206</v>
      </c>
      <c r="Y24" s="133" t="s">
        <v>207</v>
      </c>
      <c r="Z24" s="131" t="s">
        <v>208</v>
      </c>
      <c r="AA24" s="134" t="s">
        <v>209</v>
      </c>
      <c r="AB24" s="134" t="s">
        <v>210</v>
      </c>
      <c r="AC24" s="134" t="s">
        <v>211</v>
      </c>
      <c r="AD24" s="134" t="s">
        <v>212</v>
      </c>
      <c r="AE24" s="134" t="s">
        <v>213</v>
      </c>
      <c r="AF24" s="134" t="s">
        <v>214</v>
      </c>
      <c r="AG24" s="134" t="s">
        <v>215</v>
      </c>
      <c r="AH24" s="134" t="s">
        <v>216</v>
      </c>
      <c r="AI24" s="134" t="s">
        <v>217</v>
      </c>
      <c r="AJ24" s="134" t="s">
        <v>218</v>
      </c>
      <c r="AK24" s="134" t="s">
        <v>219</v>
      </c>
      <c r="AL24" s="134" t="s">
        <v>220</v>
      </c>
      <c r="AM24" s="134" t="s">
        <v>221</v>
      </c>
      <c r="AN24" s="134" t="s">
        <v>222</v>
      </c>
      <c r="AO24" s="131" t="s">
        <v>144</v>
      </c>
      <c r="AP24" s="135" t="s">
        <v>223</v>
      </c>
      <c r="AQ24" s="135" t="s">
        <v>224</v>
      </c>
      <c r="AR24" s="135" t="s">
        <v>225</v>
      </c>
      <c r="AS24" s="135" t="s">
        <v>226</v>
      </c>
      <c r="AT24" s="135" t="s">
        <v>227</v>
      </c>
      <c r="AU24" s="135" t="s">
        <v>228</v>
      </c>
      <c r="AV24" s="135" t="s">
        <v>229</v>
      </c>
      <c r="AW24" s="135" t="s">
        <v>230</v>
      </c>
      <c r="AX24" s="136" t="s">
        <v>231</v>
      </c>
      <c r="AY24" s="136" t="s">
        <v>232</v>
      </c>
      <c r="AZ24" s="136" t="s">
        <v>233</v>
      </c>
      <c r="BA24" s="136" t="s">
        <v>234</v>
      </c>
      <c r="BB24" s="136" t="s">
        <v>235</v>
      </c>
      <c r="BC24" s="136" t="s">
        <v>236</v>
      </c>
      <c r="BD24" s="136" t="s">
        <v>237</v>
      </c>
      <c r="BE24" s="136" t="s">
        <v>238</v>
      </c>
      <c r="BF24" s="131" t="s">
        <v>239</v>
      </c>
      <c r="BW24" s="321" t="s">
        <v>1300</v>
      </c>
      <c r="BX24" s="321" t="s">
        <v>1284</v>
      </c>
      <c r="BY24" s="321" t="s">
        <v>1362</v>
      </c>
      <c r="BZ24" s="321" t="s">
        <v>1363</v>
      </c>
      <c r="CA24" s="321" t="s">
        <v>5555</v>
      </c>
      <c r="CB24" s="321" t="s">
        <v>1293</v>
      </c>
      <c r="CC24" s="321" t="s">
        <v>1294</v>
      </c>
      <c r="CD24" s="321" t="s">
        <v>1418</v>
      </c>
    </row>
    <row r="25" spans="1:85">
      <c r="A25" s="110" t="s">
        <v>240</v>
      </c>
      <c r="B25" s="137" t="s">
        <v>241</v>
      </c>
      <c r="C25" s="137" t="s">
        <v>242</v>
      </c>
      <c r="D25" s="138">
        <v>1465513.7849999971</v>
      </c>
      <c r="E25" s="139">
        <v>27176179731</v>
      </c>
      <c r="F25" s="140">
        <v>27176179731</v>
      </c>
      <c r="G25" s="140">
        <v>0</v>
      </c>
      <c r="H25" s="141">
        <v>39629279930</v>
      </c>
      <c r="I25" s="142">
        <v>369089899</v>
      </c>
      <c r="J25" s="142">
        <v>0</v>
      </c>
      <c r="K25" s="142">
        <v>6362051788</v>
      </c>
      <c r="L25" s="142">
        <v>51254394</v>
      </c>
      <c r="M25" s="142">
        <v>10666567961</v>
      </c>
      <c r="N25" s="142">
        <v>11213611012</v>
      </c>
      <c r="O25" s="142">
        <v>4342708459</v>
      </c>
      <c r="P25" s="142">
        <v>545090738</v>
      </c>
      <c r="Q25" s="142">
        <v>6295909861</v>
      </c>
      <c r="R25" s="142">
        <v>409949712</v>
      </c>
      <c r="S25" s="142">
        <v>0</v>
      </c>
      <c r="T25" s="142">
        <v>0</v>
      </c>
      <c r="U25" s="142">
        <v>0</v>
      </c>
      <c r="V25" s="142">
        <v>0</v>
      </c>
      <c r="W25" s="142">
        <v>0</v>
      </c>
      <c r="X25" s="142">
        <v>0</v>
      </c>
      <c r="Y25" s="142">
        <v>-626953894</v>
      </c>
      <c r="Z25" s="138">
        <v>-12453100199</v>
      </c>
      <c r="AA25" s="143">
        <v>20803621515</v>
      </c>
      <c r="AB25" s="144">
        <v>20279668089</v>
      </c>
      <c r="AC25" s="144">
        <v>686718</v>
      </c>
      <c r="AD25" s="144">
        <v>0</v>
      </c>
      <c r="AE25" s="144">
        <v>0</v>
      </c>
      <c r="AF25" s="144">
        <v>323718582</v>
      </c>
      <c r="AG25" s="144">
        <v>3426987</v>
      </c>
      <c r="AH25" s="144">
        <v>146568</v>
      </c>
      <c r="AI25" s="144">
        <v>31820473</v>
      </c>
      <c r="AJ25" s="144">
        <v>35804954</v>
      </c>
      <c r="AK25" s="144">
        <v>924195</v>
      </c>
      <c r="AL25" s="144">
        <v>73502033</v>
      </c>
      <c r="AM25" s="144">
        <v>206790</v>
      </c>
      <c r="AN25" s="144">
        <v>53716126</v>
      </c>
      <c r="AO25" s="138">
        <v>-33256721714</v>
      </c>
      <c r="AP25" s="145">
        <v>207589012</v>
      </c>
      <c r="AQ25" s="146">
        <v>174877905</v>
      </c>
      <c r="AR25" s="146">
        <v>29996847</v>
      </c>
      <c r="AS25" s="146">
        <v>0</v>
      </c>
      <c r="AT25" s="146">
        <v>0</v>
      </c>
      <c r="AU25" s="146">
        <v>0</v>
      </c>
      <c r="AV25" s="146">
        <v>2714260</v>
      </c>
      <c r="AW25" s="146">
        <v>0</v>
      </c>
      <c r="AX25" s="147">
        <v>395568679</v>
      </c>
      <c r="AY25" s="148">
        <v>179140257</v>
      </c>
      <c r="AZ25" s="148">
        <v>37912073</v>
      </c>
      <c r="BA25" s="148">
        <v>0</v>
      </c>
      <c r="BB25" s="148">
        <v>0</v>
      </c>
      <c r="BC25" s="148">
        <v>0</v>
      </c>
      <c r="BD25" s="148">
        <v>178516349</v>
      </c>
      <c r="BE25" s="148">
        <v>0</v>
      </c>
      <c r="BF25" s="138">
        <v>-33444701381</v>
      </c>
      <c r="BW25" s="255">
        <f>G25</f>
        <v>0</v>
      </c>
      <c r="BX25" s="255">
        <f>I25</f>
        <v>369089899</v>
      </c>
      <c r="BY25" s="255">
        <f>SUM(R25:X25)</f>
        <v>409949712</v>
      </c>
      <c r="BZ25" s="255">
        <f>BY25+BX25</f>
        <v>779039611</v>
      </c>
      <c r="CA25" s="255">
        <f>Y25</f>
        <v>-626953894</v>
      </c>
      <c r="CB25" s="255">
        <f>N25</f>
        <v>11213611012</v>
      </c>
      <c r="CC25" s="255">
        <f>P25</f>
        <v>545090738</v>
      </c>
      <c r="CD25" s="255">
        <f>AB25</f>
        <v>20279668089</v>
      </c>
      <c r="CG25" s="248"/>
    </row>
    <row r="26" spans="1:85">
      <c r="A26" s="110" t="s">
        <v>240</v>
      </c>
      <c r="B26" s="149" t="s">
        <v>243</v>
      </c>
      <c r="C26" s="149" t="s">
        <v>244</v>
      </c>
      <c r="D26" s="150">
        <v>63388492</v>
      </c>
      <c r="E26" s="151">
        <v>30946494616</v>
      </c>
      <c r="F26" s="152">
        <v>30946494616</v>
      </c>
      <c r="G26" s="152">
        <v>0</v>
      </c>
      <c r="H26" s="153">
        <v>12576116450</v>
      </c>
      <c r="I26" s="154">
        <v>0</v>
      </c>
      <c r="J26" s="154">
        <v>0</v>
      </c>
      <c r="K26" s="154">
        <v>3847398048</v>
      </c>
      <c r="L26" s="154">
        <v>36612045</v>
      </c>
      <c r="M26" s="154">
        <v>4835505096</v>
      </c>
      <c r="N26" s="154">
        <v>1057578510</v>
      </c>
      <c r="O26" s="154">
        <v>565785783</v>
      </c>
      <c r="P26" s="154">
        <v>188392513</v>
      </c>
      <c r="Q26" s="154">
        <v>2044844455</v>
      </c>
      <c r="R26" s="154">
        <v>0</v>
      </c>
      <c r="S26" s="154">
        <v>0</v>
      </c>
      <c r="T26" s="154">
        <v>0</v>
      </c>
      <c r="U26" s="154">
        <v>0</v>
      </c>
      <c r="V26" s="154">
        <v>0</v>
      </c>
      <c r="W26" s="154">
        <v>0</v>
      </c>
      <c r="X26" s="154">
        <v>0</v>
      </c>
      <c r="Y26" s="154">
        <v>0</v>
      </c>
      <c r="Z26" s="150">
        <v>18370378166</v>
      </c>
      <c r="AA26" s="155">
        <v>1952015704</v>
      </c>
      <c r="AB26" s="156">
        <v>1619037354</v>
      </c>
      <c r="AC26" s="156">
        <v>981525</v>
      </c>
      <c r="AD26" s="156">
        <v>0</v>
      </c>
      <c r="AE26" s="156">
        <v>0</v>
      </c>
      <c r="AF26" s="156">
        <v>275670224</v>
      </c>
      <c r="AG26" s="156">
        <v>0</v>
      </c>
      <c r="AH26" s="156">
        <v>0</v>
      </c>
      <c r="AI26" s="156">
        <v>33173301</v>
      </c>
      <c r="AJ26" s="156">
        <v>0</v>
      </c>
      <c r="AK26" s="156">
        <v>0</v>
      </c>
      <c r="AL26" s="156">
        <v>6276464</v>
      </c>
      <c r="AM26" s="156">
        <v>0</v>
      </c>
      <c r="AN26" s="156">
        <v>16876836</v>
      </c>
      <c r="AO26" s="150">
        <v>16418362462</v>
      </c>
      <c r="AP26" s="157">
        <v>0</v>
      </c>
      <c r="AQ26" s="158">
        <v>0</v>
      </c>
      <c r="AR26" s="158">
        <v>0</v>
      </c>
      <c r="AS26" s="158">
        <v>0</v>
      </c>
      <c r="AT26" s="158">
        <v>0</v>
      </c>
      <c r="AU26" s="158">
        <v>0</v>
      </c>
      <c r="AV26" s="158">
        <v>0</v>
      </c>
      <c r="AW26" s="158">
        <v>0</v>
      </c>
      <c r="AX26" s="159">
        <v>0</v>
      </c>
      <c r="AY26" s="160">
        <v>0</v>
      </c>
      <c r="AZ26" s="160">
        <v>0</v>
      </c>
      <c r="BA26" s="160">
        <v>0</v>
      </c>
      <c r="BB26" s="160">
        <v>0</v>
      </c>
      <c r="BC26" s="160">
        <v>0</v>
      </c>
      <c r="BD26" s="160">
        <v>0</v>
      </c>
      <c r="BE26" s="160">
        <v>0</v>
      </c>
      <c r="BF26" s="150">
        <v>16418362462</v>
      </c>
      <c r="BW26" s="255">
        <f t="shared" ref="BW26:BW47" si="2">G26</f>
        <v>0</v>
      </c>
      <c r="BX26" s="255">
        <f t="shared" ref="BX26:BX47" si="3">I26</f>
        <v>0</v>
      </c>
      <c r="BY26" s="255">
        <f t="shared" ref="BY26:BY47" si="4">SUM(R26:X26)</f>
        <v>0</v>
      </c>
      <c r="BZ26" s="255">
        <f t="shared" ref="BZ26:BZ47" si="5">BY26+BX26</f>
        <v>0</v>
      </c>
      <c r="CA26" s="255">
        <f t="shared" ref="CA26:CA47" si="6">Y26</f>
        <v>0</v>
      </c>
      <c r="CB26" s="255">
        <f t="shared" ref="CB26:CB47" si="7">N26</f>
        <v>1057578510</v>
      </c>
      <c r="CC26" s="255">
        <f t="shared" ref="CC26:CC47" si="8">P26</f>
        <v>188392513</v>
      </c>
      <c r="CD26" s="255">
        <f t="shared" ref="CD26:CD47" si="9">AB26</f>
        <v>1619037354</v>
      </c>
      <c r="CG26" s="248"/>
    </row>
    <row r="27" spans="1:85">
      <c r="A27" s="110" t="s">
        <v>240</v>
      </c>
      <c r="B27" s="149" t="s">
        <v>245</v>
      </c>
      <c r="C27" s="149" t="s">
        <v>246</v>
      </c>
      <c r="D27" s="150">
        <v>13247.35999999999</v>
      </c>
      <c r="E27" s="151">
        <v>2676775400</v>
      </c>
      <c r="F27" s="152">
        <v>2676775400</v>
      </c>
      <c r="G27" s="152">
        <v>0</v>
      </c>
      <c r="H27" s="153">
        <v>1471447779</v>
      </c>
      <c r="I27" s="154">
        <v>0</v>
      </c>
      <c r="J27" s="154">
        <v>285007577</v>
      </c>
      <c r="K27" s="154">
        <v>369454752</v>
      </c>
      <c r="L27" s="154">
        <v>2718745</v>
      </c>
      <c r="M27" s="154">
        <v>289609665</v>
      </c>
      <c r="N27" s="154">
        <v>245132113</v>
      </c>
      <c r="O27" s="154">
        <v>183117460</v>
      </c>
      <c r="P27" s="154">
        <v>5211339</v>
      </c>
      <c r="Q27" s="154">
        <v>89424854</v>
      </c>
      <c r="R27" s="154">
        <v>0</v>
      </c>
      <c r="S27" s="154">
        <v>0</v>
      </c>
      <c r="T27" s="154">
        <v>0</v>
      </c>
      <c r="U27" s="154">
        <v>0</v>
      </c>
      <c r="V27" s="154">
        <v>0</v>
      </c>
      <c r="W27" s="154">
        <v>0</v>
      </c>
      <c r="X27" s="154">
        <v>0</v>
      </c>
      <c r="Y27" s="154">
        <v>1771274</v>
      </c>
      <c r="Z27" s="150">
        <v>1205327621</v>
      </c>
      <c r="AA27" s="155">
        <v>169224717</v>
      </c>
      <c r="AB27" s="156">
        <v>140359235</v>
      </c>
      <c r="AC27" s="156">
        <v>717</v>
      </c>
      <c r="AD27" s="156">
        <v>0</v>
      </c>
      <c r="AE27" s="156">
        <v>0</v>
      </c>
      <c r="AF27" s="156">
        <v>24256776</v>
      </c>
      <c r="AG27" s="156">
        <v>0</v>
      </c>
      <c r="AH27" s="156">
        <v>0</v>
      </c>
      <c r="AI27" s="156">
        <v>2893045</v>
      </c>
      <c r="AJ27" s="156">
        <v>0</v>
      </c>
      <c r="AK27" s="156">
        <v>0</v>
      </c>
      <c r="AL27" s="156">
        <v>160243</v>
      </c>
      <c r="AM27" s="156">
        <v>0</v>
      </c>
      <c r="AN27" s="156">
        <v>1554701</v>
      </c>
      <c r="AO27" s="150">
        <v>1036102904</v>
      </c>
      <c r="AP27" s="157">
        <v>0</v>
      </c>
      <c r="AQ27" s="158">
        <v>0</v>
      </c>
      <c r="AR27" s="158">
        <v>0</v>
      </c>
      <c r="AS27" s="158">
        <v>0</v>
      </c>
      <c r="AT27" s="158">
        <v>0</v>
      </c>
      <c r="AU27" s="158">
        <v>0</v>
      </c>
      <c r="AV27" s="158">
        <v>0</v>
      </c>
      <c r="AW27" s="158">
        <v>0</v>
      </c>
      <c r="AX27" s="159">
        <v>0</v>
      </c>
      <c r="AY27" s="160">
        <v>0</v>
      </c>
      <c r="AZ27" s="160">
        <v>0</v>
      </c>
      <c r="BA27" s="160">
        <v>0</v>
      </c>
      <c r="BB27" s="160">
        <v>0</v>
      </c>
      <c r="BC27" s="160">
        <v>0</v>
      </c>
      <c r="BD27" s="160">
        <v>0</v>
      </c>
      <c r="BE27" s="160">
        <v>0</v>
      </c>
      <c r="BF27" s="150">
        <v>1036102904</v>
      </c>
      <c r="BW27" s="255">
        <f t="shared" si="2"/>
        <v>0</v>
      </c>
      <c r="BX27" s="255">
        <f t="shared" si="3"/>
        <v>0</v>
      </c>
      <c r="BY27" s="255">
        <f t="shared" si="4"/>
        <v>0</v>
      </c>
      <c r="BZ27" s="255">
        <f t="shared" si="5"/>
        <v>0</v>
      </c>
      <c r="CA27" s="255">
        <f t="shared" si="6"/>
        <v>1771274</v>
      </c>
      <c r="CB27" s="255">
        <f t="shared" si="7"/>
        <v>245132113</v>
      </c>
      <c r="CC27" s="255">
        <f t="shared" si="8"/>
        <v>5211339</v>
      </c>
      <c r="CD27" s="255">
        <f t="shared" si="9"/>
        <v>140359235</v>
      </c>
      <c r="CG27" s="248"/>
    </row>
    <row r="28" spans="1:85">
      <c r="A28" s="110" t="s">
        <v>240</v>
      </c>
      <c r="B28" s="149" t="s">
        <v>247</v>
      </c>
      <c r="C28" s="149" t="s">
        <v>246</v>
      </c>
      <c r="D28" s="150">
        <v>517.86</v>
      </c>
      <c r="E28" s="151">
        <v>64732500</v>
      </c>
      <c r="F28" s="152">
        <v>64732500</v>
      </c>
      <c r="G28" s="152">
        <v>0</v>
      </c>
      <c r="H28" s="153">
        <v>61848219</v>
      </c>
      <c r="I28" s="154">
        <v>0</v>
      </c>
      <c r="J28" s="154">
        <v>0</v>
      </c>
      <c r="K28" s="154">
        <v>165798862</v>
      </c>
      <c r="L28" s="154">
        <v>0</v>
      </c>
      <c r="M28" s="154">
        <v>296124081</v>
      </c>
      <c r="N28" s="154">
        <v>234136950</v>
      </c>
      <c r="O28" s="154">
        <v>131917296</v>
      </c>
      <c r="P28" s="154">
        <v>0</v>
      </c>
      <c r="Q28" s="154">
        <v>51707211</v>
      </c>
      <c r="R28" s="154">
        <v>-817836181</v>
      </c>
      <c r="S28" s="154">
        <v>0</v>
      </c>
      <c r="T28" s="154">
        <v>0</v>
      </c>
      <c r="U28" s="154">
        <v>0</v>
      </c>
      <c r="V28" s="154">
        <v>0</v>
      </c>
      <c r="W28" s="154">
        <v>0</v>
      </c>
      <c r="X28" s="154">
        <v>0</v>
      </c>
      <c r="Y28" s="154">
        <v>0</v>
      </c>
      <c r="Z28" s="150">
        <v>2884281</v>
      </c>
      <c r="AA28" s="155">
        <v>4182265</v>
      </c>
      <c r="AB28" s="156">
        <v>3488258</v>
      </c>
      <c r="AC28" s="156">
        <v>0</v>
      </c>
      <c r="AD28" s="156">
        <v>0</v>
      </c>
      <c r="AE28" s="156">
        <v>0</v>
      </c>
      <c r="AF28" s="156">
        <v>571252</v>
      </c>
      <c r="AG28" s="156">
        <v>0</v>
      </c>
      <c r="AH28" s="156">
        <v>0</v>
      </c>
      <c r="AI28" s="156">
        <v>74854</v>
      </c>
      <c r="AJ28" s="156">
        <v>0</v>
      </c>
      <c r="AK28" s="156">
        <v>0</v>
      </c>
      <c r="AL28" s="156">
        <v>6862</v>
      </c>
      <c r="AM28" s="156">
        <v>0</v>
      </c>
      <c r="AN28" s="156">
        <v>41039</v>
      </c>
      <c r="AO28" s="150">
        <v>-1297984</v>
      </c>
      <c r="AP28" s="157">
        <v>0</v>
      </c>
      <c r="AQ28" s="158">
        <v>0</v>
      </c>
      <c r="AR28" s="158">
        <v>0</v>
      </c>
      <c r="AS28" s="158">
        <v>0</v>
      </c>
      <c r="AT28" s="158">
        <v>0</v>
      </c>
      <c r="AU28" s="158">
        <v>0</v>
      </c>
      <c r="AV28" s="158">
        <v>0</v>
      </c>
      <c r="AW28" s="158">
        <v>0</v>
      </c>
      <c r="AX28" s="159">
        <v>0</v>
      </c>
      <c r="AY28" s="160">
        <v>0</v>
      </c>
      <c r="AZ28" s="160">
        <v>0</v>
      </c>
      <c r="BA28" s="160">
        <v>0</v>
      </c>
      <c r="BB28" s="160">
        <v>0</v>
      </c>
      <c r="BC28" s="160">
        <v>0</v>
      </c>
      <c r="BD28" s="160">
        <v>0</v>
      </c>
      <c r="BE28" s="160">
        <v>0</v>
      </c>
      <c r="BF28" s="150">
        <v>-1297984</v>
      </c>
      <c r="BW28" s="255">
        <f t="shared" si="2"/>
        <v>0</v>
      </c>
      <c r="BX28" s="255">
        <f t="shared" si="3"/>
        <v>0</v>
      </c>
      <c r="BY28" s="255">
        <f t="shared" si="4"/>
        <v>-817836181</v>
      </c>
      <c r="BZ28" s="255">
        <f t="shared" si="5"/>
        <v>-817836181</v>
      </c>
      <c r="CA28" s="255">
        <f t="shared" si="6"/>
        <v>0</v>
      </c>
      <c r="CB28" s="255">
        <f t="shared" si="7"/>
        <v>234136950</v>
      </c>
      <c r="CC28" s="255">
        <f t="shared" si="8"/>
        <v>0</v>
      </c>
      <c r="CD28" s="255">
        <f t="shared" si="9"/>
        <v>3488258</v>
      </c>
      <c r="CG28" s="248"/>
    </row>
    <row r="29" spans="1:85">
      <c r="A29" s="110" t="s">
        <v>240</v>
      </c>
      <c r="B29" s="149" t="s">
        <v>248</v>
      </c>
      <c r="C29" s="149" t="s">
        <v>246</v>
      </c>
      <c r="D29" s="150">
        <v>111162</v>
      </c>
      <c r="E29" s="151">
        <v>778134000</v>
      </c>
      <c r="F29" s="152">
        <v>778134000</v>
      </c>
      <c r="G29" s="152">
        <v>0</v>
      </c>
      <c r="H29" s="153">
        <v>5471564092</v>
      </c>
      <c r="I29" s="154">
        <v>0</v>
      </c>
      <c r="J29" s="154">
        <v>0</v>
      </c>
      <c r="K29" s="154">
        <v>917686351</v>
      </c>
      <c r="L29" s="154">
        <v>9326056</v>
      </c>
      <c r="M29" s="154">
        <v>1004046623</v>
      </c>
      <c r="N29" s="154">
        <v>1005947285</v>
      </c>
      <c r="O29" s="154">
        <v>1008373804</v>
      </c>
      <c r="P29" s="154">
        <v>121045842</v>
      </c>
      <c r="Q29" s="154">
        <v>1379857258</v>
      </c>
      <c r="R29" s="154">
        <v>111709184</v>
      </c>
      <c r="S29" s="154">
        <v>0</v>
      </c>
      <c r="T29" s="154">
        <v>0</v>
      </c>
      <c r="U29" s="154">
        <v>0</v>
      </c>
      <c r="V29" s="154">
        <v>0</v>
      </c>
      <c r="W29" s="154">
        <v>0</v>
      </c>
      <c r="X29" s="154">
        <v>0</v>
      </c>
      <c r="Y29" s="154">
        <v>-86428311</v>
      </c>
      <c r="Z29" s="150">
        <v>-4693430092</v>
      </c>
      <c r="AA29" s="155">
        <v>101917895</v>
      </c>
      <c r="AB29" s="156">
        <v>93543314</v>
      </c>
      <c r="AC29" s="156">
        <v>226</v>
      </c>
      <c r="AD29" s="156">
        <v>0</v>
      </c>
      <c r="AE29" s="156">
        <v>0</v>
      </c>
      <c r="AF29" s="156">
        <v>7097371</v>
      </c>
      <c r="AG29" s="156">
        <v>0</v>
      </c>
      <c r="AH29" s="156">
        <v>0</v>
      </c>
      <c r="AI29" s="156">
        <v>824710</v>
      </c>
      <c r="AJ29" s="156">
        <v>0</v>
      </c>
      <c r="AK29" s="156">
        <v>0</v>
      </c>
      <c r="AL29" s="156">
        <v>32788</v>
      </c>
      <c r="AM29" s="156">
        <v>0</v>
      </c>
      <c r="AN29" s="156">
        <v>419486</v>
      </c>
      <c r="AO29" s="150">
        <v>-4795347987</v>
      </c>
      <c r="AP29" s="157">
        <v>0</v>
      </c>
      <c r="AQ29" s="158">
        <v>0</v>
      </c>
      <c r="AR29" s="158">
        <v>0</v>
      </c>
      <c r="AS29" s="158">
        <v>0</v>
      </c>
      <c r="AT29" s="158">
        <v>0</v>
      </c>
      <c r="AU29" s="158">
        <v>0</v>
      </c>
      <c r="AV29" s="158">
        <v>0</v>
      </c>
      <c r="AW29" s="158">
        <v>0</v>
      </c>
      <c r="AX29" s="159">
        <v>0</v>
      </c>
      <c r="AY29" s="160">
        <v>0</v>
      </c>
      <c r="AZ29" s="160">
        <v>0</v>
      </c>
      <c r="BA29" s="160">
        <v>0</v>
      </c>
      <c r="BB29" s="160">
        <v>0</v>
      </c>
      <c r="BC29" s="160">
        <v>0</v>
      </c>
      <c r="BD29" s="160">
        <v>0</v>
      </c>
      <c r="BE29" s="160">
        <v>0</v>
      </c>
      <c r="BF29" s="150">
        <v>-4795347987</v>
      </c>
      <c r="BW29" s="255">
        <f t="shared" si="2"/>
        <v>0</v>
      </c>
      <c r="BX29" s="255">
        <f t="shared" si="3"/>
        <v>0</v>
      </c>
      <c r="BY29" s="255">
        <f t="shared" si="4"/>
        <v>111709184</v>
      </c>
      <c r="BZ29" s="255">
        <f t="shared" si="5"/>
        <v>111709184</v>
      </c>
      <c r="CA29" s="255">
        <f>Y29</f>
        <v>-86428311</v>
      </c>
      <c r="CB29" s="255">
        <f t="shared" si="7"/>
        <v>1005947285</v>
      </c>
      <c r="CC29" s="255">
        <f t="shared" si="8"/>
        <v>121045842</v>
      </c>
      <c r="CD29" s="255">
        <f t="shared" si="9"/>
        <v>93543314</v>
      </c>
      <c r="CG29" s="248"/>
    </row>
    <row r="30" spans="1:85">
      <c r="A30" s="110" t="s">
        <v>240</v>
      </c>
      <c r="B30" s="149" t="s">
        <v>249</v>
      </c>
      <c r="C30" s="149" t="s">
        <v>5586</v>
      </c>
      <c r="D30" s="150">
        <v>4289.208999999988</v>
      </c>
      <c r="E30" s="151">
        <v>9401978460</v>
      </c>
      <c r="F30" s="152">
        <v>9401978460</v>
      </c>
      <c r="G30" s="152">
        <v>0</v>
      </c>
      <c r="H30" s="153">
        <v>3261062905</v>
      </c>
      <c r="I30" s="154">
        <v>543798104</v>
      </c>
      <c r="J30" s="154">
        <v>0</v>
      </c>
      <c r="K30" s="154">
        <v>1146423390</v>
      </c>
      <c r="L30" s="154">
        <v>7722372</v>
      </c>
      <c r="M30" s="154">
        <v>598510375</v>
      </c>
      <c r="N30" s="154">
        <v>63574865</v>
      </c>
      <c r="O30" s="154">
        <v>510889236</v>
      </c>
      <c r="P30" s="154">
        <v>14595298</v>
      </c>
      <c r="Q30" s="154">
        <v>234431668</v>
      </c>
      <c r="R30" s="154">
        <v>-9458584</v>
      </c>
      <c r="S30" s="154">
        <v>150576181</v>
      </c>
      <c r="T30" s="154">
        <v>0</v>
      </c>
      <c r="U30" s="154">
        <v>0</v>
      </c>
      <c r="V30" s="154">
        <v>0</v>
      </c>
      <c r="W30" s="154">
        <v>0</v>
      </c>
      <c r="X30" s="154">
        <v>0</v>
      </c>
      <c r="Y30" s="154">
        <v>0</v>
      </c>
      <c r="Z30" s="150">
        <v>6140915555</v>
      </c>
      <c r="AA30" s="155">
        <v>729452658</v>
      </c>
      <c r="AB30" s="156">
        <v>616253762</v>
      </c>
      <c r="AC30" s="156">
        <v>403910</v>
      </c>
      <c r="AD30" s="156">
        <v>0</v>
      </c>
      <c r="AE30" s="156">
        <v>0</v>
      </c>
      <c r="AF30" s="156">
        <v>87575278</v>
      </c>
      <c r="AG30" s="156">
        <v>0</v>
      </c>
      <c r="AH30" s="156">
        <v>0</v>
      </c>
      <c r="AI30" s="156">
        <v>10549551</v>
      </c>
      <c r="AJ30" s="156">
        <v>0</v>
      </c>
      <c r="AK30" s="156">
        <v>0</v>
      </c>
      <c r="AL30" s="156">
        <v>9154121</v>
      </c>
      <c r="AM30" s="156">
        <v>0</v>
      </c>
      <c r="AN30" s="156">
        <v>5516036</v>
      </c>
      <c r="AO30" s="150">
        <v>5411462897</v>
      </c>
      <c r="AP30" s="157">
        <v>0</v>
      </c>
      <c r="AQ30" s="158">
        <v>0</v>
      </c>
      <c r="AR30" s="158">
        <v>0</v>
      </c>
      <c r="AS30" s="158">
        <v>0</v>
      </c>
      <c r="AT30" s="158">
        <v>0</v>
      </c>
      <c r="AU30" s="158">
        <v>0</v>
      </c>
      <c r="AV30" s="158">
        <v>0</v>
      </c>
      <c r="AW30" s="158">
        <v>0</v>
      </c>
      <c r="AX30" s="159">
        <v>0</v>
      </c>
      <c r="AY30" s="160">
        <v>0</v>
      </c>
      <c r="AZ30" s="160">
        <v>0</v>
      </c>
      <c r="BA30" s="160">
        <v>0</v>
      </c>
      <c r="BB30" s="160">
        <v>0</v>
      </c>
      <c r="BC30" s="160">
        <v>0</v>
      </c>
      <c r="BD30" s="160">
        <v>0</v>
      </c>
      <c r="BE30" s="160">
        <v>0</v>
      </c>
      <c r="BF30" s="150">
        <v>5411462897</v>
      </c>
      <c r="BW30" s="255">
        <f t="shared" si="2"/>
        <v>0</v>
      </c>
      <c r="BX30" s="255">
        <f t="shared" si="3"/>
        <v>543798104</v>
      </c>
      <c r="BY30" s="255">
        <f t="shared" si="4"/>
        <v>141117597</v>
      </c>
      <c r="BZ30" s="255">
        <f t="shared" si="5"/>
        <v>684915701</v>
      </c>
      <c r="CA30" s="255">
        <f t="shared" si="6"/>
        <v>0</v>
      </c>
      <c r="CB30" s="255">
        <f t="shared" si="7"/>
        <v>63574865</v>
      </c>
      <c r="CC30" s="255">
        <f t="shared" si="8"/>
        <v>14595298</v>
      </c>
      <c r="CD30" s="255">
        <f t="shared" si="9"/>
        <v>616253762</v>
      </c>
      <c r="CG30" s="248"/>
    </row>
    <row r="31" spans="1:85">
      <c r="A31" s="110" t="s">
        <v>240</v>
      </c>
      <c r="B31" s="149" t="s">
        <v>251</v>
      </c>
      <c r="C31" s="149" t="s">
        <v>252</v>
      </c>
      <c r="D31" s="150">
        <v>505010</v>
      </c>
      <c r="E31" s="151">
        <v>15146725585</v>
      </c>
      <c r="F31" s="152">
        <v>15146725585</v>
      </c>
      <c r="G31" s="152">
        <v>0</v>
      </c>
      <c r="H31" s="153">
        <v>8341345909</v>
      </c>
      <c r="I31" s="154">
        <v>0</v>
      </c>
      <c r="J31" s="154">
        <v>0</v>
      </c>
      <c r="K31" s="154">
        <v>162663299</v>
      </c>
      <c r="L31" s="154">
        <v>2414747</v>
      </c>
      <c r="M31" s="154">
        <v>1336036340</v>
      </c>
      <c r="N31" s="154">
        <v>6494874751</v>
      </c>
      <c r="O31" s="154">
        <v>94669802</v>
      </c>
      <c r="P31" s="154">
        <v>1692556</v>
      </c>
      <c r="Q31" s="154">
        <v>248994414</v>
      </c>
      <c r="R31" s="154">
        <v>0</v>
      </c>
      <c r="S31" s="154">
        <v>0</v>
      </c>
      <c r="T31" s="154">
        <v>0</v>
      </c>
      <c r="U31" s="154">
        <v>0</v>
      </c>
      <c r="V31" s="154">
        <v>0</v>
      </c>
      <c r="W31" s="154">
        <v>0</v>
      </c>
      <c r="X31" s="154">
        <v>0</v>
      </c>
      <c r="Y31" s="154">
        <v>0</v>
      </c>
      <c r="Z31" s="150">
        <v>6805379676</v>
      </c>
      <c r="AA31" s="155">
        <v>0</v>
      </c>
      <c r="AB31" s="156">
        <v>0</v>
      </c>
      <c r="AC31" s="156">
        <v>0</v>
      </c>
      <c r="AD31" s="156">
        <v>0</v>
      </c>
      <c r="AE31" s="156">
        <v>0</v>
      </c>
      <c r="AF31" s="156">
        <v>0</v>
      </c>
      <c r="AG31" s="156">
        <v>0</v>
      </c>
      <c r="AH31" s="156">
        <v>0</v>
      </c>
      <c r="AI31" s="156">
        <v>0</v>
      </c>
      <c r="AJ31" s="156">
        <v>0</v>
      </c>
      <c r="AK31" s="156">
        <v>0</v>
      </c>
      <c r="AL31" s="156">
        <v>0</v>
      </c>
      <c r="AM31" s="156">
        <v>0</v>
      </c>
      <c r="AN31" s="156">
        <v>0</v>
      </c>
      <c r="AO31" s="150">
        <v>6805379676</v>
      </c>
      <c r="AP31" s="157">
        <v>0</v>
      </c>
      <c r="AQ31" s="158">
        <v>0</v>
      </c>
      <c r="AR31" s="158">
        <v>0</v>
      </c>
      <c r="AS31" s="158">
        <v>0</v>
      </c>
      <c r="AT31" s="158">
        <v>0</v>
      </c>
      <c r="AU31" s="158">
        <v>0</v>
      </c>
      <c r="AV31" s="158">
        <v>0</v>
      </c>
      <c r="AW31" s="158">
        <v>0</v>
      </c>
      <c r="AX31" s="159">
        <v>0</v>
      </c>
      <c r="AY31" s="160">
        <v>0</v>
      </c>
      <c r="AZ31" s="160">
        <v>0</v>
      </c>
      <c r="BA31" s="160">
        <v>0</v>
      </c>
      <c r="BB31" s="160">
        <v>0</v>
      </c>
      <c r="BC31" s="160">
        <v>0</v>
      </c>
      <c r="BD31" s="160">
        <v>0</v>
      </c>
      <c r="BE31" s="160">
        <v>0</v>
      </c>
      <c r="BF31" s="150">
        <v>6805379676</v>
      </c>
      <c r="BW31" s="255">
        <f t="shared" si="2"/>
        <v>0</v>
      </c>
      <c r="BX31" s="255">
        <f t="shared" si="3"/>
        <v>0</v>
      </c>
      <c r="BY31" s="255">
        <f t="shared" si="4"/>
        <v>0</v>
      </c>
      <c r="BZ31" s="255">
        <f t="shared" si="5"/>
        <v>0</v>
      </c>
      <c r="CA31" s="255">
        <f t="shared" si="6"/>
        <v>0</v>
      </c>
      <c r="CB31" s="255">
        <f t="shared" si="7"/>
        <v>6494874751</v>
      </c>
      <c r="CC31" s="255">
        <f t="shared" si="8"/>
        <v>1692556</v>
      </c>
      <c r="CD31" s="255">
        <f t="shared" si="9"/>
        <v>0</v>
      </c>
      <c r="CG31" s="248"/>
    </row>
    <row r="32" spans="1:85">
      <c r="A32" s="110" t="s">
        <v>240</v>
      </c>
      <c r="B32" s="149" t="s">
        <v>253</v>
      </c>
      <c r="C32" s="149" t="s">
        <v>246</v>
      </c>
      <c r="D32" s="150">
        <v>33300</v>
      </c>
      <c r="E32" s="151">
        <v>1208844678</v>
      </c>
      <c r="F32" s="152">
        <v>1208844678</v>
      </c>
      <c r="G32" s="152">
        <v>0</v>
      </c>
      <c r="H32" s="153">
        <v>1009586485</v>
      </c>
      <c r="I32" s="154">
        <v>0</v>
      </c>
      <c r="J32" s="154">
        <v>4935875</v>
      </c>
      <c r="K32" s="154">
        <v>240286122</v>
      </c>
      <c r="L32" s="154">
        <v>1345431</v>
      </c>
      <c r="M32" s="154">
        <v>343855111</v>
      </c>
      <c r="N32" s="154">
        <v>52574572</v>
      </c>
      <c r="O32" s="154">
        <v>91362686</v>
      </c>
      <c r="P32" s="154">
        <v>11663652</v>
      </c>
      <c r="Q32" s="154">
        <v>270485042</v>
      </c>
      <c r="R32" s="154">
        <v>-6922006</v>
      </c>
      <c r="S32" s="154">
        <v>0</v>
      </c>
      <c r="T32" s="154">
        <v>0</v>
      </c>
      <c r="U32" s="154">
        <v>0</v>
      </c>
      <c r="V32" s="154">
        <v>0</v>
      </c>
      <c r="W32" s="154">
        <v>0</v>
      </c>
      <c r="X32" s="154">
        <v>0</v>
      </c>
      <c r="Y32" s="154">
        <v>0</v>
      </c>
      <c r="Z32" s="150">
        <v>199258193</v>
      </c>
      <c r="AA32" s="155">
        <v>8566611</v>
      </c>
      <c r="AB32" s="156">
        <v>7499352</v>
      </c>
      <c r="AC32" s="156">
        <v>145586</v>
      </c>
      <c r="AD32" s="156">
        <v>0</v>
      </c>
      <c r="AE32" s="156">
        <v>0</v>
      </c>
      <c r="AF32" s="156">
        <v>0</v>
      </c>
      <c r="AG32" s="156">
        <v>0</v>
      </c>
      <c r="AH32" s="156">
        <v>0</v>
      </c>
      <c r="AI32" s="156">
        <v>0</v>
      </c>
      <c r="AJ32" s="156">
        <v>0</v>
      </c>
      <c r="AK32" s="156">
        <v>0</v>
      </c>
      <c r="AL32" s="156">
        <v>921673</v>
      </c>
      <c r="AM32" s="156">
        <v>0</v>
      </c>
      <c r="AN32" s="156">
        <v>0</v>
      </c>
      <c r="AO32" s="150">
        <v>190691582</v>
      </c>
      <c r="AP32" s="157">
        <v>0</v>
      </c>
      <c r="AQ32" s="158">
        <v>0</v>
      </c>
      <c r="AR32" s="158">
        <v>0</v>
      </c>
      <c r="AS32" s="158">
        <v>0</v>
      </c>
      <c r="AT32" s="158">
        <v>0</v>
      </c>
      <c r="AU32" s="158">
        <v>0</v>
      </c>
      <c r="AV32" s="158">
        <v>0</v>
      </c>
      <c r="AW32" s="158">
        <v>0</v>
      </c>
      <c r="AX32" s="159">
        <v>0</v>
      </c>
      <c r="AY32" s="160">
        <v>0</v>
      </c>
      <c r="AZ32" s="160">
        <v>0</v>
      </c>
      <c r="BA32" s="160">
        <v>0</v>
      </c>
      <c r="BB32" s="160">
        <v>0</v>
      </c>
      <c r="BC32" s="160">
        <v>0</v>
      </c>
      <c r="BD32" s="160">
        <v>0</v>
      </c>
      <c r="BE32" s="160">
        <v>0</v>
      </c>
      <c r="BF32" s="150">
        <v>190691582</v>
      </c>
      <c r="BW32" s="255">
        <f t="shared" si="2"/>
        <v>0</v>
      </c>
      <c r="BX32" s="255">
        <f t="shared" si="3"/>
        <v>0</v>
      </c>
      <c r="BY32" s="255">
        <f t="shared" si="4"/>
        <v>-6922006</v>
      </c>
      <c r="BZ32" s="255">
        <f t="shared" si="5"/>
        <v>-6922006</v>
      </c>
      <c r="CA32" s="255">
        <f t="shared" si="6"/>
        <v>0</v>
      </c>
      <c r="CB32" s="255">
        <f t="shared" si="7"/>
        <v>52574572</v>
      </c>
      <c r="CC32" s="255">
        <f t="shared" si="8"/>
        <v>11663652</v>
      </c>
      <c r="CD32" s="255">
        <f t="shared" si="9"/>
        <v>7499352</v>
      </c>
      <c r="CG32" s="248"/>
    </row>
    <row r="33" spans="1:85">
      <c r="A33" s="110" t="s">
        <v>240</v>
      </c>
      <c r="B33" s="149" t="s">
        <v>254</v>
      </c>
      <c r="C33" s="149" t="s">
        <v>246</v>
      </c>
      <c r="D33" s="150">
        <v>84783</v>
      </c>
      <c r="E33" s="151">
        <v>103340633</v>
      </c>
      <c r="F33" s="152">
        <v>103340633</v>
      </c>
      <c r="G33" s="152">
        <v>0</v>
      </c>
      <c r="H33" s="153">
        <v>389931639</v>
      </c>
      <c r="I33" s="154">
        <v>0</v>
      </c>
      <c r="J33" s="154">
        <v>0</v>
      </c>
      <c r="K33" s="154">
        <v>8510822</v>
      </c>
      <c r="L33" s="154">
        <v>242156</v>
      </c>
      <c r="M33" s="154">
        <v>257742074</v>
      </c>
      <c r="N33" s="154">
        <v>19524541</v>
      </c>
      <c r="O33" s="154">
        <v>1051494</v>
      </c>
      <c r="P33" s="154">
        <v>84168892</v>
      </c>
      <c r="Q33" s="154">
        <v>133932970</v>
      </c>
      <c r="R33" s="154">
        <v>-106460688</v>
      </c>
      <c r="S33" s="154">
        <v>0</v>
      </c>
      <c r="T33" s="154">
        <v>0</v>
      </c>
      <c r="U33" s="154">
        <v>0</v>
      </c>
      <c r="V33" s="154">
        <v>0</v>
      </c>
      <c r="W33" s="154">
        <v>0</v>
      </c>
      <c r="X33" s="154">
        <v>0</v>
      </c>
      <c r="Y33" s="154">
        <v>-8780622</v>
      </c>
      <c r="Z33" s="150">
        <v>-286591006</v>
      </c>
      <c r="AA33" s="155">
        <v>2958069</v>
      </c>
      <c r="AB33" s="156">
        <v>2678034</v>
      </c>
      <c r="AC33" s="156">
        <v>260585</v>
      </c>
      <c r="AD33" s="156">
        <v>0</v>
      </c>
      <c r="AE33" s="156">
        <v>0</v>
      </c>
      <c r="AF33" s="156">
        <v>0</v>
      </c>
      <c r="AG33" s="156">
        <v>0</v>
      </c>
      <c r="AH33" s="156">
        <v>0</v>
      </c>
      <c r="AI33" s="156">
        <v>0</v>
      </c>
      <c r="AJ33" s="156">
        <v>0</v>
      </c>
      <c r="AK33" s="156">
        <v>0</v>
      </c>
      <c r="AL33" s="156">
        <v>19450</v>
      </c>
      <c r="AM33" s="156">
        <v>0</v>
      </c>
      <c r="AN33" s="156">
        <v>0</v>
      </c>
      <c r="AO33" s="150">
        <v>-289549075</v>
      </c>
      <c r="AP33" s="157">
        <v>0</v>
      </c>
      <c r="AQ33" s="158">
        <v>0</v>
      </c>
      <c r="AR33" s="158">
        <v>0</v>
      </c>
      <c r="AS33" s="158">
        <v>0</v>
      </c>
      <c r="AT33" s="158">
        <v>0</v>
      </c>
      <c r="AU33" s="158">
        <v>0</v>
      </c>
      <c r="AV33" s="158">
        <v>0</v>
      </c>
      <c r="AW33" s="158">
        <v>0</v>
      </c>
      <c r="AX33" s="159">
        <v>0</v>
      </c>
      <c r="AY33" s="160">
        <v>0</v>
      </c>
      <c r="AZ33" s="160">
        <v>0</v>
      </c>
      <c r="BA33" s="160">
        <v>0</v>
      </c>
      <c r="BB33" s="160">
        <v>0</v>
      </c>
      <c r="BC33" s="160">
        <v>0</v>
      </c>
      <c r="BD33" s="160">
        <v>0</v>
      </c>
      <c r="BE33" s="160">
        <v>0</v>
      </c>
      <c r="BF33" s="150">
        <v>-289549075</v>
      </c>
      <c r="BW33" s="255">
        <f t="shared" si="2"/>
        <v>0</v>
      </c>
      <c r="BX33" s="255">
        <f t="shared" si="3"/>
        <v>0</v>
      </c>
      <c r="BY33" s="255">
        <f t="shared" si="4"/>
        <v>-106460688</v>
      </c>
      <c r="BZ33" s="255">
        <f t="shared" si="5"/>
        <v>-106460688</v>
      </c>
      <c r="CA33" s="255">
        <f t="shared" si="6"/>
        <v>-8780622</v>
      </c>
      <c r="CB33" s="255">
        <f t="shared" si="7"/>
        <v>19524541</v>
      </c>
      <c r="CC33" s="255">
        <f t="shared" si="8"/>
        <v>84168892</v>
      </c>
      <c r="CD33" s="255">
        <f t="shared" si="9"/>
        <v>2678034</v>
      </c>
      <c r="CG33" s="248"/>
    </row>
    <row r="34" spans="1:85">
      <c r="A34" s="110" t="s">
        <v>240</v>
      </c>
      <c r="B34" s="149" t="s">
        <v>255</v>
      </c>
      <c r="C34" s="149" t="s">
        <v>246</v>
      </c>
      <c r="D34" s="150">
        <v>0</v>
      </c>
      <c r="E34" s="151">
        <v>1326445</v>
      </c>
      <c r="F34" s="152">
        <v>1326445</v>
      </c>
      <c r="G34" s="152">
        <v>0</v>
      </c>
      <c r="H34" s="153">
        <v>0</v>
      </c>
      <c r="I34" s="154">
        <v>0</v>
      </c>
      <c r="J34" s="154">
        <v>0</v>
      </c>
      <c r="K34" s="154">
        <v>0</v>
      </c>
      <c r="L34" s="154">
        <v>0</v>
      </c>
      <c r="M34" s="154">
        <v>0</v>
      </c>
      <c r="N34" s="154">
        <v>0</v>
      </c>
      <c r="O34" s="154">
        <v>0</v>
      </c>
      <c r="P34" s="154">
        <v>0</v>
      </c>
      <c r="Q34" s="154">
        <v>0</v>
      </c>
      <c r="R34" s="154">
        <v>0</v>
      </c>
      <c r="S34" s="154">
        <v>0</v>
      </c>
      <c r="T34" s="154">
        <v>0</v>
      </c>
      <c r="U34" s="154">
        <v>0</v>
      </c>
      <c r="V34" s="154">
        <v>0</v>
      </c>
      <c r="W34" s="154">
        <v>0</v>
      </c>
      <c r="X34" s="154">
        <v>0</v>
      </c>
      <c r="Y34" s="154">
        <v>0</v>
      </c>
      <c r="Z34" s="150">
        <v>1326445</v>
      </c>
      <c r="AA34" s="155">
        <v>0</v>
      </c>
      <c r="AB34" s="156">
        <v>0</v>
      </c>
      <c r="AC34" s="156">
        <v>0</v>
      </c>
      <c r="AD34" s="156">
        <v>0</v>
      </c>
      <c r="AE34" s="156">
        <v>0</v>
      </c>
      <c r="AF34" s="156">
        <v>0</v>
      </c>
      <c r="AG34" s="156">
        <v>0</v>
      </c>
      <c r="AH34" s="156">
        <v>0</v>
      </c>
      <c r="AI34" s="156">
        <v>0</v>
      </c>
      <c r="AJ34" s="156">
        <v>0</v>
      </c>
      <c r="AK34" s="156">
        <v>0</v>
      </c>
      <c r="AL34" s="156">
        <v>0</v>
      </c>
      <c r="AM34" s="156">
        <v>0</v>
      </c>
      <c r="AN34" s="156">
        <v>0</v>
      </c>
      <c r="AO34" s="150">
        <v>1326445</v>
      </c>
      <c r="AP34" s="157">
        <v>0</v>
      </c>
      <c r="AQ34" s="158">
        <v>0</v>
      </c>
      <c r="AR34" s="158">
        <v>0</v>
      </c>
      <c r="AS34" s="158">
        <v>0</v>
      </c>
      <c r="AT34" s="158">
        <v>0</v>
      </c>
      <c r="AU34" s="158">
        <v>0</v>
      </c>
      <c r="AV34" s="158">
        <v>0</v>
      </c>
      <c r="AW34" s="158">
        <v>0</v>
      </c>
      <c r="AX34" s="159">
        <v>0</v>
      </c>
      <c r="AY34" s="160">
        <v>0</v>
      </c>
      <c r="AZ34" s="160">
        <v>0</v>
      </c>
      <c r="BA34" s="160">
        <v>0</v>
      </c>
      <c r="BB34" s="160">
        <v>0</v>
      </c>
      <c r="BC34" s="160">
        <v>0</v>
      </c>
      <c r="BD34" s="160">
        <v>0</v>
      </c>
      <c r="BE34" s="160">
        <v>0</v>
      </c>
      <c r="BF34" s="150">
        <v>1326445</v>
      </c>
      <c r="BW34" s="255">
        <f t="shared" si="2"/>
        <v>0</v>
      </c>
      <c r="BX34" s="255">
        <f t="shared" si="3"/>
        <v>0</v>
      </c>
      <c r="BY34" s="255">
        <f t="shared" si="4"/>
        <v>0</v>
      </c>
      <c r="BZ34" s="255">
        <f t="shared" si="5"/>
        <v>0</v>
      </c>
      <c r="CA34" s="255">
        <f t="shared" si="6"/>
        <v>0</v>
      </c>
      <c r="CB34" s="255">
        <f t="shared" si="7"/>
        <v>0</v>
      </c>
      <c r="CC34" s="255">
        <f t="shared" si="8"/>
        <v>0</v>
      </c>
      <c r="CD34" s="255">
        <f t="shared" si="9"/>
        <v>0</v>
      </c>
      <c r="CG34" s="248"/>
    </row>
    <row r="35" spans="1:85">
      <c r="A35" s="110" t="s">
        <v>240</v>
      </c>
      <c r="B35" s="149" t="s">
        <v>256</v>
      </c>
      <c r="C35" s="149" t="s">
        <v>246</v>
      </c>
      <c r="D35" s="150">
        <v>32596</v>
      </c>
      <c r="E35" s="151">
        <v>71469297</v>
      </c>
      <c r="F35" s="152">
        <v>71469297</v>
      </c>
      <c r="G35" s="152">
        <v>0</v>
      </c>
      <c r="H35" s="153">
        <v>123944653</v>
      </c>
      <c r="I35" s="154">
        <v>0</v>
      </c>
      <c r="J35" s="154">
        <v>0</v>
      </c>
      <c r="K35" s="154">
        <v>2641976</v>
      </c>
      <c r="L35" s="154">
        <v>71486</v>
      </c>
      <c r="M35" s="154">
        <v>78316856</v>
      </c>
      <c r="N35" s="154">
        <v>5772382</v>
      </c>
      <c r="O35" s="154">
        <v>325038</v>
      </c>
      <c r="P35" s="154">
        <v>23519690</v>
      </c>
      <c r="Q35" s="154">
        <v>36906155</v>
      </c>
      <c r="R35" s="154">
        <v>-8241687</v>
      </c>
      <c r="S35" s="154">
        <v>0</v>
      </c>
      <c r="T35" s="154">
        <v>0</v>
      </c>
      <c r="U35" s="154">
        <v>0</v>
      </c>
      <c r="V35" s="154">
        <v>0</v>
      </c>
      <c r="W35" s="154">
        <v>0</v>
      </c>
      <c r="X35" s="154">
        <v>0</v>
      </c>
      <c r="Y35" s="154">
        <v>-15367243</v>
      </c>
      <c r="Z35" s="150">
        <v>-52475356</v>
      </c>
      <c r="AA35" s="155">
        <v>1995501</v>
      </c>
      <c r="AB35" s="156">
        <v>1115370</v>
      </c>
      <c r="AC35" s="156">
        <v>313937</v>
      </c>
      <c r="AD35" s="156">
        <v>0</v>
      </c>
      <c r="AE35" s="156">
        <v>0</v>
      </c>
      <c r="AF35" s="156">
        <v>0</v>
      </c>
      <c r="AG35" s="156">
        <v>0</v>
      </c>
      <c r="AH35" s="156">
        <v>0</v>
      </c>
      <c r="AI35" s="156">
        <v>0</v>
      </c>
      <c r="AJ35" s="156">
        <v>0</v>
      </c>
      <c r="AK35" s="156">
        <v>0</v>
      </c>
      <c r="AL35" s="156">
        <v>566194</v>
      </c>
      <c r="AM35" s="156">
        <v>0</v>
      </c>
      <c r="AN35" s="156">
        <v>0</v>
      </c>
      <c r="AO35" s="150">
        <v>-54470857</v>
      </c>
      <c r="AP35" s="157">
        <v>0</v>
      </c>
      <c r="AQ35" s="158">
        <v>0</v>
      </c>
      <c r="AR35" s="158">
        <v>0</v>
      </c>
      <c r="AS35" s="158">
        <v>0</v>
      </c>
      <c r="AT35" s="158">
        <v>0</v>
      </c>
      <c r="AU35" s="158">
        <v>0</v>
      </c>
      <c r="AV35" s="158">
        <v>0</v>
      </c>
      <c r="AW35" s="158">
        <v>0</v>
      </c>
      <c r="AX35" s="159">
        <v>0</v>
      </c>
      <c r="AY35" s="160">
        <v>0</v>
      </c>
      <c r="AZ35" s="160">
        <v>0</v>
      </c>
      <c r="BA35" s="160">
        <v>0</v>
      </c>
      <c r="BB35" s="160">
        <v>0</v>
      </c>
      <c r="BC35" s="160">
        <v>0</v>
      </c>
      <c r="BD35" s="160">
        <v>0</v>
      </c>
      <c r="BE35" s="160">
        <v>0</v>
      </c>
      <c r="BF35" s="150">
        <v>-54470857</v>
      </c>
      <c r="BW35" s="255">
        <f t="shared" si="2"/>
        <v>0</v>
      </c>
      <c r="BX35" s="255">
        <f t="shared" si="3"/>
        <v>0</v>
      </c>
      <c r="BY35" s="255">
        <f t="shared" si="4"/>
        <v>-8241687</v>
      </c>
      <c r="BZ35" s="255">
        <f t="shared" si="5"/>
        <v>-8241687</v>
      </c>
      <c r="CA35" s="255">
        <f t="shared" si="6"/>
        <v>-15367243</v>
      </c>
      <c r="CB35" s="255">
        <f t="shared" si="7"/>
        <v>5772382</v>
      </c>
      <c r="CC35" s="255">
        <f t="shared" si="8"/>
        <v>23519690</v>
      </c>
      <c r="CD35" s="255">
        <f t="shared" si="9"/>
        <v>1115370</v>
      </c>
      <c r="CG35" s="248"/>
    </row>
    <row r="36" spans="1:85">
      <c r="A36" s="110" t="s">
        <v>240</v>
      </c>
      <c r="B36" s="149" t="s">
        <v>257</v>
      </c>
      <c r="C36" s="149" t="s">
        <v>258</v>
      </c>
      <c r="D36" s="150">
        <v>654679.86799999967</v>
      </c>
      <c r="E36" s="151">
        <v>4662018683879</v>
      </c>
      <c r="F36" s="152">
        <v>4630520879337</v>
      </c>
      <c r="G36" s="152">
        <v>31497804542</v>
      </c>
      <c r="H36" s="153">
        <v>4508609363656</v>
      </c>
      <c r="I36" s="154">
        <v>4107083650730</v>
      </c>
      <c r="J36" s="154">
        <v>25515071684</v>
      </c>
      <c r="K36" s="154">
        <v>45284215663</v>
      </c>
      <c r="L36" s="154">
        <v>229561844</v>
      </c>
      <c r="M36" s="154">
        <v>35721852890</v>
      </c>
      <c r="N36" s="154">
        <v>64670541768</v>
      </c>
      <c r="O36" s="154">
        <v>26399425567</v>
      </c>
      <c r="P36" s="154">
        <v>1808055517</v>
      </c>
      <c r="Q36" s="154">
        <v>38590306100</v>
      </c>
      <c r="R36" s="154">
        <v>-53225029935</v>
      </c>
      <c r="S36" s="154">
        <v>193746378778</v>
      </c>
      <c r="T36" s="154">
        <v>22883219953</v>
      </c>
      <c r="U36" s="154">
        <v>0</v>
      </c>
      <c r="V36" s="154">
        <v>3622357530</v>
      </c>
      <c r="W36" s="154">
        <v>-2661888597</v>
      </c>
      <c r="X36" s="154">
        <v>0</v>
      </c>
      <c r="Y36" s="154">
        <v>-1058355836</v>
      </c>
      <c r="Z36" s="150">
        <v>153409320223</v>
      </c>
      <c r="AA36" s="155">
        <v>47253778141</v>
      </c>
      <c r="AB36" s="156">
        <v>3943711930</v>
      </c>
      <c r="AC36" s="156">
        <v>46220634</v>
      </c>
      <c r="AD36" s="156">
        <v>0</v>
      </c>
      <c r="AE36" s="156">
        <v>0</v>
      </c>
      <c r="AF36" s="156">
        <v>15988715417</v>
      </c>
      <c r="AG36" s="156">
        <v>555558542</v>
      </c>
      <c r="AH36" s="156">
        <v>25535955</v>
      </c>
      <c r="AI36" s="156">
        <v>698152497</v>
      </c>
      <c r="AJ36" s="156">
        <v>6184854911</v>
      </c>
      <c r="AK36" s="156">
        <v>154698951</v>
      </c>
      <c r="AL36" s="156">
        <v>12794390760</v>
      </c>
      <c r="AM36" s="156">
        <v>36258668</v>
      </c>
      <c r="AN36" s="156">
        <v>6825679876</v>
      </c>
      <c r="AO36" s="150">
        <v>106155542082</v>
      </c>
      <c r="AP36" s="157">
        <v>84468585218</v>
      </c>
      <c r="AQ36" s="158">
        <v>58488815413</v>
      </c>
      <c r="AR36" s="158">
        <v>2983525769</v>
      </c>
      <c r="AS36" s="158">
        <v>13100653642</v>
      </c>
      <c r="AT36" s="158">
        <v>4541242749</v>
      </c>
      <c r="AU36" s="158">
        <v>24303336</v>
      </c>
      <c r="AV36" s="158">
        <v>5330044309</v>
      </c>
      <c r="AW36" s="158">
        <v>0</v>
      </c>
      <c r="AX36" s="159">
        <v>47759743712</v>
      </c>
      <c r="AY36" s="160">
        <v>30144817500</v>
      </c>
      <c r="AZ36" s="160">
        <v>2428469886</v>
      </c>
      <c r="BA36" s="160">
        <v>2197109766</v>
      </c>
      <c r="BB36" s="160">
        <v>2194877288</v>
      </c>
      <c r="BC36" s="160">
        <v>10482912783</v>
      </c>
      <c r="BD36" s="160">
        <v>311556489</v>
      </c>
      <c r="BE36" s="160">
        <v>0</v>
      </c>
      <c r="BF36" s="150">
        <v>142864383588</v>
      </c>
      <c r="BW36" s="255">
        <f t="shared" si="2"/>
        <v>31497804542</v>
      </c>
      <c r="BX36" s="255">
        <f t="shared" si="3"/>
        <v>4107083650730</v>
      </c>
      <c r="BY36" s="255">
        <f t="shared" si="4"/>
        <v>164365037729</v>
      </c>
      <c r="BZ36" s="255">
        <f t="shared" si="5"/>
        <v>4271448688459</v>
      </c>
      <c r="CA36" s="255">
        <f t="shared" si="6"/>
        <v>-1058355836</v>
      </c>
      <c r="CB36" s="255">
        <f t="shared" si="7"/>
        <v>64670541768</v>
      </c>
      <c r="CC36" s="255">
        <f t="shared" si="8"/>
        <v>1808055517</v>
      </c>
      <c r="CD36" s="255">
        <f t="shared" si="9"/>
        <v>3943711930</v>
      </c>
      <c r="CG36" s="248"/>
    </row>
    <row r="37" spans="1:85">
      <c r="A37" s="110" t="s">
        <v>240</v>
      </c>
      <c r="B37" s="149" t="s">
        <v>259</v>
      </c>
      <c r="C37" s="149" t="s">
        <v>260</v>
      </c>
      <c r="D37" s="150">
        <v>1099160.8099999996</v>
      </c>
      <c r="E37" s="151">
        <v>1796842333</v>
      </c>
      <c r="F37" s="152">
        <v>1796842333</v>
      </c>
      <c r="G37" s="152">
        <v>0</v>
      </c>
      <c r="H37" s="153">
        <v>1980522300</v>
      </c>
      <c r="I37" s="154">
        <v>0</v>
      </c>
      <c r="J37" s="154">
        <v>0</v>
      </c>
      <c r="K37" s="154">
        <v>1294724885</v>
      </c>
      <c r="L37" s="154">
        <v>4835461</v>
      </c>
      <c r="M37" s="154">
        <v>144521022</v>
      </c>
      <c r="N37" s="154">
        <v>1385325</v>
      </c>
      <c r="O37" s="154">
        <v>201680688</v>
      </c>
      <c r="P37" s="154">
        <v>242701</v>
      </c>
      <c r="Q37" s="154">
        <v>325532195</v>
      </c>
      <c r="R37" s="154">
        <v>141660056</v>
      </c>
      <c r="S37" s="154">
        <v>0</v>
      </c>
      <c r="T37" s="154">
        <v>0</v>
      </c>
      <c r="U37" s="154">
        <v>0</v>
      </c>
      <c r="V37" s="154">
        <v>0</v>
      </c>
      <c r="W37" s="154">
        <v>0</v>
      </c>
      <c r="X37" s="154">
        <v>-30000</v>
      </c>
      <c r="Y37" s="154">
        <v>-134030033</v>
      </c>
      <c r="Z37" s="150">
        <v>-183679967</v>
      </c>
      <c r="AA37" s="155">
        <v>8242715753</v>
      </c>
      <c r="AB37" s="156">
        <v>8242348375</v>
      </c>
      <c r="AC37" s="156">
        <v>306</v>
      </c>
      <c r="AD37" s="156">
        <v>0</v>
      </c>
      <c r="AE37" s="156">
        <v>0</v>
      </c>
      <c r="AF37" s="156">
        <v>297536</v>
      </c>
      <c r="AG37" s="156">
        <v>0</v>
      </c>
      <c r="AH37" s="156">
        <v>0</v>
      </c>
      <c r="AI37" s="156">
        <v>30294</v>
      </c>
      <c r="AJ37" s="156">
        <v>0</v>
      </c>
      <c r="AK37" s="156">
        <v>0</v>
      </c>
      <c r="AL37" s="156">
        <v>15494</v>
      </c>
      <c r="AM37" s="156">
        <v>44</v>
      </c>
      <c r="AN37" s="156">
        <v>23704</v>
      </c>
      <c r="AO37" s="150">
        <v>-8426395720</v>
      </c>
      <c r="AP37" s="157">
        <v>0</v>
      </c>
      <c r="AQ37" s="158">
        <v>0</v>
      </c>
      <c r="AR37" s="158">
        <v>0</v>
      </c>
      <c r="AS37" s="158">
        <v>0</v>
      </c>
      <c r="AT37" s="158">
        <v>0</v>
      </c>
      <c r="AU37" s="158">
        <v>0</v>
      </c>
      <c r="AV37" s="158">
        <v>0</v>
      </c>
      <c r="AW37" s="158">
        <v>0</v>
      </c>
      <c r="AX37" s="159">
        <v>0</v>
      </c>
      <c r="AY37" s="160">
        <v>0</v>
      </c>
      <c r="AZ37" s="160">
        <v>0</v>
      </c>
      <c r="BA37" s="160">
        <v>0</v>
      </c>
      <c r="BB37" s="160">
        <v>0</v>
      </c>
      <c r="BC37" s="160">
        <v>0</v>
      </c>
      <c r="BD37" s="160">
        <v>0</v>
      </c>
      <c r="BE37" s="160">
        <v>0</v>
      </c>
      <c r="BF37" s="150">
        <v>-8426395720</v>
      </c>
      <c r="BW37" s="255">
        <f t="shared" si="2"/>
        <v>0</v>
      </c>
      <c r="BX37" s="255">
        <f t="shared" si="3"/>
        <v>0</v>
      </c>
      <c r="BY37" s="255">
        <f t="shared" si="4"/>
        <v>141630056</v>
      </c>
      <c r="BZ37" s="255">
        <f t="shared" si="5"/>
        <v>141630056</v>
      </c>
      <c r="CA37" s="255">
        <f t="shared" si="6"/>
        <v>-134030033</v>
      </c>
      <c r="CB37" s="255">
        <f t="shared" si="7"/>
        <v>1385325</v>
      </c>
      <c r="CC37" s="255">
        <f t="shared" si="8"/>
        <v>242701</v>
      </c>
      <c r="CD37" s="255">
        <f t="shared" si="9"/>
        <v>8242348375</v>
      </c>
      <c r="CG37" s="248"/>
    </row>
    <row r="38" spans="1:85">
      <c r="A38" s="110" t="s">
        <v>240</v>
      </c>
      <c r="B38" s="149" t="s">
        <v>261</v>
      </c>
      <c r="C38" s="149" t="s">
        <v>262</v>
      </c>
      <c r="D38" s="150">
        <v>41769343.100000001</v>
      </c>
      <c r="E38" s="151">
        <v>1925430510065</v>
      </c>
      <c r="F38" s="152">
        <v>1911201779710</v>
      </c>
      <c r="G38" s="152">
        <v>14228730355</v>
      </c>
      <c r="H38" s="153">
        <v>1876632355982</v>
      </c>
      <c r="I38" s="154">
        <v>1841151310085</v>
      </c>
      <c r="J38" s="154">
        <v>433822315</v>
      </c>
      <c r="K38" s="154">
        <v>3597415417</v>
      </c>
      <c r="L38" s="154">
        <v>28011285</v>
      </c>
      <c r="M38" s="154">
        <v>1610284594</v>
      </c>
      <c r="N38" s="154">
        <v>1422137980</v>
      </c>
      <c r="O38" s="154">
        <v>1042952545</v>
      </c>
      <c r="P38" s="154">
        <v>59943748</v>
      </c>
      <c r="Q38" s="154">
        <v>1947960066</v>
      </c>
      <c r="R38" s="154">
        <v>2573261576</v>
      </c>
      <c r="S38" s="154">
        <v>9200007651</v>
      </c>
      <c r="T38" s="154">
        <v>14560490445</v>
      </c>
      <c r="U38" s="154">
        <v>-123312919</v>
      </c>
      <c r="V38" s="154">
        <v>0</v>
      </c>
      <c r="W38" s="154">
        <v>-507781757</v>
      </c>
      <c r="X38" s="154">
        <v>-364147049</v>
      </c>
      <c r="Y38" s="154">
        <v>0</v>
      </c>
      <c r="Z38" s="150">
        <v>48798154083</v>
      </c>
      <c r="AA38" s="155">
        <v>18356533645</v>
      </c>
      <c r="AB38" s="156">
        <v>126218123</v>
      </c>
      <c r="AC38" s="156">
        <v>296905</v>
      </c>
      <c r="AD38" s="156">
        <v>0</v>
      </c>
      <c r="AE38" s="156">
        <v>0</v>
      </c>
      <c r="AF38" s="156">
        <v>6573228067</v>
      </c>
      <c r="AG38" s="156">
        <v>221028179</v>
      </c>
      <c r="AH38" s="156">
        <v>4741165</v>
      </c>
      <c r="AI38" s="156">
        <v>273011786</v>
      </c>
      <c r="AJ38" s="156">
        <v>2524629202</v>
      </c>
      <c r="AK38" s="156">
        <v>60749496</v>
      </c>
      <c r="AL38" s="156">
        <v>5752991904</v>
      </c>
      <c r="AM38" s="156">
        <v>15485272</v>
      </c>
      <c r="AN38" s="156">
        <v>2804153546</v>
      </c>
      <c r="AO38" s="150">
        <v>30441620438</v>
      </c>
      <c r="AP38" s="157">
        <v>33615785387</v>
      </c>
      <c r="AQ38" s="158">
        <v>24670592414</v>
      </c>
      <c r="AR38" s="158">
        <v>7590237716</v>
      </c>
      <c r="AS38" s="158">
        <v>1194124090</v>
      </c>
      <c r="AT38" s="158">
        <v>-19624765</v>
      </c>
      <c r="AU38" s="158">
        <v>0</v>
      </c>
      <c r="AV38" s="158">
        <v>180455932</v>
      </c>
      <c r="AW38" s="158">
        <v>0</v>
      </c>
      <c r="AX38" s="159">
        <v>11052416528</v>
      </c>
      <c r="AY38" s="160">
        <v>10660301989</v>
      </c>
      <c r="AZ38" s="160">
        <v>-4469133</v>
      </c>
      <c r="BA38" s="160">
        <v>396583672</v>
      </c>
      <c r="BB38" s="160">
        <v>0</v>
      </c>
      <c r="BC38" s="160">
        <v>0</v>
      </c>
      <c r="BD38" s="160">
        <v>0</v>
      </c>
      <c r="BE38" s="160">
        <v>0</v>
      </c>
      <c r="BF38" s="150">
        <v>53004989297</v>
      </c>
      <c r="BW38" s="255">
        <f t="shared" si="2"/>
        <v>14228730355</v>
      </c>
      <c r="BX38" s="255">
        <f t="shared" si="3"/>
        <v>1841151310085</v>
      </c>
      <c r="BY38" s="255">
        <f t="shared" si="4"/>
        <v>25338517947</v>
      </c>
      <c r="BZ38" s="255">
        <f t="shared" si="5"/>
        <v>1866489828032</v>
      </c>
      <c r="CA38" s="255">
        <f t="shared" si="6"/>
        <v>0</v>
      </c>
      <c r="CB38" s="255">
        <f t="shared" si="7"/>
        <v>1422137980</v>
      </c>
      <c r="CC38" s="255">
        <f t="shared" si="8"/>
        <v>59943748</v>
      </c>
      <c r="CD38" s="255">
        <f t="shared" si="9"/>
        <v>126218123</v>
      </c>
      <c r="CG38" s="248"/>
    </row>
    <row r="39" spans="1:85">
      <c r="A39" s="110" t="s">
        <v>240</v>
      </c>
      <c r="B39" s="149" t="s">
        <v>263</v>
      </c>
      <c r="C39" s="149" t="s">
        <v>264</v>
      </c>
      <c r="D39" s="150">
        <v>570809838</v>
      </c>
      <c r="E39" s="151">
        <v>358109646301</v>
      </c>
      <c r="F39" s="152">
        <v>354474894367</v>
      </c>
      <c r="G39" s="152">
        <v>3634751934</v>
      </c>
      <c r="H39" s="153">
        <v>326366925961</v>
      </c>
      <c r="I39" s="154">
        <v>318184014297</v>
      </c>
      <c r="J39" s="154">
        <v>76538845</v>
      </c>
      <c r="K39" s="154">
        <v>1615388094</v>
      </c>
      <c r="L39" s="154">
        <v>9712760</v>
      </c>
      <c r="M39" s="154">
        <v>1243061896</v>
      </c>
      <c r="N39" s="154">
        <v>266706695</v>
      </c>
      <c r="O39" s="154">
        <v>341925802</v>
      </c>
      <c r="P39" s="154">
        <v>62484523</v>
      </c>
      <c r="Q39" s="154">
        <v>1230661306</v>
      </c>
      <c r="R39" s="154">
        <v>1342219003</v>
      </c>
      <c r="S39" s="154">
        <v>1153918486</v>
      </c>
      <c r="T39" s="154">
        <v>1042389687</v>
      </c>
      <c r="U39" s="154">
        <v>0</v>
      </c>
      <c r="V39" s="154">
        <v>0</v>
      </c>
      <c r="W39" s="154">
        <v>-202095433</v>
      </c>
      <c r="X39" s="154">
        <v>0</v>
      </c>
      <c r="Y39" s="154">
        <v>0</v>
      </c>
      <c r="Z39" s="150">
        <v>31742720340</v>
      </c>
      <c r="AA39" s="155">
        <v>5073793075</v>
      </c>
      <c r="AB39" s="156">
        <v>68683273</v>
      </c>
      <c r="AC39" s="156">
        <v>16900437</v>
      </c>
      <c r="AD39" s="156">
        <v>11492255</v>
      </c>
      <c r="AE39" s="156">
        <v>0</v>
      </c>
      <c r="AF39" s="156">
        <v>1530536686</v>
      </c>
      <c r="AG39" s="156">
        <v>138062606</v>
      </c>
      <c r="AH39" s="156">
        <v>1732211</v>
      </c>
      <c r="AI39" s="156">
        <v>144037658</v>
      </c>
      <c r="AJ39" s="156">
        <v>1431579613</v>
      </c>
      <c r="AK39" s="156">
        <v>11275566</v>
      </c>
      <c r="AL39" s="156">
        <v>1178525155</v>
      </c>
      <c r="AM39" s="156">
        <v>2857451</v>
      </c>
      <c r="AN39" s="156">
        <v>538110164</v>
      </c>
      <c r="AO39" s="150">
        <v>26668927265</v>
      </c>
      <c r="AP39" s="157">
        <v>6217557006</v>
      </c>
      <c r="AQ39" s="158">
        <v>4604199810</v>
      </c>
      <c r="AR39" s="158">
        <v>1152363545</v>
      </c>
      <c r="AS39" s="158">
        <v>408151190</v>
      </c>
      <c r="AT39" s="158">
        <v>19624764</v>
      </c>
      <c r="AU39" s="158">
        <v>0</v>
      </c>
      <c r="AV39" s="158">
        <v>33217697</v>
      </c>
      <c r="AW39" s="158">
        <v>0</v>
      </c>
      <c r="AX39" s="159">
        <v>2316862414</v>
      </c>
      <c r="AY39" s="160">
        <v>1965989144</v>
      </c>
      <c r="AZ39" s="160">
        <v>169859250</v>
      </c>
      <c r="BA39" s="160">
        <v>181014020</v>
      </c>
      <c r="BB39" s="160">
        <v>0</v>
      </c>
      <c r="BC39" s="160">
        <v>0</v>
      </c>
      <c r="BD39" s="160">
        <v>0</v>
      </c>
      <c r="BE39" s="160">
        <v>0</v>
      </c>
      <c r="BF39" s="150">
        <v>30569621857</v>
      </c>
      <c r="BW39" s="255">
        <f>G39</f>
        <v>3634751934</v>
      </c>
      <c r="BX39" s="255">
        <f t="shared" si="3"/>
        <v>318184014297</v>
      </c>
      <c r="BY39" s="255">
        <f t="shared" si="4"/>
        <v>3336431743</v>
      </c>
      <c r="BZ39" s="255">
        <f t="shared" si="5"/>
        <v>321520446040</v>
      </c>
      <c r="CA39" s="255">
        <f t="shared" si="6"/>
        <v>0</v>
      </c>
      <c r="CB39" s="255">
        <f t="shared" si="7"/>
        <v>266706695</v>
      </c>
      <c r="CC39" s="255">
        <f t="shared" si="8"/>
        <v>62484523</v>
      </c>
      <c r="CD39" s="255">
        <f t="shared" si="9"/>
        <v>68683273</v>
      </c>
      <c r="CG39" s="248"/>
    </row>
    <row r="40" spans="1:85">
      <c r="A40" s="110" t="s">
        <v>240</v>
      </c>
      <c r="B40" s="149" t="s">
        <v>265</v>
      </c>
      <c r="C40" s="149" t="s">
        <v>266</v>
      </c>
      <c r="D40" s="150">
        <v>400808.5</v>
      </c>
      <c r="E40" s="151">
        <v>13802851962</v>
      </c>
      <c r="F40" s="152">
        <v>13802851962</v>
      </c>
      <c r="G40" s="152">
        <v>0</v>
      </c>
      <c r="H40" s="153">
        <v>8830362218</v>
      </c>
      <c r="I40" s="154">
        <v>8505432095</v>
      </c>
      <c r="J40" s="154">
        <v>0</v>
      </c>
      <c r="K40" s="154">
        <v>18307479</v>
      </c>
      <c r="L40" s="154">
        <v>0</v>
      </c>
      <c r="M40" s="154">
        <v>57871683</v>
      </c>
      <c r="N40" s="154">
        <v>126445</v>
      </c>
      <c r="O40" s="154">
        <v>41797191</v>
      </c>
      <c r="P40" s="154">
        <v>0</v>
      </c>
      <c r="Q40" s="154">
        <v>96086871</v>
      </c>
      <c r="R40" s="154">
        <v>0</v>
      </c>
      <c r="S40" s="154">
        <v>110740454</v>
      </c>
      <c r="T40" s="154">
        <v>0</v>
      </c>
      <c r="U40" s="154">
        <v>0</v>
      </c>
      <c r="V40" s="154">
        <v>0</v>
      </c>
      <c r="W40" s="154">
        <v>0</v>
      </c>
      <c r="X40" s="154">
        <v>0</v>
      </c>
      <c r="Y40" s="154">
        <v>0</v>
      </c>
      <c r="Z40" s="150">
        <v>4972489744</v>
      </c>
      <c r="AA40" s="155">
        <v>28507264</v>
      </c>
      <c r="AB40" s="156">
        <v>13586662</v>
      </c>
      <c r="AC40" s="156">
        <v>31338</v>
      </c>
      <c r="AD40" s="156">
        <v>0</v>
      </c>
      <c r="AE40" s="156">
        <v>0</v>
      </c>
      <c r="AF40" s="156">
        <v>3341060</v>
      </c>
      <c r="AG40" s="156">
        <v>0</v>
      </c>
      <c r="AH40" s="156">
        <v>0</v>
      </c>
      <c r="AI40" s="156">
        <v>207377</v>
      </c>
      <c r="AJ40" s="156">
        <v>0</v>
      </c>
      <c r="AK40" s="156">
        <v>0</v>
      </c>
      <c r="AL40" s="156">
        <v>11185825</v>
      </c>
      <c r="AM40" s="156">
        <v>0</v>
      </c>
      <c r="AN40" s="156">
        <v>155002</v>
      </c>
      <c r="AO40" s="150">
        <v>4943982480</v>
      </c>
      <c r="AP40" s="157">
        <v>0</v>
      </c>
      <c r="AQ40" s="158">
        <v>0</v>
      </c>
      <c r="AR40" s="158">
        <v>0</v>
      </c>
      <c r="AS40" s="158">
        <v>0</v>
      </c>
      <c r="AT40" s="158">
        <v>0</v>
      </c>
      <c r="AU40" s="158">
        <v>0</v>
      </c>
      <c r="AV40" s="158">
        <v>0</v>
      </c>
      <c r="AW40" s="158">
        <v>0</v>
      </c>
      <c r="AX40" s="159">
        <v>0</v>
      </c>
      <c r="AY40" s="160">
        <v>0</v>
      </c>
      <c r="AZ40" s="160">
        <v>0</v>
      </c>
      <c r="BA40" s="160">
        <v>0</v>
      </c>
      <c r="BB40" s="160">
        <v>0</v>
      </c>
      <c r="BC40" s="160">
        <v>0</v>
      </c>
      <c r="BD40" s="160">
        <v>0</v>
      </c>
      <c r="BE40" s="160">
        <v>0</v>
      </c>
      <c r="BF40" s="150">
        <v>4943982480</v>
      </c>
      <c r="BW40" s="255">
        <f t="shared" si="2"/>
        <v>0</v>
      </c>
      <c r="BX40" s="255">
        <f t="shared" si="3"/>
        <v>8505432095</v>
      </c>
      <c r="BY40" s="255">
        <f t="shared" si="4"/>
        <v>110740454</v>
      </c>
      <c r="BZ40" s="255">
        <f t="shared" si="5"/>
        <v>8616172549</v>
      </c>
      <c r="CA40" s="255">
        <f t="shared" si="6"/>
        <v>0</v>
      </c>
      <c r="CB40" s="255">
        <f t="shared" si="7"/>
        <v>126445</v>
      </c>
      <c r="CC40" s="255">
        <f t="shared" si="8"/>
        <v>0</v>
      </c>
      <c r="CD40" s="255">
        <f t="shared" si="9"/>
        <v>13586662</v>
      </c>
      <c r="CG40" s="248"/>
    </row>
    <row r="41" spans="1:85">
      <c r="A41" s="110" t="s">
        <v>240</v>
      </c>
      <c r="B41" s="149" t="s">
        <v>267</v>
      </c>
      <c r="C41" s="149" t="s">
        <v>268</v>
      </c>
      <c r="D41" s="150">
        <v>1690616.5999999999</v>
      </c>
      <c r="E41" s="151">
        <v>52789454541</v>
      </c>
      <c r="F41" s="152">
        <v>52789454541</v>
      </c>
      <c r="G41" s="152">
        <v>0</v>
      </c>
      <c r="H41" s="153">
        <v>38040758312</v>
      </c>
      <c r="I41" s="154">
        <v>32806925028</v>
      </c>
      <c r="J41" s="154">
        <v>0</v>
      </c>
      <c r="K41" s="154">
        <v>73631025</v>
      </c>
      <c r="L41" s="154">
        <v>0</v>
      </c>
      <c r="M41" s="154">
        <v>85745361</v>
      </c>
      <c r="N41" s="154">
        <v>309510</v>
      </c>
      <c r="O41" s="154">
        <v>88342334</v>
      </c>
      <c r="P41" s="154">
        <v>0</v>
      </c>
      <c r="Q41" s="154">
        <v>151523916</v>
      </c>
      <c r="R41" s="154">
        <v>0</v>
      </c>
      <c r="S41" s="154">
        <v>986099112</v>
      </c>
      <c r="T41" s="154">
        <v>3848182026</v>
      </c>
      <c r="U41" s="154">
        <v>0</v>
      </c>
      <c r="V41" s="154">
        <v>0</v>
      </c>
      <c r="W41" s="154">
        <v>0</v>
      </c>
      <c r="X41" s="154">
        <v>0</v>
      </c>
      <c r="Y41" s="154">
        <v>0</v>
      </c>
      <c r="Z41" s="150">
        <v>14748696229</v>
      </c>
      <c r="AA41" s="155">
        <v>90397647</v>
      </c>
      <c r="AB41" s="156">
        <v>3587224</v>
      </c>
      <c r="AC41" s="156">
        <v>5622</v>
      </c>
      <c r="AD41" s="156">
        <v>0</v>
      </c>
      <c r="AE41" s="156">
        <v>0</v>
      </c>
      <c r="AF41" s="156">
        <v>12571882</v>
      </c>
      <c r="AG41" s="156">
        <v>0</v>
      </c>
      <c r="AH41" s="156">
        <v>0</v>
      </c>
      <c r="AI41" s="156">
        <v>753445</v>
      </c>
      <c r="AJ41" s="156">
        <v>0</v>
      </c>
      <c r="AK41" s="156">
        <v>0</v>
      </c>
      <c r="AL41" s="156">
        <v>72933412</v>
      </c>
      <c r="AM41" s="156">
        <v>0</v>
      </c>
      <c r="AN41" s="156">
        <v>546062</v>
      </c>
      <c r="AO41" s="150">
        <v>14658298582</v>
      </c>
      <c r="AP41" s="157">
        <v>0</v>
      </c>
      <c r="AQ41" s="158">
        <v>0</v>
      </c>
      <c r="AR41" s="158">
        <v>0</v>
      </c>
      <c r="AS41" s="158">
        <v>0</v>
      </c>
      <c r="AT41" s="158">
        <v>0</v>
      </c>
      <c r="AU41" s="158">
        <v>0</v>
      </c>
      <c r="AV41" s="158">
        <v>0</v>
      </c>
      <c r="AW41" s="158">
        <v>0</v>
      </c>
      <c r="AX41" s="159">
        <v>35049170</v>
      </c>
      <c r="AY41" s="160">
        <v>0</v>
      </c>
      <c r="AZ41" s="160">
        <v>0</v>
      </c>
      <c r="BA41" s="160">
        <v>35049170</v>
      </c>
      <c r="BB41" s="160">
        <v>0</v>
      </c>
      <c r="BC41" s="160">
        <v>0</v>
      </c>
      <c r="BD41" s="160">
        <v>0</v>
      </c>
      <c r="BE41" s="160">
        <v>0</v>
      </c>
      <c r="BF41" s="150">
        <v>14623249412</v>
      </c>
      <c r="BW41" s="255">
        <f t="shared" si="2"/>
        <v>0</v>
      </c>
      <c r="BX41" s="255">
        <f t="shared" si="3"/>
        <v>32806925028</v>
      </c>
      <c r="BY41" s="255">
        <f t="shared" si="4"/>
        <v>4834281138</v>
      </c>
      <c r="BZ41" s="255">
        <f>BY41+BX41</f>
        <v>37641206166</v>
      </c>
      <c r="CA41" s="255">
        <f t="shared" si="6"/>
        <v>0</v>
      </c>
      <c r="CB41" s="255">
        <f t="shared" si="7"/>
        <v>309510</v>
      </c>
      <c r="CC41" s="255">
        <f t="shared" si="8"/>
        <v>0</v>
      </c>
      <c r="CD41" s="255">
        <f t="shared" si="9"/>
        <v>3587224</v>
      </c>
      <c r="CG41" s="248"/>
    </row>
    <row r="42" spans="1:85">
      <c r="A42" s="110" t="s">
        <v>240</v>
      </c>
      <c r="B42" s="149" t="s">
        <v>269</v>
      </c>
      <c r="C42" s="149" t="s">
        <v>320</v>
      </c>
      <c r="D42" s="150">
        <v>385875</v>
      </c>
      <c r="E42" s="151">
        <v>13589292493</v>
      </c>
      <c r="F42" s="152">
        <v>13589292493</v>
      </c>
      <c r="G42" s="152">
        <v>0</v>
      </c>
      <c r="H42" s="153">
        <v>6242597278</v>
      </c>
      <c r="I42" s="154">
        <v>1607626101</v>
      </c>
      <c r="J42" s="154">
        <v>56932615</v>
      </c>
      <c r="K42" s="154">
        <v>1367239467</v>
      </c>
      <c r="L42" s="154">
        <v>10604885</v>
      </c>
      <c r="M42" s="154">
        <v>1183228103</v>
      </c>
      <c r="N42" s="154">
        <v>100581908</v>
      </c>
      <c r="O42" s="154">
        <v>928672726</v>
      </c>
      <c r="P42" s="154">
        <v>65445307</v>
      </c>
      <c r="Q42" s="154">
        <v>875906061</v>
      </c>
      <c r="R42" s="154">
        <v>0</v>
      </c>
      <c r="S42" s="154">
        <v>46360105</v>
      </c>
      <c r="T42" s="154">
        <v>0</v>
      </c>
      <c r="U42" s="154">
        <v>0</v>
      </c>
      <c r="V42" s="154">
        <v>0</v>
      </c>
      <c r="W42" s="154">
        <v>0</v>
      </c>
      <c r="X42" s="154">
        <v>0</v>
      </c>
      <c r="Y42" s="154">
        <v>0</v>
      </c>
      <c r="Z42" s="150">
        <v>7346695215</v>
      </c>
      <c r="AA42" s="155">
        <v>120532528</v>
      </c>
      <c r="AB42" s="156">
        <v>89376671</v>
      </c>
      <c r="AC42" s="156">
        <v>2867565</v>
      </c>
      <c r="AD42" s="156">
        <v>0</v>
      </c>
      <c r="AE42" s="156">
        <v>0</v>
      </c>
      <c r="AF42" s="156">
        <v>3273326</v>
      </c>
      <c r="AG42" s="156">
        <v>0</v>
      </c>
      <c r="AH42" s="156">
        <v>0</v>
      </c>
      <c r="AI42" s="156">
        <v>206030</v>
      </c>
      <c r="AJ42" s="156">
        <v>0</v>
      </c>
      <c r="AK42" s="156">
        <v>0</v>
      </c>
      <c r="AL42" s="156">
        <v>24671318</v>
      </c>
      <c r="AM42" s="156">
        <v>0</v>
      </c>
      <c r="AN42" s="156">
        <v>137618</v>
      </c>
      <c r="AO42" s="150">
        <v>7226162687</v>
      </c>
      <c r="AP42" s="157">
        <v>0</v>
      </c>
      <c r="AQ42" s="158">
        <v>0</v>
      </c>
      <c r="AR42" s="158">
        <v>0</v>
      </c>
      <c r="AS42" s="158">
        <v>0</v>
      </c>
      <c r="AT42" s="158">
        <v>0</v>
      </c>
      <c r="AU42" s="158">
        <v>0</v>
      </c>
      <c r="AV42" s="158">
        <v>0</v>
      </c>
      <c r="AW42" s="158">
        <v>0</v>
      </c>
      <c r="AX42" s="159">
        <v>0</v>
      </c>
      <c r="AY42" s="160">
        <v>0</v>
      </c>
      <c r="AZ42" s="160">
        <v>0</v>
      </c>
      <c r="BA42" s="160">
        <v>0</v>
      </c>
      <c r="BB42" s="160">
        <v>0</v>
      </c>
      <c r="BC42" s="160">
        <v>0</v>
      </c>
      <c r="BD42" s="160">
        <v>0</v>
      </c>
      <c r="BE42" s="160">
        <v>0</v>
      </c>
      <c r="BF42" s="150">
        <v>7226162687</v>
      </c>
      <c r="BW42" s="255">
        <f t="shared" si="2"/>
        <v>0</v>
      </c>
      <c r="BX42" s="255">
        <f t="shared" si="3"/>
        <v>1607626101</v>
      </c>
      <c r="BY42" s="255">
        <f t="shared" si="4"/>
        <v>46360105</v>
      </c>
      <c r="BZ42" s="255">
        <f t="shared" si="5"/>
        <v>1653986206</v>
      </c>
      <c r="CA42" s="255">
        <f t="shared" si="6"/>
        <v>0</v>
      </c>
      <c r="CB42" s="255">
        <f t="shared" si="7"/>
        <v>100581908</v>
      </c>
      <c r="CC42" s="255">
        <f t="shared" si="8"/>
        <v>65445307</v>
      </c>
      <c r="CD42" s="255">
        <f t="shared" si="9"/>
        <v>89376671</v>
      </c>
      <c r="CG42" s="248"/>
    </row>
    <row r="43" spans="1:85">
      <c r="A43" s="110" t="s">
        <v>240</v>
      </c>
      <c r="B43" s="149" t="s">
        <v>271</v>
      </c>
      <c r="C43" s="149" t="s">
        <v>272</v>
      </c>
      <c r="D43" s="150">
        <v>1470239</v>
      </c>
      <c r="E43" s="151">
        <v>19252514071</v>
      </c>
      <c r="F43" s="152">
        <v>19252514071</v>
      </c>
      <c r="G43" s="152">
        <v>0</v>
      </c>
      <c r="H43" s="153">
        <v>18997870357</v>
      </c>
      <c r="I43" s="154">
        <v>18997870357</v>
      </c>
      <c r="J43" s="154">
        <v>0</v>
      </c>
      <c r="K43" s="154">
        <v>0</v>
      </c>
      <c r="L43" s="154">
        <v>0</v>
      </c>
      <c r="M43" s="154">
        <v>0</v>
      </c>
      <c r="N43" s="154">
        <v>0</v>
      </c>
      <c r="O43" s="154">
        <v>0</v>
      </c>
      <c r="P43" s="154">
        <v>0</v>
      </c>
      <c r="Q43" s="154">
        <v>0</v>
      </c>
      <c r="R43" s="154">
        <v>0</v>
      </c>
      <c r="S43" s="154">
        <v>0</v>
      </c>
      <c r="T43" s="154">
        <v>0</v>
      </c>
      <c r="U43" s="154">
        <v>0</v>
      </c>
      <c r="V43" s="154">
        <v>0</v>
      </c>
      <c r="W43" s="154">
        <v>0</v>
      </c>
      <c r="X43" s="154">
        <v>0</v>
      </c>
      <c r="Y43" s="154">
        <v>0</v>
      </c>
      <c r="Z43" s="150">
        <v>254643714</v>
      </c>
      <c r="AA43" s="155">
        <v>47193186</v>
      </c>
      <c r="AB43" s="156">
        <v>46232342</v>
      </c>
      <c r="AC43" s="156">
        <v>100000</v>
      </c>
      <c r="AD43" s="156">
        <v>0</v>
      </c>
      <c r="AE43" s="156">
        <v>0</v>
      </c>
      <c r="AF43" s="156">
        <v>0</v>
      </c>
      <c r="AG43" s="156">
        <v>0</v>
      </c>
      <c r="AH43" s="156">
        <v>0</v>
      </c>
      <c r="AI43" s="156">
        <v>0</v>
      </c>
      <c r="AJ43" s="156">
        <v>0</v>
      </c>
      <c r="AK43" s="156">
        <v>0</v>
      </c>
      <c r="AL43" s="156">
        <v>860844</v>
      </c>
      <c r="AM43" s="156">
        <v>0</v>
      </c>
      <c r="AN43" s="156">
        <v>0</v>
      </c>
      <c r="AO43" s="150">
        <v>207450528</v>
      </c>
      <c r="AP43" s="157">
        <v>0</v>
      </c>
      <c r="AQ43" s="158">
        <v>0</v>
      </c>
      <c r="AR43" s="158">
        <v>0</v>
      </c>
      <c r="AS43" s="158">
        <v>0</v>
      </c>
      <c r="AT43" s="158">
        <v>0</v>
      </c>
      <c r="AU43" s="158">
        <v>0</v>
      </c>
      <c r="AV43" s="158">
        <v>0</v>
      </c>
      <c r="AW43" s="158">
        <v>0</v>
      </c>
      <c r="AX43" s="159">
        <v>0</v>
      </c>
      <c r="AY43" s="160">
        <v>0</v>
      </c>
      <c r="AZ43" s="160">
        <v>0</v>
      </c>
      <c r="BA43" s="160">
        <v>0</v>
      </c>
      <c r="BB43" s="160">
        <v>0</v>
      </c>
      <c r="BC43" s="160">
        <v>0</v>
      </c>
      <c r="BD43" s="160">
        <v>0</v>
      </c>
      <c r="BE43" s="160">
        <v>0</v>
      </c>
      <c r="BF43" s="150">
        <v>207450528</v>
      </c>
      <c r="BW43" s="255">
        <f t="shared" si="2"/>
        <v>0</v>
      </c>
      <c r="BX43" s="255">
        <f t="shared" si="3"/>
        <v>18997870357</v>
      </c>
      <c r="BY43" s="255">
        <f t="shared" si="4"/>
        <v>0</v>
      </c>
      <c r="BZ43" s="255">
        <f t="shared" si="5"/>
        <v>18997870357</v>
      </c>
      <c r="CA43" s="255">
        <f t="shared" si="6"/>
        <v>0</v>
      </c>
      <c r="CB43" s="255">
        <f t="shared" si="7"/>
        <v>0</v>
      </c>
      <c r="CC43" s="255">
        <f t="shared" si="8"/>
        <v>0</v>
      </c>
      <c r="CD43" s="255">
        <f t="shared" si="9"/>
        <v>46232342</v>
      </c>
      <c r="CG43" s="248"/>
    </row>
    <row r="44" spans="1:85">
      <c r="A44" s="110" t="s">
        <v>240</v>
      </c>
      <c r="B44" s="149" t="s">
        <v>273</v>
      </c>
      <c r="C44" s="149" t="s">
        <v>246</v>
      </c>
      <c r="D44" s="150">
        <v>4067600</v>
      </c>
      <c r="E44" s="151">
        <v>2833594474</v>
      </c>
      <c r="F44" s="152">
        <v>2833594474</v>
      </c>
      <c r="G44" s="152">
        <v>0</v>
      </c>
      <c r="H44" s="153">
        <v>2923116680</v>
      </c>
      <c r="I44" s="154">
        <v>0</v>
      </c>
      <c r="J44" s="154">
        <v>0</v>
      </c>
      <c r="K44" s="154">
        <v>741403626</v>
      </c>
      <c r="L44" s="154">
        <v>0</v>
      </c>
      <c r="M44" s="154">
        <v>1133169856</v>
      </c>
      <c r="N44" s="154">
        <v>131654765</v>
      </c>
      <c r="O44" s="154">
        <v>122085229</v>
      </c>
      <c r="P44" s="154">
        <v>0</v>
      </c>
      <c r="Q44" s="154">
        <v>794803204</v>
      </c>
      <c r="R44" s="154">
        <v>0</v>
      </c>
      <c r="S44" s="154">
        <v>0</v>
      </c>
      <c r="T44" s="154">
        <v>0</v>
      </c>
      <c r="U44" s="154">
        <v>0</v>
      </c>
      <c r="V44" s="154">
        <v>0</v>
      </c>
      <c r="W44" s="154">
        <v>0</v>
      </c>
      <c r="X44" s="154">
        <v>0</v>
      </c>
      <c r="Y44" s="154">
        <v>0</v>
      </c>
      <c r="Z44" s="150">
        <v>-89522206</v>
      </c>
      <c r="AA44" s="155">
        <v>15600782</v>
      </c>
      <c r="AB44" s="156">
        <v>15062822</v>
      </c>
      <c r="AC44" s="156">
        <v>50000</v>
      </c>
      <c r="AD44" s="156">
        <v>0</v>
      </c>
      <c r="AE44" s="156">
        <v>0</v>
      </c>
      <c r="AF44" s="156">
        <v>0</v>
      </c>
      <c r="AG44" s="156">
        <v>0</v>
      </c>
      <c r="AH44" s="156">
        <v>0</v>
      </c>
      <c r="AI44" s="156">
        <v>0</v>
      </c>
      <c r="AJ44" s="156">
        <v>0</v>
      </c>
      <c r="AK44" s="156">
        <v>0</v>
      </c>
      <c r="AL44" s="156">
        <v>487960</v>
      </c>
      <c r="AM44" s="156">
        <v>0</v>
      </c>
      <c r="AN44" s="156">
        <v>0</v>
      </c>
      <c r="AO44" s="150">
        <v>-105122988</v>
      </c>
      <c r="AP44" s="157">
        <v>0</v>
      </c>
      <c r="AQ44" s="158">
        <v>0</v>
      </c>
      <c r="AR44" s="158">
        <v>0</v>
      </c>
      <c r="AS44" s="158">
        <v>0</v>
      </c>
      <c r="AT44" s="158">
        <v>0</v>
      </c>
      <c r="AU44" s="158">
        <v>0</v>
      </c>
      <c r="AV44" s="158">
        <v>0</v>
      </c>
      <c r="AW44" s="158">
        <v>0</v>
      </c>
      <c r="AX44" s="159">
        <v>0</v>
      </c>
      <c r="AY44" s="160">
        <v>0</v>
      </c>
      <c r="AZ44" s="160">
        <v>0</v>
      </c>
      <c r="BA44" s="160">
        <v>0</v>
      </c>
      <c r="BB44" s="160">
        <v>0</v>
      </c>
      <c r="BC44" s="160">
        <v>0</v>
      </c>
      <c r="BD44" s="160">
        <v>0</v>
      </c>
      <c r="BE44" s="160">
        <v>0</v>
      </c>
      <c r="BF44" s="150">
        <v>-105122988</v>
      </c>
      <c r="BW44" s="255">
        <f t="shared" si="2"/>
        <v>0</v>
      </c>
      <c r="BX44" s="255">
        <f t="shared" si="3"/>
        <v>0</v>
      </c>
      <c r="BY44" s="255">
        <f t="shared" si="4"/>
        <v>0</v>
      </c>
      <c r="BZ44" s="255">
        <f t="shared" si="5"/>
        <v>0</v>
      </c>
      <c r="CA44" s="255">
        <f t="shared" si="6"/>
        <v>0</v>
      </c>
      <c r="CB44" s="255">
        <f t="shared" si="7"/>
        <v>131654765</v>
      </c>
      <c r="CC44" s="255">
        <f t="shared" si="8"/>
        <v>0</v>
      </c>
      <c r="CD44" s="255">
        <f t="shared" si="9"/>
        <v>15062822</v>
      </c>
      <c r="CG44" s="248"/>
    </row>
    <row r="45" spans="1:85">
      <c r="A45" s="110" t="s">
        <v>240</v>
      </c>
      <c r="B45" s="161" t="s">
        <v>321</v>
      </c>
      <c r="C45" s="162" t="s">
        <v>246</v>
      </c>
      <c r="D45" s="150">
        <v>39446.800999999905</v>
      </c>
      <c r="E45" s="151">
        <v>88623638241</v>
      </c>
      <c r="F45" s="152">
        <v>88623638241</v>
      </c>
      <c r="G45" s="152">
        <v>0</v>
      </c>
      <c r="H45" s="153">
        <v>86960864010</v>
      </c>
      <c r="I45" s="154">
        <v>86960864010</v>
      </c>
      <c r="J45" s="154">
        <v>0</v>
      </c>
      <c r="K45" s="154">
        <v>0</v>
      </c>
      <c r="L45" s="154">
        <v>0</v>
      </c>
      <c r="M45" s="154">
        <v>0</v>
      </c>
      <c r="N45" s="154">
        <v>0</v>
      </c>
      <c r="O45" s="154">
        <v>0</v>
      </c>
      <c r="P45" s="154">
        <v>0</v>
      </c>
      <c r="Q45" s="154">
        <v>0</v>
      </c>
      <c r="R45" s="154">
        <v>0</v>
      </c>
      <c r="S45" s="154">
        <v>0</v>
      </c>
      <c r="T45" s="154">
        <v>0</v>
      </c>
      <c r="U45" s="154">
        <v>0</v>
      </c>
      <c r="V45" s="154">
        <v>0</v>
      </c>
      <c r="W45" s="154">
        <v>0</v>
      </c>
      <c r="X45" s="154">
        <v>0</v>
      </c>
      <c r="Y45" s="154">
        <v>0</v>
      </c>
      <c r="Z45" s="150">
        <v>1662774231</v>
      </c>
      <c r="AA45" s="155">
        <v>0</v>
      </c>
      <c r="AB45" s="156">
        <v>0</v>
      </c>
      <c r="AC45" s="156">
        <v>0</v>
      </c>
      <c r="AD45" s="156">
        <v>0</v>
      </c>
      <c r="AE45" s="156">
        <v>0</v>
      </c>
      <c r="AF45" s="156">
        <v>0</v>
      </c>
      <c r="AG45" s="156">
        <v>0</v>
      </c>
      <c r="AH45" s="156">
        <v>0</v>
      </c>
      <c r="AI45" s="156">
        <v>0</v>
      </c>
      <c r="AJ45" s="156">
        <v>0</v>
      </c>
      <c r="AK45" s="156">
        <v>0</v>
      </c>
      <c r="AL45" s="156">
        <v>0</v>
      </c>
      <c r="AM45" s="156">
        <v>0</v>
      </c>
      <c r="AN45" s="156">
        <v>0</v>
      </c>
      <c r="AO45" s="150">
        <v>1662774231</v>
      </c>
      <c r="AP45" s="157">
        <v>0</v>
      </c>
      <c r="AQ45" s="158">
        <v>0</v>
      </c>
      <c r="AR45" s="158">
        <v>0</v>
      </c>
      <c r="AS45" s="158">
        <v>0</v>
      </c>
      <c r="AT45" s="158">
        <v>0</v>
      </c>
      <c r="AU45" s="158">
        <v>0</v>
      </c>
      <c r="AV45" s="158">
        <v>0</v>
      </c>
      <c r="AW45" s="158">
        <v>0</v>
      </c>
      <c r="AX45" s="159">
        <v>255511689</v>
      </c>
      <c r="AY45" s="160">
        <v>0</v>
      </c>
      <c r="AZ45" s="160">
        <v>0</v>
      </c>
      <c r="BA45" s="160">
        <v>255511689</v>
      </c>
      <c r="BB45" s="160">
        <v>0</v>
      </c>
      <c r="BC45" s="160">
        <v>0</v>
      </c>
      <c r="BD45" s="160">
        <v>0</v>
      </c>
      <c r="BE45" s="160">
        <v>0</v>
      </c>
      <c r="BF45" s="150">
        <v>1407262542</v>
      </c>
      <c r="BW45" s="255">
        <f t="shared" si="2"/>
        <v>0</v>
      </c>
      <c r="BX45" s="255">
        <f t="shared" si="3"/>
        <v>86960864010</v>
      </c>
      <c r="BY45" s="255">
        <f t="shared" si="4"/>
        <v>0</v>
      </c>
      <c r="BZ45" s="255">
        <f t="shared" si="5"/>
        <v>86960864010</v>
      </c>
      <c r="CA45" s="255">
        <f t="shared" si="6"/>
        <v>0</v>
      </c>
      <c r="CB45" s="255">
        <f t="shared" si="7"/>
        <v>0</v>
      </c>
      <c r="CC45" s="255">
        <f t="shared" si="8"/>
        <v>0</v>
      </c>
      <c r="CD45" s="255">
        <f t="shared" si="9"/>
        <v>0</v>
      </c>
      <c r="CG45" s="248"/>
    </row>
    <row r="46" spans="1:85">
      <c r="A46" s="110" t="s">
        <v>240</v>
      </c>
      <c r="B46" s="149" t="s">
        <v>322</v>
      </c>
      <c r="C46" s="149" t="s">
        <v>246</v>
      </c>
      <c r="D46" s="150">
        <v>182.2</v>
      </c>
      <c r="E46" s="151">
        <v>8819725711</v>
      </c>
      <c r="F46" s="152">
        <v>8819725711</v>
      </c>
      <c r="G46" s="152">
        <v>0</v>
      </c>
      <c r="H46" s="153">
        <v>8580314929</v>
      </c>
      <c r="I46" s="154">
        <v>8580314929</v>
      </c>
      <c r="J46" s="154">
        <v>0</v>
      </c>
      <c r="K46" s="154">
        <v>0</v>
      </c>
      <c r="L46" s="154">
        <v>0</v>
      </c>
      <c r="M46" s="154">
        <v>0</v>
      </c>
      <c r="N46" s="154">
        <v>0</v>
      </c>
      <c r="O46" s="154">
        <v>0</v>
      </c>
      <c r="P46" s="154">
        <v>0</v>
      </c>
      <c r="Q46" s="154">
        <v>0</v>
      </c>
      <c r="R46" s="154">
        <v>0</v>
      </c>
      <c r="S46" s="154">
        <v>0</v>
      </c>
      <c r="T46" s="154">
        <v>0</v>
      </c>
      <c r="U46" s="154">
        <v>0</v>
      </c>
      <c r="V46" s="154">
        <v>0</v>
      </c>
      <c r="W46" s="154">
        <v>0</v>
      </c>
      <c r="X46" s="154">
        <v>0</v>
      </c>
      <c r="Y46" s="154">
        <v>0</v>
      </c>
      <c r="Z46" s="150">
        <v>239410782</v>
      </c>
      <c r="AA46" s="155">
        <v>18125517</v>
      </c>
      <c r="AB46" s="156">
        <v>0</v>
      </c>
      <c r="AC46" s="156">
        <v>0</v>
      </c>
      <c r="AD46" s="156">
        <v>0</v>
      </c>
      <c r="AE46" s="156">
        <v>0</v>
      </c>
      <c r="AF46" s="156">
        <v>0</v>
      </c>
      <c r="AG46" s="156">
        <v>0</v>
      </c>
      <c r="AH46" s="156">
        <v>0</v>
      </c>
      <c r="AI46" s="156">
        <v>0</v>
      </c>
      <c r="AJ46" s="156">
        <v>0</v>
      </c>
      <c r="AK46" s="156">
        <v>0</v>
      </c>
      <c r="AL46" s="156">
        <v>18125517</v>
      </c>
      <c r="AM46" s="156">
        <v>0</v>
      </c>
      <c r="AN46" s="156">
        <v>0</v>
      </c>
      <c r="AO46" s="150">
        <v>221285265</v>
      </c>
      <c r="AP46" s="157">
        <v>2747922</v>
      </c>
      <c r="AQ46" s="158">
        <v>0</v>
      </c>
      <c r="AR46" s="158">
        <v>0</v>
      </c>
      <c r="AS46" s="158">
        <v>2747922</v>
      </c>
      <c r="AT46" s="158">
        <v>0</v>
      </c>
      <c r="AU46" s="158">
        <v>0</v>
      </c>
      <c r="AV46" s="158">
        <v>0</v>
      </c>
      <c r="AW46" s="158">
        <v>0</v>
      </c>
      <c r="AX46" s="159">
        <v>0</v>
      </c>
      <c r="AY46" s="160">
        <v>0</v>
      </c>
      <c r="AZ46" s="160">
        <v>0</v>
      </c>
      <c r="BA46" s="160">
        <v>0</v>
      </c>
      <c r="BB46" s="160">
        <v>0</v>
      </c>
      <c r="BC46" s="160">
        <v>0</v>
      </c>
      <c r="BD46" s="160">
        <v>0</v>
      </c>
      <c r="BE46" s="160">
        <v>0</v>
      </c>
      <c r="BF46" s="150">
        <v>224033187</v>
      </c>
      <c r="BW46" s="255">
        <f t="shared" si="2"/>
        <v>0</v>
      </c>
      <c r="BX46" s="255">
        <f t="shared" si="3"/>
        <v>8580314929</v>
      </c>
      <c r="BY46" s="255">
        <f t="shared" si="4"/>
        <v>0</v>
      </c>
      <c r="BZ46" s="255">
        <f t="shared" si="5"/>
        <v>8580314929</v>
      </c>
      <c r="CA46" s="255">
        <f t="shared" si="6"/>
        <v>0</v>
      </c>
      <c r="CB46" s="255">
        <f t="shared" si="7"/>
        <v>0</v>
      </c>
      <c r="CC46" s="255">
        <f t="shared" si="8"/>
        <v>0</v>
      </c>
      <c r="CD46" s="255">
        <f t="shared" si="9"/>
        <v>0</v>
      </c>
      <c r="CG46" s="248"/>
    </row>
    <row r="47" spans="1:85">
      <c r="B47" s="163" t="s">
        <v>275</v>
      </c>
      <c r="C47" s="163"/>
      <c r="D47" s="164">
        <v>688026701.09300005</v>
      </c>
      <c r="E47" s="165">
        <v>7234642755416</v>
      </c>
      <c r="F47" s="166">
        <v>7185281468585</v>
      </c>
      <c r="G47" s="166">
        <v>49361286831</v>
      </c>
      <c r="H47" s="167">
        <v>6956501179744</v>
      </c>
      <c r="I47" s="168">
        <v>6424790895635</v>
      </c>
      <c r="J47" s="168">
        <v>26372308911</v>
      </c>
      <c r="K47" s="168">
        <v>67215241066</v>
      </c>
      <c r="L47" s="168">
        <v>394433667</v>
      </c>
      <c r="M47" s="168">
        <v>60886049587</v>
      </c>
      <c r="N47" s="168">
        <v>86986171377</v>
      </c>
      <c r="O47" s="168">
        <v>36097083140</v>
      </c>
      <c r="P47" s="168">
        <v>2991552316</v>
      </c>
      <c r="Q47" s="168">
        <v>54799273607</v>
      </c>
      <c r="R47" s="168">
        <v>-49595149550</v>
      </c>
      <c r="S47" s="168">
        <v>205394080767</v>
      </c>
      <c r="T47" s="168">
        <v>42334282111</v>
      </c>
      <c r="U47" s="168">
        <v>-123312919</v>
      </c>
      <c r="V47" s="168">
        <v>3622357530</v>
      </c>
      <c r="W47" s="168">
        <v>-3371765787</v>
      </c>
      <c r="X47" s="168">
        <v>-364177049</v>
      </c>
      <c r="Y47" s="168">
        <v>-1928144665</v>
      </c>
      <c r="Z47" s="164">
        <v>278141575672</v>
      </c>
      <c r="AA47" s="169">
        <v>103021112473</v>
      </c>
      <c r="AB47" s="170">
        <v>35312450190</v>
      </c>
      <c r="AC47" s="170">
        <v>69266011</v>
      </c>
      <c r="AD47" s="170">
        <v>11492255</v>
      </c>
      <c r="AE47" s="170">
        <v>0</v>
      </c>
      <c r="AF47" s="170">
        <v>24830853457</v>
      </c>
      <c r="AG47" s="170">
        <v>918076314</v>
      </c>
      <c r="AH47" s="170">
        <v>32155899</v>
      </c>
      <c r="AI47" s="170">
        <v>1195735021</v>
      </c>
      <c r="AJ47" s="170">
        <v>10176868680</v>
      </c>
      <c r="AK47" s="170">
        <v>227648208</v>
      </c>
      <c r="AL47" s="170">
        <v>19944828017</v>
      </c>
      <c r="AM47" s="170">
        <v>54808225</v>
      </c>
      <c r="AN47" s="170">
        <v>10246930196</v>
      </c>
      <c r="AO47" s="164">
        <v>175120463199</v>
      </c>
      <c r="AP47" s="171">
        <v>124512264545</v>
      </c>
      <c r="AQ47" s="172">
        <v>87938485542</v>
      </c>
      <c r="AR47" s="172">
        <v>11756123877</v>
      </c>
      <c r="AS47" s="172">
        <v>14705676844</v>
      </c>
      <c r="AT47" s="172">
        <v>4541242748</v>
      </c>
      <c r="AU47" s="172">
        <v>24303336</v>
      </c>
      <c r="AV47" s="172">
        <v>5546432198</v>
      </c>
      <c r="AW47" s="172">
        <v>0</v>
      </c>
      <c r="AX47" s="173">
        <v>61815152192</v>
      </c>
      <c r="AY47" s="174">
        <v>42950248890</v>
      </c>
      <c r="AZ47" s="174">
        <v>2631772076</v>
      </c>
      <c r="BA47" s="174">
        <v>3065268317</v>
      </c>
      <c r="BB47" s="174">
        <v>2194877288</v>
      </c>
      <c r="BC47" s="174">
        <v>10482912783</v>
      </c>
      <c r="BD47" s="174">
        <v>490072838</v>
      </c>
      <c r="BE47" s="174">
        <v>0</v>
      </c>
      <c r="BF47" s="164">
        <v>237817575552</v>
      </c>
      <c r="BW47" s="255">
        <f t="shared" si="2"/>
        <v>49361286831</v>
      </c>
      <c r="BX47" s="255">
        <f t="shared" si="3"/>
        <v>6424790895635</v>
      </c>
      <c r="BY47" s="255">
        <f t="shared" si="4"/>
        <v>197896315103</v>
      </c>
      <c r="BZ47" s="255">
        <f t="shared" si="5"/>
        <v>6622687210738</v>
      </c>
      <c r="CA47" s="255">
        <f t="shared" si="6"/>
        <v>-1928144665</v>
      </c>
      <c r="CB47" s="255">
        <f t="shared" si="7"/>
        <v>86986171377</v>
      </c>
      <c r="CC47" s="255">
        <f t="shared" si="8"/>
        <v>2991552316</v>
      </c>
      <c r="CD47" s="255">
        <f t="shared" si="9"/>
        <v>35312450190</v>
      </c>
      <c r="CG47" s="248"/>
    </row>
    <row r="49" spans="1:85">
      <c r="B49" s="3">
        <v>2018</v>
      </c>
      <c r="I49" s="3" t="s">
        <v>5557</v>
      </c>
      <c r="K49" s="3" t="s">
        <v>5559</v>
      </c>
      <c r="L49" s="3" t="s">
        <v>5559</v>
      </c>
      <c r="R49" s="3" t="s">
        <v>5557</v>
      </c>
      <c r="S49" s="3" t="s">
        <v>5557</v>
      </c>
      <c r="T49" s="3" t="s">
        <v>5557</v>
      </c>
      <c r="U49" s="3" t="s">
        <v>5557</v>
      </c>
      <c r="V49" s="3" t="s">
        <v>5557</v>
      </c>
      <c r="W49" s="3" t="s">
        <v>5557</v>
      </c>
      <c r="X49" s="3" t="s">
        <v>5557</v>
      </c>
      <c r="BW49" s="110" t="s">
        <v>69</v>
      </c>
    </row>
    <row r="50" spans="1:85">
      <c r="B50" s="131" t="s">
        <v>318</v>
      </c>
      <c r="C50" s="131" t="s">
        <v>186</v>
      </c>
      <c r="D50" s="131" t="s">
        <v>187</v>
      </c>
      <c r="E50" s="132" t="s">
        <v>188</v>
      </c>
      <c r="F50" s="132" t="s">
        <v>189</v>
      </c>
      <c r="G50" s="132" t="s">
        <v>190</v>
      </c>
      <c r="H50" s="133" t="s">
        <v>141</v>
      </c>
      <c r="I50" s="133" t="s">
        <v>191</v>
      </c>
      <c r="J50" s="133" t="s">
        <v>192</v>
      </c>
      <c r="K50" s="133" t="s">
        <v>193</v>
      </c>
      <c r="L50" s="133" t="s">
        <v>194</v>
      </c>
      <c r="M50" s="133" t="s">
        <v>195</v>
      </c>
      <c r="N50" s="133" t="s">
        <v>196</v>
      </c>
      <c r="O50" s="133" t="s">
        <v>197</v>
      </c>
      <c r="P50" s="133" t="s">
        <v>198</v>
      </c>
      <c r="Q50" s="133" t="s">
        <v>199</v>
      </c>
      <c r="R50" s="133" t="s">
        <v>200</v>
      </c>
      <c r="S50" s="133" t="s">
        <v>201</v>
      </c>
      <c r="T50" s="133" t="s">
        <v>202</v>
      </c>
      <c r="U50" s="133" t="s">
        <v>203</v>
      </c>
      <c r="V50" s="133" t="s">
        <v>204</v>
      </c>
      <c r="W50" s="133" t="s">
        <v>205</v>
      </c>
      <c r="X50" s="133" t="s">
        <v>206</v>
      </c>
      <c r="Y50" s="133" t="s">
        <v>207</v>
      </c>
      <c r="Z50" s="131" t="s">
        <v>208</v>
      </c>
      <c r="AA50" s="134" t="s">
        <v>209</v>
      </c>
      <c r="AB50" s="134" t="s">
        <v>210</v>
      </c>
      <c r="AC50" s="134" t="s">
        <v>211</v>
      </c>
      <c r="AD50" s="134" t="s">
        <v>212</v>
      </c>
      <c r="AE50" s="134" t="s">
        <v>213</v>
      </c>
      <c r="AF50" s="134" t="s">
        <v>214</v>
      </c>
      <c r="AG50" s="134" t="s">
        <v>215</v>
      </c>
      <c r="AH50" s="134" t="s">
        <v>216</v>
      </c>
      <c r="AI50" s="134" t="s">
        <v>217</v>
      </c>
      <c r="AJ50" s="134" t="s">
        <v>218</v>
      </c>
      <c r="AK50" s="134" t="s">
        <v>219</v>
      </c>
      <c r="AL50" s="134" t="s">
        <v>220</v>
      </c>
      <c r="AM50" s="134" t="s">
        <v>221</v>
      </c>
      <c r="AN50" s="134" t="s">
        <v>222</v>
      </c>
      <c r="AO50" s="131" t="s">
        <v>144</v>
      </c>
      <c r="AP50" s="135" t="s">
        <v>223</v>
      </c>
      <c r="AQ50" s="135" t="s">
        <v>224</v>
      </c>
      <c r="AR50" s="135" t="s">
        <v>225</v>
      </c>
      <c r="AS50" s="135" t="s">
        <v>226</v>
      </c>
      <c r="AT50" s="135" t="s">
        <v>227</v>
      </c>
      <c r="AU50" s="135" t="s">
        <v>228</v>
      </c>
      <c r="AV50" s="135" t="s">
        <v>229</v>
      </c>
      <c r="AW50" s="135" t="s">
        <v>230</v>
      </c>
      <c r="AX50" s="136" t="s">
        <v>231</v>
      </c>
      <c r="AY50" s="136" t="s">
        <v>232</v>
      </c>
      <c r="AZ50" s="136" t="s">
        <v>233</v>
      </c>
      <c r="BA50" s="136" t="s">
        <v>234</v>
      </c>
      <c r="BB50" s="136" t="s">
        <v>235</v>
      </c>
      <c r="BC50" s="136" t="s">
        <v>236</v>
      </c>
      <c r="BD50" s="136" t="s">
        <v>237</v>
      </c>
      <c r="BE50" s="136" t="s">
        <v>238</v>
      </c>
      <c r="BF50" s="131" t="s">
        <v>239</v>
      </c>
      <c r="BW50" s="321" t="s">
        <v>1300</v>
      </c>
      <c r="BX50" s="321" t="s">
        <v>1284</v>
      </c>
      <c r="BY50" s="321" t="s">
        <v>1362</v>
      </c>
      <c r="BZ50" s="321" t="s">
        <v>1363</v>
      </c>
      <c r="CA50" s="321" t="s">
        <v>5555</v>
      </c>
      <c r="CB50" s="321" t="s">
        <v>1293</v>
      </c>
      <c r="CC50" s="321" t="s">
        <v>1294</v>
      </c>
      <c r="CD50" s="321" t="s">
        <v>1418</v>
      </c>
    </row>
    <row r="51" spans="1:85">
      <c r="A51" s="110" t="s">
        <v>69</v>
      </c>
      <c r="B51" s="137" t="s">
        <v>241</v>
      </c>
      <c r="C51" s="137" t="s">
        <v>242</v>
      </c>
      <c r="D51" s="138">
        <v>1525031.8219999985</v>
      </c>
      <c r="E51" s="139">
        <v>45074526233</v>
      </c>
      <c r="F51" s="140">
        <v>45074526233</v>
      </c>
      <c r="G51" s="140">
        <v>0</v>
      </c>
      <c r="H51" s="141">
        <v>57061212398</v>
      </c>
      <c r="I51" s="142">
        <v>1325923663</v>
      </c>
      <c r="J51" s="142">
        <v>0</v>
      </c>
      <c r="K51" s="142">
        <v>6542982154</v>
      </c>
      <c r="L51" s="142">
        <v>541708410</v>
      </c>
      <c r="M51" s="142">
        <v>9991099515</v>
      </c>
      <c r="N51" s="142">
        <v>10197725628</v>
      </c>
      <c r="O51" s="142">
        <v>5093172286</v>
      </c>
      <c r="P51" s="142">
        <v>3695051129</v>
      </c>
      <c r="Q51" s="142">
        <v>19606321760</v>
      </c>
      <c r="R51" s="142">
        <v>0</v>
      </c>
      <c r="S51" s="142">
        <v>0</v>
      </c>
      <c r="T51" s="142">
        <v>0</v>
      </c>
      <c r="U51" s="142">
        <v>0</v>
      </c>
      <c r="V51" s="142">
        <v>0</v>
      </c>
      <c r="W51" s="142">
        <v>0</v>
      </c>
      <c r="X51" s="142">
        <v>-12820200</v>
      </c>
      <c r="Y51" s="142">
        <v>80048053</v>
      </c>
      <c r="Z51" s="138">
        <v>-11986686165</v>
      </c>
      <c r="AA51" s="143">
        <v>2808335436</v>
      </c>
      <c r="AB51" s="144">
        <v>1538316422</v>
      </c>
      <c r="AC51" s="144">
        <v>6607998</v>
      </c>
      <c r="AD51" s="144">
        <v>0</v>
      </c>
      <c r="AE51" s="144">
        <v>0</v>
      </c>
      <c r="AF51" s="144">
        <v>797685280</v>
      </c>
      <c r="AG51" s="144">
        <v>5782697</v>
      </c>
      <c r="AH51" s="144">
        <v>0</v>
      </c>
      <c r="AI51" s="144">
        <v>72807381</v>
      </c>
      <c r="AJ51" s="144">
        <v>32142414</v>
      </c>
      <c r="AK51" s="144">
        <v>19845558</v>
      </c>
      <c r="AL51" s="144">
        <v>256922832</v>
      </c>
      <c r="AM51" s="144">
        <v>234438</v>
      </c>
      <c r="AN51" s="144">
        <v>77990416</v>
      </c>
      <c r="AO51" s="138">
        <v>-14795021601</v>
      </c>
      <c r="AP51" s="145">
        <v>190001598</v>
      </c>
      <c r="AQ51" s="146">
        <v>190001598</v>
      </c>
      <c r="AR51" s="146">
        <v>0</v>
      </c>
      <c r="AS51" s="146">
        <v>0</v>
      </c>
      <c r="AT51" s="146">
        <v>0</v>
      </c>
      <c r="AU51" s="146">
        <v>0</v>
      </c>
      <c r="AV51" s="146">
        <v>0</v>
      </c>
      <c r="AW51" s="146">
        <v>0</v>
      </c>
      <c r="AX51" s="147">
        <v>555038883</v>
      </c>
      <c r="AY51" s="148">
        <v>113396342</v>
      </c>
      <c r="AZ51" s="148">
        <v>1119279</v>
      </c>
      <c r="BA51" s="148">
        <v>0</v>
      </c>
      <c r="BB51" s="148">
        <v>0</v>
      </c>
      <c r="BC51" s="148">
        <v>0</v>
      </c>
      <c r="BD51" s="148">
        <v>440523262</v>
      </c>
      <c r="BE51" s="148">
        <v>0</v>
      </c>
      <c r="BF51" s="138">
        <v>-15160058886</v>
      </c>
      <c r="BW51" s="255">
        <f>G51</f>
        <v>0</v>
      </c>
      <c r="BX51" s="255">
        <f>I51</f>
        <v>1325923663</v>
      </c>
      <c r="BY51" s="255">
        <f>SUM(R51:X51)</f>
        <v>-12820200</v>
      </c>
      <c r="BZ51" s="255">
        <f t="shared" ref="BZ51:BZ168" si="10">BY51+BX51</f>
        <v>1313103463</v>
      </c>
      <c r="CA51" s="255">
        <f>Y51</f>
        <v>80048053</v>
      </c>
      <c r="CB51" s="255">
        <f>N51</f>
        <v>10197725628</v>
      </c>
      <c r="CC51" s="255">
        <f>P51</f>
        <v>3695051129</v>
      </c>
      <c r="CD51" s="255">
        <f>AB51</f>
        <v>1538316422</v>
      </c>
      <c r="CG51" s="248"/>
    </row>
    <row r="52" spans="1:85">
      <c r="A52" s="110" t="s">
        <v>69</v>
      </c>
      <c r="B52" s="149" t="s">
        <v>243</v>
      </c>
      <c r="C52" s="137" t="s">
        <v>244</v>
      </c>
      <c r="D52" s="150">
        <v>93190220</v>
      </c>
      <c r="E52" s="151">
        <v>44524598475</v>
      </c>
      <c r="F52" s="152">
        <v>44524598475</v>
      </c>
      <c r="G52" s="152">
        <v>0</v>
      </c>
      <c r="H52" s="153">
        <v>17724479107</v>
      </c>
      <c r="I52" s="154">
        <v>0</v>
      </c>
      <c r="J52" s="154">
        <v>0</v>
      </c>
      <c r="K52" s="154">
        <v>5357573785</v>
      </c>
      <c r="L52" s="154">
        <v>418682589</v>
      </c>
      <c r="M52" s="154">
        <v>6935360835</v>
      </c>
      <c r="N52" s="154">
        <v>1136740429</v>
      </c>
      <c r="O52" s="154">
        <v>810568845</v>
      </c>
      <c r="P52" s="154">
        <v>1439391260</v>
      </c>
      <c r="Q52" s="154">
        <v>1626168784</v>
      </c>
      <c r="R52" s="154">
        <v>0</v>
      </c>
      <c r="S52" s="154">
        <v>0</v>
      </c>
      <c r="T52" s="154">
        <v>0</v>
      </c>
      <c r="U52" s="154">
        <v>0</v>
      </c>
      <c r="V52" s="154">
        <v>0</v>
      </c>
      <c r="W52" s="154">
        <v>0</v>
      </c>
      <c r="X52" s="154">
        <v>-7420</v>
      </c>
      <c r="Y52" s="154">
        <v>0</v>
      </c>
      <c r="Z52" s="150">
        <v>26800119368</v>
      </c>
      <c r="AA52" s="155">
        <v>4664719796</v>
      </c>
      <c r="AB52" s="156">
        <v>4285362319</v>
      </c>
      <c r="AC52" s="156">
        <v>1467173</v>
      </c>
      <c r="AD52" s="156">
        <v>5824630</v>
      </c>
      <c r="AE52" s="156">
        <v>0</v>
      </c>
      <c r="AF52" s="156">
        <v>328645463</v>
      </c>
      <c r="AG52" s="156">
        <v>0</v>
      </c>
      <c r="AH52" s="156">
        <v>0</v>
      </c>
      <c r="AI52" s="156">
        <v>13044581</v>
      </c>
      <c r="AJ52" s="156">
        <v>0</v>
      </c>
      <c r="AK52" s="156">
        <v>0</v>
      </c>
      <c r="AL52" s="156">
        <v>18194707</v>
      </c>
      <c r="AM52" s="156">
        <v>0</v>
      </c>
      <c r="AN52" s="156">
        <v>12180923</v>
      </c>
      <c r="AO52" s="150">
        <v>22135399572</v>
      </c>
      <c r="AP52" s="157">
        <v>0</v>
      </c>
      <c r="AQ52" s="158">
        <v>0</v>
      </c>
      <c r="AR52" s="158">
        <v>0</v>
      </c>
      <c r="AS52" s="158">
        <v>0</v>
      </c>
      <c r="AT52" s="158">
        <v>0</v>
      </c>
      <c r="AU52" s="158">
        <v>0</v>
      </c>
      <c r="AV52" s="158">
        <v>0</v>
      </c>
      <c r="AW52" s="158">
        <v>0</v>
      </c>
      <c r="AX52" s="159">
        <v>11542825</v>
      </c>
      <c r="AY52" s="160">
        <v>0</v>
      </c>
      <c r="AZ52" s="160">
        <v>0</v>
      </c>
      <c r="BA52" s="160">
        <v>0</v>
      </c>
      <c r="BB52" s="160">
        <v>0</v>
      </c>
      <c r="BC52" s="160">
        <v>0</v>
      </c>
      <c r="BD52" s="160">
        <v>11542825</v>
      </c>
      <c r="BE52" s="160">
        <v>0</v>
      </c>
      <c r="BF52" s="150">
        <v>22123856747</v>
      </c>
      <c r="BW52" s="255">
        <f t="shared" ref="BW52:BW70" si="11">G52</f>
        <v>0</v>
      </c>
      <c r="BX52" s="255">
        <f t="shared" ref="BX52:BX70" si="12">I52</f>
        <v>0</v>
      </c>
      <c r="BY52" s="255">
        <f t="shared" ref="BY52:BY70" si="13">SUM(R52:X52)</f>
        <v>-7420</v>
      </c>
      <c r="BZ52" s="255">
        <f t="shared" si="10"/>
        <v>-7420</v>
      </c>
      <c r="CA52" s="255">
        <f t="shared" ref="CA52:CA70" si="14">Y52</f>
        <v>0</v>
      </c>
      <c r="CB52" s="255">
        <f t="shared" ref="CB52:CB70" si="15">N52</f>
        <v>1136740429</v>
      </c>
      <c r="CC52" s="255">
        <f t="shared" ref="CC52:CC70" si="16">P52</f>
        <v>1439391260</v>
      </c>
      <c r="CD52" s="255">
        <f t="shared" ref="CD52:CD70" si="17">AB52</f>
        <v>4285362319</v>
      </c>
      <c r="CG52" s="248"/>
    </row>
    <row r="53" spans="1:85">
      <c r="A53" s="110" t="s">
        <v>69</v>
      </c>
      <c r="B53" s="149" t="s">
        <v>245</v>
      </c>
      <c r="C53" s="137" t="s">
        <v>246</v>
      </c>
      <c r="D53" s="150">
        <v>13411.85</v>
      </c>
      <c r="E53" s="151">
        <v>2698826700</v>
      </c>
      <c r="F53" s="152">
        <v>2698826700</v>
      </c>
      <c r="G53" s="152">
        <v>0</v>
      </c>
      <c r="H53" s="153">
        <v>1453829004</v>
      </c>
      <c r="I53" s="154">
        <v>0</v>
      </c>
      <c r="J53" s="154">
        <v>378843063</v>
      </c>
      <c r="K53" s="154">
        <v>298095554</v>
      </c>
      <c r="L53" s="154">
        <v>23309269</v>
      </c>
      <c r="M53" s="154">
        <v>258709672</v>
      </c>
      <c r="N53" s="154">
        <v>227434132</v>
      </c>
      <c r="O53" s="154">
        <v>175314127</v>
      </c>
      <c r="P53" s="154">
        <v>25681616</v>
      </c>
      <c r="Q53" s="154">
        <v>68212845</v>
      </c>
      <c r="R53" s="154">
        <v>0</v>
      </c>
      <c r="S53" s="154">
        <v>0</v>
      </c>
      <c r="T53" s="154">
        <v>0</v>
      </c>
      <c r="U53" s="154">
        <v>0</v>
      </c>
      <c r="V53" s="154">
        <v>0</v>
      </c>
      <c r="W53" s="154">
        <v>0</v>
      </c>
      <c r="X53" s="154">
        <v>0</v>
      </c>
      <c r="Y53" s="154">
        <v>-1771274</v>
      </c>
      <c r="Z53" s="150">
        <v>1244997696</v>
      </c>
      <c r="AA53" s="155">
        <v>23067703</v>
      </c>
      <c r="AB53" s="156">
        <v>425581</v>
      </c>
      <c r="AC53" s="156">
        <v>1841</v>
      </c>
      <c r="AD53" s="156">
        <v>0</v>
      </c>
      <c r="AE53" s="156">
        <v>0</v>
      </c>
      <c r="AF53" s="156">
        <v>19924995</v>
      </c>
      <c r="AG53" s="156">
        <v>0</v>
      </c>
      <c r="AH53" s="156">
        <v>0</v>
      </c>
      <c r="AI53" s="156">
        <v>772005</v>
      </c>
      <c r="AJ53" s="156">
        <v>0</v>
      </c>
      <c r="AK53" s="156">
        <v>0</v>
      </c>
      <c r="AL53" s="156">
        <v>1199993</v>
      </c>
      <c r="AM53" s="156">
        <v>0</v>
      </c>
      <c r="AN53" s="156">
        <v>743288</v>
      </c>
      <c r="AO53" s="150">
        <v>1221929993</v>
      </c>
      <c r="AP53" s="157">
        <v>0</v>
      </c>
      <c r="AQ53" s="158">
        <v>0</v>
      </c>
      <c r="AR53" s="158">
        <v>0</v>
      </c>
      <c r="AS53" s="158">
        <v>0</v>
      </c>
      <c r="AT53" s="158">
        <v>0</v>
      </c>
      <c r="AU53" s="158">
        <v>0</v>
      </c>
      <c r="AV53" s="158">
        <v>0</v>
      </c>
      <c r="AW53" s="158">
        <v>0</v>
      </c>
      <c r="AX53" s="159">
        <v>0</v>
      </c>
      <c r="AY53" s="160">
        <v>0</v>
      </c>
      <c r="AZ53" s="160">
        <v>0</v>
      </c>
      <c r="BA53" s="160">
        <v>0</v>
      </c>
      <c r="BB53" s="160">
        <v>0</v>
      </c>
      <c r="BC53" s="160">
        <v>0</v>
      </c>
      <c r="BD53" s="160">
        <v>0</v>
      </c>
      <c r="BE53" s="160">
        <v>0</v>
      </c>
      <c r="BF53" s="150">
        <v>1221929993</v>
      </c>
      <c r="BW53" s="255">
        <f t="shared" si="11"/>
        <v>0</v>
      </c>
      <c r="BX53" s="255">
        <f t="shared" si="12"/>
        <v>0</v>
      </c>
      <c r="BY53" s="255">
        <f t="shared" si="13"/>
        <v>0</v>
      </c>
      <c r="BZ53" s="255">
        <f t="shared" si="10"/>
        <v>0</v>
      </c>
      <c r="CA53" s="255">
        <f t="shared" si="14"/>
        <v>-1771274</v>
      </c>
      <c r="CB53" s="255">
        <f t="shared" si="15"/>
        <v>227434132</v>
      </c>
      <c r="CC53" s="255">
        <f t="shared" si="16"/>
        <v>25681616</v>
      </c>
      <c r="CD53" s="255">
        <f t="shared" si="17"/>
        <v>425581</v>
      </c>
      <c r="CG53" s="248"/>
    </row>
    <row r="54" spans="1:85">
      <c r="A54" s="110" t="s">
        <v>69</v>
      </c>
      <c r="B54" s="149" t="s">
        <v>248</v>
      </c>
      <c r="C54" s="137" t="s">
        <v>246</v>
      </c>
      <c r="D54" s="150">
        <v>118532.16</v>
      </c>
      <c r="E54" s="151">
        <v>948256000</v>
      </c>
      <c r="F54" s="152">
        <v>948256000</v>
      </c>
      <c r="G54" s="152">
        <v>0</v>
      </c>
      <c r="H54" s="153">
        <v>5984818956</v>
      </c>
      <c r="I54" s="154">
        <v>0</v>
      </c>
      <c r="J54" s="154">
        <v>0</v>
      </c>
      <c r="K54" s="154">
        <v>816546788</v>
      </c>
      <c r="L54" s="154">
        <v>61384256</v>
      </c>
      <c r="M54" s="154">
        <v>1144937622</v>
      </c>
      <c r="N54" s="154">
        <v>725937923</v>
      </c>
      <c r="O54" s="154">
        <v>1050711554</v>
      </c>
      <c r="P54" s="154">
        <v>782448041</v>
      </c>
      <c r="Q54" s="154">
        <v>1421432078</v>
      </c>
      <c r="R54" s="154">
        <v>0</v>
      </c>
      <c r="S54" s="154">
        <v>0</v>
      </c>
      <c r="T54" s="154">
        <v>0</v>
      </c>
      <c r="U54" s="154">
        <v>0</v>
      </c>
      <c r="V54" s="154">
        <v>0</v>
      </c>
      <c r="W54" s="154">
        <v>0</v>
      </c>
      <c r="X54" s="154">
        <v>0</v>
      </c>
      <c r="Y54" s="154">
        <v>-18579306</v>
      </c>
      <c r="Z54" s="150">
        <v>-5036562956</v>
      </c>
      <c r="AA54" s="155">
        <v>104837639</v>
      </c>
      <c r="AB54" s="156">
        <v>65171052</v>
      </c>
      <c r="AC54" s="156">
        <v>0</v>
      </c>
      <c r="AD54" s="156">
        <v>20046676</v>
      </c>
      <c r="AE54" s="156">
        <v>0</v>
      </c>
      <c r="AF54" s="156">
        <v>13864502</v>
      </c>
      <c r="AG54" s="156">
        <v>0</v>
      </c>
      <c r="AH54" s="156">
        <v>0</v>
      </c>
      <c r="AI54" s="156">
        <v>1416856</v>
      </c>
      <c r="AJ54" s="156">
        <v>0</v>
      </c>
      <c r="AK54" s="156">
        <v>3121</v>
      </c>
      <c r="AL54" s="156">
        <v>3830011</v>
      </c>
      <c r="AM54" s="156">
        <v>0</v>
      </c>
      <c r="AN54" s="156">
        <v>505421</v>
      </c>
      <c r="AO54" s="150">
        <v>-5141400595</v>
      </c>
      <c r="AP54" s="157">
        <v>0</v>
      </c>
      <c r="AQ54" s="158">
        <v>0</v>
      </c>
      <c r="AR54" s="158">
        <v>0</v>
      </c>
      <c r="AS54" s="158">
        <v>0</v>
      </c>
      <c r="AT54" s="158">
        <v>0</v>
      </c>
      <c r="AU54" s="158">
        <v>0</v>
      </c>
      <c r="AV54" s="158">
        <v>0</v>
      </c>
      <c r="AW54" s="158">
        <v>0</v>
      </c>
      <c r="AX54" s="159">
        <v>0</v>
      </c>
      <c r="AY54" s="160">
        <v>0</v>
      </c>
      <c r="AZ54" s="160">
        <v>0</v>
      </c>
      <c r="BA54" s="160">
        <v>0</v>
      </c>
      <c r="BB54" s="160">
        <v>0</v>
      </c>
      <c r="BC54" s="160">
        <v>0</v>
      </c>
      <c r="BD54" s="160">
        <v>0</v>
      </c>
      <c r="BE54" s="160">
        <v>0</v>
      </c>
      <c r="BF54" s="150">
        <v>-5141400595</v>
      </c>
      <c r="BW54" s="255">
        <f t="shared" si="11"/>
        <v>0</v>
      </c>
      <c r="BX54" s="255">
        <f t="shared" si="12"/>
        <v>0</v>
      </c>
      <c r="BY54" s="255">
        <f t="shared" si="13"/>
        <v>0</v>
      </c>
      <c r="BZ54" s="255">
        <f t="shared" si="10"/>
        <v>0</v>
      </c>
      <c r="CA54" s="255">
        <f t="shared" si="14"/>
        <v>-18579306</v>
      </c>
      <c r="CB54" s="255">
        <f t="shared" si="15"/>
        <v>725937923</v>
      </c>
      <c r="CC54" s="255">
        <f t="shared" si="16"/>
        <v>782448041</v>
      </c>
      <c r="CD54" s="255">
        <f t="shared" si="17"/>
        <v>65171052</v>
      </c>
      <c r="CG54" s="248"/>
    </row>
    <row r="55" spans="1:85">
      <c r="A55" s="110" t="s">
        <v>69</v>
      </c>
      <c r="B55" s="149" t="s">
        <v>249</v>
      </c>
      <c r="C55" s="137" t="s">
        <v>5586</v>
      </c>
      <c r="D55" s="150">
        <v>4077.6499999999905</v>
      </c>
      <c r="E55" s="151">
        <v>10930643200</v>
      </c>
      <c r="F55" s="152">
        <v>10930643200</v>
      </c>
      <c r="G55" s="152">
        <v>0</v>
      </c>
      <c r="H55" s="153">
        <v>2690626877</v>
      </c>
      <c r="I55" s="154">
        <v>721432448</v>
      </c>
      <c r="J55" s="154">
        <v>0</v>
      </c>
      <c r="K55" s="154">
        <v>715255776</v>
      </c>
      <c r="L55" s="154">
        <v>30275932</v>
      </c>
      <c r="M55" s="154">
        <v>418937381</v>
      </c>
      <c r="N55" s="154">
        <v>422801480</v>
      </c>
      <c r="O55" s="154">
        <v>317175594</v>
      </c>
      <c r="P55" s="154">
        <v>87254442</v>
      </c>
      <c r="Q55" s="154">
        <v>166299480</v>
      </c>
      <c r="R55" s="154">
        <v>0</v>
      </c>
      <c r="S55" s="154">
        <v>16131839</v>
      </c>
      <c r="T55" s="154">
        <v>0</v>
      </c>
      <c r="U55" s="154">
        <v>0</v>
      </c>
      <c r="V55" s="154">
        <v>-188340127</v>
      </c>
      <c r="W55" s="154">
        <v>0</v>
      </c>
      <c r="X55" s="154">
        <v>0</v>
      </c>
      <c r="Y55" s="154">
        <v>-16597368</v>
      </c>
      <c r="Z55" s="150">
        <v>8240016323</v>
      </c>
      <c r="AA55" s="155">
        <v>69890033</v>
      </c>
      <c r="AB55" s="156">
        <v>63132750</v>
      </c>
      <c r="AC55" s="156">
        <v>4261487</v>
      </c>
      <c r="AD55" s="156">
        <v>0</v>
      </c>
      <c r="AE55" s="156">
        <v>0</v>
      </c>
      <c r="AF55" s="156">
        <v>0</v>
      </c>
      <c r="AG55" s="156">
        <v>0</v>
      </c>
      <c r="AH55" s="156">
        <v>0</v>
      </c>
      <c r="AI55" s="156">
        <v>0</v>
      </c>
      <c r="AJ55" s="156">
        <v>0</v>
      </c>
      <c r="AK55" s="156">
        <v>0</v>
      </c>
      <c r="AL55" s="156">
        <v>2495796</v>
      </c>
      <c r="AM55" s="156">
        <v>0</v>
      </c>
      <c r="AN55" s="156">
        <v>0</v>
      </c>
      <c r="AO55" s="150">
        <v>8170126290</v>
      </c>
      <c r="AP55" s="157">
        <v>0</v>
      </c>
      <c r="AQ55" s="158">
        <v>0</v>
      </c>
      <c r="AR55" s="158">
        <v>0</v>
      </c>
      <c r="AS55" s="158">
        <v>0</v>
      </c>
      <c r="AT55" s="158">
        <v>0</v>
      </c>
      <c r="AU55" s="158">
        <v>0</v>
      </c>
      <c r="AV55" s="158">
        <v>0</v>
      </c>
      <c r="AW55" s="158">
        <v>0</v>
      </c>
      <c r="AX55" s="159">
        <v>0</v>
      </c>
      <c r="AY55" s="160">
        <v>0</v>
      </c>
      <c r="AZ55" s="160">
        <v>0</v>
      </c>
      <c r="BA55" s="160">
        <v>0</v>
      </c>
      <c r="BB55" s="160">
        <v>0</v>
      </c>
      <c r="BC55" s="160">
        <v>0</v>
      </c>
      <c r="BD55" s="160">
        <v>0</v>
      </c>
      <c r="BE55" s="160">
        <v>0</v>
      </c>
      <c r="BF55" s="150">
        <v>8170126290</v>
      </c>
      <c r="BW55" s="255">
        <f t="shared" si="11"/>
        <v>0</v>
      </c>
      <c r="BX55" s="255">
        <f t="shared" si="12"/>
        <v>721432448</v>
      </c>
      <c r="BY55" s="255">
        <f t="shared" si="13"/>
        <v>-172208288</v>
      </c>
      <c r="BZ55" s="255">
        <f t="shared" si="10"/>
        <v>549224160</v>
      </c>
      <c r="CA55" s="255">
        <f t="shared" si="14"/>
        <v>-16597368</v>
      </c>
      <c r="CB55" s="255">
        <f t="shared" si="15"/>
        <v>422801480</v>
      </c>
      <c r="CC55" s="255">
        <f t="shared" si="16"/>
        <v>87254442</v>
      </c>
      <c r="CD55" s="255">
        <f t="shared" si="17"/>
        <v>63132750</v>
      </c>
      <c r="CG55" s="248"/>
    </row>
    <row r="56" spans="1:85">
      <c r="A56" s="110" t="s">
        <v>69</v>
      </c>
      <c r="B56" s="149" t="s">
        <v>251</v>
      </c>
      <c r="C56" s="137" t="s">
        <v>252</v>
      </c>
      <c r="D56" s="150">
        <v>547430</v>
      </c>
      <c r="E56" s="151">
        <v>18034886059</v>
      </c>
      <c r="F56" s="152">
        <v>18034886059</v>
      </c>
      <c r="G56" s="152">
        <v>0</v>
      </c>
      <c r="H56" s="153">
        <v>9817372589</v>
      </c>
      <c r="I56" s="154">
        <v>0</v>
      </c>
      <c r="J56" s="154">
        <v>0</v>
      </c>
      <c r="K56" s="154">
        <v>220717244</v>
      </c>
      <c r="L56" s="154">
        <v>18985133</v>
      </c>
      <c r="M56" s="154">
        <v>1231599574</v>
      </c>
      <c r="N56" s="154">
        <v>7814211920</v>
      </c>
      <c r="O56" s="154">
        <v>223503948</v>
      </c>
      <c r="P56" s="154">
        <v>7875737</v>
      </c>
      <c r="Q56" s="154">
        <v>300479033</v>
      </c>
      <c r="R56" s="154">
        <v>0</v>
      </c>
      <c r="S56" s="154">
        <v>0</v>
      </c>
      <c r="T56" s="154">
        <v>0</v>
      </c>
      <c r="U56" s="154">
        <v>0</v>
      </c>
      <c r="V56" s="154">
        <v>0</v>
      </c>
      <c r="W56" s="154">
        <v>0</v>
      </c>
      <c r="X56" s="154">
        <v>0</v>
      </c>
      <c r="Y56" s="154">
        <v>0</v>
      </c>
      <c r="Z56" s="150">
        <v>8217513470</v>
      </c>
      <c r="AA56" s="155">
        <v>0</v>
      </c>
      <c r="AB56" s="156">
        <v>0</v>
      </c>
      <c r="AC56" s="156">
        <v>0</v>
      </c>
      <c r="AD56" s="156">
        <v>0</v>
      </c>
      <c r="AE56" s="156">
        <v>0</v>
      </c>
      <c r="AF56" s="156">
        <v>0</v>
      </c>
      <c r="AG56" s="156">
        <v>0</v>
      </c>
      <c r="AH56" s="156">
        <v>0</v>
      </c>
      <c r="AI56" s="156">
        <v>0</v>
      </c>
      <c r="AJ56" s="156">
        <v>0</v>
      </c>
      <c r="AK56" s="156">
        <v>0</v>
      </c>
      <c r="AL56" s="156">
        <v>0</v>
      </c>
      <c r="AM56" s="156">
        <v>0</v>
      </c>
      <c r="AN56" s="156">
        <v>0</v>
      </c>
      <c r="AO56" s="150">
        <v>8217513470</v>
      </c>
      <c r="AP56" s="157">
        <v>0</v>
      </c>
      <c r="AQ56" s="158">
        <v>0</v>
      </c>
      <c r="AR56" s="158">
        <v>0</v>
      </c>
      <c r="AS56" s="158">
        <v>0</v>
      </c>
      <c r="AT56" s="158">
        <v>0</v>
      </c>
      <c r="AU56" s="158">
        <v>0</v>
      </c>
      <c r="AV56" s="158">
        <v>0</v>
      </c>
      <c r="AW56" s="158">
        <v>0</v>
      </c>
      <c r="AX56" s="159">
        <v>0</v>
      </c>
      <c r="AY56" s="160">
        <v>0</v>
      </c>
      <c r="AZ56" s="160">
        <v>0</v>
      </c>
      <c r="BA56" s="160">
        <v>0</v>
      </c>
      <c r="BB56" s="160">
        <v>0</v>
      </c>
      <c r="BC56" s="160">
        <v>0</v>
      </c>
      <c r="BD56" s="160">
        <v>0</v>
      </c>
      <c r="BE56" s="160">
        <v>0</v>
      </c>
      <c r="BF56" s="150">
        <v>8217513470</v>
      </c>
      <c r="BW56" s="255">
        <f t="shared" si="11"/>
        <v>0</v>
      </c>
      <c r="BX56" s="255">
        <f t="shared" si="12"/>
        <v>0</v>
      </c>
      <c r="BY56" s="255">
        <f t="shared" si="13"/>
        <v>0</v>
      </c>
      <c r="BZ56" s="255">
        <f t="shared" si="10"/>
        <v>0</v>
      </c>
      <c r="CA56" s="255">
        <f t="shared" si="14"/>
        <v>0</v>
      </c>
      <c r="CB56" s="255">
        <f t="shared" si="15"/>
        <v>7814211920</v>
      </c>
      <c r="CC56" s="255">
        <f t="shared" si="16"/>
        <v>7875737</v>
      </c>
      <c r="CD56" s="255">
        <f t="shared" si="17"/>
        <v>0</v>
      </c>
      <c r="CG56" s="248"/>
    </row>
    <row r="57" spans="1:85">
      <c r="A57" s="110" t="s">
        <v>69</v>
      </c>
      <c r="B57" s="149" t="s">
        <v>253</v>
      </c>
      <c r="C57" s="137" t="s">
        <v>246</v>
      </c>
      <c r="D57" s="150">
        <v>38400</v>
      </c>
      <c r="E57" s="151">
        <v>2789892759</v>
      </c>
      <c r="F57" s="152">
        <v>2789892759</v>
      </c>
      <c r="G57" s="152">
        <v>0</v>
      </c>
      <c r="H57" s="153">
        <v>1094002493</v>
      </c>
      <c r="I57" s="154">
        <v>0</v>
      </c>
      <c r="J57" s="154">
        <v>6851956</v>
      </c>
      <c r="K57" s="154">
        <v>247929156</v>
      </c>
      <c r="L57" s="154">
        <v>19875659</v>
      </c>
      <c r="M57" s="154">
        <v>355194566</v>
      </c>
      <c r="N57" s="154">
        <v>50323962</v>
      </c>
      <c r="O57" s="154">
        <v>110452873</v>
      </c>
      <c r="P57" s="154">
        <v>229655389</v>
      </c>
      <c r="Q57" s="154">
        <v>73718932</v>
      </c>
      <c r="R57" s="154">
        <v>0</v>
      </c>
      <c r="S57" s="154">
        <v>0</v>
      </c>
      <c r="T57" s="154">
        <v>0</v>
      </c>
      <c r="U57" s="154">
        <v>0</v>
      </c>
      <c r="V57" s="154">
        <v>0</v>
      </c>
      <c r="W57" s="154">
        <v>0</v>
      </c>
      <c r="X57" s="154">
        <v>0</v>
      </c>
      <c r="Y57" s="154">
        <v>0</v>
      </c>
      <c r="Z57" s="150">
        <v>1695890266</v>
      </c>
      <c r="AA57" s="155">
        <v>7950416</v>
      </c>
      <c r="AB57" s="156">
        <v>5452000</v>
      </c>
      <c r="AC57" s="156">
        <v>2498416</v>
      </c>
      <c r="AD57" s="156">
        <v>0</v>
      </c>
      <c r="AE57" s="156">
        <v>0</v>
      </c>
      <c r="AF57" s="156">
        <v>0</v>
      </c>
      <c r="AG57" s="156">
        <v>0</v>
      </c>
      <c r="AH57" s="156">
        <v>0</v>
      </c>
      <c r="AI57" s="156">
        <v>0</v>
      </c>
      <c r="AJ57" s="156">
        <v>0</v>
      </c>
      <c r="AK57" s="156">
        <v>0</v>
      </c>
      <c r="AL57" s="156">
        <v>0</v>
      </c>
      <c r="AM57" s="156">
        <v>0</v>
      </c>
      <c r="AN57" s="156">
        <v>0</v>
      </c>
      <c r="AO57" s="150">
        <v>1687939850</v>
      </c>
      <c r="AP57" s="157">
        <v>0</v>
      </c>
      <c r="AQ57" s="158">
        <v>0</v>
      </c>
      <c r="AR57" s="158">
        <v>0</v>
      </c>
      <c r="AS57" s="158">
        <v>0</v>
      </c>
      <c r="AT57" s="158">
        <v>0</v>
      </c>
      <c r="AU57" s="158">
        <v>0</v>
      </c>
      <c r="AV57" s="158">
        <v>0</v>
      </c>
      <c r="AW57" s="158">
        <v>0</v>
      </c>
      <c r="AX57" s="159">
        <v>0</v>
      </c>
      <c r="AY57" s="160">
        <v>0</v>
      </c>
      <c r="AZ57" s="160">
        <v>0</v>
      </c>
      <c r="BA57" s="160">
        <v>0</v>
      </c>
      <c r="BB57" s="160">
        <v>0</v>
      </c>
      <c r="BC57" s="160">
        <v>0</v>
      </c>
      <c r="BD57" s="160">
        <v>0</v>
      </c>
      <c r="BE57" s="160">
        <v>0</v>
      </c>
      <c r="BF57" s="150">
        <v>1687939850</v>
      </c>
      <c r="BW57" s="255">
        <f t="shared" si="11"/>
        <v>0</v>
      </c>
      <c r="BX57" s="255">
        <f t="shared" si="12"/>
        <v>0</v>
      </c>
      <c r="BY57" s="255">
        <f t="shared" si="13"/>
        <v>0</v>
      </c>
      <c r="BZ57" s="255">
        <f t="shared" si="10"/>
        <v>0</v>
      </c>
      <c r="CA57" s="255">
        <f t="shared" si="14"/>
        <v>0</v>
      </c>
      <c r="CB57" s="255">
        <f t="shared" si="15"/>
        <v>50323962</v>
      </c>
      <c r="CC57" s="255">
        <f t="shared" si="16"/>
        <v>229655389</v>
      </c>
      <c r="CD57" s="255">
        <f t="shared" si="17"/>
        <v>5452000</v>
      </c>
      <c r="CG57" s="248"/>
    </row>
    <row r="58" spans="1:85">
      <c r="A58" s="110" t="s">
        <v>69</v>
      </c>
      <c r="B58" s="149" t="s">
        <v>254</v>
      </c>
      <c r="C58" s="137" t="s">
        <v>246</v>
      </c>
      <c r="D58" s="150">
        <v>116502</v>
      </c>
      <c r="E58" s="151">
        <v>141936194</v>
      </c>
      <c r="F58" s="152">
        <v>141936194</v>
      </c>
      <c r="G58" s="152">
        <v>0</v>
      </c>
      <c r="H58" s="153">
        <v>943450338</v>
      </c>
      <c r="I58" s="154">
        <v>0</v>
      </c>
      <c r="J58" s="154">
        <v>0</v>
      </c>
      <c r="K58" s="154">
        <v>16542781</v>
      </c>
      <c r="L58" s="154">
        <v>1796143</v>
      </c>
      <c r="M58" s="154">
        <v>437036367</v>
      </c>
      <c r="N58" s="154">
        <v>30277331</v>
      </c>
      <c r="O58" s="154">
        <v>2644684</v>
      </c>
      <c r="P58" s="154">
        <v>402544637</v>
      </c>
      <c r="Q58" s="154">
        <v>52608395</v>
      </c>
      <c r="R58" s="154">
        <v>0</v>
      </c>
      <c r="S58" s="154">
        <v>0</v>
      </c>
      <c r="T58" s="154">
        <v>0</v>
      </c>
      <c r="U58" s="154">
        <v>0</v>
      </c>
      <c r="V58" s="154">
        <v>0</v>
      </c>
      <c r="W58" s="154">
        <v>0</v>
      </c>
      <c r="X58" s="154">
        <v>0</v>
      </c>
      <c r="Y58" s="154">
        <v>0</v>
      </c>
      <c r="Z58" s="150">
        <v>-801514144</v>
      </c>
      <c r="AA58" s="155">
        <v>3174284</v>
      </c>
      <c r="AB58" s="156">
        <v>2409551</v>
      </c>
      <c r="AC58" s="156">
        <v>491163</v>
      </c>
      <c r="AD58" s="156">
        <v>0</v>
      </c>
      <c r="AE58" s="156">
        <v>0</v>
      </c>
      <c r="AF58" s="156">
        <v>0</v>
      </c>
      <c r="AG58" s="156">
        <v>0</v>
      </c>
      <c r="AH58" s="156">
        <v>0</v>
      </c>
      <c r="AI58" s="156">
        <v>0</v>
      </c>
      <c r="AJ58" s="156">
        <v>0</v>
      </c>
      <c r="AK58" s="156">
        <v>0</v>
      </c>
      <c r="AL58" s="156">
        <v>273570</v>
      </c>
      <c r="AM58" s="156">
        <v>0</v>
      </c>
      <c r="AN58" s="156">
        <v>0</v>
      </c>
      <c r="AO58" s="150">
        <v>-804688428</v>
      </c>
      <c r="AP58" s="157">
        <v>0</v>
      </c>
      <c r="AQ58" s="158">
        <v>0</v>
      </c>
      <c r="AR58" s="158">
        <v>0</v>
      </c>
      <c r="AS58" s="158">
        <v>0</v>
      </c>
      <c r="AT58" s="158">
        <v>0</v>
      </c>
      <c r="AU58" s="158">
        <v>0</v>
      </c>
      <c r="AV58" s="158">
        <v>0</v>
      </c>
      <c r="AW58" s="158">
        <v>0</v>
      </c>
      <c r="AX58" s="159">
        <v>0</v>
      </c>
      <c r="AY58" s="160">
        <v>0</v>
      </c>
      <c r="AZ58" s="160">
        <v>0</v>
      </c>
      <c r="BA58" s="160">
        <v>0</v>
      </c>
      <c r="BB58" s="160">
        <v>0</v>
      </c>
      <c r="BC58" s="160">
        <v>0</v>
      </c>
      <c r="BD58" s="160">
        <v>0</v>
      </c>
      <c r="BE58" s="160">
        <v>0</v>
      </c>
      <c r="BF58" s="150">
        <v>-804688428</v>
      </c>
      <c r="BW58" s="255">
        <f t="shared" si="11"/>
        <v>0</v>
      </c>
      <c r="BX58" s="255">
        <f t="shared" si="12"/>
        <v>0</v>
      </c>
      <c r="BY58" s="255">
        <f t="shared" si="13"/>
        <v>0</v>
      </c>
      <c r="BZ58" s="255">
        <f t="shared" si="10"/>
        <v>0</v>
      </c>
      <c r="CA58" s="255">
        <f t="shared" si="14"/>
        <v>0</v>
      </c>
      <c r="CB58" s="255">
        <f t="shared" si="15"/>
        <v>30277331</v>
      </c>
      <c r="CC58" s="255">
        <f t="shared" si="16"/>
        <v>402544637</v>
      </c>
      <c r="CD58" s="255">
        <f t="shared" si="17"/>
        <v>2409551</v>
      </c>
      <c r="CG58" s="248"/>
    </row>
    <row r="59" spans="1:85">
      <c r="A59" s="110" t="s">
        <v>69</v>
      </c>
      <c r="B59" s="149" t="s">
        <v>256</v>
      </c>
      <c r="C59" s="137" t="s">
        <v>246</v>
      </c>
      <c r="D59" s="150">
        <v>16141</v>
      </c>
      <c r="E59" s="151">
        <v>32655558</v>
      </c>
      <c r="F59" s="152">
        <v>32655558</v>
      </c>
      <c r="G59" s="152">
        <v>0</v>
      </c>
      <c r="H59" s="153">
        <v>65069640</v>
      </c>
      <c r="I59" s="154">
        <v>0</v>
      </c>
      <c r="J59" s="154">
        <v>0</v>
      </c>
      <c r="K59" s="154">
        <v>922237</v>
      </c>
      <c r="L59" s="154">
        <v>51731</v>
      </c>
      <c r="M59" s="154">
        <v>33495524</v>
      </c>
      <c r="N59" s="154">
        <v>2269379</v>
      </c>
      <c r="O59" s="154">
        <v>79339</v>
      </c>
      <c r="P59" s="154">
        <v>24391865</v>
      </c>
      <c r="Q59" s="154">
        <v>3859565</v>
      </c>
      <c r="R59" s="154">
        <v>0</v>
      </c>
      <c r="S59" s="154">
        <v>0</v>
      </c>
      <c r="T59" s="154">
        <v>0</v>
      </c>
      <c r="U59" s="154">
        <v>0</v>
      </c>
      <c r="V59" s="154">
        <v>0</v>
      </c>
      <c r="W59" s="154">
        <v>0</v>
      </c>
      <c r="X59" s="154">
        <v>0</v>
      </c>
      <c r="Y59" s="154">
        <v>0</v>
      </c>
      <c r="Z59" s="150">
        <v>-32414082</v>
      </c>
      <c r="AA59" s="155">
        <v>178182</v>
      </c>
      <c r="AB59" s="156">
        <v>0</v>
      </c>
      <c r="AC59" s="156">
        <v>178182</v>
      </c>
      <c r="AD59" s="156">
        <v>0</v>
      </c>
      <c r="AE59" s="156">
        <v>0</v>
      </c>
      <c r="AF59" s="156">
        <v>0</v>
      </c>
      <c r="AG59" s="156">
        <v>0</v>
      </c>
      <c r="AH59" s="156">
        <v>0</v>
      </c>
      <c r="AI59" s="156">
        <v>0</v>
      </c>
      <c r="AJ59" s="156">
        <v>0</v>
      </c>
      <c r="AK59" s="156">
        <v>0</v>
      </c>
      <c r="AL59" s="156">
        <v>0</v>
      </c>
      <c r="AM59" s="156">
        <v>0</v>
      </c>
      <c r="AN59" s="156">
        <v>0</v>
      </c>
      <c r="AO59" s="150">
        <v>-32592264</v>
      </c>
      <c r="AP59" s="157">
        <v>0</v>
      </c>
      <c r="AQ59" s="158">
        <v>0</v>
      </c>
      <c r="AR59" s="158">
        <v>0</v>
      </c>
      <c r="AS59" s="158">
        <v>0</v>
      </c>
      <c r="AT59" s="158">
        <v>0</v>
      </c>
      <c r="AU59" s="158">
        <v>0</v>
      </c>
      <c r="AV59" s="158">
        <v>0</v>
      </c>
      <c r="AW59" s="158">
        <v>0</v>
      </c>
      <c r="AX59" s="159">
        <v>0</v>
      </c>
      <c r="AY59" s="160">
        <v>0</v>
      </c>
      <c r="AZ59" s="160">
        <v>0</v>
      </c>
      <c r="BA59" s="160">
        <v>0</v>
      </c>
      <c r="BB59" s="160">
        <v>0</v>
      </c>
      <c r="BC59" s="160">
        <v>0</v>
      </c>
      <c r="BD59" s="160">
        <v>0</v>
      </c>
      <c r="BE59" s="160">
        <v>0</v>
      </c>
      <c r="BF59" s="150">
        <v>-32592264</v>
      </c>
      <c r="BW59" s="255">
        <f t="shared" si="11"/>
        <v>0</v>
      </c>
      <c r="BX59" s="255">
        <f t="shared" si="12"/>
        <v>0</v>
      </c>
      <c r="BY59" s="255">
        <f t="shared" si="13"/>
        <v>0</v>
      </c>
      <c r="BZ59" s="255">
        <f t="shared" si="10"/>
        <v>0</v>
      </c>
      <c r="CA59" s="255">
        <f t="shared" si="14"/>
        <v>0</v>
      </c>
      <c r="CB59" s="255">
        <f t="shared" si="15"/>
        <v>2269379</v>
      </c>
      <c r="CC59" s="255">
        <f t="shared" si="16"/>
        <v>24391865</v>
      </c>
      <c r="CD59" s="255">
        <f t="shared" si="17"/>
        <v>0</v>
      </c>
      <c r="CG59" s="248"/>
    </row>
    <row r="60" spans="1:85">
      <c r="A60" s="110" t="s">
        <v>69</v>
      </c>
      <c r="B60" s="149" t="s">
        <v>257</v>
      </c>
      <c r="C60" s="137" t="s">
        <v>258</v>
      </c>
      <c r="D60" s="150">
        <v>651602.01399999962</v>
      </c>
      <c r="E60" s="151">
        <v>4705127589445</v>
      </c>
      <c r="F60" s="152">
        <v>4718736651920</v>
      </c>
      <c r="G60" s="152">
        <v>-13609062475</v>
      </c>
      <c r="H60" s="153">
        <v>4530455009239</v>
      </c>
      <c r="I60" s="154">
        <v>4366057102973</v>
      </c>
      <c r="J60" s="154">
        <v>29472053578</v>
      </c>
      <c r="K60" s="154">
        <v>43423459862</v>
      </c>
      <c r="L60" s="154">
        <v>3268195001</v>
      </c>
      <c r="M60" s="154">
        <v>34618421785</v>
      </c>
      <c r="N60" s="154">
        <v>66922919386</v>
      </c>
      <c r="O60" s="154">
        <v>26395548342</v>
      </c>
      <c r="P60" s="154">
        <v>18472706145</v>
      </c>
      <c r="Q60" s="154">
        <v>30706253665</v>
      </c>
      <c r="R60" s="154">
        <v>-11169235968</v>
      </c>
      <c r="S60" s="154">
        <v>-40830656576</v>
      </c>
      <c r="T60" s="154">
        <v>-32472877304</v>
      </c>
      <c r="U60" s="154">
        <v>-240603740</v>
      </c>
      <c r="V60" s="154">
        <v>-685499064</v>
      </c>
      <c r="W60" s="154">
        <v>-1773822016</v>
      </c>
      <c r="X60" s="154">
        <v>0</v>
      </c>
      <c r="Y60" s="154">
        <v>-1708956830</v>
      </c>
      <c r="Z60" s="150">
        <v>174672580206</v>
      </c>
      <c r="AA60" s="155">
        <v>44026285393</v>
      </c>
      <c r="AB60" s="156">
        <v>717238694</v>
      </c>
      <c r="AC60" s="156">
        <v>194839773</v>
      </c>
      <c r="AD60" s="156">
        <v>0</v>
      </c>
      <c r="AE60" s="156">
        <v>0</v>
      </c>
      <c r="AF60" s="156">
        <v>18345193970</v>
      </c>
      <c r="AG60" s="156">
        <v>585215637</v>
      </c>
      <c r="AH60" s="156">
        <v>-1154021</v>
      </c>
      <c r="AI60" s="156">
        <v>704513124</v>
      </c>
      <c r="AJ60" s="156">
        <v>3356450315</v>
      </c>
      <c r="AK60" s="156">
        <v>1921188940</v>
      </c>
      <c r="AL60" s="156">
        <v>12326608919</v>
      </c>
      <c r="AM60" s="156">
        <v>32128472</v>
      </c>
      <c r="AN60" s="156">
        <v>5844061570</v>
      </c>
      <c r="AO60" s="150">
        <v>130646294813</v>
      </c>
      <c r="AP60" s="157">
        <v>35744118568</v>
      </c>
      <c r="AQ60" s="158">
        <v>22476573474</v>
      </c>
      <c r="AR60" s="158">
        <v>1183122107</v>
      </c>
      <c r="AS60" s="158">
        <v>4124595599</v>
      </c>
      <c r="AT60" s="158">
        <v>526305252</v>
      </c>
      <c r="AU60" s="158">
        <v>22344051</v>
      </c>
      <c r="AV60" s="158">
        <v>7411178085</v>
      </c>
      <c r="AW60" s="158">
        <v>0</v>
      </c>
      <c r="AX60" s="159">
        <v>53418589517</v>
      </c>
      <c r="AY60" s="160">
        <v>36858888877</v>
      </c>
      <c r="AZ60" s="160">
        <v>196375242</v>
      </c>
      <c r="BA60" s="160">
        <v>11083996061</v>
      </c>
      <c r="BB60" s="160">
        <v>25938160</v>
      </c>
      <c r="BC60" s="160">
        <v>4027872789</v>
      </c>
      <c r="BD60" s="160">
        <v>1173844747</v>
      </c>
      <c r="BE60" s="160">
        <v>51673641</v>
      </c>
      <c r="BF60" s="150">
        <v>112971823864</v>
      </c>
      <c r="BW60" s="255">
        <f t="shared" si="11"/>
        <v>-13609062475</v>
      </c>
      <c r="BX60" s="255">
        <f t="shared" si="12"/>
        <v>4366057102973</v>
      </c>
      <c r="BY60" s="255">
        <f t="shared" si="13"/>
        <v>-87172694668</v>
      </c>
      <c r="BZ60" s="255">
        <f t="shared" si="10"/>
        <v>4278884408305</v>
      </c>
      <c r="CA60" s="255">
        <f t="shared" si="14"/>
        <v>-1708956830</v>
      </c>
      <c r="CB60" s="255">
        <f t="shared" si="15"/>
        <v>66922919386</v>
      </c>
      <c r="CC60" s="255">
        <f t="shared" si="16"/>
        <v>18472706145</v>
      </c>
      <c r="CD60" s="255">
        <f t="shared" si="17"/>
        <v>717238694</v>
      </c>
      <c r="CG60" s="248"/>
    </row>
    <row r="61" spans="1:85">
      <c r="A61" s="110" t="s">
        <v>69</v>
      </c>
      <c r="B61" s="149" t="s">
        <v>259</v>
      </c>
      <c r="C61" s="137" t="s">
        <v>260</v>
      </c>
      <c r="D61" s="150">
        <v>1255656.4199999988</v>
      </c>
      <c r="E61" s="151">
        <v>1694562338</v>
      </c>
      <c r="F61" s="152">
        <v>1694562338</v>
      </c>
      <c r="G61" s="152">
        <v>0</v>
      </c>
      <c r="H61" s="153">
        <v>1629154837</v>
      </c>
      <c r="I61" s="154">
        <v>0</v>
      </c>
      <c r="J61" s="154">
        <v>0</v>
      </c>
      <c r="K61" s="154">
        <v>865946754</v>
      </c>
      <c r="L61" s="154">
        <v>56557117</v>
      </c>
      <c r="M61" s="154">
        <v>162833748</v>
      </c>
      <c r="N61" s="154">
        <v>1742163</v>
      </c>
      <c r="O61" s="154">
        <v>248170224</v>
      </c>
      <c r="P61" s="154">
        <v>2429879</v>
      </c>
      <c r="Q61" s="154">
        <v>333910829</v>
      </c>
      <c r="R61" s="154">
        <v>0</v>
      </c>
      <c r="S61" s="154">
        <v>0</v>
      </c>
      <c r="T61" s="154">
        <v>0</v>
      </c>
      <c r="U61" s="154">
        <v>0</v>
      </c>
      <c r="V61" s="154">
        <v>0</v>
      </c>
      <c r="W61" s="154">
        <v>0</v>
      </c>
      <c r="X61" s="154">
        <v>0</v>
      </c>
      <c r="Y61" s="154">
        <v>-42435877</v>
      </c>
      <c r="Z61" s="150">
        <v>65407501</v>
      </c>
      <c r="AA61" s="155">
        <v>10755252283</v>
      </c>
      <c r="AB61" s="156">
        <v>10742335515</v>
      </c>
      <c r="AC61" s="156">
        <v>12087768</v>
      </c>
      <c r="AD61" s="156">
        <v>0</v>
      </c>
      <c r="AE61" s="156">
        <v>0</v>
      </c>
      <c r="AF61" s="156">
        <v>0</v>
      </c>
      <c r="AG61" s="156">
        <v>0</v>
      </c>
      <c r="AH61" s="156">
        <v>0</v>
      </c>
      <c r="AI61" s="156">
        <v>0</v>
      </c>
      <c r="AJ61" s="156">
        <v>0</v>
      </c>
      <c r="AK61" s="156">
        <v>0</v>
      </c>
      <c r="AL61" s="156">
        <v>829000</v>
      </c>
      <c r="AM61" s="156">
        <v>0</v>
      </c>
      <c r="AN61" s="156">
        <v>0</v>
      </c>
      <c r="AO61" s="150">
        <v>-10689844782</v>
      </c>
      <c r="AP61" s="157">
        <v>0</v>
      </c>
      <c r="AQ61" s="158">
        <v>0</v>
      </c>
      <c r="AR61" s="158">
        <v>0</v>
      </c>
      <c r="AS61" s="158">
        <v>0</v>
      </c>
      <c r="AT61" s="158">
        <v>0</v>
      </c>
      <c r="AU61" s="158">
        <v>0</v>
      </c>
      <c r="AV61" s="158">
        <v>0</v>
      </c>
      <c r="AW61" s="158">
        <v>0</v>
      </c>
      <c r="AX61" s="159">
        <v>0</v>
      </c>
      <c r="AY61" s="160">
        <v>0</v>
      </c>
      <c r="AZ61" s="160">
        <v>0</v>
      </c>
      <c r="BA61" s="160">
        <v>0</v>
      </c>
      <c r="BB61" s="160">
        <v>0</v>
      </c>
      <c r="BC61" s="160">
        <v>0</v>
      </c>
      <c r="BD61" s="160">
        <v>0</v>
      </c>
      <c r="BE61" s="160">
        <v>0</v>
      </c>
      <c r="BF61" s="150">
        <v>-10689844782</v>
      </c>
      <c r="BW61" s="255">
        <f t="shared" si="11"/>
        <v>0</v>
      </c>
      <c r="BX61" s="255">
        <f t="shared" si="12"/>
        <v>0</v>
      </c>
      <c r="BY61" s="255">
        <f t="shared" si="13"/>
        <v>0</v>
      </c>
      <c r="BZ61" s="255">
        <f t="shared" si="10"/>
        <v>0</v>
      </c>
      <c r="CA61" s="255">
        <f t="shared" si="14"/>
        <v>-42435877</v>
      </c>
      <c r="CB61" s="255">
        <f t="shared" si="15"/>
        <v>1742163</v>
      </c>
      <c r="CC61" s="255">
        <f t="shared" si="16"/>
        <v>2429879</v>
      </c>
      <c r="CD61" s="255">
        <f t="shared" si="17"/>
        <v>10742335515</v>
      </c>
      <c r="CG61" s="248"/>
    </row>
    <row r="62" spans="1:85">
      <c r="A62" s="110" t="s">
        <v>69</v>
      </c>
      <c r="B62" s="149" t="s">
        <v>261</v>
      </c>
      <c r="C62" s="137" t="s">
        <v>262</v>
      </c>
      <c r="D62" s="150">
        <v>39446750.799999997</v>
      </c>
      <c r="E62" s="151">
        <v>1774353059317</v>
      </c>
      <c r="F62" s="152">
        <v>1772614073701</v>
      </c>
      <c r="G62" s="152">
        <v>1738985616</v>
      </c>
      <c r="H62" s="153">
        <v>1705241123912</v>
      </c>
      <c r="I62" s="154">
        <v>1701323038899</v>
      </c>
      <c r="J62" s="154">
        <v>509285530</v>
      </c>
      <c r="K62" s="154">
        <v>3304005937</v>
      </c>
      <c r="L62" s="154">
        <v>242133791</v>
      </c>
      <c r="M62" s="154">
        <v>1417530557</v>
      </c>
      <c r="N62" s="154">
        <v>1645449042</v>
      </c>
      <c r="O62" s="154">
        <v>1027128185</v>
      </c>
      <c r="P62" s="154">
        <v>901200745</v>
      </c>
      <c r="Q62" s="154">
        <v>1152949053</v>
      </c>
      <c r="R62" s="154">
        <v>8700405436</v>
      </c>
      <c r="S62" s="154">
        <v>4748550421</v>
      </c>
      <c r="T62" s="154">
        <v>-3187837713</v>
      </c>
      <c r="U62" s="154">
        <v>72906386</v>
      </c>
      <c r="V62" s="154">
        <v>0</v>
      </c>
      <c r="W62" s="154">
        <v>-329526248</v>
      </c>
      <c r="X62" s="154">
        <v>-7987359466</v>
      </c>
      <c r="Y62" s="154">
        <v>-8298736643</v>
      </c>
      <c r="Z62" s="150">
        <v>69111935405</v>
      </c>
      <c r="AA62" s="155">
        <v>17153045131</v>
      </c>
      <c r="AB62" s="156">
        <v>75924214</v>
      </c>
      <c r="AC62" s="156">
        <v>1603630</v>
      </c>
      <c r="AD62" s="156">
        <v>0</v>
      </c>
      <c r="AE62" s="156">
        <v>0</v>
      </c>
      <c r="AF62" s="156">
        <v>6964502317</v>
      </c>
      <c r="AG62" s="156">
        <v>218621640</v>
      </c>
      <c r="AH62" s="156">
        <v>0</v>
      </c>
      <c r="AI62" s="156">
        <v>255244460</v>
      </c>
      <c r="AJ62" s="156">
        <v>1285824921</v>
      </c>
      <c r="AK62" s="156">
        <v>739593439</v>
      </c>
      <c r="AL62" s="156">
        <v>5321138123</v>
      </c>
      <c r="AM62" s="156">
        <v>12388994</v>
      </c>
      <c r="AN62" s="156">
        <v>2278203393</v>
      </c>
      <c r="AO62" s="150">
        <v>51958890274</v>
      </c>
      <c r="AP62" s="157">
        <v>12223968926</v>
      </c>
      <c r="AQ62" s="158">
        <v>11376978880</v>
      </c>
      <c r="AR62" s="158">
        <v>828332764</v>
      </c>
      <c r="AS62" s="158">
        <v>17278192</v>
      </c>
      <c r="AT62" s="158">
        <v>0</v>
      </c>
      <c r="AU62" s="158">
        <v>0</v>
      </c>
      <c r="AV62" s="158">
        <v>1379090</v>
      </c>
      <c r="AW62" s="158">
        <v>0</v>
      </c>
      <c r="AX62" s="159">
        <v>15725035640</v>
      </c>
      <c r="AY62" s="160">
        <v>15337575424</v>
      </c>
      <c r="AZ62" s="160">
        <v>270297796</v>
      </c>
      <c r="BA62" s="160">
        <v>110150580</v>
      </c>
      <c r="BB62" s="160">
        <v>7011840</v>
      </c>
      <c r="BC62" s="160">
        <v>0</v>
      </c>
      <c r="BD62" s="160">
        <v>0</v>
      </c>
      <c r="BE62" s="160">
        <v>0</v>
      </c>
      <c r="BF62" s="150">
        <v>48457823560</v>
      </c>
      <c r="BW62" s="255">
        <f t="shared" si="11"/>
        <v>1738985616</v>
      </c>
      <c r="BX62" s="255">
        <f t="shared" si="12"/>
        <v>1701323038899</v>
      </c>
      <c r="BY62" s="255">
        <f t="shared" si="13"/>
        <v>2017138816</v>
      </c>
      <c r="BZ62" s="255">
        <f t="shared" si="10"/>
        <v>1703340177715</v>
      </c>
      <c r="CA62" s="255">
        <f t="shared" si="14"/>
        <v>-8298736643</v>
      </c>
      <c r="CB62" s="255">
        <f t="shared" si="15"/>
        <v>1645449042</v>
      </c>
      <c r="CC62" s="255">
        <f t="shared" si="16"/>
        <v>901200745</v>
      </c>
      <c r="CD62" s="255">
        <f t="shared" si="17"/>
        <v>75924214</v>
      </c>
      <c r="CG62" s="248"/>
    </row>
    <row r="63" spans="1:85">
      <c r="A63" s="110" t="s">
        <v>69</v>
      </c>
      <c r="B63" s="149" t="s">
        <v>263</v>
      </c>
      <c r="C63" s="137" t="s">
        <v>264</v>
      </c>
      <c r="D63" s="150">
        <v>659376724</v>
      </c>
      <c r="E63" s="151">
        <v>364131154332</v>
      </c>
      <c r="F63" s="152">
        <v>365665442381</v>
      </c>
      <c r="G63" s="152">
        <v>-1534288049</v>
      </c>
      <c r="H63" s="153">
        <v>335784800909</v>
      </c>
      <c r="I63" s="154">
        <v>346461531617</v>
      </c>
      <c r="J63" s="154">
        <v>112577812</v>
      </c>
      <c r="K63" s="154">
        <v>1272796516</v>
      </c>
      <c r="L63" s="154">
        <v>94321092</v>
      </c>
      <c r="M63" s="154">
        <v>1218397080</v>
      </c>
      <c r="N63" s="154">
        <v>365327505</v>
      </c>
      <c r="O63" s="154">
        <v>465758360</v>
      </c>
      <c r="P63" s="154">
        <v>876812323</v>
      </c>
      <c r="Q63" s="154">
        <v>596264434</v>
      </c>
      <c r="R63" s="154">
        <v>625323856</v>
      </c>
      <c r="S63" s="154">
        <v>-3816144058</v>
      </c>
      <c r="T63" s="154">
        <v>-8362657147</v>
      </c>
      <c r="U63" s="154">
        <v>0</v>
      </c>
      <c r="V63" s="154">
        <v>0</v>
      </c>
      <c r="W63" s="154">
        <v>-133951736</v>
      </c>
      <c r="X63" s="154">
        <v>-2181739304</v>
      </c>
      <c r="Y63" s="154">
        <v>-1809817441</v>
      </c>
      <c r="Z63" s="150">
        <v>28346353423</v>
      </c>
      <c r="AA63" s="155">
        <v>8605172994</v>
      </c>
      <c r="AB63" s="156">
        <v>98298748</v>
      </c>
      <c r="AC63" s="156">
        <v>18029976</v>
      </c>
      <c r="AD63" s="156">
        <v>406687</v>
      </c>
      <c r="AE63" s="156">
        <v>0</v>
      </c>
      <c r="AF63" s="156">
        <v>1594283819</v>
      </c>
      <c r="AG63" s="156">
        <v>45003226</v>
      </c>
      <c r="AH63" s="156">
        <v>0</v>
      </c>
      <c r="AI63" s="156">
        <v>71919063</v>
      </c>
      <c r="AJ63" s="156">
        <v>4883046464</v>
      </c>
      <c r="AK63" s="156">
        <v>152199206</v>
      </c>
      <c r="AL63" s="156">
        <v>1275265403</v>
      </c>
      <c r="AM63" s="156">
        <v>2418960</v>
      </c>
      <c r="AN63" s="156">
        <v>464301442</v>
      </c>
      <c r="AO63" s="150">
        <v>19741180429</v>
      </c>
      <c r="AP63" s="157">
        <v>2915670035</v>
      </c>
      <c r="AQ63" s="158">
        <v>2578043989</v>
      </c>
      <c r="AR63" s="158">
        <v>329325979</v>
      </c>
      <c r="AS63" s="158">
        <v>8300067</v>
      </c>
      <c r="AT63" s="158">
        <v>0</v>
      </c>
      <c r="AU63" s="158">
        <v>0</v>
      </c>
      <c r="AV63" s="158">
        <v>0</v>
      </c>
      <c r="AW63" s="158">
        <v>0</v>
      </c>
      <c r="AX63" s="159">
        <v>4215858084</v>
      </c>
      <c r="AY63" s="160">
        <v>4064082077</v>
      </c>
      <c r="AZ63" s="160">
        <v>79541256</v>
      </c>
      <c r="BA63" s="160">
        <v>72234751</v>
      </c>
      <c r="BB63" s="160">
        <v>0</v>
      </c>
      <c r="BC63" s="160">
        <v>0</v>
      </c>
      <c r="BD63" s="160">
        <v>0</v>
      </c>
      <c r="BE63" s="160">
        <v>0</v>
      </c>
      <c r="BF63" s="150">
        <v>18440992380</v>
      </c>
      <c r="BW63" s="255">
        <f t="shared" si="11"/>
        <v>-1534288049</v>
      </c>
      <c r="BX63" s="255">
        <f t="shared" si="12"/>
        <v>346461531617</v>
      </c>
      <c r="BY63" s="255">
        <f t="shared" si="13"/>
        <v>-13869168389</v>
      </c>
      <c r="BZ63" s="255">
        <f t="shared" si="10"/>
        <v>332592363228</v>
      </c>
      <c r="CA63" s="255">
        <f t="shared" si="14"/>
        <v>-1809817441</v>
      </c>
      <c r="CB63" s="255">
        <f t="shared" si="15"/>
        <v>365327505</v>
      </c>
      <c r="CC63" s="255">
        <f t="shared" si="16"/>
        <v>876812323</v>
      </c>
      <c r="CD63" s="255">
        <f t="shared" si="17"/>
        <v>98298748</v>
      </c>
      <c r="CG63" s="248"/>
    </row>
    <row r="64" spans="1:85">
      <c r="A64" s="110" t="s">
        <v>69</v>
      </c>
      <c r="B64" s="149" t="s">
        <v>265</v>
      </c>
      <c r="C64" s="137" t="s">
        <v>266</v>
      </c>
      <c r="D64" s="150">
        <v>180762.6999999999</v>
      </c>
      <c r="E64" s="151">
        <v>5666282559</v>
      </c>
      <c r="F64" s="152">
        <v>5666282559</v>
      </c>
      <c r="G64" s="152">
        <v>0</v>
      </c>
      <c r="H64" s="153">
        <v>2719551869</v>
      </c>
      <c r="I64" s="154">
        <v>2519599925</v>
      </c>
      <c r="J64" s="154">
        <v>0</v>
      </c>
      <c r="K64" s="154">
        <v>41625409</v>
      </c>
      <c r="L64" s="154">
        <v>2100092</v>
      </c>
      <c r="M64" s="154">
        <v>35529121</v>
      </c>
      <c r="N64" s="154">
        <v>238991</v>
      </c>
      <c r="O64" s="154">
        <v>57413920</v>
      </c>
      <c r="P64" s="154">
        <v>11457334</v>
      </c>
      <c r="Q64" s="154">
        <v>12977445</v>
      </c>
      <c r="R64" s="154">
        <v>0</v>
      </c>
      <c r="S64" s="154">
        <v>28834679</v>
      </c>
      <c r="T64" s="154">
        <v>0</v>
      </c>
      <c r="U64" s="154">
        <v>0</v>
      </c>
      <c r="V64" s="154">
        <v>0</v>
      </c>
      <c r="W64" s="154">
        <v>0</v>
      </c>
      <c r="X64" s="154">
        <v>0</v>
      </c>
      <c r="Y64" s="154">
        <v>9774953</v>
      </c>
      <c r="Z64" s="150">
        <v>2946730690</v>
      </c>
      <c r="AA64" s="155">
        <v>5929312</v>
      </c>
      <c r="AB64" s="156">
        <v>53177</v>
      </c>
      <c r="AC64" s="156">
        <v>31886</v>
      </c>
      <c r="AD64" s="156">
        <v>0</v>
      </c>
      <c r="AE64" s="156">
        <v>0</v>
      </c>
      <c r="AF64" s="156">
        <v>1365149</v>
      </c>
      <c r="AG64" s="156">
        <v>0</v>
      </c>
      <c r="AH64" s="156">
        <v>0</v>
      </c>
      <c r="AI64" s="156">
        <v>64735</v>
      </c>
      <c r="AJ64" s="156">
        <v>0</v>
      </c>
      <c r="AK64" s="156">
        <v>30361</v>
      </c>
      <c r="AL64" s="156">
        <v>4285579</v>
      </c>
      <c r="AM64" s="156">
        <v>0</v>
      </c>
      <c r="AN64" s="156">
        <v>98425</v>
      </c>
      <c r="AO64" s="150">
        <v>2940801378</v>
      </c>
      <c r="AP64" s="157">
        <v>0</v>
      </c>
      <c r="AQ64" s="158">
        <v>0</v>
      </c>
      <c r="AR64" s="158">
        <v>0</v>
      </c>
      <c r="AS64" s="158">
        <v>0</v>
      </c>
      <c r="AT64" s="158">
        <v>0</v>
      </c>
      <c r="AU64" s="158">
        <v>0</v>
      </c>
      <c r="AV64" s="158">
        <v>0</v>
      </c>
      <c r="AW64" s="158">
        <v>0</v>
      </c>
      <c r="AX64" s="159">
        <v>0</v>
      </c>
      <c r="AY64" s="160">
        <v>0</v>
      </c>
      <c r="AZ64" s="160">
        <v>0</v>
      </c>
      <c r="BA64" s="160">
        <v>0</v>
      </c>
      <c r="BB64" s="160">
        <v>0</v>
      </c>
      <c r="BC64" s="160">
        <v>0</v>
      </c>
      <c r="BD64" s="160">
        <v>0</v>
      </c>
      <c r="BE64" s="160">
        <v>0</v>
      </c>
      <c r="BF64" s="150">
        <v>2940801378</v>
      </c>
      <c r="BW64" s="255">
        <f t="shared" si="11"/>
        <v>0</v>
      </c>
      <c r="BX64" s="255">
        <f t="shared" si="12"/>
        <v>2519599925</v>
      </c>
      <c r="BY64" s="255">
        <f t="shared" si="13"/>
        <v>28834679</v>
      </c>
      <c r="BZ64" s="255">
        <f t="shared" si="10"/>
        <v>2548434604</v>
      </c>
      <c r="CA64" s="255">
        <f t="shared" si="14"/>
        <v>9774953</v>
      </c>
      <c r="CB64" s="255">
        <f t="shared" si="15"/>
        <v>238991</v>
      </c>
      <c r="CC64" s="255">
        <f t="shared" si="16"/>
        <v>11457334</v>
      </c>
      <c r="CD64" s="255">
        <f t="shared" si="17"/>
        <v>53177</v>
      </c>
      <c r="CG64" s="248"/>
    </row>
    <row r="65" spans="1:85">
      <c r="A65" s="110" t="s">
        <v>69</v>
      </c>
      <c r="B65" s="149" t="s">
        <v>267</v>
      </c>
      <c r="C65" s="137" t="s">
        <v>268</v>
      </c>
      <c r="D65" s="150">
        <v>1584312.4999999991</v>
      </c>
      <c r="E65" s="151">
        <v>57807594981</v>
      </c>
      <c r="F65" s="152">
        <v>57807594981</v>
      </c>
      <c r="G65" s="152">
        <v>0</v>
      </c>
      <c r="H65" s="153">
        <v>43493640407</v>
      </c>
      <c r="I65" s="154">
        <v>42670704713</v>
      </c>
      <c r="J65" s="154">
        <v>0</v>
      </c>
      <c r="K65" s="154">
        <v>119138143</v>
      </c>
      <c r="L65" s="154">
        <v>5110177</v>
      </c>
      <c r="M65" s="154">
        <v>102193441</v>
      </c>
      <c r="N65" s="154">
        <v>691410</v>
      </c>
      <c r="O65" s="154">
        <v>138724348</v>
      </c>
      <c r="P65" s="154">
        <v>87915515</v>
      </c>
      <c r="Q65" s="154">
        <v>61031873</v>
      </c>
      <c r="R65" s="154">
        <v>0</v>
      </c>
      <c r="S65" s="154">
        <v>418557001</v>
      </c>
      <c r="T65" s="154">
        <v>0</v>
      </c>
      <c r="U65" s="154">
        <v>0</v>
      </c>
      <c r="V65" s="154">
        <v>0</v>
      </c>
      <c r="W65" s="154">
        <v>0</v>
      </c>
      <c r="X65" s="154">
        <v>0</v>
      </c>
      <c r="Y65" s="154">
        <v>-110426214</v>
      </c>
      <c r="Z65" s="150">
        <v>14313954574</v>
      </c>
      <c r="AA65" s="155">
        <v>26406166</v>
      </c>
      <c r="AB65" s="156">
        <v>1790790</v>
      </c>
      <c r="AC65" s="156">
        <v>16708</v>
      </c>
      <c r="AD65" s="156">
        <v>0</v>
      </c>
      <c r="AE65" s="156">
        <v>0</v>
      </c>
      <c r="AF65" s="156">
        <v>13768127</v>
      </c>
      <c r="AG65" s="156">
        <v>0</v>
      </c>
      <c r="AH65" s="156">
        <v>0</v>
      </c>
      <c r="AI65" s="156">
        <v>647620</v>
      </c>
      <c r="AJ65" s="156">
        <v>0</v>
      </c>
      <c r="AK65" s="156">
        <v>334009</v>
      </c>
      <c r="AL65" s="156">
        <v>8957780</v>
      </c>
      <c r="AM65" s="156">
        <v>0</v>
      </c>
      <c r="AN65" s="156">
        <v>891132</v>
      </c>
      <c r="AO65" s="150">
        <v>14287548408</v>
      </c>
      <c r="AP65" s="157">
        <v>0</v>
      </c>
      <c r="AQ65" s="158">
        <v>0</v>
      </c>
      <c r="AR65" s="158">
        <v>0</v>
      </c>
      <c r="AS65" s="158">
        <v>0</v>
      </c>
      <c r="AT65" s="158">
        <v>0</v>
      </c>
      <c r="AU65" s="158">
        <v>0</v>
      </c>
      <c r="AV65" s="158">
        <v>0</v>
      </c>
      <c r="AW65" s="158">
        <v>0</v>
      </c>
      <c r="AX65" s="159">
        <v>0</v>
      </c>
      <c r="AY65" s="160">
        <v>0</v>
      </c>
      <c r="AZ65" s="160">
        <v>0</v>
      </c>
      <c r="BA65" s="160">
        <v>0</v>
      </c>
      <c r="BB65" s="160">
        <v>0</v>
      </c>
      <c r="BC65" s="160">
        <v>0</v>
      </c>
      <c r="BD65" s="160">
        <v>0</v>
      </c>
      <c r="BE65" s="160">
        <v>0</v>
      </c>
      <c r="BF65" s="150">
        <v>14287548408</v>
      </c>
      <c r="BW65" s="255">
        <f t="shared" si="11"/>
        <v>0</v>
      </c>
      <c r="BX65" s="255">
        <f t="shared" si="12"/>
        <v>42670704713</v>
      </c>
      <c r="BY65" s="255">
        <f t="shared" si="13"/>
        <v>418557001</v>
      </c>
      <c r="BZ65" s="255">
        <f t="shared" si="10"/>
        <v>43089261714</v>
      </c>
      <c r="CA65" s="255">
        <f t="shared" si="14"/>
        <v>-110426214</v>
      </c>
      <c r="CB65" s="255">
        <f t="shared" si="15"/>
        <v>691410</v>
      </c>
      <c r="CC65" s="255">
        <f t="shared" si="16"/>
        <v>87915515</v>
      </c>
      <c r="CD65" s="255">
        <f t="shared" si="17"/>
        <v>1790790</v>
      </c>
      <c r="CG65" s="248"/>
    </row>
    <row r="66" spans="1:85">
      <c r="A66" s="110" t="s">
        <v>69</v>
      </c>
      <c r="B66" s="149" t="s">
        <v>269</v>
      </c>
      <c r="C66" s="149" t="s">
        <v>320</v>
      </c>
      <c r="D66" s="150">
        <v>374050</v>
      </c>
      <c r="E66" s="151">
        <v>14129046085</v>
      </c>
      <c r="F66" s="152">
        <v>14129046085</v>
      </c>
      <c r="G66" s="152">
        <v>0</v>
      </c>
      <c r="H66" s="153">
        <v>8609944665</v>
      </c>
      <c r="I66" s="154">
        <v>3619242197</v>
      </c>
      <c r="J66" s="154">
        <v>64077543</v>
      </c>
      <c r="K66" s="154">
        <v>1499985003</v>
      </c>
      <c r="L66" s="154">
        <v>105042679</v>
      </c>
      <c r="M66" s="154">
        <v>1184236802</v>
      </c>
      <c r="N66" s="154">
        <v>96037294</v>
      </c>
      <c r="O66" s="154">
        <v>1015763951</v>
      </c>
      <c r="P66" s="154">
        <v>611773564</v>
      </c>
      <c r="Q66" s="154">
        <v>463587182</v>
      </c>
      <c r="R66" s="154">
        <v>0</v>
      </c>
      <c r="S66" s="154">
        <v>40484994</v>
      </c>
      <c r="T66" s="154">
        <v>0</v>
      </c>
      <c r="U66" s="154">
        <v>0</v>
      </c>
      <c r="V66" s="154">
        <v>0</v>
      </c>
      <c r="W66" s="154">
        <v>0</v>
      </c>
      <c r="X66" s="154">
        <v>0</v>
      </c>
      <c r="Y66" s="154">
        <v>-90286544</v>
      </c>
      <c r="Z66" s="150">
        <v>5519101420</v>
      </c>
      <c r="AA66" s="155">
        <v>39613372</v>
      </c>
      <c r="AB66" s="156">
        <v>21088224</v>
      </c>
      <c r="AC66" s="156">
        <v>14386391</v>
      </c>
      <c r="AD66" s="156">
        <v>0</v>
      </c>
      <c r="AE66" s="156">
        <v>0</v>
      </c>
      <c r="AF66" s="156">
        <v>3465579</v>
      </c>
      <c r="AG66" s="156">
        <v>0</v>
      </c>
      <c r="AH66" s="156">
        <v>0</v>
      </c>
      <c r="AI66" s="156">
        <v>177136</v>
      </c>
      <c r="AJ66" s="156">
        <v>0</v>
      </c>
      <c r="AK66" s="156">
        <v>92189</v>
      </c>
      <c r="AL66" s="156">
        <v>159559</v>
      </c>
      <c r="AM66" s="156">
        <v>0</v>
      </c>
      <c r="AN66" s="156">
        <v>244294</v>
      </c>
      <c r="AO66" s="150">
        <v>5479488048</v>
      </c>
      <c r="AP66" s="157">
        <v>5429462</v>
      </c>
      <c r="AQ66" s="158">
        <v>5429462</v>
      </c>
      <c r="AR66" s="158">
        <v>0</v>
      </c>
      <c r="AS66" s="158">
        <v>0</v>
      </c>
      <c r="AT66" s="158">
        <v>0</v>
      </c>
      <c r="AU66" s="158">
        <v>0</v>
      </c>
      <c r="AV66" s="158">
        <v>0</v>
      </c>
      <c r="AW66" s="158">
        <v>0</v>
      </c>
      <c r="AX66" s="159">
        <v>451309</v>
      </c>
      <c r="AY66" s="160">
        <v>451309</v>
      </c>
      <c r="AZ66" s="160">
        <v>0</v>
      </c>
      <c r="BA66" s="160">
        <v>0</v>
      </c>
      <c r="BB66" s="160">
        <v>0</v>
      </c>
      <c r="BC66" s="160">
        <v>0</v>
      </c>
      <c r="BD66" s="160">
        <v>0</v>
      </c>
      <c r="BE66" s="160">
        <v>0</v>
      </c>
      <c r="BF66" s="150">
        <v>5484466201</v>
      </c>
      <c r="BW66" s="255">
        <f t="shared" si="11"/>
        <v>0</v>
      </c>
      <c r="BX66" s="255">
        <f t="shared" si="12"/>
        <v>3619242197</v>
      </c>
      <c r="BY66" s="255">
        <f t="shared" si="13"/>
        <v>40484994</v>
      </c>
      <c r="BZ66" s="255">
        <f t="shared" si="10"/>
        <v>3659727191</v>
      </c>
      <c r="CA66" s="255">
        <f t="shared" si="14"/>
        <v>-90286544</v>
      </c>
      <c r="CB66" s="255">
        <f t="shared" si="15"/>
        <v>96037294</v>
      </c>
      <c r="CC66" s="255">
        <f t="shared" si="16"/>
        <v>611773564</v>
      </c>
      <c r="CD66" s="255">
        <f t="shared" si="17"/>
        <v>21088224</v>
      </c>
      <c r="CG66" s="248"/>
    </row>
    <row r="67" spans="1:85">
      <c r="A67" s="110" t="s">
        <v>69</v>
      </c>
      <c r="B67" s="149" t="s">
        <v>271</v>
      </c>
      <c r="C67" s="137" t="s">
        <v>272</v>
      </c>
      <c r="D67" s="150">
        <v>1808117</v>
      </c>
      <c r="E67" s="151">
        <v>17978386380</v>
      </c>
      <c r="F67" s="152">
        <v>17978386380</v>
      </c>
      <c r="G67" s="152">
        <v>0</v>
      </c>
      <c r="H67" s="153">
        <v>18166336327</v>
      </c>
      <c r="I67" s="154">
        <v>18520601677</v>
      </c>
      <c r="J67" s="154">
        <v>0</v>
      </c>
      <c r="K67" s="154">
        <v>0</v>
      </c>
      <c r="L67" s="154">
        <v>0</v>
      </c>
      <c r="M67" s="154">
        <v>0</v>
      </c>
      <c r="N67" s="154">
        <v>0</v>
      </c>
      <c r="O67" s="154">
        <v>0</v>
      </c>
      <c r="P67" s="154">
        <v>0</v>
      </c>
      <c r="Q67" s="154">
        <v>1316891</v>
      </c>
      <c r="R67" s="154">
        <v>0</v>
      </c>
      <c r="S67" s="154">
        <v>0</v>
      </c>
      <c r="T67" s="154">
        <v>0</v>
      </c>
      <c r="U67" s="154">
        <v>0</v>
      </c>
      <c r="V67" s="154">
        <v>0</v>
      </c>
      <c r="W67" s="154">
        <v>0</v>
      </c>
      <c r="X67" s="154">
        <v>0</v>
      </c>
      <c r="Y67" s="154">
        <v>-355582241</v>
      </c>
      <c r="Z67" s="150">
        <v>-187949947</v>
      </c>
      <c r="AA67" s="155">
        <v>69080417</v>
      </c>
      <c r="AB67" s="156">
        <v>50547214</v>
      </c>
      <c r="AC67" s="156">
        <v>818374</v>
      </c>
      <c r="AD67" s="156">
        <v>0</v>
      </c>
      <c r="AE67" s="156">
        <v>0</v>
      </c>
      <c r="AF67" s="156">
        <v>0</v>
      </c>
      <c r="AG67" s="156">
        <v>0</v>
      </c>
      <c r="AH67" s="156">
        <v>0</v>
      </c>
      <c r="AI67" s="156">
        <v>0</v>
      </c>
      <c r="AJ67" s="156">
        <v>0</v>
      </c>
      <c r="AK67" s="156">
        <v>0</v>
      </c>
      <c r="AL67" s="156">
        <v>17714829</v>
      </c>
      <c r="AM67" s="156">
        <v>0</v>
      </c>
      <c r="AN67" s="156">
        <v>0</v>
      </c>
      <c r="AO67" s="150">
        <v>-257030364</v>
      </c>
      <c r="AP67" s="157">
        <v>0</v>
      </c>
      <c r="AQ67" s="158">
        <v>0</v>
      </c>
      <c r="AR67" s="158">
        <v>0</v>
      </c>
      <c r="AS67" s="158">
        <v>0</v>
      </c>
      <c r="AT67" s="158">
        <v>0</v>
      </c>
      <c r="AU67" s="158">
        <v>0</v>
      </c>
      <c r="AV67" s="158">
        <v>0</v>
      </c>
      <c r="AW67" s="158">
        <v>0</v>
      </c>
      <c r="AX67" s="159">
        <v>0</v>
      </c>
      <c r="AY67" s="160">
        <v>0</v>
      </c>
      <c r="AZ67" s="160">
        <v>0</v>
      </c>
      <c r="BA67" s="160">
        <v>0</v>
      </c>
      <c r="BB67" s="160">
        <v>0</v>
      </c>
      <c r="BC67" s="160">
        <v>0</v>
      </c>
      <c r="BD67" s="160">
        <v>0</v>
      </c>
      <c r="BE67" s="160">
        <v>0</v>
      </c>
      <c r="BF67" s="150">
        <v>-257030364</v>
      </c>
      <c r="BW67" s="255">
        <f t="shared" si="11"/>
        <v>0</v>
      </c>
      <c r="BX67" s="255">
        <f t="shared" si="12"/>
        <v>18520601677</v>
      </c>
      <c r="BY67" s="255">
        <f t="shared" si="13"/>
        <v>0</v>
      </c>
      <c r="BZ67" s="255">
        <f t="shared" si="10"/>
        <v>18520601677</v>
      </c>
      <c r="CA67" s="255">
        <f t="shared" si="14"/>
        <v>-355582241</v>
      </c>
      <c r="CB67" s="255">
        <f t="shared" si="15"/>
        <v>0</v>
      </c>
      <c r="CC67" s="255">
        <f t="shared" si="16"/>
        <v>0</v>
      </c>
      <c r="CD67" s="255">
        <f t="shared" si="17"/>
        <v>50547214</v>
      </c>
      <c r="CG67" s="248"/>
    </row>
    <row r="68" spans="1:85">
      <c r="A68" s="110" t="s">
        <v>69</v>
      </c>
      <c r="B68" s="149" t="s">
        <v>273</v>
      </c>
      <c r="C68" s="137" t="s">
        <v>246</v>
      </c>
      <c r="D68" s="150">
        <v>4450000</v>
      </c>
      <c r="E68" s="151">
        <v>3199020088</v>
      </c>
      <c r="F68" s="152">
        <v>3199020088</v>
      </c>
      <c r="G68" s="152">
        <v>0</v>
      </c>
      <c r="H68" s="153">
        <v>2295669457</v>
      </c>
      <c r="I68" s="154">
        <v>0</v>
      </c>
      <c r="J68" s="154">
        <v>0</v>
      </c>
      <c r="K68" s="154">
        <v>646439941</v>
      </c>
      <c r="L68" s="154">
        <v>24768036</v>
      </c>
      <c r="M68" s="154">
        <v>1029431651</v>
      </c>
      <c r="N68" s="154">
        <v>127983945</v>
      </c>
      <c r="O68" s="154">
        <v>87446245</v>
      </c>
      <c r="P68" s="154">
        <v>188540179</v>
      </c>
      <c r="Q68" s="154">
        <v>191059460</v>
      </c>
      <c r="R68" s="154">
        <v>0</v>
      </c>
      <c r="S68" s="154">
        <v>0</v>
      </c>
      <c r="T68" s="154">
        <v>0</v>
      </c>
      <c r="U68" s="154">
        <v>0</v>
      </c>
      <c r="V68" s="154">
        <v>0</v>
      </c>
      <c r="W68" s="154">
        <v>0</v>
      </c>
      <c r="X68" s="154">
        <v>0</v>
      </c>
      <c r="Y68" s="154">
        <v>0</v>
      </c>
      <c r="Z68" s="150">
        <v>903350631</v>
      </c>
      <c r="AA68" s="155">
        <v>20753249</v>
      </c>
      <c r="AB68" s="156">
        <v>20354700</v>
      </c>
      <c r="AC68" s="156">
        <v>398549</v>
      </c>
      <c r="AD68" s="156">
        <v>0</v>
      </c>
      <c r="AE68" s="156">
        <v>0</v>
      </c>
      <c r="AF68" s="156">
        <v>0</v>
      </c>
      <c r="AG68" s="156">
        <v>0</v>
      </c>
      <c r="AH68" s="156">
        <v>0</v>
      </c>
      <c r="AI68" s="156">
        <v>0</v>
      </c>
      <c r="AJ68" s="156">
        <v>0</v>
      </c>
      <c r="AK68" s="156">
        <v>0</v>
      </c>
      <c r="AL68" s="156">
        <v>0</v>
      </c>
      <c r="AM68" s="156">
        <v>0</v>
      </c>
      <c r="AN68" s="156">
        <v>0</v>
      </c>
      <c r="AO68" s="150">
        <v>882597382</v>
      </c>
      <c r="AP68" s="157">
        <v>0</v>
      </c>
      <c r="AQ68" s="158">
        <v>0</v>
      </c>
      <c r="AR68" s="158">
        <v>0</v>
      </c>
      <c r="AS68" s="158">
        <v>0</v>
      </c>
      <c r="AT68" s="158">
        <v>0</v>
      </c>
      <c r="AU68" s="158">
        <v>0</v>
      </c>
      <c r="AV68" s="158">
        <v>0</v>
      </c>
      <c r="AW68" s="158">
        <v>0</v>
      </c>
      <c r="AX68" s="159">
        <v>0</v>
      </c>
      <c r="AY68" s="160">
        <v>0</v>
      </c>
      <c r="AZ68" s="160">
        <v>0</v>
      </c>
      <c r="BA68" s="160">
        <v>0</v>
      </c>
      <c r="BB68" s="160">
        <v>0</v>
      </c>
      <c r="BC68" s="160">
        <v>0</v>
      </c>
      <c r="BD68" s="160">
        <v>0</v>
      </c>
      <c r="BE68" s="160">
        <v>0</v>
      </c>
      <c r="BF68" s="150">
        <v>882597382</v>
      </c>
      <c r="BW68" s="255">
        <f t="shared" si="11"/>
        <v>0</v>
      </c>
      <c r="BX68" s="255">
        <f t="shared" si="12"/>
        <v>0</v>
      </c>
      <c r="BY68" s="255">
        <f t="shared" si="13"/>
        <v>0</v>
      </c>
      <c r="BZ68" s="255">
        <f t="shared" si="10"/>
        <v>0</v>
      </c>
      <c r="CA68" s="255">
        <f t="shared" si="14"/>
        <v>0</v>
      </c>
      <c r="CB68" s="255">
        <f t="shared" si="15"/>
        <v>127983945</v>
      </c>
      <c r="CC68" s="255">
        <f t="shared" si="16"/>
        <v>188540179</v>
      </c>
      <c r="CD68" s="255">
        <f t="shared" si="17"/>
        <v>20354700</v>
      </c>
      <c r="CG68" s="248"/>
    </row>
    <row r="69" spans="1:85">
      <c r="A69" s="110" t="s">
        <v>69</v>
      </c>
      <c r="B69" s="161" t="s">
        <v>321</v>
      </c>
      <c r="C69" s="137" t="s">
        <v>246</v>
      </c>
      <c r="D69" s="150">
        <v>78314.832000000009</v>
      </c>
      <c r="E69" s="151">
        <v>154871610169</v>
      </c>
      <c r="F69" s="152">
        <v>154871610169</v>
      </c>
      <c r="G69" s="152">
        <v>0</v>
      </c>
      <c r="H69" s="153">
        <v>152017266973</v>
      </c>
      <c r="I69" s="154">
        <v>156559272054</v>
      </c>
      <c r="J69" s="154">
        <v>0</v>
      </c>
      <c r="K69" s="154">
        <v>0</v>
      </c>
      <c r="L69" s="154">
        <v>0</v>
      </c>
      <c r="M69" s="154">
        <v>0</v>
      </c>
      <c r="N69" s="154">
        <v>0</v>
      </c>
      <c r="O69" s="154">
        <v>0</v>
      </c>
      <c r="P69" s="154">
        <v>0</v>
      </c>
      <c r="Q69" s="154">
        <v>0</v>
      </c>
      <c r="R69" s="154">
        <v>0</v>
      </c>
      <c r="S69" s="154">
        <v>0</v>
      </c>
      <c r="T69" s="154">
        <v>0</v>
      </c>
      <c r="U69" s="154">
        <v>0</v>
      </c>
      <c r="V69" s="154">
        <v>0</v>
      </c>
      <c r="W69" s="154">
        <v>0</v>
      </c>
      <c r="X69" s="154">
        <v>0</v>
      </c>
      <c r="Y69" s="154">
        <v>-4542005081</v>
      </c>
      <c r="Z69" s="150">
        <v>2854343196</v>
      </c>
      <c r="AA69" s="155">
        <v>0</v>
      </c>
      <c r="AB69" s="156">
        <v>0</v>
      </c>
      <c r="AC69" s="156">
        <v>0</v>
      </c>
      <c r="AD69" s="156">
        <v>0</v>
      </c>
      <c r="AE69" s="156">
        <v>0</v>
      </c>
      <c r="AF69" s="156">
        <v>0</v>
      </c>
      <c r="AG69" s="156">
        <v>0</v>
      </c>
      <c r="AH69" s="156">
        <v>0</v>
      </c>
      <c r="AI69" s="156">
        <v>0</v>
      </c>
      <c r="AJ69" s="156">
        <v>0</v>
      </c>
      <c r="AK69" s="156">
        <v>0</v>
      </c>
      <c r="AL69" s="156">
        <v>0</v>
      </c>
      <c r="AM69" s="156">
        <v>0</v>
      </c>
      <c r="AN69" s="156">
        <v>0</v>
      </c>
      <c r="AO69" s="150">
        <v>2854343196</v>
      </c>
      <c r="AP69" s="157">
        <v>253330081</v>
      </c>
      <c r="AQ69" s="158">
        <v>0</v>
      </c>
      <c r="AR69" s="158">
        <v>0</v>
      </c>
      <c r="AS69" s="158">
        <v>253330081</v>
      </c>
      <c r="AT69" s="158">
        <v>0</v>
      </c>
      <c r="AU69" s="158">
        <v>0</v>
      </c>
      <c r="AV69" s="158">
        <v>0</v>
      </c>
      <c r="AW69" s="158">
        <v>0</v>
      </c>
      <c r="AX69" s="159">
        <v>151927520</v>
      </c>
      <c r="AY69" s="160">
        <v>0</v>
      </c>
      <c r="AZ69" s="160">
        <v>0</v>
      </c>
      <c r="BA69" s="160">
        <v>151927520</v>
      </c>
      <c r="BB69" s="160">
        <v>0</v>
      </c>
      <c r="BC69" s="160">
        <v>0</v>
      </c>
      <c r="BD69" s="160">
        <v>0</v>
      </c>
      <c r="BE69" s="160">
        <v>0</v>
      </c>
      <c r="BF69" s="150">
        <v>2955745757</v>
      </c>
      <c r="BW69" s="255">
        <f t="shared" si="11"/>
        <v>0</v>
      </c>
      <c r="BX69" s="255">
        <f t="shared" si="12"/>
        <v>156559272054</v>
      </c>
      <c r="BY69" s="255">
        <f t="shared" si="13"/>
        <v>0</v>
      </c>
      <c r="BZ69" s="255">
        <f t="shared" si="10"/>
        <v>156559272054</v>
      </c>
      <c r="CA69" s="255">
        <f t="shared" si="14"/>
        <v>-4542005081</v>
      </c>
      <c r="CB69" s="255">
        <f t="shared" si="15"/>
        <v>0</v>
      </c>
      <c r="CC69" s="255">
        <f t="shared" si="16"/>
        <v>0</v>
      </c>
      <c r="CD69" s="255">
        <f t="shared" si="17"/>
        <v>0</v>
      </c>
      <c r="CG69" s="248"/>
    </row>
    <row r="70" spans="1:85" ht="11.25" customHeight="1">
      <c r="B70" s="163" t="s">
        <v>275</v>
      </c>
      <c r="C70" s="163"/>
      <c r="D70" s="164">
        <v>804776036.74800003</v>
      </c>
      <c r="E70" s="165">
        <v>7224134526872</v>
      </c>
      <c r="F70" s="166">
        <v>7237538891780</v>
      </c>
      <c r="G70" s="166">
        <v>-13404364908</v>
      </c>
      <c r="H70" s="167">
        <v>6897247359997</v>
      </c>
      <c r="I70" s="168">
        <v>6639778450166</v>
      </c>
      <c r="J70" s="168">
        <v>30543689482</v>
      </c>
      <c r="K70" s="168">
        <v>65389963040</v>
      </c>
      <c r="L70" s="168">
        <v>4914297107</v>
      </c>
      <c r="M70" s="168">
        <v>60574945241</v>
      </c>
      <c r="N70" s="168">
        <v>89768111920</v>
      </c>
      <c r="O70" s="168">
        <v>37219576825</v>
      </c>
      <c r="P70" s="168">
        <v>27847129800</v>
      </c>
      <c r="Q70" s="168">
        <v>56838451704</v>
      </c>
      <c r="R70" s="168">
        <v>-1843506676</v>
      </c>
      <c r="S70" s="168">
        <v>-39394241700</v>
      </c>
      <c r="T70" s="168">
        <v>-44023372164</v>
      </c>
      <c r="U70" s="168">
        <v>-167697354</v>
      </c>
      <c r="V70" s="168">
        <v>-873839191</v>
      </c>
      <c r="W70" s="168">
        <v>-2237300000</v>
      </c>
      <c r="X70" s="168">
        <v>-10181926390</v>
      </c>
      <c r="Y70" s="168">
        <v>-16905371813</v>
      </c>
      <c r="Z70" s="164">
        <v>326887166875</v>
      </c>
      <c r="AA70" s="169">
        <v>88383691806</v>
      </c>
      <c r="AB70" s="170">
        <v>17687900951</v>
      </c>
      <c r="AC70" s="170">
        <v>257719315</v>
      </c>
      <c r="AD70" s="170">
        <v>26277993</v>
      </c>
      <c r="AE70" s="170">
        <v>0</v>
      </c>
      <c r="AF70" s="170">
        <v>28082699201</v>
      </c>
      <c r="AG70" s="170">
        <v>854623200</v>
      </c>
      <c r="AH70" s="170">
        <v>-1154021</v>
      </c>
      <c r="AI70" s="170">
        <v>1120606961</v>
      </c>
      <c r="AJ70" s="170">
        <v>9557464114</v>
      </c>
      <c r="AK70" s="170">
        <v>2833286823</v>
      </c>
      <c r="AL70" s="170">
        <v>19237876101</v>
      </c>
      <c r="AM70" s="170">
        <v>47170864</v>
      </c>
      <c r="AN70" s="170">
        <v>8679220304</v>
      </c>
      <c r="AO70" s="164">
        <v>238503475069</v>
      </c>
      <c r="AP70" s="171">
        <v>51332518670</v>
      </c>
      <c r="AQ70" s="172">
        <v>36627027403</v>
      </c>
      <c r="AR70" s="172">
        <v>2340780850</v>
      </c>
      <c r="AS70" s="172">
        <v>4403503939</v>
      </c>
      <c r="AT70" s="172">
        <v>526305252</v>
      </c>
      <c r="AU70" s="172">
        <v>22344051</v>
      </c>
      <c r="AV70" s="172">
        <v>7412557175</v>
      </c>
      <c r="AW70" s="172">
        <v>0</v>
      </c>
      <c r="AX70" s="173">
        <v>74078443778</v>
      </c>
      <c r="AY70" s="174">
        <v>56374394029</v>
      </c>
      <c r="AZ70" s="174">
        <v>547333573</v>
      </c>
      <c r="BA70" s="174">
        <v>11418308912</v>
      </c>
      <c r="BB70" s="174">
        <v>32950000</v>
      </c>
      <c r="BC70" s="174">
        <v>4027872789</v>
      </c>
      <c r="BD70" s="174">
        <v>1625910834</v>
      </c>
      <c r="BE70" s="174">
        <v>51673641</v>
      </c>
      <c r="BF70" s="164">
        <v>215757549961</v>
      </c>
      <c r="BW70" s="255">
        <f t="shared" si="11"/>
        <v>-13404364908</v>
      </c>
      <c r="BX70" s="255">
        <f t="shared" si="12"/>
        <v>6639778450166</v>
      </c>
      <c r="BY70" s="255">
        <f t="shared" si="13"/>
        <v>-98721883475</v>
      </c>
      <c r="BZ70" s="255">
        <f t="shared" si="10"/>
        <v>6541056566691</v>
      </c>
      <c r="CA70" s="255">
        <f t="shared" si="14"/>
        <v>-16905371813</v>
      </c>
      <c r="CB70" s="255">
        <f t="shared" si="15"/>
        <v>89768111920</v>
      </c>
      <c r="CC70" s="255">
        <f t="shared" si="16"/>
        <v>27847129800</v>
      </c>
      <c r="CD70" s="255">
        <f t="shared" si="17"/>
        <v>17687900951</v>
      </c>
      <c r="CG70" s="248"/>
    </row>
    <row r="71" spans="1:85">
      <c r="BZ71" s="255">
        <f t="shared" si="10"/>
        <v>0</v>
      </c>
      <c r="CA71" s="255"/>
      <c r="CB71" s="255"/>
      <c r="CC71" s="255"/>
      <c r="CD71" s="255"/>
    </row>
    <row r="72" spans="1:85">
      <c r="BZ72" s="255"/>
      <c r="CA72" s="255"/>
      <c r="CB72" s="255"/>
      <c r="CC72" s="255"/>
      <c r="CD72" s="255"/>
    </row>
    <row r="73" spans="1:85">
      <c r="C73" s="3" t="s">
        <v>1352</v>
      </c>
      <c r="G73" s="3" t="s">
        <v>2127</v>
      </c>
      <c r="BZ73" s="255"/>
      <c r="CA73" s="255"/>
      <c r="CB73" s="255"/>
      <c r="CC73" s="255"/>
      <c r="CD73" s="255"/>
    </row>
    <row r="74" spans="1:85">
      <c r="B74" s="3" t="s">
        <v>3836</v>
      </c>
      <c r="C74" s="3" t="s">
        <v>3838</v>
      </c>
      <c r="D74" s="3" t="s">
        <v>3839</v>
      </c>
      <c r="E74" s="3" t="s">
        <v>3840</v>
      </c>
      <c r="F74" s="3" t="s">
        <v>400</v>
      </c>
      <c r="G74" s="3" t="s">
        <v>3838</v>
      </c>
      <c r="H74" s="3" t="s">
        <v>3839</v>
      </c>
      <c r="I74" s="3" t="s">
        <v>3840</v>
      </c>
      <c r="J74" s="3" t="s">
        <v>400</v>
      </c>
      <c r="BZ74" s="255"/>
      <c r="CA74" s="255"/>
      <c r="CB74" s="255"/>
      <c r="CC74" s="255"/>
      <c r="CD74" s="255"/>
    </row>
    <row r="75" spans="1:85">
      <c r="B75" s="3" t="s">
        <v>298</v>
      </c>
      <c r="C75" s="3">
        <v>236113.05</v>
      </c>
      <c r="D75" s="3">
        <v>549926.09400000004</v>
      </c>
      <c r="E75" s="3">
        <v>738992.67799999996</v>
      </c>
      <c r="F75" s="3">
        <v>1525031.8220000002</v>
      </c>
      <c r="G75" s="3">
        <v>5261073070</v>
      </c>
      <c r="H75" s="3">
        <v>16378176826</v>
      </c>
      <c r="I75" s="3">
        <v>23435276337</v>
      </c>
      <c r="J75" s="3">
        <v>45074526233</v>
      </c>
      <c r="BZ75" s="255"/>
      <c r="CA75" s="255"/>
      <c r="CB75" s="255"/>
      <c r="CC75" s="255"/>
      <c r="CD75" s="255"/>
    </row>
    <row r="76" spans="1:85">
      <c r="B76" s="3" t="s">
        <v>299</v>
      </c>
      <c r="C76" s="3">
        <v>5902108</v>
      </c>
      <c r="D76" s="3">
        <v>87064112</v>
      </c>
      <c r="E76" s="3">
        <v>224000</v>
      </c>
      <c r="F76" s="3">
        <v>93190220</v>
      </c>
      <c r="G76" s="3">
        <v>3112362640</v>
      </c>
      <c r="H76" s="3">
        <v>41258794360</v>
      </c>
      <c r="I76" s="3">
        <v>153441475</v>
      </c>
      <c r="J76" s="3">
        <v>44524598475</v>
      </c>
      <c r="BZ76" s="255"/>
      <c r="CA76" s="255"/>
      <c r="CB76" s="255"/>
      <c r="CC76" s="255"/>
      <c r="CD76" s="255"/>
    </row>
    <row r="77" spans="1:85">
      <c r="B77" s="3" t="s">
        <v>300</v>
      </c>
      <c r="C77" s="3">
        <v>13411.85</v>
      </c>
      <c r="D77" s="3">
        <v>0</v>
      </c>
      <c r="E77" s="3">
        <v>0</v>
      </c>
      <c r="F77" s="3">
        <v>13411.85</v>
      </c>
      <c r="G77" s="3">
        <v>2698826700</v>
      </c>
      <c r="H77" s="3">
        <v>0</v>
      </c>
      <c r="I77" s="3">
        <v>0</v>
      </c>
      <c r="J77" s="3">
        <v>2698826700</v>
      </c>
      <c r="BZ77" s="255"/>
      <c r="CA77" s="255"/>
      <c r="CB77" s="255"/>
      <c r="CC77" s="255"/>
      <c r="CD77" s="255"/>
    </row>
    <row r="78" spans="1:85">
      <c r="B78" s="3" t="s">
        <v>301</v>
      </c>
      <c r="C78" s="3">
        <v>118532.16</v>
      </c>
      <c r="D78" s="3">
        <v>0</v>
      </c>
      <c r="E78" s="3">
        <v>0</v>
      </c>
      <c r="F78" s="3">
        <v>118532.16</v>
      </c>
      <c r="G78" s="3">
        <v>948256000</v>
      </c>
      <c r="H78" s="3">
        <v>0</v>
      </c>
      <c r="I78" s="3">
        <v>0</v>
      </c>
      <c r="J78" s="3">
        <v>948256000</v>
      </c>
      <c r="BZ78" s="255"/>
      <c r="CA78" s="255"/>
      <c r="CB78" s="255"/>
      <c r="CC78" s="255"/>
      <c r="CD78" s="255"/>
    </row>
    <row r="79" spans="1:85">
      <c r="B79" s="3" t="s">
        <v>302</v>
      </c>
      <c r="C79" s="3">
        <v>2992.1930000000002</v>
      </c>
      <c r="D79" s="3">
        <v>0</v>
      </c>
      <c r="E79" s="3">
        <v>1085.4570000000001</v>
      </c>
      <c r="F79" s="3">
        <v>4077.6500000000005</v>
      </c>
      <c r="G79" s="3">
        <v>7812217219</v>
      </c>
      <c r="H79" s="3">
        <v>0</v>
      </c>
      <c r="I79" s="3">
        <v>3118425981</v>
      </c>
      <c r="J79" s="3">
        <v>10930643200</v>
      </c>
      <c r="BZ79" s="255"/>
      <c r="CA79" s="255"/>
      <c r="CB79" s="255"/>
      <c r="CC79" s="255"/>
      <c r="CD79" s="255"/>
    </row>
    <row r="80" spans="1:85">
      <c r="B80" s="3" t="s">
        <v>303</v>
      </c>
      <c r="C80" s="3">
        <v>547430</v>
      </c>
      <c r="D80" s="3">
        <v>0</v>
      </c>
      <c r="E80" s="3">
        <v>0</v>
      </c>
      <c r="F80" s="3">
        <v>547430</v>
      </c>
      <c r="G80" s="3">
        <v>18034886059</v>
      </c>
      <c r="H80" s="3">
        <v>0</v>
      </c>
      <c r="I80" s="3">
        <v>0</v>
      </c>
      <c r="J80" s="3">
        <v>18034886059</v>
      </c>
      <c r="BZ80" s="255"/>
      <c r="CA80" s="255"/>
      <c r="CB80" s="255"/>
      <c r="CC80" s="255"/>
      <c r="CD80" s="255"/>
    </row>
    <row r="81" spans="2:82">
      <c r="B81" s="3" t="s">
        <v>304</v>
      </c>
      <c r="C81" s="3">
        <v>900</v>
      </c>
      <c r="D81" s="3">
        <v>11500</v>
      </c>
      <c r="E81" s="3">
        <v>26000</v>
      </c>
      <c r="F81" s="3">
        <v>38400</v>
      </c>
      <c r="G81" s="3">
        <v>99024300</v>
      </c>
      <c r="H81" s="3">
        <v>805905977</v>
      </c>
      <c r="I81" s="3">
        <v>1884962482</v>
      </c>
      <c r="J81" s="3">
        <v>2789892759</v>
      </c>
      <c r="BZ81" s="255"/>
      <c r="CA81" s="255"/>
      <c r="CB81" s="255"/>
      <c r="CC81" s="255"/>
      <c r="CD81" s="255"/>
    </row>
    <row r="82" spans="2:82">
      <c r="B82" s="3" t="s">
        <v>305</v>
      </c>
      <c r="C82" s="3">
        <v>0</v>
      </c>
      <c r="D82" s="3">
        <v>0</v>
      </c>
      <c r="E82" s="3">
        <v>116502</v>
      </c>
      <c r="F82" s="3">
        <v>116502</v>
      </c>
      <c r="G82" s="3">
        <v>0</v>
      </c>
      <c r="H82" s="3">
        <v>0</v>
      </c>
      <c r="I82" s="3">
        <v>141936194</v>
      </c>
      <c r="J82" s="3">
        <v>141936194</v>
      </c>
      <c r="BZ82" s="255"/>
      <c r="CA82" s="255"/>
      <c r="CB82" s="255"/>
      <c r="CC82" s="255"/>
      <c r="CD82" s="255"/>
    </row>
    <row r="83" spans="2:82">
      <c r="B83" s="3" t="s">
        <v>306</v>
      </c>
      <c r="C83" s="3">
        <v>0</v>
      </c>
      <c r="D83" s="3">
        <v>0</v>
      </c>
      <c r="E83" s="3">
        <v>16141</v>
      </c>
      <c r="F83" s="3">
        <v>16141</v>
      </c>
      <c r="G83" s="3">
        <v>0</v>
      </c>
      <c r="H83" s="3">
        <v>0</v>
      </c>
      <c r="I83" s="3">
        <v>32655558</v>
      </c>
      <c r="J83" s="3">
        <v>32655558</v>
      </c>
      <c r="BZ83" s="255"/>
      <c r="CA83" s="255"/>
      <c r="CB83" s="255"/>
      <c r="CC83" s="255"/>
      <c r="CD83" s="255"/>
    </row>
    <row r="84" spans="2:82">
      <c r="B84" s="3" t="s">
        <v>307</v>
      </c>
      <c r="C84" s="3">
        <v>287261.81</v>
      </c>
      <c r="D84" s="3">
        <v>140445.636</v>
      </c>
      <c r="E84" s="3">
        <v>223894.568</v>
      </c>
      <c r="F84" s="3">
        <v>651602.01399999997</v>
      </c>
      <c r="G84" s="3">
        <v>2076258264135</v>
      </c>
      <c r="H84" s="3">
        <v>1017331216001</v>
      </c>
      <c r="I84" s="3">
        <v>1611538109309</v>
      </c>
      <c r="J84" s="3">
        <v>4705127589445</v>
      </c>
      <c r="BZ84" s="255"/>
      <c r="CA84" s="255"/>
      <c r="CB84" s="255"/>
      <c r="CC84" s="255"/>
      <c r="CD84" s="255"/>
    </row>
    <row r="85" spans="2:82">
      <c r="B85" s="3" t="s">
        <v>308</v>
      </c>
      <c r="C85" s="3">
        <v>1255656.42</v>
      </c>
      <c r="D85" s="3">
        <v>0</v>
      </c>
      <c r="E85" s="3">
        <v>0</v>
      </c>
      <c r="F85" s="3">
        <v>1255656.42</v>
      </c>
      <c r="G85" s="3">
        <v>1694562338</v>
      </c>
      <c r="H85" s="3">
        <v>0</v>
      </c>
      <c r="I85" s="3">
        <v>0</v>
      </c>
      <c r="J85" s="3">
        <v>1694562338</v>
      </c>
      <c r="BZ85" s="255"/>
      <c r="CA85" s="255"/>
      <c r="CB85" s="255"/>
      <c r="CC85" s="255"/>
      <c r="CD85" s="255"/>
    </row>
    <row r="86" spans="2:82">
      <c r="B86" s="3" t="s">
        <v>309</v>
      </c>
      <c r="C86" s="3">
        <v>37396750.799999997</v>
      </c>
      <c r="D86" s="3">
        <v>0</v>
      </c>
      <c r="E86" s="3">
        <v>2050000</v>
      </c>
      <c r="F86" s="3">
        <v>39446750.799999997</v>
      </c>
      <c r="G86" s="3">
        <v>1681022916488</v>
      </c>
      <c r="H86" s="3">
        <v>0</v>
      </c>
      <c r="I86" s="3">
        <v>93330142829</v>
      </c>
      <c r="J86" s="3">
        <v>1774353059317</v>
      </c>
      <c r="BZ86" s="255"/>
      <c r="CA86" s="255"/>
      <c r="CB86" s="255"/>
      <c r="CC86" s="255"/>
      <c r="CD86" s="255"/>
    </row>
    <row r="87" spans="2:82">
      <c r="B87" s="3" t="s">
        <v>310</v>
      </c>
      <c r="C87" s="3">
        <v>142960000</v>
      </c>
      <c r="D87" s="3">
        <v>141500000</v>
      </c>
      <c r="E87" s="3">
        <v>367171724</v>
      </c>
      <c r="F87" s="3">
        <v>651631724</v>
      </c>
      <c r="G87" s="3">
        <v>78907687949</v>
      </c>
      <c r="H87" s="3">
        <v>78031163897</v>
      </c>
      <c r="I87" s="3">
        <v>202231862270</v>
      </c>
      <c r="J87" s="3">
        <v>359170714116</v>
      </c>
      <c r="BZ87" s="255"/>
      <c r="CA87" s="255"/>
      <c r="CB87" s="255"/>
      <c r="CC87" s="255"/>
      <c r="CD87" s="255"/>
    </row>
    <row r="88" spans="2:82">
      <c r="B88" s="3" t="s">
        <v>311</v>
      </c>
      <c r="C88" s="3">
        <v>165032.79999999999</v>
      </c>
      <c r="D88" s="3">
        <v>0</v>
      </c>
      <c r="E88" s="3">
        <v>15729.9</v>
      </c>
      <c r="F88" s="3">
        <v>180762.69999999998</v>
      </c>
      <c r="G88" s="3">
        <v>5121721657</v>
      </c>
      <c r="H88" s="3">
        <v>0</v>
      </c>
      <c r="I88" s="3">
        <v>544560902</v>
      </c>
      <c r="J88" s="3">
        <v>5666282559</v>
      </c>
      <c r="BZ88" s="255"/>
      <c r="CA88" s="255"/>
      <c r="CB88" s="255"/>
      <c r="CC88" s="255"/>
      <c r="CD88" s="255"/>
    </row>
    <row r="89" spans="2:82">
      <c r="B89" s="3" t="s">
        <v>312</v>
      </c>
      <c r="C89" s="3">
        <v>1584312.5</v>
      </c>
      <c r="D89" s="3">
        <v>0</v>
      </c>
      <c r="E89" s="3">
        <v>0</v>
      </c>
      <c r="F89" s="3">
        <v>1584312.5</v>
      </c>
      <c r="G89" s="3">
        <v>57807594981</v>
      </c>
      <c r="H89" s="3">
        <v>0</v>
      </c>
      <c r="I89" s="3">
        <v>0</v>
      </c>
      <c r="J89" s="3">
        <v>57807594981</v>
      </c>
      <c r="BZ89" s="255"/>
      <c r="CA89" s="255"/>
      <c r="CB89" s="255"/>
      <c r="CC89" s="255"/>
      <c r="CD89" s="255"/>
    </row>
    <row r="90" spans="2:82">
      <c r="B90" s="3" t="s">
        <v>313</v>
      </c>
      <c r="C90" s="3">
        <v>9050</v>
      </c>
      <c r="D90" s="3">
        <v>39000</v>
      </c>
      <c r="E90" s="3">
        <v>326000</v>
      </c>
      <c r="F90" s="3">
        <v>374050</v>
      </c>
      <c r="G90" s="3">
        <v>426354138</v>
      </c>
      <c r="H90" s="3">
        <v>1522995143</v>
      </c>
      <c r="I90" s="3">
        <v>12179696804</v>
      </c>
      <c r="J90" s="3">
        <v>14129046085</v>
      </c>
      <c r="BZ90" s="255"/>
      <c r="CA90" s="255"/>
      <c r="CB90" s="255"/>
      <c r="CC90" s="255"/>
      <c r="CD90" s="255"/>
    </row>
    <row r="91" spans="2:82">
      <c r="B91" s="3" t="s">
        <v>314</v>
      </c>
      <c r="C91" s="3">
        <v>0</v>
      </c>
      <c r="D91" s="3">
        <v>0</v>
      </c>
      <c r="E91" s="3">
        <v>1808117</v>
      </c>
      <c r="F91" s="3">
        <v>1808117</v>
      </c>
      <c r="G91" s="3">
        <v>0</v>
      </c>
      <c r="H91" s="3">
        <v>0</v>
      </c>
      <c r="I91" s="3">
        <v>17978386380</v>
      </c>
      <c r="J91" s="3">
        <v>17978386380</v>
      </c>
      <c r="BZ91" s="255"/>
      <c r="CA91" s="255"/>
      <c r="CB91" s="255"/>
      <c r="CC91" s="255"/>
      <c r="CD91" s="255"/>
    </row>
    <row r="92" spans="2:82">
      <c r="B92" s="3" t="s">
        <v>315</v>
      </c>
      <c r="C92" s="3">
        <v>5815000</v>
      </c>
      <c r="D92" s="3">
        <v>820000</v>
      </c>
      <c r="E92" s="3">
        <v>1110000</v>
      </c>
      <c r="F92" s="3">
        <v>7745000</v>
      </c>
      <c r="G92" s="3">
        <v>3752847750</v>
      </c>
      <c r="H92" s="3">
        <v>507485070</v>
      </c>
      <c r="I92" s="3">
        <v>700107396</v>
      </c>
      <c r="J92" s="3">
        <v>4960440216</v>
      </c>
      <c r="BZ92" s="255"/>
      <c r="CA92" s="255"/>
      <c r="CB92" s="255"/>
      <c r="CC92" s="255"/>
      <c r="CD92" s="255"/>
    </row>
    <row r="93" spans="2:82">
      <c r="B93" s="3" t="s">
        <v>317</v>
      </c>
      <c r="C93" s="3">
        <v>0</v>
      </c>
      <c r="D93" s="3">
        <v>500000</v>
      </c>
      <c r="E93" s="3">
        <v>3950000</v>
      </c>
      <c r="F93" s="3">
        <v>4450000</v>
      </c>
      <c r="G93" s="3">
        <v>0</v>
      </c>
      <c r="H93" s="3">
        <v>364459104</v>
      </c>
      <c r="I93" s="3">
        <v>2834560984</v>
      </c>
      <c r="J93" s="3">
        <v>3199020088</v>
      </c>
      <c r="BZ93" s="255"/>
      <c r="CA93" s="255"/>
      <c r="CB93" s="255"/>
      <c r="CC93" s="255"/>
      <c r="CD93" s="255"/>
    </row>
    <row r="94" spans="2:82">
      <c r="B94" s="3" t="s">
        <v>374</v>
      </c>
      <c r="C94" s="3">
        <v>0</v>
      </c>
      <c r="D94" s="3">
        <v>0</v>
      </c>
      <c r="E94" s="3">
        <v>78314.831999999995</v>
      </c>
      <c r="F94" s="3">
        <v>78314.831999999995</v>
      </c>
      <c r="G94" s="3">
        <v>0</v>
      </c>
      <c r="H94" s="3">
        <v>0</v>
      </c>
      <c r="I94" s="3">
        <v>154871610169</v>
      </c>
      <c r="J94" s="3">
        <v>154871610169</v>
      </c>
      <c r="BZ94" s="255"/>
      <c r="CA94" s="255"/>
      <c r="CB94" s="255"/>
      <c r="CC94" s="255"/>
      <c r="CD94" s="255"/>
    </row>
    <row r="95" spans="2:82">
      <c r="B95" s="3" t="s">
        <v>275</v>
      </c>
      <c r="G95" s="3">
        <v>3942958595424</v>
      </c>
      <c r="H95" s="3">
        <v>1156200196378</v>
      </c>
      <c r="I95" s="3">
        <v>2124975735070</v>
      </c>
      <c r="J95" s="3">
        <v>7224134526872</v>
      </c>
      <c r="BZ95" s="255"/>
      <c r="CA95" s="255"/>
      <c r="CB95" s="255"/>
      <c r="CC95" s="255"/>
      <c r="CD95" s="255"/>
    </row>
    <row r="96" spans="2:82">
      <c r="B96" s="3">
        <v>2019</v>
      </c>
      <c r="N96" s="3" t="s">
        <v>2448</v>
      </c>
      <c r="AE96" s="3" t="s">
        <v>5557</v>
      </c>
      <c r="AF96" s="3" t="s">
        <v>5557</v>
      </c>
      <c r="AG96" s="3" t="s">
        <v>5557</v>
      </c>
      <c r="AH96" s="3" t="s">
        <v>5557</v>
      </c>
      <c r="AI96" s="3" t="s">
        <v>5557</v>
      </c>
      <c r="AJ96" s="3" t="s">
        <v>5557</v>
      </c>
      <c r="AK96" s="3" t="s">
        <v>5557</v>
      </c>
      <c r="BW96" s="110" t="s">
        <v>27</v>
      </c>
      <c r="BZ96" s="255">
        <f t="shared" si="10"/>
        <v>0</v>
      </c>
      <c r="CA96" s="255"/>
      <c r="CB96" s="255"/>
      <c r="CC96" s="255"/>
      <c r="CD96" s="255"/>
    </row>
    <row r="97" spans="1:85">
      <c r="B97" s="175" t="s">
        <v>323</v>
      </c>
      <c r="C97" s="175"/>
      <c r="D97" s="175" t="s">
        <v>187</v>
      </c>
      <c r="E97" s="176" t="s">
        <v>188</v>
      </c>
      <c r="F97" s="176" t="s">
        <v>189</v>
      </c>
      <c r="G97" s="176" t="s">
        <v>190</v>
      </c>
      <c r="H97" s="176" t="s">
        <v>202</v>
      </c>
      <c r="I97" s="176" t="s">
        <v>203</v>
      </c>
      <c r="J97" s="176" t="s">
        <v>204</v>
      </c>
      <c r="K97" s="176" t="s">
        <v>205</v>
      </c>
      <c r="L97" s="176" t="s">
        <v>276</v>
      </c>
      <c r="M97" s="177" t="s">
        <v>141</v>
      </c>
      <c r="N97" s="177" t="s">
        <v>191</v>
      </c>
      <c r="O97" s="177" t="s">
        <v>277</v>
      </c>
      <c r="P97" s="177" t="s">
        <v>278</v>
      </c>
      <c r="Q97" s="177" t="s">
        <v>279</v>
      </c>
      <c r="R97" s="177" t="s">
        <v>280</v>
      </c>
      <c r="S97" s="177" t="s">
        <v>281</v>
      </c>
      <c r="T97" s="177" t="s">
        <v>282</v>
      </c>
      <c r="U97" s="177" t="s">
        <v>283</v>
      </c>
      <c r="V97" s="177" t="s">
        <v>284</v>
      </c>
      <c r="W97" s="177" t="s">
        <v>285</v>
      </c>
      <c r="X97" s="177" t="s">
        <v>286</v>
      </c>
      <c r="Y97" s="177" t="s">
        <v>287</v>
      </c>
      <c r="Z97" s="177" t="s">
        <v>288</v>
      </c>
      <c r="AA97" s="177" t="s">
        <v>289</v>
      </c>
      <c r="AB97" s="177" t="s">
        <v>290</v>
      </c>
      <c r="AC97" s="177" t="s">
        <v>291</v>
      </c>
      <c r="AD97" s="177" t="s">
        <v>292</v>
      </c>
      <c r="AE97" s="177" t="s">
        <v>200</v>
      </c>
      <c r="AF97" s="177" t="s">
        <v>201</v>
      </c>
      <c r="AG97" s="177" t="s">
        <v>293</v>
      </c>
      <c r="AH97" s="177" t="s">
        <v>294</v>
      </c>
      <c r="AI97" s="177" t="s">
        <v>295</v>
      </c>
      <c r="AJ97" s="177" t="s">
        <v>296</v>
      </c>
      <c r="AK97" s="177" t="s">
        <v>206</v>
      </c>
      <c r="AL97" s="177" t="s">
        <v>207</v>
      </c>
      <c r="AM97" s="177" t="s">
        <v>297</v>
      </c>
      <c r="AN97" s="175" t="s">
        <v>208</v>
      </c>
      <c r="AO97" s="178" t="s">
        <v>209</v>
      </c>
      <c r="AP97" s="178" t="s">
        <v>210</v>
      </c>
      <c r="AQ97" s="178" t="s">
        <v>211</v>
      </c>
      <c r="AR97" s="178" t="s">
        <v>212</v>
      </c>
      <c r="AS97" s="178" t="s">
        <v>213</v>
      </c>
      <c r="AT97" s="178" t="s">
        <v>214</v>
      </c>
      <c r="AU97" s="178" t="s">
        <v>215</v>
      </c>
      <c r="AV97" s="178" t="s">
        <v>216</v>
      </c>
      <c r="AW97" s="178" t="s">
        <v>217</v>
      </c>
      <c r="AX97" s="178" t="s">
        <v>218</v>
      </c>
      <c r="AY97" s="178" t="s">
        <v>219</v>
      </c>
      <c r="AZ97" s="178" t="s">
        <v>220</v>
      </c>
      <c r="BA97" s="178" t="s">
        <v>221</v>
      </c>
      <c r="BB97" s="178" t="s">
        <v>222</v>
      </c>
      <c r="BC97" s="175" t="s">
        <v>144</v>
      </c>
      <c r="BD97" s="179" t="s">
        <v>223</v>
      </c>
      <c r="BE97" s="179" t="s">
        <v>224</v>
      </c>
      <c r="BF97" s="179" t="s">
        <v>225</v>
      </c>
      <c r="BG97" s="179" t="s">
        <v>226</v>
      </c>
      <c r="BH97" s="179" t="s">
        <v>227</v>
      </c>
      <c r="BI97" s="179" t="s">
        <v>228</v>
      </c>
      <c r="BJ97" s="179" t="s">
        <v>229</v>
      </c>
      <c r="BK97" s="179" t="s">
        <v>230</v>
      </c>
      <c r="BL97" s="180" t="s">
        <v>231</v>
      </c>
      <c r="BM97" s="180" t="s">
        <v>232</v>
      </c>
      <c r="BN97" s="180" t="s">
        <v>233</v>
      </c>
      <c r="BO97" s="180" t="s">
        <v>234</v>
      </c>
      <c r="BP97" s="180" t="s">
        <v>235</v>
      </c>
      <c r="BQ97" s="180" t="s">
        <v>236</v>
      </c>
      <c r="BR97" s="180" t="s">
        <v>237</v>
      </c>
      <c r="BS97" s="180" t="s">
        <v>238</v>
      </c>
      <c r="BT97" s="175" t="s">
        <v>239</v>
      </c>
      <c r="BW97" s="321" t="s">
        <v>1300</v>
      </c>
      <c r="BX97" s="321" t="s">
        <v>1284</v>
      </c>
      <c r="BY97" s="321" t="s">
        <v>1362</v>
      </c>
      <c r="BZ97" s="321" t="s">
        <v>1363</v>
      </c>
      <c r="CA97" s="321" t="s">
        <v>5555</v>
      </c>
      <c r="CB97" s="321" t="s">
        <v>1293</v>
      </c>
      <c r="CC97" s="321" t="s">
        <v>1294</v>
      </c>
      <c r="CD97" s="321" t="s">
        <v>1418</v>
      </c>
    </row>
    <row r="98" spans="1:85">
      <c r="A98" s="110" t="s">
        <v>27</v>
      </c>
      <c r="B98" s="138" t="s">
        <v>298</v>
      </c>
      <c r="C98" s="137" t="s">
        <v>242</v>
      </c>
      <c r="D98" s="138">
        <v>1479118.5029999989</v>
      </c>
      <c r="E98" s="141">
        <v>57170859078</v>
      </c>
      <c r="F98" s="142">
        <v>57170859078</v>
      </c>
      <c r="G98" s="142">
        <v>0</v>
      </c>
      <c r="H98" s="142">
        <v>0</v>
      </c>
      <c r="I98" s="142">
        <v>0</v>
      </c>
      <c r="J98" s="142">
        <v>0</v>
      </c>
      <c r="K98" s="142">
        <v>0</v>
      </c>
      <c r="L98" s="142">
        <v>0</v>
      </c>
      <c r="M98" s="143">
        <v>49782107161</v>
      </c>
      <c r="N98" s="144">
        <v>851409054</v>
      </c>
      <c r="O98" s="144">
        <v>0</v>
      </c>
      <c r="P98" s="144">
        <v>0</v>
      </c>
      <c r="Q98" s="144">
        <v>0</v>
      </c>
      <c r="R98" s="144">
        <v>5708341371</v>
      </c>
      <c r="S98" s="144">
        <v>0</v>
      </c>
      <c r="T98" s="144">
        <v>546604519</v>
      </c>
      <c r="U98" s="144">
        <v>0</v>
      </c>
      <c r="V98" s="144">
        <v>9556617121</v>
      </c>
      <c r="W98" s="144">
        <v>10490514566</v>
      </c>
      <c r="X98" s="144">
        <v>-631555120</v>
      </c>
      <c r="Y98" s="144">
        <v>42973965</v>
      </c>
      <c r="Z98" s="144">
        <v>4806164771</v>
      </c>
      <c r="AA98" s="144">
        <v>413421701</v>
      </c>
      <c r="AB98" s="144">
        <v>3038687846</v>
      </c>
      <c r="AC98" s="144">
        <v>1809123711</v>
      </c>
      <c r="AD98" s="144">
        <v>2052991899</v>
      </c>
      <c r="AE98" s="144">
        <v>0</v>
      </c>
      <c r="AF98" s="144">
        <v>0</v>
      </c>
      <c r="AG98" s="144">
        <v>0</v>
      </c>
      <c r="AH98" s="144">
        <v>0</v>
      </c>
      <c r="AI98" s="144">
        <v>0</v>
      </c>
      <c r="AJ98" s="144">
        <v>0</v>
      </c>
      <c r="AK98" s="144">
        <v>0</v>
      </c>
      <c r="AL98" s="144">
        <v>220083036</v>
      </c>
      <c r="AM98" s="144">
        <v>10876728721</v>
      </c>
      <c r="AN98" s="138">
        <v>7388751917</v>
      </c>
      <c r="AO98" s="147">
        <v>1892502600</v>
      </c>
      <c r="AP98" s="148">
        <v>587112934</v>
      </c>
      <c r="AQ98" s="148">
        <v>3072107</v>
      </c>
      <c r="AR98" s="148">
        <v>0</v>
      </c>
      <c r="AS98" s="148">
        <v>0</v>
      </c>
      <c r="AT98" s="148">
        <v>947455817</v>
      </c>
      <c r="AU98" s="148">
        <v>6934540</v>
      </c>
      <c r="AV98" s="148">
        <v>0</v>
      </c>
      <c r="AW98" s="148">
        <v>60839629</v>
      </c>
      <c r="AX98" s="148">
        <v>35268079</v>
      </c>
      <c r="AY98" s="148">
        <v>14977332</v>
      </c>
      <c r="AZ98" s="148">
        <v>137499586</v>
      </c>
      <c r="BA98" s="148">
        <v>250237</v>
      </c>
      <c r="BB98" s="148">
        <v>99092339</v>
      </c>
      <c r="BC98" s="138">
        <v>5496249317</v>
      </c>
      <c r="BD98" s="181">
        <v>173803540</v>
      </c>
      <c r="BE98" s="182">
        <v>173803540</v>
      </c>
      <c r="BF98" s="182">
        <v>0</v>
      </c>
      <c r="BG98" s="182">
        <v>0</v>
      </c>
      <c r="BH98" s="182">
        <v>0</v>
      </c>
      <c r="BI98" s="182">
        <v>0</v>
      </c>
      <c r="BJ98" s="182">
        <v>0</v>
      </c>
      <c r="BK98" s="182">
        <v>0</v>
      </c>
      <c r="BL98" s="183">
        <v>234449200</v>
      </c>
      <c r="BM98" s="184">
        <v>204822670</v>
      </c>
      <c r="BN98" s="184">
        <v>543330</v>
      </c>
      <c r="BO98" s="184">
        <v>0</v>
      </c>
      <c r="BP98" s="184">
        <v>0</v>
      </c>
      <c r="BQ98" s="184">
        <v>0</v>
      </c>
      <c r="BR98" s="184">
        <v>29083200</v>
      </c>
      <c r="BS98" s="184">
        <v>0</v>
      </c>
      <c r="BT98" s="138">
        <v>5435603657</v>
      </c>
      <c r="BW98" s="255">
        <f>SUM(G98:L98)</f>
        <v>0</v>
      </c>
      <c r="BX98" s="255">
        <f>N98</f>
        <v>851409054</v>
      </c>
      <c r="BY98" s="255">
        <f>SUM(AE98:AK98)</f>
        <v>0</v>
      </c>
      <c r="BZ98" s="255">
        <f t="shared" si="10"/>
        <v>851409054</v>
      </c>
      <c r="CA98" s="255">
        <f>AM98+AL98</f>
        <v>11096811757</v>
      </c>
      <c r="CB98" s="255">
        <f>W98+X98</f>
        <v>9858959446</v>
      </c>
      <c r="CC98" s="255">
        <f>AA98+AB98</f>
        <v>3452109547</v>
      </c>
      <c r="CD98" s="255">
        <f>AP98</f>
        <v>587112934</v>
      </c>
      <c r="CG98" s="255"/>
    </row>
    <row r="99" spans="1:85">
      <c r="A99" s="110" t="s">
        <v>27</v>
      </c>
      <c r="B99" s="150" t="s">
        <v>299</v>
      </c>
      <c r="C99" s="137" t="s">
        <v>244</v>
      </c>
      <c r="D99" s="150">
        <v>102868208</v>
      </c>
      <c r="E99" s="153">
        <v>48329020396</v>
      </c>
      <c r="F99" s="154">
        <v>48329020396</v>
      </c>
      <c r="G99" s="154">
        <v>0</v>
      </c>
      <c r="H99" s="154">
        <v>0</v>
      </c>
      <c r="I99" s="154">
        <v>0</v>
      </c>
      <c r="J99" s="154">
        <v>0</v>
      </c>
      <c r="K99" s="154">
        <v>0</v>
      </c>
      <c r="L99" s="154">
        <v>0</v>
      </c>
      <c r="M99" s="155">
        <v>21209527990</v>
      </c>
      <c r="N99" s="156">
        <v>0</v>
      </c>
      <c r="O99" s="156">
        <v>0</v>
      </c>
      <c r="P99" s="156">
        <v>0</v>
      </c>
      <c r="Q99" s="156">
        <v>0</v>
      </c>
      <c r="R99" s="156">
        <v>6459293004</v>
      </c>
      <c r="S99" s="156">
        <v>0</v>
      </c>
      <c r="T99" s="156">
        <v>613479415</v>
      </c>
      <c r="U99" s="156">
        <v>0</v>
      </c>
      <c r="V99" s="156">
        <v>7456155937</v>
      </c>
      <c r="W99" s="156">
        <v>433656105</v>
      </c>
      <c r="X99" s="156">
        <v>1404603230</v>
      </c>
      <c r="Y99" s="156">
        <v>15747026</v>
      </c>
      <c r="Z99" s="156">
        <v>1184920543</v>
      </c>
      <c r="AA99" s="156">
        <v>65320466</v>
      </c>
      <c r="AB99" s="156">
        <v>1740015645</v>
      </c>
      <c r="AC99" s="156">
        <v>238614757</v>
      </c>
      <c r="AD99" s="156">
        <v>1594206426</v>
      </c>
      <c r="AE99" s="156">
        <v>0</v>
      </c>
      <c r="AF99" s="156">
        <v>0</v>
      </c>
      <c r="AG99" s="156">
        <v>0</v>
      </c>
      <c r="AH99" s="156">
        <v>0</v>
      </c>
      <c r="AI99" s="156">
        <v>0</v>
      </c>
      <c r="AJ99" s="156">
        <v>0</v>
      </c>
      <c r="AK99" s="156">
        <v>0</v>
      </c>
      <c r="AL99" s="156">
        <v>0</v>
      </c>
      <c r="AM99" s="156">
        <v>3515436</v>
      </c>
      <c r="AN99" s="150">
        <v>27119492406</v>
      </c>
      <c r="AO99" s="159">
        <v>5252472379</v>
      </c>
      <c r="AP99" s="160">
        <v>5252373900</v>
      </c>
      <c r="AQ99" s="160">
        <v>98479</v>
      </c>
      <c r="AR99" s="160">
        <v>0</v>
      </c>
      <c r="AS99" s="160">
        <v>0</v>
      </c>
      <c r="AT99" s="160">
        <v>0</v>
      </c>
      <c r="AU99" s="160">
        <v>0</v>
      </c>
      <c r="AV99" s="160">
        <v>0</v>
      </c>
      <c r="AW99" s="160">
        <v>0</v>
      </c>
      <c r="AX99" s="160">
        <v>0</v>
      </c>
      <c r="AY99" s="160">
        <v>0</v>
      </c>
      <c r="AZ99" s="160">
        <v>0</v>
      </c>
      <c r="BA99" s="160">
        <v>0</v>
      </c>
      <c r="BB99" s="160">
        <v>0</v>
      </c>
      <c r="BC99" s="150">
        <v>21867020027</v>
      </c>
      <c r="BD99" s="185">
        <v>0</v>
      </c>
      <c r="BE99" s="186">
        <v>0</v>
      </c>
      <c r="BF99" s="186">
        <v>0</v>
      </c>
      <c r="BG99" s="186">
        <v>0</v>
      </c>
      <c r="BH99" s="186">
        <v>0</v>
      </c>
      <c r="BI99" s="186">
        <v>0</v>
      </c>
      <c r="BJ99" s="186">
        <v>0</v>
      </c>
      <c r="BK99" s="186">
        <v>0</v>
      </c>
      <c r="BL99" s="187">
        <v>0</v>
      </c>
      <c r="BM99" s="188">
        <v>0</v>
      </c>
      <c r="BN99" s="188">
        <v>0</v>
      </c>
      <c r="BO99" s="188">
        <v>0</v>
      </c>
      <c r="BP99" s="188">
        <v>0</v>
      </c>
      <c r="BQ99" s="188">
        <v>0</v>
      </c>
      <c r="BR99" s="188">
        <v>0</v>
      </c>
      <c r="BS99" s="188">
        <v>0</v>
      </c>
      <c r="BT99" s="150">
        <v>21867020027</v>
      </c>
      <c r="BW99" s="255">
        <f t="shared" ref="BW99:BW118" si="18">SUM(G99:L99)</f>
        <v>0</v>
      </c>
      <c r="BX99" s="255">
        <f t="shared" ref="BX99:BX118" si="19">N99</f>
        <v>0</v>
      </c>
      <c r="BY99" s="255">
        <f t="shared" ref="BY99:BY118" si="20">SUM(AE99:AK99)</f>
        <v>0</v>
      </c>
      <c r="BZ99" s="255">
        <f t="shared" si="10"/>
        <v>0</v>
      </c>
      <c r="CA99" s="255">
        <f t="shared" ref="CA99:CA118" si="21">AM99+AL99</f>
        <v>3515436</v>
      </c>
      <c r="CB99" s="255">
        <f t="shared" ref="CB99:CB118" si="22">W99+X99</f>
        <v>1838259335</v>
      </c>
      <c r="CC99" s="255">
        <f t="shared" ref="CC99:CC118" si="23">AA99+AB99</f>
        <v>1805336111</v>
      </c>
      <c r="CD99" s="255">
        <f t="shared" ref="CD99:CD118" si="24">AP99</f>
        <v>5252373900</v>
      </c>
      <c r="CG99" s="255"/>
    </row>
    <row r="100" spans="1:85">
      <c r="A100" s="110" t="s">
        <v>27</v>
      </c>
      <c r="B100" s="150" t="s">
        <v>300</v>
      </c>
      <c r="C100" s="137" t="s">
        <v>246</v>
      </c>
      <c r="D100" s="150">
        <v>11154.499999999998</v>
      </c>
      <c r="E100" s="153">
        <v>2267371400</v>
      </c>
      <c r="F100" s="154">
        <v>2267371400</v>
      </c>
      <c r="G100" s="154">
        <v>0</v>
      </c>
      <c r="H100" s="154">
        <v>0</v>
      </c>
      <c r="I100" s="154">
        <v>0</v>
      </c>
      <c r="J100" s="154">
        <v>0</v>
      </c>
      <c r="K100" s="154">
        <v>0</v>
      </c>
      <c r="L100" s="154">
        <v>0</v>
      </c>
      <c r="M100" s="155">
        <v>1655571988</v>
      </c>
      <c r="N100" s="156">
        <v>0</v>
      </c>
      <c r="O100" s="156">
        <v>214934130</v>
      </c>
      <c r="P100" s="156">
        <v>0</v>
      </c>
      <c r="Q100" s="156">
        <v>0</v>
      </c>
      <c r="R100" s="156">
        <v>316243406</v>
      </c>
      <c r="S100" s="156">
        <v>0</v>
      </c>
      <c r="T100" s="156">
        <v>27382805</v>
      </c>
      <c r="U100" s="156">
        <v>0</v>
      </c>
      <c r="V100" s="156">
        <v>336993646</v>
      </c>
      <c r="W100" s="156">
        <v>31681243</v>
      </c>
      <c r="X100" s="156">
        <v>311410849</v>
      </c>
      <c r="Y100" s="156">
        <v>0</v>
      </c>
      <c r="Z100" s="156">
        <v>243221536</v>
      </c>
      <c r="AA100" s="156">
        <v>0</v>
      </c>
      <c r="AB100" s="156">
        <v>71520876</v>
      </c>
      <c r="AC100" s="156">
        <v>21611506</v>
      </c>
      <c r="AD100" s="156">
        <v>80571991</v>
      </c>
      <c r="AE100" s="156">
        <v>0</v>
      </c>
      <c r="AF100" s="156">
        <v>0</v>
      </c>
      <c r="AG100" s="156">
        <v>0</v>
      </c>
      <c r="AH100" s="156">
        <v>0</v>
      </c>
      <c r="AI100" s="156">
        <v>0</v>
      </c>
      <c r="AJ100" s="156">
        <v>0</v>
      </c>
      <c r="AK100" s="156">
        <v>0</v>
      </c>
      <c r="AL100" s="156">
        <v>0</v>
      </c>
      <c r="AM100" s="156">
        <v>0</v>
      </c>
      <c r="AN100" s="150">
        <v>611799412</v>
      </c>
      <c r="AO100" s="159">
        <v>399490266</v>
      </c>
      <c r="AP100" s="160">
        <v>0</v>
      </c>
      <c r="AQ100" s="160">
        <v>0</v>
      </c>
      <c r="AR100" s="160">
        <v>0</v>
      </c>
      <c r="AS100" s="160">
        <v>0</v>
      </c>
      <c r="AT100" s="160">
        <v>356589485</v>
      </c>
      <c r="AU100" s="160">
        <v>0</v>
      </c>
      <c r="AV100" s="160">
        <v>0</v>
      </c>
      <c r="AW100" s="160">
        <v>14981532</v>
      </c>
      <c r="AX100" s="160">
        <v>0</v>
      </c>
      <c r="AY100" s="160">
        <v>0</v>
      </c>
      <c r="AZ100" s="160">
        <v>5451775</v>
      </c>
      <c r="BA100" s="160">
        <v>0</v>
      </c>
      <c r="BB100" s="160">
        <v>22467474</v>
      </c>
      <c r="BC100" s="150">
        <v>212309146</v>
      </c>
      <c r="BD100" s="185">
        <v>0</v>
      </c>
      <c r="BE100" s="186">
        <v>0</v>
      </c>
      <c r="BF100" s="186">
        <v>0</v>
      </c>
      <c r="BG100" s="186">
        <v>0</v>
      </c>
      <c r="BH100" s="186">
        <v>0</v>
      </c>
      <c r="BI100" s="186">
        <v>0</v>
      </c>
      <c r="BJ100" s="186">
        <v>0</v>
      </c>
      <c r="BK100" s="186">
        <v>0</v>
      </c>
      <c r="BL100" s="187">
        <v>0</v>
      </c>
      <c r="BM100" s="188">
        <v>0</v>
      </c>
      <c r="BN100" s="188">
        <v>0</v>
      </c>
      <c r="BO100" s="188">
        <v>0</v>
      </c>
      <c r="BP100" s="188">
        <v>0</v>
      </c>
      <c r="BQ100" s="188">
        <v>0</v>
      </c>
      <c r="BR100" s="188">
        <v>0</v>
      </c>
      <c r="BS100" s="188">
        <v>0</v>
      </c>
      <c r="BT100" s="150">
        <v>212309146</v>
      </c>
      <c r="BW100" s="255">
        <f t="shared" si="18"/>
        <v>0</v>
      </c>
      <c r="BX100" s="255">
        <f t="shared" si="19"/>
        <v>0</v>
      </c>
      <c r="BY100" s="255">
        <f t="shared" si="20"/>
        <v>0</v>
      </c>
      <c r="BZ100" s="255">
        <f t="shared" si="10"/>
        <v>0</v>
      </c>
      <c r="CA100" s="255">
        <f t="shared" si="21"/>
        <v>0</v>
      </c>
      <c r="CB100" s="255">
        <f t="shared" si="22"/>
        <v>343092092</v>
      </c>
      <c r="CC100" s="255">
        <f t="shared" si="23"/>
        <v>71520876</v>
      </c>
      <c r="CD100" s="255">
        <f t="shared" si="24"/>
        <v>0</v>
      </c>
      <c r="CG100" s="255"/>
    </row>
    <row r="101" spans="1:85">
      <c r="A101" s="110" t="s">
        <v>27</v>
      </c>
      <c r="B101" s="150" t="s">
        <v>301</v>
      </c>
      <c r="C101" s="137" t="s">
        <v>246</v>
      </c>
      <c r="D101" s="150">
        <v>106688</v>
      </c>
      <c r="E101" s="153">
        <v>853504000</v>
      </c>
      <c r="F101" s="154">
        <v>853504000</v>
      </c>
      <c r="G101" s="154">
        <v>0</v>
      </c>
      <c r="H101" s="154">
        <v>0</v>
      </c>
      <c r="I101" s="154">
        <v>0</v>
      </c>
      <c r="J101" s="154">
        <v>0</v>
      </c>
      <c r="K101" s="154">
        <v>0</v>
      </c>
      <c r="L101" s="154">
        <v>0</v>
      </c>
      <c r="M101" s="155">
        <v>4325881268</v>
      </c>
      <c r="N101" s="156">
        <v>0</v>
      </c>
      <c r="O101" s="156">
        <v>1758756893</v>
      </c>
      <c r="P101" s="156">
        <v>0</v>
      </c>
      <c r="Q101" s="156">
        <v>0</v>
      </c>
      <c r="R101" s="156">
        <v>305292831</v>
      </c>
      <c r="S101" s="156">
        <v>0</v>
      </c>
      <c r="T101" s="156">
        <v>30433139</v>
      </c>
      <c r="U101" s="156">
        <v>0</v>
      </c>
      <c r="V101" s="156">
        <v>388029077</v>
      </c>
      <c r="W101" s="156">
        <v>48563035</v>
      </c>
      <c r="X101" s="156">
        <v>278385605</v>
      </c>
      <c r="Y101" s="156">
        <v>824976</v>
      </c>
      <c r="Z101" s="156">
        <v>217683005</v>
      </c>
      <c r="AA101" s="156">
        <v>1194521</v>
      </c>
      <c r="AB101" s="156">
        <v>307788083</v>
      </c>
      <c r="AC101" s="156">
        <v>5145832</v>
      </c>
      <c r="AD101" s="156">
        <v>977878399</v>
      </c>
      <c r="AE101" s="156">
        <v>0</v>
      </c>
      <c r="AF101" s="156">
        <v>0</v>
      </c>
      <c r="AG101" s="156">
        <v>0</v>
      </c>
      <c r="AH101" s="156">
        <v>0</v>
      </c>
      <c r="AI101" s="156">
        <v>0</v>
      </c>
      <c r="AJ101" s="156">
        <v>0</v>
      </c>
      <c r="AK101" s="156">
        <v>0</v>
      </c>
      <c r="AL101" s="156">
        <v>5905872</v>
      </c>
      <c r="AM101" s="156">
        <v>0</v>
      </c>
      <c r="AN101" s="150">
        <v>-3472377268</v>
      </c>
      <c r="AO101" s="159">
        <v>133354436</v>
      </c>
      <c r="AP101" s="160">
        <v>118116124</v>
      </c>
      <c r="AQ101" s="160">
        <v>0</v>
      </c>
      <c r="AR101" s="160">
        <v>0</v>
      </c>
      <c r="AS101" s="160">
        <v>0</v>
      </c>
      <c r="AT101" s="160">
        <v>13606006</v>
      </c>
      <c r="AU101" s="160">
        <v>0</v>
      </c>
      <c r="AV101" s="160">
        <v>0</v>
      </c>
      <c r="AW101" s="160">
        <v>981950</v>
      </c>
      <c r="AX101" s="160">
        <v>0</v>
      </c>
      <c r="AY101" s="160">
        <v>0</v>
      </c>
      <c r="AZ101" s="160">
        <v>12524</v>
      </c>
      <c r="BA101" s="160">
        <v>0</v>
      </c>
      <c r="BB101" s="160">
        <v>637832</v>
      </c>
      <c r="BC101" s="150">
        <v>-3605731704</v>
      </c>
      <c r="BD101" s="185">
        <v>0</v>
      </c>
      <c r="BE101" s="186">
        <v>0</v>
      </c>
      <c r="BF101" s="186">
        <v>0</v>
      </c>
      <c r="BG101" s="186">
        <v>0</v>
      </c>
      <c r="BH101" s="186">
        <v>0</v>
      </c>
      <c r="BI101" s="186">
        <v>0</v>
      </c>
      <c r="BJ101" s="186">
        <v>0</v>
      </c>
      <c r="BK101" s="186">
        <v>0</v>
      </c>
      <c r="BL101" s="187">
        <v>0</v>
      </c>
      <c r="BM101" s="188">
        <v>0</v>
      </c>
      <c r="BN101" s="188">
        <v>0</v>
      </c>
      <c r="BO101" s="188">
        <v>0</v>
      </c>
      <c r="BP101" s="188">
        <v>0</v>
      </c>
      <c r="BQ101" s="188">
        <v>0</v>
      </c>
      <c r="BR101" s="188">
        <v>0</v>
      </c>
      <c r="BS101" s="188">
        <v>0</v>
      </c>
      <c r="BT101" s="150">
        <v>-3605731704</v>
      </c>
      <c r="BW101" s="255">
        <f t="shared" si="18"/>
        <v>0</v>
      </c>
      <c r="BX101" s="255">
        <f t="shared" si="19"/>
        <v>0</v>
      </c>
      <c r="BY101" s="255">
        <f t="shared" si="20"/>
        <v>0</v>
      </c>
      <c r="BZ101" s="255">
        <f t="shared" si="10"/>
        <v>0</v>
      </c>
      <c r="CA101" s="255">
        <f t="shared" si="21"/>
        <v>5905872</v>
      </c>
      <c r="CB101" s="255">
        <f t="shared" si="22"/>
        <v>326948640</v>
      </c>
      <c r="CC101" s="255">
        <f t="shared" si="23"/>
        <v>308982604</v>
      </c>
      <c r="CD101" s="255">
        <f t="shared" si="24"/>
        <v>118116124</v>
      </c>
      <c r="CG101" s="255"/>
    </row>
    <row r="102" spans="1:85">
      <c r="A102" s="110" t="s">
        <v>27</v>
      </c>
      <c r="B102" s="150" t="s">
        <v>302</v>
      </c>
      <c r="C102" s="137" t="s">
        <v>5586</v>
      </c>
      <c r="D102" s="150">
        <v>4303.5590000000002</v>
      </c>
      <c r="E102" s="153">
        <v>13391442376</v>
      </c>
      <c r="F102" s="154">
        <v>13391442376</v>
      </c>
      <c r="G102" s="154">
        <v>0</v>
      </c>
      <c r="H102" s="154">
        <v>0</v>
      </c>
      <c r="I102" s="154">
        <v>0</v>
      </c>
      <c r="J102" s="154">
        <v>0</v>
      </c>
      <c r="K102" s="154">
        <v>0</v>
      </c>
      <c r="L102" s="154">
        <v>0</v>
      </c>
      <c r="M102" s="155">
        <v>4950044655</v>
      </c>
      <c r="N102" s="156">
        <v>826001337</v>
      </c>
      <c r="O102" s="156">
        <v>0</v>
      </c>
      <c r="P102" s="156">
        <v>0</v>
      </c>
      <c r="Q102" s="156">
        <v>0</v>
      </c>
      <c r="R102" s="156">
        <v>1148746755</v>
      </c>
      <c r="S102" s="156">
        <v>0</v>
      </c>
      <c r="T102" s="156">
        <v>97389986</v>
      </c>
      <c r="U102" s="156">
        <v>0</v>
      </c>
      <c r="V102" s="156">
        <v>765259628</v>
      </c>
      <c r="W102" s="156">
        <v>226880312</v>
      </c>
      <c r="X102" s="156">
        <v>842879719</v>
      </c>
      <c r="Y102" s="156">
        <v>35217632</v>
      </c>
      <c r="Z102" s="156">
        <v>297394732</v>
      </c>
      <c r="AA102" s="156">
        <v>32716066</v>
      </c>
      <c r="AB102" s="156">
        <v>91765657</v>
      </c>
      <c r="AC102" s="156">
        <v>3088976</v>
      </c>
      <c r="AD102" s="156">
        <v>175949087</v>
      </c>
      <c r="AE102" s="156">
        <v>0</v>
      </c>
      <c r="AF102" s="156">
        <v>322445448</v>
      </c>
      <c r="AG102" s="156">
        <v>0</v>
      </c>
      <c r="AH102" s="156">
        <v>0</v>
      </c>
      <c r="AI102" s="156">
        <v>0</v>
      </c>
      <c r="AJ102" s="156">
        <v>0</v>
      </c>
      <c r="AK102" s="156">
        <v>0</v>
      </c>
      <c r="AL102" s="156">
        <v>0</v>
      </c>
      <c r="AM102" s="156">
        <v>84309320</v>
      </c>
      <c r="AN102" s="150">
        <v>8441397721</v>
      </c>
      <c r="AO102" s="159">
        <v>74084946</v>
      </c>
      <c r="AP102" s="160">
        <v>67562000</v>
      </c>
      <c r="AQ102" s="160">
        <v>4439590</v>
      </c>
      <c r="AR102" s="160">
        <v>0</v>
      </c>
      <c r="AS102" s="160">
        <v>0</v>
      </c>
      <c r="AT102" s="160">
        <v>0</v>
      </c>
      <c r="AU102" s="160">
        <v>0</v>
      </c>
      <c r="AV102" s="160">
        <v>0</v>
      </c>
      <c r="AW102" s="160">
        <v>0</v>
      </c>
      <c r="AX102" s="160">
        <v>0</v>
      </c>
      <c r="AY102" s="160">
        <v>0</v>
      </c>
      <c r="AZ102" s="160">
        <v>2083356</v>
      </c>
      <c r="BA102" s="160">
        <v>0</v>
      </c>
      <c r="BB102" s="160">
        <v>0</v>
      </c>
      <c r="BC102" s="150">
        <v>8367312775</v>
      </c>
      <c r="BD102" s="185">
        <v>0</v>
      </c>
      <c r="BE102" s="186">
        <v>0</v>
      </c>
      <c r="BF102" s="186">
        <v>0</v>
      </c>
      <c r="BG102" s="186">
        <v>0</v>
      </c>
      <c r="BH102" s="186">
        <v>0</v>
      </c>
      <c r="BI102" s="186">
        <v>0</v>
      </c>
      <c r="BJ102" s="186">
        <v>0</v>
      </c>
      <c r="BK102" s="186">
        <v>0</v>
      </c>
      <c r="BL102" s="187">
        <v>0</v>
      </c>
      <c r="BM102" s="188">
        <v>0</v>
      </c>
      <c r="BN102" s="188">
        <v>0</v>
      </c>
      <c r="BO102" s="188">
        <v>0</v>
      </c>
      <c r="BP102" s="188">
        <v>0</v>
      </c>
      <c r="BQ102" s="188">
        <v>0</v>
      </c>
      <c r="BR102" s="188">
        <v>0</v>
      </c>
      <c r="BS102" s="188">
        <v>0</v>
      </c>
      <c r="BT102" s="150">
        <v>8367312775</v>
      </c>
      <c r="BW102" s="255">
        <f t="shared" si="18"/>
        <v>0</v>
      </c>
      <c r="BX102" s="255">
        <f t="shared" si="19"/>
        <v>826001337</v>
      </c>
      <c r="BY102" s="255">
        <f t="shared" si="20"/>
        <v>322445448</v>
      </c>
      <c r="BZ102" s="255">
        <f t="shared" si="10"/>
        <v>1148446785</v>
      </c>
      <c r="CA102" s="255">
        <f t="shared" si="21"/>
        <v>84309320</v>
      </c>
      <c r="CB102" s="255">
        <f t="shared" si="22"/>
        <v>1069760031</v>
      </c>
      <c r="CC102" s="255">
        <f t="shared" si="23"/>
        <v>124481723</v>
      </c>
      <c r="CD102" s="255">
        <f t="shared" si="24"/>
        <v>67562000</v>
      </c>
      <c r="CG102" s="255"/>
    </row>
    <row r="103" spans="1:85">
      <c r="A103" s="110" t="s">
        <v>27</v>
      </c>
      <c r="B103" s="150" t="s">
        <v>303</v>
      </c>
      <c r="C103" s="137" t="s">
        <v>252</v>
      </c>
      <c r="D103" s="150">
        <v>507088</v>
      </c>
      <c r="E103" s="153">
        <v>17163826193</v>
      </c>
      <c r="F103" s="154">
        <v>17163826193</v>
      </c>
      <c r="G103" s="154">
        <v>0</v>
      </c>
      <c r="H103" s="154">
        <v>0</v>
      </c>
      <c r="I103" s="154">
        <v>0</v>
      </c>
      <c r="J103" s="154">
        <v>0</v>
      </c>
      <c r="K103" s="154">
        <v>0</v>
      </c>
      <c r="L103" s="154">
        <v>0</v>
      </c>
      <c r="M103" s="155">
        <v>9354482729</v>
      </c>
      <c r="N103" s="156">
        <v>0</v>
      </c>
      <c r="O103" s="156">
        <v>0</v>
      </c>
      <c r="P103" s="156">
        <v>0</v>
      </c>
      <c r="Q103" s="156">
        <v>0</v>
      </c>
      <c r="R103" s="156">
        <v>207219076</v>
      </c>
      <c r="S103" s="156">
        <v>0</v>
      </c>
      <c r="T103" s="156">
        <v>20612671</v>
      </c>
      <c r="U103" s="156">
        <v>0</v>
      </c>
      <c r="V103" s="156">
        <v>1233099965</v>
      </c>
      <c r="W103" s="156">
        <v>0</v>
      </c>
      <c r="X103" s="156">
        <v>7447918328</v>
      </c>
      <c r="Y103" s="156">
        <v>0</v>
      </c>
      <c r="Z103" s="156">
        <v>232133913</v>
      </c>
      <c r="AA103" s="156">
        <v>0</v>
      </c>
      <c r="AB103" s="156">
        <v>7498169</v>
      </c>
      <c r="AC103" s="156">
        <v>0</v>
      </c>
      <c r="AD103" s="156">
        <v>206000607</v>
      </c>
      <c r="AE103" s="156">
        <v>0</v>
      </c>
      <c r="AF103" s="156">
        <v>0</v>
      </c>
      <c r="AG103" s="156">
        <v>0</v>
      </c>
      <c r="AH103" s="156">
        <v>0</v>
      </c>
      <c r="AI103" s="156">
        <v>0</v>
      </c>
      <c r="AJ103" s="156">
        <v>0</v>
      </c>
      <c r="AK103" s="156">
        <v>0</v>
      </c>
      <c r="AL103" s="156">
        <v>0</v>
      </c>
      <c r="AM103" s="156">
        <v>0</v>
      </c>
      <c r="AN103" s="150">
        <v>7809343464</v>
      </c>
      <c r="AO103" s="159">
        <v>0</v>
      </c>
      <c r="AP103" s="160">
        <v>0</v>
      </c>
      <c r="AQ103" s="160">
        <v>0</v>
      </c>
      <c r="AR103" s="160">
        <v>0</v>
      </c>
      <c r="AS103" s="160">
        <v>0</v>
      </c>
      <c r="AT103" s="160">
        <v>0</v>
      </c>
      <c r="AU103" s="160">
        <v>0</v>
      </c>
      <c r="AV103" s="160">
        <v>0</v>
      </c>
      <c r="AW103" s="160">
        <v>0</v>
      </c>
      <c r="AX103" s="160">
        <v>0</v>
      </c>
      <c r="AY103" s="160">
        <v>0</v>
      </c>
      <c r="AZ103" s="160">
        <v>0</v>
      </c>
      <c r="BA103" s="160">
        <v>0</v>
      </c>
      <c r="BB103" s="160">
        <v>0</v>
      </c>
      <c r="BC103" s="150">
        <v>7809343464</v>
      </c>
      <c r="BD103" s="185">
        <v>0</v>
      </c>
      <c r="BE103" s="186">
        <v>0</v>
      </c>
      <c r="BF103" s="186">
        <v>0</v>
      </c>
      <c r="BG103" s="186">
        <v>0</v>
      </c>
      <c r="BH103" s="186">
        <v>0</v>
      </c>
      <c r="BI103" s="186">
        <v>0</v>
      </c>
      <c r="BJ103" s="186">
        <v>0</v>
      </c>
      <c r="BK103" s="186">
        <v>0</v>
      </c>
      <c r="BL103" s="187">
        <v>0</v>
      </c>
      <c r="BM103" s="188">
        <v>0</v>
      </c>
      <c r="BN103" s="188">
        <v>0</v>
      </c>
      <c r="BO103" s="188">
        <v>0</v>
      </c>
      <c r="BP103" s="188">
        <v>0</v>
      </c>
      <c r="BQ103" s="188">
        <v>0</v>
      </c>
      <c r="BR103" s="188">
        <v>0</v>
      </c>
      <c r="BS103" s="188">
        <v>0</v>
      </c>
      <c r="BT103" s="150">
        <v>7809343464</v>
      </c>
      <c r="BW103" s="255">
        <f t="shared" si="18"/>
        <v>0</v>
      </c>
      <c r="BX103" s="255">
        <f t="shared" si="19"/>
        <v>0</v>
      </c>
      <c r="BY103" s="255">
        <f t="shared" si="20"/>
        <v>0</v>
      </c>
      <c r="BZ103" s="255">
        <f t="shared" si="10"/>
        <v>0</v>
      </c>
      <c r="CA103" s="255">
        <f t="shared" si="21"/>
        <v>0</v>
      </c>
      <c r="CB103" s="255">
        <f t="shared" si="22"/>
        <v>7447918328</v>
      </c>
      <c r="CC103" s="255">
        <f t="shared" si="23"/>
        <v>7498169</v>
      </c>
      <c r="CD103" s="255">
        <f t="shared" si="24"/>
        <v>0</v>
      </c>
      <c r="CG103" s="255"/>
    </row>
    <row r="104" spans="1:85">
      <c r="A104" s="110" t="s">
        <v>27</v>
      </c>
      <c r="B104" s="150" t="s">
        <v>304</v>
      </c>
      <c r="C104" s="137" t="s">
        <v>246</v>
      </c>
      <c r="D104" s="150">
        <v>38701</v>
      </c>
      <c r="E104" s="153">
        <v>2394618708</v>
      </c>
      <c r="F104" s="154">
        <v>2394618708</v>
      </c>
      <c r="G104" s="154">
        <v>0</v>
      </c>
      <c r="H104" s="154">
        <v>0</v>
      </c>
      <c r="I104" s="154">
        <v>0</v>
      </c>
      <c r="J104" s="154">
        <v>0</v>
      </c>
      <c r="K104" s="154">
        <v>0</v>
      </c>
      <c r="L104" s="154">
        <v>0</v>
      </c>
      <c r="M104" s="155">
        <v>1131343809</v>
      </c>
      <c r="N104" s="156">
        <v>0</v>
      </c>
      <c r="O104" s="156">
        <v>271524</v>
      </c>
      <c r="P104" s="156">
        <v>0</v>
      </c>
      <c r="Q104" s="156">
        <v>0</v>
      </c>
      <c r="R104" s="156">
        <v>307707727</v>
      </c>
      <c r="S104" s="156">
        <v>0</v>
      </c>
      <c r="T104" s="156">
        <v>27449642</v>
      </c>
      <c r="U104" s="156">
        <v>0</v>
      </c>
      <c r="V104" s="156">
        <v>351324152</v>
      </c>
      <c r="W104" s="156">
        <v>17303214</v>
      </c>
      <c r="X104" s="156">
        <v>29898742</v>
      </c>
      <c r="Y104" s="156">
        <v>1730138</v>
      </c>
      <c r="Z104" s="156">
        <v>73417851</v>
      </c>
      <c r="AA104" s="156">
        <v>191364640</v>
      </c>
      <c r="AB104" s="156">
        <v>46281708</v>
      </c>
      <c r="AC104" s="156">
        <v>303465</v>
      </c>
      <c r="AD104" s="156">
        <v>82879058</v>
      </c>
      <c r="AE104" s="156">
        <v>0</v>
      </c>
      <c r="AF104" s="156">
        <v>0</v>
      </c>
      <c r="AG104" s="156">
        <v>0</v>
      </c>
      <c r="AH104" s="156">
        <v>0</v>
      </c>
      <c r="AI104" s="156">
        <v>0</v>
      </c>
      <c r="AJ104" s="156">
        <v>0</v>
      </c>
      <c r="AK104" s="156">
        <v>0</v>
      </c>
      <c r="AL104" s="156">
        <v>0</v>
      </c>
      <c r="AM104" s="156">
        <v>1411948</v>
      </c>
      <c r="AN104" s="150">
        <v>1263274899</v>
      </c>
      <c r="AO104" s="159">
        <v>6270124</v>
      </c>
      <c r="AP104" s="160">
        <v>4574000</v>
      </c>
      <c r="AQ104" s="160">
        <v>1696124</v>
      </c>
      <c r="AR104" s="160">
        <v>0</v>
      </c>
      <c r="AS104" s="160">
        <v>0</v>
      </c>
      <c r="AT104" s="160">
        <v>0</v>
      </c>
      <c r="AU104" s="160">
        <v>0</v>
      </c>
      <c r="AV104" s="160">
        <v>0</v>
      </c>
      <c r="AW104" s="160">
        <v>0</v>
      </c>
      <c r="AX104" s="160">
        <v>0</v>
      </c>
      <c r="AY104" s="160">
        <v>0</v>
      </c>
      <c r="AZ104" s="160">
        <v>0</v>
      </c>
      <c r="BA104" s="160">
        <v>0</v>
      </c>
      <c r="BB104" s="160">
        <v>0</v>
      </c>
      <c r="BC104" s="150">
        <v>1257004775</v>
      </c>
      <c r="BD104" s="185">
        <v>0</v>
      </c>
      <c r="BE104" s="186">
        <v>0</v>
      </c>
      <c r="BF104" s="186">
        <v>0</v>
      </c>
      <c r="BG104" s="186">
        <v>0</v>
      </c>
      <c r="BH104" s="186">
        <v>0</v>
      </c>
      <c r="BI104" s="186">
        <v>0</v>
      </c>
      <c r="BJ104" s="186">
        <v>0</v>
      </c>
      <c r="BK104" s="186">
        <v>0</v>
      </c>
      <c r="BL104" s="187">
        <v>0</v>
      </c>
      <c r="BM104" s="188">
        <v>0</v>
      </c>
      <c r="BN104" s="188">
        <v>0</v>
      </c>
      <c r="BO104" s="188">
        <v>0</v>
      </c>
      <c r="BP104" s="188">
        <v>0</v>
      </c>
      <c r="BQ104" s="188">
        <v>0</v>
      </c>
      <c r="BR104" s="188">
        <v>0</v>
      </c>
      <c r="BS104" s="188">
        <v>0</v>
      </c>
      <c r="BT104" s="150">
        <v>1257004775</v>
      </c>
      <c r="BW104" s="255">
        <f t="shared" si="18"/>
        <v>0</v>
      </c>
      <c r="BX104" s="255">
        <f t="shared" si="19"/>
        <v>0</v>
      </c>
      <c r="BY104" s="255">
        <f t="shared" si="20"/>
        <v>0</v>
      </c>
      <c r="BZ104" s="255">
        <f t="shared" si="10"/>
        <v>0</v>
      </c>
      <c r="CA104" s="255">
        <f t="shared" si="21"/>
        <v>1411948</v>
      </c>
      <c r="CB104" s="255">
        <f t="shared" si="22"/>
        <v>47201956</v>
      </c>
      <c r="CC104" s="255">
        <f t="shared" si="23"/>
        <v>237646348</v>
      </c>
      <c r="CD104" s="255">
        <f t="shared" si="24"/>
        <v>4574000</v>
      </c>
      <c r="CG104" s="255"/>
    </row>
    <row r="105" spans="1:85">
      <c r="A105" s="110" t="s">
        <v>27</v>
      </c>
      <c r="B105" s="150" t="s">
        <v>305</v>
      </c>
      <c r="C105" s="137" t="s">
        <v>246</v>
      </c>
      <c r="D105" s="150">
        <v>105285</v>
      </c>
      <c r="E105" s="153">
        <v>76538591</v>
      </c>
      <c r="F105" s="154">
        <v>76538591</v>
      </c>
      <c r="G105" s="154">
        <v>0</v>
      </c>
      <c r="H105" s="154">
        <v>0</v>
      </c>
      <c r="I105" s="154">
        <v>0</v>
      </c>
      <c r="J105" s="154">
        <v>0</v>
      </c>
      <c r="K105" s="154">
        <v>0</v>
      </c>
      <c r="L105" s="154">
        <v>0</v>
      </c>
      <c r="M105" s="155">
        <v>679430302</v>
      </c>
      <c r="N105" s="156">
        <v>0</v>
      </c>
      <c r="O105" s="156">
        <v>0</v>
      </c>
      <c r="P105" s="156">
        <v>0</v>
      </c>
      <c r="Q105" s="156">
        <v>0</v>
      </c>
      <c r="R105" s="156">
        <v>10528995</v>
      </c>
      <c r="S105" s="156">
        <v>0</v>
      </c>
      <c r="T105" s="156">
        <v>1045862</v>
      </c>
      <c r="U105" s="156">
        <v>0</v>
      </c>
      <c r="V105" s="156">
        <v>298909504</v>
      </c>
      <c r="W105" s="156">
        <v>0</v>
      </c>
      <c r="X105" s="156">
        <v>16643716</v>
      </c>
      <c r="Y105" s="156">
        <v>0</v>
      </c>
      <c r="Z105" s="156">
        <v>1180466</v>
      </c>
      <c r="AA105" s="156">
        <v>0</v>
      </c>
      <c r="AB105" s="156">
        <v>306660129</v>
      </c>
      <c r="AC105" s="156">
        <v>0</v>
      </c>
      <c r="AD105" s="156">
        <v>41655377</v>
      </c>
      <c r="AE105" s="156">
        <v>0</v>
      </c>
      <c r="AF105" s="156">
        <v>0</v>
      </c>
      <c r="AG105" s="156">
        <v>0</v>
      </c>
      <c r="AH105" s="156">
        <v>0</v>
      </c>
      <c r="AI105" s="156">
        <v>0</v>
      </c>
      <c r="AJ105" s="156">
        <v>0</v>
      </c>
      <c r="AK105" s="156">
        <v>0</v>
      </c>
      <c r="AL105" s="156">
        <v>0</v>
      </c>
      <c r="AM105" s="156">
        <v>2806253</v>
      </c>
      <c r="AN105" s="150">
        <v>-602891711</v>
      </c>
      <c r="AO105" s="159">
        <v>4147933</v>
      </c>
      <c r="AP105" s="160">
        <v>2335328</v>
      </c>
      <c r="AQ105" s="160">
        <v>674193</v>
      </c>
      <c r="AR105" s="160">
        <v>0</v>
      </c>
      <c r="AS105" s="160">
        <v>0</v>
      </c>
      <c r="AT105" s="160">
        <v>0</v>
      </c>
      <c r="AU105" s="160">
        <v>0</v>
      </c>
      <c r="AV105" s="160">
        <v>0</v>
      </c>
      <c r="AW105" s="160">
        <v>0</v>
      </c>
      <c r="AX105" s="160">
        <v>0</v>
      </c>
      <c r="AY105" s="160">
        <v>0</v>
      </c>
      <c r="AZ105" s="160">
        <v>1138412</v>
      </c>
      <c r="BA105" s="160">
        <v>0</v>
      </c>
      <c r="BB105" s="160">
        <v>0</v>
      </c>
      <c r="BC105" s="150">
        <v>-607039644</v>
      </c>
      <c r="BD105" s="185">
        <v>0</v>
      </c>
      <c r="BE105" s="186">
        <v>0</v>
      </c>
      <c r="BF105" s="186">
        <v>0</v>
      </c>
      <c r="BG105" s="186">
        <v>0</v>
      </c>
      <c r="BH105" s="186">
        <v>0</v>
      </c>
      <c r="BI105" s="186">
        <v>0</v>
      </c>
      <c r="BJ105" s="186">
        <v>0</v>
      </c>
      <c r="BK105" s="186">
        <v>0</v>
      </c>
      <c r="BL105" s="187">
        <v>0</v>
      </c>
      <c r="BM105" s="188">
        <v>0</v>
      </c>
      <c r="BN105" s="188">
        <v>0</v>
      </c>
      <c r="BO105" s="188">
        <v>0</v>
      </c>
      <c r="BP105" s="188">
        <v>0</v>
      </c>
      <c r="BQ105" s="188">
        <v>0</v>
      </c>
      <c r="BR105" s="188">
        <v>0</v>
      </c>
      <c r="BS105" s="188">
        <v>0</v>
      </c>
      <c r="BT105" s="150">
        <v>-607039644</v>
      </c>
      <c r="BW105" s="255">
        <f t="shared" si="18"/>
        <v>0</v>
      </c>
      <c r="BX105" s="255">
        <f t="shared" si="19"/>
        <v>0</v>
      </c>
      <c r="BY105" s="255">
        <f t="shared" si="20"/>
        <v>0</v>
      </c>
      <c r="BZ105" s="255">
        <f t="shared" si="10"/>
        <v>0</v>
      </c>
      <c r="CA105" s="255">
        <f t="shared" si="21"/>
        <v>2806253</v>
      </c>
      <c r="CB105" s="255">
        <f t="shared" si="22"/>
        <v>16643716</v>
      </c>
      <c r="CC105" s="255">
        <f t="shared" si="23"/>
        <v>306660129</v>
      </c>
      <c r="CD105" s="255">
        <f t="shared" si="24"/>
        <v>2335328</v>
      </c>
      <c r="CG105" s="255"/>
    </row>
    <row r="106" spans="1:85">
      <c r="A106" s="110" t="s">
        <v>27</v>
      </c>
      <c r="B106" s="150" t="s">
        <v>306</v>
      </c>
      <c r="C106" s="137" t="s">
        <v>246</v>
      </c>
      <c r="D106" s="150">
        <v>55151</v>
      </c>
      <c r="E106" s="153">
        <v>87306148</v>
      </c>
      <c r="F106" s="154">
        <v>87306148</v>
      </c>
      <c r="G106" s="154">
        <v>0</v>
      </c>
      <c r="H106" s="154">
        <v>0</v>
      </c>
      <c r="I106" s="154">
        <v>0</v>
      </c>
      <c r="J106" s="154">
        <v>0</v>
      </c>
      <c r="K106" s="154">
        <v>0</v>
      </c>
      <c r="L106" s="154">
        <v>0</v>
      </c>
      <c r="M106" s="155">
        <v>240450324</v>
      </c>
      <c r="N106" s="156">
        <v>0</v>
      </c>
      <c r="O106" s="156">
        <v>0</v>
      </c>
      <c r="P106" s="156">
        <v>0</v>
      </c>
      <c r="Q106" s="156">
        <v>0</v>
      </c>
      <c r="R106" s="156">
        <v>3671412</v>
      </c>
      <c r="S106" s="156">
        <v>0</v>
      </c>
      <c r="T106" s="156">
        <v>409039</v>
      </c>
      <c r="U106" s="156">
        <v>0</v>
      </c>
      <c r="V106" s="156">
        <v>104417435</v>
      </c>
      <c r="W106" s="156">
        <v>0</v>
      </c>
      <c r="X106" s="156">
        <v>5011924</v>
      </c>
      <c r="Y106" s="156">
        <v>0</v>
      </c>
      <c r="Z106" s="156">
        <v>296141</v>
      </c>
      <c r="AA106" s="156">
        <v>0</v>
      </c>
      <c r="AB106" s="156">
        <v>109007439</v>
      </c>
      <c r="AC106" s="156">
        <v>0</v>
      </c>
      <c r="AD106" s="156">
        <v>15418049</v>
      </c>
      <c r="AE106" s="156">
        <v>0</v>
      </c>
      <c r="AF106" s="156">
        <v>0</v>
      </c>
      <c r="AG106" s="156">
        <v>0</v>
      </c>
      <c r="AH106" s="156">
        <v>0</v>
      </c>
      <c r="AI106" s="156">
        <v>0</v>
      </c>
      <c r="AJ106" s="156">
        <v>0</v>
      </c>
      <c r="AK106" s="156">
        <v>0</v>
      </c>
      <c r="AL106" s="156">
        <v>0</v>
      </c>
      <c r="AM106" s="156">
        <v>2218885</v>
      </c>
      <c r="AN106" s="150">
        <v>-153144176</v>
      </c>
      <c r="AO106" s="159">
        <v>487627</v>
      </c>
      <c r="AP106" s="160">
        <v>0</v>
      </c>
      <c r="AQ106" s="160">
        <v>487627</v>
      </c>
      <c r="AR106" s="160">
        <v>0</v>
      </c>
      <c r="AS106" s="160">
        <v>0</v>
      </c>
      <c r="AT106" s="160">
        <v>0</v>
      </c>
      <c r="AU106" s="160">
        <v>0</v>
      </c>
      <c r="AV106" s="160">
        <v>0</v>
      </c>
      <c r="AW106" s="160">
        <v>0</v>
      </c>
      <c r="AX106" s="160">
        <v>0</v>
      </c>
      <c r="AY106" s="160">
        <v>0</v>
      </c>
      <c r="AZ106" s="160">
        <v>0</v>
      </c>
      <c r="BA106" s="160">
        <v>0</v>
      </c>
      <c r="BB106" s="160">
        <v>0</v>
      </c>
      <c r="BC106" s="150">
        <v>-153631803</v>
      </c>
      <c r="BD106" s="185">
        <v>0</v>
      </c>
      <c r="BE106" s="186">
        <v>0</v>
      </c>
      <c r="BF106" s="186">
        <v>0</v>
      </c>
      <c r="BG106" s="186">
        <v>0</v>
      </c>
      <c r="BH106" s="186">
        <v>0</v>
      </c>
      <c r="BI106" s="186">
        <v>0</v>
      </c>
      <c r="BJ106" s="186">
        <v>0</v>
      </c>
      <c r="BK106" s="186">
        <v>0</v>
      </c>
      <c r="BL106" s="187">
        <v>0</v>
      </c>
      <c r="BM106" s="188">
        <v>0</v>
      </c>
      <c r="BN106" s="188">
        <v>0</v>
      </c>
      <c r="BO106" s="188">
        <v>0</v>
      </c>
      <c r="BP106" s="188">
        <v>0</v>
      </c>
      <c r="BQ106" s="188">
        <v>0</v>
      </c>
      <c r="BR106" s="188">
        <v>0</v>
      </c>
      <c r="BS106" s="188">
        <v>0</v>
      </c>
      <c r="BT106" s="150">
        <v>-153631803</v>
      </c>
      <c r="BW106" s="255">
        <f t="shared" si="18"/>
        <v>0</v>
      </c>
      <c r="BX106" s="255">
        <f t="shared" si="19"/>
        <v>0</v>
      </c>
      <c r="BY106" s="255">
        <f t="shared" si="20"/>
        <v>0</v>
      </c>
      <c r="BZ106" s="255">
        <f t="shared" si="10"/>
        <v>0</v>
      </c>
      <c r="CA106" s="255">
        <f t="shared" si="21"/>
        <v>2218885</v>
      </c>
      <c r="CB106" s="255">
        <f t="shared" si="22"/>
        <v>5011924</v>
      </c>
      <c r="CC106" s="255">
        <f t="shared" si="23"/>
        <v>109007439</v>
      </c>
      <c r="CD106" s="255">
        <f t="shared" si="24"/>
        <v>0</v>
      </c>
      <c r="CG106" s="255"/>
    </row>
    <row r="107" spans="1:85">
      <c r="A107" s="110" t="s">
        <v>27</v>
      </c>
      <c r="B107" s="150" t="s">
        <v>307</v>
      </c>
      <c r="C107" s="137" t="s">
        <v>258</v>
      </c>
      <c r="D107" s="150">
        <v>640466.69499999925</v>
      </c>
      <c r="E107" s="153">
        <v>4525733821721</v>
      </c>
      <c r="F107" s="154">
        <v>4538416768909</v>
      </c>
      <c r="G107" s="154">
        <v>-20206055237</v>
      </c>
      <c r="H107" s="154">
        <v>14431856825</v>
      </c>
      <c r="I107" s="154">
        <v>218238180</v>
      </c>
      <c r="J107" s="154">
        <v>1214120252</v>
      </c>
      <c r="K107" s="154">
        <v>-8341107208</v>
      </c>
      <c r="L107" s="154">
        <v>0</v>
      </c>
      <c r="M107" s="155">
        <v>4375592228403</v>
      </c>
      <c r="N107" s="156">
        <v>4107250311908</v>
      </c>
      <c r="O107" s="156">
        <v>26271876880</v>
      </c>
      <c r="P107" s="156">
        <v>1979227359</v>
      </c>
      <c r="Q107" s="156">
        <v>0</v>
      </c>
      <c r="R107" s="156">
        <v>45103038294</v>
      </c>
      <c r="S107" s="156">
        <v>0</v>
      </c>
      <c r="T107" s="156">
        <v>4556598176</v>
      </c>
      <c r="U107" s="156">
        <v>0</v>
      </c>
      <c r="V107" s="156">
        <v>36521593823</v>
      </c>
      <c r="W107" s="156">
        <v>52372134759</v>
      </c>
      <c r="X107" s="156">
        <v>12204754281</v>
      </c>
      <c r="Y107" s="156">
        <v>837477513</v>
      </c>
      <c r="Z107" s="156">
        <v>29780272489</v>
      </c>
      <c r="AA107" s="156">
        <v>6366075136</v>
      </c>
      <c r="AB107" s="156">
        <v>9966536888</v>
      </c>
      <c r="AC107" s="156">
        <v>2899396458</v>
      </c>
      <c r="AD107" s="156">
        <v>27378378894</v>
      </c>
      <c r="AE107" s="156">
        <v>22841580949</v>
      </c>
      <c r="AF107" s="156">
        <v>-13983366877</v>
      </c>
      <c r="AG107" s="156">
        <v>0</v>
      </c>
      <c r="AH107" s="156">
        <v>0</v>
      </c>
      <c r="AI107" s="156">
        <v>0</v>
      </c>
      <c r="AJ107" s="156">
        <v>0</v>
      </c>
      <c r="AK107" s="156">
        <v>0</v>
      </c>
      <c r="AL107" s="156">
        <v>-332563567</v>
      </c>
      <c r="AM107" s="156">
        <v>3578905040</v>
      </c>
      <c r="AN107" s="150">
        <v>150141593318</v>
      </c>
      <c r="AO107" s="159">
        <v>40823965124</v>
      </c>
      <c r="AP107" s="160">
        <v>579034558</v>
      </c>
      <c r="AQ107" s="160">
        <v>177283107</v>
      </c>
      <c r="AR107" s="160">
        <v>0</v>
      </c>
      <c r="AS107" s="160">
        <v>0</v>
      </c>
      <c r="AT107" s="160">
        <v>17927498767</v>
      </c>
      <c r="AU107" s="160">
        <v>550759341</v>
      </c>
      <c r="AV107" s="160">
        <v>0</v>
      </c>
      <c r="AW107" s="160">
        <v>591971225</v>
      </c>
      <c r="AX107" s="160">
        <v>2925987995</v>
      </c>
      <c r="AY107" s="160">
        <v>1170812643</v>
      </c>
      <c r="AZ107" s="160">
        <v>11564368301</v>
      </c>
      <c r="BA107" s="160">
        <v>26589890</v>
      </c>
      <c r="BB107" s="160">
        <v>5309659297</v>
      </c>
      <c r="BC107" s="150">
        <v>109317628194</v>
      </c>
      <c r="BD107" s="185">
        <v>46141556587</v>
      </c>
      <c r="BE107" s="186">
        <v>28440786243</v>
      </c>
      <c r="BF107" s="186">
        <v>2766944765</v>
      </c>
      <c r="BG107" s="186">
        <v>6989956102</v>
      </c>
      <c r="BH107" s="186">
        <v>1275767605</v>
      </c>
      <c r="BI107" s="186">
        <v>119651223</v>
      </c>
      <c r="BJ107" s="186">
        <v>6548450649</v>
      </c>
      <c r="BK107" s="186">
        <v>0</v>
      </c>
      <c r="BL107" s="187">
        <v>58444334857</v>
      </c>
      <c r="BM107" s="188">
        <v>35130530002</v>
      </c>
      <c r="BN107" s="188">
        <v>228295796</v>
      </c>
      <c r="BO107" s="188">
        <v>16321474396</v>
      </c>
      <c r="BP107" s="188">
        <v>7740000</v>
      </c>
      <c r="BQ107" s="188">
        <v>5818546347</v>
      </c>
      <c r="BR107" s="188">
        <v>937748316</v>
      </c>
      <c r="BS107" s="188">
        <v>0</v>
      </c>
      <c r="BT107" s="150">
        <v>97014849924</v>
      </c>
      <c r="BW107" s="255">
        <f t="shared" si="18"/>
        <v>-12682947188</v>
      </c>
      <c r="BX107" s="255">
        <f t="shared" si="19"/>
        <v>4107250311908</v>
      </c>
      <c r="BY107" s="255">
        <f t="shared" si="20"/>
        <v>8858214072</v>
      </c>
      <c r="BZ107" s="255">
        <f t="shared" si="10"/>
        <v>4116108525980</v>
      </c>
      <c r="CA107" s="255">
        <f t="shared" si="21"/>
        <v>3246341473</v>
      </c>
      <c r="CB107" s="255">
        <f t="shared" si="22"/>
        <v>64576889040</v>
      </c>
      <c r="CC107" s="255">
        <f t="shared" si="23"/>
        <v>16332612024</v>
      </c>
      <c r="CD107" s="255">
        <f t="shared" si="24"/>
        <v>579034558</v>
      </c>
      <c r="CG107" s="255"/>
    </row>
    <row r="108" spans="1:85">
      <c r="A108" s="110" t="s">
        <v>27</v>
      </c>
      <c r="B108" s="150" t="s">
        <v>308</v>
      </c>
      <c r="C108" s="137" t="s">
        <v>260</v>
      </c>
      <c r="D108" s="150">
        <v>1205404.7499999991</v>
      </c>
      <c r="E108" s="153">
        <v>1657372002</v>
      </c>
      <c r="F108" s="154">
        <v>1657372002</v>
      </c>
      <c r="G108" s="154">
        <v>0</v>
      </c>
      <c r="H108" s="154">
        <v>0</v>
      </c>
      <c r="I108" s="154">
        <v>0</v>
      </c>
      <c r="J108" s="154">
        <v>0</v>
      </c>
      <c r="K108" s="154">
        <v>0</v>
      </c>
      <c r="L108" s="154">
        <v>0</v>
      </c>
      <c r="M108" s="155">
        <v>1384409311</v>
      </c>
      <c r="N108" s="156">
        <v>0</v>
      </c>
      <c r="O108" s="156">
        <v>0</v>
      </c>
      <c r="P108" s="156">
        <v>0</v>
      </c>
      <c r="Q108" s="156">
        <v>0</v>
      </c>
      <c r="R108" s="156">
        <v>722265819</v>
      </c>
      <c r="S108" s="156">
        <v>0</v>
      </c>
      <c r="T108" s="156">
        <v>58946495</v>
      </c>
      <c r="U108" s="156">
        <v>0</v>
      </c>
      <c r="V108" s="156">
        <v>139875165</v>
      </c>
      <c r="W108" s="156">
        <v>42098</v>
      </c>
      <c r="X108" s="156">
        <v>1119769</v>
      </c>
      <c r="Y108" s="156">
        <v>2319967</v>
      </c>
      <c r="Z108" s="156">
        <v>198508768</v>
      </c>
      <c r="AA108" s="156">
        <v>122136</v>
      </c>
      <c r="AB108" s="156">
        <v>1904868</v>
      </c>
      <c r="AC108" s="156">
        <v>977095</v>
      </c>
      <c r="AD108" s="156">
        <v>276081423</v>
      </c>
      <c r="AE108" s="156">
        <v>0</v>
      </c>
      <c r="AF108" s="156">
        <v>0</v>
      </c>
      <c r="AG108" s="156">
        <v>0</v>
      </c>
      <c r="AH108" s="156">
        <v>0</v>
      </c>
      <c r="AI108" s="156">
        <v>0</v>
      </c>
      <c r="AJ108" s="156">
        <v>0</v>
      </c>
      <c r="AK108" s="156">
        <v>0</v>
      </c>
      <c r="AL108" s="156">
        <v>-17754292</v>
      </c>
      <c r="AM108" s="156">
        <v>0</v>
      </c>
      <c r="AN108" s="150">
        <v>272962691</v>
      </c>
      <c r="AO108" s="159">
        <v>9740658073</v>
      </c>
      <c r="AP108" s="160">
        <v>9734710473</v>
      </c>
      <c r="AQ108" s="160">
        <v>0</v>
      </c>
      <c r="AR108" s="160">
        <v>0</v>
      </c>
      <c r="AS108" s="160">
        <v>0</v>
      </c>
      <c r="AT108" s="160">
        <v>0</v>
      </c>
      <c r="AU108" s="160">
        <v>0</v>
      </c>
      <c r="AV108" s="160">
        <v>0</v>
      </c>
      <c r="AW108" s="160">
        <v>0</v>
      </c>
      <c r="AX108" s="160">
        <v>0</v>
      </c>
      <c r="AY108" s="160">
        <v>0</v>
      </c>
      <c r="AZ108" s="160">
        <v>5947600</v>
      </c>
      <c r="BA108" s="160">
        <v>0</v>
      </c>
      <c r="BB108" s="160">
        <v>0</v>
      </c>
      <c r="BC108" s="150">
        <v>-9467695382</v>
      </c>
      <c r="BD108" s="185">
        <v>0</v>
      </c>
      <c r="BE108" s="186">
        <v>0</v>
      </c>
      <c r="BF108" s="186">
        <v>0</v>
      </c>
      <c r="BG108" s="186">
        <v>0</v>
      </c>
      <c r="BH108" s="186">
        <v>0</v>
      </c>
      <c r="BI108" s="186">
        <v>0</v>
      </c>
      <c r="BJ108" s="186">
        <v>0</v>
      </c>
      <c r="BK108" s="186">
        <v>0</v>
      </c>
      <c r="BL108" s="187">
        <v>0</v>
      </c>
      <c r="BM108" s="188">
        <v>0</v>
      </c>
      <c r="BN108" s="188">
        <v>0</v>
      </c>
      <c r="BO108" s="188">
        <v>0</v>
      </c>
      <c r="BP108" s="188">
        <v>0</v>
      </c>
      <c r="BQ108" s="188">
        <v>0</v>
      </c>
      <c r="BR108" s="188">
        <v>0</v>
      </c>
      <c r="BS108" s="188">
        <v>0</v>
      </c>
      <c r="BT108" s="150">
        <v>-9467695382</v>
      </c>
      <c r="BW108" s="255">
        <f t="shared" si="18"/>
        <v>0</v>
      </c>
      <c r="BX108" s="255">
        <f t="shared" si="19"/>
        <v>0</v>
      </c>
      <c r="BY108" s="255">
        <f t="shared" si="20"/>
        <v>0</v>
      </c>
      <c r="BZ108" s="255">
        <f t="shared" si="10"/>
        <v>0</v>
      </c>
      <c r="CA108" s="255">
        <f t="shared" si="21"/>
        <v>-17754292</v>
      </c>
      <c r="CB108" s="255">
        <f t="shared" si="22"/>
        <v>1161867</v>
      </c>
      <c r="CC108" s="255">
        <f t="shared" si="23"/>
        <v>2027004</v>
      </c>
      <c r="CD108" s="255">
        <f t="shared" si="24"/>
        <v>9734710473</v>
      </c>
      <c r="CG108" s="255"/>
    </row>
    <row r="109" spans="1:85">
      <c r="A109" s="110" t="s">
        <v>27</v>
      </c>
      <c r="B109" s="150" t="s">
        <v>309</v>
      </c>
      <c r="C109" s="137" t="s">
        <v>262</v>
      </c>
      <c r="D109" s="150">
        <v>45910315.100000001</v>
      </c>
      <c r="E109" s="153">
        <v>2330714888756</v>
      </c>
      <c r="F109" s="154">
        <v>2349635791615</v>
      </c>
      <c r="G109" s="154">
        <v>-11884172305</v>
      </c>
      <c r="H109" s="154">
        <v>-5033395507</v>
      </c>
      <c r="I109" s="154">
        <v>-843461652</v>
      </c>
      <c r="J109" s="154">
        <v>0</v>
      </c>
      <c r="K109" s="154">
        <v>-1159873395</v>
      </c>
      <c r="L109" s="154">
        <v>0</v>
      </c>
      <c r="M109" s="155">
        <v>2226035394386</v>
      </c>
      <c r="N109" s="156">
        <v>2137462585245</v>
      </c>
      <c r="O109" s="156">
        <v>440043629</v>
      </c>
      <c r="P109" s="156">
        <v>0</v>
      </c>
      <c r="Q109" s="156">
        <v>0</v>
      </c>
      <c r="R109" s="156">
        <v>2659230182</v>
      </c>
      <c r="S109" s="156">
        <v>0</v>
      </c>
      <c r="T109" s="156">
        <v>257034979</v>
      </c>
      <c r="U109" s="156">
        <v>0</v>
      </c>
      <c r="V109" s="156">
        <v>1462665069</v>
      </c>
      <c r="W109" s="156">
        <v>659255149</v>
      </c>
      <c r="X109" s="156">
        <v>589293690</v>
      </c>
      <c r="Y109" s="156">
        <v>41613700</v>
      </c>
      <c r="Z109" s="156">
        <v>981992387</v>
      </c>
      <c r="AA109" s="156">
        <v>282085635</v>
      </c>
      <c r="AB109" s="156">
        <v>642616218</v>
      </c>
      <c r="AC109" s="156">
        <v>154932015</v>
      </c>
      <c r="AD109" s="156">
        <v>801351736</v>
      </c>
      <c r="AE109" s="156">
        <v>-8272120555</v>
      </c>
      <c r="AF109" s="156">
        <v>88474550538</v>
      </c>
      <c r="AG109" s="156">
        <v>0</v>
      </c>
      <c r="AH109" s="156">
        <v>0</v>
      </c>
      <c r="AI109" s="156">
        <v>0</v>
      </c>
      <c r="AJ109" s="156">
        <v>0</v>
      </c>
      <c r="AK109" s="156">
        <v>-340461220</v>
      </c>
      <c r="AL109" s="156">
        <v>-261274011</v>
      </c>
      <c r="AM109" s="156">
        <v>0</v>
      </c>
      <c r="AN109" s="150">
        <v>104679494370</v>
      </c>
      <c r="AO109" s="159">
        <v>21556364429</v>
      </c>
      <c r="AP109" s="160">
        <v>85420100</v>
      </c>
      <c r="AQ109" s="160">
        <v>4701190</v>
      </c>
      <c r="AR109" s="160">
        <v>0</v>
      </c>
      <c r="AS109" s="160">
        <v>0</v>
      </c>
      <c r="AT109" s="160">
        <v>9308199587</v>
      </c>
      <c r="AU109" s="160">
        <v>271575805</v>
      </c>
      <c r="AV109" s="160">
        <v>0</v>
      </c>
      <c r="AW109" s="160">
        <v>308457471</v>
      </c>
      <c r="AX109" s="160">
        <v>1484165737</v>
      </c>
      <c r="AY109" s="160">
        <v>648517711</v>
      </c>
      <c r="AZ109" s="160">
        <v>6706979132</v>
      </c>
      <c r="BA109" s="160">
        <v>16988192</v>
      </c>
      <c r="BB109" s="160">
        <v>2721359504</v>
      </c>
      <c r="BC109" s="150">
        <v>83123129941</v>
      </c>
      <c r="BD109" s="185">
        <v>16910669682</v>
      </c>
      <c r="BE109" s="186">
        <v>15324582496</v>
      </c>
      <c r="BF109" s="186">
        <v>1539459163</v>
      </c>
      <c r="BG109" s="186">
        <v>46220383</v>
      </c>
      <c r="BH109" s="186">
        <v>0</v>
      </c>
      <c r="BI109" s="186">
        <v>0</v>
      </c>
      <c r="BJ109" s="186">
        <v>407640</v>
      </c>
      <c r="BK109" s="186">
        <v>0</v>
      </c>
      <c r="BL109" s="187">
        <v>22943907207</v>
      </c>
      <c r="BM109" s="188">
        <v>21992637248</v>
      </c>
      <c r="BN109" s="188">
        <v>888327645</v>
      </c>
      <c r="BO109" s="188">
        <v>62942314</v>
      </c>
      <c r="BP109" s="188">
        <v>0</v>
      </c>
      <c r="BQ109" s="188">
        <v>0</v>
      </c>
      <c r="BR109" s="188">
        <v>0</v>
      </c>
      <c r="BS109" s="188">
        <v>0</v>
      </c>
      <c r="BT109" s="150">
        <v>77089892416</v>
      </c>
      <c r="BW109" s="255">
        <f t="shared" si="18"/>
        <v>-18920902859</v>
      </c>
      <c r="BX109" s="255">
        <f t="shared" si="19"/>
        <v>2137462585245</v>
      </c>
      <c r="BY109" s="255">
        <f t="shared" si="20"/>
        <v>79861968763</v>
      </c>
      <c r="BZ109" s="255">
        <f t="shared" si="10"/>
        <v>2217324554008</v>
      </c>
      <c r="CA109" s="255">
        <f t="shared" si="21"/>
        <v>-261274011</v>
      </c>
      <c r="CB109" s="255">
        <f t="shared" si="22"/>
        <v>1248548839</v>
      </c>
      <c r="CC109" s="255">
        <f t="shared" si="23"/>
        <v>924701853</v>
      </c>
      <c r="CD109" s="255">
        <f t="shared" si="24"/>
        <v>85420100</v>
      </c>
      <c r="CG109" s="255"/>
    </row>
    <row r="110" spans="1:85">
      <c r="A110" s="110" t="s">
        <v>27</v>
      </c>
      <c r="B110" s="150" t="s">
        <v>310</v>
      </c>
      <c r="C110" s="137" t="s">
        <v>264</v>
      </c>
      <c r="D110" s="150">
        <v>608975164</v>
      </c>
      <c r="E110" s="153">
        <v>363298172713</v>
      </c>
      <c r="F110" s="154">
        <v>369416444194</v>
      </c>
      <c r="G110" s="154">
        <v>-2181241523</v>
      </c>
      <c r="H110" s="154">
        <v>-3366650561</v>
      </c>
      <c r="I110" s="154">
        <v>0</v>
      </c>
      <c r="J110" s="154">
        <v>0</v>
      </c>
      <c r="K110" s="154">
        <v>-570379397</v>
      </c>
      <c r="L110" s="154">
        <v>0</v>
      </c>
      <c r="M110" s="155">
        <v>335525695750</v>
      </c>
      <c r="N110" s="156">
        <v>318132522367</v>
      </c>
      <c r="O110" s="156">
        <v>156332254</v>
      </c>
      <c r="P110" s="156">
        <v>0</v>
      </c>
      <c r="Q110" s="156">
        <v>0</v>
      </c>
      <c r="R110" s="156">
        <v>1443554595</v>
      </c>
      <c r="S110" s="156">
        <v>0</v>
      </c>
      <c r="T110" s="156">
        <v>141206777</v>
      </c>
      <c r="U110" s="156">
        <v>0</v>
      </c>
      <c r="V110" s="156">
        <v>1099076102</v>
      </c>
      <c r="W110" s="156">
        <v>312153231</v>
      </c>
      <c r="X110" s="156">
        <v>234372311</v>
      </c>
      <c r="Y110" s="156">
        <v>6367463</v>
      </c>
      <c r="Z110" s="156">
        <v>581947810</v>
      </c>
      <c r="AA110" s="156">
        <v>171744428</v>
      </c>
      <c r="AB110" s="156">
        <v>452100799</v>
      </c>
      <c r="AC110" s="156">
        <v>187632534</v>
      </c>
      <c r="AD110" s="156">
        <v>465717418</v>
      </c>
      <c r="AE110" s="156">
        <v>-336752870</v>
      </c>
      <c r="AF110" s="156">
        <v>12516241898</v>
      </c>
      <c r="AG110" s="156">
        <v>0</v>
      </c>
      <c r="AH110" s="156">
        <v>0</v>
      </c>
      <c r="AI110" s="156">
        <v>0</v>
      </c>
      <c r="AJ110" s="156">
        <v>0</v>
      </c>
      <c r="AK110" s="156">
        <v>0</v>
      </c>
      <c r="AL110" s="156">
        <v>-38521367</v>
      </c>
      <c r="AM110" s="156">
        <v>0</v>
      </c>
      <c r="AN110" s="150">
        <v>27772476963</v>
      </c>
      <c r="AO110" s="159">
        <v>3615754809</v>
      </c>
      <c r="AP110" s="160">
        <v>94230100</v>
      </c>
      <c r="AQ110" s="160">
        <v>23554705</v>
      </c>
      <c r="AR110" s="160">
        <v>0</v>
      </c>
      <c r="AS110" s="160">
        <v>0</v>
      </c>
      <c r="AT110" s="160">
        <v>1455244165</v>
      </c>
      <c r="AU110" s="160">
        <v>44863609</v>
      </c>
      <c r="AV110" s="160">
        <v>0</v>
      </c>
      <c r="AW110" s="160">
        <v>49669610</v>
      </c>
      <c r="AX110" s="160">
        <v>239202285</v>
      </c>
      <c r="AY110" s="160">
        <v>105598041</v>
      </c>
      <c r="AZ110" s="160">
        <v>1168869631</v>
      </c>
      <c r="BA110" s="160">
        <v>2295925</v>
      </c>
      <c r="BB110" s="160">
        <v>432226738</v>
      </c>
      <c r="BC110" s="150">
        <v>24156722154</v>
      </c>
      <c r="BD110" s="185">
        <v>2635334383</v>
      </c>
      <c r="BE110" s="186">
        <v>2351451795</v>
      </c>
      <c r="BF110" s="186">
        <v>253947793</v>
      </c>
      <c r="BG110" s="186">
        <v>29934795</v>
      </c>
      <c r="BH110" s="186">
        <v>0</v>
      </c>
      <c r="BI110" s="186">
        <v>0</v>
      </c>
      <c r="BJ110" s="186">
        <v>0</v>
      </c>
      <c r="BK110" s="186">
        <v>0</v>
      </c>
      <c r="BL110" s="187">
        <v>4071379580</v>
      </c>
      <c r="BM110" s="188">
        <v>4067647440</v>
      </c>
      <c r="BN110" s="188">
        <v>-7764778</v>
      </c>
      <c r="BO110" s="188">
        <v>11496918</v>
      </c>
      <c r="BP110" s="188">
        <v>0</v>
      </c>
      <c r="BQ110" s="188">
        <v>0</v>
      </c>
      <c r="BR110" s="188">
        <v>0</v>
      </c>
      <c r="BS110" s="188">
        <v>0</v>
      </c>
      <c r="BT110" s="150">
        <v>22720676957</v>
      </c>
      <c r="BW110" s="255">
        <f t="shared" si="18"/>
        <v>-6118271481</v>
      </c>
      <c r="BX110" s="255">
        <f t="shared" si="19"/>
        <v>318132522367</v>
      </c>
      <c r="BY110" s="255">
        <f t="shared" si="20"/>
        <v>12179489028</v>
      </c>
      <c r="BZ110" s="255">
        <f t="shared" si="10"/>
        <v>330312011395</v>
      </c>
      <c r="CA110" s="255">
        <f t="shared" si="21"/>
        <v>-38521367</v>
      </c>
      <c r="CB110" s="255">
        <f t="shared" si="22"/>
        <v>546525542</v>
      </c>
      <c r="CC110" s="255">
        <f t="shared" si="23"/>
        <v>623845227</v>
      </c>
      <c r="CD110" s="255">
        <f t="shared" si="24"/>
        <v>94230100</v>
      </c>
      <c r="CG110" s="255"/>
    </row>
    <row r="111" spans="1:85">
      <c r="A111" s="110" t="s">
        <v>27</v>
      </c>
      <c r="B111" s="150" t="s">
        <v>311</v>
      </c>
      <c r="C111" s="137" t="s">
        <v>266</v>
      </c>
      <c r="D111" s="150">
        <v>182150.3</v>
      </c>
      <c r="E111" s="153">
        <v>5955523993</v>
      </c>
      <c r="F111" s="154">
        <v>5955523993</v>
      </c>
      <c r="G111" s="154">
        <v>0</v>
      </c>
      <c r="H111" s="154">
        <v>0</v>
      </c>
      <c r="I111" s="154">
        <v>0</v>
      </c>
      <c r="J111" s="154">
        <v>0</v>
      </c>
      <c r="K111" s="154">
        <v>0</v>
      </c>
      <c r="L111" s="154">
        <v>0</v>
      </c>
      <c r="M111" s="155">
        <v>3649682825</v>
      </c>
      <c r="N111" s="156">
        <v>3347168231</v>
      </c>
      <c r="O111" s="156">
        <v>1017041</v>
      </c>
      <c r="P111" s="156">
        <v>0</v>
      </c>
      <c r="Q111" s="156">
        <v>0</v>
      </c>
      <c r="R111" s="156">
        <v>101572446</v>
      </c>
      <c r="S111" s="156">
        <v>0</v>
      </c>
      <c r="T111" s="156">
        <v>7919957</v>
      </c>
      <c r="U111" s="156">
        <v>0</v>
      </c>
      <c r="V111" s="156">
        <v>49212672</v>
      </c>
      <c r="W111" s="156">
        <v>1302636</v>
      </c>
      <c r="X111" s="156">
        <v>1715770</v>
      </c>
      <c r="Y111" s="156">
        <v>7743948</v>
      </c>
      <c r="Z111" s="156">
        <v>20388596</v>
      </c>
      <c r="AA111" s="156">
        <v>3867624</v>
      </c>
      <c r="AB111" s="156">
        <v>4303287</v>
      </c>
      <c r="AC111" s="156">
        <v>627733</v>
      </c>
      <c r="AD111" s="156">
        <v>14914925</v>
      </c>
      <c r="AE111" s="156">
        <v>0</v>
      </c>
      <c r="AF111" s="156">
        <v>104574101</v>
      </c>
      <c r="AG111" s="156">
        <v>0</v>
      </c>
      <c r="AH111" s="156">
        <v>0</v>
      </c>
      <c r="AI111" s="156">
        <v>0</v>
      </c>
      <c r="AJ111" s="156">
        <v>0</v>
      </c>
      <c r="AK111" s="156">
        <v>0</v>
      </c>
      <c r="AL111" s="156">
        <v>-16646142</v>
      </c>
      <c r="AM111" s="156">
        <v>0</v>
      </c>
      <c r="AN111" s="150">
        <v>2305841168</v>
      </c>
      <c r="AO111" s="159">
        <v>13414908</v>
      </c>
      <c r="AP111" s="160">
        <v>0</v>
      </c>
      <c r="AQ111" s="160">
        <v>10422</v>
      </c>
      <c r="AR111" s="160">
        <v>0</v>
      </c>
      <c r="AS111" s="160">
        <v>0</v>
      </c>
      <c r="AT111" s="160">
        <v>974280</v>
      </c>
      <c r="AU111" s="160">
        <v>0</v>
      </c>
      <c r="AV111" s="160">
        <v>0</v>
      </c>
      <c r="AW111" s="160">
        <v>90726</v>
      </c>
      <c r="AX111" s="160">
        <v>0</v>
      </c>
      <c r="AY111" s="160">
        <v>120458</v>
      </c>
      <c r="AZ111" s="160">
        <v>12114769</v>
      </c>
      <c r="BA111" s="160">
        <v>0</v>
      </c>
      <c r="BB111" s="160">
        <v>104253</v>
      </c>
      <c r="BC111" s="150">
        <v>2292426260</v>
      </c>
      <c r="BD111" s="185">
        <v>0</v>
      </c>
      <c r="BE111" s="186">
        <v>0</v>
      </c>
      <c r="BF111" s="186">
        <v>0</v>
      </c>
      <c r="BG111" s="186">
        <v>0</v>
      </c>
      <c r="BH111" s="186">
        <v>0</v>
      </c>
      <c r="BI111" s="186">
        <v>0</v>
      </c>
      <c r="BJ111" s="186">
        <v>0</v>
      </c>
      <c r="BK111" s="186">
        <v>0</v>
      </c>
      <c r="BL111" s="187">
        <v>0</v>
      </c>
      <c r="BM111" s="188">
        <v>0</v>
      </c>
      <c r="BN111" s="188">
        <v>0</v>
      </c>
      <c r="BO111" s="188">
        <v>0</v>
      </c>
      <c r="BP111" s="188">
        <v>0</v>
      </c>
      <c r="BQ111" s="188">
        <v>0</v>
      </c>
      <c r="BR111" s="188">
        <v>0</v>
      </c>
      <c r="BS111" s="188">
        <v>0</v>
      </c>
      <c r="BT111" s="150">
        <v>2292426260</v>
      </c>
      <c r="BW111" s="255">
        <f t="shared" si="18"/>
        <v>0</v>
      </c>
      <c r="BX111" s="255">
        <f t="shared" si="19"/>
        <v>3347168231</v>
      </c>
      <c r="BY111" s="255">
        <f t="shared" si="20"/>
        <v>104574101</v>
      </c>
      <c r="BZ111" s="255">
        <f t="shared" si="10"/>
        <v>3451742332</v>
      </c>
      <c r="CA111" s="255">
        <f t="shared" si="21"/>
        <v>-16646142</v>
      </c>
      <c r="CB111" s="255">
        <f t="shared" si="22"/>
        <v>3018406</v>
      </c>
      <c r="CC111" s="255">
        <f t="shared" si="23"/>
        <v>8170911</v>
      </c>
      <c r="CD111" s="255">
        <f t="shared" si="24"/>
        <v>0</v>
      </c>
      <c r="CG111" s="255"/>
    </row>
    <row r="112" spans="1:85">
      <c r="A112" s="110" t="s">
        <v>27</v>
      </c>
      <c r="B112" s="150" t="s">
        <v>312</v>
      </c>
      <c r="C112" s="137" t="s">
        <v>268</v>
      </c>
      <c r="D112" s="150">
        <v>1675529.2999999998</v>
      </c>
      <c r="E112" s="153">
        <v>94481115502</v>
      </c>
      <c r="F112" s="154">
        <v>94481115502</v>
      </c>
      <c r="G112" s="154">
        <v>0</v>
      </c>
      <c r="H112" s="154">
        <v>0</v>
      </c>
      <c r="I112" s="154">
        <v>0</v>
      </c>
      <c r="J112" s="154">
        <v>0</v>
      </c>
      <c r="K112" s="154">
        <v>0</v>
      </c>
      <c r="L112" s="154">
        <v>0</v>
      </c>
      <c r="M112" s="155">
        <v>60598957805</v>
      </c>
      <c r="N112" s="156">
        <v>58230541607</v>
      </c>
      <c r="O112" s="156">
        <v>20205386</v>
      </c>
      <c r="P112" s="156">
        <v>0</v>
      </c>
      <c r="Q112" s="156">
        <v>0</v>
      </c>
      <c r="R112" s="156">
        <v>213113244</v>
      </c>
      <c r="S112" s="156">
        <v>0</v>
      </c>
      <c r="T112" s="156">
        <v>17422776</v>
      </c>
      <c r="U112" s="156">
        <v>0</v>
      </c>
      <c r="V112" s="156">
        <v>138731484</v>
      </c>
      <c r="W112" s="156">
        <v>24589027</v>
      </c>
      <c r="X112" s="156">
        <v>29404061</v>
      </c>
      <c r="Y112" s="156">
        <v>4559299</v>
      </c>
      <c r="Z112" s="156">
        <v>75484140</v>
      </c>
      <c r="AA112" s="156">
        <v>61576698</v>
      </c>
      <c r="AB112" s="156">
        <v>64696543</v>
      </c>
      <c r="AC112" s="156">
        <v>5453258</v>
      </c>
      <c r="AD112" s="156">
        <v>57184430</v>
      </c>
      <c r="AE112" s="156">
        <v>4952237</v>
      </c>
      <c r="AF112" s="156">
        <v>1693309454</v>
      </c>
      <c r="AG112" s="156">
        <v>0</v>
      </c>
      <c r="AH112" s="156">
        <v>0</v>
      </c>
      <c r="AI112" s="156">
        <v>0</v>
      </c>
      <c r="AJ112" s="156">
        <v>0</v>
      </c>
      <c r="AK112" s="156">
        <v>0</v>
      </c>
      <c r="AL112" s="156">
        <v>-42265839</v>
      </c>
      <c r="AM112" s="156">
        <v>0</v>
      </c>
      <c r="AN112" s="150">
        <v>33882157697</v>
      </c>
      <c r="AO112" s="159">
        <v>65147353</v>
      </c>
      <c r="AP112" s="160">
        <v>3220000</v>
      </c>
      <c r="AQ112" s="160">
        <v>167160</v>
      </c>
      <c r="AR112" s="160">
        <v>0</v>
      </c>
      <c r="AS112" s="160">
        <v>0</v>
      </c>
      <c r="AT112" s="160">
        <v>15468063</v>
      </c>
      <c r="AU112" s="160">
        <v>0</v>
      </c>
      <c r="AV112" s="160">
        <v>0</v>
      </c>
      <c r="AW112" s="160">
        <v>1501992</v>
      </c>
      <c r="AX112" s="160">
        <v>0</v>
      </c>
      <c r="AY112" s="160">
        <v>1961316</v>
      </c>
      <c r="AZ112" s="160">
        <v>41263894</v>
      </c>
      <c r="BA112" s="160">
        <v>0</v>
      </c>
      <c r="BB112" s="160">
        <v>1564928</v>
      </c>
      <c r="BC112" s="150">
        <v>33817010344</v>
      </c>
      <c r="BD112" s="185">
        <v>225750</v>
      </c>
      <c r="BE112" s="186">
        <v>0</v>
      </c>
      <c r="BF112" s="186">
        <v>225750</v>
      </c>
      <c r="BG112" s="186">
        <v>0</v>
      </c>
      <c r="BH112" s="186">
        <v>0</v>
      </c>
      <c r="BI112" s="186">
        <v>0</v>
      </c>
      <c r="BJ112" s="186">
        <v>0</v>
      </c>
      <c r="BK112" s="186">
        <v>0</v>
      </c>
      <c r="BL112" s="187">
        <v>0</v>
      </c>
      <c r="BM112" s="188">
        <v>0</v>
      </c>
      <c r="BN112" s="188">
        <v>0</v>
      </c>
      <c r="BO112" s="188">
        <v>0</v>
      </c>
      <c r="BP112" s="188">
        <v>0</v>
      </c>
      <c r="BQ112" s="188">
        <v>0</v>
      </c>
      <c r="BR112" s="188">
        <v>0</v>
      </c>
      <c r="BS112" s="188">
        <v>0</v>
      </c>
      <c r="BT112" s="150">
        <v>33817236094</v>
      </c>
      <c r="BW112" s="255">
        <f t="shared" si="18"/>
        <v>0</v>
      </c>
      <c r="BX112" s="255">
        <f t="shared" si="19"/>
        <v>58230541607</v>
      </c>
      <c r="BY112" s="255">
        <f t="shared" si="20"/>
        <v>1698261691</v>
      </c>
      <c r="BZ112" s="255">
        <f t="shared" si="10"/>
        <v>59928803298</v>
      </c>
      <c r="CA112" s="255">
        <f t="shared" si="21"/>
        <v>-42265839</v>
      </c>
      <c r="CB112" s="255">
        <f t="shared" si="22"/>
        <v>53993088</v>
      </c>
      <c r="CC112" s="255">
        <f t="shared" si="23"/>
        <v>126273241</v>
      </c>
      <c r="CD112" s="255">
        <f t="shared" si="24"/>
        <v>3220000</v>
      </c>
      <c r="CG112" s="255"/>
    </row>
    <row r="113" spans="1:85">
      <c r="A113" s="110" t="s">
        <v>27</v>
      </c>
      <c r="B113" s="150" t="s">
        <v>313</v>
      </c>
      <c r="C113" s="149" t="s">
        <v>320</v>
      </c>
      <c r="D113" s="150">
        <v>412925</v>
      </c>
      <c r="E113" s="153">
        <v>7589872221</v>
      </c>
      <c r="F113" s="154">
        <v>7589872221</v>
      </c>
      <c r="G113" s="154">
        <v>0</v>
      </c>
      <c r="H113" s="154">
        <v>0</v>
      </c>
      <c r="I113" s="154">
        <v>0</v>
      </c>
      <c r="J113" s="154">
        <v>0</v>
      </c>
      <c r="K113" s="154">
        <v>0</v>
      </c>
      <c r="L113" s="154">
        <v>0</v>
      </c>
      <c r="M113" s="155">
        <v>4335084376</v>
      </c>
      <c r="N113" s="156">
        <v>1341482510</v>
      </c>
      <c r="O113" s="156">
        <v>5178056</v>
      </c>
      <c r="P113" s="156">
        <v>0</v>
      </c>
      <c r="Q113" s="156">
        <v>0</v>
      </c>
      <c r="R113" s="156">
        <v>1097228410</v>
      </c>
      <c r="S113" s="156">
        <v>0</v>
      </c>
      <c r="T113" s="156">
        <v>102624287</v>
      </c>
      <c r="U113" s="156">
        <v>0</v>
      </c>
      <c r="V113" s="156">
        <v>853700719</v>
      </c>
      <c r="W113" s="156">
        <v>8943732</v>
      </c>
      <c r="X113" s="156">
        <v>84844278</v>
      </c>
      <c r="Y113" s="156">
        <v>28331464</v>
      </c>
      <c r="Z113" s="156">
        <v>485395365</v>
      </c>
      <c r="AA113" s="156">
        <v>45491970</v>
      </c>
      <c r="AB113" s="156">
        <v>181886653</v>
      </c>
      <c r="AC113" s="156">
        <v>14216425</v>
      </c>
      <c r="AD113" s="156">
        <v>358209715</v>
      </c>
      <c r="AE113" s="156">
        <v>0</v>
      </c>
      <c r="AF113" s="156">
        <v>-330752556</v>
      </c>
      <c r="AG113" s="156">
        <v>0</v>
      </c>
      <c r="AH113" s="156">
        <v>0</v>
      </c>
      <c r="AI113" s="156">
        <v>0</v>
      </c>
      <c r="AJ113" s="156">
        <v>0</v>
      </c>
      <c r="AK113" s="156">
        <v>0</v>
      </c>
      <c r="AL113" s="156">
        <v>0</v>
      </c>
      <c r="AM113" s="156">
        <v>58303348</v>
      </c>
      <c r="AN113" s="150">
        <v>3254787845</v>
      </c>
      <c r="AO113" s="159">
        <v>46701496</v>
      </c>
      <c r="AP113" s="160">
        <v>32892751</v>
      </c>
      <c r="AQ113" s="160">
        <v>11348497</v>
      </c>
      <c r="AR113" s="160">
        <v>0</v>
      </c>
      <c r="AS113" s="160">
        <v>0</v>
      </c>
      <c r="AT113" s="160">
        <v>1246851</v>
      </c>
      <c r="AU113" s="160">
        <v>0</v>
      </c>
      <c r="AV113" s="160">
        <v>0</v>
      </c>
      <c r="AW113" s="160">
        <v>106704</v>
      </c>
      <c r="AX113" s="160">
        <v>0</v>
      </c>
      <c r="AY113" s="160">
        <v>226372</v>
      </c>
      <c r="AZ113" s="160">
        <v>776479</v>
      </c>
      <c r="BA113" s="160">
        <v>0</v>
      </c>
      <c r="BB113" s="160">
        <v>103842</v>
      </c>
      <c r="BC113" s="150">
        <v>3208086349</v>
      </c>
      <c r="BD113" s="185">
        <v>69726818</v>
      </c>
      <c r="BE113" s="186">
        <v>0</v>
      </c>
      <c r="BF113" s="186">
        <v>0</v>
      </c>
      <c r="BG113" s="186">
        <v>0</v>
      </c>
      <c r="BH113" s="186">
        <v>0</v>
      </c>
      <c r="BI113" s="186">
        <v>0</v>
      </c>
      <c r="BJ113" s="186">
        <v>69726818</v>
      </c>
      <c r="BK113" s="186">
        <v>0</v>
      </c>
      <c r="BL113" s="187">
        <v>1859566</v>
      </c>
      <c r="BM113" s="188">
        <v>1859566</v>
      </c>
      <c r="BN113" s="188">
        <v>0</v>
      </c>
      <c r="BO113" s="188">
        <v>0</v>
      </c>
      <c r="BP113" s="188">
        <v>0</v>
      </c>
      <c r="BQ113" s="188">
        <v>0</v>
      </c>
      <c r="BR113" s="188">
        <v>0</v>
      </c>
      <c r="BS113" s="188">
        <v>0</v>
      </c>
      <c r="BT113" s="150">
        <v>3275953601</v>
      </c>
      <c r="BW113" s="255">
        <f t="shared" si="18"/>
        <v>0</v>
      </c>
      <c r="BX113" s="255">
        <f t="shared" si="19"/>
        <v>1341482510</v>
      </c>
      <c r="BY113" s="255">
        <f t="shared" si="20"/>
        <v>-330752556</v>
      </c>
      <c r="BZ113" s="255">
        <f t="shared" si="10"/>
        <v>1010729954</v>
      </c>
      <c r="CA113" s="255">
        <f t="shared" si="21"/>
        <v>58303348</v>
      </c>
      <c r="CB113" s="255">
        <f t="shared" si="22"/>
        <v>93788010</v>
      </c>
      <c r="CC113" s="255">
        <f t="shared" si="23"/>
        <v>227378623</v>
      </c>
      <c r="CD113" s="255">
        <f t="shared" si="24"/>
        <v>32892751</v>
      </c>
      <c r="CG113" s="255"/>
    </row>
    <row r="114" spans="1:85">
      <c r="A114" s="110" t="s">
        <v>27</v>
      </c>
      <c r="B114" s="150" t="s">
        <v>314</v>
      </c>
      <c r="C114" s="137" t="s">
        <v>272</v>
      </c>
      <c r="D114" s="150">
        <v>1791309</v>
      </c>
      <c r="E114" s="153">
        <v>23521976705</v>
      </c>
      <c r="F114" s="154">
        <v>23521976705</v>
      </c>
      <c r="G114" s="154">
        <v>0</v>
      </c>
      <c r="H114" s="154">
        <v>0</v>
      </c>
      <c r="I114" s="154">
        <v>0</v>
      </c>
      <c r="J114" s="154">
        <v>0</v>
      </c>
      <c r="K114" s="154">
        <v>0</v>
      </c>
      <c r="L114" s="154">
        <v>0</v>
      </c>
      <c r="M114" s="155">
        <v>21371331779</v>
      </c>
      <c r="N114" s="156">
        <v>21287130294</v>
      </c>
      <c r="O114" s="156">
        <v>0</v>
      </c>
      <c r="P114" s="156">
        <v>0</v>
      </c>
      <c r="Q114" s="156">
        <v>0</v>
      </c>
      <c r="R114" s="156">
        <v>0</v>
      </c>
      <c r="S114" s="156">
        <v>0</v>
      </c>
      <c r="T114" s="156">
        <v>0</v>
      </c>
      <c r="U114" s="156">
        <v>0</v>
      </c>
      <c r="V114" s="156">
        <v>0</v>
      </c>
      <c r="W114" s="156">
        <v>0</v>
      </c>
      <c r="X114" s="156">
        <v>0</v>
      </c>
      <c r="Y114" s="156">
        <v>0</v>
      </c>
      <c r="Z114" s="156">
        <v>0</v>
      </c>
      <c r="AA114" s="156">
        <v>0</v>
      </c>
      <c r="AB114" s="156">
        <v>0</v>
      </c>
      <c r="AC114" s="156">
        <v>0</v>
      </c>
      <c r="AD114" s="156">
        <v>0</v>
      </c>
      <c r="AE114" s="156">
        <v>0</v>
      </c>
      <c r="AF114" s="156">
        <v>0</v>
      </c>
      <c r="AG114" s="156">
        <v>0</v>
      </c>
      <c r="AH114" s="156">
        <v>0</v>
      </c>
      <c r="AI114" s="156">
        <v>0</v>
      </c>
      <c r="AJ114" s="156">
        <v>0</v>
      </c>
      <c r="AK114" s="156">
        <v>0</v>
      </c>
      <c r="AL114" s="156">
        <v>84201485</v>
      </c>
      <c r="AM114" s="156">
        <v>0</v>
      </c>
      <c r="AN114" s="150">
        <v>2150644926</v>
      </c>
      <c r="AO114" s="159">
        <v>81892351</v>
      </c>
      <c r="AP114" s="160">
        <v>45402514</v>
      </c>
      <c r="AQ114" s="160">
        <v>781421</v>
      </c>
      <c r="AR114" s="160">
        <v>0</v>
      </c>
      <c r="AS114" s="160">
        <v>0</v>
      </c>
      <c r="AT114" s="160">
        <v>0</v>
      </c>
      <c r="AU114" s="160">
        <v>0</v>
      </c>
      <c r="AV114" s="160">
        <v>0</v>
      </c>
      <c r="AW114" s="160">
        <v>0</v>
      </c>
      <c r="AX114" s="160">
        <v>0</v>
      </c>
      <c r="AY114" s="160">
        <v>0</v>
      </c>
      <c r="AZ114" s="160">
        <v>35708416</v>
      </c>
      <c r="BA114" s="160">
        <v>0</v>
      </c>
      <c r="BB114" s="160">
        <v>0</v>
      </c>
      <c r="BC114" s="150">
        <v>2068752575</v>
      </c>
      <c r="BD114" s="185">
        <v>0</v>
      </c>
      <c r="BE114" s="186">
        <v>0</v>
      </c>
      <c r="BF114" s="186">
        <v>0</v>
      </c>
      <c r="BG114" s="186">
        <v>0</v>
      </c>
      <c r="BH114" s="186">
        <v>0</v>
      </c>
      <c r="BI114" s="186">
        <v>0</v>
      </c>
      <c r="BJ114" s="186">
        <v>0</v>
      </c>
      <c r="BK114" s="186">
        <v>0</v>
      </c>
      <c r="BL114" s="187">
        <v>0</v>
      </c>
      <c r="BM114" s="188">
        <v>0</v>
      </c>
      <c r="BN114" s="188">
        <v>0</v>
      </c>
      <c r="BO114" s="188">
        <v>0</v>
      </c>
      <c r="BP114" s="188">
        <v>0</v>
      </c>
      <c r="BQ114" s="188">
        <v>0</v>
      </c>
      <c r="BR114" s="188">
        <v>0</v>
      </c>
      <c r="BS114" s="188">
        <v>0</v>
      </c>
      <c r="BT114" s="150">
        <v>2068752575</v>
      </c>
      <c r="BW114" s="255">
        <f t="shared" si="18"/>
        <v>0</v>
      </c>
      <c r="BX114" s="255">
        <f t="shared" si="19"/>
        <v>21287130294</v>
      </c>
      <c r="BY114" s="255">
        <f t="shared" si="20"/>
        <v>0</v>
      </c>
      <c r="BZ114" s="255">
        <f t="shared" si="10"/>
        <v>21287130294</v>
      </c>
      <c r="CA114" s="255">
        <f t="shared" si="21"/>
        <v>84201485</v>
      </c>
      <c r="CB114" s="255">
        <f t="shared" si="22"/>
        <v>0</v>
      </c>
      <c r="CC114" s="255">
        <f t="shared" si="23"/>
        <v>0</v>
      </c>
      <c r="CD114" s="255">
        <f t="shared" si="24"/>
        <v>45402514</v>
      </c>
      <c r="CG114" s="255"/>
    </row>
    <row r="115" spans="1:85">
      <c r="A115" s="110" t="s">
        <v>27</v>
      </c>
      <c r="B115" s="150" t="s">
        <v>315</v>
      </c>
      <c r="C115" s="137" t="s">
        <v>316</v>
      </c>
      <c r="D115" s="150">
        <v>5204000</v>
      </c>
      <c r="E115" s="153">
        <v>3473861429</v>
      </c>
      <c r="F115" s="154">
        <v>3473861429</v>
      </c>
      <c r="G115" s="154">
        <v>0</v>
      </c>
      <c r="H115" s="154">
        <v>0</v>
      </c>
      <c r="I115" s="154">
        <v>0</v>
      </c>
      <c r="J115" s="154">
        <v>0</v>
      </c>
      <c r="K115" s="154">
        <v>0</v>
      </c>
      <c r="L115" s="154">
        <v>0</v>
      </c>
      <c r="M115" s="155">
        <v>4681818210</v>
      </c>
      <c r="N115" s="156">
        <v>2454676520</v>
      </c>
      <c r="O115" s="156">
        <v>2947819</v>
      </c>
      <c r="P115" s="156">
        <v>0</v>
      </c>
      <c r="Q115" s="156">
        <v>0</v>
      </c>
      <c r="R115" s="156">
        <v>695314909</v>
      </c>
      <c r="S115" s="156">
        <v>0</v>
      </c>
      <c r="T115" s="156">
        <v>65733718</v>
      </c>
      <c r="U115" s="156">
        <v>0</v>
      </c>
      <c r="V115" s="156">
        <v>549890605</v>
      </c>
      <c r="W115" s="156">
        <v>30952041</v>
      </c>
      <c r="X115" s="156">
        <v>11814661</v>
      </c>
      <c r="Y115" s="156">
        <v>15730492</v>
      </c>
      <c r="Z115" s="156">
        <v>56380092</v>
      </c>
      <c r="AA115" s="156">
        <v>271130668</v>
      </c>
      <c r="AB115" s="156">
        <v>286405452</v>
      </c>
      <c r="AC115" s="156">
        <v>7313328</v>
      </c>
      <c r="AD115" s="156">
        <v>233527905</v>
      </c>
      <c r="AE115" s="156">
        <v>0</v>
      </c>
      <c r="AF115" s="156">
        <v>0</v>
      </c>
      <c r="AG115" s="156">
        <v>0</v>
      </c>
      <c r="AH115" s="156">
        <v>0</v>
      </c>
      <c r="AI115" s="156">
        <v>0</v>
      </c>
      <c r="AJ115" s="156">
        <v>0</v>
      </c>
      <c r="AK115" s="156">
        <v>0</v>
      </c>
      <c r="AL115" s="156">
        <v>0</v>
      </c>
      <c r="AM115" s="156">
        <v>0</v>
      </c>
      <c r="AN115" s="150">
        <v>-1207956781</v>
      </c>
      <c r="AO115" s="159">
        <v>4343386742</v>
      </c>
      <c r="AP115" s="160">
        <v>87430712</v>
      </c>
      <c r="AQ115" s="160">
        <v>259665</v>
      </c>
      <c r="AR115" s="160">
        <v>0</v>
      </c>
      <c r="AS115" s="160">
        <v>0</v>
      </c>
      <c r="AT115" s="160">
        <v>206456229</v>
      </c>
      <c r="AU115" s="160">
        <v>0</v>
      </c>
      <c r="AV115" s="160">
        <v>0</v>
      </c>
      <c r="AW115" s="160">
        <v>21566856</v>
      </c>
      <c r="AX115" s="160">
        <v>4012491330</v>
      </c>
      <c r="AY115" s="160">
        <v>0</v>
      </c>
      <c r="AZ115" s="160">
        <v>70000</v>
      </c>
      <c r="BA115" s="160">
        <v>0</v>
      </c>
      <c r="BB115" s="160">
        <v>15111950</v>
      </c>
      <c r="BC115" s="150">
        <v>-5551343523</v>
      </c>
      <c r="BD115" s="185">
        <v>0</v>
      </c>
      <c r="BE115" s="186">
        <v>0</v>
      </c>
      <c r="BF115" s="186">
        <v>0</v>
      </c>
      <c r="BG115" s="186">
        <v>0</v>
      </c>
      <c r="BH115" s="186">
        <v>0</v>
      </c>
      <c r="BI115" s="186">
        <v>0</v>
      </c>
      <c r="BJ115" s="186">
        <v>0</v>
      </c>
      <c r="BK115" s="186">
        <v>0</v>
      </c>
      <c r="BL115" s="187">
        <v>854825</v>
      </c>
      <c r="BM115" s="188">
        <v>0</v>
      </c>
      <c r="BN115" s="188">
        <v>0</v>
      </c>
      <c r="BO115" s="188">
        <v>0</v>
      </c>
      <c r="BP115" s="188">
        <v>0</v>
      </c>
      <c r="BQ115" s="188">
        <v>0</v>
      </c>
      <c r="BR115" s="188">
        <v>854825</v>
      </c>
      <c r="BS115" s="188">
        <v>0</v>
      </c>
      <c r="BT115" s="150">
        <v>-5552198348</v>
      </c>
      <c r="BW115" s="255">
        <f t="shared" si="18"/>
        <v>0</v>
      </c>
      <c r="BX115" s="255">
        <f t="shared" si="19"/>
        <v>2454676520</v>
      </c>
      <c r="BY115" s="255">
        <f t="shared" si="20"/>
        <v>0</v>
      </c>
      <c r="BZ115" s="255">
        <f t="shared" si="10"/>
        <v>2454676520</v>
      </c>
      <c r="CA115" s="255">
        <f t="shared" si="21"/>
        <v>0</v>
      </c>
      <c r="CB115" s="255">
        <f t="shared" si="22"/>
        <v>42766702</v>
      </c>
      <c r="CC115" s="255">
        <f t="shared" si="23"/>
        <v>557536120</v>
      </c>
      <c r="CD115" s="255">
        <f t="shared" si="24"/>
        <v>87430712</v>
      </c>
      <c r="CG115" s="255"/>
    </row>
    <row r="116" spans="1:85">
      <c r="A116" s="110" t="s">
        <v>27</v>
      </c>
      <c r="B116" s="150" t="s">
        <v>317</v>
      </c>
      <c r="C116" s="137" t="s">
        <v>246</v>
      </c>
      <c r="D116" s="150">
        <v>3423000</v>
      </c>
      <c r="E116" s="153">
        <v>2267736984</v>
      </c>
      <c r="F116" s="154">
        <v>2267736984</v>
      </c>
      <c r="G116" s="154">
        <v>0</v>
      </c>
      <c r="H116" s="154">
        <v>0</v>
      </c>
      <c r="I116" s="154">
        <v>0</v>
      </c>
      <c r="J116" s="154">
        <v>0</v>
      </c>
      <c r="K116" s="154">
        <v>0</v>
      </c>
      <c r="L116" s="154">
        <v>0</v>
      </c>
      <c r="M116" s="155">
        <v>2445740132</v>
      </c>
      <c r="N116" s="156">
        <v>0</v>
      </c>
      <c r="O116" s="156">
        <v>0</v>
      </c>
      <c r="P116" s="156">
        <v>0</v>
      </c>
      <c r="Q116" s="156">
        <v>0</v>
      </c>
      <c r="R116" s="156">
        <v>547740371</v>
      </c>
      <c r="S116" s="156">
        <v>0</v>
      </c>
      <c r="T116" s="156">
        <v>53234191</v>
      </c>
      <c r="U116" s="156">
        <v>0</v>
      </c>
      <c r="V116" s="156">
        <v>1014575035</v>
      </c>
      <c r="W116" s="156">
        <v>23087086</v>
      </c>
      <c r="X116" s="156">
        <v>101005092</v>
      </c>
      <c r="Y116" s="156">
        <v>13995041</v>
      </c>
      <c r="Z116" s="156">
        <v>97088516</v>
      </c>
      <c r="AA116" s="156">
        <v>41324700</v>
      </c>
      <c r="AB116" s="156">
        <v>94409836</v>
      </c>
      <c r="AC116" s="156">
        <v>19214448</v>
      </c>
      <c r="AD116" s="156">
        <v>128938396</v>
      </c>
      <c r="AE116" s="156">
        <v>0</v>
      </c>
      <c r="AF116" s="156">
        <v>0</v>
      </c>
      <c r="AG116" s="156">
        <v>0</v>
      </c>
      <c r="AH116" s="156">
        <v>0</v>
      </c>
      <c r="AI116" s="156">
        <v>0</v>
      </c>
      <c r="AJ116" s="156">
        <v>0</v>
      </c>
      <c r="AK116" s="156">
        <v>0</v>
      </c>
      <c r="AL116" s="156">
        <v>298349700</v>
      </c>
      <c r="AM116" s="156">
        <v>12777720</v>
      </c>
      <c r="AN116" s="150">
        <v>-178003148</v>
      </c>
      <c r="AO116" s="159">
        <v>13804949</v>
      </c>
      <c r="AP116" s="160">
        <v>12698500</v>
      </c>
      <c r="AQ116" s="160">
        <v>408147</v>
      </c>
      <c r="AR116" s="160">
        <v>698302</v>
      </c>
      <c r="AS116" s="160">
        <v>0</v>
      </c>
      <c r="AT116" s="160">
        <v>0</v>
      </c>
      <c r="AU116" s="160">
        <v>0</v>
      </c>
      <c r="AV116" s="160">
        <v>0</v>
      </c>
      <c r="AW116" s="160">
        <v>0</v>
      </c>
      <c r="AX116" s="160">
        <v>0</v>
      </c>
      <c r="AY116" s="160">
        <v>0</v>
      </c>
      <c r="AZ116" s="160">
        <v>0</v>
      </c>
      <c r="BA116" s="160">
        <v>0</v>
      </c>
      <c r="BB116" s="160">
        <v>0</v>
      </c>
      <c r="BC116" s="150">
        <v>-191808097</v>
      </c>
      <c r="BD116" s="185">
        <v>0</v>
      </c>
      <c r="BE116" s="186">
        <v>0</v>
      </c>
      <c r="BF116" s="186">
        <v>0</v>
      </c>
      <c r="BG116" s="186">
        <v>0</v>
      </c>
      <c r="BH116" s="186">
        <v>0</v>
      </c>
      <c r="BI116" s="186">
        <v>0</v>
      </c>
      <c r="BJ116" s="186">
        <v>0</v>
      </c>
      <c r="BK116" s="186">
        <v>0</v>
      </c>
      <c r="BL116" s="187">
        <v>0</v>
      </c>
      <c r="BM116" s="188">
        <v>0</v>
      </c>
      <c r="BN116" s="188">
        <v>0</v>
      </c>
      <c r="BO116" s="188">
        <v>0</v>
      </c>
      <c r="BP116" s="188">
        <v>0</v>
      </c>
      <c r="BQ116" s="188">
        <v>0</v>
      </c>
      <c r="BR116" s="188">
        <v>0</v>
      </c>
      <c r="BS116" s="188">
        <v>0</v>
      </c>
      <c r="BT116" s="150">
        <v>-191808097</v>
      </c>
      <c r="BW116" s="255">
        <f t="shared" si="18"/>
        <v>0</v>
      </c>
      <c r="BX116" s="255">
        <f t="shared" si="19"/>
        <v>0</v>
      </c>
      <c r="BY116" s="255">
        <f t="shared" si="20"/>
        <v>0</v>
      </c>
      <c r="BZ116" s="255">
        <f t="shared" si="10"/>
        <v>0</v>
      </c>
      <c r="CA116" s="255">
        <f t="shared" si="21"/>
        <v>311127420</v>
      </c>
      <c r="CB116" s="255">
        <f t="shared" si="22"/>
        <v>124092178</v>
      </c>
      <c r="CC116" s="255">
        <f t="shared" si="23"/>
        <v>135734536</v>
      </c>
      <c r="CD116" s="255">
        <f t="shared" si="24"/>
        <v>12698500</v>
      </c>
      <c r="CG116" s="255"/>
    </row>
    <row r="117" spans="1:85">
      <c r="A117" s="110" t="s">
        <v>27</v>
      </c>
      <c r="B117" s="161" t="s">
        <v>321</v>
      </c>
      <c r="C117" s="137" t="s">
        <v>246</v>
      </c>
      <c r="D117" s="161">
        <v>71439.662999999797</v>
      </c>
      <c r="E117" s="189">
        <v>142427781638</v>
      </c>
      <c r="F117" s="190">
        <v>142427781638</v>
      </c>
      <c r="G117" s="190">
        <v>0</v>
      </c>
      <c r="H117" s="190">
        <v>0</v>
      </c>
      <c r="I117" s="190">
        <v>0</v>
      </c>
      <c r="J117" s="190">
        <v>0</v>
      </c>
      <c r="K117" s="190">
        <v>0</v>
      </c>
      <c r="L117" s="190">
        <v>0</v>
      </c>
      <c r="M117" s="191">
        <v>141062293550</v>
      </c>
      <c r="N117" s="192">
        <v>139263843568</v>
      </c>
      <c r="O117" s="192">
        <v>0</v>
      </c>
      <c r="P117" s="192">
        <v>0</v>
      </c>
      <c r="Q117" s="192">
        <v>0</v>
      </c>
      <c r="R117" s="192">
        <v>0</v>
      </c>
      <c r="S117" s="192">
        <v>0</v>
      </c>
      <c r="T117" s="192">
        <v>0</v>
      </c>
      <c r="U117" s="192">
        <v>0</v>
      </c>
      <c r="V117" s="192">
        <v>0</v>
      </c>
      <c r="W117" s="192">
        <v>0</v>
      </c>
      <c r="X117" s="192">
        <v>0</v>
      </c>
      <c r="Y117" s="192">
        <v>0</v>
      </c>
      <c r="Z117" s="192">
        <v>0</v>
      </c>
      <c r="AA117" s="192">
        <v>0</v>
      </c>
      <c r="AB117" s="192">
        <v>0</v>
      </c>
      <c r="AC117" s="192">
        <v>0</v>
      </c>
      <c r="AD117" s="192">
        <v>0</v>
      </c>
      <c r="AE117" s="192">
        <v>0</v>
      </c>
      <c r="AF117" s="192">
        <v>0</v>
      </c>
      <c r="AG117" s="192">
        <v>0</v>
      </c>
      <c r="AH117" s="192">
        <v>0</v>
      </c>
      <c r="AI117" s="192">
        <v>0</v>
      </c>
      <c r="AJ117" s="192">
        <v>0</v>
      </c>
      <c r="AK117" s="192">
        <v>0</v>
      </c>
      <c r="AL117" s="192">
        <v>1798449982</v>
      </c>
      <c r="AM117" s="192">
        <v>0</v>
      </c>
      <c r="AN117" s="161">
        <v>1365488088</v>
      </c>
      <c r="AO117" s="193">
        <v>0</v>
      </c>
      <c r="AP117" s="194">
        <v>0</v>
      </c>
      <c r="AQ117" s="194">
        <v>0</v>
      </c>
      <c r="AR117" s="194">
        <v>0</v>
      </c>
      <c r="AS117" s="194">
        <v>0</v>
      </c>
      <c r="AT117" s="194">
        <v>0</v>
      </c>
      <c r="AU117" s="194">
        <v>0</v>
      </c>
      <c r="AV117" s="194">
        <v>0</v>
      </c>
      <c r="AW117" s="194">
        <v>0</v>
      </c>
      <c r="AX117" s="194">
        <v>0</v>
      </c>
      <c r="AY117" s="194">
        <v>0</v>
      </c>
      <c r="AZ117" s="194">
        <v>0</v>
      </c>
      <c r="BA117" s="194">
        <v>0</v>
      </c>
      <c r="BB117" s="194">
        <v>0</v>
      </c>
      <c r="BC117" s="161">
        <v>1365488088</v>
      </c>
      <c r="BD117" s="195">
        <v>271880762</v>
      </c>
      <c r="BE117" s="196">
        <v>0</v>
      </c>
      <c r="BF117" s="196">
        <v>0</v>
      </c>
      <c r="BG117" s="196">
        <v>271880762</v>
      </c>
      <c r="BH117" s="196">
        <v>0</v>
      </c>
      <c r="BI117" s="196">
        <v>0</v>
      </c>
      <c r="BJ117" s="196">
        <v>0</v>
      </c>
      <c r="BK117" s="196">
        <v>0</v>
      </c>
      <c r="BL117" s="197">
        <v>6860654</v>
      </c>
      <c r="BM117" s="198">
        <v>0</v>
      </c>
      <c r="BN117" s="198">
        <v>0</v>
      </c>
      <c r="BO117" s="198">
        <v>6860654</v>
      </c>
      <c r="BP117" s="198">
        <v>0</v>
      </c>
      <c r="BQ117" s="198">
        <v>0</v>
      </c>
      <c r="BR117" s="198">
        <v>0</v>
      </c>
      <c r="BS117" s="198">
        <v>0</v>
      </c>
      <c r="BT117" s="161">
        <v>1630508196</v>
      </c>
      <c r="BW117" s="255">
        <f t="shared" si="18"/>
        <v>0</v>
      </c>
      <c r="BX117" s="255">
        <f t="shared" si="19"/>
        <v>139263843568</v>
      </c>
      <c r="BY117" s="255">
        <f t="shared" si="20"/>
        <v>0</v>
      </c>
      <c r="BZ117" s="255">
        <f t="shared" si="10"/>
        <v>139263843568</v>
      </c>
      <c r="CA117" s="255">
        <f t="shared" si="21"/>
        <v>1798449982</v>
      </c>
      <c r="CB117" s="255">
        <f t="shared" si="22"/>
        <v>0</v>
      </c>
      <c r="CC117" s="255">
        <f t="shared" si="23"/>
        <v>0</v>
      </c>
      <c r="CD117" s="255">
        <f t="shared" si="24"/>
        <v>0</v>
      </c>
      <c r="CG117" s="255"/>
    </row>
    <row r="118" spans="1:85">
      <c r="B118" s="164" t="s">
        <v>275</v>
      </c>
      <c r="C118" s="164"/>
      <c r="D118" s="164">
        <v>774667401.36999989</v>
      </c>
      <c r="E118" s="167">
        <v>7642856610554</v>
      </c>
      <c r="F118" s="168">
        <v>7680578732082</v>
      </c>
      <c r="G118" s="168">
        <v>-34271469065</v>
      </c>
      <c r="H118" s="168">
        <v>6031810757</v>
      </c>
      <c r="I118" s="168">
        <v>-625223472</v>
      </c>
      <c r="J118" s="168">
        <v>1214120252</v>
      </c>
      <c r="K118" s="168">
        <v>-10071360000</v>
      </c>
      <c r="L118" s="168">
        <v>0</v>
      </c>
      <c r="M118" s="169">
        <v>7270011476753</v>
      </c>
      <c r="N118" s="170">
        <v>6790447672641</v>
      </c>
      <c r="O118" s="170">
        <v>28871563612</v>
      </c>
      <c r="P118" s="170">
        <v>1979227359</v>
      </c>
      <c r="Q118" s="170">
        <v>0</v>
      </c>
      <c r="R118" s="170">
        <v>67050102847</v>
      </c>
      <c r="S118" s="170">
        <v>0</v>
      </c>
      <c r="T118" s="170">
        <v>6625528434</v>
      </c>
      <c r="U118" s="170">
        <v>0</v>
      </c>
      <c r="V118" s="170">
        <v>62320127139</v>
      </c>
      <c r="W118" s="170">
        <v>64681058234</v>
      </c>
      <c r="X118" s="170">
        <v>22963520906</v>
      </c>
      <c r="Y118" s="170">
        <v>1054632624</v>
      </c>
      <c r="Z118" s="170">
        <v>39333871121</v>
      </c>
      <c r="AA118" s="170">
        <v>7947436389</v>
      </c>
      <c r="AB118" s="170">
        <v>17414086096</v>
      </c>
      <c r="AC118" s="170">
        <v>5367651541</v>
      </c>
      <c r="AD118" s="170">
        <v>34941855735</v>
      </c>
      <c r="AE118" s="170">
        <v>14237659761</v>
      </c>
      <c r="AF118" s="170">
        <v>88797002006</v>
      </c>
      <c r="AG118" s="170">
        <v>0</v>
      </c>
      <c r="AH118" s="170">
        <v>0</v>
      </c>
      <c r="AI118" s="170">
        <v>0</v>
      </c>
      <c r="AJ118" s="170">
        <v>0</v>
      </c>
      <c r="AK118" s="170">
        <v>-340461220</v>
      </c>
      <c r="AL118" s="170">
        <v>1697964857</v>
      </c>
      <c r="AM118" s="170">
        <v>14620976671</v>
      </c>
      <c r="AN118" s="164">
        <v>372845133801</v>
      </c>
      <c r="AO118" s="173">
        <v>88063900545</v>
      </c>
      <c r="AP118" s="174">
        <v>16707113994</v>
      </c>
      <c r="AQ118" s="174">
        <v>228982434</v>
      </c>
      <c r="AR118" s="174">
        <v>698302</v>
      </c>
      <c r="AS118" s="174">
        <v>0</v>
      </c>
      <c r="AT118" s="174">
        <v>30232739250</v>
      </c>
      <c r="AU118" s="174">
        <v>874133295</v>
      </c>
      <c r="AV118" s="174">
        <v>0</v>
      </c>
      <c r="AW118" s="174">
        <v>1050167695</v>
      </c>
      <c r="AX118" s="174">
        <v>8697115426</v>
      </c>
      <c r="AY118" s="174">
        <v>1942213873</v>
      </c>
      <c r="AZ118" s="174">
        <v>19682283875</v>
      </c>
      <c r="BA118" s="174">
        <v>46124244</v>
      </c>
      <c r="BB118" s="174">
        <v>8602328157</v>
      </c>
      <c r="BC118" s="164">
        <v>284781233256</v>
      </c>
      <c r="BD118" s="199">
        <v>66203197522</v>
      </c>
      <c r="BE118" s="200">
        <v>46290624074</v>
      </c>
      <c r="BF118" s="200">
        <v>4560577471</v>
      </c>
      <c r="BG118" s="200">
        <v>7337992042</v>
      </c>
      <c r="BH118" s="200">
        <v>1275767605</v>
      </c>
      <c r="BI118" s="200">
        <v>119651223</v>
      </c>
      <c r="BJ118" s="200">
        <v>6618585107</v>
      </c>
      <c r="BK118" s="200">
        <v>0</v>
      </c>
      <c r="BL118" s="201">
        <v>85703645889</v>
      </c>
      <c r="BM118" s="202">
        <v>61397496926</v>
      </c>
      <c r="BN118" s="202">
        <v>1109401993</v>
      </c>
      <c r="BO118" s="202">
        <v>16402774282</v>
      </c>
      <c r="BP118" s="202">
        <v>7740000</v>
      </c>
      <c r="BQ118" s="202">
        <v>5818546347</v>
      </c>
      <c r="BR118" s="202">
        <v>967686341</v>
      </c>
      <c r="BS118" s="202">
        <v>0</v>
      </c>
      <c r="BT118" s="164">
        <v>265280784889</v>
      </c>
      <c r="BW118" s="255">
        <f t="shared" si="18"/>
        <v>-37722121528</v>
      </c>
      <c r="BX118" s="255">
        <f t="shared" si="19"/>
        <v>6790447672641</v>
      </c>
      <c r="BY118" s="255">
        <f t="shared" si="20"/>
        <v>102694200547</v>
      </c>
      <c r="BZ118" s="255">
        <f t="shared" si="10"/>
        <v>6893141873188</v>
      </c>
      <c r="CA118" s="255">
        <f t="shared" si="21"/>
        <v>16318941528</v>
      </c>
      <c r="CB118" s="255">
        <f t="shared" si="22"/>
        <v>87644579140</v>
      </c>
      <c r="CC118" s="255">
        <f t="shared" si="23"/>
        <v>25361522485</v>
      </c>
      <c r="CD118" s="255">
        <f t="shared" si="24"/>
        <v>16707113994</v>
      </c>
      <c r="CG118" s="255"/>
    </row>
    <row r="119" spans="1:85">
      <c r="BZ119" s="255">
        <f t="shared" si="10"/>
        <v>0</v>
      </c>
      <c r="CA119" s="255"/>
      <c r="CB119" s="255"/>
      <c r="CC119" s="255"/>
      <c r="CD119" s="255"/>
    </row>
    <row r="120" spans="1:85">
      <c r="BZ120" s="255"/>
      <c r="CA120" s="255"/>
      <c r="CB120" s="255"/>
      <c r="CC120" s="255"/>
      <c r="CD120" s="255"/>
    </row>
    <row r="121" spans="1:85">
      <c r="C121" s="3" t="s">
        <v>1352</v>
      </c>
      <c r="G121" s="3" t="s">
        <v>2127</v>
      </c>
      <c r="BZ121" s="255"/>
      <c r="CA121" s="255"/>
      <c r="CB121" s="255"/>
      <c r="CC121" s="255"/>
      <c r="CD121" s="255"/>
    </row>
    <row r="122" spans="1:85">
      <c r="B122" s="3" t="s">
        <v>3836</v>
      </c>
      <c r="C122" s="3" t="s">
        <v>3838</v>
      </c>
      <c r="D122" s="3" t="s">
        <v>3839</v>
      </c>
      <c r="E122" s="3" t="s">
        <v>3840</v>
      </c>
      <c r="F122" s="3" t="s">
        <v>400</v>
      </c>
      <c r="G122" s="3" t="s">
        <v>3838</v>
      </c>
      <c r="H122" s="3" t="s">
        <v>3839</v>
      </c>
      <c r="I122" s="3" t="s">
        <v>3840</v>
      </c>
      <c r="J122" s="3" t="s">
        <v>400</v>
      </c>
      <c r="BZ122" s="255"/>
      <c r="CA122" s="255"/>
      <c r="CB122" s="255"/>
      <c r="CC122" s="255"/>
      <c r="CD122" s="255"/>
    </row>
    <row r="123" spans="1:85">
      <c r="B123" s="3" t="s">
        <v>298</v>
      </c>
      <c r="C123" s="3">
        <v>232829.74</v>
      </c>
      <c r="D123" s="3">
        <v>437154.64299999998</v>
      </c>
      <c r="E123" s="3">
        <v>809134.12</v>
      </c>
      <c r="F123" s="3">
        <v>1479118.503</v>
      </c>
      <c r="G123" s="3">
        <v>5505541954</v>
      </c>
      <c r="H123" s="3">
        <v>10339680399</v>
      </c>
      <c r="I123" s="3">
        <v>41325636725</v>
      </c>
      <c r="J123" s="3">
        <v>57170859078</v>
      </c>
      <c r="BZ123" s="255"/>
      <c r="CA123" s="255"/>
      <c r="CB123" s="255"/>
      <c r="CC123" s="255"/>
      <c r="CD123" s="255"/>
    </row>
    <row r="124" spans="1:85">
      <c r="B124" s="3" t="s">
        <v>299</v>
      </c>
      <c r="C124" s="3">
        <v>5010050</v>
      </c>
      <c r="D124" s="3">
        <v>97732158</v>
      </c>
      <c r="E124" s="3">
        <v>126000</v>
      </c>
      <c r="F124" s="3">
        <v>102868208</v>
      </c>
      <c r="G124" s="3">
        <v>2901281200</v>
      </c>
      <c r="H124" s="3">
        <v>45343550140</v>
      </c>
      <c r="I124" s="3">
        <v>84189056</v>
      </c>
      <c r="J124" s="3">
        <v>48329020396</v>
      </c>
      <c r="BZ124" s="255"/>
      <c r="CA124" s="255"/>
      <c r="CB124" s="255"/>
      <c r="CC124" s="255"/>
      <c r="CD124" s="255"/>
    </row>
    <row r="125" spans="1:85">
      <c r="B125" s="3" t="s">
        <v>300</v>
      </c>
      <c r="C125" s="3">
        <v>11154.5</v>
      </c>
      <c r="D125" s="3">
        <v>0</v>
      </c>
      <c r="E125" s="3">
        <v>0</v>
      </c>
      <c r="F125" s="3">
        <v>11154.5</v>
      </c>
      <c r="G125" s="3">
        <v>2267371400</v>
      </c>
      <c r="H125" s="3">
        <v>0</v>
      </c>
      <c r="I125" s="3">
        <v>0</v>
      </c>
      <c r="J125" s="3">
        <v>2267371400</v>
      </c>
      <c r="BZ125" s="255"/>
      <c r="CA125" s="255"/>
      <c r="CB125" s="255"/>
      <c r="CC125" s="255"/>
      <c r="CD125" s="255"/>
    </row>
    <row r="126" spans="1:85">
      <c r="B126" s="3" t="s">
        <v>301</v>
      </c>
      <c r="C126" s="3">
        <v>106688</v>
      </c>
      <c r="D126" s="3">
        <v>0</v>
      </c>
      <c r="E126" s="3">
        <v>0</v>
      </c>
      <c r="F126" s="3">
        <v>106688</v>
      </c>
      <c r="G126" s="3">
        <v>853504000</v>
      </c>
      <c r="H126" s="3">
        <v>0</v>
      </c>
      <c r="I126" s="3">
        <v>0</v>
      </c>
      <c r="J126" s="3">
        <v>853504000</v>
      </c>
      <c r="BZ126" s="255"/>
      <c r="CA126" s="255"/>
      <c r="CB126" s="255"/>
      <c r="CC126" s="255"/>
      <c r="CD126" s="255"/>
    </row>
    <row r="127" spans="1:85">
      <c r="B127" s="3" t="s">
        <v>302</v>
      </c>
      <c r="C127" s="3">
        <v>3279.3029999999999</v>
      </c>
      <c r="D127" s="3">
        <v>0</v>
      </c>
      <c r="E127" s="3">
        <v>1024.2560000000001</v>
      </c>
      <c r="F127" s="3">
        <v>4303.5590000000002</v>
      </c>
      <c r="G127" s="3">
        <v>9867040778</v>
      </c>
      <c r="H127" s="3">
        <v>0</v>
      </c>
      <c r="I127" s="3">
        <v>3524401598</v>
      </c>
      <c r="J127" s="3">
        <v>13391442376</v>
      </c>
      <c r="BZ127" s="255"/>
      <c r="CA127" s="255"/>
      <c r="CB127" s="255"/>
      <c r="CC127" s="255"/>
      <c r="CD127" s="255"/>
    </row>
    <row r="128" spans="1:85">
      <c r="B128" s="3" t="s">
        <v>303</v>
      </c>
      <c r="C128" s="3">
        <v>507088</v>
      </c>
      <c r="D128" s="3">
        <v>0</v>
      </c>
      <c r="E128" s="3">
        <v>0</v>
      </c>
      <c r="F128" s="3">
        <v>507088</v>
      </c>
      <c r="G128" s="3">
        <v>17163826193</v>
      </c>
      <c r="H128" s="3">
        <v>0</v>
      </c>
      <c r="I128" s="3">
        <v>0</v>
      </c>
      <c r="J128" s="3">
        <v>17163826193</v>
      </c>
      <c r="BZ128" s="255"/>
      <c r="CA128" s="255"/>
      <c r="CB128" s="255"/>
      <c r="CC128" s="255"/>
      <c r="CD128" s="255"/>
    </row>
    <row r="129" spans="2:82">
      <c r="B129" s="3" t="s">
        <v>304</v>
      </c>
      <c r="C129" s="3">
        <v>2701</v>
      </c>
      <c r="D129" s="3">
        <v>9600</v>
      </c>
      <c r="E129" s="3">
        <v>26400</v>
      </c>
      <c r="F129" s="3">
        <v>38701</v>
      </c>
      <c r="G129" s="3">
        <v>179753917</v>
      </c>
      <c r="H129" s="3">
        <v>587712606</v>
      </c>
      <c r="I129" s="3">
        <v>1627152185</v>
      </c>
      <c r="J129" s="3">
        <v>2394618708</v>
      </c>
      <c r="BZ129" s="255"/>
      <c r="CA129" s="255"/>
      <c r="CB129" s="255"/>
      <c r="CC129" s="255"/>
      <c r="CD129" s="255"/>
    </row>
    <row r="130" spans="2:82">
      <c r="B130" s="3" t="s">
        <v>305</v>
      </c>
      <c r="C130" s="3">
        <v>0</v>
      </c>
      <c r="D130" s="3">
        <v>0</v>
      </c>
      <c r="E130" s="3">
        <v>105285</v>
      </c>
      <c r="F130" s="3">
        <v>105285</v>
      </c>
      <c r="G130" s="3">
        <v>0</v>
      </c>
      <c r="H130" s="3">
        <v>0</v>
      </c>
      <c r="I130" s="3">
        <v>76538591</v>
      </c>
      <c r="J130" s="3">
        <v>76538591</v>
      </c>
      <c r="BZ130" s="255"/>
      <c r="CA130" s="255"/>
      <c r="CB130" s="255"/>
      <c r="CC130" s="255"/>
      <c r="CD130" s="255"/>
    </row>
    <row r="131" spans="2:82">
      <c r="B131" s="3" t="s">
        <v>306</v>
      </c>
      <c r="C131" s="3">
        <v>0</v>
      </c>
      <c r="D131" s="3">
        <v>0</v>
      </c>
      <c r="E131" s="3">
        <v>55151</v>
      </c>
      <c r="F131" s="3">
        <v>55151</v>
      </c>
      <c r="G131" s="3">
        <v>0</v>
      </c>
      <c r="H131" s="3">
        <v>0</v>
      </c>
      <c r="I131" s="3">
        <v>87306148</v>
      </c>
      <c r="J131" s="3">
        <v>87306148</v>
      </c>
      <c r="BZ131" s="255"/>
      <c r="CA131" s="255"/>
      <c r="CB131" s="255"/>
      <c r="CC131" s="255"/>
      <c r="CD131" s="255"/>
    </row>
    <row r="132" spans="2:82">
      <c r="B132" s="3" t="s">
        <v>307</v>
      </c>
      <c r="C132" s="3">
        <v>260195.34299999999</v>
      </c>
      <c r="D132" s="3">
        <v>138791.647</v>
      </c>
      <c r="E132" s="3">
        <v>241479.70499999999</v>
      </c>
      <c r="F132" s="3">
        <v>640466.69499999995</v>
      </c>
      <c r="G132" s="3">
        <v>1848268591239</v>
      </c>
      <c r="H132" s="3">
        <v>976969607872</v>
      </c>
      <c r="I132" s="3">
        <v>1700495622610</v>
      </c>
      <c r="J132" s="3">
        <v>4525733821721</v>
      </c>
      <c r="BZ132" s="255"/>
      <c r="CA132" s="255"/>
      <c r="CB132" s="255"/>
      <c r="CC132" s="255"/>
      <c r="CD132" s="255"/>
    </row>
    <row r="133" spans="2:82">
      <c r="B133" s="3" t="s">
        <v>308</v>
      </c>
      <c r="C133" s="3">
        <v>1205404.75</v>
      </c>
      <c r="D133" s="3">
        <v>0</v>
      </c>
      <c r="E133" s="3">
        <v>0</v>
      </c>
      <c r="F133" s="3">
        <v>1205404.75</v>
      </c>
      <c r="G133" s="3">
        <v>1657372002</v>
      </c>
      <c r="H133" s="3">
        <v>0</v>
      </c>
      <c r="I133" s="3">
        <v>0</v>
      </c>
      <c r="J133" s="3">
        <v>1657372002</v>
      </c>
      <c r="BZ133" s="255"/>
      <c r="CA133" s="255"/>
      <c r="CB133" s="255"/>
      <c r="CC133" s="255"/>
      <c r="CD133" s="255"/>
    </row>
    <row r="134" spans="2:82">
      <c r="B134" s="3" t="s">
        <v>309</v>
      </c>
      <c r="C134" s="3">
        <v>36210315.100000001</v>
      </c>
      <c r="D134" s="3">
        <v>0</v>
      </c>
      <c r="E134" s="3">
        <v>9700000</v>
      </c>
      <c r="F134" s="3">
        <v>45910315.100000001</v>
      </c>
      <c r="G134" s="3">
        <v>1847476023684</v>
      </c>
      <c r="H134" s="3">
        <v>0</v>
      </c>
      <c r="I134" s="3">
        <v>483238865072</v>
      </c>
      <c r="J134" s="3">
        <v>2330714888756</v>
      </c>
      <c r="BZ134" s="255"/>
      <c r="CA134" s="255"/>
      <c r="CB134" s="255"/>
      <c r="CC134" s="255"/>
      <c r="CD134" s="255"/>
    </row>
    <row r="135" spans="2:82">
      <c r="B135" s="3" t="s">
        <v>310</v>
      </c>
      <c r="C135" s="3">
        <v>212490000</v>
      </c>
      <c r="D135" s="3">
        <v>159570000</v>
      </c>
      <c r="E135" s="3">
        <v>236915164</v>
      </c>
      <c r="F135" s="3">
        <v>608975164</v>
      </c>
      <c r="G135" s="3">
        <v>125631750223</v>
      </c>
      <c r="H135" s="3">
        <v>95651308192</v>
      </c>
      <c r="I135" s="3">
        <v>142015114298</v>
      </c>
      <c r="J135" s="3">
        <v>363298172713</v>
      </c>
      <c r="BZ135" s="255"/>
      <c r="CA135" s="255"/>
      <c r="CB135" s="255"/>
      <c r="CC135" s="255"/>
      <c r="CD135" s="255"/>
    </row>
    <row r="136" spans="2:82">
      <c r="B136" s="3" t="s">
        <v>311</v>
      </c>
      <c r="C136" s="3">
        <v>182150.3</v>
      </c>
      <c r="D136" s="3">
        <v>0</v>
      </c>
      <c r="E136" s="3">
        <v>0</v>
      </c>
      <c r="F136" s="3">
        <v>182150.3</v>
      </c>
      <c r="G136" s="3">
        <v>5955523993</v>
      </c>
      <c r="H136" s="3">
        <v>0</v>
      </c>
      <c r="I136" s="3">
        <v>0</v>
      </c>
      <c r="J136" s="3">
        <v>5955523993</v>
      </c>
      <c r="BZ136" s="255"/>
      <c r="CA136" s="255"/>
      <c r="CB136" s="255"/>
      <c r="CC136" s="255"/>
      <c r="CD136" s="255"/>
    </row>
    <row r="137" spans="2:82">
      <c r="B137" s="3" t="s">
        <v>312</v>
      </c>
      <c r="C137" s="3">
        <v>1635529.3</v>
      </c>
      <c r="D137" s="3">
        <v>40000</v>
      </c>
      <c r="E137" s="3">
        <v>0</v>
      </c>
      <c r="F137" s="3">
        <v>1675529.3</v>
      </c>
      <c r="G137" s="3">
        <v>92299773980</v>
      </c>
      <c r="H137" s="3">
        <v>0</v>
      </c>
      <c r="I137" s="3">
        <v>2181341522</v>
      </c>
      <c r="J137" s="3">
        <v>94481115502</v>
      </c>
      <c r="BZ137" s="255"/>
      <c r="CA137" s="255"/>
      <c r="CB137" s="255"/>
      <c r="CC137" s="255"/>
      <c r="CD137" s="255"/>
    </row>
    <row r="138" spans="2:82">
      <c r="B138" s="3" t="s">
        <v>313</v>
      </c>
      <c r="C138" s="3">
        <v>10925</v>
      </c>
      <c r="D138" s="3">
        <v>51000</v>
      </c>
      <c r="E138" s="3">
        <v>351000</v>
      </c>
      <c r="F138" s="3">
        <v>412925</v>
      </c>
      <c r="G138" s="3">
        <v>297059726</v>
      </c>
      <c r="H138" s="3">
        <v>1009341647</v>
      </c>
      <c r="I138" s="3">
        <v>6283470848</v>
      </c>
      <c r="J138" s="3">
        <v>7589872221</v>
      </c>
      <c r="BZ138" s="255"/>
      <c r="CA138" s="255"/>
      <c r="CB138" s="255"/>
      <c r="CC138" s="255"/>
      <c r="CD138" s="255"/>
    </row>
    <row r="139" spans="2:82">
      <c r="B139" s="3" t="s">
        <v>314</v>
      </c>
      <c r="C139" s="3">
        <v>0</v>
      </c>
      <c r="D139" s="3">
        <v>0</v>
      </c>
      <c r="E139" s="3">
        <v>1791309</v>
      </c>
      <c r="F139" s="3">
        <v>1791309</v>
      </c>
      <c r="G139" s="3">
        <v>0</v>
      </c>
      <c r="H139" s="3">
        <v>0</v>
      </c>
      <c r="I139" s="3">
        <v>23521976705</v>
      </c>
      <c r="J139" s="3">
        <v>23521976705</v>
      </c>
      <c r="BZ139" s="255"/>
      <c r="CA139" s="255"/>
      <c r="CB139" s="255"/>
      <c r="CC139" s="255"/>
      <c r="CD139" s="255"/>
    </row>
    <row r="140" spans="2:82">
      <c r="B140" s="3" t="s">
        <v>315</v>
      </c>
      <c r="C140" s="3">
        <v>5273000</v>
      </c>
      <c r="D140" s="3">
        <v>400000</v>
      </c>
      <c r="E140" s="3">
        <v>-469000</v>
      </c>
      <c r="F140" s="3">
        <v>5204000</v>
      </c>
      <c r="G140" s="3">
        <v>3500320526</v>
      </c>
      <c r="H140" s="3">
        <v>285983450</v>
      </c>
      <c r="I140" s="3">
        <v>-312442547</v>
      </c>
      <c r="J140" s="3">
        <v>3473861429</v>
      </c>
      <c r="BZ140" s="255"/>
      <c r="CA140" s="255"/>
      <c r="CB140" s="255"/>
      <c r="CC140" s="255"/>
      <c r="CD140" s="255"/>
    </row>
    <row r="141" spans="2:82">
      <c r="B141" s="3" t="s">
        <v>317</v>
      </c>
      <c r="C141" s="3">
        <v>0</v>
      </c>
      <c r="D141" s="3">
        <v>600000</v>
      </c>
      <c r="E141" s="3">
        <v>2823000</v>
      </c>
      <c r="F141" s="3">
        <v>3423000</v>
      </c>
      <c r="G141" s="3">
        <v>0</v>
      </c>
      <c r="H141" s="3">
        <v>453900568</v>
      </c>
      <c r="I141" s="3">
        <v>1813836416</v>
      </c>
      <c r="J141" s="3">
        <v>2267736984</v>
      </c>
      <c r="BZ141" s="255"/>
      <c r="CA141" s="255"/>
      <c r="CB141" s="255"/>
      <c r="CC141" s="255"/>
      <c r="CD141" s="255"/>
    </row>
    <row r="142" spans="2:82">
      <c r="B142" s="3" t="s">
        <v>374</v>
      </c>
      <c r="C142" s="3">
        <v>0</v>
      </c>
      <c r="D142" s="3">
        <v>0</v>
      </c>
      <c r="E142" s="3">
        <v>71439.663</v>
      </c>
      <c r="F142" s="3">
        <v>71439.663</v>
      </c>
      <c r="G142" s="3">
        <v>0</v>
      </c>
      <c r="H142" s="3">
        <v>0</v>
      </c>
      <c r="I142" s="3">
        <v>142427781638</v>
      </c>
      <c r="J142" s="3">
        <v>142427781638</v>
      </c>
      <c r="BZ142" s="255"/>
      <c r="CA142" s="255"/>
      <c r="CB142" s="255"/>
      <c r="CC142" s="255"/>
      <c r="CD142" s="255"/>
    </row>
    <row r="143" spans="2:82">
      <c r="B143" s="3" t="s">
        <v>275</v>
      </c>
      <c r="G143" s="3">
        <v>3963824734815</v>
      </c>
      <c r="H143" s="3">
        <v>1130641084874</v>
      </c>
      <c r="I143" s="3">
        <v>2548390790865</v>
      </c>
      <c r="J143" s="3">
        <v>7642856610554</v>
      </c>
      <c r="BZ143" s="255"/>
      <c r="CA143" s="255"/>
      <c r="CB143" s="255"/>
      <c r="CC143" s="255"/>
      <c r="CD143" s="255"/>
    </row>
    <row r="144" spans="2:82">
      <c r="BZ144" s="255"/>
      <c r="CA144" s="255"/>
      <c r="CB144" s="255"/>
      <c r="CC144" s="255"/>
      <c r="CD144" s="255"/>
    </row>
    <row r="145" spans="1:85">
      <c r="BZ145" s="255"/>
      <c r="CA145" s="255"/>
      <c r="CB145" s="255"/>
      <c r="CC145" s="255"/>
      <c r="CD145" s="255"/>
    </row>
    <row r="146" spans="1:85">
      <c r="BZ146" s="255"/>
      <c r="CA146" s="255"/>
      <c r="CB146" s="255"/>
      <c r="CC146" s="255"/>
      <c r="CD146" s="255"/>
    </row>
    <row r="147" spans="1:85">
      <c r="BZ147" s="255"/>
      <c r="CA147" s="255"/>
      <c r="CB147" s="255"/>
      <c r="CC147" s="255"/>
      <c r="CD147" s="255"/>
    </row>
    <row r="148" spans="1:85">
      <c r="BZ148" s="255"/>
      <c r="CA148" s="255"/>
      <c r="CB148" s="255"/>
      <c r="CC148" s="255"/>
      <c r="CD148" s="255"/>
    </row>
    <row r="149" spans="1:85">
      <c r="BZ149" s="255"/>
      <c r="CA149" s="255"/>
      <c r="CB149" s="255"/>
      <c r="CC149" s="255"/>
      <c r="CD149" s="255"/>
    </row>
    <row r="150" spans="1:85">
      <c r="B150" s="3" t="s">
        <v>3841</v>
      </c>
      <c r="BW150" s="110" t="s">
        <v>57</v>
      </c>
      <c r="BZ150" s="255">
        <f t="shared" si="10"/>
        <v>0</v>
      </c>
      <c r="CA150" s="255"/>
      <c r="CB150" s="255"/>
      <c r="CC150" s="255"/>
      <c r="CD150" s="255"/>
    </row>
    <row r="151" spans="1:85">
      <c r="B151" s="175" t="s">
        <v>324</v>
      </c>
      <c r="C151" s="175"/>
      <c r="D151" s="175" t="s">
        <v>187</v>
      </c>
      <c r="E151" s="176" t="s">
        <v>188</v>
      </c>
      <c r="F151" s="176" t="s">
        <v>189</v>
      </c>
      <c r="G151" s="176" t="s">
        <v>190</v>
      </c>
      <c r="H151" s="176" t="s">
        <v>202</v>
      </c>
      <c r="I151" s="176" t="s">
        <v>203</v>
      </c>
      <c r="J151" s="176" t="s">
        <v>204</v>
      </c>
      <c r="K151" s="176" t="s">
        <v>205</v>
      </c>
      <c r="L151" s="176" t="s">
        <v>276</v>
      </c>
      <c r="M151" s="177" t="s">
        <v>141</v>
      </c>
      <c r="N151" s="177" t="s">
        <v>191</v>
      </c>
      <c r="O151" s="177" t="s">
        <v>277</v>
      </c>
      <c r="P151" s="177" t="s">
        <v>278</v>
      </c>
      <c r="Q151" s="177" t="s">
        <v>279</v>
      </c>
      <c r="R151" s="177" t="s">
        <v>280</v>
      </c>
      <c r="S151" s="177" t="s">
        <v>281</v>
      </c>
      <c r="T151" s="177" t="s">
        <v>282</v>
      </c>
      <c r="U151" s="177" t="s">
        <v>283</v>
      </c>
      <c r="V151" s="177" t="s">
        <v>284</v>
      </c>
      <c r="W151" s="177" t="s">
        <v>285</v>
      </c>
      <c r="X151" s="177" t="s">
        <v>286</v>
      </c>
      <c r="Y151" s="177" t="s">
        <v>287</v>
      </c>
      <c r="Z151" s="177" t="s">
        <v>288</v>
      </c>
      <c r="AA151" s="177" t="s">
        <v>289</v>
      </c>
      <c r="AB151" s="177" t="s">
        <v>290</v>
      </c>
      <c r="AC151" s="177" t="s">
        <v>291</v>
      </c>
      <c r="AD151" s="177" t="s">
        <v>292</v>
      </c>
      <c r="AE151" s="177" t="s">
        <v>200</v>
      </c>
      <c r="AF151" s="177" t="s">
        <v>201</v>
      </c>
      <c r="AG151" s="177" t="s">
        <v>293</v>
      </c>
      <c r="AH151" s="177" t="s">
        <v>294</v>
      </c>
      <c r="AI151" s="177" t="s">
        <v>295</v>
      </c>
      <c r="AJ151" s="177" t="s">
        <v>296</v>
      </c>
      <c r="AK151" s="177" t="s">
        <v>206</v>
      </c>
      <c r="AL151" s="177" t="s">
        <v>207</v>
      </c>
      <c r="AM151" s="177" t="s">
        <v>297</v>
      </c>
      <c r="AN151" s="175" t="s">
        <v>208</v>
      </c>
      <c r="AO151" s="178" t="s">
        <v>209</v>
      </c>
      <c r="AP151" s="178" t="s">
        <v>210</v>
      </c>
      <c r="AQ151" s="178" t="s">
        <v>211</v>
      </c>
      <c r="AR151" s="178" t="s">
        <v>212</v>
      </c>
      <c r="AS151" s="178" t="s">
        <v>213</v>
      </c>
      <c r="AT151" s="178" t="s">
        <v>214</v>
      </c>
      <c r="AU151" s="178" t="s">
        <v>215</v>
      </c>
      <c r="AV151" s="178" t="s">
        <v>216</v>
      </c>
      <c r="AW151" s="178" t="s">
        <v>217</v>
      </c>
      <c r="AX151" s="178" t="s">
        <v>218</v>
      </c>
      <c r="AY151" s="178" t="s">
        <v>219</v>
      </c>
      <c r="AZ151" s="178" t="s">
        <v>220</v>
      </c>
      <c r="BA151" s="178" t="s">
        <v>221</v>
      </c>
      <c r="BB151" s="178" t="s">
        <v>222</v>
      </c>
      <c r="BC151" s="175" t="s">
        <v>144</v>
      </c>
      <c r="BD151" s="179" t="s">
        <v>223</v>
      </c>
      <c r="BE151" s="179" t="s">
        <v>224</v>
      </c>
      <c r="BF151" s="179" t="s">
        <v>225</v>
      </c>
      <c r="BG151" s="179" t="s">
        <v>226</v>
      </c>
      <c r="BH151" s="179" t="s">
        <v>227</v>
      </c>
      <c r="BI151" s="179" t="s">
        <v>228</v>
      </c>
      <c r="BJ151" s="179" t="s">
        <v>229</v>
      </c>
      <c r="BK151" s="179" t="s">
        <v>230</v>
      </c>
      <c r="BL151" s="180" t="s">
        <v>231</v>
      </c>
      <c r="BM151" s="180" t="s">
        <v>232</v>
      </c>
      <c r="BN151" s="180" t="s">
        <v>233</v>
      </c>
      <c r="BO151" s="180" t="s">
        <v>234</v>
      </c>
      <c r="BP151" s="180" t="s">
        <v>235</v>
      </c>
      <c r="BQ151" s="180" t="s">
        <v>236</v>
      </c>
      <c r="BR151" s="180" t="s">
        <v>237</v>
      </c>
      <c r="BS151" s="180" t="s">
        <v>238</v>
      </c>
      <c r="BT151" s="175" t="s">
        <v>239</v>
      </c>
      <c r="BW151" s="321" t="s">
        <v>1300</v>
      </c>
      <c r="BX151" s="321" t="s">
        <v>1284</v>
      </c>
      <c r="BY151" s="321" t="s">
        <v>1362</v>
      </c>
      <c r="BZ151" s="321" t="s">
        <v>1363</v>
      </c>
      <c r="CA151" s="321" t="s">
        <v>5555</v>
      </c>
      <c r="CB151" s="321" t="s">
        <v>1293</v>
      </c>
      <c r="CC151" s="321" t="s">
        <v>1294</v>
      </c>
      <c r="CD151" s="321" t="s">
        <v>1418</v>
      </c>
    </row>
    <row r="152" spans="1:85">
      <c r="A152" s="110" t="s">
        <v>57</v>
      </c>
      <c r="B152" s="138" t="s">
        <v>298</v>
      </c>
      <c r="C152" s="138" t="s">
        <v>242</v>
      </c>
      <c r="D152" s="138">
        <v>1182448.7649999983</v>
      </c>
      <c r="E152" s="141">
        <v>-521110096</v>
      </c>
      <c r="F152" s="142">
        <v>10717931279</v>
      </c>
      <c r="G152" s="142">
        <v>0</v>
      </c>
      <c r="H152" s="142">
        <v>0</v>
      </c>
      <c r="I152" s="142">
        <v>0</v>
      </c>
      <c r="J152" s="142">
        <v>0</v>
      </c>
      <c r="K152" s="142">
        <v>0</v>
      </c>
      <c r="L152" s="142">
        <v>-11239041375</v>
      </c>
      <c r="M152" s="143">
        <v>34571630980</v>
      </c>
      <c r="N152" s="144">
        <v>85017886</v>
      </c>
      <c r="O152" s="144">
        <v>0</v>
      </c>
      <c r="P152" s="144">
        <v>-235770</v>
      </c>
      <c r="Q152" s="144">
        <v>0</v>
      </c>
      <c r="R152" s="144">
        <v>3762630092</v>
      </c>
      <c r="S152" s="144">
        <v>0</v>
      </c>
      <c r="T152" s="144">
        <v>272610813</v>
      </c>
      <c r="U152" s="144">
        <v>0</v>
      </c>
      <c r="V152" s="144">
        <v>6825868289</v>
      </c>
      <c r="W152" s="144">
        <v>8592224039</v>
      </c>
      <c r="X152" s="144">
        <v>238381875</v>
      </c>
      <c r="Y152" s="144">
        <v>1174043710</v>
      </c>
      <c r="Z152" s="144">
        <v>2361971085</v>
      </c>
      <c r="AA152" s="144">
        <v>167743267</v>
      </c>
      <c r="AB152" s="144">
        <v>2474999244</v>
      </c>
      <c r="AC152" s="144">
        <v>1565413151</v>
      </c>
      <c r="AD152" s="144">
        <v>1595568276</v>
      </c>
      <c r="AE152" s="144">
        <v>0</v>
      </c>
      <c r="AF152" s="144">
        <v>0</v>
      </c>
      <c r="AG152" s="144">
        <v>0</v>
      </c>
      <c r="AH152" s="144">
        <v>0</v>
      </c>
      <c r="AI152" s="144">
        <v>0</v>
      </c>
      <c r="AJ152" s="144">
        <v>0</v>
      </c>
      <c r="AK152" s="144">
        <v>0</v>
      </c>
      <c r="AL152" s="144">
        <v>-267288727</v>
      </c>
      <c r="AM152" s="144">
        <v>5722683750</v>
      </c>
      <c r="AN152" s="138">
        <v>-35092741076</v>
      </c>
      <c r="AO152" s="147">
        <v>673845486</v>
      </c>
      <c r="AP152" s="148">
        <v>230957440</v>
      </c>
      <c r="AQ152" s="148">
        <v>2363689</v>
      </c>
      <c r="AR152" s="148">
        <v>0</v>
      </c>
      <c r="AS152" s="148">
        <v>0</v>
      </c>
      <c r="AT152" s="148">
        <v>354563978</v>
      </c>
      <c r="AU152" s="148">
        <v>1507995</v>
      </c>
      <c r="AV152" s="148">
        <v>0</v>
      </c>
      <c r="AW152" s="148">
        <v>3450037</v>
      </c>
      <c r="AX152" s="148">
        <v>9240694</v>
      </c>
      <c r="AY152" s="148">
        <v>4466083</v>
      </c>
      <c r="AZ152" s="148">
        <v>33090657</v>
      </c>
      <c r="BA152" s="148">
        <v>214426</v>
      </c>
      <c r="BB152" s="148">
        <v>33990487</v>
      </c>
      <c r="BC152" s="138">
        <v>-35766586562</v>
      </c>
      <c r="BD152" s="181">
        <v>134914950</v>
      </c>
      <c r="BE152" s="182">
        <v>134777454</v>
      </c>
      <c r="BF152" s="182">
        <v>137496</v>
      </c>
      <c r="BG152" s="182">
        <v>0</v>
      </c>
      <c r="BH152" s="182">
        <v>0</v>
      </c>
      <c r="BI152" s="182">
        <v>0</v>
      </c>
      <c r="BJ152" s="182">
        <v>0</v>
      </c>
      <c r="BK152" s="182">
        <v>0</v>
      </c>
      <c r="BL152" s="183">
        <v>154673008</v>
      </c>
      <c r="BM152" s="184">
        <v>98826083</v>
      </c>
      <c r="BN152" s="184">
        <v>3300516</v>
      </c>
      <c r="BO152" s="184">
        <v>0</v>
      </c>
      <c r="BP152" s="184">
        <v>0</v>
      </c>
      <c r="BQ152" s="184">
        <v>0</v>
      </c>
      <c r="BR152" s="184">
        <v>52546409</v>
      </c>
      <c r="BS152" s="184">
        <v>0</v>
      </c>
      <c r="BT152" s="138">
        <v>-35786344620</v>
      </c>
      <c r="BW152" s="255">
        <f>SUM(G152:L152)</f>
        <v>-11239041375</v>
      </c>
      <c r="BX152" s="255">
        <f>N152</f>
        <v>85017886</v>
      </c>
      <c r="BY152" s="255">
        <f>SUM(AE152:AK152)</f>
        <v>0</v>
      </c>
      <c r="BZ152" s="255">
        <f t="shared" si="10"/>
        <v>85017886</v>
      </c>
      <c r="CA152" s="255">
        <f>AM152+AL152</f>
        <v>5455395023</v>
      </c>
      <c r="CB152" s="255">
        <f>W152+X152</f>
        <v>8830605914</v>
      </c>
      <c r="CC152" s="255">
        <f>AA152+AB152</f>
        <v>2642742511</v>
      </c>
      <c r="CD152" s="255">
        <f>AP152</f>
        <v>230957440</v>
      </c>
      <c r="CG152" s="255"/>
    </row>
    <row r="153" spans="1:85">
      <c r="A153" s="110" t="s">
        <v>57</v>
      </c>
      <c r="B153" s="150" t="s">
        <v>299</v>
      </c>
      <c r="C153" s="138" t="s">
        <v>244</v>
      </c>
      <c r="D153" s="150">
        <v>96062996</v>
      </c>
      <c r="E153" s="153">
        <v>47519203100</v>
      </c>
      <c r="F153" s="154">
        <v>47519203100</v>
      </c>
      <c r="G153" s="154">
        <v>0</v>
      </c>
      <c r="H153" s="154">
        <v>0</v>
      </c>
      <c r="I153" s="154">
        <v>0</v>
      </c>
      <c r="J153" s="154">
        <v>0</v>
      </c>
      <c r="K153" s="154">
        <v>0</v>
      </c>
      <c r="L153" s="154">
        <v>0</v>
      </c>
      <c r="M153" s="155">
        <v>16378916785</v>
      </c>
      <c r="N153" s="156">
        <v>0</v>
      </c>
      <c r="O153" s="156">
        <v>0</v>
      </c>
      <c r="P153" s="156">
        <v>-33192</v>
      </c>
      <c r="Q153" s="156">
        <v>0</v>
      </c>
      <c r="R153" s="156">
        <v>4352089610</v>
      </c>
      <c r="S153" s="156">
        <v>0</v>
      </c>
      <c r="T153" s="156">
        <v>366156660</v>
      </c>
      <c r="U153" s="156">
        <v>0</v>
      </c>
      <c r="V153" s="156">
        <v>6166200626</v>
      </c>
      <c r="W153" s="156">
        <v>405562287</v>
      </c>
      <c r="X153" s="156">
        <v>1456902638</v>
      </c>
      <c r="Y153" s="156">
        <v>7676835</v>
      </c>
      <c r="Z153" s="156">
        <v>897772222</v>
      </c>
      <c r="AA153" s="156">
        <v>0</v>
      </c>
      <c r="AB153" s="156">
        <v>1304957694</v>
      </c>
      <c r="AC153" s="156">
        <v>159158479</v>
      </c>
      <c r="AD153" s="156">
        <v>1262001420</v>
      </c>
      <c r="AE153" s="156">
        <v>0</v>
      </c>
      <c r="AF153" s="156">
        <v>0</v>
      </c>
      <c r="AG153" s="156">
        <v>0</v>
      </c>
      <c r="AH153" s="156">
        <v>0</v>
      </c>
      <c r="AI153" s="156">
        <v>0</v>
      </c>
      <c r="AJ153" s="156">
        <v>0</v>
      </c>
      <c r="AK153" s="156">
        <v>0</v>
      </c>
      <c r="AL153" s="156">
        <v>0</v>
      </c>
      <c r="AM153" s="156">
        <v>471506</v>
      </c>
      <c r="AN153" s="150">
        <v>31140286315</v>
      </c>
      <c r="AO153" s="159">
        <v>5004689810</v>
      </c>
      <c r="AP153" s="160">
        <v>4902786730</v>
      </c>
      <c r="AQ153" s="160">
        <v>135985</v>
      </c>
      <c r="AR153" s="160">
        <v>0</v>
      </c>
      <c r="AS153" s="160">
        <v>0</v>
      </c>
      <c r="AT153" s="160">
        <v>94652408</v>
      </c>
      <c r="AU153" s="160">
        <v>0</v>
      </c>
      <c r="AV153" s="160">
        <v>0</v>
      </c>
      <c r="AW153" s="160">
        <v>488754</v>
      </c>
      <c r="AX153" s="160">
        <v>0</v>
      </c>
      <c r="AY153" s="160">
        <v>0</v>
      </c>
      <c r="AZ153" s="160">
        <v>54507</v>
      </c>
      <c r="BA153" s="160">
        <v>0</v>
      </c>
      <c r="BB153" s="160">
        <v>6571426</v>
      </c>
      <c r="BC153" s="150">
        <v>26135596505</v>
      </c>
      <c r="BD153" s="185">
        <v>0</v>
      </c>
      <c r="BE153" s="186">
        <v>0</v>
      </c>
      <c r="BF153" s="186">
        <v>0</v>
      </c>
      <c r="BG153" s="186">
        <v>0</v>
      </c>
      <c r="BH153" s="186">
        <v>0</v>
      </c>
      <c r="BI153" s="186">
        <v>0</v>
      </c>
      <c r="BJ153" s="186">
        <v>0</v>
      </c>
      <c r="BK153" s="186">
        <v>0</v>
      </c>
      <c r="BL153" s="187">
        <v>0</v>
      </c>
      <c r="BM153" s="188">
        <v>0</v>
      </c>
      <c r="BN153" s="188">
        <v>0</v>
      </c>
      <c r="BO153" s="188">
        <v>0</v>
      </c>
      <c r="BP153" s="188">
        <v>0</v>
      </c>
      <c r="BQ153" s="188">
        <v>0</v>
      </c>
      <c r="BR153" s="188">
        <v>0</v>
      </c>
      <c r="BS153" s="188">
        <v>0</v>
      </c>
      <c r="BT153" s="150">
        <v>26135596505</v>
      </c>
      <c r="BW153" s="255">
        <f t="shared" ref="BW153:BW171" si="25">SUM(G153:L153)</f>
        <v>0</v>
      </c>
      <c r="BX153" s="255">
        <f t="shared" ref="BX153:BX172" si="26">N153</f>
        <v>0</v>
      </c>
      <c r="BY153" s="255">
        <f t="shared" ref="BY153:BY172" si="27">SUM(AE153:AK153)</f>
        <v>0</v>
      </c>
      <c r="BZ153" s="255">
        <f t="shared" si="10"/>
        <v>0</v>
      </c>
      <c r="CA153" s="255">
        <f t="shared" ref="CA153:CA172" si="28">AM153+AL153</f>
        <v>471506</v>
      </c>
      <c r="CB153" s="255">
        <f>W153+X153</f>
        <v>1862464925</v>
      </c>
      <c r="CC153" s="255">
        <f t="shared" ref="CC153:CC172" si="29">AA153+AB153</f>
        <v>1304957694</v>
      </c>
      <c r="CD153" s="255">
        <f t="shared" ref="CD153:CD172" si="30">AP153</f>
        <v>4902786730</v>
      </c>
      <c r="CG153" s="255"/>
    </row>
    <row r="154" spans="1:85">
      <c r="A154" s="110" t="s">
        <v>57</v>
      </c>
      <c r="B154" s="150" t="s">
        <v>300</v>
      </c>
      <c r="C154" s="138" t="s">
        <v>246</v>
      </c>
      <c r="D154" s="150">
        <v>6222.6999999999889</v>
      </c>
      <c r="E154" s="153">
        <v>1367682800</v>
      </c>
      <c r="F154" s="154">
        <v>1367682800</v>
      </c>
      <c r="G154" s="154">
        <v>0</v>
      </c>
      <c r="H154" s="154">
        <v>0</v>
      </c>
      <c r="I154" s="154">
        <v>0</v>
      </c>
      <c r="J154" s="154">
        <v>0</v>
      </c>
      <c r="K154" s="154">
        <v>0</v>
      </c>
      <c r="L154" s="154">
        <v>0</v>
      </c>
      <c r="M154" s="155">
        <v>772514015</v>
      </c>
      <c r="N154" s="156">
        <v>0</v>
      </c>
      <c r="O154" s="156">
        <v>74415099</v>
      </c>
      <c r="P154" s="156">
        <v>-6619</v>
      </c>
      <c r="Q154" s="156">
        <v>0</v>
      </c>
      <c r="R154" s="156">
        <v>128904910</v>
      </c>
      <c r="S154" s="156">
        <v>0</v>
      </c>
      <c r="T154" s="156">
        <v>8363248</v>
      </c>
      <c r="U154" s="156">
        <v>0</v>
      </c>
      <c r="V154" s="156">
        <v>152066834</v>
      </c>
      <c r="W154" s="156">
        <v>22863024</v>
      </c>
      <c r="X154" s="156">
        <v>214844771</v>
      </c>
      <c r="Y154" s="156">
        <v>0</v>
      </c>
      <c r="Z154" s="156">
        <v>99490779</v>
      </c>
      <c r="AA154" s="156">
        <v>0</v>
      </c>
      <c r="AB154" s="156">
        <v>23663582</v>
      </c>
      <c r="AC154" s="156">
        <v>5871551</v>
      </c>
      <c r="AD154" s="156">
        <v>42036836</v>
      </c>
      <c r="AE154" s="156">
        <v>0</v>
      </c>
      <c r="AF154" s="156">
        <v>0</v>
      </c>
      <c r="AG154" s="156">
        <v>0</v>
      </c>
      <c r="AH154" s="156">
        <v>0</v>
      </c>
      <c r="AI154" s="156">
        <v>0</v>
      </c>
      <c r="AJ154" s="156">
        <v>0</v>
      </c>
      <c r="AK154" s="156">
        <v>0</v>
      </c>
      <c r="AL154" s="156">
        <v>0</v>
      </c>
      <c r="AM154" s="156">
        <v>0</v>
      </c>
      <c r="AN154" s="150">
        <v>595168785</v>
      </c>
      <c r="AO154" s="159">
        <v>163394131</v>
      </c>
      <c r="AP154" s="160">
        <v>0</v>
      </c>
      <c r="AQ154" s="160">
        <v>0</v>
      </c>
      <c r="AR154" s="160">
        <v>0</v>
      </c>
      <c r="AS154" s="160">
        <v>0</v>
      </c>
      <c r="AT154" s="160">
        <v>150834460</v>
      </c>
      <c r="AU154" s="160">
        <v>0</v>
      </c>
      <c r="AV154" s="160">
        <v>0</v>
      </c>
      <c r="AW154" s="160">
        <v>1412472</v>
      </c>
      <c r="AX154" s="160">
        <v>0</v>
      </c>
      <c r="AY154" s="160">
        <v>0</v>
      </c>
      <c r="AZ154" s="160">
        <v>423293</v>
      </c>
      <c r="BA154" s="160">
        <v>0</v>
      </c>
      <c r="BB154" s="160">
        <v>10723906</v>
      </c>
      <c r="BC154" s="150">
        <v>431774654</v>
      </c>
      <c r="BD154" s="185">
        <v>0</v>
      </c>
      <c r="BE154" s="186">
        <v>0</v>
      </c>
      <c r="BF154" s="186">
        <v>0</v>
      </c>
      <c r="BG154" s="186">
        <v>0</v>
      </c>
      <c r="BH154" s="186">
        <v>0</v>
      </c>
      <c r="BI154" s="186">
        <v>0</v>
      </c>
      <c r="BJ154" s="186">
        <v>0</v>
      </c>
      <c r="BK154" s="186">
        <v>0</v>
      </c>
      <c r="BL154" s="187">
        <v>0</v>
      </c>
      <c r="BM154" s="188">
        <v>0</v>
      </c>
      <c r="BN154" s="188">
        <v>0</v>
      </c>
      <c r="BO154" s="188">
        <v>0</v>
      </c>
      <c r="BP154" s="188">
        <v>0</v>
      </c>
      <c r="BQ154" s="188">
        <v>0</v>
      </c>
      <c r="BR154" s="188">
        <v>0</v>
      </c>
      <c r="BS154" s="188">
        <v>0</v>
      </c>
      <c r="BT154" s="150">
        <v>431774654</v>
      </c>
      <c r="BW154" s="255">
        <f t="shared" si="25"/>
        <v>0</v>
      </c>
      <c r="BX154" s="255">
        <f t="shared" si="26"/>
        <v>0</v>
      </c>
      <c r="BY154" s="255">
        <f t="shared" si="27"/>
        <v>0</v>
      </c>
      <c r="BZ154" s="255">
        <f t="shared" si="10"/>
        <v>0</v>
      </c>
      <c r="CA154" s="255">
        <f t="shared" si="28"/>
        <v>0</v>
      </c>
      <c r="CB154" s="255">
        <f t="shared" ref="CB154:CB172" si="31">W154+X154</f>
        <v>237707795</v>
      </c>
      <c r="CC154" s="255">
        <f t="shared" si="29"/>
        <v>23663582</v>
      </c>
      <c r="CD154" s="255">
        <f t="shared" si="30"/>
        <v>0</v>
      </c>
      <c r="CG154" s="255"/>
    </row>
    <row r="155" spans="1:85">
      <c r="A155" s="110" t="s">
        <v>57</v>
      </c>
      <c r="B155" s="150" t="s">
        <v>301</v>
      </c>
      <c r="C155" s="138" t="s">
        <v>246</v>
      </c>
      <c r="D155" s="150">
        <v>84699.739999999991</v>
      </c>
      <c r="E155" s="153">
        <v>677624000</v>
      </c>
      <c r="F155" s="154">
        <v>677624000</v>
      </c>
      <c r="G155" s="154">
        <v>0</v>
      </c>
      <c r="H155" s="154">
        <v>0</v>
      </c>
      <c r="I155" s="154">
        <v>0</v>
      </c>
      <c r="J155" s="154">
        <v>0</v>
      </c>
      <c r="K155" s="154">
        <v>0</v>
      </c>
      <c r="L155" s="154">
        <v>0</v>
      </c>
      <c r="M155" s="155">
        <v>3604625702</v>
      </c>
      <c r="N155" s="156">
        <v>0</v>
      </c>
      <c r="O155" s="156">
        <v>1471509404</v>
      </c>
      <c r="P155" s="156">
        <v>-37165</v>
      </c>
      <c r="Q155" s="156">
        <v>0</v>
      </c>
      <c r="R155" s="156">
        <v>441401030</v>
      </c>
      <c r="S155" s="156">
        <v>0</v>
      </c>
      <c r="T155" s="156">
        <v>28766528</v>
      </c>
      <c r="U155" s="156">
        <v>0</v>
      </c>
      <c r="V155" s="156">
        <v>260523533</v>
      </c>
      <c r="W155" s="156">
        <v>35323254</v>
      </c>
      <c r="X155" s="156">
        <v>196603607</v>
      </c>
      <c r="Y155" s="156">
        <v>0</v>
      </c>
      <c r="Z155" s="156">
        <v>428961338</v>
      </c>
      <c r="AA155" s="156">
        <v>0</v>
      </c>
      <c r="AB155" s="156">
        <v>162125433</v>
      </c>
      <c r="AC155" s="156">
        <v>6400330</v>
      </c>
      <c r="AD155" s="156">
        <v>596797624</v>
      </c>
      <c r="AE155" s="156">
        <v>0</v>
      </c>
      <c r="AF155" s="156">
        <v>0</v>
      </c>
      <c r="AG155" s="156">
        <v>0</v>
      </c>
      <c r="AH155" s="156">
        <v>0</v>
      </c>
      <c r="AI155" s="156">
        <v>0</v>
      </c>
      <c r="AJ155" s="156">
        <v>0</v>
      </c>
      <c r="AK155" s="156">
        <v>0</v>
      </c>
      <c r="AL155" s="156">
        <v>-23749214</v>
      </c>
      <c r="AM155" s="156">
        <v>0</v>
      </c>
      <c r="AN155" s="150">
        <v>-2927001702</v>
      </c>
      <c r="AO155" s="159">
        <v>115582793</v>
      </c>
      <c r="AP155" s="160">
        <v>88651800</v>
      </c>
      <c r="AQ155" s="160">
        <v>0</v>
      </c>
      <c r="AR155" s="160">
        <v>0</v>
      </c>
      <c r="AS155" s="160">
        <v>0</v>
      </c>
      <c r="AT155" s="160">
        <v>24941078</v>
      </c>
      <c r="AU155" s="160">
        <v>0</v>
      </c>
      <c r="AV155" s="160">
        <v>0</v>
      </c>
      <c r="AW155" s="160">
        <v>306623</v>
      </c>
      <c r="AX155" s="160">
        <v>0</v>
      </c>
      <c r="AY155" s="160">
        <v>0</v>
      </c>
      <c r="AZ155" s="160">
        <v>18694</v>
      </c>
      <c r="BA155" s="160">
        <v>0</v>
      </c>
      <c r="BB155" s="160">
        <v>1664598</v>
      </c>
      <c r="BC155" s="150">
        <v>-3042584495</v>
      </c>
      <c r="BD155" s="185">
        <v>0</v>
      </c>
      <c r="BE155" s="186">
        <v>0</v>
      </c>
      <c r="BF155" s="186">
        <v>0</v>
      </c>
      <c r="BG155" s="186">
        <v>0</v>
      </c>
      <c r="BH155" s="186">
        <v>0</v>
      </c>
      <c r="BI155" s="186">
        <v>0</v>
      </c>
      <c r="BJ155" s="186">
        <v>0</v>
      </c>
      <c r="BK155" s="186">
        <v>0</v>
      </c>
      <c r="BL155" s="187">
        <v>0</v>
      </c>
      <c r="BM155" s="188">
        <v>0</v>
      </c>
      <c r="BN155" s="188">
        <v>0</v>
      </c>
      <c r="BO155" s="188">
        <v>0</v>
      </c>
      <c r="BP155" s="188">
        <v>0</v>
      </c>
      <c r="BQ155" s="188">
        <v>0</v>
      </c>
      <c r="BR155" s="188">
        <v>0</v>
      </c>
      <c r="BS155" s="188">
        <v>0</v>
      </c>
      <c r="BT155" s="150">
        <v>-3042584495</v>
      </c>
      <c r="BW155" s="255">
        <f t="shared" si="25"/>
        <v>0</v>
      </c>
      <c r="BX155" s="255">
        <f t="shared" si="26"/>
        <v>0</v>
      </c>
      <c r="BY155" s="255">
        <f t="shared" si="27"/>
        <v>0</v>
      </c>
      <c r="BZ155" s="255">
        <f t="shared" si="10"/>
        <v>0</v>
      </c>
      <c r="CA155" s="255">
        <f t="shared" si="28"/>
        <v>-23749214</v>
      </c>
      <c r="CB155" s="255">
        <f t="shared" si="31"/>
        <v>231926861</v>
      </c>
      <c r="CC155" s="255">
        <f t="shared" si="29"/>
        <v>162125433</v>
      </c>
      <c r="CD155" s="255">
        <f t="shared" si="30"/>
        <v>88651800</v>
      </c>
      <c r="CG155" s="255"/>
    </row>
    <row r="156" spans="1:85">
      <c r="A156" s="110" t="s">
        <v>57</v>
      </c>
      <c r="B156" s="150" t="s">
        <v>302</v>
      </c>
      <c r="C156" s="138" t="s">
        <v>5586</v>
      </c>
      <c r="D156" s="150">
        <v>3079.2860000000005</v>
      </c>
      <c r="E156" s="153">
        <v>8317356398</v>
      </c>
      <c r="F156" s="154">
        <v>8317356398</v>
      </c>
      <c r="G156" s="154">
        <v>0</v>
      </c>
      <c r="H156" s="154">
        <v>0</v>
      </c>
      <c r="I156" s="154">
        <v>0</v>
      </c>
      <c r="J156" s="154">
        <v>0</v>
      </c>
      <c r="K156" s="154">
        <v>0</v>
      </c>
      <c r="L156" s="154">
        <v>0</v>
      </c>
      <c r="M156" s="155">
        <v>3022957238</v>
      </c>
      <c r="N156" s="156">
        <v>660006757</v>
      </c>
      <c r="O156" s="156">
        <v>0</v>
      </c>
      <c r="P156" s="156">
        <v>0</v>
      </c>
      <c r="Q156" s="156">
        <v>0</v>
      </c>
      <c r="R156" s="156">
        <v>698005926</v>
      </c>
      <c r="S156" s="156">
        <v>0</v>
      </c>
      <c r="T156" s="156">
        <v>87492680</v>
      </c>
      <c r="U156" s="156">
        <v>0</v>
      </c>
      <c r="V156" s="156">
        <v>544663650</v>
      </c>
      <c r="W156" s="156">
        <v>12617060</v>
      </c>
      <c r="X156" s="156">
        <v>588040738</v>
      </c>
      <c r="Y156" s="156">
        <v>43187453</v>
      </c>
      <c r="Z156" s="156">
        <v>219417608</v>
      </c>
      <c r="AA156" s="156">
        <v>0</v>
      </c>
      <c r="AB156" s="156">
        <v>92325405</v>
      </c>
      <c r="AC156" s="156">
        <v>243111</v>
      </c>
      <c r="AD156" s="156">
        <v>156574263</v>
      </c>
      <c r="AE156" s="156">
        <v>0</v>
      </c>
      <c r="AF156" s="156">
        <v>-133133563</v>
      </c>
      <c r="AG156" s="156">
        <v>0</v>
      </c>
      <c r="AH156" s="156">
        <v>0</v>
      </c>
      <c r="AI156" s="156">
        <v>0</v>
      </c>
      <c r="AJ156" s="156">
        <v>0</v>
      </c>
      <c r="AK156" s="156">
        <v>0</v>
      </c>
      <c r="AL156" s="156">
        <v>0</v>
      </c>
      <c r="AM156" s="156">
        <v>53516150</v>
      </c>
      <c r="AN156" s="150">
        <v>5294399160</v>
      </c>
      <c r="AO156" s="159">
        <v>64146058</v>
      </c>
      <c r="AP156" s="160">
        <v>60293100</v>
      </c>
      <c r="AQ156" s="160">
        <v>627522</v>
      </c>
      <c r="AR156" s="160">
        <v>0</v>
      </c>
      <c r="AS156" s="160">
        <v>0</v>
      </c>
      <c r="AT156" s="160">
        <v>256326</v>
      </c>
      <c r="AU156" s="160">
        <v>0</v>
      </c>
      <c r="AV156" s="160">
        <v>0</v>
      </c>
      <c r="AW156" s="160">
        <v>1150</v>
      </c>
      <c r="AX156" s="160">
        <v>0</v>
      </c>
      <c r="AY156" s="160">
        <v>0</v>
      </c>
      <c r="AZ156" s="160">
        <v>2909560</v>
      </c>
      <c r="BA156" s="160">
        <v>0</v>
      </c>
      <c r="BB156" s="160">
        <v>58400</v>
      </c>
      <c r="BC156" s="150">
        <v>5230253102</v>
      </c>
      <c r="BD156" s="185">
        <v>0</v>
      </c>
      <c r="BE156" s="186">
        <v>0</v>
      </c>
      <c r="BF156" s="186">
        <v>0</v>
      </c>
      <c r="BG156" s="186">
        <v>0</v>
      </c>
      <c r="BH156" s="186">
        <v>0</v>
      </c>
      <c r="BI156" s="186">
        <v>0</v>
      </c>
      <c r="BJ156" s="186">
        <v>0</v>
      </c>
      <c r="BK156" s="186">
        <v>0</v>
      </c>
      <c r="BL156" s="187">
        <v>0</v>
      </c>
      <c r="BM156" s="188">
        <v>0</v>
      </c>
      <c r="BN156" s="188">
        <v>0</v>
      </c>
      <c r="BO156" s="188">
        <v>0</v>
      </c>
      <c r="BP156" s="188">
        <v>0</v>
      </c>
      <c r="BQ156" s="188">
        <v>0</v>
      </c>
      <c r="BR156" s="188">
        <v>0</v>
      </c>
      <c r="BS156" s="188">
        <v>0</v>
      </c>
      <c r="BT156" s="150">
        <v>5230253102</v>
      </c>
      <c r="BW156" s="255">
        <f t="shared" si="25"/>
        <v>0</v>
      </c>
      <c r="BX156" s="255">
        <f t="shared" si="26"/>
        <v>660006757</v>
      </c>
      <c r="BY156" s="255">
        <f t="shared" si="27"/>
        <v>-133133563</v>
      </c>
      <c r="BZ156" s="255">
        <f t="shared" si="10"/>
        <v>526873194</v>
      </c>
      <c r="CA156" s="255">
        <f t="shared" si="28"/>
        <v>53516150</v>
      </c>
      <c r="CB156" s="255">
        <f t="shared" si="31"/>
        <v>600657798</v>
      </c>
      <c r="CC156" s="255">
        <f t="shared" si="29"/>
        <v>92325405</v>
      </c>
      <c r="CD156" s="255">
        <f t="shared" si="30"/>
        <v>60293100</v>
      </c>
      <c r="CG156" s="255"/>
    </row>
    <row r="157" spans="1:85">
      <c r="A157" s="110" t="s">
        <v>57</v>
      </c>
      <c r="B157" s="150" t="s">
        <v>303</v>
      </c>
      <c r="C157" s="138" t="s">
        <v>252</v>
      </c>
      <c r="D157" s="150">
        <v>375032</v>
      </c>
      <c r="E157" s="153">
        <v>11109372401</v>
      </c>
      <c r="F157" s="154">
        <v>11109372401</v>
      </c>
      <c r="G157" s="154">
        <v>0</v>
      </c>
      <c r="H157" s="154">
        <v>0</v>
      </c>
      <c r="I157" s="154">
        <v>0</v>
      </c>
      <c r="J157" s="154">
        <v>0</v>
      </c>
      <c r="K157" s="154">
        <v>0</v>
      </c>
      <c r="L157" s="154">
        <v>0</v>
      </c>
      <c r="M157" s="155">
        <v>5570081144</v>
      </c>
      <c r="N157" s="156">
        <v>0</v>
      </c>
      <c r="O157" s="156">
        <v>0</v>
      </c>
      <c r="P157" s="156">
        <v>-12397</v>
      </c>
      <c r="Q157" s="156">
        <v>0</v>
      </c>
      <c r="R157" s="156">
        <v>123887631</v>
      </c>
      <c r="S157" s="156">
        <v>0</v>
      </c>
      <c r="T157" s="156">
        <v>8812229</v>
      </c>
      <c r="U157" s="156">
        <v>0</v>
      </c>
      <c r="V157" s="156">
        <v>848027299</v>
      </c>
      <c r="W157" s="156">
        <v>0</v>
      </c>
      <c r="X157" s="156">
        <v>4374105300</v>
      </c>
      <c r="Y157" s="156">
        <v>0</v>
      </c>
      <c r="Z157" s="156">
        <v>105025107</v>
      </c>
      <c r="AA157" s="156">
        <v>0</v>
      </c>
      <c r="AB157" s="156">
        <v>2562766</v>
      </c>
      <c r="AC157" s="156">
        <v>0</v>
      </c>
      <c r="AD157" s="156">
        <v>107673209</v>
      </c>
      <c r="AE157" s="156">
        <v>0</v>
      </c>
      <c r="AF157" s="156">
        <v>0</v>
      </c>
      <c r="AG157" s="156">
        <v>0</v>
      </c>
      <c r="AH157" s="156">
        <v>0</v>
      </c>
      <c r="AI157" s="156">
        <v>0</v>
      </c>
      <c r="AJ157" s="156">
        <v>0</v>
      </c>
      <c r="AK157" s="156">
        <v>0</v>
      </c>
      <c r="AL157" s="156">
        <v>0</v>
      </c>
      <c r="AM157" s="156">
        <v>0</v>
      </c>
      <c r="AN157" s="150">
        <v>5539291257</v>
      </c>
      <c r="AO157" s="159">
        <v>76281850</v>
      </c>
      <c r="AP157" s="160">
        <v>0</v>
      </c>
      <c r="AQ157" s="160">
        <v>0</v>
      </c>
      <c r="AR157" s="160">
        <v>0</v>
      </c>
      <c r="AS157" s="160">
        <v>0</v>
      </c>
      <c r="AT157" s="160">
        <v>72671158</v>
      </c>
      <c r="AU157" s="160">
        <v>0</v>
      </c>
      <c r="AV157" s="160">
        <v>0</v>
      </c>
      <c r="AW157" s="160">
        <v>976578</v>
      </c>
      <c r="AX157" s="160">
        <v>0</v>
      </c>
      <c r="AY157" s="160">
        <v>0</v>
      </c>
      <c r="AZ157" s="160">
        <v>47803</v>
      </c>
      <c r="BA157" s="160">
        <v>0</v>
      </c>
      <c r="BB157" s="160">
        <v>2586311</v>
      </c>
      <c r="BC157" s="150">
        <v>5463009407</v>
      </c>
      <c r="BD157" s="185">
        <v>0</v>
      </c>
      <c r="BE157" s="186">
        <v>0</v>
      </c>
      <c r="BF157" s="186">
        <v>0</v>
      </c>
      <c r="BG157" s="186">
        <v>0</v>
      </c>
      <c r="BH157" s="186">
        <v>0</v>
      </c>
      <c r="BI157" s="186">
        <v>0</v>
      </c>
      <c r="BJ157" s="186">
        <v>0</v>
      </c>
      <c r="BK157" s="186">
        <v>0</v>
      </c>
      <c r="BL157" s="187">
        <v>0</v>
      </c>
      <c r="BM157" s="188">
        <v>0</v>
      </c>
      <c r="BN157" s="188">
        <v>0</v>
      </c>
      <c r="BO157" s="188">
        <v>0</v>
      </c>
      <c r="BP157" s="188">
        <v>0</v>
      </c>
      <c r="BQ157" s="188">
        <v>0</v>
      </c>
      <c r="BR157" s="188">
        <v>0</v>
      </c>
      <c r="BS157" s="188">
        <v>0</v>
      </c>
      <c r="BT157" s="150">
        <v>5463009407</v>
      </c>
      <c r="BW157" s="255">
        <f t="shared" si="25"/>
        <v>0</v>
      </c>
      <c r="BX157" s="255">
        <f t="shared" si="26"/>
        <v>0</v>
      </c>
      <c r="BY157" s="255">
        <f t="shared" si="27"/>
        <v>0</v>
      </c>
      <c r="BZ157" s="255">
        <f t="shared" si="10"/>
        <v>0</v>
      </c>
      <c r="CA157" s="255">
        <f t="shared" si="28"/>
        <v>0</v>
      </c>
      <c r="CB157" s="255">
        <f t="shared" si="31"/>
        <v>4374105300</v>
      </c>
      <c r="CC157" s="255">
        <f t="shared" si="29"/>
        <v>2562766</v>
      </c>
      <c r="CD157" s="255">
        <f t="shared" si="30"/>
        <v>0</v>
      </c>
      <c r="CG157" s="255"/>
    </row>
    <row r="158" spans="1:85">
      <c r="A158" s="110" t="s">
        <v>57</v>
      </c>
      <c r="B158" s="150" t="s">
        <v>304</v>
      </c>
      <c r="C158" s="138" t="s">
        <v>246</v>
      </c>
      <c r="D158" s="150">
        <v>26510</v>
      </c>
      <c r="E158" s="153">
        <v>1588426928</v>
      </c>
      <c r="F158" s="154">
        <v>1588426928</v>
      </c>
      <c r="G158" s="154">
        <v>0</v>
      </c>
      <c r="H158" s="154">
        <v>0</v>
      </c>
      <c r="I158" s="154">
        <v>0</v>
      </c>
      <c r="J158" s="154">
        <v>0</v>
      </c>
      <c r="K158" s="154">
        <v>0</v>
      </c>
      <c r="L158" s="154">
        <v>0</v>
      </c>
      <c r="M158" s="155">
        <v>733147941</v>
      </c>
      <c r="N158" s="156">
        <v>0</v>
      </c>
      <c r="O158" s="156">
        <v>0</v>
      </c>
      <c r="P158" s="156">
        <v>-681</v>
      </c>
      <c r="Q158" s="156">
        <v>0</v>
      </c>
      <c r="R158" s="156">
        <v>199452784</v>
      </c>
      <c r="S158" s="156">
        <v>0</v>
      </c>
      <c r="T158" s="156">
        <v>15745733</v>
      </c>
      <c r="U158" s="156">
        <v>0</v>
      </c>
      <c r="V158" s="156">
        <v>178324022</v>
      </c>
      <c r="W158" s="156">
        <v>12031957</v>
      </c>
      <c r="X158" s="156">
        <v>19723280</v>
      </c>
      <c r="Y158" s="156">
        <v>24467200</v>
      </c>
      <c r="Z158" s="156">
        <v>32203863</v>
      </c>
      <c r="AA158" s="156">
        <v>123012396</v>
      </c>
      <c r="AB158" s="156">
        <v>54129259</v>
      </c>
      <c r="AC158" s="156">
        <v>62505</v>
      </c>
      <c r="AD158" s="156">
        <v>68550079</v>
      </c>
      <c r="AE158" s="156">
        <v>0</v>
      </c>
      <c r="AF158" s="156">
        <v>0</v>
      </c>
      <c r="AG158" s="156">
        <v>0</v>
      </c>
      <c r="AH158" s="156">
        <v>0</v>
      </c>
      <c r="AI158" s="156">
        <v>0</v>
      </c>
      <c r="AJ158" s="156">
        <v>0</v>
      </c>
      <c r="AK158" s="156">
        <v>0</v>
      </c>
      <c r="AL158" s="156">
        <v>0</v>
      </c>
      <c r="AM158" s="156">
        <v>5445544</v>
      </c>
      <c r="AN158" s="150">
        <v>855278987</v>
      </c>
      <c r="AO158" s="159">
        <v>2536784</v>
      </c>
      <c r="AP158" s="160">
        <v>146390</v>
      </c>
      <c r="AQ158" s="160">
        <v>2286774</v>
      </c>
      <c r="AR158" s="160">
        <v>0</v>
      </c>
      <c r="AS158" s="160">
        <v>0</v>
      </c>
      <c r="AT158" s="160">
        <v>78518</v>
      </c>
      <c r="AU158" s="160">
        <v>0</v>
      </c>
      <c r="AV158" s="160">
        <v>0</v>
      </c>
      <c r="AW158" s="160">
        <v>45</v>
      </c>
      <c r="AX158" s="160">
        <v>0</v>
      </c>
      <c r="AY158" s="160">
        <v>0</v>
      </c>
      <c r="AZ158" s="160">
        <v>53</v>
      </c>
      <c r="BA158" s="160">
        <v>0</v>
      </c>
      <c r="BB158" s="160">
        <v>25004</v>
      </c>
      <c r="BC158" s="150">
        <v>852742203</v>
      </c>
      <c r="BD158" s="185">
        <v>0</v>
      </c>
      <c r="BE158" s="186">
        <v>0</v>
      </c>
      <c r="BF158" s="186">
        <v>0</v>
      </c>
      <c r="BG158" s="186">
        <v>0</v>
      </c>
      <c r="BH158" s="186">
        <v>0</v>
      </c>
      <c r="BI158" s="186">
        <v>0</v>
      </c>
      <c r="BJ158" s="186">
        <v>0</v>
      </c>
      <c r="BK158" s="186">
        <v>0</v>
      </c>
      <c r="BL158" s="187">
        <v>0</v>
      </c>
      <c r="BM158" s="188">
        <v>0</v>
      </c>
      <c r="BN158" s="188">
        <v>0</v>
      </c>
      <c r="BO158" s="188">
        <v>0</v>
      </c>
      <c r="BP158" s="188">
        <v>0</v>
      </c>
      <c r="BQ158" s="188">
        <v>0</v>
      </c>
      <c r="BR158" s="188">
        <v>0</v>
      </c>
      <c r="BS158" s="188">
        <v>0</v>
      </c>
      <c r="BT158" s="150">
        <v>852742203</v>
      </c>
      <c r="BW158" s="255">
        <f t="shared" si="25"/>
        <v>0</v>
      </c>
      <c r="BX158" s="255">
        <f t="shared" si="26"/>
        <v>0</v>
      </c>
      <c r="BY158" s="255">
        <f t="shared" si="27"/>
        <v>0</v>
      </c>
      <c r="BZ158" s="255">
        <f t="shared" si="10"/>
        <v>0</v>
      </c>
      <c r="CA158" s="255">
        <f t="shared" si="28"/>
        <v>5445544</v>
      </c>
      <c r="CB158" s="255">
        <f t="shared" si="31"/>
        <v>31755237</v>
      </c>
      <c r="CC158" s="255">
        <f t="shared" si="29"/>
        <v>177141655</v>
      </c>
      <c r="CD158" s="255">
        <f t="shared" si="30"/>
        <v>146390</v>
      </c>
      <c r="CG158" s="255"/>
    </row>
    <row r="159" spans="1:85">
      <c r="A159" s="110" t="s">
        <v>57</v>
      </c>
      <c r="B159" s="150" t="s">
        <v>305</v>
      </c>
      <c r="C159" s="138" t="s">
        <v>246</v>
      </c>
      <c r="D159" s="150">
        <v>116197</v>
      </c>
      <c r="E159" s="153">
        <v>64581528</v>
      </c>
      <c r="F159" s="154">
        <v>64581528</v>
      </c>
      <c r="G159" s="154">
        <v>0</v>
      </c>
      <c r="H159" s="154">
        <v>0</v>
      </c>
      <c r="I159" s="154">
        <v>0</v>
      </c>
      <c r="J159" s="154">
        <v>0</v>
      </c>
      <c r="K159" s="154">
        <v>0</v>
      </c>
      <c r="L159" s="154">
        <v>0</v>
      </c>
      <c r="M159" s="155">
        <v>410690930</v>
      </c>
      <c r="N159" s="156">
        <v>0</v>
      </c>
      <c r="O159" s="156">
        <v>0</v>
      </c>
      <c r="P159" s="156">
        <v>0</v>
      </c>
      <c r="Q159" s="156">
        <v>0</v>
      </c>
      <c r="R159" s="156">
        <v>30330116</v>
      </c>
      <c r="S159" s="156">
        <v>0</v>
      </c>
      <c r="T159" s="156">
        <v>3568458</v>
      </c>
      <c r="U159" s="156">
        <v>0</v>
      </c>
      <c r="V159" s="156">
        <v>165617833</v>
      </c>
      <c r="W159" s="156">
        <v>0</v>
      </c>
      <c r="X159" s="156">
        <v>3957879</v>
      </c>
      <c r="Y159" s="156">
        <v>0</v>
      </c>
      <c r="Z159" s="156">
        <v>738185</v>
      </c>
      <c r="AA159" s="156">
        <v>0</v>
      </c>
      <c r="AB159" s="156">
        <v>173931694</v>
      </c>
      <c r="AC159" s="156">
        <v>0</v>
      </c>
      <c r="AD159" s="156">
        <v>27177049</v>
      </c>
      <c r="AE159" s="156">
        <v>0</v>
      </c>
      <c r="AF159" s="156">
        <v>0</v>
      </c>
      <c r="AG159" s="156">
        <v>0</v>
      </c>
      <c r="AH159" s="156">
        <v>0</v>
      </c>
      <c r="AI159" s="156">
        <v>0</v>
      </c>
      <c r="AJ159" s="156">
        <v>0</v>
      </c>
      <c r="AK159" s="156">
        <v>0</v>
      </c>
      <c r="AL159" s="156">
        <v>0</v>
      </c>
      <c r="AM159" s="156">
        <v>5369716</v>
      </c>
      <c r="AN159" s="150">
        <v>-346109402</v>
      </c>
      <c r="AO159" s="159">
        <v>131496</v>
      </c>
      <c r="AP159" s="160">
        <v>0</v>
      </c>
      <c r="AQ159" s="160">
        <v>126736</v>
      </c>
      <c r="AR159" s="160">
        <v>0</v>
      </c>
      <c r="AS159" s="160">
        <v>0</v>
      </c>
      <c r="AT159" s="160">
        <v>4676</v>
      </c>
      <c r="AU159" s="160">
        <v>0</v>
      </c>
      <c r="AV159" s="160">
        <v>0</v>
      </c>
      <c r="AW159" s="160">
        <v>1</v>
      </c>
      <c r="AX159" s="160">
        <v>0</v>
      </c>
      <c r="AY159" s="160">
        <v>0</v>
      </c>
      <c r="AZ159" s="160">
        <v>4</v>
      </c>
      <c r="BA159" s="160">
        <v>0</v>
      </c>
      <c r="BB159" s="160">
        <v>79</v>
      </c>
      <c r="BC159" s="150">
        <v>-346240898</v>
      </c>
      <c r="BD159" s="185">
        <v>0</v>
      </c>
      <c r="BE159" s="186">
        <v>0</v>
      </c>
      <c r="BF159" s="186">
        <v>0</v>
      </c>
      <c r="BG159" s="186">
        <v>0</v>
      </c>
      <c r="BH159" s="186">
        <v>0</v>
      </c>
      <c r="BI159" s="186">
        <v>0</v>
      </c>
      <c r="BJ159" s="186">
        <v>0</v>
      </c>
      <c r="BK159" s="186">
        <v>0</v>
      </c>
      <c r="BL159" s="187">
        <v>0</v>
      </c>
      <c r="BM159" s="188">
        <v>0</v>
      </c>
      <c r="BN159" s="188">
        <v>0</v>
      </c>
      <c r="BO159" s="188">
        <v>0</v>
      </c>
      <c r="BP159" s="188">
        <v>0</v>
      </c>
      <c r="BQ159" s="188">
        <v>0</v>
      </c>
      <c r="BR159" s="188">
        <v>0</v>
      </c>
      <c r="BS159" s="188">
        <v>0</v>
      </c>
      <c r="BT159" s="150">
        <v>-346240898</v>
      </c>
      <c r="BW159" s="255">
        <f t="shared" si="25"/>
        <v>0</v>
      </c>
      <c r="BX159" s="255">
        <f t="shared" si="26"/>
        <v>0</v>
      </c>
      <c r="BY159" s="255">
        <f t="shared" si="27"/>
        <v>0</v>
      </c>
      <c r="BZ159" s="255">
        <f t="shared" si="10"/>
        <v>0</v>
      </c>
      <c r="CA159" s="255">
        <f t="shared" si="28"/>
        <v>5369716</v>
      </c>
      <c r="CB159" s="255">
        <f t="shared" si="31"/>
        <v>3957879</v>
      </c>
      <c r="CC159" s="255">
        <f t="shared" si="29"/>
        <v>173931694</v>
      </c>
      <c r="CD159" s="255">
        <f t="shared" si="30"/>
        <v>0</v>
      </c>
      <c r="CG159" s="255"/>
    </row>
    <row r="160" spans="1:85">
      <c r="A160" s="110" t="s">
        <v>57</v>
      </c>
      <c r="B160" s="150" t="s">
        <v>306</v>
      </c>
      <c r="C160" s="138" t="s">
        <v>246</v>
      </c>
      <c r="D160" s="150">
        <v>27658</v>
      </c>
      <c r="E160" s="153">
        <v>50992929</v>
      </c>
      <c r="F160" s="154">
        <v>50992929</v>
      </c>
      <c r="G160" s="154">
        <v>0</v>
      </c>
      <c r="H160" s="154">
        <v>0</v>
      </c>
      <c r="I160" s="154">
        <v>0</v>
      </c>
      <c r="J160" s="154">
        <v>0</v>
      </c>
      <c r="K160" s="154">
        <v>0</v>
      </c>
      <c r="L160" s="154">
        <v>0</v>
      </c>
      <c r="M160" s="155">
        <v>90375576</v>
      </c>
      <c r="N160" s="156">
        <v>0</v>
      </c>
      <c r="O160" s="156">
        <v>0</v>
      </c>
      <c r="P160" s="156">
        <v>0</v>
      </c>
      <c r="Q160" s="156">
        <v>0</v>
      </c>
      <c r="R160" s="156">
        <v>12732327</v>
      </c>
      <c r="S160" s="156">
        <v>0</v>
      </c>
      <c r="T160" s="156">
        <v>1576383</v>
      </c>
      <c r="U160" s="156">
        <v>0</v>
      </c>
      <c r="V160" s="156">
        <v>34988898</v>
      </c>
      <c r="W160" s="156">
        <v>0</v>
      </c>
      <c r="X160" s="156">
        <v>638758</v>
      </c>
      <c r="Y160" s="156">
        <v>0</v>
      </c>
      <c r="Z160" s="156">
        <v>178666</v>
      </c>
      <c r="AA160" s="156">
        <v>0</v>
      </c>
      <c r="AB160" s="156">
        <v>33281238</v>
      </c>
      <c r="AC160" s="156">
        <v>0</v>
      </c>
      <c r="AD160" s="156">
        <v>5631743</v>
      </c>
      <c r="AE160" s="156">
        <v>0</v>
      </c>
      <c r="AF160" s="156">
        <v>0</v>
      </c>
      <c r="AG160" s="156">
        <v>0</v>
      </c>
      <c r="AH160" s="156">
        <v>0</v>
      </c>
      <c r="AI160" s="156">
        <v>0</v>
      </c>
      <c r="AJ160" s="156">
        <v>0</v>
      </c>
      <c r="AK160" s="156">
        <v>0</v>
      </c>
      <c r="AL160" s="156">
        <v>0</v>
      </c>
      <c r="AM160" s="156">
        <v>1347563</v>
      </c>
      <c r="AN160" s="150">
        <v>-39382647</v>
      </c>
      <c r="AO160" s="159">
        <v>94325</v>
      </c>
      <c r="AP160" s="160">
        <v>0</v>
      </c>
      <c r="AQ160" s="160">
        <v>86884</v>
      </c>
      <c r="AR160" s="160">
        <v>0</v>
      </c>
      <c r="AS160" s="160">
        <v>0</v>
      </c>
      <c r="AT160" s="160">
        <v>7312</v>
      </c>
      <c r="AU160" s="160">
        <v>0</v>
      </c>
      <c r="AV160" s="160">
        <v>0</v>
      </c>
      <c r="AW160" s="160">
        <v>1</v>
      </c>
      <c r="AX160" s="160">
        <v>0</v>
      </c>
      <c r="AY160" s="160">
        <v>0</v>
      </c>
      <c r="AZ160" s="160">
        <v>6</v>
      </c>
      <c r="BA160" s="160">
        <v>0</v>
      </c>
      <c r="BB160" s="160">
        <v>122</v>
      </c>
      <c r="BC160" s="150">
        <v>-39476972</v>
      </c>
      <c r="BD160" s="185">
        <v>0</v>
      </c>
      <c r="BE160" s="186">
        <v>0</v>
      </c>
      <c r="BF160" s="186">
        <v>0</v>
      </c>
      <c r="BG160" s="186">
        <v>0</v>
      </c>
      <c r="BH160" s="186">
        <v>0</v>
      </c>
      <c r="BI160" s="186">
        <v>0</v>
      </c>
      <c r="BJ160" s="186">
        <v>0</v>
      </c>
      <c r="BK160" s="186">
        <v>0</v>
      </c>
      <c r="BL160" s="187">
        <v>0</v>
      </c>
      <c r="BM160" s="188">
        <v>0</v>
      </c>
      <c r="BN160" s="188">
        <v>0</v>
      </c>
      <c r="BO160" s="188">
        <v>0</v>
      </c>
      <c r="BP160" s="188">
        <v>0</v>
      </c>
      <c r="BQ160" s="188">
        <v>0</v>
      </c>
      <c r="BR160" s="188">
        <v>0</v>
      </c>
      <c r="BS160" s="188">
        <v>0</v>
      </c>
      <c r="BT160" s="150">
        <v>-39476972</v>
      </c>
      <c r="BW160" s="255">
        <f t="shared" si="25"/>
        <v>0</v>
      </c>
      <c r="BX160" s="255">
        <f t="shared" si="26"/>
        <v>0</v>
      </c>
      <c r="BY160" s="255">
        <f t="shared" si="27"/>
        <v>0</v>
      </c>
      <c r="BZ160" s="255">
        <f t="shared" si="10"/>
        <v>0</v>
      </c>
      <c r="CA160" s="255">
        <f t="shared" si="28"/>
        <v>1347563</v>
      </c>
      <c r="CB160" s="255">
        <f t="shared" si="31"/>
        <v>638758</v>
      </c>
      <c r="CC160" s="255">
        <f t="shared" si="29"/>
        <v>33281238</v>
      </c>
      <c r="CD160" s="255">
        <f t="shared" si="30"/>
        <v>0</v>
      </c>
      <c r="CG160" s="255"/>
    </row>
    <row r="161" spans="1:85">
      <c r="A161" s="110" t="s">
        <v>57</v>
      </c>
      <c r="B161" s="150" t="s">
        <v>307</v>
      </c>
      <c r="C161" s="138" t="s">
        <v>258</v>
      </c>
      <c r="D161" s="150">
        <v>483631.05999999936</v>
      </c>
      <c r="E161" s="153">
        <v>3419158562149</v>
      </c>
      <c r="F161" s="154">
        <v>3437798558029</v>
      </c>
      <c r="G161" s="154">
        <v>-4566032764</v>
      </c>
      <c r="H161" s="154">
        <v>-16370176521</v>
      </c>
      <c r="I161" s="154">
        <v>947324945</v>
      </c>
      <c r="J161" s="154">
        <v>1967887696</v>
      </c>
      <c r="K161" s="154">
        <v>-618999236</v>
      </c>
      <c r="L161" s="154">
        <v>0</v>
      </c>
      <c r="M161" s="155">
        <v>3313193920021</v>
      </c>
      <c r="N161" s="156">
        <v>3039849425713</v>
      </c>
      <c r="O161" s="156">
        <v>20715555603</v>
      </c>
      <c r="P161" s="156">
        <v>50032750</v>
      </c>
      <c r="Q161" s="156">
        <v>0</v>
      </c>
      <c r="R161" s="156">
        <v>33329582619</v>
      </c>
      <c r="S161" s="156">
        <v>0</v>
      </c>
      <c r="T161" s="156">
        <v>2841594056</v>
      </c>
      <c r="U161" s="156">
        <v>0</v>
      </c>
      <c r="V161" s="156">
        <v>27840906689</v>
      </c>
      <c r="W161" s="156">
        <v>39833032803</v>
      </c>
      <c r="X161" s="156">
        <v>8514910696</v>
      </c>
      <c r="Y161" s="156">
        <v>4995347909</v>
      </c>
      <c r="Z161" s="156">
        <v>16818216907</v>
      </c>
      <c r="AA161" s="156">
        <v>3232291721</v>
      </c>
      <c r="AB161" s="156">
        <v>8764437033</v>
      </c>
      <c r="AC161" s="156">
        <v>2861807707</v>
      </c>
      <c r="AD161" s="156">
        <v>22558899671</v>
      </c>
      <c r="AE161" s="156">
        <v>385410549</v>
      </c>
      <c r="AF161" s="156">
        <v>78135559903</v>
      </c>
      <c r="AG161" s="156">
        <v>0</v>
      </c>
      <c r="AH161" s="156">
        <v>0</v>
      </c>
      <c r="AI161" s="156">
        <v>0</v>
      </c>
      <c r="AJ161" s="156">
        <v>0</v>
      </c>
      <c r="AK161" s="156">
        <v>0</v>
      </c>
      <c r="AL161" s="156">
        <v>-112500738</v>
      </c>
      <c r="AM161" s="156">
        <v>2579408430</v>
      </c>
      <c r="AN161" s="150">
        <v>105964642128</v>
      </c>
      <c r="AO161" s="159">
        <v>30505029010</v>
      </c>
      <c r="AP161" s="160">
        <v>459817358</v>
      </c>
      <c r="AQ161" s="160">
        <v>111937468</v>
      </c>
      <c r="AR161" s="160">
        <v>0</v>
      </c>
      <c r="AS161" s="160">
        <v>0</v>
      </c>
      <c r="AT161" s="160">
        <v>13037759111</v>
      </c>
      <c r="AU161" s="160">
        <v>407552615</v>
      </c>
      <c r="AV161" s="160">
        <v>0</v>
      </c>
      <c r="AW161" s="160">
        <v>55102781</v>
      </c>
      <c r="AX161" s="160">
        <v>2607635304</v>
      </c>
      <c r="AY161" s="160">
        <v>1051176645</v>
      </c>
      <c r="AZ161" s="160">
        <v>8644186516</v>
      </c>
      <c r="BA161" s="160">
        <v>25823205</v>
      </c>
      <c r="BB161" s="160">
        <v>4104038007</v>
      </c>
      <c r="BC161" s="150">
        <v>75459613118</v>
      </c>
      <c r="BD161" s="185">
        <v>53954260423</v>
      </c>
      <c r="BE161" s="186">
        <v>39065499068</v>
      </c>
      <c r="BF161" s="186">
        <v>5264452158</v>
      </c>
      <c r="BG161" s="186">
        <v>4506592820</v>
      </c>
      <c r="BH161" s="186">
        <v>1396892443</v>
      </c>
      <c r="BI161" s="186">
        <v>7416097</v>
      </c>
      <c r="BJ161" s="186">
        <v>3713407837</v>
      </c>
      <c r="BK161" s="186">
        <v>0</v>
      </c>
      <c r="BL161" s="187">
        <v>53591313720</v>
      </c>
      <c r="BM161" s="188">
        <v>40597915658</v>
      </c>
      <c r="BN161" s="188">
        <v>1264082098</v>
      </c>
      <c r="BO161" s="188">
        <v>8898526377</v>
      </c>
      <c r="BP161" s="188">
        <v>102089176</v>
      </c>
      <c r="BQ161" s="188">
        <v>2084496204</v>
      </c>
      <c r="BR161" s="188">
        <v>584600053</v>
      </c>
      <c r="BS161" s="188">
        <v>59604154</v>
      </c>
      <c r="BT161" s="150">
        <v>75822559821</v>
      </c>
      <c r="BW161" s="255">
        <f t="shared" si="25"/>
        <v>-18639995880</v>
      </c>
      <c r="BX161" s="255">
        <f t="shared" si="26"/>
        <v>3039849425713</v>
      </c>
      <c r="BY161" s="255">
        <f t="shared" si="27"/>
        <v>78520970452</v>
      </c>
      <c r="BZ161" s="255">
        <f t="shared" si="10"/>
        <v>3118370396165</v>
      </c>
      <c r="CA161" s="255">
        <f t="shared" si="28"/>
        <v>2466907692</v>
      </c>
      <c r="CB161" s="255">
        <f t="shared" si="31"/>
        <v>48347943499</v>
      </c>
      <c r="CC161" s="255">
        <f t="shared" si="29"/>
        <v>11996728754</v>
      </c>
      <c r="CD161" s="255">
        <f t="shared" si="30"/>
        <v>459817358</v>
      </c>
      <c r="CG161" s="255"/>
    </row>
    <row r="162" spans="1:85">
      <c r="A162" s="110" t="s">
        <v>57</v>
      </c>
      <c r="B162" s="150" t="s">
        <v>308</v>
      </c>
      <c r="C162" s="138" t="s">
        <v>260</v>
      </c>
      <c r="D162" s="150">
        <v>883930.07000000007</v>
      </c>
      <c r="E162" s="153">
        <v>1671338909</v>
      </c>
      <c r="F162" s="154">
        <v>1671338909</v>
      </c>
      <c r="G162" s="154">
        <v>0</v>
      </c>
      <c r="H162" s="154">
        <v>0</v>
      </c>
      <c r="I162" s="154">
        <v>0</v>
      </c>
      <c r="J162" s="154">
        <v>0</v>
      </c>
      <c r="K162" s="154">
        <v>0</v>
      </c>
      <c r="L162" s="154">
        <v>0</v>
      </c>
      <c r="M162" s="155">
        <v>759937908</v>
      </c>
      <c r="N162" s="156">
        <v>0</v>
      </c>
      <c r="O162" s="156">
        <v>0</v>
      </c>
      <c r="P162" s="156">
        <v>-356</v>
      </c>
      <c r="Q162" s="156">
        <v>0</v>
      </c>
      <c r="R162" s="156">
        <v>211729258</v>
      </c>
      <c r="S162" s="156">
        <v>0</v>
      </c>
      <c r="T162" s="156">
        <v>2817365</v>
      </c>
      <c r="U162" s="156">
        <v>0</v>
      </c>
      <c r="V162" s="156">
        <v>105212303</v>
      </c>
      <c r="W162" s="156">
        <v>0</v>
      </c>
      <c r="X162" s="156">
        <v>609800</v>
      </c>
      <c r="Y162" s="156">
        <v>86489394</v>
      </c>
      <c r="Z162" s="156">
        <v>96047749</v>
      </c>
      <c r="AA162" s="156">
        <v>0</v>
      </c>
      <c r="AB162" s="156">
        <v>1482982</v>
      </c>
      <c r="AC162" s="156">
        <v>0</v>
      </c>
      <c r="AD162" s="156">
        <v>164214585</v>
      </c>
      <c r="AE162" s="156">
        <v>0</v>
      </c>
      <c r="AF162" s="156">
        <v>0</v>
      </c>
      <c r="AG162" s="156">
        <v>0</v>
      </c>
      <c r="AH162" s="156">
        <v>0</v>
      </c>
      <c r="AI162" s="156">
        <v>0</v>
      </c>
      <c r="AJ162" s="156">
        <v>0</v>
      </c>
      <c r="AK162" s="156">
        <v>0</v>
      </c>
      <c r="AL162" s="156">
        <v>91334828</v>
      </c>
      <c r="AM162" s="156">
        <v>0</v>
      </c>
      <c r="AN162" s="150">
        <v>911401001</v>
      </c>
      <c r="AO162" s="159">
        <v>5433536981</v>
      </c>
      <c r="AP162" s="160">
        <v>5419139872</v>
      </c>
      <c r="AQ162" s="160">
        <v>0</v>
      </c>
      <c r="AR162" s="160">
        <v>979168</v>
      </c>
      <c r="AS162" s="160">
        <v>0</v>
      </c>
      <c r="AT162" s="160">
        <v>8196761</v>
      </c>
      <c r="AU162" s="160">
        <v>0</v>
      </c>
      <c r="AV162" s="160">
        <v>0</v>
      </c>
      <c r="AW162" s="160">
        <v>130301</v>
      </c>
      <c r="AX162" s="160">
        <v>0</v>
      </c>
      <c r="AY162" s="160">
        <v>0</v>
      </c>
      <c r="AZ162" s="160">
        <v>4767098</v>
      </c>
      <c r="BA162" s="160">
        <v>0</v>
      </c>
      <c r="BB162" s="160">
        <v>323781</v>
      </c>
      <c r="BC162" s="150">
        <v>-4522135980</v>
      </c>
      <c r="BD162" s="185">
        <v>0</v>
      </c>
      <c r="BE162" s="186">
        <v>0</v>
      </c>
      <c r="BF162" s="186">
        <v>0</v>
      </c>
      <c r="BG162" s="186">
        <v>0</v>
      </c>
      <c r="BH162" s="186">
        <v>0</v>
      </c>
      <c r="BI162" s="186">
        <v>0</v>
      </c>
      <c r="BJ162" s="186">
        <v>0</v>
      </c>
      <c r="BK162" s="186">
        <v>0</v>
      </c>
      <c r="BL162" s="187">
        <v>0</v>
      </c>
      <c r="BM162" s="188">
        <v>0</v>
      </c>
      <c r="BN162" s="188">
        <v>0</v>
      </c>
      <c r="BO162" s="188">
        <v>0</v>
      </c>
      <c r="BP162" s="188">
        <v>0</v>
      </c>
      <c r="BQ162" s="188">
        <v>0</v>
      </c>
      <c r="BR162" s="188">
        <v>0</v>
      </c>
      <c r="BS162" s="188">
        <v>0</v>
      </c>
      <c r="BT162" s="150">
        <v>-4522135980</v>
      </c>
      <c r="BW162" s="255">
        <f t="shared" si="25"/>
        <v>0</v>
      </c>
      <c r="BX162" s="255">
        <f t="shared" si="26"/>
        <v>0</v>
      </c>
      <c r="BY162" s="255">
        <f t="shared" si="27"/>
        <v>0</v>
      </c>
      <c r="BZ162" s="255">
        <f t="shared" si="10"/>
        <v>0</v>
      </c>
      <c r="CA162" s="255">
        <f t="shared" si="28"/>
        <v>91334828</v>
      </c>
      <c r="CB162" s="255">
        <f t="shared" si="31"/>
        <v>609800</v>
      </c>
      <c r="CC162" s="255">
        <f t="shared" si="29"/>
        <v>1482982</v>
      </c>
      <c r="CD162" s="255">
        <f t="shared" si="30"/>
        <v>5419139872</v>
      </c>
      <c r="CG162" s="255"/>
    </row>
    <row r="163" spans="1:85">
      <c r="A163" s="110" t="s">
        <v>57</v>
      </c>
      <c r="B163" s="150" t="s">
        <v>309</v>
      </c>
      <c r="C163" s="138" t="s">
        <v>262</v>
      </c>
      <c r="D163" s="150">
        <v>24777000</v>
      </c>
      <c r="E163" s="153">
        <v>1617481616641</v>
      </c>
      <c r="F163" s="154">
        <v>1639869283140</v>
      </c>
      <c r="G163" s="154">
        <v>-5839541569</v>
      </c>
      <c r="H163" s="154">
        <v>-16306668070</v>
      </c>
      <c r="I163" s="154">
        <v>-157804697</v>
      </c>
      <c r="J163" s="154">
        <v>0</v>
      </c>
      <c r="K163" s="154">
        <v>-83652163</v>
      </c>
      <c r="L163" s="154">
        <v>0</v>
      </c>
      <c r="M163" s="155">
        <v>1564813332738</v>
      </c>
      <c r="N163" s="156">
        <v>1472664129011</v>
      </c>
      <c r="O163" s="156">
        <v>278536129</v>
      </c>
      <c r="P163" s="156">
        <v>-17877</v>
      </c>
      <c r="Q163" s="156">
        <v>0</v>
      </c>
      <c r="R163" s="156">
        <v>1693397118</v>
      </c>
      <c r="S163" s="156">
        <v>0</v>
      </c>
      <c r="T163" s="156">
        <v>146425384</v>
      </c>
      <c r="U163" s="156">
        <v>0</v>
      </c>
      <c r="V163" s="156">
        <v>1054141363</v>
      </c>
      <c r="W163" s="156">
        <v>413329013</v>
      </c>
      <c r="X163" s="156">
        <v>365812277</v>
      </c>
      <c r="Y163" s="156">
        <v>127315276</v>
      </c>
      <c r="Z163" s="156">
        <v>564691127</v>
      </c>
      <c r="AA163" s="156">
        <v>111225895</v>
      </c>
      <c r="AB163" s="156">
        <v>475963666</v>
      </c>
      <c r="AC163" s="156">
        <v>108809231</v>
      </c>
      <c r="AD163" s="156">
        <v>538248476</v>
      </c>
      <c r="AE163" s="156">
        <v>10270958110</v>
      </c>
      <c r="AF163" s="156">
        <v>76375754369</v>
      </c>
      <c r="AG163" s="156">
        <v>0</v>
      </c>
      <c r="AH163" s="156">
        <v>0</v>
      </c>
      <c r="AI163" s="156">
        <v>0</v>
      </c>
      <c r="AJ163" s="156">
        <v>0</v>
      </c>
      <c r="AK163" s="156">
        <v>-105367980</v>
      </c>
      <c r="AL163" s="156">
        <v>-270017850</v>
      </c>
      <c r="AM163" s="156">
        <v>0</v>
      </c>
      <c r="AN163" s="150">
        <v>52668283903</v>
      </c>
      <c r="AO163" s="159">
        <v>14675263647</v>
      </c>
      <c r="AP163" s="160">
        <v>57973800</v>
      </c>
      <c r="AQ163" s="160">
        <v>1194867</v>
      </c>
      <c r="AR163" s="160">
        <v>0</v>
      </c>
      <c r="AS163" s="160">
        <v>0</v>
      </c>
      <c r="AT163" s="160">
        <v>6237057917</v>
      </c>
      <c r="AU163" s="160">
        <v>196325631</v>
      </c>
      <c r="AV163" s="160">
        <v>0</v>
      </c>
      <c r="AW163" s="160">
        <v>28203555</v>
      </c>
      <c r="AX163" s="160">
        <v>1230897919</v>
      </c>
      <c r="AY163" s="160">
        <v>512958984</v>
      </c>
      <c r="AZ163" s="160">
        <v>4440275159</v>
      </c>
      <c r="BA163" s="160">
        <v>15147563</v>
      </c>
      <c r="BB163" s="160">
        <v>1955228252</v>
      </c>
      <c r="BC163" s="150">
        <v>37993020256</v>
      </c>
      <c r="BD163" s="185">
        <v>26318073977</v>
      </c>
      <c r="BE163" s="186">
        <v>23947325413</v>
      </c>
      <c r="BF163" s="186">
        <v>2368053895</v>
      </c>
      <c r="BG163" s="186">
        <v>2692889</v>
      </c>
      <c r="BH163" s="186">
        <v>0</v>
      </c>
      <c r="BI163" s="186">
        <v>0</v>
      </c>
      <c r="BJ163" s="186">
        <v>1780</v>
      </c>
      <c r="BK163" s="186">
        <v>0</v>
      </c>
      <c r="BL163" s="187">
        <v>27001764869</v>
      </c>
      <c r="BM163" s="188">
        <v>26179852384</v>
      </c>
      <c r="BN163" s="188">
        <v>776382016</v>
      </c>
      <c r="BO163" s="188">
        <v>45530469</v>
      </c>
      <c r="BP163" s="188">
        <v>0</v>
      </c>
      <c r="BQ163" s="188">
        <v>0</v>
      </c>
      <c r="BR163" s="188">
        <v>0</v>
      </c>
      <c r="BS163" s="188">
        <v>0</v>
      </c>
      <c r="BT163" s="150">
        <v>37309329364</v>
      </c>
      <c r="BW163" s="255">
        <f t="shared" si="25"/>
        <v>-22387666499</v>
      </c>
      <c r="BX163" s="255">
        <f t="shared" si="26"/>
        <v>1472664129011</v>
      </c>
      <c r="BY163" s="255">
        <f t="shared" si="27"/>
        <v>86541344499</v>
      </c>
      <c r="BZ163" s="255">
        <f t="shared" si="10"/>
        <v>1559205473510</v>
      </c>
      <c r="CA163" s="255">
        <f t="shared" si="28"/>
        <v>-270017850</v>
      </c>
      <c r="CB163" s="255">
        <f t="shared" si="31"/>
        <v>779141290</v>
      </c>
      <c r="CC163" s="255">
        <f t="shared" si="29"/>
        <v>587189561</v>
      </c>
      <c r="CD163" s="255">
        <f t="shared" si="30"/>
        <v>57973800</v>
      </c>
      <c r="CG163" s="255"/>
    </row>
    <row r="164" spans="1:85">
      <c r="A164" s="110" t="s">
        <v>57</v>
      </c>
      <c r="B164" s="150" t="s">
        <v>310</v>
      </c>
      <c r="C164" s="138" t="s">
        <v>264</v>
      </c>
      <c r="D164" s="150">
        <v>393495608</v>
      </c>
      <c r="E164" s="153">
        <v>278300532194</v>
      </c>
      <c r="F164" s="154">
        <v>291217862515</v>
      </c>
      <c r="G164" s="154">
        <v>-395324735</v>
      </c>
      <c r="H164" s="154">
        <v>-12477926985</v>
      </c>
      <c r="I164" s="154">
        <v>0</v>
      </c>
      <c r="J164" s="154">
        <v>0</v>
      </c>
      <c r="K164" s="154">
        <v>-44078601</v>
      </c>
      <c r="L164" s="154">
        <v>0</v>
      </c>
      <c r="M164" s="155">
        <v>260402135545</v>
      </c>
      <c r="N164" s="156">
        <v>235501721654</v>
      </c>
      <c r="O164" s="156">
        <v>157395011</v>
      </c>
      <c r="P164" s="156">
        <v>-31769</v>
      </c>
      <c r="Q164" s="156">
        <v>0</v>
      </c>
      <c r="R164" s="156">
        <v>1190729725</v>
      </c>
      <c r="S164" s="156">
        <v>0</v>
      </c>
      <c r="T164" s="156">
        <v>102486608</v>
      </c>
      <c r="U164" s="156">
        <v>0</v>
      </c>
      <c r="V164" s="156">
        <v>944522618</v>
      </c>
      <c r="W164" s="156">
        <v>281259143</v>
      </c>
      <c r="X164" s="156">
        <v>212116465</v>
      </c>
      <c r="Y164" s="156">
        <v>86083938</v>
      </c>
      <c r="Z164" s="156">
        <v>535036523</v>
      </c>
      <c r="AA164" s="156">
        <v>105941080</v>
      </c>
      <c r="AB164" s="156">
        <v>375847086</v>
      </c>
      <c r="AC164" s="156">
        <v>133898000</v>
      </c>
      <c r="AD164" s="156">
        <v>423351716</v>
      </c>
      <c r="AE164" s="156">
        <v>4730372527</v>
      </c>
      <c r="AF164" s="156">
        <v>15647365586</v>
      </c>
      <c r="AG164" s="156">
        <v>0</v>
      </c>
      <c r="AH164" s="156">
        <v>0</v>
      </c>
      <c r="AI164" s="156">
        <v>0</v>
      </c>
      <c r="AJ164" s="156">
        <v>0</v>
      </c>
      <c r="AK164" s="156">
        <v>0</v>
      </c>
      <c r="AL164" s="156">
        <v>-32210366</v>
      </c>
      <c r="AM164" s="156">
        <v>6250000</v>
      </c>
      <c r="AN164" s="150">
        <v>17898396649</v>
      </c>
      <c r="AO164" s="159">
        <v>2743841178</v>
      </c>
      <c r="AP164" s="160">
        <v>64605000</v>
      </c>
      <c r="AQ164" s="160">
        <v>12511948</v>
      </c>
      <c r="AR164" s="160">
        <v>0</v>
      </c>
      <c r="AS164" s="160">
        <v>0</v>
      </c>
      <c r="AT164" s="160">
        <v>1079272225</v>
      </c>
      <c r="AU164" s="160">
        <v>34866332</v>
      </c>
      <c r="AV164" s="160">
        <v>0</v>
      </c>
      <c r="AW164" s="160">
        <v>4318750</v>
      </c>
      <c r="AX164" s="160">
        <v>220253427</v>
      </c>
      <c r="AY164" s="160">
        <v>96807430</v>
      </c>
      <c r="AZ164" s="160">
        <v>873069716</v>
      </c>
      <c r="BA164" s="160">
        <v>2617136</v>
      </c>
      <c r="BB164" s="160">
        <v>355519214</v>
      </c>
      <c r="BC164" s="150">
        <v>15154555471</v>
      </c>
      <c r="BD164" s="185">
        <v>4729887590</v>
      </c>
      <c r="BE164" s="186">
        <v>4159704091</v>
      </c>
      <c r="BF164" s="186">
        <v>549817848</v>
      </c>
      <c r="BG164" s="186">
        <v>20365651</v>
      </c>
      <c r="BH164" s="186">
        <v>0</v>
      </c>
      <c r="BI164" s="186">
        <v>0</v>
      </c>
      <c r="BJ164" s="186">
        <v>0</v>
      </c>
      <c r="BK164" s="186">
        <v>0</v>
      </c>
      <c r="BL164" s="187">
        <v>4270378406</v>
      </c>
      <c r="BM164" s="188">
        <v>4129832241</v>
      </c>
      <c r="BN164" s="188">
        <v>94536294</v>
      </c>
      <c r="BO164" s="188">
        <v>46009871</v>
      </c>
      <c r="BP164" s="188">
        <v>0</v>
      </c>
      <c r="BQ164" s="188">
        <v>0</v>
      </c>
      <c r="BR164" s="188">
        <v>0</v>
      </c>
      <c r="BS164" s="188">
        <v>0</v>
      </c>
      <c r="BT164" s="150">
        <v>15614064655</v>
      </c>
      <c r="BW164" s="255">
        <f t="shared" si="25"/>
        <v>-12917330321</v>
      </c>
      <c r="BX164" s="255">
        <f t="shared" si="26"/>
        <v>235501721654</v>
      </c>
      <c r="BY164" s="255">
        <f t="shared" si="27"/>
        <v>20377738113</v>
      </c>
      <c r="BZ164" s="255">
        <f t="shared" si="10"/>
        <v>255879459767</v>
      </c>
      <c r="CA164" s="255">
        <f t="shared" si="28"/>
        <v>-25960366</v>
      </c>
      <c r="CB164" s="255">
        <f t="shared" si="31"/>
        <v>493375608</v>
      </c>
      <c r="CC164" s="255">
        <f t="shared" si="29"/>
        <v>481788166</v>
      </c>
      <c r="CD164" s="255">
        <f t="shared" si="30"/>
        <v>64605000</v>
      </c>
      <c r="CG164" s="255"/>
    </row>
    <row r="165" spans="1:85">
      <c r="A165" s="110" t="s">
        <v>57</v>
      </c>
      <c r="B165" s="150" t="s">
        <v>311</v>
      </c>
      <c r="C165" s="138" t="s">
        <v>266</v>
      </c>
      <c r="D165" s="150">
        <v>143106.4</v>
      </c>
      <c r="E165" s="153">
        <v>4886384329</v>
      </c>
      <c r="F165" s="154">
        <v>4886384329</v>
      </c>
      <c r="G165" s="154">
        <v>0</v>
      </c>
      <c r="H165" s="154">
        <v>0</v>
      </c>
      <c r="I165" s="154">
        <v>0</v>
      </c>
      <c r="J165" s="154">
        <v>0</v>
      </c>
      <c r="K165" s="154">
        <v>0</v>
      </c>
      <c r="L165" s="154">
        <v>0</v>
      </c>
      <c r="M165" s="155">
        <v>2515919171</v>
      </c>
      <c r="N165" s="156">
        <v>2397704374</v>
      </c>
      <c r="O165" s="156">
        <v>1462207</v>
      </c>
      <c r="P165" s="156">
        <v>0</v>
      </c>
      <c r="Q165" s="156">
        <v>0</v>
      </c>
      <c r="R165" s="156">
        <v>62706764</v>
      </c>
      <c r="S165" s="156">
        <v>0</v>
      </c>
      <c r="T165" s="156">
        <v>7048046</v>
      </c>
      <c r="U165" s="156">
        <v>0</v>
      </c>
      <c r="V165" s="156">
        <v>37473734</v>
      </c>
      <c r="W165" s="156">
        <v>1899202</v>
      </c>
      <c r="X165" s="156">
        <v>2276850</v>
      </c>
      <c r="Y165" s="156">
        <v>154987</v>
      </c>
      <c r="Z165" s="156">
        <v>19909308</v>
      </c>
      <c r="AA165" s="156">
        <v>712086</v>
      </c>
      <c r="AB165" s="156">
        <v>4668444</v>
      </c>
      <c r="AC165" s="156">
        <v>347042</v>
      </c>
      <c r="AD165" s="156">
        <v>14092224</v>
      </c>
      <c r="AE165" s="156">
        <v>0</v>
      </c>
      <c r="AF165" s="156">
        <v>-34536097</v>
      </c>
      <c r="AG165" s="156">
        <v>0</v>
      </c>
      <c r="AH165" s="156">
        <v>0</v>
      </c>
      <c r="AI165" s="156">
        <v>0</v>
      </c>
      <c r="AJ165" s="156">
        <v>0</v>
      </c>
      <c r="AK165" s="156">
        <v>0</v>
      </c>
      <c r="AL165" s="156">
        <v>0</v>
      </c>
      <c r="AM165" s="156">
        <v>0</v>
      </c>
      <c r="AN165" s="150">
        <v>2370465158</v>
      </c>
      <c r="AO165" s="159">
        <v>1353715</v>
      </c>
      <c r="AP165" s="160">
        <v>0</v>
      </c>
      <c r="AQ165" s="160">
        <v>258</v>
      </c>
      <c r="AR165" s="160">
        <v>0</v>
      </c>
      <c r="AS165" s="160">
        <v>0</v>
      </c>
      <c r="AT165" s="160">
        <v>581539</v>
      </c>
      <c r="AU165" s="160">
        <v>0</v>
      </c>
      <c r="AV165" s="160">
        <v>0</v>
      </c>
      <c r="AW165" s="160">
        <v>6342</v>
      </c>
      <c r="AX165" s="160">
        <v>0</v>
      </c>
      <c r="AY165" s="160">
        <v>24815</v>
      </c>
      <c r="AZ165" s="160">
        <v>666226</v>
      </c>
      <c r="BA165" s="160">
        <v>0</v>
      </c>
      <c r="BB165" s="160">
        <v>74535</v>
      </c>
      <c r="BC165" s="150">
        <v>2369111443</v>
      </c>
      <c r="BD165" s="185">
        <v>1</v>
      </c>
      <c r="BE165" s="186">
        <v>0</v>
      </c>
      <c r="BF165" s="186">
        <v>0</v>
      </c>
      <c r="BG165" s="186">
        <v>0</v>
      </c>
      <c r="BH165" s="186">
        <v>0</v>
      </c>
      <c r="BI165" s="186">
        <v>0</v>
      </c>
      <c r="BJ165" s="186">
        <v>1</v>
      </c>
      <c r="BK165" s="186">
        <v>0</v>
      </c>
      <c r="BL165" s="187">
        <v>0</v>
      </c>
      <c r="BM165" s="188">
        <v>0</v>
      </c>
      <c r="BN165" s="188">
        <v>0</v>
      </c>
      <c r="BO165" s="188">
        <v>0</v>
      </c>
      <c r="BP165" s="188">
        <v>0</v>
      </c>
      <c r="BQ165" s="188">
        <v>0</v>
      </c>
      <c r="BR165" s="188">
        <v>0</v>
      </c>
      <c r="BS165" s="188">
        <v>0</v>
      </c>
      <c r="BT165" s="150">
        <v>2369111444</v>
      </c>
      <c r="BW165" s="255">
        <f t="shared" si="25"/>
        <v>0</v>
      </c>
      <c r="BX165" s="255">
        <f t="shared" si="26"/>
        <v>2397704374</v>
      </c>
      <c r="BY165" s="255">
        <f t="shared" si="27"/>
        <v>-34536097</v>
      </c>
      <c r="BZ165" s="255">
        <f t="shared" si="10"/>
        <v>2363168277</v>
      </c>
      <c r="CA165" s="255">
        <f t="shared" si="28"/>
        <v>0</v>
      </c>
      <c r="CB165" s="255">
        <f t="shared" si="31"/>
        <v>4176052</v>
      </c>
      <c r="CC165" s="255">
        <f t="shared" si="29"/>
        <v>5380530</v>
      </c>
      <c r="CD165" s="255">
        <f t="shared" si="30"/>
        <v>0</v>
      </c>
      <c r="CG165" s="255"/>
    </row>
    <row r="166" spans="1:85">
      <c r="A166" s="110" t="s">
        <v>57</v>
      </c>
      <c r="B166" s="150" t="s">
        <v>312</v>
      </c>
      <c r="C166" s="138" t="s">
        <v>268</v>
      </c>
      <c r="D166" s="150">
        <v>1323960.7999999989</v>
      </c>
      <c r="E166" s="153">
        <v>109024202114</v>
      </c>
      <c r="F166" s="154">
        <v>109024202114</v>
      </c>
      <c r="G166" s="154">
        <v>0</v>
      </c>
      <c r="H166" s="154">
        <v>0</v>
      </c>
      <c r="I166" s="154">
        <v>0</v>
      </c>
      <c r="J166" s="154">
        <v>0</v>
      </c>
      <c r="K166" s="154">
        <v>0</v>
      </c>
      <c r="L166" s="154">
        <v>0</v>
      </c>
      <c r="M166" s="155">
        <v>63117241857</v>
      </c>
      <c r="N166" s="156">
        <v>61106755188</v>
      </c>
      <c r="O166" s="156">
        <v>28354697</v>
      </c>
      <c r="P166" s="156">
        <v>0</v>
      </c>
      <c r="Q166" s="156">
        <v>0</v>
      </c>
      <c r="R166" s="156">
        <v>191072193</v>
      </c>
      <c r="S166" s="156">
        <v>0</v>
      </c>
      <c r="T166" s="156">
        <v>21418994</v>
      </c>
      <c r="U166" s="156">
        <v>0</v>
      </c>
      <c r="V166" s="156">
        <v>148494228</v>
      </c>
      <c r="W166" s="156">
        <v>35840075</v>
      </c>
      <c r="X166" s="156">
        <v>36908979</v>
      </c>
      <c r="Y166" s="156">
        <v>11855333</v>
      </c>
      <c r="Z166" s="156">
        <v>100688217</v>
      </c>
      <c r="AA166" s="156">
        <v>17968192</v>
      </c>
      <c r="AB166" s="156">
        <v>88916834</v>
      </c>
      <c r="AC166" s="156">
        <v>7445895</v>
      </c>
      <c r="AD166" s="156">
        <v>70974190</v>
      </c>
      <c r="AE166" s="156">
        <v>20457682</v>
      </c>
      <c r="AF166" s="156">
        <v>1296535903</v>
      </c>
      <c r="AG166" s="156">
        <v>0</v>
      </c>
      <c r="AH166" s="156">
        <v>0</v>
      </c>
      <c r="AI166" s="156">
        <v>0</v>
      </c>
      <c r="AJ166" s="156">
        <v>0</v>
      </c>
      <c r="AK166" s="156">
        <v>0</v>
      </c>
      <c r="AL166" s="156">
        <v>-66444743</v>
      </c>
      <c r="AM166" s="156">
        <v>0</v>
      </c>
      <c r="AN166" s="150">
        <v>45906960257</v>
      </c>
      <c r="AO166" s="159">
        <v>30445657</v>
      </c>
      <c r="AP166" s="160">
        <v>1365000</v>
      </c>
      <c r="AQ166" s="160">
        <v>6309</v>
      </c>
      <c r="AR166" s="160">
        <v>0</v>
      </c>
      <c r="AS166" s="160">
        <v>0</v>
      </c>
      <c r="AT166" s="160">
        <v>13028648</v>
      </c>
      <c r="AU166" s="160">
        <v>0</v>
      </c>
      <c r="AV166" s="160">
        <v>0</v>
      </c>
      <c r="AW166" s="160">
        <v>85200</v>
      </c>
      <c r="AX166" s="160">
        <v>0</v>
      </c>
      <c r="AY166" s="160">
        <v>1209965</v>
      </c>
      <c r="AZ166" s="160">
        <v>12836940</v>
      </c>
      <c r="BA166" s="160">
        <v>0</v>
      </c>
      <c r="BB166" s="160">
        <v>1913595</v>
      </c>
      <c r="BC166" s="150">
        <v>45876514600</v>
      </c>
      <c r="BD166" s="185">
        <v>836806</v>
      </c>
      <c r="BE166" s="186">
        <v>0</v>
      </c>
      <c r="BF166" s="186">
        <v>836806</v>
      </c>
      <c r="BG166" s="186">
        <v>0</v>
      </c>
      <c r="BH166" s="186">
        <v>0</v>
      </c>
      <c r="BI166" s="186">
        <v>0</v>
      </c>
      <c r="BJ166" s="186">
        <v>0</v>
      </c>
      <c r="BK166" s="186">
        <v>0</v>
      </c>
      <c r="BL166" s="187">
        <v>0</v>
      </c>
      <c r="BM166" s="188">
        <v>0</v>
      </c>
      <c r="BN166" s="188">
        <v>0</v>
      </c>
      <c r="BO166" s="188">
        <v>0</v>
      </c>
      <c r="BP166" s="188">
        <v>0</v>
      </c>
      <c r="BQ166" s="188">
        <v>0</v>
      </c>
      <c r="BR166" s="188">
        <v>0</v>
      </c>
      <c r="BS166" s="188">
        <v>0</v>
      </c>
      <c r="BT166" s="150">
        <v>45877351406</v>
      </c>
      <c r="BW166" s="255">
        <f t="shared" si="25"/>
        <v>0</v>
      </c>
      <c r="BX166" s="255">
        <f t="shared" si="26"/>
        <v>61106755188</v>
      </c>
      <c r="BY166" s="255">
        <f t="shared" si="27"/>
        <v>1316993585</v>
      </c>
      <c r="BZ166" s="255">
        <f t="shared" si="10"/>
        <v>62423748773</v>
      </c>
      <c r="CA166" s="255">
        <f t="shared" si="28"/>
        <v>-66444743</v>
      </c>
      <c r="CB166" s="255">
        <f t="shared" si="31"/>
        <v>72749054</v>
      </c>
      <c r="CC166" s="255">
        <f t="shared" si="29"/>
        <v>106885026</v>
      </c>
      <c r="CD166" s="255">
        <f t="shared" si="30"/>
        <v>1365000</v>
      </c>
      <c r="CG166" s="255"/>
    </row>
    <row r="167" spans="1:85">
      <c r="A167" s="110" t="s">
        <v>57</v>
      </c>
      <c r="B167" s="150" t="s">
        <v>313</v>
      </c>
      <c r="C167" s="149" t="s">
        <v>320</v>
      </c>
      <c r="D167" s="150">
        <v>302900</v>
      </c>
      <c r="E167" s="153">
        <v>4103121583</v>
      </c>
      <c r="F167" s="154">
        <v>4103121583</v>
      </c>
      <c r="G167" s="154">
        <v>0</v>
      </c>
      <c r="H167" s="154">
        <v>0</v>
      </c>
      <c r="I167" s="154">
        <v>0</v>
      </c>
      <c r="J167" s="154">
        <v>0</v>
      </c>
      <c r="K167" s="154">
        <v>0</v>
      </c>
      <c r="L167" s="154">
        <v>0</v>
      </c>
      <c r="M167" s="155">
        <v>2651713927</v>
      </c>
      <c r="N167" s="156">
        <v>326905268</v>
      </c>
      <c r="O167" s="156">
        <v>0</v>
      </c>
      <c r="P167" s="156">
        <v>-16863</v>
      </c>
      <c r="Q167" s="156">
        <v>0</v>
      </c>
      <c r="R167" s="156">
        <v>731657617</v>
      </c>
      <c r="S167" s="156">
        <v>0</v>
      </c>
      <c r="T167" s="156">
        <v>57047085</v>
      </c>
      <c r="U167" s="156">
        <v>0</v>
      </c>
      <c r="V167" s="156">
        <v>634468690</v>
      </c>
      <c r="W167" s="156">
        <v>2568370</v>
      </c>
      <c r="X167" s="156">
        <v>36586572</v>
      </c>
      <c r="Y167" s="156">
        <v>0</v>
      </c>
      <c r="Z167" s="156">
        <v>363480455</v>
      </c>
      <c r="AA167" s="156">
        <v>7934526</v>
      </c>
      <c r="AB167" s="156">
        <v>132361973</v>
      </c>
      <c r="AC167" s="156">
        <v>13817230</v>
      </c>
      <c r="AD167" s="156">
        <v>349188322</v>
      </c>
      <c r="AE167" s="156">
        <v>0</v>
      </c>
      <c r="AF167" s="156">
        <v>-66644581</v>
      </c>
      <c r="AG167" s="156">
        <v>0</v>
      </c>
      <c r="AH167" s="156">
        <v>0</v>
      </c>
      <c r="AI167" s="156">
        <v>0</v>
      </c>
      <c r="AJ167" s="156">
        <v>0</v>
      </c>
      <c r="AK167" s="156">
        <v>0</v>
      </c>
      <c r="AL167" s="156">
        <v>0</v>
      </c>
      <c r="AM167" s="156">
        <v>62359263</v>
      </c>
      <c r="AN167" s="150">
        <v>1451407656</v>
      </c>
      <c r="AO167" s="159">
        <v>9195996</v>
      </c>
      <c r="AP167" s="160">
        <v>350000</v>
      </c>
      <c r="AQ167" s="160">
        <v>4398403</v>
      </c>
      <c r="AR167" s="160">
        <v>0</v>
      </c>
      <c r="AS167" s="160">
        <v>0</v>
      </c>
      <c r="AT167" s="160">
        <v>487140</v>
      </c>
      <c r="AU167" s="160">
        <v>0</v>
      </c>
      <c r="AV167" s="160">
        <v>0</v>
      </c>
      <c r="AW167" s="160">
        <v>3977</v>
      </c>
      <c r="AX167" s="160">
        <v>0</v>
      </c>
      <c r="AY167" s="160">
        <v>49432</v>
      </c>
      <c r="AZ167" s="160">
        <v>3833974</v>
      </c>
      <c r="BA167" s="160">
        <v>0</v>
      </c>
      <c r="BB167" s="160">
        <v>73070</v>
      </c>
      <c r="BC167" s="150">
        <v>1442211660</v>
      </c>
      <c r="BD167" s="185">
        <v>66893200</v>
      </c>
      <c r="BE167" s="186">
        <v>0</v>
      </c>
      <c r="BF167" s="186">
        <v>0</v>
      </c>
      <c r="BG167" s="186">
        <v>0</v>
      </c>
      <c r="BH167" s="186">
        <v>0</v>
      </c>
      <c r="BI167" s="186">
        <v>0</v>
      </c>
      <c r="BJ167" s="186">
        <v>66893200</v>
      </c>
      <c r="BK167" s="186">
        <v>0</v>
      </c>
      <c r="BL167" s="187">
        <v>0</v>
      </c>
      <c r="BM167" s="188">
        <v>0</v>
      </c>
      <c r="BN167" s="188">
        <v>0</v>
      </c>
      <c r="BO167" s="188">
        <v>0</v>
      </c>
      <c r="BP167" s="188">
        <v>0</v>
      </c>
      <c r="BQ167" s="188">
        <v>0</v>
      </c>
      <c r="BR167" s="188">
        <v>0</v>
      </c>
      <c r="BS167" s="188">
        <v>0</v>
      </c>
      <c r="BT167" s="150">
        <v>1509104860</v>
      </c>
      <c r="BW167" s="255">
        <f t="shared" si="25"/>
        <v>0</v>
      </c>
      <c r="BX167" s="255">
        <f t="shared" si="26"/>
        <v>326905268</v>
      </c>
      <c r="BY167" s="255">
        <f t="shared" si="27"/>
        <v>-66644581</v>
      </c>
      <c r="BZ167" s="255">
        <f t="shared" si="10"/>
        <v>260260687</v>
      </c>
      <c r="CA167" s="255">
        <f t="shared" si="28"/>
        <v>62359263</v>
      </c>
      <c r="CB167" s="255">
        <f t="shared" si="31"/>
        <v>39154942</v>
      </c>
      <c r="CC167" s="255">
        <f t="shared" si="29"/>
        <v>140296499</v>
      </c>
      <c r="CD167" s="255">
        <f t="shared" si="30"/>
        <v>350000</v>
      </c>
      <c r="CG167" s="255"/>
    </row>
    <row r="168" spans="1:85">
      <c r="A168" s="110" t="s">
        <v>57</v>
      </c>
      <c r="B168" s="150" t="s">
        <v>314</v>
      </c>
      <c r="C168" s="138" t="s">
        <v>272</v>
      </c>
      <c r="D168" s="150">
        <v>1604761</v>
      </c>
      <c r="E168" s="153">
        <v>22043331012</v>
      </c>
      <c r="F168" s="154">
        <v>22043331012</v>
      </c>
      <c r="G168" s="154">
        <v>0</v>
      </c>
      <c r="H168" s="154">
        <v>0</v>
      </c>
      <c r="I168" s="154">
        <v>0</v>
      </c>
      <c r="J168" s="154">
        <v>0</v>
      </c>
      <c r="K168" s="154">
        <v>0</v>
      </c>
      <c r="L168" s="154">
        <v>0</v>
      </c>
      <c r="M168" s="155">
        <v>20338661168</v>
      </c>
      <c r="N168" s="156">
        <v>20338661168</v>
      </c>
      <c r="O168" s="156">
        <v>0</v>
      </c>
      <c r="P168" s="156">
        <v>0</v>
      </c>
      <c r="Q168" s="156">
        <v>0</v>
      </c>
      <c r="R168" s="156">
        <v>0</v>
      </c>
      <c r="S168" s="156">
        <v>0</v>
      </c>
      <c r="T168" s="156">
        <v>0</v>
      </c>
      <c r="U168" s="156">
        <v>0</v>
      </c>
      <c r="V168" s="156">
        <v>0</v>
      </c>
      <c r="W168" s="156">
        <v>0</v>
      </c>
      <c r="X168" s="156">
        <v>0</v>
      </c>
      <c r="Y168" s="156">
        <v>0</v>
      </c>
      <c r="Z168" s="156">
        <v>0</v>
      </c>
      <c r="AA168" s="156">
        <v>0</v>
      </c>
      <c r="AB168" s="156">
        <v>0</v>
      </c>
      <c r="AC168" s="156">
        <v>0</v>
      </c>
      <c r="AD168" s="156">
        <v>0</v>
      </c>
      <c r="AE168" s="156">
        <v>0</v>
      </c>
      <c r="AF168" s="156">
        <v>0</v>
      </c>
      <c r="AG168" s="156">
        <v>0</v>
      </c>
      <c r="AH168" s="156">
        <v>0</v>
      </c>
      <c r="AI168" s="156">
        <v>0</v>
      </c>
      <c r="AJ168" s="156">
        <v>0</v>
      </c>
      <c r="AK168" s="156">
        <v>0</v>
      </c>
      <c r="AL168" s="156">
        <v>0</v>
      </c>
      <c r="AM168" s="156">
        <v>0</v>
      </c>
      <c r="AN168" s="150">
        <v>1704669844</v>
      </c>
      <c r="AO168" s="159">
        <v>43475284</v>
      </c>
      <c r="AP168" s="160">
        <v>41075099</v>
      </c>
      <c r="AQ168" s="160">
        <v>235854</v>
      </c>
      <c r="AR168" s="160">
        <v>0</v>
      </c>
      <c r="AS168" s="160">
        <v>0</v>
      </c>
      <c r="AT168" s="160">
        <v>0</v>
      </c>
      <c r="AU168" s="160">
        <v>0</v>
      </c>
      <c r="AV168" s="160">
        <v>0</v>
      </c>
      <c r="AW168" s="160">
        <v>0</v>
      </c>
      <c r="AX168" s="160">
        <v>0</v>
      </c>
      <c r="AY168" s="160">
        <v>0</v>
      </c>
      <c r="AZ168" s="160">
        <v>2164331</v>
      </c>
      <c r="BA168" s="160">
        <v>0</v>
      </c>
      <c r="BB168" s="160">
        <v>0</v>
      </c>
      <c r="BC168" s="150">
        <v>1661194560</v>
      </c>
      <c r="BD168" s="185">
        <v>0</v>
      </c>
      <c r="BE168" s="186">
        <v>0</v>
      </c>
      <c r="BF168" s="186">
        <v>0</v>
      </c>
      <c r="BG168" s="186">
        <v>0</v>
      </c>
      <c r="BH168" s="186">
        <v>0</v>
      </c>
      <c r="BI168" s="186">
        <v>0</v>
      </c>
      <c r="BJ168" s="186">
        <v>0</v>
      </c>
      <c r="BK168" s="186">
        <v>0</v>
      </c>
      <c r="BL168" s="187">
        <v>0</v>
      </c>
      <c r="BM168" s="188">
        <v>0</v>
      </c>
      <c r="BN168" s="188">
        <v>0</v>
      </c>
      <c r="BO168" s="188">
        <v>0</v>
      </c>
      <c r="BP168" s="188">
        <v>0</v>
      </c>
      <c r="BQ168" s="188">
        <v>0</v>
      </c>
      <c r="BR168" s="188">
        <v>0</v>
      </c>
      <c r="BS168" s="188">
        <v>0</v>
      </c>
      <c r="BT168" s="150">
        <v>1661194560</v>
      </c>
      <c r="BW168" s="255">
        <f t="shared" si="25"/>
        <v>0</v>
      </c>
      <c r="BX168" s="255">
        <f t="shared" si="26"/>
        <v>20338661168</v>
      </c>
      <c r="BY168" s="255">
        <f t="shared" si="27"/>
        <v>0</v>
      </c>
      <c r="BZ168" s="255">
        <f t="shared" si="10"/>
        <v>20338661168</v>
      </c>
      <c r="CA168" s="255">
        <f t="shared" si="28"/>
        <v>0</v>
      </c>
      <c r="CB168" s="255">
        <f t="shared" si="31"/>
        <v>0</v>
      </c>
      <c r="CC168" s="255">
        <f t="shared" si="29"/>
        <v>0</v>
      </c>
      <c r="CD168" s="255">
        <f t="shared" si="30"/>
        <v>41075099</v>
      </c>
      <c r="CG168" s="255"/>
    </row>
    <row r="169" spans="1:85">
      <c r="A169" s="110" t="s">
        <v>57</v>
      </c>
      <c r="B169" s="150" t="s">
        <v>315</v>
      </c>
      <c r="C169" s="138" t="s">
        <v>316</v>
      </c>
      <c r="D169" s="150">
        <v>72000</v>
      </c>
      <c r="E169" s="153">
        <v>74601727</v>
      </c>
      <c r="F169" s="154">
        <v>74601727</v>
      </c>
      <c r="G169" s="154">
        <v>0</v>
      </c>
      <c r="H169" s="154">
        <v>0</v>
      </c>
      <c r="I169" s="154">
        <v>0</v>
      </c>
      <c r="J169" s="154">
        <v>0</v>
      </c>
      <c r="K169" s="154">
        <v>0</v>
      </c>
      <c r="L169" s="154">
        <v>0</v>
      </c>
      <c r="M169" s="155">
        <v>3295819744</v>
      </c>
      <c r="N169" s="156">
        <v>47875299</v>
      </c>
      <c r="O169" s="156">
        <v>66849</v>
      </c>
      <c r="P169" s="156">
        <v>-203</v>
      </c>
      <c r="Q169" s="156">
        <v>0</v>
      </c>
      <c r="R169" s="156">
        <v>14178540</v>
      </c>
      <c r="S169" s="156">
        <v>0</v>
      </c>
      <c r="T169" s="156">
        <v>1380795</v>
      </c>
      <c r="U169" s="156">
        <v>0</v>
      </c>
      <c r="V169" s="156">
        <v>11655795</v>
      </c>
      <c r="W169" s="156">
        <v>697569</v>
      </c>
      <c r="X169" s="156">
        <v>178197</v>
      </c>
      <c r="Y169" s="156">
        <v>42763</v>
      </c>
      <c r="Z169" s="156">
        <v>1703580</v>
      </c>
      <c r="AA169" s="156">
        <v>1754395</v>
      </c>
      <c r="AB169" s="156">
        <v>1737230</v>
      </c>
      <c r="AC169" s="156">
        <v>-2225</v>
      </c>
      <c r="AD169" s="156">
        <v>4950284</v>
      </c>
      <c r="AE169" s="156">
        <v>0</v>
      </c>
      <c r="AF169" s="156">
        <v>0</v>
      </c>
      <c r="AG169" s="156">
        <v>0</v>
      </c>
      <c r="AH169" s="156">
        <v>0</v>
      </c>
      <c r="AI169" s="156">
        <v>0</v>
      </c>
      <c r="AJ169" s="156">
        <v>0</v>
      </c>
      <c r="AK169" s="156">
        <v>0</v>
      </c>
      <c r="AL169" s="156">
        <v>3209600876</v>
      </c>
      <c r="AM169" s="156">
        <v>0</v>
      </c>
      <c r="AN169" s="150">
        <v>-3221218017</v>
      </c>
      <c r="AO169" s="159">
        <v>2479108111</v>
      </c>
      <c r="AP169" s="160">
        <v>2769799</v>
      </c>
      <c r="AQ169" s="160">
        <v>0</v>
      </c>
      <c r="AR169" s="160">
        <v>0</v>
      </c>
      <c r="AS169" s="160">
        <v>0</v>
      </c>
      <c r="AT169" s="160">
        <v>156022754</v>
      </c>
      <c r="AU169" s="160">
        <v>0</v>
      </c>
      <c r="AV169" s="160">
        <v>0</v>
      </c>
      <c r="AW169" s="160">
        <v>2227704</v>
      </c>
      <c r="AX169" s="160">
        <v>2309989474</v>
      </c>
      <c r="AY169" s="160">
        <v>0</v>
      </c>
      <c r="AZ169" s="160">
        <v>132060</v>
      </c>
      <c r="BA169" s="160">
        <v>0</v>
      </c>
      <c r="BB169" s="160">
        <v>7966320</v>
      </c>
      <c r="BC169" s="150">
        <v>-5700326128</v>
      </c>
      <c r="BD169" s="185">
        <v>0</v>
      </c>
      <c r="BE169" s="186">
        <v>0</v>
      </c>
      <c r="BF169" s="186">
        <v>0</v>
      </c>
      <c r="BG169" s="186">
        <v>0</v>
      </c>
      <c r="BH169" s="186">
        <v>0</v>
      </c>
      <c r="BI169" s="186">
        <v>0</v>
      </c>
      <c r="BJ169" s="186">
        <v>0</v>
      </c>
      <c r="BK169" s="186">
        <v>0</v>
      </c>
      <c r="BL169" s="187">
        <v>0</v>
      </c>
      <c r="BM169" s="188">
        <v>0</v>
      </c>
      <c r="BN169" s="188">
        <v>0</v>
      </c>
      <c r="BO169" s="188">
        <v>0</v>
      </c>
      <c r="BP169" s="188">
        <v>0</v>
      </c>
      <c r="BQ169" s="188">
        <v>0</v>
      </c>
      <c r="BR169" s="188">
        <v>0</v>
      </c>
      <c r="BS169" s="188">
        <v>0</v>
      </c>
      <c r="BT169" s="150">
        <v>-5700326128</v>
      </c>
      <c r="BW169" s="255">
        <f t="shared" si="25"/>
        <v>0</v>
      </c>
      <c r="BX169" s="255">
        <f t="shared" si="26"/>
        <v>47875299</v>
      </c>
      <c r="BY169" s="255">
        <f t="shared" si="27"/>
        <v>0</v>
      </c>
      <c r="BZ169" s="255">
        <f t="shared" ref="BZ169:BZ172" si="32">BY169+BX169</f>
        <v>47875299</v>
      </c>
      <c r="CA169" s="255">
        <f t="shared" si="28"/>
        <v>3209600876</v>
      </c>
      <c r="CB169" s="255">
        <f t="shared" si="31"/>
        <v>875766</v>
      </c>
      <c r="CC169" s="255">
        <f t="shared" si="29"/>
        <v>3491625</v>
      </c>
      <c r="CD169" s="255">
        <f t="shared" si="30"/>
        <v>2769799</v>
      </c>
      <c r="CG169" s="255"/>
    </row>
    <row r="170" spans="1:85">
      <c r="A170" s="110" t="s">
        <v>57</v>
      </c>
      <c r="B170" s="150" t="s">
        <v>317</v>
      </c>
      <c r="C170" s="138" t="s">
        <v>246</v>
      </c>
      <c r="D170" s="150">
        <v>2800000</v>
      </c>
      <c r="E170" s="153">
        <v>1663109643</v>
      </c>
      <c r="F170" s="154">
        <v>1663109643</v>
      </c>
      <c r="G170" s="154">
        <v>0</v>
      </c>
      <c r="H170" s="154">
        <v>0</v>
      </c>
      <c r="I170" s="154">
        <v>0</v>
      </c>
      <c r="J170" s="154">
        <v>0</v>
      </c>
      <c r="K170" s="154">
        <v>0</v>
      </c>
      <c r="L170" s="154">
        <v>0</v>
      </c>
      <c r="M170" s="155">
        <v>1682881145</v>
      </c>
      <c r="N170" s="156">
        <v>0</v>
      </c>
      <c r="O170" s="156">
        <v>0</v>
      </c>
      <c r="P170" s="156">
        <v>0</v>
      </c>
      <c r="Q170" s="156">
        <v>0</v>
      </c>
      <c r="R170" s="156">
        <v>501991303</v>
      </c>
      <c r="S170" s="156">
        <v>0</v>
      </c>
      <c r="T170" s="156">
        <v>37773614</v>
      </c>
      <c r="U170" s="156">
        <v>0</v>
      </c>
      <c r="V170" s="156">
        <v>822947035</v>
      </c>
      <c r="W170" s="156">
        <v>1671256</v>
      </c>
      <c r="X170" s="156">
        <v>91870723</v>
      </c>
      <c r="Y170" s="156">
        <v>0</v>
      </c>
      <c r="Z170" s="156">
        <v>86274290</v>
      </c>
      <c r="AA170" s="156">
        <v>4537096</v>
      </c>
      <c r="AB170" s="156">
        <v>238877913</v>
      </c>
      <c r="AC170" s="156">
        <v>19517387</v>
      </c>
      <c r="AD170" s="156">
        <v>109675728</v>
      </c>
      <c r="AE170" s="156">
        <v>0</v>
      </c>
      <c r="AF170" s="156">
        <v>0</v>
      </c>
      <c r="AG170" s="156">
        <v>0</v>
      </c>
      <c r="AH170" s="156">
        <v>0</v>
      </c>
      <c r="AI170" s="156">
        <v>0</v>
      </c>
      <c r="AJ170" s="156">
        <v>0</v>
      </c>
      <c r="AK170" s="156">
        <v>0</v>
      </c>
      <c r="AL170" s="156">
        <v>-232255200</v>
      </c>
      <c r="AM170" s="156">
        <v>0</v>
      </c>
      <c r="AN170" s="150">
        <v>-19771502</v>
      </c>
      <c r="AO170" s="159">
        <v>21391182</v>
      </c>
      <c r="AP170" s="160">
        <v>20728709</v>
      </c>
      <c r="AQ170" s="160">
        <v>329768</v>
      </c>
      <c r="AR170" s="160">
        <v>0</v>
      </c>
      <c r="AS170" s="160">
        <v>0</v>
      </c>
      <c r="AT170" s="160">
        <v>215748</v>
      </c>
      <c r="AU170" s="160">
        <v>0</v>
      </c>
      <c r="AV170" s="160">
        <v>0</v>
      </c>
      <c r="AW170" s="160">
        <v>146</v>
      </c>
      <c r="AX170" s="160">
        <v>0</v>
      </c>
      <c r="AY170" s="160">
        <v>0</v>
      </c>
      <c r="AZ170" s="160">
        <v>38492</v>
      </c>
      <c r="BA170" s="160">
        <v>0</v>
      </c>
      <c r="BB170" s="160">
        <v>78319</v>
      </c>
      <c r="BC170" s="150">
        <v>-41162684</v>
      </c>
      <c r="BD170" s="185">
        <v>0</v>
      </c>
      <c r="BE170" s="186">
        <v>0</v>
      </c>
      <c r="BF170" s="186">
        <v>0</v>
      </c>
      <c r="BG170" s="186">
        <v>0</v>
      </c>
      <c r="BH170" s="186">
        <v>0</v>
      </c>
      <c r="BI170" s="186">
        <v>0</v>
      </c>
      <c r="BJ170" s="186">
        <v>0</v>
      </c>
      <c r="BK170" s="186">
        <v>0</v>
      </c>
      <c r="BL170" s="187">
        <v>0</v>
      </c>
      <c r="BM170" s="188">
        <v>0</v>
      </c>
      <c r="BN170" s="188">
        <v>0</v>
      </c>
      <c r="BO170" s="188">
        <v>0</v>
      </c>
      <c r="BP170" s="188">
        <v>0</v>
      </c>
      <c r="BQ170" s="188">
        <v>0</v>
      </c>
      <c r="BR170" s="188">
        <v>0</v>
      </c>
      <c r="BS170" s="188">
        <v>0</v>
      </c>
      <c r="BT170" s="150">
        <v>-41162684</v>
      </c>
      <c r="BW170" s="255">
        <f t="shared" si="25"/>
        <v>0</v>
      </c>
      <c r="BX170" s="255">
        <f t="shared" si="26"/>
        <v>0</v>
      </c>
      <c r="BY170" s="255">
        <f t="shared" si="27"/>
        <v>0</v>
      </c>
      <c r="BZ170" s="255">
        <f t="shared" si="32"/>
        <v>0</v>
      </c>
      <c r="CA170" s="255">
        <f t="shared" si="28"/>
        <v>-232255200</v>
      </c>
      <c r="CB170" s="255">
        <f t="shared" si="31"/>
        <v>93541979</v>
      </c>
      <c r="CC170" s="255">
        <f t="shared" si="29"/>
        <v>243415009</v>
      </c>
      <c r="CD170" s="255">
        <f t="shared" si="30"/>
        <v>20728709</v>
      </c>
      <c r="CG170" s="255"/>
    </row>
    <row r="171" spans="1:85">
      <c r="A171" s="110" t="s">
        <v>57</v>
      </c>
      <c r="B171" s="161" t="s">
        <v>321</v>
      </c>
      <c r="C171" s="138" t="s">
        <v>246</v>
      </c>
      <c r="D171" s="161">
        <v>21505.376</v>
      </c>
      <c r="E171" s="189">
        <v>54561235874</v>
      </c>
      <c r="F171" s="190">
        <v>54561235874</v>
      </c>
      <c r="G171" s="190">
        <v>0</v>
      </c>
      <c r="H171" s="190">
        <v>0</v>
      </c>
      <c r="I171" s="190">
        <v>0</v>
      </c>
      <c r="J171" s="190">
        <v>0</v>
      </c>
      <c r="K171" s="190">
        <v>0</v>
      </c>
      <c r="L171" s="190">
        <v>0</v>
      </c>
      <c r="M171" s="191">
        <v>52954099982</v>
      </c>
      <c r="N171" s="192">
        <v>49864252084</v>
      </c>
      <c r="O171" s="192">
        <v>0</v>
      </c>
      <c r="P171" s="192">
        <v>0</v>
      </c>
      <c r="Q171" s="192">
        <v>0</v>
      </c>
      <c r="R171" s="192">
        <v>0</v>
      </c>
      <c r="S171" s="192">
        <v>0</v>
      </c>
      <c r="T171" s="192">
        <v>0</v>
      </c>
      <c r="U171" s="192">
        <v>0</v>
      </c>
      <c r="V171" s="192">
        <v>0</v>
      </c>
      <c r="W171" s="192">
        <v>0</v>
      </c>
      <c r="X171" s="192">
        <v>0</v>
      </c>
      <c r="Y171" s="192">
        <v>0</v>
      </c>
      <c r="Z171" s="192">
        <v>0</v>
      </c>
      <c r="AA171" s="192">
        <v>0</v>
      </c>
      <c r="AB171" s="192">
        <v>0</v>
      </c>
      <c r="AC171" s="192">
        <v>0</v>
      </c>
      <c r="AD171" s="192">
        <v>0</v>
      </c>
      <c r="AE171" s="192">
        <v>0</v>
      </c>
      <c r="AF171" s="192">
        <v>0</v>
      </c>
      <c r="AG171" s="192">
        <v>0</v>
      </c>
      <c r="AH171" s="192">
        <v>0</v>
      </c>
      <c r="AI171" s="192">
        <v>0</v>
      </c>
      <c r="AJ171" s="192">
        <v>0</v>
      </c>
      <c r="AK171" s="192">
        <v>0</v>
      </c>
      <c r="AL171" s="192">
        <v>3089847898</v>
      </c>
      <c r="AM171" s="192">
        <v>0</v>
      </c>
      <c r="AN171" s="161">
        <v>1607135892</v>
      </c>
      <c r="AO171" s="193">
        <v>0</v>
      </c>
      <c r="AP171" s="194">
        <v>0</v>
      </c>
      <c r="AQ171" s="194">
        <v>0</v>
      </c>
      <c r="AR171" s="194">
        <v>0</v>
      </c>
      <c r="AS171" s="194">
        <v>0</v>
      </c>
      <c r="AT171" s="194">
        <v>0</v>
      </c>
      <c r="AU171" s="194">
        <v>0</v>
      </c>
      <c r="AV171" s="194">
        <v>0</v>
      </c>
      <c r="AW171" s="194">
        <v>0</v>
      </c>
      <c r="AX171" s="194">
        <v>0</v>
      </c>
      <c r="AY171" s="194">
        <v>0</v>
      </c>
      <c r="AZ171" s="194">
        <v>0</v>
      </c>
      <c r="BA171" s="194">
        <v>0</v>
      </c>
      <c r="BB171" s="194">
        <v>0</v>
      </c>
      <c r="BC171" s="161">
        <v>1607135892</v>
      </c>
      <c r="BD171" s="195">
        <v>58813558</v>
      </c>
      <c r="BE171" s="196">
        <v>0</v>
      </c>
      <c r="BF171" s="196">
        <v>0</v>
      </c>
      <c r="BG171" s="196">
        <v>58813558</v>
      </c>
      <c r="BH171" s="196">
        <v>0</v>
      </c>
      <c r="BI171" s="196">
        <v>0</v>
      </c>
      <c r="BJ171" s="196">
        <v>0</v>
      </c>
      <c r="BK171" s="196">
        <v>0</v>
      </c>
      <c r="BL171" s="197">
        <v>165712831</v>
      </c>
      <c r="BM171" s="198">
        <v>0</v>
      </c>
      <c r="BN171" s="198">
        <v>0</v>
      </c>
      <c r="BO171" s="198">
        <v>165712831</v>
      </c>
      <c r="BP171" s="198">
        <v>0</v>
      </c>
      <c r="BQ171" s="198">
        <v>0</v>
      </c>
      <c r="BR171" s="198">
        <v>0</v>
      </c>
      <c r="BS171" s="198">
        <v>0</v>
      </c>
      <c r="BT171" s="161">
        <v>1500236619</v>
      </c>
      <c r="BW171" s="255">
        <f t="shared" si="25"/>
        <v>0</v>
      </c>
      <c r="BX171" s="255">
        <f t="shared" si="26"/>
        <v>49864252084</v>
      </c>
      <c r="BY171" s="255">
        <f t="shared" si="27"/>
        <v>0</v>
      </c>
      <c r="BZ171" s="255">
        <f t="shared" si="32"/>
        <v>49864252084</v>
      </c>
      <c r="CA171" s="255">
        <f t="shared" si="28"/>
        <v>3089847898</v>
      </c>
      <c r="CB171" s="255">
        <f t="shared" si="31"/>
        <v>0</v>
      </c>
      <c r="CC171" s="255">
        <f t="shared" si="29"/>
        <v>0</v>
      </c>
      <c r="CD171" s="255">
        <f t="shared" si="30"/>
        <v>0</v>
      </c>
      <c r="CG171" s="255"/>
    </row>
    <row r="172" spans="1:85">
      <c r="B172" s="164" t="s">
        <v>275</v>
      </c>
      <c r="C172" s="164"/>
      <c r="D172" s="164">
        <v>523793246.19699997</v>
      </c>
      <c r="E172" s="167">
        <v>5583142166163</v>
      </c>
      <c r="F172" s="168">
        <v>5648326200238</v>
      </c>
      <c r="G172" s="168">
        <v>-10800899068</v>
      </c>
      <c r="H172" s="168">
        <v>-45154771576</v>
      </c>
      <c r="I172" s="168">
        <v>789520248</v>
      </c>
      <c r="J172" s="168">
        <v>1967887696</v>
      </c>
      <c r="K172" s="168">
        <v>-746730000</v>
      </c>
      <c r="L172" s="168">
        <v>-11239041375</v>
      </c>
      <c r="M172" s="169">
        <v>5350880603517</v>
      </c>
      <c r="N172" s="170">
        <v>4882842454402</v>
      </c>
      <c r="O172" s="170">
        <v>22727294999</v>
      </c>
      <c r="P172" s="170">
        <v>49639858</v>
      </c>
      <c r="Q172" s="170">
        <v>0</v>
      </c>
      <c r="R172" s="170">
        <v>47676479563</v>
      </c>
      <c r="S172" s="170">
        <v>0</v>
      </c>
      <c r="T172" s="170">
        <v>4011084679</v>
      </c>
      <c r="U172" s="170">
        <v>0</v>
      </c>
      <c r="V172" s="170">
        <v>46776103439</v>
      </c>
      <c r="W172" s="170">
        <v>49650919052</v>
      </c>
      <c r="X172" s="170">
        <v>16354469405</v>
      </c>
      <c r="Y172" s="170">
        <v>6556664798</v>
      </c>
      <c r="Z172" s="170">
        <v>22731807009</v>
      </c>
      <c r="AA172" s="170">
        <v>3773120654</v>
      </c>
      <c r="AB172" s="170">
        <v>14406269476</v>
      </c>
      <c r="AC172" s="170">
        <v>4882789394</v>
      </c>
      <c r="AD172" s="170">
        <v>28095605695</v>
      </c>
      <c r="AE172" s="170">
        <v>15407198868</v>
      </c>
      <c r="AF172" s="170">
        <v>171220901520</v>
      </c>
      <c r="AG172" s="170">
        <v>0</v>
      </c>
      <c r="AH172" s="170">
        <v>0</v>
      </c>
      <c r="AI172" s="170">
        <v>0</v>
      </c>
      <c r="AJ172" s="170">
        <v>0</v>
      </c>
      <c r="AK172" s="170">
        <v>-105367980</v>
      </c>
      <c r="AL172" s="170">
        <v>5386316764</v>
      </c>
      <c r="AM172" s="170">
        <v>8436851922</v>
      </c>
      <c r="AN172" s="164">
        <v>232261562646</v>
      </c>
      <c r="AO172" s="173">
        <v>62043343494</v>
      </c>
      <c r="AP172" s="174">
        <v>11350660097</v>
      </c>
      <c r="AQ172" s="174">
        <v>136242465</v>
      </c>
      <c r="AR172" s="174">
        <v>979168</v>
      </c>
      <c r="AS172" s="174">
        <v>0</v>
      </c>
      <c r="AT172" s="174">
        <v>21230631757</v>
      </c>
      <c r="AU172" s="174">
        <v>640252573</v>
      </c>
      <c r="AV172" s="174">
        <v>0</v>
      </c>
      <c r="AW172" s="174">
        <v>96714417</v>
      </c>
      <c r="AX172" s="174">
        <v>6378016818</v>
      </c>
      <c r="AY172" s="174">
        <v>1666693354</v>
      </c>
      <c r="AZ172" s="174">
        <v>14018515089</v>
      </c>
      <c r="BA172" s="174">
        <v>43802330</v>
      </c>
      <c r="BB172" s="174">
        <v>6480835426</v>
      </c>
      <c r="BC172" s="164">
        <v>170218219152</v>
      </c>
      <c r="BD172" s="199">
        <v>85263680505</v>
      </c>
      <c r="BE172" s="200">
        <v>67307306026</v>
      </c>
      <c r="BF172" s="200">
        <v>8183298203</v>
      </c>
      <c r="BG172" s="200">
        <v>4588464918</v>
      </c>
      <c r="BH172" s="200">
        <v>1396892443</v>
      </c>
      <c r="BI172" s="200">
        <v>7416097</v>
      </c>
      <c r="BJ172" s="200">
        <v>3780302818</v>
      </c>
      <c r="BK172" s="200">
        <v>0</v>
      </c>
      <c r="BL172" s="201">
        <v>85183842834</v>
      </c>
      <c r="BM172" s="202">
        <v>71006426366</v>
      </c>
      <c r="BN172" s="202">
        <v>2138300924</v>
      </c>
      <c r="BO172" s="202">
        <v>9155779548</v>
      </c>
      <c r="BP172" s="202">
        <v>102089176</v>
      </c>
      <c r="BQ172" s="202">
        <v>2084496204</v>
      </c>
      <c r="BR172" s="202">
        <v>637146462</v>
      </c>
      <c r="BS172" s="202">
        <v>59604154</v>
      </c>
      <c r="BT172" s="164">
        <v>170298056823</v>
      </c>
      <c r="BW172" s="255"/>
      <c r="BX172" s="255">
        <f t="shared" si="26"/>
        <v>4882842454402</v>
      </c>
      <c r="BY172" s="255">
        <f t="shared" si="27"/>
        <v>186522732408</v>
      </c>
      <c r="BZ172" s="255">
        <f t="shared" si="32"/>
        <v>5069365186810</v>
      </c>
      <c r="CA172" s="255">
        <f t="shared" si="28"/>
        <v>13823168686</v>
      </c>
      <c r="CB172" s="255">
        <f t="shared" si="31"/>
        <v>66005388457</v>
      </c>
      <c r="CC172" s="255">
        <f t="shared" si="29"/>
        <v>18179390130</v>
      </c>
      <c r="CD172" s="255">
        <f t="shared" si="30"/>
        <v>11350660097</v>
      </c>
      <c r="CG172" s="255"/>
    </row>
    <row r="173" spans="1:85">
      <c r="BZ173" s="255"/>
      <c r="CA173" s="255"/>
      <c r="CB173" s="255"/>
      <c r="CC173" s="255"/>
      <c r="CD173" s="255"/>
    </row>
    <row r="174" spans="1:85">
      <c r="BZ174" s="255"/>
      <c r="CA174" s="255"/>
      <c r="CB174" s="255"/>
      <c r="CC174" s="255"/>
      <c r="CD174" s="255"/>
    </row>
    <row r="175" spans="1:85">
      <c r="B175" s="3" t="s">
        <v>3835</v>
      </c>
      <c r="N175" s="3" t="s">
        <v>2448</v>
      </c>
      <c r="AE175" s="3" t="s">
        <v>5557</v>
      </c>
      <c r="AF175" s="3" t="s">
        <v>5557</v>
      </c>
      <c r="AG175" s="3" t="s">
        <v>5557</v>
      </c>
      <c r="AH175" s="3" t="s">
        <v>5557</v>
      </c>
      <c r="AI175" s="3" t="s">
        <v>5557</v>
      </c>
      <c r="AJ175" s="3" t="s">
        <v>5557</v>
      </c>
      <c r="AK175" s="3" t="s">
        <v>5557</v>
      </c>
      <c r="BW175" s="110" t="s">
        <v>61</v>
      </c>
      <c r="BZ175" s="255"/>
      <c r="CA175" s="255"/>
      <c r="CB175" s="255"/>
      <c r="CC175" s="255"/>
      <c r="CD175" s="255"/>
    </row>
    <row r="176" spans="1:85">
      <c r="B176" s="2106" t="s">
        <v>3836</v>
      </c>
      <c r="C176" s="131" t="s">
        <v>186</v>
      </c>
      <c r="D176" s="2106" t="s">
        <v>187</v>
      </c>
      <c r="E176" s="2107" t="s">
        <v>188</v>
      </c>
      <c r="F176" s="2107" t="s">
        <v>189</v>
      </c>
      <c r="G176" s="2107" t="s">
        <v>190</v>
      </c>
      <c r="H176" s="2107" t="s">
        <v>202</v>
      </c>
      <c r="I176" s="2107" t="s">
        <v>203</v>
      </c>
      <c r="J176" s="2107" t="s">
        <v>204</v>
      </c>
      <c r="K176" s="2107" t="s">
        <v>205</v>
      </c>
      <c r="L176" s="2107" t="s">
        <v>276</v>
      </c>
      <c r="M176" s="2108" t="s">
        <v>141</v>
      </c>
      <c r="N176" s="2108" t="s">
        <v>191</v>
      </c>
      <c r="O176" s="2108" t="s">
        <v>277</v>
      </c>
      <c r="P176" s="2108" t="s">
        <v>278</v>
      </c>
      <c r="Q176" s="2108" t="s">
        <v>279</v>
      </c>
      <c r="R176" s="2108" t="s">
        <v>280</v>
      </c>
      <c r="S176" s="2108" t="s">
        <v>281</v>
      </c>
      <c r="T176" s="2108" t="s">
        <v>282</v>
      </c>
      <c r="U176" s="2108" t="s">
        <v>283</v>
      </c>
      <c r="V176" s="2108" t="s">
        <v>284</v>
      </c>
      <c r="W176" s="2108" t="s">
        <v>285</v>
      </c>
      <c r="X176" s="2108" t="s">
        <v>286</v>
      </c>
      <c r="Y176" s="2108" t="s">
        <v>287</v>
      </c>
      <c r="Z176" s="2108" t="s">
        <v>288</v>
      </c>
      <c r="AA176" s="2108" t="s">
        <v>289</v>
      </c>
      <c r="AB176" s="2108" t="s">
        <v>290</v>
      </c>
      <c r="AC176" s="2108" t="s">
        <v>291</v>
      </c>
      <c r="AD176" s="2108" t="s">
        <v>292</v>
      </c>
      <c r="AE176" s="2108" t="s">
        <v>200</v>
      </c>
      <c r="AF176" s="2108" t="s">
        <v>201</v>
      </c>
      <c r="AG176" s="2108" t="s">
        <v>293</v>
      </c>
      <c r="AH176" s="2108" t="s">
        <v>294</v>
      </c>
      <c r="AI176" s="2108" t="s">
        <v>295</v>
      </c>
      <c r="AJ176" s="2108" t="s">
        <v>296</v>
      </c>
      <c r="AK176" s="2108" t="s">
        <v>206</v>
      </c>
      <c r="AL176" s="2108" t="s">
        <v>207</v>
      </c>
      <c r="AM176" s="2108" t="s">
        <v>3837</v>
      </c>
      <c r="AN176" s="2108" t="s">
        <v>297</v>
      </c>
      <c r="AO176" s="2106" t="s">
        <v>208</v>
      </c>
      <c r="AP176" s="2109" t="s">
        <v>209</v>
      </c>
      <c r="AQ176" s="2109" t="s">
        <v>210</v>
      </c>
      <c r="AR176" s="2109" t="s">
        <v>211</v>
      </c>
      <c r="AS176" s="2109" t="s">
        <v>212</v>
      </c>
      <c r="AT176" s="2109" t="s">
        <v>213</v>
      </c>
      <c r="AU176" s="2109" t="s">
        <v>214</v>
      </c>
      <c r="AV176" s="2109" t="s">
        <v>215</v>
      </c>
      <c r="AW176" s="2109" t="s">
        <v>216</v>
      </c>
      <c r="AX176" s="2109" t="s">
        <v>217</v>
      </c>
      <c r="AY176" s="2109" t="s">
        <v>218</v>
      </c>
      <c r="AZ176" s="2109" t="s">
        <v>219</v>
      </c>
      <c r="BA176" s="2109" t="s">
        <v>220</v>
      </c>
      <c r="BB176" s="2109" t="s">
        <v>221</v>
      </c>
      <c r="BC176" s="2109" t="s">
        <v>222</v>
      </c>
      <c r="BD176" s="2106" t="s">
        <v>144</v>
      </c>
      <c r="BE176" s="2110" t="s">
        <v>223</v>
      </c>
      <c r="BF176" s="2110" t="s">
        <v>224</v>
      </c>
      <c r="BG176" s="2110" t="s">
        <v>225</v>
      </c>
      <c r="BH176" s="2110" t="s">
        <v>226</v>
      </c>
      <c r="BI176" s="2110" t="s">
        <v>227</v>
      </c>
      <c r="BJ176" s="2110" t="s">
        <v>228</v>
      </c>
      <c r="BK176" s="2110" t="s">
        <v>229</v>
      </c>
      <c r="BL176" s="2110" t="s">
        <v>230</v>
      </c>
      <c r="BM176" s="2111" t="s">
        <v>231</v>
      </c>
      <c r="BN176" s="2111" t="s">
        <v>232</v>
      </c>
      <c r="BO176" s="2111" t="s">
        <v>233</v>
      </c>
      <c r="BP176" s="2111" t="s">
        <v>234</v>
      </c>
      <c r="BQ176" s="2111" t="s">
        <v>235</v>
      </c>
      <c r="BR176" s="2111" t="s">
        <v>236</v>
      </c>
      <c r="BS176" s="2111" t="s">
        <v>237</v>
      </c>
      <c r="BT176" s="2111" t="s">
        <v>238</v>
      </c>
      <c r="BU176" s="2106" t="s">
        <v>239</v>
      </c>
      <c r="BW176" s="321" t="s">
        <v>1300</v>
      </c>
      <c r="BX176" s="321" t="s">
        <v>1284</v>
      </c>
      <c r="BY176" s="321" t="s">
        <v>1362</v>
      </c>
      <c r="BZ176" s="321" t="s">
        <v>1363</v>
      </c>
      <c r="CA176" s="321" t="s">
        <v>5555</v>
      </c>
      <c r="CB176" s="321" t="s">
        <v>1293</v>
      </c>
      <c r="CC176" s="321" t="s">
        <v>1294</v>
      </c>
      <c r="CD176" s="321" t="s">
        <v>1418</v>
      </c>
      <c r="CE176" s="255"/>
      <c r="CF176" s="255"/>
    </row>
    <row r="177" spans="1:85">
      <c r="A177" s="110" t="s">
        <v>61</v>
      </c>
      <c r="B177" s="2112" t="s">
        <v>298</v>
      </c>
      <c r="C177" s="2112" t="s">
        <v>242</v>
      </c>
      <c r="D177" s="2112">
        <v>1509961.892</v>
      </c>
      <c r="E177" s="2113">
        <v>13408013030</v>
      </c>
      <c r="F177" s="2114">
        <v>13408013030</v>
      </c>
      <c r="G177" s="2114">
        <v>0</v>
      </c>
      <c r="H177" s="2114">
        <v>0</v>
      </c>
      <c r="I177" s="2114">
        <v>0</v>
      </c>
      <c r="J177" s="2114">
        <v>0</v>
      </c>
      <c r="K177" s="2114">
        <v>0</v>
      </c>
      <c r="L177" s="2114">
        <v>0</v>
      </c>
      <c r="M177" s="2115">
        <v>59837713581</v>
      </c>
      <c r="N177" s="2116">
        <v>85892175</v>
      </c>
      <c r="O177" s="2116">
        <v>0</v>
      </c>
      <c r="P177" s="2116">
        <v>206735</v>
      </c>
      <c r="Q177" s="2116">
        <v>0</v>
      </c>
      <c r="R177" s="2116">
        <v>5081934448</v>
      </c>
      <c r="S177" s="2116">
        <v>0</v>
      </c>
      <c r="T177" s="2116">
        <v>456169174</v>
      </c>
      <c r="U177" s="2116">
        <v>0</v>
      </c>
      <c r="V177" s="2116">
        <v>8625963014</v>
      </c>
      <c r="W177" s="2116">
        <v>11428573508</v>
      </c>
      <c r="X177" s="2116">
        <v>530606918</v>
      </c>
      <c r="Y177" s="2116">
        <v>1645524576</v>
      </c>
      <c r="Z177" s="2116">
        <v>3215167913</v>
      </c>
      <c r="AA177" s="2116">
        <v>167743267</v>
      </c>
      <c r="AB177" s="2116">
        <v>3188438873</v>
      </c>
      <c r="AC177" s="2116">
        <v>2050271629</v>
      </c>
      <c r="AD177" s="2116">
        <v>2362911219</v>
      </c>
      <c r="AE177" s="2116">
        <v>0</v>
      </c>
      <c r="AF177" s="2116">
        <v>0</v>
      </c>
      <c r="AG177" s="2116">
        <v>0</v>
      </c>
      <c r="AH177" s="2116">
        <v>0</v>
      </c>
      <c r="AI177" s="2116">
        <v>0</v>
      </c>
      <c r="AJ177" s="2116">
        <v>0</v>
      </c>
      <c r="AK177" s="2116">
        <v>0</v>
      </c>
      <c r="AL177" s="2116">
        <v>641167401</v>
      </c>
      <c r="AM177" s="2116">
        <v>13449348098</v>
      </c>
      <c r="AN177" s="2116">
        <v>6907794633</v>
      </c>
      <c r="AO177" s="2112">
        <v>-46429700551</v>
      </c>
      <c r="AP177" s="2117">
        <v>838967975</v>
      </c>
      <c r="AQ177" s="2118">
        <v>287864410</v>
      </c>
      <c r="AR177" s="2118">
        <v>2944048</v>
      </c>
      <c r="AS177" s="2118">
        <v>0</v>
      </c>
      <c r="AT177" s="2118">
        <v>0</v>
      </c>
      <c r="AU177" s="2118">
        <v>440594146</v>
      </c>
      <c r="AV177" s="2118">
        <v>1960476</v>
      </c>
      <c r="AW177" s="2118">
        <v>0</v>
      </c>
      <c r="AX177" s="2118">
        <v>6769234</v>
      </c>
      <c r="AY177" s="2118">
        <v>12471205</v>
      </c>
      <c r="AZ177" s="2118">
        <v>5394287</v>
      </c>
      <c r="BA177" s="2118">
        <v>41414792</v>
      </c>
      <c r="BB177" s="2118">
        <v>222208</v>
      </c>
      <c r="BC177" s="2118">
        <v>39333169</v>
      </c>
      <c r="BD177" s="2112">
        <v>-47268668526</v>
      </c>
      <c r="BE177" s="2119">
        <v>138696742</v>
      </c>
      <c r="BF177" s="2120">
        <v>137354742</v>
      </c>
      <c r="BG177" s="2120">
        <v>1342000</v>
      </c>
      <c r="BH177" s="2120">
        <v>0</v>
      </c>
      <c r="BI177" s="2120">
        <v>0</v>
      </c>
      <c r="BJ177" s="2120">
        <v>0</v>
      </c>
      <c r="BK177" s="2120">
        <v>0</v>
      </c>
      <c r="BL177" s="2120">
        <v>0</v>
      </c>
      <c r="BM177" s="2121">
        <v>294459947</v>
      </c>
      <c r="BN177" s="2122">
        <v>166418996</v>
      </c>
      <c r="BO177" s="2122">
        <v>9467088</v>
      </c>
      <c r="BP177" s="2122">
        <v>0</v>
      </c>
      <c r="BQ177" s="2122">
        <v>0</v>
      </c>
      <c r="BR177" s="2122">
        <v>0</v>
      </c>
      <c r="BS177" s="2122">
        <v>118573863</v>
      </c>
      <c r="BT177" s="2122">
        <v>0</v>
      </c>
      <c r="BU177" s="2112">
        <v>-47424431731</v>
      </c>
      <c r="BW177" s="255">
        <f>SUM(G177:L177)</f>
        <v>0</v>
      </c>
      <c r="BX177" s="255">
        <f>N177</f>
        <v>85892175</v>
      </c>
      <c r="BY177" s="255">
        <f>SUM(AE177:AK177)</f>
        <v>0</v>
      </c>
      <c r="BZ177" s="2352">
        <f t="shared" ref="BZ177" si="33">BY177+BX177</f>
        <v>85892175</v>
      </c>
      <c r="CA177" s="2352">
        <f>AL177+AN177</f>
        <v>7548962034</v>
      </c>
      <c r="CB177" s="255">
        <f>SUM(W177,X177)</f>
        <v>11959180426</v>
      </c>
      <c r="CC177" s="255">
        <f>SUM(AA177:AB177)</f>
        <v>3356182140</v>
      </c>
      <c r="CD177" s="255">
        <f>AQ177</f>
        <v>287864410</v>
      </c>
      <c r="CE177" s="255"/>
      <c r="CF177" s="255"/>
      <c r="CG177" s="255"/>
    </row>
    <row r="178" spans="1:85">
      <c r="A178" s="110" t="s">
        <v>61</v>
      </c>
      <c r="B178" s="2123" t="s">
        <v>299</v>
      </c>
      <c r="C178" s="2123" t="s">
        <v>244</v>
      </c>
      <c r="D178" s="2123">
        <v>130519176</v>
      </c>
      <c r="E178" s="2124">
        <v>65454036650</v>
      </c>
      <c r="F178" s="2125">
        <v>65454036650</v>
      </c>
      <c r="G178" s="2125">
        <v>0</v>
      </c>
      <c r="H178" s="2125">
        <v>0</v>
      </c>
      <c r="I178" s="2125">
        <v>0</v>
      </c>
      <c r="J178" s="2125">
        <v>0</v>
      </c>
      <c r="K178" s="2125">
        <v>0</v>
      </c>
      <c r="L178" s="2125">
        <v>0</v>
      </c>
      <c r="M178" s="2126">
        <v>23384098447</v>
      </c>
      <c r="N178" s="2127">
        <v>0</v>
      </c>
      <c r="O178" s="2127">
        <v>0</v>
      </c>
      <c r="P178" s="2127">
        <v>22952</v>
      </c>
      <c r="Q178" s="2127">
        <v>0</v>
      </c>
      <c r="R178" s="2127">
        <v>6466083005</v>
      </c>
      <c r="S178" s="2127">
        <v>0</v>
      </c>
      <c r="T178" s="2127">
        <v>659562597</v>
      </c>
      <c r="U178" s="2127">
        <v>0</v>
      </c>
      <c r="V178" s="2127">
        <v>8507784278</v>
      </c>
      <c r="W178" s="2127">
        <v>564702338</v>
      </c>
      <c r="X178" s="2127">
        <v>2035760020</v>
      </c>
      <c r="Y178" s="2127">
        <v>7676835</v>
      </c>
      <c r="Z178" s="2127">
        <v>1249384880</v>
      </c>
      <c r="AA178" s="2127">
        <v>0</v>
      </c>
      <c r="AB178" s="2127">
        <v>1787378581</v>
      </c>
      <c r="AC178" s="2127">
        <v>193382894</v>
      </c>
      <c r="AD178" s="2127">
        <v>1911888561</v>
      </c>
      <c r="AE178" s="2127">
        <v>0</v>
      </c>
      <c r="AF178" s="2127">
        <v>0</v>
      </c>
      <c r="AG178" s="2127">
        <v>0</v>
      </c>
      <c r="AH178" s="2127">
        <v>0</v>
      </c>
      <c r="AI178" s="2127">
        <v>0</v>
      </c>
      <c r="AJ178" s="2127">
        <v>0</v>
      </c>
      <c r="AK178" s="2127">
        <v>0</v>
      </c>
      <c r="AL178" s="2127">
        <v>0</v>
      </c>
      <c r="AM178" s="2127">
        <v>0</v>
      </c>
      <c r="AN178" s="2127">
        <v>471506</v>
      </c>
      <c r="AO178" s="2123">
        <v>42069938203</v>
      </c>
      <c r="AP178" s="2128">
        <v>6874254338</v>
      </c>
      <c r="AQ178" s="2129">
        <v>6679354870</v>
      </c>
      <c r="AR178" s="2129">
        <v>135985</v>
      </c>
      <c r="AS178" s="2129">
        <v>0</v>
      </c>
      <c r="AT178" s="2129">
        <v>0</v>
      </c>
      <c r="AU178" s="2129">
        <v>181308685</v>
      </c>
      <c r="AV178" s="2129">
        <v>0</v>
      </c>
      <c r="AW178" s="2129">
        <v>0</v>
      </c>
      <c r="AX178" s="2129">
        <v>1453612</v>
      </c>
      <c r="AY178" s="2129">
        <v>0</v>
      </c>
      <c r="AZ178" s="2129">
        <v>0</v>
      </c>
      <c r="BA178" s="2129">
        <v>104002</v>
      </c>
      <c r="BB178" s="2129">
        <v>0</v>
      </c>
      <c r="BC178" s="2129">
        <v>11897184</v>
      </c>
      <c r="BD178" s="2123">
        <v>35195683865</v>
      </c>
      <c r="BE178" s="2130">
        <v>0</v>
      </c>
      <c r="BF178" s="2131">
        <v>0</v>
      </c>
      <c r="BG178" s="2131">
        <v>0</v>
      </c>
      <c r="BH178" s="2131">
        <v>0</v>
      </c>
      <c r="BI178" s="2131">
        <v>0</v>
      </c>
      <c r="BJ178" s="2131">
        <v>0</v>
      </c>
      <c r="BK178" s="2131">
        <v>0</v>
      </c>
      <c r="BL178" s="2131">
        <v>0</v>
      </c>
      <c r="BM178" s="2132">
        <v>0</v>
      </c>
      <c r="BN178" s="2133">
        <v>0</v>
      </c>
      <c r="BO178" s="2133">
        <v>0</v>
      </c>
      <c r="BP178" s="2133">
        <v>0</v>
      </c>
      <c r="BQ178" s="2133">
        <v>0</v>
      </c>
      <c r="BR178" s="2133">
        <v>0</v>
      </c>
      <c r="BS178" s="2133">
        <v>0</v>
      </c>
      <c r="BT178" s="2133">
        <v>0</v>
      </c>
      <c r="BU178" s="2123">
        <v>35195683865</v>
      </c>
      <c r="BW178" s="255">
        <f t="shared" ref="BW178:BW196" si="34">SUM(G178:L178)</f>
        <v>0</v>
      </c>
      <c r="BX178" s="255">
        <f t="shared" ref="BX178:BX196" si="35">N178</f>
        <v>0</v>
      </c>
      <c r="BY178" s="255">
        <f t="shared" ref="BY178:BY197" si="36">SUM(AE178:AK178)</f>
        <v>0</v>
      </c>
      <c r="BZ178" s="2352">
        <f t="shared" ref="BZ178:BZ197" si="37">BY178+BX178</f>
        <v>0</v>
      </c>
      <c r="CA178" s="2352">
        <f t="shared" ref="CA178:CA197" si="38">AL178+AN178</f>
        <v>471506</v>
      </c>
      <c r="CB178" s="255">
        <f t="shared" ref="CB178:CB196" si="39">SUM(W178,X178)</f>
        <v>2600462358</v>
      </c>
      <c r="CC178" s="255">
        <f t="shared" ref="CC178:CC196" si="40">SUM(AA178:AB178)</f>
        <v>1787378581</v>
      </c>
      <c r="CD178" s="255">
        <f t="shared" ref="CD178:CD196" si="41">AQ178</f>
        <v>6679354870</v>
      </c>
      <c r="CE178" s="255"/>
      <c r="CF178" s="255"/>
      <c r="CG178" s="255"/>
    </row>
    <row r="179" spans="1:85">
      <c r="A179" s="110" t="s">
        <v>61</v>
      </c>
      <c r="B179" s="2123" t="s">
        <v>300</v>
      </c>
      <c r="C179" s="2123" t="s">
        <v>246</v>
      </c>
      <c r="D179" s="2123">
        <v>8603.4</v>
      </c>
      <c r="E179" s="2124">
        <v>1879594300</v>
      </c>
      <c r="F179" s="2125">
        <v>1879594300</v>
      </c>
      <c r="G179" s="2125">
        <v>0</v>
      </c>
      <c r="H179" s="2125">
        <v>0</v>
      </c>
      <c r="I179" s="2125">
        <v>0</v>
      </c>
      <c r="J179" s="2125">
        <v>0</v>
      </c>
      <c r="K179" s="2125">
        <v>0</v>
      </c>
      <c r="L179" s="2125">
        <v>0</v>
      </c>
      <c r="M179" s="2126">
        <v>1075689540</v>
      </c>
      <c r="N179" s="2127">
        <v>0</v>
      </c>
      <c r="O179" s="2127">
        <v>110175715</v>
      </c>
      <c r="P179" s="2127">
        <v>-297</v>
      </c>
      <c r="Q179" s="2127">
        <v>0</v>
      </c>
      <c r="R179" s="2127">
        <v>179683755</v>
      </c>
      <c r="S179" s="2127">
        <v>0</v>
      </c>
      <c r="T179" s="2127">
        <v>15232961</v>
      </c>
      <c r="U179" s="2127">
        <v>0</v>
      </c>
      <c r="V179" s="2127">
        <v>205547952</v>
      </c>
      <c r="W179" s="2127">
        <v>31619980</v>
      </c>
      <c r="X179" s="2127">
        <v>301181849</v>
      </c>
      <c r="Y179" s="2127">
        <v>0</v>
      </c>
      <c r="Z179" s="2127">
        <v>128425524</v>
      </c>
      <c r="AA179" s="2127">
        <v>0</v>
      </c>
      <c r="AB179" s="2127">
        <v>33191077</v>
      </c>
      <c r="AC179" s="2127">
        <v>8444592</v>
      </c>
      <c r="AD179" s="2127">
        <v>62186432</v>
      </c>
      <c r="AE179" s="2127">
        <v>0</v>
      </c>
      <c r="AF179" s="2127">
        <v>0</v>
      </c>
      <c r="AG179" s="2127">
        <v>0</v>
      </c>
      <c r="AH179" s="2127">
        <v>0</v>
      </c>
      <c r="AI179" s="2127">
        <v>0</v>
      </c>
      <c r="AJ179" s="2127">
        <v>0</v>
      </c>
      <c r="AK179" s="2127">
        <v>0</v>
      </c>
      <c r="AL179" s="2127">
        <v>0</v>
      </c>
      <c r="AM179" s="2127">
        <v>0</v>
      </c>
      <c r="AN179" s="2127">
        <v>0</v>
      </c>
      <c r="AO179" s="2123">
        <v>803904760</v>
      </c>
      <c r="AP179" s="2128">
        <v>166032723</v>
      </c>
      <c r="AQ179" s="2129">
        <v>0</v>
      </c>
      <c r="AR179" s="2129">
        <v>0</v>
      </c>
      <c r="AS179" s="2129">
        <v>0</v>
      </c>
      <c r="AT179" s="2129">
        <v>0</v>
      </c>
      <c r="AU179" s="2129">
        <v>153294489</v>
      </c>
      <c r="AV179" s="2129">
        <v>0</v>
      </c>
      <c r="AW179" s="2129">
        <v>0</v>
      </c>
      <c r="AX179" s="2129">
        <v>1439688</v>
      </c>
      <c r="AY179" s="2129">
        <v>0</v>
      </c>
      <c r="AZ179" s="2129">
        <v>0</v>
      </c>
      <c r="BA179" s="2129">
        <v>424698</v>
      </c>
      <c r="BB179" s="2129">
        <v>0</v>
      </c>
      <c r="BC179" s="2129">
        <v>10873848</v>
      </c>
      <c r="BD179" s="2123">
        <v>637872037</v>
      </c>
      <c r="BE179" s="2130">
        <v>0</v>
      </c>
      <c r="BF179" s="2131">
        <v>0</v>
      </c>
      <c r="BG179" s="2131">
        <v>0</v>
      </c>
      <c r="BH179" s="2131">
        <v>0</v>
      </c>
      <c r="BI179" s="2131">
        <v>0</v>
      </c>
      <c r="BJ179" s="2131">
        <v>0</v>
      </c>
      <c r="BK179" s="2131">
        <v>0</v>
      </c>
      <c r="BL179" s="2131">
        <v>0</v>
      </c>
      <c r="BM179" s="2132">
        <v>0</v>
      </c>
      <c r="BN179" s="2133">
        <v>0</v>
      </c>
      <c r="BO179" s="2133">
        <v>0</v>
      </c>
      <c r="BP179" s="2133">
        <v>0</v>
      </c>
      <c r="BQ179" s="2133">
        <v>0</v>
      </c>
      <c r="BR179" s="2133">
        <v>0</v>
      </c>
      <c r="BS179" s="2133">
        <v>0</v>
      </c>
      <c r="BT179" s="2133">
        <v>0</v>
      </c>
      <c r="BU179" s="2123">
        <v>637872037</v>
      </c>
      <c r="BW179" s="255">
        <f t="shared" si="34"/>
        <v>0</v>
      </c>
      <c r="BX179" s="255">
        <f t="shared" si="35"/>
        <v>0</v>
      </c>
      <c r="BY179" s="255">
        <f t="shared" si="36"/>
        <v>0</v>
      </c>
      <c r="BZ179" s="255">
        <f t="shared" si="37"/>
        <v>0</v>
      </c>
      <c r="CA179" s="255">
        <f t="shared" si="38"/>
        <v>0</v>
      </c>
      <c r="CB179" s="255">
        <f t="shared" si="39"/>
        <v>332801829</v>
      </c>
      <c r="CC179" s="255">
        <f t="shared" si="40"/>
        <v>33191077</v>
      </c>
      <c r="CD179" s="255">
        <f t="shared" si="41"/>
        <v>0</v>
      </c>
      <c r="CE179" s="255"/>
      <c r="CF179" s="255"/>
      <c r="CG179" s="255"/>
    </row>
    <row r="180" spans="1:85">
      <c r="A180" s="110" t="s">
        <v>61</v>
      </c>
      <c r="B180" s="2123" t="s">
        <v>301</v>
      </c>
      <c r="C180" s="2123" t="s">
        <v>246</v>
      </c>
      <c r="D180" s="2123">
        <v>114005.58</v>
      </c>
      <c r="E180" s="2124">
        <v>912072000</v>
      </c>
      <c r="F180" s="2125">
        <v>912072000</v>
      </c>
      <c r="G180" s="2125">
        <v>0</v>
      </c>
      <c r="H180" s="2125">
        <v>0</v>
      </c>
      <c r="I180" s="2125">
        <v>0</v>
      </c>
      <c r="J180" s="2125">
        <v>0</v>
      </c>
      <c r="K180" s="2125">
        <v>0</v>
      </c>
      <c r="L180" s="2125">
        <v>0</v>
      </c>
      <c r="M180" s="2126">
        <v>4880980007</v>
      </c>
      <c r="N180" s="2127">
        <v>0</v>
      </c>
      <c r="O180" s="2127">
        <v>1988414746</v>
      </c>
      <c r="P180" s="2127">
        <v>-18120</v>
      </c>
      <c r="Q180" s="2127">
        <v>0</v>
      </c>
      <c r="R180" s="2127">
        <v>580497479</v>
      </c>
      <c r="S180" s="2127">
        <v>0</v>
      </c>
      <c r="T180" s="2127">
        <v>45078650</v>
      </c>
      <c r="U180" s="2127">
        <v>0</v>
      </c>
      <c r="V180" s="2127">
        <v>338330606</v>
      </c>
      <c r="W180" s="2127">
        <v>47240510</v>
      </c>
      <c r="X180" s="2127">
        <v>266192651</v>
      </c>
      <c r="Y180" s="2127">
        <v>0</v>
      </c>
      <c r="Z180" s="2127">
        <v>520785943</v>
      </c>
      <c r="AA180" s="2127">
        <v>0</v>
      </c>
      <c r="AB180" s="2127">
        <v>223160891</v>
      </c>
      <c r="AC180" s="2127">
        <v>7955819</v>
      </c>
      <c r="AD180" s="2127">
        <v>879439354</v>
      </c>
      <c r="AE180" s="2127">
        <v>0</v>
      </c>
      <c r="AF180" s="2127">
        <v>0</v>
      </c>
      <c r="AG180" s="2127">
        <v>0</v>
      </c>
      <c r="AH180" s="2127">
        <v>0</v>
      </c>
      <c r="AI180" s="2127">
        <v>0</v>
      </c>
      <c r="AJ180" s="2127">
        <v>0</v>
      </c>
      <c r="AK180" s="2127">
        <v>0</v>
      </c>
      <c r="AL180" s="2127">
        <v>-16098522</v>
      </c>
      <c r="AM180" s="2127">
        <v>0</v>
      </c>
      <c r="AN180" s="2127">
        <v>0</v>
      </c>
      <c r="AO180" s="2123">
        <v>-3968908007</v>
      </c>
      <c r="AP180" s="2128">
        <v>151936787</v>
      </c>
      <c r="AQ180" s="2129">
        <v>118497600</v>
      </c>
      <c r="AR180" s="2129">
        <v>0</v>
      </c>
      <c r="AS180" s="2129">
        <v>0</v>
      </c>
      <c r="AT180" s="2129">
        <v>0</v>
      </c>
      <c r="AU180" s="2129">
        <v>30922095</v>
      </c>
      <c r="AV180" s="2129">
        <v>0</v>
      </c>
      <c r="AW180" s="2129">
        <v>0</v>
      </c>
      <c r="AX180" s="2129">
        <v>659688</v>
      </c>
      <c r="AY180" s="2129">
        <v>0</v>
      </c>
      <c r="AZ180" s="2129">
        <v>0</v>
      </c>
      <c r="BA180" s="2129">
        <v>21521</v>
      </c>
      <c r="BB180" s="2129">
        <v>0</v>
      </c>
      <c r="BC180" s="2129">
        <v>1835883</v>
      </c>
      <c r="BD180" s="2123">
        <v>-4120844794</v>
      </c>
      <c r="BE180" s="2130">
        <v>0</v>
      </c>
      <c r="BF180" s="2131">
        <v>0</v>
      </c>
      <c r="BG180" s="2131">
        <v>0</v>
      </c>
      <c r="BH180" s="2131">
        <v>0</v>
      </c>
      <c r="BI180" s="2131">
        <v>0</v>
      </c>
      <c r="BJ180" s="2131">
        <v>0</v>
      </c>
      <c r="BK180" s="2131">
        <v>0</v>
      </c>
      <c r="BL180" s="2131">
        <v>0</v>
      </c>
      <c r="BM180" s="2132">
        <v>0</v>
      </c>
      <c r="BN180" s="2133">
        <v>0</v>
      </c>
      <c r="BO180" s="2133">
        <v>0</v>
      </c>
      <c r="BP180" s="2133">
        <v>0</v>
      </c>
      <c r="BQ180" s="2133">
        <v>0</v>
      </c>
      <c r="BR180" s="2133">
        <v>0</v>
      </c>
      <c r="BS180" s="2133">
        <v>0</v>
      </c>
      <c r="BT180" s="2133">
        <v>0</v>
      </c>
      <c r="BU180" s="2123">
        <v>-4120844794</v>
      </c>
      <c r="BW180" s="255">
        <f t="shared" si="34"/>
        <v>0</v>
      </c>
      <c r="BX180" s="255">
        <f t="shared" si="35"/>
        <v>0</v>
      </c>
      <c r="BY180" s="255">
        <f t="shared" si="36"/>
        <v>0</v>
      </c>
      <c r="BZ180" s="255">
        <f t="shared" si="37"/>
        <v>0</v>
      </c>
      <c r="CA180" s="255">
        <f t="shared" si="38"/>
        <v>-16098522</v>
      </c>
      <c r="CB180" s="255">
        <f t="shared" si="39"/>
        <v>313433161</v>
      </c>
      <c r="CC180" s="255">
        <f t="shared" si="40"/>
        <v>223160891</v>
      </c>
      <c r="CD180" s="255">
        <f t="shared" si="41"/>
        <v>118497600</v>
      </c>
      <c r="CE180" s="255"/>
      <c r="CF180" s="255"/>
      <c r="CG180" s="255"/>
    </row>
    <row r="181" spans="1:85">
      <c r="A181" s="110" t="s">
        <v>61</v>
      </c>
      <c r="B181" s="2123" t="s">
        <v>302</v>
      </c>
      <c r="C181" s="2123" t="s">
        <v>5586</v>
      </c>
      <c r="D181" s="2123">
        <v>4675.2550000000001</v>
      </c>
      <c r="E181" s="2124">
        <v>13284762438</v>
      </c>
      <c r="F181" s="2125">
        <v>13284762438</v>
      </c>
      <c r="G181" s="2125">
        <v>0</v>
      </c>
      <c r="H181" s="2125">
        <v>0</v>
      </c>
      <c r="I181" s="2125">
        <v>0</v>
      </c>
      <c r="J181" s="2125">
        <v>0</v>
      </c>
      <c r="K181" s="2125">
        <v>0</v>
      </c>
      <c r="L181" s="2125">
        <v>0</v>
      </c>
      <c r="M181" s="2126">
        <v>4885090466</v>
      </c>
      <c r="N181" s="2127">
        <v>965107683</v>
      </c>
      <c r="O181" s="2127">
        <v>0</v>
      </c>
      <c r="P181" s="2127">
        <v>0</v>
      </c>
      <c r="Q181" s="2127">
        <v>0</v>
      </c>
      <c r="R181" s="2127">
        <v>1137844059</v>
      </c>
      <c r="S181" s="2127">
        <v>0</v>
      </c>
      <c r="T181" s="2127">
        <v>112219339</v>
      </c>
      <c r="U181" s="2127">
        <v>0</v>
      </c>
      <c r="V181" s="2127">
        <v>834659697</v>
      </c>
      <c r="W181" s="2127">
        <v>19960922</v>
      </c>
      <c r="X181" s="2127">
        <v>874856116</v>
      </c>
      <c r="Y181" s="2127">
        <v>114989146</v>
      </c>
      <c r="Z181" s="2127">
        <v>327311023</v>
      </c>
      <c r="AA181" s="2127">
        <v>0</v>
      </c>
      <c r="AB181" s="2127">
        <v>139661416</v>
      </c>
      <c r="AC181" s="2127">
        <v>346514</v>
      </c>
      <c r="AD181" s="2127">
        <v>231311629</v>
      </c>
      <c r="AE181" s="2127">
        <v>0</v>
      </c>
      <c r="AF181" s="2127">
        <v>-50399924</v>
      </c>
      <c r="AG181" s="2127">
        <v>0</v>
      </c>
      <c r="AH181" s="2127">
        <v>0</v>
      </c>
      <c r="AI181" s="2127">
        <v>0</v>
      </c>
      <c r="AJ181" s="2127">
        <v>0</v>
      </c>
      <c r="AK181" s="2127">
        <v>0</v>
      </c>
      <c r="AL181" s="2127">
        <v>0</v>
      </c>
      <c r="AM181" s="2127">
        <v>0</v>
      </c>
      <c r="AN181" s="2127">
        <v>177222846</v>
      </c>
      <c r="AO181" s="2123">
        <v>8399671972</v>
      </c>
      <c r="AP181" s="2128">
        <v>91883374</v>
      </c>
      <c r="AQ181" s="2129">
        <v>84256570</v>
      </c>
      <c r="AR181" s="2129">
        <v>1483126</v>
      </c>
      <c r="AS181" s="2129">
        <v>0</v>
      </c>
      <c r="AT181" s="2129">
        <v>0</v>
      </c>
      <c r="AU181" s="2129">
        <v>719483</v>
      </c>
      <c r="AV181" s="2129">
        <v>0</v>
      </c>
      <c r="AW181" s="2129">
        <v>0</v>
      </c>
      <c r="AX181" s="2129">
        <v>3176</v>
      </c>
      <c r="AY181" s="2129">
        <v>0</v>
      </c>
      <c r="AZ181" s="2129">
        <v>0</v>
      </c>
      <c r="BA181" s="2129">
        <v>5316112</v>
      </c>
      <c r="BB181" s="2129">
        <v>0</v>
      </c>
      <c r="BC181" s="2129">
        <v>104907</v>
      </c>
      <c r="BD181" s="2123">
        <v>8307788598</v>
      </c>
      <c r="BE181" s="2130">
        <v>0</v>
      </c>
      <c r="BF181" s="2131">
        <v>0</v>
      </c>
      <c r="BG181" s="2131">
        <v>0</v>
      </c>
      <c r="BH181" s="2131">
        <v>0</v>
      </c>
      <c r="BI181" s="2131">
        <v>0</v>
      </c>
      <c r="BJ181" s="2131">
        <v>0</v>
      </c>
      <c r="BK181" s="2131">
        <v>0</v>
      </c>
      <c r="BL181" s="2131">
        <v>0</v>
      </c>
      <c r="BM181" s="2132">
        <v>0</v>
      </c>
      <c r="BN181" s="2133">
        <v>0</v>
      </c>
      <c r="BO181" s="2133">
        <v>0</v>
      </c>
      <c r="BP181" s="2133">
        <v>0</v>
      </c>
      <c r="BQ181" s="2133">
        <v>0</v>
      </c>
      <c r="BR181" s="2133">
        <v>0</v>
      </c>
      <c r="BS181" s="2133">
        <v>0</v>
      </c>
      <c r="BT181" s="2133">
        <v>0</v>
      </c>
      <c r="BU181" s="2123">
        <v>8307788598</v>
      </c>
      <c r="BW181" s="255">
        <f t="shared" si="34"/>
        <v>0</v>
      </c>
      <c r="BX181" s="255">
        <f t="shared" si="35"/>
        <v>965107683</v>
      </c>
      <c r="BY181" s="255">
        <f t="shared" si="36"/>
        <v>-50399924</v>
      </c>
      <c r="BZ181" s="2352">
        <f t="shared" si="37"/>
        <v>914707759</v>
      </c>
      <c r="CA181" s="2352">
        <f t="shared" si="38"/>
        <v>177222846</v>
      </c>
      <c r="CB181" s="255">
        <f t="shared" si="39"/>
        <v>894817038</v>
      </c>
      <c r="CC181" s="255">
        <f t="shared" si="40"/>
        <v>139661416</v>
      </c>
      <c r="CD181" s="255">
        <f t="shared" si="41"/>
        <v>84256570</v>
      </c>
      <c r="CE181" s="255"/>
      <c r="CF181" s="255"/>
      <c r="CG181" s="255"/>
    </row>
    <row r="182" spans="1:85">
      <c r="A182" s="110" t="s">
        <v>61</v>
      </c>
      <c r="B182" s="2123" t="s">
        <v>303</v>
      </c>
      <c r="C182" s="2123" t="s">
        <v>252</v>
      </c>
      <c r="D182" s="2123">
        <v>481577</v>
      </c>
      <c r="E182" s="2124">
        <v>14141527991</v>
      </c>
      <c r="F182" s="2125">
        <v>14141527991</v>
      </c>
      <c r="G182" s="2125">
        <v>0</v>
      </c>
      <c r="H182" s="2125">
        <v>0</v>
      </c>
      <c r="I182" s="2125">
        <v>0</v>
      </c>
      <c r="J182" s="2125">
        <v>0</v>
      </c>
      <c r="K182" s="2125">
        <v>0</v>
      </c>
      <c r="L182" s="2125">
        <v>0</v>
      </c>
      <c r="M182" s="2126">
        <v>7242705230</v>
      </c>
      <c r="N182" s="2127">
        <v>0</v>
      </c>
      <c r="O182" s="2127">
        <v>0</v>
      </c>
      <c r="P182" s="2127">
        <v>-8485</v>
      </c>
      <c r="Q182" s="2127">
        <v>0</v>
      </c>
      <c r="R182" s="2127">
        <v>158567386</v>
      </c>
      <c r="S182" s="2127">
        <v>0</v>
      </c>
      <c r="T182" s="2127">
        <v>13977325</v>
      </c>
      <c r="U182" s="2127">
        <v>0</v>
      </c>
      <c r="V182" s="2127">
        <v>1074717535</v>
      </c>
      <c r="W182" s="2127">
        <v>0</v>
      </c>
      <c r="X182" s="2127">
        <v>5669216132</v>
      </c>
      <c r="Y182" s="2127">
        <v>0</v>
      </c>
      <c r="Z182" s="2127">
        <v>131036464</v>
      </c>
      <c r="AA182" s="2127">
        <v>0</v>
      </c>
      <c r="AB182" s="2127">
        <v>3132688</v>
      </c>
      <c r="AC182" s="2127">
        <v>0</v>
      </c>
      <c r="AD182" s="2127">
        <v>192066185</v>
      </c>
      <c r="AE182" s="2127">
        <v>0</v>
      </c>
      <c r="AF182" s="2127">
        <v>0</v>
      </c>
      <c r="AG182" s="2127">
        <v>0</v>
      </c>
      <c r="AH182" s="2127">
        <v>0</v>
      </c>
      <c r="AI182" s="2127">
        <v>0</v>
      </c>
      <c r="AJ182" s="2127">
        <v>0</v>
      </c>
      <c r="AK182" s="2127">
        <v>0</v>
      </c>
      <c r="AL182" s="2127">
        <v>0</v>
      </c>
      <c r="AM182" s="2127">
        <v>0</v>
      </c>
      <c r="AN182" s="2127">
        <v>0</v>
      </c>
      <c r="AO182" s="2123">
        <v>6898822761</v>
      </c>
      <c r="AP182" s="2128">
        <v>160723348</v>
      </c>
      <c r="AQ182" s="2129">
        <v>0</v>
      </c>
      <c r="AR182" s="2129">
        <v>0</v>
      </c>
      <c r="AS182" s="2129">
        <v>0</v>
      </c>
      <c r="AT182" s="2129">
        <v>0</v>
      </c>
      <c r="AU182" s="2129">
        <v>150302346</v>
      </c>
      <c r="AV182" s="2129">
        <v>0</v>
      </c>
      <c r="AW182" s="2129">
        <v>0</v>
      </c>
      <c r="AX182" s="2129">
        <v>5518252</v>
      </c>
      <c r="AY182" s="2129">
        <v>0</v>
      </c>
      <c r="AZ182" s="2129">
        <v>0</v>
      </c>
      <c r="BA182" s="2129">
        <v>83990</v>
      </c>
      <c r="BB182" s="2129">
        <v>0</v>
      </c>
      <c r="BC182" s="2129">
        <v>4818760</v>
      </c>
      <c r="BD182" s="2123">
        <v>6738099413</v>
      </c>
      <c r="BE182" s="2130">
        <v>0</v>
      </c>
      <c r="BF182" s="2131">
        <v>0</v>
      </c>
      <c r="BG182" s="2131">
        <v>0</v>
      </c>
      <c r="BH182" s="2131">
        <v>0</v>
      </c>
      <c r="BI182" s="2131">
        <v>0</v>
      </c>
      <c r="BJ182" s="2131">
        <v>0</v>
      </c>
      <c r="BK182" s="2131">
        <v>0</v>
      </c>
      <c r="BL182" s="2131">
        <v>0</v>
      </c>
      <c r="BM182" s="2132">
        <v>0</v>
      </c>
      <c r="BN182" s="2133">
        <v>0</v>
      </c>
      <c r="BO182" s="2133">
        <v>0</v>
      </c>
      <c r="BP182" s="2133">
        <v>0</v>
      </c>
      <c r="BQ182" s="2133">
        <v>0</v>
      </c>
      <c r="BR182" s="2133">
        <v>0</v>
      </c>
      <c r="BS182" s="2133">
        <v>0</v>
      </c>
      <c r="BT182" s="2133">
        <v>0</v>
      </c>
      <c r="BU182" s="2123">
        <v>6738099413</v>
      </c>
      <c r="BW182" s="255">
        <f t="shared" si="34"/>
        <v>0</v>
      </c>
      <c r="BX182" s="255">
        <f t="shared" si="35"/>
        <v>0</v>
      </c>
      <c r="BY182" s="255">
        <f t="shared" si="36"/>
        <v>0</v>
      </c>
      <c r="BZ182" s="255">
        <f t="shared" si="37"/>
        <v>0</v>
      </c>
      <c r="CA182" s="255">
        <f t="shared" si="38"/>
        <v>0</v>
      </c>
      <c r="CB182" s="255">
        <f t="shared" si="39"/>
        <v>5669216132</v>
      </c>
      <c r="CC182" s="255">
        <f t="shared" si="40"/>
        <v>3132688</v>
      </c>
      <c r="CD182" s="255">
        <f t="shared" si="41"/>
        <v>0</v>
      </c>
      <c r="CE182" s="255"/>
      <c r="CF182" s="255"/>
      <c r="CG182" s="255"/>
    </row>
    <row r="183" spans="1:85">
      <c r="A183" s="110" t="s">
        <v>61</v>
      </c>
      <c r="B183" s="2123" t="s">
        <v>304</v>
      </c>
      <c r="C183" s="2123" t="s">
        <v>246</v>
      </c>
      <c r="D183" s="2123">
        <v>35710</v>
      </c>
      <c r="E183" s="2124">
        <v>2143666563</v>
      </c>
      <c r="F183" s="2125">
        <v>2143666563</v>
      </c>
      <c r="G183" s="2125">
        <v>0</v>
      </c>
      <c r="H183" s="2125">
        <v>0</v>
      </c>
      <c r="I183" s="2125">
        <v>0</v>
      </c>
      <c r="J183" s="2125">
        <v>0</v>
      </c>
      <c r="K183" s="2125">
        <v>0</v>
      </c>
      <c r="L183" s="2125">
        <v>0</v>
      </c>
      <c r="M183" s="2126">
        <v>966649470</v>
      </c>
      <c r="N183" s="2127">
        <v>0</v>
      </c>
      <c r="O183" s="2127">
        <v>0</v>
      </c>
      <c r="P183" s="2127">
        <v>3222</v>
      </c>
      <c r="Q183" s="2127">
        <v>0</v>
      </c>
      <c r="R183" s="2127">
        <v>251526380</v>
      </c>
      <c r="S183" s="2127">
        <v>0</v>
      </c>
      <c r="T183" s="2127">
        <v>22812584</v>
      </c>
      <c r="U183" s="2127">
        <v>0</v>
      </c>
      <c r="V183" s="2127">
        <v>239184237</v>
      </c>
      <c r="W183" s="2127">
        <v>15930530</v>
      </c>
      <c r="X183" s="2127">
        <v>26007266</v>
      </c>
      <c r="Y183" s="2127">
        <v>32711462</v>
      </c>
      <c r="Z183" s="2127">
        <v>38344364</v>
      </c>
      <c r="AA183" s="2127">
        <v>123012396</v>
      </c>
      <c r="AB183" s="2127">
        <v>115971310</v>
      </c>
      <c r="AC183" s="2127">
        <v>91057</v>
      </c>
      <c r="AD183" s="2127">
        <v>93587915</v>
      </c>
      <c r="AE183" s="2127">
        <v>0</v>
      </c>
      <c r="AF183" s="2127">
        <v>0</v>
      </c>
      <c r="AG183" s="2127">
        <v>0</v>
      </c>
      <c r="AH183" s="2127">
        <v>0</v>
      </c>
      <c r="AI183" s="2127">
        <v>0</v>
      </c>
      <c r="AJ183" s="2127">
        <v>0</v>
      </c>
      <c r="AK183" s="2127">
        <v>0</v>
      </c>
      <c r="AL183" s="2127">
        <v>0</v>
      </c>
      <c r="AM183" s="2127">
        <v>0</v>
      </c>
      <c r="AN183" s="2127">
        <v>7466747</v>
      </c>
      <c r="AO183" s="2123">
        <v>1177017093</v>
      </c>
      <c r="AP183" s="2128">
        <v>3414732</v>
      </c>
      <c r="AQ183" s="2129">
        <v>197327</v>
      </c>
      <c r="AR183" s="2129">
        <v>3019939</v>
      </c>
      <c r="AS183" s="2129">
        <v>0</v>
      </c>
      <c r="AT183" s="2129">
        <v>0</v>
      </c>
      <c r="AU183" s="2129">
        <v>163183</v>
      </c>
      <c r="AV183" s="2129">
        <v>0</v>
      </c>
      <c r="AW183" s="2129">
        <v>0</v>
      </c>
      <c r="AX183" s="2129">
        <v>245</v>
      </c>
      <c r="AY183" s="2129">
        <v>0</v>
      </c>
      <c r="AZ183" s="2129">
        <v>0</v>
      </c>
      <c r="BA183" s="2129">
        <v>53</v>
      </c>
      <c r="BB183" s="2129">
        <v>0</v>
      </c>
      <c r="BC183" s="2129">
        <v>33985</v>
      </c>
      <c r="BD183" s="2123">
        <v>1173602361</v>
      </c>
      <c r="BE183" s="2130">
        <v>0</v>
      </c>
      <c r="BF183" s="2131">
        <v>0</v>
      </c>
      <c r="BG183" s="2131">
        <v>0</v>
      </c>
      <c r="BH183" s="2131">
        <v>0</v>
      </c>
      <c r="BI183" s="2131">
        <v>0</v>
      </c>
      <c r="BJ183" s="2131">
        <v>0</v>
      </c>
      <c r="BK183" s="2131">
        <v>0</v>
      </c>
      <c r="BL183" s="2131">
        <v>0</v>
      </c>
      <c r="BM183" s="2132">
        <v>0</v>
      </c>
      <c r="BN183" s="2133">
        <v>0</v>
      </c>
      <c r="BO183" s="2133">
        <v>0</v>
      </c>
      <c r="BP183" s="2133">
        <v>0</v>
      </c>
      <c r="BQ183" s="2133">
        <v>0</v>
      </c>
      <c r="BR183" s="2133">
        <v>0</v>
      </c>
      <c r="BS183" s="2133">
        <v>0</v>
      </c>
      <c r="BT183" s="2133">
        <v>0</v>
      </c>
      <c r="BU183" s="2123">
        <v>1173602361</v>
      </c>
      <c r="BW183" s="255">
        <f t="shared" si="34"/>
        <v>0</v>
      </c>
      <c r="BX183" s="255">
        <f t="shared" si="35"/>
        <v>0</v>
      </c>
      <c r="BY183" s="255">
        <f t="shared" si="36"/>
        <v>0</v>
      </c>
      <c r="BZ183" s="255">
        <f t="shared" si="37"/>
        <v>0</v>
      </c>
      <c r="CA183" s="255">
        <f t="shared" si="38"/>
        <v>7466747</v>
      </c>
      <c r="CB183" s="255">
        <f t="shared" si="39"/>
        <v>41937796</v>
      </c>
      <c r="CC183" s="255">
        <f t="shared" si="40"/>
        <v>238983706</v>
      </c>
      <c r="CD183" s="255">
        <f t="shared" si="41"/>
        <v>197327</v>
      </c>
      <c r="CE183" s="255"/>
      <c r="CF183" s="255"/>
      <c r="CG183" s="255"/>
    </row>
    <row r="184" spans="1:85">
      <c r="A184" s="110" t="s">
        <v>61</v>
      </c>
      <c r="B184" s="2123" t="s">
        <v>305</v>
      </c>
      <c r="C184" s="2123" t="s">
        <v>246</v>
      </c>
      <c r="D184" s="2123">
        <v>116197</v>
      </c>
      <c r="E184" s="2124">
        <v>62572427</v>
      </c>
      <c r="F184" s="2125">
        <v>62572427</v>
      </c>
      <c r="G184" s="2125">
        <v>0</v>
      </c>
      <c r="H184" s="2125">
        <v>0</v>
      </c>
      <c r="I184" s="2125">
        <v>0</v>
      </c>
      <c r="J184" s="2125">
        <v>0</v>
      </c>
      <c r="K184" s="2125">
        <v>0</v>
      </c>
      <c r="L184" s="2125">
        <v>0</v>
      </c>
      <c r="M184" s="2126">
        <v>410690930</v>
      </c>
      <c r="N184" s="2127">
        <v>0</v>
      </c>
      <c r="O184" s="2127">
        <v>0</v>
      </c>
      <c r="P184" s="2127">
        <v>0</v>
      </c>
      <c r="Q184" s="2127">
        <v>0</v>
      </c>
      <c r="R184" s="2127">
        <v>30330116</v>
      </c>
      <c r="S184" s="2127">
        <v>0</v>
      </c>
      <c r="T184" s="2127">
        <v>3568458</v>
      </c>
      <c r="U184" s="2127">
        <v>0</v>
      </c>
      <c r="V184" s="2127">
        <v>165617833</v>
      </c>
      <c r="W184" s="2127">
        <v>0</v>
      </c>
      <c r="X184" s="2127">
        <v>3957879</v>
      </c>
      <c r="Y184" s="2127">
        <v>0</v>
      </c>
      <c r="Z184" s="2127">
        <v>738185</v>
      </c>
      <c r="AA184" s="2127">
        <v>0</v>
      </c>
      <c r="AB184" s="2127">
        <v>173931694</v>
      </c>
      <c r="AC184" s="2127">
        <v>0</v>
      </c>
      <c r="AD184" s="2127">
        <v>27177049</v>
      </c>
      <c r="AE184" s="2127">
        <v>0</v>
      </c>
      <c r="AF184" s="2127">
        <v>0</v>
      </c>
      <c r="AG184" s="2127">
        <v>0</v>
      </c>
      <c r="AH184" s="2127">
        <v>0</v>
      </c>
      <c r="AI184" s="2127">
        <v>0</v>
      </c>
      <c r="AJ184" s="2127">
        <v>0</v>
      </c>
      <c r="AK184" s="2127">
        <v>0</v>
      </c>
      <c r="AL184" s="2127">
        <v>0</v>
      </c>
      <c r="AM184" s="2127">
        <v>0</v>
      </c>
      <c r="AN184" s="2127">
        <v>5369716</v>
      </c>
      <c r="AO184" s="2123">
        <v>-348118503</v>
      </c>
      <c r="AP184" s="2128">
        <v>442895</v>
      </c>
      <c r="AQ184" s="2129">
        <v>0</v>
      </c>
      <c r="AR184" s="2129">
        <v>134540</v>
      </c>
      <c r="AS184" s="2129">
        <v>0</v>
      </c>
      <c r="AT184" s="2129">
        <v>0</v>
      </c>
      <c r="AU184" s="2129">
        <v>4465</v>
      </c>
      <c r="AV184" s="2129">
        <v>0</v>
      </c>
      <c r="AW184" s="2129">
        <v>0</v>
      </c>
      <c r="AX184" s="2129">
        <v>1</v>
      </c>
      <c r="AY184" s="2129">
        <v>0</v>
      </c>
      <c r="AZ184" s="2129">
        <v>0</v>
      </c>
      <c r="BA184" s="2129">
        <v>303815</v>
      </c>
      <c r="BB184" s="2129">
        <v>0</v>
      </c>
      <c r="BC184" s="2129">
        <v>74</v>
      </c>
      <c r="BD184" s="2123">
        <v>-348561398</v>
      </c>
      <c r="BE184" s="2130">
        <v>0</v>
      </c>
      <c r="BF184" s="2131">
        <v>0</v>
      </c>
      <c r="BG184" s="2131">
        <v>0</v>
      </c>
      <c r="BH184" s="2131">
        <v>0</v>
      </c>
      <c r="BI184" s="2131">
        <v>0</v>
      </c>
      <c r="BJ184" s="2131">
        <v>0</v>
      </c>
      <c r="BK184" s="2131">
        <v>0</v>
      </c>
      <c r="BL184" s="2131">
        <v>0</v>
      </c>
      <c r="BM184" s="2132">
        <v>0</v>
      </c>
      <c r="BN184" s="2133">
        <v>0</v>
      </c>
      <c r="BO184" s="2133">
        <v>0</v>
      </c>
      <c r="BP184" s="2133">
        <v>0</v>
      </c>
      <c r="BQ184" s="2133">
        <v>0</v>
      </c>
      <c r="BR184" s="2133">
        <v>0</v>
      </c>
      <c r="BS184" s="2133">
        <v>0</v>
      </c>
      <c r="BT184" s="2133">
        <v>0</v>
      </c>
      <c r="BU184" s="2123">
        <v>-348561398</v>
      </c>
      <c r="BW184" s="255">
        <f t="shared" si="34"/>
        <v>0</v>
      </c>
      <c r="BX184" s="255">
        <f t="shared" si="35"/>
        <v>0</v>
      </c>
      <c r="BY184" s="255">
        <f t="shared" si="36"/>
        <v>0</v>
      </c>
      <c r="BZ184" s="255">
        <f t="shared" si="37"/>
        <v>0</v>
      </c>
      <c r="CA184" s="255">
        <f t="shared" si="38"/>
        <v>5369716</v>
      </c>
      <c r="CB184" s="255">
        <f t="shared" si="39"/>
        <v>3957879</v>
      </c>
      <c r="CC184" s="255">
        <f t="shared" si="40"/>
        <v>173931694</v>
      </c>
      <c r="CD184" s="255">
        <f t="shared" si="41"/>
        <v>0</v>
      </c>
      <c r="CG184" s="255"/>
    </row>
    <row r="185" spans="1:85">
      <c r="A185" s="110" t="s">
        <v>61</v>
      </c>
      <c r="B185" s="2123" t="s">
        <v>306</v>
      </c>
      <c r="C185" s="2123" t="s">
        <v>246</v>
      </c>
      <c r="D185" s="2123">
        <v>27658</v>
      </c>
      <c r="E185" s="2124">
        <v>52592251</v>
      </c>
      <c r="F185" s="2125">
        <v>52592251</v>
      </c>
      <c r="G185" s="2125">
        <v>0</v>
      </c>
      <c r="H185" s="2125">
        <v>0</v>
      </c>
      <c r="I185" s="2125">
        <v>0</v>
      </c>
      <c r="J185" s="2125">
        <v>0</v>
      </c>
      <c r="K185" s="2125">
        <v>0</v>
      </c>
      <c r="L185" s="2125">
        <v>0</v>
      </c>
      <c r="M185" s="2126">
        <v>90375576</v>
      </c>
      <c r="N185" s="2127">
        <v>0</v>
      </c>
      <c r="O185" s="2127">
        <v>0</v>
      </c>
      <c r="P185" s="2127">
        <v>0</v>
      </c>
      <c r="Q185" s="2127">
        <v>0</v>
      </c>
      <c r="R185" s="2127">
        <v>12732327</v>
      </c>
      <c r="S185" s="2127">
        <v>0</v>
      </c>
      <c r="T185" s="2127">
        <v>1576383</v>
      </c>
      <c r="U185" s="2127">
        <v>0</v>
      </c>
      <c r="V185" s="2127">
        <v>34988898</v>
      </c>
      <c r="W185" s="2127">
        <v>0</v>
      </c>
      <c r="X185" s="2127">
        <v>638758</v>
      </c>
      <c r="Y185" s="2127">
        <v>0</v>
      </c>
      <c r="Z185" s="2127">
        <v>178666</v>
      </c>
      <c r="AA185" s="2127">
        <v>0</v>
      </c>
      <c r="AB185" s="2127">
        <v>33281238</v>
      </c>
      <c r="AC185" s="2127">
        <v>0</v>
      </c>
      <c r="AD185" s="2127">
        <v>5631743</v>
      </c>
      <c r="AE185" s="2127">
        <v>0</v>
      </c>
      <c r="AF185" s="2127">
        <v>0</v>
      </c>
      <c r="AG185" s="2127">
        <v>0</v>
      </c>
      <c r="AH185" s="2127">
        <v>0</v>
      </c>
      <c r="AI185" s="2127">
        <v>0</v>
      </c>
      <c r="AJ185" s="2127">
        <v>0</v>
      </c>
      <c r="AK185" s="2127">
        <v>0</v>
      </c>
      <c r="AL185" s="2127">
        <v>0</v>
      </c>
      <c r="AM185" s="2127">
        <v>0</v>
      </c>
      <c r="AN185" s="2127">
        <v>1347563</v>
      </c>
      <c r="AO185" s="2123">
        <v>-37783325</v>
      </c>
      <c r="AP185" s="2128">
        <v>116771</v>
      </c>
      <c r="AQ185" s="2129">
        <v>0</v>
      </c>
      <c r="AR185" s="2129">
        <v>99090</v>
      </c>
      <c r="AS185" s="2129">
        <v>0</v>
      </c>
      <c r="AT185" s="2129">
        <v>0</v>
      </c>
      <c r="AU185" s="2129">
        <v>7545</v>
      </c>
      <c r="AV185" s="2129">
        <v>0</v>
      </c>
      <c r="AW185" s="2129">
        <v>0</v>
      </c>
      <c r="AX185" s="2129">
        <v>1</v>
      </c>
      <c r="AY185" s="2129">
        <v>0</v>
      </c>
      <c r="AZ185" s="2129">
        <v>0</v>
      </c>
      <c r="BA185" s="2129">
        <v>10006</v>
      </c>
      <c r="BB185" s="2129">
        <v>0</v>
      </c>
      <c r="BC185" s="2129">
        <v>129</v>
      </c>
      <c r="BD185" s="2123">
        <v>-37900096</v>
      </c>
      <c r="BE185" s="2130">
        <v>0</v>
      </c>
      <c r="BF185" s="2131">
        <v>0</v>
      </c>
      <c r="BG185" s="2131">
        <v>0</v>
      </c>
      <c r="BH185" s="2131">
        <v>0</v>
      </c>
      <c r="BI185" s="2131">
        <v>0</v>
      </c>
      <c r="BJ185" s="2131">
        <v>0</v>
      </c>
      <c r="BK185" s="2131">
        <v>0</v>
      </c>
      <c r="BL185" s="2131">
        <v>0</v>
      </c>
      <c r="BM185" s="2132">
        <v>0</v>
      </c>
      <c r="BN185" s="2133">
        <v>0</v>
      </c>
      <c r="BO185" s="2133">
        <v>0</v>
      </c>
      <c r="BP185" s="2133">
        <v>0</v>
      </c>
      <c r="BQ185" s="2133">
        <v>0</v>
      </c>
      <c r="BR185" s="2133">
        <v>0</v>
      </c>
      <c r="BS185" s="2133">
        <v>0</v>
      </c>
      <c r="BT185" s="2133">
        <v>0</v>
      </c>
      <c r="BU185" s="2123">
        <v>-37900096</v>
      </c>
      <c r="BW185" s="255">
        <f t="shared" si="34"/>
        <v>0</v>
      </c>
      <c r="BX185" s="255">
        <f t="shared" si="35"/>
        <v>0</v>
      </c>
      <c r="BY185" s="255">
        <f t="shared" si="36"/>
        <v>0</v>
      </c>
      <c r="BZ185" s="255">
        <f t="shared" si="37"/>
        <v>0</v>
      </c>
      <c r="CA185" s="255">
        <f t="shared" si="38"/>
        <v>1347563</v>
      </c>
      <c r="CB185" s="255">
        <f t="shared" si="39"/>
        <v>638758</v>
      </c>
      <c r="CC185" s="255">
        <f t="shared" si="40"/>
        <v>33281238</v>
      </c>
      <c r="CD185" s="255">
        <f t="shared" si="41"/>
        <v>0</v>
      </c>
      <c r="CG185" s="255"/>
    </row>
    <row r="186" spans="1:85">
      <c r="A186" s="110" t="s">
        <v>61</v>
      </c>
      <c r="B186" s="2123" t="s">
        <v>307</v>
      </c>
      <c r="C186" s="2123" t="s">
        <v>258</v>
      </c>
      <c r="D186" s="2123">
        <v>642520.47100000002</v>
      </c>
      <c r="E186" s="2124">
        <v>4719730248699</v>
      </c>
      <c r="F186" s="2125">
        <v>4725183332480</v>
      </c>
      <c r="G186" s="2125">
        <v>34780313004</v>
      </c>
      <c r="H186" s="2125">
        <v>-43898697160</v>
      </c>
      <c r="I186" s="2125">
        <v>1114831385</v>
      </c>
      <c r="J186" s="2125">
        <v>609022631</v>
      </c>
      <c r="K186" s="2125">
        <v>1941446359</v>
      </c>
      <c r="L186" s="2125">
        <v>0</v>
      </c>
      <c r="M186" s="2126">
        <v>4605515342277</v>
      </c>
      <c r="N186" s="2127">
        <v>4186152109417</v>
      </c>
      <c r="O186" s="2127">
        <v>27478401761</v>
      </c>
      <c r="P186" s="2127">
        <v>-531452155</v>
      </c>
      <c r="Q186" s="2127">
        <v>0</v>
      </c>
      <c r="R186" s="2127">
        <v>45535604398</v>
      </c>
      <c r="S186" s="2127">
        <v>0</v>
      </c>
      <c r="T186" s="2127">
        <v>4344217200</v>
      </c>
      <c r="U186" s="2127">
        <v>0</v>
      </c>
      <c r="V186" s="2127">
        <v>37145524673</v>
      </c>
      <c r="W186" s="2127">
        <v>52141963643</v>
      </c>
      <c r="X186" s="2127">
        <v>11224832153</v>
      </c>
      <c r="Y186" s="2127">
        <v>7149774680</v>
      </c>
      <c r="Z186" s="2127">
        <v>22130355973</v>
      </c>
      <c r="AA186" s="2127">
        <v>3359430881</v>
      </c>
      <c r="AB186" s="2127">
        <v>12638238918</v>
      </c>
      <c r="AC186" s="2127">
        <v>3711274095</v>
      </c>
      <c r="AD186" s="2127">
        <v>31130159254</v>
      </c>
      <c r="AE186" s="2127">
        <v>35572823944</v>
      </c>
      <c r="AF186" s="2127">
        <v>119534714663</v>
      </c>
      <c r="AG186" s="2127">
        <v>0</v>
      </c>
      <c r="AH186" s="2127">
        <v>0</v>
      </c>
      <c r="AI186" s="2127">
        <v>0</v>
      </c>
      <c r="AJ186" s="2127">
        <v>0</v>
      </c>
      <c r="AK186" s="2127">
        <v>0</v>
      </c>
      <c r="AL186" s="2127">
        <v>2912950480</v>
      </c>
      <c r="AM186" s="2127">
        <v>0</v>
      </c>
      <c r="AN186" s="2127">
        <v>3884418299</v>
      </c>
      <c r="AO186" s="2123">
        <v>114214906422</v>
      </c>
      <c r="AP186" s="2128">
        <v>42845738302</v>
      </c>
      <c r="AQ186" s="2129">
        <v>878389512</v>
      </c>
      <c r="AR186" s="2129">
        <v>166254978</v>
      </c>
      <c r="AS186" s="2129">
        <v>0</v>
      </c>
      <c r="AT186" s="2129">
        <v>0</v>
      </c>
      <c r="AU186" s="2129">
        <v>18077356113</v>
      </c>
      <c r="AV186" s="2129">
        <v>574512646</v>
      </c>
      <c r="AW186" s="2129">
        <v>0</v>
      </c>
      <c r="AX186" s="2129">
        <v>74877564</v>
      </c>
      <c r="AY186" s="2129">
        <v>3814264904</v>
      </c>
      <c r="AZ186" s="2129">
        <v>1417129209</v>
      </c>
      <c r="BA186" s="2129">
        <v>12246083102</v>
      </c>
      <c r="BB186" s="2129">
        <v>28622819</v>
      </c>
      <c r="BC186" s="2129">
        <v>5568247455</v>
      </c>
      <c r="BD186" s="2123">
        <v>71369168120</v>
      </c>
      <c r="BE186" s="2130">
        <v>99736412667</v>
      </c>
      <c r="BF186" s="2131">
        <v>66472403292</v>
      </c>
      <c r="BG186" s="2131">
        <v>11752832267</v>
      </c>
      <c r="BH186" s="2131">
        <v>13784759924</v>
      </c>
      <c r="BI186" s="2131">
        <v>2695119847</v>
      </c>
      <c r="BJ186" s="2131">
        <v>7416097</v>
      </c>
      <c r="BK186" s="2131">
        <v>5023881240</v>
      </c>
      <c r="BL186" s="2131">
        <v>0</v>
      </c>
      <c r="BM186" s="2132">
        <v>66795853905</v>
      </c>
      <c r="BN186" s="2133">
        <v>49788153494</v>
      </c>
      <c r="BO186" s="2133">
        <v>2177018397</v>
      </c>
      <c r="BP186" s="2133">
        <v>10111216377</v>
      </c>
      <c r="BQ186" s="2133">
        <v>518300777</v>
      </c>
      <c r="BR186" s="2133">
        <v>3044060832</v>
      </c>
      <c r="BS186" s="2133">
        <v>1097499874</v>
      </c>
      <c r="BT186" s="2133">
        <v>59604154</v>
      </c>
      <c r="BU186" s="2123">
        <v>104309726882</v>
      </c>
      <c r="BW186" s="255">
        <f t="shared" si="34"/>
        <v>-5453083781</v>
      </c>
      <c r="BX186" s="255">
        <f t="shared" si="35"/>
        <v>4186152109417</v>
      </c>
      <c r="BY186" s="255">
        <f t="shared" si="36"/>
        <v>155107538607</v>
      </c>
      <c r="BZ186" s="2352">
        <f t="shared" si="37"/>
        <v>4341259648024</v>
      </c>
      <c r="CA186" s="2352">
        <f t="shared" si="38"/>
        <v>6797368779</v>
      </c>
      <c r="CB186" s="255">
        <f t="shared" si="39"/>
        <v>63366795796</v>
      </c>
      <c r="CC186" s="255">
        <f t="shared" si="40"/>
        <v>15997669799</v>
      </c>
      <c r="CD186" s="255">
        <f t="shared" si="41"/>
        <v>878389512</v>
      </c>
      <c r="CG186" s="255"/>
    </row>
    <row r="187" spans="1:85">
      <c r="A187" s="110" t="s">
        <v>61</v>
      </c>
      <c r="B187" s="2123" t="s">
        <v>308</v>
      </c>
      <c r="C187" s="2123" t="s">
        <v>260</v>
      </c>
      <c r="D187" s="2123">
        <v>1199212.8400000001</v>
      </c>
      <c r="E187" s="2124">
        <v>2055621976</v>
      </c>
      <c r="F187" s="2125">
        <v>2055621976</v>
      </c>
      <c r="G187" s="2125">
        <v>0</v>
      </c>
      <c r="H187" s="2125">
        <v>0</v>
      </c>
      <c r="I187" s="2125">
        <v>0</v>
      </c>
      <c r="J187" s="2125">
        <v>0</v>
      </c>
      <c r="K187" s="2125">
        <v>0</v>
      </c>
      <c r="L187" s="2125">
        <v>0</v>
      </c>
      <c r="M187" s="2126">
        <v>1029934934</v>
      </c>
      <c r="N187" s="2127">
        <v>0</v>
      </c>
      <c r="O187" s="2127">
        <v>0</v>
      </c>
      <c r="P187" s="2127">
        <v>-13028</v>
      </c>
      <c r="Q187" s="2127">
        <v>0</v>
      </c>
      <c r="R187" s="2127">
        <v>329828561</v>
      </c>
      <c r="S187" s="2127">
        <v>0</v>
      </c>
      <c r="T187" s="2127">
        <v>17569127</v>
      </c>
      <c r="U187" s="2127">
        <v>0</v>
      </c>
      <c r="V187" s="2127">
        <v>159257700</v>
      </c>
      <c r="W187" s="2127">
        <v>0</v>
      </c>
      <c r="X187" s="2127">
        <v>825236</v>
      </c>
      <c r="Y187" s="2127">
        <v>140585229</v>
      </c>
      <c r="Z187" s="2127">
        <v>129406274</v>
      </c>
      <c r="AA187" s="2127">
        <v>0</v>
      </c>
      <c r="AB187" s="2127">
        <v>3173756</v>
      </c>
      <c r="AC187" s="2127">
        <v>0</v>
      </c>
      <c r="AD187" s="2127">
        <v>223809906</v>
      </c>
      <c r="AE187" s="2127">
        <v>0</v>
      </c>
      <c r="AF187" s="2127">
        <v>0</v>
      </c>
      <c r="AG187" s="2127">
        <v>0</v>
      </c>
      <c r="AH187" s="2127">
        <v>0</v>
      </c>
      <c r="AI187" s="2127">
        <v>0</v>
      </c>
      <c r="AJ187" s="2127">
        <v>0</v>
      </c>
      <c r="AK187" s="2127">
        <v>0</v>
      </c>
      <c r="AL187" s="2127">
        <v>25492173</v>
      </c>
      <c r="AM187" s="2127">
        <v>0</v>
      </c>
      <c r="AN187" s="2127">
        <v>0</v>
      </c>
      <c r="AO187" s="2123">
        <v>1025687042</v>
      </c>
      <c r="AP187" s="2128">
        <v>8161181438</v>
      </c>
      <c r="AQ187" s="2129">
        <v>8134019809</v>
      </c>
      <c r="AR187" s="2129">
        <v>0</v>
      </c>
      <c r="AS187" s="2129">
        <v>1832435</v>
      </c>
      <c r="AT187" s="2129">
        <v>0</v>
      </c>
      <c r="AU187" s="2129">
        <v>17995982</v>
      </c>
      <c r="AV187" s="2129">
        <v>0</v>
      </c>
      <c r="AW187" s="2129">
        <v>0</v>
      </c>
      <c r="AX187" s="2129">
        <v>659567</v>
      </c>
      <c r="AY187" s="2129">
        <v>0</v>
      </c>
      <c r="AZ187" s="2129">
        <v>0</v>
      </c>
      <c r="BA187" s="2129">
        <v>6066971</v>
      </c>
      <c r="BB187" s="2129">
        <v>0</v>
      </c>
      <c r="BC187" s="2129">
        <v>606674</v>
      </c>
      <c r="BD187" s="2123">
        <v>-7135494396</v>
      </c>
      <c r="BE187" s="2130">
        <v>0</v>
      </c>
      <c r="BF187" s="2131">
        <v>0</v>
      </c>
      <c r="BG187" s="2131">
        <v>0</v>
      </c>
      <c r="BH187" s="2131">
        <v>0</v>
      </c>
      <c r="BI187" s="2131">
        <v>0</v>
      </c>
      <c r="BJ187" s="2131">
        <v>0</v>
      </c>
      <c r="BK187" s="2131">
        <v>0</v>
      </c>
      <c r="BL187" s="2131">
        <v>0</v>
      </c>
      <c r="BM187" s="2132">
        <v>0</v>
      </c>
      <c r="BN187" s="2133">
        <v>0</v>
      </c>
      <c r="BO187" s="2133">
        <v>0</v>
      </c>
      <c r="BP187" s="2133">
        <v>0</v>
      </c>
      <c r="BQ187" s="2133">
        <v>0</v>
      </c>
      <c r="BR187" s="2133">
        <v>0</v>
      </c>
      <c r="BS187" s="2133">
        <v>0</v>
      </c>
      <c r="BT187" s="2133">
        <v>0</v>
      </c>
      <c r="BU187" s="2123">
        <v>-7135494396</v>
      </c>
      <c r="BW187" s="255">
        <f t="shared" si="34"/>
        <v>0</v>
      </c>
      <c r="BX187" s="255">
        <f t="shared" si="35"/>
        <v>0</v>
      </c>
      <c r="BY187" s="255">
        <f t="shared" si="36"/>
        <v>0</v>
      </c>
      <c r="BZ187" s="2352">
        <f t="shared" si="37"/>
        <v>0</v>
      </c>
      <c r="CA187" s="2352">
        <f t="shared" si="38"/>
        <v>25492173</v>
      </c>
      <c r="CB187" s="255">
        <f t="shared" si="39"/>
        <v>825236</v>
      </c>
      <c r="CC187" s="255">
        <f t="shared" si="40"/>
        <v>3173756</v>
      </c>
      <c r="CD187" s="255">
        <f t="shared" si="41"/>
        <v>8134019809</v>
      </c>
      <c r="CG187" s="255"/>
    </row>
    <row r="188" spans="1:85">
      <c r="A188" s="110" t="s">
        <v>61</v>
      </c>
      <c r="B188" s="2123" t="s">
        <v>309</v>
      </c>
      <c r="C188" s="2123" t="s">
        <v>262</v>
      </c>
      <c r="D188" s="2123">
        <v>32290000</v>
      </c>
      <c r="E188" s="2124">
        <v>2147863560910</v>
      </c>
      <c r="F188" s="2125">
        <v>2146041572140</v>
      </c>
      <c r="G188" s="2125">
        <v>15032992634</v>
      </c>
      <c r="H188" s="2125">
        <v>-13336594907</v>
      </c>
      <c r="I188" s="2125">
        <v>-157804697</v>
      </c>
      <c r="J188" s="2125">
        <v>0</v>
      </c>
      <c r="K188" s="2125">
        <v>283395740</v>
      </c>
      <c r="L188" s="2125">
        <v>0</v>
      </c>
      <c r="M188" s="2126">
        <v>2082868359948</v>
      </c>
      <c r="N188" s="2127">
        <v>1990532532359</v>
      </c>
      <c r="O188" s="2127">
        <v>360371196</v>
      </c>
      <c r="P188" s="2127">
        <v>45325</v>
      </c>
      <c r="Q188" s="2127">
        <v>0</v>
      </c>
      <c r="R188" s="2127">
        <v>2337762152</v>
      </c>
      <c r="S188" s="2127">
        <v>0</v>
      </c>
      <c r="T188" s="2127">
        <v>225262598</v>
      </c>
      <c r="U188" s="2127">
        <v>0</v>
      </c>
      <c r="V188" s="2127">
        <v>1425408549</v>
      </c>
      <c r="W188" s="2127">
        <v>537458895</v>
      </c>
      <c r="X188" s="2127">
        <v>480406637</v>
      </c>
      <c r="Y188" s="2127">
        <v>202546766</v>
      </c>
      <c r="Z188" s="2127">
        <v>720648865</v>
      </c>
      <c r="AA188" s="2127">
        <v>113887497</v>
      </c>
      <c r="AB188" s="2127">
        <v>656062875</v>
      </c>
      <c r="AC188" s="2127">
        <v>142327477</v>
      </c>
      <c r="AD188" s="2127">
        <v>745955150</v>
      </c>
      <c r="AE188" s="2127">
        <v>-2339873972</v>
      </c>
      <c r="AF188" s="2127">
        <v>87309072163</v>
      </c>
      <c r="AG188" s="2127">
        <v>0</v>
      </c>
      <c r="AH188" s="2127">
        <v>0</v>
      </c>
      <c r="AI188" s="2127">
        <v>0</v>
      </c>
      <c r="AJ188" s="2127">
        <v>0</v>
      </c>
      <c r="AK188" s="2127">
        <v>-293223070</v>
      </c>
      <c r="AL188" s="2127">
        <v>-288291514</v>
      </c>
      <c r="AM188" s="2127">
        <v>0</v>
      </c>
      <c r="AN188" s="2127">
        <v>0</v>
      </c>
      <c r="AO188" s="2123">
        <v>64995200962</v>
      </c>
      <c r="AP188" s="2128">
        <v>19567917443</v>
      </c>
      <c r="AQ188" s="2129">
        <v>74112867</v>
      </c>
      <c r="AR188" s="2129">
        <v>1194867</v>
      </c>
      <c r="AS188" s="2129">
        <v>0</v>
      </c>
      <c r="AT188" s="2129">
        <v>0</v>
      </c>
      <c r="AU188" s="2129">
        <v>8327150539</v>
      </c>
      <c r="AV188" s="2129">
        <v>261670208</v>
      </c>
      <c r="AW188" s="2129">
        <v>0</v>
      </c>
      <c r="AX188" s="2129">
        <v>35953319</v>
      </c>
      <c r="AY188" s="2129">
        <v>1710581203</v>
      </c>
      <c r="AZ188" s="2129">
        <v>656758516</v>
      </c>
      <c r="BA188" s="2129">
        <v>5957055327</v>
      </c>
      <c r="BB188" s="2129">
        <v>16274404</v>
      </c>
      <c r="BC188" s="2129">
        <v>2527166193</v>
      </c>
      <c r="BD188" s="2123">
        <v>45427283519</v>
      </c>
      <c r="BE188" s="2130">
        <v>41027513300</v>
      </c>
      <c r="BF188" s="2131">
        <v>37512301365</v>
      </c>
      <c r="BG188" s="2131">
        <v>3484021482</v>
      </c>
      <c r="BH188" s="2131">
        <v>30750033</v>
      </c>
      <c r="BI188" s="2131">
        <v>0</v>
      </c>
      <c r="BJ188" s="2131">
        <v>0</v>
      </c>
      <c r="BK188" s="2131">
        <v>440420</v>
      </c>
      <c r="BL188" s="2131">
        <v>0</v>
      </c>
      <c r="BM188" s="2132">
        <v>30371721946</v>
      </c>
      <c r="BN188" s="2133">
        <v>28774757402</v>
      </c>
      <c r="BO188" s="2133">
        <v>1551434075</v>
      </c>
      <c r="BP188" s="2133">
        <v>45530469</v>
      </c>
      <c r="BQ188" s="2133">
        <v>0</v>
      </c>
      <c r="BR188" s="2133">
        <v>0</v>
      </c>
      <c r="BS188" s="2133">
        <v>0</v>
      </c>
      <c r="BT188" s="2133">
        <v>0</v>
      </c>
      <c r="BU188" s="2123">
        <v>56083074873</v>
      </c>
      <c r="BW188" s="255">
        <f t="shared" si="34"/>
        <v>1821988770</v>
      </c>
      <c r="BX188" s="255">
        <f t="shared" si="35"/>
        <v>1990532532359</v>
      </c>
      <c r="BY188" s="255">
        <f t="shared" si="36"/>
        <v>84675975121</v>
      </c>
      <c r="BZ188" s="2352">
        <f t="shared" si="37"/>
        <v>2075208507480</v>
      </c>
      <c r="CA188" s="2352">
        <f t="shared" si="38"/>
        <v>-288291514</v>
      </c>
      <c r="CB188" s="255">
        <f t="shared" si="39"/>
        <v>1017865532</v>
      </c>
      <c r="CC188" s="255">
        <f t="shared" si="40"/>
        <v>769950372</v>
      </c>
      <c r="CD188" s="255">
        <f t="shared" si="41"/>
        <v>74112867</v>
      </c>
      <c r="CG188" s="255"/>
    </row>
    <row r="189" spans="1:85">
      <c r="A189" s="110" t="s">
        <v>61</v>
      </c>
      <c r="B189" s="2123" t="s">
        <v>310</v>
      </c>
      <c r="C189" s="2123" t="s">
        <v>264</v>
      </c>
      <c r="D189" s="2123">
        <v>528834738</v>
      </c>
      <c r="E189" s="2124">
        <v>403096376527</v>
      </c>
      <c r="F189" s="2125">
        <v>409108433071</v>
      </c>
      <c r="G189" s="2125">
        <v>4623572045</v>
      </c>
      <c r="H189" s="2125">
        <v>-10796936490</v>
      </c>
      <c r="I189" s="2125">
        <v>0</v>
      </c>
      <c r="J189" s="2125">
        <v>0</v>
      </c>
      <c r="K189" s="2125">
        <v>161307901</v>
      </c>
      <c r="L189" s="2125">
        <v>0</v>
      </c>
      <c r="M189" s="2126">
        <v>382091643494</v>
      </c>
      <c r="N189" s="2127">
        <v>353682918040</v>
      </c>
      <c r="O189" s="2127">
        <v>222324378</v>
      </c>
      <c r="P189" s="2127">
        <v>-3877</v>
      </c>
      <c r="Q189" s="2127">
        <v>0</v>
      </c>
      <c r="R189" s="2127">
        <v>1738401137</v>
      </c>
      <c r="S189" s="2127">
        <v>0</v>
      </c>
      <c r="T189" s="2127">
        <v>171872265</v>
      </c>
      <c r="U189" s="2127">
        <v>0</v>
      </c>
      <c r="V189" s="2127">
        <v>1340662946</v>
      </c>
      <c r="W189" s="2127">
        <v>400575252</v>
      </c>
      <c r="X189" s="2127">
        <v>303625361</v>
      </c>
      <c r="Y189" s="2127">
        <v>137454861</v>
      </c>
      <c r="Z189" s="2127">
        <v>758198376</v>
      </c>
      <c r="AA189" s="2127">
        <v>108358363</v>
      </c>
      <c r="AB189" s="2127">
        <v>584649843</v>
      </c>
      <c r="AC189" s="2127">
        <v>213518658</v>
      </c>
      <c r="AD189" s="2127">
        <v>632576958</v>
      </c>
      <c r="AE189" s="2127">
        <v>188824728</v>
      </c>
      <c r="AF189" s="2127">
        <v>21642101984</v>
      </c>
      <c r="AG189" s="2127">
        <v>0</v>
      </c>
      <c r="AH189" s="2127">
        <v>0</v>
      </c>
      <c r="AI189" s="2127">
        <v>0</v>
      </c>
      <c r="AJ189" s="2127">
        <v>0</v>
      </c>
      <c r="AK189" s="2127">
        <v>-74710000</v>
      </c>
      <c r="AL189" s="2127">
        <v>31919221</v>
      </c>
      <c r="AM189" s="2127">
        <v>0</v>
      </c>
      <c r="AN189" s="2127">
        <v>8375000</v>
      </c>
      <c r="AO189" s="2123">
        <v>21004733033</v>
      </c>
      <c r="AP189" s="2128">
        <v>3877629601</v>
      </c>
      <c r="AQ189" s="2129">
        <v>85905425</v>
      </c>
      <c r="AR189" s="2129">
        <v>18509478</v>
      </c>
      <c r="AS189" s="2129">
        <v>0</v>
      </c>
      <c r="AT189" s="2129">
        <v>0</v>
      </c>
      <c r="AU189" s="2129">
        <v>1530611626</v>
      </c>
      <c r="AV189" s="2129">
        <v>50959243</v>
      </c>
      <c r="AW189" s="2129">
        <v>0</v>
      </c>
      <c r="AX189" s="2129">
        <v>6125074</v>
      </c>
      <c r="AY189" s="2129">
        <v>328637657</v>
      </c>
      <c r="AZ189" s="2129">
        <v>129698302</v>
      </c>
      <c r="BA189" s="2129">
        <v>1236895147</v>
      </c>
      <c r="BB189" s="2129">
        <v>2864398</v>
      </c>
      <c r="BC189" s="2129">
        <v>487423251</v>
      </c>
      <c r="BD189" s="2123">
        <v>17127103432</v>
      </c>
      <c r="BE189" s="2130">
        <v>8213403444</v>
      </c>
      <c r="BF189" s="2131">
        <v>7404349114</v>
      </c>
      <c r="BG189" s="2131">
        <v>745512613</v>
      </c>
      <c r="BH189" s="2131">
        <v>63541717</v>
      </c>
      <c r="BI189" s="2131">
        <v>0</v>
      </c>
      <c r="BJ189" s="2131">
        <v>0</v>
      </c>
      <c r="BK189" s="2131">
        <v>0</v>
      </c>
      <c r="BL189" s="2131">
        <v>0</v>
      </c>
      <c r="BM189" s="2132">
        <v>5016388015</v>
      </c>
      <c r="BN189" s="2133">
        <v>4775064384</v>
      </c>
      <c r="BO189" s="2133">
        <v>195313760</v>
      </c>
      <c r="BP189" s="2133">
        <v>46009871</v>
      </c>
      <c r="BQ189" s="2133">
        <v>0</v>
      </c>
      <c r="BR189" s="2133">
        <v>0</v>
      </c>
      <c r="BS189" s="2133">
        <v>0</v>
      </c>
      <c r="BT189" s="2133">
        <v>0</v>
      </c>
      <c r="BU189" s="2123">
        <v>20324118861</v>
      </c>
      <c r="BW189" s="255">
        <f t="shared" si="34"/>
        <v>-6012056544</v>
      </c>
      <c r="BX189" s="255">
        <f t="shared" si="35"/>
        <v>353682918040</v>
      </c>
      <c r="BY189" s="255">
        <f t="shared" si="36"/>
        <v>21756216712</v>
      </c>
      <c r="BZ189" s="2352">
        <f t="shared" si="37"/>
        <v>375439134752</v>
      </c>
      <c r="CA189" s="2352">
        <f t="shared" si="38"/>
        <v>40294221</v>
      </c>
      <c r="CB189" s="255">
        <f t="shared" si="39"/>
        <v>704200613</v>
      </c>
      <c r="CC189" s="255">
        <f t="shared" si="40"/>
        <v>693008206</v>
      </c>
      <c r="CD189" s="255">
        <f t="shared" si="41"/>
        <v>85905425</v>
      </c>
      <c r="CG189" s="255"/>
    </row>
    <row r="190" spans="1:85">
      <c r="A190" s="110" t="s">
        <v>61</v>
      </c>
      <c r="B190" s="2123" t="s">
        <v>311</v>
      </c>
      <c r="C190" s="2123" t="s">
        <v>266</v>
      </c>
      <c r="D190" s="2123">
        <v>199131.7</v>
      </c>
      <c r="E190" s="2124">
        <v>6779385894</v>
      </c>
      <c r="F190" s="2125">
        <v>6779385894</v>
      </c>
      <c r="G190" s="2125">
        <v>0</v>
      </c>
      <c r="H190" s="2125">
        <v>0</v>
      </c>
      <c r="I190" s="2125">
        <v>0</v>
      </c>
      <c r="J190" s="2125">
        <v>0</v>
      </c>
      <c r="K190" s="2125">
        <v>0</v>
      </c>
      <c r="L190" s="2125">
        <v>0</v>
      </c>
      <c r="M190" s="2126">
        <v>3463524854</v>
      </c>
      <c r="N190" s="2127">
        <v>3279179959</v>
      </c>
      <c r="O190" s="2127">
        <v>2165143</v>
      </c>
      <c r="P190" s="2127">
        <v>0</v>
      </c>
      <c r="Q190" s="2127">
        <v>0</v>
      </c>
      <c r="R190" s="2127">
        <v>67217691</v>
      </c>
      <c r="S190" s="2127">
        <v>0</v>
      </c>
      <c r="T190" s="2127">
        <v>7433704</v>
      </c>
      <c r="U190" s="2127">
        <v>0</v>
      </c>
      <c r="V190" s="2127">
        <v>50640553</v>
      </c>
      <c r="W190" s="2127">
        <v>2743574</v>
      </c>
      <c r="X190" s="2127">
        <v>3134437</v>
      </c>
      <c r="Y190" s="2127">
        <v>689363</v>
      </c>
      <c r="Z190" s="2127">
        <v>24867234</v>
      </c>
      <c r="AA190" s="2127">
        <v>1928131</v>
      </c>
      <c r="AB190" s="2127">
        <v>5891681</v>
      </c>
      <c r="AC190" s="2127">
        <v>520361</v>
      </c>
      <c r="AD190" s="2127">
        <v>17023710</v>
      </c>
      <c r="AE190" s="2127">
        <v>0</v>
      </c>
      <c r="AF190" s="2127">
        <v>89313</v>
      </c>
      <c r="AG190" s="2127">
        <v>0</v>
      </c>
      <c r="AH190" s="2127">
        <v>0</v>
      </c>
      <c r="AI190" s="2127">
        <v>0</v>
      </c>
      <c r="AJ190" s="2127">
        <v>0</v>
      </c>
      <c r="AK190" s="2127">
        <v>0</v>
      </c>
      <c r="AL190" s="2127">
        <v>0</v>
      </c>
      <c r="AM190" s="2127">
        <v>0</v>
      </c>
      <c r="AN190" s="2127">
        <v>0</v>
      </c>
      <c r="AO190" s="2123">
        <v>3315861040</v>
      </c>
      <c r="AP190" s="2128">
        <v>1675904</v>
      </c>
      <c r="AQ190" s="2129">
        <v>2722</v>
      </c>
      <c r="AR190" s="2129">
        <v>258</v>
      </c>
      <c r="AS190" s="2129">
        <v>0</v>
      </c>
      <c r="AT190" s="2129">
        <v>0</v>
      </c>
      <c r="AU190" s="2129">
        <v>866758</v>
      </c>
      <c r="AV190" s="2129">
        <v>0</v>
      </c>
      <c r="AW190" s="2129">
        <v>0</v>
      </c>
      <c r="AX190" s="2129">
        <v>6936</v>
      </c>
      <c r="AY190" s="2129">
        <v>0</v>
      </c>
      <c r="AZ190" s="2129">
        <v>24815</v>
      </c>
      <c r="BA190" s="2129">
        <v>666226</v>
      </c>
      <c r="BB190" s="2129">
        <v>0</v>
      </c>
      <c r="BC190" s="2129">
        <v>108189</v>
      </c>
      <c r="BD190" s="2123">
        <v>3314185136</v>
      </c>
      <c r="BE190" s="2130">
        <v>1</v>
      </c>
      <c r="BF190" s="2131">
        <v>0</v>
      </c>
      <c r="BG190" s="2131">
        <v>0</v>
      </c>
      <c r="BH190" s="2131">
        <v>0</v>
      </c>
      <c r="BI190" s="2131">
        <v>0</v>
      </c>
      <c r="BJ190" s="2131">
        <v>0</v>
      </c>
      <c r="BK190" s="2131">
        <v>1</v>
      </c>
      <c r="BL190" s="2131">
        <v>0</v>
      </c>
      <c r="BM190" s="2132">
        <v>0</v>
      </c>
      <c r="BN190" s="2133">
        <v>0</v>
      </c>
      <c r="BO190" s="2133">
        <v>0</v>
      </c>
      <c r="BP190" s="2133">
        <v>0</v>
      </c>
      <c r="BQ190" s="2133">
        <v>0</v>
      </c>
      <c r="BR190" s="2133">
        <v>0</v>
      </c>
      <c r="BS190" s="2133">
        <v>0</v>
      </c>
      <c r="BT190" s="2133">
        <v>0</v>
      </c>
      <c r="BU190" s="2123">
        <v>3314185137</v>
      </c>
      <c r="BW190" s="255">
        <f t="shared" si="34"/>
        <v>0</v>
      </c>
      <c r="BX190" s="255">
        <f t="shared" si="35"/>
        <v>3279179959</v>
      </c>
      <c r="BY190" s="255">
        <f t="shared" si="36"/>
        <v>89313</v>
      </c>
      <c r="BZ190" s="2352">
        <f t="shared" si="37"/>
        <v>3279269272</v>
      </c>
      <c r="CA190" s="2352">
        <f t="shared" si="38"/>
        <v>0</v>
      </c>
      <c r="CB190" s="255">
        <f t="shared" si="39"/>
        <v>5878011</v>
      </c>
      <c r="CC190" s="255">
        <f t="shared" si="40"/>
        <v>7819812</v>
      </c>
      <c r="CD190" s="255">
        <f t="shared" si="41"/>
        <v>2722</v>
      </c>
      <c r="CG190" s="255"/>
    </row>
    <row r="191" spans="1:85">
      <c r="A191" s="110" t="s">
        <v>61</v>
      </c>
      <c r="B191" s="2123" t="s">
        <v>312</v>
      </c>
      <c r="C191" s="2123" t="s">
        <v>268</v>
      </c>
      <c r="D191" s="2123">
        <v>1648873.2</v>
      </c>
      <c r="E191" s="2124">
        <v>136593721192</v>
      </c>
      <c r="F191" s="2125">
        <v>136593721192</v>
      </c>
      <c r="G191" s="2125">
        <v>0</v>
      </c>
      <c r="H191" s="2125">
        <v>0</v>
      </c>
      <c r="I191" s="2125">
        <v>0</v>
      </c>
      <c r="J191" s="2125">
        <v>0</v>
      </c>
      <c r="K191" s="2125">
        <v>0</v>
      </c>
      <c r="L191" s="2125">
        <v>0</v>
      </c>
      <c r="M191" s="2126">
        <v>77936564330</v>
      </c>
      <c r="N191" s="2127">
        <v>75865685408</v>
      </c>
      <c r="O191" s="2127">
        <v>35986026</v>
      </c>
      <c r="P191" s="2127">
        <v>0</v>
      </c>
      <c r="Q191" s="2127">
        <v>0</v>
      </c>
      <c r="R191" s="2127">
        <v>230596999</v>
      </c>
      <c r="S191" s="2127">
        <v>0</v>
      </c>
      <c r="T191" s="2127">
        <v>23487129</v>
      </c>
      <c r="U191" s="2127">
        <v>0</v>
      </c>
      <c r="V191" s="2127">
        <v>181190124</v>
      </c>
      <c r="W191" s="2127">
        <v>44613949</v>
      </c>
      <c r="X191" s="2127">
        <v>45609583</v>
      </c>
      <c r="Y191" s="2127">
        <v>15982808</v>
      </c>
      <c r="Z191" s="2127">
        <v>113501987</v>
      </c>
      <c r="AA191" s="2127">
        <v>20105721</v>
      </c>
      <c r="AB191" s="2127">
        <v>107324605</v>
      </c>
      <c r="AC191" s="2127">
        <v>9026108</v>
      </c>
      <c r="AD191" s="2127">
        <v>85322356</v>
      </c>
      <c r="AE191" s="2127">
        <v>-4952237</v>
      </c>
      <c r="AF191" s="2127">
        <v>1277351688</v>
      </c>
      <c r="AG191" s="2127">
        <v>0</v>
      </c>
      <c r="AH191" s="2127">
        <v>0</v>
      </c>
      <c r="AI191" s="2127">
        <v>0</v>
      </c>
      <c r="AJ191" s="2127">
        <v>0</v>
      </c>
      <c r="AK191" s="2127">
        <v>0</v>
      </c>
      <c r="AL191" s="2127">
        <v>-114267924</v>
      </c>
      <c r="AM191" s="2127">
        <v>0</v>
      </c>
      <c r="AN191" s="2127">
        <v>0</v>
      </c>
      <c r="AO191" s="2123">
        <v>58657156862</v>
      </c>
      <c r="AP191" s="2128">
        <v>38350026</v>
      </c>
      <c r="AQ191" s="2129">
        <v>2156227</v>
      </c>
      <c r="AR191" s="2129">
        <v>6309</v>
      </c>
      <c r="AS191" s="2129">
        <v>0</v>
      </c>
      <c r="AT191" s="2129">
        <v>0</v>
      </c>
      <c r="AU191" s="2129">
        <v>17302780</v>
      </c>
      <c r="AV191" s="2129">
        <v>0</v>
      </c>
      <c r="AW191" s="2129">
        <v>0</v>
      </c>
      <c r="AX191" s="2129">
        <v>96893</v>
      </c>
      <c r="AY191" s="2129">
        <v>0</v>
      </c>
      <c r="AZ191" s="2129">
        <v>1209965</v>
      </c>
      <c r="BA191" s="2129">
        <v>15246354</v>
      </c>
      <c r="BB191" s="2129">
        <v>0</v>
      </c>
      <c r="BC191" s="2129">
        <v>2331498</v>
      </c>
      <c r="BD191" s="2123">
        <v>58618806836</v>
      </c>
      <c r="BE191" s="2130">
        <v>0</v>
      </c>
      <c r="BF191" s="2131">
        <v>0</v>
      </c>
      <c r="BG191" s="2131">
        <v>0</v>
      </c>
      <c r="BH191" s="2131">
        <v>0</v>
      </c>
      <c r="BI191" s="2131">
        <v>0</v>
      </c>
      <c r="BJ191" s="2131">
        <v>0</v>
      </c>
      <c r="BK191" s="2131">
        <v>0</v>
      </c>
      <c r="BL191" s="2131">
        <v>0</v>
      </c>
      <c r="BM191" s="2132">
        <v>0</v>
      </c>
      <c r="BN191" s="2133">
        <v>0</v>
      </c>
      <c r="BO191" s="2133">
        <v>0</v>
      </c>
      <c r="BP191" s="2133">
        <v>0</v>
      </c>
      <c r="BQ191" s="2133">
        <v>0</v>
      </c>
      <c r="BR191" s="2133">
        <v>0</v>
      </c>
      <c r="BS191" s="2133">
        <v>0</v>
      </c>
      <c r="BT191" s="2133">
        <v>0</v>
      </c>
      <c r="BU191" s="2123">
        <v>58618806836</v>
      </c>
      <c r="BW191" s="255">
        <f t="shared" si="34"/>
        <v>0</v>
      </c>
      <c r="BX191" s="255">
        <f t="shared" si="35"/>
        <v>75865685408</v>
      </c>
      <c r="BY191" s="255">
        <f t="shared" si="36"/>
        <v>1272399451</v>
      </c>
      <c r="BZ191" s="2352">
        <f t="shared" si="37"/>
        <v>77138084859</v>
      </c>
      <c r="CA191" s="2352">
        <f t="shared" si="38"/>
        <v>-114267924</v>
      </c>
      <c r="CB191" s="255">
        <f t="shared" si="39"/>
        <v>90223532</v>
      </c>
      <c r="CC191" s="255">
        <f t="shared" si="40"/>
        <v>127430326</v>
      </c>
      <c r="CD191" s="255">
        <f t="shared" si="41"/>
        <v>2156227</v>
      </c>
      <c r="CG191" s="255"/>
    </row>
    <row r="192" spans="1:85">
      <c r="A192" s="110" t="s">
        <v>61</v>
      </c>
      <c r="B192" s="2123" t="s">
        <v>313</v>
      </c>
      <c r="C192" s="2123" t="s">
        <v>246</v>
      </c>
      <c r="D192" s="2123">
        <v>401400</v>
      </c>
      <c r="E192" s="2124">
        <v>5324852083</v>
      </c>
      <c r="F192" s="2125">
        <v>5324852083</v>
      </c>
      <c r="G192" s="2125">
        <v>0</v>
      </c>
      <c r="H192" s="2125">
        <v>0</v>
      </c>
      <c r="I192" s="2125">
        <v>0</v>
      </c>
      <c r="J192" s="2125">
        <v>0</v>
      </c>
      <c r="K192" s="2125">
        <v>0</v>
      </c>
      <c r="L192" s="2125">
        <v>0</v>
      </c>
      <c r="M192" s="2126">
        <v>3542412486</v>
      </c>
      <c r="N192" s="2127">
        <v>431755270</v>
      </c>
      <c r="O192" s="2127">
        <v>0</v>
      </c>
      <c r="P192" s="2127">
        <v>5545</v>
      </c>
      <c r="Q192" s="2127">
        <v>0</v>
      </c>
      <c r="R192" s="2127">
        <v>956252559</v>
      </c>
      <c r="S192" s="2127">
        <v>0</v>
      </c>
      <c r="T192" s="2127">
        <v>87511323</v>
      </c>
      <c r="U192" s="2127">
        <v>0</v>
      </c>
      <c r="V192" s="2127">
        <v>845589067</v>
      </c>
      <c r="W192" s="2127">
        <v>3450937</v>
      </c>
      <c r="X192" s="2127">
        <v>47386407</v>
      </c>
      <c r="Y192" s="2127">
        <v>0</v>
      </c>
      <c r="Z192" s="2127">
        <v>493151509</v>
      </c>
      <c r="AA192" s="2127">
        <v>7934526</v>
      </c>
      <c r="AB192" s="2127">
        <v>174475908</v>
      </c>
      <c r="AC192" s="2127">
        <v>17216094</v>
      </c>
      <c r="AD192" s="2127">
        <v>472255629</v>
      </c>
      <c r="AE192" s="2127">
        <v>0</v>
      </c>
      <c r="AF192" s="2127">
        <v>-76535793</v>
      </c>
      <c r="AG192" s="2127">
        <v>0</v>
      </c>
      <c r="AH192" s="2127">
        <v>0</v>
      </c>
      <c r="AI192" s="2127">
        <v>0</v>
      </c>
      <c r="AJ192" s="2127">
        <v>0</v>
      </c>
      <c r="AK192" s="2127">
        <v>0</v>
      </c>
      <c r="AL192" s="2127">
        <v>0</v>
      </c>
      <c r="AM192" s="2127">
        <v>0</v>
      </c>
      <c r="AN192" s="2127">
        <v>81963505</v>
      </c>
      <c r="AO192" s="2123">
        <v>1782439597</v>
      </c>
      <c r="AP192" s="2128">
        <v>15014875</v>
      </c>
      <c r="AQ192" s="2129">
        <v>1833802</v>
      </c>
      <c r="AR192" s="2129">
        <v>6693953</v>
      </c>
      <c r="AS192" s="2129">
        <v>0</v>
      </c>
      <c r="AT192" s="2129">
        <v>0</v>
      </c>
      <c r="AU192" s="2129">
        <v>667468</v>
      </c>
      <c r="AV192" s="2129">
        <v>0</v>
      </c>
      <c r="AW192" s="2129">
        <v>0</v>
      </c>
      <c r="AX192" s="2129">
        <v>4222</v>
      </c>
      <c r="AY192" s="2129">
        <v>0</v>
      </c>
      <c r="AZ192" s="2129">
        <v>49432</v>
      </c>
      <c r="BA192" s="2129">
        <v>5670071</v>
      </c>
      <c r="BB192" s="2129">
        <v>0</v>
      </c>
      <c r="BC192" s="2129">
        <v>95927</v>
      </c>
      <c r="BD192" s="2123">
        <v>1767424722</v>
      </c>
      <c r="BE192" s="2130">
        <v>120029360</v>
      </c>
      <c r="BF192" s="2131">
        <v>0</v>
      </c>
      <c r="BG192" s="2131">
        <v>0</v>
      </c>
      <c r="BH192" s="2131">
        <v>0</v>
      </c>
      <c r="BI192" s="2131">
        <v>0</v>
      </c>
      <c r="BJ192" s="2131">
        <v>0</v>
      </c>
      <c r="BK192" s="2131">
        <v>120029360</v>
      </c>
      <c r="BL192" s="2131">
        <v>0</v>
      </c>
      <c r="BM192" s="2132">
        <v>0</v>
      </c>
      <c r="BN192" s="2133">
        <v>0</v>
      </c>
      <c r="BO192" s="2133">
        <v>0</v>
      </c>
      <c r="BP192" s="2133">
        <v>0</v>
      </c>
      <c r="BQ192" s="2133">
        <v>0</v>
      </c>
      <c r="BR192" s="2133">
        <v>0</v>
      </c>
      <c r="BS192" s="2133">
        <v>0</v>
      </c>
      <c r="BT192" s="2133">
        <v>0</v>
      </c>
      <c r="BU192" s="2123">
        <v>1887454082</v>
      </c>
      <c r="BW192" s="255">
        <f t="shared" si="34"/>
        <v>0</v>
      </c>
      <c r="BX192" s="255">
        <f t="shared" si="35"/>
        <v>431755270</v>
      </c>
      <c r="BY192" s="255">
        <f t="shared" si="36"/>
        <v>-76535793</v>
      </c>
      <c r="BZ192" s="255">
        <f t="shared" si="37"/>
        <v>355219477</v>
      </c>
      <c r="CA192" s="255">
        <f t="shared" si="38"/>
        <v>81963505</v>
      </c>
      <c r="CB192" s="255">
        <f t="shared" si="39"/>
        <v>50837344</v>
      </c>
      <c r="CC192" s="255">
        <f t="shared" si="40"/>
        <v>182410434</v>
      </c>
      <c r="CD192" s="255">
        <f t="shared" si="41"/>
        <v>1833802</v>
      </c>
      <c r="CG192" s="255"/>
    </row>
    <row r="193" spans="1:85">
      <c r="A193" s="110" t="s">
        <v>61</v>
      </c>
      <c r="B193" s="2123" t="s">
        <v>314</v>
      </c>
      <c r="C193" s="2123" t="s">
        <v>272</v>
      </c>
      <c r="D193" s="2123">
        <v>1881585</v>
      </c>
      <c r="E193" s="2124">
        <v>27902289416</v>
      </c>
      <c r="F193" s="2125">
        <v>27902289416</v>
      </c>
      <c r="G193" s="2125">
        <v>0</v>
      </c>
      <c r="H193" s="2125">
        <v>0</v>
      </c>
      <c r="I193" s="2125">
        <v>0</v>
      </c>
      <c r="J193" s="2125">
        <v>0</v>
      </c>
      <c r="K193" s="2125">
        <v>0</v>
      </c>
      <c r="L193" s="2125">
        <v>0</v>
      </c>
      <c r="M193" s="2126">
        <v>25609436794</v>
      </c>
      <c r="N193" s="2127">
        <v>25609436794</v>
      </c>
      <c r="O193" s="2127">
        <v>0</v>
      </c>
      <c r="P193" s="2127">
        <v>0</v>
      </c>
      <c r="Q193" s="2127">
        <v>0</v>
      </c>
      <c r="R193" s="2127">
        <v>0</v>
      </c>
      <c r="S193" s="2127">
        <v>0</v>
      </c>
      <c r="T193" s="2127">
        <v>0</v>
      </c>
      <c r="U193" s="2127">
        <v>0</v>
      </c>
      <c r="V193" s="2127">
        <v>0</v>
      </c>
      <c r="W193" s="2127">
        <v>0</v>
      </c>
      <c r="X193" s="2127">
        <v>0</v>
      </c>
      <c r="Y193" s="2127">
        <v>0</v>
      </c>
      <c r="Z193" s="2127">
        <v>0</v>
      </c>
      <c r="AA193" s="2127">
        <v>0</v>
      </c>
      <c r="AB193" s="2127">
        <v>0</v>
      </c>
      <c r="AC193" s="2127">
        <v>0</v>
      </c>
      <c r="AD193" s="2127">
        <v>0</v>
      </c>
      <c r="AE193" s="2127">
        <v>0</v>
      </c>
      <c r="AF193" s="2127">
        <v>0</v>
      </c>
      <c r="AG193" s="2127">
        <v>0</v>
      </c>
      <c r="AH193" s="2127">
        <v>0</v>
      </c>
      <c r="AI193" s="2127">
        <v>0</v>
      </c>
      <c r="AJ193" s="2127">
        <v>0</v>
      </c>
      <c r="AK193" s="2127">
        <v>0</v>
      </c>
      <c r="AL193" s="2127">
        <v>0</v>
      </c>
      <c r="AM193" s="2127">
        <v>0</v>
      </c>
      <c r="AN193" s="2127">
        <v>0</v>
      </c>
      <c r="AO193" s="2123">
        <v>2292852622</v>
      </c>
      <c r="AP193" s="2128">
        <v>51763362</v>
      </c>
      <c r="AQ193" s="2129">
        <v>48308643</v>
      </c>
      <c r="AR193" s="2129">
        <v>247102</v>
      </c>
      <c r="AS193" s="2129">
        <v>0</v>
      </c>
      <c r="AT193" s="2129">
        <v>0</v>
      </c>
      <c r="AU193" s="2129">
        <v>0</v>
      </c>
      <c r="AV193" s="2129">
        <v>0</v>
      </c>
      <c r="AW193" s="2129">
        <v>0</v>
      </c>
      <c r="AX193" s="2129">
        <v>0</v>
      </c>
      <c r="AY193" s="2129">
        <v>0</v>
      </c>
      <c r="AZ193" s="2129">
        <v>0</v>
      </c>
      <c r="BA193" s="2129">
        <v>3207617</v>
      </c>
      <c r="BB193" s="2129">
        <v>0</v>
      </c>
      <c r="BC193" s="2129">
        <v>0</v>
      </c>
      <c r="BD193" s="2123">
        <v>2241089260</v>
      </c>
      <c r="BE193" s="2130">
        <v>0</v>
      </c>
      <c r="BF193" s="2131">
        <v>0</v>
      </c>
      <c r="BG193" s="2131">
        <v>0</v>
      </c>
      <c r="BH193" s="2131">
        <v>0</v>
      </c>
      <c r="BI193" s="2131">
        <v>0</v>
      </c>
      <c r="BJ193" s="2131">
        <v>0</v>
      </c>
      <c r="BK193" s="2131">
        <v>0</v>
      </c>
      <c r="BL193" s="2131">
        <v>0</v>
      </c>
      <c r="BM193" s="2132">
        <v>0</v>
      </c>
      <c r="BN193" s="2133">
        <v>0</v>
      </c>
      <c r="BO193" s="2133">
        <v>0</v>
      </c>
      <c r="BP193" s="2133">
        <v>0</v>
      </c>
      <c r="BQ193" s="2133">
        <v>0</v>
      </c>
      <c r="BR193" s="2133">
        <v>0</v>
      </c>
      <c r="BS193" s="2133">
        <v>0</v>
      </c>
      <c r="BT193" s="2133">
        <v>0</v>
      </c>
      <c r="BU193" s="2123">
        <v>2241089260</v>
      </c>
      <c r="BW193" s="255">
        <f t="shared" si="34"/>
        <v>0</v>
      </c>
      <c r="BX193" s="255">
        <f t="shared" si="35"/>
        <v>25609436794</v>
      </c>
      <c r="BY193" s="255">
        <f t="shared" si="36"/>
        <v>0</v>
      </c>
      <c r="BZ193" s="2352">
        <f t="shared" si="37"/>
        <v>25609436794</v>
      </c>
      <c r="CA193" s="2352">
        <f t="shared" si="38"/>
        <v>0</v>
      </c>
      <c r="CB193" s="255">
        <f t="shared" si="39"/>
        <v>0</v>
      </c>
      <c r="CC193" s="255">
        <f t="shared" si="40"/>
        <v>0</v>
      </c>
      <c r="CD193" s="255">
        <f t="shared" si="41"/>
        <v>48308643</v>
      </c>
      <c r="CG193" s="255"/>
    </row>
    <row r="194" spans="1:85">
      <c r="A194" s="110" t="s">
        <v>61</v>
      </c>
      <c r="B194" s="2123" t="s">
        <v>315</v>
      </c>
      <c r="C194" s="2123" t="s">
        <v>316</v>
      </c>
      <c r="D194" s="2123">
        <v>204000</v>
      </c>
      <c r="E194" s="2124">
        <v>199312675</v>
      </c>
      <c r="F194" s="2125">
        <v>199312675</v>
      </c>
      <c r="G194" s="2125">
        <v>0</v>
      </c>
      <c r="H194" s="2125">
        <v>0</v>
      </c>
      <c r="I194" s="2125">
        <v>0</v>
      </c>
      <c r="J194" s="2125">
        <v>0</v>
      </c>
      <c r="K194" s="2125">
        <v>0</v>
      </c>
      <c r="L194" s="2125">
        <v>0</v>
      </c>
      <c r="M194" s="2126">
        <v>3747526778</v>
      </c>
      <c r="N194" s="2127">
        <v>107065111</v>
      </c>
      <c r="O194" s="2127">
        <v>168882</v>
      </c>
      <c r="P194" s="2127">
        <v>-2683</v>
      </c>
      <c r="Q194" s="2127">
        <v>0</v>
      </c>
      <c r="R194" s="2127">
        <v>53829798</v>
      </c>
      <c r="S194" s="2127">
        <v>0</v>
      </c>
      <c r="T194" s="2127">
        <v>5917759</v>
      </c>
      <c r="U194" s="2127">
        <v>0</v>
      </c>
      <c r="V194" s="2127">
        <v>41649362</v>
      </c>
      <c r="W194" s="2127">
        <v>1780062</v>
      </c>
      <c r="X194" s="2127">
        <v>649535</v>
      </c>
      <c r="Y194" s="2127">
        <v>216848</v>
      </c>
      <c r="Z194" s="2127">
        <v>6059947</v>
      </c>
      <c r="AA194" s="2127">
        <v>7168520</v>
      </c>
      <c r="AB194" s="2127">
        <v>6334683</v>
      </c>
      <c r="AC194" s="2127">
        <v>70079</v>
      </c>
      <c r="AD194" s="2127">
        <v>16526774</v>
      </c>
      <c r="AE194" s="2127">
        <v>0</v>
      </c>
      <c r="AF194" s="2127">
        <v>0</v>
      </c>
      <c r="AG194" s="2127">
        <v>0</v>
      </c>
      <c r="AH194" s="2127">
        <v>0</v>
      </c>
      <c r="AI194" s="2127">
        <v>0</v>
      </c>
      <c r="AJ194" s="2127">
        <v>0</v>
      </c>
      <c r="AK194" s="2127">
        <v>0</v>
      </c>
      <c r="AL194" s="2127">
        <v>3500092101</v>
      </c>
      <c r="AM194" s="2127">
        <v>0</v>
      </c>
      <c r="AN194" s="2127">
        <v>0</v>
      </c>
      <c r="AO194" s="2123">
        <v>-3548214103</v>
      </c>
      <c r="AP194" s="2128">
        <v>3410570390</v>
      </c>
      <c r="AQ194" s="2129">
        <v>7517473</v>
      </c>
      <c r="AR194" s="2129">
        <v>469480</v>
      </c>
      <c r="AS194" s="2129">
        <v>0</v>
      </c>
      <c r="AT194" s="2129">
        <v>0</v>
      </c>
      <c r="AU194" s="2129">
        <v>212177215</v>
      </c>
      <c r="AV194" s="2129">
        <v>0</v>
      </c>
      <c r="AW194" s="2129">
        <v>0</v>
      </c>
      <c r="AX194" s="2129">
        <v>2528704</v>
      </c>
      <c r="AY194" s="2129">
        <v>3173870986</v>
      </c>
      <c r="AZ194" s="2129">
        <v>0</v>
      </c>
      <c r="BA194" s="2129">
        <v>28780</v>
      </c>
      <c r="BB194" s="2129">
        <v>0</v>
      </c>
      <c r="BC194" s="2129">
        <v>13977752</v>
      </c>
      <c r="BD194" s="2123">
        <v>-6958784493</v>
      </c>
      <c r="BE194" s="2130">
        <v>365924</v>
      </c>
      <c r="BF194" s="2131">
        <v>365924</v>
      </c>
      <c r="BG194" s="2131">
        <v>0</v>
      </c>
      <c r="BH194" s="2131">
        <v>0</v>
      </c>
      <c r="BI194" s="2131">
        <v>0</v>
      </c>
      <c r="BJ194" s="2131">
        <v>0</v>
      </c>
      <c r="BK194" s="2131">
        <v>0</v>
      </c>
      <c r="BL194" s="2131">
        <v>0</v>
      </c>
      <c r="BM194" s="2132">
        <v>1396738</v>
      </c>
      <c r="BN194" s="2133">
        <v>1396738</v>
      </c>
      <c r="BO194" s="2133">
        <v>0</v>
      </c>
      <c r="BP194" s="2133">
        <v>0</v>
      </c>
      <c r="BQ194" s="2133">
        <v>0</v>
      </c>
      <c r="BR194" s="2133">
        <v>0</v>
      </c>
      <c r="BS194" s="2133">
        <v>0</v>
      </c>
      <c r="BT194" s="2133">
        <v>0</v>
      </c>
      <c r="BU194" s="2123">
        <v>-6959815307</v>
      </c>
      <c r="BW194" s="255">
        <f t="shared" si="34"/>
        <v>0</v>
      </c>
      <c r="BX194" s="255">
        <f t="shared" si="35"/>
        <v>107065111</v>
      </c>
      <c r="BY194" s="255">
        <f t="shared" si="36"/>
        <v>0</v>
      </c>
      <c r="BZ194" s="2352">
        <f t="shared" si="37"/>
        <v>107065111</v>
      </c>
      <c r="CA194" s="2352">
        <f t="shared" si="38"/>
        <v>3500092101</v>
      </c>
      <c r="CB194" s="255">
        <f t="shared" si="39"/>
        <v>2429597</v>
      </c>
      <c r="CC194" s="255">
        <f t="shared" si="40"/>
        <v>13503203</v>
      </c>
      <c r="CD194" s="255">
        <f t="shared" si="41"/>
        <v>7517473</v>
      </c>
      <c r="CG194" s="255"/>
    </row>
    <row r="195" spans="1:85">
      <c r="A195" s="110" t="s">
        <v>61</v>
      </c>
      <c r="B195" s="2123" t="s">
        <v>317</v>
      </c>
      <c r="C195" s="2123" t="s">
        <v>246</v>
      </c>
      <c r="D195" s="2123">
        <v>3800500</v>
      </c>
      <c r="E195" s="2124">
        <v>2212434168</v>
      </c>
      <c r="F195" s="2125">
        <v>2212434168</v>
      </c>
      <c r="G195" s="2125">
        <v>0</v>
      </c>
      <c r="H195" s="2125">
        <v>0</v>
      </c>
      <c r="I195" s="2125">
        <v>0</v>
      </c>
      <c r="J195" s="2125">
        <v>0</v>
      </c>
      <c r="K195" s="2125">
        <v>0</v>
      </c>
      <c r="L195" s="2125">
        <v>0</v>
      </c>
      <c r="M195" s="2126">
        <v>2689526232</v>
      </c>
      <c r="N195" s="2127">
        <v>0</v>
      </c>
      <c r="O195" s="2127">
        <v>0</v>
      </c>
      <c r="P195" s="2127">
        <v>-11995</v>
      </c>
      <c r="Q195" s="2127">
        <v>0</v>
      </c>
      <c r="R195" s="2127">
        <v>739044364</v>
      </c>
      <c r="S195" s="2127">
        <v>0</v>
      </c>
      <c r="T195" s="2127">
        <v>68914151</v>
      </c>
      <c r="U195" s="2127">
        <v>0</v>
      </c>
      <c r="V195" s="2127">
        <v>1111714689</v>
      </c>
      <c r="W195" s="2127">
        <v>2183595</v>
      </c>
      <c r="X195" s="2127">
        <v>122738652</v>
      </c>
      <c r="Y195" s="2127">
        <v>0</v>
      </c>
      <c r="Z195" s="2127">
        <v>141832274</v>
      </c>
      <c r="AA195" s="2127">
        <v>4537096</v>
      </c>
      <c r="AB195" s="2127">
        <v>278229421</v>
      </c>
      <c r="AC195" s="2127">
        <v>25961194</v>
      </c>
      <c r="AD195" s="2127">
        <v>155892491</v>
      </c>
      <c r="AE195" s="2127">
        <v>0</v>
      </c>
      <c r="AF195" s="2127">
        <v>0</v>
      </c>
      <c r="AG195" s="2127">
        <v>0</v>
      </c>
      <c r="AH195" s="2127">
        <v>0</v>
      </c>
      <c r="AI195" s="2127">
        <v>0</v>
      </c>
      <c r="AJ195" s="2127">
        <v>0</v>
      </c>
      <c r="AK195" s="2127">
        <v>0</v>
      </c>
      <c r="AL195" s="2127">
        <v>38490300</v>
      </c>
      <c r="AM195" s="2127">
        <v>0</v>
      </c>
      <c r="AN195" s="2127">
        <v>0</v>
      </c>
      <c r="AO195" s="2123">
        <v>-477092064</v>
      </c>
      <c r="AP195" s="2128">
        <v>28314272</v>
      </c>
      <c r="AQ195" s="2129">
        <v>27302481</v>
      </c>
      <c r="AR195" s="2129">
        <v>596338</v>
      </c>
      <c r="AS195" s="2129">
        <v>0</v>
      </c>
      <c r="AT195" s="2129">
        <v>0</v>
      </c>
      <c r="AU195" s="2129">
        <v>295667</v>
      </c>
      <c r="AV195" s="2129">
        <v>0</v>
      </c>
      <c r="AW195" s="2129">
        <v>0</v>
      </c>
      <c r="AX195" s="2129">
        <v>146</v>
      </c>
      <c r="AY195" s="2129">
        <v>0</v>
      </c>
      <c r="AZ195" s="2129">
        <v>0</v>
      </c>
      <c r="BA195" s="2129">
        <v>38492</v>
      </c>
      <c r="BB195" s="2129">
        <v>0</v>
      </c>
      <c r="BC195" s="2129">
        <v>81148</v>
      </c>
      <c r="BD195" s="2123">
        <v>-505406336</v>
      </c>
      <c r="BE195" s="2130">
        <v>0</v>
      </c>
      <c r="BF195" s="2131">
        <v>0</v>
      </c>
      <c r="BG195" s="2131">
        <v>0</v>
      </c>
      <c r="BH195" s="2131">
        <v>0</v>
      </c>
      <c r="BI195" s="2131">
        <v>0</v>
      </c>
      <c r="BJ195" s="2131">
        <v>0</v>
      </c>
      <c r="BK195" s="2131">
        <v>0</v>
      </c>
      <c r="BL195" s="2131">
        <v>0</v>
      </c>
      <c r="BM195" s="2132">
        <v>0</v>
      </c>
      <c r="BN195" s="2133">
        <v>0</v>
      </c>
      <c r="BO195" s="2133">
        <v>0</v>
      </c>
      <c r="BP195" s="2133">
        <v>0</v>
      </c>
      <c r="BQ195" s="2133">
        <v>0</v>
      </c>
      <c r="BR195" s="2133">
        <v>0</v>
      </c>
      <c r="BS195" s="2133">
        <v>0</v>
      </c>
      <c r="BT195" s="2133">
        <v>0</v>
      </c>
      <c r="BU195" s="2123">
        <v>-505406336</v>
      </c>
      <c r="BW195" s="255">
        <f t="shared" si="34"/>
        <v>0</v>
      </c>
      <c r="BX195" s="255">
        <f t="shared" si="35"/>
        <v>0</v>
      </c>
      <c r="BY195" s="255">
        <f t="shared" si="36"/>
        <v>0</v>
      </c>
      <c r="BZ195" s="255">
        <f t="shared" si="37"/>
        <v>0</v>
      </c>
      <c r="CA195" s="255">
        <f t="shared" si="38"/>
        <v>38490300</v>
      </c>
      <c r="CB195" s="255">
        <f t="shared" si="39"/>
        <v>124922247</v>
      </c>
      <c r="CC195" s="255">
        <f t="shared" si="40"/>
        <v>282766517</v>
      </c>
      <c r="CD195" s="255">
        <f t="shared" si="41"/>
        <v>27302481</v>
      </c>
      <c r="CG195" s="255"/>
    </row>
    <row r="196" spans="1:85">
      <c r="A196" s="110" t="s">
        <v>61</v>
      </c>
      <c r="B196" s="2134" t="s">
        <v>374</v>
      </c>
      <c r="C196" s="2134" t="s">
        <v>246</v>
      </c>
      <c r="D196" s="2134">
        <v>38709.675999999999</v>
      </c>
      <c r="E196" s="2135">
        <v>109520935262</v>
      </c>
      <c r="F196" s="2136">
        <v>109520935262</v>
      </c>
      <c r="G196" s="2136">
        <v>0</v>
      </c>
      <c r="H196" s="2136">
        <v>0</v>
      </c>
      <c r="I196" s="2136">
        <v>0</v>
      </c>
      <c r="J196" s="2136">
        <v>0</v>
      </c>
      <c r="K196" s="2136">
        <v>0</v>
      </c>
      <c r="L196" s="2136">
        <v>0</v>
      </c>
      <c r="M196" s="2137">
        <v>106209577333</v>
      </c>
      <c r="N196" s="2138">
        <v>103119729435</v>
      </c>
      <c r="O196" s="2138">
        <v>0</v>
      </c>
      <c r="P196" s="2138">
        <v>0</v>
      </c>
      <c r="Q196" s="2138">
        <v>0</v>
      </c>
      <c r="R196" s="2138">
        <v>0</v>
      </c>
      <c r="S196" s="2138">
        <v>0</v>
      </c>
      <c r="T196" s="2138">
        <v>0</v>
      </c>
      <c r="U196" s="2138">
        <v>0</v>
      </c>
      <c r="V196" s="2138">
        <v>0</v>
      </c>
      <c r="W196" s="2138">
        <v>0</v>
      </c>
      <c r="X196" s="2138">
        <v>0</v>
      </c>
      <c r="Y196" s="2138">
        <v>0</v>
      </c>
      <c r="Z196" s="2138">
        <v>0</v>
      </c>
      <c r="AA196" s="2138">
        <v>0</v>
      </c>
      <c r="AB196" s="2138">
        <v>0</v>
      </c>
      <c r="AC196" s="2138">
        <v>0</v>
      </c>
      <c r="AD196" s="2138">
        <v>0</v>
      </c>
      <c r="AE196" s="2138">
        <v>0</v>
      </c>
      <c r="AF196" s="2138">
        <v>0</v>
      </c>
      <c r="AG196" s="2138">
        <v>0</v>
      </c>
      <c r="AH196" s="2138">
        <v>0</v>
      </c>
      <c r="AI196" s="2138">
        <v>0</v>
      </c>
      <c r="AJ196" s="2138">
        <v>0</v>
      </c>
      <c r="AK196" s="2138">
        <v>0</v>
      </c>
      <c r="AL196" s="2138">
        <v>3089847898</v>
      </c>
      <c r="AM196" s="2138">
        <v>0</v>
      </c>
      <c r="AN196" s="2138">
        <v>0</v>
      </c>
      <c r="AO196" s="2134">
        <v>3311357929</v>
      </c>
      <c r="AP196" s="2139">
        <v>0</v>
      </c>
      <c r="AQ196" s="2140">
        <v>0</v>
      </c>
      <c r="AR196" s="2140">
        <v>0</v>
      </c>
      <c r="AS196" s="2140">
        <v>0</v>
      </c>
      <c r="AT196" s="2140">
        <v>0</v>
      </c>
      <c r="AU196" s="2140">
        <v>0</v>
      </c>
      <c r="AV196" s="2140">
        <v>0</v>
      </c>
      <c r="AW196" s="2140">
        <v>0</v>
      </c>
      <c r="AX196" s="2140">
        <v>0</v>
      </c>
      <c r="AY196" s="2140">
        <v>0</v>
      </c>
      <c r="AZ196" s="2140">
        <v>0</v>
      </c>
      <c r="BA196" s="2140">
        <v>0</v>
      </c>
      <c r="BB196" s="2140">
        <v>0</v>
      </c>
      <c r="BC196" s="2140">
        <v>0</v>
      </c>
      <c r="BD196" s="2134">
        <v>3311357929</v>
      </c>
      <c r="BE196" s="2141">
        <v>273954295</v>
      </c>
      <c r="BF196" s="2142">
        <v>0</v>
      </c>
      <c r="BG196" s="2142">
        <v>0</v>
      </c>
      <c r="BH196" s="2142">
        <v>273954295</v>
      </c>
      <c r="BI196" s="2142">
        <v>0</v>
      </c>
      <c r="BJ196" s="2142">
        <v>0</v>
      </c>
      <c r="BK196" s="2142">
        <v>0</v>
      </c>
      <c r="BL196" s="2142">
        <v>0</v>
      </c>
      <c r="BM196" s="2143">
        <v>282071983</v>
      </c>
      <c r="BN196" s="2144">
        <v>0</v>
      </c>
      <c r="BO196" s="2144">
        <v>0</v>
      </c>
      <c r="BP196" s="2144">
        <v>282071983</v>
      </c>
      <c r="BQ196" s="2144">
        <v>0</v>
      </c>
      <c r="BR196" s="2144">
        <v>0</v>
      </c>
      <c r="BS196" s="2144">
        <v>0</v>
      </c>
      <c r="BT196" s="2144">
        <v>0</v>
      </c>
      <c r="BU196" s="2134">
        <v>3303240241</v>
      </c>
      <c r="BW196" s="255">
        <f t="shared" si="34"/>
        <v>0</v>
      </c>
      <c r="BX196" s="255">
        <f t="shared" si="35"/>
        <v>103119729435</v>
      </c>
      <c r="BY196" s="255">
        <f t="shared" si="36"/>
        <v>0</v>
      </c>
      <c r="BZ196" s="255">
        <f t="shared" si="37"/>
        <v>103119729435</v>
      </c>
      <c r="CA196" s="255">
        <f t="shared" si="38"/>
        <v>3089847898</v>
      </c>
      <c r="CB196" s="255">
        <f t="shared" si="39"/>
        <v>0</v>
      </c>
      <c r="CC196" s="255">
        <f t="shared" si="40"/>
        <v>0</v>
      </c>
      <c r="CD196" s="255">
        <f t="shared" si="41"/>
        <v>0</v>
      </c>
      <c r="CG196" s="255"/>
    </row>
    <row r="197" spans="1:85">
      <c r="B197" s="2145" t="s">
        <v>275</v>
      </c>
      <c r="C197" s="2145"/>
      <c r="D197" s="2145"/>
      <c r="E197" s="2146">
        <v>7672617576452</v>
      </c>
      <c r="F197" s="2147">
        <v>7682260728007</v>
      </c>
      <c r="G197" s="2147">
        <v>54436877683</v>
      </c>
      <c r="H197" s="2147">
        <v>-68032228557</v>
      </c>
      <c r="I197" s="2147">
        <v>957026688</v>
      </c>
      <c r="J197" s="2147">
        <v>609022631</v>
      </c>
      <c r="K197" s="2147">
        <v>2386150000</v>
      </c>
      <c r="L197" s="2147">
        <v>0</v>
      </c>
      <c r="M197" s="2148">
        <v>7397477842707</v>
      </c>
      <c r="N197" s="2149">
        <v>6739831411651</v>
      </c>
      <c r="O197" s="2149">
        <v>30198007847</v>
      </c>
      <c r="P197" s="2149">
        <v>-531226861</v>
      </c>
      <c r="Q197" s="2149">
        <v>0</v>
      </c>
      <c r="R197" s="2149">
        <v>65887736614</v>
      </c>
      <c r="S197" s="2149">
        <v>0</v>
      </c>
      <c r="T197" s="2149">
        <v>6282382727</v>
      </c>
      <c r="U197" s="2149">
        <v>0</v>
      </c>
      <c r="V197" s="2149">
        <v>62328431713</v>
      </c>
      <c r="W197" s="2149">
        <v>65242797695</v>
      </c>
      <c r="X197" s="2149">
        <v>21937625590</v>
      </c>
      <c r="Y197" s="2149">
        <v>9448152574</v>
      </c>
      <c r="Z197" s="2149">
        <v>30129395401</v>
      </c>
      <c r="AA197" s="2149">
        <v>3914106398</v>
      </c>
      <c r="AB197" s="2149">
        <v>20152529458</v>
      </c>
      <c r="AC197" s="2149">
        <v>6380406571</v>
      </c>
      <c r="AD197" s="2149">
        <v>39245722315</v>
      </c>
      <c r="AE197" s="2149">
        <v>33416822463</v>
      </c>
      <c r="AF197" s="2149">
        <v>229636394094</v>
      </c>
      <c r="AG197" s="2149">
        <v>0</v>
      </c>
      <c r="AH197" s="2149">
        <v>0</v>
      </c>
      <c r="AI197" s="2149">
        <v>0</v>
      </c>
      <c r="AJ197" s="2149">
        <v>0</v>
      </c>
      <c r="AK197" s="2149">
        <v>-367933070</v>
      </c>
      <c r="AL197" s="2149">
        <v>9821301614</v>
      </c>
      <c r="AM197" s="2149">
        <v>13449348098</v>
      </c>
      <c r="AN197" s="2149">
        <v>11074429815</v>
      </c>
      <c r="AO197" s="2145">
        <v>275139733745</v>
      </c>
      <c r="AP197" s="2150">
        <v>86285928556</v>
      </c>
      <c r="AQ197" s="2151">
        <v>16429719738</v>
      </c>
      <c r="AR197" s="2151">
        <v>201789491</v>
      </c>
      <c r="AS197" s="2151">
        <v>1832435</v>
      </c>
      <c r="AT197" s="2151">
        <v>0</v>
      </c>
      <c r="AU197" s="2151">
        <v>29141740585</v>
      </c>
      <c r="AV197" s="2151">
        <v>889102573</v>
      </c>
      <c r="AW197" s="2151">
        <v>0</v>
      </c>
      <c r="AX197" s="2151">
        <v>136096322</v>
      </c>
      <c r="AY197" s="2151">
        <v>9039825955</v>
      </c>
      <c r="AZ197" s="2151">
        <v>2210264526</v>
      </c>
      <c r="BA197" s="2151">
        <v>19518637076</v>
      </c>
      <c r="BB197" s="2151">
        <v>47983829</v>
      </c>
      <c r="BC197" s="2151">
        <v>8668936026</v>
      </c>
      <c r="BD197" s="2145">
        <v>188853805189</v>
      </c>
      <c r="BE197" s="2152">
        <v>149510375733</v>
      </c>
      <c r="BF197" s="2153">
        <v>111526774437</v>
      </c>
      <c r="BG197" s="2153">
        <v>15983708362</v>
      </c>
      <c r="BH197" s="2153">
        <v>14153005969</v>
      </c>
      <c r="BI197" s="2153">
        <v>2695119847</v>
      </c>
      <c r="BJ197" s="2153">
        <v>7416097</v>
      </c>
      <c r="BK197" s="2153">
        <v>5144351021</v>
      </c>
      <c r="BL197" s="2153">
        <v>0</v>
      </c>
      <c r="BM197" s="2154">
        <v>102761892534</v>
      </c>
      <c r="BN197" s="2155">
        <v>83505791014</v>
      </c>
      <c r="BO197" s="2155">
        <v>3933233320</v>
      </c>
      <c r="BP197" s="2155">
        <v>10484828700</v>
      </c>
      <c r="BQ197" s="2155">
        <v>518300777</v>
      </c>
      <c r="BR197" s="2155">
        <v>3044060832</v>
      </c>
      <c r="BS197" s="2155">
        <v>1216073737</v>
      </c>
      <c r="BT197" s="2155">
        <v>59604154</v>
      </c>
      <c r="BU197" s="2145">
        <v>235602288388</v>
      </c>
      <c r="BW197" s="255">
        <f>SUM(G197:L197)</f>
        <v>-9643151555</v>
      </c>
      <c r="BX197" s="255">
        <f>N197</f>
        <v>6739831411651</v>
      </c>
      <c r="BY197" s="255">
        <f t="shared" si="36"/>
        <v>262685283487</v>
      </c>
      <c r="BZ197" s="255">
        <f t="shared" si="37"/>
        <v>7002516695138</v>
      </c>
      <c r="CA197" s="255">
        <f t="shared" si="38"/>
        <v>20895731429</v>
      </c>
      <c r="CB197" s="255">
        <f>SUM(W197,X197)</f>
        <v>87180423285</v>
      </c>
      <c r="CC197" s="255">
        <f>SUM(AA197:AB197)</f>
        <v>24066635856</v>
      </c>
      <c r="CD197" s="255">
        <f>AQ197</f>
        <v>16429719738</v>
      </c>
      <c r="CG197" s="255"/>
    </row>
    <row r="198" spans="1:85">
      <c r="B198" s="2156"/>
      <c r="C198" s="2156"/>
      <c r="D198" s="2156"/>
      <c r="E198" s="2156" t="b">
        <f>SUM(E177:E196)=E197</f>
        <v>1</v>
      </c>
      <c r="F198" s="2156" t="b">
        <f t="shared" ref="F198" si="42">SUM(F177:F196)=F197</f>
        <v>1</v>
      </c>
      <c r="G198" s="2156" t="b">
        <f t="shared" ref="G198:BQ198" si="43">SUM(G177:G196)=G197</f>
        <v>1</v>
      </c>
      <c r="H198" s="2156" t="b">
        <f t="shared" si="43"/>
        <v>1</v>
      </c>
      <c r="I198" s="2156" t="b">
        <f t="shared" si="43"/>
        <v>1</v>
      </c>
      <c r="J198" s="2156" t="b">
        <f t="shared" si="43"/>
        <v>1</v>
      </c>
      <c r="K198" s="2156" t="b">
        <f t="shared" si="43"/>
        <v>1</v>
      </c>
      <c r="L198" s="2156" t="b">
        <f t="shared" si="43"/>
        <v>1</v>
      </c>
      <c r="M198" s="2156" t="b">
        <f t="shared" si="43"/>
        <v>1</v>
      </c>
      <c r="N198" s="2156" t="b">
        <f t="shared" si="43"/>
        <v>1</v>
      </c>
      <c r="O198" s="2156" t="b">
        <f t="shared" si="43"/>
        <v>1</v>
      </c>
      <c r="P198" s="2156" t="b">
        <f t="shared" si="43"/>
        <v>1</v>
      </c>
      <c r="Q198" s="2156" t="b">
        <f t="shared" si="43"/>
        <v>1</v>
      </c>
      <c r="R198" s="2156" t="b">
        <f t="shared" si="43"/>
        <v>1</v>
      </c>
      <c r="S198" s="2156" t="b">
        <f t="shared" si="43"/>
        <v>1</v>
      </c>
      <c r="T198" s="2156" t="b">
        <f t="shared" si="43"/>
        <v>1</v>
      </c>
      <c r="U198" s="2156" t="b">
        <f t="shared" si="43"/>
        <v>1</v>
      </c>
      <c r="V198" s="2156" t="b">
        <f t="shared" si="43"/>
        <v>1</v>
      </c>
      <c r="W198" s="2156" t="b">
        <f t="shared" si="43"/>
        <v>1</v>
      </c>
      <c r="X198" s="2156" t="b">
        <f t="shared" si="43"/>
        <v>1</v>
      </c>
      <c r="Y198" s="2156" t="b">
        <f t="shared" si="43"/>
        <v>1</v>
      </c>
      <c r="Z198" s="2156" t="b">
        <f t="shared" si="43"/>
        <v>1</v>
      </c>
      <c r="AA198" s="2156" t="b">
        <f t="shared" si="43"/>
        <v>1</v>
      </c>
      <c r="AB198" s="2156" t="b">
        <f t="shared" si="43"/>
        <v>1</v>
      </c>
      <c r="AC198" s="2156" t="b">
        <f t="shared" si="43"/>
        <v>1</v>
      </c>
      <c r="AD198" s="2156" t="b">
        <f t="shared" si="43"/>
        <v>1</v>
      </c>
      <c r="AE198" s="2156" t="b">
        <f t="shared" si="43"/>
        <v>1</v>
      </c>
      <c r="AF198" s="2156" t="b">
        <f t="shared" si="43"/>
        <v>1</v>
      </c>
      <c r="AG198" s="2156" t="b">
        <f t="shared" si="43"/>
        <v>1</v>
      </c>
      <c r="AH198" s="2156" t="b">
        <f t="shared" si="43"/>
        <v>1</v>
      </c>
      <c r="AI198" s="2156" t="b">
        <f t="shared" si="43"/>
        <v>1</v>
      </c>
      <c r="AJ198" s="2156" t="b">
        <f t="shared" si="43"/>
        <v>1</v>
      </c>
      <c r="AK198" s="2156" t="b">
        <f t="shared" si="43"/>
        <v>1</v>
      </c>
      <c r="AL198" s="2156" t="b">
        <f t="shared" si="43"/>
        <v>1</v>
      </c>
      <c r="AM198" s="2156" t="b">
        <f t="shared" si="43"/>
        <v>1</v>
      </c>
      <c r="AN198" s="2156" t="b">
        <f t="shared" si="43"/>
        <v>1</v>
      </c>
      <c r="AO198" s="2156" t="b">
        <f t="shared" si="43"/>
        <v>1</v>
      </c>
      <c r="AP198" s="2156" t="b">
        <f t="shared" si="43"/>
        <v>1</v>
      </c>
      <c r="AQ198" s="2156" t="b">
        <f t="shared" si="43"/>
        <v>1</v>
      </c>
      <c r="AR198" s="2156" t="b">
        <f t="shared" si="43"/>
        <v>1</v>
      </c>
      <c r="AS198" s="2156" t="b">
        <f t="shared" si="43"/>
        <v>1</v>
      </c>
      <c r="AT198" s="2156" t="b">
        <f t="shared" si="43"/>
        <v>1</v>
      </c>
      <c r="AU198" s="2156" t="b">
        <f t="shared" si="43"/>
        <v>1</v>
      </c>
      <c r="AV198" s="2156" t="b">
        <f t="shared" si="43"/>
        <v>1</v>
      </c>
      <c r="AW198" s="2156" t="b">
        <f t="shared" si="43"/>
        <v>1</v>
      </c>
      <c r="AX198" s="2156" t="b">
        <f t="shared" si="43"/>
        <v>1</v>
      </c>
      <c r="AY198" s="2156" t="b">
        <f t="shared" si="43"/>
        <v>1</v>
      </c>
      <c r="AZ198" s="2156" t="b">
        <f t="shared" si="43"/>
        <v>1</v>
      </c>
      <c r="BA198" s="2156" t="b">
        <f t="shared" si="43"/>
        <v>1</v>
      </c>
      <c r="BB198" s="2156" t="b">
        <f t="shared" si="43"/>
        <v>1</v>
      </c>
      <c r="BC198" s="2156" t="b">
        <f t="shared" si="43"/>
        <v>1</v>
      </c>
      <c r="BD198" s="2156" t="b">
        <f t="shared" si="43"/>
        <v>1</v>
      </c>
      <c r="BE198" s="2156" t="b">
        <f t="shared" si="43"/>
        <v>1</v>
      </c>
      <c r="BF198" s="2156" t="b">
        <f t="shared" si="43"/>
        <v>1</v>
      </c>
      <c r="BG198" s="2156" t="b">
        <f t="shared" si="43"/>
        <v>1</v>
      </c>
      <c r="BH198" s="2156" t="b">
        <f t="shared" si="43"/>
        <v>1</v>
      </c>
      <c r="BI198" s="2156" t="b">
        <f t="shared" si="43"/>
        <v>1</v>
      </c>
      <c r="BJ198" s="2156" t="b">
        <f t="shared" si="43"/>
        <v>1</v>
      </c>
      <c r="BK198" s="2156" t="b">
        <f t="shared" si="43"/>
        <v>1</v>
      </c>
      <c r="BL198" s="2156" t="b">
        <f t="shared" si="43"/>
        <v>1</v>
      </c>
      <c r="BM198" s="2156" t="b">
        <f t="shared" si="43"/>
        <v>1</v>
      </c>
      <c r="BN198" s="2156" t="b">
        <f t="shared" si="43"/>
        <v>1</v>
      </c>
      <c r="BO198" s="2156" t="b">
        <f t="shared" si="43"/>
        <v>1</v>
      </c>
      <c r="BP198" s="2156" t="b">
        <f t="shared" si="43"/>
        <v>1</v>
      </c>
      <c r="BQ198" s="2156" t="b">
        <f t="shared" si="43"/>
        <v>1</v>
      </c>
      <c r="BR198" s="2156" t="b">
        <f t="shared" ref="BR198" si="44">SUM(BR177:BR196)=BR197</f>
        <v>1</v>
      </c>
      <c r="BS198" s="2156" t="b">
        <f>SUM(BS177:BS196)=BS197</f>
        <v>1</v>
      </c>
      <c r="BT198" s="2156" t="b">
        <f>SUM(BT177:BT196)=BT197</f>
        <v>1</v>
      </c>
      <c r="BU198" s="2156" t="b">
        <f>SUM(BU177:BU196)=BU197</f>
        <v>1</v>
      </c>
    </row>
    <row r="199" spans="1:85">
      <c r="B199" s="2156"/>
      <c r="C199" s="2156"/>
      <c r="D199" s="2156"/>
      <c r="E199" s="2156"/>
      <c r="F199" s="2156"/>
      <c r="G199" s="2156"/>
      <c r="H199" s="2156"/>
      <c r="I199" s="2156"/>
      <c r="J199" s="2156"/>
      <c r="K199" s="2156"/>
      <c r="L199" s="2156"/>
      <c r="M199" s="2156"/>
      <c r="N199" s="2156"/>
      <c r="O199" s="2156"/>
      <c r="P199" s="2156"/>
      <c r="Q199" s="2156"/>
      <c r="R199" s="2156"/>
      <c r="S199" s="2156"/>
      <c r="T199" s="2156"/>
      <c r="U199" s="2156"/>
      <c r="V199" s="2156"/>
      <c r="W199" s="2156"/>
      <c r="X199" s="2156"/>
      <c r="Y199" s="2156"/>
      <c r="Z199" s="2156"/>
      <c r="AA199" s="2156"/>
      <c r="AB199" s="2156"/>
      <c r="AC199" s="2156"/>
      <c r="AD199" s="2156"/>
      <c r="AE199" s="2156"/>
      <c r="AF199" s="2156"/>
      <c r="AG199" s="2156"/>
      <c r="AH199" s="2156"/>
      <c r="AI199" s="2156"/>
      <c r="AJ199" s="2156"/>
      <c r="AK199" s="2156"/>
      <c r="AL199" s="2156"/>
      <c r="AM199" s="2156"/>
      <c r="AN199" s="2156"/>
      <c r="AO199" s="2156"/>
      <c r="AP199" s="2156"/>
      <c r="AQ199" s="2156"/>
      <c r="AR199" s="2156"/>
      <c r="AS199" s="2156"/>
      <c r="AT199" s="2156"/>
      <c r="AU199" s="2156"/>
      <c r="AV199" s="2156"/>
      <c r="AW199" s="2156"/>
      <c r="AX199" s="2156"/>
      <c r="AY199" s="2156"/>
      <c r="AZ199" s="2156"/>
      <c r="BA199" s="2156"/>
      <c r="BB199" s="2156"/>
      <c r="BC199" s="2156"/>
      <c r="BD199" s="2156"/>
      <c r="BE199" s="2156"/>
      <c r="BF199" s="2156"/>
      <c r="BG199" s="2156"/>
      <c r="BH199" s="2156"/>
      <c r="BI199" s="2156"/>
      <c r="BJ199" s="2156"/>
      <c r="BK199" s="2156"/>
      <c r="BL199" s="2156"/>
      <c r="BM199" s="2156"/>
      <c r="BN199" s="2156"/>
      <c r="BO199" s="2156"/>
      <c r="BP199" s="2156"/>
      <c r="BQ199" s="2156"/>
      <c r="BR199" s="2156"/>
      <c r="BS199" s="2156"/>
    </row>
    <row r="200" spans="1:85">
      <c r="B200" s="2156"/>
      <c r="C200" s="2156"/>
      <c r="D200" s="2156"/>
      <c r="E200" s="2156"/>
      <c r="F200" s="2156"/>
      <c r="G200" s="2156"/>
      <c r="H200" s="2156"/>
      <c r="I200" s="2156"/>
      <c r="J200" s="2156"/>
      <c r="K200" s="2156"/>
      <c r="L200" s="2156"/>
      <c r="M200" s="2156"/>
      <c r="N200" s="2156"/>
      <c r="O200" s="2156"/>
      <c r="P200" s="2156"/>
      <c r="Q200" s="2156"/>
      <c r="R200" s="2156"/>
      <c r="S200" s="2156"/>
      <c r="T200" s="2156"/>
      <c r="U200" s="2156"/>
      <c r="V200" s="2156"/>
      <c r="W200" s="2156"/>
      <c r="X200" s="2156"/>
      <c r="Y200" s="2156"/>
      <c r="Z200" s="2156"/>
      <c r="AA200" s="2156"/>
      <c r="AB200" s="2156"/>
      <c r="AC200" s="2156"/>
      <c r="AD200" s="2156"/>
      <c r="AE200" s="2156"/>
      <c r="AF200" s="2156"/>
      <c r="AG200" s="2156"/>
      <c r="AH200" s="2156"/>
      <c r="AI200" s="2156"/>
      <c r="AJ200" s="2156"/>
      <c r="AK200" s="2156"/>
      <c r="AL200" s="2156"/>
      <c r="AM200" s="2156"/>
      <c r="AN200" s="2156"/>
      <c r="AO200" s="2156"/>
      <c r="AP200" s="2156"/>
      <c r="AQ200" s="2156"/>
      <c r="AR200" s="2156"/>
      <c r="AS200" s="2156"/>
      <c r="AT200" s="2156"/>
      <c r="AU200" s="2156"/>
      <c r="AV200" s="2156"/>
      <c r="AW200" s="2156"/>
      <c r="AX200" s="2156"/>
      <c r="AY200" s="2156"/>
      <c r="AZ200" s="2156"/>
      <c r="BA200" s="2156"/>
      <c r="BB200" s="2156"/>
      <c r="BC200" s="2156"/>
      <c r="BD200" s="2156"/>
      <c r="BE200" s="2156"/>
      <c r="BF200" s="2156"/>
      <c r="BG200" s="2156"/>
      <c r="BH200" s="2156"/>
      <c r="BI200" s="2156"/>
      <c r="BJ200" s="2156"/>
      <c r="BK200" s="2156"/>
      <c r="BL200" s="2156"/>
      <c r="BM200" s="2156"/>
      <c r="BN200" s="2156"/>
      <c r="BO200" s="2156"/>
      <c r="BP200" s="2156"/>
      <c r="BQ200" s="2156"/>
      <c r="BR200" s="2156"/>
      <c r="BS200" s="2156"/>
    </row>
    <row r="201" spans="1:85">
      <c r="B201" s="2156"/>
      <c r="C201" s="2156"/>
      <c r="D201" s="2157" t="s">
        <v>1352</v>
      </c>
      <c r="E201" s="2157" t="s">
        <v>1352</v>
      </c>
      <c r="F201" s="2157" t="s">
        <v>1352</v>
      </c>
      <c r="G201" s="2157" t="s">
        <v>1352</v>
      </c>
      <c r="H201" s="2157" t="s">
        <v>2127</v>
      </c>
      <c r="I201" s="2157" t="s">
        <v>2127</v>
      </c>
      <c r="J201" s="2157" t="s">
        <v>2127</v>
      </c>
      <c r="K201" s="2157" t="s">
        <v>2127</v>
      </c>
      <c r="L201" s="2156"/>
      <c r="M201" s="2156"/>
      <c r="N201" s="2156"/>
      <c r="O201" s="2156"/>
      <c r="P201" s="2156"/>
      <c r="Q201" s="2156"/>
      <c r="R201" s="2156"/>
      <c r="S201" s="2156"/>
      <c r="T201" s="2156"/>
      <c r="U201" s="2156"/>
      <c r="V201" s="2156"/>
      <c r="W201" s="2156"/>
      <c r="X201" s="2156"/>
      <c r="Y201" s="2156"/>
      <c r="Z201" s="2156"/>
      <c r="AA201" s="2156"/>
      <c r="AB201" s="2156"/>
      <c r="AC201" s="2156"/>
      <c r="AD201" s="2156"/>
      <c r="AE201" s="2156"/>
      <c r="AF201" s="2156"/>
      <c r="AG201" s="2156"/>
      <c r="AH201" s="2156"/>
      <c r="AI201" s="2156"/>
      <c r="AJ201" s="2156"/>
      <c r="AK201" s="2156"/>
      <c r="AL201" s="2156"/>
      <c r="AM201" s="2156"/>
      <c r="AN201" s="2156"/>
      <c r="AO201" s="2156"/>
      <c r="AP201" s="2156"/>
      <c r="AQ201" s="2156"/>
      <c r="AR201" s="2156"/>
      <c r="AS201" s="2156"/>
      <c r="AT201" s="2156"/>
      <c r="AU201" s="2156"/>
      <c r="AV201" s="2156"/>
      <c r="AW201" s="2156"/>
      <c r="AX201" s="2156"/>
      <c r="AY201" s="2156"/>
      <c r="AZ201" s="2156"/>
      <c r="BA201" s="2156"/>
      <c r="BB201" s="2156"/>
      <c r="BC201" s="2156"/>
      <c r="BD201" s="2156"/>
      <c r="BE201" s="2156"/>
      <c r="BF201" s="2156"/>
      <c r="BG201" s="2156"/>
      <c r="BH201" s="2156"/>
      <c r="BI201" s="2156"/>
      <c r="BJ201" s="2156"/>
      <c r="BK201" s="2156"/>
      <c r="BL201" s="2156"/>
      <c r="BM201" s="2156"/>
      <c r="BN201" s="2156"/>
      <c r="BO201" s="2156"/>
      <c r="BP201" s="2156"/>
      <c r="BQ201" s="2156"/>
      <c r="BR201" s="2156"/>
      <c r="BS201" s="2156"/>
      <c r="BT201" s="2156"/>
      <c r="BU201" s="2156"/>
    </row>
    <row r="202" spans="1:85">
      <c r="B202" s="2158" t="s">
        <v>3836</v>
      </c>
      <c r="C202" s="131" t="s">
        <v>186</v>
      </c>
      <c r="D202" s="2157" t="s">
        <v>3838</v>
      </c>
      <c r="E202" s="2157" t="s">
        <v>3839</v>
      </c>
      <c r="F202" s="2157" t="s">
        <v>3840</v>
      </c>
      <c r="G202" s="2157" t="s">
        <v>400</v>
      </c>
      <c r="H202" s="2157" t="s">
        <v>3838</v>
      </c>
      <c r="I202" s="2157" t="s">
        <v>3839</v>
      </c>
      <c r="J202" s="2157" t="s">
        <v>3840</v>
      </c>
      <c r="K202" s="2157" t="s">
        <v>400</v>
      </c>
      <c r="L202" s="2156"/>
      <c r="M202" s="2156"/>
      <c r="N202" s="2156"/>
      <c r="O202" s="2156"/>
      <c r="P202" s="2156"/>
      <c r="Q202" s="2156"/>
      <c r="R202" s="2156"/>
      <c r="S202" s="2156"/>
      <c r="T202" s="2156"/>
      <c r="U202" s="2156"/>
      <c r="V202" s="2156"/>
      <c r="W202" s="2156"/>
      <c r="X202" s="2156"/>
      <c r="Y202" s="2156"/>
      <c r="Z202" s="2156"/>
      <c r="AA202" s="2156"/>
      <c r="AB202" s="2156"/>
      <c r="AC202" s="2156"/>
      <c r="AD202" s="2156"/>
      <c r="AE202" s="2156"/>
      <c r="AF202" s="2156"/>
      <c r="AG202" s="2156"/>
      <c r="AH202" s="2156"/>
      <c r="AI202" s="2156"/>
      <c r="AJ202" s="2156"/>
      <c r="AK202" s="2156"/>
      <c r="AL202" s="2156"/>
      <c r="AM202" s="2156"/>
      <c r="AN202" s="2156"/>
      <c r="AO202" s="2156"/>
      <c r="AP202" s="2156"/>
      <c r="AQ202" s="2156"/>
      <c r="AR202" s="2156"/>
      <c r="AS202" s="2156"/>
      <c r="AT202" s="2156"/>
      <c r="AU202" s="2156"/>
      <c r="AV202" s="2156"/>
      <c r="AW202" s="2156"/>
      <c r="AX202" s="2156"/>
      <c r="AY202" s="2156"/>
      <c r="AZ202" s="2156"/>
      <c r="BA202" s="2156"/>
      <c r="BB202" s="2156"/>
      <c r="BC202" s="2156"/>
      <c r="BD202" s="2156"/>
      <c r="BE202" s="2156"/>
      <c r="BF202" s="2156"/>
      <c r="BG202" s="2156"/>
      <c r="BH202" s="2156"/>
      <c r="BI202" s="2156"/>
      <c r="BJ202" s="2156"/>
      <c r="BK202" s="2156"/>
      <c r="BL202" s="2156"/>
      <c r="BM202" s="2156"/>
      <c r="BN202" s="2156"/>
      <c r="BO202" s="2156"/>
      <c r="BP202" s="2156"/>
      <c r="BQ202" s="2156"/>
      <c r="BR202" s="2156"/>
      <c r="BS202" s="2156"/>
      <c r="BT202" s="2156"/>
      <c r="BU202" s="2156"/>
    </row>
    <row r="203" spans="1:85">
      <c r="B203" s="2159" t="s">
        <v>298</v>
      </c>
      <c r="C203" s="2112" t="s">
        <v>242</v>
      </c>
      <c r="D203" s="2159">
        <v>193864.71</v>
      </c>
      <c r="E203" s="2160">
        <v>570140.09</v>
      </c>
      <c r="F203" s="2160">
        <v>745957.09199999995</v>
      </c>
      <c r="G203" s="2159">
        <f>SUM(D203:F203)</f>
        <v>1509961.892</v>
      </c>
      <c r="H203" s="2159">
        <v>4007300066</v>
      </c>
      <c r="I203" s="2159">
        <v>828379495</v>
      </c>
      <c r="J203" s="2159">
        <v>8572333469</v>
      </c>
      <c r="K203" s="2112">
        <f t="shared" ref="K203:K222" si="45">SUM(H203:J203)</f>
        <v>13408013030</v>
      </c>
      <c r="L203" s="2156" t="b">
        <f t="shared" ref="L203:L223" si="46">+K203=E177</f>
        <v>1</v>
      </c>
      <c r="M203" s="2156"/>
      <c r="N203" s="2156"/>
      <c r="O203" s="2156"/>
      <c r="P203" s="2156"/>
      <c r="Q203" s="2156"/>
      <c r="R203" s="2156"/>
      <c r="S203" s="2156"/>
      <c r="T203" s="2156"/>
      <c r="U203" s="2156"/>
      <c r="V203" s="2156"/>
      <c r="W203" s="2156"/>
      <c r="X203" s="2156"/>
      <c r="Y203" s="2156"/>
      <c r="Z203" s="2156"/>
      <c r="AA203" s="2156"/>
      <c r="AB203" s="2156"/>
      <c r="AC203" s="2156"/>
      <c r="AD203" s="2156"/>
      <c r="AE203" s="2156"/>
      <c r="AF203" s="2156"/>
      <c r="AG203" s="2156"/>
      <c r="AH203" s="2156"/>
      <c r="AI203" s="2156"/>
      <c r="AJ203" s="2156"/>
      <c r="AK203" s="2156"/>
      <c r="AL203" s="2156"/>
      <c r="AM203" s="2156"/>
      <c r="AN203" s="2156"/>
      <c r="AO203" s="2156"/>
      <c r="AP203" s="2156"/>
      <c r="AQ203" s="2156"/>
      <c r="AR203" s="2156"/>
      <c r="AS203" s="2156"/>
      <c r="AT203" s="2156"/>
      <c r="AU203" s="2156"/>
      <c r="AV203" s="2156"/>
      <c r="AW203" s="2156"/>
      <c r="AX203" s="2156"/>
      <c r="AY203" s="2156"/>
      <c r="AZ203" s="2156"/>
      <c r="BA203" s="2156"/>
      <c r="BB203" s="2156"/>
      <c r="BC203" s="2156"/>
      <c r="BD203" s="2156"/>
      <c r="BE203" s="2156"/>
      <c r="BF203" s="2156"/>
      <c r="BG203" s="2156"/>
      <c r="BH203" s="2156"/>
      <c r="BI203" s="2156"/>
      <c r="BJ203" s="2156"/>
      <c r="BK203" s="2156"/>
      <c r="BL203" s="2156"/>
      <c r="BM203" s="2156"/>
      <c r="BN203" s="2156"/>
      <c r="BO203" s="2156"/>
      <c r="BP203" s="2156"/>
      <c r="BQ203" s="2156"/>
      <c r="BR203" s="2156"/>
      <c r="BS203" s="2156"/>
      <c r="BT203" s="2156"/>
      <c r="BU203" s="2156"/>
    </row>
    <row r="204" spans="1:85">
      <c r="B204" s="2160" t="s">
        <v>299</v>
      </c>
      <c r="C204" s="2123" t="s">
        <v>244</v>
      </c>
      <c r="D204" s="2160">
        <v>8454196</v>
      </c>
      <c r="E204" s="2160">
        <v>121824180</v>
      </c>
      <c r="F204" s="2160">
        <v>240800</v>
      </c>
      <c r="G204" s="2160">
        <f t="shared" ref="G204:G222" si="47">SUM(D204:F204)</f>
        <v>130519176</v>
      </c>
      <c r="H204" s="2160">
        <v>5002183500</v>
      </c>
      <c r="I204" s="2160">
        <v>60304253950</v>
      </c>
      <c r="J204" s="2160">
        <v>147599200</v>
      </c>
      <c r="K204" s="2123">
        <f t="shared" si="45"/>
        <v>65454036650</v>
      </c>
      <c r="L204" s="2156" t="b">
        <f t="shared" si="46"/>
        <v>1</v>
      </c>
      <c r="M204" s="2156"/>
      <c r="N204" s="2156"/>
      <c r="O204" s="2156"/>
      <c r="P204" s="2156"/>
      <c r="Q204" s="2156"/>
      <c r="R204" s="2156"/>
      <c r="S204" s="2156"/>
      <c r="T204" s="2156"/>
      <c r="U204" s="2156"/>
      <c r="V204" s="2156"/>
      <c r="W204" s="2156"/>
      <c r="X204" s="2156"/>
      <c r="Y204" s="2156"/>
      <c r="Z204" s="2156"/>
      <c r="AA204" s="2156"/>
      <c r="AB204" s="2156"/>
      <c r="AC204" s="2156"/>
      <c r="AD204" s="2156"/>
      <c r="AE204" s="2156"/>
      <c r="AF204" s="2156"/>
      <c r="AG204" s="2156"/>
      <c r="AH204" s="2156"/>
      <c r="AI204" s="2156"/>
      <c r="AJ204" s="2156"/>
      <c r="AK204" s="2156"/>
      <c r="AL204" s="2156"/>
      <c r="AM204" s="2156"/>
      <c r="AN204" s="2156"/>
      <c r="AO204" s="2156"/>
      <c r="AP204" s="2156"/>
      <c r="AQ204" s="2156"/>
      <c r="AR204" s="2156"/>
      <c r="AS204" s="2156"/>
      <c r="AT204" s="2156"/>
      <c r="AU204" s="2156"/>
      <c r="AV204" s="2156"/>
      <c r="AW204" s="2156"/>
      <c r="AX204" s="2156"/>
      <c r="AY204" s="2156"/>
      <c r="AZ204" s="2156"/>
      <c r="BA204" s="2156"/>
      <c r="BB204" s="2156"/>
      <c r="BC204" s="2156"/>
      <c r="BD204" s="2156"/>
      <c r="BE204" s="2156"/>
      <c r="BF204" s="2156"/>
      <c r="BG204" s="2156"/>
      <c r="BH204" s="2156"/>
      <c r="BI204" s="2156"/>
      <c r="BJ204" s="2156"/>
      <c r="BK204" s="2156"/>
      <c r="BL204" s="2156"/>
      <c r="BM204" s="2156"/>
      <c r="BN204" s="2156"/>
      <c r="BO204" s="2156"/>
      <c r="BP204" s="2156"/>
      <c r="BQ204" s="2156"/>
      <c r="BR204" s="2156"/>
      <c r="BS204" s="2156"/>
      <c r="BT204" s="2156"/>
      <c r="BU204" s="2156"/>
    </row>
    <row r="205" spans="1:85">
      <c r="B205" s="2160" t="s">
        <v>300</v>
      </c>
      <c r="C205" s="2123" t="s">
        <v>246</v>
      </c>
      <c r="D205" s="2160">
        <v>8603.4</v>
      </c>
      <c r="E205" s="2160">
        <v>0</v>
      </c>
      <c r="F205" s="2160">
        <v>0</v>
      </c>
      <c r="G205" s="2160">
        <f t="shared" si="47"/>
        <v>8603.4</v>
      </c>
      <c r="H205" s="2160">
        <v>1879594300</v>
      </c>
      <c r="I205" s="2160">
        <v>0</v>
      </c>
      <c r="J205" s="2160">
        <v>0</v>
      </c>
      <c r="K205" s="2123">
        <f t="shared" si="45"/>
        <v>1879594300</v>
      </c>
      <c r="L205" s="2156" t="b">
        <f t="shared" si="46"/>
        <v>1</v>
      </c>
      <c r="M205" s="2156"/>
      <c r="N205" s="2156"/>
      <c r="O205" s="2156"/>
      <c r="P205" s="2156"/>
      <c r="Q205" s="2156"/>
      <c r="R205" s="2156"/>
      <c r="S205" s="2156"/>
      <c r="T205" s="2156"/>
      <c r="U205" s="2156"/>
      <c r="V205" s="2156"/>
      <c r="W205" s="2156"/>
      <c r="X205" s="2156"/>
      <c r="Y205" s="2156"/>
      <c r="Z205" s="2156"/>
      <c r="AA205" s="2156"/>
      <c r="AB205" s="2156"/>
      <c r="AC205" s="2156"/>
      <c r="AD205" s="2156"/>
      <c r="AE205" s="2156"/>
      <c r="AF205" s="2156"/>
      <c r="AG205" s="2156"/>
      <c r="AH205" s="2156"/>
      <c r="AI205" s="2156"/>
      <c r="AJ205" s="2156"/>
      <c r="AK205" s="2156"/>
      <c r="AL205" s="2156"/>
      <c r="AM205" s="2156"/>
      <c r="AN205" s="2156"/>
      <c r="AO205" s="2156"/>
      <c r="AP205" s="2156"/>
      <c r="AQ205" s="2156"/>
      <c r="AR205" s="2156"/>
      <c r="AS205" s="2156"/>
      <c r="AT205" s="2156"/>
      <c r="AU205" s="2156"/>
      <c r="AV205" s="2156"/>
      <c r="AW205" s="2156"/>
      <c r="AX205" s="2156"/>
      <c r="AY205" s="2156"/>
      <c r="AZ205" s="2156"/>
      <c r="BA205" s="2156"/>
      <c r="BB205" s="2156"/>
      <c r="BC205" s="2156"/>
      <c r="BD205" s="2156"/>
      <c r="BE205" s="2156"/>
      <c r="BF205" s="2156"/>
      <c r="BG205" s="2156"/>
      <c r="BH205" s="2156"/>
      <c r="BI205" s="2156"/>
      <c r="BJ205" s="2156"/>
      <c r="BK205" s="2156"/>
      <c r="BL205" s="2156"/>
      <c r="BM205" s="2156"/>
      <c r="BN205" s="2156"/>
      <c r="BO205" s="2156"/>
      <c r="BP205" s="2156"/>
      <c r="BQ205" s="2156"/>
      <c r="BR205" s="2156"/>
      <c r="BS205" s="2156"/>
      <c r="BT205" s="2156"/>
      <c r="BU205" s="2156"/>
    </row>
    <row r="206" spans="1:85">
      <c r="B206" s="2160" t="s">
        <v>301</v>
      </c>
      <c r="C206" s="2123" t="s">
        <v>246</v>
      </c>
      <c r="D206" s="2160">
        <v>114005.58</v>
      </c>
      <c r="E206" s="2160">
        <v>0</v>
      </c>
      <c r="F206" s="2160">
        <v>0</v>
      </c>
      <c r="G206" s="2160">
        <f t="shared" si="47"/>
        <v>114005.58</v>
      </c>
      <c r="H206" s="2160">
        <v>912072000</v>
      </c>
      <c r="I206" s="2160">
        <v>0</v>
      </c>
      <c r="J206" s="2160">
        <v>0</v>
      </c>
      <c r="K206" s="2123">
        <f t="shared" si="45"/>
        <v>912072000</v>
      </c>
      <c r="L206" s="2156" t="b">
        <f t="shared" si="46"/>
        <v>1</v>
      </c>
      <c r="M206" s="2156"/>
      <c r="N206" s="2156"/>
      <c r="O206" s="2156"/>
      <c r="P206" s="2156"/>
      <c r="Q206" s="2156"/>
      <c r="R206" s="2156"/>
      <c r="S206" s="2156"/>
      <c r="T206" s="2156"/>
      <c r="U206" s="2156"/>
      <c r="V206" s="2156"/>
      <c r="W206" s="2156"/>
      <c r="X206" s="2156"/>
      <c r="Y206" s="2156"/>
      <c r="Z206" s="2156"/>
      <c r="AA206" s="2156"/>
      <c r="AB206" s="2156"/>
      <c r="AC206" s="2156"/>
      <c r="AD206" s="2156"/>
      <c r="AE206" s="2156"/>
      <c r="AF206" s="2156"/>
      <c r="AG206" s="2156"/>
      <c r="AH206" s="2156"/>
      <c r="AI206" s="2156"/>
      <c r="AJ206" s="2156"/>
      <c r="AK206" s="2156"/>
      <c r="AL206" s="2156"/>
      <c r="AM206" s="2156"/>
      <c r="AN206" s="2156"/>
      <c r="AO206" s="2156"/>
      <c r="AP206" s="2156"/>
      <c r="AQ206" s="2156"/>
      <c r="AR206" s="2156"/>
      <c r="AS206" s="2156"/>
      <c r="AT206" s="2156"/>
      <c r="AU206" s="2156"/>
      <c r="AV206" s="2156"/>
      <c r="AW206" s="2156"/>
      <c r="AX206" s="2156"/>
      <c r="AY206" s="2156"/>
      <c r="AZ206" s="2156"/>
      <c r="BA206" s="2156"/>
      <c r="BB206" s="2156"/>
      <c r="BC206" s="2156"/>
      <c r="BD206" s="2156"/>
      <c r="BE206" s="2156"/>
      <c r="BF206" s="2156"/>
      <c r="BG206" s="2156"/>
      <c r="BH206" s="2156"/>
      <c r="BI206" s="2156"/>
      <c r="BJ206" s="2156"/>
      <c r="BK206" s="2156"/>
      <c r="BL206" s="2156"/>
      <c r="BM206" s="2156"/>
      <c r="BN206" s="2156"/>
      <c r="BO206" s="2156"/>
      <c r="BP206" s="2156"/>
      <c r="BQ206" s="2156"/>
      <c r="BR206" s="2156"/>
      <c r="BS206" s="2156"/>
      <c r="BT206" s="2156"/>
      <c r="BU206" s="2156"/>
    </row>
    <row r="207" spans="1:85">
      <c r="B207" s="2160" t="s">
        <v>302</v>
      </c>
      <c r="C207" s="2123" t="s">
        <v>250</v>
      </c>
      <c r="D207" s="2160">
        <v>3077.8449999999998</v>
      </c>
      <c r="E207" s="2160">
        <v>32.926000000000002</v>
      </c>
      <c r="F207" s="2160">
        <v>1564.4839999999999</v>
      </c>
      <c r="G207" s="2160">
        <f t="shared" si="47"/>
        <v>4675.2549999999992</v>
      </c>
      <c r="H207" s="2160">
        <v>8835132773</v>
      </c>
      <c r="I207" s="2160">
        <v>93630480</v>
      </c>
      <c r="J207" s="2160">
        <v>4355999185</v>
      </c>
      <c r="K207" s="2123">
        <f t="shared" si="45"/>
        <v>13284762438</v>
      </c>
      <c r="L207" s="2156" t="b">
        <f t="shared" si="46"/>
        <v>1</v>
      </c>
      <c r="M207" s="2156"/>
      <c r="N207" s="2156"/>
      <c r="O207" s="2156"/>
      <c r="P207" s="2156"/>
      <c r="Q207" s="2156"/>
      <c r="R207" s="2156"/>
      <c r="S207" s="2156"/>
      <c r="T207" s="2156"/>
      <c r="U207" s="2156"/>
      <c r="V207" s="2156"/>
      <c r="W207" s="2156"/>
      <c r="X207" s="2156"/>
      <c r="Y207" s="2156"/>
      <c r="Z207" s="2156"/>
      <c r="AA207" s="2156"/>
      <c r="AB207" s="2156"/>
      <c r="AC207" s="2156"/>
      <c r="AD207" s="2156"/>
      <c r="AE207" s="2156"/>
      <c r="AF207" s="2156"/>
      <c r="AG207" s="2156"/>
      <c r="AH207" s="2156"/>
      <c r="AI207" s="2156"/>
      <c r="AJ207" s="2156"/>
      <c r="AK207" s="2156"/>
      <c r="AL207" s="2156"/>
      <c r="AM207" s="2156"/>
      <c r="AN207" s="2156"/>
      <c r="AO207" s="2156"/>
      <c r="AP207" s="2156"/>
      <c r="AQ207" s="2156"/>
      <c r="AR207" s="2156"/>
      <c r="AS207" s="2156"/>
      <c r="AT207" s="2156"/>
      <c r="AU207" s="2156"/>
      <c r="AV207" s="2156"/>
      <c r="AW207" s="2156"/>
      <c r="AX207" s="2156"/>
      <c r="AY207" s="2156"/>
      <c r="AZ207" s="2156"/>
      <c r="BA207" s="2156"/>
      <c r="BB207" s="2156"/>
      <c r="BC207" s="2156"/>
      <c r="BD207" s="2156"/>
      <c r="BE207" s="2156"/>
      <c r="BF207" s="2156"/>
      <c r="BG207" s="2156"/>
      <c r="BH207" s="2156"/>
      <c r="BI207" s="2156"/>
      <c r="BJ207" s="2156"/>
      <c r="BK207" s="2156"/>
      <c r="BL207" s="2156"/>
      <c r="BM207" s="2156"/>
      <c r="BN207" s="2156"/>
      <c r="BO207" s="2156"/>
      <c r="BP207" s="2156"/>
      <c r="BQ207" s="2156"/>
      <c r="BR207" s="2156"/>
      <c r="BS207" s="2156"/>
      <c r="BT207" s="2156"/>
      <c r="BU207" s="2156"/>
    </row>
    <row r="208" spans="1:85">
      <c r="B208" s="2160" t="s">
        <v>303</v>
      </c>
      <c r="C208" s="2123" t="s">
        <v>252</v>
      </c>
      <c r="D208" s="2160">
        <v>481577</v>
      </c>
      <c r="E208" s="2160">
        <v>0</v>
      </c>
      <c r="F208" s="2160">
        <v>0</v>
      </c>
      <c r="G208" s="2160">
        <f t="shared" si="47"/>
        <v>481577</v>
      </c>
      <c r="H208" s="2160">
        <v>14141527991</v>
      </c>
      <c r="I208" s="2160">
        <v>0</v>
      </c>
      <c r="J208" s="2160">
        <v>0</v>
      </c>
      <c r="K208" s="2123">
        <f t="shared" si="45"/>
        <v>14141527991</v>
      </c>
      <c r="L208" s="2156" t="b">
        <f t="shared" si="46"/>
        <v>1</v>
      </c>
      <c r="M208" s="2156"/>
      <c r="N208" s="2156"/>
      <c r="O208" s="2156"/>
      <c r="P208" s="2156"/>
      <c r="Q208" s="2156"/>
      <c r="R208" s="2156"/>
      <c r="S208" s="2156"/>
      <c r="T208" s="2156"/>
      <c r="U208" s="2156"/>
      <c r="V208" s="2156"/>
      <c r="W208" s="2156"/>
      <c r="X208" s="2156"/>
      <c r="Y208" s="2156"/>
      <c r="Z208" s="2156"/>
      <c r="AA208" s="2156"/>
      <c r="AB208" s="2156"/>
      <c r="AC208" s="2156"/>
      <c r="AD208" s="2156"/>
      <c r="AE208" s="2156"/>
      <c r="AF208" s="2156"/>
      <c r="AG208" s="2156"/>
      <c r="AH208" s="2156"/>
      <c r="AI208" s="2156"/>
      <c r="AJ208" s="2156"/>
      <c r="AK208" s="2156"/>
      <c r="AL208" s="2156"/>
      <c r="AM208" s="2156"/>
      <c r="AN208" s="2156"/>
      <c r="AO208" s="2156"/>
      <c r="AP208" s="2156"/>
      <c r="AQ208" s="2156"/>
      <c r="AR208" s="2156"/>
      <c r="AS208" s="2156"/>
      <c r="AT208" s="2156"/>
      <c r="AU208" s="2156"/>
      <c r="AV208" s="2156"/>
      <c r="AW208" s="2156"/>
      <c r="AX208" s="2156"/>
      <c r="AY208" s="2156"/>
      <c r="AZ208" s="2156"/>
      <c r="BA208" s="2156"/>
      <c r="BB208" s="2156"/>
      <c r="BC208" s="2156"/>
      <c r="BD208" s="2156"/>
      <c r="BE208" s="2156"/>
      <c r="BF208" s="2156"/>
      <c r="BG208" s="2156"/>
      <c r="BH208" s="2156"/>
      <c r="BI208" s="2156"/>
      <c r="BJ208" s="2156"/>
      <c r="BK208" s="2156"/>
      <c r="BL208" s="2156"/>
      <c r="BM208" s="2156"/>
      <c r="BN208" s="2156"/>
      <c r="BO208" s="2156"/>
      <c r="BP208" s="2156"/>
      <c r="BQ208" s="2156"/>
      <c r="BR208" s="2156"/>
      <c r="BS208" s="2156"/>
      <c r="BT208" s="2156"/>
      <c r="BU208" s="2156"/>
    </row>
    <row r="209" spans="2:73">
      <c r="B209" s="2160" t="s">
        <v>304</v>
      </c>
      <c r="C209" s="2123" t="s">
        <v>246</v>
      </c>
      <c r="D209" s="2160">
        <v>3210</v>
      </c>
      <c r="E209" s="2160">
        <v>0</v>
      </c>
      <c r="F209" s="2160">
        <v>32500</v>
      </c>
      <c r="G209" s="2160">
        <f t="shared" si="47"/>
        <v>35710</v>
      </c>
      <c r="H209" s="2160">
        <v>223888320</v>
      </c>
      <c r="I209" s="2160">
        <v>0</v>
      </c>
      <c r="J209" s="2160">
        <v>1919778243</v>
      </c>
      <c r="K209" s="2123">
        <f t="shared" si="45"/>
        <v>2143666563</v>
      </c>
      <c r="L209" s="2156" t="b">
        <f t="shared" si="46"/>
        <v>1</v>
      </c>
      <c r="M209" s="2156"/>
      <c r="N209" s="2156"/>
      <c r="O209" s="2156"/>
      <c r="P209" s="2156"/>
      <c r="Q209" s="2156"/>
      <c r="R209" s="2156"/>
      <c r="S209" s="2156"/>
      <c r="T209" s="2156"/>
      <c r="U209" s="2156"/>
      <c r="V209" s="2156"/>
      <c r="W209" s="2156"/>
      <c r="X209" s="2156"/>
      <c r="Y209" s="2156"/>
      <c r="Z209" s="2156"/>
      <c r="AA209" s="2156"/>
      <c r="AB209" s="2156"/>
      <c r="AC209" s="2156"/>
      <c r="AD209" s="2156"/>
      <c r="AE209" s="2156"/>
      <c r="AF209" s="2156"/>
      <c r="AG209" s="2156"/>
      <c r="AH209" s="2156"/>
      <c r="AI209" s="2156"/>
      <c r="AJ209" s="2156"/>
      <c r="AK209" s="2156"/>
      <c r="AL209" s="2156"/>
      <c r="AM209" s="2156"/>
      <c r="AN209" s="2156"/>
      <c r="AO209" s="2156"/>
      <c r="AP209" s="2156"/>
      <c r="AQ209" s="2156"/>
      <c r="AR209" s="2156"/>
      <c r="AS209" s="2156"/>
      <c r="AT209" s="2156"/>
      <c r="AU209" s="2156"/>
      <c r="AV209" s="2156"/>
      <c r="AW209" s="2156"/>
      <c r="AX209" s="2156"/>
      <c r="AY209" s="2156"/>
      <c r="AZ209" s="2156"/>
      <c r="BA209" s="2156"/>
      <c r="BB209" s="2156"/>
      <c r="BC209" s="2156"/>
      <c r="BD209" s="2156"/>
      <c r="BE209" s="2156"/>
      <c r="BF209" s="2156"/>
      <c r="BG209" s="2156"/>
      <c r="BH209" s="2156"/>
      <c r="BI209" s="2156"/>
      <c r="BJ209" s="2156"/>
      <c r="BK209" s="2156"/>
      <c r="BL209" s="2156"/>
      <c r="BM209" s="2156"/>
      <c r="BN209" s="2156"/>
      <c r="BO209" s="2156"/>
      <c r="BP209" s="2156"/>
      <c r="BQ209" s="2156"/>
      <c r="BR209" s="2156"/>
      <c r="BS209" s="2156"/>
      <c r="BT209" s="2156"/>
      <c r="BU209" s="2156"/>
    </row>
    <row r="210" spans="2:73">
      <c r="B210" s="2160" t="s">
        <v>305</v>
      </c>
      <c r="C210" s="2123" t="s">
        <v>246</v>
      </c>
      <c r="D210" s="2160">
        <v>0</v>
      </c>
      <c r="E210" s="2160">
        <v>0</v>
      </c>
      <c r="F210" s="2160">
        <v>116197</v>
      </c>
      <c r="G210" s="2160">
        <f t="shared" si="47"/>
        <v>116197</v>
      </c>
      <c r="H210" s="2160">
        <v>0</v>
      </c>
      <c r="I210" s="2160">
        <v>0</v>
      </c>
      <c r="J210" s="2160">
        <v>62572427</v>
      </c>
      <c r="K210" s="2123">
        <f t="shared" si="45"/>
        <v>62572427</v>
      </c>
      <c r="L210" s="2156" t="b">
        <f t="shared" si="46"/>
        <v>1</v>
      </c>
      <c r="M210" s="2156"/>
      <c r="N210" s="2156"/>
      <c r="O210" s="2156"/>
      <c r="P210" s="2156"/>
      <c r="Q210" s="2156"/>
      <c r="R210" s="2156"/>
      <c r="S210" s="2156"/>
      <c r="T210" s="2156"/>
      <c r="U210" s="2156"/>
      <c r="V210" s="2156"/>
      <c r="W210" s="2156"/>
      <c r="X210" s="2156"/>
      <c r="Y210" s="2156"/>
      <c r="Z210" s="2156"/>
      <c r="AA210" s="2156"/>
      <c r="AB210" s="2156"/>
      <c r="AC210" s="2156"/>
      <c r="AD210" s="2156"/>
      <c r="AE210" s="2156"/>
      <c r="AF210" s="2156"/>
      <c r="AG210" s="2156"/>
      <c r="AH210" s="2156"/>
      <c r="AI210" s="2156"/>
      <c r="AJ210" s="2156"/>
      <c r="AK210" s="2156"/>
      <c r="AL210" s="2156"/>
      <c r="AM210" s="2156"/>
      <c r="AN210" s="2156"/>
      <c r="AO210" s="2156"/>
      <c r="AP210" s="2156"/>
      <c r="AQ210" s="2156"/>
      <c r="AR210" s="2156"/>
      <c r="AS210" s="2156"/>
      <c r="AT210" s="2156"/>
      <c r="AU210" s="2156"/>
      <c r="AV210" s="2156"/>
      <c r="AW210" s="2156"/>
      <c r="AX210" s="2156"/>
      <c r="AY210" s="2156"/>
      <c r="AZ210" s="2156"/>
      <c r="BA210" s="2156"/>
      <c r="BB210" s="2156"/>
      <c r="BC210" s="2156"/>
      <c r="BD210" s="2156"/>
      <c r="BE210" s="2156"/>
      <c r="BF210" s="2156"/>
      <c r="BG210" s="2156"/>
      <c r="BH210" s="2156"/>
      <c r="BI210" s="2156"/>
      <c r="BJ210" s="2156"/>
      <c r="BK210" s="2156"/>
      <c r="BL210" s="2156"/>
      <c r="BM210" s="2156"/>
      <c r="BN210" s="2156"/>
      <c r="BO210" s="2156"/>
      <c r="BP210" s="2156"/>
      <c r="BQ210" s="2156"/>
      <c r="BR210" s="2156"/>
      <c r="BS210" s="2156"/>
      <c r="BT210" s="2156"/>
      <c r="BU210" s="2156"/>
    </row>
    <row r="211" spans="2:73">
      <c r="B211" s="2160" t="s">
        <v>306</v>
      </c>
      <c r="C211" s="2123" t="s">
        <v>246</v>
      </c>
      <c r="D211" s="2160">
        <v>0</v>
      </c>
      <c r="E211" s="2160">
        <v>0</v>
      </c>
      <c r="F211" s="2160">
        <v>27658</v>
      </c>
      <c r="G211" s="2160">
        <f t="shared" si="47"/>
        <v>27658</v>
      </c>
      <c r="H211" s="2160">
        <v>0</v>
      </c>
      <c r="I211" s="2160">
        <v>0</v>
      </c>
      <c r="J211" s="2160">
        <v>52592251</v>
      </c>
      <c r="K211" s="2123">
        <f t="shared" si="45"/>
        <v>52592251</v>
      </c>
      <c r="L211" s="2156" t="b">
        <f t="shared" si="46"/>
        <v>1</v>
      </c>
      <c r="M211" s="2156"/>
      <c r="N211" s="2156"/>
      <c r="O211" s="2156"/>
      <c r="P211" s="2156"/>
      <c r="Q211" s="2156"/>
      <c r="R211" s="2156"/>
      <c r="S211" s="2156"/>
      <c r="T211" s="2156"/>
      <c r="U211" s="2156"/>
      <c r="V211" s="2156"/>
      <c r="W211" s="2156"/>
      <c r="X211" s="2156"/>
      <c r="Y211" s="2156"/>
      <c r="Z211" s="2156"/>
      <c r="AA211" s="2156"/>
      <c r="AB211" s="2156"/>
      <c r="AC211" s="2156"/>
      <c r="AD211" s="2156"/>
      <c r="AE211" s="2156"/>
      <c r="AF211" s="2156"/>
      <c r="AG211" s="2156"/>
      <c r="AH211" s="2156"/>
      <c r="AI211" s="2156"/>
      <c r="AJ211" s="2156"/>
      <c r="AK211" s="2156"/>
      <c r="AL211" s="2156"/>
      <c r="AM211" s="2156"/>
      <c r="AN211" s="2156"/>
      <c r="AO211" s="2156"/>
      <c r="AP211" s="2156"/>
      <c r="AQ211" s="2156"/>
      <c r="AR211" s="2156"/>
      <c r="AS211" s="2156"/>
      <c r="AT211" s="2156"/>
      <c r="AU211" s="2156"/>
      <c r="AV211" s="2156"/>
      <c r="AW211" s="2156"/>
      <c r="AX211" s="2156"/>
      <c r="AY211" s="2156"/>
      <c r="AZ211" s="2156"/>
      <c r="BA211" s="2156"/>
      <c r="BB211" s="2156"/>
      <c r="BC211" s="2156"/>
      <c r="BD211" s="2156"/>
      <c r="BE211" s="2156"/>
      <c r="BF211" s="2156"/>
      <c r="BG211" s="2156"/>
      <c r="BH211" s="2156"/>
      <c r="BI211" s="2156"/>
      <c r="BJ211" s="2156"/>
      <c r="BK211" s="2156"/>
      <c r="BL211" s="2156"/>
      <c r="BM211" s="2156"/>
      <c r="BN211" s="2156"/>
      <c r="BO211" s="2156"/>
      <c r="BP211" s="2156"/>
      <c r="BQ211" s="2156"/>
      <c r="BR211" s="2156"/>
      <c r="BS211" s="2156"/>
      <c r="BT211" s="2156"/>
      <c r="BU211" s="2156"/>
    </row>
    <row r="212" spans="2:73">
      <c r="B212" s="2160" t="s">
        <v>307</v>
      </c>
      <c r="C212" s="2123" t="s">
        <v>258</v>
      </c>
      <c r="D212" s="2160">
        <v>275412.45500000002</v>
      </c>
      <c r="E212" s="2160">
        <v>129138.958</v>
      </c>
      <c r="F212" s="2160">
        <v>237969.05799999999</v>
      </c>
      <c r="G212" s="2160">
        <f t="shared" si="47"/>
        <v>642520.47100000002</v>
      </c>
      <c r="H212" s="2160">
        <v>2010068543435</v>
      </c>
      <c r="I212" s="2160">
        <v>953018869010</v>
      </c>
      <c r="J212" s="2160">
        <v>1756642836254</v>
      </c>
      <c r="K212" s="2123">
        <f t="shared" si="45"/>
        <v>4719730248699</v>
      </c>
      <c r="L212" s="2156" t="b">
        <f t="shared" si="46"/>
        <v>1</v>
      </c>
      <c r="M212" s="2156"/>
      <c r="N212" s="2156"/>
      <c r="O212" s="2156"/>
      <c r="P212" s="2156"/>
      <c r="Q212" s="2156"/>
      <c r="R212" s="2156"/>
      <c r="S212" s="2156"/>
      <c r="T212" s="2156"/>
      <c r="U212" s="2156"/>
      <c r="V212" s="2156"/>
      <c r="W212" s="2156"/>
      <c r="X212" s="2156"/>
      <c r="Y212" s="2156"/>
      <c r="Z212" s="2156"/>
      <c r="AA212" s="2156"/>
      <c r="AB212" s="2156"/>
      <c r="AC212" s="2156"/>
      <c r="AD212" s="2156"/>
      <c r="AE212" s="2156"/>
      <c r="AF212" s="2156"/>
      <c r="AG212" s="2156"/>
      <c r="AH212" s="2156"/>
      <c r="AI212" s="2156"/>
      <c r="AJ212" s="2156"/>
      <c r="AK212" s="2156"/>
      <c r="AL212" s="2156"/>
      <c r="AM212" s="2156"/>
      <c r="AN212" s="2156"/>
      <c r="AO212" s="2156"/>
      <c r="AP212" s="2156"/>
      <c r="AQ212" s="2156"/>
      <c r="AR212" s="2156"/>
      <c r="AS212" s="2156"/>
      <c r="AT212" s="2156"/>
      <c r="AU212" s="2156"/>
      <c r="AV212" s="2156"/>
      <c r="AW212" s="2156"/>
      <c r="AX212" s="2156"/>
      <c r="AY212" s="2156"/>
      <c r="AZ212" s="2156"/>
      <c r="BA212" s="2156"/>
      <c r="BB212" s="2156"/>
      <c r="BC212" s="2156"/>
      <c r="BD212" s="2156"/>
      <c r="BE212" s="2156"/>
      <c r="BF212" s="2156"/>
      <c r="BG212" s="2156"/>
      <c r="BH212" s="2156"/>
      <c r="BI212" s="2156"/>
      <c r="BJ212" s="2156"/>
      <c r="BK212" s="2156"/>
      <c r="BL212" s="2156"/>
      <c r="BM212" s="2156"/>
      <c r="BN212" s="2156"/>
      <c r="BO212" s="2156"/>
      <c r="BP212" s="2156"/>
      <c r="BQ212" s="2156"/>
      <c r="BR212" s="2156"/>
      <c r="BS212" s="2156"/>
      <c r="BT212" s="2156"/>
      <c r="BU212" s="2156"/>
    </row>
    <row r="213" spans="2:73">
      <c r="B213" s="2160" t="s">
        <v>308</v>
      </c>
      <c r="C213" s="2123" t="s">
        <v>260</v>
      </c>
      <c r="D213" s="2160">
        <v>1199212.8400000001</v>
      </c>
      <c r="E213" s="2160">
        <v>0</v>
      </c>
      <c r="F213" s="2160">
        <v>0</v>
      </c>
      <c r="G213" s="2160">
        <f t="shared" si="47"/>
        <v>1199212.8400000001</v>
      </c>
      <c r="H213" s="2160">
        <v>0</v>
      </c>
      <c r="I213" s="2160">
        <v>0</v>
      </c>
      <c r="J213" s="2160">
        <v>2055621976</v>
      </c>
      <c r="K213" s="2123">
        <f t="shared" si="45"/>
        <v>2055621976</v>
      </c>
      <c r="L213" s="2156" t="b">
        <f t="shared" si="46"/>
        <v>1</v>
      </c>
      <c r="M213" s="2156"/>
      <c r="N213" s="2156"/>
      <c r="O213" s="2156"/>
      <c r="P213" s="2156"/>
      <c r="Q213" s="2156"/>
      <c r="R213" s="2156"/>
      <c r="S213" s="2156"/>
      <c r="T213" s="2156"/>
      <c r="U213" s="2156"/>
      <c r="V213" s="2156"/>
      <c r="W213" s="2156"/>
      <c r="X213" s="2156"/>
      <c r="Y213" s="2156"/>
      <c r="Z213" s="2156"/>
      <c r="AA213" s="2156"/>
      <c r="AB213" s="2156"/>
      <c r="AC213" s="2156"/>
      <c r="AD213" s="2156"/>
      <c r="AE213" s="2156"/>
      <c r="AF213" s="2156"/>
      <c r="AG213" s="2156"/>
      <c r="AH213" s="2156"/>
      <c r="AI213" s="2156"/>
      <c r="AJ213" s="2156"/>
      <c r="AK213" s="2156"/>
      <c r="AL213" s="2156"/>
      <c r="AM213" s="2156"/>
      <c r="AN213" s="2156"/>
      <c r="AO213" s="2156"/>
      <c r="AP213" s="2156"/>
      <c r="AQ213" s="2156"/>
      <c r="AR213" s="2156"/>
      <c r="AS213" s="2156"/>
      <c r="AT213" s="2156"/>
      <c r="AU213" s="2156"/>
      <c r="AV213" s="2156"/>
      <c r="AW213" s="2156"/>
      <c r="AX213" s="2156"/>
      <c r="AY213" s="2156"/>
      <c r="AZ213" s="2156"/>
      <c r="BA213" s="2156"/>
      <c r="BB213" s="2156"/>
      <c r="BC213" s="2156"/>
      <c r="BD213" s="2156"/>
      <c r="BE213" s="2156"/>
      <c r="BF213" s="2156"/>
      <c r="BG213" s="2156"/>
      <c r="BH213" s="2156"/>
      <c r="BI213" s="2156"/>
      <c r="BJ213" s="2156"/>
      <c r="BK213" s="2156"/>
      <c r="BL213" s="2156"/>
      <c r="BM213" s="2156"/>
      <c r="BN213" s="2156"/>
      <c r="BO213" s="2156"/>
      <c r="BP213" s="2156"/>
      <c r="BQ213" s="2156"/>
      <c r="BR213" s="2156"/>
      <c r="BS213" s="2156"/>
      <c r="BT213" s="2156"/>
      <c r="BU213" s="2156"/>
    </row>
    <row r="214" spans="2:73">
      <c r="B214" s="2160" t="s">
        <v>309</v>
      </c>
      <c r="C214" s="2123" t="s">
        <v>262</v>
      </c>
      <c r="D214" s="2160">
        <v>25460000</v>
      </c>
      <c r="E214" s="2160">
        <v>0</v>
      </c>
      <c r="F214" s="2160">
        <v>6830000</v>
      </c>
      <c r="G214" s="2160">
        <f t="shared" si="47"/>
        <v>32290000</v>
      </c>
      <c r="H214" s="2160">
        <v>1723544698052</v>
      </c>
      <c r="I214" s="2160">
        <v>0</v>
      </c>
      <c r="J214" s="2160">
        <v>424318862858</v>
      </c>
      <c r="K214" s="2123">
        <f t="shared" si="45"/>
        <v>2147863560910</v>
      </c>
      <c r="L214" s="2156" t="b">
        <f t="shared" si="46"/>
        <v>1</v>
      </c>
      <c r="M214" s="2156"/>
      <c r="N214" s="2156"/>
      <c r="O214" s="2156"/>
      <c r="P214" s="2156"/>
      <c r="Q214" s="2156"/>
      <c r="R214" s="2156"/>
      <c r="S214" s="2156"/>
      <c r="T214" s="2156"/>
      <c r="U214" s="2156"/>
      <c r="V214" s="2156"/>
      <c r="W214" s="2156"/>
      <c r="X214" s="2156"/>
      <c r="Y214" s="2156"/>
      <c r="Z214" s="2156"/>
      <c r="AA214" s="2156"/>
      <c r="AB214" s="2156"/>
      <c r="AC214" s="2156"/>
      <c r="AD214" s="2156"/>
      <c r="AE214" s="2156"/>
      <c r="AF214" s="2156"/>
      <c r="AG214" s="2156"/>
      <c r="AH214" s="2156"/>
      <c r="AI214" s="2156"/>
      <c r="AJ214" s="2156"/>
      <c r="AK214" s="2156"/>
      <c r="AL214" s="2156"/>
      <c r="AM214" s="2156"/>
      <c r="AN214" s="2156"/>
      <c r="AO214" s="2156"/>
      <c r="AP214" s="2156"/>
      <c r="AQ214" s="2156"/>
      <c r="AR214" s="2156"/>
      <c r="AS214" s="2156"/>
      <c r="AT214" s="2156"/>
      <c r="AU214" s="2156"/>
      <c r="AV214" s="2156"/>
      <c r="AW214" s="2156"/>
      <c r="AX214" s="2156"/>
      <c r="AY214" s="2156"/>
      <c r="AZ214" s="2156"/>
      <c r="BA214" s="2156"/>
      <c r="BB214" s="2156"/>
      <c r="BC214" s="2156"/>
      <c r="BD214" s="2156"/>
      <c r="BE214" s="2156"/>
      <c r="BF214" s="2156"/>
      <c r="BG214" s="2156"/>
      <c r="BH214" s="2156"/>
      <c r="BI214" s="2156"/>
      <c r="BJ214" s="2156"/>
      <c r="BK214" s="2156"/>
      <c r="BL214" s="2156"/>
      <c r="BM214" s="2156"/>
      <c r="BN214" s="2156"/>
      <c r="BO214" s="2156"/>
      <c r="BP214" s="2156"/>
      <c r="BQ214" s="2156"/>
      <c r="BR214" s="2156"/>
      <c r="BS214" s="2156"/>
      <c r="BT214" s="2156"/>
      <c r="BU214" s="2156"/>
    </row>
    <row r="215" spans="2:73">
      <c r="B215" s="2160" t="s">
        <v>310</v>
      </c>
      <c r="C215" s="2123" t="s">
        <v>264</v>
      </c>
      <c r="D215" s="2160">
        <v>201610000</v>
      </c>
      <c r="E215" s="2160">
        <v>106752915</v>
      </c>
      <c r="F215" s="2160">
        <v>220471823</v>
      </c>
      <c r="G215" s="2160">
        <f t="shared" si="47"/>
        <v>528834738</v>
      </c>
      <c r="H215" s="2160">
        <v>147802376012</v>
      </c>
      <c r="I215" s="2160">
        <v>79715087565</v>
      </c>
      <c r="J215" s="2160">
        <v>175578912950</v>
      </c>
      <c r="K215" s="2123">
        <f t="shared" si="45"/>
        <v>403096376527</v>
      </c>
      <c r="L215" s="2156" t="b">
        <f t="shared" si="46"/>
        <v>1</v>
      </c>
      <c r="M215" s="2156"/>
      <c r="N215" s="2156"/>
      <c r="O215" s="2156"/>
      <c r="P215" s="2156"/>
      <c r="Q215" s="2156"/>
      <c r="R215" s="2156"/>
      <c r="S215" s="2156"/>
      <c r="T215" s="2156"/>
      <c r="U215" s="2156"/>
      <c r="V215" s="2156"/>
      <c r="W215" s="2156"/>
      <c r="X215" s="2156"/>
      <c r="Y215" s="2156"/>
      <c r="Z215" s="2156"/>
      <c r="AA215" s="2156"/>
      <c r="AB215" s="2156"/>
      <c r="AC215" s="2156"/>
      <c r="AD215" s="2156"/>
      <c r="AE215" s="2156"/>
      <c r="AF215" s="2156"/>
      <c r="AG215" s="2156"/>
      <c r="AH215" s="2156"/>
      <c r="AI215" s="2156"/>
      <c r="AJ215" s="2156"/>
      <c r="AK215" s="2156"/>
      <c r="AL215" s="2156"/>
      <c r="AM215" s="2156"/>
      <c r="AN215" s="2156"/>
      <c r="AO215" s="2156"/>
      <c r="AP215" s="2156"/>
      <c r="AQ215" s="2156"/>
      <c r="AR215" s="2156"/>
      <c r="AS215" s="2156"/>
      <c r="AT215" s="2156"/>
      <c r="AU215" s="2156"/>
      <c r="AV215" s="2156"/>
      <c r="AW215" s="2156"/>
      <c r="AX215" s="2156"/>
      <c r="AY215" s="2156"/>
      <c r="AZ215" s="2156"/>
      <c r="BA215" s="2156"/>
      <c r="BB215" s="2156"/>
      <c r="BC215" s="2156"/>
      <c r="BD215" s="2156"/>
      <c r="BE215" s="2156"/>
      <c r="BF215" s="2156"/>
      <c r="BG215" s="2156"/>
      <c r="BH215" s="2156"/>
      <c r="BI215" s="2156"/>
      <c r="BJ215" s="2156"/>
      <c r="BK215" s="2156"/>
      <c r="BL215" s="2156"/>
      <c r="BM215" s="2156"/>
      <c r="BN215" s="2156"/>
      <c r="BO215" s="2156"/>
      <c r="BP215" s="2156"/>
      <c r="BQ215" s="2156"/>
      <c r="BR215" s="2156"/>
      <c r="BS215" s="2156"/>
      <c r="BT215" s="2156"/>
      <c r="BU215" s="2156"/>
    </row>
    <row r="216" spans="2:73">
      <c r="B216" s="2160" t="s">
        <v>311</v>
      </c>
      <c r="C216" s="2123" t="s">
        <v>266</v>
      </c>
      <c r="D216" s="2160">
        <v>199131.7</v>
      </c>
      <c r="E216" s="2160">
        <v>0</v>
      </c>
      <c r="F216" s="2160">
        <v>0</v>
      </c>
      <c r="G216" s="2160">
        <f t="shared" si="47"/>
        <v>199131.7</v>
      </c>
      <c r="H216" s="2160">
        <v>6779385894</v>
      </c>
      <c r="I216" s="2160">
        <v>0</v>
      </c>
      <c r="J216" s="2160">
        <v>0</v>
      </c>
      <c r="K216" s="2123">
        <f t="shared" si="45"/>
        <v>6779385894</v>
      </c>
      <c r="L216" s="2156" t="b">
        <f t="shared" si="46"/>
        <v>1</v>
      </c>
      <c r="M216" s="2156"/>
      <c r="N216" s="2156"/>
      <c r="O216" s="2156"/>
      <c r="P216" s="2156"/>
      <c r="Q216" s="2156"/>
      <c r="R216" s="2156"/>
      <c r="S216" s="2156"/>
      <c r="T216" s="2156"/>
      <c r="U216" s="2156"/>
      <c r="V216" s="2156"/>
      <c r="W216" s="2156"/>
      <c r="X216" s="2156"/>
      <c r="Y216" s="2156"/>
      <c r="Z216" s="2156"/>
      <c r="AA216" s="2156"/>
      <c r="AB216" s="2156"/>
      <c r="AC216" s="2156"/>
      <c r="AD216" s="2156"/>
      <c r="AE216" s="2156"/>
      <c r="AF216" s="2156"/>
      <c r="AG216" s="2156"/>
      <c r="AH216" s="2156"/>
      <c r="AI216" s="2156"/>
      <c r="AJ216" s="2156"/>
      <c r="AK216" s="2156"/>
      <c r="AL216" s="2156"/>
      <c r="AM216" s="2156"/>
      <c r="AN216" s="2156"/>
      <c r="AO216" s="2156"/>
      <c r="AP216" s="2156"/>
      <c r="AQ216" s="2156"/>
      <c r="AR216" s="2156"/>
      <c r="AS216" s="2156"/>
      <c r="AT216" s="2156"/>
      <c r="AU216" s="2156"/>
      <c r="AV216" s="2156"/>
      <c r="AW216" s="2156"/>
      <c r="AX216" s="2156"/>
      <c r="AY216" s="2156"/>
      <c r="AZ216" s="2156"/>
      <c r="BA216" s="2156"/>
      <c r="BB216" s="2156"/>
      <c r="BC216" s="2156"/>
      <c r="BD216" s="2156"/>
      <c r="BE216" s="2156"/>
      <c r="BF216" s="2156"/>
      <c r="BG216" s="2156"/>
      <c r="BH216" s="2156"/>
      <c r="BI216" s="2156"/>
      <c r="BJ216" s="2156"/>
      <c r="BK216" s="2156"/>
      <c r="BL216" s="2156"/>
      <c r="BM216" s="2156"/>
      <c r="BN216" s="2156"/>
      <c r="BO216" s="2156"/>
      <c r="BP216" s="2156"/>
      <c r="BQ216" s="2156"/>
      <c r="BR216" s="2156"/>
      <c r="BS216" s="2156"/>
      <c r="BT216" s="2156"/>
      <c r="BU216" s="2156"/>
    </row>
    <row r="217" spans="2:73">
      <c r="B217" s="2160" t="s">
        <v>312</v>
      </c>
      <c r="C217" s="2123" t="s">
        <v>268</v>
      </c>
      <c r="D217" s="2160">
        <v>1648873.2</v>
      </c>
      <c r="E217" s="2160">
        <v>0</v>
      </c>
      <c r="F217" s="2160">
        <v>0</v>
      </c>
      <c r="G217" s="2160">
        <f t="shared" si="47"/>
        <v>1648873.2</v>
      </c>
      <c r="H217" s="2160">
        <v>136593721192</v>
      </c>
      <c r="I217" s="2160">
        <v>0</v>
      </c>
      <c r="J217" s="2160">
        <v>0</v>
      </c>
      <c r="K217" s="2123">
        <f t="shared" si="45"/>
        <v>136593721192</v>
      </c>
      <c r="L217" s="2156" t="b">
        <f t="shared" si="46"/>
        <v>1</v>
      </c>
      <c r="M217" s="2156"/>
      <c r="N217" s="2156"/>
      <c r="O217" s="2156"/>
      <c r="P217" s="2156"/>
      <c r="Q217" s="2156"/>
      <c r="R217" s="2156"/>
      <c r="S217" s="2156"/>
      <c r="T217" s="2156"/>
      <c r="U217" s="2156"/>
      <c r="V217" s="2156"/>
      <c r="W217" s="2156"/>
      <c r="X217" s="2156"/>
      <c r="Y217" s="2156"/>
      <c r="Z217" s="2156"/>
      <c r="AA217" s="2156"/>
      <c r="AB217" s="2156"/>
      <c r="AC217" s="2156"/>
      <c r="AD217" s="2156"/>
      <c r="AE217" s="2156"/>
      <c r="AF217" s="2156"/>
      <c r="AG217" s="2156"/>
      <c r="AH217" s="2156"/>
      <c r="AI217" s="2156"/>
      <c r="AJ217" s="2156"/>
      <c r="AK217" s="2156"/>
      <c r="AL217" s="2156"/>
      <c r="AM217" s="2156"/>
      <c r="AN217" s="2156"/>
      <c r="AO217" s="2156"/>
      <c r="AP217" s="2156"/>
      <c r="AQ217" s="2156"/>
      <c r="AR217" s="2156"/>
      <c r="AS217" s="2156"/>
      <c r="AT217" s="2156"/>
      <c r="AU217" s="2156"/>
      <c r="AV217" s="2156"/>
      <c r="AW217" s="2156"/>
      <c r="AX217" s="2156"/>
      <c r="AY217" s="2156"/>
      <c r="AZ217" s="2156"/>
      <c r="BA217" s="2156"/>
      <c r="BB217" s="2156"/>
      <c r="BC217" s="2156"/>
      <c r="BD217" s="2156"/>
      <c r="BE217" s="2156"/>
      <c r="BF217" s="2156"/>
      <c r="BG217" s="2156"/>
      <c r="BH217" s="2156"/>
      <c r="BI217" s="2156"/>
      <c r="BJ217" s="2156"/>
      <c r="BK217" s="2156"/>
      <c r="BL217" s="2156"/>
      <c r="BM217" s="2156"/>
      <c r="BN217" s="2156"/>
      <c r="BO217" s="2156"/>
      <c r="BP217" s="2156"/>
      <c r="BQ217" s="2156"/>
      <c r="BR217" s="2156"/>
      <c r="BS217" s="2156"/>
      <c r="BT217" s="2156"/>
      <c r="BU217" s="2156"/>
    </row>
    <row r="218" spans="2:73">
      <c r="B218" s="2160" t="s">
        <v>313</v>
      </c>
      <c r="C218" s="2123" t="s">
        <v>246</v>
      </c>
      <c r="D218" s="2160">
        <v>15400</v>
      </c>
      <c r="E218" s="2160">
        <v>80000</v>
      </c>
      <c r="F218" s="2160">
        <v>306000</v>
      </c>
      <c r="G218" s="2160">
        <f t="shared" si="47"/>
        <v>401400</v>
      </c>
      <c r="H218" s="2160">
        <v>304004200</v>
      </c>
      <c r="I218" s="2160">
        <v>1154401598</v>
      </c>
      <c r="J218" s="2160">
        <v>3866446285</v>
      </c>
      <c r="K218" s="2123">
        <f t="shared" si="45"/>
        <v>5324852083</v>
      </c>
      <c r="L218" s="2156" t="b">
        <f t="shared" si="46"/>
        <v>1</v>
      </c>
      <c r="M218" s="2156"/>
      <c r="N218" s="2156"/>
      <c r="O218" s="2156"/>
      <c r="P218" s="2156"/>
      <c r="Q218" s="2156"/>
      <c r="R218" s="2156"/>
      <c r="S218" s="2156"/>
      <c r="T218" s="2156"/>
      <c r="U218" s="2156"/>
      <c r="V218" s="2156"/>
      <c r="W218" s="2156"/>
      <c r="X218" s="2156"/>
      <c r="Y218" s="2156"/>
      <c r="Z218" s="2156"/>
      <c r="AA218" s="2156"/>
      <c r="AB218" s="2156"/>
      <c r="AC218" s="2156"/>
      <c r="AD218" s="2156"/>
      <c r="AE218" s="2156"/>
      <c r="AF218" s="2156"/>
      <c r="AG218" s="2156"/>
      <c r="AH218" s="2156"/>
      <c r="AI218" s="2156"/>
      <c r="AJ218" s="2156"/>
      <c r="AK218" s="2156"/>
      <c r="AL218" s="2156"/>
      <c r="AM218" s="2156"/>
      <c r="AN218" s="2156"/>
      <c r="AO218" s="2156"/>
      <c r="AP218" s="2156"/>
      <c r="AQ218" s="2156"/>
      <c r="AR218" s="2156"/>
      <c r="AS218" s="2156"/>
      <c r="AT218" s="2156"/>
      <c r="AU218" s="2156"/>
      <c r="AV218" s="2156"/>
      <c r="AW218" s="2156"/>
      <c r="AX218" s="2156"/>
      <c r="AY218" s="2156"/>
      <c r="AZ218" s="2156"/>
      <c r="BA218" s="2156"/>
      <c r="BB218" s="2156"/>
      <c r="BC218" s="2156"/>
      <c r="BD218" s="2156"/>
      <c r="BE218" s="2156"/>
      <c r="BF218" s="2156"/>
      <c r="BG218" s="2156"/>
      <c r="BH218" s="2156"/>
      <c r="BI218" s="2156"/>
      <c r="BJ218" s="2156"/>
      <c r="BK218" s="2156"/>
      <c r="BL218" s="2156"/>
      <c r="BM218" s="2156"/>
      <c r="BN218" s="2156"/>
      <c r="BO218" s="2156"/>
      <c r="BP218" s="2156"/>
      <c r="BQ218" s="2156"/>
      <c r="BR218" s="2156"/>
      <c r="BS218" s="2156"/>
      <c r="BT218" s="2156"/>
      <c r="BU218" s="2156"/>
    </row>
    <row r="219" spans="2:73">
      <c r="B219" s="2160" t="s">
        <v>314</v>
      </c>
      <c r="C219" s="2123" t="s">
        <v>272</v>
      </c>
      <c r="D219" s="2160">
        <v>0</v>
      </c>
      <c r="E219" s="2160">
        <v>0</v>
      </c>
      <c r="F219" s="2160">
        <v>1881585</v>
      </c>
      <c r="G219" s="2160">
        <f t="shared" si="47"/>
        <v>1881585</v>
      </c>
      <c r="H219" s="2160">
        <v>0</v>
      </c>
      <c r="I219" s="2160">
        <v>0</v>
      </c>
      <c r="J219" s="2160">
        <v>27902289416</v>
      </c>
      <c r="K219" s="2123">
        <f t="shared" si="45"/>
        <v>27902289416</v>
      </c>
      <c r="L219" s="2156" t="b">
        <f t="shared" si="46"/>
        <v>1</v>
      </c>
      <c r="M219" s="2156"/>
      <c r="N219" s="2156"/>
      <c r="O219" s="2156"/>
      <c r="P219" s="2156"/>
      <c r="Q219" s="2156"/>
      <c r="R219" s="2156"/>
      <c r="S219" s="2156"/>
      <c r="T219" s="2156"/>
      <c r="U219" s="2156"/>
      <c r="V219" s="2156"/>
      <c r="W219" s="2156"/>
      <c r="X219" s="2156"/>
      <c r="Y219" s="2156"/>
      <c r="Z219" s="2156"/>
      <c r="AA219" s="2156"/>
      <c r="AB219" s="2156"/>
      <c r="AC219" s="2156"/>
      <c r="AD219" s="2156"/>
      <c r="AE219" s="2156"/>
      <c r="AF219" s="2156"/>
      <c r="AG219" s="2156"/>
      <c r="AH219" s="2156"/>
      <c r="AI219" s="2156"/>
      <c r="AJ219" s="2156"/>
      <c r="AK219" s="2156"/>
      <c r="AL219" s="2156"/>
      <c r="AM219" s="2156"/>
      <c r="AN219" s="2156"/>
      <c r="AO219" s="2156"/>
      <c r="AP219" s="2156"/>
      <c r="AQ219" s="2156"/>
      <c r="AR219" s="2156"/>
      <c r="AS219" s="2156"/>
      <c r="AT219" s="2156"/>
      <c r="AU219" s="2156"/>
      <c r="AV219" s="2156"/>
      <c r="AW219" s="2156"/>
      <c r="AX219" s="2156"/>
      <c r="AY219" s="2156"/>
      <c r="AZ219" s="2156"/>
      <c r="BA219" s="2156"/>
      <c r="BB219" s="2156"/>
      <c r="BC219" s="2156"/>
      <c r="BD219" s="2156"/>
      <c r="BE219" s="2156"/>
      <c r="BF219" s="2156"/>
      <c r="BG219" s="2156"/>
      <c r="BH219" s="2156"/>
      <c r="BI219" s="2156"/>
      <c r="BJ219" s="2156"/>
      <c r="BK219" s="2156"/>
      <c r="BL219" s="2156"/>
      <c r="BM219" s="2156"/>
      <c r="BN219" s="2156"/>
      <c r="BO219" s="2156"/>
      <c r="BP219" s="2156"/>
      <c r="BQ219" s="2156"/>
      <c r="BR219" s="2156"/>
      <c r="BS219" s="2156"/>
      <c r="BT219" s="2156"/>
      <c r="BU219" s="2156"/>
    </row>
    <row r="220" spans="2:73">
      <c r="B220" s="2160" t="s">
        <v>315</v>
      </c>
      <c r="C220" s="2123" t="s">
        <v>316</v>
      </c>
      <c r="D220" s="2160">
        <v>0</v>
      </c>
      <c r="E220" s="2160">
        <v>50000</v>
      </c>
      <c r="F220" s="2160">
        <v>154000</v>
      </c>
      <c r="G220" s="2160">
        <f t="shared" si="47"/>
        <v>204000</v>
      </c>
      <c r="H220" s="2160">
        <v>0</v>
      </c>
      <c r="I220" s="2160">
        <v>50611300</v>
      </c>
      <c r="J220" s="2160">
        <v>148701375</v>
      </c>
      <c r="K220" s="2123">
        <f t="shared" si="45"/>
        <v>199312675</v>
      </c>
      <c r="L220" s="2156" t="b">
        <f t="shared" si="46"/>
        <v>1</v>
      </c>
      <c r="M220" s="2156"/>
      <c r="N220" s="2156"/>
      <c r="O220" s="2156"/>
      <c r="P220" s="2156"/>
      <c r="Q220" s="2156"/>
      <c r="R220" s="2156"/>
      <c r="S220" s="2156"/>
      <c r="T220" s="2156"/>
      <c r="U220" s="2156"/>
      <c r="V220" s="2156"/>
      <c r="W220" s="2156"/>
      <c r="X220" s="2156"/>
      <c r="Y220" s="2156"/>
      <c r="Z220" s="2156"/>
      <c r="AA220" s="2156"/>
      <c r="AB220" s="2156"/>
      <c r="AC220" s="2156"/>
      <c r="AD220" s="2156"/>
      <c r="AE220" s="2156"/>
      <c r="AF220" s="2156"/>
      <c r="AG220" s="2156"/>
      <c r="AH220" s="2156"/>
      <c r="AI220" s="2156"/>
      <c r="AJ220" s="2156"/>
      <c r="AK220" s="2156"/>
      <c r="AL220" s="2156"/>
      <c r="AM220" s="2156"/>
      <c r="AN220" s="2156"/>
      <c r="AO220" s="2156"/>
      <c r="AP220" s="2156"/>
      <c r="AQ220" s="2156"/>
      <c r="AR220" s="2156"/>
      <c r="AS220" s="2156"/>
      <c r="AT220" s="2156"/>
      <c r="AU220" s="2156"/>
      <c r="AV220" s="2156"/>
      <c r="AW220" s="2156"/>
      <c r="AX220" s="2156"/>
      <c r="AY220" s="2156"/>
      <c r="AZ220" s="2156"/>
      <c r="BA220" s="2156"/>
      <c r="BB220" s="2156"/>
      <c r="BC220" s="2156"/>
      <c r="BD220" s="2156"/>
      <c r="BE220" s="2156"/>
      <c r="BF220" s="2156"/>
      <c r="BG220" s="2156"/>
      <c r="BH220" s="2156"/>
      <c r="BI220" s="2156"/>
      <c r="BJ220" s="2156"/>
      <c r="BK220" s="2156"/>
      <c r="BL220" s="2156"/>
      <c r="BM220" s="2156"/>
      <c r="BN220" s="2156"/>
      <c r="BO220" s="2156"/>
      <c r="BP220" s="2156"/>
      <c r="BQ220" s="2156"/>
      <c r="BR220" s="2156"/>
      <c r="BS220" s="2156"/>
      <c r="BT220" s="2156"/>
      <c r="BU220" s="2156"/>
    </row>
    <row r="221" spans="2:73">
      <c r="B221" s="2160" t="s">
        <v>317</v>
      </c>
      <c r="C221" s="2123" t="s">
        <v>246</v>
      </c>
      <c r="D221" s="2160">
        <v>0</v>
      </c>
      <c r="E221" s="2160">
        <v>100000</v>
      </c>
      <c r="F221" s="2160">
        <v>3700500</v>
      </c>
      <c r="G221" s="2160">
        <f t="shared" si="47"/>
        <v>3800500</v>
      </c>
      <c r="H221" s="2160">
        <v>0</v>
      </c>
      <c r="I221" s="2160">
        <v>59314643</v>
      </c>
      <c r="J221" s="2160">
        <v>2153119525</v>
      </c>
      <c r="K221" s="2123">
        <f t="shared" si="45"/>
        <v>2212434168</v>
      </c>
      <c r="L221" s="2156" t="b">
        <f t="shared" si="46"/>
        <v>1</v>
      </c>
      <c r="M221" s="2156"/>
      <c r="N221" s="2156"/>
      <c r="O221" s="2156"/>
      <c r="P221" s="2156"/>
      <c r="Q221" s="2156"/>
      <c r="R221" s="2156"/>
      <c r="S221" s="2156"/>
      <c r="T221" s="2156"/>
      <c r="U221" s="2156"/>
      <c r="V221" s="2156"/>
      <c r="W221" s="2156"/>
      <c r="X221" s="2156"/>
      <c r="Y221" s="2156"/>
      <c r="Z221" s="2156"/>
      <c r="AA221" s="2156"/>
      <c r="AB221" s="2156"/>
      <c r="AC221" s="2156"/>
      <c r="AD221" s="2156"/>
      <c r="AE221" s="2156"/>
      <c r="AF221" s="2156"/>
      <c r="AG221" s="2156"/>
      <c r="AH221" s="2156"/>
      <c r="AI221" s="2156"/>
      <c r="AJ221" s="2156"/>
      <c r="AK221" s="2156"/>
      <c r="AL221" s="2156"/>
      <c r="AM221" s="2156"/>
      <c r="AN221" s="2156"/>
      <c r="AO221" s="2156"/>
      <c r="AP221" s="2156"/>
      <c r="AQ221" s="2156"/>
      <c r="AR221" s="2156"/>
      <c r="AS221" s="2156"/>
      <c r="AT221" s="2156"/>
      <c r="AU221" s="2156"/>
      <c r="AV221" s="2156"/>
      <c r="AW221" s="2156"/>
      <c r="AX221" s="2156"/>
      <c r="AY221" s="2156"/>
      <c r="AZ221" s="2156"/>
      <c r="BA221" s="2156"/>
      <c r="BB221" s="2156"/>
      <c r="BC221" s="2156"/>
      <c r="BD221" s="2156"/>
      <c r="BE221" s="2156"/>
      <c r="BF221" s="2156"/>
      <c r="BG221" s="2156"/>
      <c r="BH221" s="2156"/>
      <c r="BI221" s="2156"/>
      <c r="BJ221" s="2156"/>
      <c r="BK221" s="2156"/>
      <c r="BL221" s="2156"/>
      <c r="BM221" s="2156"/>
      <c r="BN221" s="2156"/>
      <c r="BO221" s="2156"/>
      <c r="BP221" s="2156"/>
      <c r="BQ221" s="2156"/>
      <c r="BR221" s="2156"/>
      <c r="BS221" s="2156"/>
      <c r="BT221" s="2156"/>
      <c r="BU221" s="2156"/>
    </row>
    <row r="222" spans="2:73">
      <c r="B222" s="2161" t="s">
        <v>374</v>
      </c>
      <c r="C222" s="2134" t="s">
        <v>246</v>
      </c>
      <c r="D222" s="2161">
        <v>0</v>
      </c>
      <c r="E222" s="2161">
        <v>0</v>
      </c>
      <c r="F222" s="2161">
        <v>38709.675999999999</v>
      </c>
      <c r="G222" s="2161">
        <f t="shared" si="47"/>
        <v>38709.675999999999</v>
      </c>
      <c r="H222" s="2161">
        <v>0</v>
      </c>
      <c r="I222" s="2161">
        <v>0</v>
      </c>
      <c r="J222" s="2161">
        <v>109520935262</v>
      </c>
      <c r="K222" s="2134">
        <f t="shared" si="45"/>
        <v>109520935262</v>
      </c>
      <c r="L222" s="2156" t="b">
        <f t="shared" si="46"/>
        <v>1</v>
      </c>
      <c r="M222" s="2156"/>
      <c r="N222" s="2156"/>
      <c r="O222" s="2156"/>
      <c r="P222" s="2156"/>
      <c r="Q222" s="2156"/>
      <c r="R222" s="2156"/>
      <c r="S222" s="2156"/>
      <c r="T222" s="2156"/>
      <c r="U222" s="2156"/>
      <c r="V222" s="2156"/>
      <c r="W222" s="2156"/>
      <c r="X222" s="2156"/>
      <c r="Y222" s="2156"/>
      <c r="Z222" s="2156"/>
      <c r="AA222" s="2156"/>
      <c r="AB222" s="2156"/>
      <c r="AC222" s="2156"/>
      <c r="AD222" s="2156"/>
      <c r="AE222" s="2156"/>
      <c r="AF222" s="2156"/>
      <c r="AG222" s="2156"/>
      <c r="AH222" s="2156"/>
      <c r="AI222" s="2156"/>
      <c r="AJ222" s="2156"/>
      <c r="AK222" s="2156"/>
      <c r="AL222" s="2156"/>
      <c r="AM222" s="2156"/>
      <c r="AN222" s="2156"/>
      <c r="AO222" s="2156"/>
      <c r="AP222" s="2156"/>
      <c r="AQ222" s="2156"/>
      <c r="AR222" s="2156"/>
      <c r="AS222" s="2156"/>
      <c r="AT222" s="2156"/>
      <c r="AU222" s="2156"/>
      <c r="AV222" s="2156"/>
      <c r="AW222" s="2156"/>
      <c r="AX222" s="2156"/>
      <c r="AY222" s="2156"/>
      <c r="AZ222" s="2156"/>
      <c r="BA222" s="2156"/>
      <c r="BB222" s="2156"/>
      <c r="BC222" s="2156"/>
      <c r="BD222" s="2156"/>
      <c r="BE222" s="2156"/>
      <c r="BF222" s="2156"/>
      <c r="BG222" s="2156"/>
      <c r="BH222" s="2156"/>
      <c r="BI222" s="2156"/>
      <c r="BJ222" s="2156"/>
      <c r="BK222" s="2156"/>
      <c r="BL222" s="2156"/>
      <c r="BM222" s="2156"/>
      <c r="BN222" s="2156"/>
      <c r="BO222" s="2156"/>
      <c r="BP222" s="2156"/>
      <c r="BQ222" s="2156"/>
      <c r="BR222" s="2156"/>
      <c r="BS222" s="2156"/>
      <c r="BT222" s="2156"/>
      <c r="BU222" s="2156"/>
    </row>
    <row r="223" spans="2:73">
      <c r="B223" s="2162" t="s">
        <v>275</v>
      </c>
      <c r="C223" s="2162"/>
      <c r="D223" s="2162"/>
      <c r="E223" s="2162"/>
      <c r="F223" s="2162"/>
      <c r="G223" s="2162"/>
      <c r="H223" s="2162">
        <f>SUM(H203:H222)</f>
        <v>4060094427735</v>
      </c>
      <c r="I223" s="2162">
        <f t="shared" ref="I223" si="48">SUM(I203:I222)</f>
        <v>1095224548041</v>
      </c>
      <c r="J223" s="2162">
        <f>SUM(J203:J222)</f>
        <v>2517298600676</v>
      </c>
      <c r="K223" s="2145">
        <f>SUM(K203:K222)</f>
        <v>7672617576452</v>
      </c>
      <c r="L223" s="2156" t="b">
        <f t="shared" si="46"/>
        <v>1</v>
      </c>
      <c r="M223" s="2156"/>
      <c r="N223" s="2156"/>
      <c r="O223" s="2156"/>
      <c r="P223" s="2156"/>
      <c r="Q223" s="2156"/>
      <c r="R223" s="2156"/>
      <c r="S223" s="2156"/>
      <c r="T223" s="2156"/>
      <c r="U223" s="2156"/>
      <c r="V223" s="2156"/>
      <c r="W223" s="2156"/>
      <c r="X223" s="2156"/>
      <c r="Y223" s="2156"/>
      <c r="Z223" s="2156"/>
      <c r="AA223" s="2156"/>
      <c r="AB223" s="2156"/>
      <c r="AC223" s="2156"/>
      <c r="AD223" s="2156"/>
      <c r="AE223" s="2156"/>
      <c r="AF223" s="2156"/>
      <c r="AG223" s="2156"/>
      <c r="AH223" s="2156"/>
      <c r="AI223" s="2156"/>
      <c r="AJ223" s="2156"/>
      <c r="AK223" s="2156"/>
      <c r="AL223" s="2156"/>
      <c r="AM223" s="2156"/>
      <c r="AN223" s="2156"/>
      <c r="AO223" s="2156"/>
      <c r="AP223" s="2156"/>
      <c r="AQ223" s="2156"/>
      <c r="AR223" s="2156"/>
      <c r="AS223" s="2156"/>
      <c r="AT223" s="2156"/>
      <c r="AU223" s="2156"/>
      <c r="AV223" s="2156"/>
      <c r="AW223" s="2156"/>
      <c r="AX223" s="2156"/>
      <c r="AY223" s="2156"/>
      <c r="AZ223" s="2156"/>
      <c r="BA223" s="2156"/>
      <c r="BB223" s="2156"/>
      <c r="BC223" s="2156"/>
      <c r="BD223" s="2156"/>
      <c r="BE223" s="2156"/>
      <c r="BF223" s="2156"/>
      <c r="BG223" s="2156"/>
      <c r="BH223" s="2156"/>
      <c r="BI223" s="2156"/>
      <c r="BJ223" s="2156"/>
      <c r="BK223" s="2156"/>
      <c r="BL223" s="2156"/>
      <c r="BM223" s="2156"/>
      <c r="BN223" s="2156"/>
      <c r="BO223" s="2156"/>
      <c r="BP223" s="2156"/>
      <c r="BQ223" s="2156"/>
      <c r="BR223" s="2156"/>
      <c r="BS223" s="2156"/>
      <c r="BT223" s="2156"/>
      <c r="BU223" s="2156"/>
    </row>
    <row r="226" spans="1:85">
      <c r="B226" s="3" t="s">
        <v>3815</v>
      </c>
    </row>
    <row r="227" spans="1:85">
      <c r="B227" s="2106" t="s">
        <v>3836</v>
      </c>
      <c r="C227" s="131" t="s">
        <v>186</v>
      </c>
      <c r="D227" s="2106" t="s">
        <v>187</v>
      </c>
      <c r="E227" s="2107" t="s">
        <v>188</v>
      </c>
      <c r="F227" s="2107" t="s">
        <v>189</v>
      </c>
      <c r="G227" s="2107" t="s">
        <v>190</v>
      </c>
      <c r="H227" s="2107" t="s">
        <v>202</v>
      </c>
      <c r="I227" s="2107" t="s">
        <v>203</v>
      </c>
      <c r="J227" s="2107" t="s">
        <v>204</v>
      </c>
      <c r="K227" s="2107" t="s">
        <v>205</v>
      </c>
      <c r="L227" s="2107" t="s">
        <v>276</v>
      </c>
      <c r="M227" s="2108" t="s">
        <v>141</v>
      </c>
      <c r="N227" s="2108" t="s">
        <v>191</v>
      </c>
      <c r="O227" s="2108" t="s">
        <v>277</v>
      </c>
      <c r="P227" s="2108" t="s">
        <v>278</v>
      </c>
      <c r="Q227" s="2108" t="s">
        <v>279</v>
      </c>
      <c r="R227" s="2108" t="s">
        <v>280</v>
      </c>
      <c r="S227" s="2108" t="s">
        <v>281</v>
      </c>
      <c r="T227" s="2108" t="s">
        <v>282</v>
      </c>
      <c r="U227" s="2108" t="s">
        <v>283</v>
      </c>
      <c r="V227" s="2108" t="s">
        <v>284</v>
      </c>
      <c r="W227" s="2108" t="s">
        <v>285</v>
      </c>
      <c r="X227" s="2108" t="s">
        <v>286</v>
      </c>
      <c r="Y227" s="2108" t="s">
        <v>287</v>
      </c>
      <c r="Z227" s="2108" t="s">
        <v>288</v>
      </c>
      <c r="AA227" s="2108" t="s">
        <v>289</v>
      </c>
      <c r="AB227" s="2108" t="s">
        <v>290</v>
      </c>
      <c r="AC227" s="2108" t="s">
        <v>291</v>
      </c>
      <c r="AD227" s="2108" t="s">
        <v>292</v>
      </c>
      <c r="AE227" s="2108" t="s">
        <v>200</v>
      </c>
      <c r="AF227" s="2108" t="s">
        <v>201</v>
      </c>
      <c r="AG227" s="2108" t="s">
        <v>293</v>
      </c>
      <c r="AH227" s="2108" t="s">
        <v>294</v>
      </c>
      <c r="AI227" s="2108" t="s">
        <v>295</v>
      </c>
      <c r="AJ227" s="2108" t="s">
        <v>296</v>
      </c>
      <c r="AK227" s="2108" t="s">
        <v>206</v>
      </c>
      <c r="AL227" s="2108" t="s">
        <v>207</v>
      </c>
      <c r="AM227" s="2108" t="s">
        <v>3837</v>
      </c>
      <c r="AN227" s="2108" t="s">
        <v>297</v>
      </c>
      <c r="AO227" s="2106" t="s">
        <v>208</v>
      </c>
      <c r="AP227" s="2109" t="s">
        <v>209</v>
      </c>
      <c r="AQ227" s="2109" t="s">
        <v>210</v>
      </c>
      <c r="AR227" s="2109" t="s">
        <v>211</v>
      </c>
      <c r="AS227" s="2109" t="s">
        <v>212</v>
      </c>
      <c r="AT227" s="2109" t="s">
        <v>213</v>
      </c>
      <c r="AU227" s="2109" t="s">
        <v>214</v>
      </c>
      <c r="AV227" s="2109" t="s">
        <v>215</v>
      </c>
      <c r="AW227" s="2109" t="s">
        <v>216</v>
      </c>
      <c r="AX227" s="2109" t="s">
        <v>217</v>
      </c>
      <c r="AY227" s="2109" t="s">
        <v>218</v>
      </c>
      <c r="AZ227" s="2109" t="s">
        <v>219</v>
      </c>
      <c r="BA227" s="2109" t="s">
        <v>220</v>
      </c>
      <c r="BB227" s="2109" t="s">
        <v>221</v>
      </c>
      <c r="BC227" s="2109" t="s">
        <v>222</v>
      </c>
      <c r="BD227" s="2106" t="s">
        <v>144</v>
      </c>
      <c r="BE227" s="2110" t="s">
        <v>223</v>
      </c>
      <c r="BF227" s="2110" t="s">
        <v>224</v>
      </c>
      <c r="BG227" s="2110" t="s">
        <v>225</v>
      </c>
      <c r="BH227" s="2110" t="s">
        <v>226</v>
      </c>
      <c r="BI227" s="2110" t="s">
        <v>227</v>
      </c>
      <c r="BJ227" s="2110" t="s">
        <v>228</v>
      </c>
      <c r="BK227" s="2110" t="s">
        <v>229</v>
      </c>
      <c r="BL227" s="2110" t="s">
        <v>230</v>
      </c>
      <c r="BM227" s="2111" t="s">
        <v>231</v>
      </c>
      <c r="BN227" s="2111" t="s">
        <v>232</v>
      </c>
      <c r="BO227" s="2111" t="s">
        <v>233</v>
      </c>
      <c r="BP227" s="2111" t="s">
        <v>234</v>
      </c>
      <c r="BQ227" s="2111" t="s">
        <v>235</v>
      </c>
      <c r="BR227" s="2111" t="s">
        <v>236</v>
      </c>
      <c r="BS227" s="2111" t="s">
        <v>237</v>
      </c>
      <c r="BT227" s="2111" t="s">
        <v>238</v>
      </c>
      <c r="BU227" s="2106" t="s">
        <v>239</v>
      </c>
      <c r="BW227" s="321" t="s">
        <v>1300</v>
      </c>
      <c r="BX227" s="321" t="s">
        <v>1284</v>
      </c>
      <c r="BY227" s="321" t="s">
        <v>1362</v>
      </c>
      <c r="BZ227" s="321" t="s">
        <v>1363</v>
      </c>
      <c r="CA227" s="321" t="s">
        <v>5554</v>
      </c>
      <c r="CB227" s="321" t="s">
        <v>1293</v>
      </c>
      <c r="CC227" s="321" t="s">
        <v>1294</v>
      </c>
      <c r="CD227" s="321" t="s">
        <v>1418</v>
      </c>
    </row>
    <row r="228" spans="1:85">
      <c r="A228" s="110" t="s">
        <v>63</v>
      </c>
      <c r="B228" s="2112" t="s">
        <v>298</v>
      </c>
      <c r="C228" s="2112" t="s">
        <v>242</v>
      </c>
      <c r="D228" s="2112">
        <v>571736.93799999997</v>
      </c>
      <c r="E228" s="2113">
        <v>14568284444</v>
      </c>
      <c r="F228" s="2114">
        <v>14568284444</v>
      </c>
      <c r="G228" s="2114">
        <v>0</v>
      </c>
      <c r="H228" s="2114">
        <v>0</v>
      </c>
      <c r="I228" s="2114">
        <v>0</v>
      </c>
      <c r="J228" s="2114">
        <v>0</v>
      </c>
      <c r="K228" s="2114">
        <v>0</v>
      </c>
      <c r="L228" s="2114">
        <v>0</v>
      </c>
      <c r="M228" s="2115">
        <v>20065742473</v>
      </c>
      <c r="N228" s="2116">
        <v>12040129</v>
      </c>
      <c r="O228" s="2116">
        <v>0</v>
      </c>
      <c r="P228" s="2116">
        <v>0</v>
      </c>
      <c r="Q228" s="2116">
        <v>0</v>
      </c>
      <c r="R228" s="2116">
        <v>2216685179</v>
      </c>
      <c r="S228" s="2116">
        <v>0</v>
      </c>
      <c r="T228" s="2116">
        <v>153797271</v>
      </c>
      <c r="U228" s="2116">
        <v>0</v>
      </c>
      <c r="V228" s="2116">
        <v>3167409996</v>
      </c>
      <c r="W228" s="2116">
        <v>5231607089</v>
      </c>
      <c r="X228" s="2116">
        <v>11586737</v>
      </c>
      <c r="Y228" s="2116">
        <v>1093981490</v>
      </c>
      <c r="Z228" s="2116">
        <v>1342158106</v>
      </c>
      <c r="AA228" s="2116">
        <v>0</v>
      </c>
      <c r="AB228" s="2116">
        <v>1201297672</v>
      </c>
      <c r="AC228" s="2116">
        <v>845542223</v>
      </c>
      <c r="AD228" s="2116">
        <v>1151870273</v>
      </c>
      <c r="AE228" s="2116">
        <v>0</v>
      </c>
      <c r="AF228" s="2116">
        <v>0</v>
      </c>
      <c r="AG228" s="2116">
        <v>0</v>
      </c>
      <c r="AH228" s="2116">
        <v>0</v>
      </c>
      <c r="AI228" s="2116">
        <v>0</v>
      </c>
      <c r="AJ228" s="2116">
        <v>0</v>
      </c>
      <c r="AK228" s="2116">
        <v>0</v>
      </c>
      <c r="AL228" s="2116">
        <v>-899030434</v>
      </c>
      <c r="AM228" s="2116">
        <v>1385895814</v>
      </c>
      <c r="AN228" s="2116">
        <v>3150900928</v>
      </c>
      <c r="AO228" s="2112">
        <v>-5497458029</v>
      </c>
      <c r="AP228" s="2117">
        <v>350346562</v>
      </c>
      <c r="AQ228" s="2118">
        <v>94979520</v>
      </c>
      <c r="AR228" s="2118">
        <v>845490</v>
      </c>
      <c r="AS228" s="2118">
        <v>0</v>
      </c>
      <c r="AT228" s="2118">
        <v>0</v>
      </c>
      <c r="AU228" s="2118">
        <v>186670374</v>
      </c>
      <c r="AV228" s="2118">
        <v>1131252</v>
      </c>
      <c r="AW228" s="2118">
        <v>0</v>
      </c>
      <c r="AX228" s="2118">
        <v>1746128</v>
      </c>
      <c r="AY228" s="2118">
        <v>8896659</v>
      </c>
      <c r="AZ228" s="2118">
        <v>3053837</v>
      </c>
      <c r="BA228" s="2118">
        <v>31856920</v>
      </c>
      <c r="BB228" s="2118">
        <v>175065</v>
      </c>
      <c r="BC228" s="2118">
        <v>20991317</v>
      </c>
      <c r="BD228" s="2112">
        <v>-5847804591</v>
      </c>
      <c r="BE228" s="2119">
        <v>52527000</v>
      </c>
      <c r="BF228" s="2120">
        <v>52379629</v>
      </c>
      <c r="BG228" s="2120">
        <v>147371</v>
      </c>
      <c r="BH228" s="2120">
        <v>0</v>
      </c>
      <c r="BI228" s="2120">
        <v>0</v>
      </c>
      <c r="BJ228" s="2120">
        <v>0</v>
      </c>
      <c r="BK228" s="2120">
        <v>0</v>
      </c>
      <c r="BL228" s="2120">
        <v>0</v>
      </c>
      <c r="BM228" s="2121">
        <v>50355079</v>
      </c>
      <c r="BN228" s="2122">
        <v>50081029</v>
      </c>
      <c r="BO228" s="2122">
        <v>274050</v>
      </c>
      <c r="BP228" s="2122">
        <v>0</v>
      </c>
      <c r="BQ228" s="2122">
        <v>0</v>
      </c>
      <c r="BR228" s="2122">
        <v>0</v>
      </c>
      <c r="BS228" s="2122">
        <v>0</v>
      </c>
      <c r="BT228" s="2122">
        <v>0</v>
      </c>
      <c r="BU228" s="2112">
        <v>-5845632670</v>
      </c>
      <c r="BW228" s="255">
        <f>SUM(G228:L228)</f>
        <v>0</v>
      </c>
      <c r="BX228" s="255">
        <f>N228</f>
        <v>12040129</v>
      </c>
      <c r="BY228" s="255">
        <f>SUM(AE228:AK228)</f>
        <v>0</v>
      </c>
      <c r="BZ228" s="255">
        <f t="shared" ref="BZ228:BZ248" si="49">BY228+BX228</f>
        <v>12040129</v>
      </c>
      <c r="CA228" s="255">
        <f>AN228+AL228</f>
        <v>2251870494</v>
      </c>
      <c r="CB228" s="255">
        <f>SUM(W228,X228)</f>
        <v>5243193826</v>
      </c>
      <c r="CC228" s="255">
        <f>SUM(AA228:AB228)</f>
        <v>1201297672</v>
      </c>
      <c r="CD228" s="255">
        <f>AQ228</f>
        <v>94979520</v>
      </c>
      <c r="CG228" s="255"/>
    </row>
    <row r="229" spans="1:85">
      <c r="A229" s="110" t="s">
        <v>63</v>
      </c>
      <c r="B229" s="2123" t="s">
        <v>299</v>
      </c>
      <c r="C229" s="2123" t="s">
        <v>244</v>
      </c>
      <c r="D229" s="2123">
        <v>76621500</v>
      </c>
      <c r="E229" s="2124">
        <v>39367066010</v>
      </c>
      <c r="F229" s="2125">
        <v>39367066010</v>
      </c>
      <c r="G229" s="2125">
        <v>0</v>
      </c>
      <c r="H229" s="2125">
        <v>0</v>
      </c>
      <c r="I229" s="2125">
        <v>0</v>
      </c>
      <c r="J229" s="2125">
        <v>0</v>
      </c>
      <c r="K229" s="2125">
        <v>0</v>
      </c>
      <c r="L229" s="2125">
        <v>0</v>
      </c>
      <c r="M229" s="2126">
        <v>16087961082</v>
      </c>
      <c r="N229" s="2127">
        <v>0</v>
      </c>
      <c r="O229" s="2127">
        <v>0</v>
      </c>
      <c r="P229" s="2127">
        <v>0</v>
      </c>
      <c r="Q229" s="2127">
        <v>0</v>
      </c>
      <c r="R229" s="2127">
        <v>3978097984</v>
      </c>
      <c r="S229" s="2127">
        <v>0</v>
      </c>
      <c r="T229" s="2127">
        <v>290013513</v>
      </c>
      <c r="U229" s="2127">
        <v>0</v>
      </c>
      <c r="V229" s="2127">
        <v>5772680485</v>
      </c>
      <c r="W229" s="2127">
        <v>287085888</v>
      </c>
      <c r="X229" s="2127">
        <v>1432472621</v>
      </c>
      <c r="Y229" s="2127">
        <v>0</v>
      </c>
      <c r="Z229" s="2127">
        <v>1146926984</v>
      </c>
      <c r="AA229" s="2127">
        <v>0</v>
      </c>
      <c r="AB229" s="2127">
        <v>1742663796</v>
      </c>
      <c r="AC229" s="2127">
        <v>164090517</v>
      </c>
      <c r="AD229" s="2127">
        <v>1273929294</v>
      </c>
      <c r="AE229" s="2127">
        <v>0</v>
      </c>
      <c r="AF229" s="2127">
        <v>0</v>
      </c>
      <c r="AG229" s="2127">
        <v>0</v>
      </c>
      <c r="AH229" s="2127">
        <v>0</v>
      </c>
      <c r="AI229" s="2127">
        <v>0</v>
      </c>
      <c r="AJ229" s="2127">
        <v>0</v>
      </c>
      <c r="AK229" s="2127">
        <v>0</v>
      </c>
      <c r="AL229" s="2127">
        <v>0</v>
      </c>
      <c r="AM229" s="2127">
        <v>0</v>
      </c>
      <c r="AN229" s="2127">
        <v>0</v>
      </c>
      <c r="AO229" s="2123">
        <v>23279104928</v>
      </c>
      <c r="AP229" s="2128">
        <v>3846666680</v>
      </c>
      <c r="AQ229" s="2129">
        <v>3689842000</v>
      </c>
      <c r="AR229" s="2129">
        <v>0</v>
      </c>
      <c r="AS229" s="2129">
        <v>0</v>
      </c>
      <c r="AT229" s="2129">
        <v>0</v>
      </c>
      <c r="AU229" s="2129">
        <v>150771390</v>
      </c>
      <c r="AV229" s="2129">
        <v>0</v>
      </c>
      <c r="AW229" s="2129">
        <v>0</v>
      </c>
      <c r="AX229" s="2129">
        <v>1485196</v>
      </c>
      <c r="AY229" s="2129">
        <v>0</v>
      </c>
      <c r="AZ229" s="2129">
        <v>0</v>
      </c>
      <c r="BA229" s="2129">
        <v>427457</v>
      </c>
      <c r="BB229" s="2129">
        <v>0</v>
      </c>
      <c r="BC229" s="2129">
        <v>4140637</v>
      </c>
      <c r="BD229" s="2123">
        <v>19432438248</v>
      </c>
      <c r="BE229" s="2130">
        <v>0</v>
      </c>
      <c r="BF229" s="2131">
        <v>0</v>
      </c>
      <c r="BG229" s="2131">
        <v>0</v>
      </c>
      <c r="BH229" s="2131">
        <v>0</v>
      </c>
      <c r="BI229" s="2131">
        <v>0</v>
      </c>
      <c r="BJ229" s="2131">
        <v>0</v>
      </c>
      <c r="BK229" s="2131">
        <v>0</v>
      </c>
      <c r="BL229" s="2131">
        <v>0</v>
      </c>
      <c r="BM229" s="2132">
        <v>0</v>
      </c>
      <c r="BN229" s="2133">
        <v>0</v>
      </c>
      <c r="BO229" s="2133">
        <v>0</v>
      </c>
      <c r="BP229" s="2133">
        <v>0</v>
      </c>
      <c r="BQ229" s="2133">
        <v>0</v>
      </c>
      <c r="BR229" s="2133">
        <v>0</v>
      </c>
      <c r="BS229" s="2133">
        <v>0</v>
      </c>
      <c r="BT229" s="2133">
        <v>0</v>
      </c>
      <c r="BU229" s="2123">
        <v>19432438248</v>
      </c>
      <c r="BW229" s="255">
        <f t="shared" ref="BW229:BW247" si="50">SUM(G229:L229)</f>
        <v>0</v>
      </c>
      <c r="BX229" s="255">
        <f t="shared" ref="BX229:BX247" si="51">N229</f>
        <v>0</v>
      </c>
      <c r="BY229" s="255">
        <f t="shared" ref="BY229:BY248" si="52">SUM(AE229:AK229)</f>
        <v>0</v>
      </c>
      <c r="BZ229" s="255">
        <f t="shared" si="49"/>
        <v>0</v>
      </c>
      <c r="CA229" s="255">
        <f t="shared" ref="CA229:CA248" si="53">AN229+AL229</f>
        <v>0</v>
      </c>
      <c r="CB229" s="255">
        <f t="shared" ref="CB229:CB247" si="54">SUM(W229,X229)</f>
        <v>1719558509</v>
      </c>
      <c r="CC229" s="255">
        <f t="shared" ref="CC229:CC247" si="55">SUM(AA229:AB229)</f>
        <v>1742663796</v>
      </c>
      <c r="CD229" s="255">
        <f t="shared" ref="CD229:CD247" si="56">AQ229</f>
        <v>3689842000</v>
      </c>
      <c r="CG229" s="255"/>
    </row>
    <row r="230" spans="1:85">
      <c r="A230" s="110" t="s">
        <v>63</v>
      </c>
      <c r="B230" s="2123" t="s">
        <v>300</v>
      </c>
      <c r="C230" s="2123" t="s">
        <v>246</v>
      </c>
      <c r="D230" s="2123">
        <v>4514</v>
      </c>
      <c r="E230" s="2124">
        <v>977088100</v>
      </c>
      <c r="F230" s="2125">
        <v>977088100</v>
      </c>
      <c r="G230" s="2125">
        <v>0</v>
      </c>
      <c r="H230" s="2125">
        <v>0</v>
      </c>
      <c r="I230" s="2125">
        <v>0</v>
      </c>
      <c r="J230" s="2125">
        <v>0</v>
      </c>
      <c r="K230" s="2125">
        <v>0</v>
      </c>
      <c r="L230" s="2125">
        <v>0</v>
      </c>
      <c r="M230" s="2126">
        <v>751555333</v>
      </c>
      <c r="N230" s="2127">
        <v>0</v>
      </c>
      <c r="O230" s="2127">
        <v>165761058</v>
      </c>
      <c r="P230" s="2127">
        <v>0</v>
      </c>
      <c r="Q230" s="2127">
        <v>0</v>
      </c>
      <c r="R230" s="2127">
        <v>115239349</v>
      </c>
      <c r="S230" s="2127">
        <v>0</v>
      </c>
      <c r="T230" s="2127">
        <v>6779104</v>
      </c>
      <c r="U230" s="2127">
        <v>0</v>
      </c>
      <c r="V230" s="2127">
        <v>107111170</v>
      </c>
      <c r="W230" s="2127">
        <v>16130303</v>
      </c>
      <c r="X230" s="2127">
        <v>169540520</v>
      </c>
      <c r="Y230" s="2127">
        <v>2131714</v>
      </c>
      <c r="Z230" s="2127">
        <v>90414560</v>
      </c>
      <c r="AA230" s="2127">
        <v>0</v>
      </c>
      <c r="AB230" s="2127">
        <v>32347271</v>
      </c>
      <c r="AC230" s="2127">
        <v>7074393</v>
      </c>
      <c r="AD230" s="2127">
        <v>39025891</v>
      </c>
      <c r="AE230" s="2127">
        <v>0</v>
      </c>
      <c r="AF230" s="2127">
        <v>0</v>
      </c>
      <c r="AG230" s="2127">
        <v>0</v>
      </c>
      <c r="AH230" s="2127">
        <v>0</v>
      </c>
      <c r="AI230" s="2127">
        <v>0</v>
      </c>
      <c r="AJ230" s="2127">
        <v>0</v>
      </c>
      <c r="AK230" s="2127">
        <v>0</v>
      </c>
      <c r="AL230" s="2127">
        <v>0</v>
      </c>
      <c r="AM230" s="2127">
        <v>0</v>
      </c>
      <c r="AN230" s="2127">
        <v>0</v>
      </c>
      <c r="AO230" s="2123">
        <v>225532767</v>
      </c>
      <c r="AP230" s="2128">
        <v>3753297</v>
      </c>
      <c r="AQ230" s="2129">
        <v>0</v>
      </c>
      <c r="AR230" s="2129">
        <v>0</v>
      </c>
      <c r="AS230" s="2129">
        <v>0</v>
      </c>
      <c r="AT230" s="2129">
        <v>0</v>
      </c>
      <c r="AU230" s="2129">
        <v>3609718</v>
      </c>
      <c r="AV230" s="2129">
        <v>0</v>
      </c>
      <c r="AW230" s="2129">
        <v>0</v>
      </c>
      <c r="AX230" s="2129">
        <v>35969</v>
      </c>
      <c r="AY230" s="2129">
        <v>0</v>
      </c>
      <c r="AZ230" s="2129">
        <v>0</v>
      </c>
      <c r="BA230" s="2129">
        <v>14543</v>
      </c>
      <c r="BB230" s="2129">
        <v>0</v>
      </c>
      <c r="BC230" s="2129">
        <v>93067</v>
      </c>
      <c r="BD230" s="2123">
        <v>221779470</v>
      </c>
      <c r="BE230" s="2130">
        <v>0</v>
      </c>
      <c r="BF230" s="2131">
        <v>0</v>
      </c>
      <c r="BG230" s="2131">
        <v>0</v>
      </c>
      <c r="BH230" s="2131">
        <v>0</v>
      </c>
      <c r="BI230" s="2131">
        <v>0</v>
      </c>
      <c r="BJ230" s="2131">
        <v>0</v>
      </c>
      <c r="BK230" s="2131">
        <v>0</v>
      </c>
      <c r="BL230" s="2131">
        <v>0</v>
      </c>
      <c r="BM230" s="2132">
        <v>0</v>
      </c>
      <c r="BN230" s="2133">
        <v>0</v>
      </c>
      <c r="BO230" s="2133">
        <v>0</v>
      </c>
      <c r="BP230" s="2133">
        <v>0</v>
      </c>
      <c r="BQ230" s="2133">
        <v>0</v>
      </c>
      <c r="BR230" s="2133">
        <v>0</v>
      </c>
      <c r="BS230" s="2133">
        <v>0</v>
      </c>
      <c r="BT230" s="2133">
        <v>0</v>
      </c>
      <c r="BU230" s="2123">
        <v>221779470</v>
      </c>
      <c r="BW230" s="255">
        <f t="shared" si="50"/>
        <v>0</v>
      </c>
      <c r="BX230" s="255">
        <f t="shared" si="51"/>
        <v>0</v>
      </c>
      <c r="BY230" s="255">
        <f t="shared" si="52"/>
        <v>0</v>
      </c>
      <c r="BZ230" s="255">
        <f t="shared" si="49"/>
        <v>0</v>
      </c>
      <c r="CA230" s="255">
        <f t="shared" si="53"/>
        <v>0</v>
      </c>
      <c r="CB230" s="255">
        <f t="shared" si="54"/>
        <v>185670823</v>
      </c>
      <c r="CC230" s="255">
        <f t="shared" si="55"/>
        <v>32347271</v>
      </c>
      <c r="CD230" s="255">
        <f t="shared" si="56"/>
        <v>0</v>
      </c>
      <c r="CG230" s="255"/>
    </row>
    <row r="231" spans="1:85">
      <c r="A231" s="110" t="s">
        <v>63</v>
      </c>
      <c r="B231" s="2123" t="s">
        <v>301</v>
      </c>
      <c r="C231" s="2123" t="s">
        <v>246</v>
      </c>
      <c r="D231" s="2123">
        <v>55996.56</v>
      </c>
      <c r="E231" s="2124">
        <v>447972480</v>
      </c>
      <c r="F231" s="2125">
        <v>447972480</v>
      </c>
      <c r="G231" s="2125">
        <v>0</v>
      </c>
      <c r="H231" s="2125">
        <v>0</v>
      </c>
      <c r="I231" s="2125">
        <v>0</v>
      </c>
      <c r="J231" s="2125">
        <v>0</v>
      </c>
      <c r="K231" s="2125">
        <v>0</v>
      </c>
      <c r="L231" s="2125">
        <v>0</v>
      </c>
      <c r="M231" s="2126">
        <v>2256751141</v>
      </c>
      <c r="N231" s="2127">
        <v>0</v>
      </c>
      <c r="O231" s="2127">
        <v>1005522101</v>
      </c>
      <c r="P231" s="2127">
        <v>0</v>
      </c>
      <c r="Q231" s="2127">
        <v>0</v>
      </c>
      <c r="R231" s="2127">
        <v>247067518</v>
      </c>
      <c r="S231" s="2127">
        <v>0</v>
      </c>
      <c r="T231" s="2127">
        <v>16826875</v>
      </c>
      <c r="U231" s="2127">
        <v>0</v>
      </c>
      <c r="V231" s="2127">
        <v>150067824</v>
      </c>
      <c r="W231" s="2127">
        <v>23503186</v>
      </c>
      <c r="X231" s="2127">
        <v>144733447</v>
      </c>
      <c r="Y231" s="2127">
        <v>0</v>
      </c>
      <c r="Z231" s="2127">
        <v>218489952</v>
      </c>
      <c r="AA231" s="2127">
        <v>0</v>
      </c>
      <c r="AB231" s="2127">
        <v>123186446</v>
      </c>
      <c r="AC231" s="2127">
        <v>9882777</v>
      </c>
      <c r="AD231" s="2127">
        <v>316441753</v>
      </c>
      <c r="AE231" s="2127">
        <v>0</v>
      </c>
      <c r="AF231" s="2127">
        <v>0</v>
      </c>
      <c r="AG231" s="2127">
        <v>0</v>
      </c>
      <c r="AH231" s="2127">
        <v>0</v>
      </c>
      <c r="AI231" s="2127">
        <v>0</v>
      </c>
      <c r="AJ231" s="2127">
        <v>0</v>
      </c>
      <c r="AK231" s="2127">
        <v>0</v>
      </c>
      <c r="AL231" s="2127">
        <v>1029262</v>
      </c>
      <c r="AM231" s="2127">
        <v>0</v>
      </c>
      <c r="AN231" s="2127">
        <v>0</v>
      </c>
      <c r="AO231" s="2123">
        <v>-1808778661</v>
      </c>
      <c r="AP231" s="2128">
        <v>66260895</v>
      </c>
      <c r="AQ231" s="2129">
        <v>60166200</v>
      </c>
      <c r="AR231" s="2129">
        <v>0</v>
      </c>
      <c r="AS231" s="2129">
        <v>0</v>
      </c>
      <c r="AT231" s="2129">
        <v>0</v>
      </c>
      <c r="AU231" s="2129">
        <v>5532545</v>
      </c>
      <c r="AV231" s="2129">
        <v>0</v>
      </c>
      <c r="AW231" s="2129">
        <v>0</v>
      </c>
      <c r="AX231" s="2129">
        <v>66934</v>
      </c>
      <c r="AY231" s="2129">
        <v>0</v>
      </c>
      <c r="AZ231" s="2129">
        <v>0</v>
      </c>
      <c r="BA231" s="2129">
        <v>2235</v>
      </c>
      <c r="BB231" s="2129">
        <v>0</v>
      </c>
      <c r="BC231" s="2129">
        <v>492981</v>
      </c>
      <c r="BD231" s="2123">
        <v>-1875039556</v>
      </c>
      <c r="BE231" s="2130">
        <v>0</v>
      </c>
      <c r="BF231" s="2131">
        <v>0</v>
      </c>
      <c r="BG231" s="2131">
        <v>0</v>
      </c>
      <c r="BH231" s="2131">
        <v>0</v>
      </c>
      <c r="BI231" s="2131">
        <v>0</v>
      </c>
      <c r="BJ231" s="2131">
        <v>0</v>
      </c>
      <c r="BK231" s="2131">
        <v>0</v>
      </c>
      <c r="BL231" s="2131">
        <v>0</v>
      </c>
      <c r="BM231" s="2132">
        <v>0</v>
      </c>
      <c r="BN231" s="2133">
        <v>0</v>
      </c>
      <c r="BO231" s="2133">
        <v>0</v>
      </c>
      <c r="BP231" s="2133">
        <v>0</v>
      </c>
      <c r="BQ231" s="2133">
        <v>0</v>
      </c>
      <c r="BR231" s="2133">
        <v>0</v>
      </c>
      <c r="BS231" s="2133">
        <v>0</v>
      </c>
      <c r="BT231" s="2133">
        <v>0</v>
      </c>
      <c r="BU231" s="2123">
        <v>-1875039556</v>
      </c>
      <c r="BW231" s="255">
        <f t="shared" si="50"/>
        <v>0</v>
      </c>
      <c r="BX231" s="255">
        <f t="shared" si="51"/>
        <v>0</v>
      </c>
      <c r="BY231" s="255">
        <f t="shared" si="52"/>
        <v>0</v>
      </c>
      <c r="BZ231" s="255">
        <f t="shared" si="49"/>
        <v>0</v>
      </c>
      <c r="CA231" s="255">
        <f t="shared" si="53"/>
        <v>1029262</v>
      </c>
      <c r="CB231" s="255">
        <f t="shared" si="54"/>
        <v>168236633</v>
      </c>
      <c r="CC231" s="255">
        <f t="shared" si="55"/>
        <v>123186446</v>
      </c>
      <c r="CD231" s="255">
        <f t="shared" si="56"/>
        <v>60166200</v>
      </c>
      <c r="CG231" s="255"/>
    </row>
    <row r="232" spans="1:85">
      <c r="A232" s="110" t="s">
        <v>63</v>
      </c>
      <c r="B232" s="2123" t="s">
        <v>302</v>
      </c>
      <c r="C232" s="2123" t="s">
        <v>5586</v>
      </c>
      <c r="D232" s="2123">
        <v>2044.105</v>
      </c>
      <c r="E232" s="2124">
        <v>6985524496</v>
      </c>
      <c r="F232" s="2125">
        <v>6985524496</v>
      </c>
      <c r="G232" s="2125">
        <v>0</v>
      </c>
      <c r="H232" s="2125">
        <v>0</v>
      </c>
      <c r="I232" s="2125">
        <v>0</v>
      </c>
      <c r="J232" s="2125">
        <v>0</v>
      </c>
      <c r="K232" s="2125">
        <v>0</v>
      </c>
      <c r="L232" s="2125">
        <v>0</v>
      </c>
      <c r="M232" s="2126">
        <v>2755245755</v>
      </c>
      <c r="N232" s="2127">
        <v>498167033</v>
      </c>
      <c r="O232" s="2127">
        <v>0</v>
      </c>
      <c r="P232" s="2127">
        <v>-32010</v>
      </c>
      <c r="Q232" s="2127">
        <v>0</v>
      </c>
      <c r="R232" s="2127">
        <v>757854359</v>
      </c>
      <c r="S232" s="2127">
        <v>0</v>
      </c>
      <c r="T232" s="2127">
        <v>88358139</v>
      </c>
      <c r="U232" s="2127">
        <v>0</v>
      </c>
      <c r="V232" s="2127">
        <v>442453899</v>
      </c>
      <c r="W232" s="2127">
        <v>9271407</v>
      </c>
      <c r="X232" s="2127">
        <v>471830707</v>
      </c>
      <c r="Y232" s="2127">
        <v>65023558</v>
      </c>
      <c r="Z232" s="2127">
        <v>136905159</v>
      </c>
      <c r="AA232" s="2127">
        <v>0</v>
      </c>
      <c r="AB232" s="2127">
        <v>76314398</v>
      </c>
      <c r="AC232" s="2127">
        <v>2486710</v>
      </c>
      <c r="AD232" s="2127">
        <v>127333298</v>
      </c>
      <c r="AE232" s="2127">
        <v>0</v>
      </c>
      <c r="AF232" s="2127">
        <v>42457659</v>
      </c>
      <c r="AG232" s="2127">
        <v>0</v>
      </c>
      <c r="AH232" s="2127">
        <v>0</v>
      </c>
      <c r="AI232" s="2127">
        <v>0</v>
      </c>
      <c r="AJ232" s="2127">
        <v>0</v>
      </c>
      <c r="AK232" s="2127">
        <v>0</v>
      </c>
      <c r="AL232" s="2127">
        <v>0</v>
      </c>
      <c r="AM232" s="2127">
        <v>0</v>
      </c>
      <c r="AN232" s="2127">
        <v>36821439</v>
      </c>
      <c r="AO232" s="2123">
        <v>4230278741</v>
      </c>
      <c r="AP232" s="2128">
        <v>50242518</v>
      </c>
      <c r="AQ232" s="2129">
        <v>47612510</v>
      </c>
      <c r="AR232" s="2129">
        <v>85395</v>
      </c>
      <c r="AS232" s="2129">
        <v>0</v>
      </c>
      <c r="AT232" s="2129">
        <v>0</v>
      </c>
      <c r="AU232" s="2129">
        <v>490319</v>
      </c>
      <c r="AV232" s="2129">
        <v>0</v>
      </c>
      <c r="AW232" s="2129">
        <v>0</v>
      </c>
      <c r="AX232" s="2129">
        <v>2016</v>
      </c>
      <c r="AY232" s="2129">
        <v>0</v>
      </c>
      <c r="AZ232" s="2129">
        <v>0</v>
      </c>
      <c r="BA232" s="2129">
        <v>1997897</v>
      </c>
      <c r="BB232" s="2129">
        <v>0</v>
      </c>
      <c r="BC232" s="2129">
        <v>54381</v>
      </c>
      <c r="BD232" s="2123">
        <v>4180036223</v>
      </c>
      <c r="BE232" s="2130">
        <v>0</v>
      </c>
      <c r="BF232" s="2131">
        <v>0</v>
      </c>
      <c r="BG232" s="2131">
        <v>0</v>
      </c>
      <c r="BH232" s="2131">
        <v>0</v>
      </c>
      <c r="BI232" s="2131">
        <v>0</v>
      </c>
      <c r="BJ232" s="2131">
        <v>0</v>
      </c>
      <c r="BK232" s="2131">
        <v>0</v>
      </c>
      <c r="BL232" s="2131">
        <v>0</v>
      </c>
      <c r="BM232" s="2132">
        <v>0</v>
      </c>
      <c r="BN232" s="2133">
        <v>0</v>
      </c>
      <c r="BO232" s="2133">
        <v>0</v>
      </c>
      <c r="BP232" s="2133">
        <v>0</v>
      </c>
      <c r="BQ232" s="2133">
        <v>0</v>
      </c>
      <c r="BR232" s="2133">
        <v>0</v>
      </c>
      <c r="BS232" s="2133">
        <v>0</v>
      </c>
      <c r="BT232" s="2133">
        <v>0</v>
      </c>
      <c r="BU232" s="2123">
        <v>4180036223</v>
      </c>
      <c r="BW232" s="255">
        <f t="shared" si="50"/>
        <v>0</v>
      </c>
      <c r="BX232" s="255">
        <f t="shared" si="51"/>
        <v>498167033</v>
      </c>
      <c r="BY232" s="255">
        <f t="shared" si="52"/>
        <v>42457659</v>
      </c>
      <c r="BZ232" s="255">
        <f t="shared" si="49"/>
        <v>540624692</v>
      </c>
      <c r="CA232" s="255">
        <f t="shared" si="53"/>
        <v>36821439</v>
      </c>
      <c r="CB232" s="255">
        <f t="shared" si="54"/>
        <v>481102114</v>
      </c>
      <c r="CC232" s="255">
        <f t="shared" si="55"/>
        <v>76314398</v>
      </c>
      <c r="CD232" s="255">
        <f t="shared" si="56"/>
        <v>47612510</v>
      </c>
      <c r="CG232" s="255"/>
    </row>
    <row r="233" spans="1:85">
      <c r="A233" s="110" t="s">
        <v>63</v>
      </c>
      <c r="B233" s="2123" t="s">
        <v>303</v>
      </c>
      <c r="C233" s="2123" t="s">
        <v>252</v>
      </c>
      <c r="D233" s="2123">
        <v>186456</v>
      </c>
      <c r="E233" s="2124">
        <v>6299256099</v>
      </c>
      <c r="F233" s="2125">
        <v>6299256099</v>
      </c>
      <c r="G233" s="2125">
        <v>0</v>
      </c>
      <c r="H233" s="2125">
        <v>0</v>
      </c>
      <c r="I233" s="2125">
        <v>0</v>
      </c>
      <c r="J233" s="2125">
        <v>0</v>
      </c>
      <c r="K233" s="2125">
        <v>0</v>
      </c>
      <c r="L233" s="2125">
        <v>0</v>
      </c>
      <c r="M233" s="2126">
        <v>3652902844</v>
      </c>
      <c r="N233" s="2127">
        <v>0</v>
      </c>
      <c r="O233" s="2127">
        <v>0</v>
      </c>
      <c r="P233" s="2127">
        <v>0</v>
      </c>
      <c r="Q233" s="2127">
        <v>0</v>
      </c>
      <c r="R233" s="2127">
        <v>72517069</v>
      </c>
      <c r="S233" s="2127">
        <v>0</v>
      </c>
      <c r="T233" s="2127">
        <v>9319964</v>
      </c>
      <c r="U233" s="2127">
        <v>0</v>
      </c>
      <c r="V233" s="2127">
        <v>403108279</v>
      </c>
      <c r="W233" s="2127">
        <v>0</v>
      </c>
      <c r="X233" s="2127">
        <v>3057481956</v>
      </c>
      <c r="Y233" s="2127">
        <v>1414837</v>
      </c>
      <c r="Z233" s="2127">
        <v>32543092</v>
      </c>
      <c r="AA233" s="2127">
        <v>0</v>
      </c>
      <c r="AB233" s="2127">
        <v>4252857</v>
      </c>
      <c r="AC233" s="2127">
        <v>-23869189</v>
      </c>
      <c r="AD233" s="2127">
        <v>96133979</v>
      </c>
      <c r="AE233" s="2127">
        <v>0</v>
      </c>
      <c r="AF233" s="2127">
        <v>0</v>
      </c>
      <c r="AG233" s="2127">
        <v>0</v>
      </c>
      <c r="AH233" s="2127">
        <v>0</v>
      </c>
      <c r="AI233" s="2127">
        <v>0</v>
      </c>
      <c r="AJ233" s="2127">
        <v>0</v>
      </c>
      <c r="AK233" s="2127">
        <v>0</v>
      </c>
      <c r="AL233" s="2127">
        <v>0</v>
      </c>
      <c r="AM233" s="2127">
        <v>0</v>
      </c>
      <c r="AN233" s="2127">
        <v>0</v>
      </c>
      <c r="AO233" s="2123">
        <v>2646353255</v>
      </c>
      <c r="AP233" s="2128">
        <v>83960212</v>
      </c>
      <c r="AQ233" s="2129">
        <v>0</v>
      </c>
      <c r="AR233" s="2129">
        <v>0</v>
      </c>
      <c r="AS233" s="2129">
        <v>0</v>
      </c>
      <c r="AT233" s="2129">
        <v>0</v>
      </c>
      <c r="AU233" s="2129">
        <v>76539236</v>
      </c>
      <c r="AV233" s="2129">
        <v>0</v>
      </c>
      <c r="AW233" s="2129">
        <v>0</v>
      </c>
      <c r="AX233" s="2129">
        <v>898695</v>
      </c>
      <c r="AY233" s="2129">
        <v>0</v>
      </c>
      <c r="AZ233" s="2129">
        <v>0</v>
      </c>
      <c r="BA233" s="2129">
        <v>29373</v>
      </c>
      <c r="BB233" s="2129">
        <v>0</v>
      </c>
      <c r="BC233" s="2129">
        <v>6492908</v>
      </c>
      <c r="BD233" s="2123">
        <v>2562393043</v>
      </c>
      <c r="BE233" s="2130">
        <v>0</v>
      </c>
      <c r="BF233" s="2131">
        <v>0</v>
      </c>
      <c r="BG233" s="2131">
        <v>0</v>
      </c>
      <c r="BH233" s="2131">
        <v>0</v>
      </c>
      <c r="BI233" s="2131">
        <v>0</v>
      </c>
      <c r="BJ233" s="2131">
        <v>0</v>
      </c>
      <c r="BK233" s="2131">
        <v>0</v>
      </c>
      <c r="BL233" s="2131">
        <v>0</v>
      </c>
      <c r="BM233" s="2132">
        <v>0</v>
      </c>
      <c r="BN233" s="2133">
        <v>0</v>
      </c>
      <c r="BO233" s="2133">
        <v>0</v>
      </c>
      <c r="BP233" s="2133">
        <v>0</v>
      </c>
      <c r="BQ233" s="2133">
        <v>0</v>
      </c>
      <c r="BR233" s="2133">
        <v>0</v>
      </c>
      <c r="BS233" s="2133">
        <v>0</v>
      </c>
      <c r="BT233" s="2133">
        <v>0</v>
      </c>
      <c r="BU233" s="2123">
        <v>2562393043</v>
      </c>
      <c r="BW233" s="255">
        <f t="shared" si="50"/>
        <v>0</v>
      </c>
      <c r="BX233" s="255">
        <f t="shared" si="51"/>
        <v>0</v>
      </c>
      <c r="BY233" s="255">
        <f t="shared" si="52"/>
        <v>0</v>
      </c>
      <c r="BZ233" s="255">
        <f t="shared" si="49"/>
        <v>0</v>
      </c>
      <c r="CA233" s="255">
        <f t="shared" si="53"/>
        <v>0</v>
      </c>
      <c r="CB233" s="255">
        <f t="shared" si="54"/>
        <v>3057481956</v>
      </c>
      <c r="CC233" s="255">
        <f t="shared" si="55"/>
        <v>4252857</v>
      </c>
      <c r="CD233" s="255">
        <f t="shared" si="56"/>
        <v>0</v>
      </c>
      <c r="CG233" s="255"/>
    </row>
    <row r="234" spans="1:85">
      <c r="A234" s="110" t="s">
        <v>63</v>
      </c>
      <c r="B234" s="2123" t="s">
        <v>304</v>
      </c>
      <c r="C234" s="2123" t="s">
        <v>246</v>
      </c>
      <c r="D234" s="2123">
        <v>16100</v>
      </c>
      <c r="E234" s="2124">
        <v>1139320941</v>
      </c>
      <c r="F234" s="2125">
        <v>1139320941</v>
      </c>
      <c r="G234" s="2125">
        <v>0</v>
      </c>
      <c r="H234" s="2125">
        <v>0</v>
      </c>
      <c r="I234" s="2125">
        <v>0</v>
      </c>
      <c r="J234" s="2125">
        <v>0</v>
      </c>
      <c r="K234" s="2125">
        <v>0</v>
      </c>
      <c r="L234" s="2125">
        <v>0</v>
      </c>
      <c r="M234" s="2126">
        <v>547392604</v>
      </c>
      <c r="N234" s="2127">
        <v>0</v>
      </c>
      <c r="O234" s="2127">
        <v>0</v>
      </c>
      <c r="P234" s="2127">
        <v>0</v>
      </c>
      <c r="Q234" s="2127">
        <v>0</v>
      </c>
      <c r="R234" s="2127">
        <v>113185198</v>
      </c>
      <c r="S234" s="2127">
        <v>0</v>
      </c>
      <c r="T234" s="2127">
        <v>7378680</v>
      </c>
      <c r="U234" s="2127">
        <v>0</v>
      </c>
      <c r="V234" s="2127">
        <v>133679474</v>
      </c>
      <c r="W234" s="2127">
        <v>8773869</v>
      </c>
      <c r="X234" s="2127">
        <v>14476896</v>
      </c>
      <c r="Y234" s="2127">
        <v>4055579</v>
      </c>
      <c r="Z234" s="2127">
        <v>68282737</v>
      </c>
      <c r="AA234" s="2127">
        <v>0</v>
      </c>
      <c r="AB234" s="2127">
        <v>135980900</v>
      </c>
      <c r="AC234" s="2127">
        <v>215458</v>
      </c>
      <c r="AD234" s="2127">
        <v>57091101</v>
      </c>
      <c r="AE234" s="2127">
        <v>0</v>
      </c>
      <c r="AF234" s="2127">
        <v>0</v>
      </c>
      <c r="AG234" s="2127">
        <v>0</v>
      </c>
      <c r="AH234" s="2127">
        <v>0</v>
      </c>
      <c r="AI234" s="2127">
        <v>0</v>
      </c>
      <c r="AJ234" s="2127">
        <v>0</v>
      </c>
      <c r="AK234" s="2127">
        <v>0</v>
      </c>
      <c r="AL234" s="2127">
        <v>0</v>
      </c>
      <c r="AM234" s="2127">
        <v>0</v>
      </c>
      <c r="AN234" s="2127">
        <v>4272712</v>
      </c>
      <c r="AO234" s="2123">
        <v>591928337</v>
      </c>
      <c r="AP234" s="2128">
        <v>1107851</v>
      </c>
      <c r="AQ234" s="2129">
        <v>54086</v>
      </c>
      <c r="AR234" s="2129">
        <v>852266</v>
      </c>
      <c r="AS234" s="2129">
        <v>0</v>
      </c>
      <c r="AT234" s="2129">
        <v>0</v>
      </c>
      <c r="AU234" s="2129">
        <v>143038</v>
      </c>
      <c r="AV234" s="2129">
        <v>0</v>
      </c>
      <c r="AW234" s="2129">
        <v>0</v>
      </c>
      <c r="AX234" s="2129">
        <v>103</v>
      </c>
      <c r="AY234" s="2129">
        <v>0</v>
      </c>
      <c r="AZ234" s="2129">
        <v>29987</v>
      </c>
      <c r="BA234" s="2129">
        <v>23192</v>
      </c>
      <c r="BB234" s="2129">
        <v>0</v>
      </c>
      <c r="BC234" s="2129">
        <v>5179</v>
      </c>
      <c r="BD234" s="2123">
        <v>590820486</v>
      </c>
      <c r="BE234" s="2130">
        <v>0</v>
      </c>
      <c r="BF234" s="2131">
        <v>0</v>
      </c>
      <c r="BG234" s="2131">
        <v>0</v>
      </c>
      <c r="BH234" s="2131">
        <v>0</v>
      </c>
      <c r="BI234" s="2131">
        <v>0</v>
      </c>
      <c r="BJ234" s="2131">
        <v>0</v>
      </c>
      <c r="BK234" s="2131">
        <v>0</v>
      </c>
      <c r="BL234" s="2131">
        <v>0</v>
      </c>
      <c r="BM234" s="2132">
        <v>0</v>
      </c>
      <c r="BN234" s="2133">
        <v>0</v>
      </c>
      <c r="BO234" s="2133">
        <v>0</v>
      </c>
      <c r="BP234" s="2133">
        <v>0</v>
      </c>
      <c r="BQ234" s="2133">
        <v>0</v>
      </c>
      <c r="BR234" s="2133">
        <v>0</v>
      </c>
      <c r="BS234" s="2133">
        <v>0</v>
      </c>
      <c r="BT234" s="2133">
        <v>0</v>
      </c>
      <c r="BU234" s="2123">
        <v>590820486</v>
      </c>
      <c r="BW234" s="255">
        <f t="shared" si="50"/>
        <v>0</v>
      </c>
      <c r="BX234" s="255">
        <f t="shared" si="51"/>
        <v>0</v>
      </c>
      <c r="BY234" s="255">
        <f t="shared" si="52"/>
        <v>0</v>
      </c>
      <c r="BZ234" s="255">
        <f t="shared" si="49"/>
        <v>0</v>
      </c>
      <c r="CA234" s="255">
        <f t="shared" si="53"/>
        <v>4272712</v>
      </c>
      <c r="CB234" s="255">
        <f t="shared" si="54"/>
        <v>23250765</v>
      </c>
      <c r="CC234" s="255">
        <f t="shared" si="55"/>
        <v>135980900</v>
      </c>
      <c r="CD234" s="255">
        <f t="shared" si="56"/>
        <v>54086</v>
      </c>
      <c r="CG234" s="255"/>
    </row>
    <row r="235" spans="1:85">
      <c r="A235" s="110" t="s">
        <v>63</v>
      </c>
      <c r="B235" s="2123" t="s">
        <v>305</v>
      </c>
      <c r="C235" s="2123" t="s">
        <v>246</v>
      </c>
      <c r="D235" s="2123">
        <v>72404</v>
      </c>
      <c r="E235" s="2124">
        <v>41196217</v>
      </c>
      <c r="F235" s="2125">
        <v>41196217</v>
      </c>
      <c r="G235" s="2125">
        <v>0</v>
      </c>
      <c r="H235" s="2125">
        <v>0</v>
      </c>
      <c r="I235" s="2125">
        <v>0</v>
      </c>
      <c r="J235" s="2125">
        <v>0</v>
      </c>
      <c r="K235" s="2125">
        <v>0</v>
      </c>
      <c r="L235" s="2125">
        <v>0</v>
      </c>
      <c r="M235" s="2126">
        <v>274714850</v>
      </c>
      <c r="N235" s="2127">
        <v>0</v>
      </c>
      <c r="O235" s="2127">
        <v>0</v>
      </c>
      <c r="P235" s="2127">
        <v>0</v>
      </c>
      <c r="Q235" s="2127">
        <v>0</v>
      </c>
      <c r="R235" s="2127">
        <v>37135942</v>
      </c>
      <c r="S235" s="2127">
        <v>0</v>
      </c>
      <c r="T235" s="2127">
        <v>1954305</v>
      </c>
      <c r="U235" s="2127">
        <v>0</v>
      </c>
      <c r="V235" s="2127">
        <v>97640295</v>
      </c>
      <c r="W235" s="2127">
        <v>0</v>
      </c>
      <c r="X235" s="2127">
        <v>2624860</v>
      </c>
      <c r="Y235" s="2127">
        <v>0</v>
      </c>
      <c r="Z235" s="2127">
        <v>2137807</v>
      </c>
      <c r="AA235" s="2127">
        <v>0</v>
      </c>
      <c r="AB235" s="2127">
        <v>112480962</v>
      </c>
      <c r="AC235" s="2127">
        <v>0</v>
      </c>
      <c r="AD235" s="2127">
        <v>17354495</v>
      </c>
      <c r="AE235" s="2127">
        <v>0</v>
      </c>
      <c r="AF235" s="2127">
        <v>0</v>
      </c>
      <c r="AG235" s="2127">
        <v>0</v>
      </c>
      <c r="AH235" s="2127">
        <v>0</v>
      </c>
      <c r="AI235" s="2127">
        <v>0</v>
      </c>
      <c r="AJ235" s="2127">
        <v>0</v>
      </c>
      <c r="AK235" s="2127">
        <v>0</v>
      </c>
      <c r="AL235" s="2127">
        <v>0</v>
      </c>
      <c r="AM235" s="2127">
        <v>0</v>
      </c>
      <c r="AN235" s="2127">
        <v>3386184</v>
      </c>
      <c r="AO235" s="2123">
        <v>-233518633</v>
      </c>
      <c r="AP235" s="2128">
        <v>269080</v>
      </c>
      <c r="AQ235" s="2129">
        <v>161610</v>
      </c>
      <c r="AR235" s="2129">
        <v>101546</v>
      </c>
      <c r="AS235" s="2129">
        <v>0</v>
      </c>
      <c r="AT235" s="2129">
        <v>0</v>
      </c>
      <c r="AU235" s="2129">
        <v>5736</v>
      </c>
      <c r="AV235" s="2129">
        <v>0</v>
      </c>
      <c r="AW235" s="2129">
        <v>0</v>
      </c>
      <c r="AX235" s="2129">
        <v>1</v>
      </c>
      <c r="AY235" s="2129">
        <v>0</v>
      </c>
      <c r="AZ235" s="2129">
        <v>0</v>
      </c>
      <c r="BA235" s="2129">
        <v>0</v>
      </c>
      <c r="BB235" s="2129">
        <v>0</v>
      </c>
      <c r="BC235" s="2129">
        <v>187</v>
      </c>
      <c r="BD235" s="2123">
        <v>-233787713</v>
      </c>
      <c r="BE235" s="2130">
        <v>0</v>
      </c>
      <c r="BF235" s="2131">
        <v>0</v>
      </c>
      <c r="BG235" s="2131">
        <v>0</v>
      </c>
      <c r="BH235" s="2131">
        <v>0</v>
      </c>
      <c r="BI235" s="2131">
        <v>0</v>
      </c>
      <c r="BJ235" s="2131">
        <v>0</v>
      </c>
      <c r="BK235" s="2131">
        <v>0</v>
      </c>
      <c r="BL235" s="2131">
        <v>0</v>
      </c>
      <c r="BM235" s="2132">
        <v>0</v>
      </c>
      <c r="BN235" s="2133">
        <v>0</v>
      </c>
      <c r="BO235" s="2133">
        <v>0</v>
      </c>
      <c r="BP235" s="2133">
        <v>0</v>
      </c>
      <c r="BQ235" s="2133">
        <v>0</v>
      </c>
      <c r="BR235" s="2133">
        <v>0</v>
      </c>
      <c r="BS235" s="2133">
        <v>0</v>
      </c>
      <c r="BT235" s="2133">
        <v>0</v>
      </c>
      <c r="BU235" s="2123">
        <v>-233787713</v>
      </c>
      <c r="BW235" s="255">
        <f t="shared" si="50"/>
        <v>0</v>
      </c>
      <c r="BX235" s="255">
        <f t="shared" si="51"/>
        <v>0</v>
      </c>
      <c r="BY235" s="255">
        <f t="shared" si="52"/>
        <v>0</v>
      </c>
      <c r="BZ235" s="255">
        <f t="shared" si="49"/>
        <v>0</v>
      </c>
      <c r="CA235" s="255">
        <f t="shared" si="53"/>
        <v>3386184</v>
      </c>
      <c r="CB235" s="255">
        <f t="shared" si="54"/>
        <v>2624860</v>
      </c>
      <c r="CC235" s="255">
        <f t="shared" si="55"/>
        <v>112480962</v>
      </c>
      <c r="CD235" s="255">
        <f t="shared" si="56"/>
        <v>161610</v>
      </c>
      <c r="CG235" s="255"/>
    </row>
    <row r="236" spans="1:85">
      <c r="A236" s="110" t="s">
        <v>63</v>
      </c>
      <c r="B236" s="2123" t="s">
        <v>306</v>
      </c>
      <c r="C236" s="2123" t="s">
        <v>246</v>
      </c>
      <c r="D236" s="2123">
        <v>27939</v>
      </c>
      <c r="E236" s="2124">
        <v>73891927</v>
      </c>
      <c r="F236" s="2125">
        <v>73891927</v>
      </c>
      <c r="G236" s="2125">
        <v>0</v>
      </c>
      <c r="H236" s="2125">
        <v>0</v>
      </c>
      <c r="I236" s="2125">
        <v>0</v>
      </c>
      <c r="J236" s="2125">
        <v>0</v>
      </c>
      <c r="K236" s="2125">
        <v>0</v>
      </c>
      <c r="L236" s="2125">
        <v>0</v>
      </c>
      <c r="M236" s="2126">
        <v>105961409</v>
      </c>
      <c r="N236" s="2127">
        <v>0</v>
      </c>
      <c r="O236" s="2127">
        <v>0</v>
      </c>
      <c r="P236" s="2127">
        <v>0</v>
      </c>
      <c r="Q236" s="2127">
        <v>0</v>
      </c>
      <c r="R236" s="2127">
        <v>14398188</v>
      </c>
      <c r="S236" s="2127">
        <v>0</v>
      </c>
      <c r="T236" s="2127">
        <v>751756</v>
      </c>
      <c r="U236" s="2127">
        <v>0</v>
      </c>
      <c r="V236" s="2127">
        <v>37595428</v>
      </c>
      <c r="W236" s="2127">
        <v>0</v>
      </c>
      <c r="X236" s="2127">
        <v>1019818</v>
      </c>
      <c r="Y236" s="2127">
        <v>0</v>
      </c>
      <c r="Z236" s="2127">
        <v>771209</v>
      </c>
      <c r="AA236" s="2127">
        <v>0</v>
      </c>
      <c r="AB236" s="2127">
        <v>43035207</v>
      </c>
      <c r="AC236" s="2127">
        <v>0</v>
      </c>
      <c r="AD236" s="2127">
        <v>6609923</v>
      </c>
      <c r="AE236" s="2127">
        <v>0</v>
      </c>
      <c r="AF236" s="2127">
        <v>0</v>
      </c>
      <c r="AG236" s="2127">
        <v>0</v>
      </c>
      <c r="AH236" s="2127">
        <v>0</v>
      </c>
      <c r="AI236" s="2127">
        <v>0</v>
      </c>
      <c r="AJ236" s="2127">
        <v>0</v>
      </c>
      <c r="AK236" s="2127">
        <v>0</v>
      </c>
      <c r="AL236" s="2127">
        <v>0</v>
      </c>
      <c r="AM236" s="2127">
        <v>0</v>
      </c>
      <c r="AN236" s="2127">
        <v>1779880</v>
      </c>
      <c r="AO236" s="2123">
        <v>-32069482</v>
      </c>
      <c r="AP236" s="2128">
        <v>122951</v>
      </c>
      <c r="AQ236" s="2129">
        <v>32610</v>
      </c>
      <c r="AR236" s="2129">
        <v>47180</v>
      </c>
      <c r="AS236" s="2129">
        <v>0</v>
      </c>
      <c r="AT236" s="2129">
        <v>0</v>
      </c>
      <c r="AU236" s="2129">
        <v>10245</v>
      </c>
      <c r="AV236" s="2129">
        <v>0</v>
      </c>
      <c r="AW236" s="2129">
        <v>0</v>
      </c>
      <c r="AX236" s="2129">
        <v>3</v>
      </c>
      <c r="AY236" s="2129">
        <v>0</v>
      </c>
      <c r="AZ236" s="2129">
        <v>0</v>
      </c>
      <c r="BA236" s="2129">
        <v>32583</v>
      </c>
      <c r="BB236" s="2129">
        <v>0</v>
      </c>
      <c r="BC236" s="2129">
        <v>330</v>
      </c>
      <c r="BD236" s="2123">
        <v>-32192433</v>
      </c>
      <c r="BE236" s="2130">
        <v>0</v>
      </c>
      <c r="BF236" s="2131">
        <v>0</v>
      </c>
      <c r="BG236" s="2131">
        <v>0</v>
      </c>
      <c r="BH236" s="2131">
        <v>0</v>
      </c>
      <c r="BI236" s="2131">
        <v>0</v>
      </c>
      <c r="BJ236" s="2131">
        <v>0</v>
      </c>
      <c r="BK236" s="2131">
        <v>0</v>
      </c>
      <c r="BL236" s="2131">
        <v>0</v>
      </c>
      <c r="BM236" s="2132">
        <v>0</v>
      </c>
      <c r="BN236" s="2133">
        <v>0</v>
      </c>
      <c r="BO236" s="2133">
        <v>0</v>
      </c>
      <c r="BP236" s="2133">
        <v>0</v>
      </c>
      <c r="BQ236" s="2133">
        <v>0</v>
      </c>
      <c r="BR236" s="2133">
        <v>0</v>
      </c>
      <c r="BS236" s="2133">
        <v>0</v>
      </c>
      <c r="BT236" s="2133">
        <v>0</v>
      </c>
      <c r="BU236" s="2123">
        <v>-32192433</v>
      </c>
      <c r="BW236" s="255">
        <f t="shared" si="50"/>
        <v>0</v>
      </c>
      <c r="BX236" s="255">
        <f t="shared" si="51"/>
        <v>0</v>
      </c>
      <c r="BY236" s="255">
        <f t="shared" si="52"/>
        <v>0</v>
      </c>
      <c r="BZ236" s="255">
        <f t="shared" si="49"/>
        <v>0</v>
      </c>
      <c r="CA236" s="255">
        <f t="shared" si="53"/>
        <v>1779880</v>
      </c>
      <c r="CB236" s="255">
        <f t="shared" si="54"/>
        <v>1019818</v>
      </c>
      <c r="CC236" s="255">
        <f t="shared" si="55"/>
        <v>43035207</v>
      </c>
      <c r="CD236" s="255">
        <f t="shared" si="56"/>
        <v>32610</v>
      </c>
      <c r="CG236" s="255"/>
    </row>
    <row r="237" spans="1:85">
      <c r="A237" s="110" t="s">
        <v>63</v>
      </c>
      <c r="B237" s="2123" t="s">
        <v>307</v>
      </c>
      <c r="C237" s="2123" t="s">
        <v>258</v>
      </c>
      <c r="D237" s="2123">
        <v>299542.50099999999</v>
      </c>
      <c r="E237" s="2124">
        <v>2986768725118</v>
      </c>
      <c r="F237" s="2125">
        <v>3081745034590</v>
      </c>
      <c r="G237" s="2125">
        <v>-18311916646</v>
      </c>
      <c r="H237" s="2125">
        <v>-72370668024</v>
      </c>
      <c r="I237" s="2125">
        <v>45343620</v>
      </c>
      <c r="J237" s="2125">
        <v>-5415740700</v>
      </c>
      <c r="K237" s="2125">
        <v>1076672278</v>
      </c>
      <c r="L237" s="2125">
        <v>0</v>
      </c>
      <c r="M237" s="2126">
        <v>2938944851693</v>
      </c>
      <c r="N237" s="2127">
        <v>2634609875016</v>
      </c>
      <c r="O237" s="2127">
        <v>10596279245</v>
      </c>
      <c r="P237" s="2127">
        <v>-155383326</v>
      </c>
      <c r="Q237" s="2127">
        <v>0</v>
      </c>
      <c r="R237" s="2127">
        <v>21398775799</v>
      </c>
      <c r="S237" s="2127">
        <v>0</v>
      </c>
      <c r="T237" s="2127">
        <v>1573248483</v>
      </c>
      <c r="U237" s="2127">
        <v>0</v>
      </c>
      <c r="V237" s="2127">
        <v>18638425377</v>
      </c>
      <c r="W237" s="2127">
        <v>22650124733</v>
      </c>
      <c r="X237" s="2127">
        <v>7572906603</v>
      </c>
      <c r="Y237" s="2127">
        <v>5888871787</v>
      </c>
      <c r="Z237" s="2127">
        <v>12223342668</v>
      </c>
      <c r="AA237" s="2127">
        <v>89624950</v>
      </c>
      <c r="AB237" s="2127">
        <v>7808130418</v>
      </c>
      <c r="AC237" s="2127">
        <v>2073857330</v>
      </c>
      <c r="AD237" s="2127">
        <v>15440509947</v>
      </c>
      <c r="AE237" s="2127">
        <v>-53379605829</v>
      </c>
      <c r="AF237" s="2127">
        <v>228304835619</v>
      </c>
      <c r="AG237" s="2127">
        <v>0</v>
      </c>
      <c r="AH237" s="2127">
        <v>0</v>
      </c>
      <c r="AI237" s="2127">
        <v>0</v>
      </c>
      <c r="AJ237" s="2127">
        <v>0</v>
      </c>
      <c r="AK237" s="2127">
        <v>0</v>
      </c>
      <c r="AL237" s="2127">
        <v>-35522265</v>
      </c>
      <c r="AM237" s="2127">
        <v>0</v>
      </c>
      <c r="AN237" s="2127">
        <v>3646555138</v>
      </c>
      <c r="AO237" s="2123">
        <v>47823873425</v>
      </c>
      <c r="AP237" s="2128">
        <v>22028156382</v>
      </c>
      <c r="AQ237" s="2129">
        <v>245222700</v>
      </c>
      <c r="AR237" s="2129">
        <v>120593307</v>
      </c>
      <c r="AS237" s="2129">
        <v>0</v>
      </c>
      <c r="AT237" s="2129">
        <v>0</v>
      </c>
      <c r="AU237" s="2129">
        <v>7975303165</v>
      </c>
      <c r="AV237" s="2129">
        <v>260633933</v>
      </c>
      <c r="AW237" s="2129">
        <v>0</v>
      </c>
      <c r="AX237" s="2129">
        <v>39299419</v>
      </c>
      <c r="AY237" s="2129">
        <v>2067633509</v>
      </c>
      <c r="AZ237" s="2129">
        <v>708322672</v>
      </c>
      <c r="BA237" s="2129">
        <v>7572177228</v>
      </c>
      <c r="BB237" s="2129">
        <v>30489760</v>
      </c>
      <c r="BC237" s="2129">
        <v>3008480689</v>
      </c>
      <c r="BD237" s="2123">
        <v>25795717043</v>
      </c>
      <c r="BE237" s="2130">
        <v>34991242875</v>
      </c>
      <c r="BF237" s="2131">
        <v>21146799090</v>
      </c>
      <c r="BG237" s="2131">
        <v>538353704</v>
      </c>
      <c r="BH237" s="2131">
        <v>2251123055</v>
      </c>
      <c r="BI237" s="2131">
        <v>8063506509</v>
      </c>
      <c r="BJ237" s="2131">
        <v>39119131</v>
      </c>
      <c r="BK237" s="2131">
        <v>2952341386</v>
      </c>
      <c r="BL237" s="2131">
        <v>0</v>
      </c>
      <c r="BM237" s="2132">
        <v>60560470296</v>
      </c>
      <c r="BN237" s="2133">
        <v>42578896420</v>
      </c>
      <c r="BO237" s="2133">
        <v>1380116720</v>
      </c>
      <c r="BP237" s="2133">
        <v>5474267716</v>
      </c>
      <c r="BQ237" s="2133">
        <v>8283196871</v>
      </c>
      <c r="BR237" s="2133">
        <v>2764897561</v>
      </c>
      <c r="BS237" s="2133">
        <v>79095008</v>
      </c>
      <c r="BT237" s="2133">
        <v>0</v>
      </c>
      <c r="BU237" s="2123">
        <v>226489622</v>
      </c>
      <c r="BW237" s="255">
        <f t="shared" si="50"/>
        <v>-94976309472</v>
      </c>
      <c r="BX237" s="255">
        <f t="shared" si="51"/>
        <v>2634609875016</v>
      </c>
      <c r="BY237" s="255">
        <f t="shared" si="52"/>
        <v>174925229790</v>
      </c>
      <c r="BZ237" s="255">
        <f t="shared" si="49"/>
        <v>2809535104806</v>
      </c>
      <c r="CA237" s="255">
        <f t="shared" si="53"/>
        <v>3611032873</v>
      </c>
      <c r="CB237" s="255">
        <f t="shared" si="54"/>
        <v>30223031336</v>
      </c>
      <c r="CC237" s="255">
        <f t="shared" si="55"/>
        <v>7897755368</v>
      </c>
      <c r="CD237" s="255">
        <f t="shared" si="56"/>
        <v>245222700</v>
      </c>
      <c r="CG237" s="255"/>
    </row>
    <row r="238" spans="1:85">
      <c r="A238" s="110" t="s">
        <v>63</v>
      </c>
      <c r="B238" s="2123" t="s">
        <v>308</v>
      </c>
      <c r="C238" s="2123" t="s">
        <v>260</v>
      </c>
      <c r="D238" s="2123">
        <v>563256.07999999996</v>
      </c>
      <c r="E238" s="2124">
        <v>1472188846</v>
      </c>
      <c r="F238" s="2125">
        <v>1472188846</v>
      </c>
      <c r="G238" s="2125">
        <v>0</v>
      </c>
      <c r="H238" s="2125">
        <v>0</v>
      </c>
      <c r="I238" s="2125">
        <v>0</v>
      </c>
      <c r="J238" s="2125">
        <v>0</v>
      </c>
      <c r="K238" s="2125">
        <v>0</v>
      </c>
      <c r="L238" s="2125">
        <v>0</v>
      </c>
      <c r="M238" s="2126">
        <v>564805411</v>
      </c>
      <c r="N238" s="2127">
        <v>0</v>
      </c>
      <c r="O238" s="2127">
        <v>0</v>
      </c>
      <c r="P238" s="2127">
        <v>0</v>
      </c>
      <c r="Q238" s="2127">
        <v>0</v>
      </c>
      <c r="R238" s="2127">
        <v>250981028</v>
      </c>
      <c r="S238" s="2127">
        <v>0</v>
      </c>
      <c r="T238" s="2127">
        <v>23773718</v>
      </c>
      <c r="U238" s="2127">
        <v>0</v>
      </c>
      <c r="V238" s="2127">
        <v>66109767</v>
      </c>
      <c r="W238" s="2127">
        <v>0</v>
      </c>
      <c r="X238" s="2127">
        <v>394312</v>
      </c>
      <c r="Y238" s="2127">
        <v>3270869</v>
      </c>
      <c r="Z238" s="2127">
        <v>115404469</v>
      </c>
      <c r="AA238" s="2127">
        <v>0</v>
      </c>
      <c r="AB238" s="2127">
        <v>1365576</v>
      </c>
      <c r="AC238" s="2127">
        <v>0</v>
      </c>
      <c r="AD238" s="2127">
        <v>121251155</v>
      </c>
      <c r="AE238" s="2127">
        <v>0</v>
      </c>
      <c r="AF238" s="2127">
        <v>0</v>
      </c>
      <c r="AG238" s="2127">
        <v>0</v>
      </c>
      <c r="AH238" s="2127">
        <v>0</v>
      </c>
      <c r="AI238" s="2127">
        <v>0</v>
      </c>
      <c r="AJ238" s="2127">
        <v>0</v>
      </c>
      <c r="AK238" s="2127">
        <v>0</v>
      </c>
      <c r="AL238" s="2127">
        <v>-17745483</v>
      </c>
      <c r="AM238" s="2127">
        <v>0</v>
      </c>
      <c r="AN238" s="2127">
        <v>0</v>
      </c>
      <c r="AO238" s="2123">
        <v>907383435</v>
      </c>
      <c r="AP238" s="2128">
        <v>2485134787</v>
      </c>
      <c r="AQ238" s="2129">
        <v>2463815871</v>
      </c>
      <c r="AR238" s="2129">
        <v>0</v>
      </c>
      <c r="AS238" s="2129">
        <v>77389</v>
      </c>
      <c r="AT238" s="2129">
        <v>0</v>
      </c>
      <c r="AU238" s="2129">
        <v>17720141</v>
      </c>
      <c r="AV238" s="2129">
        <v>0</v>
      </c>
      <c r="AW238" s="2129">
        <v>0</v>
      </c>
      <c r="AX238" s="2129">
        <v>192449</v>
      </c>
      <c r="AY238" s="2129">
        <v>0</v>
      </c>
      <c r="AZ238" s="2129">
        <v>0</v>
      </c>
      <c r="BA238" s="2129">
        <v>2101751</v>
      </c>
      <c r="BB238" s="2129">
        <v>0</v>
      </c>
      <c r="BC238" s="2129">
        <v>1227186</v>
      </c>
      <c r="BD238" s="2123">
        <v>-1577751352</v>
      </c>
      <c r="BE238" s="2130">
        <v>0</v>
      </c>
      <c r="BF238" s="2131">
        <v>0</v>
      </c>
      <c r="BG238" s="2131">
        <v>0</v>
      </c>
      <c r="BH238" s="2131">
        <v>0</v>
      </c>
      <c r="BI238" s="2131">
        <v>0</v>
      </c>
      <c r="BJ238" s="2131">
        <v>0</v>
      </c>
      <c r="BK238" s="2131">
        <v>0</v>
      </c>
      <c r="BL238" s="2131">
        <v>0</v>
      </c>
      <c r="BM238" s="2132">
        <v>0</v>
      </c>
      <c r="BN238" s="2133">
        <v>0</v>
      </c>
      <c r="BO238" s="2133">
        <v>0</v>
      </c>
      <c r="BP238" s="2133">
        <v>0</v>
      </c>
      <c r="BQ238" s="2133">
        <v>0</v>
      </c>
      <c r="BR238" s="2133">
        <v>0</v>
      </c>
      <c r="BS238" s="2133">
        <v>0</v>
      </c>
      <c r="BT238" s="2133">
        <v>0</v>
      </c>
      <c r="BU238" s="2123">
        <v>-1577751352</v>
      </c>
      <c r="BW238" s="255">
        <f t="shared" si="50"/>
        <v>0</v>
      </c>
      <c r="BX238" s="255">
        <f t="shared" si="51"/>
        <v>0</v>
      </c>
      <c r="BY238" s="255">
        <f t="shared" si="52"/>
        <v>0</v>
      </c>
      <c r="BZ238" s="255">
        <f t="shared" si="49"/>
        <v>0</v>
      </c>
      <c r="CA238" s="255">
        <f t="shared" si="53"/>
        <v>-17745483</v>
      </c>
      <c r="CB238" s="255">
        <f t="shared" si="54"/>
        <v>394312</v>
      </c>
      <c r="CC238" s="255">
        <f t="shared" si="55"/>
        <v>1365576</v>
      </c>
      <c r="CD238" s="255">
        <f t="shared" si="56"/>
        <v>2463815871</v>
      </c>
      <c r="CG238" s="255"/>
    </row>
    <row r="239" spans="1:85">
      <c r="A239" s="110" t="s">
        <v>63</v>
      </c>
      <c r="B239" s="2123" t="s">
        <v>309</v>
      </c>
      <c r="C239" s="2123" t="s">
        <v>262</v>
      </c>
      <c r="D239" s="2123">
        <v>15549000</v>
      </c>
      <c r="E239" s="2124">
        <v>1025346744877</v>
      </c>
      <c r="F239" s="2125">
        <v>1014727966000</v>
      </c>
      <c r="G239" s="2125">
        <v>10724577994</v>
      </c>
      <c r="H239" s="2125">
        <v>-361263285</v>
      </c>
      <c r="I239" s="2125">
        <v>32677634</v>
      </c>
      <c r="J239" s="2125">
        <v>0</v>
      </c>
      <c r="K239" s="2125">
        <v>222786534</v>
      </c>
      <c r="L239" s="2125">
        <v>0</v>
      </c>
      <c r="M239" s="2126">
        <v>983663106120</v>
      </c>
      <c r="N239" s="2127">
        <v>988175400011</v>
      </c>
      <c r="O239" s="2127">
        <v>114191518</v>
      </c>
      <c r="P239" s="2127">
        <v>9155</v>
      </c>
      <c r="Q239" s="2127">
        <v>0</v>
      </c>
      <c r="R239" s="2127">
        <v>978493445</v>
      </c>
      <c r="S239" s="2127">
        <v>0</v>
      </c>
      <c r="T239" s="2127">
        <v>72464656</v>
      </c>
      <c r="U239" s="2127">
        <v>0</v>
      </c>
      <c r="V239" s="2127">
        <v>572905828</v>
      </c>
      <c r="W239" s="2127">
        <v>216539608</v>
      </c>
      <c r="X239" s="2127">
        <v>250579590</v>
      </c>
      <c r="Y239" s="2127">
        <v>91027198</v>
      </c>
      <c r="Z239" s="2127">
        <v>220426092</v>
      </c>
      <c r="AA239" s="2127">
        <v>304744</v>
      </c>
      <c r="AB239" s="2127">
        <v>322680095</v>
      </c>
      <c r="AC239" s="2127">
        <v>68294187</v>
      </c>
      <c r="AD239" s="2127">
        <v>271760246</v>
      </c>
      <c r="AE239" s="2127">
        <v>9812637564</v>
      </c>
      <c r="AF239" s="2127">
        <v>-17362123974</v>
      </c>
      <c r="AG239" s="2127">
        <v>0</v>
      </c>
      <c r="AH239" s="2127">
        <v>0</v>
      </c>
      <c r="AI239" s="2127">
        <v>0</v>
      </c>
      <c r="AJ239" s="2127">
        <v>0</v>
      </c>
      <c r="AK239" s="2127">
        <v>-73665720</v>
      </c>
      <c r="AL239" s="2127">
        <v>-68818123</v>
      </c>
      <c r="AM239" s="2127">
        <v>0</v>
      </c>
      <c r="AN239" s="2127">
        <v>0</v>
      </c>
      <c r="AO239" s="2123">
        <v>41683638757</v>
      </c>
      <c r="AP239" s="2128">
        <v>7412077655</v>
      </c>
      <c r="AQ239" s="2129">
        <v>30976000</v>
      </c>
      <c r="AR239" s="2129">
        <v>0</v>
      </c>
      <c r="AS239" s="2129">
        <v>0</v>
      </c>
      <c r="AT239" s="2129">
        <v>0</v>
      </c>
      <c r="AU239" s="2129">
        <v>2675704853</v>
      </c>
      <c r="AV239" s="2129">
        <v>81313487</v>
      </c>
      <c r="AW239" s="2129">
        <v>0</v>
      </c>
      <c r="AX239" s="2129">
        <v>13329537</v>
      </c>
      <c r="AY239" s="2129">
        <v>692707136</v>
      </c>
      <c r="AZ239" s="2129">
        <v>261973118</v>
      </c>
      <c r="BA239" s="2129">
        <v>2662229223</v>
      </c>
      <c r="BB239" s="2129">
        <v>9186576</v>
      </c>
      <c r="BC239" s="2129">
        <v>984657725</v>
      </c>
      <c r="BD239" s="2123">
        <v>34271561102</v>
      </c>
      <c r="BE239" s="2130">
        <v>2789044947</v>
      </c>
      <c r="BF239" s="2131">
        <v>2408843876</v>
      </c>
      <c r="BG239" s="2131">
        <v>334179457</v>
      </c>
      <c r="BH239" s="2131">
        <v>46020024</v>
      </c>
      <c r="BI239" s="2131">
        <v>0</v>
      </c>
      <c r="BJ239" s="2131">
        <v>0</v>
      </c>
      <c r="BK239" s="2131">
        <v>1590</v>
      </c>
      <c r="BL239" s="2131">
        <v>0</v>
      </c>
      <c r="BM239" s="2132">
        <v>11102408875</v>
      </c>
      <c r="BN239" s="2133">
        <v>9210240917</v>
      </c>
      <c r="BO239" s="2133">
        <v>1885868330</v>
      </c>
      <c r="BP239" s="2133">
        <v>6299628</v>
      </c>
      <c r="BQ239" s="2133">
        <v>0</v>
      </c>
      <c r="BR239" s="2133">
        <v>0</v>
      </c>
      <c r="BS239" s="2133">
        <v>0</v>
      </c>
      <c r="BT239" s="2133">
        <v>0</v>
      </c>
      <c r="BU239" s="2123">
        <v>25958197174</v>
      </c>
      <c r="BW239" s="255">
        <f t="shared" si="50"/>
        <v>10618778877</v>
      </c>
      <c r="BX239" s="255">
        <f t="shared" si="51"/>
        <v>988175400011</v>
      </c>
      <c r="BY239" s="255">
        <f t="shared" si="52"/>
        <v>-7623152130</v>
      </c>
      <c r="BZ239" s="255">
        <f t="shared" si="49"/>
        <v>980552247881</v>
      </c>
      <c r="CA239" s="255">
        <f t="shared" si="53"/>
        <v>-68818123</v>
      </c>
      <c r="CB239" s="255">
        <f t="shared" si="54"/>
        <v>467119198</v>
      </c>
      <c r="CC239" s="255">
        <f t="shared" si="55"/>
        <v>322984839</v>
      </c>
      <c r="CD239" s="255">
        <f t="shared" si="56"/>
        <v>30976000</v>
      </c>
      <c r="CG239" s="255"/>
    </row>
    <row r="240" spans="1:85">
      <c r="A240" s="110" t="s">
        <v>63</v>
      </c>
      <c r="B240" s="2123" t="s">
        <v>310</v>
      </c>
      <c r="C240" s="2123" t="s">
        <v>264</v>
      </c>
      <c r="D240" s="2123">
        <v>297151294</v>
      </c>
      <c r="E240" s="2124">
        <v>282950301502</v>
      </c>
      <c r="F240" s="2125">
        <v>284928121331</v>
      </c>
      <c r="G240" s="2125">
        <v>3276585354</v>
      </c>
      <c r="H240" s="2125">
        <v>-5359746371</v>
      </c>
      <c r="I240" s="2125">
        <v>0</v>
      </c>
      <c r="J240" s="2125">
        <v>0</v>
      </c>
      <c r="K240" s="2125">
        <v>105341188</v>
      </c>
      <c r="L240" s="2125">
        <v>0</v>
      </c>
      <c r="M240" s="2126">
        <v>264056176005</v>
      </c>
      <c r="N240" s="2127">
        <v>253140291589</v>
      </c>
      <c r="O240" s="2127">
        <v>118712945</v>
      </c>
      <c r="P240" s="2127">
        <v>4227</v>
      </c>
      <c r="Q240" s="2127">
        <v>0</v>
      </c>
      <c r="R240" s="2127">
        <v>974956135</v>
      </c>
      <c r="S240" s="2127">
        <v>0</v>
      </c>
      <c r="T240" s="2127">
        <v>70206741</v>
      </c>
      <c r="U240" s="2127">
        <v>0</v>
      </c>
      <c r="V240" s="2127">
        <v>742423468</v>
      </c>
      <c r="W240" s="2127">
        <v>256947747</v>
      </c>
      <c r="X240" s="2127">
        <v>262463057</v>
      </c>
      <c r="Y240" s="2127">
        <v>91038111</v>
      </c>
      <c r="Z240" s="2127">
        <v>387478057</v>
      </c>
      <c r="AA240" s="2127">
        <v>157771</v>
      </c>
      <c r="AB240" s="2127">
        <v>493437767</v>
      </c>
      <c r="AC240" s="2127">
        <v>127263764</v>
      </c>
      <c r="AD240" s="2127">
        <v>331153961</v>
      </c>
      <c r="AE240" s="2127">
        <v>1059234965</v>
      </c>
      <c r="AF240" s="2127">
        <v>6017735958</v>
      </c>
      <c r="AG240" s="2127">
        <v>0</v>
      </c>
      <c r="AH240" s="2127">
        <v>0</v>
      </c>
      <c r="AI240" s="2127">
        <v>0</v>
      </c>
      <c r="AJ240" s="2127">
        <v>0</v>
      </c>
      <c r="AK240" s="2127">
        <v>0</v>
      </c>
      <c r="AL240" s="2127">
        <v>-22147972</v>
      </c>
      <c r="AM240" s="2127">
        <v>0</v>
      </c>
      <c r="AN240" s="2127">
        <v>4817714</v>
      </c>
      <c r="AO240" s="2123">
        <v>18894125497</v>
      </c>
      <c r="AP240" s="2128">
        <v>2179092118</v>
      </c>
      <c r="AQ240" s="2129">
        <v>41805220</v>
      </c>
      <c r="AR240" s="2129">
        <v>13140080</v>
      </c>
      <c r="AS240" s="2129">
        <v>0</v>
      </c>
      <c r="AT240" s="2129">
        <v>0</v>
      </c>
      <c r="AU240" s="2129">
        <v>720910932</v>
      </c>
      <c r="AV240" s="2129">
        <v>24030128</v>
      </c>
      <c r="AW240" s="2129">
        <v>0</v>
      </c>
      <c r="AX240" s="2129">
        <v>3540750</v>
      </c>
      <c r="AY240" s="2129">
        <v>188020995</v>
      </c>
      <c r="AZ240" s="2129">
        <v>70627863</v>
      </c>
      <c r="BA240" s="2129">
        <v>839888006</v>
      </c>
      <c r="BB240" s="2129">
        <v>2183705</v>
      </c>
      <c r="BC240" s="2129">
        <v>274944439</v>
      </c>
      <c r="BD240" s="2123">
        <v>16715033379</v>
      </c>
      <c r="BE240" s="2130">
        <v>480242147</v>
      </c>
      <c r="BF240" s="2131">
        <v>382821121</v>
      </c>
      <c r="BG240" s="2131">
        <v>85718780</v>
      </c>
      <c r="BH240" s="2131">
        <v>11702246</v>
      </c>
      <c r="BI240" s="2131">
        <v>0</v>
      </c>
      <c r="BJ240" s="2131">
        <v>0</v>
      </c>
      <c r="BK240" s="2131">
        <v>0</v>
      </c>
      <c r="BL240" s="2131">
        <v>0</v>
      </c>
      <c r="BM240" s="2132">
        <v>1861946473</v>
      </c>
      <c r="BN240" s="2133">
        <v>1458327946</v>
      </c>
      <c r="BO240" s="2133">
        <v>400022875</v>
      </c>
      <c r="BP240" s="2133">
        <v>3595652</v>
      </c>
      <c r="BQ240" s="2133">
        <v>0</v>
      </c>
      <c r="BR240" s="2133">
        <v>0</v>
      </c>
      <c r="BS240" s="2133">
        <v>0</v>
      </c>
      <c r="BT240" s="2133">
        <v>0</v>
      </c>
      <c r="BU240" s="2123">
        <v>15333329053</v>
      </c>
      <c r="BW240" s="255">
        <f t="shared" si="50"/>
        <v>-1977819829</v>
      </c>
      <c r="BX240" s="255">
        <f t="shared" si="51"/>
        <v>253140291589</v>
      </c>
      <c r="BY240" s="255">
        <f t="shared" si="52"/>
        <v>7076970923</v>
      </c>
      <c r="BZ240" s="255">
        <f t="shared" si="49"/>
        <v>260217262512</v>
      </c>
      <c r="CA240" s="255">
        <f t="shared" si="53"/>
        <v>-17330258</v>
      </c>
      <c r="CB240" s="255">
        <f t="shared" si="54"/>
        <v>519410804</v>
      </c>
      <c r="CC240" s="255">
        <f t="shared" si="55"/>
        <v>493595538</v>
      </c>
      <c r="CD240" s="255">
        <f t="shared" si="56"/>
        <v>41805220</v>
      </c>
      <c r="CG240" s="255"/>
    </row>
    <row r="241" spans="1:85">
      <c r="A241" s="110" t="s">
        <v>63</v>
      </c>
      <c r="B241" s="2123" t="s">
        <v>311</v>
      </c>
      <c r="C241" s="2123" t="s">
        <v>266</v>
      </c>
      <c r="D241" s="2123">
        <v>102973.4</v>
      </c>
      <c r="E241" s="2124">
        <v>4389785828</v>
      </c>
      <c r="F241" s="2125">
        <v>4389785828</v>
      </c>
      <c r="G241" s="2125">
        <v>0</v>
      </c>
      <c r="H241" s="2125">
        <v>0</v>
      </c>
      <c r="I241" s="2125">
        <v>0</v>
      </c>
      <c r="J241" s="2125">
        <v>0</v>
      </c>
      <c r="K241" s="2125">
        <v>0</v>
      </c>
      <c r="L241" s="2125">
        <v>0</v>
      </c>
      <c r="M241" s="2126">
        <v>2414653466</v>
      </c>
      <c r="N241" s="2127">
        <v>2156948567</v>
      </c>
      <c r="O241" s="2127">
        <v>1521403</v>
      </c>
      <c r="P241" s="2127">
        <v>753</v>
      </c>
      <c r="Q241" s="2127">
        <v>0</v>
      </c>
      <c r="R241" s="2127">
        <v>12886080</v>
      </c>
      <c r="S241" s="2127">
        <v>0</v>
      </c>
      <c r="T241" s="2127">
        <v>1230271</v>
      </c>
      <c r="U241" s="2127">
        <v>0</v>
      </c>
      <c r="V241" s="2127">
        <v>22481378</v>
      </c>
      <c r="W241" s="2127">
        <v>1657226</v>
      </c>
      <c r="X241" s="2127">
        <v>1894267</v>
      </c>
      <c r="Y241" s="2127">
        <v>1620523</v>
      </c>
      <c r="Z241" s="2127">
        <v>11761839</v>
      </c>
      <c r="AA241" s="2127">
        <v>69904</v>
      </c>
      <c r="AB241" s="2127">
        <v>4609688</v>
      </c>
      <c r="AC241" s="2127">
        <v>386009</v>
      </c>
      <c r="AD241" s="2127">
        <v>6335708</v>
      </c>
      <c r="AE241" s="2127">
        <v>0</v>
      </c>
      <c r="AF241" s="2127">
        <v>176967504</v>
      </c>
      <c r="AG241" s="2127">
        <v>0</v>
      </c>
      <c r="AH241" s="2127">
        <v>0</v>
      </c>
      <c r="AI241" s="2127">
        <v>0</v>
      </c>
      <c r="AJ241" s="2127">
        <v>0</v>
      </c>
      <c r="AK241" s="2127">
        <v>0</v>
      </c>
      <c r="AL241" s="2127">
        <v>14282346</v>
      </c>
      <c r="AM241" s="2127">
        <v>0</v>
      </c>
      <c r="AN241" s="2127">
        <v>0</v>
      </c>
      <c r="AO241" s="2123">
        <v>1975132362</v>
      </c>
      <c r="AP241" s="2128">
        <v>6386385</v>
      </c>
      <c r="AQ241" s="2129">
        <v>0</v>
      </c>
      <c r="AR241" s="2129">
        <v>0</v>
      </c>
      <c r="AS241" s="2129">
        <v>0</v>
      </c>
      <c r="AT241" s="2129">
        <v>0</v>
      </c>
      <c r="AU241" s="2129">
        <v>561758</v>
      </c>
      <c r="AV241" s="2129">
        <v>0</v>
      </c>
      <c r="AW241" s="2129">
        <v>0</v>
      </c>
      <c r="AX241" s="2129">
        <v>424</v>
      </c>
      <c r="AY241" s="2129">
        <v>0</v>
      </c>
      <c r="AZ241" s="2129">
        <v>132951</v>
      </c>
      <c r="BA241" s="2129">
        <v>5669845</v>
      </c>
      <c r="BB241" s="2129">
        <v>0</v>
      </c>
      <c r="BC241" s="2129">
        <v>21407</v>
      </c>
      <c r="BD241" s="2123">
        <v>1968745977</v>
      </c>
      <c r="BE241" s="2130">
        <v>0</v>
      </c>
      <c r="BF241" s="2131">
        <v>0</v>
      </c>
      <c r="BG241" s="2131">
        <v>0</v>
      </c>
      <c r="BH241" s="2131">
        <v>0</v>
      </c>
      <c r="BI241" s="2131">
        <v>0</v>
      </c>
      <c r="BJ241" s="2131">
        <v>0</v>
      </c>
      <c r="BK241" s="2131">
        <v>0</v>
      </c>
      <c r="BL241" s="2131">
        <v>0</v>
      </c>
      <c r="BM241" s="2132">
        <v>0</v>
      </c>
      <c r="BN241" s="2133">
        <v>0</v>
      </c>
      <c r="BO241" s="2133">
        <v>0</v>
      </c>
      <c r="BP241" s="2133">
        <v>0</v>
      </c>
      <c r="BQ241" s="2133">
        <v>0</v>
      </c>
      <c r="BR241" s="2133">
        <v>0</v>
      </c>
      <c r="BS241" s="2133">
        <v>0</v>
      </c>
      <c r="BT241" s="2133">
        <v>0</v>
      </c>
      <c r="BU241" s="2123">
        <v>1968745977</v>
      </c>
      <c r="BW241" s="255">
        <f t="shared" si="50"/>
        <v>0</v>
      </c>
      <c r="BX241" s="255">
        <f t="shared" si="51"/>
        <v>2156948567</v>
      </c>
      <c r="BY241" s="255">
        <f t="shared" si="52"/>
        <v>176967504</v>
      </c>
      <c r="BZ241" s="255">
        <f t="shared" si="49"/>
        <v>2333916071</v>
      </c>
      <c r="CA241" s="255">
        <f t="shared" si="53"/>
        <v>14282346</v>
      </c>
      <c r="CB241" s="255">
        <f t="shared" si="54"/>
        <v>3551493</v>
      </c>
      <c r="CC241" s="255">
        <f t="shared" si="55"/>
        <v>4679592</v>
      </c>
      <c r="CD241" s="255">
        <f t="shared" si="56"/>
        <v>0</v>
      </c>
      <c r="CG241" s="255"/>
    </row>
    <row r="242" spans="1:85">
      <c r="A242" s="110" t="s">
        <v>63</v>
      </c>
      <c r="B242" s="2123" t="s">
        <v>312</v>
      </c>
      <c r="C242" s="2123" t="s">
        <v>268</v>
      </c>
      <c r="D242" s="2123">
        <v>748551.7</v>
      </c>
      <c r="E242" s="2124">
        <v>69903905605</v>
      </c>
      <c r="F242" s="2125">
        <v>69903905605</v>
      </c>
      <c r="G242" s="2125">
        <v>0</v>
      </c>
      <c r="H242" s="2125">
        <v>0</v>
      </c>
      <c r="I242" s="2125">
        <v>0</v>
      </c>
      <c r="J242" s="2125">
        <v>0</v>
      </c>
      <c r="K242" s="2125">
        <v>0</v>
      </c>
      <c r="L242" s="2125">
        <v>0</v>
      </c>
      <c r="M242" s="2126">
        <v>33808528034</v>
      </c>
      <c r="N242" s="2127">
        <v>33489781139</v>
      </c>
      <c r="O242" s="2127">
        <v>13805009</v>
      </c>
      <c r="P242" s="2127">
        <v>3069</v>
      </c>
      <c r="Q242" s="2127">
        <v>0</v>
      </c>
      <c r="R242" s="2127">
        <v>104449580</v>
      </c>
      <c r="S242" s="2127">
        <v>0</v>
      </c>
      <c r="T242" s="2127">
        <v>13508824</v>
      </c>
      <c r="U242" s="2127">
        <v>0</v>
      </c>
      <c r="V242" s="2127">
        <v>76167920</v>
      </c>
      <c r="W242" s="2127">
        <v>15251774</v>
      </c>
      <c r="X242" s="2127">
        <v>17183094</v>
      </c>
      <c r="Y242" s="2127">
        <v>12043898</v>
      </c>
      <c r="Z242" s="2127">
        <v>27811975</v>
      </c>
      <c r="AA242" s="2127">
        <v>0</v>
      </c>
      <c r="AB242" s="2127">
        <v>38405238</v>
      </c>
      <c r="AC242" s="2127">
        <v>3487847</v>
      </c>
      <c r="AD242" s="2127">
        <v>36610125</v>
      </c>
      <c r="AE242" s="2127">
        <v>0</v>
      </c>
      <c r="AF242" s="2127">
        <v>-7714437</v>
      </c>
      <c r="AG242" s="2127">
        <v>0</v>
      </c>
      <c r="AH242" s="2127">
        <v>0</v>
      </c>
      <c r="AI242" s="2127">
        <v>0</v>
      </c>
      <c r="AJ242" s="2127">
        <v>0</v>
      </c>
      <c r="AK242" s="2127">
        <v>0</v>
      </c>
      <c r="AL242" s="2127">
        <v>-32267021</v>
      </c>
      <c r="AM242" s="2127">
        <v>0</v>
      </c>
      <c r="AN242" s="2127">
        <v>0</v>
      </c>
      <c r="AO242" s="2123">
        <v>36095377571</v>
      </c>
      <c r="AP242" s="2128">
        <v>74141238</v>
      </c>
      <c r="AQ242" s="2129">
        <v>1510000</v>
      </c>
      <c r="AR242" s="2129">
        <v>0</v>
      </c>
      <c r="AS242" s="2129">
        <v>0</v>
      </c>
      <c r="AT242" s="2129">
        <v>0</v>
      </c>
      <c r="AU242" s="2129">
        <v>8878196</v>
      </c>
      <c r="AV242" s="2129">
        <v>0</v>
      </c>
      <c r="AW242" s="2129">
        <v>0</v>
      </c>
      <c r="AX242" s="2129">
        <v>6880</v>
      </c>
      <c r="AY242" s="2129">
        <v>0</v>
      </c>
      <c r="AZ242" s="2129">
        <v>2146632</v>
      </c>
      <c r="BA242" s="2129">
        <v>61257794</v>
      </c>
      <c r="BB242" s="2129">
        <v>0</v>
      </c>
      <c r="BC242" s="2129">
        <v>341736</v>
      </c>
      <c r="BD242" s="2123">
        <v>36021236333</v>
      </c>
      <c r="BE242" s="2130">
        <v>0</v>
      </c>
      <c r="BF242" s="2131">
        <v>0</v>
      </c>
      <c r="BG242" s="2131">
        <v>0</v>
      </c>
      <c r="BH242" s="2131">
        <v>0</v>
      </c>
      <c r="BI242" s="2131">
        <v>0</v>
      </c>
      <c r="BJ242" s="2131">
        <v>0</v>
      </c>
      <c r="BK242" s="2131">
        <v>0</v>
      </c>
      <c r="BL242" s="2131">
        <v>0</v>
      </c>
      <c r="BM242" s="2132">
        <v>0</v>
      </c>
      <c r="BN242" s="2133">
        <v>0</v>
      </c>
      <c r="BO242" s="2133">
        <v>0</v>
      </c>
      <c r="BP242" s="2133">
        <v>0</v>
      </c>
      <c r="BQ242" s="2133">
        <v>0</v>
      </c>
      <c r="BR242" s="2133">
        <v>0</v>
      </c>
      <c r="BS242" s="2133">
        <v>0</v>
      </c>
      <c r="BT242" s="2133">
        <v>0</v>
      </c>
      <c r="BU242" s="2123">
        <v>36021236333</v>
      </c>
      <c r="BW242" s="255">
        <f t="shared" si="50"/>
        <v>0</v>
      </c>
      <c r="BX242" s="255">
        <f t="shared" si="51"/>
        <v>33489781139</v>
      </c>
      <c r="BY242" s="255">
        <f t="shared" si="52"/>
        <v>-7714437</v>
      </c>
      <c r="BZ242" s="255">
        <f t="shared" si="49"/>
        <v>33482066702</v>
      </c>
      <c r="CA242" s="255">
        <f t="shared" si="53"/>
        <v>-32267021</v>
      </c>
      <c r="CB242" s="255">
        <f t="shared" si="54"/>
        <v>32434868</v>
      </c>
      <c r="CC242" s="255">
        <f t="shared" si="55"/>
        <v>38405238</v>
      </c>
      <c r="CD242" s="255">
        <f t="shared" si="56"/>
        <v>1510000</v>
      </c>
      <c r="CG242" s="255"/>
    </row>
    <row r="243" spans="1:85">
      <c r="A243" s="110" t="s">
        <v>63</v>
      </c>
      <c r="B243" s="2123" t="s">
        <v>313</v>
      </c>
      <c r="C243" s="2123" t="s">
        <v>246</v>
      </c>
      <c r="D243" s="2123">
        <v>180650</v>
      </c>
      <c r="E243" s="2124">
        <v>2670125773</v>
      </c>
      <c r="F243" s="2125">
        <v>2670125773</v>
      </c>
      <c r="G243" s="2125">
        <v>0</v>
      </c>
      <c r="H243" s="2125">
        <v>0</v>
      </c>
      <c r="I243" s="2125">
        <v>0</v>
      </c>
      <c r="J243" s="2125">
        <v>0</v>
      </c>
      <c r="K243" s="2125">
        <v>0</v>
      </c>
      <c r="L243" s="2125">
        <v>0</v>
      </c>
      <c r="M243" s="2126">
        <v>1776667901</v>
      </c>
      <c r="N243" s="2127">
        <v>183441516</v>
      </c>
      <c r="O243" s="2127">
        <v>0</v>
      </c>
      <c r="P243" s="2127">
        <v>0</v>
      </c>
      <c r="Q243" s="2127">
        <v>0</v>
      </c>
      <c r="R243" s="2127">
        <v>380922643</v>
      </c>
      <c r="S243" s="2127">
        <v>0</v>
      </c>
      <c r="T243" s="2127">
        <v>18992498</v>
      </c>
      <c r="U243" s="2127">
        <v>0</v>
      </c>
      <c r="V243" s="2127">
        <v>420228319</v>
      </c>
      <c r="W243" s="2127">
        <v>1784877</v>
      </c>
      <c r="X243" s="2127">
        <v>26738006</v>
      </c>
      <c r="Y243" s="2127">
        <v>0</v>
      </c>
      <c r="Z243" s="2127">
        <v>319160222</v>
      </c>
      <c r="AA243" s="2127">
        <v>0</v>
      </c>
      <c r="AB243" s="2127">
        <v>69774313</v>
      </c>
      <c r="AC243" s="2127">
        <v>6620082</v>
      </c>
      <c r="AD243" s="2127">
        <v>265718585</v>
      </c>
      <c r="AE243" s="2127">
        <v>0</v>
      </c>
      <c r="AF243" s="2127">
        <v>14836522</v>
      </c>
      <c r="AG243" s="2127">
        <v>0</v>
      </c>
      <c r="AH243" s="2127">
        <v>0</v>
      </c>
      <c r="AI243" s="2127">
        <v>0</v>
      </c>
      <c r="AJ243" s="2127">
        <v>0</v>
      </c>
      <c r="AK243" s="2127">
        <v>0</v>
      </c>
      <c r="AL243" s="2127">
        <v>0</v>
      </c>
      <c r="AM243" s="2127">
        <v>0</v>
      </c>
      <c r="AN243" s="2127">
        <v>68450318</v>
      </c>
      <c r="AO243" s="2123">
        <v>893457872</v>
      </c>
      <c r="AP243" s="2128">
        <v>8626189</v>
      </c>
      <c r="AQ243" s="2129">
        <v>5257840</v>
      </c>
      <c r="AR243" s="2129">
        <v>1293402</v>
      </c>
      <c r="AS243" s="2129">
        <v>0</v>
      </c>
      <c r="AT243" s="2129">
        <v>0</v>
      </c>
      <c r="AU243" s="2129">
        <v>328595</v>
      </c>
      <c r="AV243" s="2129">
        <v>0</v>
      </c>
      <c r="AW243" s="2129">
        <v>0</v>
      </c>
      <c r="AX243" s="2129">
        <v>236</v>
      </c>
      <c r="AY243" s="2129">
        <v>0</v>
      </c>
      <c r="AZ243" s="2129">
        <v>65454</v>
      </c>
      <c r="BA243" s="2129">
        <v>1668571</v>
      </c>
      <c r="BB243" s="2129">
        <v>0</v>
      </c>
      <c r="BC243" s="2129">
        <v>12091</v>
      </c>
      <c r="BD243" s="2123">
        <v>884831683</v>
      </c>
      <c r="BE243" s="2130">
        <v>28475200</v>
      </c>
      <c r="BF243" s="2131">
        <v>0</v>
      </c>
      <c r="BG243" s="2131">
        <v>0</v>
      </c>
      <c r="BH243" s="2131">
        <v>0</v>
      </c>
      <c r="BI243" s="2131">
        <v>0</v>
      </c>
      <c r="BJ243" s="2131">
        <v>0</v>
      </c>
      <c r="BK243" s="2131">
        <v>28475200</v>
      </c>
      <c r="BL243" s="2131">
        <v>0</v>
      </c>
      <c r="BM243" s="2132">
        <v>0</v>
      </c>
      <c r="BN243" s="2133">
        <v>0</v>
      </c>
      <c r="BO243" s="2133">
        <v>0</v>
      </c>
      <c r="BP243" s="2133">
        <v>0</v>
      </c>
      <c r="BQ243" s="2133">
        <v>0</v>
      </c>
      <c r="BR243" s="2133">
        <v>0</v>
      </c>
      <c r="BS243" s="2133">
        <v>0</v>
      </c>
      <c r="BT243" s="2133">
        <v>0</v>
      </c>
      <c r="BU243" s="2123">
        <v>913306883</v>
      </c>
      <c r="BW243" s="255">
        <f t="shared" si="50"/>
        <v>0</v>
      </c>
      <c r="BX243" s="255">
        <f t="shared" si="51"/>
        <v>183441516</v>
      </c>
      <c r="BY243" s="255">
        <f t="shared" si="52"/>
        <v>14836522</v>
      </c>
      <c r="BZ243" s="255">
        <f t="shared" si="49"/>
        <v>198278038</v>
      </c>
      <c r="CA243" s="255">
        <f t="shared" si="53"/>
        <v>68450318</v>
      </c>
      <c r="CB243" s="255">
        <f t="shared" si="54"/>
        <v>28522883</v>
      </c>
      <c r="CC243" s="255">
        <f t="shared" si="55"/>
        <v>69774313</v>
      </c>
      <c r="CD243" s="255">
        <f t="shared" si="56"/>
        <v>5257840</v>
      </c>
      <c r="CG243" s="255"/>
    </row>
    <row r="244" spans="1:85">
      <c r="A244" s="110" t="s">
        <v>63</v>
      </c>
      <c r="B244" s="2123" t="s">
        <v>314</v>
      </c>
      <c r="C244" s="2123" t="s">
        <v>272</v>
      </c>
      <c r="D244" s="2123">
        <v>790604</v>
      </c>
      <c r="E244" s="2124">
        <v>10457470281</v>
      </c>
      <c r="F244" s="2125">
        <v>10457470281</v>
      </c>
      <c r="G244" s="2125">
        <v>0</v>
      </c>
      <c r="H244" s="2125">
        <v>0</v>
      </c>
      <c r="I244" s="2125">
        <v>0</v>
      </c>
      <c r="J244" s="2125">
        <v>0</v>
      </c>
      <c r="K244" s="2125">
        <v>0</v>
      </c>
      <c r="L244" s="2125">
        <v>0</v>
      </c>
      <c r="M244" s="2126">
        <v>9891877226</v>
      </c>
      <c r="N244" s="2127">
        <v>9891877226</v>
      </c>
      <c r="O244" s="2127">
        <v>0</v>
      </c>
      <c r="P244" s="2127">
        <v>0</v>
      </c>
      <c r="Q244" s="2127">
        <v>0</v>
      </c>
      <c r="R244" s="2127">
        <v>0</v>
      </c>
      <c r="S244" s="2127">
        <v>0</v>
      </c>
      <c r="T244" s="2127">
        <v>0</v>
      </c>
      <c r="U244" s="2127">
        <v>0</v>
      </c>
      <c r="V244" s="2127">
        <v>0</v>
      </c>
      <c r="W244" s="2127">
        <v>0</v>
      </c>
      <c r="X244" s="2127">
        <v>0</v>
      </c>
      <c r="Y244" s="2127">
        <v>0</v>
      </c>
      <c r="Z244" s="2127">
        <v>0</v>
      </c>
      <c r="AA244" s="2127">
        <v>0</v>
      </c>
      <c r="AB244" s="2127">
        <v>0</v>
      </c>
      <c r="AC244" s="2127">
        <v>0</v>
      </c>
      <c r="AD244" s="2127">
        <v>0</v>
      </c>
      <c r="AE244" s="2127">
        <v>0</v>
      </c>
      <c r="AF244" s="2127">
        <v>0</v>
      </c>
      <c r="AG244" s="2127">
        <v>0</v>
      </c>
      <c r="AH244" s="2127">
        <v>0</v>
      </c>
      <c r="AI244" s="2127">
        <v>0</v>
      </c>
      <c r="AJ244" s="2127">
        <v>0</v>
      </c>
      <c r="AK244" s="2127">
        <v>0</v>
      </c>
      <c r="AL244" s="2127">
        <v>0</v>
      </c>
      <c r="AM244" s="2127">
        <v>0</v>
      </c>
      <c r="AN244" s="2127">
        <v>0</v>
      </c>
      <c r="AO244" s="2123">
        <v>565593055</v>
      </c>
      <c r="AP244" s="2128">
        <v>19816937</v>
      </c>
      <c r="AQ244" s="2129">
        <v>17086231</v>
      </c>
      <c r="AR244" s="2129">
        <v>61285</v>
      </c>
      <c r="AS244" s="2129">
        <v>0</v>
      </c>
      <c r="AT244" s="2129">
        <v>0</v>
      </c>
      <c r="AU244" s="2129">
        <v>0</v>
      </c>
      <c r="AV244" s="2129">
        <v>0</v>
      </c>
      <c r="AW244" s="2129">
        <v>0</v>
      </c>
      <c r="AX244" s="2129">
        <v>0</v>
      </c>
      <c r="AY244" s="2129">
        <v>0</v>
      </c>
      <c r="AZ244" s="2129">
        <v>0</v>
      </c>
      <c r="BA244" s="2129">
        <v>2669421</v>
      </c>
      <c r="BB244" s="2129">
        <v>0</v>
      </c>
      <c r="BC244" s="2129">
        <v>0</v>
      </c>
      <c r="BD244" s="2123">
        <v>545776118</v>
      </c>
      <c r="BE244" s="2130">
        <v>0</v>
      </c>
      <c r="BF244" s="2131">
        <v>0</v>
      </c>
      <c r="BG244" s="2131">
        <v>0</v>
      </c>
      <c r="BH244" s="2131">
        <v>0</v>
      </c>
      <c r="BI244" s="2131">
        <v>0</v>
      </c>
      <c r="BJ244" s="2131">
        <v>0</v>
      </c>
      <c r="BK244" s="2131">
        <v>0</v>
      </c>
      <c r="BL244" s="2131">
        <v>0</v>
      </c>
      <c r="BM244" s="2132">
        <v>0</v>
      </c>
      <c r="BN244" s="2133">
        <v>0</v>
      </c>
      <c r="BO244" s="2133">
        <v>0</v>
      </c>
      <c r="BP244" s="2133">
        <v>0</v>
      </c>
      <c r="BQ244" s="2133">
        <v>0</v>
      </c>
      <c r="BR244" s="2133">
        <v>0</v>
      </c>
      <c r="BS244" s="2133">
        <v>0</v>
      </c>
      <c r="BT244" s="2133">
        <v>0</v>
      </c>
      <c r="BU244" s="2123">
        <v>545776118</v>
      </c>
      <c r="BW244" s="255">
        <f t="shared" si="50"/>
        <v>0</v>
      </c>
      <c r="BX244" s="255">
        <f t="shared" si="51"/>
        <v>9891877226</v>
      </c>
      <c r="BY244" s="255">
        <f t="shared" si="52"/>
        <v>0</v>
      </c>
      <c r="BZ244" s="255">
        <f t="shared" si="49"/>
        <v>9891877226</v>
      </c>
      <c r="CA244" s="255">
        <f t="shared" si="53"/>
        <v>0</v>
      </c>
      <c r="CB244" s="255">
        <f t="shared" si="54"/>
        <v>0</v>
      </c>
      <c r="CC244" s="255">
        <f t="shared" si="55"/>
        <v>0</v>
      </c>
      <c r="CD244" s="255">
        <f t="shared" si="56"/>
        <v>17086231</v>
      </c>
      <c r="CG244" s="255"/>
    </row>
    <row r="245" spans="1:85">
      <c r="A245" s="110" t="s">
        <v>63</v>
      </c>
      <c r="B245" s="2123" t="s">
        <v>315</v>
      </c>
      <c r="C245" s="2123" t="s">
        <v>316</v>
      </c>
      <c r="D245" s="2123">
        <v>1820000</v>
      </c>
      <c r="E245" s="2124">
        <v>1824777666</v>
      </c>
      <c r="F245" s="2125">
        <v>1824777666</v>
      </c>
      <c r="G245" s="2125">
        <v>0</v>
      </c>
      <c r="H245" s="2125">
        <v>0</v>
      </c>
      <c r="I245" s="2125">
        <v>0</v>
      </c>
      <c r="J245" s="2125">
        <v>0</v>
      </c>
      <c r="K245" s="2125">
        <v>0</v>
      </c>
      <c r="L245" s="2125">
        <v>0</v>
      </c>
      <c r="M245" s="2126">
        <v>1828494501</v>
      </c>
      <c r="N245" s="2127">
        <v>928938713</v>
      </c>
      <c r="O245" s="2127">
        <v>1522426</v>
      </c>
      <c r="P245" s="2127">
        <v>-16144</v>
      </c>
      <c r="Q245" s="2127">
        <v>0</v>
      </c>
      <c r="R245" s="2127">
        <v>510560976</v>
      </c>
      <c r="S245" s="2127">
        <v>0</v>
      </c>
      <c r="T245" s="2127">
        <v>54231107</v>
      </c>
      <c r="U245" s="2127">
        <v>0</v>
      </c>
      <c r="V245" s="2127">
        <v>404506608</v>
      </c>
      <c r="W245" s="2127">
        <v>16445088</v>
      </c>
      <c r="X245" s="2127">
        <v>5709520</v>
      </c>
      <c r="Y245" s="2127">
        <v>1669772</v>
      </c>
      <c r="Z245" s="2127">
        <v>48859107</v>
      </c>
      <c r="AA245" s="2127">
        <v>47239268</v>
      </c>
      <c r="AB245" s="2127">
        <v>98100451</v>
      </c>
      <c r="AC245" s="2127">
        <v>-92662</v>
      </c>
      <c r="AD245" s="2127">
        <v>152614396</v>
      </c>
      <c r="AE245" s="2127">
        <v>0</v>
      </c>
      <c r="AF245" s="2127">
        <v>0</v>
      </c>
      <c r="AG245" s="2127">
        <v>0</v>
      </c>
      <c r="AH245" s="2127">
        <v>0</v>
      </c>
      <c r="AI245" s="2127">
        <v>0</v>
      </c>
      <c r="AJ245" s="2127">
        <v>0</v>
      </c>
      <c r="AK245" s="2127">
        <v>0</v>
      </c>
      <c r="AL245" s="2127">
        <v>-441794125</v>
      </c>
      <c r="AM245" s="2127">
        <v>0</v>
      </c>
      <c r="AN245" s="2127">
        <v>0</v>
      </c>
      <c r="AO245" s="2123">
        <v>-3716835</v>
      </c>
      <c r="AP245" s="2128">
        <v>1482108067</v>
      </c>
      <c r="AQ245" s="2129">
        <v>53705915</v>
      </c>
      <c r="AR245" s="2129">
        <v>6141008</v>
      </c>
      <c r="AS245" s="2129">
        <v>0</v>
      </c>
      <c r="AT245" s="2129">
        <v>0</v>
      </c>
      <c r="AU245" s="2129">
        <v>98614382</v>
      </c>
      <c r="AV245" s="2129">
        <v>0</v>
      </c>
      <c r="AW245" s="2129">
        <v>0</v>
      </c>
      <c r="AX245" s="2129">
        <v>641364</v>
      </c>
      <c r="AY245" s="2129">
        <v>1314816304</v>
      </c>
      <c r="AZ245" s="2129">
        <v>0</v>
      </c>
      <c r="BA245" s="2129">
        <v>396000</v>
      </c>
      <c r="BB245" s="2129">
        <v>0</v>
      </c>
      <c r="BC245" s="2129">
        <v>7793094</v>
      </c>
      <c r="BD245" s="2123">
        <v>-1485824902</v>
      </c>
      <c r="BE245" s="2130">
        <v>5919488</v>
      </c>
      <c r="BF245" s="2131">
        <v>5919488</v>
      </c>
      <c r="BG245" s="2131">
        <v>0</v>
      </c>
      <c r="BH245" s="2131">
        <v>0</v>
      </c>
      <c r="BI245" s="2131">
        <v>0</v>
      </c>
      <c r="BJ245" s="2131">
        <v>0</v>
      </c>
      <c r="BK245" s="2131">
        <v>0</v>
      </c>
      <c r="BL245" s="2131">
        <v>0</v>
      </c>
      <c r="BM245" s="2132">
        <v>5576179</v>
      </c>
      <c r="BN245" s="2133">
        <v>5576179</v>
      </c>
      <c r="BO245" s="2133">
        <v>0</v>
      </c>
      <c r="BP245" s="2133">
        <v>0</v>
      </c>
      <c r="BQ245" s="2133">
        <v>0</v>
      </c>
      <c r="BR245" s="2133">
        <v>0</v>
      </c>
      <c r="BS245" s="2133">
        <v>0</v>
      </c>
      <c r="BT245" s="2133">
        <v>0</v>
      </c>
      <c r="BU245" s="2123">
        <v>-1485481593</v>
      </c>
      <c r="BW245" s="255">
        <f t="shared" si="50"/>
        <v>0</v>
      </c>
      <c r="BX245" s="255">
        <f t="shared" si="51"/>
        <v>928938713</v>
      </c>
      <c r="BY245" s="255">
        <f t="shared" si="52"/>
        <v>0</v>
      </c>
      <c r="BZ245" s="255">
        <f t="shared" si="49"/>
        <v>928938713</v>
      </c>
      <c r="CA245" s="255">
        <f t="shared" si="53"/>
        <v>-441794125</v>
      </c>
      <c r="CB245" s="255">
        <f t="shared" si="54"/>
        <v>22154608</v>
      </c>
      <c r="CC245" s="255">
        <f t="shared" si="55"/>
        <v>145339719</v>
      </c>
      <c r="CD245" s="255">
        <f t="shared" si="56"/>
        <v>53705915</v>
      </c>
      <c r="CG245" s="255"/>
    </row>
    <row r="246" spans="1:85">
      <c r="A246" s="110" t="s">
        <v>63</v>
      </c>
      <c r="B246" s="2123" t="s">
        <v>317</v>
      </c>
      <c r="C246" s="2123" t="s">
        <v>246</v>
      </c>
      <c r="D246" s="2123">
        <v>699500</v>
      </c>
      <c r="E246" s="2124">
        <v>393397485</v>
      </c>
      <c r="F246" s="2125">
        <v>393397485</v>
      </c>
      <c r="G246" s="2125">
        <v>0</v>
      </c>
      <c r="H246" s="2125">
        <v>0</v>
      </c>
      <c r="I246" s="2125">
        <v>0</v>
      </c>
      <c r="J246" s="2125">
        <v>0</v>
      </c>
      <c r="K246" s="2125">
        <v>0</v>
      </c>
      <c r="L246" s="2125">
        <v>0</v>
      </c>
      <c r="M246" s="2126">
        <v>1125155280</v>
      </c>
      <c r="N246" s="2127">
        <v>0</v>
      </c>
      <c r="O246" s="2127">
        <v>0</v>
      </c>
      <c r="P246" s="2127">
        <v>0</v>
      </c>
      <c r="Q246" s="2127">
        <v>0</v>
      </c>
      <c r="R246" s="2127">
        <v>246744559</v>
      </c>
      <c r="S246" s="2127">
        <v>0</v>
      </c>
      <c r="T246" s="2127">
        <v>17166132</v>
      </c>
      <c r="U246" s="2127">
        <v>0</v>
      </c>
      <c r="V246" s="2127">
        <v>370780627</v>
      </c>
      <c r="W246" s="2127">
        <v>706065</v>
      </c>
      <c r="X246" s="2127">
        <v>71300035</v>
      </c>
      <c r="Y246" s="2127">
        <v>5828273</v>
      </c>
      <c r="Z246" s="2127">
        <v>47803782</v>
      </c>
      <c r="AA246" s="2127">
        <v>0</v>
      </c>
      <c r="AB246" s="2127">
        <v>240579614</v>
      </c>
      <c r="AC246" s="2127">
        <v>10955107</v>
      </c>
      <c r="AD246" s="2127">
        <v>58496086</v>
      </c>
      <c r="AE246" s="2127">
        <v>0</v>
      </c>
      <c r="AF246" s="2127">
        <v>0</v>
      </c>
      <c r="AG246" s="2127">
        <v>0</v>
      </c>
      <c r="AH246" s="2127">
        <v>0</v>
      </c>
      <c r="AI246" s="2127">
        <v>0</v>
      </c>
      <c r="AJ246" s="2127">
        <v>0</v>
      </c>
      <c r="AK246" s="2127">
        <v>0</v>
      </c>
      <c r="AL246" s="2127">
        <v>54795000</v>
      </c>
      <c r="AM246" s="2127">
        <v>0</v>
      </c>
      <c r="AN246" s="2127">
        <v>0</v>
      </c>
      <c r="AO246" s="2123">
        <v>-731757795</v>
      </c>
      <c r="AP246" s="2128">
        <v>6319779</v>
      </c>
      <c r="AQ246" s="2129">
        <v>6187800</v>
      </c>
      <c r="AR246" s="2129">
        <v>52795</v>
      </c>
      <c r="AS246" s="2129">
        <v>0</v>
      </c>
      <c r="AT246" s="2129">
        <v>0</v>
      </c>
      <c r="AU246" s="2129">
        <v>57537</v>
      </c>
      <c r="AV246" s="2129">
        <v>0</v>
      </c>
      <c r="AW246" s="2129">
        <v>0</v>
      </c>
      <c r="AX246" s="2129">
        <v>116</v>
      </c>
      <c r="AY246" s="2129">
        <v>0</v>
      </c>
      <c r="AZ246" s="2129">
        <v>19087</v>
      </c>
      <c r="BA246" s="2129">
        <v>0</v>
      </c>
      <c r="BB246" s="2129">
        <v>0</v>
      </c>
      <c r="BC246" s="2129">
        <v>2444</v>
      </c>
      <c r="BD246" s="2123">
        <v>-738077574</v>
      </c>
      <c r="BE246" s="2130">
        <v>0</v>
      </c>
      <c r="BF246" s="2131">
        <v>0</v>
      </c>
      <c r="BG246" s="2131">
        <v>0</v>
      </c>
      <c r="BH246" s="2131">
        <v>0</v>
      </c>
      <c r="BI246" s="2131">
        <v>0</v>
      </c>
      <c r="BJ246" s="2131">
        <v>0</v>
      </c>
      <c r="BK246" s="2131">
        <v>0</v>
      </c>
      <c r="BL246" s="2131">
        <v>0</v>
      </c>
      <c r="BM246" s="2132">
        <v>0</v>
      </c>
      <c r="BN246" s="2133">
        <v>0</v>
      </c>
      <c r="BO246" s="2133">
        <v>0</v>
      </c>
      <c r="BP246" s="2133">
        <v>0</v>
      </c>
      <c r="BQ246" s="2133">
        <v>0</v>
      </c>
      <c r="BR246" s="2133">
        <v>0</v>
      </c>
      <c r="BS246" s="2133">
        <v>0</v>
      </c>
      <c r="BT246" s="2133">
        <v>0</v>
      </c>
      <c r="BU246" s="2123">
        <v>-738077574</v>
      </c>
      <c r="BW246" s="255">
        <f t="shared" si="50"/>
        <v>0</v>
      </c>
      <c r="BX246" s="255">
        <f t="shared" si="51"/>
        <v>0</v>
      </c>
      <c r="BY246" s="255">
        <f t="shared" si="52"/>
        <v>0</v>
      </c>
      <c r="BZ246" s="255">
        <f t="shared" si="49"/>
        <v>0</v>
      </c>
      <c r="CA246" s="255">
        <f t="shared" si="53"/>
        <v>54795000</v>
      </c>
      <c r="CB246" s="255">
        <f t="shared" si="54"/>
        <v>72006100</v>
      </c>
      <c r="CC246" s="255">
        <f t="shared" si="55"/>
        <v>240579614</v>
      </c>
      <c r="CD246" s="255">
        <f t="shared" si="56"/>
        <v>6187800</v>
      </c>
      <c r="CG246" s="255"/>
    </row>
    <row r="247" spans="1:85">
      <c r="A247" s="110" t="s">
        <v>63</v>
      </c>
      <c r="B247" s="2134" t="s">
        <v>374</v>
      </c>
      <c r="C247" s="2134" t="s">
        <v>246</v>
      </c>
      <c r="D247" s="2134">
        <v>14613.075999999999</v>
      </c>
      <c r="E247" s="2135">
        <v>58705020359</v>
      </c>
      <c r="F247" s="2136">
        <v>58705020359</v>
      </c>
      <c r="G247" s="2136">
        <v>0</v>
      </c>
      <c r="H247" s="2136">
        <v>0</v>
      </c>
      <c r="I247" s="2136">
        <v>0</v>
      </c>
      <c r="J247" s="2136">
        <v>0</v>
      </c>
      <c r="K247" s="2136">
        <v>0</v>
      </c>
      <c r="L247" s="2136">
        <v>0</v>
      </c>
      <c r="M247" s="2137">
        <v>58203045964</v>
      </c>
      <c r="N247" s="2138">
        <v>36721634256</v>
      </c>
      <c r="O247" s="2138">
        <v>0</v>
      </c>
      <c r="P247" s="2138">
        <v>0</v>
      </c>
      <c r="Q247" s="2138">
        <v>0</v>
      </c>
      <c r="R247" s="2138">
        <v>0</v>
      </c>
      <c r="S247" s="2138">
        <v>0</v>
      </c>
      <c r="T247" s="2138">
        <v>0</v>
      </c>
      <c r="U247" s="2138">
        <v>0</v>
      </c>
      <c r="V247" s="2138">
        <v>0</v>
      </c>
      <c r="W247" s="2138">
        <v>0</v>
      </c>
      <c r="X247" s="2138">
        <v>0</v>
      </c>
      <c r="Y247" s="2138">
        <v>0</v>
      </c>
      <c r="Z247" s="2138">
        <v>0</v>
      </c>
      <c r="AA247" s="2138">
        <v>0</v>
      </c>
      <c r="AB247" s="2138">
        <v>0</v>
      </c>
      <c r="AC247" s="2138">
        <v>0</v>
      </c>
      <c r="AD247" s="2138">
        <v>0</v>
      </c>
      <c r="AE247" s="2138">
        <v>0</v>
      </c>
      <c r="AF247" s="2138">
        <v>0</v>
      </c>
      <c r="AG247" s="2138">
        <v>0</v>
      </c>
      <c r="AH247" s="2138">
        <v>0</v>
      </c>
      <c r="AI247" s="2138">
        <v>0</v>
      </c>
      <c r="AJ247" s="2138">
        <v>0</v>
      </c>
      <c r="AK247" s="2138">
        <v>0</v>
      </c>
      <c r="AL247" s="2138">
        <v>21481411708</v>
      </c>
      <c r="AM247" s="2138">
        <v>0</v>
      </c>
      <c r="AN247" s="2138">
        <v>0</v>
      </c>
      <c r="AO247" s="2134">
        <v>501974395</v>
      </c>
      <c r="AP247" s="2139">
        <v>0</v>
      </c>
      <c r="AQ247" s="2140">
        <v>0</v>
      </c>
      <c r="AR247" s="2140">
        <v>0</v>
      </c>
      <c r="AS247" s="2140">
        <v>0</v>
      </c>
      <c r="AT247" s="2140">
        <v>0</v>
      </c>
      <c r="AU247" s="2140">
        <v>0</v>
      </c>
      <c r="AV247" s="2140">
        <v>0</v>
      </c>
      <c r="AW247" s="2140">
        <v>0</v>
      </c>
      <c r="AX247" s="2140">
        <v>0</v>
      </c>
      <c r="AY247" s="2140">
        <v>0</v>
      </c>
      <c r="AZ247" s="2140">
        <v>0</v>
      </c>
      <c r="BA247" s="2140">
        <v>0</v>
      </c>
      <c r="BB247" s="2140">
        <v>0</v>
      </c>
      <c r="BC247" s="2140">
        <v>0</v>
      </c>
      <c r="BD247" s="2134">
        <v>501974395</v>
      </c>
      <c r="BE247" s="2141">
        <v>11926691</v>
      </c>
      <c r="BF247" s="2142">
        <v>0</v>
      </c>
      <c r="BG247" s="2142">
        <v>0</v>
      </c>
      <c r="BH247" s="2142">
        <v>11926691</v>
      </c>
      <c r="BI247" s="2142">
        <v>0</v>
      </c>
      <c r="BJ247" s="2142">
        <v>0</v>
      </c>
      <c r="BK247" s="2142">
        <v>0</v>
      </c>
      <c r="BL247" s="2142">
        <v>0</v>
      </c>
      <c r="BM247" s="2143">
        <v>29085999</v>
      </c>
      <c r="BN247" s="2144">
        <v>0</v>
      </c>
      <c r="BO247" s="2144">
        <v>0</v>
      </c>
      <c r="BP247" s="2144">
        <v>29085999</v>
      </c>
      <c r="BQ247" s="2144">
        <v>0</v>
      </c>
      <c r="BR247" s="2144">
        <v>0</v>
      </c>
      <c r="BS247" s="2144">
        <v>0</v>
      </c>
      <c r="BT247" s="2144">
        <v>0</v>
      </c>
      <c r="BU247" s="2134">
        <v>484815087</v>
      </c>
      <c r="BW247" s="255">
        <f t="shared" si="50"/>
        <v>0</v>
      </c>
      <c r="BX247" s="255">
        <f t="shared" si="51"/>
        <v>36721634256</v>
      </c>
      <c r="BY247" s="255">
        <f t="shared" si="52"/>
        <v>0</v>
      </c>
      <c r="BZ247" s="255">
        <f t="shared" si="49"/>
        <v>36721634256</v>
      </c>
      <c r="CA247" s="255">
        <f t="shared" si="53"/>
        <v>21481411708</v>
      </c>
      <c r="CB247" s="255">
        <f t="shared" si="54"/>
        <v>0</v>
      </c>
      <c r="CC247" s="255">
        <f t="shared" si="55"/>
        <v>0</v>
      </c>
      <c r="CD247" s="255">
        <f t="shared" si="56"/>
        <v>0</v>
      </c>
      <c r="CG247" s="255"/>
    </row>
    <row r="248" spans="1:85">
      <c r="B248" s="2145" t="s">
        <v>275</v>
      </c>
      <c r="C248" s="2145"/>
      <c r="D248" s="2145"/>
      <c r="E248" s="2146">
        <v>4514782044054</v>
      </c>
      <c r="F248" s="2147">
        <v>4601117394478</v>
      </c>
      <c r="G248" s="2147">
        <v>-4310753298</v>
      </c>
      <c r="H248" s="2147">
        <v>-78091677680</v>
      </c>
      <c r="I248" s="2147">
        <v>78021254</v>
      </c>
      <c r="J248" s="2147">
        <v>-5415740700</v>
      </c>
      <c r="K248" s="2147">
        <v>1404800000</v>
      </c>
      <c r="L248" s="2147">
        <v>0</v>
      </c>
      <c r="M248" s="2148">
        <v>4342775589092</v>
      </c>
      <c r="N248" s="2149">
        <v>3959808395195</v>
      </c>
      <c r="O248" s="2149">
        <v>12017315705</v>
      </c>
      <c r="P248" s="2149">
        <v>-155414276</v>
      </c>
      <c r="Q248" s="2149">
        <v>0</v>
      </c>
      <c r="R248" s="2149">
        <v>32410951031</v>
      </c>
      <c r="S248" s="2149">
        <v>0</v>
      </c>
      <c r="T248" s="2149">
        <v>2420002037</v>
      </c>
      <c r="U248" s="2149">
        <v>0</v>
      </c>
      <c r="V248" s="2149">
        <v>31625776142</v>
      </c>
      <c r="W248" s="2149">
        <v>28735828860</v>
      </c>
      <c r="X248" s="2149">
        <v>13514936046</v>
      </c>
      <c r="Y248" s="2149">
        <v>7261977609</v>
      </c>
      <c r="Z248" s="2149">
        <v>16440677817</v>
      </c>
      <c r="AA248" s="2149">
        <v>137396637</v>
      </c>
      <c r="AB248" s="2149">
        <v>12548642669</v>
      </c>
      <c r="AC248" s="2149">
        <v>3296194553</v>
      </c>
      <c r="AD248" s="2149">
        <v>19770240216</v>
      </c>
      <c r="AE248" s="2149">
        <v>-42507733300</v>
      </c>
      <c r="AF248" s="2149">
        <v>217186994851</v>
      </c>
      <c r="AG248" s="2149">
        <v>0</v>
      </c>
      <c r="AH248" s="2149">
        <v>0</v>
      </c>
      <c r="AI248" s="2149">
        <v>0</v>
      </c>
      <c r="AJ248" s="2149">
        <v>0</v>
      </c>
      <c r="AK248" s="2149">
        <v>-73665720</v>
      </c>
      <c r="AL248" s="2149">
        <v>20034192893</v>
      </c>
      <c r="AM248" s="2149">
        <v>1385895814</v>
      </c>
      <c r="AN248" s="2149">
        <v>6916984313</v>
      </c>
      <c r="AO248" s="2145">
        <v>172006454962</v>
      </c>
      <c r="AP248" s="2150">
        <v>40104589583</v>
      </c>
      <c r="AQ248" s="2151">
        <v>6758416113</v>
      </c>
      <c r="AR248" s="2151">
        <v>143213754</v>
      </c>
      <c r="AS248" s="2151">
        <v>77389</v>
      </c>
      <c r="AT248" s="2151">
        <v>0</v>
      </c>
      <c r="AU248" s="2151">
        <v>11921852160</v>
      </c>
      <c r="AV248" s="2151">
        <v>367108800</v>
      </c>
      <c r="AW248" s="2151">
        <v>0</v>
      </c>
      <c r="AX248" s="2151">
        <v>61246220</v>
      </c>
      <c r="AY248" s="2151">
        <v>4272074603</v>
      </c>
      <c r="AZ248" s="2151">
        <v>1046371601</v>
      </c>
      <c r="BA248" s="2151">
        <v>11182442039</v>
      </c>
      <c r="BB248" s="2151">
        <v>42035106</v>
      </c>
      <c r="BC248" s="2151">
        <v>4309751798</v>
      </c>
      <c r="BD248" s="2145">
        <v>131901865379</v>
      </c>
      <c r="BE248" s="2152">
        <v>38359378348</v>
      </c>
      <c r="BF248" s="2153">
        <v>23996763204</v>
      </c>
      <c r="BG248" s="2153">
        <v>958399312</v>
      </c>
      <c r="BH248" s="2153">
        <v>2320772016</v>
      </c>
      <c r="BI248" s="2153">
        <v>8063506509</v>
      </c>
      <c r="BJ248" s="2153">
        <v>39119131</v>
      </c>
      <c r="BK248" s="2153">
        <v>2980818176</v>
      </c>
      <c r="BL248" s="2153">
        <v>0</v>
      </c>
      <c r="BM248" s="2154">
        <v>73609842901</v>
      </c>
      <c r="BN248" s="2155">
        <v>53303122491</v>
      </c>
      <c r="BO248" s="2155">
        <v>3666281975</v>
      </c>
      <c r="BP248" s="2155">
        <v>5513248995</v>
      </c>
      <c r="BQ248" s="2155">
        <v>8283196871</v>
      </c>
      <c r="BR248" s="2155">
        <v>2764897561</v>
      </c>
      <c r="BS248" s="2155">
        <v>79095008</v>
      </c>
      <c r="BT248" s="2155">
        <v>0</v>
      </c>
      <c r="BU248" s="2145">
        <v>96651400826</v>
      </c>
      <c r="BW248" s="255">
        <f>SUM(G248:L248)</f>
        <v>-86335350424</v>
      </c>
      <c r="BX248" s="255">
        <f>N248</f>
        <v>3959808395195</v>
      </c>
      <c r="BY248" s="255">
        <f t="shared" si="52"/>
        <v>174605595831</v>
      </c>
      <c r="BZ248" s="255">
        <f t="shared" si="49"/>
        <v>4134413991026</v>
      </c>
      <c r="CA248" s="255">
        <f t="shared" si="53"/>
        <v>26951177206</v>
      </c>
      <c r="CB248" s="255">
        <f>SUM(W248,X248)</f>
        <v>42250764906</v>
      </c>
      <c r="CC248" s="255">
        <f>SUM(AA248:AB248)</f>
        <v>12686039306</v>
      </c>
      <c r="CD248" s="255">
        <f>AQ248</f>
        <v>6758416113</v>
      </c>
      <c r="CG248" s="255"/>
    </row>
    <row r="249" spans="1:85">
      <c r="B249" s="2156"/>
      <c r="C249" s="2156"/>
      <c r="D249" s="2156"/>
      <c r="E249" s="2156" t="b">
        <f>SUM(E228:E247)=E248</f>
        <v>1</v>
      </c>
      <c r="F249" s="2156" t="b">
        <f t="shared" ref="F249" si="57">SUM(F228:F247)=F248</f>
        <v>1</v>
      </c>
      <c r="G249" s="2156" t="b">
        <f t="shared" ref="G249:BQ249" si="58">SUM(G228:G247)=G248</f>
        <v>1</v>
      </c>
      <c r="H249" s="2156" t="b">
        <f t="shared" si="58"/>
        <v>1</v>
      </c>
      <c r="I249" s="2156" t="b">
        <f t="shared" si="58"/>
        <v>1</v>
      </c>
      <c r="J249" s="2156" t="b">
        <f t="shared" si="58"/>
        <v>1</v>
      </c>
      <c r="K249" s="2156" t="b">
        <f t="shared" si="58"/>
        <v>1</v>
      </c>
      <c r="L249" s="2156" t="b">
        <f t="shared" si="58"/>
        <v>1</v>
      </c>
      <c r="M249" s="2156" t="b">
        <f t="shared" si="58"/>
        <v>1</v>
      </c>
      <c r="N249" s="2156" t="b">
        <f t="shared" si="58"/>
        <v>1</v>
      </c>
      <c r="O249" s="2156" t="b">
        <f t="shared" si="58"/>
        <v>1</v>
      </c>
      <c r="P249" s="2156" t="b">
        <f t="shared" si="58"/>
        <v>1</v>
      </c>
      <c r="Q249" s="2156" t="b">
        <f t="shared" si="58"/>
        <v>1</v>
      </c>
      <c r="R249" s="2156" t="b">
        <f t="shared" si="58"/>
        <v>1</v>
      </c>
      <c r="S249" s="2156" t="b">
        <f t="shared" si="58"/>
        <v>1</v>
      </c>
      <c r="T249" s="2156" t="b">
        <f t="shared" si="58"/>
        <v>1</v>
      </c>
      <c r="U249" s="2156" t="b">
        <f t="shared" si="58"/>
        <v>1</v>
      </c>
      <c r="V249" s="2156" t="b">
        <f t="shared" si="58"/>
        <v>1</v>
      </c>
      <c r="W249" s="2156" t="b">
        <f t="shared" si="58"/>
        <v>1</v>
      </c>
      <c r="X249" s="2156" t="b">
        <f t="shared" si="58"/>
        <v>1</v>
      </c>
      <c r="Y249" s="2156" t="b">
        <f t="shared" si="58"/>
        <v>1</v>
      </c>
      <c r="Z249" s="2156" t="b">
        <f t="shared" si="58"/>
        <v>1</v>
      </c>
      <c r="AA249" s="2156" t="b">
        <f t="shared" si="58"/>
        <v>1</v>
      </c>
      <c r="AB249" s="2156" t="b">
        <f t="shared" si="58"/>
        <v>1</v>
      </c>
      <c r="AC249" s="2156" t="b">
        <f t="shared" si="58"/>
        <v>1</v>
      </c>
      <c r="AD249" s="2156" t="b">
        <f t="shared" si="58"/>
        <v>1</v>
      </c>
      <c r="AE249" s="2156" t="b">
        <f t="shared" si="58"/>
        <v>1</v>
      </c>
      <c r="AF249" s="2156" t="b">
        <f t="shared" si="58"/>
        <v>1</v>
      </c>
      <c r="AG249" s="2156" t="b">
        <f t="shared" si="58"/>
        <v>1</v>
      </c>
      <c r="AH249" s="2156" t="b">
        <f t="shared" si="58"/>
        <v>1</v>
      </c>
      <c r="AI249" s="2156" t="b">
        <f t="shared" si="58"/>
        <v>1</v>
      </c>
      <c r="AJ249" s="2156" t="b">
        <f t="shared" si="58"/>
        <v>1</v>
      </c>
      <c r="AK249" s="2156" t="b">
        <f t="shared" si="58"/>
        <v>1</v>
      </c>
      <c r="AL249" s="2156" t="b">
        <f t="shared" si="58"/>
        <v>1</v>
      </c>
      <c r="AM249" s="2156" t="b">
        <f t="shared" si="58"/>
        <v>1</v>
      </c>
      <c r="AN249" s="2156" t="b">
        <f t="shared" si="58"/>
        <v>1</v>
      </c>
      <c r="AO249" s="2156" t="b">
        <f t="shared" si="58"/>
        <v>1</v>
      </c>
      <c r="AP249" s="2156" t="b">
        <f t="shared" si="58"/>
        <v>1</v>
      </c>
      <c r="AQ249" s="2156" t="b">
        <f t="shared" si="58"/>
        <v>1</v>
      </c>
      <c r="AR249" s="2156" t="b">
        <f t="shared" si="58"/>
        <v>1</v>
      </c>
      <c r="AS249" s="2156" t="b">
        <f t="shared" si="58"/>
        <v>1</v>
      </c>
      <c r="AT249" s="2156" t="b">
        <f t="shared" si="58"/>
        <v>1</v>
      </c>
      <c r="AU249" s="2156" t="b">
        <f t="shared" si="58"/>
        <v>1</v>
      </c>
      <c r="AV249" s="2156" t="b">
        <f t="shared" si="58"/>
        <v>1</v>
      </c>
      <c r="AW249" s="2156" t="b">
        <f t="shared" si="58"/>
        <v>1</v>
      </c>
      <c r="AX249" s="2156" t="b">
        <f t="shared" si="58"/>
        <v>1</v>
      </c>
      <c r="AY249" s="2156" t="b">
        <f t="shared" si="58"/>
        <v>1</v>
      </c>
      <c r="AZ249" s="2156" t="b">
        <f t="shared" si="58"/>
        <v>1</v>
      </c>
      <c r="BA249" s="2156" t="b">
        <f t="shared" si="58"/>
        <v>1</v>
      </c>
      <c r="BB249" s="2156" t="b">
        <f t="shared" si="58"/>
        <v>1</v>
      </c>
      <c r="BC249" s="2156" t="b">
        <f t="shared" si="58"/>
        <v>1</v>
      </c>
      <c r="BD249" s="2156" t="b">
        <f t="shared" si="58"/>
        <v>1</v>
      </c>
      <c r="BE249" s="2156" t="b">
        <f t="shared" si="58"/>
        <v>1</v>
      </c>
      <c r="BF249" s="2156" t="b">
        <f t="shared" si="58"/>
        <v>1</v>
      </c>
      <c r="BG249" s="2156" t="b">
        <f t="shared" si="58"/>
        <v>1</v>
      </c>
      <c r="BH249" s="2156" t="b">
        <f t="shared" si="58"/>
        <v>1</v>
      </c>
      <c r="BI249" s="2156" t="b">
        <f t="shared" si="58"/>
        <v>1</v>
      </c>
      <c r="BJ249" s="2156" t="b">
        <f t="shared" si="58"/>
        <v>1</v>
      </c>
      <c r="BK249" s="2156" t="b">
        <f t="shared" si="58"/>
        <v>1</v>
      </c>
      <c r="BL249" s="2156" t="b">
        <f t="shared" si="58"/>
        <v>1</v>
      </c>
      <c r="BM249" s="2156" t="b">
        <f t="shared" si="58"/>
        <v>1</v>
      </c>
      <c r="BN249" s="2156" t="b">
        <f t="shared" si="58"/>
        <v>1</v>
      </c>
      <c r="BO249" s="2156" t="b">
        <f t="shared" si="58"/>
        <v>1</v>
      </c>
      <c r="BP249" s="2156" t="b">
        <f t="shared" si="58"/>
        <v>1</v>
      </c>
      <c r="BQ249" s="2156" t="b">
        <f t="shared" si="58"/>
        <v>1</v>
      </c>
      <c r="BR249" s="2156" t="b">
        <f t="shared" ref="BR249" si="59">SUM(BR228:BR247)=BR248</f>
        <v>1</v>
      </c>
      <c r="BS249" s="2156" t="b">
        <f>SUM(BS228:BS247)=BS248</f>
        <v>1</v>
      </c>
      <c r="BT249" s="2156" t="b">
        <f>SUM(BT228:BT247)=BT248</f>
        <v>1</v>
      </c>
      <c r="BU249" s="2156" t="b">
        <f>SUM(BU228:BU247)=BU248</f>
        <v>1</v>
      </c>
    </row>
    <row r="250" spans="1:85">
      <c r="B250" s="2156"/>
      <c r="C250" s="2156"/>
      <c r="D250" s="2156"/>
      <c r="E250" s="2156"/>
      <c r="F250" s="2156"/>
      <c r="G250" s="2156"/>
      <c r="H250" s="2156"/>
      <c r="I250" s="2156"/>
      <c r="J250" s="2156"/>
      <c r="K250" s="2156"/>
      <c r="L250" s="2156"/>
      <c r="M250" s="2156"/>
      <c r="N250" s="2156"/>
      <c r="O250" s="2156"/>
      <c r="P250" s="2156"/>
      <c r="Q250" s="2156"/>
      <c r="R250" s="2156"/>
      <c r="S250" s="2156"/>
      <c r="T250" s="2156"/>
      <c r="U250" s="2156"/>
      <c r="V250" s="2156"/>
      <c r="W250" s="2156"/>
      <c r="X250" s="2156"/>
      <c r="Y250" s="2156"/>
      <c r="Z250" s="2156"/>
      <c r="AA250" s="2156"/>
      <c r="AB250" s="2156"/>
      <c r="AC250" s="2156"/>
      <c r="AD250" s="2156"/>
      <c r="AE250" s="2156"/>
      <c r="AF250" s="2156"/>
      <c r="AG250" s="2156"/>
      <c r="AH250" s="2156"/>
      <c r="AI250" s="2156"/>
      <c r="AJ250" s="2156"/>
      <c r="AK250" s="2156"/>
      <c r="AL250" s="2156"/>
      <c r="AM250" s="2156"/>
      <c r="AN250" s="2156"/>
      <c r="AO250" s="2156"/>
      <c r="AP250" s="2156"/>
      <c r="AQ250" s="2156"/>
      <c r="AR250" s="2156"/>
      <c r="AS250" s="2156"/>
      <c r="AT250" s="2156"/>
      <c r="AU250" s="2156"/>
      <c r="AV250" s="2156"/>
      <c r="AW250" s="2156"/>
      <c r="AX250" s="2156"/>
      <c r="AY250" s="2156"/>
      <c r="AZ250" s="2156"/>
      <c r="BA250" s="2156"/>
      <c r="BB250" s="2156"/>
      <c r="BC250" s="2156"/>
      <c r="BD250" s="2156"/>
      <c r="BE250" s="2156"/>
      <c r="BF250" s="2156"/>
      <c r="BG250" s="2156"/>
      <c r="BH250" s="2156"/>
      <c r="BI250" s="2156"/>
      <c r="BJ250" s="2156"/>
      <c r="BK250" s="2156"/>
      <c r="BL250" s="2156"/>
      <c r="BM250" s="2156"/>
      <c r="BN250" s="2156"/>
      <c r="BO250" s="2156"/>
      <c r="BP250" s="2156"/>
      <c r="BQ250" s="2156"/>
      <c r="BR250" s="2156"/>
      <c r="BS250" s="2156"/>
    </row>
    <row r="251" spans="1:85">
      <c r="B251" s="2156"/>
      <c r="C251" s="2156"/>
      <c r="D251" s="2156"/>
      <c r="E251" s="2156"/>
      <c r="F251" s="2156"/>
      <c r="G251" s="2156"/>
      <c r="H251" s="2156"/>
      <c r="I251" s="2156"/>
      <c r="J251" s="2156"/>
      <c r="K251" s="2156"/>
      <c r="L251" s="2156"/>
      <c r="M251" s="2156"/>
      <c r="N251" s="2156"/>
      <c r="O251" s="2156"/>
      <c r="P251" s="2156"/>
      <c r="Q251" s="2156"/>
      <c r="R251" s="2156"/>
      <c r="S251" s="2156"/>
      <c r="T251" s="2156"/>
      <c r="U251" s="2156"/>
      <c r="V251" s="2156"/>
      <c r="W251" s="2156"/>
      <c r="X251" s="2156"/>
      <c r="Y251" s="2156"/>
      <c r="Z251" s="2156"/>
      <c r="AA251" s="2156"/>
      <c r="AB251" s="2156"/>
      <c r="AC251" s="2156"/>
      <c r="AD251" s="2156"/>
      <c r="AE251" s="2156"/>
      <c r="AF251" s="2156"/>
      <c r="AG251" s="2156"/>
      <c r="AH251" s="2156"/>
      <c r="AI251" s="2156"/>
      <c r="AJ251" s="2156"/>
      <c r="AK251" s="2156"/>
      <c r="AL251" s="2156"/>
      <c r="AM251" s="2156"/>
      <c r="AN251" s="2156"/>
      <c r="AO251" s="2156"/>
      <c r="AP251" s="2156"/>
      <c r="AQ251" s="2156"/>
      <c r="AR251" s="2156"/>
      <c r="AS251" s="2156"/>
      <c r="AT251" s="2156"/>
      <c r="AU251" s="2156"/>
      <c r="AV251" s="2156"/>
      <c r="AW251" s="2156"/>
      <c r="AX251" s="2156"/>
      <c r="AY251" s="2156"/>
      <c r="AZ251" s="2156"/>
      <c r="BA251" s="2156"/>
      <c r="BB251" s="2156"/>
      <c r="BC251" s="2156"/>
      <c r="BD251" s="2156"/>
      <c r="BE251" s="2156"/>
      <c r="BF251" s="2156"/>
      <c r="BG251" s="2156"/>
      <c r="BH251" s="2156"/>
      <c r="BI251" s="2156"/>
      <c r="BJ251" s="2156"/>
      <c r="BK251" s="2156"/>
      <c r="BL251" s="2156"/>
      <c r="BM251" s="2156"/>
      <c r="BN251" s="2156"/>
      <c r="BO251" s="2156"/>
      <c r="BP251" s="2156"/>
      <c r="BQ251" s="2156"/>
      <c r="BR251" s="2156"/>
      <c r="BS251" s="2156"/>
    </row>
    <row r="252" spans="1:85">
      <c r="B252" s="2156"/>
      <c r="C252" s="2156"/>
      <c r="D252" s="2157" t="s">
        <v>1352</v>
      </c>
      <c r="E252" s="2157"/>
      <c r="F252" s="2157"/>
      <c r="G252" s="2157"/>
      <c r="H252" s="2157" t="s">
        <v>2127</v>
      </c>
      <c r="I252" s="2157"/>
      <c r="J252" s="2157"/>
      <c r="K252" s="2157"/>
      <c r="L252" s="2156"/>
      <c r="M252" s="2156"/>
      <c r="N252" s="2156"/>
      <c r="O252" s="2156"/>
      <c r="P252" s="2156"/>
      <c r="Q252" s="2156"/>
      <c r="R252" s="2156"/>
      <c r="S252" s="2156"/>
      <c r="T252" s="2156"/>
      <c r="U252" s="2156"/>
      <c r="V252" s="2156"/>
      <c r="W252" s="2156"/>
      <c r="X252" s="2156"/>
      <c r="Y252" s="2156"/>
      <c r="Z252" s="2156"/>
      <c r="AA252" s="2156"/>
      <c r="AB252" s="2156"/>
      <c r="AC252" s="2156"/>
      <c r="AD252" s="2156"/>
      <c r="AE252" s="2156"/>
      <c r="AF252" s="2156"/>
      <c r="AG252" s="2156"/>
      <c r="AH252" s="2156"/>
      <c r="AI252" s="2156"/>
      <c r="AJ252" s="2156"/>
      <c r="AK252" s="2156"/>
      <c r="AL252" s="2156"/>
      <c r="AM252" s="2156"/>
      <c r="AN252" s="2156"/>
      <c r="AO252" s="2156"/>
      <c r="AP252" s="2156"/>
      <c r="AQ252" s="2156"/>
      <c r="AR252" s="2156"/>
      <c r="AS252" s="2156"/>
      <c r="AT252" s="2156"/>
      <c r="AU252" s="2156"/>
      <c r="AV252" s="2156"/>
      <c r="AW252" s="2156"/>
      <c r="AX252" s="2156"/>
      <c r="AY252" s="2156"/>
      <c r="AZ252" s="2156"/>
      <c r="BA252" s="2156"/>
      <c r="BB252" s="2156"/>
      <c r="BC252" s="2156"/>
      <c r="BD252" s="2156"/>
      <c r="BE252" s="2156"/>
      <c r="BF252" s="2156"/>
      <c r="BG252" s="2156"/>
      <c r="BH252" s="2156"/>
      <c r="BI252" s="2156"/>
      <c r="BJ252" s="2156"/>
      <c r="BK252" s="2156"/>
      <c r="BL252" s="2156"/>
      <c r="BM252" s="2156"/>
      <c r="BN252" s="2156"/>
      <c r="BO252" s="2156"/>
      <c r="BP252" s="2156"/>
      <c r="BQ252" s="2156"/>
      <c r="BR252" s="2156"/>
      <c r="BS252" s="2156"/>
      <c r="BT252" s="2156"/>
      <c r="BU252" s="2156"/>
    </row>
    <row r="253" spans="1:85">
      <c r="B253" s="2158" t="s">
        <v>3836</v>
      </c>
      <c r="C253" s="131" t="s">
        <v>186</v>
      </c>
      <c r="D253" s="2157" t="s">
        <v>3838</v>
      </c>
      <c r="E253" s="2157" t="s">
        <v>3839</v>
      </c>
      <c r="F253" s="2157" t="s">
        <v>3840</v>
      </c>
      <c r="G253" s="2157" t="s">
        <v>400</v>
      </c>
      <c r="H253" s="2157" t="s">
        <v>3838</v>
      </c>
      <c r="I253" s="2157" t="s">
        <v>3839</v>
      </c>
      <c r="J253" s="2157" t="s">
        <v>3840</v>
      </c>
      <c r="K253" s="2157" t="s">
        <v>400</v>
      </c>
      <c r="L253" s="2156"/>
      <c r="M253" s="2156"/>
      <c r="N253" s="2156"/>
      <c r="O253" s="2156"/>
      <c r="P253" s="2156"/>
      <c r="Q253" s="2156"/>
      <c r="R253" s="2156"/>
      <c r="S253" s="2156"/>
      <c r="T253" s="2156"/>
      <c r="U253" s="2156"/>
      <c r="V253" s="2156"/>
      <c r="W253" s="2156"/>
      <c r="X253" s="2156"/>
      <c r="Y253" s="2156"/>
      <c r="Z253" s="2156"/>
      <c r="AA253" s="2156"/>
      <c r="AB253" s="2156"/>
      <c r="AC253" s="2156"/>
      <c r="AD253" s="2156"/>
      <c r="AE253" s="2156"/>
      <c r="AF253" s="2156"/>
      <c r="AG253" s="2156"/>
      <c r="AH253" s="2156"/>
      <c r="AI253" s="2156"/>
      <c r="AJ253" s="2156"/>
      <c r="AK253" s="2156"/>
      <c r="AL253" s="2156"/>
      <c r="AM253" s="2156"/>
      <c r="AN253" s="2156"/>
      <c r="AO253" s="2156"/>
      <c r="AP253" s="2156"/>
      <c r="AQ253" s="2156"/>
      <c r="AR253" s="2156"/>
      <c r="AS253" s="2156"/>
      <c r="AT253" s="2156"/>
      <c r="AU253" s="2156"/>
      <c r="AV253" s="2156"/>
      <c r="AW253" s="2156"/>
      <c r="AX253" s="2156"/>
      <c r="AY253" s="2156"/>
      <c r="AZ253" s="2156"/>
      <c r="BA253" s="2156"/>
      <c r="BB253" s="2156"/>
      <c r="BC253" s="2156"/>
      <c r="BD253" s="2156"/>
      <c r="BE253" s="2156"/>
      <c r="BF253" s="2156"/>
      <c r="BG253" s="2156"/>
      <c r="BH253" s="2156"/>
      <c r="BI253" s="2156"/>
      <c r="BJ253" s="2156"/>
      <c r="BK253" s="2156"/>
      <c r="BL253" s="2156"/>
      <c r="BM253" s="2156"/>
      <c r="BN253" s="2156"/>
      <c r="BO253" s="2156"/>
      <c r="BP253" s="2156"/>
      <c r="BQ253" s="2156"/>
      <c r="BR253" s="2156"/>
      <c r="BS253" s="2156"/>
      <c r="BT253" s="2156"/>
      <c r="BU253" s="2156"/>
    </row>
    <row r="254" spans="1:85">
      <c r="B254" s="2159" t="s">
        <v>298</v>
      </c>
      <c r="C254" s="2112" t="s">
        <v>242</v>
      </c>
      <c r="D254" s="2159">
        <v>111335.74</v>
      </c>
      <c r="E254" s="2159">
        <v>209593.89799999999</v>
      </c>
      <c r="F254" s="2159">
        <v>250807.3</v>
      </c>
      <c r="G254" s="2159">
        <f>SUM(D254:F254)</f>
        <v>571736.93799999997</v>
      </c>
      <c r="H254" s="2159">
        <v>2100162724</v>
      </c>
      <c r="I254" s="2159">
        <v>3488974737</v>
      </c>
      <c r="J254" s="2159">
        <v>8979146983</v>
      </c>
      <c r="K254" s="2112">
        <f t="shared" ref="K254:K273" si="60">SUM(H254:J254)</f>
        <v>14568284444</v>
      </c>
      <c r="L254" s="2156" t="b">
        <f t="shared" ref="L254:L274" si="61">+K254=E228</f>
        <v>1</v>
      </c>
      <c r="M254" s="2156"/>
      <c r="N254" s="2156"/>
      <c r="O254" s="2156"/>
      <c r="P254" s="2156"/>
      <c r="Q254" s="2156"/>
      <c r="R254" s="2156"/>
      <c r="S254" s="2156"/>
      <c r="T254" s="2156"/>
      <c r="U254" s="2156"/>
      <c r="V254" s="2156"/>
      <c r="W254" s="2156"/>
      <c r="X254" s="2156"/>
      <c r="Y254" s="2156"/>
      <c r="Z254" s="2156"/>
      <c r="AA254" s="2156"/>
      <c r="AB254" s="2156"/>
      <c r="AC254" s="2156"/>
      <c r="AD254" s="2156"/>
      <c r="AE254" s="2156"/>
      <c r="AF254" s="2156"/>
      <c r="AG254" s="2156"/>
      <c r="AH254" s="2156"/>
      <c r="AI254" s="2156"/>
      <c r="AJ254" s="2156"/>
      <c r="AK254" s="2156"/>
      <c r="AL254" s="2156"/>
      <c r="AM254" s="2156"/>
      <c r="AN254" s="2156"/>
      <c r="AO254" s="2156"/>
      <c r="AP254" s="2156"/>
      <c r="AQ254" s="2156"/>
      <c r="AR254" s="2156"/>
      <c r="AS254" s="2156"/>
      <c r="AT254" s="2156"/>
      <c r="AU254" s="2156"/>
      <c r="AV254" s="2156"/>
      <c r="AW254" s="2156"/>
      <c r="AX254" s="2156"/>
      <c r="AY254" s="2156"/>
      <c r="AZ254" s="2156"/>
      <c r="BA254" s="2156"/>
      <c r="BB254" s="2156"/>
      <c r="BC254" s="2156"/>
      <c r="BD254" s="2156"/>
      <c r="BE254" s="2156"/>
      <c r="BF254" s="2156"/>
      <c r="BG254" s="2156"/>
      <c r="BH254" s="2156"/>
      <c r="BI254" s="2156"/>
      <c r="BJ254" s="2156"/>
      <c r="BK254" s="2156"/>
      <c r="BL254" s="2156"/>
      <c r="BM254" s="2156"/>
      <c r="BN254" s="2156"/>
      <c r="BO254" s="2156"/>
      <c r="BP254" s="2156"/>
      <c r="BQ254" s="2156"/>
      <c r="BR254" s="2156"/>
      <c r="BS254" s="2156"/>
      <c r="BT254" s="2156"/>
      <c r="BU254" s="2156"/>
    </row>
    <row r="255" spans="1:85">
      <c r="B255" s="2160" t="s">
        <v>299</v>
      </c>
      <c r="C255" s="2123" t="s">
        <v>244</v>
      </c>
      <c r="D255" s="2160">
        <v>4830730</v>
      </c>
      <c r="E255" s="2160">
        <v>71790770</v>
      </c>
      <c r="F255" s="2160">
        <v>0</v>
      </c>
      <c r="G255" s="2160">
        <f t="shared" ref="G255:G273" si="62">SUM(D255:F255)</f>
        <v>76621500</v>
      </c>
      <c r="H255" s="2160">
        <v>2792371000</v>
      </c>
      <c r="I255" s="2160">
        <v>36574695010</v>
      </c>
      <c r="J255" s="2160">
        <v>0</v>
      </c>
      <c r="K255" s="2123">
        <f t="shared" si="60"/>
        <v>39367066010</v>
      </c>
      <c r="L255" s="2156" t="b">
        <f t="shared" si="61"/>
        <v>1</v>
      </c>
      <c r="M255" s="2156"/>
      <c r="N255" s="2156"/>
      <c r="O255" s="2156"/>
      <c r="P255" s="2156"/>
      <c r="Q255" s="2156"/>
      <c r="R255" s="2156"/>
      <c r="S255" s="2156"/>
      <c r="T255" s="2156"/>
      <c r="U255" s="2156"/>
      <c r="V255" s="2156"/>
      <c r="W255" s="2156"/>
      <c r="X255" s="2156"/>
      <c r="Y255" s="2156"/>
      <c r="Z255" s="2156"/>
      <c r="AA255" s="2156"/>
      <c r="AB255" s="2156"/>
      <c r="AC255" s="2156"/>
      <c r="AD255" s="2156"/>
      <c r="AE255" s="2156"/>
      <c r="AF255" s="2156"/>
      <c r="AG255" s="2156"/>
      <c r="AH255" s="2156"/>
      <c r="AI255" s="2156"/>
      <c r="AJ255" s="2156"/>
      <c r="AK255" s="2156"/>
      <c r="AL255" s="2156"/>
      <c r="AM255" s="2156"/>
      <c r="AN255" s="2156"/>
      <c r="AO255" s="2156"/>
      <c r="AP255" s="2156"/>
      <c r="AQ255" s="2156"/>
      <c r="AR255" s="2156"/>
      <c r="AS255" s="2156"/>
      <c r="AT255" s="2156"/>
      <c r="AU255" s="2156"/>
      <c r="AV255" s="2156"/>
      <c r="AW255" s="2156"/>
      <c r="AX255" s="2156"/>
      <c r="AY255" s="2156"/>
      <c r="AZ255" s="2156"/>
      <c r="BA255" s="2156"/>
      <c r="BB255" s="2156"/>
      <c r="BC255" s="2156"/>
      <c r="BD255" s="2156"/>
      <c r="BE255" s="2156"/>
      <c r="BF255" s="2156"/>
      <c r="BG255" s="2156"/>
      <c r="BH255" s="2156"/>
      <c r="BI255" s="2156"/>
      <c r="BJ255" s="2156"/>
      <c r="BK255" s="2156"/>
      <c r="BL255" s="2156"/>
      <c r="BM255" s="2156"/>
      <c r="BN255" s="2156"/>
      <c r="BO255" s="2156"/>
      <c r="BP255" s="2156"/>
      <c r="BQ255" s="2156"/>
      <c r="BR255" s="2156"/>
      <c r="BS255" s="2156"/>
      <c r="BT255" s="2156"/>
      <c r="BU255" s="2156"/>
    </row>
    <row r="256" spans="1:85">
      <c r="B256" s="2160" t="s">
        <v>300</v>
      </c>
      <c r="C256" s="2123" t="s">
        <v>246</v>
      </c>
      <c r="D256" s="2160">
        <v>4514</v>
      </c>
      <c r="E256" s="2160">
        <v>0</v>
      </c>
      <c r="F256" s="2160">
        <v>0</v>
      </c>
      <c r="G256" s="2160">
        <f t="shared" si="62"/>
        <v>4514</v>
      </c>
      <c r="H256" s="2160">
        <v>977088100</v>
      </c>
      <c r="I256" s="2160">
        <v>0</v>
      </c>
      <c r="J256" s="2160">
        <v>0</v>
      </c>
      <c r="K256" s="2123">
        <f t="shared" si="60"/>
        <v>977088100</v>
      </c>
      <c r="L256" s="2156" t="b">
        <f t="shared" si="61"/>
        <v>1</v>
      </c>
      <c r="M256" s="2156"/>
      <c r="N256" s="2156"/>
      <c r="O256" s="2156"/>
      <c r="P256" s="2156"/>
      <c r="Q256" s="2156"/>
      <c r="R256" s="2156"/>
      <c r="S256" s="2156"/>
      <c r="T256" s="2156"/>
      <c r="U256" s="2156"/>
      <c r="V256" s="2156"/>
      <c r="W256" s="2156"/>
      <c r="X256" s="2156"/>
      <c r="Y256" s="2156"/>
      <c r="Z256" s="2156"/>
      <c r="AA256" s="2156"/>
      <c r="AB256" s="2156"/>
      <c r="AC256" s="2156"/>
      <c r="AD256" s="2156"/>
      <c r="AE256" s="2156"/>
      <c r="AF256" s="2156"/>
      <c r="AG256" s="2156"/>
      <c r="AH256" s="2156"/>
      <c r="AI256" s="2156"/>
      <c r="AJ256" s="2156"/>
      <c r="AK256" s="2156"/>
      <c r="AL256" s="2156"/>
      <c r="AM256" s="2156"/>
      <c r="AN256" s="2156"/>
      <c r="AO256" s="2156"/>
      <c r="AP256" s="2156"/>
      <c r="AQ256" s="2156"/>
      <c r="AR256" s="2156"/>
      <c r="AS256" s="2156"/>
      <c r="AT256" s="2156"/>
      <c r="AU256" s="2156"/>
      <c r="AV256" s="2156"/>
      <c r="AW256" s="2156"/>
      <c r="AX256" s="2156"/>
      <c r="AY256" s="2156"/>
      <c r="AZ256" s="2156"/>
      <c r="BA256" s="2156"/>
      <c r="BB256" s="2156"/>
      <c r="BC256" s="2156"/>
      <c r="BD256" s="2156"/>
      <c r="BE256" s="2156"/>
      <c r="BF256" s="2156"/>
      <c r="BG256" s="2156"/>
      <c r="BH256" s="2156"/>
      <c r="BI256" s="2156"/>
      <c r="BJ256" s="2156"/>
      <c r="BK256" s="2156"/>
      <c r="BL256" s="2156"/>
      <c r="BM256" s="2156"/>
      <c r="BN256" s="2156"/>
      <c r="BO256" s="2156"/>
      <c r="BP256" s="2156"/>
      <c r="BQ256" s="2156"/>
      <c r="BR256" s="2156"/>
      <c r="BS256" s="2156"/>
      <c r="BT256" s="2156"/>
      <c r="BU256" s="2156"/>
    </row>
    <row r="257" spans="2:73">
      <c r="B257" s="2160" t="s">
        <v>301</v>
      </c>
      <c r="C257" s="2123" t="s">
        <v>246</v>
      </c>
      <c r="D257" s="2160">
        <v>55996.56</v>
      </c>
      <c r="E257" s="2160">
        <v>0</v>
      </c>
      <c r="F257" s="2160">
        <v>0</v>
      </c>
      <c r="G257" s="2160">
        <f t="shared" si="62"/>
        <v>55996.56</v>
      </c>
      <c r="H257" s="2160">
        <v>447972480</v>
      </c>
      <c r="I257" s="2160">
        <v>0</v>
      </c>
      <c r="J257" s="2160">
        <v>0</v>
      </c>
      <c r="K257" s="2123">
        <f t="shared" si="60"/>
        <v>447972480</v>
      </c>
      <c r="L257" s="2156" t="b">
        <f t="shared" si="61"/>
        <v>1</v>
      </c>
      <c r="M257" s="2156"/>
      <c r="N257" s="2156"/>
      <c r="O257" s="2156"/>
      <c r="P257" s="2156"/>
      <c r="Q257" s="2156"/>
      <c r="R257" s="2156"/>
      <c r="S257" s="2156"/>
      <c r="T257" s="2156"/>
      <c r="U257" s="2156"/>
      <c r="V257" s="2156"/>
      <c r="W257" s="2156"/>
      <c r="X257" s="2156"/>
      <c r="Y257" s="2156"/>
      <c r="Z257" s="2156"/>
      <c r="AA257" s="2156"/>
      <c r="AB257" s="2156"/>
      <c r="AC257" s="2156"/>
      <c r="AD257" s="2156"/>
      <c r="AE257" s="2156"/>
      <c r="AF257" s="2156"/>
      <c r="AG257" s="2156"/>
      <c r="AH257" s="2156"/>
      <c r="AI257" s="2156"/>
      <c r="AJ257" s="2156"/>
      <c r="AK257" s="2156"/>
      <c r="AL257" s="2156"/>
      <c r="AM257" s="2156"/>
      <c r="AN257" s="2156"/>
      <c r="AO257" s="2156"/>
      <c r="AP257" s="2156"/>
      <c r="AQ257" s="2156"/>
      <c r="AR257" s="2156"/>
      <c r="AS257" s="2156"/>
      <c r="AT257" s="2156"/>
      <c r="AU257" s="2156"/>
      <c r="AV257" s="2156"/>
      <c r="AW257" s="2156"/>
      <c r="AX257" s="2156"/>
      <c r="AY257" s="2156"/>
      <c r="AZ257" s="2156"/>
      <c r="BA257" s="2156"/>
      <c r="BB257" s="2156"/>
      <c r="BC257" s="2156"/>
      <c r="BD257" s="2156"/>
      <c r="BE257" s="2156"/>
      <c r="BF257" s="2156"/>
      <c r="BG257" s="2156"/>
      <c r="BH257" s="2156"/>
      <c r="BI257" s="2156"/>
      <c r="BJ257" s="2156"/>
      <c r="BK257" s="2156"/>
      <c r="BL257" s="2156"/>
      <c r="BM257" s="2156"/>
      <c r="BN257" s="2156"/>
      <c r="BO257" s="2156"/>
      <c r="BP257" s="2156"/>
      <c r="BQ257" s="2156"/>
      <c r="BR257" s="2156"/>
      <c r="BS257" s="2156"/>
      <c r="BT257" s="2156"/>
      <c r="BU257" s="2156"/>
    </row>
    <row r="258" spans="2:73">
      <c r="B258" s="2160" t="s">
        <v>302</v>
      </c>
      <c r="C258" s="2123" t="s">
        <v>250</v>
      </c>
      <c r="D258" s="2160">
        <v>1885.8050000000001</v>
      </c>
      <c r="E258" s="2160">
        <v>0</v>
      </c>
      <c r="F258" s="2160">
        <v>158.30000000000001</v>
      </c>
      <c r="G258" s="2160">
        <f t="shared" si="62"/>
        <v>2044.105</v>
      </c>
      <c r="H258" s="2160">
        <v>6253400576</v>
      </c>
      <c r="I258" s="2160">
        <v>5102148</v>
      </c>
      <c r="J258" s="2160">
        <v>727021772</v>
      </c>
      <c r="K258" s="2123">
        <f t="shared" si="60"/>
        <v>6985524496</v>
      </c>
      <c r="L258" s="2156" t="b">
        <f t="shared" si="61"/>
        <v>1</v>
      </c>
      <c r="M258" s="2156"/>
      <c r="N258" s="2156"/>
      <c r="O258" s="2156"/>
      <c r="P258" s="2156"/>
      <c r="Q258" s="2156"/>
      <c r="R258" s="2156"/>
      <c r="S258" s="2156"/>
      <c r="T258" s="2156"/>
      <c r="U258" s="2156"/>
      <c r="V258" s="2156"/>
      <c r="W258" s="2156"/>
      <c r="X258" s="2156"/>
      <c r="Y258" s="2156"/>
      <c r="Z258" s="2156"/>
      <c r="AA258" s="2156"/>
      <c r="AB258" s="2156"/>
      <c r="AC258" s="2156"/>
      <c r="AD258" s="2156"/>
      <c r="AE258" s="2156"/>
      <c r="AF258" s="2156"/>
      <c r="AG258" s="2156"/>
      <c r="AH258" s="2156"/>
      <c r="AI258" s="2156"/>
      <c r="AJ258" s="2156"/>
      <c r="AK258" s="2156"/>
      <c r="AL258" s="2156"/>
      <c r="AM258" s="2156"/>
      <c r="AN258" s="2156"/>
      <c r="AO258" s="2156"/>
      <c r="AP258" s="2156"/>
      <c r="AQ258" s="2156"/>
      <c r="AR258" s="2156"/>
      <c r="AS258" s="2156"/>
      <c r="AT258" s="2156"/>
      <c r="AU258" s="2156"/>
      <c r="AV258" s="2156"/>
      <c r="AW258" s="2156"/>
      <c r="AX258" s="2156"/>
      <c r="AY258" s="2156"/>
      <c r="AZ258" s="2156"/>
      <c r="BA258" s="2156"/>
      <c r="BB258" s="2156"/>
      <c r="BC258" s="2156"/>
      <c r="BD258" s="2156"/>
      <c r="BE258" s="2156"/>
      <c r="BF258" s="2156"/>
      <c r="BG258" s="2156"/>
      <c r="BH258" s="2156"/>
      <c r="BI258" s="2156"/>
      <c r="BJ258" s="2156"/>
      <c r="BK258" s="2156"/>
      <c r="BL258" s="2156"/>
      <c r="BM258" s="2156"/>
      <c r="BN258" s="2156"/>
      <c r="BO258" s="2156"/>
      <c r="BP258" s="2156"/>
      <c r="BQ258" s="2156"/>
      <c r="BR258" s="2156"/>
      <c r="BS258" s="2156"/>
      <c r="BT258" s="2156"/>
      <c r="BU258" s="2156"/>
    </row>
    <row r="259" spans="2:73">
      <c r="B259" s="2160" t="s">
        <v>303</v>
      </c>
      <c r="C259" s="2123" t="s">
        <v>252</v>
      </c>
      <c r="D259" s="2160">
        <v>186456</v>
      </c>
      <c r="E259" s="2160">
        <v>0</v>
      </c>
      <c r="F259" s="2160">
        <v>0</v>
      </c>
      <c r="G259" s="2160">
        <f t="shared" si="62"/>
        <v>186456</v>
      </c>
      <c r="H259" s="2160">
        <v>6299256099</v>
      </c>
      <c r="I259" s="2160">
        <v>0</v>
      </c>
      <c r="J259" s="2160">
        <v>0</v>
      </c>
      <c r="K259" s="2123">
        <f t="shared" si="60"/>
        <v>6299256099</v>
      </c>
      <c r="L259" s="2156" t="b">
        <f t="shared" si="61"/>
        <v>1</v>
      </c>
      <c r="M259" s="2156"/>
      <c r="N259" s="2156"/>
      <c r="O259" s="2156"/>
      <c r="P259" s="2156"/>
      <c r="Q259" s="2156"/>
      <c r="R259" s="2156"/>
      <c r="S259" s="2156"/>
      <c r="T259" s="2156"/>
      <c r="U259" s="2156"/>
      <c r="V259" s="2156"/>
      <c r="W259" s="2156"/>
      <c r="X259" s="2156"/>
      <c r="Y259" s="2156"/>
      <c r="Z259" s="2156"/>
      <c r="AA259" s="2156"/>
      <c r="AB259" s="2156"/>
      <c r="AC259" s="2156"/>
      <c r="AD259" s="2156"/>
      <c r="AE259" s="2156"/>
      <c r="AF259" s="2156"/>
      <c r="AG259" s="2156"/>
      <c r="AH259" s="2156"/>
      <c r="AI259" s="2156"/>
      <c r="AJ259" s="2156"/>
      <c r="AK259" s="2156"/>
      <c r="AL259" s="2156"/>
      <c r="AM259" s="2156"/>
      <c r="AN259" s="2156"/>
      <c r="AO259" s="2156"/>
      <c r="AP259" s="2156"/>
      <c r="AQ259" s="2156"/>
      <c r="AR259" s="2156"/>
      <c r="AS259" s="2156"/>
      <c r="AT259" s="2156"/>
      <c r="AU259" s="2156"/>
      <c r="AV259" s="2156"/>
      <c r="AW259" s="2156"/>
      <c r="AX259" s="2156"/>
      <c r="AY259" s="2156"/>
      <c r="AZ259" s="2156"/>
      <c r="BA259" s="2156"/>
      <c r="BB259" s="2156"/>
      <c r="BC259" s="2156"/>
      <c r="BD259" s="2156"/>
      <c r="BE259" s="2156"/>
      <c r="BF259" s="2156"/>
      <c r="BG259" s="2156"/>
      <c r="BH259" s="2156"/>
      <c r="BI259" s="2156"/>
      <c r="BJ259" s="2156"/>
      <c r="BK259" s="2156"/>
      <c r="BL259" s="2156"/>
      <c r="BM259" s="2156"/>
      <c r="BN259" s="2156"/>
      <c r="BO259" s="2156"/>
      <c r="BP259" s="2156"/>
      <c r="BQ259" s="2156"/>
      <c r="BR259" s="2156"/>
      <c r="BS259" s="2156"/>
      <c r="BT259" s="2156"/>
      <c r="BU259" s="2156"/>
    </row>
    <row r="260" spans="2:73">
      <c r="B260" s="2160" t="s">
        <v>304</v>
      </c>
      <c r="C260" s="2123" t="s">
        <v>246</v>
      </c>
      <c r="D260" s="2160">
        <v>300</v>
      </c>
      <c r="E260" s="2160">
        <v>0</v>
      </c>
      <c r="F260" s="2160">
        <v>15800</v>
      </c>
      <c r="G260" s="2160">
        <f t="shared" si="62"/>
        <v>16100</v>
      </c>
      <c r="H260" s="2160">
        <v>27496800</v>
      </c>
      <c r="I260" s="2160">
        <v>0</v>
      </c>
      <c r="J260" s="2160">
        <v>1111824141</v>
      </c>
      <c r="K260" s="2123">
        <f t="shared" si="60"/>
        <v>1139320941</v>
      </c>
      <c r="L260" s="2156" t="b">
        <f t="shared" si="61"/>
        <v>1</v>
      </c>
      <c r="M260" s="2156"/>
      <c r="N260" s="2156"/>
      <c r="O260" s="2156"/>
      <c r="P260" s="2156"/>
      <c r="Q260" s="2156"/>
      <c r="R260" s="2156"/>
      <c r="S260" s="2156"/>
      <c r="T260" s="2156"/>
      <c r="U260" s="2156"/>
      <c r="V260" s="2156"/>
      <c r="W260" s="2156"/>
      <c r="X260" s="2156"/>
      <c r="Y260" s="2156"/>
      <c r="Z260" s="2156"/>
      <c r="AA260" s="2156"/>
      <c r="AB260" s="2156"/>
      <c r="AC260" s="2156"/>
      <c r="AD260" s="2156"/>
      <c r="AE260" s="2156"/>
      <c r="AF260" s="2156"/>
      <c r="AG260" s="2156"/>
      <c r="AH260" s="2156"/>
      <c r="AI260" s="2156"/>
      <c r="AJ260" s="2156"/>
      <c r="AK260" s="2156"/>
      <c r="AL260" s="2156"/>
      <c r="AM260" s="2156"/>
      <c r="AN260" s="2156"/>
      <c r="AO260" s="2156"/>
      <c r="AP260" s="2156"/>
      <c r="AQ260" s="2156"/>
      <c r="AR260" s="2156"/>
      <c r="AS260" s="2156"/>
      <c r="AT260" s="2156"/>
      <c r="AU260" s="2156"/>
      <c r="AV260" s="2156"/>
      <c r="AW260" s="2156"/>
      <c r="AX260" s="2156"/>
      <c r="AY260" s="2156"/>
      <c r="AZ260" s="2156"/>
      <c r="BA260" s="2156"/>
      <c r="BB260" s="2156"/>
      <c r="BC260" s="2156"/>
      <c r="BD260" s="2156"/>
      <c r="BE260" s="2156"/>
      <c r="BF260" s="2156"/>
      <c r="BG260" s="2156"/>
      <c r="BH260" s="2156"/>
      <c r="BI260" s="2156"/>
      <c r="BJ260" s="2156"/>
      <c r="BK260" s="2156"/>
      <c r="BL260" s="2156"/>
      <c r="BM260" s="2156"/>
      <c r="BN260" s="2156"/>
      <c r="BO260" s="2156"/>
      <c r="BP260" s="2156"/>
      <c r="BQ260" s="2156"/>
      <c r="BR260" s="2156"/>
      <c r="BS260" s="2156"/>
      <c r="BT260" s="2156"/>
      <c r="BU260" s="2156"/>
    </row>
    <row r="261" spans="2:73">
      <c r="B261" s="2160" t="s">
        <v>305</v>
      </c>
      <c r="C261" s="2123" t="s">
        <v>246</v>
      </c>
      <c r="D261" s="2160">
        <v>0</v>
      </c>
      <c r="E261" s="2160">
        <v>0</v>
      </c>
      <c r="F261" s="2160">
        <v>72404</v>
      </c>
      <c r="G261" s="2160">
        <f t="shared" si="62"/>
        <v>72404</v>
      </c>
      <c r="H261" s="2160">
        <v>0</v>
      </c>
      <c r="I261" s="2160">
        <v>0</v>
      </c>
      <c r="J261" s="2160">
        <v>41196217</v>
      </c>
      <c r="K261" s="2123">
        <f t="shared" si="60"/>
        <v>41196217</v>
      </c>
      <c r="L261" s="2156" t="b">
        <f t="shared" si="61"/>
        <v>1</v>
      </c>
      <c r="M261" s="2156"/>
      <c r="N261" s="2156"/>
      <c r="O261" s="2156"/>
      <c r="P261" s="2156"/>
      <c r="Q261" s="2156"/>
      <c r="R261" s="2156"/>
      <c r="S261" s="2156"/>
      <c r="T261" s="2156"/>
      <c r="U261" s="2156"/>
      <c r="V261" s="2156"/>
      <c r="W261" s="2156"/>
      <c r="X261" s="2156"/>
      <c r="Y261" s="2156"/>
      <c r="Z261" s="2156"/>
      <c r="AA261" s="2156"/>
      <c r="AB261" s="2156"/>
      <c r="AC261" s="2156"/>
      <c r="AD261" s="2156"/>
      <c r="AE261" s="2156"/>
      <c r="AF261" s="2156"/>
      <c r="AG261" s="2156"/>
      <c r="AH261" s="2156"/>
      <c r="AI261" s="2156"/>
      <c r="AJ261" s="2156"/>
      <c r="AK261" s="2156"/>
      <c r="AL261" s="2156"/>
      <c r="AM261" s="2156"/>
      <c r="AN261" s="2156"/>
      <c r="AO261" s="2156"/>
      <c r="AP261" s="2156"/>
      <c r="AQ261" s="2156"/>
      <c r="AR261" s="2156"/>
      <c r="AS261" s="2156"/>
      <c r="AT261" s="2156"/>
      <c r="AU261" s="2156"/>
      <c r="AV261" s="2156"/>
      <c r="AW261" s="2156"/>
      <c r="AX261" s="2156"/>
      <c r="AY261" s="2156"/>
      <c r="AZ261" s="2156"/>
      <c r="BA261" s="2156"/>
      <c r="BB261" s="2156"/>
      <c r="BC261" s="2156"/>
      <c r="BD261" s="2156"/>
      <c r="BE261" s="2156"/>
      <c r="BF261" s="2156"/>
      <c r="BG261" s="2156"/>
      <c r="BH261" s="2156"/>
      <c r="BI261" s="2156"/>
      <c r="BJ261" s="2156"/>
      <c r="BK261" s="2156"/>
      <c r="BL261" s="2156"/>
      <c r="BM261" s="2156"/>
      <c r="BN261" s="2156"/>
      <c r="BO261" s="2156"/>
      <c r="BP261" s="2156"/>
      <c r="BQ261" s="2156"/>
      <c r="BR261" s="2156"/>
      <c r="BS261" s="2156"/>
      <c r="BT261" s="2156"/>
      <c r="BU261" s="2156"/>
    </row>
    <row r="262" spans="2:73">
      <c r="B262" s="2160" t="s">
        <v>306</v>
      </c>
      <c r="C262" s="2123" t="s">
        <v>246</v>
      </c>
      <c r="D262" s="2160">
        <v>0</v>
      </c>
      <c r="E262" s="2160">
        <v>0</v>
      </c>
      <c r="F262" s="2160">
        <v>27939</v>
      </c>
      <c r="G262" s="2160">
        <f t="shared" si="62"/>
        <v>27939</v>
      </c>
      <c r="H262" s="2160">
        <v>0</v>
      </c>
      <c r="I262" s="2160">
        <v>0</v>
      </c>
      <c r="J262" s="2160">
        <v>73891927</v>
      </c>
      <c r="K262" s="2123">
        <f t="shared" si="60"/>
        <v>73891927</v>
      </c>
      <c r="L262" s="2156" t="b">
        <f t="shared" si="61"/>
        <v>1</v>
      </c>
      <c r="M262" s="2156"/>
      <c r="N262" s="2156"/>
      <c r="O262" s="2156"/>
      <c r="P262" s="2156"/>
      <c r="Q262" s="2156"/>
      <c r="R262" s="2156"/>
      <c r="S262" s="2156"/>
      <c r="T262" s="2156"/>
      <c r="U262" s="2156"/>
      <c r="V262" s="2156"/>
      <c r="W262" s="2156"/>
      <c r="X262" s="2156"/>
      <c r="Y262" s="2156"/>
      <c r="Z262" s="2156"/>
      <c r="AA262" s="2156"/>
      <c r="AB262" s="2156"/>
      <c r="AC262" s="2156"/>
      <c r="AD262" s="2156"/>
      <c r="AE262" s="2156"/>
      <c r="AF262" s="2156"/>
      <c r="AG262" s="2156"/>
      <c r="AH262" s="2156"/>
      <c r="AI262" s="2156"/>
      <c r="AJ262" s="2156"/>
      <c r="AK262" s="2156"/>
      <c r="AL262" s="2156"/>
      <c r="AM262" s="2156"/>
      <c r="AN262" s="2156"/>
      <c r="AO262" s="2156"/>
      <c r="AP262" s="2156"/>
      <c r="AQ262" s="2156"/>
      <c r="AR262" s="2156"/>
      <c r="AS262" s="2156"/>
      <c r="AT262" s="2156"/>
      <c r="AU262" s="2156"/>
      <c r="AV262" s="2156"/>
      <c r="AW262" s="2156"/>
      <c r="AX262" s="2156"/>
      <c r="AY262" s="2156"/>
      <c r="AZ262" s="2156"/>
      <c r="BA262" s="2156"/>
      <c r="BB262" s="2156"/>
      <c r="BC262" s="2156"/>
      <c r="BD262" s="2156"/>
      <c r="BE262" s="2156"/>
      <c r="BF262" s="2156"/>
      <c r="BG262" s="2156"/>
      <c r="BH262" s="2156"/>
      <c r="BI262" s="2156"/>
      <c r="BJ262" s="2156"/>
      <c r="BK262" s="2156"/>
      <c r="BL262" s="2156"/>
      <c r="BM262" s="2156"/>
      <c r="BN262" s="2156"/>
      <c r="BO262" s="2156"/>
      <c r="BP262" s="2156"/>
      <c r="BQ262" s="2156"/>
      <c r="BR262" s="2156"/>
      <c r="BS262" s="2156"/>
      <c r="BT262" s="2156"/>
      <c r="BU262" s="2156"/>
    </row>
    <row r="263" spans="2:73">
      <c r="B263" s="2160" t="s">
        <v>307</v>
      </c>
      <c r="C263" s="2123" t="s">
        <v>258</v>
      </c>
      <c r="D263" s="2160">
        <v>73035.039000000004</v>
      </c>
      <c r="E263" s="2160">
        <v>79259.876999999993</v>
      </c>
      <c r="F263" s="2160">
        <v>147247.58499999999</v>
      </c>
      <c r="G263" s="2160">
        <f t="shared" si="62"/>
        <v>299542.50099999999</v>
      </c>
      <c r="H263" s="2160">
        <v>673251967836</v>
      </c>
      <c r="I263" s="2160">
        <v>801598126240</v>
      </c>
      <c r="J263" s="2160">
        <v>1511918631042</v>
      </c>
      <c r="K263" s="2123">
        <f t="shared" si="60"/>
        <v>2986768725118</v>
      </c>
      <c r="L263" s="2156" t="b">
        <f t="shared" si="61"/>
        <v>1</v>
      </c>
      <c r="M263" s="2156"/>
      <c r="N263" s="2156"/>
      <c r="O263" s="2156"/>
      <c r="P263" s="2156"/>
      <c r="Q263" s="2156"/>
      <c r="R263" s="2156"/>
      <c r="S263" s="2156"/>
      <c r="T263" s="2156"/>
      <c r="U263" s="2156"/>
      <c r="V263" s="2156"/>
      <c r="W263" s="2156"/>
      <c r="X263" s="2156"/>
      <c r="Y263" s="2156"/>
      <c r="Z263" s="2156"/>
      <c r="AA263" s="2156"/>
      <c r="AB263" s="2156"/>
      <c r="AC263" s="2156"/>
      <c r="AD263" s="2156"/>
      <c r="AE263" s="2156"/>
      <c r="AF263" s="2156"/>
      <c r="AG263" s="2156"/>
      <c r="AH263" s="2156"/>
      <c r="AI263" s="2156"/>
      <c r="AJ263" s="2156"/>
      <c r="AK263" s="2156"/>
      <c r="AL263" s="2156"/>
      <c r="AM263" s="2156"/>
      <c r="AN263" s="2156"/>
      <c r="AO263" s="2156"/>
      <c r="AP263" s="2156"/>
      <c r="AQ263" s="2156"/>
      <c r="AR263" s="2156"/>
      <c r="AS263" s="2156"/>
      <c r="AT263" s="2156"/>
      <c r="AU263" s="2156"/>
      <c r="AV263" s="2156"/>
      <c r="AW263" s="2156"/>
      <c r="AX263" s="2156"/>
      <c r="AY263" s="2156"/>
      <c r="AZ263" s="2156"/>
      <c r="BA263" s="2156"/>
      <c r="BB263" s="2156"/>
      <c r="BC263" s="2156"/>
      <c r="BD263" s="2156"/>
      <c r="BE263" s="2156"/>
      <c r="BF263" s="2156"/>
      <c r="BG263" s="2156"/>
      <c r="BH263" s="2156"/>
      <c r="BI263" s="2156"/>
      <c r="BJ263" s="2156"/>
      <c r="BK263" s="2156"/>
      <c r="BL263" s="2156"/>
      <c r="BM263" s="2156"/>
      <c r="BN263" s="2156"/>
      <c r="BO263" s="2156"/>
      <c r="BP263" s="2156"/>
      <c r="BQ263" s="2156"/>
      <c r="BR263" s="2156"/>
      <c r="BS263" s="2156"/>
      <c r="BT263" s="2156"/>
      <c r="BU263" s="2156"/>
    </row>
    <row r="264" spans="2:73">
      <c r="B264" s="2160" t="s">
        <v>308</v>
      </c>
      <c r="C264" s="2123" t="s">
        <v>260</v>
      </c>
      <c r="D264" s="2160">
        <v>563256.07999999996</v>
      </c>
      <c r="E264" s="2160">
        <v>0</v>
      </c>
      <c r="F264" s="2160">
        <v>0</v>
      </c>
      <c r="G264" s="2160">
        <f t="shared" si="62"/>
        <v>563256.07999999996</v>
      </c>
      <c r="H264" s="2160">
        <v>1472188846</v>
      </c>
      <c r="I264" s="2160">
        <v>0</v>
      </c>
      <c r="J264" s="2160">
        <v>0</v>
      </c>
      <c r="K264" s="2123">
        <f t="shared" si="60"/>
        <v>1472188846</v>
      </c>
      <c r="L264" s="2156" t="b">
        <f t="shared" si="61"/>
        <v>1</v>
      </c>
      <c r="M264" s="2156"/>
      <c r="N264" s="2156"/>
      <c r="O264" s="2156"/>
      <c r="P264" s="2156"/>
      <c r="Q264" s="2156"/>
      <c r="R264" s="2156"/>
      <c r="S264" s="2156"/>
      <c r="T264" s="2156"/>
      <c r="U264" s="2156"/>
      <c r="V264" s="2156"/>
      <c r="W264" s="2156"/>
      <c r="X264" s="2156"/>
      <c r="Y264" s="2156"/>
      <c r="Z264" s="2156"/>
      <c r="AA264" s="2156"/>
      <c r="AB264" s="2156"/>
      <c r="AC264" s="2156"/>
      <c r="AD264" s="2156"/>
      <c r="AE264" s="2156"/>
      <c r="AF264" s="2156"/>
      <c r="AG264" s="2156"/>
      <c r="AH264" s="2156"/>
      <c r="AI264" s="2156"/>
      <c r="AJ264" s="2156"/>
      <c r="AK264" s="2156"/>
      <c r="AL264" s="2156"/>
      <c r="AM264" s="2156"/>
      <c r="AN264" s="2156"/>
      <c r="AO264" s="2156"/>
      <c r="AP264" s="2156"/>
      <c r="AQ264" s="2156"/>
      <c r="AR264" s="2156"/>
      <c r="AS264" s="2156"/>
      <c r="AT264" s="2156"/>
      <c r="AU264" s="2156"/>
      <c r="AV264" s="2156"/>
      <c r="AW264" s="2156"/>
      <c r="AX264" s="2156"/>
      <c r="AY264" s="2156"/>
      <c r="AZ264" s="2156"/>
      <c r="BA264" s="2156"/>
      <c r="BB264" s="2156"/>
      <c r="BC264" s="2156"/>
      <c r="BD264" s="2156"/>
      <c r="BE264" s="2156"/>
      <c r="BF264" s="2156"/>
      <c r="BG264" s="2156"/>
      <c r="BH264" s="2156"/>
      <c r="BI264" s="2156"/>
      <c r="BJ264" s="2156"/>
      <c r="BK264" s="2156"/>
      <c r="BL264" s="2156"/>
      <c r="BM264" s="2156"/>
      <c r="BN264" s="2156"/>
      <c r="BO264" s="2156"/>
      <c r="BP264" s="2156"/>
      <c r="BQ264" s="2156"/>
      <c r="BR264" s="2156"/>
      <c r="BS264" s="2156"/>
      <c r="BT264" s="2156"/>
      <c r="BU264" s="2156"/>
    </row>
    <row r="265" spans="2:73">
      <c r="B265" s="2160" t="s">
        <v>309</v>
      </c>
      <c r="C265" s="2123" t="s">
        <v>262</v>
      </c>
      <c r="D265" s="2160">
        <v>15549000</v>
      </c>
      <c r="E265" s="2160">
        <v>0</v>
      </c>
      <c r="F265" s="2160">
        <v>0</v>
      </c>
      <c r="G265" s="2160">
        <f t="shared" si="62"/>
        <v>15549000</v>
      </c>
      <c r="H265" s="2160">
        <v>1025346744877</v>
      </c>
      <c r="I265" s="2160">
        <v>0</v>
      </c>
      <c r="J265" s="2160">
        <v>0</v>
      </c>
      <c r="K265" s="2123">
        <f t="shared" si="60"/>
        <v>1025346744877</v>
      </c>
      <c r="L265" s="2156" t="b">
        <f t="shared" si="61"/>
        <v>1</v>
      </c>
      <c r="M265" s="2156"/>
      <c r="N265" s="2156"/>
      <c r="O265" s="2156"/>
      <c r="P265" s="2156"/>
      <c r="Q265" s="2156"/>
      <c r="R265" s="2156"/>
      <c r="S265" s="2156"/>
      <c r="T265" s="2156"/>
      <c r="U265" s="2156"/>
      <c r="V265" s="2156"/>
      <c r="W265" s="2156"/>
      <c r="X265" s="2156"/>
      <c r="Y265" s="2156"/>
      <c r="Z265" s="2156"/>
      <c r="AA265" s="2156"/>
      <c r="AB265" s="2156"/>
      <c r="AC265" s="2156"/>
      <c r="AD265" s="2156"/>
      <c r="AE265" s="2156"/>
      <c r="AF265" s="2156"/>
      <c r="AG265" s="2156"/>
      <c r="AH265" s="2156"/>
      <c r="AI265" s="2156"/>
      <c r="AJ265" s="2156"/>
      <c r="AK265" s="2156"/>
      <c r="AL265" s="2156"/>
      <c r="AM265" s="2156"/>
      <c r="AN265" s="2156"/>
      <c r="AO265" s="2156"/>
      <c r="AP265" s="2156"/>
      <c r="AQ265" s="2156"/>
      <c r="AR265" s="2156"/>
      <c r="AS265" s="2156"/>
      <c r="AT265" s="2156"/>
      <c r="AU265" s="2156"/>
      <c r="AV265" s="2156"/>
      <c r="AW265" s="2156"/>
      <c r="AX265" s="2156"/>
      <c r="AY265" s="2156"/>
      <c r="AZ265" s="2156"/>
      <c r="BA265" s="2156"/>
      <c r="BB265" s="2156"/>
      <c r="BC265" s="2156"/>
      <c r="BD265" s="2156"/>
      <c r="BE265" s="2156"/>
      <c r="BF265" s="2156"/>
      <c r="BG265" s="2156"/>
      <c r="BH265" s="2156"/>
      <c r="BI265" s="2156"/>
      <c r="BJ265" s="2156"/>
      <c r="BK265" s="2156"/>
      <c r="BL265" s="2156"/>
      <c r="BM265" s="2156"/>
      <c r="BN265" s="2156"/>
      <c r="BO265" s="2156"/>
      <c r="BP265" s="2156"/>
      <c r="BQ265" s="2156"/>
      <c r="BR265" s="2156"/>
      <c r="BS265" s="2156"/>
      <c r="BT265" s="2156"/>
      <c r="BU265" s="2156"/>
    </row>
    <row r="266" spans="2:73">
      <c r="B266" s="2160" t="s">
        <v>310</v>
      </c>
      <c r="C266" s="2123" t="s">
        <v>264</v>
      </c>
      <c r="D266" s="2160">
        <v>96600000</v>
      </c>
      <c r="E266" s="2160">
        <v>66343233</v>
      </c>
      <c r="F266" s="2160">
        <v>134208061</v>
      </c>
      <c r="G266" s="2160">
        <f t="shared" si="62"/>
        <v>297151294</v>
      </c>
      <c r="H266" s="2160">
        <v>88112019847</v>
      </c>
      <c r="I266" s="2160">
        <v>64147838416</v>
      </c>
      <c r="J266" s="2160">
        <v>130690443239</v>
      </c>
      <c r="K266" s="2123">
        <f t="shared" si="60"/>
        <v>282950301502</v>
      </c>
      <c r="L266" s="2156" t="b">
        <f t="shared" si="61"/>
        <v>1</v>
      </c>
      <c r="M266" s="2156"/>
      <c r="N266" s="2156"/>
      <c r="O266" s="2156"/>
      <c r="P266" s="2156"/>
      <c r="Q266" s="2156"/>
      <c r="R266" s="2156"/>
      <c r="S266" s="2156"/>
      <c r="T266" s="2156"/>
      <c r="U266" s="2156"/>
      <c r="V266" s="2156"/>
      <c r="W266" s="2156"/>
      <c r="X266" s="2156"/>
      <c r="Y266" s="2156"/>
      <c r="Z266" s="2156"/>
      <c r="AA266" s="2156"/>
      <c r="AB266" s="2156"/>
      <c r="AC266" s="2156"/>
      <c r="AD266" s="2156"/>
      <c r="AE266" s="2156"/>
      <c r="AF266" s="2156"/>
      <c r="AG266" s="2156"/>
      <c r="AH266" s="2156"/>
      <c r="AI266" s="2156"/>
      <c r="AJ266" s="2156"/>
      <c r="AK266" s="2156"/>
      <c r="AL266" s="2156"/>
      <c r="AM266" s="2156"/>
      <c r="AN266" s="2156"/>
      <c r="AO266" s="2156"/>
      <c r="AP266" s="2156"/>
      <c r="AQ266" s="2156"/>
      <c r="AR266" s="2156"/>
      <c r="AS266" s="2156"/>
      <c r="AT266" s="2156"/>
      <c r="AU266" s="2156"/>
      <c r="AV266" s="2156"/>
      <c r="AW266" s="2156"/>
      <c r="AX266" s="2156"/>
      <c r="AY266" s="2156"/>
      <c r="AZ266" s="2156"/>
      <c r="BA266" s="2156"/>
      <c r="BB266" s="2156"/>
      <c r="BC266" s="2156"/>
      <c r="BD266" s="2156"/>
      <c r="BE266" s="2156"/>
      <c r="BF266" s="2156"/>
      <c r="BG266" s="2156"/>
      <c r="BH266" s="2156"/>
      <c r="BI266" s="2156"/>
      <c r="BJ266" s="2156"/>
      <c r="BK266" s="2156"/>
      <c r="BL266" s="2156"/>
      <c r="BM266" s="2156"/>
      <c r="BN266" s="2156"/>
      <c r="BO266" s="2156"/>
      <c r="BP266" s="2156"/>
      <c r="BQ266" s="2156"/>
      <c r="BR266" s="2156"/>
      <c r="BS266" s="2156"/>
      <c r="BT266" s="2156"/>
      <c r="BU266" s="2156"/>
    </row>
    <row r="267" spans="2:73">
      <c r="B267" s="2160" t="s">
        <v>311</v>
      </c>
      <c r="C267" s="2123" t="s">
        <v>266</v>
      </c>
      <c r="D267" s="2160">
        <v>102973.4</v>
      </c>
      <c r="E267" s="2160">
        <v>0</v>
      </c>
      <c r="F267" s="2160">
        <v>0</v>
      </c>
      <c r="G267" s="2160">
        <f t="shared" si="62"/>
        <v>102973.4</v>
      </c>
      <c r="H267" s="2160">
        <v>4389785828</v>
      </c>
      <c r="I267" s="2160">
        <v>0</v>
      </c>
      <c r="J267" s="2160">
        <v>0</v>
      </c>
      <c r="K267" s="2123">
        <f t="shared" si="60"/>
        <v>4389785828</v>
      </c>
      <c r="L267" s="2156" t="b">
        <f t="shared" si="61"/>
        <v>1</v>
      </c>
      <c r="M267" s="2156"/>
      <c r="N267" s="2156"/>
      <c r="O267" s="2156"/>
      <c r="P267" s="2156"/>
      <c r="Q267" s="2156"/>
      <c r="R267" s="2156"/>
      <c r="S267" s="2156"/>
      <c r="T267" s="2156"/>
      <c r="U267" s="2156"/>
      <c r="V267" s="2156"/>
      <c r="W267" s="2156"/>
      <c r="X267" s="2156"/>
      <c r="Y267" s="2156"/>
      <c r="Z267" s="2156"/>
      <c r="AA267" s="2156"/>
      <c r="AB267" s="2156"/>
      <c r="AC267" s="2156"/>
      <c r="AD267" s="2156"/>
      <c r="AE267" s="2156"/>
      <c r="AF267" s="2156"/>
      <c r="AG267" s="2156"/>
      <c r="AH267" s="2156"/>
      <c r="AI267" s="2156"/>
      <c r="AJ267" s="2156"/>
      <c r="AK267" s="2156"/>
      <c r="AL267" s="2156"/>
      <c r="AM267" s="2156"/>
      <c r="AN267" s="2156"/>
      <c r="AO267" s="2156"/>
      <c r="AP267" s="2156"/>
      <c r="AQ267" s="2156"/>
      <c r="AR267" s="2156"/>
      <c r="AS267" s="2156"/>
      <c r="AT267" s="2156"/>
      <c r="AU267" s="2156"/>
      <c r="AV267" s="2156"/>
      <c r="AW267" s="2156"/>
      <c r="AX267" s="2156"/>
      <c r="AY267" s="2156"/>
      <c r="AZ267" s="2156"/>
      <c r="BA267" s="2156"/>
      <c r="BB267" s="2156"/>
      <c r="BC267" s="2156"/>
      <c r="BD267" s="2156"/>
      <c r="BE267" s="2156"/>
      <c r="BF267" s="2156"/>
      <c r="BG267" s="2156"/>
      <c r="BH267" s="2156"/>
      <c r="BI267" s="2156"/>
      <c r="BJ267" s="2156"/>
      <c r="BK267" s="2156"/>
      <c r="BL267" s="2156"/>
      <c r="BM267" s="2156"/>
      <c r="BN267" s="2156"/>
      <c r="BO267" s="2156"/>
      <c r="BP267" s="2156"/>
      <c r="BQ267" s="2156"/>
      <c r="BR267" s="2156"/>
      <c r="BS267" s="2156"/>
      <c r="BT267" s="2156"/>
      <c r="BU267" s="2156"/>
    </row>
    <row r="268" spans="2:73">
      <c r="B268" s="2160" t="s">
        <v>312</v>
      </c>
      <c r="C268" s="2123" t="s">
        <v>268</v>
      </c>
      <c r="D268" s="2160">
        <v>748551.7</v>
      </c>
      <c r="E268" s="2160">
        <v>0</v>
      </c>
      <c r="F268" s="2160">
        <v>0</v>
      </c>
      <c r="G268" s="2160">
        <f t="shared" si="62"/>
        <v>748551.7</v>
      </c>
      <c r="H268" s="2160">
        <v>69903905605</v>
      </c>
      <c r="I268" s="2160">
        <v>0</v>
      </c>
      <c r="J268" s="2160">
        <v>0</v>
      </c>
      <c r="K268" s="2123">
        <f t="shared" si="60"/>
        <v>69903905605</v>
      </c>
      <c r="L268" s="2156" t="b">
        <f t="shared" si="61"/>
        <v>1</v>
      </c>
      <c r="M268" s="2156"/>
      <c r="N268" s="2156"/>
      <c r="O268" s="2156"/>
      <c r="P268" s="2156"/>
      <c r="Q268" s="2156"/>
      <c r="R268" s="2156"/>
      <c r="S268" s="2156"/>
      <c r="T268" s="2156"/>
      <c r="U268" s="2156"/>
      <c r="V268" s="2156"/>
      <c r="W268" s="2156"/>
      <c r="X268" s="2156"/>
      <c r="Y268" s="2156"/>
      <c r="Z268" s="2156"/>
      <c r="AA268" s="2156"/>
      <c r="AB268" s="2156"/>
      <c r="AC268" s="2156"/>
      <c r="AD268" s="2156"/>
      <c r="AE268" s="2156"/>
      <c r="AF268" s="2156"/>
      <c r="AG268" s="2156"/>
      <c r="AH268" s="2156"/>
      <c r="AI268" s="2156"/>
      <c r="AJ268" s="2156"/>
      <c r="AK268" s="2156"/>
      <c r="AL268" s="2156"/>
      <c r="AM268" s="2156"/>
      <c r="AN268" s="2156"/>
      <c r="AO268" s="2156"/>
      <c r="AP268" s="2156"/>
      <c r="AQ268" s="2156"/>
      <c r="AR268" s="2156"/>
      <c r="AS268" s="2156"/>
      <c r="AT268" s="2156"/>
      <c r="AU268" s="2156"/>
      <c r="AV268" s="2156"/>
      <c r="AW268" s="2156"/>
      <c r="AX268" s="2156"/>
      <c r="AY268" s="2156"/>
      <c r="AZ268" s="2156"/>
      <c r="BA268" s="2156"/>
      <c r="BB268" s="2156"/>
      <c r="BC268" s="2156"/>
      <c r="BD268" s="2156"/>
      <c r="BE268" s="2156"/>
      <c r="BF268" s="2156"/>
      <c r="BG268" s="2156"/>
      <c r="BH268" s="2156"/>
      <c r="BI268" s="2156"/>
      <c r="BJ268" s="2156"/>
      <c r="BK268" s="2156"/>
      <c r="BL268" s="2156"/>
      <c r="BM268" s="2156"/>
      <c r="BN268" s="2156"/>
      <c r="BO268" s="2156"/>
      <c r="BP268" s="2156"/>
      <c r="BQ268" s="2156"/>
      <c r="BR268" s="2156"/>
      <c r="BS268" s="2156"/>
      <c r="BT268" s="2156"/>
      <c r="BU268" s="2156"/>
    </row>
    <row r="269" spans="2:73">
      <c r="B269" s="2160" t="s">
        <v>313</v>
      </c>
      <c r="C269" s="2123" t="s">
        <v>246</v>
      </c>
      <c r="D269" s="2160">
        <v>13650</v>
      </c>
      <c r="E269" s="2160">
        <v>37000</v>
      </c>
      <c r="F269" s="2160">
        <v>130000</v>
      </c>
      <c r="G269" s="2160">
        <f t="shared" si="62"/>
        <v>180650</v>
      </c>
      <c r="H269" s="2160">
        <v>309957200</v>
      </c>
      <c r="I269" s="2160">
        <v>530599916</v>
      </c>
      <c r="J269" s="2160">
        <v>1829568657</v>
      </c>
      <c r="K269" s="2123">
        <f t="shared" si="60"/>
        <v>2670125773</v>
      </c>
      <c r="L269" s="2156" t="b">
        <f t="shared" si="61"/>
        <v>1</v>
      </c>
      <c r="M269" s="2156"/>
      <c r="N269" s="2156"/>
      <c r="O269" s="2156"/>
      <c r="P269" s="2156"/>
      <c r="Q269" s="2156"/>
      <c r="R269" s="2156"/>
      <c r="S269" s="2156"/>
      <c r="T269" s="2156"/>
      <c r="U269" s="2156"/>
      <c r="V269" s="2156"/>
      <c r="W269" s="2156"/>
      <c r="X269" s="2156"/>
      <c r="Y269" s="2156"/>
      <c r="Z269" s="2156"/>
      <c r="AA269" s="2156"/>
      <c r="AB269" s="2156"/>
      <c r="AC269" s="2156"/>
      <c r="AD269" s="2156"/>
      <c r="AE269" s="2156"/>
      <c r="AF269" s="2156"/>
      <c r="AG269" s="2156"/>
      <c r="AH269" s="2156"/>
      <c r="AI269" s="2156"/>
      <c r="AJ269" s="2156"/>
      <c r="AK269" s="2156"/>
      <c r="AL269" s="2156"/>
      <c r="AM269" s="2156"/>
      <c r="AN269" s="2156"/>
      <c r="AO269" s="2156"/>
      <c r="AP269" s="2156"/>
      <c r="AQ269" s="2156"/>
      <c r="AR269" s="2156"/>
      <c r="AS269" s="2156"/>
      <c r="AT269" s="2156"/>
      <c r="AU269" s="2156"/>
      <c r="AV269" s="2156"/>
      <c r="AW269" s="2156"/>
      <c r="AX269" s="2156"/>
      <c r="AY269" s="2156"/>
      <c r="AZ269" s="2156"/>
      <c r="BA269" s="2156"/>
      <c r="BB269" s="2156"/>
      <c r="BC269" s="2156"/>
      <c r="BD269" s="2156"/>
      <c r="BE269" s="2156"/>
      <c r="BF269" s="2156"/>
      <c r="BG269" s="2156"/>
      <c r="BH269" s="2156"/>
      <c r="BI269" s="2156"/>
      <c r="BJ269" s="2156"/>
      <c r="BK269" s="2156"/>
      <c r="BL269" s="2156"/>
      <c r="BM269" s="2156"/>
      <c r="BN269" s="2156"/>
      <c r="BO269" s="2156"/>
      <c r="BP269" s="2156"/>
      <c r="BQ269" s="2156"/>
      <c r="BR269" s="2156"/>
      <c r="BS269" s="2156"/>
      <c r="BT269" s="2156"/>
      <c r="BU269" s="2156"/>
    </row>
    <row r="270" spans="2:73">
      <c r="B270" s="2160" t="s">
        <v>314</v>
      </c>
      <c r="C270" s="2123" t="s">
        <v>272</v>
      </c>
      <c r="D270" s="2160">
        <v>145485</v>
      </c>
      <c r="E270" s="2160">
        <v>0</v>
      </c>
      <c r="F270" s="2160">
        <v>645119</v>
      </c>
      <c r="G270" s="2160">
        <f t="shared" si="62"/>
        <v>790604</v>
      </c>
      <c r="H270" s="2160">
        <v>1384302534</v>
      </c>
      <c r="I270" s="2160">
        <v>0</v>
      </c>
      <c r="J270" s="2160">
        <v>9073167747</v>
      </c>
      <c r="K270" s="2123">
        <f t="shared" si="60"/>
        <v>10457470281</v>
      </c>
      <c r="L270" s="2156" t="b">
        <f t="shared" si="61"/>
        <v>1</v>
      </c>
      <c r="M270" s="2156"/>
      <c r="N270" s="2156"/>
      <c r="O270" s="2156"/>
      <c r="P270" s="2156"/>
      <c r="Q270" s="2156"/>
      <c r="R270" s="2156"/>
      <c r="S270" s="2156"/>
      <c r="T270" s="2156"/>
      <c r="U270" s="2156"/>
      <c r="V270" s="2156"/>
      <c r="W270" s="2156"/>
      <c r="X270" s="2156"/>
      <c r="Y270" s="2156"/>
      <c r="Z270" s="2156"/>
      <c r="AA270" s="2156"/>
      <c r="AB270" s="2156"/>
      <c r="AC270" s="2156"/>
      <c r="AD270" s="2156"/>
      <c r="AE270" s="2156"/>
      <c r="AF270" s="2156"/>
      <c r="AG270" s="2156"/>
      <c r="AH270" s="2156"/>
      <c r="AI270" s="2156"/>
      <c r="AJ270" s="2156"/>
      <c r="AK270" s="2156"/>
      <c r="AL270" s="2156"/>
      <c r="AM270" s="2156"/>
      <c r="AN270" s="2156"/>
      <c r="AO270" s="2156"/>
      <c r="AP270" s="2156"/>
      <c r="AQ270" s="2156"/>
      <c r="AR270" s="2156"/>
      <c r="AS270" s="2156"/>
      <c r="AT270" s="2156"/>
      <c r="AU270" s="2156"/>
      <c r="AV270" s="2156"/>
      <c r="AW270" s="2156"/>
      <c r="AX270" s="2156"/>
      <c r="AY270" s="2156"/>
      <c r="AZ270" s="2156"/>
      <c r="BA270" s="2156"/>
      <c r="BB270" s="2156"/>
      <c r="BC270" s="2156"/>
      <c r="BD270" s="2156"/>
      <c r="BE270" s="2156"/>
      <c r="BF270" s="2156"/>
      <c r="BG270" s="2156"/>
      <c r="BH270" s="2156"/>
      <c r="BI270" s="2156"/>
      <c r="BJ270" s="2156"/>
      <c r="BK270" s="2156"/>
      <c r="BL270" s="2156"/>
      <c r="BM270" s="2156"/>
      <c r="BN270" s="2156"/>
      <c r="BO270" s="2156"/>
      <c r="BP270" s="2156"/>
      <c r="BQ270" s="2156"/>
      <c r="BR270" s="2156"/>
      <c r="BS270" s="2156"/>
      <c r="BT270" s="2156"/>
      <c r="BU270" s="2156"/>
    </row>
    <row r="271" spans="2:73">
      <c r="B271" s="2160" t="s">
        <v>315</v>
      </c>
      <c r="C271" s="2123" t="s">
        <v>316</v>
      </c>
      <c r="D271" s="2160">
        <v>0</v>
      </c>
      <c r="E271" s="2160">
        <v>0</v>
      </c>
      <c r="F271" s="2160">
        <v>1820000</v>
      </c>
      <c r="G271" s="2160">
        <f t="shared" si="62"/>
        <v>1820000</v>
      </c>
      <c r="H271" s="2160">
        <v>0</v>
      </c>
      <c r="I271" s="2160">
        <v>0</v>
      </c>
      <c r="J271" s="2160">
        <v>1824777666</v>
      </c>
      <c r="K271" s="2123">
        <f t="shared" si="60"/>
        <v>1824777666</v>
      </c>
      <c r="L271" s="2156" t="b">
        <f t="shared" si="61"/>
        <v>1</v>
      </c>
      <c r="M271" s="2156"/>
      <c r="N271" s="2156"/>
      <c r="O271" s="2156"/>
      <c r="P271" s="2156"/>
      <c r="Q271" s="2156"/>
      <c r="R271" s="2156"/>
      <c r="S271" s="2156"/>
      <c r="T271" s="2156"/>
      <c r="U271" s="2156"/>
      <c r="V271" s="2156"/>
      <c r="W271" s="2156"/>
      <c r="X271" s="2156"/>
      <c r="Y271" s="2156"/>
      <c r="Z271" s="2156"/>
      <c r="AA271" s="2156"/>
      <c r="AB271" s="2156"/>
      <c r="AC271" s="2156"/>
      <c r="AD271" s="2156"/>
      <c r="AE271" s="2156"/>
      <c r="AF271" s="2156"/>
      <c r="AG271" s="2156"/>
      <c r="AH271" s="2156"/>
      <c r="AI271" s="2156"/>
      <c r="AJ271" s="2156"/>
      <c r="AK271" s="2156"/>
      <c r="AL271" s="2156"/>
      <c r="AM271" s="2156"/>
      <c r="AN271" s="2156"/>
      <c r="AO271" s="2156"/>
      <c r="AP271" s="2156"/>
      <c r="AQ271" s="2156"/>
      <c r="AR271" s="2156"/>
      <c r="AS271" s="2156"/>
      <c r="AT271" s="2156"/>
      <c r="AU271" s="2156"/>
      <c r="AV271" s="2156"/>
      <c r="AW271" s="2156"/>
      <c r="AX271" s="2156"/>
      <c r="AY271" s="2156"/>
      <c r="AZ271" s="2156"/>
      <c r="BA271" s="2156"/>
      <c r="BB271" s="2156"/>
      <c r="BC271" s="2156"/>
      <c r="BD271" s="2156"/>
      <c r="BE271" s="2156"/>
      <c r="BF271" s="2156"/>
      <c r="BG271" s="2156"/>
      <c r="BH271" s="2156"/>
      <c r="BI271" s="2156"/>
      <c r="BJ271" s="2156"/>
      <c r="BK271" s="2156"/>
      <c r="BL271" s="2156"/>
      <c r="BM271" s="2156"/>
      <c r="BN271" s="2156"/>
      <c r="BO271" s="2156"/>
      <c r="BP271" s="2156"/>
      <c r="BQ271" s="2156"/>
      <c r="BR271" s="2156"/>
      <c r="BS271" s="2156"/>
      <c r="BT271" s="2156"/>
      <c r="BU271" s="2156"/>
    </row>
    <row r="272" spans="2:73">
      <c r="B272" s="2160" t="s">
        <v>317</v>
      </c>
      <c r="C272" s="2123" t="s">
        <v>246</v>
      </c>
      <c r="D272" s="2160">
        <v>0</v>
      </c>
      <c r="E272" s="2160">
        <v>200000</v>
      </c>
      <c r="F272" s="2123">
        <v>499500</v>
      </c>
      <c r="G272" s="2160">
        <f t="shared" si="62"/>
        <v>699500</v>
      </c>
      <c r="H272" s="2160">
        <v>0</v>
      </c>
      <c r="I272" s="2160">
        <v>114127035</v>
      </c>
      <c r="J272" s="2160">
        <v>279270450</v>
      </c>
      <c r="K272" s="2123">
        <f t="shared" si="60"/>
        <v>393397485</v>
      </c>
      <c r="L272" s="2156" t="b">
        <f t="shared" si="61"/>
        <v>1</v>
      </c>
      <c r="M272" s="2156"/>
      <c r="N272" s="2156"/>
      <c r="O272" s="2156"/>
      <c r="P272" s="2156"/>
      <c r="Q272" s="2156"/>
      <c r="R272" s="2156"/>
      <c r="S272" s="2156"/>
      <c r="T272" s="2156"/>
      <c r="U272" s="2156"/>
      <c r="V272" s="2156"/>
      <c r="W272" s="2156"/>
      <c r="X272" s="2156"/>
      <c r="Y272" s="2156"/>
      <c r="Z272" s="2156"/>
      <c r="AA272" s="2156"/>
      <c r="AB272" s="2156"/>
      <c r="AC272" s="2156"/>
      <c r="AD272" s="2156"/>
      <c r="AE272" s="2156"/>
      <c r="AF272" s="2156"/>
      <c r="AG272" s="2156"/>
      <c r="AH272" s="2156"/>
      <c r="AI272" s="2156"/>
      <c r="AJ272" s="2156"/>
      <c r="AK272" s="2156"/>
      <c r="AL272" s="2156"/>
      <c r="AM272" s="2156"/>
      <c r="AN272" s="2156"/>
      <c r="AO272" s="2156"/>
      <c r="AP272" s="2156"/>
      <c r="AQ272" s="2156"/>
      <c r="AR272" s="2156"/>
      <c r="AS272" s="2156"/>
      <c r="AT272" s="2156"/>
      <c r="AU272" s="2156"/>
      <c r="AV272" s="2156"/>
      <c r="AW272" s="2156"/>
      <c r="AX272" s="2156"/>
      <c r="AY272" s="2156"/>
      <c r="AZ272" s="2156"/>
      <c r="BA272" s="2156"/>
      <c r="BB272" s="2156"/>
      <c r="BC272" s="2156"/>
      <c r="BD272" s="2156"/>
      <c r="BE272" s="2156"/>
      <c r="BF272" s="2156"/>
      <c r="BG272" s="2156"/>
      <c r="BH272" s="2156"/>
      <c r="BI272" s="2156"/>
      <c r="BJ272" s="2156"/>
      <c r="BK272" s="2156"/>
      <c r="BL272" s="2156"/>
      <c r="BM272" s="2156"/>
      <c r="BN272" s="2156"/>
      <c r="BO272" s="2156"/>
      <c r="BP272" s="2156"/>
      <c r="BQ272" s="2156"/>
      <c r="BR272" s="2156"/>
      <c r="BS272" s="2156"/>
      <c r="BT272" s="2156"/>
      <c r="BU272" s="2156"/>
    </row>
    <row r="273" spans="1:85">
      <c r="B273" s="2161" t="s">
        <v>374</v>
      </c>
      <c r="C273" s="2134" t="s">
        <v>246</v>
      </c>
      <c r="D273" s="2161">
        <v>0</v>
      </c>
      <c r="E273" s="2161">
        <v>0</v>
      </c>
      <c r="F273" s="2163">
        <v>14613.075999999999</v>
      </c>
      <c r="G273" s="2161">
        <f t="shared" si="62"/>
        <v>14613.075999999999</v>
      </c>
      <c r="H273" s="2161">
        <v>0</v>
      </c>
      <c r="I273" s="2161">
        <v>0</v>
      </c>
      <c r="J273" s="2161">
        <v>58705020359</v>
      </c>
      <c r="K273" s="2134">
        <f t="shared" si="60"/>
        <v>58705020359</v>
      </c>
      <c r="L273" s="2156" t="b">
        <f t="shared" si="61"/>
        <v>1</v>
      </c>
      <c r="M273" s="2156"/>
      <c r="N273" s="2156"/>
      <c r="O273" s="2156"/>
      <c r="P273" s="2156"/>
      <c r="Q273" s="2156"/>
      <c r="R273" s="2156"/>
      <c r="S273" s="2156"/>
      <c r="T273" s="2156"/>
      <c r="U273" s="2156"/>
      <c r="V273" s="2156"/>
      <c r="W273" s="2156"/>
      <c r="X273" s="2156"/>
      <c r="Y273" s="2156"/>
      <c r="Z273" s="2156"/>
      <c r="AA273" s="2156"/>
      <c r="AB273" s="2156"/>
      <c r="AC273" s="2156"/>
      <c r="AD273" s="2156"/>
      <c r="AE273" s="2156"/>
      <c r="AF273" s="2156"/>
      <c r="AG273" s="2156"/>
      <c r="AH273" s="2156"/>
      <c r="AI273" s="2156"/>
      <c r="AJ273" s="2156"/>
      <c r="AK273" s="2156"/>
      <c r="AL273" s="2156"/>
      <c r="AM273" s="2156"/>
      <c r="AN273" s="2156"/>
      <c r="AO273" s="2156"/>
      <c r="AP273" s="2156"/>
      <c r="AQ273" s="2156"/>
      <c r="AR273" s="2156"/>
      <c r="AS273" s="2156"/>
      <c r="AT273" s="2156"/>
      <c r="AU273" s="2156"/>
      <c r="AV273" s="2156"/>
      <c r="AW273" s="2156"/>
      <c r="AX273" s="2156"/>
      <c r="AY273" s="2156"/>
      <c r="AZ273" s="2156"/>
      <c r="BA273" s="2156"/>
      <c r="BB273" s="2156"/>
      <c r="BC273" s="2156"/>
      <c r="BD273" s="2156"/>
      <c r="BE273" s="2156"/>
      <c r="BF273" s="2156"/>
      <c r="BG273" s="2156"/>
      <c r="BH273" s="2156"/>
      <c r="BI273" s="2156"/>
      <c r="BJ273" s="2156"/>
      <c r="BK273" s="2156"/>
      <c r="BL273" s="2156"/>
      <c r="BM273" s="2156"/>
      <c r="BN273" s="2156"/>
      <c r="BO273" s="2156"/>
      <c r="BP273" s="2156"/>
      <c r="BQ273" s="2156"/>
      <c r="BR273" s="2156"/>
      <c r="BS273" s="2156"/>
      <c r="BT273" s="2156"/>
      <c r="BU273" s="2156"/>
    </row>
    <row r="274" spans="1:85">
      <c r="B274" s="2162" t="s">
        <v>275</v>
      </c>
      <c r="C274" s="2162"/>
      <c r="D274" s="2162"/>
      <c r="E274" s="2162"/>
      <c r="F274" s="2162"/>
      <c r="G274" s="2162"/>
      <c r="H274" s="2162">
        <f>SUM(H254:H273)</f>
        <v>1883068620352</v>
      </c>
      <c r="I274" s="2162">
        <f t="shared" ref="I274" si="63">SUM(I254:I273)</f>
        <v>906459463502</v>
      </c>
      <c r="J274" s="2162">
        <f>SUM(J254:J273)</f>
        <v>1725253960200</v>
      </c>
      <c r="K274" s="2145">
        <f>SUM(K254:K273)</f>
        <v>4514782044054</v>
      </c>
      <c r="L274" s="2156" t="b">
        <f t="shared" si="61"/>
        <v>1</v>
      </c>
      <c r="M274" s="2156"/>
      <c r="N274" s="2156"/>
      <c r="O274" s="2156"/>
      <c r="P274" s="2156"/>
      <c r="Q274" s="2156"/>
      <c r="R274" s="2156"/>
      <c r="S274" s="2156"/>
      <c r="T274" s="2156"/>
      <c r="U274" s="2156"/>
      <c r="V274" s="2156"/>
      <c r="W274" s="2156"/>
      <c r="X274" s="2156"/>
      <c r="Y274" s="2156"/>
      <c r="Z274" s="2156"/>
      <c r="AA274" s="2156"/>
      <c r="AB274" s="2156"/>
      <c r="AC274" s="2156"/>
      <c r="AD274" s="2156"/>
      <c r="AE274" s="2156"/>
      <c r="AF274" s="2156"/>
      <c r="AG274" s="2156"/>
      <c r="AH274" s="2156"/>
      <c r="AI274" s="2156"/>
      <c r="AJ274" s="2156"/>
      <c r="AK274" s="2156"/>
      <c r="AL274" s="2156"/>
      <c r="AM274" s="2156"/>
      <c r="AN274" s="2156"/>
      <c r="AO274" s="2156"/>
      <c r="AP274" s="2156"/>
      <c r="AQ274" s="2156"/>
      <c r="AR274" s="2156"/>
      <c r="AS274" s="2156"/>
      <c r="AT274" s="2156"/>
      <c r="AU274" s="2156"/>
      <c r="AV274" s="2156"/>
      <c r="AW274" s="2156"/>
      <c r="AX274" s="2156"/>
      <c r="AY274" s="2156"/>
      <c r="AZ274" s="2156"/>
      <c r="BA274" s="2156"/>
      <c r="BB274" s="2156"/>
      <c r="BC274" s="2156"/>
      <c r="BD274" s="2156"/>
      <c r="BE274" s="2156"/>
      <c r="BF274" s="2156"/>
      <c r="BG274" s="2156"/>
      <c r="BH274" s="2156"/>
      <c r="BI274" s="2156"/>
      <c r="BJ274" s="2156"/>
      <c r="BK274" s="2156"/>
      <c r="BL274" s="2156"/>
      <c r="BM274" s="2156"/>
      <c r="BN274" s="2156"/>
      <c r="BO274" s="2156"/>
      <c r="BP274" s="2156"/>
      <c r="BQ274" s="2156"/>
      <c r="BR274" s="2156"/>
      <c r="BS274" s="2156"/>
      <c r="BT274" s="2156"/>
      <c r="BU274" s="2156"/>
    </row>
    <row r="277" spans="1:85">
      <c r="B277" s="3" t="s">
        <v>5101</v>
      </c>
    </row>
    <row r="278" spans="1:85">
      <c r="B278" s="175" t="s">
        <v>324</v>
      </c>
      <c r="C278" s="131" t="s">
        <v>186</v>
      </c>
      <c r="D278" s="175" t="s">
        <v>187</v>
      </c>
      <c r="E278" s="176" t="s">
        <v>188</v>
      </c>
      <c r="F278" s="176" t="s">
        <v>189</v>
      </c>
      <c r="G278" s="176" t="s">
        <v>190</v>
      </c>
      <c r="H278" s="176" t="s">
        <v>202</v>
      </c>
      <c r="I278" s="176" t="s">
        <v>203</v>
      </c>
      <c r="J278" s="176" t="s">
        <v>204</v>
      </c>
      <c r="K278" s="176" t="s">
        <v>205</v>
      </c>
      <c r="L278" s="176" t="s">
        <v>276</v>
      </c>
      <c r="M278" s="177" t="s">
        <v>141</v>
      </c>
      <c r="N278" s="177" t="s">
        <v>191</v>
      </c>
      <c r="O278" s="177" t="s">
        <v>277</v>
      </c>
      <c r="P278" s="177" t="s">
        <v>278</v>
      </c>
      <c r="Q278" s="177" t="s">
        <v>279</v>
      </c>
      <c r="R278" s="177" t="s">
        <v>280</v>
      </c>
      <c r="S278" s="177" t="s">
        <v>281</v>
      </c>
      <c r="T278" s="177" t="s">
        <v>282</v>
      </c>
      <c r="U278" s="177" t="s">
        <v>283</v>
      </c>
      <c r="V278" s="177" t="s">
        <v>284</v>
      </c>
      <c r="W278" s="177" t="s">
        <v>285</v>
      </c>
      <c r="X278" s="177" t="s">
        <v>286</v>
      </c>
      <c r="Y278" s="177" t="s">
        <v>287</v>
      </c>
      <c r="Z278" s="177" t="s">
        <v>288</v>
      </c>
      <c r="AA278" s="177" t="s">
        <v>289</v>
      </c>
      <c r="AB278" s="177" t="s">
        <v>290</v>
      </c>
      <c r="AC278" s="177" t="s">
        <v>291</v>
      </c>
      <c r="AD278" s="177" t="s">
        <v>292</v>
      </c>
      <c r="AE278" s="177" t="s">
        <v>200</v>
      </c>
      <c r="AF278" s="177" t="s">
        <v>201</v>
      </c>
      <c r="AG278" s="177" t="s">
        <v>293</v>
      </c>
      <c r="AH278" s="177" t="s">
        <v>294</v>
      </c>
      <c r="AI278" s="177" t="s">
        <v>295</v>
      </c>
      <c r="AJ278" s="177" t="s">
        <v>296</v>
      </c>
      <c r="AK278" s="177" t="s">
        <v>206</v>
      </c>
      <c r="AL278" s="177" t="s">
        <v>207</v>
      </c>
      <c r="AM278" s="177" t="s">
        <v>3837</v>
      </c>
      <c r="AN278" s="177" t="s">
        <v>297</v>
      </c>
      <c r="AO278" s="175" t="s">
        <v>208</v>
      </c>
      <c r="AP278" s="178" t="s">
        <v>209</v>
      </c>
      <c r="AQ278" s="178" t="s">
        <v>210</v>
      </c>
      <c r="AR278" s="178" t="s">
        <v>211</v>
      </c>
      <c r="AS278" s="178" t="s">
        <v>212</v>
      </c>
      <c r="AT278" s="178" t="s">
        <v>213</v>
      </c>
      <c r="AU278" s="178" t="s">
        <v>214</v>
      </c>
      <c r="AV278" s="178" t="s">
        <v>215</v>
      </c>
      <c r="AW278" s="178" t="s">
        <v>216</v>
      </c>
      <c r="AX278" s="178" t="s">
        <v>217</v>
      </c>
      <c r="AY278" s="178" t="s">
        <v>218</v>
      </c>
      <c r="AZ278" s="178" t="s">
        <v>219</v>
      </c>
      <c r="BA278" s="178" t="s">
        <v>220</v>
      </c>
      <c r="BB278" s="178" t="s">
        <v>221</v>
      </c>
      <c r="BC278" s="178" t="s">
        <v>222</v>
      </c>
      <c r="BD278" s="175" t="s">
        <v>144</v>
      </c>
      <c r="BE278" s="179" t="s">
        <v>223</v>
      </c>
      <c r="BF278" s="179" t="s">
        <v>224</v>
      </c>
      <c r="BG278" s="179" t="s">
        <v>225</v>
      </c>
      <c r="BH278" s="179" t="s">
        <v>226</v>
      </c>
      <c r="BI278" s="179" t="s">
        <v>227</v>
      </c>
      <c r="BJ278" s="179" t="s">
        <v>228</v>
      </c>
      <c r="BK278" s="179" t="s">
        <v>229</v>
      </c>
      <c r="BL278" s="179" t="s">
        <v>230</v>
      </c>
      <c r="BM278" s="180" t="s">
        <v>231</v>
      </c>
      <c r="BN278" s="180" t="s">
        <v>232</v>
      </c>
      <c r="BO278" s="180" t="s">
        <v>233</v>
      </c>
      <c r="BP278" s="180" t="s">
        <v>234</v>
      </c>
      <c r="BQ278" s="180" t="s">
        <v>235</v>
      </c>
      <c r="BR278" s="180" t="s">
        <v>236</v>
      </c>
      <c r="BS278" s="180" t="s">
        <v>237</v>
      </c>
      <c r="BT278" s="180" t="s">
        <v>238</v>
      </c>
      <c r="BU278" s="175" t="s">
        <v>239</v>
      </c>
      <c r="BW278" s="321" t="s">
        <v>1300</v>
      </c>
      <c r="BX278" s="321" t="s">
        <v>1284</v>
      </c>
      <c r="BY278" s="321" t="s">
        <v>5553</v>
      </c>
      <c r="BZ278" s="321" t="s">
        <v>1363</v>
      </c>
      <c r="CA278" s="321" t="s">
        <v>5554</v>
      </c>
      <c r="CB278" s="321" t="s">
        <v>1293</v>
      </c>
      <c r="CC278" s="321" t="s">
        <v>1294</v>
      </c>
      <c r="CD278" s="321" t="s">
        <v>1418</v>
      </c>
    </row>
    <row r="279" spans="1:85">
      <c r="A279" s="110" t="s">
        <v>5103</v>
      </c>
      <c r="B279" s="138" t="s">
        <v>298</v>
      </c>
      <c r="C279" s="2112" t="s">
        <v>242</v>
      </c>
      <c r="D279" s="138">
        <v>898230.92700000003</v>
      </c>
      <c r="E279" s="141">
        <v>32874086164</v>
      </c>
      <c r="F279" s="142">
        <v>32874086164</v>
      </c>
      <c r="G279" s="142">
        <v>0</v>
      </c>
      <c r="H279" s="142">
        <v>0</v>
      </c>
      <c r="I279" s="142">
        <v>0</v>
      </c>
      <c r="J279" s="142">
        <v>0</v>
      </c>
      <c r="K279" s="142">
        <v>0</v>
      </c>
      <c r="L279" s="142">
        <v>0</v>
      </c>
      <c r="M279" s="143">
        <v>30739229443</v>
      </c>
      <c r="N279" s="144">
        <v>12040129</v>
      </c>
      <c r="O279" s="144">
        <v>0</v>
      </c>
      <c r="P279" s="144">
        <v>0</v>
      </c>
      <c r="Q279" s="144">
        <v>0</v>
      </c>
      <c r="R279" s="144">
        <v>3523180988</v>
      </c>
      <c r="S279" s="144">
        <v>0</v>
      </c>
      <c r="T279" s="144">
        <v>258449804</v>
      </c>
      <c r="U279" s="144">
        <v>0</v>
      </c>
      <c r="V279" s="144">
        <v>4733618705</v>
      </c>
      <c r="W279" s="144">
        <v>8493206407</v>
      </c>
      <c r="X279" s="144">
        <v>-360578693</v>
      </c>
      <c r="Y279" s="144">
        <v>1345837542</v>
      </c>
      <c r="Z279" s="144">
        <v>1970404013</v>
      </c>
      <c r="AA279" s="144">
        <v>0</v>
      </c>
      <c r="AB279" s="144">
        <v>1999909215</v>
      </c>
      <c r="AC279" s="144">
        <v>1297403112</v>
      </c>
      <c r="AD279" s="144">
        <v>1663127364</v>
      </c>
      <c r="AE279" s="144">
        <v>0</v>
      </c>
      <c r="AF279" s="144">
        <v>0</v>
      </c>
      <c r="AG279" s="144">
        <v>0</v>
      </c>
      <c r="AH279" s="144">
        <v>0</v>
      </c>
      <c r="AI279" s="144">
        <v>0</v>
      </c>
      <c r="AJ279" s="144">
        <v>0</v>
      </c>
      <c r="AK279" s="144">
        <v>0</v>
      </c>
      <c r="AL279" s="144">
        <v>-1149368210</v>
      </c>
      <c r="AM279" s="144">
        <v>1397937217</v>
      </c>
      <c r="AN279" s="144">
        <v>5554061850</v>
      </c>
      <c r="AO279" s="138">
        <v>2134856721</v>
      </c>
      <c r="AP279" s="147">
        <v>672425923</v>
      </c>
      <c r="AQ279" s="148">
        <v>149436250</v>
      </c>
      <c r="AR279" s="148">
        <v>1743680</v>
      </c>
      <c r="AS279" s="148">
        <v>0</v>
      </c>
      <c r="AT279" s="148">
        <v>0</v>
      </c>
      <c r="AU279" s="148">
        <v>369759192</v>
      </c>
      <c r="AV279" s="148">
        <v>3105483</v>
      </c>
      <c r="AW279" s="148">
        <v>0</v>
      </c>
      <c r="AX279" s="148">
        <v>3337441</v>
      </c>
      <c r="AY279" s="148">
        <v>21221660</v>
      </c>
      <c r="AZ279" s="148">
        <v>6694138</v>
      </c>
      <c r="BA279" s="148">
        <v>77435701</v>
      </c>
      <c r="BB279" s="148">
        <v>207295</v>
      </c>
      <c r="BC279" s="148">
        <v>39485083</v>
      </c>
      <c r="BD279" s="138">
        <v>1462430798</v>
      </c>
      <c r="BE279" s="181">
        <v>93723094</v>
      </c>
      <c r="BF279" s="182">
        <v>87706900</v>
      </c>
      <c r="BG279" s="182">
        <v>6016194</v>
      </c>
      <c r="BH279" s="182">
        <v>0</v>
      </c>
      <c r="BI279" s="182">
        <v>0</v>
      </c>
      <c r="BJ279" s="182">
        <v>0</v>
      </c>
      <c r="BK279" s="182">
        <v>0</v>
      </c>
      <c r="BL279" s="182">
        <v>0</v>
      </c>
      <c r="BM279" s="183">
        <v>92212324</v>
      </c>
      <c r="BN279" s="184">
        <v>92212324</v>
      </c>
      <c r="BO279" s="184">
        <v>0</v>
      </c>
      <c r="BP279" s="184">
        <v>0</v>
      </c>
      <c r="BQ279" s="184">
        <v>0</v>
      </c>
      <c r="BR279" s="184">
        <v>0</v>
      </c>
      <c r="BS279" s="184">
        <v>0</v>
      </c>
      <c r="BT279" s="184">
        <v>0</v>
      </c>
      <c r="BU279" s="138">
        <v>1463941568</v>
      </c>
      <c r="BW279" s="255">
        <f>SUM(G279:L279)</f>
        <v>0</v>
      </c>
      <c r="BX279" s="255">
        <f>N279</f>
        <v>12040129</v>
      </c>
      <c r="BY279" s="255">
        <f>SUM(AE279:AK279)</f>
        <v>0</v>
      </c>
      <c r="BZ279" s="255">
        <f>BY279+BX279</f>
        <v>12040129</v>
      </c>
      <c r="CA279" s="255">
        <f>AN279+AL279</f>
        <v>4404693640</v>
      </c>
      <c r="CB279" s="255">
        <f>SUM(W279,X279)</f>
        <v>8132627714</v>
      </c>
      <c r="CC279" s="255">
        <f>SUM(AA279:AB279)</f>
        <v>1999909215</v>
      </c>
      <c r="CD279" s="255">
        <f>AQ279</f>
        <v>149436250</v>
      </c>
      <c r="CG279" s="255"/>
    </row>
    <row r="280" spans="1:85">
      <c r="A280" s="110" t="s">
        <v>5103</v>
      </c>
      <c r="B280" s="150" t="s">
        <v>299</v>
      </c>
      <c r="C280" s="2123" t="s">
        <v>244</v>
      </c>
      <c r="D280" s="150">
        <v>121394990</v>
      </c>
      <c r="E280" s="153">
        <v>62521190900</v>
      </c>
      <c r="F280" s="154">
        <v>62521190900</v>
      </c>
      <c r="G280" s="154">
        <v>0</v>
      </c>
      <c r="H280" s="154">
        <v>0</v>
      </c>
      <c r="I280" s="154">
        <v>0</v>
      </c>
      <c r="J280" s="154">
        <v>0</v>
      </c>
      <c r="K280" s="154">
        <v>0</v>
      </c>
      <c r="L280" s="154">
        <v>0</v>
      </c>
      <c r="M280" s="155">
        <v>25094785580</v>
      </c>
      <c r="N280" s="156">
        <v>824587900</v>
      </c>
      <c r="O280" s="156">
        <v>0</v>
      </c>
      <c r="P280" s="156">
        <v>0</v>
      </c>
      <c r="Q280" s="156">
        <v>0</v>
      </c>
      <c r="R280" s="156">
        <v>6426107057</v>
      </c>
      <c r="S280" s="156">
        <v>0</v>
      </c>
      <c r="T280" s="156">
        <v>520412946</v>
      </c>
      <c r="U280" s="156">
        <v>0</v>
      </c>
      <c r="V280" s="156">
        <v>8676089143</v>
      </c>
      <c r="W280" s="156">
        <v>475646912</v>
      </c>
      <c r="X280" s="156">
        <v>2252309028</v>
      </c>
      <c r="Y280" s="156">
        <v>0</v>
      </c>
      <c r="Z280" s="156">
        <v>1443132611</v>
      </c>
      <c r="AA280" s="156">
        <v>0</v>
      </c>
      <c r="AB280" s="156">
        <v>2245056905</v>
      </c>
      <c r="AC280" s="156">
        <v>256461451</v>
      </c>
      <c r="AD280" s="156">
        <v>1974981627</v>
      </c>
      <c r="AE280" s="156">
        <v>0</v>
      </c>
      <c r="AF280" s="156">
        <v>0</v>
      </c>
      <c r="AG280" s="156">
        <v>0</v>
      </c>
      <c r="AH280" s="156">
        <v>0</v>
      </c>
      <c r="AI280" s="156">
        <v>0</v>
      </c>
      <c r="AJ280" s="156">
        <v>0</v>
      </c>
      <c r="AK280" s="156">
        <v>0</v>
      </c>
      <c r="AL280" s="156">
        <v>0</v>
      </c>
      <c r="AM280" s="156">
        <v>0</v>
      </c>
      <c r="AN280" s="156">
        <v>0</v>
      </c>
      <c r="AO280" s="150">
        <v>37426405320</v>
      </c>
      <c r="AP280" s="159">
        <v>6251091460</v>
      </c>
      <c r="AQ280" s="160">
        <v>5976564764</v>
      </c>
      <c r="AR280" s="160">
        <v>0</v>
      </c>
      <c r="AS280" s="160">
        <v>0</v>
      </c>
      <c r="AT280" s="160">
        <v>0</v>
      </c>
      <c r="AU280" s="160">
        <v>266368045</v>
      </c>
      <c r="AV280" s="160">
        <v>0</v>
      </c>
      <c r="AW280" s="160">
        <v>0</v>
      </c>
      <c r="AX280" s="160">
        <v>1621127</v>
      </c>
      <c r="AY280" s="160">
        <v>0</v>
      </c>
      <c r="AZ280" s="160">
        <v>0</v>
      </c>
      <c r="BA280" s="160">
        <v>439175</v>
      </c>
      <c r="BB280" s="160">
        <v>0</v>
      </c>
      <c r="BC280" s="160">
        <v>6098349</v>
      </c>
      <c r="BD280" s="150">
        <v>31175313860</v>
      </c>
      <c r="BE280" s="185">
        <v>0</v>
      </c>
      <c r="BF280" s="186">
        <v>0</v>
      </c>
      <c r="BG280" s="186">
        <v>0</v>
      </c>
      <c r="BH280" s="186">
        <v>0</v>
      </c>
      <c r="BI280" s="186">
        <v>0</v>
      </c>
      <c r="BJ280" s="186">
        <v>0</v>
      </c>
      <c r="BK280" s="186">
        <v>0</v>
      </c>
      <c r="BL280" s="186">
        <v>0</v>
      </c>
      <c r="BM280" s="187">
        <v>0</v>
      </c>
      <c r="BN280" s="188">
        <v>0</v>
      </c>
      <c r="BO280" s="188">
        <v>0</v>
      </c>
      <c r="BP280" s="188">
        <v>0</v>
      </c>
      <c r="BQ280" s="188">
        <v>0</v>
      </c>
      <c r="BR280" s="188">
        <v>0</v>
      </c>
      <c r="BS280" s="188">
        <v>0</v>
      </c>
      <c r="BT280" s="188">
        <v>0</v>
      </c>
      <c r="BU280" s="150">
        <v>31175313860</v>
      </c>
      <c r="BW280" s="255">
        <f t="shared" ref="BW280:BW298" si="64">SUM(G280:L280)</f>
        <v>0</v>
      </c>
      <c r="BX280" s="255">
        <f t="shared" ref="BX280:BX298" si="65">N280</f>
        <v>824587900</v>
      </c>
      <c r="BY280" s="255">
        <f t="shared" ref="BY280:BY299" si="66">SUM(AE280:AK280)</f>
        <v>0</v>
      </c>
      <c r="BZ280" s="255">
        <f t="shared" ref="BZ280:BZ299" si="67">BY280+BX280</f>
        <v>824587900</v>
      </c>
      <c r="CA280" s="255">
        <f t="shared" ref="CA280:CA299" si="68">AN280+AL280</f>
        <v>0</v>
      </c>
      <c r="CB280" s="255">
        <f t="shared" ref="CB280:CB298" si="69">SUM(W280,X280)</f>
        <v>2727955940</v>
      </c>
      <c r="CC280" s="255">
        <f t="shared" ref="CC280:CC298" si="70">SUM(AA280:AB280)</f>
        <v>2245056905</v>
      </c>
      <c r="CD280" s="255">
        <f t="shared" ref="CD280:CD298" si="71">AQ280</f>
        <v>5976564764</v>
      </c>
      <c r="CG280" s="255"/>
    </row>
    <row r="281" spans="1:85">
      <c r="A281" s="110" t="s">
        <v>5103</v>
      </c>
      <c r="B281" s="150" t="s">
        <v>300</v>
      </c>
      <c r="C281" s="2123" t="s">
        <v>246</v>
      </c>
      <c r="D281" s="150">
        <v>7394.62</v>
      </c>
      <c r="E281" s="153">
        <v>1532408400</v>
      </c>
      <c r="F281" s="154">
        <v>1532408400</v>
      </c>
      <c r="G281" s="154">
        <v>0</v>
      </c>
      <c r="H281" s="154">
        <v>0</v>
      </c>
      <c r="I281" s="154">
        <v>0</v>
      </c>
      <c r="J281" s="154">
        <v>0</v>
      </c>
      <c r="K281" s="154">
        <v>0</v>
      </c>
      <c r="L281" s="154">
        <v>0</v>
      </c>
      <c r="M281" s="155">
        <v>1233875792</v>
      </c>
      <c r="N281" s="156">
        <v>0</v>
      </c>
      <c r="O281" s="156">
        <v>295782918</v>
      </c>
      <c r="P281" s="156">
        <v>0</v>
      </c>
      <c r="Q281" s="156">
        <v>0</v>
      </c>
      <c r="R281" s="156">
        <v>203844671</v>
      </c>
      <c r="S281" s="156">
        <v>0</v>
      </c>
      <c r="T281" s="156">
        <v>15222852</v>
      </c>
      <c r="U281" s="156">
        <v>0</v>
      </c>
      <c r="V281" s="156">
        <v>161448351</v>
      </c>
      <c r="W281" s="156">
        <v>26591106</v>
      </c>
      <c r="X281" s="156">
        <v>274836529</v>
      </c>
      <c r="Y281" s="156">
        <v>3199595</v>
      </c>
      <c r="Z281" s="156">
        <v>131857071</v>
      </c>
      <c r="AA281" s="156">
        <v>0</v>
      </c>
      <c r="AB281" s="156">
        <v>44126199</v>
      </c>
      <c r="AC281" s="156">
        <v>11403770</v>
      </c>
      <c r="AD281" s="156">
        <v>65562730</v>
      </c>
      <c r="AE281" s="156">
        <v>0</v>
      </c>
      <c r="AF281" s="156">
        <v>0</v>
      </c>
      <c r="AG281" s="156">
        <v>0</v>
      </c>
      <c r="AH281" s="156">
        <v>0</v>
      </c>
      <c r="AI281" s="156">
        <v>0</v>
      </c>
      <c r="AJ281" s="156">
        <v>0</v>
      </c>
      <c r="AK281" s="156">
        <v>0</v>
      </c>
      <c r="AL281" s="156">
        <v>0</v>
      </c>
      <c r="AM281" s="156">
        <v>0</v>
      </c>
      <c r="AN281" s="156">
        <v>0</v>
      </c>
      <c r="AO281" s="150">
        <v>298532608</v>
      </c>
      <c r="AP281" s="159">
        <v>6604898</v>
      </c>
      <c r="AQ281" s="160">
        <v>0</v>
      </c>
      <c r="AR281" s="160">
        <v>0</v>
      </c>
      <c r="AS281" s="160">
        <v>0</v>
      </c>
      <c r="AT281" s="160">
        <v>0</v>
      </c>
      <c r="AU281" s="160">
        <v>6409720</v>
      </c>
      <c r="AV281" s="160">
        <v>0</v>
      </c>
      <c r="AW281" s="160">
        <v>0</v>
      </c>
      <c r="AX281" s="160">
        <v>39438</v>
      </c>
      <c r="AY281" s="160">
        <v>0</v>
      </c>
      <c r="AZ281" s="160">
        <v>0</v>
      </c>
      <c r="BA281" s="160">
        <v>14825</v>
      </c>
      <c r="BB281" s="160">
        <v>0</v>
      </c>
      <c r="BC281" s="160">
        <v>140915</v>
      </c>
      <c r="BD281" s="150">
        <v>291927710</v>
      </c>
      <c r="BE281" s="185">
        <v>0</v>
      </c>
      <c r="BF281" s="186">
        <v>0</v>
      </c>
      <c r="BG281" s="186">
        <v>0</v>
      </c>
      <c r="BH281" s="186">
        <v>0</v>
      </c>
      <c r="BI281" s="186">
        <v>0</v>
      </c>
      <c r="BJ281" s="186">
        <v>0</v>
      </c>
      <c r="BK281" s="186">
        <v>0</v>
      </c>
      <c r="BL281" s="186">
        <v>0</v>
      </c>
      <c r="BM281" s="187">
        <v>0</v>
      </c>
      <c r="BN281" s="188">
        <v>0</v>
      </c>
      <c r="BO281" s="188">
        <v>0</v>
      </c>
      <c r="BP281" s="188">
        <v>0</v>
      </c>
      <c r="BQ281" s="188">
        <v>0</v>
      </c>
      <c r="BR281" s="188">
        <v>0</v>
      </c>
      <c r="BS281" s="188">
        <v>0</v>
      </c>
      <c r="BT281" s="188">
        <v>0</v>
      </c>
      <c r="BU281" s="150">
        <v>291927710</v>
      </c>
      <c r="BW281" s="255">
        <f t="shared" si="64"/>
        <v>0</v>
      </c>
      <c r="BX281" s="255">
        <f t="shared" si="65"/>
        <v>0</v>
      </c>
      <c r="BY281" s="255">
        <f t="shared" si="66"/>
        <v>0</v>
      </c>
      <c r="BZ281" s="255">
        <f t="shared" si="67"/>
        <v>0</v>
      </c>
      <c r="CA281" s="255">
        <f t="shared" si="68"/>
        <v>0</v>
      </c>
      <c r="CB281" s="255">
        <f t="shared" si="69"/>
        <v>301427635</v>
      </c>
      <c r="CC281" s="255">
        <f t="shared" si="70"/>
        <v>44126199</v>
      </c>
      <c r="CD281" s="255">
        <f t="shared" si="71"/>
        <v>0</v>
      </c>
      <c r="CG281" s="255"/>
    </row>
    <row r="282" spans="1:85">
      <c r="A282" s="110" t="s">
        <v>5103</v>
      </c>
      <c r="B282" s="150" t="s">
        <v>301</v>
      </c>
      <c r="C282" s="2123" t="s">
        <v>246</v>
      </c>
      <c r="D282" s="150">
        <v>84169.82</v>
      </c>
      <c r="E282" s="153">
        <v>673358560</v>
      </c>
      <c r="F282" s="154">
        <v>673358560</v>
      </c>
      <c r="G282" s="154">
        <v>0</v>
      </c>
      <c r="H282" s="154">
        <v>0</v>
      </c>
      <c r="I282" s="154">
        <v>0</v>
      </c>
      <c r="J282" s="154">
        <v>0</v>
      </c>
      <c r="K282" s="154">
        <v>0</v>
      </c>
      <c r="L282" s="154">
        <v>0</v>
      </c>
      <c r="M282" s="155">
        <v>3353761547</v>
      </c>
      <c r="N282" s="156">
        <v>0</v>
      </c>
      <c r="O282" s="156">
        <v>1487318990</v>
      </c>
      <c r="P282" s="156">
        <v>0</v>
      </c>
      <c r="Q282" s="156">
        <v>0</v>
      </c>
      <c r="R282" s="156">
        <v>393643474</v>
      </c>
      <c r="S282" s="156">
        <v>0</v>
      </c>
      <c r="T282" s="156">
        <v>31369607</v>
      </c>
      <c r="U282" s="156">
        <v>0</v>
      </c>
      <c r="V282" s="156">
        <v>220432666</v>
      </c>
      <c r="W282" s="156">
        <v>36606078</v>
      </c>
      <c r="X282" s="156">
        <v>219185694</v>
      </c>
      <c r="Y282" s="156">
        <v>0</v>
      </c>
      <c r="Z282" s="156">
        <v>272207331</v>
      </c>
      <c r="AA282" s="156">
        <v>0</v>
      </c>
      <c r="AB282" s="156">
        <v>191871616</v>
      </c>
      <c r="AC282" s="156">
        <v>16950582</v>
      </c>
      <c r="AD282" s="156">
        <v>480016156</v>
      </c>
      <c r="AE282" s="156">
        <v>0</v>
      </c>
      <c r="AF282" s="156">
        <v>0</v>
      </c>
      <c r="AG282" s="156">
        <v>0</v>
      </c>
      <c r="AH282" s="156">
        <v>0</v>
      </c>
      <c r="AI282" s="156">
        <v>0</v>
      </c>
      <c r="AJ282" s="156">
        <v>0</v>
      </c>
      <c r="AK282" s="156">
        <v>0</v>
      </c>
      <c r="AL282" s="156">
        <v>4159353</v>
      </c>
      <c r="AM282" s="156">
        <v>0</v>
      </c>
      <c r="AN282" s="156">
        <v>0</v>
      </c>
      <c r="AO282" s="150">
        <v>-2680402987</v>
      </c>
      <c r="AP282" s="159">
        <v>99054884</v>
      </c>
      <c r="AQ282" s="160">
        <v>90564200</v>
      </c>
      <c r="AR282" s="160">
        <v>0</v>
      </c>
      <c r="AS282" s="160">
        <v>0</v>
      </c>
      <c r="AT282" s="160">
        <v>0</v>
      </c>
      <c r="AU282" s="160">
        <v>7841183</v>
      </c>
      <c r="AV282" s="160">
        <v>0</v>
      </c>
      <c r="AW282" s="160">
        <v>0</v>
      </c>
      <c r="AX282" s="160">
        <v>98623</v>
      </c>
      <c r="AY282" s="160">
        <v>0</v>
      </c>
      <c r="AZ282" s="160">
        <v>0</v>
      </c>
      <c r="BA282" s="160">
        <v>2405</v>
      </c>
      <c r="BB282" s="160">
        <v>0</v>
      </c>
      <c r="BC282" s="160">
        <v>548473</v>
      </c>
      <c r="BD282" s="150">
        <v>-2779457871</v>
      </c>
      <c r="BE282" s="185">
        <v>0</v>
      </c>
      <c r="BF282" s="186">
        <v>0</v>
      </c>
      <c r="BG282" s="186">
        <v>0</v>
      </c>
      <c r="BH282" s="186">
        <v>0</v>
      </c>
      <c r="BI282" s="186">
        <v>0</v>
      </c>
      <c r="BJ282" s="186">
        <v>0</v>
      </c>
      <c r="BK282" s="186">
        <v>0</v>
      </c>
      <c r="BL282" s="186">
        <v>0</v>
      </c>
      <c r="BM282" s="187">
        <v>0</v>
      </c>
      <c r="BN282" s="188">
        <v>0</v>
      </c>
      <c r="BO282" s="188">
        <v>0</v>
      </c>
      <c r="BP282" s="188">
        <v>0</v>
      </c>
      <c r="BQ282" s="188">
        <v>0</v>
      </c>
      <c r="BR282" s="188">
        <v>0</v>
      </c>
      <c r="BS282" s="188">
        <v>0</v>
      </c>
      <c r="BT282" s="188">
        <v>0</v>
      </c>
      <c r="BU282" s="150">
        <v>-2779457871</v>
      </c>
      <c r="BW282" s="255">
        <f t="shared" si="64"/>
        <v>0</v>
      </c>
      <c r="BX282" s="255">
        <f t="shared" si="65"/>
        <v>0</v>
      </c>
      <c r="BY282" s="255">
        <f t="shared" si="66"/>
        <v>0</v>
      </c>
      <c r="BZ282" s="255">
        <f t="shared" si="67"/>
        <v>0</v>
      </c>
      <c r="CA282" s="255">
        <f t="shared" si="68"/>
        <v>4159353</v>
      </c>
      <c r="CB282" s="255">
        <f t="shared" si="69"/>
        <v>255791772</v>
      </c>
      <c r="CC282" s="255">
        <f t="shared" si="70"/>
        <v>191871616</v>
      </c>
      <c r="CD282" s="255">
        <f t="shared" si="71"/>
        <v>90564200</v>
      </c>
      <c r="CG282" s="255"/>
    </row>
    <row r="283" spans="1:85">
      <c r="A283" s="110" t="s">
        <v>5103</v>
      </c>
      <c r="B283" s="150" t="s">
        <v>302</v>
      </c>
      <c r="C283" s="2123" t="s">
        <v>5586</v>
      </c>
      <c r="D283" s="150">
        <v>3185.777</v>
      </c>
      <c r="E283" s="153">
        <v>11215691314</v>
      </c>
      <c r="F283" s="154">
        <v>11215691314</v>
      </c>
      <c r="G283" s="154">
        <v>0</v>
      </c>
      <c r="H283" s="154">
        <v>0</v>
      </c>
      <c r="I283" s="154">
        <v>0</v>
      </c>
      <c r="J283" s="154">
        <v>0</v>
      </c>
      <c r="K283" s="154">
        <v>0</v>
      </c>
      <c r="L283" s="154">
        <v>0</v>
      </c>
      <c r="M283" s="155">
        <v>4918365682</v>
      </c>
      <c r="N283" s="156">
        <v>1121277355</v>
      </c>
      <c r="O283" s="156">
        <v>0</v>
      </c>
      <c r="P283" s="156">
        <v>-32010</v>
      </c>
      <c r="Q283" s="156">
        <v>0</v>
      </c>
      <c r="R283" s="156">
        <v>1179575585</v>
      </c>
      <c r="S283" s="156">
        <v>0</v>
      </c>
      <c r="T283" s="156">
        <v>112870243</v>
      </c>
      <c r="U283" s="156">
        <v>0</v>
      </c>
      <c r="V283" s="156">
        <v>736805474</v>
      </c>
      <c r="W283" s="156">
        <v>14800160</v>
      </c>
      <c r="X283" s="156">
        <v>945726693</v>
      </c>
      <c r="Y283" s="156">
        <v>65023558</v>
      </c>
      <c r="Z283" s="156">
        <v>258207359</v>
      </c>
      <c r="AA283" s="156">
        <v>0</v>
      </c>
      <c r="AB283" s="156">
        <v>103089958</v>
      </c>
      <c r="AC283" s="156">
        <v>2496540</v>
      </c>
      <c r="AD283" s="156">
        <v>202396624</v>
      </c>
      <c r="AE283" s="156">
        <v>0</v>
      </c>
      <c r="AF283" s="156">
        <v>101474610</v>
      </c>
      <c r="AG283" s="156">
        <v>0</v>
      </c>
      <c r="AH283" s="156">
        <v>0</v>
      </c>
      <c r="AI283" s="156">
        <v>0</v>
      </c>
      <c r="AJ283" s="156">
        <v>0</v>
      </c>
      <c r="AK283" s="156">
        <v>0</v>
      </c>
      <c r="AL283" s="156">
        <v>0</v>
      </c>
      <c r="AM283" s="156">
        <v>0</v>
      </c>
      <c r="AN283" s="156">
        <v>74653533</v>
      </c>
      <c r="AO283" s="150">
        <v>6297325632</v>
      </c>
      <c r="AP283" s="159">
        <v>77835607</v>
      </c>
      <c r="AQ283" s="160">
        <v>74005490</v>
      </c>
      <c r="AR283" s="160">
        <v>207409</v>
      </c>
      <c r="AS283" s="160">
        <v>0</v>
      </c>
      <c r="AT283" s="160">
        <v>0</v>
      </c>
      <c r="AU283" s="160">
        <v>851453</v>
      </c>
      <c r="AV283" s="160">
        <v>0</v>
      </c>
      <c r="AW283" s="160">
        <v>0</v>
      </c>
      <c r="AX283" s="160">
        <v>2052</v>
      </c>
      <c r="AY283" s="160">
        <v>0</v>
      </c>
      <c r="AZ283" s="160">
        <v>0</v>
      </c>
      <c r="BA283" s="160">
        <v>2689587</v>
      </c>
      <c r="BB283" s="160">
        <v>0</v>
      </c>
      <c r="BC283" s="160">
        <v>79616</v>
      </c>
      <c r="BD283" s="150">
        <v>6219490025</v>
      </c>
      <c r="BE283" s="185">
        <v>0</v>
      </c>
      <c r="BF283" s="186">
        <v>0</v>
      </c>
      <c r="BG283" s="186">
        <v>0</v>
      </c>
      <c r="BH283" s="186">
        <v>0</v>
      </c>
      <c r="BI283" s="186">
        <v>0</v>
      </c>
      <c r="BJ283" s="186">
        <v>0</v>
      </c>
      <c r="BK283" s="186">
        <v>0</v>
      </c>
      <c r="BL283" s="186">
        <v>0</v>
      </c>
      <c r="BM283" s="187">
        <v>0</v>
      </c>
      <c r="BN283" s="188">
        <v>0</v>
      </c>
      <c r="BO283" s="188">
        <v>0</v>
      </c>
      <c r="BP283" s="188">
        <v>0</v>
      </c>
      <c r="BQ283" s="188">
        <v>0</v>
      </c>
      <c r="BR283" s="188">
        <v>0</v>
      </c>
      <c r="BS283" s="188">
        <v>0</v>
      </c>
      <c r="BT283" s="188">
        <v>0</v>
      </c>
      <c r="BU283" s="150">
        <v>6219490025</v>
      </c>
      <c r="BW283" s="255">
        <f t="shared" si="64"/>
        <v>0</v>
      </c>
      <c r="BX283" s="255">
        <f t="shared" si="65"/>
        <v>1121277355</v>
      </c>
      <c r="BY283" s="255">
        <f t="shared" si="66"/>
        <v>101474610</v>
      </c>
      <c r="BZ283" s="255">
        <f t="shared" si="67"/>
        <v>1222751965</v>
      </c>
      <c r="CA283" s="255">
        <f t="shared" si="68"/>
        <v>74653533</v>
      </c>
      <c r="CB283" s="255">
        <f t="shared" si="69"/>
        <v>960526853</v>
      </c>
      <c r="CC283" s="255">
        <f t="shared" si="70"/>
        <v>103089958</v>
      </c>
      <c r="CD283" s="255">
        <f t="shared" si="71"/>
        <v>74005490</v>
      </c>
      <c r="CG283" s="255"/>
    </row>
    <row r="284" spans="1:85">
      <c r="A284" s="110" t="s">
        <v>5103</v>
      </c>
      <c r="B284" s="150" t="s">
        <v>303</v>
      </c>
      <c r="C284" s="2123" t="s">
        <v>252</v>
      </c>
      <c r="D284" s="150">
        <v>286940</v>
      </c>
      <c r="E284" s="153">
        <v>9545495508</v>
      </c>
      <c r="F284" s="154">
        <v>9545495508</v>
      </c>
      <c r="G284" s="154">
        <v>0</v>
      </c>
      <c r="H284" s="154">
        <v>0</v>
      </c>
      <c r="I284" s="154">
        <v>0</v>
      </c>
      <c r="J284" s="154">
        <v>0</v>
      </c>
      <c r="K284" s="154">
        <v>0</v>
      </c>
      <c r="L284" s="154">
        <v>0</v>
      </c>
      <c r="M284" s="155">
        <v>5080096465</v>
      </c>
      <c r="N284" s="156">
        <v>0</v>
      </c>
      <c r="O284" s="156">
        <v>0</v>
      </c>
      <c r="P284" s="156">
        <v>0</v>
      </c>
      <c r="Q284" s="156">
        <v>0</v>
      </c>
      <c r="R284" s="156">
        <v>114759717</v>
      </c>
      <c r="S284" s="156">
        <v>0</v>
      </c>
      <c r="T284" s="156">
        <v>13155465</v>
      </c>
      <c r="U284" s="156">
        <v>0</v>
      </c>
      <c r="V284" s="156">
        <v>598043672</v>
      </c>
      <c r="W284" s="156">
        <v>0</v>
      </c>
      <c r="X284" s="156">
        <v>4187849413</v>
      </c>
      <c r="Y284" s="156">
        <v>2863606</v>
      </c>
      <c r="Z284" s="156">
        <v>61114571</v>
      </c>
      <c r="AA284" s="156">
        <v>0</v>
      </c>
      <c r="AB284" s="156">
        <v>6831261</v>
      </c>
      <c r="AC284" s="156">
        <v>-41275773</v>
      </c>
      <c r="AD284" s="156">
        <v>136754533</v>
      </c>
      <c r="AE284" s="156">
        <v>0</v>
      </c>
      <c r="AF284" s="156">
        <v>0</v>
      </c>
      <c r="AG284" s="156">
        <v>0</v>
      </c>
      <c r="AH284" s="156">
        <v>0</v>
      </c>
      <c r="AI284" s="156">
        <v>0</v>
      </c>
      <c r="AJ284" s="156">
        <v>0</v>
      </c>
      <c r="AK284" s="156">
        <v>0</v>
      </c>
      <c r="AL284" s="156">
        <v>0</v>
      </c>
      <c r="AM284" s="156">
        <v>0</v>
      </c>
      <c r="AN284" s="156">
        <v>0</v>
      </c>
      <c r="AO284" s="150">
        <v>4465399043</v>
      </c>
      <c r="AP284" s="159">
        <v>117576161</v>
      </c>
      <c r="AQ284" s="160">
        <v>0</v>
      </c>
      <c r="AR284" s="160">
        <v>0</v>
      </c>
      <c r="AS284" s="160">
        <v>0</v>
      </c>
      <c r="AT284" s="160">
        <v>0</v>
      </c>
      <c r="AU284" s="160">
        <v>108950818</v>
      </c>
      <c r="AV284" s="160">
        <v>0</v>
      </c>
      <c r="AW284" s="160">
        <v>0</v>
      </c>
      <c r="AX284" s="160">
        <v>1342562</v>
      </c>
      <c r="AY284" s="160">
        <v>0</v>
      </c>
      <c r="AZ284" s="160">
        <v>0</v>
      </c>
      <c r="BA284" s="160">
        <v>31809</v>
      </c>
      <c r="BB284" s="160">
        <v>0</v>
      </c>
      <c r="BC284" s="160">
        <v>7250972</v>
      </c>
      <c r="BD284" s="150">
        <v>4347822882</v>
      </c>
      <c r="BE284" s="185">
        <v>0</v>
      </c>
      <c r="BF284" s="186">
        <v>0</v>
      </c>
      <c r="BG284" s="186">
        <v>0</v>
      </c>
      <c r="BH284" s="186">
        <v>0</v>
      </c>
      <c r="BI284" s="186">
        <v>0</v>
      </c>
      <c r="BJ284" s="186">
        <v>0</v>
      </c>
      <c r="BK284" s="186">
        <v>0</v>
      </c>
      <c r="BL284" s="186">
        <v>0</v>
      </c>
      <c r="BM284" s="187">
        <v>0</v>
      </c>
      <c r="BN284" s="188">
        <v>0</v>
      </c>
      <c r="BO284" s="188">
        <v>0</v>
      </c>
      <c r="BP284" s="188">
        <v>0</v>
      </c>
      <c r="BQ284" s="188">
        <v>0</v>
      </c>
      <c r="BR284" s="188">
        <v>0</v>
      </c>
      <c r="BS284" s="188">
        <v>0</v>
      </c>
      <c r="BT284" s="188">
        <v>0</v>
      </c>
      <c r="BU284" s="150">
        <v>4347822882</v>
      </c>
      <c r="BW284" s="255">
        <f t="shared" si="64"/>
        <v>0</v>
      </c>
      <c r="BX284" s="255">
        <f t="shared" si="65"/>
        <v>0</v>
      </c>
      <c r="BY284" s="255">
        <f t="shared" si="66"/>
        <v>0</v>
      </c>
      <c r="BZ284" s="255">
        <f t="shared" si="67"/>
        <v>0</v>
      </c>
      <c r="CA284" s="255">
        <f t="shared" si="68"/>
        <v>0</v>
      </c>
      <c r="CB284" s="255">
        <f t="shared" si="69"/>
        <v>4187849413</v>
      </c>
      <c r="CC284" s="255">
        <f t="shared" si="70"/>
        <v>6831261</v>
      </c>
      <c r="CD284" s="255">
        <f t="shared" si="71"/>
        <v>0</v>
      </c>
      <c r="CG284" s="255"/>
    </row>
    <row r="285" spans="1:85">
      <c r="A285" s="110" t="s">
        <v>5103</v>
      </c>
      <c r="B285" s="150" t="s">
        <v>304</v>
      </c>
      <c r="C285" s="2123" t="s">
        <v>246</v>
      </c>
      <c r="D285" s="150">
        <v>21600</v>
      </c>
      <c r="E285" s="153">
        <v>1629863166</v>
      </c>
      <c r="F285" s="154">
        <v>1629863166</v>
      </c>
      <c r="G285" s="154">
        <v>0</v>
      </c>
      <c r="H285" s="154">
        <v>0</v>
      </c>
      <c r="I285" s="154">
        <v>0</v>
      </c>
      <c r="J285" s="154">
        <v>0</v>
      </c>
      <c r="K285" s="154">
        <v>0</v>
      </c>
      <c r="L285" s="154">
        <v>0</v>
      </c>
      <c r="M285" s="155">
        <v>871445034</v>
      </c>
      <c r="N285" s="156">
        <v>0</v>
      </c>
      <c r="O285" s="156">
        <v>0</v>
      </c>
      <c r="P285" s="156">
        <v>0</v>
      </c>
      <c r="Q285" s="156">
        <v>0</v>
      </c>
      <c r="R285" s="156">
        <v>162159268</v>
      </c>
      <c r="S285" s="156">
        <v>0</v>
      </c>
      <c r="T285" s="156">
        <v>9857973</v>
      </c>
      <c r="U285" s="156">
        <v>0</v>
      </c>
      <c r="V285" s="156">
        <v>178852127</v>
      </c>
      <c r="W285" s="156">
        <v>12553347</v>
      </c>
      <c r="X285" s="156">
        <v>20481143</v>
      </c>
      <c r="Y285" s="156">
        <v>4055579</v>
      </c>
      <c r="Z285" s="156">
        <v>83346992</v>
      </c>
      <c r="AA285" s="156">
        <v>0</v>
      </c>
      <c r="AB285" s="156">
        <v>184226018</v>
      </c>
      <c r="AC285" s="156">
        <v>270115</v>
      </c>
      <c r="AD285" s="156">
        <v>75781126</v>
      </c>
      <c r="AE285" s="156">
        <v>0</v>
      </c>
      <c r="AF285" s="156">
        <v>0</v>
      </c>
      <c r="AG285" s="156">
        <v>0</v>
      </c>
      <c r="AH285" s="156">
        <v>0</v>
      </c>
      <c r="AI285" s="156">
        <v>0</v>
      </c>
      <c r="AJ285" s="156">
        <v>0</v>
      </c>
      <c r="AK285" s="156">
        <v>0</v>
      </c>
      <c r="AL285" s="156">
        <v>126817852</v>
      </c>
      <c r="AM285" s="156">
        <v>0</v>
      </c>
      <c r="AN285" s="156">
        <v>13043494</v>
      </c>
      <c r="AO285" s="150">
        <v>758418132</v>
      </c>
      <c r="AP285" s="159">
        <v>1470021</v>
      </c>
      <c r="AQ285" s="160">
        <v>216586</v>
      </c>
      <c r="AR285" s="160">
        <v>948190</v>
      </c>
      <c r="AS285" s="160">
        <v>0</v>
      </c>
      <c r="AT285" s="160">
        <v>0</v>
      </c>
      <c r="AU285" s="160">
        <v>221920</v>
      </c>
      <c r="AV285" s="160">
        <v>0</v>
      </c>
      <c r="AW285" s="160">
        <v>0</v>
      </c>
      <c r="AX285" s="160">
        <v>103</v>
      </c>
      <c r="AY285" s="160">
        <v>0</v>
      </c>
      <c r="AZ285" s="160">
        <v>29987</v>
      </c>
      <c r="BA285" s="160">
        <v>23192</v>
      </c>
      <c r="BB285" s="160">
        <v>0</v>
      </c>
      <c r="BC285" s="160">
        <v>30043</v>
      </c>
      <c r="BD285" s="150">
        <v>756948111</v>
      </c>
      <c r="BE285" s="185">
        <v>0</v>
      </c>
      <c r="BF285" s="186">
        <v>0</v>
      </c>
      <c r="BG285" s="186">
        <v>0</v>
      </c>
      <c r="BH285" s="186">
        <v>0</v>
      </c>
      <c r="BI285" s="186">
        <v>0</v>
      </c>
      <c r="BJ285" s="186">
        <v>0</v>
      </c>
      <c r="BK285" s="186">
        <v>0</v>
      </c>
      <c r="BL285" s="186">
        <v>0</v>
      </c>
      <c r="BM285" s="187">
        <v>0</v>
      </c>
      <c r="BN285" s="188">
        <v>0</v>
      </c>
      <c r="BO285" s="188">
        <v>0</v>
      </c>
      <c r="BP285" s="188">
        <v>0</v>
      </c>
      <c r="BQ285" s="188">
        <v>0</v>
      </c>
      <c r="BR285" s="188">
        <v>0</v>
      </c>
      <c r="BS285" s="188">
        <v>0</v>
      </c>
      <c r="BT285" s="188">
        <v>0</v>
      </c>
      <c r="BU285" s="150">
        <v>756948111</v>
      </c>
      <c r="BW285" s="255">
        <f t="shared" si="64"/>
        <v>0</v>
      </c>
      <c r="BX285" s="255">
        <f t="shared" si="65"/>
        <v>0</v>
      </c>
      <c r="BY285" s="255">
        <f t="shared" si="66"/>
        <v>0</v>
      </c>
      <c r="BZ285" s="255">
        <f t="shared" si="67"/>
        <v>0</v>
      </c>
      <c r="CA285" s="255">
        <f t="shared" si="68"/>
        <v>139861346</v>
      </c>
      <c r="CB285" s="255">
        <f t="shared" si="69"/>
        <v>33034490</v>
      </c>
      <c r="CC285" s="255">
        <f t="shared" si="70"/>
        <v>184226018</v>
      </c>
      <c r="CD285" s="255">
        <f t="shared" si="71"/>
        <v>216586</v>
      </c>
      <c r="CG285" s="255"/>
    </row>
    <row r="286" spans="1:85">
      <c r="A286" s="110" t="s">
        <v>5103</v>
      </c>
      <c r="B286" s="150" t="s">
        <v>305</v>
      </c>
      <c r="C286" s="2123" t="s">
        <v>246</v>
      </c>
      <c r="D286" s="150">
        <v>72404</v>
      </c>
      <c r="E286" s="153">
        <v>41975112</v>
      </c>
      <c r="F286" s="154">
        <v>41975112</v>
      </c>
      <c r="G286" s="154">
        <v>0</v>
      </c>
      <c r="H286" s="154">
        <v>0</v>
      </c>
      <c r="I286" s="154">
        <v>0</v>
      </c>
      <c r="J286" s="154">
        <v>0</v>
      </c>
      <c r="K286" s="154">
        <v>0</v>
      </c>
      <c r="L286" s="154">
        <v>0</v>
      </c>
      <c r="M286" s="155">
        <v>440384490</v>
      </c>
      <c r="N286" s="156">
        <v>0</v>
      </c>
      <c r="O286" s="156">
        <v>0</v>
      </c>
      <c r="P286" s="156">
        <v>0</v>
      </c>
      <c r="Q286" s="156">
        <v>0</v>
      </c>
      <c r="R286" s="156">
        <v>37135942</v>
      </c>
      <c r="S286" s="156">
        <v>0</v>
      </c>
      <c r="T286" s="156">
        <v>1954305</v>
      </c>
      <c r="U286" s="156">
        <v>0</v>
      </c>
      <c r="V286" s="156">
        <v>97640295</v>
      </c>
      <c r="W286" s="156">
        <v>0</v>
      </c>
      <c r="X286" s="156">
        <v>2624860</v>
      </c>
      <c r="Y286" s="156">
        <v>0</v>
      </c>
      <c r="Z286" s="156">
        <v>2137807</v>
      </c>
      <c r="AA286" s="156">
        <v>0</v>
      </c>
      <c r="AB286" s="156">
        <v>112480962</v>
      </c>
      <c r="AC286" s="156">
        <v>0</v>
      </c>
      <c r="AD286" s="156">
        <v>17354495</v>
      </c>
      <c r="AE286" s="156">
        <v>0</v>
      </c>
      <c r="AF286" s="156">
        <v>0</v>
      </c>
      <c r="AG286" s="156">
        <v>0</v>
      </c>
      <c r="AH286" s="156">
        <v>0</v>
      </c>
      <c r="AI286" s="156">
        <v>0</v>
      </c>
      <c r="AJ286" s="156">
        <v>0</v>
      </c>
      <c r="AK286" s="156">
        <v>0</v>
      </c>
      <c r="AL286" s="156">
        <v>165669640</v>
      </c>
      <c r="AM286" s="156">
        <v>0</v>
      </c>
      <c r="AN286" s="156">
        <v>3386184</v>
      </c>
      <c r="AO286" s="150">
        <v>-398409378</v>
      </c>
      <c r="AP286" s="159">
        <v>269224</v>
      </c>
      <c r="AQ286" s="160">
        <v>161610</v>
      </c>
      <c r="AR286" s="160">
        <v>101546</v>
      </c>
      <c r="AS286" s="160">
        <v>0</v>
      </c>
      <c r="AT286" s="160">
        <v>0</v>
      </c>
      <c r="AU286" s="160">
        <v>5879</v>
      </c>
      <c r="AV286" s="160">
        <v>0</v>
      </c>
      <c r="AW286" s="160">
        <v>0</v>
      </c>
      <c r="AX286" s="160">
        <v>1</v>
      </c>
      <c r="AY286" s="160">
        <v>0</v>
      </c>
      <c r="AZ286" s="160">
        <v>0</v>
      </c>
      <c r="BA286" s="160">
        <v>0</v>
      </c>
      <c r="BB286" s="160">
        <v>0</v>
      </c>
      <c r="BC286" s="160">
        <v>188</v>
      </c>
      <c r="BD286" s="150">
        <v>-398678602</v>
      </c>
      <c r="BE286" s="185">
        <v>0</v>
      </c>
      <c r="BF286" s="186">
        <v>0</v>
      </c>
      <c r="BG286" s="186">
        <v>0</v>
      </c>
      <c r="BH286" s="186">
        <v>0</v>
      </c>
      <c r="BI286" s="186">
        <v>0</v>
      </c>
      <c r="BJ286" s="186">
        <v>0</v>
      </c>
      <c r="BK286" s="186">
        <v>0</v>
      </c>
      <c r="BL286" s="186">
        <v>0</v>
      </c>
      <c r="BM286" s="187">
        <v>0</v>
      </c>
      <c r="BN286" s="188">
        <v>0</v>
      </c>
      <c r="BO286" s="188">
        <v>0</v>
      </c>
      <c r="BP286" s="188">
        <v>0</v>
      </c>
      <c r="BQ286" s="188">
        <v>0</v>
      </c>
      <c r="BR286" s="188">
        <v>0</v>
      </c>
      <c r="BS286" s="188">
        <v>0</v>
      </c>
      <c r="BT286" s="188">
        <v>0</v>
      </c>
      <c r="BU286" s="150">
        <v>-398678602</v>
      </c>
      <c r="BW286" s="255">
        <f t="shared" si="64"/>
        <v>0</v>
      </c>
      <c r="BX286" s="255">
        <f t="shared" si="65"/>
        <v>0</v>
      </c>
      <c r="BY286" s="255">
        <f t="shared" si="66"/>
        <v>0</v>
      </c>
      <c r="BZ286" s="255">
        <f t="shared" si="67"/>
        <v>0</v>
      </c>
      <c r="CA286" s="255">
        <f t="shared" si="68"/>
        <v>169055824</v>
      </c>
      <c r="CB286" s="255">
        <f t="shared" si="69"/>
        <v>2624860</v>
      </c>
      <c r="CC286" s="255">
        <f t="shared" si="70"/>
        <v>112480962</v>
      </c>
      <c r="CD286" s="255">
        <f t="shared" si="71"/>
        <v>161610</v>
      </c>
      <c r="CG286" s="255"/>
    </row>
    <row r="287" spans="1:85">
      <c r="A287" s="110" t="s">
        <v>5103</v>
      </c>
      <c r="B287" s="150" t="s">
        <v>306</v>
      </c>
      <c r="C287" s="2123" t="s">
        <v>246</v>
      </c>
      <c r="D287" s="150">
        <v>27939</v>
      </c>
      <c r="E287" s="153">
        <v>83752420</v>
      </c>
      <c r="F287" s="154">
        <v>83752420</v>
      </c>
      <c r="G287" s="154">
        <v>0</v>
      </c>
      <c r="H287" s="154">
        <v>0</v>
      </c>
      <c r="I287" s="154">
        <v>0</v>
      </c>
      <c r="J287" s="154">
        <v>0</v>
      </c>
      <c r="K287" s="154">
        <v>0</v>
      </c>
      <c r="L287" s="154">
        <v>0</v>
      </c>
      <c r="M287" s="155">
        <v>161542460</v>
      </c>
      <c r="N287" s="156">
        <v>0</v>
      </c>
      <c r="O287" s="156">
        <v>0</v>
      </c>
      <c r="P287" s="156">
        <v>0</v>
      </c>
      <c r="Q287" s="156">
        <v>0</v>
      </c>
      <c r="R287" s="156">
        <v>14398188</v>
      </c>
      <c r="S287" s="156">
        <v>0</v>
      </c>
      <c r="T287" s="156">
        <v>751756</v>
      </c>
      <c r="U287" s="156">
        <v>0</v>
      </c>
      <c r="V287" s="156">
        <v>37595428</v>
      </c>
      <c r="W287" s="156">
        <v>0</v>
      </c>
      <c r="X287" s="156">
        <v>1019818</v>
      </c>
      <c r="Y287" s="156">
        <v>0</v>
      </c>
      <c r="Z287" s="156">
        <v>771209</v>
      </c>
      <c r="AA287" s="156">
        <v>0</v>
      </c>
      <c r="AB287" s="156">
        <v>43035207</v>
      </c>
      <c r="AC287" s="156">
        <v>0</v>
      </c>
      <c r="AD287" s="156">
        <v>6609923</v>
      </c>
      <c r="AE287" s="156">
        <v>0</v>
      </c>
      <c r="AF287" s="156">
        <v>0</v>
      </c>
      <c r="AG287" s="156">
        <v>0</v>
      </c>
      <c r="AH287" s="156">
        <v>0</v>
      </c>
      <c r="AI287" s="156">
        <v>0</v>
      </c>
      <c r="AJ287" s="156">
        <v>0</v>
      </c>
      <c r="AK287" s="156">
        <v>0</v>
      </c>
      <c r="AL287" s="156">
        <v>55581051</v>
      </c>
      <c r="AM287" s="156">
        <v>0</v>
      </c>
      <c r="AN287" s="156">
        <v>1779880</v>
      </c>
      <c r="AO287" s="150">
        <v>-77790040</v>
      </c>
      <c r="AP287" s="159">
        <v>124797</v>
      </c>
      <c r="AQ287" s="160">
        <v>32610</v>
      </c>
      <c r="AR287" s="160">
        <v>47180</v>
      </c>
      <c r="AS287" s="160">
        <v>0</v>
      </c>
      <c r="AT287" s="160">
        <v>0</v>
      </c>
      <c r="AU287" s="160">
        <v>12072</v>
      </c>
      <c r="AV287" s="160">
        <v>0</v>
      </c>
      <c r="AW287" s="160">
        <v>0</v>
      </c>
      <c r="AX287" s="160">
        <v>3</v>
      </c>
      <c r="AY287" s="160">
        <v>0</v>
      </c>
      <c r="AZ287" s="160">
        <v>0</v>
      </c>
      <c r="BA287" s="160">
        <v>32583</v>
      </c>
      <c r="BB287" s="160">
        <v>0</v>
      </c>
      <c r="BC287" s="160">
        <v>349</v>
      </c>
      <c r="BD287" s="150">
        <v>-77914837</v>
      </c>
      <c r="BE287" s="185">
        <v>0</v>
      </c>
      <c r="BF287" s="186">
        <v>0</v>
      </c>
      <c r="BG287" s="186">
        <v>0</v>
      </c>
      <c r="BH287" s="186">
        <v>0</v>
      </c>
      <c r="BI287" s="186">
        <v>0</v>
      </c>
      <c r="BJ287" s="186">
        <v>0</v>
      </c>
      <c r="BK287" s="186">
        <v>0</v>
      </c>
      <c r="BL287" s="186">
        <v>0</v>
      </c>
      <c r="BM287" s="187">
        <v>0</v>
      </c>
      <c r="BN287" s="188">
        <v>0</v>
      </c>
      <c r="BO287" s="188">
        <v>0</v>
      </c>
      <c r="BP287" s="188">
        <v>0</v>
      </c>
      <c r="BQ287" s="188">
        <v>0</v>
      </c>
      <c r="BR287" s="188">
        <v>0</v>
      </c>
      <c r="BS287" s="188">
        <v>0</v>
      </c>
      <c r="BT287" s="188">
        <v>0</v>
      </c>
      <c r="BU287" s="150">
        <v>-77914837</v>
      </c>
      <c r="BW287" s="255">
        <f t="shared" si="64"/>
        <v>0</v>
      </c>
      <c r="BX287" s="255">
        <f t="shared" si="65"/>
        <v>0</v>
      </c>
      <c r="BY287" s="255">
        <f t="shared" si="66"/>
        <v>0</v>
      </c>
      <c r="BZ287" s="255">
        <f t="shared" si="67"/>
        <v>0</v>
      </c>
      <c r="CA287" s="255">
        <f t="shared" si="68"/>
        <v>57360931</v>
      </c>
      <c r="CB287" s="255">
        <f t="shared" si="69"/>
        <v>1019818</v>
      </c>
      <c r="CC287" s="255">
        <f t="shared" si="70"/>
        <v>43035207</v>
      </c>
      <c r="CD287" s="255">
        <f t="shared" si="71"/>
        <v>32610</v>
      </c>
      <c r="CG287" s="255"/>
    </row>
    <row r="288" spans="1:85">
      <c r="A288" s="110" t="s">
        <v>5103</v>
      </c>
      <c r="B288" s="150" t="s">
        <v>307</v>
      </c>
      <c r="C288" s="2123" t="s">
        <v>258</v>
      </c>
      <c r="D288" s="150">
        <v>454818.78399999999</v>
      </c>
      <c r="E288" s="153">
        <v>4669103070384</v>
      </c>
      <c r="F288" s="154">
        <v>4779350336122</v>
      </c>
      <c r="G288" s="154">
        <v>-38111027386</v>
      </c>
      <c r="H288" s="154">
        <v>-63672997247</v>
      </c>
      <c r="I288" s="154">
        <v>-311855355</v>
      </c>
      <c r="J288" s="154">
        <v>-8540981799</v>
      </c>
      <c r="K288" s="154">
        <v>389596049</v>
      </c>
      <c r="L288" s="154">
        <v>0</v>
      </c>
      <c r="M288" s="155">
        <v>4574934664268</v>
      </c>
      <c r="N288" s="156">
        <v>4226159511886</v>
      </c>
      <c r="O288" s="156">
        <v>16408192123</v>
      </c>
      <c r="P288" s="156">
        <v>-156166745</v>
      </c>
      <c r="Q288" s="156">
        <v>0</v>
      </c>
      <c r="R288" s="156">
        <v>33702069397</v>
      </c>
      <c r="S288" s="156">
        <v>0</v>
      </c>
      <c r="T288" s="156">
        <v>2512219499</v>
      </c>
      <c r="U288" s="156">
        <v>0</v>
      </c>
      <c r="V288" s="156">
        <v>28919545391</v>
      </c>
      <c r="W288" s="156">
        <v>36158085971</v>
      </c>
      <c r="X288" s="156">
        <v>11291176263</v>
      </c>
      <c r="Y288" s="156">
        <v>8276840049</v>
      </c>
      <c r="Z288" s="156">
        <v>17578234984</v>
      </c>
      <c r="AA288" s="156">
        <v>129134514</v>
      </c>
      <c r="AB288" s="156">
        <v>12042684548</v>
      </c>
      <c r="AC288" s="156">
        <v>3296039964</v>
      </c>
      <c r="AD288" s="156">
        <v>23224719481</v>
      </c>
      <c r="AE288" s="156">
        <v>-65811417359</v>
      </c>
      <c r="AF288" s="156">
        <v>215613329701</v>
      </c>
      <c r="AG288" s="156">
        <v>0</v>
      </c>
      <c r="AH288" s="156">
        <v>0</v>
      </c>
      <c r="AI288" s="156">
        <v>0</v>
      </c>
      <c r="AJ288" s="156">
        <v>0</v>
      </c>
      <c r="AK288" s="156">
        <v>0</v>
      </c>
      <c r="AL288" s="156">
        <v>-108897816</v>
      </c>
      <c r="AM288" s="156">
        <v>0</v>
      </c>
      <c r="AN288" s="156">
        <v>5699362417</v>
      </c>
      <c r="AO288" s="150">
        <v>94168406116</v>
      </c>
      <c r="AP288" s="159">
        <v>34336593601</v>
      </c>
      <c r="AQ288" s="160">
        <v>712485561</v>
      </c>
      <c r="AR288" s="160">
        <v>189558107</v>
      </c>
      <c r="AS288" s="160">
        <v>0</v>
      </c>
      <c r="AT288" s="160">
        <v>0</v>
      </c>
      <c r="AU288" s="160">
        <v>12045577914</v>
      </c>
      <c r="AV288" s="160">
        <v>508303945</v>
      </c>
      <c r="AW288" s="160">
        <v>0</v>
      </c>
      <c r="AX288" s="160">
        <v>49679377</v>
      </c>
      <c r="AY288" s="160">
        <v>3178649256</v>
      </c>
      <c r="AZ288" s="160">
        <v>1040946603</v>
      </c>
      <c r="BA288" s="160">
        <v>12057255411</v>
      </c>
      <c r="BB288" s="160">
        <v>33221205</v>
      </c>
      <c r="BC288" s="160">
        <v>4520916222</v>
      </c>
      <c r="BD288" s="150">
        <v>59831812515</v>
      </c>
      <c r="BE288" s="185">
        <v>46912588042</v>
      </c>
      <c r="BF288" s="186">
        <v>30374067110</v>
      </c>
      <c r="BG288" s="186">
        <v>2397050329</v>
      </c>
      <c r="BH288" s="186">
        <v>3880394391</v>
      </c>
      <c r="BI288" s="186">
        <v>3791451907</v>
      </c>
      <c r="BJ288" s="186">
        <v>244611709</v>
      </c>
      <c r="BK288" s="186">
        <v>6225012596</v>
      </c>
      <c r="BL288" s="186">
        <v>0</v>
      </c>
      <c r="BM288" s="187">
        <v>90715673565</v>
      </c>
      <c r="BN288" s="188">
        <v>64461832509</v>
      </c>
      <c r="BO288" s="188">
        <v>7031515369</v>
      </c>
      <c r="BP288" s="188">
        <v>9985810762</v>
      </c>
      <c r="BQ288" s="188">
        <v>5467828455</v>
      </c>
      <c r="BR288" s="188">
        <v>3527762171</v>
      </c>
      <c r="BS288" s="188">
        <v>240924299</v>
      </c>
      <c r="BT288" s="188">
        <v>0</v>
      </c>
      <c r="BU288" s="150">
        <v>16028726992</v>
      </c>
      <c r="BW288" s="255">
        <f t="shared" si="64"/>
        <v>-110247265738</v>
      </c>
      <c r="BX288" s="255">
        <f t="shared" si="65"/>
        <v>4226159511886</v>
      </c>
      <c r="BY288" s="255">
        <f t="shared" si="66"/>
        <v>149801912342</v>
      </c>
      <c r="BZ288" s="255">
        <f t="shared" si="67"/>
        <v>4375961424228</v>
      </c>
      <c r="CA288" s="255">
        <f t="shared" si="68"/>
        <v>5590464601</v>
      </c>
      <c r="CB288" s="255">
        <f t="shared" si="69"/>
        <v>47449262234</v>
      </c>
      <c r="CC288" s="255">
        <f t="shared" si="70"/>
        <v>12171819062</v>
      </c>
      <c r="CD288" s="255">
        <f t="shared" si="71"/>
        <v>712485561</v>
      </c>
      <c r="CG288" s="255"/>
    </row>
    <row r="289" spans="1:85">
      <c r="A289" s="110" t="s">
        <v>5103</v>
      </c>
      <c r="B289" s="150" t="s">
        <v>308</v>
      </c>
      <c r="C289" s="2123" t="s">
        <v>260</v>
      </c>
      <c r="D289" s="150">
        <v>844439.02</v>
      </c>
      <c r="E289" s="153">
        <v>2178654769</v>
      </c>
      <c r="F289" s="154">
        <v>2178654769</v>
      </c>
      <c r="G289" s="154">
        <v>0</v>
      </c>
      <c r="H289" s="154">
        <v>0</v>
      </c>
      <c r="I289" s="154">
        <v>0</v>
      </c>
      <c r="J289" s="154">
        <v>0</v>
      </c>
      <c r="K289" s="154">
        <v>0</v>
      </c>
      <c r="L289" s="154">
        <v>0</v>
      </c>
      <c r="M289" s="155">
        <v>941886698</v>
      </c>
      <c r="N289" s="156">
        <v>0</v>
      </c>
      <c r="O289" s="156">
        <v>0</v>
      </c>
      <c r="P289" s="156">
        <v>0</v>
      </c>
      <c r="Q289" s="156">
        <v>0</v>
      </c>
      <c r="R289" s="156">
        <v>412744059</v>
      </c>
      <c r="S289" s="156">
        <v>0</v>
      </c>
      <c r="T289" s="156">
        <v>36392039</v>
      </c>
      <c r="U289" s="156">
        <v>0</v>
      </c>
      <c r="V289" s="156">
        <v>94407801</v>
      </c>
      <c r="W289" s="156">
        <v>0</v>
      </c>
      <c r="X289" s="156">
        <v>637233</v>
      </c>
      <c r="Y289" s="156">
        <v>3270869</v>
      </c>
      <c r="Z289" s="156">
        <v>213578577</v>
      </c>
      <c r="AA289" s="156">
        <v>0</v>
      </c>
      <c r="AB289" s="156">
        <v>1955235</v>
      </c>
      <c r="AC289" s="156">
        <v>0</v>
      </c>
      <c r="AD289" s="156">
        <v>190620964</v>
      </c>
      <c r="AE289" s="156">
        <v>0</v>
      </c>
      <c r="AF289" s="156">
        <v>0</v>
      </c>
      <c r="AG289" s="156">
        <v>0</v>
      </c>
      <c r="AH289" s="156">
        <v>0</v>
      </c>
      <c r="AI289" s="156">
        <v>0</v>
      </c>
      <c r="AJ289" s="156">
        <v>0</v>
      </c>
      <c r="AK289" s="156">
        <v>0</v>
      </c>
      <c r="AL289" s="156">
        <v>-11720079</v>
      </c>
      <c r="AM289" s="156">
        <v>0</v>
      </c>
      <c r="AN289" s="156">
        <v>0</v>
      </c>
      <c r="AO289" s="150">
        <v>1236768071</v>
      </c>
      <c r="AP289" s="159">
        <v>3690470079</v>
      </c>
      <c r="AQ289" s="160">
        <v>3661074120</v>
      </c>
      <c r="AR289" s="160">
        <v>0</v>
      </c>
      <c r="AS289" s="160">
        <v>77389</v>
      </c>
      <c r="AT289" s="160">
        <v>0</v>
      </c>
      <c r="AU289" s="160">
        <v>24600719</v>
      </c>
      <c r="AV289" s="160">
        <v>0</v>
      </c>
      <c r="AW289" s="160">
        <v>0</v>
      </c>
      <c r="AX289" s="160">
        <v>283066</v>
      </c>
      <c r="AY289" s="160">
        <v>0</v>
      </c>
      <c r="AZ289" s="160">
        <v>0</v>
      </c>
      <c r="BA289" s="160">
        <v>3050344</v>
      </c>
      <c r="BB289" s="160">
        <v>0</v>
      </c>
      <c r="BC289" s="160">
        <v>1384441</v>
      </c>
      <c r="BD289" s="150">
        <v>-2453702008</v>
      </c>
      <c r="BE289" s="185">
        <v>0</v>
      </c>
      <c r="BF289" s="186">
        <v>0</v>
      </c>
      <c r="BG289" s="186">
        <v>0</v>
      </c>
      <c r="BH289" s="186">
        <v>0</v>
      </c>
      <c r="BI289" s="186">
        <v>0</v>
      </c>
      <c r="BJ289" s="186">
        <v>0</v>
      </c>
      <c r="BK289" s="186">
        <v>0</v>
      </c>
      <c r="BL289" s="186">
        <v>0</v>
      </c>
      <c r="BM289" s="187">
        <v>0</v>
      </c>
      <c r="BN289" s="188">
        <v>0</v>
      </c>
      <c r="BO289" s="188">
        <v>0</v>
      </c>
      <c r="BP289" s="188">
        <v>0</v>
      </c>
      <c r="BQ289" s="188">
        <v>0</v>
      </c>
      <c r="BR289" s="188">
        <v>0</v>
      </c>
      <c r="BS289" s="188">
        <v>0</v>
      </c>
      <c r="BT289" s="188">
        <v>0</v>
      </c>
      <c r="BU289" s="150">
        <v>-2453702008</v>
      </c>
      <c r="BW289" s="255">
        <f t="shared" si="64"/>
        <v>0</v>
      </c>
      <c r="BX289" s="255">
        <f t="shared" si="65"/>
        <v>0</v>
      </c>
      <c r="BY289" s="255">
        <f t="shared" si="66"/>
        <v>0</v>
      </c>
      <c r="BZ289" s="255">
        <f t="shared" si="67"/>
        <v>0</v>
      </c>
      <c r="CA289" s="255">
        <f t="shared" si="68"/>
        <v>-11720079</v>
      </c>
      <c r="CB289" s="255">
        <f t="shared" si="69"/>
        <v>637233</v>
      </c>
      <c r="CC289" s="255">
        <f t="shared" si="70"/>
        <v>1955235</v>
      </c>
      <c r="CD289" s="255">
        <f t="shared" si="71"/>
        <v>3661074120</v>
      </c>
      <c r="CG289" s="255"/>
    </row>
    <row r="290" spans="1:85">
      <c r="A290" s="110" t="s">
        <v>5103</v>
      </c>
      <c r="B290" s="150" t="s">
        <v>309</v>
      </c>
      <c r="C290" s="2123" t="s">
        <v>262</v>
      </c>
      <c r="D290" s="150">
        <v>24624000</v>
      </c>
      <c r="E290" s="153">
        <v>1625323251748</v>
      </c>
      <c r="F290" s="154">
        <v>1621232212172</v>
      </c>
      <c r="G290" s="154">
        <v>1312786912</v>
      </c>
      <c r="H290" s="154">
        <v>2724156465</v>
      </c>
      <c r="I290" s="154">
        <v>-20556422</v>
      </c>
      <c r="J290" s="154">
        <v>0</v>
      </c>
      <c r="K290" s="154">
        <v>74652621</v>
      </c>
      <c r="L290" s="154">
        <v>0</v>
      </c>
      <c r="M290" s="155">
        <v>1554094186102</v>
      </c>
      <c r="N290" s="156">
        <v>1561445252452</v>
      </c>
      <c r="O290" s="156">
        <v>190530721</v>
      </c>
      <c r="P290" s="156">
        <v>9264</v>
      </c>
      <c r="Q290" s="156">
        <v>0</v>
      </c>
      <c r="R290" s="156">
        <v>1609035198</v>
      </c>
      <c r="S290" s="156">
        <v>0</v>
      </c>
      <c r="T290" s="156">
        <v>128653678</v>
      </c>
      <c r="U290" s="156">
        <v>0</v>
      </c>
      <c r="V290" s="156">
        <v>884966954</v>
      </c>
      <c r="W290" s="156">
        <v>348289979</v>
      </c>
      <c r="X290" s="156">
        <v>348740281</v>
      </c>
      <c r="Y290" s="156">
        <v>138634704</v>
      </c>
      <c r="Z290" s="156">
        <v>358972571</v>
      </c>
      <c r="AA290" s="156">
        <v>308339</v>
      </c>
      <c r="AB290" s="156">
        <v>505591132</v>
      </c>
      <c r="AC290" s="156">
        <v>92176759</v>
      </c>
      <c r="AD290" s="156">
        <v>421090772</v>
      </c>
      <c r="AE290" s="156">
        <v>2027365779</v>
      </c>
      <c r="AF290" s="156">
        <v>-14162681692</v>
      </c>
      <c r="AG290" s="156">
        <v>0</v>
      </c>
      <c r="AH290" s="156">
        <v>0</v>
      </c>
      <c r="AI290" s="156">
        <v>0</v>
      </c>
      <c r="AJ290" s="156">
        <v>0</v>
      </c>
      <c r="AK290" s="156">
        <v>-88183350</v>
      </c>
      <c r="AL290" s="156">
        <v>-154567439</v>
      </c>
      <c r="AM290" s="156">
        <v>0</v>
      </c>
      <c r="AN290" s="156">
        <v>0</v>
      </c>
      <c r="AO290" s="150">
        <v>71229065646</v>
      </c>
      <c r="AP290" s="159">
        <v>11797523391</v>
      </c>
      <c r="AQ290" s="160">
        <v>49165300</v>
      </c>
      <c r="AR290" s="160">
        <v>100000</v>
      </c>
      <c r="AS290" s="160">
        <v>0</v>
      </c>
      <c r="AT290" s="160">
        <v>0</v>
      </c>
      <c r="AU290" s="160">
        <v>4173754462</v>
      </c>
      <c r="AV290" s="160">
        <v>175232353</v>
      </c>
      <c r="AW290" s="160">
        <v>0</v>
      </c>
      <c r="AX290" s="160">
        <v>17198066</v>
      </c>
      <c r="AY290" s="160">
        <v>1088652709</v>
      </c>
      <c r="AZ290" s="160">
        <v>380693439</v>
      </c>
      <c r="BA290" s="160">
        <v>4358280956</v>
      </c>
      <c r="BB290" s="160">
        <v>10150255</v>
      </c>
      <c r="BC290" s="160">
        <v>1544295851</v>
      </c>
      <c r="BD290" s="150">
        <v>59431542255</v>
      </c>
      <c r="BE290" s="185">
        <v>5479501040</v>
      </c>
      <c r="BF290" s="186">
        <v>4582207245</v>
      </c>
      <c r="BG290" s="186">
        <v>843670143</v>
      </c>
      <c r="BH290" s="186">
        <v>53622062</v>
      </c>
      <c r="BI290" s="186">
        <v>0</v>
      </c>
      <c r="BJ290" s="186">
        <v>0</v>
      </c>
      <c r="BK290" s="186">
        <v>1590</v>
      </c>
      <c r="BL290" s="186">
        <v>0</v>
      </c>
      <c r="BM290" s="187">
        <v>22942643289</v>
      </c>
      <c r="BN290" s="188">
        <v>18757560871</v>
      </c>
      <c r="BO290" s="188">
        <v>4169515407</v>
      </c>
      <c r="BP290" s="188">
        <v>15567011</v>
      </c>
      <c r="BQ290" s="188">
        <v>0</v>
      </c>
      <c r="BR290" s="188">
        <v>0</v>
      </c>
      <c r="BS290" s="188">
        <v>0</v>
      </c>
      <c r="BT290" s="188">
        <v>0</v>
      </c>
      <c r="BU290" s="150">
        <v>41968400006</v>
      </c>
      <c r="BW290" s="255">
        <f t="shared" si="64"/>
        <v>4091039576</v>
      </c>
      <c r="BX290" s="255">
        <f t="shared" si="65"/>
        <v>1561445252452</v>
      </c>
      <c r="BY290" s="255">
        <f t="shared" si="66"/>
        <v>-12223499263</v>
      </c>
      <c r="BZ290" s="255">
        <f t="shared" si="67"/>
        <v>1549221753189</v>
      </c>
      <c r="CA290" s="255">
        <f t="shared" si="68"/>
        <v>-154567439</v>
      </c>
      <c r="CB290" s="255">
        <f t="shared" si="69"/>
        <v>697030260</v>
      </c>
      <c r="CC290" s="255">
        <f t="shared" si="70"/>
        <v>505899471</v>
      </c>
      <c r="CD290" s="255">
        <f t="shared" si="71"/>
        <v>49165300</v>
      </c>
      <c r="CG290" s="255"/>
    </row>
    <row r="291" spans="1:85">
      <c r="A291" s="110" t="s">
        <v>5103</v>
      </c>
      <c r="B291" s="150" t="s">
        <v>310</v>
      </c>
      <c r="C291" s="2123" t="s">
        <v>264</v>
      </c>
      <c r="D291" s="150">
        <v>447318831</v>
      </c>
      <c r="E291" s="153">
        <v>423015368863</v>
      </c>
      <c r="F291" s="154">
        <v>422242361138</v>
      </c>
      <c r="G291" s="154">
        <v>1121261219</v>
      </c>
      <c r="H291" s="154">
        <v>-360944824</v>
      </c>
      <c r="I291" s="154">
        <v>-9810000</v>
      </c>
      <c r="J291" s="154">
        <v>0</v>
      </c>
      <c r="K291" s="154">
        <v>22501330</v>
      </c>
      <c r="L291" s="154">
        <v>0</v>
      </c>
      <c r="M291" s="155">
        <v>393435807250</v>
      </c>
      <c r="N291" s="156">
        <v>384449072607</v>
      </c>
      <c r="O291" s="156">
        <v>185301262</v>
      </c>
      <c r="P291" s="156">
        <v>4242</v>
      </c>
      <c r="Q291" s="156">
        <v>0</v>
      </c>
      <c r="R291" s="156">
        <v>1581087173</v>
      </c>
      <c r="S291" s="156">
        <v>0</v>
      </c>
      <c r="T291" s="156">
        <v>118822374</v>
      </c>
      <c r="U291" s="156">
        <v>0</v>
      </c>
      <c r="V291" s="156">
        <v>1097885509</v>
      </c>
      <c r="W291" s="156">
        <v>388883778</v>
      </c>
      <c r="X291" s="156">
        <v>351870357</v>
      </c>
      <c r="Y291" s="156">
        <v>131889886</v>
      </c>
      <c r="Z291" s="156">
        <v>545849502</v>
      </c>
      <c r="AA291" s="156">
        <v>158338</v>
      </c>
      <c r="AB291" s="156">
        <v>715640314</v>
      </c>
      <c r="AC291" s="156">
        <v>175396059</v>
      </c>
      <c r="AD291" s="156">
        <v>484856527</v>
      </c>
      <c r="AE291" s="156">
        <v>-3171476422</v>
      </c>
      <c r="AF291" s="156">
        <v>6418433564</v>
      </c>
      <c r="AG291" s="156">
        <v>0</v>
      </c>
      <c r="AH291" s="156">
        <v>0</v>
      </c>
      <c r="AI291" s="156">
        <v>0</v>
      </c>
      <c r="AJ291" s="156">
        <v>0</v>
      </c>
      <c r="AK291" s="156">
        <v>0</v>
      </c>
      <c r="AL291" s="156">
        <v>-44877633</v>
      </c>
      <c r="AM291" s="156">
        <v>0</v>
      </c>
      <c r="AN291" s="156">
        <v>7009813</v>
      </c>
      <c r="AO291" s="150">
        <v>29579561613</v>
      </c>
      <c r="AP291" s="159">
        <v>3231067026</v>
      </c>
      <c r="AQ291" s="160">
        <v>63457720</v>
      </c>
      <c r="AR291" s="160">
        <v>19004970</v>
      </c>
      <c r="AS291" s="160">
        <v>0</v>
      </c>
      <c r="AT291" s="160">
        <v>0</v>
      </c>
      <c r="AU291" s="160">
        <v>1061134233</v>
      </c>
      <c r="AV291" s="160">
        <v>44843019</v>
      </c>
      <c r="AW291" s="160">
        <v>0</v>
      </c>
      <c r="AX291" s="160">
        <v>4401630</v>
      </c>
      <c r="AY291" s="160">
        <v>278152287</v>
      </c>
      <c r="AZ291" s="160">
        <v>97588000</v>
      </c>
      <c r="BA291" s="160">
        <v>1258427045</v>
      </c>
      <c r="BB291" s="160">
        <v>2405157</v>
      </c>
      <c r="BC291" s="160">
        <v>401652965</v>
      </c>
      <c r="BD291" s="150">
        <v>26348494587</v>
      </c>
      <c r="BE291" s="185">
        <v>1217856225</v>
      </c>
      <c r="BF291" s="186">
        <v>870503468</v>
      </c>
      <c r="BG291" s="186">
        <v>330551129</v>
      </c>
      <c r="BH291" s="186">
        <v>16801628</v>
      </c>
      <c r="BI291" s="186">
        <v>0</v>
      </c>
      <c r="BJ291" s="186">
        <v>0</v>
      </c>
      <c r="BK291" s="186">
        <v>0</v>
      </c>
      <c r="BL291" s="186">
        <v>0</v>
      </c>
      <c r="BM291" s="187">
        <v>4588247193</v>
      </c>
      <c r="BN291" s="188">
        <v>3628585948</v>
      </c>
      <c r="BO291" s="188">
        <v>937053836</v>
      </c>
      <c r="BP291" s="188">
        <v>22607409</v>
      </c>
      <c r="BQ291" s="188">
        <v>0</v>
      </c>
      <c r="BR291" s="188">
        <v>0</v>
      </c>
      <c r="BS291" s="188">
        <v>0</v>
      </c>
      <c r="BT291" s="188">
        <v>0</v>
      </c>
      <c r="BU291" s="150">
        <v>22978103619</v>
      </c>
      <c r="BW291" s="255">
        <f t="shared" si="64"/>
        <v>773007725</v>
      </c>
      <c r="BX291" s="255">
        <f t="shared" si="65"/>
        <v>384449072607</v>
      </c>
      <c r="BY291" s="255">
        <f t="shared" si="66"/>
        <v>3246957142</v>
      </c>
      <c r="BZ291" s="255">
        <f t="shared" si="67"/>
        <v>387696029749</v>
      </c>
      <c r="CA291" s="255">
        <f t="shared" si="68"/>
        <v>-37867820</v>
      </c>
      <c r="CB291" s="255">
        <f t="shared" si="69"/>
        <v>740754135</v>
      </c>
      <c r="CC291" s="255">
        <f t="shared" si="70"/>
        <v>715798652</v>
      </c>
      <c r="CD291" s="255">
        <f t="shared" si="71"/>
        <v>63457720</v>
      </c>
      <c r="CG291" s="255"/>
    </row>
    <row r="292" spans="1:85">
      <c r="A292" s="110" t="s">
        <v>5103</v>
      </c>
      <c r="B292" s="150" t="s">
        <v>311</v>
      </c>
      <c r="C292" s="2123" t="s">
        <v>266</v>
      </c>
      <c r="D292" s="150">
        <v>153974.39999999999</v>
      </c>
      <c r="E292" s="153">
        <v>6344804645</v>
      </c>
      <c r="F292" s="154">
        <v>6344804645</v>
      </c>
      <c r="G292" s="154">
        <v>0</v>
      </c>
      <c r="H292" s="154">
        <v>0</v>
      </c>
      <c r="I292" s="154">
        <v>0</v>
      </c>
      <c r="J292" s="154">
        <v>0</v>
      </c>
      <c r="K292" s="154">
        <v>0</v>
      </c>
      <c r="L292" s="154">
        <v>0</v>
      </c>
      <c r="M292" s="155">
        <v>3698142444</v>
      </c>
      <c r="N292" s="156">
        <v>3319219006</v>
      </c>
      <c r="O292" s="156">
        <v>1893163</v>
      </c>
      <c r="P292" s="156">
        <v>753</v>
      </c>
      <c r="Q292" s="156">
        <v>0</v>
      </c>
      <c r="R292" s="156">
        <v>15390621</v>
      </c>
      <c r="S292" s="156">
        <v>0</v>
      </c>
      <c r="T292" s="156">
        <v>1522658</v>
      </c>
      <c r="U292" s="156">
        <v>0</v>
      </c>
      <c r="V292" s="156">
        <v>28609510</v>
      </c>
      <c r="W292" s="156">
        <v>2143671</v>
      </c>
      <c r="X292" s="156">
        <v>2632019</v>
      </c>
      <c r="Y292" s="156">
        <v>1805278</v>
      </c>
      <c r="Z292" s="156">
        <v>13262037</v>
      </c>
      <c r="AA292" s="156">
        <v>69904</v>
      </c>
      <c r="AB292" s="156">
        <v>6750107</v>
      </c>
      <c r="AC292" s="156">
        <v>489692</v>
      </c>
      <c r="AD292" s="156">
        <v>8018449</v>
      </c>
      <c r="AE292" s="156">
        <v>0</v>
      </c>
      <c r="AF292" s="156">
        <v>282053230</v>
      </c>
      <c r="AG292" s="156">
        <v>0</v>
      </c>
      <c r="AH292" s="156">
        <v>0</v>
      </c>
      <c r="AI292" s="156">
        <v>0</v>
      </c>
      <c r="AJ292" s="156">
        <v>0</v>
      </c>
      <c r="AK292" s="156">
        <v>0</v>
      </c>
      <c r="AL292" s="156">
        <v>14282346</v>
      </c>
      <c r="AM292" s="156">
        <v>0</v>
      </c>
      <c r="AN292" s="156">
        <v>0</v>
      </c>
      <c r="AO292" s="150">
        <v>2646662201</v>
      </c>
      <c r="AP292" s="159">
        <v>8034731</v>
      </c>
      <c r="AQ292" s="160">
        <v>0</v>
      </c>
      <c r="AR292" s="160">
        <v>0</v>
      </c>
      <c r="AS292" s="160">
        <v>0</v>
      </c>
      <c r="AT292" s="160">
        <v>0</v>
      </c>
      <c r="AU292" s="160">
        <v>869265</v>
      </c>
      <c r="AV292" s="160">
        <v>0</v>
      </c>
      <c r="AW292" s="160">
        <v>0</v>
      </c>
      <c r="AX292" s="160">
        <v>424</v>
      </c>
      <c r="AY292" s="160">
        <v>0</v>
      </c>
      <c r="AZ292" s="160">
        <v>132951</v>
      </c>
      <c r="BA292" s="160">
        <v>6942456</v>
      </c>
      <c r="BB292" s="160">
        <v>0</v>
      </c>
      <c r="BC292" s="160">
        <v>89635</v>
      </c>
      <c r="BD292" s="150">
        <v>2638627470</v>
      </c>
      <c r="BE292" s="185">
        <v>0</v>
      </c>
      <c r="BF292" s="186">
        <v>0</v>
      </c>
      <c r="BG292" s="186">
        <v>0</v>
      </c>
      <c r="BH292" s="186">
        <v>0</v>
      </c>
      <c r="BI292" s="186">
        <v>0</v>
      </c>
      <c r="BJ292" s="186">
        <v>0</v>
      </c>
      <c r="BK292" s="186">
        <v>0</v>
      </c>
      <c r="BL292" s="186">
        <v>0</v>
      </c>
      <c r="BM292" s="187">
        <v>0</v>
      </c>
      <c r="BN292" s="188">
        <v>0</v>
      </c>
      <c r="BO292" s="188">
        <v>0</v>
      </c>
      <c r="BP292" s="188">
        <v>0</v>
      </c>
      <c r="BQ292" s="188">
        <v>0</v>
      </c>
      <c r="BR292" s="188">
        <v>0</v>
      </c>
      <c r="BS292" s="188">
        <v>0</v>
      </c>
      <c r="BT292" s="188">
        <v>0</v>
      </c>
      <c r="BU292" s="150">
        <v>2638627470</v>
      </c>
      <c r="BW292" s="255">
        <f t="shared" si="64"/>
        <v>0</v>
      </c>
      <c r="BX292" s="255">
        <f t="shared" si="65"/>
        <v>3319219006</v>
      </c>
      <c r="BY292" s="255">
        <f t="shared" si="66"/>
        <v>282053230</v>
      </c>
      <c r="BZ292" s="255">
        <f t="shared" si="67"/>
        <v>3601272236</v>
      </c>
      <c r="CA292" s="255">
        <f t="shared" si="68"/>
        <v>14282346</v>
      </c>
      <c r="CB292" s="255">
        <f t="shared" si="69"/>
        <v>4775690</v>
      </c>
      <c r="CC292" s="255">
        <f t="shared" si="70"/>
        <v>6820011</v>
      </c>
      <c r="CD292" s="255">
        <f t="shared" si="71"/>
        <v>0</v>
      </c>
      <c r="CG292" s="255"/>
    </row>
    <row r="293" spans="1:85">
      <c r="A293" s="110" t="s">
        <v>5103</v>
      </c>
      <c r="B293" s="150" t="s">
        <v>312</v>
      </c>
      <c r="C293" s="2123" t="s">
        <v>268</v>
      </c>
      <c r="D293" s="150">
        <v>1195656.3</v>
      </c>
      <c r="E293" s="153">
        <v>110794403028</v>
      </c>
      <c r="F293" s="154">
        <v>110794403028</v>
      </c>
      <c r="G293" s="154">
        <v>0</v>
      </c>
      <c r="H293" s="154">
        <v>0</v>
      </c>
      <c r="I293" s="154">
        <v>0</v>
      </c>
      <c r="J293" s="154">
        <v>0</v>
      </c>
      <c r="K293" s="154">
        <v>0</v>
      </c>
      <c r="L293" s="154">
        <v>0</v>
      </c>
      <c r="M293" s="155">
        <v>57213249586</v>
      </c>
      <c r="N293" s="156">
        <v>56380534883</v>
      </c>
      <c r="O293" s="156">
        <v>23683505</v>
      </c>
      <c r="P293" s="156">
        <v>3069</v>
      </c>
      <c r="Q293" s="156">
        <v>0</v>
      </c>
      <c r="R293" s="156">
        <v>180584313</v>
      </c>
      <c r="S293" s="156">
        <v>0</v>
      </c>
      <c r="T293" s="156">
        <v>18821196</v>
      </c>
      <c r="U293" s="156">
        <v>0</v>
      </c>
      <c r="V293" s="156">
        <v>134564480</v>
      </c>
      <c r="W293" s="156">
        <v>28852759</v>
      </c>
      <c r="X293" s="156">
        <v>41888218</v>
      </c>
      <c r="Y293" s="156">
        <v>19384940</v>
      </c>
      <c r="Z293" s="156">
        <v>43249256</v>
      </c>
      <c r="AA293" s="156">
        <v>0</v>
      </c>
      <c r="AB293" s="156">
        <v>77048327</v>
      </c>
      <c r="AC293" s="156">
        <v>6157992</v>
      </c>
      <c r="AD293" s="156">
        <v>60274489</v>
      </c>
      <c r="AE293" s="156">
        <v>0</v>
      </c>
      <c r="AF293" s="156">
        <v>314565900</v>
      </c>
      <c r="AG293" s="156">
        <v>0</v>
      </c>
      <c r="AH293" s="156">
        <v>0</v>
      </c>
      <c r="AI293" s="156">
        <v>0</v>
      </c>
      <c r="AJ293" s="156">
        <v>0</v>
      </c>
      <c r="AK293" s="156">
        <v>0</v>
      </c>
      <c r="AL293" s="156">
        <v>-116363741</v>
      </c>
      <c r="AM293" s="156">
        <v>0</v>
      </c>
      <c r="AN293" s="156">
        <v>0</v>
      </c>
      <c r="AO293" s="150">
        <v>53581153442</v>
      </c>
      <c r="AP293" s="159">
        <v>112624089</v>
      </c>
      <c r="AQ293" s="160">
        <v>2615000</v>
      </c>
      <c r="AR293" s="160">
        <v>0</v>
      </c>
      <c r="AS293" s="160">
        <v>0</v>
      </c>
      <c r="AT293" s="160">
        <v>0</v>
      </c>
      <c r="AU293" s="160">
        <v>15372553</v>
      </c>
      <c r="AV293" s="160">
        <v>0</v>
      </c>
      <c r="AW293" s="160">
        <v>0</v>
      </c>
      <c r="AX293" s="160">
        <v>6880</v>
      </c>
      <c r="AY293" s="160">
        <v>0</v>
      </c>
      <c r="AZ293" s="160">
        <v>2146632</v>
      </c>
      <c r="BA293" s="160">
        <v>90697477</v>
      </c>
      <c r="BB293" s="160">
        <v>0</v>
      </c>
      <c r="BC293" s="160">
        <v>1785547</v>
      </c>
      <c r="BD293" s="150">
        <v>53468529353</v>
      </c>
      <c r="BE293" s="185">
        <v>0</v>
      </c>
      <c r="BF293" s="186">
        <v>0</v>
      </c>
      <c r="BG293" s="186">
        <v>0</v>
      </c>
      <c r="BH293" s="186">
        <v>0</v>
      </c>
      <c r="BI293" s="186">
        <v>0</v>
      </c>
      <c r="BJ293" s="186">
        <v>0</v>
      </c>
      <c r="BK293" s="186">
        <v>0</v>
      </c>
      <c r="BL293" s="186">
        <v>0</v>
      </c>
      <c r="BM293" s="187">
        <v>0</v>
      </c>
      <c r="BN293" s="188">
        <v>0</v>
      </c>
      <c r="BO293" s="188">
        <v>0</v>
      </c>
      <c r="BP293" s="188">
        <v>0</v>
      </c>
      <c r="BQ293" s="188">
        <v>0</v>
      </c>
      <c r="BR293" s="188">
        <v>0</v>
      </c>
      <c r="BS293" s="188">
        <v>0</v>
      </c>
      <c r="BT293" s="188">
        <v>0</v>
      </c>
      <c r="BU293" s="150">
        <v>53468529353</v>
      </c>
      <c r="BW293" s="255">
        <f t="shared" si="64"/>
        <v>0</v>
      </c>
      <c r="BX293" s="255">
        <f t="shared" si="65"/>
        <v>56380534883</v>
      </c>
      <c r="BY293" s="255">
        <f t="shared" si="66"/>
        <v>314565900</v>
      </c>
      <c r="BZ293" s="255">
        <f t="shared" si="67"/>
        <v>56695100783</v>
      </c>
      <c r="CA293" s="255">
        <f t="shared" si="68"/>
        <v>-116363741</v>
      </c>
      <c r="CB293" s="255">
        <f t="shared" si="69"/>
        <v>70740977</v>
      </c>
      <c r="CC293" s="255">
        <f t="shared" si="70"/>
        <v>77048327</v>
      </c>
      <c r="CD293" s="255">
        <f t="shared" si="71"/>
        <v>2615000</v>
      </c>
      <c r="CG293" s="255"/>
    </row>
    <row r="294" spans="1:85">
      <c r="A294" s="110" t="s">
        <v>5103</v>
      </c>
      <c r="B294" s="150" t="s">
        <v>313</v>
      </c>
      <c r="C294" s="2123" t="s">
        <v>246</v>
      </c>
      <c r="D294" s="150">
        <v>264250</v>
      </c>
      <c r="E294" s="153">
        <v>4404801835</v>
      </c>
      <c r="F294" s="154">
        <v>4404801835</v>
      </c>
      <c r="G294" s="154">
        <v>0</v>
      </c>
      <c r="H294" s="154">
        <v>0</v>
      </c>
      <c r="I294" s="154">
        <v>0</v>
      </c>
      <c r="J294" s="154">
        <v>0</v>
      </c>
      <c r="K294" s="154">
        <v>0</v>
      </c>
      <c r="L294" s="154">
        <v>0</v>
      </c>
      <c r="M294" s="155">
        <v>2734108682</v>
      </c>
      <c r="N294" s="156">
        <v>422401844</v>
      </c>
      <c r="O294" s="156">
        <v>0</v>
      </c>
      <c r="P294" s="156">
        <v>0</v>
      </c>
      <c r="Q294" s="156">
        <v>0</v>
      </c>
      <c r="R294" s="156">
        <v>552014489</v>
      </c>
      <c r="S294" s="156">
        <v>0</v>
      </c>
      <c r="T294" s="156">
        <v>30092943</v>
      </c>
      <c r="U294" s="156">
        <v>0</v>
      </c>
      <c r="V294" s="156">
        <v>578658047</v>
      </c>
      <c r="W294" s="156">
        <v>2533393</v>
      </c>
      <c r="X294" s="156">
        <v>37714098</v>
      </c>
      <c r="Y294" s="156">
        <v>0</v>
      </c>
      <c r="Z294" s="156">
        <v>402094615</v>
      </c>
      <c r="AA294" s="156">
        <v>0</v>
      </c>
      <c r="AB294" s="156">
        <v>116575962</v>
      </c>
      <c r="AC294" s="156">
        <v>22088530</v>
      </c>
      <c r="AD294" s="156">
        <v>385962498</v>
      </c>
      <c r="AE294" s="156">
        <v>0</v>
      </c>
      <c r="AF294" s="156">
        <v>80886862</v>
      </c>
      <c r="AG294" s="156">
        <v>0</v>
      </c>
      <c r="AH294" s="156">
        <v>0</v>
      </c>
      <c r="AI294" s="156">
        <v>0</v>
      </c>
      <c r="AJ294" s="156">
        <v>0</v>
      </c>
      <c r="AK294" s="156">
        <v>0</v>
      </c>
      <c r="AL294" s="156">
        <v>0</v>
      </c>
      <c r="AM294" s="156">
        <v>0</v>
      </c>
      <c r="AN294" s="156">
        <v>103085401</v>
      </c>
      <c r="AO294" s="150">
        <v>1670693153</v>
      </c>
      <c r="AP294" s="159">
        <v>15085009</v>
      </c>
      <c r="AQ294" s="160">
        <v>9893212</v>
      </c>
      <c r="AR294" s="160">
        <v>1917791</v>
      </c>
      <c r="AS294" s="160">
        <v>0</v>
      </c>
      <c r="AT294" s="160">
        <v>0</v>
      </c>
      <c r="AU294" s="160">
        <v>603969</v>
      </c>
      <c r="AV294" s="160">
        <v>0</v>
      </c>
      <c r="AW294" s="160">
        <v>0</v>
      </c>
      <c r="AX294" s="160">
        <v>236</v>
      </c>
      <c r="AY294" s="160">
        <v>0</v>
      </c>
      <c r="AZ294" s="160">
        <v>65454</v>
      </c>
      <c r="BA294" s="160">
        <v>2531771</v>
      </c>
      <c r="BB294" s="160">
        <v>0</v>
      </c>
      <c r="BC294" s="160">
        <v>72576</v>
      </c>
      <c r="BD294" s="150">
        <v>1655608144</v>
      </c>
      <c r="BE294" s="185">
        <v>56471760</v>
      </c>
      <c r="BF294" s="186">
        <v>0</v>
      </c>
      <c r="BG294" s="186">
        <v>0</v>
      </c>
      <c r="BH294" s="186">
        <v>0</v>
      </c>
      <c r="BI294" s="186">
        <v>0</v>
      </c>
      <c r="BJ294" s="186">
        <v>0</v>
      </c>
      <c r="BK294" s="186">
        <v>56471760</v>
      </c>
      <c r="BL294" s="186">
        <v>0</v>
      </c>
      <c r="BM294" s="187">
        <v>0</v>
      </c>
      <c r="BN294" s="188">
        <v>0</v>
      </c>
      <c r="BO294" s="188">
        <v>0</v>
      </c>
      <c r="BP294" s="188">
        <v>0</v>
      </c>
      <c r="BQ294" s="188">
        <v>0</v>
      </c>
      <c r="BR294" s="188">
        <v>0</v>
      </c>
      <c r="BS294" s="188">
        <v>0</v>
      </c>
      <c r="BT294" s="188">
        <v>0</v>
      </c>
      <c r="BU294" s="150">
        <v>1712079904</v>
      </c>
      <c r="BW294" s="255">
        <f t="shared" si="64"/>
        <v>0</v>
      </c>
      <c r="BX294" s="255">
        <f t="shared" si="65"/>
        <v>422401844</v>
      </c>
      <c r="BY294" s="255">
        <f t="shared" si="66"/>
        <v>80886862</v>
      </c>
      <c r="BZ294" s="255">
        <f t="shared" si="67"/>
        <v>503288706</v>
      </c>
      <c r="CA294" s="255">
        <f t="shared" si="68"/>
        <v>103085401</v>
      </c>
      <c r="CB294" s="255">
        <f t="shared" si="69"/>
        <v>40247491</v>
      </c>
      <c r="CC294" s="255">
        <f t="shared" si="70"/>
        <v>116575962</v>
      </c>
      <c r="CD294" s="255">
        <f t="shared" si="71"/>
        <v>9893212</v>
      </c>
      <c r="CG294" s="255"/>
    </row>
    <row r="295" spans="1:85">
      <c r="A295" s="110" t="s">
        <v>5103</v>
      </c>
      <c r="B295" s="150" t="s">
        <v>314</v>
      </c>
      <c r="C295" s="2123" t="s">
        <v>272</v>
      </c>
      <c r="D295" s="150">
        <v>1489756</v>
      </c>
      <c r="E295" s="153">
        <v>18611672498</v>
      </c>
      <c r="F295" s="154">
        <v>18611672498</v>
      </c>
      <c r="G295" s="154">
        <v>0</v>
      </c>
      <c r="H295" s="154">
        <v>0</v>
      </c>
      <c r="I295" s="154">
        <v>0</v>
      </c>
      <c r="J295" s="154">
        <v>0</v>
      </c>
      <c r="K295" s="154">
        <v>0</v>
      </c>
      <c r="L295" s="154">
        <v>0</v>
      </c>
      <c r="M295" s="155">
        <v>17537919037</v>
      </c>
      <c r="N295" s="156">
        <v>17537919037</v>
      </c>
      <c r="O295" s="156">
        <v>0</v>
      </c>
      <c r="P295" s="156">
        <v>0</v>
      </c>
      <c r="Q295" s="156">
        <v>0</v>
      </c>
      <c r="R295" s="156">
        <v>0</v>
      </c>
      <c r="S295" s="156">
        <v>0</v>
      </c>
      <c r="T295" s="156">
        <v>0</v>
      </c>
      <c r="U295" s="156">
        <v>0</v>
      </c>
      <c r="V295" s="156">
        <v>0</v>
      </c>
      <c r="W295" s="156">
        <v>0</v>
      </c>
      <c r="X295" s="156">
        <v>0</v>
      </c>
      <c r="Y295" s="156">
        <v>0</v>
      </c>
      <c r="Z295" s="156">
        <v>0</v>
      </c>
      <c r="AA295" s="156">
        <v>0</v>
      </c>
      <c r="AB295" s="156">
        <v>0</v>
      </c>
      <c r="AC295" s="156">
        <v>0</v>
      </c>
      <c r="AD295" s="156">
        <v>0</v>
      </c>
      <c r="AE295" s="156">
        <v>0</v>
      </c>
      <c r="AF295" s="156">
        <v>0</v>
      </c>
      <c r="AG295" s="156">
        <v>0</v>
      </c>
      <c r="AH295" s="156">
        <v>0</v>
      </c>
      <c r="AI295" s="156">
        <v>0</v>
      </c>
      <c r="AJ295" s="156">
        <v>0</v>
      </c>
      <c r="AK295" s="156">
        <v>0</v>
      </c>
      <c r="AL295" s="156">
        <v>0</v>
      </c>
      <c r="AM295" s="156">
        <v>0</v>
      </c>
      <c r="AN295" s="156">
        <v>0</v>
      </c>
      <c r="AO295" s="150">
        <v>1073753461</v>
      </c>
      <c r="AP295" s="159">
        <v>38480020</v>
      </c>
      <c r="AQ295" s="160">
        <v>32449709</v>
      </c>
      <c r="AR295" s="160">
        <v>78700</v>
      </c>
      <c r="AS295" s="160">
        <v>0</v>
      </c>
      <c r="AT295" s="160">
        <v>0</v>
      </c>
      <c r="AU295" s="160">
        <v>0</v>
      </c>
      <c r="AV295" s="160">
        <v>0</v>
      </c>
      <c r="AW295" s="160">
        <v>0</v>
      </c>
      <c r="AX295" s="160">
        <v>0</v>
      </c>
      <c r="AY295" s="160">
        <v>0</v>
      </c>
      <c r="AZ295" s="160">
        <v>0</v>
      </c>
      <c r="BA295" s="160">
        <v>5951611</v>
      </c>
      <c r="BB295" s="160">
        <v>0</v>
      </c>
      <c r="BC295" s="160">
        <v>0</v>
      </c>
      <c r="BD295" s="150">
        <v>1035273441</v>
      </c>
      <c r="BE295" s="185">
        <v>0</v>
      </c>
      <c r="BF295" s="186">
        <v>0</v>
      </c>
      <c r="BG295" s="186">
        <v>0</v>
      </c>
      <c r="BH295" s="186">
        <v>0</v>
      </c>
      <c r="BI295" s="186">
        <v>0</v>
      </c>
      <c r="BJ295" s="186">
        <v>0</v>
      </c>
      <c r="BK295" s="186">
        <v>0</v>
      </c>
      <c r="BL295" s="186">
        <v>0</v>
      </c>
      <c r="BM295" s="187">
        <v>0</v>
      </c>
      <c r="BN295" s="188">
        <v>0</v>
      </c>
      <c r="BO295" s="188">
        <v>0</v>
      </c>
      <c r="BP295" s="188">
        <v>0</v>
      </c>
      <c r="BQ295" s="188">
        <v>0</v>
      </c>
      <c r="BR295" s="188">
        <v>0</v>
      </c>
      <c r="BS295" s="188">
        <v>0</v>
      </c>
      <c r="BT295" s="188">
        <v>0</v>
      </c>
      <c r="BU295" s="150">
        <v>1035273441</v>
      </c>
      <c r="BW295" s="255">
        <f t="shared" si="64"/>
        <v>0</v>
      </c>
      <c r="BX295" s="255">
        <f t="shared" si="65"/>
        <v>17537919037</v>
      </c>
      <c r="BY295" s="255">
        <f t="shared" si="66"/>
        <v>0</v>
      </c>
      <c r="BZ295" s="255">
        <f t="shared" si="67"/>
        <v>17537919037</v>
      </c>
      <c r="CA295" s="255">
        <f t="shared" si="68"/>
        <v>0</v>
      </c>
      <c r="CB295" s="255">
        <f t="shared" si="69"/>
        <v>0</v>
      </c>
      <c r="CC295" s="255">
        <f t="shared" si="70"/>
        <v>0</v>
      </c>
      <c r="CD295" s="255">
        <f t="shared" si="71"/>
        <v>32449709</v>
      </c>
      <c r="CG295" s="255"/>
    </row>
    <row r="296" spans="1:85">
      <c r="A296" s="110" t="s">
        <v>5103</v>
      </c>
      <c r="B296" s="150" t="s">
        <v>315</v>
      </c>
      <c r="C296" s="2123" t="s">
        <v>316</v>
      </c>
      <c r="D296" s="150">
        <v>1820000</v>
      </c>
      <c r="E296" s="153">
        <v>1824777666</v>
      </c>
      <c r="F296" s="154">
        <v>1824777666</v>
      </c>
      <c r="G296" s="154">
        <v>0</v>
      </c>
      <c r="H296" s="154">
        <v>0</v>
      </c>
      <c r="I296" s="154">
        <v>0</v>
      </c>
      <c r="J296" s="154">
        <v>0</v>
      </c>
      <c r="K296" s="154">
        <v>0</v>
      </c>
      <c r="L296" s="154">
        <v>0</v>
      </c>
      <c r="M296" s="155">
        <v>2502085496</v>
      </c>
      <c r="N296" s="156">
        <v>928938713</v>
      </c>
      <c r="O296" s="156">
        <v>1522426</v>
      </c>
      <c r="P296" s="156">
        <v>-16144</v>
      </c>
      <c r="Q296" s="156">
        <v>0</v>
      </c>
      <c r="R296" s="156">
        <v>510560976</v>
      </c>
      <c r="S296" s="156">
        <v>0</v>
      </c>
      <c r="T296" s="156">
        <v>54231107</v>
      </c>
      <c r="U296" s="156">
        <v>0</v>
      </c>
      <c r="V296" s="156">
        <v>404506608</v>
      </c>
      <c r="W296" s="156">
        <v>16445088</v>
      </c>
      <c r="X296" s="156">
        <v>5709520</v>
      </c>
      <c r="Y296" s="156">
        <v>1669772</v>
      </c>
      <c r="Z296" s="156">
        <v>48859107</v>
      </c>
      <c r="AA296" s="156">
        <v>47239268</v>
      </c>
      <c r="AB296" s="156">
        <v>98100451</v>
      </c>
      <c r="AC296" s="156">
        <v>-92662</v>
      </c>
      <c r="AD296" s="156">
        <v>152614396</v>
      </c>
      <c r="AE296" s="156">
        <v>0</v>
      </c>
      <c r="AF296" s="156">
        <v>0</v>
      </c>
      <c r="AG296" s="156">
        <v>0</v>
      </c>
      <c r="AH296" s="156">
        <v>0</v>
      </c>
      <c r="AI296" s="156">
        <v>0</v>
      </c>
      <c r="AJ296" s="156">
        <v>0</v>
      </c>
      <c r="AK296" s="156">
        <v>0</v>
      </c>
      <c r="AL296" s="156">
        <v>231796870</v>
      </c>
      <c r="AM296" s="156">
        <v>0</v>
      </c>
      <c r="AN296" s="156">
        <v>0</v>
      </c>
      <c r="AO296" s="150">
        <v>-677307830</v>
      </c>
      <c r="AP296" s="159">
        <v>2266552046</v>
      </c>
      <c r="AQ296" s="160">
        <v>53705915</v>
      </c>
      <c r="AR296" s="160">
        <v>6141008</v>
      </c>
      <c r="AS296" s="160">
        <v>94721594</v>
      </c>
      <c r="AT296" s="160">
        <v>0</v>
      </c>
      <c r="AU296" s="160">
        <v>168239419</v>
      </c>
      <c r="AV296" s="160">
        <v>0</v>
      </c>
      <c r="AW296" s="160">
        <v>0</v>
      </c>
      <c r="AX296" s="160">
        <v>1815556</v>
      </c>
      <c r="AY296" s="160">
        <v>1928075744</v>
      </c>
      <c r="AZ296" s="160">
        <v>0</v>
      </c>
      <c r="BA296" s="160">
        <v>613576</v>
      </c>
      <c r="BB296" s="160">
        <v>0</v>
      </c>
      <c r="BC296" s="160">
        <v>13239234</v>
      </c>
      <c r="BD296" s="150">
        <v>-2943859876</v>
      </c>
      <c r="BE296" s="185">
        <v>13604797</v>
      </c>
      <c r="BF296" s="186">
        <v>13604797</v>
      </c>
      <c r="BG296" s="186">
        <v>0</v>
      </c>
      <c r="BH296" s="186">
        <v>0</v>
      </c>
      <c r="BI296" s="186">
        <v>0</v>
      </c>
      <c r="BJ296" s="186">
        <v>0</v>
      </c>
      <c r="BK296" s="186">
        <v>0</v>
      </c>
      <c r="BL296" s="186">
        <v>0</v>
      </c>
      <c r="BM296" s="187">
        <v>5576179</v>
      </c>
      <c r="BN296" s="188">
        <v>5576179</v>
      </c>
      <c r="BO296" s="188">
        <v>0</v>
      </c>
      <c r="BP296" s="188">
        <v>0</v>
      </c>
      <c r="BQ296" s="188">
        <v>0</v>
      </c>
      <c r="BR296" s="188">
        <v>0</v>
      </c>
      <c r="BS296" s="188">
        <v>0</v>
      </c>
      <c r="BT296" s="188">
        <v>0</v>
      </c>
      <c r="BU296" s="150">
        <v>-2935831258</v>
      </c>
      <c r="BW296" s="255">
        <f t="shared" si="64"/>
        <v>0</v>
      </c>
      <c r="BX296" s="255">
        <f t="shared" si="65"/>
        <v>928938713</v>
      </c>
      <c r="BY296" s="255">
        <f t="shared" si="66"/>
        <v>0</v>
      </c>
      <c r="BZ296" s="255">
        <f t="shared" si="67"/>
        <v>928938713</v>
      </c>
      <c r="CA296" s="255">
        <f t="shared" si="68"/>
        <v>231796870</v>
      </c>
      <c r="CB296" s="255">
        <f t="shared" si="69"/>
        <v>22154608</v>
      </c>
      <c r="CC296" s="255">
        <f t="shared" si="70"/>
        <v>145339719</v>
      </c>
      <c r="CD296" s="255">
        <f t="shared" si="71"/>
        <v>53705915</v>
      </c>
      <c r="CG296" s="255"/>
    </row>
    <row r="297" spans="1:85">
      <c r="A297" s="110" t="s">
        <v>5103</v>
      </c>
      <c r="B297" s="150" t="s">
        <v>317</v>
      </c>
      <c r="C297" s="2123" t="s">
        <v>246</v>
      </c>
      <c r="D297" s="150">
        <v>1699500</v>
      </c>
      <c r="E297" s="153">
        <v>958213485</v>
      </c>
      <c r="F297" s="154">
        <v>958213485</v>
      </c>
      <c r="G297" s="154">
        <v>0</v>
      </c>
      <c r="H297" s="154">
        <v>0</v>
      </c>
      <c r="I297" s="154">
        <v>0</v>
      </c>
      <c r="J297" s="154">
        <v>0</v>
      </c>
      <c r="K297" s="154">
        <v>0</v>
      </c>
      <c r="L297" s="154">
        <v>0</v>
      </c>
      <c r="M297" s="155">
        <v>1635756079</v>
      </c>
      <c r="N297" s="156">
        <v>0</v>
      </c>
      <c r="O297" s="156">
        <v>0</v>
      </c>
      <c r="P297" s="156">
        <v>0</v>
      </c>
      <c r="Q297" s="156">
        <v>0</v>
      </c>
      <c r="R297" s="156">
        <v>458526641</v>
      </c>
      <c r="S297" s="156">
        <v>0</v>
      </c>
      <c r="T297" s="156">
        <v>28241441</v>
      </c>
      <c r="U297" s="156">
        <v>0</v>
      </c>
      <c r="V297" s="156">
        <v>659002559</v>
      </c>
      <c r="W297" s="156">
        <v>1325144</v>
      </c>
      <c r="X297" s="156">
        <v>105870417</v>
      </c>
      <c r="Y297" s="156">
        <v>13810504</v>
      </c>
      <c r="Z297" s="156">
        <v>101812719</v>
      </c>
      <c r="AA297" s="156">
        <v>0</v>
      </c>
      <c r="AB297" s="156">
        <v>482456245</v>
      </c>
      <c r="AC297" s="156">
        <v>18174031</v>
      </c>
      <c r="AD297" s="156">
        <v>103376378</v>
      </c>
      <c r="AE297" s="156">
        <v>0</v>
      </c>
      <c r="AF297" s="156">
        <v>0</v>
      </c>
      <c r="AG297" s="156">
        <v>0</v>
      </c>
      <c r="AH297" s="156">
        <v>0</v>
      </c>
      <c r="AI297" s="156">
        <v>0</v>
      </c>
      <c r="AJ297" s="156">
        <v>0</v>
      </c>
      <c r="AK297" s="156">
        <v>0</v>
      </c>
      <c r="AL297" s="156">
        <v>-336840000</v>
      </c>
      <c r="AM297" s="156">
        <v>0</v>
      </c>
      <c r="AN297" s="156">
        <v>0</v>
      </c>
      <c r="AO297" s="150">
        <v>-677542594</v>
      </c>
      <c r="AP297" s="159">
        <v>16053389</v>
      </c>
      <c r="AQ297" s="160">
        <v>15615920</v>
      </c>
      <c r="AR297" s="160">
        <v>224093</v>
      </c>
      <c r="AS297" s="160">
        <v>0</v>
      </c>
      <c r="AT297" s="160">
        <v>0</v>
      </c>
      <c r="AU297" s="160">
        <v>136407</v>
      </c>
      <c r="AV297" s="160">
        <v>0</v>
      </c>
      <c r="AW297" s="160">
        <v>0</v>
      </c>
      <c r="AX297" s="160">
        <v>116</v>
      </c>
      <c r="AY297" s="160">
        <v>0</v>
      </c>
      <c r="AZ297" s="160">
        <v>19087</v>
      </c>
      <c r="BA297" s="160">
        <v>0</v>
      </c>
      <c r="BB297" s="160">
        <v>0</v>
      </c>
      <c r="BC297" s="160">
        <v>57766</v>
      </c>
      <c r="BD297" s="150">
        <v>-693595983</v>
      </c>
      <c r="BE297" s="185">
        <v>0</v>
      </c>
      <c r="BF297" s="186">
        <v>0</v>
      </c>
      <c r="BG297" s="186">
        <v>0</v>
      </c>
      <c r="BH297" s="186">
        <v>0</v>
      </c>
      <c r="BI297" s="186">
        <v>0</v>
      </c>
      <c r="BJ297" s="186">
        <v>0</v>
      </c>
      <c r="BK297" s="186">
        <v>0</v>
      </c>
      <c r="BL297" s="186">
        <v>0</v>
      </c>
      <c r="BM297" s="187">
        <v>0</v>
      </c>
      <c r="BN297" s="188">
        <v>0</v>
      </c>
      <c r="BO297" s="188">
        <v>0</v>
      </c>
      <c r="BP297" s="188">
        <v>0</v>
      </c>
      <c r="BQ297" s="188">
        <v>0</v>
      </c>
      <c r="BR297" s="188">
        <v>0</v>
      </c>
      <c r="BS297" s="188">
        <v>0</v>
      </c>
      <c r="BT297" s="188">
        <v>0</v>
      </c>
      <c r="BU297" s="150">
        <v>-693595983</v>
      </c>
      <c r="BW297" s="255">
        <f t="shared" si="64"/>
        <v>0</v>
      </c>
      <c r="BX297" s="255">
        <f t="shared" si="65"/>
        <v>0</v>
      </c>
      <c r="BY297" s="255">
        <f t="shared" si="66"/>
        <v>0</v>
      </c>
      <c r="BZ297" s="255">
        <f t="shared" si="67"/>
        <v>0</v>
      </c>
      <c r="CA297" s="255">
        <f t="shared" si="68"/>
        <v>-336840000</v>
      </c>
      <c r="CB297" s="255">
        <f t="shared" si="69"/>
        <v>107195561</v>
      </c>
      <c r="CC297" s="255">
        <f t="shared" si="70"/>
        <v>482456245</v>
      </c>
      <c r="CD297" s="255">
        <f t="shared" si="71"/>
        <v>15615920</v>
      </c>
      <c r="CG297" s="255"/>
    </row>
    <row r="298" spans="1:85">
      <c r="A298" s="110" t="s">
        <v>5103</v>
      </c>
      <c r="B298" s="161" t="s">
        <v>374</v>
      </c>
      <c r="C298" s="2134" t="s">
        <v>246</v>
      </c>
      <c r="D298" s="161">
        <v>14613.075999999999</v>
      </c>
      <c r="E298" s="189">
        <v>58705020359</v>
      </c>
      <c r="F298" s="190">
        <v>58705020359</v>
      </c>
      <c r="G298" s="190">
        <v>0</v>
      </c>
      <c r="H298" s="190">
        <v>0</v>
      </c>
      <c r="I298" s="190">
        <v>0</v>
      </c>
      <c r="J298" s="190">
        <v>0</v>
      </c>
      <c r="K298" s="190">
        <v>0</v>
      </c>
      <c r="L298" s="190">
        <v>0</v>
      </c>
      <c r="M298" s="191">
        <v>58205457220</v>
      </c>
      <c r="N298" s="192">
        <v>36724045512</v>
      </c>
      <c r="O298" s="192">
        <v>0</v>
      </c>
      <c r="P298" s="192">
        <v>0</v>
      </c>
      <c r="Q298" s="192">
        <v>0</v>
      </c>
      <c r="R298" s="192">
        <v>0</v>
      </c>
      <c r="S298" s="192">
        <v>0</v>
      </c>
      <c r="T298" s="192">
        <v>0</v>
      </c>
      <c r="U298" s="192">
        <v>0</v>
      </c>
      <c r="V298" s="192">
        <v>0</v>
      </c>
      <c r="W298" s="192">
        <v>0</v>
      </c>
      <c r="X298" s="192">
        <v>0</v>
      </c>
      <c r="Y298" s="192">
        <v>0</v>
      </c>
      <c r="Z298" s="192">
        <v>0</v>
      </c>
      <c r="AA298" s="192">
        <v>0</v>
      </c>
      <c r="AB298" s="192">
        <v>0</v>
      </c>
      <c r="AC298" s="192">
        <v>0</v>
      </c>
      <c r="AD298" s="192">
        <v>0</v>
      </c>
      <c r="AE298" s="192">
        <v>0</v>
      </c>
      <c r="AF298" s="192">
        <v>0</v>
      </c>
      <c r="AG298" s="192">
        <v>0</v>
      </c>
      <c r="AH298" s="192">
        <v>0</v>
      </c>
      <c r="AI298" s="192">
        <v>0</v>
      </c>
      <c r="AJ298" s="192">
        <v>0</v>
      </c>
      <c r="AK298" s="192">
        <v>0</v>
      </c>
      <c r="AL298" s="192">
        <v>21481411708</v>
      </c>
      <c r="AM298" s="192">
        <v>0</v>
      </c>
      <c r="AN298" s="192">
        <v>0</v>
      </c>
      <c r="AO298" s="161">
        <v>499563139</v>
      </c>
      <c r="AP298" s="193">
        <v>0</v>
      </c>
      <c r="AQ298" s="194">
        <v>0</v>
      </c>
      <c r="AR298" s="194">
        <v>0</v>
      </c>
      <c r="AS298" s="194">
        <v>0</v>
      </c>
      <c r="AT298" s="194">
        <v>0</v>
      </c>
      <c r="AU298" s="194">
        <v>0</v>
      </c>
      <c r="AV298" s="194">
        <v>0</v>
      </c>
      <c r="AW298" s="194">
        <v>0</v>
      </c>
      <c r="AX298" s="194">
        <v>0</v>
      </c>
      <c r="AY298" s="194">
        <v>0</v>
      </c>
      <c r="AZ298" s="194">
        <v>0</v>
      </c>
      <c r="BA298" s="194">
        <v>0</v>
      </c>
      <c r="BB298" s="194">
        <v>0</v>
      </c>
      <c r="BC298" s="194">
        <v>0</v>
      </c>
      <c r="BD298" s="161">
        <v>499563139</v>
      </c>
      <c r="BE298" s="195">
        <v>11926691</v>
      </c>
      <c r="BF298" s="196">
        <v>0</v>
      </c>
      <c r="BG298" s="196">
        <v>0</v>
      </c>
      <c r="BH298" s="196">
        <v>11926691</v>
      </c>
      <c r="BI298" s="196">
        <v>0</v>
      </c>
      <c r="BJ298" s="196">
        <v>0</v>
      </c>
      <c r="BK298" s="196">
        <v>0</v>
      </c>
      <c r="BL298" s="196">
        <v>0</v>
      </c>
      <c r="BM298" s="197">
        <v>29085999</v>
      </c>
      <c r="BN298" s="198">
        <v>0</v>
      </c>
      <c r="BO298" s="198">
        <v>0</v>
      </c>
      <c r="BP298" s="198">
        <v>29085999</v>
      </c>
      <c r="BQ298" s="198">
        <v>0</v>
      </c>
      <c r="BR298" s="198">
        <v>0</v>
      </c>
      <c r="BS298" s="198">
        <v>0</v>
      </c>
      <c r="BT298" s="198">
        <v>0</v>
      </c>
      <c r="BU298" s="161">
        <v>482403831</v>
      </c>
      <c r="BW298" s="255">
        <f t="shared" si="64"/>
        <v>0</v>
      </c>
      <c r="BX298" s="255">
        <f t="shared" si="65"/>
        <v>36724045512</v>
      </c>
      <c r="BY298" s="255">
        <f t="shared" si="66"/>
        <v>0</v>
      </c>
      <c r="BZ298" s="255">
        <f t="shared" si="67"/>
        <v>36724045512</v>
      </c>
      <c r="CA298" s="255">
        <f t="shared" si="68"/>
        <v>21481411708</v>
      </c>
      <c r="CB298" s="255">
        <f t="shared" si="69"/>
        <v>0</v>
      </c>
      <c r="CC298" s="255">
        <f t="shared" si="70"/>
        <v>0</v>
      </c>
      <c r="CD298" s="255">
        <f t="shared" si="71"/>
        <v>0</v>
      </c>
      <c r="CG298" s="255"/>
    </row>
    <row r="299" spans="1:85">
      <c r="B299" s="164" t="s">
        <v>275</v>
      </c>
      <c r="C299" s="164"/>
      <c r="D299" s="164"/>
      <c r="E299" s="167">
        <v>7041381860824</v>
      </c>
      <c r="F299" s="168">
        <v>7146765079261</v>
      </c>
      <c r="G299" s="168">
        <v>-35676979255</v>
      </c>
      <c r="H299" s="168">
        <v>-61309785606</v>
      </c>
      <c r="I299" s="168">
        <v>-342221777</v>
      </c>
      <c r="J299" s="168">
        <v>-8540981799</v>
      </c>
      <c r="K299" s="168">
        <v>486750000</v>
      </c>
      <c r="L299" s="168">
        <v>0</v>
      </c>
      <c r="M299" s="169">
        <v>6738826749355</v>
      </c>
      <c r="N299" s="170">
        <v>6289324801324</v>
      </c>
      <c r="O299" s="170">
        <v>18594225108</v>
      </c>
      <c r="P299" s="170">
        <v>-156197571</v>
      </c>
      <c r="Q299" s="170">
        <v>0</v>
      </c>
      <c r="R299" s="170">
        <v>51076817757</v>
      </c>
      <c r="S299" s="170">
        <v>0</v>
      </c>
      <c r="T299" s="170">
        <v>3893041886</v>
      </c>
      <c r="U299" s="170">
        <v>0</v>
      </c>
      <c r="V299" s="170">
        <v>48242672720</v>
      </c>
      <c r="W299" s="170">
        <v>46005963793</v>
      </c>
      <c r="X299" s="170">
        <v>19729692891</v>
      </c>
      <c r="Y299" s="170">
        <v>10008285882</v>
      </c>
      <c r="Z299" s="170">
        <v>23529092332</v>
      </c>
      <c r="AA299" s="170">
        <v>176910363</v>
      </c>
      <c r="AB299" s="170">
        <v>18977429662</v>
      </c>
      <c r="AC299" s="170">
        <v>5154140162</v>
      </c>
      <c r="AD299" s="170">
        <v>29654118532</v>
      </c>
      <c r="AE299" s="170">
        <v>-66955528002</v>
      </c>
      <c r="AF299" s="170">
        <v>208648062175</v>
      </c>
      <c r="AG299" s="170">
        <v>0</v>
      </c>
      <c r="AH299" s="170">
        <v>0</v>
      </c>
      <c r="AI299" s="170">
        <v>0</v>
      </c>
      <c r="AJ299" s="170">
        <v>0</v>
      </c>
      <c r="AK299" s="170">
        <v>-88183350</v>
      </c>
      <c r="AL299" s="170">
        <v>20157083902</v>
      </c>
      <c r="AM299" s="170">
        <v>1397937217</v>
      </c>
      <c r="AN299" s="170">
        <v>11456382572</v>
      </c>
      <c r="AO299" s="164">
        <v>302555111469</v>
      </c>
      <c r="AP299" s="173">
        <v>62738936356</v>
      </c>
      <c r="AQ299" s="174">
        <v>10891443967</v>
      </c>
      <c r="AR299" s="174">
        <v>220072674</v>
      </c>
      <c r="AS299" s="174">
        <v>94798983</v>
      </c>
      <c r="AT299" s="174">
        <v>0</v>
      </c>
      <c r="AU299" s="174">
        <v>18250709223</v>
      </c>
      <c r="AV299" s="174">
        <v>731484800</v>
      </c>
      <c r="AW299" s="174">
        <v>0</v>
      </c>
      <c r="AX299" s="174">
        <v>79826701</v>
      </c>
      <c r="AY299" s="174">
        <v>6494751656</v>
      </c>
      <c r="AZ299" s="174">
        <v>1528316291</v>
      </c>
      <c r="BA299" s="174">
        <v>17864419924</v>
      </c>
      <c r="BB299" s="174">
        <v>45983912</v>
      </c>
      <c r="BC299" s="174">
        <v>6537128225</v>
      </c>
      <c r="BD299" s="164">
        <v>239816175113</v>
      </c>
      <c r="BE299" s="199">
        <v>53785671649</v>
      </c>
      <c r="BF299" s="200">
        <v>35928089520</v>
      </c>
      <c r="BG299" s="200">
        <v>3577287795</v>
      </c>
      <c r="BH299" s="200">
        <v>3962744772</v>
      </c>
      <c r="BI299" s="200">
        <v>3791451907</v>
      </c>
      <c r="BJ299" s="200">
        <v>244611709</v>
      </c>
      <c r="BK299" s="200">
        <v>6281485946</v>
      </c>
      <c r="BL299" s="200">
        <v>0</v>
      </c>
      <c r="BM299" s="201">
        <v>118373438549</v>
      </c>
      <c r="BN299" s="202">
        <v>86945767831</v>
      </c>
      <c r="BO299" s="202">
        <v>12138084612</v>
      </c>
      <c r="BP299" s="202">
        <v>10053071181</v>
      </c>
      <c r="BQ299" s="202">
        <v>5467828455</v>
      </c>
      <c r="BR299" s="202">
        <v>3527762171</v>
      </c>
      <c r="BS299" s="202">
        <v>240924299</v>
      </c>
      <c r="BT299" s="202">
        <v>0</v>
      </c>
      <c r="BU299" s="164">
        <v>175228408213</v>
      </c>
      <c r="BW299" s="255">
        <f>SUM(G299:L299)</f>
        <v>-105383218437</v>
      </c>
      <c r="BX299" s="255">
        <f>N299</f>
        <v>6289324801324</v>
      </c>
      <c r="BY299" s="255">
        <f t="shared" si="66"/>
        <v>141604350823</v>
      </c>
      <c r="BZ299" s="255">
        <f t="shared" si="67"/>
        <v>6430929152147</v>
      </c>
      <c r="CA299" s="255">
        <f t="shared" si="68"/>
        <v>31613466474</v>
      </c>
      <c r="CB299" s="255">
        <f>SUM(W299,X299)</f>
        <v>65735656684</v>
      </c>
      <c r="CC299" s="255">
        <f>SUM(AA299:AB299)</f>
        <v>19154340025</v>
      </c>
      <c r="CD299" s="255">
        <f>AQ299</f>
        <v>10891443967</v>
      </c>
      <c r="CG299" s="255"/>
    </row>
    <row r="300" spans="1:85">
      <c r="B300" s="255"/>
      <c r="C300" s="255"/>
      <c r="D300" s="255"/>
      <c r="E300" s="255" t="b">
        <v>1</v>
      </c>
      <c r="F300" s="255" t="b">
        <v>1</v>
      </c>
      <c r="G300" s="255" t="b">
        <v>1</v>
      </c>
      <c r="H300" s="255" t="b">
        <v>1</v>
      </c>
      <c r="I300" s="255" t="b">
        <v>1</v>
      </c>
      <c r="J300" s="255" t="b">
        <v>1</v>
      </c>
      <c r="K300" s="255" t="b">
        <v>1</v>
      </c>
      <c r="L300" s="255" t="b">
        <v>1</v>
      </c>
      <c r="M300" s="255" t="b">
        <v>1</v>
      </c>
      <c r="N300" s="255" t="b">
        <v>1</v>
      </c>
      <c r="O300" s="255" t="b">
        <v>1</v>
      </c>
      <c r="P300" s="255" t="b">
        <v>1</v>
      </c>
      <c r="Q300" s="255" t="b">
        <v>1</v>
      </c>
      <c r="R300" s="255" t="b">
        <v>1</v>
      </c>
      <c r="S300" s="255" t="b">
        <v>1</v>
      </c>
      <c r="T300" s="255" t="b">
        <v>1</v>
      </c>
      <c r="U300" s="255" t="b">
        <v>1</v>
      </c>
      <c r="V300" s="255" t="b">
        <v>1</v>
      </c>
      <c r="W300" s="255" t="b">
        <v>1</v>
      </c>
      <c r="X300" s="255" t="b">
        <v>1</v>
      </c>
      <c r="Y300" s="255" t="b">
        <v>1</v>
      </c>
      <c r="Z300" s="255" t="b">
        <v>1</v>
      </c>
      <c r="AA300" s="255" t="b">
        <v>1</v>
      </c>
      <c r="AB300" s="255" t="b">
        <v>1</v>
      </c>
      <c r="AC300" s="255" t="b">
        <v>1</v>
      </c>
      <c r="AD300" s="255" t="b">
        <v>1</v>
      </c>
      <c r="AE300" s="255" t="b">
        <v>1</v>
      </c>
      <c r="AF300" s="255" t="b">
        <v>1</v>
      </c>
      <c r="AG300" s="255" t="b">
        <v>1</v>
      </c>
      <c r="AH300" s="255" t="b">
        <v>1</v>
      </c>
      <c r="AI300" s="255" t="b">
        <v>1</v>
      </c>
      <c r="AJ300" s="255" t="b">
        <v>1</v>
      </c>
      <c r="AK300" s="255" t="b">
        <v>1</v>
      </c>
      <c r="AL300" s="255" t="b">
        <v>1</v>
      </c>
      <c r="AM300" s="255" t="b">
        <v>1</v>
      </c>
      <c r="AN300" s="255" t="b">
        <v>1</v>
      </c>
      <c r="AO300" s="255" t="b">
        <v>1</v>
      </c>
      <c r="AP300" s="255" t="b">
        <v>1</v>
      </c>
      <c r="AQ300" s="255" t="b">
        <v>1</v>
      </c>
      <c r="AR300" s="255" t="b">
        <v>1</v>
      </c>
      <c r="AS300" s="255" t="b">
        <v>1</v>
      </c>
      <c r="AT300" s="255" t="b">
        <v>1</v>
      </c>
      <c r="AU300" s="255" t="b">
        <v>1</v>
      </c>
      <c r="AV300" s="255" t="b">
        <v>1</v>
      </c>
      <c r="AW300" s="255" t="b">
        <v>1</v>
      </c>
      <c r="AX300" s="255" t="b">
        <v>1</v>
      </c>
      <c r="AY300" s="255" t="b">
        <v>1</v>
      </c>
      <c r="AZ300" s="255" t="b">
        <v>1</v>
      </c>
      <c r="BA300" s="255" t="b">
        <v>1</v>
      </c>
      <c r="BB300" s="255" t="b">
        <v>1</v>
      </c>
      <c r="BC300" s="255" t="b">
        <v>1</v>
      </c>
      <c r="BD300" s="255" t="b">
        <v>1</v>
      </c>
      <c r="BE300" s="255" t="b">
        <v>1</v>
      </c>
      <c r="BF300" s="255" t="b">
        <v>1</v>
      </c>
      <c r="BG300" s="255" t="b">
        <v>1</v>
      </c>
      <c r="BH300" s="255" t="b">
        <v>1</v>
      </c>
      <c r="BI300" s="255" t="b">
        <v>1</v>
      </c>
      <c r="BJ300" s="255" t="b">
        <v>1</v>
      </c>
      <c r="BK300" s="255" t="b">
        <v>1</v>
      </c>
      <c r="BL300" s="255" t="b">
        <v>1</v>
      </c>
      <c r="BM300" s="255" t="b">
        <v>1</v>
      </c>
      <c r="BN300" s="255" t="b">
        <v>1</v>
      </c>
      <c r="BO300" s="255" t="b">
        <v>1</v>
      </c>
      <c r="BP300" s="255" t="b">
        <v>1</v>
      </c>
      <c r="BQ300" s="255" t="b">
        <v>1</v>
      </c>
      <c r="BR300" s="255" t="b">
        <v>1</v>
      </c>
      <c r="BS300" s="255" t="b">
        <v>1</v>
      </c>
      <c r="BT300" s="255" t="b">
        <v>1</v>
      </c>
      <c r="BU300" s="255" t="b">
        <v>1</v>
      </c>
    </row>
    <row r="301" spans="1:85">
      <c r="B301" s="255"/>
      <c r="C301" s="255"/>
      <c r="D301" s="255"/>
      <c r="E301" s="255"/>
      <c r="F301" s="255"/>
      <c r="G301" s="255"/>
      <c r="H301" s="255"/>
      <c r="I301" s="255"/>
      <c r="J301" s="255"/>
      <c r="K301" s="255"/>
      <c r="L301" s="255"/>
      <c r="M301" s="255"/>
      <c r="N301" s="255"/>
      <c r="O301" s="255"/>
      <c r="P301" s="255"/>
      <c r="Q301" s="255"/>
      <c r="R301" s="255"/>
      <c r="S301" s="255"/>
      <c r="T301" s="255"/>
      <c r="U301" s="255"/>
      <c r="V301" s="255"/>
      <c r="W301" s="255"/>
      <c r="X301" s="255"/>
      <c r="Y301" s="255"/>
      <c r="Z301" s="255"/>
      <c r="AA301" s="255"/>
      <c r="AB301" s="255"/>
      <c r="AC301" s="255"/>
      <c r="AD301" s="255"/>
      <c r="AE301" s="255"/>
      <c r="AF301" s="255"/>
      <c r="AG301" s="255"/>
      <c r="AH301" s="255"/>
      <c r="AI301" s="255"/>
      <c r="AJ301" s="255"/>
      <c r="AK301" s="255"/>
      <c r="AL301" s="255"/>
      <c r="AM301" s="255"/>
      <c r="AN301" s="255"/>
      <c r="AO301" s="255"/>
      <c r="AP301" s="255"/>
      <c r="AQ301" s="255"/>
      <c r="AR301" s="255"/>
      <c r="AS301" s="255"/>
      <c r="AT301" s="255"/>
      <c r="AU301" s="255"/>
      <c r="AV301" s="255"/>
      <c r="AW301" s="255"/>
      <c r="AX301" s="255"/>
      <c r="AY301" s="255"/>
      <c r="AZ301" s="255"/>
      <c r="BA301" s="255"/>
      <c r="BB301" s="255"/>
      <c r="BC301" s="255"/>
      <c r="BD301" s="255"/>
      <c r="BE301" s="255"/>
      <c r="BF301" s="255"/>
      <c r="BG301" s="255"/>
      <c r="BH301" s="255"/>
      <c r="BI301" s="255"/>
      <c r="BJ301" s="255"/>
      <c r="BK301" s="255"/>
      <c r="BL301" s="255"/>
      <c r="BM301" s="255"/>
      <c r="BN301" s="255"/>
      <c r="BO301" s="255"/>
      <c r="BP301" s="255"/>
      <c r="BQ301" s="255"/>
      <c r="BR301" s="255"/>
      <c r="BS301" s="255"/>
      <c r="BT301" s="255"/>
      <c r="BU301" s="255"/>
    </row>
    <row r="302" spans="1:85">
      <c r="B302" s="255"/>
      <c r="C302" s="255"/>
      <c r="D302" s="255"/>
      <c r="E302" s="255"/>
      <c r="F302" s="255"/>
      <c r="G302" s="255"/>
      <c r="H302" s="255"/>
      <c r="I302" s="255"/>
      <c r="J302" s="255"/>
      <c r="K302" s="255"/>
      <c r="L302" s="255"/>
      <c r="M302" s="255"/>
      <c r="N302" s="255"/>
      <c r="O302" s="255"/>
      <c r="P302" s="255"/>
      <c r="Q302" s="255"/>
      <c r="R302" s="255"/>
      <c r="S302" s="255"/>
      <c r="T302" s="255"/>
      <c r="U302" s="255"/>
      <c r="V302" s="255"/>
      <c r="W302" s="255"/>
      <c r="X302" s="255"/>
      <c r="Y302" s="255"/>
      <c r="Z302" s="255"/>
      <c r="AA302" s="255"/>
      <c r="AB302" s="255"/>
      <c r="AC302" s="255"/>
      <c r="AD302" s="255"/>
      <c r="AE302" s="255"/>
      <c r="AF302" s="255"/>
      <c r="AG302" s="255"/>
      <c r="AH302" s="255"/>
      <c r="AI302" s="255"/>
      <c r="AJ302" s="255"/>
      <c r="AK302" s="255"/>
      <c r="AL302" s="255"/>
      <c r="AM302" s="255"/>
      <c r="AN302" s="255"/>
      <c r="AO302" s="255"/>
      <c r="AP302" s="255"/>
      <c r="AQ302" s="255"/>
      <c r="AR302" s="255"/>
      <c r="AS302" s="255"/>
      <c r="AT302" s="255"/>
      <c r="AU302" s="255"/>
      <c r="AV302" s="255"/>
      <c r="AW302" s="255"/>
      <c r="AX302" s="255"/>
      <c r="AY302" s="255"/>
      <c r="AZ302" s="255"/>
      <c r="BA302" s="255"/>
      <c r="BB302" s="255"/>
      <c r="BC302" s="255"/>
      <c r="BD302" s="255"/>
      <c r="BE302" s="255"/>
      <c r="BF302" s="255"/>
      <c r="BG302" s="255"/>
      <c r="BH302" s="255"/>
      <c r="BI302" s="255"/>
      <c r="BJ302" s="255"/>
      <c r="BK302" s="255"/>
      <c r="BL302" s="255"/>
      <c r="BM302" s="255"/>
      <c r="BN302" s="255"/>
      <c r="BO302" s="255"/>
      <c r="BP302" s="255"/>
      <c r="BQ302" s="255"/>
      <c r="BR302" s="255"/>
      <c r="BS302" s="255"/>
      <c r="BT302" s="255"/>
      <c r="BU302" s="255"/>
    </row>
    <row r="303" spans="1:85">
      <c r="B303" s="255"/>
      <c r="C303" s="255"/>
      <c r="D303" s="2593" t="s">
        <v>1353</v>
      </c>
      <c r="E303" s="2593"/>
      <c r="F303" s="2593"/>
      <c r="G303" s="2593"/>
      <c r="H303" s="5580" t="s">
        <v>1597</v>
      </c>
      <c r="I303" s="5580"/>
      <c r="J303" s="5580"/>
      <c r="K303" s="5580"/>
      <c r="L303" s="255"/>
      <c r="M303" s="255"/>
      <c r="N303" s="255"/>
      <c r="O303" s="255"/>
      <c r="P303" s="255"/>
      <c r="Q303" s="255"/>
      <c r="R303" s="255"/>
      <c r="S303" s="255"/>
      <c r="T303" s="255"/>
      <c r="U303" s="255"/>
      <c r="V303" s="255"/>
      <c r="W303" s="255"/>
      <c r="X303" s="255"/>
      <c r="Y303" s="255"/>
      <c r="Z303" s="255"/>
      <c r="AA303" s="255"/>
      <c r="AB303" s="255"/>
      <c r="AC303" s="255"/>
      <c r="AD303" s="255"/>
      <c r="AE303" s="255"/>
      <c r="AF303" s="255"/>
      <c r="AG303" s="255"/>
      <c r="AH303" s="255"/>
      <c r="AI303" s="255"/>
      <c r="AJ303" s="255"/>
      <c r="AK303" s="255"/>
      <c r="AL303" s="255"/>
      <c r="AM303" s="255"/>
      <c r="AN303" s="255"/>
      <c r="AO303" s="255"/>
      <c r="AP303" s="255"/>
      <c r="AQ303" s="255"/>
      <c r="AR303" s="255"/>
      <c r="AS303" s="255"/>
      <c r="AT303" s="255"/>
      <c r="AU303" s="255"/>
      <c r="AV303" s="255"/>
      <c r="AW303" s="255"/>
      <c r="AX303" s="255"/>
      <c r="AY303" s="255"/>
      <c r="AZ303" s="255"/>
      <c r="BA303" s="255"/>
      <c r="BB303" s="255"/>
      <c r="BC303" s="255"/>
      <c r="BD303" s="255"/>
      <c r="BE303" s="255"/>
      <c r="BF303" s="255"/>
      <c r="BG303" s="255"/>
      <c r="BH303" s="255"/>
      <c r="BI303" s="255"/>
      <c r="BJ303" s="255"/>
      <c r="BK303" s="255"/>
      <c r="BL303" s="255"/>
      <c r="BM303" s="255"/>
      <c r="BN303" s="255"/>
      <c r="BO303" s="255"/>
      <c r="BP303" s="255"/>
      <c r="BQ303" s="255"/>
      <c r="BR303" s="255"/>
      <c r="BS303" s="255"/>
      <c r="BT303" s="255"/>
      <c r="BU303" s="255"/>
    </row>
    <row r="304" spans="1:85">
      <c r="B304" s="2592" t="s">
        <v>324</v>
      </c>
      <c r="C304" s="131" t="s">
        <v>186</v>
      </c>
      <c r="D304" s="2593" t="s">
        <v>357</v>
      </c>
      <c r="E304" s="2593" t="s">
        <v>5193</v>
      </c>
      <c r="F304" s="2593" t="s">
        <v>5194</v>
      </c>
      <c r="G304" s="2593" t="s">
        <v>1893</v>
      </c>
      <c r="H304" s="2593" t="s">
        <v>357</v>
      </c>
      <c r="I304" s="2593" t="s">
        <v>5193</v>
      </c>
      <c r="J304" s="2593" t="s">
        <v>5194</v>
      </c>
      <c r="K304" s="2593" t="s">
        <v>1893</v>
      </c>
      <c r="L304" s="255"/>
      <c r="M304" s="255"/>
      <c r="N304" s="255"/>
      <c r="O304" s="255"/>
      <c r="P304" s="255"/>
      <c r="Q304" s="255"/>
      <c r="R304" s="255"/>
      <c r="S304" s="255"/>
      <c r="T304" s="255"/>
      <c r="U304" s="255"/>
      <c r="V304" s="255"/>
      <c r="W304" s="255"/>
      <c r="X304" s="255"/>
      <c r="Y304" s="255"/>
      <c r="Z304" s="255"/>
      <c r="AA304" s="255"/>
      <c r="AB304" s="255"/>
      <c r="AC304" s="255"/>
      <c r="AD304" s="255"/>
      <c r="AE304" s="255"/>
      <c r="AF304" s="255"/>
      <c r="AG304" s="255"/>
      <c r="AH304" s="255"/>
      <c r="AI304" s="255"/>
      <c r="AJ304" s="255"/>
      <c r="AK304" s="255"/>
      <c r="AL304" s="255"/>
      <c r="AM304" s="255"/>
      <c r="AN304" s="255"/>
      <c r="AO304" s="255"/>
      <c r="AP304" s="255"/>
      <c r="AQ304" s="255"/>
      <c r="AR304" s="255"/>
      <c r="AS304" s="255"/>
      <c r="AT304" s="255"/>
      <c r="AU304" s="255"/>
      <c r="AV304" s="255"/>
      <c r="AW304" s="255"/>
      <c r="AX304" s="255"/>
      <c r="AY304" s="255"/>
      <c r="AZ304" s="255"/>
      <c r="BA304" s="255"/>
      <c r="BB304" s="255"/>
      <c r="BC304" s="255"/>
      <c r="BD304" s="255"/>
      <c r="BE304" s="255"/>
      <c r="BF304" s="255"/>
      <c r="BG304" s="255"/>
      <c r="BH304" s="255"/>
      <c r="BI304" s="255"/>
      <c r="BJ304" s="255"/>
      <c r="BK304" s="255"/>
      <c r="BL304" s="255"/>
      <c r="BM304" s="255"/>
      <c r="BN304" s="255"/>
      <c r="BO304" s="255"/>
      <c r="BP304" s="255"/>
      <c r="BQ304" s="255"/>
      <c r="BR304" s="255"/>
      <c r="BS304" s="255"/>
      <c r="BT304" s="255"/>
      <c r="BU304" s="255"/>
    </row>
    <row r="305" spans="2:73">
      <c r="B305" s="2594" t="s">
        <v>298</v>
      </c>
      <c r="C305" s="2112" t="s">
        <v>242</v>
      </c>
      <c r="D305" s="2594">
        <v>162081.12</v>
      </c>
      <c r="E305" s="2594">
        <v>289793.89799999999</v>
      </c>
      <c r="F305" s="2594">
        <v>446355.90899999999</v>
      </c>
      <c r="G305" s="2594">
        <v>898230.92699999991</v>
      </c>
      <c r="H305" s="2594">
        <v>3175259614</v>
      </c>
      <c r="I305" s="2594">
        <v>6171438234</v>
      </c>
      <c r="J305" s="2594">
        <v>23527388316</v>
      </c>
      <c r="K305" s="138">
        <v>32874086164</v>
      </c>
      <c r="L305" s="255" t="b">
        <v>1</v>
      </c>
      <c r="M305" s="255"/>
      <c r="N305" s="255"/>
      <c r="O305" s="255"/>
      <c r="P305" s="255"/>
      <c r="Q305" s="255"/>
      <c r="R305" s="255"/>
      <c r="S305" s="255"/>
      <c r="T305" s="255"/>
      <c r="U305" s="255"/>
      <c r="V305" s="255"/>
      <c r="W305" s="255"/>
      <c r="X305" s="255"/>
      <c r="Y305" s="255"/>
      <c r="Z305" s="255"/>
      <c r="AA305" s="255"/>
      <c r="AB305" s="255"/>
      <c r="AC305" s="255"/>
      <c r="AD305" s="255"/>
      <c r="AE305" s="255"/>
      <c r="AF305" s="255"/>
      <c r="AG305" s="255"/>
      <c r="AH305" s="255"/>
      <c r="AI305" s="255"/>
      <c r="AJ305" s="255"/>
      <c r="AK305" s="255"/>
      <c r="AL305" s="255"/>
      <c r="AM305" s="255"/>
      <c r="AN305" s="255"/>
      <c r="AO305" s="255"/>
      <c r="AP305" s="255"/>
      <c r="AQ305" s="255"/>
      <c r="AR305" s="255"/>
      <c r="AS305" s="255"/>
      <c r="AT305" s="255"/>
      <c r="AU305" s="255"/>
      <c r="AV305" s="255"/>
      <c r="AW305" s="255"/>
      <c r="AX305" s="255"/>
      <c r="AY305" s="255"/>
      <c r="AZ305" s="255"/>
      <c r="BA305" s="255"/>
      <c r="BB305" s="255"/>
      <c r="BC305" s="255"/>
      <c r="BD305" s="255"/>
      <c r="BE305" s="255"/>
      <c r="BF305" s="255"/>
      <c r="BG305" s="255"/>
      <c r="BH305" s="255"/>
      <c r="BI305" s="255"/>
      <c r="BJ305" s="255"/>
      <c r="BK305" s="255"/>
      <c r="BL305" s="255"/>
      <c r="BM305" s="255"/>
      <c r="BN305" s="255"/>
      <c r="BO305" s="255"/>
      <c r="BP305" s="255"/>
      <c r="BQ305" s="255"/>
      <c r="BR305" s="255"/>
      <c r="BS305" s="255"/>
      <c r="BT305" s="255"/>
      <c r="BU305" s="255"/>
    </row>
    <row r="306" spans="2:73">
      <c r="B306" s="2595" t="s">
        <v>299</v>
      </c>
      <c r="C306" s="2123" t="s">
        <v>244</v>
      </c>
      <c r="D306" s="2595">
        <v>7179730</v>
      </c>
      <c r="E306" s="2595">
        <v>114215260</v>
      </c>
      <c r="F306" s="2595">
        <v>0</v>
      </c>
      <c r="G306" s="2595">
        <v>121394990</v>
      </c>
      <c r="H306" s="2595">
        <v>4138903000</v>
      </c>
      <c r="I306" s="2595">
        <v>58382287900</v>
      </c>
      <c r="J306" s="2595">
        <v>0</v>
      </c>
      <c r="K306" s="150">
        <v>62521190900</v>
      </c>
      <c r="L306" s="255" t="b">
        <v>1</v>
      </c>
      <c r="M306" s="255"/>
      <c r="N306" s="255"/>
      <c r="O306" s="255"/>
      <c r="P306" s="255"/>
      <c r="Q306" s="255"/>
      <c r="R306" s="255"/>
      <c r="S306" s="255"/>
      <c r="T306" s="255"/>
      <c r="U306" s="255"/>
      <c r="V306" s="255"/>
      <c r="W306" s="255"/>
      <c r="X306" s="255"/>
      <c r="Y306" s="255"/>
      <c r="Z306" s="255"/>
      <c r="AA306" s="255"/>
      <c r="AB306" s="255"/>
      <c r="AC306" s="255"/>
      <c r="AD306" s="255"/>
      <c r="AE306" s="255"/>
      <c r="AF306" s="255"/>
      <c r="AG306" s="255"/>
      <c r="AH306" s="255"/>
      <c r="AI306" s="255"/>
      <c r="AJ306" s="255"/>
      <c r="AK306" s="255"/>
      <c r="AL306" s="255"/>
      <c r="AM306" s="255"/>
      <c r="AN306" s="255"/>
      <c r="AO306" s="255"/>
      <c r="AP306" s="255"/>
      <c r="AQ306" s="255"/>
      <c r="AR306" s="255"/>
      <c r="AS306" s="255"/>
      <c r="AT306" s="255"/>
      <c r="AU306" s="255"/>
      <c r="AV306" s="255"/>
      <c r="AW306" s="255"/>
      <c r="AX306" s="255"/>
      <c r="AY306" s="255"/>
      <c r="AZ306" s="255"/>
      <c r="BA306" s="255"/>
      <c r="BB306" s="255"/>
      <c r="BC306" s="255"/>
      <c r="BD306" s="255"/>
      <c r="BE306" s="255"/>
      <c r="BF306" s="255"/>
      <c r="BG306" s="255"/>
      <c r="BH306" s="255"/>
      <c r="BI306" s="255"/>
      <c r="BJ306" s="255"/>
      <c r="BK306" s="255"/>
      <c r="BL306" s="255"/>
      <c r="BM306" s="255"/>
      <c r="BN306" s="255"/>
      <c r="BO306" s="255"/>
      <c r="BP306" s="255"/>
      <c r="BQ306" s="255"/>
      <c r="BR306" s="255"/>
      <c r="BS306" s="255"/>
      <c r="BT306" s="255"/>
      <c r="BU306" s="255"/>
    </row>
    <row r="307" spans="2:73">
      <c r="B307" s="2595" t="s">
        <v>300</v>
      </c>
      <c r="C307" s="2123" t="s">
        <v>246</v>
      </c>
      <c r="D307" s="2595">
        <v>7394.62</v>
      </c>
      <c r="E307" s="2595">
        <v>0</v>
      </c>
      <c r="F307" s="2595">
        <v>0</v>
      </c>
      <c r="G307" s="2595">
        <v>7394.62</v>
      </c>
      <c r="H307" s="2595">
        <v>1532408400</v>
      </c>
      <c r="I307" s="2595">
        <v>0</v>
      </c>
      <c r="J307" s="2595">
        <v>0</v>
      </c>
      <c r="K307" s="150">
        <v>1532408400</v>
      </c>
      <c r="L307" s="255" t="b">
        <v>1</v>
      </c>
      <c r="M307" s="255"/>
      <c r="N307" s="255"/>
      <c r="O307" s="255"/>
      <c r="P307" s="255"/>
      <c r="Q307" s="255"/>
      <c r="R307" s="255"/>
      <c r="S307" s="255"/>
      <c r="T307" s="255"/>
      <c r="U307" s="255"/>
      <c r="V307" s="255"/>
      <c r="W307" s="255"/>
      <c r="X307" s="255"/>
      <c r="Y307" s="255"/>
      <c r="Z307" s="255"/>
      <c r="AA307" s="255"/>
      <c r="AB307" s="255"/>
      <c r="AC307" s="255"/>
      <c r="AD307" s="255"/>
      <c r="AE307" s="255"/>
      <c r="AF307" s="255"/>
      <c r="AG307" s="255"/>
      <c r="AH307" s="255"/>
      <c r="AI307" s="255"/>
      <c r="AJ307" s="255"/>
      <c r="AK307" s="255"/>
      <c r="AL307" s="255"/>
      <c r="AM307" s="255"/>
      <c r="AN307" s="255"/>
      <c r="AO307" s="255"/>
      <c r="AP307" s="255"/>
      <c r="AQ307" s="255"/>
      <c r="AR307" s="255"/>
      <c r="AS307" s="255"/>
      <c r="AT307" s="255"/>
      <c r="AU307" s="255"/>
      <c r="AV307" s="255"/>
      <c r="AW307" s="255"/>
      <c r="AX307" s="255"/>
      <c r="AY307" s="255"/>
      <c r="AZ307" s="255"/>
      <c r="BA307" s="255"/>
      <c r="BB307" s="255"/>
      <c r="BC307" s="255"/>
      <c r="BD307" s="255"/>
      <c r="BE307" s="255"/>
      <c r="BF307" s="255"/>
      <c r="BG307" s="255"/>
      <c r="BH307" s="255"/>
      <c r="BI307" s="255"/>
      <c r="BJ307" s="255"/>
      <c r="BK307" s="255"/>
      <c r="BL307" s="255"/>
      <c r="BM307" s="255"/>
      <c r="BN307" s="255"/>
      <c r="BO307" s="255"/>
      <c r="BP307" s="255"/>
      <c r="BQ307" s="255"/>
      <c r="BR307" s="255"/>
      <c r="BS307" s="255"/>
      <c r="BT307" s="255"/>
      <c r="BU307" s="255"/>
    </row>
    <row r="308" spans="2:73">
      <c r="B308" s="2595" t="s">
        <v>301</v>
      </c>
      <c r="C308" s="2123" t="s">
        <v>246</v>
      </c>
      <c r="D308" s="2595">
        <v>84169.82</v>
      </c>
      <c r="E308" s="2595">
        <v>0</v>
      </c>
      <c r="F308" s="2595">
        <v>0</v>
      </c>
      <c r="G308" s="2595">
        <v>84169.82</v>
      </c>
      <c r="H308" s="2595">
        <v>673358560</v>
      </c>
      <c r="I308" s="2595">
        <v>0</v>
      </c>
      <c r="J308" s="2595">
        <v>0</v>
      </c>
      <c r="K308" s="150">
        <v>673358560</v>
      </c>
      <c r="L308" s="255" t="b">
        <v>1</v>
      </c>
      <c r="M308" s="255"/>
      <c r="N308" s="255"/>
      <c r="O308" s="255"/>
      <c r="P308" s="255"/>
      <c r="Q308" s="255"/>
      <c r="R308" s="255"/>
      <c r="S308" s="255"/>
      <c r="T308" s="255"/>
      <c r="U308" s="255"/>
      <c r="V308" s="255"/>
      <c r="W308" s="255"/>
      <c r="X308" s="255"/>
      <c r="Y308" s="255"/>
      <c r="Z308" s="255"/>
      <c r="AA308" s="255"/>
      <c r="AB308" s="255"/>
      <c r="AC308" s="255"/>
      <c r="AD308" s="255"/>
      <c r="AE308" s="255"/>
      <c r="AF308" s="255"/>
      <c r="AG308" s="255"/>
      <c r="AH308" s="255"/>
      <c r="AI308" s="255"/>
      <c r="AJ308" s="255"/>
      <c r="AK308" s="255"/>
      <c r="AL308" s="255"/>
      <c r="AM308" s="255"/>
      <c r="AN308" s="255"/>
      <c r="AO308" s="255"/>
      <c r="AP308" s="255"/>
      <c r="AQ308" s="255"/>
      <c r="AR308" s="255"/>
      <c r="AS308" s="255"/>
      <c r="AT308" s="255"/>
      <c r="AU308" s="255"/>
      <c r="AV308" s="255"/>
      <c r="AW308" s="255"/>
      <c r="AX308" s="255"/>
      <c r="AY308" s="255"/>
      <c r="AZ308" s="255"/>
      <c r="BA308" s="255"/>
      <c r="BB308" s="255"/>
      <c r="BC308" s="255"/>
      <c r="BD308" s="255"/>
      <c r="BE308" s="255"/>
      <c r="BF308" s="255"/>
      <c r="BG308" s="255"/>
      <c r="BH308" s="255"/>
      <c r="BI308" s="255"/>
      <c r="BJ308" s="255"/>
      <c r="BK308" s="255"/>
      <c r="BL308" s="255"/>
      <c r="BM308" s="255"/>
      <c r="BN308" s="255"/>
      <c r="BO308" s="255"/>
      <c r="BP308" s="255"/>
      <c r="BQ308" s="255"/>
      <c r="BR308" s="255"/>
      <c r="BS308" s="255"/>
      <c r="BT308" s="255"/>
      <c r="BU308" s="255"/>
    </row>
    <row r="309" spans="2:73">
      <c r="B309" s="2595" t="s">
        <v>302</v>
      </c>
      <c r="C309" s="2123" t="s">
        <v>250</v>
      </c>
      <c r="D309" s="2595">
        <v>2757.2620000000002</v>
      </c>
      <c r="E309" s="2595">
        <v>0</v>
      </c>
      <c r="F309" s="2595">
        <v>428.51499999999999</v>
      </c>
      <c r="G309" s="2595">
        <v>3185.777</v>
      </c>
      <c r="H309" s="2595">
        <v>9469185317</v>
      </c>
      <c r="I309" s="2595">
        <v>5102148</v>
      </c>
      <c r="J309" s="2595">
        <v>1741403849</v>
      </c>
      <c r="K309" s="150">
        <v>11215691314</v>
      </c>
      <c r="L309" s="255" t="b">
        <v>1</v>
      </c>
      <c r="M309" s="255"/>
      <c r="N309" s="255"/>
      <c r="O309" s="255"/>
      <c r="P309" s="255"/>
      <c r="Q309" s="255"/>
      <c r="R309" s="255"/>
      <c r="S309" s="255"/>
      <c r="T309" s="255"/>
      <c r="U309" s="255"/>
      <c r="V309" s="255"/>
      <c r="W309" s="255"/>
      <c r="X309" s="255"/>
      <c r="Y309" s="255"/>
      <c r="Z309" s="255"/>
      <c r="AA309" s="255"/>
      <c r="AB309" s="255"/>
      <c r="AC309" s="255"/>
      <c r="AD309" s="255"/>
      <c r="AE309" s="255"/>
      <c r="AF309" s="255"/>
      <c r="AG309" s="255"/>
      <c r="AH309" s="255"/>
      <c r="AI309" s="255"/>
      <c r="AJ309" s="255"/>
      <c r="AK309" s="255"/>
      <c r="AL309" s="255"/>
      <c r="AM309" s="255"/>
      <c r="AN309" s="255"/>
      <c r="AO309" s="255"/>
      <c r="AP309" s="255"/>
      <c r="AQ309" s="255"/>
      <c r="AR309" s="255"/>
      <c r="AS309" s="255"/>
      <c r="AT309" s="255"/>
      <c r="AU309" s="255"/>
      <c r="AV309" s="255"/>
      <c r="AW309" s="255"/>
      <c r="AX309" s="255"/>
      <c r="AY309" s="255"/>
      <c r="AZ309" s="255"/>
      <c r="BA309" s="255"/>
      <c r="BB309" s="255"/>
      <c r="BC309" s="255"/>
      <c r="BD309" s="255"/>
      <c r="BE309" s="255"/>
      <c r="BF309" s="255"/>
      <c r="BG309" s="255"/>
      <c r="BH309" s="255"/>
      <c r="BI309" s="255"/>
      <c r="BJ309" s="255"/>
      <c r="BK309" s="255"/>
      <c r="BL309" s="255"/>
      <c r="BM309" s="255"/>
      <c r="BN309" s="255"/>
      <c r="BO309" s="255"/>
      <c r="BP309" s="255"/>
      <c r="BQ309" s="255"/>
      <c r="BR309" s="255"/>
      <c r="BS309" s="255"/>
      <c r="BT309" s="255"/>
      <c r="BU309" s="255"/>
    </row>
    <row r="310" spans="2:73">
      <c r="B310" s="2595" t="s">
        <v>303</v>
      </c>
      <c r="C310" s="2123" t="s">
        <v>252</v>
      </c>
      <c r="D310" s="2595">
        <v>286940</v>
      </c>
      <c r="E310" s="2595">
        <v>0</v>
      </c>
      <c r="F310" s="2595">
        <v>0</v>
      </c>
      <c r="G310" s="2595">
        <v>286940</v>
      </c>
      <c r="H310" s="2595">
        <v>9545495508</v>
      </c>
      <c r="I310" s="2595">
        <v>0</v>
      </c>
      <c r="J310" s="2595">
        <v>0</v>
      </c>
      <c r="K310" s="150">
        <v>9545495508</v>
      </c>
      <c r="L310" s="255" t="b">
        <v>1</v>
      </c>
      <c r="M310" s="255"/>
      <c r="N310" s="255"/>
      <c r="O310" s="255"/>
      <c r="P310" s="255"/>
      <c r="Q310" s="255"/>
      <c r="R310" s="255"/>
      <c r="S310" s="255"/>
      <c r="T310" s="255"/>
      <c r="U310" s="255"/>
      <c r="V310" s="255"/>
      <c r="W310" s="255"/>
      <c r="X310" s="255"/>
      <c r="Y310" s="255"/>
      <c r="Z310" s="255"/>
      <c r="AA310" s="255"/>
      <c r="AB310" s="255"/>
      <c r="AC310" s="255"/>
      <c r="AD310" s="255"/>
      <c r="AE310" s="255"/>
      <c r="AF310" s="255"/>
      <c r="AG310" s="255"/>
      <c r="AH310" s="255"/>
      <c r="AI310" s="255"/>
      <c r="AJ310" s="255"/>
      <c r="AK310" s="255"/>
      <c r="AL310" s="255"/>
      <c r="AM310" s="255"/>
      <c r="AN310" s="255"/>
      <c r="AO310" s="255"/>
      <c r="AP310" s="255"/>
      <c r="AQ310" s="255"/>
      <c r="AR310" s="255"/>
      <c r="AS310" s="255"/>
      <c r="AT310" s="255"/>
      <c r="AU310" s="255"/>
      <c r="AV310" s="255"/>
      <c r="AW310" s="255"/>
      <c r="AX310" s="255"/>
      <c r="AY310" s="255"/>
      <c r="AZ310" s="255"/>
      <c r="BA310" s="255"/>
      <c r="BB310" s="255"/>
      <c r="BC310" s="255"/>
      <c r="BD310" s="255"/>
      <c r="BE310" s="255"/>
      <c r="BF310" s="255"/>
      <c r="BG310" s="255"/>
      <c r="BH310" s="255"/>
      <c r="BI310" s="255"/>
      <c r="BJ310" s="255"/>
      <c r="BK310" s="255"/>
      <c r="BL310" s="255"/>
      <c r="BM310" s="255"/>
      <c r="BN310" s="255"/>
      <c r="BO310" s="255"/>
      <c r="BP310" s="255"/>
      <c r="BQ310" s="255"/>
      <c r="BR310" s="255"/>
      <c r="BS310" s="255"/>
      <c r="BT310" s="255"/>
      <c r="BU310" s="255"/>
    </row>
    <row r="311" spans="2:73">
      <c r="B311" s="2595" t="s">
        <v>304</v>
      </c>
      <c r="C311" s="2123" t="s">
        <v>246</v>
      </c>
      <c r="D311" s="2595">
        <v>300</v>
      </c>
      <c r="E311" s="2595">
        <v>0</v>
      </c>
      <c r="F311" s="2595">
        <v>21300</v>
      </c>
      <c r="G311" s="2595">
        <v>21600</v>
      </c>
      <c r="H311" s="2595">
        <v>27496800</v>
      </c>
      <c r="I311" s="2595">
        <v>0</v>
      </c>
      <c r="J311" s="2595">
        <v>1602366366</v>
      </c>
      <c r="K311" s="150">
        <v>1629863166</v>
      </c>
      <c r="L311" s="255" t="b">
        <v>1</v>
      </c>
      <c r="M311" s="255"/>
      <c r="N311" s="255"/>
      <c r="O311" s="255"/>
      <c r="P311" s="255"/>
      <c r="Q311" s="255"/>
      <c r="R311" s="255"/>
      <c r="S311" s="255"/>
      <c r="T311" s="255"/>
      <c r="U311" s="255"/>
      <c r="V311" s="255"/>
      <c r="W311" s="255"/>
      <c r="X311" s="255"/>
      <c r="Y311" s="255"/>
      <c r="Z311" s="255"/>
      <c r="AA311" s="255"/>
      <c r="AB311" s="255"/>
      <c r="AC311" s="255"/>
      <c r="AD311" s="255"/>
      <c r="AE311" s="255"/>
      <c r="AF311" s="255"/>
      <c r="AG311" s="255"/>
      <c r="AH311" s="255"/>
      <c r="AI311" s="255"/>
      <c r="AJ311" s="255"/>
      <c r="AK311" s="255"/>
      <c r="AL311" s="255"/>
      <c r="AM311" s="255"/>
      <c r="AN311" s="255"/>
      <c r="AO311" s="255"/>
      <c r="AP311" s="255"/>
      <c r="AQ311" s="255"/>
      <c r="AR311" s="255"/>
      <c r="AS311" s="255"/>
      <c r="AT311" s="255"/>
      <c r="AU311" s="255"/>
      <c r="AV311" s="255"/>
      <c r="AW311" s="255"/>
      <c r="AX311" s="255"/>
      <c r="AY311" s="255"/>
      <c r="AZ311" s="255"/>
      <c r="BA311" s="255"/>
      <c r="BB311" s="255"/>
      <c r="BC311" s="255"/>
      <c r="BD311" s="255"/>
      <c r="BE311" s="255"/>
      <c r="BF311" s="255"/>
      <c r="BG311" s="255"/>
      <c r="BH311" s="255"/>
      <c r="BI311" s="255"/>
      <c r="BJ311" s="255"/>
      <c r="BK311" s="255"/>
      <c r="BL311" s="255"/>
      <c r="BM311" s="255"/>
      <c r="BN311" s="255"/>
      <c r="BO311" s="255"/>
      <c r="BP311" s="255"/>
      <c r="BQ311" s="255"/>
      <c r="BR311" s="255"/>
      <c r="BS311" s="255"/>
      <c r="BT311" s="255"/>
      <c r="BU311" s="255"/>
    </row>
    <row r="312" spans="2:73">
      <c r="B312" s="2595" t="s">
        <v>305</v>
      </c>
      <c r="C312" s="2123" t="s">
        <v>246</v>
      </c>
      <c r="D312" s="2595">
        <v>0</v>
      </c>
      <c r="E312" s="2595">
        <v>0</v>
      </c>
      <c r="F312" s="2595">
        <v>72404</v>
      </c>
      <c r="G312" s="2595">
        <v>72404</v>
      </c>
      <c r="H312" s="2595">
        <v>0</v>
      </c>
      <c r="I312" s="2595">
        <v>0</v>
      </c>
      <c r="J312" s="2595">
        <v>41975112</v>
      </c>
      <c r="K312" s="150">
        <v>41975112</v>
      </c>
      <c r="L312" s="255" t="b">
        <v>1</v>
      </c>
      <c r="M312" s="255"/>
      <c r="N312" s="255"/>
      <c r="O312" s="255"/>
      <c r="P312" s="255"/>
      <c r="Q312" s="255"/>
      <c r="R312" s="255"/>
      <c r="S312" s="255"/>
      <c r="T312" s="255"/>
      <c r="U312" s="255"/>
      <c r="V312" s="255"/>
      <c r="W312" s="255"/>
      <c r="X312" s="255"/>
      <c r="Y312" s="255"/>
      <c r="Z312" s="255"/>
      <c r="AA312" s="255"/>
      <c r="AB312" s="255"/>
      <c r="AC312" s="255"/>
      <c r="AD312" s="255"/>
      <c r="AE312" s="255"/>
      <c r="AF312" s="255"/>
      <c r="AG312" s="255"/>
      <c r="AH312" s="255"/>
      <c r="AI312" s="255"/>
      <c r="AJ312" s="255"/>
      <c r="AK312" s="255"/>
      <c r="AL312" s="255"/>
      <c r="AM312" s="255"/>
      <c r="AN312" s="255"/>
      <c r="AO312" s="255"/>
      <c r="AP312" s="255"/>
      <c r="AQ312" s="255"/>
      <c r="AR312" s="255"/>
      <c r="AS312" s="255"/>
      <c r="AT312" s="255"/>
      <c r="AU312" s="255"/>
      <c r="AV312" s="255"/>
      <c r="AW312" s="255"/>
      <c r="AX312" s="255"/>
      <c r="AY312" s="255"/>
      <c r="AZ312" s="255"/>
      <c r="BA312" s="255"/>
      <c r="BB312" s="255"/>
      <c r="BC312" s="255"/>
      <c r="BD312" s="255"/>
      <c r="BE312" s="255"/>
      <c r="BF312" s="255"/>
      <c r="BG312" s="255"/>
      <c r="BH312" s="255"/>
      <c r="BI312" s="255"/>
      <c r="BJ312" s="255"/>
      <c r="BK312" s="255"/>
      <c r="BL312" s="255"/>
      <c r="BM312" s="255"/>
      <c r="BN312" s="255"/>
      <c r="BO312" s="255"/>
      <c r="BP312" s="255"/>
      <c r="BQ312" s="255"/>
      <c r="BR312" s="255"/>
      <c r="BS312" s="255"/>
      <c r="BT312" s="255"/>
      <c r="BU312" s="255"/>
    </row>
    <row r="313" spans="2:73">
      <c r="B313" s="2595" t="s">
        <v>306</v>
      </c>
      <c r="C313" s="2123" t="s">
        <v>246</v>
      </c>
      <c r="D313" s="2595">
        <v>0</v>
      </c>
      <c r="E313" s="2595">
        <v>0</v>
      </c>
      <c r="F313" s="2595">
        <v>27939</v>
      </c>
      <c r="G313" s="2595">
        <v>27939</v>
      </c>
      <c r="H313" s="2595">
        <v>0</v>
      </c>
      <c r="I313" s="2595">
        <v>0</v>
      </c>
      <c r="J313" s="2595">
        <v>83752420</v>
      </c>
      <c r="K313" s="150">
        <v>83752420</v>
      </c>
      <c r="L313" s="255" t="b">
        <v>1</v>
      </c>
      <c r="M313" s="255"/>
      <c r="N313" s="255"/>
      <c r="O313" s="255"/>
      <c r="P313" s="255"/>
      <c r="Q313" s="255"/>
      <c r="R313" s="255"/>
      <c r="S313" s="255"/>
      <c r="T313" s="255"/>
      <c r="U313" s="255"/>
      <c r="V313" s="255"/>
      <c r="W313" s="255"/>
      <c r="X313" s="255"/>
      <c r="Y313" s="255"/>
      <c r="Z313" s="255"/>
      <c r="AA313" s="255"/>
      <c r="AB313" s="255"/>
      <c r="AC313" s="255"/>
      <c r="AD313" s="255"/>
      <c r="AE313" s="255"/>
      <c r="AF313" s="255"/>
      <c r="AG313" s="255"/>
      <c r="AH313" s="255"/>
      <c r="AI313" s="255"/>
      <c r="AJ313" s="255"/>
      <c r="AK313" s="255"/>
      <c r="AL313" s="255"/>
      <c r="AM313" s="255"/>
      <c r="AN313" s="255"/>
      <c r="AO313" s="255"/>
      <c r="AP313" s="255"/>
      <c r="AQ313" s="255"/>
      <c r="AR313" s="255"/>
      <c r="AS313" s="255"/>
      <c r="AT313" s="255"/>
      <c r="AU313" s="255"/>
      <c r="AV313" s="255"/>
      <c r="AW313" s="255"/>
      <c r="AX313" s="255"/>
      <c r="AY313" s="255"/>
      <c r="AZ313" s="255"/>
      <c r="BA313" s="255"/>
      <c r="BB313" s="255"/>
      <c r="BC313" s="255"/>
      <c r="BD313" s="255"/>
      <c r="BE313" s="255"/>
      <c r="BF313" s="255"/>
      <c r="BG313" s="255"/>
      <c r="BH313" s="255"/>
      <c r="BI313" s="255"/>
      <c r="BJ313" s="255"/>
      <c r="BK313" s="255"/>
      <c r="BL313" s="255"/>
      <c r="BM313" s="255"/>
      <c r="BN313" s="255"/>
      <c r="BO313" s="255"/>
      <c r="BP313" s="255"/>
      <c r="BQ313" s="255"/>
      <c r="BR313" s="255"/>
      <c r="BS313" s="255"/>
      <c r="BT313" s="255"/>
      <c r="BU313" s="255"/>
    </row>
    <row r="314" spans="2:73">
      <c r="B314" s="2595" t="s">
        <v>307</v>
      </c>
      <c r="C314" s="2123" t="s">
        <v>258</v>
      </c>
      <c r="D314" s="2595">
        <v>106089.488</v>
      </c>
      <c r="E314" s="2595">
        <v>114625.152</v>
      </c>
      <c r="F314" s="2595">
        <v>234104.144</v>
      </c>
      <c r="G314" s="2595">
        <v>454818.78399999999</v>
      </c>
      <c r="H314" s="2595">
        <v>1034181812773</v>
      </c>
      <c r="I314" s="2595">
        <v>1181688050122</v>
      </c>
      <c r="J314" s="2595">
        <v>2453233207489</v>
      </c>
      <c r="K314" s="150">
        <v>4669103070384</v>
      </c>
      <c r="L314" s="255" t="b">
        <v>1</v>
      </c>
      <c r="M314" s="255"/>
      <c r="N314" s="255"/>
      <c r="O314" s="255"/>
      <c r="P314" s="255"/>
      <c r="Q314" s="255"/>
      <c r="R314" s="255"/>
      <c r="S314" s="255"/>
      <c r="T314" s="255"/>
      <c r="U314" s="255"/>
      <c r="V314" s="255"/>
      <c r="W314" s="255"/>
      <c r="X314" s="255"/>
      <c r="Y314" s="255"/>
      <c r="Z314" s="255"/>
      <c r="AA314" s="255"/>
      <c r="AB314" s="255"/>
      <c r="AC314" s="255"/>
      <c r="AD314" s="255"/>
      <c r="AE314" s="255"/>
      <c r="AF314" s="255"/>
      <c r="AG314" s="255"/>
      <c r="AH314" s="255"/>
      <c r="AI314" s="255"/>
      <c r="AJ314" s="255"/>
      <c r="AK314" s="255"/>
      <c r="AL314" s="255"/>
      <c r="AM314" s="255"/>
      <c r="AN314" s="255"/>
      <c r="AO314" s="255"/>
      <c r="AP314" s="255"/>
      <c r="AQ314" s="255"/>
      <c r="AR314" s="255"/>
      <c r="AS314" s="255"/>
      <c r="AT314" s="255"/>
      <c r="AU314" s="255"/>
      <c r="AV314" s="255"/>
      <c r="AW314" s="255"/>
      <c r="AX314" s="255"/>
      <c r="AY314" s="255"/>
      <c r="AZ314" s="255"/>
      <c r="BA314" s="255"/>
      <c r="BB314" s="255"/>
      <c r="BC314" s="255"/>
      <c r="BD314" s="255"/>
      <c r="BE314" s="255"/>
      <c r="BF314" s="255"/>
      <c r="BG314" s="255"/>
      <c r="BH314" s="255"/>
      <c r="BI314" s="255"/>
      <c r="BJ314" s="255"/>
      <c r="BK314" s="255"/>
      <c r="BL314" s="255"/>
      <c r="BM314" s="255"/>
      <c r="BN314" s="255"/>
      <c r="BO314" s="255"/>
      <c r="BP314" s="255"/>
      <c r="BQ314" s="255"/>
      <c r="BR314" s="255"/>
      <c r="BS314" s="255"/>
      <c r="BT314" s="255"/>
      <c r="BU314" s="255"/>
    </row>
    <row r="315" spans="2:73">
      <c r="B315" s="2595" t="s">
        <v>308</v>
      </c>
      <c r="C315" s="2123" t="s">
        <v>260</v>
      </c>
      <c r="D315" s="2595">
        <v>844439.02</v>
      </c>
      <c r="E315" s="2595">
        <v>0</v>
      </c>
      <c r="F315" s="2595">
        <v>0</v>
      </c>
      <c r="G315" s="2595">
        <v>844439.02</v>
      </c>
      <c r="H315" s="2595">
        <v>2178654769</v>
      </c>
      <c r="I315" s="2595">
        <v>0</v>
      </c>
      <c r="J315" s="2595">
        <v>0</v>
      </c>
      <c r="K315" s="150">
        <v>2178654769</v>
      </c>
      <c r="L315" s="255" t="b">
        <v>1</v>
      </c>
      <c r="M315" s="255"/>
      <c r="N315" s="255"/>
      <c r="O315" s="255"/>
      <c r="P315" s="255"/>
      <c r="Q315" s="255"/>
      <c r="R315" s="255"/>
      <c r="S315" s="255"/>
      <c r="T315" s="255"/>
      <c r="U315" s="255"/>
      <c r="V315" s="255"/>
      <c r="W315" s="255"/>
      <c r="X315" s="255"/>
      <c r="Y315" s="255"/>
      <c r="Z315" s="255"/>
      <c r="AA315" s="255"/>
      <c r="AB315" s="255"/>
      <c r="AC315" s="255"/>
      <c r="AD315" s="255"/>
      <c r="AE315" s="255"/>
      <c r="AF315" s="255"/>
      <c r="AG315" s="255"/>
      <c r="AH315" s="255"/>
      <c r="AI315" s="255"/>
      <c r="AJ315" s="255"/>
      <c r="AK315" s="255"/>
      <c r="AL315" s="255"/>
      <c r="AM315" s="255"/>
      <c r="AN315" s="255"/>
      <c r="AO315" s="255"/>
      <c r="AP315" s="255"/>
      <c r="AQ315" s="255"/>
      <c r="AR315" s="255"/>
      <c r="AS315" s="255"/>
      <c r="AT315" s="255"/>
      <c r="AU315" s="255"/>
      <c r="AV315" s="255"/>
      <c r="AW315" s="255"/>
      <c r="AX315" s="255"/>
      <c r="AY315" s="255"/>
      <c r="AZ315" s="255"/>
      <c r="BA315" s="255"/>
      <c r="BB315" s="255"/>
      <c r="BC315" s="255"/>
      <c r="BD315" s="255"/>
      <c r="BE315" s="255"/>
      <c r="BF315" s="255"/>
      <c r="BG315" s="255"/>
      <c r="BH315" s="255"/>
      <c r="BI315" s="255"/>
      <c r="BJ315" s="255"/>
      <c r="BK315" s="255"/>
      <c r="BL315" s="255"/>
      <c r="BM315" s="255"/>
      <c r="BN315" s="255"/>
      <c r="BO315" s="255"/>
      <c r="BP315" s="255"/>
      <c r="BQ315" s="255"/>
      <c r="BR315" s="255"/>
      <c r="BS315" s="255"/>
      <c r="BT315" s="255"/>
      <c r="BU315" s="255"/>
    </row>
    <row r="316" spans="2:73">
      <c r="B316" s="2595" t="s">
        <v>309</v>
      </c>
      <c r="C316" s="2123" t="s">
        <v>262</v>
      </c>
      <c r="D316" s="2595">
        <v>23949000</v>
      </c>
      <c r="E316" s="2595">
        <v>0</v>
      </c>
      <c r="F316" s="2595">
        <v>675000</v>
      </c>
      <c r="G316" s="2595">
        <v>24624000</v>
      </c>
      <c r="H316" s="2595">
        <v>1580746852509</v>
      </c>
      <c r="I316" s="2595">
        <v>0</v>
      </c>
      <c r="J316" s="2595">
        <v>44576399239</v>
      </c>
      <c r="K316" s="150">
        <v>1625323251748</v>
      </c>
      <c r="L316" s="255" t="b">
        <v>1</v>
      </c>
      <c r="M316" s="255"/>
      <c r="N316" s="255"/>
      <c r="O316" s="255"/>
      <c r="P316" s="255"/>
      <c r="Q316" s="255"/>
      <c r="R316" s="255"/>
      <c r="S316" s="255"/>
      <c r="T316" s="255"/>
      <c r="U316" s="255"/>
      <c r="V316" s="255"/>
      <c r="W316" s="255"/>
      <c r="X316" s="255"/>
      <c r="Y316" s="255"/>
      <c r="Z316" s="255"/>
      <c r="AA316" s="255"/>
      <c r="AB316" s="255"/>
      <c r="AC316" s="255"/>
      <c r="AD316" s="255"/>
      <c r="AE316" s="255"/>
      <c r="AF316" s="255"/>
      <c r="AG316" s="255"/>
      <c r="AH316" s="255"/>
      <c r="AI316" s="255"/>
      <c r="AJ316" s="255"/>
      <c r="AK316" s="255"/>
      <c r="AL316" s="255"/>
      <c r="AM316" s="255"/>
      <c r="AN316" s="255"/>
      <c r="AO316" s="255"/>
      <c r="AP316" s="255"/>
      <c r="AQ316" s="255"/>
      <c r="AR316" s="255"/>
      <c r="AS316" s="255"/>
      <c r="AT316" s="255"/>
      <c r="AU316" s="255"/>
      <c r="AV316" s="255"/>
      <c r="AW316" s="255"/>
      <c r="AX316" s="255"/>
      <c r="AY316" s="255"/>
      <c r="AZ316" s="255"/>
      <c r="BA316" s="255"/>
      <c r="BB316" s="255"/>
      <c r="BC316" s="255"/>
      <c r="BD316" s="255"/>
      <c r="BE316" s="255"/>
      <c r="BF316" s="255"/>
      <c r="BG316" s="255"/>
      <c r="BH316" s="255"/>
      <c r="BI316" s="255"/>
      <c r="BJ316" s="255"/>
      <c r="BK316" s="255"/>
      <c r="BL316" s="255"/>
      <c r="BM316" s="255"/>
      <c r="BN316" s="255"/>
      <c r="BO316" s="255"/>
      <c r="BP316" s="255"/>
      <c r="BQ316" s="255"/>
      <c r="BR316" s="255"/>
      <c r="BS316" s="255"/>
      <c r="BT316" s="255"/>
      <c r="BU316" s="255"/>
    </row>
    <row r="317" spans="2:73">
      <c r="B317" s="2595" t="s">
        <v>310</v>
      </c>
      <c r="C317" s="2123" t="s">
        <v>264</v>
      </c>
      <c r="D317" s="2595">
        <v>145400000</v>
      </c>
      <c r="E317" s="2595">
        <v>107490741</v>
      </c>
      <c r="F317" s="2595">
        <v>194428090</v>
      </c>
      <c r="G317" s="2595">
        <v>447318831</v>
      </c>
      <c r="H317" s="2595">
        <v>136717668625</v>
      </c>
      <c r="I317" s="2595">
        <v>101028539309</v>
      </c>
      <c r="J317" s="2595">
        <v>185269160929</v>
      </c>
      <c r="K317" s="150">
        <v>423015368863</v>
      </c>
      <c r="L317" s="255" t="b">
        <v>1</v>
      </c>
      <c r="M317" s="255"/>
      <c r="N317" s="255"/>
      <c r="O317" s="255"/>
      <c r="P317" s="255"/>
      <c r="Q317" s="255"/>
      <c r="R317" s="255"/>
      <c r="S317" s="255"/>
      <c r="T317" s="255"/>
      <c r="U317" s="255"/>
      <c r="V317" s="255"/>
      <c r="W317" s="255"/>
      <c r="X317" s="255"/>
      <c r="Y317" s="255"/>
      <c r="Z317" s="255"/>
      <c r="AA317" s="255"/>
      <c r="AB317" s="255"/>
      <c r="AC317" s="255"/>
      <c r="AD317" s="255"/>
      <c r="AE317" s="255"/>
      <c r="AF317" s="255"/>
      <c r="AG317" s="255"/>
      <c r="AH317" s="255"/>
      <c r="AI317" s="255"/>
      <c r="AJ317" s="255"/>
      <c r="AK317" s="255"/>
      <c r="AL317" s="255"/>
      <c r="AM317" s="255"/>
      <c r="AN317" s="255"/>
      <c r="AO317" s="255"/>
      <c r="AP317" s="255"/>
      <c r="AQ317" s="255"/>
      <c r="AR317" s="255"/>
      <c r="AS317" s="255"/>
      <c r="AT317" s="255"/>
      <c r="AU317" s="255"/>
      <c r="AV317" s="255"/>
      <c r="AW317" s="255"/>
      <c r="AX317" s="255"/>
      <c r="AY317" s="255"/>
      <c r="AZ317" s="255"/>
      <c r="BA317" s="255"/>
      <c r="BB317" s="255"/>
      <c r="BC317" s="255"/>
      <c r="BD317" s="255"/>
      <c r="BE317" s="255"/>
      <c r="BF317" s="255"/>
      <c r="BG317" s="255"/>
      <c r="BH317" s="255"/>
      <c r="BI317" s="255"/>
      <c r="BJ317" s="255"/>
      <c r="BK317" s="255"/>
      <c r="BL317" s="255"/>
      <c r="BM317" s="255"/>
      <c r="BN317" s="255"/>
      <c r="BO317" s="255"/>
      <c r="BP317" s="255"/>
      <c r="BQ317" s="255"/>
      <c r="BR317" s="255"/>
      <c r="BS317" s="255"/>
      <c r="BT317" s="255"/>
      <c r="BU317" s="255"/>
    </row>
    <row r="318" spans="2:73">
      <c r="B318" s="2595" t="s">
        <v>311</v>
      </c>
      <c r="C318" s="2123" t="s">
        <v>266</v>
      </c>
      <c r="D318" s="2595">
        <v>153974.39999999999</v>
      </c>
      <c r="E318" s="2595">
        <v>0</v>
      </c>
      <c r="F318" s="2595">
        <v>0</v>
      </c>
      <c r="G318" s="2595">
        <v>153974.39999999999</v>
      </c>
      <c r="H318" s="2595">
        <v>6344804645</v>
      </c>
      <c r="I318" s="2595">
        <v>0</v>
      </c>
      <c r="J318" s="2595">
        <v>0</v>
      </c>
      <c r="K318" s="150">
        <v>6344804645</v>
      </c>
      <c r="L318" s="255" t="b">
        <v>1</v>
      </c>
      <c r="M318" s="255"/>
      <c r="N318" s="255"/>
      <c r="O318" s="255"/>
      <c r="P318" s="255"/>
      <c r="Q318" s="255"/>
      <c r="R318" s="255"/>
      <c r="S318" s="255"/>
      <c r="T318" s="255"/>
      <c r="U318" s="255"/>
      <c r="V318" s="255"/>
      <c r="W318" s="255"/>
      <c r="X318" s="255"/>
      <c r="Y318" s="255"/>
      <c r="Z318" s="255"/>
      <c r="AA318" s="255"/>
      <c r="AB318" s="255"/>
      <c r="AC318" s="255"/>
      <c r="AD318" s="255"/>
      <c r="AE318" s="255"/>
      <c r="AF318" s="255"/>
      <c r="AG318" s="255"/>
      <c r="AH318" s="255"/>
      <c r="AI318" s="255"/>
      <c r="AJ318" s="255"/>
      <c r="AK318" s="255"/>
      <c r="AL318" s="255"/>
      <c r="AM318" s="255"/>
      <c r="AN318" s="255"/>
      <c r="AO318" s="255"/>
      <c r="AP318" s="255"/>
      <c r="AQ318" s="255"/>
      <c r="AR318" s="255"/>
      <c r="AS318" s="255"/>
      <c r="AT318" s="255"/>
      <c r="AU318" s="255"/>
      <c r="AV318" s="255"/>
      <c r="AW318" s="255"/>
      <c r="AX318" s="255"/>
      <c r="AY318" s="255"/>
      <c r="AZ318" s="255"/>
      <c r="BA318" s="255"/>
      <c r="BB318" s="255"/>
      <c r="BC318" s="255"/>
      <c r="BD318" s="255"/>
      <c r="BE318" s="255"/>
      <c r="BF318" s="255"/>
      <c r="BG318" s="255"/>
      <c r="BH318" s="255"/>
      <c r="BI318" s="255"/>
      <c r="BJ318" s="255"/>
      <c r="BK318" s="255"/>
      <c r="BL318" s="255"/>
      <c r="BM318" s="255"/>
      <c r="BN318" s="255"/>
      <c r="BO318" s="255"/>
      <c r="BP318" s="255"/>
      <c r="BQ318" s="255"/>
      <c r="BR318" s="255"/>
      <c r="BS318" s="255"/>
      <c r="BT318" s="255"/>
      <c r="BU318" s="255"/>
    </row>
    <row r="319" spans="2:73">
      <c r="B319" s="2595" t="s">
        <v>312</v>
      </c>
      <c r="C319" s="2123" t="s">
        <v>268</v>
      </c>
      <c r="D319" s="2595">
        <v>1125656.3</v>
      </c>
      <c r="E319" s="2595">
        <v>70000</v>
      </c>
      <c r="F319" s="2595">
        <v>0</v>
      </c>
      <c r="G319" s="2595">
        <v>1195656.3</v>
      </c>
      <c r="H319" s="2595">
        <v>105753713243</v>
      </c>
      <c r="I319" s="2595">
        <v>5040689785</v>
      </c>
      <c r="J319" s="2595">
        <v>0</v>
      </c>
      <c r="K319" s="150">
        <v>110794403028</v>
      </c>
      <c r="L319" s="255" t="b">
        <v>1</v>
      </c>
      <c r="M319" s="255"/>
      <c r="N319" s="255"/>
      <c r="O319" s="255"/>
      <c r="P319" s="255"/>
      <c r="Q319" s="255"/>
      <c r="R319" s="255"/>
      <c r="S319" s="255"/>
      <c r="T319" s="255"/>
      <c r="U319" s="255"/>
      <c r="V319" s="255"/>
      <c r="W319" s="255"/>
      <c r="X319" s="255"/>
      <c r="Y319" s="255"/>
      <c r="Z319" s="255"/>
      <c r="AA319" s="255"/>
      <c r="AB319" s="255"/>
      <c r="AC319" s="255"/>
      <c r="AD319" s="255"/>
      <c r="AE319" s="255"/>
      <c r="AF319" s="255"/>
      <c r="AG319" s="255"/>
      <c r="AH319" s="255"/>
      <c r="AI319" s="255"/>
      <c r="AJ319" s="255"/>
      <c r="AK319" s="255"/>
      <c r="AL319" s="255"/>
      <c r="AM319" s="255"/>
      <c r="AN319" s="255"/>
      <c r="AO319" s="255"/>
      <c r="AP319" s="255"/>
      <c r="AQ319" s="255"/>
      <c r="AR319" s="255"/>
      <c r="AS319" s="255"/>
      <c r="AT319" s="255"/>
      <c r="AU319" s="255"/>
      <c r="AV319" s="255"/>
      <c r="AW319" s="255"/>
      <c r="AX319" s="255"/>
      <c r="AY319" s="255"/>
      <c r="AZ319" s="255"/>
      <c r="BA319" s="255"/>
      <c r="BB319" s="255"/>
      <c r="BC319" s="255"/>
      <c r="BD319" s="255"/>
      <c r="BE319" s="255"/>
      <c r="BF319" s="255"/>
      <c r="BG319" s="255"/>
      <c r="BH319" s="255"/>
      <c r="BI319" s="255"/>
      <c r="BJ319" s="255"/>
      <c r="BK319" s="255"/>
      <c r="BL319" s="255"/>
      <c r="BM319" s="255"/>
      <c r="BN319" s="255"/>
      <c r="BO319" s="255"/>
      <c r="BP319" s="255"/>
      <c r="BQ319" s="255"/>
      <c r="BR319" s="255"/>
      <c r="BS319" s="255"/>
      <c r="BT319" s="255"/>
      <c r="BU319" s="255"/>
    </row>
    <row r="320" spans="2:73">
      <c r="B320" s="2595" t="s">
        <v>313</v>
      </c>
      <c r="C320" s="2123" t="s">
        <v>246</v>
      </c>
      <c r="D320" s="2595">
        <v>20250</v>
      </c>
      <c r="E320" s="2595">
        <v>54000</v>
      </c>
      <c r="F320" s="2595">
        <v>190000</v>
      </c>
      <c r="G320" s="2595">
        <v>264250</v>
      </c>
      <c r="H320" s="2595">
        <v>521326600</v>
      </c>
      <c r="I320" s="2595">
        <v>886443168</v>
      </c>
      <c r="J320" s="2595">
        <v>2997032067</v>
      </c>
      <c r="K320" s="150">
        <v>4404801835</v>
      </c>
      <c r="L320" s="255" t="b">
        <v>1</v>
      </c>
      <c r="M320" s="255"/>
      <c r="N320" s="255"/>
      <c r="O320" s="255"/>
      <c r="P320" s="255"/>
      <c r="Q320" s="255"/>
      <c r="R320" s="255"/>
      <c r="S320" s="255"/>
      <c r="T320" s="255"/>
      <c r="U320" s="255"/>
      <c r="V320" s="255"/>
      <c r="W320" s="255"/>
      <c r="X320" s="255"/>
      <c r="Y320" s="255"/>
      <c r="Z320" s="255"/>
      <c r="AA320" s="255"/>
      <c r="AB320" s="255"/>
      <c r="AC320" s="255"/>
      <c r="AD320" s="255"/>
      <c r="AE320" s="255"/>
      <c r="AF320" s="255"/>
      <c r="AG320" s="255"/>
      <c r="AH320" s="255"/>
      <c r="AI320" s="255"/>
      <c r="AJ320" s="255"/>
      <c r="AK320" s="255"/>
      <c r="AL320" s="255"/>
      <c r="AM320" s="255"/>
      <c r="AN320" s="255"/>
      <c r="AO320" s="255"/>
      <c r="AP320" s="255"/>
      <c r="AQ320" s="255"/>
      <c r="AR320" s="255"/>
      <c r="AS320" s="255"/>
      <c r="AT320" s="255"/>
      <c r="AU320" s="255"/>
      <c r="AV320" s="255"/>
      <c r="AW320" s="255"/>
      <c r="AX320" s="255"/>
      <c r="AY320" s="255"/>
      <c r="AZ320" s="255"/>
      <c r="BA320" s="255"/>
      <c r="BB320" s="255"/>
      <c r="BC320" s="255"/>
      <c r="BD320" s="255"/>
      <c r="BE320" s="255"/>
      <c r="BF320" s="255"/>
      <c r="BG320" s="255"/>
      <c r="BH320" s="255"/>
      <c r="BI320" s="255"/>
      <c r="BJ320" s="255"/>
      <c r="BK320" s="255"/>
      <c r="BL320" s="255"/>
      <c r="BM320" s="255"/>
      <c r="BN320" s="255"/>
      <c r="BO320" s="255"/>
      <c r="BP320" s="255"/>
      <c r="BQ320" s="255"/>
      <c r="BR320" s="255"/>
      <c r="BS320" s="255"/>
      <c r="BT320" s="255"/>
      <c r="BU320" s="255"/>
    </row>
    <row r="321" spans="2:73">
      <c r="B321" s="2595" t="s">
        <v>314</v>
      </c>
      <c r="C321" s="2123" t="s">
        <v>272</v>
      </c>
      <c r="D321" s="2595">
        <v>312011</v>
      </c>
      <c r="E321" s="2595">
        <v>0</v>
      </c>
      <c r="F321" s="2595">
        <v>1177745</v>
      </c>
      <c r="G321" s="2595">
        <v>1489756</v>
      </c>
      <c r="H321" s="2595">
        <v>3378622381</v>
      </c>
      <c r="I321" s="2595">
        <v>0</v>
      </c>
      <c r="J321" s="2595">
        <v>15233050117</v>
      </c>
      <c r="K321" s="150">
        <v>18611672498</v>
      </c>
      <c r="L321" s="255" t="b">
        <v>1</v>
      </c>
      <c r="M321" s="255"/>
      <c r="N321" s="255"/>
      <c r="O321" s="255"/>
      <c r="P321" s="255"/>
      <c r="Q321" s="255"/>
      <c r="R321" s="255"/>
      <c r="S321" s="255"/>
      <c r="T321" s="255"/>
      <c r="U321" s="255"/>
      <c r="V321" s="255"/>
      <c r="W321" s="255"/>
      <c r="X321" s="255"/>
      <c r="Y321" s="255"/>
      <c r="Z321" s="255"/>
      <c r="AA321" s="255"/>
      <c r="AB321" s="255"/>
      <c r="AC321" s="255"/>
      <c r="AD321" s="255"/>
      <c r="AE321" s="255"/>
      <c r="AF321" s="255"/>
      <c r="AG321" s="255"/>
      <c r="AH321" s="255"/>
      <c r="AI321" s="255"/>
      <c r="AJ321" s="255"/>
      <c r="AK321" s="255"/>
      <c r="AL321" s="255"/>
      <c r="AM321" s="255"/>
      <c r="AN321" s="255"/>
      <c r="AO321" s="255"/>
      <c r="AP321" s="255"/>
      <c r="AQ321" s="255"/>
      <c r="AR321" s="255"/>
      <c r="AS321" s="255"/>
      <c r="AT321" s="255"/>
      <c r="AU321" s="255"/>
      <c r="AV321" s="255"/>
      <c r="AW321" s="255"/>
      <c r="AX321" s="255"/>
      <c r="AY321" s="255"/>
      <c r="AZ321" s="255"/>
      <c r="BA321" s="255"/>
      <c r="BB321" s="255"/>
      <c r="BC321" s="255"/>
      <c r="BD321" s="255"/>
      <c r="BE321" s="255"/>
      <c r="BF321" s="255"/>
      <c r="BG321" s="255"/>
      <c r="BH321" s="255"/>
      <c r="BI321" s="255"/>
      <c r="BJ321" s="255"/>
      <c r="BK321" s="255"/>
      <c r="BL321" s="255"/>
      <c r="BM321" s="255"/>
      <c r="BN321" s="255"/>
      <c r="BO321" s="255"/>
      <c r="BP321" s="255"/>
      <c r="BQ321" s="255"/>
      <c r="BR321" s="255"/>
      <c r="BS321" s="255"/>
      <c r="BT321" s="255"/>
      <c r="BU321" s="255"/>
    </row>
    <row r="322" spans="2:73">
      <c r="B322" s="2595" t="s">
        <v>315</v>
      </c>
      <c r="C322" s="2123" t="s">
        <v>316</v>
      </c>
      <c r="D322" s="2595">
        <v>0</v>
      </c>
      <c r="E322" s="2595">
        <v>0</v>
      </c>
      <c r="F322" s="2595">
        <v>1820000</v>
      </c>
      <c r="G322" s="2595">
        <v>1820000</v>
      </c>
      <c r="H322" s="2595">
        <v>0</v>
      </c>
      <c r="I322" s="2595">
        <v>0</v>
      </c>
      <c r="J322" s="2595">
        <v>1824777666</v>
      </c>
      <c r="K322" s="150">
        <v>1824777666</v>
      </c>
      <c r="L322" s="255" t="b">
        <v>1</v>
      </c>
      <c r="M322" s="255"/>
      <c r="N322" s="255"/>
      <c r="O322" s="255"/>
      <c r="P322" s="255"/>
      <c r="Q322" s="255"/>
      <c r="R322" s="255"/>
      <c r="S322" s="255"/>
      <c r="T322" s="255"/>
      <c r="U322" s="255"/>
      <c r="V322" s="255"/>
      <c r="W322" s="255"/>
      <c r="X322" s="255"/>
      <c r="Y322" s="255"/>
      <c r="Z322" s="255"/>
      <c r="AA322" s="255"/>
      <c r="AB322" s="255"/>
      <c r="AC322" s="255"/>
      <c r="AD322" s="255"/>
      <c r="AE322" s="255"/>
      <c r="AF322" s="255"/>
      <c r="AG322" s="255"/>
      <c r="AH322" s="255"/>
      <c r="AI322" s="255"/>
      <c r="AJ322" s="255"/>
      <c r="AK322" s="255"/>
      <c r="AL322" s="255"/>
      <c r="AM322" s="255"/>
      <c r="AN322" s="255"/>
      <c r="AO322" s="255"/>
      <c r="AP322" s="255"/>
      <c r="AQ322" s="255"/>
      <c r="AR322" s="255"/>
      <c r="AS322" s="255"/>
      <c r="AT322" s="255"/>
      <c r="AU322" s="255"/>
      <c r="AV322" s="255"/>
      <c r="AW322" s="255"/>
      <c r="AX322" s="255"/>
      <c r="AY322" s="255"/>
      <c r="AZ322" s="255"/>
      <c r="BA322" s="255"/>
      <c r="BB322" s="255"/>
      <c r="BC322" s="255"/>
      <c r="BD322" s="255"/>
      <c r="BE322" s="255"/>
      <c r="BF322" s="255"/>
      <c r="BG322" s="255"/>
      <c r="BH322" s="255"/>
      <c r="BI322" s="255"/>
      <c r="BJ322" s="255"/>
      <c r="BK322" s="255"/>
      <c r="BL322" s="255"/>
      <c r="BM322" s="255"/>
      <c r="BN322" s="255"/>
      <c r="BO322" s="255"/>
      <c r="BP322" s="255"/>
      <c r="BQ322" s="255"/>
      <c r="BR322" s="255"/>
      <c r="BS322" s="255"/>
      <c r="BT322" s="255"/>
      <c r="BU322" s="255"/>
    </row>
    <row r="323" spans="2:73">
      <c r="B323" s="2595" t="s">
        <v>317</v>
      </c>
      <c r="C323" s="2123" t="s">
        <v>246</v>
      </c>
      <c r="D323" s="2595">
        <v>0</v>
      </c>
      <c r="E323" s="2595">
        <v>200000</v>
      </c>
      <c r="F323" s="150">
        <v>1499500</v>
      </c>
      <c r="G323" s="2595">
        <v>1699500</v>
      </c>
      <c r="H323" s="2595">
        <v>0</v>
      </c>
      <c r="I323" s="2595">
        <v>114127035</v>
      </c>
      <c r="J323" s="2595">
        <v>844086450</v>
      </c>
      <c r="K323" s="150">
        <v>958213485</v>
      </c>
      <c r="L323" s="255" t="b">
        <v>1</v>
      </c>
      <c r="M323" s="255"/>
      <c r="N323" s="255"/>
      <c r="O323" s="255"/>
      <c r="P323" s="255"/>
      <c r="Q323" s="255"/>
      <c r="R323" s="255"/>
      <c r="S323" s="255"/>
      <c r="T323" s="255"/>
      <c r="U323" s="255"/>
      <c r="V323" s="255"/>
      <c r="W323" s="255"/>
      <c r="X323" s="255"/>
      <c r="Y323" s="255"/>
      <c r="Z323" s="255"/>
      <c r="AA323" s="255"/>
      <c r="AB323" s="255"/>
      <c r="AC323" s="255"/>
      <c r="AD323" s="255"/>
      <c r="AE323" s="255"/>
      <c r="AF323" s="255"/>
      <c r="AG323" s="255"/>
      <c r="AH323" s="255"/>
      <c r="AI323" s="255"/>
      <c r="AJ323" s="255"/>
      <c r="AK323" s="255"/>
      <c r="AL323" s="255"/>
      <c r="AM323" s="255"/>
      <c r="AN323" s="255"/>
      <c r="AO323" s="255"/>
      <c r="AP323" s="255"/>
      <c r="AQ323" s="255"/>
      <c r="AR323" s="255"/>
      <c r="AS323" s="255"/>
      <c r="AT323" s="255"/>
      <c r="AU323" s="255"/>
      <c r="AV323" s="255"/>
      <c r="AW323" s="255"/>
      <c r="AX323" s="255"/>
      <c r="AY323" s="255"/>
      <c r="AZ323" s="255"/>
      <c r="BA323" s="255"/>
      <c r="BB323" s="255"/>
      <c r="BC323" s="255"/>
      <c r="BD323" s="255"/>
      <c r="BE323" s="255"/>
      <c r="BF323" s="255"/>
      <c r="BG323" s="255"/>
      <c r="BH323" s="255"/>
      <c r="BI323" s="255"/>
      <c r="BJ323" s="255"/>
      <c r="BK323" s="255"/>
      <c r="BL323" s="255"/>
      <c r="BM323" s="255"/>
      <c r="BN323" s="255"/>
      <c r="BO323" s="255"/>
      <c r="BP323" s="255"/>
      <c r="BQ323" s="255"/>
      <c r="BR323" s="255"/>
      <c r="BS323" s="255"/>
      <c r="BT323" s="255"/>
      <c r="BU323" s="255"/>
    </row>
    <row r="324" spans="2:73">
      <c r="B324" s="2596" t="s">
        <v>374</v>
      </c>
      <c r="C324" s="2134" t="s">
        <v>246</v>
      </c>
      <c r="D324" s="2596">
        <v>0</v>
      </c>
      <c r="E324" s="2596">
        <v>0</v>
      </c>
      <c r="F324" s="2597">
        <v>14613.075999999999</v>
      </c>
      <c r="G324" s="2596">
        <v>14613.075999999999</v>
      </c>
      <c r="H324" s="2596">
        <v>0</v>
      </c>
      <c r="I324" s="2596">
        <v>0</v>
      </c>
      <c r="J324" s="2596">
        <v>58705020359</v>
      </c>
      <c r="K324" s="161">
        <v>58705020359</v>
      </c>
      <c r="L324" s="255" t="b">
        <v>1</v>
      </c>
      <c r="M324" s="255"/>
      <c r="N324" s="255"/>
      <c r="O324" s="255"/>
      <c r="P324" s="255"/>
      <c r="Q324" s="255"/>
      <c r="R324" s="255"/>
      <c r="S324" s="255"/>
      <c r="T324" s="255"/>
      <c r="U324" s="255"/>
      <c r="V324" s="255"/>
      <c r="W324" s="255"/>
      <c r="X324" s="255"/>
      <c r="Y324" s="255"/>
      <c r="Z324" s="255"/>
      <c r="AA324" s="255"/>
      <c r="AB324" s="255"/>
      <c r="AC324" s="255"/>
      <c r="AD324" s="255"/>
      <c r="AE324" s="255"/>
      <c r="AF324" s="255"/>
      <c r="AG324" s="255"/>
      <c r="AH324" s="255"/>
      <c r="AI324" s="255"/>
      <c r="AJ324" s="255"/>
      <c r="AK324" s="255"/>
      <c r="AL324" s="255"/>
      <c r="AM324" s="255"/>
      <c r="AN324" s="255"/>
      <c r="AO324" s="255"/>
      <c r="AP324" s="255"/>
      <c r="AQ324" s="255"/>
      <c r="AR324" s="255"/>
      <c r="AS324" s="255"/>
      <c r="AT324" s="255"/>
      <c r="AU324" s="255"/>
      <c r="AV324" s="255"/>
      <c r="AW324" s="255"/>
      <c r="AX324" s="255"/>
      <c r="AY324" s="255"/>
      <c r="AZ324" s="255"/>
      <c r="BA324" s="255"/>
      <c r="BB324" s="255"/>
      <c r="BC324" s="255"/>
      <c r="BD324" s="255"/>
      <c r="BE324" s="255"/>
      <c r="BF324" s="255"/>
      <c r="BG324" s="255"/>
      <c r="BH324" s="255"/>
      <c r="BI324" s="255"/>
      <c r="BJ324" s="255"/>
      <c r="BK324" s="255"/>
      <c r="BL324" s="255"/>
      <c r="BM324" s="255"/>
      <c r="BN324" s="255"/>
      <c r="BO324" s="255"/>
      <c r="BP324" s="255"/>
      <c r="BQ324" s="255"/>
      <c r="BR324" s="255"/>
      <c r="BS324" s="255"/>
      <c r="BT324" s="255"/>
      <c r="BU324" s="255"/>
    </row>
    <row r="325" spans="2:73">
      <c r="B325" s="2598" t="s">
        <v>275</v>
      </c>
      <c r="C325" s="2598"/>
      <c r="D325" s="2598"/>
      <c r="E325" s="2598"/>
      <c r="F325" s="2598"/>
      <c r="G325" s="2598"/>
      <c r="H325" s="2598">
        <v>2898385562744</v>
      </c>
      <c r="I325" s="2598">
        <v>1353316677701</v>
      </c>
      <c r="J325" s="2598">
        <v>2789679620379</v>
      </c>
      <c r="K325" s="164">
        <v>7041381860824</v>
      </c>
      <c r="L325" s="255" t="b">
        <v>1</v>
      </c>
      <c r="M325" s="255"/>
      <c r="N325" s="255"/>
      <c r="O325" s="255"/>
      <c r="P325" s="255"/>
      <c r="Q325" s="255"/>
      <c r="R325" s="255"/>
      <c r="S325" s="255"/>
      <c r="T325" s="255"/>
      <c r="U325" s="255"/>
      <c r="V325" s="255"/>
      <c r="W325" s="255"/>
      <c r="X325" s="255"/>
      <c r="Y325" s="255"/>
      <c r="Z325" s="255"/>
      <c r="AA325" s="255"/>
      <c r="AB325" s="255"/>
      <c r="AC325" s="255"/>
      <c r="AD325" s="255"/>
      <c r="AE325" s="255"/>
      <c r="AF325" s="255"/>
      <c r="AG325" s="255"/>
      <c r="AH325" s="255"/>
      <c r="AI325" s="255"/>
      <c r="AJ325" s="255"/>
      <c r="AK325" s="255"/>
      <c r="AL325" s="255"/>
      <c r="AM325" s="255"/>
      <c r="AN325" s="255"/>
      <c r="AO325" s="255"/>
      <c r="AP325" s="255"/>
      <c r="AQ325" s="255"/>
      <c r="AR325" s="255"/>
      <c r="AS325" s="255"/>
      <c r="AT325" s="255"/>
      <c r="AU325" s="255"/>
      <c r="AV325" s="255"/>
      <c r="AW325" s="255"/>
      <c r="AX325" s="255"/>
      <c r="AY325" s="255"/>
      <c r="AZ325" s="255"/>
      <c r="BA325" s="255"/>
      <c r="BB325" s="255"/>
      <c r="BC325" s="255"/>
      <c r="BD325" s="255"/>
      <c r="BE325" s="255"/>
      <c r="BF325" s="255"/>
      <c r="BG325" s="255"/>
      <c r="BH325" s="255"/>
      <c r="BI325" s="255"/>
      <c r="BJ325" s="255"/>
      <c r="BK325" s="255"/>
      <c r="BL325" s="255"/>
      <c r="BM325" s="255"/>
      <c r="BN325" s="255"/>
      <c r="BO325" s="255"/>
      <c r="BP325" s="255"/>
      <c r="BQ325" s="255"/>
      <c r="BR325" s="255"/>
      <c r="BS325" s="255"/>
      <c r="BT325" s="255"/>
      <c r="BU325" s="255"/>
    </row>
  </sheetData>
  <mergeCells count="1">
    <mergeCell ref="H303:K303"/>
  </mergeCells>
  <phoneticPr fontId="1" type="noConversion"/>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BF71"/>
  <sheetViews>
    <sheetView workbookViewId="0"/>
  </sheetViews>
  <sheetFormatPr defaultColWidth="9" defaultRowHeight="12"/>
  <cols>
    <col min="1" max="1" width="9" style="3"/>
    <col min="2" max="2" width="21" style="3" bestFit="1" customWidth="1"/>
    <col min="3" max="3" width="21" style="3" customWidth="1"/>
    <col min="4" max="4" width="15" style="3" bestFit="1" customWidth="1"/>
    <col min="5" max="5" width="17.375" style="3" customWidth="1"/>
    <col min="6" max="6" width="15.375" style="3" customWidth="1"/>
    <col min="7" max="7" width="13" style="3" customWidth="1"/>
    <col min="8" max="8" width="12.125" style="3" customWidth="1"/>
    <col min="9" max="9" width="9.75" style="3" customWidth="1"/>
    <col min="10" max="10" width="10.25" style="3" customWidth="1"/>
    <col min="11" max="11" width="10.625" style="3" customWidth="1"/>
    <col min="12" max="12" width="17.375" style="3" bestFit="1" customWidth="1"/>
    <col min="13" max="13" width="15.375" style="3" bestFit="1" customWidth="1"/>
    <col min="14" max="15" width="13" style="3" bestFit="1" customWidth="1"/>
    <col min="16" max="16" width="12.125" style="3" bestFit="1" customWidth="1"/>
    <col min="17" max="23" width="13" style="3" bestFit="1" customWidth="1"/>
    <col min="24" max="24" width="12.125" style="3" bestFit="1" customWidth="1"/>
    <col min="25" max="26" width="13" style="3" bestFit="1" customWidth="1"/>
    <col min="27" max="27" width="15.875" style="3" bestFit="1" customWidth="1"/>
    <col min="28" max="28" width="14.75" style="3" bestFit="1" customWidth="1"/>
    <col min="29" max="29" width="13" style="3" bestFit="1" customWidth="1"/>
    <col min="30" max="30" width="10.625" style="3" bestFit="1" customWidth="1"/>
    <col min="31" max="31" width="13" style="3" bestFit="1" customWidth="1"/>
    <col min="32" max="32" width="12.125" style="3" bestFit="1" customWidth="1"/>
    <col min="33" max="33" width="10.625" style="3" bestFit="1" customWidth="1"/>
    <col min="34" max="35" width="12.125" style="3" bestFit="1" customWidth="1"/>
    <col min="36" max="36" width="13" style="3" bestFit="1" customWidth="1"/>
    <col min="37" max="37" width="9.75" style="3" bestFit="1" customWidth="1"/>
    <col min="38" max="38" width="13" style="3" bestFit="1" customWidth="1"/>
    <col min="39" max="39" width="15.875" style="3" bestFit="1" customWidth="1"/>
    <col min="40" max="40" width="13.625" style="3" bestFit="1" customWidth="1"/>
    <col min="41" max="41" width="12.125" style="3" bestFit="1" customWidth="1"/>
    <col min="42" max="42" width="10.625" style="3" bestFit="1" customWidth="1"/>
    <col min="43" max="43" width="12.125" style="3" bestFit="1" customWidth="1"/>
    <col min="44" max="44" width="9.125" style="3" bestFit="1" customWidth="1"/>
    <col min="45" max="45" width="13.625" style="3" bestFit="1" customWidth="1"/>
    <col min="46" max="46" width="9.125" style="3" bestFit="1" customWidth="1"/>
    <col min="47" max="48" width="12.125" style="3" bestFit="1" customWidth="1"/>
    <col min="49" max="49" width="10.625" style="3" bestFit="1" customWidth="1"/>
    <col min="50" max="50" width="15.875" style="3" bestFit="1" customWidth="1"/>
    <col min="51" max="51" width="13.625" style="3" bestFit="1" customWidth="1"/>
    <col min="52" max="52" width="12.125" style="3" bestFit="1" customWidth="1"/>
    <col min="53" max="53" width="14.75" style="3" bestFit="1" customWidth="1"/>
    <col min="54" max="55" width="12.125" style="3" bestFit="1" customWidth="1"/>
    <col min="56" max="56" width="9.125" style="3" bestFit="1" customWidth="1"/>
    <col min="57" max="57" width="15.875" style="3" bestFit="1" customWidth="1"/>
    <col min="58" max="58" width="14" style="3" bestFit="1" customWidth="1"/>
    <col min="59" max="16384" width="9" style="3"/>
  </cols>
  <sheetData>
    <row r="1" spans="1:58">
      <c r="B1" s="3">
        <v>2021</v>
      </c>
      <c r="V1" s="248">
        <v>33248.557627494454</v>
      </c>
    </row>
    <row r="2" spans="1:58" s="110" customFormat="1">
      <c r="B2" s="175" t="s">
        <v>185</v>
      </c>
      <c r="C2" s="175"/>
      <c r="D2" s="175" t="s">
        <v>187</v>
      </c>
      <c r="E2" s="176" t="s">
        <v>188</v>
      </c>
      <c r="F2" s="176" t="s">
        <v>189</v>
      </c>
      <c r="G2" s="176" t="s">
        <v>190</v>
      </c>
      <c r="H2" s="176" t="s">
        <v>202</v>
      </c>
      <c r="I2" s="176" t="s">
        <v>203</v>
      </c>
      <c r="J2" s="176" t="s">
        <v>204</v>
      </c>
      <c r="K2" s="176" t="s">
        <v>205</v>
      </c>
      <c r="L2" s="177" t="s">
        <v>375</v>
      </c>
      <c r="M2" s="177" t="s">
        <v>191</v>
      </c>
      <c r="N2" s="177" t="s">
        <v>277</v>
      </c>
      <c r="O2" s="177" t="s">
        <v>280</v>
      </c>
      <c r="P2" s="177" t="s">
        <v>282</v>
      </c>
      <c r="Q2" s="177" t="s">
        <v>284</v>
      </c>
      <c r="R2" s="177" t="s">
        <v>285</v>
      </c>
      <c r="S2" s="177" t="s">
        <v>286</v>
      </c>
      <c r="T2" s="177" t="s">
        <v>287</v>
      </c>
      <c r="U2" s="177" t="s">
        <v>288</v>
      </c>
      <c r="V2" s="177" t="s">
        <v>289</v>
      </c>
      <c r="W2" s="177" t="s">
        <v>290</v>
      </c>
      <c r="X2" s="177" t="s">
        <v>291</v>
      </c>
      <c r="Y2" s="177" t="s">
        <v>292</v>
      </c>
      <c r="Z2" s="177" t="s">
        <v>297</v>
      </c>
      <c r="AA2" s="175" t="s">
        <v>208</v>
      </c>
      <c r="AB2" s="178" t="s">
        <v>376</v>
      </c>
      <c r="AC2" s="178" t="s">
        <v>210</v>
      </c>
      <c r="AD2" s="178" t="s">
        <v>211</v>
      </c>
      <c r="AE2" s="178" t="s">
        <v>214</v>
      </c>
      <c r="AF2" s="178" t="s">
        <v>215</v>
      </c>
      <c r="AG2" s="178" t="s">
        <v>217</v>
      </c>
      <c r="AH2" s="178" t="s">
        <v>218</v>
      </c>
      <c r="AI2" s="178" t="s">
        <v>219</v>
      </c>
      <c r="AJ2" s="178" t="s">
        <v>220</v>
      </c>
      <c r="AK2" s="178" t="s">
        <v>221</v>
      </c>
      <c r="AL2" s="178" t="s">
        <v>222</v>
      </c>
      <c r="AM2" s="175" t="s">
        <v>144</v>
      </c>
      <c r="AN2" s="179" t="s">
        <v>377</v>
      </c>
      <c r="AO2" s="179" t="s">
        <v>224</v>
      </c>
      <c r="AP2" s="179" t="s">
        <v>226</v>
      </c>
      <c r="AQ2" s="179" t="s">
        <v>229</v>
      </c>
      <c r="AR2" s="179" t="s">
        <v>230</v>
      </c>
      <c r="AS2" s="180" t="s">
        <v>378</v>
      </c>
      <c r="AT2" s="180" t="s">
        <v>232</v>
      </c>
      <c r="AU2" s="180" t="s">
        <v>233</v>
      </c>
      <c r="AV2" s="180" t="s">
        <v>236</v>
      </c>
      <c r="AW2" s="180" t="s">
        <v>237</v>
      </c>
      <c r="AX2" s="175" t="s">
        <v>239</v>
      </c>
      <c r="AY2" s="249" t="s">
        <v>379</v>
      </c>
      <c r="AZ2" s="249" t="s">
        <v>369</v>
      </c>
      <c r="BA2" s="250" t="s">
        <v>380</v>
      </c>
      <c r="BB2" s="250" t="s">
        <v>370</v>
      </c>
      <c r="BC2" s="250" t="s">
        <v>371</v>
      </c>
      <c r="BD2" s="250" t="s">
        <v>372</v>
      </c>
      <c r="BE2" s="175" t="s">
        <v>373</v>
      </c>
    </row>
    <row r="3" spans="1:58">
      <c r="A3" s="3" t="s">
        <v>70</v>
      </c>
      <c r="B3" s="138" t="s">
        <v>298</v>
      </c>
      <c r="C3" s="138" t="s">
        <v>242</v>
      </c>
      <c r="D3" s="138">
        <v>1380000</v>
      </c>
      <c r="E3" s="141">
        <v>-13245200000</v>
      </c>
      <c r="F3" s="142">
        <v>-13245200000</v>
      </c>
      <c r="G3" s="142">
        <v>0</v>
      </c>
      <c r="H3" s="142">
        <v>0</v>
      </c>
      <c r="I3" s="142">
        <v>0</v>
      </c>
      <c r="J3" s="142">
        <v>0</v>
      </c>
      <c r="K3" s="142">
        <v>0</v>
      </c>
      <c r="L3" s="143">
        <v>41874753386</v>
      </c>
      <c r="M3" s="144">
        <v>0</v>
      </c>
      <c r="N3" s="144">
        <v>0</v>
      </c>
      <c r="O3" s="144">
        <v>5467946960</v>
      </c>
      <c r="P3" s="144">
        <v>338990142</v>
      </c>
      <c r="Q3" s="144">
        <v>6139080203</v>
      </c>
      <c r="R3" s="144">
        <v>11186477147</v>
      </c>
      <c r="S3" s="144">
        <v>-1073407246</v>
      </c>
      <c r="T3" s="144">
        <v>1932710910</v>
      </c>
      <c r="U3" s="144">
        <v>3284844642</v>
      </c>
      <c r="V3" s="144">
        <v>235301264</v>
      </c>
      <c r="W3" s="144">
        <v>2699640080</v>
      </c>
      <c r="X3" s="144">
        <v>2145420093</v>
      </c>
      <c r="Y3" s="144">
        <v>2522730391</v>
      </c>
      <c r="Z3" s="144">
        <v>6995018800</v>
      </c>
      <c r="AA3" s="138">
        <v>-55119953386</v>
      </c>
      <c r="AB3" s="147">
        <v>363127018</v>
      </c>
      <c r="AC3" s="148">
        <v>200005200</v>
      </c>
      <c r="AD3" s="148">
        <v>3600000</v>
      </c>
      <c r="AE3" s="148">
        <v>111480625</v>
      </c>
      <c r="AF3" s="148">
        <v>707927</v>
      </c>
      <c r="AG3" s="148">
        <v>15247741</v>
      </c>
      <c r="AH3" s="148">
        <v>0</v>
      </c>
      <c r="AI3" s="148">
        <v>2348330</v>
      </c>
      <c r="AJ3" s="148">
        <v>21749899</v>
      </c>
      <c r="AK3" s="148">
        <v>28253</v>
      </c>
      <c r="AL3" s="148">
        <v>7959043</v>
      </c>
      <c r="AM3" s="138">
        <v>-55483080404</v>
      </c>
      <c r="AN3" s="181">
        <v>0</v>
      </c>
      <c r="AO3" s="182">
        <v>0</v>
      </c>
      <c r="AP3" s="182">
        <v>0</v>
      </c>
      <c r="AQ3" s="182">
        <v>0</v>
      </c>
      <c r="AR3" s="182">
        <v>0</v>
      </c>
      <c r="AS3" s="183">
        <v>230000004</v>
      </c>
      <c r="AT3" s="184">
        <v>0</v>
      </c>
      <c r="AU3" s="184">
        <v>0</v>
      </c>
      <c r="AV3" s="184">
        <v>0</v>
      </c>
      <c r="AW3" s="184">
        <v>230000004</v>
      </c>
      <c r="AX3" s="138">
        <v>-55713080408</v>
      </c>
      <c r="AY3" s="251">
        <v>0</v>
      </c>
      <c r="AZ3" s="252">
        <v>0</v>
      </c>
      <c r="BA3" s="253">
        <v>0</v>
      </c>
      <c r="BB3" s="254">
        <v>0</v>
      </c>
      <c r="BC3" s="254">
        <v>0</v>
      </c>
      <c r="BD3" s="254">
        <v>0</v>
      </c>
      <c r="BE3" s="138">
        <v>-55713080408</v>
      </c>
      <c r="BF3" s="255">
        <v>-55713080408</v>
      </c>
    </row>
    <row r="4" spans="1:58">
      <c r="A4" s="3" t="s">
        <v>70</v>
      </c>
      <c r="B4" s="150" t="s">
        <v>299</v>
      </c>
      <c r="C4" s="138" t="s">
        <v>244</v>
      </c>
      <c r="D4" s="150">
        <v>132354000</v>
      </c>
      <c r="E4" s="153">
        <v>69265095380</v>
      </c>
      <c r="F4" s="154">
        <v>69265095380</v>
      </c>
      <c r="G4" s="154">
        <v>0</v>
      </c>
      <c r="H4" s="154">
        <v>0</v>
      </c>
      <c r="I4" s="154">
        <v>0</v>
      </c>
      <c r="J4" s="154">
        <v>0</v>
      </c>
      <c r="K4" s="154">
        <v>0</v>
      </c>
      <c r="L4" s="155">
        <v>28676958455</v>
      </c>
      <c r="M4" s="156">
        <v>0</v>
      </c>
      <c r="N4" s="156">
        <v>0</v>
      </c>
      <c r="O4" s="156">
        <v>6001970810</v>
      </c>
      <c r="P4" s="156">
        <v>410761311</v>
      </c>
      <c r="Q4" s="156">
        <v>10921433477</v>
      </c>
      <c r="R4" s="156">
        <v>746970784</v>
      </c>
      <c r="S4" s="156">
        <v>2689433478</v>
      </c>
      <c r="T4" s="156">
        <v>0</v>
      </c>
      <c r="U4" s="156">
        <v>1768223576</v>
      </c>
      <c r="V4" s="156">
        <v>0</v>
      </c>
      <c r="W4" s="156">
        <v>3535939635</v>
      </c>
      <c r="X4" s="156">
        <v>312270307</v>
      </c>
      <c r="Y4" s="156">
        <v>2289955077</v>
      </c>
      <c r="Z4" s="156">
        <v>0</v>
      </c>
      <c r="AA4" s="150">
        <v>40588136925</v>
      </c>
      <c r="AB4" s="159">
        <v>8477401640</v>
      </c>
      <c r="AC4" s="160">
        <v>8189741457</v>
      </c>
      <c r="AD4" s="160">
        <v>0</v>
      </c>
      <c r="AE4" s="160">
        <v>263111917</v>
      </c>
      <c r="AF4" s="160">
        <v>0</v>
      </c>
      <c r="AG4" s="160">
        <v>12068676</v>
      </c>
      <c r="AH4" s="160">
        <v>0</v>
      </c>
      <c r="AI4" s="160">
        <v>0</v>
      </c>
      <c r="AJ4" s="160">
        <v>10853200</v>
      </c>
      <c r="AK4" s="160">
        <v>0</v>
      </c>
      <c r="AL4" s="160">
        <v>1626390</v>
      </c>
      <c r="AM4" s="150">
        <v>32110735285</v>
      </c>
      <c r="AN4" s="185">
        <v>0</v>
      </c>
      <c r="AO4" s="186">
        <v>0</v>
      </c>
      <c r="AP4" s="186">
        <v>0</v>
      </c>
      <c r="AQ4" s="186">
        <v>0</v>
      </c>
      <c r="AR4" s="186">
        <v>0</v>
      </c>
      <c r="AS4" s="187">
        <v>0</v>
      </c>
      <c r="AT4" s="188">
        <v>0</v>
      </c>
      <c r="AU4" s="188">
        <v>0</v>
      </c>
      <c r="AV4" s="188">
        <v>0</v>
      </c>
      <c r="AW4" s="188">
        <v>0</v>
      </c>
      <c r="AX4" s="150">
        <v>32110735285</v>
      </c>
      <c r="AY4" s="256">
        <v>0</v>
      </c>
      <c r="AZ4" s="257">
        <v>0</v>
      </c>
      <c r="BA4" s="258">
        <v>0</v>
      </c>
      <c r="BB4" s="259">
        <v>0</v>
      </c>
      <c r="BC4" s="259">
        <v>0</v>
      </c>
      <c r="BD4" s="259">
        <v>0</v>
      </c>
      <c r="BE4" s="150">
        <v>32110735285</v>
      </c>
      <c r="BF4" s="255">
        <v>32110735285</v>
      </c>
    </row>
    <row r="5" spans="1:58">
      <c r="A5" s="3" t="s">
        <v>70</v>
      </c>
      <c r="B5" s="150" t="s">
        <v>300</v>
      </c>
      <c r="C5" s="138" t="s">
        <v>246</v>
      </c>
      <c r="D5" s="150">
        <v>11190</v>
      </c>
      <c r="E5" s="153">
        <v>2283700000</v>
      </c>
      <c r="F5" s="154">
        <v>2283700000</v>
      </c>
      <c r="G5" s="154">
        <v>0</v>
      </c>
      <c r="H5" s="154">
        <v>0</v>
      </c>
      <c r="I5" s="154">
        <v>0</v>
      </c>
      <c r="J5" s="154">
        <v>0</v>
      </c>
      <c r="K5" s="154">
        <v>0</v>
      </c>
      <c r="L5" s="155">
        <v>1826915431</v>
      </c>
      <c r="M5" s="156">
        <v>0</v>
      </c>
      <c r="N5" s="156">
        <v>160888171</v>
      </c>
      <c r="O5" s="156">
        <v>343313650</v>
      </c>
      <c r="P5" s="156">
        <v>21496995</v>
      </c>
      <c r="Q5" s="156">
        <v>270168885</v>
      </c>
      <c r="R5" s="156">
        <v>21363890</v>
      </c>
      <c r="S5" s="156">
        <v>344987808</v>
      </c>
      <c r="T5" s="156">
        <v>12928772</v>
      </c>
      <c r="U5" s="156">
        <v>404741665</v>
      </c>
      <c r="V5" s="156">
        <v>0</v>
      </c>
      <c r="W5" s="156">
        <v>108415637</v>
      </c>
      <c r="X5" s="156">
        <v>14021201</v>
      </c>
      <c r="Y5" s="156">
        <v>124588757</v>
      </c>
      <c r="Z5" s="156">
        <v>0</v>
      </c>
      <c r="AA5" s="150">
        <v>456784569</v>
      </c>
      <c r="AB5" s="159">
        <v>9118379</v>
      </c>
      <c r="AC5" s="160">
        <v>0</v>
      </c>
      <c r="AD5" s="160">
        <v>0</v>
      </c>
      <c r="AE5" s="160">
        <v>8683445</v>
      </c>
      <c r="AF5" s="160">
        <v>0</v>
      </c>
      <c r="AG5" s="160">
        <v>381324</v>
      </c>
      <c r="AH5" s="160">
        <v>0</v>
      </c>
      <c r="AI5" s="160">
        <v>0</v>
      </c>
      <c r="AJ5" s="160">
        <v>0</v>
      </c>
      <c r="AK5" s="160">
        <v>0</v>
      </c>
      <c r="AL5" s="160">
        <v>53610</v>
      </c>
      <c r="AM5" s="150">
        <v>447666190</v>
      </c>
      <c r="AN5" s="185">
        <v>0</v>
      </c>
      <c r="AO5" s="186">
        <v>0</v>
      </c>
      <c r="AP5" s="186">
        <v>0</v>
      </c>
      <c r="AQ5" s="186">
        <v>0</v>
      </c>
      <c r="AR5" s="186">
        <v>0</v>
      </c>
      <c r="AS5" s="187">
        <v>0</v>
      </c>
      <c r="AT5" s="188">
        <v>0</v>
      </c>
      <c r="AU5" s="188">
        <v>0</v>
      </c>
      <c r="AV5" s="188">
        <v>0</v>
      </c>
      <c r="AW5" s="188">
        <v>0</v>
      </c>
      <c r="AX5" s="150">
        <v>447666190</v>
      </c>
      <c r="AY5" s="256">
        <v>0</v>
      </c>
      <c r="AZ5" s="257">
        <v>0</v>
      </c>
      <c r="BA5" s="258">
        <v>0</v>
      </c>
      <c r="BB5" s="259">
        <v>0</v>
      </c>
      <c r="BC5" s="259">
        <v>0</v>
      </c>
      <c r="BD5" s="259">
        <v>0</v>
      </c>
      <c r="BE5" s="150">
        <v>447666190</v>
      </c>
      <c r="BF5" s="255">
        <v>447666190</v>
      </c>
    </row>
    <row r="6" spans="1:58">
      <c r="A6" s="3" t="s">
        <v>70</v>
      </c>
      <c r="B6" s="150" t="s">
        <v>301</v>
      </c>
      <c r="C6" s="138" t="s">
        <v>246</v>
      </c>
      <c r="D6" s="150">
        <v>103300</v>
      </c>
      <c r="E6" s="153">
        <v>723100000</v>
      </c>
      <c r="F6" s="154">
        <v>723100000</v>
      </c>
      <c r="G6" s="154">
        <v>0</v>
      </c>
      <c r="H6" s="154">
        <v>0</v>
      </c>
      <c r="I6" s="154">
        <v>0</v>
      </c>
      <c r="J6" s="154">
        <v>0</v>
      </c>
      <c r="K6" s="154">
        <v>0</v>
      </c>
      <c r="L6" s="155">
        <v>3072082900</v>
      </c>
      <c r="M6" s="156">
        <v>0</v>
      </c>
      <c r="N6" s="156">
        <v>1802365424</v>
      </c>
      <c r="O6" s="156">
        <v>473749697</v>
      </c>
      <c r="P6" s="156">
        <v>27469050</v>
      </c>
      <c r="Q6" s="156">
        <v>195254939</v>
      </c>
      <c r="R6" s="156">
        <v>50687425</v>
      </c>
      <c r="S6" s="156">
        <v>167742841</v>
      </c>
      <c r="T6" s="156">
        <v>129594</v>
      </c>
      <c r="U6" s="156">
        <v>85533185</v>
      </c>
      <c r="V6" s="156">
        <v>0</v>
      </c>
      <c r="W6" s="156">
        <v>17865683</v>
      </c>
      <c r="X6" s="156">
        <v>7335</v>
      </c>
      <c r="Y6" s="156">
        <v>251277727</v>
      </c>
      <c r="Z6" s="156">
        <v>0</v>
      </c>
      <c r="AA6" s="150">
        <v>-2348982900</v>
      </c>
      <c r="AB6" s="159">
        <v>145121847</v>
      </c>
      <c r="AC6" s="160">
        <v>123600000</v>
      </c>
      <c r="AD6" s="160">
        <v>0</v>
      </c>
      <c r="AE6" s="160">
        <v>18177675</v>
      </c>
      <c r="AF6" s="160">
        <v>0</v>
      </c>
      <c r="AG6" s="160">
        <v>2671213</v>
      </c>
      <c r="AH6" s="160">
        <v>0</v>
      </c>
      <c r="AI6" s="160">
        <v>0</v>
      </c>
      <c r="AJ6" s="160">
        <v>19181</v>
      </c>
      <c r="AK6" s="160">
        <v>0</v>
      </c>
      <c r="AL6" s="160">
        <v>653778</v>
      </c>
      <c r="AM6" s="150">
        <v>-2494104747</v>
      </c>
      <c r="AN6" s="185">
        <v>0</v>
      </c>
      <c r="AO6" s="186">
        <v>0</v>
      </c>
      <c r="AP6" s="186">
        <v>0</v>
      </c>
      <c r="AQ6" s="186">
        <v>0</v>
      </c>
      <c r="AR6" s="186">
        <v>0</v>
      </c>
      <c r="AS6" s="187">
        <v>0</v>
      </c>
      <c r="AT6" s="188">
        <v>0</v>
      </c>
      <c r="AU6" s="188">
        <v>0</v>
      </c>
      <c r="AV6" s="188">
        <v>0</v>
      </c>
      <c r="AW6" s="188">
        <v>0</v>
      </c>
      <c r="AX6" s="150">
        <v>-2494104747</v>
      </c>
      <c r="AY6" s="256">
        <v>0</v>
      </c>
      <c r="AZ6" s="257">
        <v>0</v>
      </c>
      <c r="BA6" s="258">
        <v>0</v>
      </c>
      <c r="BB6" s="259">
        <v>0</v>
      </c>
      <c r="BC6" s="259">
        <v>0</v>
      </c>
      <c r="BD6" s="259">
        <v>0</v>
      </c>
      <c r="BE6" s="150">
        <v>-2494104747</v>
      </c>
      <c r="BF6" s="255">
        <v>-2494104747</v>
      </c>
    </row>
    <row r="7" spans="1:58">
      <c r="A7" s="3" t="s">
        <v>70</v>
      </c>
      <c r="B7" s="150" t="s">
        <v>302</v>
      </c>
      <c r="C7" s="138" t="s">
        <v>250</v>
      </c>
      <c r="D7" s="150">
        <v>4590</v>
      </c>
      <c r="E7" s="153">
        <v>13267430400</v>
      </c>
      <c r="F7" s="154">
        <v>13267430400</v>
      </c>
      <c r="G7" s="154">
        <v>0</v>
      </c>
      <c r="H7" s="154">
        <v>0</v>
      </c>
      <c r="I7" s="154">
        <v>0</v>
      </c>
      <c r="J7" s="154">
        <v>0</v>
      </c>
      <c r="K7" s="154">
        <v>0</v>
      </c>
      <c r="L7" s="155">
        <v>5659973671</v>
      </c>
      <c r="M7" s="156">
        <v>788529422</v>
      </c>
      <c r="N7" s="156">
        <v>0</v>
      </c>
      <c r="O7" s="156">
        <v>1706391715</v>
      </c>
      <c r="P7" s="156">
        <v>133884097</v>
      </c>
      <c r="Q7" s="156">
        <v>1099065701</v>
      </c>
      <c r="R7" s="156">
        <v>22897443</v>
      </c>
      <c r="S7" s="156">
        <v>1040131044</v>
      </c>
      <c r="T7" s="156">
        <v>7252370</v>
      </c>
      <c r="U7" s="156">
        <v>352002511</v>
      </c>
      <c r="V7" s="156">
        <v>0</v>
      </c>
      <c r="W7" s="156">
        <v>130583317</v>
      </c>
      <c r="X7" s="156">
        <v>623639</v>
      </c>
      <c r="Y7" s="156">
        <v>266919820</v>
      </c>
      <c r="Z7" s="156">
        <v>111692592</v>
      </c>
      <c r="AA7" s="150">
        <v>7607456729</v>
      </c>
      <c r="AB7" s="159">
        <v>116568326</v>
      </c>
      <c r="AC7" s="160">
        <v>101441330</v>
      </c>
      <c r="AD7" s="160">
        <v>4452000</v>
      </c>
      <c r="AE7" s="160">
        <v>0</v>
      </c>
      <c r="AF7" s="160">
        <v>0</v>
      </c>
      <c r="AG7" s="160">
        <v>0</v>
      </c>
      <c r="AH7" s="160">
        <v>0</v>
      </c>
      <c r="AI7" s="160">
        <v>0</v>
      </c>
      <c r="AJ7" s="160">
        <v>10674996</v>
      </c>
      <c r="AK7" s="160">
        <v>0</v>
      </c>
      <c r="AL7" s="160">
        <v>0</v>
      </c>
      <c r="AM7" s="150">
        <v>7490888403</v>
      </c>
      <c r="AN7" s="185">
        <v>0</v>
      </c>
      <c r="AO7" s="186">
        <v>0</v>
      </c>
      <c r="AP7" s="186">
        <v>0</v>
      </c>
      <c r="AQ7" s="186">
        <v>0</v>
      </c>
      <c r="AR7" s="186">
        <v>0</v>
      </c>
      <c r="AS7" s="187">
        <v>0</v>
      </c>
      <c r="AT7" s="188">
        <v>0</v>
      </c>
      <c r="AU7" s="188">
        <v>0</v>
      </c>
      <c r="AV7" s="188">
        <v>0</v>
      </c>
      <c r="AW7" s="188">
        <v>0</v>
      </c>
      <c r="AX7" s="150">
        <v>7490888403</v>
      </c>
      <c r="AY7" s="256">
        <v>0</v>
      </c>
      <c r="AZ7" s="257">
        <v>0</v>
      </c>
      <c r="BA7" s="258">
        <v>0</v>
      </c>
      <c r="BB7" s="259">
        <v>0</v>
      </c>
      <c r="BC7" s="259">
        <v>0</v>
      </c>
      <c r="BD7" s="259">
        <v>0</v>
      </c>
      <c r="BE7" s="150">
        <v>7490888403</v>
      </c>
      <c r="BF7" s="255">
        <v>7490888403</v>
      </c>
    </row>
    <row r="8" spans="1:58">
      <c r="A8" s="3" t="s">
        <v>70</v>
      </c>
      <c r="B8" s="150" t="s">
        <v>303</v>
      </c>
      <c r="C8" s="138" t="s">
        <v>252</v>
      </c>
      <c r="D8" s="150">
        <v>477800</v>
      </c>
      <c r="E8" s="153">
        <v>14689310343</v>
      </c>
      <c r="F8" s="154">
        <v>14689310343</v>
      </c>
      <c r="G8" s="154">
        <v>0</v>
      </c>
      <c r="H8" s="154">
        <v>0</v>
      </c>
      <c r="I8" s="154">
        <v>0</v>
      </c>
      <c r="J8" s="154">
        <v>0</v>
      </c>
      <c r="K8" s="154">
        <v>0</v>
      </c>
      <c r="L8" s="155">
        <v>8989428346</v>
      </c>
      <c r="M8" s="156">
        <v>0</v>
      </c>
      <c r="N8" s="156">
        <v>0</v>
      </c>
      <c r="O8" s="156">
        <v>195109796</v>
      </c>
      <c r="P8" s="156">
        <v>16630585</v>
      </c>
      <c r="Q8" s="156">
        <v>860069859</v>
      </c>
      <c r="R8" s="156">
        <v>0</v>
      </c>
      <c r="S8" s="156">
        <v>7445520744</v>
      </c>
      <c r="T8" s="156">
        <v>5144057</v>
      </c>
      <c r="U8" s="156">
        <v>110216880</v>
      </c>
      <c r="V8" s="156">
        <v>0</v>
      </c>
      <c r="W8" s="156">
        <v>7254704</v>
      </c>
      <c r="X8" s="156">
        <v>0</v>
      </c>
      <c r="Y8" s="156">
        <v>349481721</v>
      </c>
      <c r="Z8" s="156">
        <v>0</v>
      </c>
      <c r="AA8" s="150">
        <v>5699881997</v>
      </c>
      <c r="AB8" s="159">
        <v>426378136</v>
      </c>
      <c r="AC8" s="160">
        <v>0</v>
      </c>
      <c r="AD8" s="160">
        <v>0</v>
      </c>
      <c r="AE8" s="160">
        <v>360294559</v>
      </c>
      <c r="AF8" s="160">
        <v>0</v>
      </c>
      <c r="AG8" s="160">
        <v>52992045</v>
      </c>
      <c r="AH8" s="160">
        <v>0</v>
      </c>
      <c r="AI8" s="160">
        <v>0</v>
      </c>
      <c r="AJ8" s="160">
        <v>379440</v>
      </c>
      <c r="AK8" s="160">
        <v>0</v>
      </c>
      <c r="AL8" s="160">
        <v>12712092</v>
      </c>
      <c r="AM8" s="150">
        <v>5273503861</v>
      </c>
      <c r="AN8" s="185">
        <v>0</v>
      </c>
      <c r="AO8" s="186">
        <v>0</v>
      </c>
      <c r="AP8" s="186">
        <v>0</v>
      </c>
      <c r="AQ8" s="186">
        <v>0</v>
      </c>
      <c r="AR8" s="186">
        <v>0</v>
      </c>
      <c r="AS8" s="187">
        <v>0</v>
      </c>
      <c r="AT8" s="188">
        <v>0</v>
      </c>
      <c r="AU8" s="188">
        <v>0</v>
      </c>
      <c r="AV8" s="188">
        <v>0</v>
      </c>
      <c r="AW8" s="188">
        <v>0</v>
      </c>
      <c r="AX8" s="150">
        <v>5273503861</v>
      </c>
      <c r="AY8" s="256">
        <v>0</v>
      </c>
      <c r="AZ8" s="257">
        <v>0</v>
      </c>
      <c r="BA8" s="258">
        <v>0</v>
      </c>
      <c r="BB8" s="259">
        <v>0</v>
      </c>
      <c r="BC8" s="259">
        <v>0</v>
      </c>
      <c r="BD8" s="259">
        <v>0</v>
      </c>
      <c r="BE8" s="150">
        <v>5273503861</v>
      </c>
      <c r="BF8" s="255">
        <v>5273503861</v>
      </c>
    </row>
    <row r="9" spans="1:58">
      <c r="A9" s="3" t="s">
        <v>70</v>
      </c>
      <c r="B9" s="150" t="s">
        <v>304</v>
      </c>
      <c r="C9" s="138" t="s">
        <v>246</v>
      </c>
      <c r="D9" s="150">
        <v>35900</v>
      </c>
      <c r="E9" s="153">
        <v>1999579750</v>
      </c>
      <c r="F9" s="154">
        <v>1999579750</v>
      </c>
      <c r="G9" s="154">
        <v>0</v>
      </c>
      <c r="H9" s="154">
        <v>0</v>
      </c>
      <c r="I9" s="154">
        <v>0</v>
      </c>
      <c r="J9" s="154">
        <v>0</v>
      </c>
      <c r="K9" s="154">
        <v>0</v>
      </c>
      <c r="L9" s="155">
        <v>969562989</v>
      </c>
      <c r="M9" s="156">
        <v>0</v>
      </c>
      <c r="N9" s="156">
        <v>0</v>
      </c>
      <c r="O9" s="156">
        <v>250530507</v>
      </c>
      <c r="P9" s="156">
        <v>15129589</v>
      </c>
      <c r="Q9" s="156">
        <v>249538581</v>
      </c>
      <c r="R9" s="156">
        <v>17449830</v>
      </c>
      <c r="S9" s="156">
        <v>30810678</v>
      </c>
      <c r="T9" s="156">
        <v>0</v>
      </c>
      <c r="U9" s="156">
        <v>41950445</v>
      </c>
      <c r="V9" s="156">
        <v>165192785</v>
      </c>
      <c r="W9" s="156">
        <v>79685205</v>
      </c>
      <c r="X9" s="156">
        <v>165034</v>
      </c>
      <c r="Y9" s="156">
        <v>108879363</v>
      </c>
      <c r="Z9" s="156">
        <v>10230972</v>
      </c>
      <c r="AA9" s="150">
        <v>1030016761</v>
      </c>
      <c r="AB9" s="159">
        <v>3117560</v>
      </c>
      <c r="AC9" s="160">
        <v>0</v>
      </c>
      <c r="AD9" s="160">
        <v>3117560</v>
      </c>
      <c r="AE9" s="160">
        <v>0</v>
      </c>
      <c r="AF9" s="160">
        <v>0</v>
      </c>
      <c r="AG9" s="160">
        <v>0</v>
      </c>
      <c r="AH9" s="160">
        <v>0</v>
      </c>
      <c r="AI9" s="160">
        <v>0</v>
      </c>
      <c r="AJ9" s="160">
        <v>0</v>
      </c>
      <c r="AK9" s="160">
        <v>0</v>
      </c>
      <c r="AL9" s="160">
        <v>0</v>
      </c>
      <c r="AM9" s="150">
        <v>1026899201</v>
      </c>
      <c r="AN9" s="185">
        <v>0</v>
      </c>
      <c r="AO9" s="186">
        <v>0</v>
      </c>
      <c r="AP9" s="186">
        <v>0</v>
      </c>
      <c r="AQ9" s="186">
        <v>0</v>
      </c>
      <c r="AR9" s="186">
        <v>0</v>
      </c>
      <c r="AS9" s="187">
        <v>0</v>
      </c>
      <c r="AT9" s="188">
        <v>0</v>
      </c>
      <c r="AU9" s="188">
        <v>0</v>
      </c>
      <c r="AV9" s="188">
        <v>0</v>
      </c>
      <c r="AW9" s="188">
        <v>0</v>
      </c>
      <c r="AX9" s="150">
        <v>1026899201</v>
      </c>
      <c r="AY9" s="256">
        <v>0</v>
      </c>
      <c r="AZ9" s="257">
        <v>0</v>
      </c>
      <c r="BA9" s="258">
        <v>0</v>
      </c>
      <c r="BB9" s="259">
        <v>0</v>
      </c>
      <c r="BC9" s="259">
        <v>0</v>
      </c>
      <c r="BD9" s="259">
        <v>0</v>
      </c>
      <c r="BE9" s="150">
        <v>1026899201</v>
      </c>
      <c r="BF9" s="255">
        <v>1026899201</v>
      </c>
    </row>
    <row r="10" spans="1:58">
      <c r="A10" s="3" t="s">
        <v>70</v>
      </c>
      <c r="B10" s="150" t="s">
        <v>305</v>
      </c>
      <c r="C10" s="138" t="s">
        <v>246</v>
      </c>
      <c r="D10" s="150">
        <v>72000</v>
      </c>
      <c r="E10" s="153">
        <v>33552000</v>
      </c>
      <c r="F10" s="154">
        <v>33552000</v>
      </c>
      <c r="G10" s="154">
        <v>0</v>
      </c>
      <c r="H10" s="154">
        <v>0</v>
      </c>
      <c r="I10" s="154">
        <v>0</v>
      </c>
      <c r="J10" s="154">
        <v>0</v>
      </c>
      <c r="K10" s="154">
        <v>0</v>
      </c>
      <c r="L10" s="155">
        <v>925890948</v>
      </c>
      <c r="M10" s="156">
        <v>0</v>
      </c>
      <c r="N10" s="156">
        <v>0</v>
      </c>
      <c r="O10" s="156">
        <v>17205802</v>
      </c>
      <c r="P10" s="156">
        <v>1691782</v>
      </c>
      <c r="Q10" s="156">
        <v>462846634</v>
      </c>
      <c r="R10" s="156">
        <v>0</v>
      </c>
      <c r="S10" s="156">
        <v>500987</v>
      </c>
      <c r="T10" s="156">
        <v>0</v>
      </c>
      <c r="U10" s="156">
        <v>1453896</v>
      </c>
      <c r="V10" s="156">
        <v>0</v>
      </c>
      <c r="W10" s="156">
        <v>369709389</v>
      </c>
      <c r="X10" s="156">
        <v>0</v>
      </c>
      <c r="Y10" s="156">
        <v>68658458</v>
      </c>
      <c r="Z10" s="156">
        <v>3824000</v>
      </c>
      <c r="AA10" s="150">
        <v>-892338948</v>
      </c>
      <c r="AB10" s="159">
        <v>4407120</v>
      </c>
      <c r="AC10" s="160">
        <v>524320</v>
      </c>
      <c r="AD10" s="160">
        <v>294800</v>
      </c>
      <c r="AE10" s="160">
        <v>0</v>
      </c>
      <c r="AF10" s="160">
        <v>0</v>
      </c>
      <c r="AG10" s="160">
        <v>0</v>
      </c>
      <c r="AH10" s="160">
        <v>0</v>
      </c>
      <c r="AI10" s="160">
        <v>0</v>
      </c>
      <c r="AJ10" s="160">
        <v>3588000</v>
      </c>
      <c r="AK10" s="160">
        <v>0</v>
      </c>
      <c r="AL10" s="160">
        <v>0</v>
      </c>
      <c r="AM10" s="150">
        <v>-896746068</v>
      </c>
      <c r="AN10" s="185">
        <v>0</v>
      </c>
      <c r="AO10" s="186">
        <v>0</v>
      </c>
      <c r="AP10" s="186">
        <v>0</v>
      </c>
      <c r="AQ10" s="186">
        <v>0</v>
      </c>
      <c r="AR10" s="186">
        <v>0</v>
      </c>
      <c r="AS10" s="187">
        <v>0</v>
      </c>
      <c r="AT10" s="188">
        <v>0</v>
      </c>
      <c r="AU10" s="188">
        <v>0</v>
      </c>
      <c r="AV10" s="188">
        <v>0</v>
      </c>
      <c r="AW10" s="188">
        <v>0</v>
      </c>
      <c r="AX10" s="150">
        <v>-896746068</v>
      </c>
      <c r="AY10" s="256">
        <v>0</v>
      </c>
      <c r="AZ10" s="257">
        <v>0</v>
      </c>
      <c r="BA10" s="258">
        <v>0</v>
      </c>
      <c r="BB10" s="259">
        <v>0</v>
      </c>
      <c r="BC10" s="259">
        <v>0</v>
      </c>
      <c r="BD10" s="259">
        <v>0</v>
      </c>
      <c r="BE10" s="150">
        <v>-896746068</v>
      </c>
      <c r="BF10" s="255">
        <v>-896746068</v>
      </c>
    </row>
    <row r="11" spans="1:58">
      <c r="A11" s="3" t="s">
        <v>70</v>
      </c>
      <c r="B11" s="150" t="s">
        <v>306</v>
      </c>
      <c r="C11" s="138" t="s">
        <v>246</v>
      </c>
      <c r="D11" s="150">
        <v>50000</v>
      </c>
      <c r="E11" s="153">
        <v>83820000</v>
      </c>
      <c r="F11" s="154">
        <v>83820000</v>
      </c>
      <c r="G11" s="154">
        <v>0</v>
      </c>
      <c r="H11" s="154">
        <v>0</v>
      </c>
      <c r="I11" s="154">
        <v>0</v>
      </c>
      <c r="J11" s="154">
        <v>0</v>
      </c>
      <c r="K11" s="154">
        <v>0</v>
      </c>
      <c r="L11" s="155">
        <v>670894703</v>
      </c>
      <c r="M11" s="156">
        <v>0</v>
      </c>
      <c r="N11" s="156">
        <v>0</v>
      </c>
      <c r="O11" s="156">
        <v>12583864</v>
      </c>
      <c r="P11" s="156">
        <v>1327646</v>
      </c>
      <c r="Q11" s="156">
        <v>344812335</v>
      </c>
      <c r="R11" s="156">
        <v>0</v>
      </c>
      <c r="S11" s="156">
        <v>359037</v>
      </c>
      <c r="T11" s="156">
        <v>0</v>
      </c>
      <c r="U11" s="156">
        <v>1098219</v>
      </c>
      <c r="V11" s="156">
        <v>0</v>
      </c>
      <c r="W11" s="156">
        <v>258957884</v>
      </c>
      <c r="X11" s="156">
        <v>0</v>
      </c>
      <c r="Y11" s="156">
        <v>49403118</v>
      </c>
      <c r="Z11" s="156">
        <v>2352600</v>
      </c>
      <c r="AA11" s="150">
        <v>-587074703</v>
      </c>
      <c r="AB11" s="159">
        <v>1458448</v>
      </c>
      <c r="AC11" s="160">
        <v>262160</v>
      </c>
      <c r="AD11" s="160">
        <v>299288</v>
      </c>
      <c r="AE11" s="160">
        <v>0</v>
      </c>
      <c r="AF11" s="160">
        <v>0</v>
      </c>
      <c r="AG11" s="160">
        <v>0</v>
      </c>
      <c r="AH11" s="160">
        <v>0</v>
      </c>
      <c r="AI11" s="160">
        <v>0</v>
      </c>
      <c r="AJ11" s="160">
        <v>897000</v>
      </c>
      <c r="AK11" s="160">
        <v>0</v>
      </c>
      <c r="AL11" s="160">
        <v>0</v>
      </c>
      <c r="AM11" s="150">
        <v>-588533151</v>
      </c>
      <c r="AN11" s="185">
        <v>0</v>
      </c>
      <c r="AO11" s="186">
        <v>0</v>
      </c>
      <c r="AP11" s="186">
        <v>0</v>
      </c>
      <c r="AQ11" s="186">
        <v>0</v>
      </c>
      <c r="AR11" s="186">
        <v>0</v>
      </c>
      <c r="AS11" s="187">
        <v>0</v>
      </c>
      <c r="AT11" s="188">
        <v>0</v>
      </c>
      <c r="AU11" s="188">
        <v>0</v>
      </c>
      <c r="AV11" s="188">
        <v>0</v>
      </c>
      <c r="AW11" s="188">
        <v>0</v>
      </c>
      <c r="AX11" s="150">
        <v>-588533151</v>
      </c>
      <c r="AY11" s="256">
        <v>0</v>
      </c>
      <c r="AZ11" s="257">
        <v>0</v>
      </c>
      <c r="BA11" s="258">
        <v>0</v>
      </c>
      <c r="BB11" s="259">
        <v>0</v>
      </c>
      <c r="BC11" s="259">
        <v>0</v>
      </c>
      <c r="BD11" s="259">
        <v>0</v>
      </c>
      <c r="BE11" s="150">
        <v>-588533151</v>
      </c>
      <c r="BF11" s="255">
        <v>-588533151</v>
      </c>
    </row>
    <row r="12" spans="1:58">
      <c r="A12" s="3" t="s">
        <v>70</v>
      </c>
      <c r="B12" s="150" t="s">
        <v>307</v>
      </c>
      <c r="C12" s="138" t="s">
        <v>258</v>
      </c>
      <c r="D12" s="150">
        <v>648300</v>
      </c>
      <c r="E12" s="153">
        <v>4999652827728</v>
      </c>
      <c r="F12" s="154">
        <v>4980982508004</v>
      </c>
      <c r="G12" s="154">
        <v>16169240313</v>
      </c>
      <c r="H12" s="154">
        <v>1679941563</v>
      </c>
      <c r="I12" s="154">
        <v>40174098</v>
      </c>
      <c r="J12" s="154">
        <v>-72536250</v>
      </c>
      <c r="K12" s="154">
        <v>853500000</v>
      </c>
      <c r="L12" s="155">
        <v>4919141048475</v>
      </c>
      <c r="M12" s="156">
        <v>4636962132836</v>
      </c>
      <c r="N12" s="156">
        <v>28909447608</v>
      </c>
      <c r="O12" s="156">
        <v>48255138943</v>
      </c>
      <c r="P12" s="156">
        <v>3190558771</v>
      </c>
      <c r="Q12" s="156">
        <v>41212997534</v>
      </c>
      <c r="R12" s="156">
        <v>57324679128</v>
      </c>
      <c r="S12" s="156">
        <v>12594612811</v>
      </c>
      <c r="T12" s="156">
        <v>10298974623</v>
      </c>
      <c r="U12" s="156">
        <v>18976900355</v>
      </c>
      <c r="V12" s="156">
        <v>5650163669</v>
      </c>
      <c r="W12" s="156">
        <v>12156604671</v>
      </c>
      <c r="X12" s="156">
        <v>4807942489</v>
      </c>
      <c r="Y12" s="156">
        <v>35196591325</v>
      </c>
      <c r="Z12" s="156">
        <v>3604303713</v>
      </c>
      <c r="AA12" s="150">
        <v>80511779253</v>
      </c>
      <c r="AB12" s="159">
        <v>43158339271</v>
      </c>
      <c r="AC12" s="160">
        <v>426715800</v>
      </c>
      <c r="AD12" s="160">
        <v>251843139</v>
      </c>
      <c r="AE12" s="160">
        <v>16406871747</v>
      </c>
      <c r="AF12" s="160">
        <v>897198830</v>
      </c>
      <c r="AG12" s="160">
        <v>544350042</v>
      </c>
      <c r="AH12" s="160">
        <v>3872812684</v>
      </c>
      <c r="AI12" s="160">
        <v>1394606209</v>
      </c>
      <c r="AJ12" s="160">
        <v>13095318298</v>
      </c>
      <c r="AK12" s="160">
        <v>31031082</v>
      </c>
      <c r="AL12" s="160">
        <v>6237591440</v>
      </c>
      <c r="AM12" s="150">
        <v>37353439982</v>
      </c>
      <c r="AN12" s="185">
        <v>6456583091</v>
      </c>
      <c r="AO12" s="186">
        <v>2844237861</v>
      </c>
      <c r="AP12" s="186">
        <v>398360970</v>
      </c>
      <c r="AQ12" s="186">
        <v>3213984260</v>
      </c>
      <c r="AR12" s="186">
        <v>0</v>
      </c>
      <c r="AS12" s="187">
        <v>6438682559</v>
      </c>
      <c r="AT12" s="188">
        <v>34</v>
      </c>
      <c r="AU12" s="188">
        <v>935485914</v>
      </c>
      <c r="AV12" s="188">
        <v>5503196611</v>
      </c>
      <c r="AW12" s="188">
        <v>0</v>
      </c>
      <c r="AX12" s="150">
        <v>37371340514</v>
      </c>
      <c r="AY12" s="256">
        <v>9664268536</v>
      </c>
      <c r="AZ12" s="257">
        <v>9664268536</v>
      </c>
      <c r="BA12" s="258">
        <v>6625388757</v>
      </c>
      <c r="BB12" s="259">
        <v>4930463757</v>
      </c>
      <c r="BC12" s="259">
        <v>1686300000</v>
      </c>
      <c r="BD12" s="259">
        <v>8625000</v>
      </c>
      <c r="BE12" s="150">
        <v>40410220293</v>
      </c>
      <c r="BF12" s="255">
        <v>40410220293</v>
      </c>
    </row>
    <row r="13" spans="1:58">
      <c r="A13" s="3" t="s">
        <v>70</v>
      </c>
      <c r="B13" s="150" t="s">
        <v>308</v>
      </c>
      <c r="C13" s="138" t="s">
        <v>260</v>
      </c>
      <c r="D13" s="150">
        <v>1281200</v>
      </c>
      <c r="E13" s="153">
        <v>2562800000</v>
      </c>
      <c r="F13" s="154">
        <v>2562800000</v>
      </c>
      <c r="G13" s="154">
        <v>0</v>
      </c>
      <c r="H13" s="154">
        <v>0</v>
      </c>
      <c r="I13" s="154">
        <v>0</v>
      </c>
      <c r="J13" s="154">
        <v>0</v>
      </c>
      <c r="K13" s="154">
        <v>0</v>
      </c>
      <c r="L13" s="155">
        <v>428897802</v>
      </c>
      <c r="M13" s="156">
        <v>0</v>
      </c>
      <c r="N13" s="156">
        <v>0</v>
      </c>
      <c r="O13" s="156">
        <v>114566567</v>
      </c>
      <c r="P13" s="156">
        <v>7465838</v>
      </c>
      <c r="Q13" s="156">
        <v>134583075</v>
      </c>
      <c r="R13" s="156">
        <v>0</v>
      </c>
      <c r="S13" s="156">
        <v>427605</v>
      </c>
      <c r="T13" s="156">
        <v>603358</v>
      </c>
      <c r="U13" s="156">
        <v>125421777</v>
      </c>
      <c r="V13" s="156">
        <v>0</v>
      </c>
      <c r="W13" s="156">
        <v>920125</v>
      </c>
      <c r="X13" s="156">
        <v>0</v>
      </c>
      <c r="Y13" s="156">
        <v>44909457</v>
      </c>
      <c r="Z13" s="156">
        <v>0</v>
      </c>
      <c r="AA13" s="150">
        <v>2133902198</v>
      </c>
      <c r="AB13" s="159">
        <v>8270761329</v>
      </c>
      <c r="AC13" s="160">
        <v>8262097120</v>
      </c>
      <c r="AD13" s="160">
        <v>0</v>
      </c>
      <c r="AE13" s="160">
        <v>222703</v>
      </c>
      <c r="AF13" s="160">
        <v>0</v>
      </c>
      <c r="AG13" s="160">
        <v>29884</v>
      </c>
      <c r="AH13" s="160">
        <v>0</v>
      </c>
      <c r="AI13" s="160">
        <v>0</v>
      </c>
      <c r="AJ13" s="160">
        <v>8400854</v>
      </c>
      <c r="AK13" s="160">
        <v>0</v>
      </c>
      <c r="AL13" s="160">
        <v>10768</v>
      </c>
      <c r="AM13" s="150">
        <v>-6136859131</v>
      </c>
      <c r="AN13" s="185">
        <v>0</v>
      </c>
      <c r="AO13" s="186">
        <v>0</v>
      </c>
      <c r="AP13" s="186">
        <v>0</v>
      </c>
      <c r="AQ13" s="186">
        <v>0</v>
      </c>
      <c r="AR13" s="186">
        <v>0</v>
      </c>
      <c r="AS13" s="187">
        <v>0</v>
      </c>
      <c r="AT13" s="188">
        <v>0</v>
      </c>
      <c r="AU13" s="188">
        <v>0</v>
      </c>
      <c r="AV13" s="188">
        <v>0</v>
      </c>
      <c r="AW13" s="188">
        <v>0</v>
      </c>
      <c r="AX13" s="150">
        <v>-6136859131</v>
      </c>
      <c r="AY13" s="256">
        <v>0</v>
      </c>
      <c r="AZ13" s="257">
        <v>0</v>
      </c>
      <c r="BA13" s="258">
        <v>0</v>
      </c>
      <c r="BB13" s="259">
        <v>0</v>
      </c>
      <c r="BC13" s="259">
        <v>0</v>
      </c>
      <c r="BD13" s="259">
        <v>0</v>
      </c>
      <c r="BE13" s="150">
        <v>-6136859131</v>
      </c>
      <c r="BF13" s="255">
        <v>-6136859131</v>
      </c>
    </row>
    <row r="14" spans="1:58">
      <c r="A14" s="3" t="s">
        <v>70</v>
      </c>
      <c r="B14" s="150" t="s">
        <v>309</v>
      </c>
      <c r="C14" s="138" t="s">
        <v>262</v>
      </c>
      <c r="D14" s="150">
        <v>33630000</v>
      </c>
      <c r="E14" s="153">
        <v>2377933264604</v>
      </c>
      <c r="F14" s="154">
        <v>2367060306000</v>
      </c>
      <c r="G14" s="154">
        <v>10872958604</v>
      </c>
      <c r="H14" s="154">
        <v>0</v>
      </c>
      <c r="I14" s="154">
        <v>0</v>
      </c>
      <c r="J14" s="154">
        <v>0</v>
      </c>
      <c r="K14" s="154">
        <v>0</v>
      </c>
      <c r="L14" s="155">
        <v>2307360979760</v>
      </c>
      <c r="M14" s="156">
        <v>2299914762678</v>
      </c>
      <c r="N14" s="156">
        <v>378230521</v>
      </c>
      <c r="O14" s="156">
        <v>2432129020</v>
      </c>
      <c r="P14" s="156">
        <v>155568045</v>
      </c>
      <c r="Q14" s="156">
        <v>1210828781</v>
      </c>
      <c r="R14" s="156">
        <v>547813274</v>
      </c>
      <c r="S14" s="156">
        <v>559678568</v>
      </c>
      <c r="T14" s="156">
        <v>252209423</v>
      </c>
      <c r="U14" s="156">
        <v>731398486</v>
      </c>
      <c r="V14" s="156">
        <v>132374709</v>
      </c>
      <c r="W14" s="156">
        <v>237027761</v>
      </c>
      <c r="X14" s="156">
        <v>95847187</v>
      </c>
      <c r="Y14" s="156">
        <v>713111308</v>
      </c>
      <c r="Z14" s="156">
        <v>0</v>
      </c>
      <c r="AA14" s="150">
        <v>70572284844</v>
      </c>
      <c r="AB14" s="159">
        <v>22276159030</v>
      </c>
      <c r="AC14" s="160">
        <v>89436632</v>
      </c>
      <c r="AD14" s="160">
        <v>1350000</v>
      </c>
      <c r="AE14" s="160">
        <v>8287807984</v>
      </c>
      <c r="AF14" s="160">
        <v>467625808</v>
      </c>
      <c r="AG14" s="160">
        <v>271125519</v>
      </c>
      <c r="AH14" s="160">
        <v>1949199659</v>
      </c>
      <c r="AI14" s="160">
        <v>749292016</v>
      </c>
      <c r="AJ14" s="160">
        <v>7294320301</v>
      </c>
      <c r="AK14" s="160">
        <v>17443328</v>
      </c>
      <c r="AL14" s="160">
        <v>3148557783</v>
      </c>
      <c r="AM14" s="150">
        <v>48296125814</v>
      </c>
      <c r="AN14" s="185">
        <v>1567685237</v>
      </c>
      <c r="AO14" s="186">
        <v>1567685237</v>
      </c>
      <c r="AP14" s="186">
        <v>0</v>
      </c>
      <c r="AQ14" s="186">
        <v>0</v>
      </c>
      <c r="AR14" s="186">
        <v>0</v>
      </c>
      <c r="AS14" s="187">
        <v>504767106</v>
      </c>
      <c r="AT14" s="188">
        <v>4</v>
      </c>
      <c r="AU14" s="188">
        <v>504767102</v>
      </c>
      <c r="AV14" s="188">
        <v>0</v>
      </c>
      <c r="AW14" s="188">
        <v>0</v>
      </c>
      <c r="AX14" s="150">
        <v>49359043945</v>
      </c>
      <c r="AY14" s="256">
        <v>0</v>
      </c>
      <c r="AZ14" s="257">
        <v>0</v>
      </c>
      <c r="BA14" s="258">
        <v>2408491382</v>
      </c>
      <c r="BB14" s="259">
        <v>2408491382</v>
      </c>
      <c r="BC14" s="259">
        <v>0</v>
      </c>
      <c r="BD14" s="259">
        <v>0</v>
      </c>
      <c r="BE14" s="150">
        <v>46950552563</v>
      </c>
      <c r="BF14" s="255">
        <v>46950552563</v>
      </c>
    </row>
    <row r="15" spans="1:58">
      <c r="A15" s="3" t="s">
        <v>70</v>
      </c>
      <c r="B15" s="150" t="s">
        <v>310</v>
      </c>
      <c r="C15" s="138" t="s">
        <v>264</v>
      </c>
      <c r="D15" s="150">
        <v>502600000</v>
      </c>
      <c r="E15" s="153">
        <v>375811707986</v>
      </c>
      <c r="F15" s="154">
        <v>373173200000</v>
      </c>
      <c r="G15" s="154">
        <v>2638507986</v>
      </c>
      <c r="H15" s="154">
        <v>0</v>
      </c>
      <c r="I15" s="154">
        <v>0</v>
      </c>
      <c r="J15" s="154">
        <v>0</v>
      </c>
      <c r="K15" s="154">
        <v>0</v>
      </c>
      <c r="L15" s="155">
        <v>353352821615</v>
      </c>
      <c r="M15" s="156">
        <v>347321514848</v>
      </c>
      <c r="N15" s="156">
        <v>212059699</v>
      </c>
      <c r="O15" s="156">
        <v>1821359691</v>
      </c>
      <c r="P15" s="156">
        <v>117057550</v>
      </c>
      <c r="Q15" s="156">
        <v>1085435767</v>
      </c>
      <c r="R15" s="156">
        <v>373522120</v>
      </c>
      <c r="S15" s="156">
        <v>334578501</v>
      </c>
      <c r="T15" s="156">
        <v>140617282</v>
      </c>
      <c r="U15" s="156">
        <v>708364519</v>
      </c>
      <c r="V15" s="156">
        <v>163255353</v>
      </c>
      <c r="W15" s="156">
        <v>314557638</v>
      </c>
      <c r="X15" s="156">
        <v>170926936</v>
      </c>
      <c r="Y15" s="156">
        <v>580571712</v>
      </c>
      <c r="Z15" s="156">
        <v>9000000</v>
      </c>
      <c r="AA15" s="150">
        <v>22458886371</v>
      </c>
      <c r="AB15" s="159">
        <v>3890594373</v>
      </c>
      <c r="AC15" s="160">
        <v>96354000</v>
      </c>
      <c r="AD15" s="160">
        <v>14038532</v>
      </c>
      <c r="AE15" s="160">
        <v>1307200998</v>
      </c>
      <c r="AF15" s="160">
        <v>73773058</v>
      </c>
      <c r="AG15" s="160">
        <v>42762272</v>
      </c>
      <c r="AH15" s="160">
        <v>308033694</v>
      </c>
      <c r="AI15" s="160">
        <v>118450187</v>
      </c>
      <c r="AJ15" s="160">
        <v>1426817413</v>
      </c>
      <c r="AK15" s="160">
        <v>3002601</v>
      </c>
      <c r="AL15" s="160">
        <v>500161618</v>
      </c>
      <c r="AM15" s="150">
        <v>18568291998</v>
      </c>
      <c r="AN15" s="185">
        <v>385128924</v>
      </c>
      <c r="AO15" s="186">
        <v>385128924</v>
      </c>
      <c r="AP15" s="186">
        <v>0</v>
      </c>
      <c r="AQ15" s="186">
        <v>0</v>
      </c>
      <c r="AR15" s="186">
        <v>0</v>
      </c>
      <c r="AS15" s="187">
        <v>90479124</v>
      </c>
      <c r="AT15" s="188">
        <v>37</v>
      </c>
      <c r="AU15" s="188">
        <v>90479087</v>
      </c>
      <c r="AV15" s="188">
        <v>0</v>
      </c>
      <c r="AW15" s="188">
        <v>0</v>
      </c>
      <c r="AX15" s="150">
        <v>18862941798</v>
      </c>
      <c r="AY15" s="256">
        <v>0</v>
      </c>
      <c r="AZ15" s="257">
        <v>0</v>
      </c>
      <c r="BA15" s="258">
        <v>380254276</v>
      </c>
      <c r="BB15" s="259">
        <v>380254276</v>
      </c>
      <c r="BC15" s="259">
        <v>0</v>
      </c>
      <c r="BD15" s="259">
        <v>0</v>
      </c>
      <c r="BE15" s="150">
        <v>18482687522</v>
      </c>
      <c r="BF15" s="255">
        <v>18482687522</v>
      </c>
    </row>
    <row r="16" spans="1:58">
      <c r="A16" s="3" t="s">
        <v>70</v>
      </c>
      <c r="B16" s="150" t="s">
        <v>311</v>
      </c>
      <c r="C16" s="138" t="s">
        <v>266</v>
      </c>
      <c r="D16" s="150">
        <v>193200</v>
      </c>
      <c r="E16" s="153">
        <v>6482286900</v>
      </c>
      <c r="F16" s="154">
        <v>6482286900</v>
      </c>
      <c r="G16" s="154">
        <v>0</v>
      </c>
      <c r="H16" s="154">
        <v>0</v>
      </c>
      <c r="I16" s="154">
        <v>0</v>
      </c>
      <c r="J16" s="154">
        <v>0</v>
      </c>
      <c r="K16" s="154">
        <v>0</v>
      </c>
      <c r="L16" s="155">
        <v>5296524466</v>
      </c>
      <c r="M16" s="156">
        <v>5112408569</v>
      </c>
      <c r="N16" s="156">
        <v>2966624</v>
      </c>
      <c r="O16" s="156">
        <v>40145500</v>
      </c>
      <c r="P16" s="156">
        <v>2953091</v>
      </c>
      <c r="Q16" s="156">
        <v>53716925</v>
      </c>
      <c r="R16" s="156">
        <v>3623778</v>
      </c>
      <c r="S16" s="156">
        <v>4672209</v>
      </c>
      <c r="T16" s="156">
        <v>2108024</v>
      </c>
      <c r="U16" s="156">
        <v>35524416</v>
      </c>
      <c r="V16" s="156">
        <v>6892616</v>
      </c>
      <c r="W16" s="156">
        <v>13037624</v>
      </c>
      <c r="X16" s="156">
        <v>376004</v>
      </c>
      <c r="Y16" s="156">
        <v>18099085</v>
      </c>
      <c r="Z16" s="156">
        <v>0</v>
      </c>
      <c r="AA16" s="150">
        <v>1185762434</v>
      </c>
      <c r="AB16" s="159">
        <v>10952991</v>
      </c>
      <c r="AC16" s="160">
        <v>0</v>
      </c>
      <c r="AD16" s="160">
        <v>0</v>
      </c>
      <c r="AE16" s="160">
        <v>669327</v>
      </c>
      <c r="AF16" s="160">
        <v>10383</v>
      </c>
      <c r="AG16" s="160">
        <v>54363</v>
      </c>
      <c r="AH16" s="160">
        <v>0</v>
      </c>
      <c r="AI16" s="160">
        <v>92817</v>
      </c>
      <c r="AJ16" s="160">
        <v>10047518</v>
      </c>
      <c r="AK16" s="160">
        <v>0</v>
      </c>
      <c r="AL16" s="160">
        <v>78583</v>
      </c>
      <c r="AM16" s="150">
        <v>1174809443</v>
      </c>
      <c r="AN16" s="185">
        <v>0</v>
      </c>
      <c r="AO16" s="186">
        <v>0</v>
      </c>
      <c r="AP16" s="186">
        <v>0</v>
      </c>
      <c r="AQ16" s="186">
        <v>0</v>
      </c>
      <c r="AR16" s="186">
        <v>0</v>
      </c>
      <c r="AS16" s="187">
        <v>0</v>
      </c>
      <c r="AT16" s="188">
        <v>0</v>
      </c>
      <c r="AU16" s="188">
        <v>0</v>
      </c>
      <c r="AV16" s="188">
        <v>0</v>
      </c>
      <c r="AW16" s="188">
        <v>0</v>
      </c>
      <c r="AX16" s="150">
        <v>1174809443</v>
      </c>
      <c r="AY16" s="256">
        <v>0</v>
      </c>
      <c r="AZ16" s="257">
        <v>0</v>
      </c>
      <c r="BA16" s="258">
        <v>0</v>
      </c>
      <c r="BB16" s="259">
        <v>0</v>
      </c>
      <c r="BC16" s="259">
        <v>0</v>
      </c>
      <c r="BD16" s="259">
        <v>0</v>
      </c>
      <c r="BE16" s="150">
        <v>1174809443</v>
      </c>
      <c r="BF16" s="255">
        <v>1174809443</v>
      </c>
    </row>
    <row r="17" spans="1:58">
      <c r="A17" s="3" t="s">
        <v>70</v>
      </c>
      <c r="B17" s="150" t="s">
        <v>312</v>
      </c>
      <c r="C17" s="138" t="s">
        <v>268</v>
      </c>
      <c r="D17" s="150">
        <v>1403000</v>
      </c>
      <c r="E17" s="153">
        <v>104175109000</v>
      </c>
      <c r="F17" s="154">
        <v>104175109000</v>
      </c>
      <c r="G17" s="154">
        <v>0</v>
      </c>
      <c r="H17" s="154">
        <v>0</v>
      </c>
      <c r="I17" s="154">
        <v>0</v>
      </c>
      <c r="J17" s="154">
        <v>0</v>
      </c>
      <c r="K17" s="154">
        <v>0</v>
      </c>
      <c r="L17" s="155">
        <v>80098854197</v>
      </c>
      <c r="M17" s="156">
        <v>79130364549</v>
      </c>
      <c r="N17" s="156">
        <v>36296503</v>
      </c>
      <c r="O17" s="156">
        <v>281905237</v>
      </c>
      <c r="P17" s="156">
        <v>22208559</v>
      </c>
      <c r="Q17" s="156">
        <v>170547993</v>
      </c>
      <c r="R17" s="156">
        <v>45988823</v>
      </c>
      <c r="S17" s="156">
        <v>56545983</v>
      </c>
      <c r="T17" s="156">
        <v>20185679</v>
      </c>
      <c r="U17" s="156">
        <v>110488736</v>
      </c>
      <c r="V17" s="156">
        <v>37447568</v>
      </c>
      <c r="W17" s="156">
        <v>89114817</v>
      </c>
      <c r="X17" s="156">
        <v>4309782</v>
      </c>
      <c r="Y17" s="156">
        <v>93449967</v>
      </c>
      <c r="Z17" s="156">
        <v>0</v>
      </c>
      <c r="AA17" s="150">
        <v>24076254803</v>
      </c>
      <c r="AB17" s="159">
        <v>37474039</v>
      </c>
      <c r="AC17" s="160">
        <v>5040000</v>
      </c>
      <c r="AD17" s="160">
        <v>0</v>
      </c>
      <c r="AE17" s="160">
        <v>10730749</v>
      </c>
      <c r="AF17" s="160">
        <v>175698</v>
      </c>
      <c r="AG17" s="160">
        <v>926607</v>
      </c>
      <c r="AH17" s="160">
        <v>0</v>
      </c>
      <c r="AI17" s="160">
        <v>1367816</v>
      </c>
      <c r="AJ17" s="160">
        <v>17964882</v>
      </c>
      <c r="AK17" s="160">
        <v>0</v>
      </c>
      <c r="AL17" s="160">
        <v>1268287</v>
      </c>
      <c r="AM17" s="150">
        <v>24038780764</v>
      </c>
      <c r="AN17" s="185">
        <v>0</v>
      </c>
      <c r="AO17" s="186">
        <v>0</v>
      </c>
      <c r="AP17" s="186">
        <v>0</v>
      </c>
      <c r="AQ17" s="186">
        <v>0</v>
      </c>
      <c r="AR17" s="186">
        <v>0</v>
      </c>
      <c r="AS17" s="187">
        <v>0</v>
      </c>
      <c r="AT17" s="188">
        <v>0</v>
      </c>
      <c r="AU17" s="188">
        <v>0</v>
      </c>
      <c r="AV17" s="188">
        <v>0</v>
      </c>
      <c r="AW17" s="188">
        <v>0</v>
      </c>
      <c r="AX17" s="150">
        <v>24038780764</v>
      </c>
      <c r="AY17" s="256">
        <v>0</v>
      </c>
      <c r="AZ17" s="257">
        <v>0</v>
      </c>
      <c r="BA17" s="258">
        <v>0</v>
      </c>
      <c r="BB17" s="259">
        <v>0</v>
      </c>
      <c r="BC17" s="259">
        <v>0</v>
      </c>
      <c r="BD17" s="259">
        <v>0</v>
      </c>
      <c r="BE17" s="150">
        <v>24038780764</v>
      </c>
      <c r="BF17" s="255">
        <v>24038780764</v>
      </c>
    </row>
    <row r="18" spans="1:58">
      <c r="A18" s="3" t="s">
        <v>70</v>
      </c>
      <c r="B18" s="150" t="s">
        <v>313</v>
      </c>
      <c r="C18" s="138" t="s">
        <v>320</v>
      </c>
      <c r="D18" s="150">
        <v>384300</v>
      </c>
      <c r="E18" s="153">
        <v>4846048591</v>
      </c>
      <c r="F18" s="154">
        <v>4846048591</v>
      </c>
      <c r="G18" s="154">
        <v>0</v>
      </c>
      <c r="H18" s="154">
        <v>0</v>
      </c>
      <c r="I18" s="154">
        <v>0</v>
      </c>
      <c r="J18" s="154">
        <v>0</v>
      </c>
      <c r="K18" s="154">
        <v>0</v>
      </c>
      <c r="L18" s="155">
        <v>4236474559</v>
      </c>
      <c r="M18" s="156">
        <v>483979601</v>
      </c>
      <c r="N18" s="156">
        <v>0</v>
      </c>
      <c r="O18" s="156">
        <v>1024677486</v>
      </c>
      <c r="P18" s="156">
        <v>61576647</v>
      </c>
      <c r="Q18" s="156">
        <v>856160212</v>
      </c>
      <c r="R18" s="156">
        <v>3531260</v>
      </c>
      <c r="S18" s="156">
        <v>84320353</v>
      </c>
      <c r="T18" s="156">
        <v>0</v>
      </c>
      <c r="U18" s="156">
        <v>556180834</v>
      </c>
      <c r="V18" s="156">
        <v>138055791</v>
      </c>
      <c r="W18" s="156">
        <v>315441290</v>
      </c>
      <c r="X18" s="156">
        <v>103764569</v>
      </c>
      <c r="Y18" s="156">
        <v>522397952</v>
      </c>
      <c r="Z18" s="156">
        <v>86388564</v>
      </c>
      <c r="AA18" s="150">
        <v>609574032</v>
      </c>
      <c r="AB18" s="159">
        <v>23640207</v>
      </c>
      <c r="AC18" s="160">
        <v>9518880</v>
      </c>
      <c r="AD18" s="160">
        <v>7334940</v>
      </c>
      <c r="AE18" s="160">
        <v>495740</v>
      </c>
      <c r="AF18" s="160">
        <v>8296</v>
      </c>
      <c r="AG18" s="160">
        <v>49337</v>
      </c>
      <c r="AH18" s="160">
        <v>0</v>
      </c>
      <c r="AI18" s="160">
        <v>96343</v>
      </c>
      <c r="AJ18" s="160">
        <v>6087050</v>
      </c>
      <c r="AK18" s="160">
        <v>0</v>
      </c>
      <c r="AL18" s="160">
        <v>49621</v>
      </c>
      <c r="AM18" s="150">
        <v>585933825</v>
      </c>
      <c r="AN18" s="185">
        <v>0</v>
      </c>
      <c r="AO18" s="186">
        <v>0</v>
      </c>
      <c r="AP18" s="186">
        <v>0</v>
      </c>
      <c r="AQ18" s="186">
        <v>0</v>
      </c>
      <c r="AR18" s="186">
        <v>0</v>
      </c>
      <c r="AS18" s="187">
        <v>0</v>
      </c>
      <c r="AT18" s="188">
        <v>0</v>
      </c>
      <c r="AU18" s="188">
        <v>0</v>
      </c>
      <c r="AV18" s="188">
        <v>0</v>
      </c>
      <c r="AW18" s="188">
        <v>0</v>
      </c>
      <c r="AX18" s="150">
        <v>585933825</v>
      </c>
      <c r="AY18" s="256">
        <v>0</v>
      </c>
      <c r="AZ18" s="257">
        <v>0</v>
      </c>
      <c r="BA18" s="258">
        <v>0</v>
      </c>
      <c r="BB18" s="259">
        <v>0</v>
      </c>
      <c r="BC18" s="259">
        <v>0</v>
      </c>
      <c r="BD18" s="259">
        <v>0</v>
      </c>
      <c r="BE18" s="150">
        <v>585933825</v>
      </c>
      <c r="BF18" s="255">
        <v>585933825</v>
      </c>
    </row>
    <row r="19" spans="1:58">
      <c r="A19" s="3" t="s">
        <v>70</v>
      </c>
      <c r="B19" s="150" t="s">
        <v>314</v>
      </c>
      <c r="C19" s="138" t="s">
        <v>272</v>
      </c>
      <c r="D19" s="150">
        <v>1950307</v>
      </c>
      <c r="E19" s="153">
        <v>26947293395</v>
      </c>
      <c r="F19" s="154">
        <v>26947293395</v>
      </c>
      <c r="G19" s="154">
        <v>0</v>
      </c>
      <c r="H19" s="154">
        <v>0</v>
      </c>
      <c r="I19" s="154">
        <v>0</v>
      </c>
      <c r="J19" s="154">
        <v>0</v>
      </c>
      <c r="K19" s="154">
        <v>0</v>
      </c>
      <c r="L19" s="155">
        <v>26947294115</v>
      </c>
      <c r="M19" s="156">
        <v>26947294115</v>
      </c>
      <c r="N19" s="156">
        <v>0</v>
      </c>
      <c r="O19" s="156">
        <v>0</v>
      </c>
      <c r="P19" s="156">
        <v>0</v>
      </c>
      <c r="Q19" s="156">
        <v>0</v>
      </c>
      <c r="R19" s="156">
        <v>0</v>
      </c>
      <c r="S19" s="156">
        <v>0</v>
      </c>
      <c r="T19" s="156">
        <v>0</v>
      </c>
      <c r="U19" s="156">
        <v>0</v>
      </c>
      <c r="V19" s="156">
        <v>0</v>
      </c>
      <c r="W19" s="156">
        <v>0</v>
      </c>
      <c r="X19" s="156">
        <v>0</v>
      </c>
      <c r="Y19" s="156">
        <v>0</v>
      </c>
      <c r="Z19" s="156">
        <v>0</v>
      </c>
      <c r="AA19" s="150">
        <v>-720</v>
      </c>
      <c r="AB19" s="159">
        <v>105223200</v>
      </c>
      <c r="AC19" s="160">
        <v>61512000</v>
      </c>
      <c r="AD19" s="160">
        <v>876000</v>
      </c>
      <c r="AE19" s="160">
        <v>0</v>
      </c>
      <c r="AF19" s="160">
        <v>0</v>
      </c>
      <c r="AG19" s="160">
        <v>0</v>
      </c>
      <c r="AH19" s="160">
        <v>0</v>
      </c>
      <c r="AI19" s="160">
        <v>0</v>
      </c>
      <c r="AJ19" s="160">
        <v>42835200</v>
      </c>
      <c r="AK19" s="160">
        <v>0</v>
      </c>
      <c r="AL19" s="160">
        <v>0</v>
      </c>
      <c r="AM19" s="150">
        <v>-105223920</v>
      </c>
      <c r="AN19" s="185">
        <v>0</v>
      </c>
      <c r="AO19" s="186">
        <v>0</v>
      </c>
      <c r="AP19" s="186">
        <v>0</v>
      </c>
      <c r="AQ19" s="186">
        <v>0</v>
      </c>
      <c r="AR19" s="186">
        <v>0</v>
      </c>
      <c r="AS19" s="187">
        <v>0</v>
      </c>
      <c r="AT19" s="188">
        <v>0</v>
      </c>
      <c r="AU19" s="188">
        <v>0</v>
      </c>
      <c r="AV19" s="188">
        <v>0</v>
      </c>
      <c r="AW19" s="188">
        <v>0</v>
      </c>
      <c r="AX19" s="150">
        <v>-105223920</v>
      </c>
      <c r="AY19" s="256">
        <v>0</v>
      </c>
      <c r="AZ19" s="257">
        <v>0</v>
      </c>
      <c r="BA19" s="258">
        <v>0</v>
      </c>
      <c r="BB19" s="259">
        <v>0</v>
      </c>
      <c r="BC19" s="259">
        <v>0</v>
      </c>
      <c r="BD19" s="259">
        <v>0</v>
      </c>
      <c r="BE19" s="150">
        <v>-105223920</v>
      </c>
      <c r="BF19" s="255">
        <v>-105223920</v>
      </c>
    </row>
    <row r="20" spans="1:58">
      <c r="A20" s="3" t="s">
        <v>70</v>
      </c>
      <c r="B20" s="150" t="s">
        <v>315</v>
      </c>
      <c r="C20" s="138" t="s">
        <v>316</v>
      </c>
      <c r="D20" s="150">
        <v>90200000</v>
      </c>
      <c r="E20" s="153">
        <v>71132050000</v>
      </c>
      <c r="F20" s="154">
        <v>71132050000</v>
      </c>
      <c r="G20" s="154">
        <v>0</v>
      </c>
      <c r="H20" s="154">
        <v>0</v>
      </c>
      <c r="I20" s="154">
        <v>0</v>
      </c>
      <c r="J20" s="154">
        <v>0</v>
      </c>
      <c r="K20" s="154">
        <v>0</v>
      </c>
      <c r="L20" s="155">
        <v>67004602073</v>
      </c>
      <c r="M20" s="156">
        <v>58238880550</v>
      </c>
      <c r="N20" s="156">
        <v>33618453</v>
      </c>
      <c r="O20" s="156">
        <v>2084458727</v>
      </c>
      <c r="P20" s="156">
        <v>151485921</v>
      </c>
      <c r="Q20" s="156">
        <v>1142833061</v>
      </c>
      <c r="R20" s="156">
        <v>264714510</v>
      </c>
      <c r="S20" s="156">
        <v>69255712</v>
      </c>
      <c r="T20" s="156">
        <v>22193563</v>
      </c>
      <c r="U20" s="156">
        <v>233499084</v>
      </c>
      <c r="V20" s="156">
        <v>1863215074</v>
      </c>
      <c r="W20" s="156">
        <v>1135804824</v>
      </c>
      <c r="X20" s="156">
        <v>214064382</v>
      </c>
      <c r="Y20" s="156">
        <v>1550578212</v>
      </c>
      <c r="Z20" s="156">
        <v>0</v>
      </c>
      <c r="AA20" s="150">
        <v>4127447927</v>
      </c>
      <c r="AB20" s="159">
        <v>3773401264</v>
      </c>
      <c r="AC20" s="160">
        <v>284993000</v>
      </c>
      <c r="AD20" s="160">
        <v>345072823</v>
      </c>
      <c r="AE20" s="160">
        <v>177649466</v>
      </c>
      <c r="AF20" s="160">
        <v>0</v>
      </c>
      <c r="AG20" s="160">
        <v>38212200</v>
      </c>
      <c r="AH20" s="160">
        <v>2805721775</v>
      </c>
      <c r="AI20" s="160">
        <v>0</v>
      </c>
      <c r="AJ20" s="160">
        <v>111782000</v>
      </c>
      <c r="AK20" s="160">
        <v>0</v>
      </c>
      <c r="AL20" s="160">
        <v>9970000</v>
      </c>
      <c r="AM20" s="150">
        <v>354046663</v>
      </c>
      <c r="AN20" s="185">
        <v>0</v>
      </c>
      <c r="AO20" s="186">
        <v>0</v>
      </c>
      <c r="AP20" s="186">
        <v>0</v>
      </c>
      <c r="AQ20" s="186">
        <v>0</v>
      </c>
      <c r="AR20" s="186">
        <v>0</v>
      </c>
      <c r="AS20" s="187">
        <v>0</v>
      </c>
      <c r="AT20" s="188">
        <v>0</v>
      </c>
      <c r="AU20" s="188">
        <v>0</v>
      </c>
      <c r="AV20" s="188">
        <v>0</v>
      </c>
      <c r="AW20" s="188">
        <v>0</v>
      </c>
      <c r="AX20" s="150">
        <v>354046663</v>
      </c>
      <c r="AY20" s="256">
        <v>0</v>
      </c>
      <c r="AZ20" s="257">
        <v>0</v>
      </c>
      <c r="BA20" s="258">
        <v>0</v>
      </c>
      <c r="BB20" s="259">
        <v>0</v>
      </c>
      <c r="BC20" s="259">
        <v>0</v>
      </c>
      <c r="BD20" s="259">
        <v>0</v>
      </c>
      <c r="BE20" s="150">
        <v>354046663</v>
      </c>
      <c r="BF20" s="255">
        <v>354046663</v>
      </c>
    </row>
    <row r="21" spans="1:58">
      <c r="A21" s="3" t="s">
        <v>70</v>
      </c>
      <c r="B21" s="150" t="s">
        <v>317</v>
      </c>
      <c r="C21" s="138" t="s">
        <v>246</v>
      </c>
      <c r="D21" s="150">
        <v>3800000</v>
      </c>
      <c r="E21" s="153">
        <v>2097600000</v>
      </c>
      <c r="F21" s="154">
        <v>2097600000</v>
      </c>
      <c r="G21" s="154">
        <v>0</v>
      </c>
      <c r="H21" s="154">
        <v>0</v>
      </c>
      <c r="I21" s="154">
        <v>0</v>
      </c>
      <c r="J21" s="154">
        <v>0</v>
      </c>
      <c r="K21" s="154">
        <v>0</v>
      </c>
      <c r="L21" s="155">
        <v>2922212240</v>
      </c>
      <c r="M21" s="156">
        <v>0</v>
      </c>
      <c r="N21" s="156">
        <v>0</v>
      </c>
      <c r="O21" s="156">
        <v>721845734</v>
      </c>
      <c r="P21" s="156">
        <v>51065011</v>
      </c>
      <c r="Q21" s="156">
        <v>1075495265</v>
      </c>
      <c r="R21" s="156">
        <v>2470080</v>
      </c>
      <c r="S21" s="156">
        <v>134229733</v>
      </c>
      <c r="T21" s="156">
        <v>14401220</v>
      </c>
      <c r="U21" s="156">
        <v>104525123</v>
      </c>
      <c r="V21" s="156">
        <v>7800331</v>
      </c>
      <c r="W21" s="156">
        <v>604713608</v>
      </c>
      <c r="X21" s="156">
        <v>27289040</v>
      </c>
      <c r="Y21" s="156">
        <v>178377095</v>
      </c>
      <c r="Z21" s="156">
        <v>0</v>
      </c>
      <c r="AA21" s="150">
        <v>-824612240</v>
      </c>
      <c r="AB21" s="159">
        <v>24137780</v>
      </c>
      <c r="AC21" s="160">
        <v>23625000</v>
      </c>
      <c r="AD21" s="160">
        <v>512780</v>
      </c>
      <c r="AE21" s="160">
        <v>0</v>
      </c>
      <c r="AF21" s="160">
        <v>0</v>
      </c>
      <c r="AG21" s="160">
        <v>0</v>
      </c>
      <c r="AH21" s="160">
        <v>0</v>
      </c>
      <c r="AI21" s="160">
        <v>0</v>
      </c>
      <c r="AJ21" s="160">
        <v>0</v>
      </c>
      <c r="AK21" s="160">
        <v>0</v>
      </c>
      <c r="AL21" s="160">
        <v>0</v>
      </c>
      <c r="AM21" s="150">
        <v>-848750020</v>
      </c>
      <c r="AN21" s="185">
        <v>0</v>
      </c>
      <c r="AO21" s="186">
        <v>0</v>
      </c>
      <c r="AP21" s="186">
        <v>0</v>
      </c>
      <c r="AQ21" s="186">
        <v>0</v>
      </c>
      <c r="AR21" s="186">
        <v>0</v>
      </c>
      <c r="AS21" s="187">
        <v>0</v>
      </c>
      <c r="AT21" s="188">
        <v>0</v>
      </c>
      <c r="AU21" s="188">
        <v>0</v>
      </c>
      <c r="AV21" s="188">
        <v>0</v>
      </c>
      <c r="AW21" s="188">
        <v>0</v>
      </c>
      <c r="AX21" s="150">
        <v>-848750020</v>
      </c>
      <c r="AY21" s="256">
        <v>0</v>
      </c>
      <c r="AZ21" s="257">
        <v>0</v>
      </c>
      <c r="BA21" s="258">
        <v>0</v>
      </c>
      <c r="BB21" s="259">
        <v>0</v>
      </c>
      <c r="BC21" s="259">
        <v>0</v>
      </c>
      <c r="BD21" s="259">
        <v>0</v>
      </c>
      <c r="BE21" s="150">
        <v>-848750020</v>
      </c>
      <c r="BF21" s="255">
        <v>-848750020</v>
      </c>
    </row>
    <row r="22" spans="1:58">
      <c r="A22" s="3" t="s">
        <v>70</v>
      </c>
      <c r="B22" s="161" t="s">
        <v>374</v>
      </c>
      <c r="C22" s="138" t="s">
        <v>320</v>
      </c>
      <c r="D22" s="161">
        <v>40000</v>
      </c>
      <c r="E22" s="189">
        <v>112260320000</v>
      </c>
      <c r="F22" s="190">
        <v>112260320000</v>
      </c>
      <c r="G22" s="190">
        <v>0</v>
      </c>
      <c r="H22" s="190">
        <v>0</v>
      </c>
      <c r="I22" s="190">
        <v>0</v>
      </c>
      <c r="J22" s="190">
        <v>0</v>
      </c>
      <c r="K22" s="190">
        <v>0</v>
      </c>
      <c r="L22" s="191">
        <v>109515200000</v>
      </c>
      <c r="M22" s="192">
        <v>109515200000</v>
      </c>
      <c r="N22" s="192">
        <v>0</v>
      </c>
      <c r="O22" s="192">
        <v>0</v>
      </c>
      <c r="P22" s="192">
        <v>0</v>
      </c>
      <c r="Q22" s="192">
        <v>0</v>
      </c>
      <c r="R22" s="192">
        <v>0</v>
      </c>
      <c r="S22" s="192">
        <v>0</v>
      </c>
      <c r="T22" s="192">
        <v>0</v>
      </c>
      <c r="U22" s="192">
        <v>0</v>
      </c>
      <c r="V22" s="192">
        <v>0</v>
      </c>
      <c r="W22" s="192">
        <v>0</v>
      </c>
      <c r="X22" s="192">
        <v>0</v>
      </c>
      <c r="Y22" s="192">
        <v>0</v>
      </c>
      <c r="Z22" s="192">
        <v>0</v>
      </c>
      <c r="AA22" s="161">
        <v>2745120000</v>
      </c>
      <c r="AB22" s="193">
        <v>0</v>
      </c>
      <c r="AC22" s="194">
        <v>0</v>
      </c>
      <c r="AD22" s="194">
        <v>0</v>
      </c>
      <c r="AE22" s="194">
        <v>0</v>
      </c>
      <c r="AF22" s="194">
        <v>0</v>
      </c>
      <c r="AG22" s="194">
        <v>0</v>
      </c>
      <c r="AH22" s="194">
        <v>0</v>
      </c>
      <c r="AI22" s="194">
        <v>0</v>
      </c>
      <c r="AJ22" s="194">
        <v>0</v>
      </c>
      <c r="AK22" s="194">
        <v>0</v>
      </c>
      <c r="AL22" s="194">
        <v>0</v>
      </c>
      <c r="AM22" s="161">
        <v>2745120000</v>
      </c>
      <c r="AN22" s="195">
        <v>0</v>
      </c>
      <c r="AO22" s="196">
        <v>0</v>
      </c>
      <c r="AP22" s="196">
        <v>0</v>
      </c>
      <c r="AQ22" s="196">
        <v>0</v>
      </c>
      <c r="AR22" s="196">
        <v>0</v>
      </c>
      <c r="AS22" s="197">
        <v>0</v>
      </c>
      <c r="AT22" s="198">
        <v>0</v>
      </c>
      <c r="AU22" s="198">
        <v>0</v>
      </c>
      <c r="AV22" s="198">
        <v>0</v>
      </c>
      <c r="AW22" s="198">
        <v>0</v>
      </c>
      <c r="AX22" s="161">
        <v>2745120000</v>
      </c>
      <c r="AY22" s="260">
        <v>0</v>
      </c>
      <c r="AZ22" s="261">
        <v>0</v>
      </c>
      <c r="BA22" s="262">
        <v>0</v>
      </c>
      <c r="BB22" s="263">
        <v>0</v>
      </c>
      <c r="BC22" s="263">
        <v>0</v>
      </c>
      <c r="BD22" s="263">
        <v>0</v>
      </c>
      <c r="BE22" s="161">
        <v>2745120000</v>
      </c>
      <c r="BF22" s="255">
        <v>2745120000</v>
      </c>
    </row>
    <row r="23" spans="1:58">
      <c r="B23" s="164" t="s">
        <v>275</v>
      </c>
      <c r="C23" s="164"/>
      <c r="D23" s="164">
        <v>770619087</v>
      </c>
      <c r="E23" s="167">
        <v>8173001696077</v>
      </c>
      <c r="F23" s="168">
        <v>8140819909763</v>
      </c>
      <c r="G23" s="168">
        <v>29680706903</v>
      </c>
      <c r="H23" s="168">
        <v>1679941563</v>
      </c>
      <c r="I23" s="168">
        <v>40174098</v>
      </c>
      <c r="J23" s="168">
        <v>-72536250</v>
      </c>
      <c r="K23" s="168">
        <v>853500000</v>
      </c>
      <c r="L23" s="169">
        <v>7968971370131</v>
      </c>
      <c r="M23" s="170">
        <v>7564415067168</v>
      </c>
      <c r="N23" s="170">
        <v>31535873003</v>
      </c>
      <c r="O23" s="170">
        <v>71245029706</v>
      </c>
      <c r="P23" s="170">
        <v>4727320630</v>
      </c>
      <c r="Q23" s="170">
        <v>67484869227</v>
      </c>
      <c r="R23" s="170">
        <v>70612189492</v>
      </c>
      <c r="S23" s="170">
        <v>24484400846</v>
      </c>
      <c r="T23" s="170">
        <v>12709458875</v>
      </c>
      <c r="U23" s="170">
        <v>27632368349</v>
      </c>
      <c r="V23" s="170">
        <v>8399699160</v>
      </c>
      <c r="W23" s="170">
        <v>22075273892</v>
      </c>
      <c r="X23" s="170">
        <v>7897027998</v>
      </c>
      <c r="Y23" s="170">
        <v>44929980545</v>
      </c>
      <c r="Z23" s="170">
        <v>10822811241</v>
      </c>
      <c r="AA23" s="164">
        <v>204030325946</v>
      </c>
      <c r="AB23" s="173">
        <v>91117381958</v>
      </c>
      <c r="AC23" s="174">
        <v>17874866899</v>
      </c>
      <c r="AD23" s="174">
        <v>632791862</v>
      </c>
      <c r="AE23" s="174">
        <v>26953396935</v>
      </c>
      <c r="AF23" s="174">
        <v>1439500000</v>
      </c>
      <c r="AG23" s="174">
        <v>980871223</v>
      </c>
      <c r="AH23" s="174">
        <v>8935767812</v>
      </c>
      <c r="AI23" s="174">
        <v>2266253718</v>
      </c>
      <c r="AJ23" s="174">
        <v>22061735232</v>
      </c>
      <c r="AK23" s="174">
        <v>51505264</v>
      </c>
      <c r="AL23" s="174">
        <v>9920693013</v>
      </c>
      <c r="AM23" s="164">
        <v>112912943988</v>
      </c>
      <c r="AN23" s="199">
        <v>8409397252</v>
      </c>
      <c r="AO23" s="200">
        <v>4797052022</v>
      </c>
      <c r="AP23" s="200">
        <v>398360970</v>
      </c>
      <c r="AQ23" s="200">
        <v>3213984260</v>
      </c>
      <c r="AR23" s="200">
        <v>0</v>
      </c>
      <c r="AS23" s="201">
        <v>7263928793</v>
      </c>
      <c r="AT23" s="202">
        <v>75</v>
      </c>
      <c r="AU23" s="202">
        <v>1530732103</v>
      </c>
      <c r="AV23" s="202">
        <v>5503196611</v>
      </c>
      <c r="AW23" s="202">
        <v>230000004</v>
      </c>
      <c r="AX23" s="164">
        <v>114058412447</v>
      </c>
      <c r="AY23" s="264">
        <v>9664268536</v>
      </c>
      <c r="AZ23" s="265">
        <v>9664268536</v>
      </c>
      <c r="BA23" s="266">
        <v>9414134415</v>
      </c>
      <c r="BB23" s="267">
        <v>7719209415</v>
      </c>
      <c r="BC23" s="267">
        <v>1686300000</v>
      </c>
      <c r="BD23" s="267">
        <v>8625000</v>
      </c>
      <c r="BE23" s="164">
        <v>114308546568</v>
      </c>
      <c r="BF23" s="255">
        <v>114308546568</v>
      </c>
    </row>
    <row r="24" spans="1:58">
      <c r="C24" s="138" t="s">
        <v>246</v>
      </c>
      <c r="E24" s="268">
        <v>124327720341</v>
      </c>
      <c r="F24" s="268"/>
      <c r="L24" s="268"/>
      <c r="M24" s="268">
        <v>109999179601</v>
      </c>
      <c r="N24" s="3">
        <v>0.88475184214187808</v>
      </c>
    </row>
    <row r="25" spans="1:58">
      <c r="B25" s="3">
        <v>2022</v>
      </c>
      <c r="V25" s="248">
        <v>32516.538233568073</v>
      </c>
    </row>
    <row r="26" spans="1:58" s="110" customFormat="1">
      <c r="B26" s="175" t="s">
        <v>185</v>
      </c>
      <c r="C26" s="175"/>
      <c r="D26" s="175" t="s">
        <v>187</v>
      </c>
      <c r="E26" s="176" t="s">
        <v>188</v>
      </c>
      <c r="F26" s="176" t="s">
        <v>189</v>
      </c>
      <c r="G26" s="176" t="s">
        <v>190</v>
      </c>
      <c r="H26" s="176" t="s">
        <v>202</v>
      </c>
      <c r="I26" s="176" t="s">
        <v>203</v>
      </c>
      <c r="J26" s="176" t="s">
        <v>204</v>
      </c>
      <c r="K26" s="176" t="s">
        <v>205</v>
      </c>
      <c r="L26" s="177" t="s">
        <v>375</v>
      </c>
      <c r="M26" s="177" t="s">
        <v>191</v>
      </c>
      <c r="N26" s="177" t="s">
        <v>277</v>
      </c>
      <c r="O26" s="177" t="s">
        <v>280</v>
      </c>
      <c r="P26" s="177" t="s">
        <v>282</v>
      </c>
      <c r="Q26" s="177" t="s">
        <v>284</v>
      </c>
      <c r="R26" s="177" t="s">
        <v>285</v>
      </c>
      <c r="S26" s="177" t="s">
        <v>286</v>
      </c>
      <c r="T26" s="177" t="s">
        <v>287</v>
      </c>
      <c r="U26" s="177" t="s">
        <v>288</v>
      </c>
      <c r="V26" s="177" t="s">
        <v>289</v>
      </c>
      <c r="W26" s="177" t="s">
        <v>290</v>
      </c>
      <c r="X26" s="177" t="s">
        <v>291</v>
      </c>
      <c r="Y26" s="177" t="s">
        <v>292</v>
      </c>
      <c r="Z26" s="177" t="s">
        <v>297</v>
      </c>
      <c r="AA26" s="175" t="s">
        <v>208</v>
      </c>
      <c r="AB26" s="178" t="s">
        <v>376</v>
      </c>
      <c r="AC26" s="178" t="s">
        <v>210</v>
      </c>
      <c r="AD26" s="178" t="s">
        <v>211</v>
      </c>
      <c r="AE26" s="178" t="s">
        <v>214</v>
      </c>
      <c r="AF26" s="178" t="s">
        <v>215</v>
      </c>
      <c r="AG26" s="178" t="s">
        <v>217</v>
      </c>
      <c r="AH26" s="178" t="s">
        <v>218</v>
      </c>
      <c r="AI26" s="178" t="s">
        <v>219</v>
      </c>
      <c r="AJ26" s="178" t="s">
        <v>220</v>
      </c>
      <c r="AK26" s="178" t="s">
        <v>221</v>
      </c>
      <c r="AL26" s="178" t="s">
        <v>222</v>
      </c>
      <c r="AM26" s="175" t="s">
        <v>144</v>
      </c>
      <c r="AN26" s="179" t="s">
        <v>377</v>
      </c>
      <c r="AO26" s="179" t="s">
        <v>224</v>
      </c>
      <c r="AP26" s="179" t="s">
        <v>226</v>
      </c>
      <c r="AQ26" s="179" t="s">
        <v>229</v>
      </c>
      <c r="AR26" s="179" t="s">
        <v>230</v>
      </c>
      <c r="AS26" s="180" t="s">
        <v>378</v>
      </c>
      <c r="AT26" s="180" t="s">
        <v>232</v>
      </c>
      <c r="AU26" s="180" t="s">
        <v>233</v>
      </c>
      <c r="AV26" s="180" t="s">
        <v>236</v>
      </c>
      <c r="AW26" s="180" t="s">
        <v>237</v>
      </c>
      <c r="AX26" s="175" t="s">
        <v>239</v>
      </c>
      <c r="AY26" s="249" t="s">
        <v>379</v>
      </c>
      <c r="AZ26" s="249" t="s">
        <v>369</v>
      </c>
      <c r="BA26" s="250" t="s">
        <v>380</v>
      </c>
      <c r="BB26" s="250" t="s">
        <v>370</v>
      </c>
      <c r="BC26" s="250" t="s">
        <v>371</v>
      </c>
      <c r="BD26" s="250" t="s">
        <v>372</v>
      </c>
      <c r="BE26" s="175" t="s">
        <v>373</v>
      </c>
    </row>
    <row r="27" spans="1:58">
      <c r="A27" s="3" t="s">
        <v>71</v>
      </c>
      <c r="B27" s="138" t="s">
        <v>298</v>
      </c>
      <c r="C27" s="138" t="s">
        <v>242</v>
      </c>
      <c r="D27" s="138">
        <v>1485000</v>
      </c>
      <c r="E27" s="141">
        <v>-10242320000</v>
      </c>
      <c r="F27" s="142">
        <v>-10242320000</v>
      </c>
      <c r="G27" s="142">
        <v>0</v>
      </c>
      <c r="H27" s="142">
        <v>0</v>
      </c>
      <c r="I27" s="142">
        <v>0</v>
      </c>
      <c r="J27" s="142">
        <v>0</v>
      </c>
      <c r="K27" s="142">
        <v>0</v>
      </c>
      <c r="L27" s="143">
        <v>44877245155</v>
      </c>
      <c r="M27" s="144">
        <v>0</v>
      </c>
      <c r="N27" s="144">
        <v>0</v>
      </c>
      <c r="O27" s="144">
        <v>5426328427</v>
      </c>
      <c r="P27" s="144">
        <v>403361410</v>
      </c>
      <c r="Q27" s="144">
        <v>6326383589</v>
      </c>
      <c r="R27" s="144">
        <v>11765242694</v>
      </c>
      <c r="S27" s="144">
        <v>-1680009213</v>
      </c>
      <c r="T27" s="144">
        <v>1414845790</v>
      </c>
      <c r="U27" s="144">
        <v>4367920571</v>
      </c>
      <c r="V27" s="144">
        <v>238418727</v>
      </c>
      <c r="W27" s="144">
        <v>4312546961</v>
      </c>
      <c r="X27" s="144">
        <v>2509449361</v>
      </c>
      <c r="Y27" s="144">
        <v>2681358038</v>
      </c>
      <c r="Z27" s="144">
        <v>7111398800</v>
      </c>
      <c r="AA27" s="138">
        <v>-55119565155</v>
      </c>
      <c r="AB27" s="147">
        <v>363654609</v>
      </c>
      <c r="AC27" s="148">
        <v>210400200</v>
      </c>
      <c r="AD27" s="148">
        <v>3600000</v>
      </c>
      <c r="AE27" s="148">
        <v>104898626</v>
      </c>
      <c r="AF27" s="148">
        <v>713072</v>
      </c>
      <c r="AG27" s="148">
        <v>12407851</v>
      </c>
      <c r="AH27" s="148">
        <v>0</v>
      </c>
      <c r="AI27" s="148">
        <v>2332208</v>
      </c>
      <c r="AJ27" s="148">
        <v>21249857</v>
      </c>
      <c r="AK27" s="148">
        <v>27987</v>
      </c>
      <c r="AL27" s="148">
        <v>8024808</v>
      </c>
      <c r="AM27" s="138">
        <v>-55483219764</v>
      </c>
      <c r="AN27" s="181">
        <v>0</v>
      </c>
      <c r="AO27" s="182">
        <v>0</v>
      </c>
      <c r="AP27" s="182">
        <v>0</v>
      </c>
      <c r="AQ27" s="182">
        <v>0</v>
      </c>
      <c r="AR27" s="182">
        <v>0</v>
      </c>
      <c r="AS27" s="183">
        <v>230000004</v>
      </c>
      <c r="AT27" s="184">
        <v>0</v>
      </c>
      <c r="AU27" s="184">
        <v>0</v>
      </c>
      <c r="AV27" s="184">
        <v>0</v>
      </c>
      <c r="AW27" s="184">
        <v>230000004</v>
      </c>
      <c r="AX27" s="138">
        <v>-55713219768</v>
      </c>
      <c r="AY27" s="251">
        <v>0</v>
      </c>
      <c r="AZ27" s="252">
        <v>0</v>
      </c>
      <c r="BA27" s="253">
        <v>0</v>
      </c>
      <c r="BB27" s="254">
        <v>0</v>
      </c>
      <c r="BC27" s="254">
        <v>0</v>
      </c>
      <c r="BD27" s="254">
        <v>0</v>
      </c>
      <c r="BE27" s="138">
        <v>-55713219768</v>
      </c>
      <c r="BF27" s="255">
        <v>-55713219768</v>
      </c>
    </row>
    <row r="28" spans="1:58">
      <c r="A28" s="3" t="s">
        <v>71</v>
      </c>
      <c r="B28" s="150" t="s">
        <v>299</v>
      </c>
      <c r="C28" s="138" t="s">
        <v>244</v>
      </c>
      <c r="D28" s="150">
        <v>140740000</v>
      </c>
      <c r="E28" s="153">
        <v>73004100000</v>
      </c>
      <c r="F28" s="154">
        <v>73004100000</v>
      </c>
      <c r="G28" s="154">
        <v>0</v>
      </c>
      <c r="H28" s="154">
        <v>0</v>
      </c>
      <c r="I28" s="154">
        <v>0</v>
      </c>
      <c r="J28" s="154">
        <v>0</v>
      </c>
      <c r="K28" s="154">
        <v>0</v>
      </c>
      <c r="L28" s="155">
        <v>27774745301</v>
      </c>
      <c r="M28" s="156">
        <v>0</v>
      </c>
      <c r="N28" s="156">
        <v>0</v>
      </c>
      <c r="O28" s="156">
        <v>5527148519</v>
      </c>
      <c r="P28" s="156">
        <v>416244305</v>
      </c>
      <c r="Q28" s="156">
        <v>11114381443</v>
      </c>
      <c r="R28" s="156">
        <v>913700226</v>
      </c>
      <c r="S28" s="156">
        <v>2864069895</v>
      </c>
      <c r="T28" s="156">
        <v>0</v>
      </c>
      <c r="U28" s="156">
        <v>1592078584</v>
      </c>
      <c r="V28" s="156">
        <v>0</v>
      </c>
      <c r="W28" s="156">
        <v>3019663585</v>
      </c>
      <c r="X28" s="156">
        <v>203718725</v>
      </c>
      <c r="Y28" s="156">
        <v>2123740019</v>
      </c>
      <c r="Z28" s="156">
        <v>0</v>
      </c>
      <c r="AA28" s="150">
        <v>45229354699</v>
      </c>
      <c r="AB28" s="159">
        <v>8602321403</v>
      </c>
      <c r="AC28" s="160">
        <v>8297335215</v>
      </c>
      <c r="AD28" s="160">
        <v>0</v>
      </c>
      <c r="AE28" s="160">
        <v>280425354</v>
      </c>
      <c r="AF28" s="160">
        <v>0</v>
      </c>
      <c r="AG28" s="160">
        <v>12078588</v>
      </c>
      <c r="AH28" s="160">
        <v>0</v>
      </c>
      <c r="AI28" s="160">
        <v>0</v>
      </c>
      <c r="AJ28" s="160">
        <v>10853200</v>
      </c>
      <c r="AK28" s="160">
        <v>0</v>
      </c>
      <c r="AL28" s="160">
        <v>1629046</v>
      </c>
      <c r="AM28" s="150">
        <v>36627033296</v>
      </c>
      <c r="AN28" s="185">
        <v>0</v>
      </c>
      <c r="AO28" s="186">
        <v>0</v>
      </c>
      <c r="AP28" s="186">
        <v>0</v>
      </c>
      <c r="AQ28" s="186">
        <v>0</v>
      </c>
      <c r="AR28" s="186">
        <v>0</v>
      </c>
      <c r="AS28" s="187">
        <v>0</v>
      </c>
      <c r="AT28" s="188">
        <v>0</v>
      </c>
      <c r="AU28" s="188">
        <v>0</v>
      </c>
      <c r="AV28" s="188">
        <v>0</v>
      </c>
      <c r="AW28" s="188">
        <v>0</v>
      </c>
      <c r="AX28" s="150">
        <v>36627033296</v>
      </c>
      <c r="AY28" s="256">
        <v>0</v>
      </c>
      <c r="AZ28" s="257">
        <v>0</v>
      </c>
      <c r="BA28" s="258">
        <v>0</v>
      </c>
      <c r="BB28" s="259">
        <v>0</v>
      </c>
      <c r="BC28" s="259">
        <v>0</v>
      </c>
      <c r="BD28" s="259">
        <v>0</v>
      </c>
      <c r="BE28" s="150">
        <v>36627033296</v>
      </c>
      <c r="BF28" s="255">
        <v>36627033296</v>
      </c>
    </row>
    <row r="29" spans="1:58">
      <c r="A29" s="3" t="s">
        <v>71</v>
      </c>
      <c r="B29" s="150" t="s">
        <v>300</v>
      </c>
      <c r="C29" s="138" t="s">
        <v>246</v>
      </c>
      <c r="D29" s="150">
        <v>11190</v>
      </c>
      <c r="E29" s="153">
        <v>2283700000</v>
      </c>
      <c r="F29" s="154">
        <v>2283700000</v>
      </c>
      <c r="G29" s="154">
        <v>0</v>
      </c>
      <c r="H29" s="154">
        <v>0</v>
      </c>
      <c r="I29" s="154">
        <v>0</v>
      </c>
      <c r="J29" s="154">
        <v>0</v>
      </c>
      <c r="K29" s="154">
        <v>0</v>
      </c>
      <c r="L29" s="155">
        <v>1740758305</v>
      </c>
      <c r="M29" s="156">
        <v>0</v>
      </c>
      <c r="N29" s="156">
        <v>162222559</v>
      </c>
      <c r="O29" s="156">
        <v>314364621</v>
      </c>
      <c r="P29" s="156">
        <v>23589562</v>
      </c>
      <c r="Q29" s="156">
        <v>266080268</v>
      </c>
      <c r="R29" s="156">
        <v>21099092</v>
      </c>
      <c r="S29" s="156">
        <v>337455007</v>
      </c>
      <c r="T29" s="156">
        <v>12459239</v>
      </c>
      <c r="U29" s="156">
        <v>411107577</v>
      </c>
      <c r="V29" s="156">
        <v>0</v>
      </c>
      <c r="W29" s="156">
        <v>67400963</v>
      </c>
      <c r="X29" s="156">
        <v>10848601</v>
      </c>
      <c r="Y29" s="156">
        <v>114130816</v>
      </c>
      <c r="Z29" s="156">
        <v>0</v>
      </c>
      <c r="AA29" s="150">
        <v>542941695</v>
      </c>
      <c r="AB29" s="159">
        <v>9215551</v>
      </c>
      <c r="AC29" s="160">
        <v>0</v>
      </c>
      <c r="AD29" s="160">
        <v>0</v>
      </c>
      <c r="AE29" s="160">
        <v>8793185</v>
      </c>
      <c r="AF29" s="160">
        <v>0</v>
      </c>
      <c r="AG29" s="160">
        <v>371412</v>
      </c>
      <c r="AH29" s="160">
        <v>0</v>
      </c>
      <c r="AI29" s="160">
        <v>0</v>
      </c>
      <c r="AJ29" s="160">
        <v>0</v>
      </c>
      <c r="AK29" s="160">
        <v>0</v>
      </c>
      <c r="AL29" s="160">
        <v>50954</v>
      </c>
      <c r="AM29" s="150">
        <v>533726144</v>
      </c>
      <c r="AN29" s="185">
        <v>0</v>
      </c>
      <c r="AO29" s="186">
        <v>0</v>
      </c>
      <c r="AP29" s="186">
        <v>0</v>
      </c>
      <c r="AQ29" s="186">
        <v>0</v>
      </c>
      <c r="AR29" s="186">
        <v>0</v>
      </c>
      <c r="AS29" s="187">
        <v>0</v>
      </c>
      <c r="AT29" s="188">
        <v>0</v>
      </c>
      <c r="AU29" s="188">
        <v>0</v>
      </c>
      <c r="AV29" s="188">
        <v>0</v>
      </c>
      <c r="AW29" s="188">
        <v>0</v>
      </c>
      <c r="AX29" s="150">
        <v>533726144</v>
      </c>
      <c r="AY29" s="256">
        <v>0</v>
      </c>
      <c r="AZ29" s="257">
        <v>0</v>
      </c>
      <c r="BA29" s="258">
        <v>0</v>
      </c>
      <c r="BB29" s="259">
        <v>0</v>
      </c>
      <c r="BC29" s="259">
        <v>0</v>
      </c>
      <c r="BD29" s="259">
        <v>0</v>
      </c>
      <c r="BE29" s="150">
        <v>533726144</v>
      </c>
      <c r="BF29" s="255">
        <v>533726144</v>
      </c>
    </row>
    <row r="30" spans="1:58">
      <c r="A30" s="3" t="s">
        <v>71</v>
      </c>
      <c r="B30" s="150" t="s">
        <v>301</v>
      </c>
      <c r="C30" s="138" t="s">
        <v>246</v>
      </c>
      <c r="D30" s="150">
        <v>116700</v>
      </c>
      <c r="E30" s="153">
        <v>816900000</v>
      </c>
      <c r="F30" s="154">
        <v>816900000</v>
      </c>
      <c r="G30" s="154">
        <v>0</v>
      </c>
      <c r="H30" s="154">
        <v>0</v>
      </c>
      <c r="I30" s="154">
        <v>0</v>
      </c>
      <c r="J30" s="154">
        <v>0</v>
      </c>
      <c r="K30" s="154">
        <v>0</v>
      </c>
      <c r="L30" s="155">
        <v>3440130957</v>
      </c>
      <c r="M30" s="156">
        <v>0</v>
      </c>
      <c r="N30" s="156">
        <v>2036391972</v>
      </c>
      <c r="O30" s="156">
        <v>507312786</v>
      </c>
      <c r="P30" s="156">
        <v>35490184</v>
      </c>
      <c r="Q30" s="156">
        <v>194991104</v>
      </c>
      <c r="R30" s="156">
        <v>51154142</v>
      </c>
      <c r="S30" s="156">
        <v>169058594</v>
      </c>
      <c r="T30" s="156">
        <v>0</v>
      </c>
      <c r="U30" s="156">
        <v>127821909</v>
      </c>
      <c r="V30" s="156">
        <v>0</v>
      </c>
      <c r="W30" s="156">
        <v>16862360</v>
      </c>
      <c r="X30" s="156">
        <v>0</v>
      </c>
      <c r="Y30" s="156">
        <v>301047906</v>
      </c>
      <c r="Z30" s="156">
        <v>0</v>
      </c>
      <c r="AA30" s="150">
        <v>-2623230957</v>
      </c>
      <c r="AB30" s="159">
        <v>146598486</v>
      </c>
      <c r="AC30" s="160">
        <v>123600000</v>
      </c>
      <c r="AD30" s="160">
        <v>0</v>
      </c>
      <c r="AE30" s="160">
        <v>19766106</v>
      </c>
      <c r="AF30" s="160">
        <v>0</v>
      </c>
      <c r="AG30" s="160">
        <v>2555311</v>
      </c>
      <c r="AH30" s="160">
        <v>0</v>
      </c>
      <c r="AI30" s="160">
        <v>0</v>
      </c>
      <c r="AJ30" s="160">
        <v>20187</v>
      </c>
      <c r="AK30" s="160">
        <v>0</v>
      </c>
      <c r="AL30" s="160">
        <v>656882</v>
      </c>
      <c r="AM30" s="150">
        <v>-2769829443</v>
      </c>
      <c r="AN30" s="185">
        <v>0</v>
      </c>
      <c r="AO30" s="186">
        <v>0</v>
      </c>
      <c r="AP30" s="186">
        <v>0</v>
      </c>
      <c r="AQ30" s="186">
        <v>0</v>
      </c>
      <c r="AR30" s="186">
        <v>0</v>
      </c>
      <c r="AS30" s="187">
        <v>0</v>
      </c>
      <c r="AT30" s="188">
        <v>0</v>
      </c>
      <c r="AU30" s="188">
        <v>0</v>
      </c>
      <c r="AV30" s="188">
        <v>0</v>
      </c>
      <c r="AW30" s="188">
        <v>0</v>
      </c>
      <c r="AX30" s="150">
        <v>-2769829443</v>
      </c>
      <c r="AY30" s="256">
        <v>0</v>
      </c>
      <c r="AZ30" s="257">
        <v>0</v>
      </c>
      <c r="BA30" s="258">
        <v>0</v>
      </c>
      <c r="BB30" s="259">
        <v>0</v>
      </c>
      <c r="BC30" s="259">
        <v>0</v>
      </c>
      <c r="BD30" s="259">
        <v>0</v>
      </c>
      <c r="BE30" s="150">
        <v>-2769829443</v>
      </c>
      <c r="BF30" s="255">
        <v>-2769829443</v>
      </c>
    </row>
    <row r="31" spans="1:58">
      <c r="A31" s="3" t="s">
        <v>71</v>
      </c>
      <c r="B31" s="150" t="s">
        <v>302</v>
      </c>
      <c r="C31" s="138" t="s">
        <v>250</v>
      </c>
      <c r="D31" s="150">
        <v>4590</v>
      </c>
      <c r="E31" s="153">
        <v>13147260000</v>
      </c>
      <c r="F31" s="154">
        <v>13147260000</v>
      </c>
      <c r="G31" s="154">
        <v>0</v>
      </c>
      <c r="H31" s="154">
        <v>0</v>
      </c>
      <c r="I31" s="154">
        <v>0</v>
      </c>
      <c r="J31" s="154">
        <v>0</v>
      </c>
      <c r="K31" s="154">
        <v>0</v>
      </c>
      <c r="L31" s="155">
        <v>5301760845</v>
      </c>
      <c r="M31" s="156">
        <v>658931397</v>
      </c>
      <c r="N31" s="156">
        <v>0</v>
      </c>
      <c r="O31" s="156">
        <v>1695230570</v>
      </c>
      <c r="P31" s="156">
        <v>109372196</v>
      </c>
      <c r="Q31" s="156">
        <v>913320380</v>
      </c>
      <c r="R31" s="156">
        <v>22576510</v>
      </c>
      <c r="S31" s="156">
        <v>962670548</v>
      </c>
      <c r="T31" s="156">
        <v>66472711</v>
      </c>
      <c r="U31" s="156">
        <v>359170891</v>
      </c>
      <c r="V31" s="156">
        <v>0</v>
      </c>
      <c r="W31" s="156">
        <v>131635793</v>
      </c>
      <c r="X31" s="156">
        <v>906489</v>
      </c>
      <c r="Y31" s="156">
        <v>269780768</v>
      </c>
      <c r="Z31" s="156">
        <v>111692592</v>
      </c>
      <c r="AA31" s="150">
        <v>7845499155</v>
      </c>
      <c r="AB31" s="159">
        <v>116694338</v>
      </c>
      <c r="AC31" s="160">
        <v>101441330</v>
      </c>
      <c r="AD31" s="160">
        <v>4452000</v>
      </c>
      <c r="AE31" s="160">
        <v>0</v>
      </c>
      <c r="AF31" s="160">
        <v>0</v>
      </c>
      <c r="AG31" s="160">
        <v>0</v>
      </c>
      <c r="AH31" s="160">
        <v>0</v>
      </c>
      <c r="AI31" s="160">
        <v>0</v>
      </c>
      <c r="AJ31" s="160">
        <v>10801008</v>
      </c>
      <c r="AK31" s="160">
        <v>0</v>
      </c>
      <c r="AL31" s="160">
        <v>0</v>
      </c>
      <c r="AM31" s="150">
        <v>7728804817</v>
      </c>
      <c r="AN31" s="185">
        <v>0</v>
      </c>
      <c r="AO31" s="186">
        <v>0</v>
      </c>
      <c r="AP31" s="186">
        <v>0</v>
      </c>
      <c r="AQ31" s="186">
        <v>0</v>
      </c>
      <c r="AR31" s="186">
        <v>0</v>
      </c>
      <c r="AS31" s="187">
        <v>0</v>
      </c>
      <c r="AT31" s="188">
        <v>0</v>
      </c>
      <c r="AU31" s="188">
        <v>0</v>
      </c>
      <c r="AV31" s="188">
        <v>0</v>
      </c>
      <c r="AW31" s="188">
        <v>0</v>
      </c>
      <c r="AX31" s="150">
        <v>7728804817</v>
      </c>
      <c r="AY31" s="256">
        <v>0</v>
      </c>
      <c r="AZ31" s="257">
        <v>0</v>
      </c>
      <c r="BA31" s="258">
        <v>0</v>
      </c>
      <c r="BB31" s="259">
        <v>0</v>
      </c>
      <c r="BC31" s="259">
        <v>0</v>
      </c>
      <c r="BD31" s="259">
        <v>0</v>
      </c>
      <c r="BE31" s="150">
        <v>7728804817</v>
      </c>
      <c r="BF31" s="255">
        <v>7728804817</v>
      </c>
    </row>
    <row r="32" spans="1:58">
      <c r="A32" s="3" t="s">
        <v>71</v>
      </c>
      <c r="B32" s="150" t="s">
        <v>303</v>
      </c>
      <c r="C32" s="138" t="s">
        <v>252</v>
      </c>
      <c r="D32" s="150">
        <v>518900</v>
      </c>
      <c r="E32" s="153">
        <v>15775394210</v>
      </c>
      <c r="F32" s="154">
        <v>15775394210</v>
      </c>
      <c r="G32" s="154">
        <v>0</v>
      </c>
      <c r="H32" s="154">
        <v>0</v>
      </c>
      <c r="I32" s="154">
        <v>0</v>
      </c>
      <c r="J32" s="154">
        <v>0</v>
      </c>
      <c r="K32" s="154">
        <v>0</v>
      </c>
      <c r="L32" s="155">
        <v>9423402969</v>
      </c>
      <c r="M32" s="156">
        <v>0</v>
      </c>
      <c r="N32" s="156">
        <v>0</v>
      </c>
      <c r="O32" s="156">
        <v>202231118</v>
      </c>
      <c r="P32" s="156">
        <v>18870620</v>
      </c>
      <c r="Q32" s="156">
        <v>916650593</v>
      </c>
      <c r="R32" s="156">
        <v>0</v>
      </c>
      <c r="S32" s="156">
        <v>7835861509</v>
      </c>
      <c r="T32" s="156">
        <v>2159706</v>
      </c>
      <c r="U32" s="156">
        <v>103574413</v>
      </c>
      <c r="V32" s="156">
        <v>0</v>
      </c>
      <c r="W32" s="156">
        <v>6947889</v>
      </c>
      <c r="X32" s="156">
        <v>0</v>
      </c>
      <c r="Y32" s="156">
        <v>337107121</v>
      </c>
      <c r="Z32" s="156">
        <v>0</v>
      </c>
      <c r="AA32" s="150">
        <v>6351991241</v>
      </c>
      <c r="AB32" s="159">
        <v>443616440</v>
      </c>
      <c r="AC32" s="160">
        <v>0</v>
      </c>
      <c r="AD32" s="160">
        <v>0</v>
      </c>
      <c r="AE32" s="160">
        <v>381210460</v>
      </c>
      <c r="AF32" s="160">
        <v>0</v>
      </c>
      <c r="AG32" s="160">
        <v>48927856</v>
      </c>
      <c r="AH32" s="160">
        <v>0</v>
      </c>
      <c r="AI32" s="160">
        <v>0</v>
      </c>
      <c r="AJ32" s="160">
        <v>389352</v>
      </c>
      <c r="AK32" s="160">
        <v>0</v>
      </c>
      <c r="AL32" s="160">
        <v>13088772</v>
      </c>
      <c r="AM32" s="150">
        <v>5908374801</v>
      </c>
      <c r="AN32" s="185">
        <v>0</v>
      </c>
      <c r="AO32" s="186">
        <v>0</v>
      </c>
      <c r="AP32" s="186">
        <v>0</v>
      </c>
      <c r="AQ32" s="186">
        <v>0</v>
      </c>
      <c r="AR32" s="186">
        <v>0</v>
      </c>
      <c r="AS32" s="187">
        <v>0</v>
      </c>
      <c r="AT32" s="188">
        <v>0</v>
      </c>
      <c r="AU32" s="188">
        <v>0</v>
      </c>
      <c r="AV32" s="188">
        <v>0</v>
      </c>
      <c r="AW32" s="188">
        <v>0</v>
      </c>
      <c r="AX32" s="150">
        <v>5908374801</v>
      </c>
      <c r="AY32" s="256">
        <v>0</v>
      </c>
      <c r="AZ32" s="257">
        <v>0</v>
      </c>
      <c r="BA32" s="258">
        <v>0</v>
      </c>
      <c r="BB32" s="259">
        <v>0</v>
      </c>
      <c r="BC32" s="259">
        <v>0</v>
      </c>
      <c r="BD32" s="259">
        <v>0</v>
      </c>
      <c r="BE32" s="150">
        <v>5908374801</v>
      </c>
      <c r="BF32" s="255">
        <v>5908374801</v>
      </c>
    </row>
    <row r="33" spans="1:58">
      <c r="A33" s="3" t="s">
        <v>71</v>
      </c>
      <c r="B33" s="150" t="s">
        <v>304</v>
      </c>
      <c r="C33" s="138" t="s">
        <v>246</v>
      </c>
      <c r="D33" s="150">
        <v>35200</v>
      </c>
      <c r="E33" s="153">
        <v>1960663750</v>
      </c>
      <c r="F33" s="154">
        <v>1960663750</v>
      </c>
      <c r="G33" s="154">
        <v>0</v>
      </c>
      <c r="H33" s="154">
        <v>0</v>
      </c>
      <c r="I33" s="154">
        <v>0</v>
      </c>
      <c r="J33" s="154">
        <v>0</v>
      </c>
      <c r="K33" s="154">
        <v>0</v>
      </c>
      <c r="L33" s="155">
        <v>963945759</v>
      </c>
      <c r="M33" s="156">
        <v>0</v>
      </c>
      <c r="N33" s="156">
        <v>0</v>
      </c>
      <c r="O33" s="156">
        <v>251751741</v>
      </c>
      <c r="P33" s="156">
        <v>17300560</v>
      </c>
      <c r="Q33" s="156">
        <v>240091354</v>
      </c>
      <c r="R33" s="156">
        <v>16771280</v>
      </c>
      <c r="S33" s="156">
        <v>29462990</v>
      </c>
      <c r="T33" s="156">
        <v>9921353</v>
      </c>
      <c r="U33" s="156">
        <v>41481216</v>
      </c>
      <c r="V33" s="156">
        <v>167749611</v>
      </c>
      <c r="W33" s="156">
        <v>78287817</v>
      </c>
      <c r="X33" s="156">
        <v>210519</v>
      </c>
      <c r="Y33" s="156">
        <v>100686346</v>
      </c>
      <c r="Z33" s="156">
        <v>10230972</v>
      </c>
      <c r="AA33" s="150">
        <v>996717991</v>
      </c>
      <c r="AB33" s="159">
        <v>3118560</v>
      </c>
      <c r="AC33" s="160">
        <v>0</v>
      </c>
      <c r="AD33" s="160">
        <v>3118560</v>
      </c>
      <c r="AE33" s="160">
        <v>0</v>
      </c>
      <c r="AF33" s="160">
        <v>0</v>
      </c>
      <c r="AG33" s="160">
        <v>0</v>
      </c>
      <c r="AH33" s="160">
        <v>0</v>
      </c>
      <c r="AI33" s="160">
        <v>0</v>
      </c>
      <c r="AJ33" s="160">
        <v>0</v>
      </c>
      <c r="AK33" s="160">
        <v>0</v>
      </c>
      <c r="AL33" s="160">
        <v>0</v>
      </c>
      <c r="AM33" s="150">
        <v>993599431</v>
      </c>
      <c r="AN33" s="185">
        <v>0</v>
      </c>
      <c r="AO33" s="186">
        <v>0</v>
      </c>
      <c r="AP33" s="186">
        <v>0</v>
      </c>
      <c r="AQ33" s="186">
        <v>0</v>
      </c>
      <c r="AR33" s="186">
        <v>0</v>
      </c>
      <c r="AS33" s="187">
        <v>0</v>
      </c>
      <c r="AT33" s="188">
        <v>0</v>
      </c>
      <c r="AU33" s="188">
        <v>0</v>
      </c>
      <c r="AV33" s="188">
        <v>0</v>
      </c>
      <c r="AW33" s="188">
        <v>0</v>
      </c>
      <c r="AX33" s="150">
        <v>993599431</v>
      </c>
      <c r="AY33" s="256">
        <v>0</v>
      </c>
      <c r="AZ33" s="257">
        <v>0</v>
      </c>
      <c r="BA33" s="258">
        <v>0</v>
      </c>
      <c r="BB33" s="259">
        <v>0</v>
      </c>
      <c r="BC33" s="259">
        <v>0</v>
      </c>
      <c r="BD33" s="259">
        <v>0</v>
      </c>
      <c r="BE33" s="150">
        <v>993599431</v>
      </c>
      <c r="BF33" s="255">
        <v>993599431</v>
      </c>
    </row>
    <row r="34" spans="1:58">
      <c r="A34" s="3" t="s">
        <v>71</v>
      </c>
      <c r="B34" s="150" t="s">
        <v>305</v>
      </c>
      <c r="C34" s="138" t="s">
        <v>246</v>
      </c>
      <c r="D34" s="150">
        <v>78000</v>
      </c>
      <c r="E34" s="153">
        <v>36348000</v>
      </c>
      <c r="F34" s="154">
        <v>36348000</v>
      </c>
      <c r="G34" s="154">
        <v>0</v>
      </c>
      <c r="H34" s="154">
        <v>0</v>
      </c>
      <c r="I34" s="154">
        <v>0</v>
      </c>
      <c r="J34" s="154">
        <v>0</v>
      </c>
      <c r="K34" s="154">
        <v>0</v>
      </c>
      <c r="L34" s="155">
        <v>976871036</v>
      </c>
      <c r="M34" s="156">
        <v>0</v>
      </c>
      <c r="N34" s="156">
        <v>0</v>
      </c>
      <c r="O34" s="156">
        <v>18206360</v>
      </c>
      <c r="P34" s="156">
        <v>1774877</v>
      </c>
      <c r="Q34" s="156">
        <v>476757813</v>
      </c>
      <c r="R34" s="156">
        <v>0</v>
      </c>
      <c r="S34" s="156">
        <v>521404</v>
      </c>
      <c r="T34" s="156">
        <v>0</v>
      </c>
      <c r="U34" s="156">
        <v>1405254</v>
      </c>
      <c r="V34" s="156">
        <v>0</v>
      </c>
      <c r="W34" s="156">
        <v>404757372</v>
      </c>
      <c r="X34" s="156">
        <v>0</v>
      </c>
      <c r="Y34" s="156">
        <v>68667956</v>
      </c>
      <c r="Z34" s="156">
        <v>4780000</v>
      </c>
      <c r="AA34" s="150">
        <v>-940523036</v>
      </c>
      <c r="AB34" s="159">
        <v>5508900</v>
      </c>
      <c r="AC34" s="160">
        <v>655400</v>
      </c>
      <c r="AD34" s="160">
        <v>368500</v>
      </c>
      <c r="AE34" s="160">
        <v>0</v>
      </c>
      <c r="AF34" s="160">
        <v>0</v>
      </c>
      <c r="AG34" s="160">
        <v>0</v>
      </c>
      <c r="AH34" s="160">
        <v>0</v>
      </c>
      <c r="AI34" s="160">
        <v>0</v>
      </c>
      <c r="AJ34" s="160">
        <v>4485000</v>
      </c>
      <c r="AK34" s="160">
        <v>0</v>
      </c>
      <c r="AL34" s="160">
        <v>0</v>
      </c>
      <c r="AM34" s="150">
        <v>-946031936</v>
      </c>
      <c r="AN34" s="185">
        <v>0</v>
      </c>
      <c r="AO34" s="186">
        <v>0</v>
      </c>
      <c r="AP34" s="186">
        <v>0</v>
      </c>
      <c r="AQ34" s="186">
        <v>0</v>
      </c>
      <c r="AR34" s="186">
        <v>0</v>
      </c>
      <c r="AS34" s="187">
        <v>0</v>
      </c>
      <c r="AT34" s="188">
        <v>0</v>
      </c>
      <c r="AU34" s="188">
        <v>0</v>
      </c>
      <c r="AV34" s="188">
        <v>0</v>
      </c>
      <c r="AW34" s="188">
        <v>0</v>
      </c>
      <c r="AX34" s="150">
        <v>-946031936</v>
      </c>
      <c r="AY34" s="256">
        <v>0</v>
      </c>
      <c r="AZ34" s="257">
        <v>0</v>
      </c>
      <c r="BA34" s="258">
        <v>0</v>
      </c>
      <c r="BB34" s="259">
        <v>0</v>
      </c>
      <c r="BC34" s="259">
        <v>0</v>
      </c>
      <c r="BD34" s="259">
        <v>0</v>
      </c>
      <c r="BE34" s="150">
        <v>-946031936</v>
      </c>
      <c r="BF34" s="255">
        <v>-946031936</v>
      </c>
    </row>
    <row r="35" spans="1:58">
      <c r="A35" s="3" t="s">
        <v>71</v>
      </c>
      <c r="B35" s="150" t="s">
        <v>306</v>
      </c>
      <c r="C35" s="138" t="s">
        <v>246</v>
      </c>
      <c r="D35" s="150">
        <v>54000</v>
      </c>
      <c r="E35" s="153">
        <v>90525600</v>
      </c>
      <c r="F35" s="154">
        <v>90525600</v>
      </c>
      <c r="G35" s="154">
        <v>0</v>
      </c>
      <c r="H35" s="154">
        <v>0</v>
      </c>
      <c r="I35" s="154">
        <v>0</v>
      </c>
      <c r="J35" s="154">
        <v>0</v>
      </c>
      <c r="K35" s="154">
        <v>0</v>
      </c>
      <c r="L35" s="155">
        <v>652266550</v>
      </c>
      <c r="M35" s="156">
        <v>0</v>
      </c>
      <c r="N35" s="156">
        <v>0</v>
      </c>
      <c r="O35" s="156">
        <v>11993205</v>
      </c>
      <c r="P35" s="156">
        <v>1179455</v>
      </c>
      <c r="Q35" s="156">
        <v>316865097</v>
      </c>
      <c r="R35" s="156">
        <v>0</v>
      </c>
      <c r="S35" s="156">
        <v>349935</v>
      </c>
      <c r="T35" s="156">
        <v>0</v>
      </c>
      <c r="U35" s="156">
        <v>948155</v>
      </c>
      <c r="V35" s="156">
        <v>0</v>
      </c>
      <c r="W35" s="156">
        <v>272406198</v>
      </c>
      <c r="X35" s="156">
        <v>0</v>
      </c>
      <c r="Y35" s="156">
        <v>46171905</v>
      </c>
      <c r="Z35" s="156">
        <v>2352600</v>
      </c>
      <c r="AA35" s="150">
        <v>-561740950</v>
      </c>
      <c r="AB35" s="159">
        <v>1458448</v>
      </c>
      <c r="AC35" s="160">
        <v>262160</v>
      </c>
      <c r="AD35" s="160">
        <v>299288</v>
      </c>
      <c r="AE35" s="160">
        <v>0</v>
      </c>
      <c r="AF35" s="160">
        <v>0</v>
      </c>
      <c r="AG35" s="160">
        <v>0</v>
      </c>
      <c r="AH35" s="160">
        <v>0</v>
      </c>
      <c r="AI35" s="160">
        <v>0</v>
      </c>
      <c r="AJ35" s="160">
        <v>897000</v>
      </c>
      <c r="AK35" s="160">
        <v>0</v>
      </c>
      <c r="AL35" s="160">
        <v>0</v>
      </c>
      <c r="AM35" s="150">
        <v>-563199398</v>
      </c>
      <c r="AN35" s="185">
        <v>0</v>
      </c>
      <c r="AO35" s="186">
        <v>0</v>
      </c>
      <c r="AP35" s="186">
        <v>0</v>
      </c>
      <c r="AQ35" s="186">
        <v>0</v>
      </c>
      <c r="AR35" s="186">
        <v>0</v>
      </c>
      <c r="AS35" s="187">
        <v>0</v>
      </c>
      <c r="AT35" s="188">
        <v>0</v>
      </c>
      <c r="AU35" s="188">
        <v>0</v>
      </c>
      <c r="AV35" s="188">
        <v>0</v>
      </c>
      <c r="AW35" s="188">
        <v>0</v>
      </c>
      <c r="AX35" s="150">
        <v>-563199398</v>
      </c>
      <c r="AY35" s="256">
        <v>0</v>
      </c>
      <c r="AZ35" s="257">
        <v>0</v>
      </c>
      <c r="BA35" s="258">
        <v>0</v>
      </c>
      <c r="BB35" s="259">
        <v>0</v>
      </c>
      <c r="BC35" s="259">
        <v>0</v>
      </c>
      <c r="BD35" s="259">
        <v>0</v>
      </c>
      <c r="BE35" s="150">
        <v>-563199398</v>
      </c>
      <c r="BF35" s="255">
        <v>-563199398</v>
      </c>
    </row>
    <row r="36" spans="1:58">
      <c r="A36" s="3" t="s">
        <v>71</v>
      </c>
      <c r="B36" s="150" t="s">
        <v>307</v>
      </c>
      <c r="C36" s="138" t="s">
        <v>258</v>
      </c>
      <c r="D36" s="150">
        <v>668200</v>
      </c>
      <c r="E36" s="153">
        <v>5132416210004</v>
      </c>
      <c r="F36" s="154">
        <v>5132427710004</v>
      </c>
      <c r="G36" s="154">
        <v>0</v>
      </c>
      <c r="H36" s="154">
        <v>0</v>
      </c>
      <c r="I36" s="154">
        <v>0</v>
      </c>
      <c r="J36" s="154">
        <v>-11500000</v>
      </c>
      <c r="K36" s="154">
        <v>0</v>
      </c>
      <c r="L36" s="155">
        <v>5037945462312</v>
      </c>
      <c r="M36" s="156">
        <v>4748855757589</v>
      </c>
      <c r="N36" s="156">
        <v>30617967962</v>
      </c>
      <c r="O36" s="156">
        <v>48478031654</v>
      </c>
      <c r="P36" s="156">
        <v>3455070396</v>
      </c>
      <c r="Q36" s="156">
        <v>42973749984</v>
      </c>
      <c r="R36" s="156">
        <v>62466234564</v>
      </c>
      <c r="S36" s="156">
        <v>12674259897</v>
      </c>
      <c r="T36" s="156">
        <v>7851633192</v>
      </c>
      <c r="U36" s="156">
        <v>18609468538</v>
      </c>
      <c r="V36" s="156">
        <v>5920940728</v>
      </c>
      <c r="W36" s="156">
        <v>12738167785</v>
      </c>
      <c r="X36" s="156">
        <v>5633281549</v>
      </c>
      <c r="Y36" s="156">
        <v>33825095448</v>
      </c>
      <c r="Z36" s="156">
        <v>3845803027</v>
      </c>
      <c r="AA36" s="150">
        <v>94470747692</v>
      </c>
      <c r="AB36" s="159">
        <v>43171296278</v>
      </c>
      <c r="AC36" s="160">
        <v>430545300</v>
      </c>
      <c r="AD36" s="160">
        <v>281487840</v>
      </c>
      <c r="AE36" s="160">
        <v>16581137951</v>
      </c>
      <c r="AF36" s="160">
        <v>909769896</v>
      </c>
      <c r="AG36" s="160">
        <v>527316993</v>
      </c>
      <c r="AH36" s="160">
        <v>3832827008</v>
      </c>
      <c r="AI36" s="160">
        <v>1401768802</v>
      </c>
      <c r="AJ36" s="160">
        <v>12743058415</v>
      </c>
      <c r="AK36" s="160">
        <v>33865723</v>
      </c>
      <c r="AL36" s="160">
        <v>6429518350</v>
      </c>
      <c r="AM36" s="150">
        <v>51299451414</v>
      </c>
      <c r="AN36" s="185">
        <v>3331466444</v>
      </c>
      <c r="AO36" s="186">
        <v>0</v>
      </c>
      <c r="AP36" s="186">
        <v>0</v>
      </c>
      <c r="AQ36" s="186">
        <v>3331466444</v>
      </c>
      <c r="AR36" s="186">
        <v>0</v>
      </c>
      <c r="AS36" s="187">
        <v>1699190048</v>
      </c>
      <c r="AT36" s="188">
        <v>0</v>
      </c>
      <c r="AU36" s="188">
        <v>0</v>
      </c>
      <c r="AV36" s="188">
        <v>1699190048</v>
      </c>
      <c r="AW36" s="188">
        <v>0</v>
      </c>
      <c r="AX36" s="150">
        <v>52931727810</v>
      </c>
      <c r="AY36" s="256">
        <v>5486317847</v>
      </c>
      <c r="AZ36" s="257">
        <v>5486317847</v>
      </c>
      <c r="BA36" s="258">
        <v>7513003051</v>
      </c>
      <c r="BB36" s="259">
        <v>5818078051</v>
      </c>
      <c r="BC36" s="259">
        <v>1686300000</v>
      </c>
      <c r="BD36" s="259">
        <v>8625000</v>
      </c>
      <c r="BE36" s="150">
        <v>50905042606</v>
      </c>
      <c r="BF36" s="255">
        <v>50905042606</v>
      </c>
    </row>
    <row r="37" spans="1:58">
      <c r="A37" s="3" t="s">
        <v>71</v>
      </c>
      <c r="B37" s="150" t="s">
        <v>308</v>
      </c>
      <c r="C37" s="138" t="s">
        <v>260</v>
      </c>
      <c r="D37" s="150">
        <v>1281200</v>
      </c>
      <c r="E37" s="153">
        <v>2563920000</v>
      </c>
      <c r="F37" s="154">
        <v>2563920000</v>
      </c>
      <c r="G37" s="154">
        <v>0</v>
      </c>
      <c r="H37" s="154">
        <v>0</v>
      </c>
      <c r="I37" s="154">
        <v>0</v>
      </c>
      <c r="J37" s="154">
        <v>0</v>
      </c>
      <c r="K37" s="154">
        <v>0</v>
      </c>
      <c r="L37" s="155">
        <v>490470281</v>
      </c>
      <c r="M37" s="156">
        <v>0</v>
      </c>
      <c r="N37" s="156">
        <v>0</v>
      </c>
      <c r="O37" s="156">
        <v>123212256</v>
      </c>
      <c r="P37" s="156">
        <v>9782777</v>
      </c>
      <c r="Q37" s="156">
        <v>101256591</v>
      </c>
      <c r="R37" s="156">
        <v>0</v>
      </c>
      <c r="S37" s="156">
        <v>506099</v>
      </c>
      <c r="T37" s="156">
        <v>74462577</v>
      </c>
      <c r="U37" s="156">
        <v>134939041</v>
      </c>
      <c r="V37" s="156">
        <v>0</v>
      </c>
      <c r="W37" s="156">
        <v>1365178</v>
      </c>
      <c r="X37" s="156">
        <v>0</v>
      </c>
      <c r="Y37" s="156">
        <v>44945762</v>
      </c>
      <c r="Z37" s="156">
        <v>0</v>
      </c>
      <c r="AA37" s="150">
        <v>2073449719</v>
      </c>
      <c r="AB37" s="159">
        <v>8270773358</v>
      </c>
      <c r="AC37" s="160">
        <v>8262097120</v>
      </c>
      <c r="AD37" s="160">
        <v>0</v>
      </c>
      <c r="AE37" s="160">
        <v>234362</v>
      </c>
      <c r="AF37" s="160">
        <v>0</v>
      </c>
      <c r="AG37" s="160">
        <v>30358</v>
      </c>
      <c r="AH37" s="160">
        <v>0</v>
      </c>
      <c r="AI37" s="160">
        <v>0</v>
      </c>
      <c r="AJ37" s="160">
        <v>8400846</v>
      </c>
      <c r="AK37" s="160">
        <v>0</v>
      </c>
      <c r="AL37" s="160">
        <v>10672</v>
      </c>
      <c r="AM37" s="150">
        <v>-6197323639</v>
      </c>
      <c r="AN37" s="185">
        <v>0</v>
      </c>
      <c r="AO37" s="186">
        <v>0</v>
      </c>
      <c r="AP37" s="186">
        <v>0</v>
      </c>
      <c r="AQ37" s="186">
        <v>0</v>
      </c>
      <c r="AR37" s="186">
        <v>0</v>
      </c>
      <c r="AS37" s="187">
        <v>0</v>
      </c>
      <c r="AT37" s="188">
        <v>0</v>
      </c>
      <c r="AU37" s="188">
        <v>0</v>
      </c>
      <c r="AV37" s="188">
        <v>0</v>
      </c>
      <c r="AW37" s="188">
        <v>0</v>
      </c>
      <c r="AX37" s="150">
        <v>-6197323639</v>
      </c>
      <c r="AY37" s="256">
        <v>0</v>
      </c>
      <c r="AZ37" s="257">
        <v>0</v>
      </c>
      <c r="BA37" s="258">
        <v>0</v>
      </c>
      <c r="BB37" s="259">
        <v>0</v>
      </c>
      <c r="BC37" s="259">
        <v>0</v>
      </c>
      <c r="BD37" s="259">
        <v>0</v>
      </c>
      <c r="BE37" s="150">
        <v>-6197323639</v>
      </c>
      <c r="BF37" s="255">
        <v>-6197323639</v>
      </c>
    </row>
    <row r="38" spans="1:58">
      <c r="A38" s="3" t="s">
        <v>71</v>
      </c>
      <c r="B38" s="150" t="s">
        <v>309</v>
      </c>
      <c r="C38" s="138" t="s">
        <v>262</v>
      </c>
      <c r="D38" s="150">
        <v>33302000</v>
      </c>
      <c r="E38" s="153">
        <v>2344032409988</v>
      </c>
      <c r="F38" s="154">
        <v>2344032410000</v>
      </c>
      <c r="G38" s="154">
        <v>-12</v>
      </c>
      <c r="H38" s="154">
        <v>0</v>
      </c>
      <c r="I38" s="154">
        <v>0</v>
      </c>
      <c r="J38" s="154">
        <v>0</v>
      </c>
      <c r="K38" s="154">
        <v>0</v>
      </c>
      <c r="L38" s="155">
        <v>2269524866376</v>
      </c>
      <c r="M38" s="156">
        <v>2261651404947</v>
      </c>
      <c r="N38" s="156">
        <v>418399722</v>
      </c>
      <c r="O38" s="156">
        <v>2564527926</v>
      </c>
      <c r="P38" s="156">
        <v>185223519</v>
      </c>
      <c r="Q38" s="156">
        <v>1319367820</v>
      </c>
      <c r="R38" s="156">
        <v>590140236</v>
      </c>
      <c r="S38" s="156">
        <v>578126243</v>
      </c>
      <c r="T38" s="156">
        <v>239479629</v>
      </c>
      <c r="U38" s="156">
        <v>737940118</v>
      </c>
      <c r="V38" s="156">
        <v>141630902</v>
      </c>
      <c r="W38" s="156">
        <v>252916193</v>
      </c>
      <c r="X38" s="156">
        <v>105181788</v>
      </c>
      <c r="Y38" s="156">
        <v>740527334</v>
      </c>
      <c r="Z38" s="156">
        <v>0</v>
      </c>
      <c r="AA38" s="150">
        <v>74507543612</v>
      </c>
      <c r="AB38" s="159">
        <v>21677686560</v>
      </c>
      <c r="AC38" s="160">
        <v>88631542</v>
      </c>
      <c r="AD38" s="160">
        <v>1540000</v>
      </c>
      <c r="AE38" s="160">
        <v>8136945925</v>
      </c>
      <c r="AF38" s="160">
        <v>458589366</v>
      </c>
      <c r="AG38" s="160">
        <v>256093033</v>
      </c>
      <c r="AH38" s="160">
        <v>1879276841</v>
      </c>
      <c r="AI38" s="160">
        <v>732418535</v>
      </c>
      <c r="AJ38" s="160">
        <v>6941227365</v>
      </c>
      <c r="AK38" s="160">
        <v>17041272</v>
      </c>
      <c r="AL38" s="160">
        <v>3165922681</v>
      </c>
      <c r="AM38" s="150">
        <v>52829857052</v>
      </c>
      <c r="AN38" s="185">
        <v>0</v>
      </c>
      <c r="AO38" s="186">
        <v>0</v>
      </c>
      <c r="AP38" s="186">
        <v>0</v>
      </c>
      <c r="AQ38" s="186">
        <v>0</v>
      </c>
      <c r="AR38" s="186">
        <v>0</v>
      </c>
      <c r="AS38" s="187">
        <v>60</v>
      </c>
      <c r="AT38" s="188">
        <v>60</v>
      </c>
      <c r="AU38" s="188">
        <v>0</v>
      </c>
      <c r="AV38" s="188">
        <v>0</v>
      </c>
      <c r="AW38" s="188">
        <v>0</v>
      </c>
      <c r="AX38" s="150">
        <v>52829856992</v>
      </c>
      <c r="AY38" s="256">
        <v>0</v>
      </c>
      <c r="AZ38" s="257">
        <v>0</v>
      </c>
      <c r="BA38" s="258">
        <v>2808355011</v>
      </c>
      <c r="BB38" s="259">
        <v>2808355011</v>
      </c>
      <c r="BC38" s="259">
        <v>0</v>
      </c>
      <c r="BD38" s="259">
        <v>0</v>
      </c>
      <c r="BE38" s="150">
        <v>50021501981</v>
      </c>
      <c r="BF38" s="255">
        <v>50021501981</v>
      </c>
    </row>
    <row r="39" spans="1:58">
      <c r="A39" s="3" t="s">
        <v>71</v>
      </c>
      <c r="B39" s="150" t="s">
        <v>310</v>
      </c>
      <c r="C39" s="138" t="s">
        <v>264</v>
      </c>
      <c r="D39" s="150">
        <v>408800000</v>
      </c>
      <c r="E39" s="153">
        <v>303761199836</v>
      </c>
      <c r="F39" s="154">
        <v>303761200000</v>
      </c>
      <c r="G39" s="154">
        <v>-164</v>
      </c>
      <c r="H39" s="154">
        <v>0</v>
      </c>
      <c r="I39" s="154">
        <v>0</v>
      </c>
      <c r="J39" s="154">
        <v>0</v>
      </c>
      <c r="K39" s="154">
        <v>0</v>
      </c>
      <c r="L39" s="155">
        <v>286769512498</v>
      </c>
      <c r="M39" s="156">
        <v>281977847629</v>
      </c>
      <c r="N39" s="156">
        <v>158122268</v>
      </c>
      <c r="O39" s="156">
        <v>1374612097</v>
      </c>
      <c r="P39" s="156">
        <v>98830991</v>
      </c>
      <c r="Q39" s="156">
        <v>994341569</v>
      </c>
      <c r="R39" s="156">
        <v>264765097</v>
      </c>
      <c r="S39" s="156">
        <v>231685302</v>
      </c>
      <c r="T39" s="156">
        <v>92762158</v>
      </c>
      <c r="U39" s="156">
        <v>570743687</v>
      </c>
      <c r="V39" s="156">
        <v>124171796</v>
      </c>
      <c r="W39" s="156">
        <v>266363396</v>
      </c>
      <c r="X39" s="156">
        <v>153428716</v>
      </c>
      <c r="Y39" s="156">
        <v>452837793</v>
      </c>
      <c r="Z39" s="156">
        <v>9000000</v>
      </c>
      <c r="AA39" s="150">
        <v>16991687338</v>
      </c>
      <c r="AB39" s="159">
        <v>3204437604</v>
      </c>
      <c r="AC39" s="160">
        <v>96354000</v>
      </c>
      <c r="AD39" s="160">
        <v>8924926</v>
      </c>
      <c r="AE39" s="160">
        <v>1055457295</v>
      </c>
      <c r="AF39" s="160">
        <v>60201608</v>
      </c>
      <c r="AG39" s="160">
        <v>33031291</v>
      </c>
      <c r="AH39" s="160">
        <v>243602512</v>
      </c>
      <c r="AI39" s="160">
        <v>95188845</v>
      </c>
      <c r="AJ39" s="160">
        <v>1198116545</v>
      </c>
      <c r="AK39" s="160">
        <v>2229282</v>
      </c>
      <c r="AL39" s="160">
        <v>411331300</v>
      </c>
      <c r="AM39" s="150">
        <v>13787249734</v>
      </c>
      <c r="AN39" s="185">
        <v>25</v>
      </c>
      <c r="AO39" s="186">
        <v>25</v>
      </c>
      <c r="AP39" s="186">
        <v>0</v>
      </c>
      <c r="AQ39" s="186">
        <v>0</v>
      </c>
      <c r="AR39" s="186">
        <v>0</v>
      </c>
      <c r="AS39" s="187">
        <v>134</v>
      </c>
      <c r="AT39" s="188">
        <v>134</v>
      </c>
      <c r="AU39" s="188">
        <v>0</v>
      </c>
      <c r="AV39" s="188">
        <v>0</v>
      </c>
      <c r="AW39" s="188">
        <v>0</v>
      </c>
      <c r="AX39" s="150">
        <v>13787249625</v>
      </c>
      <c r="AY39" s="256">
        <v>0</v>
      </c>
      <c r="AZ39" s="257">
        <v>0</v>
      </c>
      <c r="BA39" s="258">
        <v>363821657</v>
      </c>
      <c r="BB39" s="259">
        <v>363821657</v>
      </c>
      <c r="BC39" s="259">
        <v>0</v>
      </c>
      <c r="BD39" s="259">
        <v>0</v>
      </c>
      <c r="BE39" s="150">
        <v>13423427968</v>
      </c>
      <c r="BF39" s="255">
        <v>13423427968</v>
      </c>
    </row>
    <row r="40" spans="1:58">
      <c r="A40" s="3" t="s">
        <v>71</v>
      </c>
      <c r="B40" s="150" t="s">
        <v>311</v>
      </c>
      <c r="C40" s="138" t="s">
        <v>266</v>
      </c>
      <c r="D40" s="150">
        <v>191100</v>
      </c>
      <c r="E40" s="153">
        <v>6411808200</v>
      </c>
      <c r="F40" s="154">
        <v>6411808200</v>
      </c>
      <c r="G40" s="154">
        <v>0</v>
      </c>
      <c r="H40" s="154">
        <v>0</v>
      </c>
      <c r="I40" s="154">
        <v>0</v>
      </c>
      <c r="J40" s="154">
        <v>0</v>
      </c>
      <c r="K40" s="154">
        <v>0</v>
      </c>
      <c r="L40" s="155">
        <v>4748634694</v>
      </c>
      <c r="M40" s="156">
        <v>4608481280</v>
      </c>
      <c r="N40" s="156">
        <v>3890873</v>
      </c>
      <c r="O40" s="156">
        <v>25030777</v>
      </c>
      <c r="P40" s="156">
        <v>1741898</v>
      </c>
      <c r="Q40" s="156">
        <v>48609872</v>
      </c>
      <c r="R40" s="156">
        <v>4805501</v>
      </c>
      <c r="S40" s="156">
        <v>5532886</v>
      </c>
      <c r="T40" s="156">
        <v>2523289</v>
      </c>
      <c r="U40" s="156">
        <v>16513969</v>
      </c>
      <c r="V40" s="156">
        <v>7511974</v>
      </c>
      <c r="W40" s="156">
        <v>11223306</v>
      </c>
      <c r="X40" s="156">
        <v>437918</v>
      </c>
      <c r="Y40" s="156">
        <v>12331150</v>
      </c>
      <c r="Z40" s="156">
        <v>0</v>
      </c>
      <c r="AA40" s="150">
        <v>1663173506</v>
      </c>
      <c r="AB40" s="159">
        <v>11399187</v>
      </c>
      <c r="AC40" s="160">
        <v>0</v>
      </c>
      <c r="AD40" s="160">
        <v>0</v>
      </c>
      <c r="AE40" s="160">
        <v>718746</v>
      </c>
      <c r="AF40" s="160">
        <v>11068</v>
      </c>
      <c r="AG40" s="160">
        <v>76594</v>
      </c>
      <c r="AH40" s="160">
        <v>0</v>
      </c>
      <c r="AI40" s="160">
        <v>88010</v>
      </c>
      <c r="AJ40" s="160">
        <v>10431038</v>
      </c>
      <c r="AK40" s="160">
        <v>0</v>
      </c>
      <c r="AL40" s="160">
        <v>73731</v>
      </c>
      <c r="AM40" s="150">
        <v>1651774319</v>
      </c>
      <c r="AN40" s="185">
        <v>0</v>
      </c>
      <c r="AO40" s="186">
        <v>0</v>
      </c>
      <c r="AP40" s="186">
        <v>0</v>
      </c>
      <c r="AQ40" s="186">
        <v>0</v>
      </c>
      <c r="AR40" s="186">
        <v>0</v>
      </c>
      <c r="AS40" s="187">
        <v>0</v>
      </c>
      <c r="AT40" s="188">
        <v>0</v>
      </c>
      <c r="AU40" s="188">
        <v>0</v>
      </c>
      <c r="AV40" s="188">
        <v>0</v>
      </c>
      <c r="AW40" s="188">
        <v>0</v>
      </c>
      <c r="AX40" s="150">
        <v>1651774319</v>
      </c>
      <c r="AY40" s="256">
        <v>0</v>
      </c>
      <c r="AZ40" s="257">
        <v>0</v>
      </c>
      <c r="BA40" s="258">
        <v>0</v>
      </c>
      <c r="BB40" s="259">
        <v>0</v>
      </c>
      <c r="BC40" s="259">
        <v>0</v>
      </c>
      <c r="BD40" s="259">
        <v>0</v>
      </c>
      <c r="BE40" s="150">
        <v>1651774319</v>
      </c>
      <c r="BF40" s="255">
        <v>1651774319</v>
      </c>
    </row>
    <row r="41" spans="1:58">
      <c r="A41" s="3" t="s">
        <v>71</v>
      </c>
      <c r="B41" s="150" t="s">
        <v>312</v>
      </c>
      <c r="C41" s="138" t="s">
        <v>268</v>
      </c>
      <c r="D41" s="150">
        <v>1411000</v>
      </c>
      <c r="E41" s="153">
        <v>104763554000</v>
      </c>
      <c r="F41" s="154">
        <v>104763554000</v>
      </c>
      <c r="G41" s="154">
        <v>0</v>
      </c>
      <c r="H41" s="154">
        <v>0</v>
      </c>
      <c r="I41" s="154">
        <v>0</v>
      </c>
      <c r="J41" s="154">
        <v>0</v>
      </c>
      <c r="K41" s="154">
        <v>0</v>
      </c>
      <c r="L41" s="155">
        <v>76912528931</v>
      </c>
      <c r="M41" s="156">
        <v>76018152144</v>
      </c>
      <c r="N41" s="156">
        <v>37660207</v>
      </c>
      <c r="O41" s="156">
        <v>258846650</v>
      </c>
      <c r="P41" s="156">
        <v>18213906</v>
      </c>
      <c r="Q41" s="156">
        <v>170654829</v>
      </c>
      <c r="R41" s="156">
        <v>46313167</v>
      </c>
      <c r="S41" s="156">
        <v>50902405</v>
      </c>
      <c r="T41" s="156">
        <v>21237828</v>
      </c>
      <c r="U41" s="156">
        <v>97489601</v>
      </c>
      <c r="V41" s="156">
        <v>28356354</v>
      </c>
      <c r="W41" s="156">
        <v>76727851</v>
      </c>
      <c r="X41" s="156">
        <v>4626628</v>
      </c>
      <c r="Y41" s="156">
        <v>83347360</v>
      </c>
      <c r="Z41" s="156">
        <v>0</v>
      </c>
      <c r="AA41" s="150">
        <v>27851025069</v>
      </c>
      <c r="AB41" s="159">
        <v>39509263</v>
      </c>
      <c r="AC41" s="160">
        <v>5040000</v>
      </c>
      <c r="AD41" s="160">
        <v>0</v>
      </c>
      <c r="AE41" s="160">
        <v>11683014</v>
      </c>
      <c r="AF41" s="160">
        <v>206593</v>
      </c>
      <c r="AG41" s="160">
        <v>1163189</v>
      </c>
      <c r="AH41" s="160">
        <v>0</v>
      </c>
      <c r="AI41" s="160">
        <v>1856120</v>
      </c>
      <c r="AJ41" s="160">
        <v>18458824</v>
      </c>
      <c r="AK41" s="160">
        <v>0</v>
      </c>
      <c r="AL41" s="160">
        <v>1101523</v>
      </c>
      <c r="AM41" s="150">
        <v>27811515806</v>
      </c>
      <c r="AN41" s="185">
        <v>0</v>
      </c>
      <c r="AO41" s="186">
        <v>0</v>
      </c>
      <c r="AP41" s="186">
        <v>0</v>
      </c>
      <c r="AQ41" s="186">
        <v>0</v>
      </c>
      <c r="AR41" s="186">
        <v>0</v>
      </c>
      <c r="AS41" s="187">
        <v>0</v>
      </c>
      <c r="AT41" s="188">
        <v>0</v>
      </c>
      <c r="AU41" s="188">
        <v>0</v>
      </c>
      <c r="AV41" s="188">
        <v>0</v>
      </c>
      <c r="AW41" s="188">
        <v>0</v>
      </c>
      <c r="AX41" s="150">
        <v>27811515806</v>
      </c>
      <c r="AY41" s="256">
        <v>0</v>
      </c>
      <c r="AZ41" s="257">
        <v>0</v>
      </c>
      <c r="BA41" s="258">
        <v>0</v>
      </c>
      <c r="BB41" s="259">
        <v>0</v>
      </c>
      <c r="BC41" s="259">
        <v>0</v>
      </c>
      <c r="BD41" s="259">
        <v>0</v>
      </c>
      <c r="BE41" s="150">
        <v>27811515806</v>
      </c>
      <c r="BF41" s="255">
        <v>27811515806</v>
      </c>
    </row>
    <row r="42" spans="1:58">
      <c r="A42" s="3" t="s">
        <v>71</v>
      </c>
      <c r="B42" s="150" t="s">
        <v>313</v>
      </c>
      <c r="C42" s="138" t="s">
        <v>270</v>
      </c>
      <c r="D42" s="150">
        <v>389200</v>
      </c>
      <c r="E42" s="153">
        <v>4908204325</v>
      </c>
      <c r="F42" s="154">
        <v>4908204325</v>
      </c>
      <c r="G42" s="154">
        <v>0</v>
      </c>
      <c r="H42" s="154">
        <v>0</v>
      </c>
      <c r="I42" s="154">
        <v>0</v>
      </c>
      <c r="J42" s="154">
        <v>0</v>
      </c>
      <c r="K42" s="154">
        <v>0</v>
      </c>
      <c r="L42" s="155">
        <v>4235755562</v>
      </c>
      <c r="M42" s="156">
        <v>479522205</v>
      </c>
      <c r="N42" s="156">
        <v>0</v>
      </c>
      <c r="O42" s="156">
        <v>1049518082</v>
      </c>
      <c r="P42" s="156">
        <v>73088494</v>
      </c>
      <c r="Q42" s="156">
        <v>891422374</v>
      </c>
      <c r="R42" s="156">
        <v>3535744</v>
      </c>
      <c r="S42" s="156">
        <v>82044204</v>
      </c>
      <c r="T42" s="156">
        <v>0</v>
      </c>
      <c r="U42" s="156">
        <v>552664698</v>
      </c>
      <c r="V42" s="156">
        <v>142420507</v>
      </c>
      <c r="W42" s="156">
        <v>306368355</v>
      </c>
      <c r="X42" s="156">
        <v>106117343</v>
      </c>
      <c r="Y42" s="156">
        <v>462664992</v>
      </c>
      <c r="Z42" s="156">
        <v>86388564</v>
      </c>
      <c r="AA42" s="150">
        <v>672448763</v>
      </c>
      <c r="AB42" s="159">
        <v>23755384</v>
      </c>
      <c r="AC42" s="160">
        <v>9518880</v>
      </c>
      <c r="AD42" s="160">
        <v>7334940</v>
      </c>
      <c r="AE42" s="160">
        <v>549003</v>
      </c>
      <c r="AF42" s="160">
        <v>8397</v>
      </c>
      <c r="AG42" s="160">
        <v>58309</v>
      </c>
      <c r="AH42" s="160">
        <v>0</v>
      </c>
      <c r="AI42" s="160">
        <v>105308</v>
      </c>
      <c r="AJ42" s="160">
        <v>6129286</v>
      </c>
      <c r="AK42" s="160">
        <v>0</v>
      </c>
      <c r="AL42" s="160">
        <v>51261</v>
      </c>
      <c r="AM42" s="150">
        <v>648693379</v>
      </c>
      <c r="AN42" s="185">
        <v>0</v>
      </c>
      <c r="AO42" s="186">
        <v>0</v>
      </c>
      <c r="AP42" s="186">
        <v>0</v>
      </c>
      <c r="AQ42" s="186">
        <v>0</v>
      </c>
      <c r="AR42" s="186">
        <v>0</v>
      </c>
      <c r="AS42" s="187">
        <v>0</v>
      </c>
      <c r="AT42" s="188">
        <v>0</v>
      </c>
      <c r="AU42" s="188">
        <v>0</v>
      </c>
      <c r="AV42" s="188">
        <v>0</v>
      </c>
      <c r="AW42" s="188">
        <v>0</v>
      </c>
      <c r="AX42" s="150">
        <v>648693379</v>
      </c>
      <c r="AY42" s="256">
        <v>0</v>
      </c>
      <c r="AZ42" s="257">
        <v>0</v>
      </c>
      <c r="BA42" s="258">
        <v>0</v>
      </c>
      <c r="BB42" s="259">
        <v>0</v>
      </c>
      <c r="BC42" s="259">
        <v>0</v>
      </c>
      <c r="BD42" s="259">
        <v>0</v>
      </c>
      <c r="BE42" s="150">
        <v>648693379</v>
      </c>
      <c r="BF42" s="255">
        <v>648693379</v>
      </c>
    </row>
    <row r="43" spans="1:58">
      <c r="A43" s="3" t="s">
        <v>71</v>
      </c>
      <c r="B43" s="150" t="s">
        <v>314</v>
      </c>
      <c r="C43" s="138" t="s">
        <v>272</v>
      </c>
      <c r="D43" s="150">
        <v>1961926</v>
      </c>
      <c r="E43" s="153">
        <v>27120918543</v>
      </c>
      <c r="F43" s="154">
        <v>27120918543</v>
      </c>
      <c r="G43" s="154">
        <v>0</v>
      </c>
      <c r="H43" s="154">
        <v>0</v>
      </c>
      <c r="I43" s="154">
        <v>0</v>
      </c>
      <c r="J43" s="154">
        <v>0</v>
      </c>
      <c r="K43" s="154">
        <v>0</v>
      </c>
      <c r="L43" s="155">
        <v>27120919220</v>
      </c>
      <c r="M43" s="156">
        <v>27120919220</v>
      </c>
      <c r="N43" s="156">
        <v>0</v>
      </c>
      <c r="O43" s="156">
        <v>0</v>
      </c>
      <c r="P43" s="156">
        <v>0</v>
      </c>
      <c r="Q43" s="156">
        <v>0</v>
      </c>
      <c r="R43" s="156">
        <v>0</v>
      </c>
      <c r="S43" s="156">
        <v>0</v>
      </c>
      <c r="T43" s="156">
        <v>0</v>
      </c>
      <c r="U43" s="156">
        <v>0</v>
      </c>
      <c r="V43" s="156">
        <v>0</v>
      </c>
      <c r="W43" s="156">
        <v>0</v>
      </c>
      <c r="X43" s="156">
        <v>0</v>
      </c>
      <c r="Y43" s="156">
        <v>0</v>
      </c>
      <c r="Z43" s="156">
        <v>0</v>
      </c>
      <c r="AA43" s="150">
        <v>-677</v>
      </c>
      <c r="AB43" s="159">
        <v>105223200</v>
      </c>
      <c r="AC43" s="160">
        <v>61512000</v>
      </c>
      <c r="AD43" s="160">
        <v>876000</v>
      </c>
      <c r="AE43" s="160">
        <v>0</v>
      </c>
      <c r="AF43" s="160">
        <v>0</v>
      </c>
      <c r="AG43" s="160">
        <v>0</v>
      </c>
      <c r="AH43" s="160">
        <v>0</v>
      </c>
      <c r="AI43" s="160">
        <v>0</v>
      </c>
      <c r="AJ43" s="160">
        <v>42835200</v>
      </c>
      <c r="AK43" s="160">
        <v>0</v>
      </c>
      <c r="AL43" s="160">
        <v>0</v>
      </c>
      <c r="AM43" s="150">
        <v>-105223877</v>
      </c>
      <c r="AN43" s="185">
        <v>0</v>
      </c>
      <c r="AO43" s="186">
        <v>0</v>
      </c>
      <c r="AP43" s="186">
        <v>0</v>
      </c>
      <c r="AQ43" s="186">
        <v>0</v>
      </c>
      <c r="AR43" s="186">
        <v>0</v>
      </c>
      <c r="AS43" s="187">
        <v>0</v>
      </c>
      <c r="AT43" s="188">
        <v>0</v>
      </c>
      <c r="AU43" s="188">
        <v>0</v>
      </c>
      <c r="AV43" s="188">
        <v>0</v>
      </c>
      <c r="AW43" s="188">
        <v>0</v>
      </c>
      <c r="AX43" s="150">
        <v>-105223877</v>
      </c>
      <c r="AY43" s="256">
        <v>0</v>
      </c>
      <c r="AZ43" s="257">
        <v>0</v>
      </c>
      <c r="BA43" s="258">
        <v>0</v>
      </c>
      <c r="BB43" s="259">
        <v>0</v>
      </c>
      <c r="BC43" s="259">
        <v>0</v>
      </c>
      <c r="BD43" s="259">
        <v>0</v>
      </c>
      <c r="BE43" s="150">
        <v>-105223877</v>
      </c>
      <c r="BF43" s="255">
        <v>-105223877</v>
      </c>
    </row>
    <row r="44" spans="1:58">
      <c r="A44" s="3" t="s">
        <v>71</v>
      </c>
      <c r="B44" s="150" t="s">
        <v>315</v>
      </c>
      <c r="C44" s="138" t="s">
        <v>316</v>
      </c>
      <c r="D44" s="150">
        <v>170400000</v>
      </c>
      <c r="E44" s="153">
        <v>133686900000</v>
      </c>
      <c r="F44" s="154">
        <v>133686900000</v>
      </c>
      <c r="G44" s="154">
        <v>0</v>
      </c>
      <c r="H44" s="154">
        <v>0</v>
      </c>
      <c r="I44" s="154">
        <v>0</v>
      </c>
      <c r="J44" s="154">
        <v>0</v>
      </c>
      <c r="K44" s="154">
        <v>0</v>
      </c>
      <c r="L44" s="155">
        <v>115950912841</v>
      </c>
      <c r="M44" s="156">
        <v>103078184086</v>
      </c>
      <c r="N44" s="156">
        <v>57832433</v>
      </c>
      <c r="O44" s="156">
        <v>2270790597</v>
      </c>
      <c r="P44" s="156">
        <v>177474807</v>
      </c>
      <c r="Q44" s="156">
        <v>1240508476</v>
      </c>
      <c r="R44" s="156">
        <v>470693597</v>
      </c>
      <c r="S44" s="156">
        <v>109286669</v>
      </c>
      <c r="T44" s="156">
        <v>32974327</v>
      </c>
      <c r="U44" s="156">
        <v>299031148</v>
      </c>
      <c r="V44" s="156">
        <v>3476784500</v>
      </c>
      <c r="W44" s="156">
        <v>2064033615</v>
      </c>
      <c r="X44" s="156">
        <v>351205070</v>
      </c>
      <c r="Y44" s="156">
        <v>2322113516</v>
      </c>
      <c r="Z44" s="156">
        <v>0</v>
      </c>
      <c r="AA44" s="150">
        <v>17735987159</v>
      </c>
      <c r="AB44" s="159">
        <v>4280105773</v>
      </c>
      <c r="AC44" s="160">
        <v>447396024</v>
      </c>
      <c r="AD44" s="160">
        <v>571534284</v>
      </c>
      <c r="AE44" s="160">
        <v>189324320</v>
      </c>
      <c r="AF44" s="160">
        <v>0</v>
      </c>
      <c r="AG44" s="160">
        <v>56661600</v>
      </c>
      <c r="AH44" s="160">
        <v>2893437545</v>
      </c>
      <c r="AI44" s="160">
        <v>0</v>
      </c>
      <c r="AJ44" s="160">
        <v>111782000</v>
      </c>
      <c r="AK44" s="160">
        <v>0</v>
      </c>
      <c r="AL44" s="160">
        <v>9970000</v>
      </c>
      <c r="AM44" s="150">
        <v>13455881386</v>
      </c>
      <c r="AN44" s="185">
        <v>0</v>
      </c>
      <c r="AO44" s="186">
        <v>0</v>
      </c>
      <c r="AP44" s="186">
        <v>0</v>
      </c>
      <c r="AQ44" s="186">
        <v>0</v>
      </c>
      <c r="AR44" s="186">
        <v>0</v>
      </c>
      <c r="AS44" s="187">
        <v>0</v>
      </c>
      <c r="AT44" s="188">
        <v>0</v>
      </c>
      <c r="AU44" s="188">
        <v>0</v>
      </c>
      <c r="AV44" s="188">
        <v>0</v>
      </c>
      <c r="AW44" s="188">
        <v>0</v>
      </c>
      <c r="AX44" s="150">
        <v>13455881386</v>
      </c>
      <c r="AY44" s="256">
        <v>0</v>
      </c>
      <c r="AZ44" s="257">
        <v>0</v>
      </c>
      <c r="BA44" s="258">
        <v>0</v>
      </c>
      <c r="BB44" s="259">
        <v>0</v>
      </c>
      <c r="BC44" s="259">
        <v>0</v>
      </c>
      <c r="BD44" s="259">
        <v>0</v>
      </c>
      <c r="BE44" s="150">
        <v>13455881386</v>
      </c>
      <c r="BF44" s="255">
        <v>13455881386</v>
      </c>
    </row>
    <row r="45" spans="1:58">
      <c r="A45" s="3" t="s">
        <v>71</v>
      </c>
      <c r="B45" s="150" t="s">
        <v>317</v>
      </c>
      <c r="C45" s="138" t="s">
        <v>246</v>
      </c>
      <c r="D45" s="150">
        <v>3700000</v>
      </c>
      <c r="E45" s="153">
        <v>2042400000</v>
      </c>
      <c r="F45" s="154">
        <v>2042400000</v>
      </c>
      <c r="G45" s="154">
        <v>0</v>
      </c>
      <c r="H45" s="154">
        <v>0</v>
      </c>
      <c r="I45" s="154">
        <v>0</v>
      </c>
      <c r="J45" s="154">
        <v>0</v>
      </c>
      <c r="K45" s="154">
        <v>0</v>
      </c>
      <c r="L45" s="155">
        <v>2623198686</v>
      </c>
      <c r="M45" s="156">
        <v>0</v>
      </c>
      <c r="N45" s="156">
        <v>0</v>
      </c>
      <c r="O45" s="156">
        <v>719276335</v>
      </c>
      <c r="P45" s="156">
        <v>50426023</v>
      </c>
      <c r="Q45" s="156">
        <v>1007265604</v>
      </c>
      <c r="R45" s="156">
        <v>2185590</v>
      </c>
      <c r="S45" s="156">
        <v>120937299</v>
      </c>
      <c r="T45" s="156">
        <v>641572</v>
      </c>
      <c r="U45" s="156">
        <v>140017969</v>
      </c>
      <c r="V45" s="156">
        <v>7265219</v>
      </c>
      <c r="W45" s="156">
        <v>386652492</v>
      </c>
      <c r="X45" s="156">
        <v>28193560</v>
      </c>
      <c r="Y45" s="156">
        <v>160337023</v>
      </c>
      <c r="Z45" s="156">
        <v>0</v>
      </c>
      <c r="AA45" s="150">
        <v>-580798686</v>
      </c>
      <c r="AB45" s="159">
        <v>24137780</v>
      </c>
      <c r="AC45" s="160">
        <v>23625000</v>
      </c>
      <c r="AD45" s="160">
        <v>512780</v>
      </c>
      <c r="AE45" s="160">
        <v>0</v>
      </c>
      <c r="AF45" s="160">
        <v>0</v>
      </c>
      <c r="AG45" s="160">
        <v>0</v>
      </c>
      <c r="AH45" s="160">
        <v>0</v>
      </c>
      <c r="AI45" s="160">
        <v>0</v>
      </c>
      <c r="AJ45" s="160">
        <v>0</v>
      </c>
      <c r="AK45" s="160">
        <v>0</v>
      </c>
      <c r="AL45" s="160">
        <v>0</v>
      </c>
      <c r="AM45" s="150">
        <v>-604936466</v>
      </c>
      <c r="AN45" s="185">
        <v>0</v>
      </c>
      <c r="AO45" s="186">
        <v>0</v>
      </c>
      <c r="AP45" s="186">
        <v>0</v>
      </c>
      <c r="AQ45" s="186">
        <v>0</v>
      </c>
      <c r="AR45" s="186">
        <v>0</v>
      </c>
      <c r="AS45" s="187">
        <v>0</v>
      </c>
      <c r="AT45" s="188">
        <v>0</v>
      </c>
      <c r="AU45" s="188">
        <v>0</v>
      </c>
      <c r="AV45" s="188">
        <v>0</v>
      </c>
      <c r="AW45" s="188">
        <v>0</v>
      </c>
      <c r="AX45" s="150">
        <v>-604936466</v>
      </c>
      <c r="AY45" s="256">
        <v>0</v>
      </c>
      <c r="AZ45" s="257">
        <v>0</v>
      </c>
      <c r="BA45" s="258">
        <v>0</v>
      </c>
      <c r="BB45" s="259">
        <v>0</v>
      </c>
      <c r="BC45" s="259">
        <v>0</v>
      </c>
      <c r="BD45" s="259">
        <v>0</v>
      </c>
      <c r="BE45" s="150">
        <v>-604936466</v>
      </c>
      <c r="BF45" s="255">
        <v>-604936466</v>
      </c>
    </row>
    <row r="46" spans="1:58">
      <c r="A46" s="3" t="s">
        <v>71</v>
      </c>
      <c r="B46" s="161" t="s">
        <v>374</v>
      </c>
      <c r="C46" s="138" t="s">
        <v>274</v>
      </c>
      <c r="D46" s="161">
        <v>40000</v>
      </c>
      <c r="E46" s="189">
        <v>112260320000</v>
      </c>
      <c r="F46" s="190">
        <v>112260320000</v>
      </c>
      <c r="G46" s="190">
        <v>0</v>
      </c>
      <c r="H46" s="190">
        <v>0</v>
      </c>
      <c r="I46" s="190">
        <v>0</v>
      </c>
      <c r="J46" s="190">
        <v>0</v>
      </c>
      <c r="K46" s="190">
        <v>0</v>
      </c>
      <c r="L46" s="191">
        <v>109515200000</v>
      </c>
      <c r="M46" s="192">
        <v>109515200000</v>
      </c>
      <c r="N46" s="192">
        <v>0</v>
      </c>
      <c r="O46" s="192">
        <v>0</v>
      </c>
      <c r="P46" s="192">
        <v>0</v>
      </c>
      <c r="Q46" s="192">
        <v>0</v>
      </c>
      <c r="R46" s="192">
        <v>0</v>
      </c>
      <c r="S46" s="192">
        <v>0</v>
      </c>
      <c r="T46" s="192">
        <v>0</v>
      </c>
      <c r="U46" s="192">
        <v>0</v>
      </c>
      <c r="V46" s="192">
        <v>0</v>
      </c>
      <c r="W46" s="192">
        <v>0</v>
      </c>
      <c r="X46" s="192">
        <v>0</v>
      </c>
      <c r="Y46" s="192">
        <v>0</v>
      </c>
      <c r="Z46" s="192">
        <v>0</v>
      </c>
      <c r="AA46" s="161">
        <v>2745120000</v>
      </c>
      <c r="AB46" s="193">
        <v>0</v>
      </c>
      <c r="AC46" s="194">
        <v>0</v>
      </c>
      <c r="AD46" s="194">
        <v>0</v>
      </c>
      <c r="AE46" s="194">
        <v>0</v>
      </c>
      <c r="AF46" s="194">
        <v>0</v>
      </c>
      <c r="AG46" s="194">
        <v>0</v>
      </c>
      <c r="AH46" s="194">
        <v>0</v>
      </c>
      <c r="AI46" s="194">
        <v>0</v>
      </c>
      <c r="AJ46" s="194">
        <v>0</v>
      </c>
      <c r="AK46" s="194">
        <v>0</v>
      </c>
      <c r="AL46" s="194">
        <v>0</v>
      </c>
      <c r="AM46" s="161">
        <v>2745120000</v>
      </c>
      <c r="AN46" s="195">
        <v>0</v>
      </c>
      <c r="AO46" s="196">
        <v>0</v>
      </c>
      <c r="AP46" s="196">
        <v>0</v>
      </c>
      <c r="AQ46" s="196">
        <v>0</v>
      </c>
      <c r="AR46" s="196">
        <v>0</v>
      </c>
      <c r="AS46" s="197">
        <v>0</v>
      </c>
      <c r="AT46" s="198">
        <v>0</v>
      </c>
      <c r="AU46" s="198">
        <v>0</v>
      </c>
      <c r="AV46" s="198">
        <v>0</v>
      </c>
      <c r="AW46" s="198">
        <v>0</v>
      </c>
      <c r="AX46" s="161">
        <v>2745120000</v>
      </c>
      <c r="AY46" s="260">
        <v>0</v>
      </c>
      <c r="AZ46" s="261">
        <v>0</v>
      </c>
      <c r="BA46" s="262">
        <v>0</v>
      </c>
      <c r="BB46" s="263">
        <v>0</v>
      </c>
      <c r="BC46" s="263">
        <v>0</v>
      </c>
      <c r="BD46" s="263">
        <v>0</v>
      </c>
      <c r="BE46" s="161">
        <v>2745120000</v>
      </c>
      <c r="BF46" s="255">
        <v>2745120000</v>
      </c>
    </row>
    <row r="47" spans="1:58">
      <c r="B47" s="164" t="s">
        <v>275</v>
      </c>
      <c r="C47" s="164"/>
      <c r="D47" s="164">
        <v>765188206</v>
      </c>
      <c r="E47" s="167">
        <v>8270840416456</v>
      </c>
      <c r="F47" s="168">
        <v>8270851916632</v>
      </c>
      <c r="G47" s="168">
        <v>-176</v>
      </c>
      <c r="H47" s="168">
        <v>0</v>
      </c>
      <c r="I47" s="168">
        <v>0</v>
      </c>
      <c r="J47" s="168">
        <v>-11500000</v>
      </c>
      <c r="K47" s="168">
        <v>0</v>
      </c>
      <c r="L47" s="169">
        <v>8030988588278</v>
      </c>
      <c r="M47" s="170">
        <v>7613964400497</v>
      </c>
      <c r="N47" s="170">
        <v>33492487996</v>
      </c>
      <c r="O47" s="170">
        <v>70818413721</v>
      </c>
      <c r="P47" s="170">
        <v>5097035980</v>
      </c>
      <c r="Q47" s="170">
        <v>69512698760</v>
      </c>
      <c r="R47" s="170">
        <v>76639217440</v>
      </c>
      <c r="S47" s="170">
        <v>24372721673</v>
      </c>
      <c r="T47" s="170">
        <v>9821573371</v>
      </c>
      <c r="U47" s="170">
        <v>28164317339</v>
      </c>
      <c r="V47" s="170">
        <v>10255250318</v>
      </c>
      <c r="W47" s="170">
        <v>24414327109</v>
      </c>
      <c r="X47" s="170">
        <v>9107606267</v>
      </c>
      <c r="Y47" s="170">
        <v>44146891253</v>
      </c>
      <c r="Z47" s="170">
        <v>11181646555</v>
      </c>
      <c r="AA47" s="164">
        <v>239851828178</v>
      </c>
      <c r="AB47" s="173">
        <v>90500511122</v>
      </c>
      <c r="AC47" s="174">
        <v>18158414171</v>
      </c>
      <c r="AD47" s="174">
        <v>884049118</v>
      </c>
      <c r="AE47" s="174">
        <v>26771144347</v>
      </c>
      <c r="AF47" s="174">
        <v>1429500000</v>
      </c>
      <c r="AG47" s="174">
        <v>950772385</v>
      </c>
      <c r="AH47" s="174">
        <v>8849143906</v>
      </c>
      <c r="AI47" s="174">
        <v>2233757828</v>
      </c>
      <c r="AJ47" s="174">
        <v>21129135123</v>
      </c>
      <c r="AK47" s="174">
        <v>53164264</v>
      </c>
      <c r="AL47" s="174">
        <v>10041429980</v>
      </c>
      <c r="AM47" s="164">
        <v>149351317056</v>
      </c>
      <c r="AN47" s="199">
        <v>3331466469</v>
      </c>
      <c r="AO47" s="200">
        <v>25</v>
      </c>
      <c r="AP47" s="200">
        <v>0</v>
      </c>
      <c r="AQ47" s="200">
        <v>3331466444</v>
      </c>
      <c r="AR47" s="200">
        <v>0</v>
      </c>
      <c r="AS47" s="201">
        <v>1929190246</v>
      </c>
      <c r="AT47" s="202">
        <v>194</v>
      </c>
      <c r="AU47" s="202">
        <v>0</v>
      </c>
      <c r="AV47" s="202">
        <v>1699190048</v>
      </c>
      <c r="AW47" s="202">
        <v>230000004</v>
      </c>
      <c r="AX47" s="164">
        <v>150753593279</v>
      </c>
      <c r="AY47" s="264">
        <v>5486317847</v>
      </c>
      <c r="AZ47" s="265">
        <v>5486317847</v>
      </c>
      <c r="BA47" s="266">
        <v>10685179719</v>
      </c>
      <c r="BB47" s="267">
        <v>8990254719</v>
      </c>
      <c r="BC47" s="267">
        <v>1686300000</v>
      </c>
      <c r="BD47" s="267">
        <v>8625000</v>
      </c>
      <c r="BE47" s="164">
        <v>145554731407</v>
      </c>
      <c r="BF47" s="255">
        <v>145554731407</v>
      </c>
    </row>
    <row r="49" spans="1:58">
      <c r="B49" s="3">
        <v>2023</v>
      </c>
      <c r="V49" s="248">
        <v>32448.132723004695</v>
      </c>
    </row>
    <row r="50" spans="1:58" s="110" customFormat="1">
      <c r="B50" s="175" t="s">
        <v>318</v>
      </c>
      <c r="C50" s="175"/>
      <c r="D50" s="175" t="s">
        <v>187</v>
      </c>
      <c r="E50" s="176" t="s">
        <v>188</v>
      </c>
      <c r="F50" s="176" t="s">
        <v>189</v>
      </c>
      <c r="G50" s="176" t="s">
        <v>190</v>
      </c>
      <c r="H50" s="176" t="s">
        <v>202</v>
      </c>
      <c r="I50" s="176" t="s">
        <v>203</v>
      </c>
      <c r="J50" s="176" t="s">
        <v>204</v>
      </c>
      <c r="K50" s="176" t="s">
        <v>205</v>
      </c>
      <c r="L50" s="177" t="s">
        <v>375</v>
      </c>
      <c r="M50" s="177" t="s">
        <v>191</v>
      </c>
      <c r="N50" s="177" t="s">
        <v>277</v>
      </c>
      <c r="O50" s="177" t="s">
        <v>280</v>
      </c>
      <c r="P50" s="177" t="s">
        <v>282</v>
      </c>
      <c r="Q50" s="177" t="s">
        <v>284</v>
      </c>
      <c r="R50" s="177" t="s">
        <v>285</v>
      </c>
      <c r="S50" s="177" t="s">
        <v>286</v>
      </c>
      <c r="T50" s="177" t="s">
        <v>287</v>
      </c>
      <c r="U50" s="177" t="s">
        <v>288</v>
      </c>
      <c r="V50" s="177" t="s">
        <v>289</v>
      </c>
      <c r="W50" s="177" t="s">
        <v>290</v>
      </c>
      <c r="X50" s="177" t="s">
        <v>291</v>
      </c>
      <c r="Y50" s="177" t="s">
        <v>292</v>
      </c>
      <c r="Z50" s="177" t="s">
        <v>297</v>
      </c>
      <c r="AA50" s="175" t="s">
        <v>208</v>
      </c>
      <c r="AB50" s="178" t="s">
        <v>376</v>
      </c>
      <c r="AC50" s="178" t="s">
        <v>210</v>
      </c>
      <c r="AD50" s="178" t="s">
        <v>211</v>
      </c>
      <c r="AE50" s="178" t="s">
        <v>214</v>
      </c>
      <c r="AF50" s="178" t="s">
        <v>215</v>
      </c>
      <c r="AG50" s="178" t="s">
        <v>217</v>
      </c>
      <c r="AH50" s="178" t="s">
        <v>218</v>
      </c>
      <c r="AI50" s="178" t="s">
        <v>219</v>
      </c>
      <c r="AJ50" s="178" t="s">
        <v>220</v>
      </c>
      <c r="AK50" s="178" t="s">
        <v>221</v>
      </c>
      <c r="AL50" s="178" t="s">
        <v>222</v>
      </c>
      <c r="AM50" s="175" t="s">
        <v>144</v>
      </c>
      <c r="AN50" s="179" t="s">
        <v>377</v>
      </c>
      <c r="AO50" s="179" t="s">
        <v>224</v>
      </c>
      <c r="AP50" s="179" t="s">
        <v>226</v>
      </c>
      <c r="AQ50" s="179" t="s">
        <v>229</v>
      </c>
      <c r="AR50" s="179" t="s">
        <v>230</v>
      </c>
      <c r="AS50" s="180" t="s">
        <v>378</v>
      </c>
      <c r="AT50" s="180" t="s">
        <v>232</v>
      </c>
      <c r="AU50" s="180" t="s">
        <v>233</v>
      </c>
      <c r="AV50" s="180" t="s">
        <v>236</v>
      </c>
      <c r="AW50" s="180" t="s">
        <v>237</v>
      </c>
      <c r="AX50" s="175" t="s">
        <v>239</v>
      </c>
      <c r="AY50" s="249" t="s">
        <v>379</v>
      </c>
      <c r="AZ50" s="249" t="s">
        <v>369</v>
      </c>
      <c r="BA50" s="250" t="s">
        <v>380</v>
      </c>
      <c r="BB50" s="250" t="s">
        <v>370</v>
      </c>
      <c r="BC50" s="250" t="s">
        <v>371</v>
      </c>
      <c r="BD50" s="250" t="s">
        <v>372</v>
      </c>
      <c r="BE50" s="175" t="s">
        <v>373</v>
      </c>
    </row>
    <row r="51" spans="1:58">
      <c r="A51" s="3" t="s">
        <v>72</v>
      </c>
      <c r="B51" s="138" t="s">
        <v>298</v>
      </c>
      <c r="C51" s="138" t="s">
        <v>242</v>
      </c>
      <c r="D51" s="138">
        <v>1452000</v>
      </c>
      <c r="E51" s="141">
        <v>-6371420000</v>
      </c>
      <c r="F51" s="142">
        <v>-6371420000</v>
      </c>
      <c r="G51" s="142">
        <v>0</v>
      </c>
      <c r="H51" s="142">
        <v>0</v>
      </c>
      <c r="I51" s="142">
        <v>0</v>
      </c>
      <c r="J51" s="142">
        <v>0</v>
      </c>
      <c r="K51" s="142">
        <v>0</v>
      </c>
      <c r="L51" s="143">
        <v>42878994657</v>
      </c>
      <c r="M51" s="144">
        <v>0</v>
      </c>
      <c r="N51" s="144">
        <v>0</v>
      </c>
      <c r="O51" s="144">
        <v>5237030361</v>
      </c>
      <c r="P51" s="144">
        <v>433440081</v>
      </c>
      <c r="Q51" s="144">
        <v>6257101552</v>
      </c>
      <c r="R51" s="144">
        <v>11556117742</v>
      </c>
      <c r="S51" s="144">
        <v>-1634359949</v>
      </c>
      <c r="T51" s="144">
        <v>1958283242</v>
      </c>
      <c r="U51" s="144">
        <v>3411527855</v>
      </c>
      <c r="V51" s="144">
        <v>235362020</v>
      </c>
      <c r="W51" s="144">
        <v>3257621382</v>
      </c>
      <c r="X51" s="144">
        <v>2414966153</v>
      </c>
      <c r="Y51" s="144">
        <v>2640505418</v>
      </c>
      <c r="Z51" s="144">
        <v>7111398800</v>
      </c>
      <c r="AA51" s="138">
        <v>-49250414657</v>
      </c>
      <c r="AB51" s="147">
        <v>374921959</v>
      </c>
      <c r="AC51" s="148">
        <v>207331200</v>
      </c>
      <c r="AD51" s="148">
        <v>3600000</v>
      </c>
      <c r="AE51" s="148">
        <v>118116833</v>
      </c>
      <c r="AF51" s="148">
        <v>723596</v>
      </c>
      <c r="AG51" s="148">
        <v>13362757</v>
      </c>
      <c r="AH51" s="148">
        <v>0</v>
      </c>
      <c r="AI51" s="148">
        <v>2402877</v>
      </c>
      <c r="AJ51" s="148">
        <v>21139063</v>
      </c>
      <c r="AK51" s="148">
        <v>29758</v>
      </c>
      <c r="AL51" s="148">
        <v>8215875</v>
      </c>
      <c r="AM51" s="138">
        <v>-49625336616</v>
      </c>
      <c r="AN51" s="181">
        <v>0</v>
      </c>
      <c r="AO51" s="182">
        <v>0</v>
      </c>
      <c r="AP51" s="182">
        <v>0</v>
      </c>
      <c r="AQ51" s="182">
        <v>0</v>
      </c>
      <c r="AR51" s="182">
        <v>0</v>
      </c>
      <c r="AS51" s="183">
        <v>230000004</v>
      </c>
      <c r="AT51" s="184">
        <v>0</v>
      </c>
      <c r="AU51" s="184">
        <v>0</v>
      </c>
      <c r="AV51" s="184">
        <v>0</v>
      </c>
      <c r="AW51" s="184">
        <v>230000004</v>
      </c>
      <c r="AX51" s="138">
        <v>-49855336620</v>
      </c>
      <c r="AY51" s="251">
        <v>0</v>
      </c>
      <c r="AZ51" s="252">
        <v>0</v>
      </c>
      <c r="BA51" s="253">
        <v>0</v>
      </c>
      <c r="BB51" s="254">
        <v>0</v>
      </c>
      <c r="BC51" s="254">
        <v>0</v>
      </c>
      <c r="BD51" s="254">
        <v>0</v>
      </c>
      <c r="BE51" s="138">
        <v>-49855336620</v>
      </c>
      <c r="BF51" s="255">
        <v>-49855336620</v>
      </c>
    </row>
    <row r="52" spans="1:58">
      <c r="A52" s="3" t="s">
        <v>72</v>
      </c>
      <c r="B52" s="150" t="s">
        <v>299</v>
      </c>
      <c r="C52" s="138" t="s">
        <v>244</v>
      </c>
      <c r="D52" s="150">
        <v>157418000</v>
      </c>
      <c r="E52" s="153">
        <v>81770020000</v>
      </c>
      <c r="F52" s="154">
        <v>81770020000</v>
      </c>
      <c r="G52" s="154">
        <v>0</v>
      </c>
      <c r="H52" s="154">
        <v>0</v>
      </c>
      <c r="I52" s="154">
        <v>0</v>
      </c>
      <c r="J52" s="154">
        <v>0</v>
      </c>
      <c r="K52" s="154">
        <v>0</v>
      </c>
      <c r="L52" s="155">
        <v>31035970907</v>
      </c>
      <c r="M52" s="156">
        <v>0</v>
      </c>
      <c r="N52" s="156">
        <v>0</v>
      </c>
      <c r="O52" s="156">
        <v>5738466419</v>
      </c>
      <c r="P52" s="156">
        <v>484119932</v>
      </c>
      <c r="Q52" s="156">
        <v>13193972918</v>
      </c>
      <c r="R52" s="156">
        <v>1052289389</v>
      </c>
      <c r="S52" s="156">
        <v>3051823918</v>
      </c>
      <c r="T52" s="156">
        <v>0</v>
      </c>
      <c r="U52" s="156">
        <v>1639830282</v>
      </c>
      <c r="V52" s="156">
        <v>0</v>
      </c>
      <c r="W52" s="156">
        <v>3350754929</v>
      </c>
      <c r="X52" s="156">
        <v>235554325</v>
      </c>
      <c r="Y52" s="156">
        <v>2289158795</v>
      </c>
      <c r="Z52" s="156">
        <v>0</v>
      </c>
      <c r="AA52" s="150">
        <v>50734049093</v>
      </c>
      <c r="AB52" s="159">
        <v>9575446262</v>
      </c>
      <c r="AC52" s="160">
        <v>9253180773</v>
      </c>
      <c r="AD52" s="160">
        <v>0</v>
      </c>
      <c r="AE52" s="160">
        <v>297652450</v>
      </c>
      <c r="AF52" s="160">
        <v>0</v>
      </c>
      <c r="AG52" s="160">
        <v>12125471</v>
      </c>
      <c r="AH52" s="160">
        <v>0</v>
      </c>
      <c r="AI52" s="160">
        <v>0</v>
      </c>
      <c r="AJ52" s="160">
        <v>10853200</v>
      </c>
      <c r="AK52" s="160">
        <v>0</v>
      </c>
      <c r="AL52" s="160">
        <v>1634368</v>
      </c>
      <c r="AM52" s="150">
        <v>41158602831</v>
      </c>
      <c r="AN52" s="185">
        <v>0</v>
      </c>
      <c r="AO52" s="186">
        <v>0</v>
      </c>
      <c r="AP52" s="186">
        <v>0</v>
      </c>
      <c r="AQ52" s="186">
        <v>0</v>
      </c>
      <c r="AR52" s="186">
        <v>0</v>
      </c>
      <c r="AS52" s="187">
        <v>0</v>
      </c>
      <c r="AT52" s="188">
        <v>0</v>
      </c>
      <c r="AU52" s="188">
        <v>0</v>
      </c>
      <c r="AV52" s="188">
        <v>0</v>
      </c>
      <c r="AW52" s="188">
        <v>0</v>
      </c>
      <c r="AX52" s="150">
        <v>41158602831</v>
      </c>
      <c r="AY52" s="256">
        <v>0</v>
      </c>
      <c r="AZ52" s="257">
        <v>0</v>
      </c>
      <c r="BA52" s="258">
        <v>0</v>
      </c>
      <c r="BB52" s="259">
        <v>0</v>
      </c>
      <c r="BC52" s="259">
        <v>0</v>
      </c>
      <c r="BD52" s="259">
        <v>0</v>
      </c>
      <c r="BE52" s="150">
        <v>41158602831</v>
      </c>
      <c r="BF52" s="255">
        <v>41158602831</v>
      </c>
    </row>
    <row r="53" spans="1:58">
      <c r="A53" s="3" t="s">
        <v>72</v>
      </c>
      <c r="B53" s="150" t="s">
        <v>300</v>
      </c>
      <c r="C53" s="138" t="s">
        <v>246</v>
      </c>
      <c r="D53" s="150">
        <v>11190</v>
      </c>
      <c r="E53" s="153">
        <v>2283700000</v>
      </c>
      <c r="F53" s="154">
        <v>2283700000</v>
      </c>
      <c r="G53" s="154">
        <v>0</v>
      </c>
      <c r="H53" s="154">
        <v>0</v>
      </c>
      <c r="I53" s="154">
        <v>0</v>
      </c>
      <c r="J53" s="154">
        <v>0</v>
      </c>
      <c r="K53" s="154">
        <v>0</v>
      </c>
      <c r="L53" s="155">
        <v>1682388467</v>
      </c>
      <c r="M53" s="156">
        <v>0</v>
      </c>
      <c r="N53" s="156">
        <v>160704634</v>
      </c>
      <c r="O53" s="156">
        <v>291878043</v>
      </c>
      <c r="P53" s="156">
        <v>24510034</v>
      </c>
      <c r="Q53" s="156">
        <v>291251200</v>
      </c>
      <c r="R53" s="156">
        <v>21261859</v>
      </c>
      <c r="S53" s="156">
        <v>327788547</v>
      </c>
      <c r="T53" s="156">
        <v>5320244</v>
      </c>
      <c r="U53" s="156">
        <v>377225110</v>
      </c>
      <c r="V53" s="156">
        <v>0</v>
      </c>
      <c r="W53" s="156">
        <v>58142010</v>
      </c>
      <c r="X53" s="156">
        <v>12528348</v>
      </c>
      <c r="Y53" s="156">
        <v>111778438</v>
      </c>
      <c r="Z53" s="156">
        <v>0</v>
      </c>
      <c r="AA53" s="150">
        <v>601311533</v>
      </c>
      <c r="AB53" s="159">
        <v>8695233</v>
      </c>
      <c r="AC53" s="160">
        <v>0</v>
      </c>
      <c r="AD53" s="160">
        <v>0</v>
      </c>
      <c r="AE53" s="160">
        <v>8325072</v>
      </c>
      <c r="AF53" s="160">
        <v>0</v>
      </c>
      <c r="AG53" s="160">
        <v>324529</v>
      </c>
      <c r="AH53" s="160">
        <v>0</v>
      </c>
      <c r="AI53" s="160">
        <v>0</v>
      </c>
      <c r="AJ53" s="160">
        <v>0</v>
      </c>
      <c r="AK53" s="160">
        <v>0</v>
      </c>
      <c r="AL53" s="160">
        <v>45632</v>
      </c>
      <c r="AM53" s="150">
        <v>592616300</v>
      </c>
      <c r="AN53" s="185">
        <v>0</v>
      </c>
      <c r="AO53" s="186">
        <v>0</v>
      </c>
      <c r="AP53" s="186">
        <v>0</v>
      </c>
      <c r="AQ53" s="186">
        <v>0</v>
      </c>
      <c r="AR53" s="186">
        <v>0</v>
      </c>
      <c r="AS53" s="187">
        <v>0</v>
      </c>
      <c r="AT53" s="188">
        <v>0</v>
      </c>
      <c r="AU53" s="188">
        <v>0</v>
      </c>
      <c r="AV53" s="188">
        <v>0</v>
      </c>
      <c r="AW53" s="188">
        <v>0</v>
      </c>
      <c r="AX53" s="150">
        <v>592616300</v>
      </c>
      <c r="AY53" s="256">
        <v>0</v>
      </c>
      <c r="AZ53" s="257">
        <v>0</v>
      </c>
      <c r="BA53" s="258">
        <v>0</v>
      </c>
      <c r="BB53" s="259">
        <v>0</v>
      </c>
      <c r="BC53" s="259">
        <v>0</v>
      </c>
      <c r="BD53" s="259">
        <v>0</v>
      </c>
      <c r="BE53" s="150">
        <v>592616300</v>
      </c>
      <c r="BF53" s="255">
        <v>592616300</v>
      </c>
    </row>
    <row r="54" spans="1:58">
      <c r="A54" s="3" t="s">
        <v>72</v>
      </c>
      <c r="B54" s="150" t="s">
        <v>301</v>
      </c>
      <c r="C54" s="138" t="s">
        <v>246</v>
      </c>
      <c r="D54" s="150">
        <v>110000</v>
      </c>
      <c r="E54" s="153">
        <v>770000000</v>
      </c>
      <c r="F54" s="154">
        <v>770000000</v>
      </c>
      <c r="G54" s="154">
        <v>0</v>
      </c>
      <c r="H54" s="154">
        <v>0</v>
      </c>
      <c r="I54" s="154">
        <v>0</v>
      </c>
      <c r="J54" s="154">
        <v>0</v>
      </c>
      <c r="K54" s="154">
        <v>0</v>
      </c>
      <c r="L54" s="155">
        <v>3212999595</v>
      </c>
      <c r="M54" s="156">
        <v>0</v>
      </c>
      <c r="N54" s="156">
        <v>1919478295</v>
      </c>
      <c r="O54" s="156">
        <v>483844011</v>
      </c>
      <c r="P54" s="156">
        <v>37116678</v>
      </c>
      <c r="Q54" s="156">
        <v>181875237</v>
      </c>
      <c r="R54" s="156">
        <v>51614116</v>
      </c>
      <c r="S54" s="156">
        <v>170333763</v>
      </c>
      <c r="T54" s="156">
        <v>0</v>
      </c>
      <c r="U54" s="156">
        <v>84328167</v>
      </c>
      <c r="V54" s="156">
        <v>0</v>
      </c>
      <c r="W54" s="156">
        <v>16531794</v>
      </c>
      <c r="X54" s="156">
        <v>0</v>
      </c>
      <c r="Y54" s="156">
        <v>267877534</v>
      </c>
      <c r="Z54" s="156">
        <v>0</v>
      </c>
      <c r="AA54" s="150">
        <v>-2442999595</v>
      </c>
      <c r="AB54" s="159">
        <v>147458303</v>
      </c>
      <c r="AC54" s="160">
        <v>123600000</v>
      </c>
      <c r="AD54" s="160">
        <v>0</v>
      </c>
      <c r="AE54" s="160">
        <v>20666521</v>
      </c>
      <c r="AF54" s="160">
        <v>0</v>
      </c>
      <c r="AG54" s="160">
        <v>2461981</v>
      </c>
      <c r="AH54" s="160">
        <v>0</v>
      </c>
      <c r="AI54" s="160">
        <v>0</v>
      </c>
      <c r="AJ54" s="160">
        <v>19981</v>
      </c>
      <c r="AK54" s="160">
        <v>0</v>
      </c>
      <c r="AL54" s="160">
        <v>709820</v>
      </c>
      <c r="AM54" s="150">
        <v>-2590457898</v>
      </c>
      <c r="AN54" s="185">
        <v>0</v>
      </c>
      <c r="AO54" s="186">
        <v>0</v>
      </c>
      <c r="AP54" s="186">
        <v>0</v>
      </c>
      <c r="AQ54" s="186">
        <v>0</v>
      </c>
      <c r="AR54" s="186">
        <v>0</v>
      </c>
      <c r="AS54" s="187">
        <v>0</v>
      </c>
      <c r="AT54" s="188">
        <v>0</v>
      </c>
      <c r="AU54" s="188">
        <v>0</v>
      </c>
      <c r="AV54" s="188">
        <v>0</v>
      </c>
      <c r="AW54" s="188">
        <v>0</v>
      </c>
      <c r="AX54" s="150">
        <v>-2590457898</v>
      </c>
      <c r="AY54" s="256">
        <v>0</v>
      </c>
      <c r="AZ54" s="257">
        <v>0</v>
      </c>
      <c r="BA54" s="258">
        <v>0</v>
      </c>
      <c r="BB54" s="259">
        <v>0</v>
      </c>
      <c r="BC54" s="259">
        <v>0</v>
      </c>
      <c r="BD54" s="259">
        <v>0</v>
      </c>
      <c r="BE54" s="150">
        <v>-2590457898</v>
      </c>
      <c r="BF54" s="255">
        <v>-2590457898</v>
      </c>
    </row>
    <row r="55" spans="1:58">
      <c r="A55" s="3" t="s">
        <v>72</v>
      </c>
      <c r="B55" s="150" t="s">
        <v>302</v>
      </c>
      <c r="C55" s="138" t="s">
        <v>250</v>
      </c>
      <c r="D55" s="150">
        <v>4590</v>
      </c>
      <c r="E55" s="153">
        <v>13147260000</v>
      </c>
      <c r="F55" s="154">
        <v>13147260000</v>
      </c>
      <c r="G55" s="154">
        <v>0</v>
      </c>
      <c r="H55" s="154">
        <v>0</v>
      </c>
      <c r="I55" s="154">
        <v>0</v>
      </c>
      <c r="J55" s="154">
        <v>0</v>
      </c>
      <c r="K55" s="154">
        <v>0</v>
      </c>
      <c r="L55" s="155">
        <v>5239617369</v>
      </c>
      <c r="M55" s="156">
        <v>551684073</v>
      </c>
      <c r="N55" s="156">
        <v>0</v>
      </c>
      <c r="O55" s="156">
        <v>1777949492</v>
      </c>
      <c r="P55" s="156">
        <v>131943176</v>
      </c>
      <c r="Q55" s="156">
        <v>828876603</v>
      </c>
      <c r="R55" s="156">
        <v>23121192</v>
      </c>
      <c r="S55" s="156">
        <v>1059559738</v>
      </c>
      <c r="T55" s="156">
        <v>0</v>
      </c>
      <c r="U55" s="156">
        <v>346550356</v>
      </c>
      <c r="V55" s="156">
        <v>0</v>
      </c>
      <c r="W55" s="156">
        <v>136249513</v>
      </c>
      <c r="X55" s="156">
        <v>947832</v>
      </c>
      <c r="Y55" s="156">
        <v>271042802</v>
      </c>
      <c r="Z55" s="156">
        <v>111692592</v>
      </c>
      <c r="AA55" s="150">
        <v>7907642631</v>
      </c>
      <c r="AB55" s="159">
        <v>116643218</v>
      </c>
      <c r="AC55" s="160">
        <v>101441330</v>
      </c>
      <c r="AD55" s="160">
        <v>4452000</v>
      </c>
      <c r="AE55" s="160">
        <v>0</v>
      </c>
      <c r="AF55" s="160">
        <v>0</v>
      </c>
      <c r="AG55" s="160">
        <v>0</v>
      </c>
      <c r="AH55" s="160">
        <v>0</v>
      </c>
      <c r="AI55" s="160">
        <v>0</v>
      </c>
      <c r="AJ55" s="160">
        <v>10749888</v>
      </c>
      <c r="AK55" s="160">
        <v>0</v>
      </c>
      <c r="AL55" s="160">
        <v>0</v>
      </c>
      <c r="AM55" s="150">
        <v>7790999413</v>
      </c>
      <c r="AN55" s="185">
        <v>0</v>
      </c>
      <c r="AO55" s="186">
        <v>0</v>
      </c>
      <c r="AP55" s="186">
        <v>0</v>
      </c>
      <c r="AQ55" s="186">
        <v>0</v>
      </c>
      <c r="AR55" s="186">
        <v>0</v>
      </c>
      <c r="AS55" s="187">
        <v>0</v>
      </c>
      <c r="AT55" s="188">
        <v>0</v>
      </c>
      <c r="AU55" s="188">
        <v>0</v>
      </c>
      <c r="AV55" s="188">
        <v>0</v>
      </c>
      <c r="AW55" s="188">
        <v>0</v>
      </c>
      <c r="AX55" s="150">
        <v>7790999413</v>
      </c>
      <c r="AY55" s="256">
        <v>0</v>
      </c>
      <c r="AZ55" s="257">
        <v>0</v>
      </c>
      <c r="BA55" s="258">
        <v>0</v>
      </c>
      <c r="BB55" s="259">
        <v>0</v>
      </c>
      <c r="BC55" s="259">
        <v>0</v>
      </c>
      <c r="BD55" s="259">
        <v>0</v>
      </c>
      <c r="BE55" s="150">
        <v>7790999413</v>
      </c>
      <c r="BF55" s="255">
        <v>7790999413</v>
      </c>
    </row>
    <row r="56" spans="1:58">
      <c r="A56" s="3" t="s">
        <v>72</v>
      </c>
      <c r="B56" s="150" t="s">
        <v>303</v>
      </c>
      <c r="C56" s="138" t="s">
        <v>252</v>
      </c>
      <c r="D56" s="150">
        <v>498800</v>
      </c>
      <c r="E56" s="153">
        <v>15157156350</v>
      </c>
      <c r="F56" s="154">
        <v>15157156350</v>
      </c>
      <c r="G56" s="154">
        <v>0</v>
      </c>
      <c r="H56" s="154">
        <v>0</v>
      </c>
      <c r="I56" s="154">
        <v>0</v>
      </c>
      <c r="J56" s="154">
        <v>0</v>
      </c>
      <c r="K56" s="154">
        <v>0</v>
      </c>
      <c r="L56" s="155">
        <v>9627001093</v>
      </c>
      <c r="M56" s="156">
        <v>0</v>
      </c>
      <c r="N56" s="156">
        <v>0</v>
      </c>
      <c r="O56" s="156">
        <v>209578372</v>
      </c>
      <c r="P56" s="156">
        <v>21036950</v>
      </c>
      <c r="Q56" s="156">
        <v>987889389</v>
      </c>
      <c r="R56" s="156">
        <v>0</v>
      </c>
      <c r="S56" s="156">
        <v>7941110127</v>
      </c>
      <c r="T56" s="156">
        <v>5144058</v>
      </c>
      <c r="U56" s="156">
        <v>109972025</v>
      </c>
      <c r="V56" s="156">
        <v>0</v>
      </c>
      <c r="W56" s="156">
        <v>7221314</v>
      </c>
      <c r="X56" s="156">
        <v>0</v>
      </c>
      <c r="Y56" s="156">
        <v>345048858</v>
      </c>
      <c r="Z56" s="156">
        <v>0</v>
      </c>
      <c r="AA56" s="150">
        <v>5530155257</v>
      </c>
      <c r="AB56" s="159">
        <v>457848374</v>
      </c>
      <c r="AC56" s="160">
        <v>0</v>
      </c>
      <c r="AD56" s="160">
        <v>0</v>
      </c>
      <c r="AE56" s="160">
        <v>396009028</v>
      </c>
      <c r="AF56" s="160">
        <v>0</v>
      </c>
      <c r="AG56" s="160">
        <v>48077663</v>
      </c>
      <c r="AH56" s="160">
        <v>0</v>
      </c>
      <c r="AI56" s="160">
        <v>0</v>
      </c>
      <c r="AJ56" s="160">
        <v>382206</v>
      </c>
      <c r="AK56" s="160">
        <v>0</v>
      </c>
      <c r="AL56" s="160">
        <v>13379477</v>
      </c>
      <c r="AM56" s="150">
        <v>5072306883</v>
      </c>
      <c r="AN56" s="185">
        <v>0</v>
      </c>
      <c r="AO56" s="186">
        <v>0</v>
      </c>
      <c r="AP56" s="186">
        <v>0</v>
      </c>
      <c r="AQ56" s="186">
        <v>0</v>
      </c>
      <c r="AR56" s="186">
        <v>0</v>
      </c>
      <c r="AS56" s="187">
        <v>0</v>
      </c>
      <c r="AT56" s="188">
        <v>0</v>
      </c>
      <c r="AU56" s="188">
        <v>0</v>
      </c>
      <c r="AV56" s="188">
        <v>0</v>
      </c>
      <c r="AW56" s="188">
        <v>0</v>
      </c>
      <c r="AX56" s="150">
        <v>5072306883</v>
      </c>
      <c r="AY56" s="256">
        <v>0</v>
      </c>
      <c r="AZ56" s="257">
        <v>0</v>
      </c>
      <c r="BA56" s="258">
        <v>0</v>
      </c>
      <c r="BB56" s="259">
        <v>0</v>
      </c>
      <c r="BC56" s="259">
        <v>0</v>
      </c>
      <c r="BD56" s="259">
        <v>0</v>
      </c>
      <c r="BE56" s="150">
        <v>5072306883</v>
      </c>
      <c r="BF56" s="255">
        <v>5072306883</v>
      </c>
    </row>
    <row r="57" spans="1:58">
      <c r="A57" s="3" t="s">
        <v>72</v>
      </c>
      <c r="B57" s="150" t="s">
        <v>304</v>
      </c>
      <c r="C57" s="138" t="s">
        <v>246</v>
      </c>
      <c r="D57" s="150">
        <v>34900</v>
      </c>
      <c r="E57" s="153">
        <v>1944178500</v>
      </c>
      <c r="F57" s="154">
        <v>1944178500</v>
      </c>
      <c r="G57" s="154">
        <v>0</v>
      </c>
      <c r="H57" s="154">
        <v>0</v>
      </c>
      <c r="I57" s="154">
        <v>0</v>
      </c>
      <c r="J57" s="154">
        <v>0</v>
      </c>
      <c r="K57" s="154">
        <v>0</v>
      </c>
      <c r="L57" s="155">
        <v>882910437</v>
      </c>
      <c r="M57" s="156">
        <v>0</v>
      </c>
      <c r="N57" s="156">
        <v>0</v>
      </c>
      <c r="O57" s="156">
        <v>256688480</v>
      </c>
      <c r="P57" s="156">
        <v>19665421</v>
      </c>
      <c r="Q57" s="156">
        <v>168751307</v>
      </c>
      <c r="R57" s="156">
        <v>16770393</v>
      </c>
      <c r="S57" s="156">
        <v>29612941</v>
      </c>
      <c r="T57" s="156">
        <v>0</v>
      </c>
      <c r="U57" s="156">
        <v>38923423</v>
      </c>
      <c r="V57" s="156">
        <v>167526607</v>
      </c>
      <c r="W57" s="156">
        <v>78314284</v>
      </c>
      <c r="X57" s="156">
        <v>188371</v>
      </c>
      <c r="Y57" s="156">
        <v>96238238</v>
      </c>
      <c r="Z57" s="156">
        <v>10230972</v>
      </c>
      <c r="AA57" s="150">
        <v>1061268063</v>
      </c>
      <c r="AB57" s="159">
        <v>3118560</v>
      </c>
      <c r="AC57" s="160">
        <v>0</v>
      </c>
      <c r="AD57" s="160">
        <v>3118560</v>
      </c>
      <c r="AE57" s="160">
        <v>0</v>
      </c>
      <c r="AF57" s="160">
        <v>0</v>
      </c>
      <c r="AG57" s="160">
        <v>0</v>
      </c>
      <c r="AH57" s="160">
        <v>0</v>
      </c>
      <c r="AI57" s="160">
        <v>0</v>
      </c>
      <c r="AJ57" s="160">
        <v>0</v>
      </c>
      <c r="AK57" s="160">
        <v>0</v>
      </c>
      <c r="AL57" s="160">
        <v>0</v>
      </c>
      <c r="AM57" s="150">
        <v>1058149503</v>
      </c>
      <c r="AN57" s="185">
        <v>0</v>
      </c>
      <c r="AO57" s="186">
        <v>0</v>
      </c>
      <c r="AP57" s="186">
        <v>0</v>
      </c>
      <c r="AQ57" s="186">
        <v>0</v>
      </c>
      <c r="AR57" s="186">
        <v>0</v>
      </c>
      <c r="AS57" s="187">
        <v>0</v>
      </c>
      <c r="AT57" s="188">
        <v>0</v>
      </c>
      <c r="AU57" s="188">
        <v>0</v>
      </c>
      <c r="AV57" s="188">
        <v>0</v>
      </c>
      <c r="AW57" s="188">
        <v>0</v>
      </c>
      <c r="AX57" s="150">
        <v>1058149503</v>
      </c>
      <c r="AY57" s="256">
        <v>0</v>
      </c>
      <c r="AZ57" s="257">
        <v>0</v>
      </c>
      <c r="BA57" s="258">
        <v>0</v>
      </c>
      <c r="BB57" s="259">
        <v>0</v>
      </c>
      <c r="BC57" s="259">
        <v>0</v>
      </c>
      <c r="BD57" s="259">
        <v>0</v>
      </c>
      <c r="BE57" s="150">
        <v>1058149503</v>
      </c>
      <c r="BF57" s="255">
        <v>1058149503</v>
      </c>
    </row>
    <row r="58" spans="1:58">
      <c r="A58" s="3" t="s">
        <v>72</v>
      </c>
      <c r="B58" s="150" t="s">
        <v>305</v>
      </c>
      <c r="C58" s="138" t="s">
        <v>246</v>
      </c>
      <c r="D58" s="150">
        <v>75000</v>
      </c>
      <c r="E58" s="153">
        <v>34950000</v>
      </c>
      <c r="F58" s="154">
        <v>34950000</v>
      </c>
      <c r="G58" s="154">
        <v>0</v>
      </c>
      <c r="H58" s="154">
        <v>0</v>
      </c>
      <c r="I58" s="154">
        <v>0</v>
      </c>
      <c r="J58" s="154">
        <v>0</v>
      </c>
      <c r="K58" s="154">
        <v>0</v>
      </c>
      <c r="L58" s="155">
        <v>969648960</v>
      </c>
      <c r="M58" s="156">
        <v>0</v>
      </c>
      <c r="N58" s="156">
        <v>0</v>
      </c>
      <c r="O58" s="156">
        <v>18081660</v>
      </c>
      <c r="P58" s="156">
        <v>1985455</v>
      </c>
      <c r="Q58" s="156">
        <v>483182829</v>
      </c>
      <c r="R58" s="156">
        <v>0</v>
      </c>
      <c r="S58" s="156">
        <v>512023</v>
      </c>
      <c r="T58" s="156">
        <v>0</v>
      </c>
      <c r="U58" s="156">
        <v>1382212</v>
      </c>
      <c r="V58" s="156">
        <v>0</v>
      </c>
      <c r="W58" s="156">
        <v>389593130</v>
      </c>
      <c r="X58" s="156">
        <v>0</v>
      </c>
      <c r="Y58" s="156">
        <v>71087651</v>
      </c>
      <c r="Z58" s="156">
        <v>3824000</v>
      </c>
      <c r="AA58" s="150">
        <v>-934698960</v>
      </c>
      <c r="AB58" s="159">
        <v>4407120</v>
      </c>
      <c r="AC58" s="160">
        <v>524320</v>
      </c>
      <c r="AD58" s="160">
        <v>294800</v>
      </c>
      <c r="AE58" s="160">
        <v>0</v>
      </c>
      <c r="AF58" s="160">
        <v>0</v>
      </c>
      <c r="AG58" s="160">
        <v>0</v>
      </c>
      <c r="AH58" s="160">
        <v>0</v>
      </c>
      <c r="AI58" s="160">
        <v>0</v>
      </c>
      <c r="AJ58" s="160">
        <v>3588000</v>
      </c>
      <c r="AK58" s="160">
        <v>0</v>
      </c>
      <c r="AL58" s="160">
        <v>0</v>
      </c>
      <c r="AM58" s="150">
        <v>-939106080</v>
      </c>
      <c r="AN58" s="185">
        <v>0</v>
      </c>
      <c r="AO58" s="186">
        <v>0</v>
      </c>
      <c r="AP58" s="186">
        <v>0</v>
      </c>
      <c r="AQ58" s="186">
        <v>0</v>
      </c>
      <c r="AR58" s="186">
        <v>0</v>
      </c>
      <c r="AS58" s="187">
        <v>0</v>
      </c>
      <c r="AT58" s="188">
        <v>0</v>
      </c>
      <c r="AU58" s="188">
        <v>0</v>
      </c>
      <c r="AV58" s="188">
        <v>0</v>
      </c>
      <c r="AW58" s="188">
        <v>0</v>
      </c>
      <c r="AX58" s="150">
        <v>-939106080</v>
      </c>
      <c r="AY58" s="256">
        <v>0</v>
      </c>
      <c r="AZ58" s="257">
        <v>0</v>
      </c>
      <c r="BA58" s="258">
        <v>0</v>
      </c>
      <c r="BB58" s="259">
        <v>0</v>
      </c>
      <c r="BC58" s="259">
        <v>0</v>
      </c>
      <c r="BD58" s="259">
        <v>0</v>
      </c>
      <c r="BE58" s="150">
        <v>-939106080</v>
      </c>
      <c r="BF58" s="255">
        <v>-939106080</v>
      </c>
    </row>
    <row r="59" spans="1:58">
      <c r="A59" s="3" t="s">
        <v>72</v>
      </c>
      <c r="B59" s="150" t="s">
        <v>306</v>
      </c>
      <c r="C59" s="138" t="s">
        <v>246</v>
      </c>
      <c r="D59" s="150">
        <v>51000</v>
      </c>
      <c r="E59" s="153">
        <v>85496400</v>
      </c>
      <c r="F59" s="154">
        <v>85496400</v>
      </c>
      <c r="G59" s="154">
        <v>0</v>
      </c>
      <c r="H59" s="154">
        <v>0</v>
      </c>
      <c r="I59" s="154">
        <v>0</v>
      </c>
      <c r="J59" s="154">
        <v>0</v>
      </c>
      <c r="K59" s="154">
        <v>0</v>
      </c>
      <c r="L59" s="155">
        <v>645348126</v>
      </c>
      <c r="M59" s="156">
        <v>0</v>
      </c>
      <c r="N59" s="156">
        <v>0</v>
      </c>
      <c r="O59" s="156">
        <v>12142500</v>
      </c>
      <c r="P59" s="156">
        <v>1321790</v>
      </c>
      <c r="Q59" s="156">
        <v>321068775</v>
      </c>
      <c r="R59" s="156">
        <v>0</v>
      </c>
      <c r="S59" s="156">
        <v>337216</v>
      </c>
      <c r="T59" s="156">
        <v>0</v>
      </c>
      <c r="U59" s="156">
        <v>928831</v>
      </c>
      <c r="V59" s="156">
        <v>0</v>
      </c>
      <c r="W59" s="156">
        <v>259642025</v>
      </c>
      <c r="X59" s="156">
        <v>0</v>
      </c>
      <c r="Y59" s="156">
        <v>47554389</v>
      </c>
      <c r="Z59" s="156">
        <v>2352600</v>
      </c>
      <c r="AA59" s="150">
        <v>-559851726</v>
      </c>
      <c r="AB59" s="159">
        <v>1458448</v>
      </c>
      <c r="AC59" s="160">
        <v>262160</v>
      </c>
      <c r="AD59" s="160">
        <v>299288</v>
      </c>
      <c r="AE59" s="160">
        <v>0</v>
      </c>
      <c r="AF59" s="160">
        <v>0</v>
      </c>
      <c r="AG59" s="160">
        <v>0</v>
      </c>
      <c r="AH59" s="160">
        <v>0</v>
      </c>
      <c r="AI59" s="160">
        <v>0</v>
      </c>
      <c r="AJ59" s="160">
        <v>897000</v>
      </c>
      <c r="AK59" s="160">
        <v>0</v>
      </c>
      <c r="AL59" s="160">
        <v>0</v>
      </c>
      <c r="AM59" s="150">
        <v>-561310174</v>
      </c>
      <c r="AN59" s="185">
        <v>0</v>
      </c>
      <c r="AO59" s="186">
        <v>0</v>
      </c>
      <c r="AP59" s="186">
        <v>0</v>
      </c>
      <c r="AQ59" s="186">
        <v>0</v>
      </c>
      <c r="AR59" s="186">
        <v>0</v>
      </c>
      <c r="AS59" s="187">
        <v>0</v>
      </c>
      <c r="AT59" s="188">
        <v>0</v>
      </c>
      <c r="AU59" s="188">
        <v>0</v>
      </c>
      <c r="AV59" s="188">
        <v>0</v>
      </c>
      <c r="AW59" s="188">
        <v>0</v>
      </c>
      <c r="AX59" s="150">
        <v>-561310174</v>
      </c>
      <c r="AY59" s="256">
        <v>0</v>
      </c>
      <c r="AZ59" s="257">
        <v>0</v>
      </c>
      <c r="BA59" s="258">
        <v>0</v>
      </c>
      <c r="BB59" s="259">
        <v>0</v>
      </c>
      <c r="BC59" s="259">
        <v>0</v>
      </c>
      <c r="BD59" s="259">
        <v>0</v>
      </c>
      <c r="BE59" s="150">
        <v>-561310174</v>
      </c>
      <c r="BF59" s="255">
        <v>-561310174</v>
      </c>
    </row>
    <row r="60" spans="1:58">
      <c r="A60" s="3" t="s">
        <v>72</v>
      </c>
      <c r="B60" s="150" t="s">
        <v>307</v>
      </c>
      <c r="C60" s="138" t="s">
        <v>258</v>
      </c>
      <c r="D60" s="150">
        <v>667100</v>
      </c>
      <c r="E60" s="153">
        <v>5123996830004</v>
      </c>
      <c r="F60" s="154">
        <v>5123996830004</v>
      </c>
      <c r="G60" s="154">
        <v>0</v>
      </c>
      <c r="H60" s="154">
        <v>0</v>
      </c>
      <c r="I60" s="154">
        <v>0</v>
      </c>
      <c r="J60" s="154">
        <v>0</v>
      </c>
      <c r="K60" s="154">
        <v>0</v>
      </c>
      <c r="L60" s="155">
        <v>5018365662603</v>
      </c>
      <c r="M60" s="156">
        <v>4722083837407</v>
      </c>
      <c r="N60" s="156">
        <v>30205240487</v>
      </c>
      <c r="O60" s="156">
        <v>49761788328</v>
      </c>
      <c r="P60" s="156">
        <v>3973698243</v>
      </c>
      <c r="Q60" s="156">
        <v>48569076245</v>
      </c>
      <c r="R60" s="156">
        <v>60987898856</v>
      </c>
      <c r="S60" s="156">
        <v>12615505430</v>
      </c>
      <c r="T60" s="156">
        <v>10225221726</v>
      </c>
      <c r="U60" s="156">
        <v>18819709374</v>
      </c>
      <c r="V60" s="156">
        <v>5841657850</v>
      </c>
      <c r="W60" s="156">
        <v>12839738432</v>
      </c>
      <c r="X60" s="156">
        <v>5428023402</v>
      </c>
      <c r="Y60" s="156">
        <v>33108612056</v>
      </c>
      <c r="Z60" s="156">
        <v>3905654768</v>
      </c>
      <c r="AA60" s="150">
        <v>105631167401</v>
      </c>
      <c r="AB60" s="159">
        <v>44141107949</v>
      </c>
      <c r="AC60" s="160">
        <v>429648300</v>
      </c>
      <c r="AD60" s="160">
        <v>288002460</v>
      </c>
      <c r="AE60" s="160">
        <v>17343527038</v>
      </c>
      <c r="AF60" s="160">
        <v>923671200</v>
      </c>
      <c r="AG60" s="160">
        <v>536564657</v>
      </c>
      <c r="AH60" s="160">
        <v>3961108748</v>
      </c>
      <c r="AI60" s="160">
        <v>1485336377</v>
      </c>
      <c r="AJ60" s="160">
        <v>12550293236</v>
      </c>
      <c r="AK60" s="160">
        <v>37204559</v>
      </c>
      <c r="AL60" s="160">
        <v>6585751374</v>
      </c>
      <c r="AM60" s="150">
        <v>61490059452</v>
      </c>
      <c r="AN60" s="185">
        <v>3278568948</v>
      </c>
      <c r="AO60" s="186">
        <v>0</v>
      </c>
      <c r="AP60" s="186">
        <v>0</v>
      </c>
      <c r="AQ60" s="186">
        <v>3278568948</v>
      </c>
      <c r="AR60" s="186">
        <v>0</v>
      </c>
      <c r="AS60" s="187">
        <v>3898864798</v>
      </c>
      <c r="AT60" s="188">
        <v>0</v>
      </c>
      <c r="AU60" s="188">
        <v>0</v>
      </c>
      <c r="AV60" s="188">
        <v>3898864798</v>
      </c>
      <c r="AW60" s="188">
        <v>0</v>
      </c>
      <c r="AX60" s="150">
        <v>60869763602</v>
      </c>
      <c r="AY60" s="256">
        <v>5971392272</v>
      </c>
      <c r="AZ60" s="257">
        <v>5971392272</v>
      </c>
      <c r="BA60" s="258">
        <v>7408965248</v>
      </c>
      <c r="BB60" s="259">
        <v>5714040248</v>
      </c>
      <c r="BC60" s="259">
        <v>1686300000</v>
      </c>
      <c r="BD60" s="259">
        <v>8625000</v>
      </c>
      <c r="BE60" s="150">
        <v>59432190626</v>
      </c>
      <c r="BF60" s="255">
        <v>59432190626</v>
      </c>
    </row>
    <row r="61" spans="1:58">
      <c r="A61" s="3" t="s">
        <v>72</v>
      </c>
      <c r="B61" s="150" t="s">
        <v>308</v>
      </c>
      <c r="C61" s="138" t="s">
        <v>260</v>
      </c>
      <c r="D61" s="150">
        <v>1287200</v>
      </c>
      <c r="E61" s="153">
        <v>1966320000</v>
      </c>
      <c r="F61" s="154">
        <v>1966320000</v>
      </c>
      <c r="G61" s="154">
        <v>0</v>
      </c>
      <c r="H61" s="154">
        <v>0</v>
      </c>
      <c r="I61" s="154">
        <v>0</v>
      </c>
      <c r="J61" s="154">
        <v>0</v>
      </c>
      <c r="K61" s="154">
        <v>0</v>
      </c>
      <c r="L61" s="155">
        <v>681991536</v>
      </c>
      <c r="M61" s="156">
        <v>0</v>
      </c>
      <c r="N61" s="156">
        <v>0</v>
      </c>
      <c r="O61" s="156">
        <v>110019555</v>
      </c>
      <c r="P61" s="156">
        <v>9607943</v>
      </c>
      <c r="Q61" s="156">
        <v>395968433</v>
      </c>
      <c r="R61" s="156">
        <v>0</v>
      </c>
      <c r="S61" s="156">
        <v>537671</v>
      </c>
      <c r="T61" s="156">
        <v>0</v>
      </c>
      <c r="U61" s="156">
        <v>119133771</v>
      </c>
      <c r="V61" s="156">
        <v>0</v>
      </c>
      <c r="W61" s="156">
        <v>968499</v>
      </c>
      <c r="X61" s="156">
        <v>0</v>
      </c>
      <c r="Y61" s="156">
        <v>45755664</v>
      </c>
      <c r="Z61" s="156">
        <v>0</v>
      </c>
      <c r="AA61" s="150">
        <v>1284328464</v>
      </c>
      <c r="AB61" s="159">
        <v>9846321553</v>
      </c>
      <c r="AC61" s="160">
        <v>9837697120</v>
      </c>
      <c r="AD61" s="160">
        <v>0</v>
      </c>
      <c r="AE61" s="160">
        <v>190289</v>
      </c>
      <c r="AF61" s="160">
        <v>0</v>
      </c>
      <c r="AG61" s="160">
        <v>25297</v>
      </c>
      <c r="AH61" s="160">
        <v>0</v>
      </c>
      <c r="AI61" s="160">
        <v>0</v>
      </c>
      <c r="AJ61" s="160">
        <v>8400652</v>
      </c>
      <c r="AK61" s="160">
        <v>0</v>
      </c>
      <c r="AL61" s="160">
        <v>8195</v>
      </c>
      <c r="AM61" s="150">
        <v>-8561993089</v>
      </c>
      <c r="AN61" s="185">
        <v>0</v>
      </c>
      <c r="AO61" s="186">
        <v>0</v>
      </c>
      <c r="AP61" s="186">
        <v>0</v>
      </c>
      <c r="AQ61" s="186">
        <v>0</v>
      </c>
      <c r="AR61" s="186">
        <v>0</v>
      </c>
      <c r="AS61" s="187">
        <v>0</v>
      </c>
      <c r="AT61" s="188">
        <v>0</v>
      </c>
      <c r="AU61" s="188">
        <v>0</v>
      </c>
      <c r="AV61" s="188">
        <v>0</v>
      </c>
      <c r="AW61" s="188">
        <v>0</v>
      </c>
      <c r="AX61" s="150">
        <v>-8561993089</v>
      </c>
      <c r="AY61" s="256">
        <v>0</v>
      </c>
      <c r="AZ61" s="257">
        <v>0</v>
      </c>
      <c r="BA61" s="258">
        <v>0</v>
      </c>
      <c r="BB61" s="259">
        <v>0</v>
      </c>
      <c r="BC61" s="259">
        <v>0</v>
      </c>
      <c r="BD61" s="259">
        <v>0</v>
      </c>
      <c r="BE61" s="150">
        <v>-8561993089</v>
      </c>
      <c r="BF61" s="255">
        <v>-8561993089</v>
      </c>
    </row>
    <row r="62" spans="1:58">
      <c r="A62" s="3" t="s">
        <v>72</v>
      </c>
      <c r="B62" s="150" t="s">
        <v>309</v>
      </c>
      <c r="C62" s="138" t="s">
        <v>262</v>
      </c>
      <c r="D62" s="150">
        <v>31904000</v>
      </c>
      <c r="E62" s="153">
        <v>2245883023971</v>
      </c>
      <c r="F62" s="154">
        <v>2245883024000</v>
      </c>
      <c r="G62" s="154">
        <v>-29</v>
      </c>
      <c r="H62" s="154">
        <v>0</v>
      </c>
      <c r="I62" s="154">
        <v>0</v>
      </c>
      <c r="J62" s="154">
        <v>0</v>
      </c>
      <c r="K62" s="154">
        <v>0</v>
      </c>
      <c r="L62" s="155">
        <v>2171497247303</v>
      </c>
      <c r="M62" s="156">
        <v>2163823337983</v>
      </c>
      <c r="N62" s="156">
        <v>393719142</v>
      </c>
      <c r="O62" s="156">
        <v>2510315351</v>
      </c>
      <c r="P62" s="156">
        <v>202692701</v>
      </c>
      <c r="Q62" s="156">
        <v>1191972255</v>
      </c>
      <c r="R62" s="156">
        <v>557241253</v>
      </c>
      <c r="S62" s="156">
        <v>582674186</v>
      </c>
      <c r="T62" s="156">
        <v>301301606</v>
      </c>
      <c r="U62" s="156">
        <v>732469538</v>
      </c>
      <c r="V62" s="156">
        <v>132067838</v>
      </c>
      <c r="W62" s="156">
        <v>239324686</v>
      </c>
      <c r="X62" s="156">
        <v>101117394</v>
      </c>
      <c r="Y62" s="156">
        <v>729013371</v>
      </c>
      <c r="Z62" s="156">
        <v>0</v>
      </c>
      <c r="AA62" s="150">
        <v>74385776668</v>
      </c>
      <c r="AB62" s="159">
        <v>21340375439</v>
      </c>
      <c r="AC62" s="160">
        <v>86804384</v>
      </c>
      <c r="AD62" s="160">
        <v>1330000</v>
      </c>
      <c r="AE62" s="160">
        <v>8219113657</v>
      </c>
      <c r="AF62" s="160">
        <v>444488517</v>
      </c>
      <c r="AG62" s="160">
        <v>252113962</v>
      </c>
      <c r="AH62" s="160">
        <v>1869779096</v>
      </c>
      <c r="AI62" s="160">
        <v>746544173</v>
      </c>
      <c r="AJ62" s="160">
        <v>6585515892</v>
      </c>
      <c r="AK62" s="160">
        <v>17644592</v>
      </c>
      <c r="AL62" s="160">
        <v>3117041166</v>
      </c>
      <c r="AM62" s="150">
        <v>53045401229</v>
      </c>
      <c r="AN62" s="185">
        <v>0</v>
      </c>
      <c r="AO62" s="186">
        <v>0</v>
      </c>
      <c r="AP62" s="186">
        <v>0</v>
      </c>
      <c r="AQ62" s="186">
        <v>0</v>
      </c>
      <c r="AR62" s="186">
        <v>0</v>
      </c>
      <c r="AS62" s="187">
        <v>75</v>
      </c>
      <c r="AT62" s="188">
        <v>75</v>
      </c>
      <c r="AU62" s="188">
        <v>0</v>
      </c>
      <c r="AV62" s="188">
        <v>0</v>
      </c>
      <c r="AW62" s="188">
        <v>0</v>
      </c>
      <c r="AX62" s="150">
        <v>53045401154</v>
      </c>
      <c r="AY62" s="256">
        <v>0</v>
      </c>
      <c r="AZ62" s="257">
        <v>0</v>
      </c>
      <c r="BA62" s="258">
        <v>2672109556</v>
      </c>
      <c r="BB62" s="259">
        <v>2672109556</v>
      </c>
      <c r="BC62" s="259">
        <v>0</v>
      </c>
      <c r="BD62" s="259">
        <v>0</v>
      </c>
      <c r="BE62" s="150">
        <v>50373291598</v>
      </c>
      <c r="BF62" s="255">
        <v>50373291598</v>
      </c>
    </row>
    <row r="63" spans="1:58">
      <c r="A63" s="3" t="s">
        <v>72</v>
      </c>
      <c r="B63" s="150" t="s">
        <v>310</v>
      </c>
      <c r="C63" s="138" t="s">
        <v>264</v>
      </c>
      <c r="D63" s="150">
        <v>408600000</v>
      </c>
      <c r="E63" s="153">
        <v>303613199929</v>
      </c>
      <c r="F63" s="154">
        <v>303613200000</v>
      </c>
      <c r="G63" s="154">
        <v>-71</v>
      </c>
      <c r="H63" s="154">
        <v>0</v>
      </c>
      <c r="I63" s="154">
        <v>0</v>
      </c>
      <c r="J63" s="154">
        <v>0</v>
      </c>
      <c r="K63" s="154">
        <v>0</v>
      </c>
      <c r="L63" s="155">
        <v>286850252066</v>
      </c>
      <c r="M63" s="156">
        <v>281862512589</v>
      </c>
      <c r="N63" s="156">
        <v>158048396</v>
      </c>
      <c r="O63" s="156">
        <v>1422565491</v>
      </c>
      <c r="P63" s="156">
        <v>114580121</v>
      </c>
      <c r="Q63" s="156">
        <v>1046899568</v>
      </c>
      <c r="R63" s="156">
        <v>265034029</v>
      </c>
      <c r="S63" s="156">
        <v>248344770</v>
      </c>
      <c r="T63" s="156">
        <v>120369956</v>
      </c>
      <c r="U63" s="156">
        <v>584617132</v>
      </c>
      <c r="V63" s="156">
        <v>123212114</v>
      </c>
      <c r="W63" s="156">
        <v>268619141</v>
      </c>
      <c r="X63" s="156">
        <v>153882056</v>
      </c>
      <c r="Y63" s="156">
        <v>472566704</v>
      </c>
      <c r="Z63" s="156">
        <v>9000000</v>
      </c>
      <c r="AA63" s="150">
        <v>16762947863</v>
      </c>
      <c r="AB63" s="159">
        <v>3289159906</v>
      </c>
      <c r="AC63" s="160">
        <v>96354000</v>
      </c>
      <c r="AD63" s="160">
        <v>9338146</v>
      </c>
      <c r="AE63" s="160">
        <v>1122254679</v>
      </c>
      <c r="AF63" s="160">
        <v>60376971</v>
      </c>
      <c r="AG63" s="160">
        <v>34758751</v>
      </c>
      <c r="AH63" s="160">
        <v>253222750</v>
      </c>
      <c r="AI63" s="160">
        <v>101242984</v>
      </c>
      <c r="AJ63" s="160">
        <v>1187066659</v>
      </c>
      <c r="AK63" s="160">
        <v>2528355</v>
      </c>
      <c r="AL63" s="160">
        <v>422016611</v>
      </c>
      <c r="AM63" s="150">
        <v>13473787957</v>
      </c>
      <c r="AN63" s="185">
        <v>1</v>
      </c>
      <c r="AO63" s="186">
        <v>1</v>
      </c>
      <c r="AP63" s="186">
        <v>0</v>
      </c>
      <c r="AQ63" s="186">
        <v>0</v>
      </c>
      <c r="AR63" s="186">
        <v>0</v>
      </c>
      <c r="AS63" s="187">
        <v>90</v>
      </c>
      <c r="AT63" s="188">
        <v>90</v>
      </c>
      <c r="AU63" s="188">
        <v>0</v>
      </c>
      <c r="AV63" s="188">
        <v>0</v>
      </c>
      <c r="AW63" s="188">
        <v>0</v>
      </c>
      <c r="AX63" s="150">
        <v>13473787868</v>
      </c>
      <c r="AY63" s="256">
        <v>0</v>
      </c>
      <c r="AZ63" s="257">
        <v>0</v>
      </c>
      <c r="BA63" s="258">
        <v>360072311</v>
      </c>
      <c r="BB63" s="259">
        <v>360072311</v>
      </c>
      <c r="BC63" s="259">
        <v>0</v>
      </c>
      <c r="BD63" s="259">
        <v>0</v>
      </c>
      <c r="BE63" s="150">
        <v>13113715557</v>
      </c>
      <c r="BF63" s="255">
        <v>13113715557</v>
      </c>
    </row>
    <row r="64" spans="1:58">
      <c r="A64" s="3" t="s">
        <v>72</v>
      </c>
      <c r="B64" s="150" t="s">
        <v>311</v>
      </c>
      <c r="C64" s="138" t="s">
        <v>266</v>
      </c>
      <c r="D64" s="150">
        <v>189000</v>
      </c>
      <c r="E64" s="153">
        <v>6341413000</v>
      </c>
      <c r="F64" s="154">
        <v>6341413000</v>
      </c>
      <c r="G64" s="154">
        <v>0</v>
      </c>
      <c r="H64" s="154">
        <v>0</v>
      </c>
      <c r="I64" s="154">
        <v>0</v>
      </c>
      <c r="J64" s="154">
        <v>0</v>
      </c>
      <c r="K64" s="154">
        <v>0</v>
      </c>
      <c r="L64" s="155">
        <v>4708263242</v>
      </c>
      <c r="M64" s="156">
        <v>4564348765</v>
      </c>
      <c r="N64" s="156">
        <v>4094437</v>
      </c>
      <c r="O64" s="156">
        <v>25556119</v>
      </c>
      <c r="P64" s="156">
        <v>2053052</v>
      </c>
      <c r="Q64" s="156">
        <v>49986719</v>
      </c>
      <c r="R64" s="156">
        <v>5066471</v>
      </c>
      <c r="S64" s="156">
        <v>6232677</v>
      </c>
      <c r="T64" s="156">
        <v>2718398</v>
      </c>
      <c r="U64" s="156">
        <v>16708126</v>
      </c>
      <c r="V64" s="156">
        <v>7416882</v>
      </c>
      <c r="W64" s="156">
        <v>11122708</v>
      </c>
      <c r="X64" s="156">
        <v>472008</v>
      </c>
      <c r="Y64" s="156">
        <v>12486879</v>
      </c>
      <c r="Z64" s="156">
        <v>0</v>
      </c>
      <c r="AA64" s="150">
        <v>1633149758</v>
      </c>
      <c r="AB64" s="159">
        <v>11300714</v>
      </c>
      <c r="AC64" s="160">
        <v>0</v>
      </c>
      <c r="AD64" s="160">
        <v>0</v>
      </c>
      <c r="AE64" s="160">
        <v>775161</v>
      </c>
      <c r="AF64" s="160">
        <v>12443</v>
      </c>
      <c r="AG64" s="160">
        <v>67123</v>
      </c>
      <c r="AH64" s="160">
        <v>0</v>
      </c>
      <c r="AI64" s="160">
        <v>99674</v>
      </c>
      <c r="AJ64" s="160">
        <v>10272901</v>
      </c>
      <c r="AK64" s="160">
        <v>0</v>
      </c>
      <c r="AL64" s="160">
        <v>73412</v>
      </c>
      <c r="AM64" s="150">
        <v>1621849044</v>
      </c>
      <c r="AN64" s="185">
        <v>0</v>
      </c>
      <c r="AO64" s="186">
        <v>0</v>
      </c>
      <c r="AP64" s="186">
        <v>0</v>
      </c>
      <c r="AQ64" s="186">
        <v>0</v>
      </c>
      <c r="AR64" s="186">
        <v>0</v>
      </c>
      <c r="AS64" s="187">
        <v>0</v>
      </c>
      <c r="AT64" s="188">
        <v>0</v>
      </c>
      <c r="AU64" s="188">
        <v>0</v>
      </c>
      <c r="AV64" s="188">
        <v>0</v>
      </c>
      <c r="AW64" s="188">
        <v>0</v>
      </c>
      <c r="AX64" s="150">
        <v>1621849044</v>
      </c>
      <c r="AY64" s="256">
        <v>0</v>
      </c>
      <c r="AZ64" s="257">
        <v>0</v>
      </c>
      <c r="BA64" s="258">
        <v>0</v>
      </c>
      <c r="BB64" s="259">
        <v>0</v>
      </c>
      <c r="BC64" s="259">
        <v>0</v>
      </c>
      <c r="BD64" s="259">
        <v>0</v>
      </c>
      <c r="BE64" s="150">
        <v>1621849044</v>
      </c>
      <c r="BF64" s="255">
        <v>1621849044</v>
      </c>
    </row>
    <row r="65" spans="1:58">
      <c r="A65" s="3" t="s">
        <v>72</v>
      </c>
      <c r="B65" s="150" t="s">
        <v>312</v>
      </c>
      <c r="C65" s="138" t="s">
        <v>268</v>
      </c>
      <c r="D65" s="150">
        <v>1446000</v>
      </c>
      <c r="E65" s="153">
        <v>107359644000</v>
      </c>
      <c r="F65" s="154">
        <v>107359644000</v>
      </c>
      <c r="G65" s="154">
        <v>0</v>
      </c>
      <c r="H65" s="154">
        <v>0</v>
      </c>
      <c r="I65" s="154">
        <v>0</v>
      </c>
      <c r="J65" s="154">
        <v>0</v>
      </c>
      <c r="K65" s="154">
        <v>0</v>
      </c>
      <c r="L65" s="155">
        <v>79861859792</v>
      </c>
      <c r="M65" s="156">
        <v>78905122887</v>
      </c>
      <c r="N65" s="156">
        <v>39679488</v>
      </c>
      <c r="O65" s="156">
        <v>277151622</v>
      </c>
      <c r="P65" s="156">
        <v>22055970</v>
      </c>
      <c r="Q65" s="156">
        <v>175071776</v>
      </c>
      <c r="R65" s="156">
        <v>49211078</v>
      </c>
      <c r="S65" s="156">
        <v>59003599</v>
      </c>
      <c r="T65" s="156">
        <v>28761917</v>
      </c>
      <c r="U65" s="156">
        <v>103495639</v>
      </c>
      <c r="V65" s="156">
        <v>29048808</v>
      </c>
      <c r="W65" s="156">
        <v>79147976</v>
      </c>
      <c r="X65" s="156">
        <v>4918146</v>
      </c>
      <c r="Y65" s="156">
        <v>89190885</v>
      </c>
      <c r="Z65" s="156">
        <v>0</v>
      </c>
      <c r="AA65" s="150">
        <v>27497784208</v>
      </c>
      <c r="AB65" s="159">
        <v>40822372</v>
      </c>
      <c r="AC65" s="160">
        <v>5040000</v>
      </c>
      <c r="AD65" s="160">
        <v>0</v>
      </c>
      <c r="AE65" s="160">
        <v>13107773</v>
      </c>
      <c r="AF65" s="160">
        <v>218682</v>
      </c>
      <c r="AG65" s="160">
        <v>1120097</v>
      </c>
      <c r="AH65" s="160">
        <v>0</v>
      </c>
      <c r="AI65" s="160">
        <v>1744039</v>
      </c>
      <c r="AJ65" s="160">
        <v>18233421</v>
      </c>
      <c r="AK65" s="160">
        <v>0</v>
      </c>
      <c r="AL65" s="160">
        <v>1358360</v>
      </c>
      <c r="AM65" s="150">
        <v>27456961836</v>
      </c>
      <c r="AN65" s="185">
        <v>0</v>
      </c>
      <c r="AO65" s="186">
        <v>0</v>
      </c>
      <c r="AP65" s="186">
        <v>0</v>
      </c>
      <c r="AQ65" s="186">
        <v>0</v>
      </c>
      <c r="AR65" s="186">
        <v>0</v>
      </c>
      <c r="AS65" s="187">
        <v>0</v>
      </c>
      <c r="AT65" s="188">
        <v>0</v>
      </c>
      <c r="AU65" s="188">
        <v>0</v>
      </c>
      <c r="AV65" s="188">
        <v>0</v>
      </c>
      <c r="AW65" s="188">
        <v>0</v>
      </c>
      <c r="AX65" s="150">
        <v>27456961836</v>
      </c>
      <c r="AY65" s="256">
        <v>0</v>
      </c>
      <c r="AZ65" s="257">
        <v>0</v>
      </c>
      <c r="BA65" s="258">
        <v>0</v>
      </c>
      <c r="BB65" s="259">
        <v>0</v>
      </c>
      <c r="BC65" s="259">
        <v>0</v>
      </c>
      <c r="BD65" s="259">
        <v>0</v>
      </c>
      <c r="BE65" s="150">
        <v>27456961836</v>
      </c>
      <c r="BF65" s="255">
        <v>27456961836</v>
      </c>
    </row>
    <row r="66" spans="1:58">
      <c r="A66" s="3" t="s">
        <v>72</v>
      </c>
      <c r="B66" s="150" t="s">
        <v>313</v>
      </c>
      <c r="C66" s="138" t="s">
        <v>270</v>
      </c>
      <c r="D66" s="150">
        <v>376000</v>
      </c>
      <c r="E66" s="153">
        <v>4741664683</v>
      </c>
      <c r="F66" s="154">
        <v>4741664683</v>
      </c>
      <c r="G66" s="154">
        <v>0</v>
      </c>
      <c r="H66" s="154">
        <v>0</v>
      </c>
      <c r="I66" s="154">
        <v>0</v>
      </c>
      <c r="J66" s="154">
        <v>0</v>
      </c>
      <c r="K66" s="154">
        <v>0</v>
      </c>
      <c r="L66" s="155">
        <v>4207313216</v>
      </c>
      <c r="M66" s="156">
        <v>471625068</v>
      </c>
      <c r="N66" s="156">
        <v>0</v>
      </c>
      <c r="O66" s="156">
        <v>1065903209</v>
      </c>
      <c r="P66" s="156">
        <v>82828650</v>
      </c>
      <c r="Q66" s="156">
        <v>908832804</v>
      </c>
      <c r="R66" s="156">
        <v>3443384</v>
      </c>
      <c r="S66" s="156">
        <v>82583903</v>
      </c>
      <c r="T66" s="156">
        <v>0</v>
      </c>
      <c r="U66" s="156">
        <v>555670113</v>
      </c>
      <c r="V66" s="156">
        <v>137036920</v>
      </c>
      <c r="W66" s="156">
        <v>302479116</v>
      </c>
      <c r="X66" s="156">
        <v>102115224</v>
      </c>
      <c r="Y66" s="156">
        <v>408406261</v>
      </c>
      <c r="Z66" s="156">
        <v>86388564</v>
      </c>
      <c r="AA66" s="150">
        <v>534351467</v>
      </c>
      <c r="AB66" s="159">
        <v>23766698</v>
      </c>
      <c r="AC66" s="160">
        <v>9518880</v>
      </c>
      <c r="AD66" s="160">
        <v>7334940</v>
      </c>
      <c r="AE66" s="160">
        <v>581765</v>
      </c>
      <c r="AF66" s="160">
        <v>8591</v>
      </c>
      <c r="AG66" s="160">
        <v>58497</v>
      </c>
      <c r="AH66" s="160">
        <v>0</v>
      </c>
      <c r="AI66" s="160">
        <v>103760</v>
      </c>
      <c r="AJ66" s="160">
        <v>6110945</v>
      </c>
      <c r="AK66" s="160">
        <v>0</v>
      </c>
      <c r="AL66" s="160">
        <v>49320</v>
      </c>
      <c r="AM66" s="150">
        <v>510584769</v>
      </c>
      <c r="AN66" s="185">
        <v>0</v>
      </c>
      <c r="AO66" s="186">
        <v>0</v>
      </c>
      <c r="AP66" s="186">
        <v>0</v>
      </c>
      <c r="AQ66" s="186">
        <v>0</v>
      </c>
      <c r="AR66" s="186">
        <v>0</v>
      </c>
      <c r="AS66" s="187">
        <v>0</v>
      </c>
      <c r="AT66" s="188">
        <v>0</v>
      </c>
      <c r="AU66" s="188">
        <v>0</v>
      </c>
      <c r="AV66" s="188">
        <v>0</v>
      </c>
      <c r="AW66" s="188">
        <v>0</v>
      </c>
      <c r="AX66" s="150">
        <v>510584769</v>
      </c>
      <c r="AY66" s="256">
        <v>0</v>
      </c>
      <c r="AZ66" s="257">
        <v>0</v>
      </c>
      <c r="BA66" s="258">
        <v>0</v>
      </c>
      <c r="BB66" s="259">
        <v>0</v>
      </c>
      <c r="BC66" s="259">
        <v>0</v>
      </c>
      <c r="BD66" s="259">
        <v>0</v>
      </c>
      <c r="BE66" s="150">
        <v>510584769</v>
      </c>
      <c r="BF66" s="255">
        <v>510584769</v>
      </c>
    </row>
    <row r="67" spans="1:58">
      <c r="A67" s="3" t="s">
        <v>72</v>
      </c>
      <c r="B67" s="150" t="s">
        <v>314</v>
      </c>
      <c r="C67" s="138" t="s">
        <v>272</v>
      </c>
      <c r="D67" s="150">
        <v>1939961</v>
      </c>
      <c r="E67" s="153">
        <v>26829524500</v>
      </c>
      <c r="F67" s="154">
        <v>26829524500</v>
      </c>
      <c r="G67" s="154">
        <v>0</v>
      </c>
      <c r="H67" s="154">
        <v>0</v>
      </c>
      <c r="I67" s="154">
        <v>0</v>
      </c>
      <c r="J67" s="154">
        <v>0</v>
      </c>
      <c r="K67" s="154">
        <v>0</v>
      </c>
      <c r="L67" s="155">
        <v>26829523855</v>
      </c>
      <c r="M67" s="156">
        <v>26829523855</v>
      </c>
      <c r="N67" s="156">
        <v>0</v>
      </c>
      <c r="O67" s="156">
        <v>0</v>
      </c>
      <c r="P67" s="156">
        <v>0</v>
      </c>
      <c r="Q67" s="156">
        <v>0</v>
      </c>
      <c r="R67" s="156">
        <v>0</v>
      </c>
      <c r="S67" s="156">
        <v>0</v>
      </c>
      <c r="T67" s="156">
        <v>0</v>
      </c>
      <c r="U67" s="156">
        <v>0</v>
      </c>
      <c r="V67" s="156">
        <v>0</v>
      </c>
      <c r="W67" s="156">
        <v>0</v>
      </c>
      <c r="X67" s="156">
        <v>0</v>
      </c>
      <c r="Y67" s="156">
        <v>0</v>
      </c>
      <c r="Z67" s="156">
        <v>0</v>
      </c>
      <c r="AA67" s="150">
        <v>645</v>
      </c>
      <c r="AB67" s="159">
        <v>105223200</v>
      </c>
      <c r="AC67" s="160">
        <v>61512000</v>
      </c>
      <c r="AD67" s="160">
        <v>876000</v>
      </c>
      <c r="AE67" s="160">
        <v>0</v>
      </c>
      <c r="AF67" s="160">
        <v>0</v>
      </c>
      <c r="AG67" s="160">
        <v>0</v>
      </c>
      <c r="AH67" s="160">
        <v>0</v>
      </c>
      <c r="AI67" s="160">
        <v>0</v>
      </c>
      <c r="AJ67" s="160">
        <v>42835200</v>
      </c>
      <c r="AK67" s="160">
        <v>0</v>
      </c>
      <c r="AL67" s="160">
        <v>0</v>
      </c>
      <c r="AM67" s="150">
        <v>-105222555</v>
      </c>
      <c r="AN67" s="185">
        <v>0</v>
      </c>
      <c r="AO67" s="186">
        <v>0</v>
      </c>
      <c r="AP67" s="186">
        <v>0</v>
      </c>
      <c r="AQ67" s="186">
        <v>0</v>
      </c>
      <c r="AR67" s="186">
        <v>0</v>
      </c>
      <c r="AS67" s="187">
        <v>0</v>
      </c>
      <c r="AT67" s="188">
        <v>0</v>
      </c>
      <c r="AU67" s="188">
        <v>0</v>
      </c>
      <c r="AV67" s="188">
        <v>0</v>
      </c>
      <c r="AW67" s="188">
        <v>0</v>
      </c>
      <c r="AX67" s="150">
        <v>-105222555</v>
      </c>
      <c r="AY67" s="256">
        <v>0</v>
      </c>
      <c r="AZ67" s="257">
        <v>0</v>
      </c>
      <c r="BA67" s="258">
        <v>0</v>
      </c>
      <c r="BB67" s="259">
        <v>0</v>
      </c>
      <c r="BC67" s="259">
        <v>0</v>
      </c>
      <c r="BD67" s="259">
        <v>0</v>
      </c>
      <c r="BE67" s="150">
        <v>-105222555</v>
      </c>
      <c r="BF67" s="255">
        <v>-105222555</v>
      </c>
    </row>
    <row r="68" spans="1:58">
      <c r="A68" s="3" t="s">
        <v>72</v>
      </c>
      <c r="B68" s="150" t="s">
        <v>315</v>
      </c>
      <c r="C68" s="138" t="s">
        <v>316</v>
      </c>
      <c r="D68" s="150">
        <v>170400000</v>
      </c>
      <c r="E68" s="153">
        <v>133153200000</v>
      </c>
      <c r="F68" s="154">
        <v>133153200000</v>
      </c>
      <c r="G68" s="154">
        <v>0</v>
      </c>
      <c r="H68" s="154">
        <v>0</v>
      </c>
      <c r="I68" s="154">
        <v>0</v>
      </c>
      <c r="J68" s="154">
        <v>0</v>
      </c>
      <c r="K68" s="154">
        <v>0</v>
      </c>
      <c r="L68" s="155">
        <v>115950352568</v>
      </c>
      <c r="M68" s="156">
        <v>103425915893</v>
      </c>
      <c r="N68" s="156">
        <v>57882895</v>
      </c>
      <c r="O68" s="156">
        <v>2225091039</v>
      </c>
      <c r="P68" s="156">
        <v>193703861</v>
      </c>
      <c r="Q68" s="156">
        <v>1551030647</v>
      </c>
      <c r="R68" s="156">
        <v>473377148</v>
      </c>
      <c r="S68" s="156">
        <v>114136908</v>
      </c>
      <c r="T68" s="156">
        <v>44233166</v>
      </c>
      <c r="U68" s="156">
        <v>299634615</v>
      </c>
      <c r="V68" s="156">
        <v>3473547316</v>
      </c>
      <c r="W68" s="156">
        <v>2055614500</v>
      </c>
      <c r="X68" s="156">
        <v>336222263</v>
      </c>
      <c r="Y68" s="156">
        <v>1699962317</v>
      </c>
      <c r="Z68" s="156">
        <v>0</v>
      </c>
      <c r="AA68" s="150">
        <v>17202847432</v>
      </c>
      <c r="AB68" s="159">
        <v>4437182701</v>
      </c>
      <c r="AC68" s="160">
        <v>447396000</v>
      </c>
      <c r="AD68" s="160">
        <v>571519560</v>
      </c>
      <c r="AE68" s="160">
        <v>200046656</v>
      </c>
      <c r="AF68" s="160">
        <v>0</v>
      </c>
      <c r="AG68" s="160">
        <v>56661600</v>
      </c>
      <c r="AH68" s="160">
        <v>3039806885</v>
      </c>
      <c r="AI68" s="160">
        <v>0</v>
      </c>
      <c r="AJ68" s="160">
        <v>111782000</v>
      </c>
      <c r="AK68" s="160">
        <v>0</v>
      </c>
      <c r="AL68" s="160">
        <v>9970000</v>
      </c>
      <c r="AM68" s="150">
        <v>12765664731</v>
      </c>
      <c r="AN68" s="185">
        <v>0</v>
      </c>
      <c r="AO68" s="186">
        <v>0</v>
      </c>
      <c r="AP68" s="186">
        <v>0</v>
      </c>
      <c r="AQ68" s="186">
        <v>0</v>
      </c>
      <c r="AR68" s="186">
        <v>0</v>
      </c>
      <c r="AS68" s="187">
        <v>0</v>
      </c>
      <c r="AT68" s="188">
        <v>0</v>
      </c>
      <c r="AU68" s="188">
        <v>0</v>
      </c>
      <c r="AV68" s="188">
        <v>0</v>
      </c>
      <c r="AW68" s="188">
        <v>0</v>
      </c>
      <c r="AX68" s="150">
        <v>12765664731</v>
      </c>
      <c r="AY68" s="256">
        <v>0</v>
      </c>
      <c r="AZ68" s="257">
        <v>0</v>
      </c>
      <c r="BA68" s="258">
        <v>0</v>
      </c>
      <c r="BB68" s="259">
        <v>0</v>
      </c>
      <c r="BC68" s="259">
        <v>0</v>
      </c>
      <c r="BD68" s="259">
        <v>0</v>
      </c>
      <c r="BE68" s="150">
        <v>12765664731</v>
      </c>
      <c r="BF68" s="255">
        <v>12765664731</v>
      </c>
    </row>
    <row r="69" spans="1:58">
      <c r="A69" s="3" t="s">
        <v>72</v>
      </c>
      <c r="B69" s="150" t="s">
        <v>317</v>
      </c>
      <c r="C69" s="138" t="s">
        <v>246</v>
      </c>
      <c r="D69" s="150">
        <v>3700000</v>
      </c>
      <c r="E69" s="153">
        <v>2042400000</v>
      </c>
      <c r="F69" s="154">
        <v>2042400000</v>
      </c>
      <c r="G69" s="154">
        <v>0</v>
      </c>
      <c r="H69" s="154">
        <v>0</v>
      </c>
      <c r="I69" s="154">
        <v>0</v>
      </c>
      <c r="J69" s="154">
        <v>0</v>
      </c>
      <c r="K69" s="154">
        <v>0</v>
      </c>
      <c r="L69" s="155">
        <v>2644654499</v>
      </c>
      <c r="M69" s="156">
        <v>0</v>
      </c>
      <c r="N69" s="156">
        <v>0</v>
      </c>
      <c r="O69" s="156">
        <v>703995470</v>
      </c>
      <c r="P69" s="156">
        <v>55265607</v>
      </c>
      <c r="Q69" s="156">
        <v>1041235850</v>
      </c>
      <c r="R69" s="156">
        <v>2260259</v>
      </c>
      <c r="S69" s="156">
        <v>131756166</v>
      </c>
      <c r="T69" s="156">
        <v>13297857</v>
      </c>
      <c r="U69" s="156">
        <v>104917688</v>
      </c>
      <c r="V69" s="156">
        <v>7387467</v>
      </c>
      <c r="W69" s="156">
        <v>391778220</v>
      </c>
      <c r="X69" s="156">
        <v>29069939</v>
      </c>
      <c r="Y69" s="156">
        <v>163689976</v>
      </c>
      <c r="Z69" s="156">
        <v>0</v>
      </c>
      <c r="AA69" s="150">
        <v>-602254499</v>
      </c>
      <c r="AB69" s="159">
        <v>24137780</v>
      </c>
      <c r="AC69" s="160">
        <v>23625000</v>
      </c>
      <c r="AD69" s="160">
        <v>512780</v>
      </c>
      <c r="AE69" s="160">
        <v>0</v>
      </c>
      <c r="AF69" s="160">
        <v>0</v>
      </c>
      <c r="AG69" s="160">
        <v>0</v>
      </c>
      <c r="AH69" s="160">
        <v>0</v>
      </c>
      <c r="AI69" s="160">
        <v>0</v>
      </c>
      <c r="AJ69" s="160">
        <v>0</v>
      </c>
      <c r="AK69" s="160">
        <v>0</v>
      </c>
      <c r="AL69" s="160">
        <v>0</v>
      </c>
      <c r="AM69" s="150">
        <v>-626392279</v>
      </c>
      <c r="AN69" s="185">
        <v>0</v>
      </c>
      <c r="AO69" s="186">
        <v>0</v>
      </c>
      <c r="AP69" s="186">
        <v>0</v>
      </c>
      <c r="AQ69" s="186">
        <v>0</v>
      </c>
      <c r="AR69" s="186">
        <v>0</v>
      </c>
      <c r="AS69" s="187">
        <v>0</v>
      </c>
      <c r="AT69" s="188">
        <v>0</v>
      </c>
      <c r="AU69" s="188">
        <v>0</v>
      </c>
      <c r="AV69" s="188">
        <v>0</v>
      </c>
      <c r="AW69" s="188">
        <v>0</v>
      </c>
      <c r="AX69" s="150">
        <v>-626392279</v>
      </c>
      <c r="AY69" s="256">
        <v>0</v>
      </c>
      <c r="AZ69" s="257">
        <v>0</v>
      </c>
      <c r="BA69" s="258">
        <v>0</v>
      </c>
      <c r="BB69" s="259">
        <v>0</v>
      </c>
      <c r="BC69" s="259">
        <v>0</v>
      </c>
      <c r="BD69" s="259">
        <v>0</v>
      </c>
      <c r="BE69" s="150">
        <v>-626392279</v>
      </c>
      <c r="BF69" s="255">
        <v>-626392279</v>
      </c>
    </row>
    <row r="70" spans="1:58">
      <c r="A70" s="3" t="s">
        <v>72</v>
      </c>
      <c r="B70" s="161" t="s">
        <v>374</v>
      </c>
      <c r="C70" s="138" t="s">
        <v>274</v>
      </c>
      <c r="D70" s="161">
        <v>40000</v>
      </c>
      <c r="E70" s="189">
        <v>112260320000</v>
      </c>
      <c r="F70" s="190">
        <v>112260320000</v>
      </c>
      <c r="G70" s="190">
        <v>0</v>
      </c>
      <c r="H70" s="190">
        <v>0</v>
      </c>
      <c r="I70" s="190">
        <v>0</v>
      </c>
      <c r="J70" s="190">
        <v>0</v>
      </c>
      <c r="K70" s="190">
        <v>0</v>
      </c>
      <c r="L70" s="191">
        <v>109515200000</v>
      </c>
      <c r="M70" s="192">
        <v>109515200000</v>
      </c>
      <c r="N70" s="192">
        <v>0</v>
      </c>
      <c r="O70" s="192">
        <v>0</v>
      </c>
      <c r="P70" s="192">
        <v>0</v>
      </c>
      <c r="Q70" s="192">
        <v>0</v>
      </c>
      <c r="R70" s="192">
        <v>0</v>
      </c>
      <c r="S70" s="192">
        <v>0</v>
      </c>
      <c r="T70" s="192">
        <v>0</v>
      </c>
      <c r="U70" s="192">
        <v>0</v>
      </c>
      <c r="V70" s="192">
        <v>0</v>
      </c>
      <c r="W70" s="192">
        <v>0</v>
      </c>
      <c r="X70" s="192">
        <v>0</v>
      </c>
      <c r="Y70" s="192">
        <v>0</v>
      </c>
      <c r="Z70" s="192">
        <v>0</v>
      </c>
      <c r="AA70" s="161">
        <v>2745120000</v>
      </c>
      <c r="AB70" s="193">
        <v>0</v>
      </c>
      <c r="AC70" s="194">
        <v>0</v>
      </c>
      <c r="AD70" s="194">
        <v>0</v>
      </c>
      <c r="AE70" s="194">
        <v>0</v>
      </c>
      <c r="AF70" s="194">
        <v>0</v>
      </c>
      <c r="AG70" s="194">
        <v>0</v>
      </c>
      <c r="AH70" s="194">
        <v>0</v>
      </c>
      <c r="AI70" s="194">
        <v>0</v>
      </c>
      <c r="AJ70" s="194">
        <v>0</v>
      </c>
      <c r="AK70" s="194">
        <v>0</v>
      </c>
      <c r="AL70" s="194">
        <v>0</v>
      </c>
      <c r="AM70" s="161">
        <v>2745120000</v>
      </c>
      <c r="AN70" s="195">
        <v>0</v>
      </c>
      <c r="AO70" s="196">
        <v>0</v>
      </c>
      <c r="AP70" s="196">
        <v>0</v>
      </c>
      <c r="AQ70" s="196">
        <v>0</v>
      </c>
      <c r="AR70" s="196">
        <v>0</v>
      </c>
      <c r="AS70" s="197">
        <v>0</v>
      </c>
      <c r="AT70" s="198">
        <v>0</v>
      </c>
      <c r="AU70" s="198">
        <v>0</v>
      </c>
      <c r="AV70" s="198">
        <v>0</v>
      </c>
      <c r="AW70" s="198">
        <v>0</v>
      </c>
      <c r="AX70" s="161">
        <v>2745120000</v>
      </c>
      <c r="AY70" s="260">
        <v>0</v>
      </c>
      <c r="AZ70" s="261">
        <v>0</v>
      </c>
      <c r="BA70" s="262">
        <v>0</v>
      </c>
      <c r="BB70" s="263">
        <v>0</v>
      </c>
      <c r="BC70" s="263">
        <v>0</v>
      </c>
      <c r="BD70" s="263">
        <v>0</v>
      </c>
      <c r="BE70" s="161">
        <v>2745120000</v>
      </c>
      <c r="BF70" s="255">
        <v>2745120000</v>
      </c>
    </row>
    <row r="71" spans="1:58">
      <c r="B71" s="164" t="s">
        <v>275</v>
      </c>
      <c r="C71" s="164"/>
      <c r="D71" s="164">
        <v>780204741</v>
      </c>
      <c r="E71" s="167">
        <v>8177008881337</v>
      </c>
      <c r="F71" s="168">
        <v>8177008881437</v>
      </c>
      <c r="G71" s="168">
        <v>-100</v>
      </c>
      <c r="H71" s="168">
        <v>0</v>
      </c>
      <c r="I71" s="168">
        <v>0</v>
      </c>
      <c r="J71" s="168">
        <v>0</v>
      </c>
      <c r="K71" s="168">
        <v>0</v>
      </c>
      <c r="L71" s="169">
        <v>7917287200291</v>
      </c>
      <c r="M71" s="170">
        <v>7492033108520</v>
      </c>
      <c r="N71" s="170">
        <v>32938847774</v>
      </c>
      <c r="O71" s="170">
        <v>72128045522</v>
      </c>
      <c r="P71" s="170">
        <v>5811625665</v>
      </c>
      <c r="Q71" s="170">
        <v>77644044107</v>
      </c>
      <c r="R71" s="170">
        <v>75064707169</v>
      </c>
      <c r="S71" s="170">
        <v>24787493634</v>
      </c>
      <c r="T71" s="170">
        <v>12704652170</v>
      </c>
      <c r="U71" s="170">
        <v>27347024257</v>
      </c>
      <c r="V71" s="170">
        <v>10154263822</v>
      </c>
      <c r="W71" s="170">
        <v>23742863659</v>
      </c>
      <c r="X71" s="170">
        <v>8820005461</v>
      </c>
      <c r="Y71" s="170">
        <v>42869976236</v>
      </c>
      <c r="Z71" s="170">
        <v>11240542296</v>
      </c>
      <c r="AA71" s="164">
        <v>259721681046</v>
      </c>
      <c r="AB71" s="173">
        <v>93949395789</v>
      </c>
      <c r="AC71" s="174">
        <v>20683935467</v>
      </c>
      <c r="AD71" s="174">
        <v>890678534</v>
      </c>
      <c r="AE71" s="174">
        <v>27740366922</v>
      </c>
      <c r="AF71" s="174">
        <v>1429500000</v>
      </c>
      <c r="AG71" s="174">
        <v>957722385</v>
      </c>
      <c r="AH71" s="174">
        <v>9123917479</v>
      </c>
      <c r="AI71" s="174">
        <v>2337473884</v>
      </c>
      <c r="AJ71" s="174">
        <v>20568140244</v>
      </c>
      <c r="AK71" s="174">
        <v>57407264</v>
      </c>
      <c r="AL71" s="174">
        <v>10160253610</v>
      </c>
      <c r="AM71" s="164">
        <v>165772285257</v>
      </c>
      <c r="AN71" s="199">
        <v>3278568949</v>
      </c>
      <c r="AO71" s="200">
        <v>1</v>
      </c>
      <c r="AP71" s="200">
        <v>0</v>
      </c>
      <c r="AQ71" s="200">
        <v>3278568948</v>
      </c>
      <c r="AR71" s="200">
        <v>0</v>
      </c>
      <c r="AS71" s="201">
        <v>4128864967</v>
      </c>
      <c r="AT71" s="202">
        <v>165</v>
      </c>
      <c r="AU71" s="202">
        <v>0</v>
      </c>
      <c r="AV71" s="202">
        <v>3898864798</v>
      </c>
      <c r="AW71" s="202">
        <v>230000004</v>
      </c>
      <c r="AX71" s="164">
        <v>164921989239</v>
      </c>
      <c r="AY71" s="264">
        <v>5971392272</v>
      </c>
      <c r="AZ71" s="265">
        <v>5971392272</v>
      </c>
      <c r="BA71" s="266">
        <v>10441147115</v>
      </c>
      <c r="BB71" s="267">
        <v>8746222115</v>
      </c>
      <c r="BC71" s="267">
        <v>1686300000</v>
      </c>
      <c r="BD71" s="267">
        <v>8625000</v>
      </c>
      <c r="BE71" s="164">
        <v>160452234396</v>
      </c>
      <c r="BF71" s="255">
        <v>160452234396</v>
      </c>
    </row>
  </sheetData>
  <phoneticPr fontId="1" type="noConversion"/>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B8EE4-0A8B-4B4F-8030-A04CFE149C16}">
  <sheetPr codeName="Sheet42"/>
  <dimension ref="B2:J29"/>
  <sheetViews>
    <sheetView workbookViewId="0">
      <selection activeCell="E5" sqref="E5"/>
    </sheetView>
  </sheetViews>
  <sheetFormatPr defaultColWidth="9" defaultRowHeight="12"/>
  <cols>
    <col min="1" max="1" width="5.625" style="1" customWidth="1"/>
    <col min="2" max="2" width="17" style="1" customWidth="1"/>
    <col min="3" max="16384" width="9" style="1"/>
  </cols>
  <sheetData>
    <row r="2" spans="2:10">
      <c r="B2" s="32" t="s">
        <v>5201</v>
      </c>
      <c r="C2" s="3"/>
      <c r="D2" s="3" t="s">
        <v>3075</v>
      </c>
      <c r="E2" s="3" t="s">
        <v>3080</v>
      </c>
      <c r="F2" s="3"/>
      <c r="G2" s="3"/>
      <c r="H2" s="3"/>
      <c r="I2" s="3"/>
      <c r="J2" s="3"/>
    </row>
    <row r="3" spans="2:10">
      <c r="B3" s="10"/>
      <c r="C3" s="10"/>
      <c r="D3" s="10" t="s">
        <v>5202</v>
      </c>
      <c r="E3" s="10" t="s">
        <v>70</v>
      </c>
      <c r="F3" s="10" t="s">
        <v>71</v>
      </c>
      <c r="G3" s="10" t="s">
        <v>72</v>
      </c>
      <c r="H3" s="10" t="s">
        <v>73</v>
      </c>
      <c r="I3" s="10">
        <v>2025</v>
      </c>
      <c r="J3" s="10" t="s">
        <v>5102</v>
      </c>
    </row>
    <row r="4" spans="2:10">
      <c r="B4" s="2608" t="s">
        <v>325</v>
      </c>
      <c r="C4" s="2609" t="s">
        <v>5200</v>
      </c>
      <c r="D4" s="2610">
        <v>642</v>
      </c>
      <c r="E4" s="2610">
        <v>623</v>
      </c>
      <c r="F4" s="2610">
        <v>644</v>
      </c>
      <c r="G4" s="2610">
        <v>659</v>
      </c>
      <c r="H4" s="2610">
        <v>662</v>
      </c>
      <c r="I4" s="2611">
        <f>가동율!O70/1000</f>
        <v>666.16098648332684</v>
      </c>
      <c r="J4" s="2611">
        <f>가동율!P70/1000</f>
        <v>662.3</v>
      </c>
    </row>
    <row r="5" spans="2:10">
      <c r="B5" s="2604" t="s">
        <v>330</v>
      </c>
      <c r="C5" s="2605" t="s">
        <v>3486</v>
      </c>
      <c r="D5" s="2606">
        <v>35</v>
      </c>
      <c r="E5" s="2606">
        <v>33</v>
      </c>
      <c r="F5" s="2607">
        <v>33</v>
      </c>
      <c r="G5" s="2607">
        <v>33</v>
      </c>
      <c r="H5" s="2607">
        <v>31</v>
      </c>
      <c r="I5" s="248" t="e">
        <f>가동율!#REF!/1000</f>
        <v>#REF!</v>
      </c>
      <c r="J5" s="248" t="e">
        <f>가동율!#REF!/1000</f>
        <v>#REF!</v>
      </c>
    </row>
    <row r="6" spans="2:10">
      <c r="B6" s="2604" t="s">
        <v>331</v>
      </c>
      <c r="C6" s="2605" t="s">
        <v>3486</v>
      </c>
      <c r="D6" s="2606">
        <v>503</v>
      </c>
      <c r="E6" s="2606">
        <v>586</v>
      </c>
      <c r="F6" s="2607">
        <v>502</v>
      </c>
      <c r="G6" s="2607">
        <v>483</v>
      </c>
      <c r="H6" s="2607">
        <v>436</v>
      </c>
      <c r="I6" s="248" t="e">
        <f>가동율!#REF!/1000</f>
        <v>#REF!</v>
      </c>
      <c r="J6" s="248" t="e">
        <f>가동율!#REF!/1000</f>
        <v>#REF!</v>
      </c>
    </row>
    <row r="7" spans="2:10">
      <c r="B7" s="2604" t="s">
        <v>268</v>
      </c>
      <c r="C7" s="2605" t="s">
        <v>3487</v>
      </c>
      <c r="D7" s="2606"/>
      <c r="E7" s="2606">
        <v>1645</v>
      </c>
      <c r="F7" s="2607">
        <v>1858</v>
      </c>
      <c r="G7" s="2607">
        <v>1960</v>
      </c>
      <c r="H7" s="2607">
        <v>1942</v>
      </c>
      <c r="I7" s="248" t="e">
        <f>가동율!#REF!</f>
        <v>#REF!</v>
      </c>
      <c r="J7" s="248" t="e">
        <f>가동율!#REF!</f>
        <v>#REF!</v>
      </c>
    </row>
    <row r="8" spans="2:10">
      <c r="B8" s="2604" t="s">
        <v>266</v>
      </c>
      <c r="C8" s="2605" t="s">
        <v>3487</v>
      </c>
      <c r="D8" s="2606"/>
      <c r="E8" s="2606">
        <v>196</v>
      </c>
      <c r="F8" s="2607">
        <v>250</v>
      </c>
      <c r="G8" s="2607">
        <v>290</v>
      </c>
      <c r="H8" s="2607">
        <v>280</v>
      </c>
      <c r="I8" s="248" t="e">
        <f>가동율!#REF!</f>
        <v>#REF!</v>
      </c>
      <c r="J8" s="248" t="e">
        <f>가동율!#REF!</f>
        <v>#REF!</v>
      </c>
    </row>
    <row r="9" spans="2:10">
      <c r="B9" s="2604" t="s">
        <v>250</v>
      </c>
      <c r="C9" s="2605" t="s">
        <v>5200</v>
      </c>
      <c r="D9" s="2606"/>
      <c r="E9" s="2606">
        <v>4.5999999999999996</v>
      </c>
      <c r="F9" s="2607">
        <v>4.5</v>
      </c>
      <c r="G9" s="2607">
        <v>4.5999999999999996</v>
      </c>
      <c r="H9" s="2607">
        <v>4.5999999999999996</v>
      </c>
      <c r="I9" s="248" t="e">
        <f>가동율!#REF!/1000</f>
        <v>#REF!</v>
      </c>
      <c r="J9" s="248" t="e">
        <f>가동율!#REF!/1000</f>
        <v>#REF!</v>
      </c>
    </row>
    <row r="10" spans="2:10">
      <c r="B10" s="2604" t="s">
        <v>242</v>
      </c>
      <c r="C10" s="2605" t="s">
        <v>5200</v>
      </c>
      <c r="D10" s="2606"/>
      <c r="E10" s="2606">
        <v>1287</v>
      </c>
      <c r="F10" s="2607">
        <v>1436</v>
      </c>
      <c r="G10" s="2607">
        <v>1368</v>
      </c>
      <c r="H10" s="2607">
        <v>1354</v>
      </c>
      <c r="I10" s="248" t="e">
        <f>가동율!#REF!/1000</f>
        <v>#REF!</v>
      </c>
      <c r="J10" s="248" t="e">
        <f>가동율!#REF!/1000</f>
        <v>#REF!</v>
      </c>
    </row>
    <row r="11" spans="2:10">
      <c r="B11" s="2604" t="s">
        <v>260</v>
      </c>
      <c r="C11" s="2605" t="s">
        <v>5200</v>
      </c>
      <c r="D11" s="2606"/>
      <c r="E11" s="2606">
        <v>1194</v>
      </c>
      <c r="F11" s="2607">
        <v>1257</v>
      </c>
      <c r="G11" s="2607">
        <v>1246</v>
      </c>
      <c r="H11" s="2607">
        <v>1276</v>
      </c>
      <c r="I11" s="248" t="e">
        <f>가동율!#REF!/1000</f>
        <v>#REF!</v>
      </c>
      <c r="J11" s="248" t="e">
        <f>가동율!#REF!/1000</f>
        <v>#REF!</v>
      </c>
    </row>
    <row r="12" spans="2:10">
      <c r="B12" s="2700" t="s">
        <v>327</v>
      </c>
      <c r="C12" s="2698" t="s">
        <v>5370</v>
      </c>
      <c r="D12" s="2699"/>
      <c r="E12" s="2699"/>
      <c r="F12" s="2699"/>
      <c r="G12" s="2699"/>
      <c r="H12" s="2699"/>
      <c r="I12" s="2104"/>
      <c r="J12" s="2104"/>
    </row>
    <row r="13" spans="2:10">
      <c r="B13" s="2604" t="s">
        <v>252</v>
      </c>
      <c r="C13" s="2605" t="s">
        <v>5200</v>
      </c>
      <c r="D13" s="2606"/>
      <c r="E13" s="2606">
        <v>434.4</v>
      </c>
      <c r="F13" s="2607">
        <v>420.3</v>
      </c>
      <c r="G13" s="2607">
        <v>323.5</v>
      </c>
      <c r="H13" s="2607">
        <v>224.6</v>
      </c>
      <c r="I13" s="248" t="e">
        <f>가동율!#REF!/1000</f>
        <v>#REF!</v>
      </c>
      <c r="J13" s="248" t="e">
        <f>가동율!#REF!/1000</f>
        <v>#REF!</v>
      </c>
    </row>
    <row r="14" spans="2:10">
      <c r="B14" s="2605" t="s">
        <v>3644</v>
      </c>
      <c r="C14" s="2605" t="s">
        <v>5200</v>
      </c>
      <c r="D14" s="2606">
        <v>137</v>
      </c>
      <c r="E14" s="2606">
        <v>162</v>
      </c>
      <c r="F14" s="2607">
        <v>173</v>
      </c>
      <c r="G14" s="2607">
        <v>183</v>
      </c>
      <c r="H14" s="2607">
        <v>191</v>
      </c>
      <c r="I14" s="248" t="e">
        <f>가동율!#REF!/1000</f>
        <v>#REF!</v>
      </c>
      <c r="J14" s="248" t="e">
        <f>가동율!#REF!/1000</f>
        <v>#REF!</v>
      </c>
    </row>
    <row r="15" spans="2:10" ht="13.5">
      <c r="B15" s="2612" t="s">
        <v>5199</v>
      </c>
      <c r="C15" s="2612" t="s">
        <v>3486</v>
      </c>
      <c r="D15" s="2613">
        <v>90.2</v>
      </c>
      <c r="E15" s="2613">
        <v>1.8</v>
      </c>
      <c r="F15" s="2614">
        <v>35.700000000000003</v>
      </c>
      <c r="G15" s="2614">
        <v>64.599999999999994</v>
      </c>
      <c r="H15" s="2614">
        <v>113.9</v>
      </c>
      <c r="I15" s="2615" t="e">
        <f>가동율!#REF!/1000</f>
        <v>#REF!</v>
      </c>
      <c r="J15" s="2615" t="e">
        <f>가동율!#REF!/1000</f>
        <v>#REF!</v>
      </c>
    </row>
    <row r="16" spans="2:10">
      <c r="B16" s="3"/>
      <c r="C16" s="3"/>
      <c r="D16" s="3"/>
      <c r="E16" s="3"/>
      <c r="F16" s="3"/>
      <c r="G16" s="3"/>
      <c r="H16" s="3"/>
      <c r="I16" s="3"/>
      <c r="J16" s="3"/>
    </row>
    <row r="17" spans="2:10">
      <c r="B17" s="10"/>
      <c r="C17" s="10"/>
      <c r="D17" s="10" t="s">
        <v>5202</v>
      </c>
      <c r="E17" s="10" t="s">
        <v>70</v>
      </c>
      <c r="F17" s="10" t="s">
        <v>71</v>
      </c>
      <c r="G17" s="10" t="s">
        <v>72</v>
      </c>
      <c r="H17" s="10" t="s">
        <v>73</v>
      </c>
      <c r="I17" s="10" t="s">
        <v>74</v>
      </c>
      <c r="J17" s="10" t="s">
        <v>5102</v>
      </c>
    </row>
    <row r="18" spans="2:10">
      <c r="B18" s="2608" t="s">
        <v>325</v>
      </c>
      <c r="C18" s="2609" t="s">
        <v>3486</v>
      </c>
      <c r="D18" s="2610">
        <f t="shared" ref="D18:J20" si="0">D4*1000</f>
        <v>642000</v>
      </c>
      <c r="E18" s="2610">
        <f t="shared" si="0"/>
        <v>623000</v>
      </c>
      <c r="F18" s="2610">
        <f t="shared" si="0"/>
        <v>644000</v>
      </c>
      <c r="G18" s="2610">
        <f>G4*1000</f>
        <v>659000</v>
      </c>
      <c r="H18" s="2610">
        <f t="shared" si="0"/>
        <v>662000</v>
      </c>
      <c r="I18" s="2611">
        <f t="shared" si="0"/>
        <v>666160.98648332688</v>
      </c>
      <c r="J18" s="2611">
        <f t="shared" si="0"/>
        <v>662300</v>
      </c>
    </row>
    <row r="19" spans="2:10">
      <c r="B19" s="2604" t="s">
        <v>330</v>
      </c>
      <c r="C19" s="2605" t="s">
        <v>3487</v>
      </c>
      <c r="D19" s="2606">
        <f t="shared" si="0"/>
        <v>35000</v>
      </c>
      <c r="E19" s="2606">
        <f t="shared" si="0"/>
        <v>33000</v>
      </c>
      <c r="F19" s="2607">
        <f t="shared" si="0"/>
        <v>33000</v>
      </c>
      <c r="G19" s="2607">
        <f t="shared" si="0"/>
        <v>33000</v>
      </c>
      <c r="H19" s="2607">
        <f t="shared" si="0"/>
        <v>31000</v>
      </c>
      <c r="I19" s="248" t="e">
        <f t="shared" si="0"/>
        <v>#REF!</v>
      </c>
      <c r="J19" s="248" t="e">
        <f t="shared" si="0"/>
        <v>#REF!</v>
      </c>
    </row>
    <row r="20" spans="2:10">
      <c r="B20" s="2604" t="s">
        <v>331</v>
      </c>
      <c r="C20" s="2605" t="s">
        <v>3487</v>
      </c>
      <c r="D20" s="2606">
        <f t="shared" si="0"/>
        <v>503000</v>
      </c>
      <c r="E20" s="2606">
        <f t="shared" si="0"/>
        <v>586000</v>
      </c>
      <c r="F20" s="2607">
        <f t="shared" si="0"/>
        <v>502000</v>
      </c>
      <c r="G20" s="2607">
        <f t="shared" si="0"/>
        <v>483000</v>
      </c>
      <c r="H20" s="2607">
        <f t="shared" si="0"/>
        <v>436000</v>
      </c>
      <c r="I20" s="248" t="e">
        <f t="shared" si="0"/>
        <v>#REF!</v>
      </c>
      <c r="J20" s="248" t="e">
        <f t="shared" si="0"/>
        <v>#REF!</v>
      </c>
    </row>
    <row r="21" spans="2:10">
      <c r="B21" s="2604" t="s">
        <v>268</v>
      </c>
      <c r="C21" s="2605" t="s">
        <v>3487</v>
      </c>
      <c r="D21" s="2606"/>
      <c r="E21" s="2606">
        <f>E7</f>
        <v>1645</v>
      </c>
      <c r="F21" s="2607">
        <f t="shared" ref="F21:J21" si="1">F7</f>
        <v>1858</v>
      </c>
      <c r="G21" s="2607">
        <f t="shared" si="1"/>
        <v>1960</v>
      </c>
      <c r="H21" s="2607">
        <f t="shared" si="1"/>
        <v>1942</v>
      </c>
      <c r="I21" s="248" t="e">
        <f t="shared" si="1"/>
        <v>#REF!</v>
      </c>
      <c r="J21" s="248" t="e">
        <f t="shared" si="1"/>
        <v>#REF!</v>
      </c>
    </row>
    <row r="22" spans="2:10">
      <c r="B22" s="2604" t="s">
        <v>266</v>
      </c>
      <c r="C22" s="2605" t="s">
        <v>3487</v>
      </c>
      <c r="D22" s="2606"/>
      <c r="E22" s="2606">
        <f t="shared" ref="E22:J22" si="2">E8</f>
        <v>196</v>
      </c>
      <c r="F22" s="2607">
        <f t="shared" si="2"/>
        <v>250</v>
      </c>
      <c r="G22" s="2607">
        <f t="shared" si="2"/>
        <v>290</v>
      </c>
      <c r="H22" s="2607">
        <f t="shared" si="2"/>
        <v>280</v>
      </c>
      <c r="I22" s="248" t="e">
        <f t="shared" si="2"/>
        <v>#REF!</v>
      </c>
      <c r="J22" s="248" t="e">
        <f t="shared" si="2"/>
        <v>#REF!</v>
      </c>
    </row>
    <row r="23" spans="2:10">
      <c r="B23" s="2604" t="s">
        <v>250</v>
      </c>
      <c r="C23" s="2605" t="s">
        <v>3486</v>
      </c>
      <c r="D23" s="2606"/>
      <c r="E23" s="2606">
        <f>E9*1000</f>
        <v>4600</v>
      </c>
      <c r="F23" s="2607">
        <f t="shared" ref="F23:J23" si="3">F9*1000</f>
        <v>4500</v>
      </c>
      <c r="G23" s="2607">
        <f t="shared" si="3"/>
        <v>4600</v>
      </c>
      <c r="H23" s="2607">
        <f t="shared" si="3"/>
        <v>4600</v>
      </c>
      <c r="I23" s="248" t="e">
        <f t="shared" si="3"/>
        <v>#REF!</v>
      </c>
      <c r="J23" s="248" t="e">
        <f t="shared" si="3"/>
        <v>#REF!</v>
      </c>
    </row>
    <row r="24" spans="2:10">
      <c r="B24" s="2604" t="s">
        <v>242</v>
      </c>
      <c r="C24" s="2605" t="s">
        <v>3486</v>
      </c>
      <c r="D24" s="2606"/>
      <c r="E24" s="2606">
        <f>E10*1000</f>
        <v>1287000</v>
      </c>
      <c r="F24" s="2607">
        <f t="shared" ref="F24:J24" si="4">F10*1000</f>
        <v>1436000</v>
      </c>
      <c r="G24" s="2607">
        <f t="shared" si="4"/>
        <v>1368000</v>
      </c>
      <c r="H24" s="2607">
        <f t="shared" si="4"/>
        <v>1354000</v>
      </c>
      <c r="I24" s="248" t="e">
        <f t="shared" si="4"/>
        <v>#REF!</v>
      </c>
      <c r="J24" s="248" t="e">
        <f t="shared" si="4"/>
        <v>#REF!</v>
      </c>
    </row>
    <row r="25" spans="2:10">
      <c r="B25" s="2604" t="s">
        <v>260</v>
      </c>
      <c r="C25" s="2605" t="s">
        <v>3486</v>
      </c>
      <c r="D25" s="2606"/>
      <c r="E25" s="2606">
        <f>E11*1000</f>
        <v>1194000</v>
      </c>
      <c r="F25" s="2607">
        <f t="shared" ref="F25:J25" si="5">F11*1000</f>
        <v>1257000</v>
      </c>
      <c r="G25" s="2607">
        <f t="shared" si="5"/>
        <v>1246000</v>
      </c>
      <c r="H25" s="2607">
        <f t="shared" si="5"/>
        <v>1276000</v>
      </c>
      <c r="I25" s="248" t="e">
        <f t="shared" si="5"/>
        <v>#REF!</v>
      </c>
      <c r="J25" s="248" t="e">
        <f t="shared" si="5"/>
        <v>#REF!</v>
      </c>
    </row>
    <row r="26" spans="2:10">
      <c r="B26" s="2700" t="s">
        <v>327</v>
      </c>
      <c r="C26" s="2698" t="s">
        <v>3486</v>
      </c>
      <c r="D26" s="2699"/>
      <c r="E26" s="2699"/>
      <c r="F26" s="2699"/>
      <c r="G26" s="2699"/>
      <c r="H26" s="2699"/>
      <c r="I26" s="2104"/>
      <c r="J26" s="2104"/>
    </row>
    <row r="27" spans="2:10">
      <c r="B27" s="2604" t="s">
        <v>252</v>
      </c>
      <c r="C27" s="2605" t="s">
        <v>3486</v>
      </c>
      <c r="D27" s="2606"/>
      <c r="E27" s="2606">
        <f t="shared" ref="D27:J29" si="6">E13*1000</f>
        <v>434400</v>
      </c>
      <c r="F27" s="2607">
        <f t="shared" si="6"/>
        <v>420300</v>
      </c>
      <c r="G27" s="2607">
        <f t="shared" si="6"/>
        <v>323500</v>
      </c>
      <c r="H27" s="2607">
        <f t="shared" si="6"/>
        <v>224600</v>
      </c>
      <c r="I27" s="248" t="e">
        <f t="shared" si="6"/>
        <v>#REF!</v>
      </c>
      <c r="J27" s="248" t="e">
        <f t="shared" si="6"/>
        <v>#REF!</v>
      </c>
    </row>
    <row r="28" spans="2:10">
      <c r="B28" s="2605" t="s">
        <v>3644</v>
      </c>
      <c r="C28" s="2605" t="s">
        <v>3486</v>
      </c>
      <c r="D28" s="2606">
        <f t="shared" si="6"/>
        <v>137000</v>
      </c>
      <c r="E28" s="2606">
        <f t="shared" si="6"/>
        <v>162000</v>
      </c>
      <c r="F28" s="2607">
        <f t="shared" si="6"/>
        <v>173000</v>
      </c>
      <c r="G28" s="2607">
        <f t="shared" si="6"/>
        <v>183000</v>
      </c>
      <c r="H28" s="2607">
        <f t="shared" si="6"/>
        <v>191000</v>
      </c>
      <c r="I28" s="248" t="e">
        <f t="shared" si="6"/>
        <v>#REF!</v>
      </c>
      <c r="J28" s="248" t="e">
        <f t="shared" si="6"/>
        <v>#REF!</v>
      </c>
    </row>
    <row r="29" spans="2:10" ht="13.5">
      <c r="B29" s="2612" t="s">
        <v>5199</v>
      </c>
      <c r="C29" s="2612" t="s">
        <v>3487</v>
      </c>
      <c r="D29" s="2613">
        <f t="shared" si="6"/>
        <v>90200</v>
      </c>
      <c r="E29" s="2613">
        <f t="shared" si="6"/>
        <v>1800</v>
      </c>
      <c r="F29" s="2614">
        <f t="shared" si="6"/>
        <v>35700</v>
      </c>
      <c r="G29" s="2614">
        <f t="shared" si="6"/>
        <v>64599.999999999993</v>
      </c>
      <c r="H29" s="2614">
        <f t="shared" si="6"/>
        <v>113900</v>
      </c>
      <c r="I29" s="2615" t="e">
        <f t="shared" si="6"/>
        <v>#REF!</v>
      </c>
      <c r="J29" s="2615" t="e">
        <f t="shared" si="6"/>
        <v>#REF!</v>
      </c>
    </row>
  </sheetData>
  <phoneticPr fontId="1" type="noConversion"/>
  <conditionalFormatting sqref="B3:C3 E3">
    <cfRule type="cellIs" dxfId="334" priority="31" operator="equal">
      <formula>"X"</formula>
    </cfRule>
    <cfRule type="cellIs" dxfId="333" priority="32" operator="equal">
      <formula>"O"</formula>
    </cfRule>
    <cfRule type="cellIs" dxfId="332" priority="33" operator="equal">
      <formula>"미정"</formula>
    </cfRule>
    <cfRule type="cellIs" dxfId="331" priority="34" operator="equal">
      <formula>"예정"</formula>
    </cfRule>
    <cfRule type="cellIs" dxfId="330" priority="35" operator="equal">
      <formula>"확정"</formula>
    </cfRule>
  </conditionalFormatting>
  <conditionalFormatting sqref="F3:J3">
    <cfRule type="cellIs" dxfId="329" priority="26" operator="equal">
      <formula>"X"</formula>
    </cfRule>
    <cfRule type="cellIs" dxfId="328" priority="27" operator="equal">
      <formula>"O"</formula>
    </cfRule>
    <cfRule type="cellIs" dxfId="327" priority="28" operator="equal">
      <formula>"미정"</formula>
    </cfRule>
    <cfRule type="cellIs" dxfId="326" priority="29" operator="equal">
      <formula>"예정"</formula>
    </cfRule>
    <cfRule type="cellIs" dxfId="325" priority="30" operator="equal">
      <formula>"확정"</formula>
    </cfRule>
  </conditionalFormatting>
  <conditionalFormatting sqref="D3">
    <cfRule type="cellIs" dxfId="324" priority="21" operator="equal">
      <formula>"X"</formula>
    </cfRule>
    <cfRule type="cellIs" dxfId="323" priority="22" operator="equal">
      <formula>"O"</formula>
    </cfRule>
    <cfRule type="cellIs" dxfId="322" priority="23" operator="equal">
      <formula>"미정"</formula>
    </cfRule>
    <cfRule type="cellIs" dxfId="321" priority="24" operator="equal">
      <formula>"예정"</formula>
    </cfRule>
    <cfRule type="cellIs" dxfId="320" priority="25" operator="equal">
      <formula>"확정"</formula>
    </cfRule>
  </conditionalFormatting>
  <conditionalFormatting sqref="B17:C17 E17">
    <cfRule type="cellIs" dxfId="319" priority="16" operator="equal">
      <formula>"X"</formula>
    </cfRule>
    <cfRule type="cellIs" dxfId="318" priority="17" operator="equal">
      <formula>"O"</formula>
    </cfRule>
    <cfRule type="cellIs" dxfId="317" priority="18" operator="equal">
      <formula>"미정"</formula>
    </cfRule>
    <cfRule type="cellIs" dxfId="316" priority="19" operator="equal">
      <formula>"예정"</formula>
    </cfRule>
    <cfRule type="cellIs" dxfId="315" priority="20" operator="equal">
      <formula>"확정"</formula>
    </cfRule>
  </conditionalFormatting>
  <conditionalFormatting sqref="F17:J17">
    <cfRule type="cellIs" dxfId="314" priority="11" operator="equal">
      <formula>"X"</formula>
    </cfRule>
    <cfRule type="cellIs" dxfId="313" priority="12" operator="equal">
      <formula>"O"</formula>
    </cfRule>
    <cfRule type="cellIs" dxfId="312" priority="13" operator="equal">
      <formula>"미정"</formula>
    </cfRule>
    <cfRule type="cellIs" dxfId="311" priority="14" operator="equal">
      <formula>"예정"</formula>
    </cfRule>
    <cfRule type="cellIs" dxfId="310" priority="15" operator="equal">
      <formula>"확정"</formula>
    </cfRule>
  </conditionalFormatting>
  <conditionalFormatting sqref="D17">
    <cfRule type="cellIs" dxfId="309" priority="6" operator="equal">
      <formula>"X"</formula>
    </cfRule>
    <cfRule type="cellIs" dxfId="308" priority="7" operator="equal">
      <formula>"O"</formula>
    </cfRule>
    <cfRule type="cellIs" dxfId="307" priority="8" operator="equal">
      <formula>"미정"</formula>
    </cfRule>
    <cfRule type="cellIs" dxfId="306" priority="9" operator="equal">
      <formula>"예정"</formula>
    </cfRule>
    <cfRule type="cellIs" dxfId="305" priority="10" operator="equal">
      <formula>"확정"</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AF7F-2E41-477D-95DC-0B64FF7EE419}">
  <sheetPr codeName="Sheet43">
    <tabColor rgb="FFC00000"/>
  </sheetPr>
  <dimension ref="B1:AA97"/>
  <sheetViews>
    <sheetView workbookViewId="0">
      <selection activeCell="F45" sqref="F45"/>
    </sheetView>
  </sheetViews>
  <sheetFormatPr defaultColWidth="9" defaultRowHeight="12"/>
  <cols>
    <col min="1" max="1" width="2.375" style="3" customWidth="1"/>
    <col min="2" max="13" width="9" style="3"/>
    <col min="14" max="14" width="11.5" style="3" customWidth="1"/>
    <col min="15" max="16384" width="9" style="3"/>
  </cols>
  <sheetData>
    <row r="1" spans="2:22">
      <c r="B1" s="3014" t="s">
        <v>5584</v>
      </c>
      <c r="O1" s="3014" t="s">
        <v>1346</v>
      </c>
    </row>
    <row r="2" spans="2:22">
      <c r="C2" s="32" t="s">
        <v>3739</v>
      </c>
      <c r="E2" s="105"/>
      <c r="F2" s="105"/>
      <c r="G2" s="105"/>
      <c r="H2" s="105"/>
      <c r="I2" s="105"/>
      <c r="P2" s="32" t="s">
        <v>3739</v>
      </c>
      <c r="R2" s="105"/>
      <c r="S2" s="105"/>
      <c r="T2" s="105"/>
    </row>
    <row r="3" spans="2:22">
      <c r="C3" s="10"/>
      <c r="D3" s="10"/>
      <c r="E3" s="10" t="s">
        <v>5174</v>
      </c>
      <c r="F3" s="10" t="s">
        <v>70</v>
      </c>
      <c r="G3" s="10" t="s">
        <v>71</v>
      </c>
      <c r="H3" s="10" t="s">
        <v>72</v>
      </c>
      <c r="I3" s="10" t="s">
        <v>73</v>
      </c>
      <c r="J3" s="10" t="s">
        <v>74</v>
      </c>
      <c r="K3" s="10" t="s">
        <v>5102</v>
      </c>
      <c r="P3" s="10"/>
      <c r="Q3" s="10"/>
      <c r="R3" s="10" t="s">
        <v>71</v>
      </c>
      <c r="S3" s="10" t="s">
        <v>72</v>
      </c>
      <c r="T3" s="10" t="s">
        <v>73</v>
      </c>
      <c r="U3" s="10" t="s">
        <v>74</v>
      </c>
      <c r="V3" s="10" t="s">
        <v>5102</v>
      </c>
    </row>
    <row r="4" spans="2:22">
      <c r="B4" s="2633" t="s">
        <v>5187</v>
      </c>
      <c r="C4" s="3" t="s">
        <v>258</v>
      </c>
      <c r="D4" s="3" t="s">
        <v>3538</v>
      </c>
      <c r="E4" s="105">
        <v>9784</v>
      </c>
      <c r="F4" s="105">
        <v>9293.0608695652172</v>
      </c>
      <c r="G4" s="4866">
        <v>9173</v>
      </c>
      <c r="H4" s="4866">
        <v>8835</v>
      </c>
      <c r="I4" s="4866">
        <v>8394</v>
      </c>
      <c r="J4" s="4867">
        <v>8465</v>
      </c>
      <c r="K4" s="4867">
        <v>8834</v>
      </c>
      <c r="O4" s="2633" t="s">
        <v>5187</v>
      </c>
      <c r="P4" s="3" t="s">
        <v>258</v>
      </c>
      <c r="Q4" s="3" t="s">
        <v>3538</v>
      </c>
      <c r="R4" s="4866">
        <v>8500</v>
      </c>
      <c r="S4" s="4866">
        <v>8500</v>
      </c>
      <c r="T4" s="4866">
        <v>8500</v>
      </c>
      <c r="U4" s="4867">
        <f>T4</f>
        <v>8500</v>
      </c>
      <c r="V4" s="4867">
        <f>U4</f>
        <v>8500</v>
      </c>
    </row>
    <row r="5" spans="2:22">
      <c r="B5" s="2633" t="s">
        <v>262</v>
      </c>
      <c r="C5" s="3" t="s">
        <v>262</v>
      </c>
      <c r="D5" s="3" t="s">
        <v>3547</v>
      </c>
      <c r="E5" s="105">
        <v>57851.190794583701</v>
      </c>
      <c r="F5" s="105">
        <v>57865.749593627414</v>
      </c>
      <c r="G5" s="4866">
        <v>57241.832205716637</v>
      </c>
      <c r="H5" s="4866">
        <v>55942.299029412687</v>
      </c>
      <c r="I5" s="4866">
        <v>55765.469923285229</v>
      </c>
      <c r="J5" s="4867">
        <v>55186.756485049926</v>
      </c>
      <c r="K5" s="4867">
        <v>54826.669783269877</v>
      </c>
      <c r="O5" s="2633" t="s">
        <v>262</v>
      </c>
      <c r="P5" s="3" t="s">
        <v>262</v>
      </c>
      <c r="Q5" s="3" t="s">
        <v>3547</v>
      </c>
      <c r="R5" s="4866">
        <f>1700/31.1034768*1000</f>
        <v>54656.269166667567</v>
      </c>
      <c r="S5" s="4866">
        <f t="shared" ref="S5:V5" si="0">1700/31.1034768*1000</f>
        <v>54656.269166667567</v>
      </c>
      <c r="T5" s="4866">
        <f t="shared" si="0"/>
        <v>54656.269166667567</v>
      </c>
      <c r="U5" s="4866">
        <f t="shared" si="0"/>
        <v>54656.269166667567</v>
      </c>
      <c r="V5" s="4866">
        <f t="shared" si="0"/>
        <v>54656.269166667567</v>
      </c>
    </row>
    <row r="6" spans="2:22">
      <c r="B6" s="2633" t="s">
        <v>264</v>
      </c>
      <c r="C6" s="3" t="s">
        <v>264</v>
      </c>
      <c r="D6" s="3" t="s">
        <v>3547</v>
      </c>
      <c r="E6" s="105">
        <v>766.30143882790117</v>
      </c>
      <c r="F6" s="105">
        <v>816.31025109455652</v>
      </c>
      <c r="G6" s="4866">
        <v>791.87288798530733</v>
      </c>
      <c r="H6" s="4866">
        <v>775.47600723530684</v>
      </c>
      <c r="I6" s="4866">
        <v>757.6323428897183</v>
      </c>
      <c r="J6" s="4867">
        <v>728.6966709779532</v>
      </c>
      <c r="K6" s="4867">
        <v>716.5662210304406</v>
      </c>
      <c r="O6" s="2633" t="s">
        <v>264</v>
      </c>
      <c r="P6" s="3" t="s">
        <v>264</v>
      </c>
      <c r="Q6" s="3" t="s">
        <v>3547</v>
      </c>
      <c r="R6" s="4866">
        <f>24/31.1034768*1000</f>
        <v>771.61791764707152</v>
      </c>
      <c r="S6" s="4866">
        <f t="shared" ref="S6:V6" si="1">24/31.1034768*1000</f>
        <v>771.61791764707152</v>
      </c>
      <c r="T6" s="4866">
        <f t="shared" si="1"/>
        <v>771.61791764707152</v>
      </c>
      <c r="U6" s="4866">
        <f t="shared" si="1"/>
        <v>771.61791764707152</v>
      </c>
      <c r="V6" s="4866">
        <f t="shared" si="1"/>
        <v>771.61791764707152</v>
      </c>
    </row>
    <row r="7" spans="2:22">
      <c r="B7" s="2633" t="s">
        <v>268</v>
      </c>
      <c r="C7" s="3" t="s">
        <v>268</v>
      </c>
      <c r="D7" s="3" t="s">
        <v>3547</v>
      </c>
      <c r="E7" s="105">
        <v>64813.191873009433</v>
      </c>
      <c r="F7" s="105">
        <v>78650.828209864776</v>
      </c>
      <c r="G7" s="4866">
        <v>66587.732725751091</v>
      </c>
      <c r="H7" s="4866">
        <v>61504.056678319641</v>
      </c>
      <c r="I7" s="4866">
        <v>53858.9306517656</v>
      </c>
      <c r="J7" s="4867">
        <v>47210.799276304708</v>
      </c>
      <c r="K7" s="4867">
        <v>44416.25638455955</v>
      </c>
      <c r="O7" s="2633" t="s">
        <v>268</v>
      </c>
      <c r="P7" s="3" t="s">
        <v>268</v>
      </c>
      <c r="Q7" s="3" t="s">
        <v>3547</v>
      </c>
      <c r="R7" s="4866">
        <f>2000/31.1034768*1000</f>
        <v>64301.493137255959</v>
      </c>
      <c r="S7" s="4866">
        <f>1900/31.1034768*1000</f>
        <v>61086.418480393164</v>
      </c>
      <c r="T7" s="4866">
        <f>1800/31.1034768*1000</f>
        <v>57871.343823530369</v>
      </c>
      <c r="U7" s="4866">
        <f>1800/31.1034768*1000</f>
        <v>57871.343823530369</v>
      </c>
      <c r="V7" s="4866">
        <f>1800/31.1034768*1000</f>
        <v>57871.343823530369</v>
      </c>
    </row>
    <row r="8" spans="2:22">
      <c r="B8" s="2633" t="s">
        <v>266</v>
      </c>
      <c r="C8" s="3" t="s">
        <v>266</v>
      </c>
      <c r="D8" s="3" t="s">
        <v>3547</v>
      </c>
      <c r="E8" s="105">
        <v>33108.995649283184</v>
      </c>
      <c r="F8" s="105">
        <v>35465.310864675135</v>
      </c>
      <c r="G8" s="4866">
        <v>32150.746568627979</v>
      </c>
      <c r="H8" s="4866">
        <v>32633.0077671574</v>
      </c>
      <c r="I8" s="4866">
        <v>33211.721205392707</v>
      </c>
      <c r="J8" s="4867">
        <v>33790.43464362801</v>
      </c>
      <c r="K8" s="4867">
        <v>34380.33929971281</v>
      </c>
      <c r="O8" s="2633" t="s">
        <v>266</v>
      </c>
      <c r="P8" s="3" t="s">
        <v>266</v>
      </c>
      <c r="Q8" s="3" t="s">
        <v>3547</v>
      </c>
      <c r="R8" s="4866">
        <f>1000/31.1034768*1000</f>
        <v>32150.746568627979</v>
      </c>
      <c r="S8" s="4866">
        <f t="shared" ref="S8:V8" si="2">1000/31.1034768*1000</f>
        <v>32150.746568627979</v>
      </c>
      <c r="T8" s="4866">
        <f t="shared" si="2"/>
        <v>32150.746568627979</v>
      </c>
      <c r="U8" s="4866">
        <f t="shared" si="2"/>
        <v>32150.746568627979</v>
      </c>
      <c r="V8" s="4866">
        <f t="shared" si="2"/>
        <v>32150.746568627979</v>
      </c>
    </row>
    <row r="9" spans="2:22">
      <c r="B9" s="2633" t="s">
        <v>250</v>
      </c>
      <c r="C9" s="12" t="s">
        <v>250</v>
      </c>
      <c r="D9" s="12" t="s">
        <v>3538</v>
      </c>
      <c r="E9" s="107">
        <v>19703.414634146342</v>
      </c>
      <c r="F9" s="107">
        <v>18332.55652173913</v>
      </c>
      <c r="G9" s="4868">
        <v>17750</v>
      </c>
      <c r="H9" s="4868">
        <v>17000</v>
      </c>
      <c r="I9" s="4868">
        <v>17081</v>
      </c>
      <c r="J9" s="4869">
        <v>17163</v>
      </c>
      <c r="K9" s="4869">
        <v>17163</v>
      </c>
      <c r="O9" s="2633" t="s">
        <v>250</v>
      </c>
      <c r="P9" s="12" t="s">
        <v>250</v>
      </c>
      <c r="Q9" s="12" t="s">
        <v>3538</v>
      </c>
      <c r="R9" s="4868">
        <v>18000</v>
      </c>
      <c r="S9" s="4868">
        <v>19000</v>
      </c>
      <c r="T9" s="4868">
        <v>20000</v>
      </c>
      <c r="U9" s="4869">
        <v>20000</v>
      </c>
      <c r="V9" s="4869">
        <v>20000</v>
      </c>
    </row>
    <row r="10" spans="2:22">
      <c r="B10" s="3" t="s">
        <v>5588</v>
      </c>
      <c r="E10" s="268">
        <f>E9*(1+E20)</f>
        <v>15073.112195121952</v>
      </c>
      <c r="F10" s="268"/>
      <c r="G10" s="268">
        <f>G9*(1+G20)</f>
        <v>13578.75</v>
      </c>
      <c r="H10" s="268">
        <f>H9*(1+H20)</f>
        <v>13005</v>
      </c>
      <c r="I10" s="268">
        <f>I9*(1+I20)</f>
        <v>13066.965</v>
      </c>
      <c r="J10" s="268">
        <f>J9*(1+J20)</f>
        <v>13129.695</v>
      </c>
      <c r="K10" s="268">
        <f>K9*(1+K20)</f>
        <v>13129.695</v>
      </c>
      <c r="O10" s="3" t="s">
        <v>5587</v>
      </c>
      <c r="Q10" s="3" t="s">
        <v>3471</v>
      </c>
      <c r="R10" s="306">
        <f>3726/1000</f>
        <v>3.726</v>
      </c>
      <c r="S10" s="306">
        <v>3.359</v>
      </c>
      <c r="T10" s="306">
        <v>4.1399999999999997</v>
      </c>
      <c r="U10" s="306">
        <f>T10</f>
        <v>4.1399999999999997</v>
      </c>
      <c r="V10" s="306">
        <f>U10</f>
        <v>4.1399999999999997</v>
      </c>
    </row>
    <row r="11" spans="2:22">
      <c r="C11" s="32" t="s">
        <v>5226</v>
      </c>
      <c r="P11" s="32" t="s">
        <v>5226</v>
      </c>
      <c r="R11" s="278"/>
      <c r="S11" s="105"/>
      <c r="T11" s="105"/>
    </row>
    <row r="12" spans="2:22">
      <c r="C12" s="10"/>
      <c r="D12" s="10"/>
      <c r="E12" s="10" t="s">
        <v>5174</v>
      </c>
      <c r="F12" s="10" t="s">
        <v>70</v>
      </c>
      <c r="G12" s="10" t="s">
        <v>71</v>
      </c>
      <c r="H12" s="10" t="s">
        <v>72</v>
      </c>
      <c r="I12" s="10" t="s">
        <v>73</v>
      </c>
      <c r="J12" s="10" t="s">
        <v>74</v>
      </c>
      <c r="K12" s="10" t="s">
        <v>5102</v>
      </c>
      <c r="P12" s="10"/>
      <c r="Q12" s="10"/>
      <c r="R12" s="10" t="s">
        <v>71</v>
      </c>
      <c r="S12" s="10" t="s">
        <v>72</v>
      </c>
      <c r="T12" s="10" t="s">
        <v>73</v>
      </c>
      <c r="U12" s="10" t="s">
        <v>74</v>
      </c>
      <c r="V12" s="10" t="s">
        <v>5102</v>
      </c>
    </row>
    <row r="13" spans="2:22">
      <c r="C13" s="3" t="s">
        <v>258</v>
      </c>
      <c r="D13" s="3" t="s">
        <v>2702</v>
      </c>
      <c r="E13" s="2631">
        <v>7.3160261651676207E-3</v>
      </c>
      <c r="F13" s="2631">
        <v>7.7025213763986591E-3</v>
      </c>
      <c r="G13" s="4858">
        <v>9.4269265502709212E-3</v>
      </c>
      <c r="H13" s="4858">
        <v>9.4263894204620995E-3</v>
      </c>
      <c r="I13" s="4858">
        <v>9.4247000000000011E-3</v>
      </c>
      <c r="J13" s="4858">
        <v>9.4236419068736161E-3</v>
      </c>
      <c r="K13" s="4858">
        <v>9.4320727368559752E-3</v>
      </c>
      <c r="O13" s="2633"/>
      <c r="P13" s="3" t="s">
        <v>5187</v>
      </c>
      <c r="Q13" s="3" t="s">
        <v>3538</v>
      </c>
      <c r="R13" s="4866">
        <v>82</v>
      </c>
      <c r="S13" s="4866">
        <v>82</v>
      </c>
      <c r="T13" s="4866">
        <v>82</v>
      </c>
      <c r="U13" s="4867">
        <v>82</v>
      </c>
      <c r="V13" s="4867">
        <v>82</v>
      </c>
    </row>
    <row r="14" spans="2:22">
      <c r="B14" s="2633" t="s">
        <v>329</v>
      </c>
      <c r="C14" s="3" t="s">
        <v>325</v>
      </c>
      <c r="D14" s="3" t="s">
        <v>3462</v>
      </c>
      <c r="E14" s="248">
        <v>69</v>
      </c>
      <c r="F14" s="248">
        <v>69</v>
      </c>
      <c r="G14" s="4867">
        <v>82.329545454545453</v>
      </c>
      <c r="H14" s="4867">
        <v>76.591728077631245</v>
      </c>
      <c r="I14" s="4867">
        <v>73.616206624552902</v>
      </c>
      <c r="J14" s="4867">
        <v>74.387980986844568</v>
      </c>
      <c r="K14" s="4867">
        <v>76.211664099981064</v>
      </c>
      <c r="O14" s="2633"/>
      <c r="P14" s="3" t="s">
        <v>262</v>
      </c>
      <c r="Q14" s="3" t="s">
        <v>360</v>
      </c>
      <c r="R14" s="4872">
        <v>2.2000000000000001E-3</v>
      </c>
      <c r="S14" s="4872">
        <v>2.2000000000000001E-3</v>
      </c>
      <c r="T14" s="4872">
        <v>2.3E-3</v>
      </c>
      <c r="U14" s="4872">
        <v>2.3E-3</v>
      </c>
      <c r="V14" s="4872">
        <v>2.3E-3</v>
      </c>
    </row>
    <row r="15" spans="2:22">
      <c r="B15" s="2633" t="s">
        <v>330</v>
      </c>
      <c r="C15" s="3" t="s">
        <v>262</v>
      </c>
      <c r="D15" s="3" t="s">
        <v>2702</v>
      </c>
      <c r="E15" s="2631">
        <v>2.0999999999999999E-3</v>
      </c>
      <c r="F15" s="2631">
        <v>2.0999999999999999E-3</v>
      </c>
      <c r="G15" s="4858">
        <v>2.2000000000000001E-3</v>
      </c>
      <c r="H15" s="4858">
        <v>2.2000000000000001E-3</v>
      </c>
      <c r="I15" s="4858">
        <v>2.3E-3</v>
      </c>
      <c r="J15" s="4858">
        <v>2.294915103823189E-3</v>
      </c>
      <c r="K15" s="4858">
        <v>2.2898414494590428E-3</v>
      </c>
      <c r="O15" s="2633"/>
      <c r="P15" s="3" t="s">
        <v>264</v>
      </c>
      <c r="Q15" s="3" t="s">
        <v>360</v>
      </c>
      <c r="R15" s="4872">
        <v>4.0000000000000001E-3</v>
      </c>
      <c r="S15" s="4872">
        <v>4.1999999999999997E-3</v>
      </c>
      <c r="T15" s="4872">
        <v>4.5999999999999999E-3</v>
      </c>
      <c r="U15" s="4872">
        <v>4.5999999999999999E-3</v>
      </c>
      <c r="V15" s="4872">
        <v>4.5999999999999999E-3</v>
      </c>
    </row>
    <row r="16" spans="2:22">
      <c r="B16" s="2633" t="s">
        <v>331</v>
      </c>
      <c r="C16" s="3" t="s">
        <v>264</v>
      </c>
      <c r="D16" s="3" t="s">
        <v>2702</v>
      </c>
      <c r="E16" s="2631">
        <v>3.5999999999999999E-3</v>
      </c>
      <c r="F16" s="2631">
        <v>3.5999999999999999E-3</v>
      </c>
      <c r="G16" s="4858">
        <v>4.0000000000000001E-3</v>
      </c>
      <c r="H16" s="4858">
        <v>4.1999999999999997E-3</v>
      </c>
      <c r="I16" s="4858">
        <v>4.5999999999999999E-3</v>
      </c>
      <c r="J16" s="4858">
        <v>4.6243313262904501E-3</v>
      </c>
      <c r="K16" s="4858">
        <v>4.6487913511546073E-3</v>
      </c>
      <c r="P16" s="3" t="s">
        <v>316</v>
      </c>
      <c r="Q16" s="3" t="s">
        <v>3547</v>
      </c>
      <c r="R16" s="4873">
        <v>124</v>
      </c>
      <c r="S16" s="4873">
        <v>119</v>
      </c>
      <c r="T16" s="4873">
        <v>116</v>
      </c>
      <c r="U16" s="4873">
        <f>T16</f>
        <v>116</v>
      </c>
      <c r="V16" s="4873">
        <f>U16</f>
        <v>116</v>
      </c>
    </row>
    <row r="17" spans="2:27">
      <c r="B17" s="2633"/>
      <c r="C17" s="3" t="s">
        <v>316</v>
      </c>
      <c r="D17" s="3" t="s">
        <v>3463</v>
      </c>
      <c r="E17" s="248">
        <v>147</v>
      </c>
      <c r="F17" s="248">
        <v>147</v>
      </c>
      <c r="G17" s="4867">
        <v>124</v>
      </c>
      <c r="H17" s="4867">
        <v>119</v>
      </c>
      <c r="I17" s="4867">
        <v>116</v>
      </c>
      <c r="J17" s="4867">
        <v>116</v>
      </c>
      <c r="K17" s="4867">
        <v>116</v>
      </c>
      <c r="O17" s="2633"/>
      <c r="P17" s="3" t="s">
        <v>268</v>
      </c>
      <c r="Q17" s="3" t="s">
        <v>360</v>
      </c>
      <c r="R17" s="4872">
        <v>3.8E-3</v>
      </c>
      <c r="S17" s="4872">
        <v>3.8E-3</v>
      </c>
      <c r="T17" s="4872">
        <v>3.8E-3</v>
      </c>
      <c r="U17" s="4872">
        <v>3.8E-3</v>
      </c>
      <c r="V17" s="4872">
        <v>3.8E-3</v>
      </c>
    </row>
    <row r="18" spans="2:27">
      <c r="B18" s="2633" t="s">
        <v>268</v>
      </c>
      <c r="C18" s="3" t="s">
        <v>268</v>
      </c>
      <c r="D18" s="3" t="s">
        <v>2702</v>
      </c>
      <c r="E18" s="2631">
        <v>3.7000000000000002E-3</v>
      </c>
      <c r="F18" s="2631">
        <v>3.7000000000000002E-3</v>
      </c>
      <c r="G18" s="4858">
        <v>3.8E-3</v>
      </c>
      <c r="H18" s="4858">
        <v>3.8E-3</v>
      </c>
      <c r="I18" s="4858">
        <v>3.8E-3</v>
      </c>
      <c r="J18" s="4858">
        <v>3.7136363636363638E-3</v>
      </c>
      <c r="K18" s="4858">
        <v>3.6445454545454546E-3</v>
      </c>
      <c r="O18" s="2633"/>
      <c r="P18" s="3" t="s">
        <v>266</v>
      </c>
      <c r="Q18" s="3" t="s">
        <v>360</v>
      </c>
      <c r="R18" s="4872">
        <v>8.3999999999999995E-3</v>
      </c>
      <c r="S18" s="4872">
        <v>8.0000000000000002E-3</v>
      </c>
      <c r="T18" s="4872">
        <v>8.0999999999999996E-3</v>
      </c>
      <c r="U18" s="4872">
        <v>8.0999999999999996E-3</v>
      </c>
      <c r="V18" s="4872">
        <v>8.0999999999999996E-3</v>
      </c>
    </row>
    <row r="19" spans="2:27">
      <c r="B19" s="2633" t="s">
        <v>266</v>
      </c>
      <c r="C19" s="3" t="s">
        <v>266</v>
      </c>
      <c r="D19" s="3" t="s">
        <v>2702</v>
      </c>
      <c r="E19" s="2631">
        <v>9.0000000000000011E-3</v>
      </c>
      <c r="F19" s="2631">
        <v>9.0000000000000011E-3</v>
      </c>
      <c r="G19" s="4858">
        <v>8.3999999999999995E-3</v>
      </c>
      <c r="H19" s="4858">
        <v>8.0000000000000002E-3</v>
      </c>
      <c r="I19" s="4858">
        <v>8.1000000000000013E-3</v>
      </c>
      <c r="J19" s="4858">
        <v>8.3880474087846841E-3</v>
      </c>
      <c r="K19" s="4858">
        <v>8.6863381891382034E-3</v>
      </c>
      <c r="O19" s="2633"/>
      <c r="P19" s="12" t="s">
        <v>250</v>
      </c>
      <c r="Q19" s="12" t="s">
        <v>3462</v>
      </c>
      <c r="R19" s="4868">
        <f>(3.726/25.4%-R9*1150/10^6)*1150</f>
        <v>-6935.3149606299194</v>
      </c>
      <c r="S19" s="4868">
        <f>(3.359/25.4%-S9*1150/10^6)*1150</f>
        <v>-9919.429133858268</v>
      </c>
      <c r="T19" s="4868">
        <f>(4.14/25.4%-T9*1150/10^6)*1150</f>
        <v>-7705.9055118110246</v>
      </c>
      <c r="U19" s="4868">
        <f>(4.14/25.4%-U9*1150/10^6)*1150</f>
        <v>-7705.9055118110246</v>
      </c>
      <c r="V19" s="4868">
        <f>(4.14/25.4%-V9*1150/10^6)*1150</f>
        <v>-7705.9055118110246</v>
      </c>
    </row>
    <row r="20" spans="2:27">
      <c r="B20" s="2633"/>
      <c r="C20" s="12" t="s">
        <v>250</v>
      </c>
      <c r="D20" s="12" t="s">
        <v>2702</v>
      </c>
      <c r="E20" s="2632">
        <v>-0.23499999999999999</v>
      </c>
      <c r="F20" s="2632">
        <v>-0.23499999999999999</v>
      </c>
      <c r="G20" s="4861">
        <v>-0.23499999999999999</v>
      </c>
      <c r="H20" s="4861">
        <v>-0.23499999999999999</v>
      </c>
      <c r="I20" s="4861">
        <v>-0.23499999999999999</v>
      </c>
      <c r="J20" s="4861">
        <v>-0.23499999999999999</v>
      </c>
      <c r="K20" s="4861">
        <v>-0.23499999999999999</v>
      </c>
    </row>
    <row r="21" spans="2:27">
      <c r="B21" s="3" t="s">
        <v>316</v>
      </c>
      <c r="E21" s="3013">
        <f>E6*E17</f>
        <v>112646.31150770147</v>
      </c>
      <c r="F21" s="3013"/>
      <c r="G21" s="3013">
        <f>G6*G17</f>
        <v>98192.238110178107</v>
      </c>
      <c r="H21" s="3013">
        <f>H6*H17</f>
        <v>92281.644861001507</v>
      </c>
      <c r="I21" s="3013">
        <f>I6*I17</f>
        <v>87885.351775207324</v>
      </c>
      <c r="J21" s="3013">
        <f>J6*J17</f>
        <v>84528.813833442575</v>
      </c>
      <c r="K21" s="3013">
        <f>K6*K17</f>
        <v>83121.681639531103</v>
      </c>
      <c r="P21" s="32"/>
    </row>
    <row r="22" spans="2:27">
      <c r="B22" s="3" t="s">
        <v>250</v>
      </c>
      <c r="E22" s="3013">
        <f>E9*E20</f>
        <v>-4630.30243902439</v>
      </c>
      <c r="F22" s="3013"/>
      <c r="G22" s="3013">
        <f>G9*G20</f>
        <v>-4171.25</v>
      </c>
      <c r="H22" s="3013">
        <f>H9*H20</f>
        <v>-3995</v>
      </c>
      <c r="I22" s="3013">
        <f>I9*I20</f>
        <v>-4014.0349999999999</v>
      </c>
      <c r="J22" s="3013">
        <f>J9*J20</f>
        <v>-4033.3049999999998</v>
      </c>
      <c r="K22" s="3013">
        <f>K9*K20</f>
        <v>-4033.3049999999998</v>
      </c>
    </row>
    <row r="23" spans="2:27" ht="12" customHeight="1">
      <c r="C23" s="32" t="s">
        <v>1353</v>
      </c>
      <c r="O23" s="67" t="s">
        <v>6288</v>
      </c>
      <c r="P23" s="3736"/>
      <c r="Q23" s="3736"/>
      <c r="R23" s="3736"/>
      <c r="S23" s="3736"/>
      <c r="T23" s="3736"/>
      <c r="U23"/>
      <c r="V23"/>
      <c r="W23"/>
      <c r="X23"/>
      <c r="Y23"/>
      <c r="Z23"/>
      <c r="AA23"/>
    </row>
    <row r="24" spans="2:27">
      <c r="C24" s="10"/>
      <c r="D24" s="10"/>
      <c r="E24" s="10"/>
      <c r="F24" s="10" t="s">
        <v>3537</v>
      </c>
      <c r="G24" s="10" t="s">
        <v>5174</v>
      </c>
      <c r="H24" s="10" t="s">
        <v>70</v>
      </c>
      <c r="I24" s="10" t="s">
        <v>71</v>
      </c>
      <c r="J24" s="10" t="s">
        <v>72</v>
      </c>
      <c r="K24" s="10" t="s">
        <v>73</v>
      </c>
      <c r="L24" s="10" t="s">
        <v>74</v>
      </c>
      <c r="M24" s="10" t="s">
        <v>5175</v>
      </c>
      <c r="O24" s="30" t="s">
        <v>70</v>
      </c>
      <c r="P24" s="30" t="s">
        <v>71</v>
      </c>
      <c r="Q24" s="30" t="s">
        <v>72</v>
      </c>
      <c r="R24" s="30" t="s">
        <v>73</v>
      </c>
      <c r="S24" s="30" t="s">
        <v>74</v>
      </c>
      <c r="T24" s="30" t="s">
        <v>5102</v>
      </c>
    </row>
    <row r="25" spans="2:27">
      <c r="C25" s="3" t="s">
        <v>258</v>
      </c>
      <c r="F25" s="3" t="s">
        <v>3545</v>
      </c>
      <c r="G25" s="14">
        <v>168181.21600000001</v>
      </c>
      <c r="H25" s="14">
        <v>623000</v>
      </c>
      <c r="I25" s="4870">
        <v>644000</v>
      </c>
      <c r="J25" s="4870">
        <v>659000</v>
      </c>
      <c r="K25" s="4870">
        <v>662000</v>
      </c>
      <c r="L25" s="4870">
        <v>666160.98648332688</v>
      </c>
      <c r="M25" s="4870">
        <v>662300</v>
      </c>
      <c r="O25" s="221"/>
      <c r="P25" s="2710"/>
      <c r="Q25" s="2710"/>
      <c r="R25" s="2710"/>
      <c r="S25" s="2710"/>
      <c r="T25" s="2710"/>
    </row>
    <row r="26" spans="2:27">
      <c r="C26" s="3" t="s">
        <v>262</v>
      </c>
      <c r="F26" s="3" t="s">
        <v>3548</v>
      </c>
      <c r="G26" s="14">
        <v>8376</v>
      </c>
      <c r="H26" s="14">
        <v>33000</v>
      </c>
      <c r="I26" s="4870">
        <v>33000</v>
      </c>
      <c r="J26" s="4870">
        <v>33000</v>
      </c>
      <c r="K26" s="4870">
        <v>31000</v>
      </c>
      <c r="L26" s="4870">
        <v>32884.282793324528</v>
      </c>
      <c r="M26" s="4870">
        <v>32693.689567430025</v>
      </c>
    </row>
    <row r="27" spans="2:27">
      <c r="C27" s="3" t="s">
        <v>264</v>
      </c>
      <c r="F27" s="3" t="s">
        <v>3548</v>
      </c>
      <c r="G27" s="14">
        <v>138681.16899999999</v>
      </c>
      <c r="H27" s="14">
        <v>586000</v>
      </c>
      <c r="I27" s="4870">
        <v>541000</v>
      </c>
      <c r="J27" s="4870">
        <v>551000</v>
      </c>
      <c r="K27" s="4870">
        <v>549000</v>
      </c>
      <c r="L27" s="4870">
        <v>556320.70168912946</v>
      </c>
      <c r="M27" s="4870">
        <v>553096.33587786253</v>
      </c>
      <c r="O27" s="221">
        <v>586000</v>
      </c>
      <c r="P27" s="221">
        <v>541000</v>
      </c>
      <c r="Q27" s="221">
        <v>551000</v>
      </c>
      <c r="R27" s="221">
        <v>549000</v>
      </c>
      <c r="S27" s="221">
        <v>552687.95978209993</v>
      </c>
      <c r="T27" s="221">
        <v>546607.56711165723</v>
      </c>
      <c r="U27" s="45" t="s">
        <v>6289</v>
      </c>
      <c r="V27" s="3735">
        <f>(R27/P27)^(1/2)-1</f>
        <v>7.3665820762165435E-3</v>
      </c>
      <c r="X27" s="105" t="s">
        <v>2874</v>
      </c>
      <c r="Y27" s="105">
        <v>2000</v>
      </c>
      <c r="Z27" s="3">
        <v>3632.7419070294936</v>
      </c>
      <c r="AA27" s="3">
        <v>6488.7687662053158</v>
      </c>
    </row>
    <row r="28" spans="2:27">
      <c r="C28" s="3" t="s">
        <v>316</v>
      </c>
      <c r="F28" s="3" t="s">
        <v>3548</v>
      </c>
      <c r="G28" s="14">
        <v>0</v>
      </c>
      <c r="H28" s="14">
        <v>1820</v>
      </c>
      <c r="I28" s="4870">
        <v>0</v>
      </c>
      <c r="J28" s="4870">
        <v>0</v>
      </c>
      <c r="K28" s="4870">
        <v>0</v>
      </c>
      <c r="L28" s="4870">
        <v>0</v>
      </c>
      <c r="M28" s="4870">
        <v>0</v>
      </c>
      <c r="O28" s="2710">
        <v>1820</v>
      </c>
      <c r="P28" s="2710">
        <v>35700</v>
      </c>
      <c r="Q28" s="2710">
        <v>64599.999999999993</v>
      </c>
      <c r="R28" s="2710">
        <v>113900</v>
      </c>
      <c r="S28" s="221">
        <v>203447.08800827703</v>
      </c>
      <c r="T28" s="221">
        <v>363395.23809523811</v>
      </c>
      <c r="U28" s="45" t="s">
        <v>6290</v>
      </c>
      <c r="V28" s="3735">
        <f>(R28/P28)^(1/2)-1</f>
        <v>0.78619041271533829</v>
      </c>
      <c r="X28" s="105"/>
      <c r="Y28" s="105">
        <v>49300.000000000007</v>
      </c>
      <c r="Z28" s="105">
        <v>89547.088008277031</v>
      </c>
      <c r="AA28" s="105">
        <v>159948.15008696108</v>
      </c>
    </row>
    <row r="29" spans="2:27">
      <c r="C29" s="3" t="s">
        <v>268</v>
      </c>
      <c r="F29" s="3" t="s">
        <v>3548</v>
      </c>
      <c r="G29" s="14">
        <v>449.3436999999999</v>
      </c>
      <c r="H29" s="14">
        <v>1645</v>
      </c>
      <c r="I29" s="4870">
        <v>1858</v>
      </c>
      <c r="J29" s="4870">
        <v>1960</v>
      </c>
      <c r="K29" s="4870">
        <v>1942</v>
      </c>
      <c r="L29" s="4870">
        <v>1952.7161741190648</v>
      </c>
      <c r="M29" s="4870">
        <v>1941.3984732824426</v>
      </c>
    </row>
    <row r="30" spans="2:27">
      <c r="C30" s="3" t="s">
        <v>266</v>
      </c>
      <c r="F30" s="3" t="s">
        <v>3548</v>
      </c>
      <c r="G30" s="14">
        <v>42.025599999999997</v>
      </c>
      <c r="H30" s="14">
        <v>196</v>
      </c>
      <c r="I30" s="4870">
        <v>250</v>
      </c>
      <c r="J30" s="4870">
        <v>290</v>
      </c>
      <c r="K30" s="4870">
        <v>280</v>
      </c>
      <c r="L30" s="4870">
        <v>277.99084423222803</v>
      </c>
      <c r="M30" s="4870">
        <v>276.37964376590332</v>
      </c>
    </row>
    <row r="31" spans="2:27">
      <c r="C31" s="3" t="s">
        <v>5587</v>
      </c>
      <c r="F31" s="3" t="s">
        <v>3545</v>
      </c>
      <c r="G31" s="14">
        <v>1414.223</v>
      </c>
      <c r="H31" s="14">
        <v>4600</v>
      </c>
      <c r="I31" s="4870">
        <v>4500</v>
      </c>
      <c r="J31" s="4870">
        <v>4600</v>
      </c>
      <c r="K31" s="4870">
        <v>4600</v>
      </c>
      <c r="L31" s="4870">
        <v>4644.4811780262489</v>
      </c>
      <c r="M31" s="4870">
        <v>4617.5623409669215</v>
      </c>
    </row>
    <row r="32" spans="2:27">
      <c r="C32" s="3" t="s">
        <v>244</v>
      </c>
      <c r="F32" s="3" t="s">
        <v>3545</v>
      </c>
      <c r="G32" s="14">
        <v>40605.009999999995</v>
      </c>
      <c r="H32" s="14">
        <v>162000</v>
      </c>
      <c r="I32" s="4870">
        <v>173000</v>
      </c>
      <c r="J32" s="4870">
        <v>183000</v>
      </c>
      <c r="K32" s="4870">
        <v>191000</v>
      </c>
      <c r="L32" s="4870">
        <v>192200.52631165471</v>
      </c>
      <c r="M32" s="4870">
        <v>191086.55589123865</v>
      </c>
      <c r="O32" s="221">
        <v>162000</v>
      </c>
      <c r="P32" s="221">
        <v>173000</v>
      </c>
      <c r="Q32" s="221">
        <v>183000</v>
      </c>
      <c r="R32" s="221">
        <v>191000</v>
      </c>
      <c r="S32" s="221">
        <v>221000</v>
      </c>
      <c r="T32" s="221">
        <v>221000</v>
      </c>
      <c r="U32" s="2033" t="s">
        <v>6291</v>
      </c>
      <c r="V32" s="16" t="s">
        <v>6292</v>
      </c>
      <c r="W32" s="16">
        <v>15000</v>
      </c>
      <c r="X32" s="3" t="s">
        <v>2874</v>
      </c>
      <c r="Y32" s="105">
        <v>8000</v>
      </c>
      <c r="Z32" s="105">
        <v>30000</v>
      </c>
      <c r="AA32" s="105">
        <v>30000</v>
      </c>
    </row>
    <row r="33" spans="3:27">
      <c r="C33" s="3" t="s">
        <v>242</v>
      </c>
      <c r="F33" s="3" t="s">
        <v>3545</v>
      </c>
      <c r="G33" s="14">
        <v>388769.07299999997</v>
      </c>
      <c r="H33" s="14">
        <v>1287000</v>
      </c>
      <c r="I33" s="4870">
        <v>1436000</v>
      </c>
      <c r="J33" s="4870">
        <v>1368000</v>
      </c>
      <c r="K33" s="4870">
        <v>1354000</v>
      </c>
      <c r="L33" s="4870">
        <v>1362510.5373087984</v>
      </c>
      <c r="M33" s="4870">
        <v>1354613.5951661631</v>
      </c>
      <c r="O33" s="221">
        <v>1287000</v>
      </c>
      <c r="P33" s="221">
        <v>1436000</v>
      </c>
      <c r="Q33" s="221">
        <v>1368000</v>
      </c>
      <c r="R33" s="221">
        <v>1354000</v>
      </c>
      <c r="S33" s="221">
        <v>1310010.5373087984</v>
      </c>
      <c r="T33" s="221">
        <v>1302113.5951661631</v>
      </c>
      <c r="U33" s="45" t="s">
        <v>6293</v>
      </c>
      <c r="Y33" s="105">
        <v>14000</v>
      </c>
      <c r="Z33" s="3">
        <v>52500</v>
      </c>
      <c r="AA33" s="3">
        <v>52500</v>
      </c>
    </row>
    <row r="34" spans="3:27">
      <c r="C34" s="3" t="s">
        <v>260</v>
      </c>
      <c r="F34" s="3" t="s">
        <v>3545</v>
      </c>
      <c r="G34" s="14">
        <v>349560.98</v>
      </c>
      <c r="H34" s="14">
        <v>1194000</v>
      </c>
      <c r="I34" s="4870">
        <v>1257000</v>
      </c>
      <c r="J34" s="4870">
        <v>1246000</v>
      </c>
      <c r="K34" s="4870">
        <v>1276000</v>
      </c>
      <c r="L34" s="4870">
        <v>1281130.9760409629</v>
      </c>
      <c r="M34" s="4870">
        <v>1273705.699745547</v>
      </c>
    </row>
    <row r="35" spans="3:27">
      <c r="C35" s="3" t="s">
        <v>327</v>
      </c>
      <c r="F35" s="3" t="s">
        <v>3545</v>
      </c>
      <c r="G35" s="14">
        <v>550.87649067567099</v>
      </c>
      <c r="H35" s="14">
        <v>2040.6324906756711</v>
      </c>
      <c r="I35" s="4870">
        <v>1997.6677864251938</v>
      </c>
      <c r="J35" s="4870">
        <v>2044.197315612116</v>
      </c>
      <c r="K35" s="4870">
        <v>2053.5032214495004</v>
      </c>
      <c r="L35" s="4870">
        <v>2066.4104709176568</v>
      </c>
      <c r="M35" s="4870">
        <v>2054.4338120332386</v>
      </c>
      <c r="Q35" s="105"/>
    </row>
    <row r="36" spans="3:27" ht="16.5">
      <c r="C36" s="12" t="s">
        <v>252</v>
      </c>
      <c r="D36" s="12"/>
      <c r="E36" s="12"/>
      <c r="F36" s="12" t="s">
        <v>3545</v>
      </c>
      <c r="G36" s="3607">
        <v>147460</v>
      </c>
      <c r="H36" s="3607">
        <v>434400</v>
      </c>
      <c r="I36" s="4871">
        <v>420300</v>
      </c>
      <c r="J36" s="4871">
        <v>323500</v>
      </c>
      <c r="K36" s="4871">
        <v>224600</v>
      </c>
      <c r="L36" s="4871">
        <v>226011.71837485681</v>
      </c>
      <c r="M36" s="4871">
        <v>224701.78247734139</v>
      </c>
      <c r="O36" s="12"/>
      <c r="P36" s="12"/>
      <c r="Q36" s="107"/>
      <c r="R36" s="12"/>
      <c r="S36" s="12"/>
      <c r="T36" s="12"/>
      <c r="U36"/>
      <c r="V36"/>
      <c r="W36"/>
      <c r="X36"/>
      <c r="Y36"/>
      <c r="Z36"/>
      <c r="AA36"/>
    </row>
    <row r="38" spans="3:27">
      <c r="C38" s="32" t="s">
        <v>5227</v>
      </c>
    </row>
    <row r="39" spans="3:27">
      <c r="C39" s="2600" t="s">
        <v>354</v>
      </c>
      <c r="D39" s="2600" t="s">
        <v>2889</v>
      </c>
      <c r="E39" s="10" t="s">
        <v>5173</v>
      </c>
      <c r="F39" s="10" t="s">
        <v>70</v>
      </c>
      <c r="G39" s="10" t="s">
        <v>71</v>
      </c>
      <c r="H39" s="10" t="s">
        <v>72</v>
      </c>
      <c r="I39" s="10" t="s">
        <v>73</v>
      </c>
      <c r="J39" s="10" t="s">
        <v>74</v>
      </c>
      <c r="K39" s="10" t="s">
        <v>5102</v>
      </c>
    </row>
    <row r="40" spans="3:27">
      <c r="C40" s="3" t="s">
        <v>244</v>
      </c>
      <c r="D40" s="3" t="s">
        <v>3470</v>
      </c>
      <c r="E40" s="2703">
        <v>0.51502282672456245</v>
      </c>
      <c r="F40" s="2703">
        <v>0.51502282672456245</v>
      </c>
      <c r="G40" s="4874">
        <v>0.54100000000000004</v>
      </c>
      <c r="H40" s="4874">
        <v>0.55500000000000005</v>
      </c>
      <c r="I40" s="4874">
        <v>0.55600000000000005</v>
      </c>
      <c r="J40" s="4874">
        <v>0.55700180180180181</v>
      </c>
      <c r="K40" s="4874">
        <v>0.55800540865189519</v>
      </c>
    </row>
    <row r="41" spans="3:27">
      <c r="C41" s="3" t="s">
        <v>242</v>
      </c>
      <c r="D41" s="3" t="s">
        <v>3470</v>
      </c>
      <c r="E41" s="2703">
        <v>3.6598702155353421E-2</v>
      </c>
      <c r="F41" s="2703">
        <v>3.6598702155353421E-2</v>
      </c>
      <c r="G41" s="4874">
        <v>0.04</v>
      </c>
      <c r="H41" s="4874">
        <v>3.5000000000000003E-2</v>
      </c>
      <c r="I41" s="4874">
        <v>3.5000000000000003E-2</v>
      </c>
      <c r="J41" s="4874">
        <v>3.4799999999999998E-2</v>
      </c>
      <c r="K41" s="4874">
        <v>3.4700000000000002E-2</v>
      </c>
    </row>
    <row r="42" spans="3:27">
      <c r="C42" s="3" t="s">
        <v>260</v>
      </c>
      <c r="D42" s="3" t="s">
        <v>3470</v>
      </c>
      <c r="E42" s="2703">
        <v>2.5800024837791128E-3</v>
      </c>
      <c r="F42" s="2703">
        <v>2.5800024837791128E-3</v>
      </c>
      <c r="G42" s="4874">
        <v>2.8999999999999998E-3</v>
      </c>
      <c r="H42" s="4874">
        <v>3.3999999999999998E-3</v>
      </c>
      <c r="I42" s="4874">
        <v>3.3999999999999998E-3</v>
      </c>
      <c r="J42" s="4874">
        <v>3.3999999999999998E-3</v>
      </c>
      <c r="K42" s="4874">
        <v>3.3999999999999998E-3</v>
      </c>
    </row>
    <row r="43" spans="3:27">
      <c r="C43" s="3" t="s">
        <v>327</v>
      </c>
      <c r="D43" s="3" t="s">
        <v>3470</v>
      </c>
      <c r="E43" s="2703">
        <v>12.493101217917564</v>
      </c>
      <c r="F43" s="2703">
        <v>12.493101217917564</v>
      </c>
      <c r="G43" s="4874">
        <v>12.493101217917564</v>
      </c>
      <c r="H43" s="4874">
        <v>12.493101217917564</v>
      </c>
      <c r="I43" s="4874">
        <v>12.493101217917564</v>
      </c>
      <c r="J43" s="4874">
        <v>12.493101217917564</v>
      </c>
      <c r="K43" s="4874">
        <v>12.493101217917564</v>
      </c>
    </row>
    <row r="44" spans="3:27">
      <c r="C44" s="3" t="s">
        <v>5587</v>
      </c>
      <c r="D44" s="3" t="s">
        <v>3470</v>
      </c>
      <c r="E44" s="4340">
        <v>3.5369999999999999</v>
      </c>
      <c r="F44" s="4340">
        <v>3.5369999999999999</v>
      </c>
      <c r="G44" s="4875">
        <v>3.726</v>
      </c>
      <c r="H44" s="4875">
        <v>3.359</v>
      </c>
      <c r="I44" s="4875">
        <v>4.1399999999999997</v>
      </c>
      <c r="J44" s="4875">
        <v>4.1598747145951602</v>
      </c>
      <c r="K44" s="4875">
        <v>4.1797048891452402</v>
      </c>
    </row>
    <row r="45" spans="3:27">
      <c r="C45" s="12" t="s">
        <v>252</v>
      </c>
      <c r="D45" s="12" t="s">
        <v>3470</v>
      </c>
      <c r="E45" s="2704">
        <v>3.3266520903324735E-2</v>
      </c>
      <c r="F45" s="2704">
        <v>3.3266520903324735E-2</v>
      </c>
      <c r="G45" s="4876">
        <v>3.6400000000000002E-2</v>
      </c>
      <c r="H45" s="4876">
        <v>3.6999999999999998E-2</v>
      </c>
      <c r="I45" s="4876">
        <v>3.8100000000000002E-2</v>
      </c>
      <c r="J45" s="4876">
        <v>3.8100000000000002E-2</v>
      </c>
      <c r="K45" s="4876">
        <v>3.8100000000000002E-2</v>
      </c>
    </row>
    <row r="47" spans="3:27">
      <c r="C47" s="32" t="s">
        <v>5356</v>
      </c>
    </row>
    <row r="48" spans="3:27">
      <c r="C48" s="24"/>
      <c r="D48" s="24"/>
      <c r="E48" s="24"/>
      <c r="F48" s="24"/>
      <c r="G48" s="24"/>
      <c r="H48" s="24"/>
      <c r="I48" s="24"/>
      <c r="J48" s="24"/>
    </row>
    <row r="49" spans="3:17">
      <c r="C49" s="28"/>
      <c r="D49" s="28" t="s">
        <v>5174</v>
      </c>
      <c r="E49" s="28" t="s">
        <v>70</v>
      </c>
      <c r="F49" s="28" t="s">
        <v>71</v>
      </c>
      <c r="G49" s="28" t="s">
        <v>72</v>
      </c>
      <c r="H49" s="28" t="s">
        <v>73</v>
      </c>
      <c r="I49" s="28" t="s">
        <v>74</v>
      </c>
      <c r="J49" s="28" t="s">
        <v>5175</v>
      </c>
    </row>
    <row r="50" spans="3:17">
      <c r="C50" s="295" t="s">
        <v>3001</v>
      </c>
      <c r="D50" s="2705">
        <v>1182.5</v>
      </c>
      <c r="E50" s="2705">
        <v>1141.53</v>
      </c>
      <c r="F50" s="2705">
        <v>1142.53125</v>
      </c>
      <c r="G50" s="2705">
        <v>1138.95</v>
      </c>
      <c r="H50" s="2705">
        <v>1135.2</v>
      </c>
      <c r="I50" s="2705">
        <v>1111</v>
      </c>
      <c r="J50" s="2705">
        <v>1111</v>
      </c>
    </row>
    <row r="52" spans="3:17">
      <c r="C52" s="32" t="s">
        <v>5390</v>
      </c>
    </row>
    <row r="53" spans="3:17">
      <c r="C53" s="10"/>
      <c r="D53" s="10" t="s">
        <v>5381</v>
      </c>
      <c r="E53" s="10" t="s">
        <v>5382</v>
      </c>
      <c r="F53" s="10" t="s">
        <v>5383</v>
      </c>
      <c r="G53" s="10" t="s">
        <v>5384</v>
      </c>
      <c r="H53" s="10" t="s">
        <v>5385</v>
      </c>
      <c r="I53" s="10" t="s">
        <v>5386</v>
      </c>
      <c r="J53" s="10" t="s">
        <v>70</v>
      </c>
      <c r="K53" s="10" t="s">
        <v>71</v>
      </c>
      <c r="L53" s="10" t="s">
        <v>72</v>
      </c>
      <c r="M53" s="10" t="s">
        <v>73</v>
      </c>
      <c r="N53" s="10" t="s">
        <v>74</v>
      </c>
      <c r="O53" s="10" t="s">
        <v>5102</v>
      </c>
    </row>
    <row r="54" spans="3:17">
      <c r="C54" s="3" t="s">
        <v>5387</v>
      </c>
      <c r="D54" s="248">
        <v>22690.448</v>
      </c>
      <c r="E54" s="248">
        <v>23331.161108170701</v>
      </c>
      <c r="F54" s="248">
        <v>23733.111127262298</v>
      </c>
      <c r="G54" s="248">
        <v>23809.439559178601</v>
      </c>
      <c r="H54" s="248">
        <v>23573.360000000001</v>
      </c>
      <c r="I54" s="248">
        <v>24885</v>
      </c>
      <c r="J54" s="248">
        <v>25800</v>
      </c>
      <c r="K54" s="4867">
        <v>26492</v>
      </c>
      <c r="L54" s="4867">
        <v>27278</v>
      </c>
      <c r="M54" s="4867">
        <v>28120.385840177481</v>
      </c>
      <c r="N54" s="4867">
        <v>28988.785827423351</v>
      </c>
      <c r="O54" s="4867">
        <v>29884.003317890361</v>
      </c>
    </row>
    <row r="55" spans="3:17">
      <c r="C55" s="3" t="s">
        <v>5388</v>
      </c>
      <c r="D55" s="248">
        <v>23052.386999999999</v>
      </c>
      <c r="E55" s="248">
        <v>23530.345117631401</v>
      </c>
      <c r="F55" s="248">
        <v>23521.985117234301</v>
      </c>
      <c r="G55" s="248">
        <v>23606.186553572501</v>
      </c>
      <c r="H55" s="248">
        <v>23689.517</v>
      </c>
      <c r="I55" s="248">
        <v>24122</v>
      </c>
      <c r="J55" s="248">
        <v>25280</v>
      </c>
      <c r="K55" s="4867">
        <v>26266</v>
      </c>
      <c r="L55" s="4867">
        <v>27080</v>
      </c>
      <c r="M55" s="4867">
        <v>28546.028339843433</v>
      </c>
      <c r="N55" s="4867">
        <v>29659.323445097321</v>
      </c>
      <c r="O55" s="4867">
        <v>30638.081118785529</v>
      </c>
    </row>
    <row r="56" spans="3:17">
      <c r="C56" s="12" t="s">
        <v>5389</v>
      </c>
      <c r="D56" s="12">
        <v>107</v>
      </c>
      <c r="E56" s="2704">
        <v>97.4</v>
      </c>
      <c r="F56" s="2704">
        <v>92.5</v>
      </c>
      <c r="G56" s="2704">
        <v>82.3</v>
      </c>
      <c r="H56" s="2704">
        <v>80.8</v>
      </c>
      <c r="I56" s="2704">
        <v>62</v>
      </c>
      <c r="J56" s="2704">
        <v>59.5</v>
      </c>
      <c r="K56" s="4876">
        <v>65</v>
      </c>
      <c r="L56" s="4876">
        <v>69</v>
      </c>
      <c r="M56" s="4876">
        <v>77</v>
      </c>
      <c r="N56" s="4876">
        <v>82</v>
      </c>
      <c r="O56" s="4876">
        <v>77.099999999999994</v>
      </c>
      <c r="P56" s="268">
        <f>AVERAGE(K56:O56)</f>
        <v>74.02000000000001</v>
      </c>
      <c r="Q56" s="268">
        <f>AVERAGE(F56:J56)</f>
        <v>75.42</v>
      </c>
    </row>
    <row r="57" spans="3:17">
      <c r="K57" s="278">
        <f>+K56/$J$56</f>
        <v>1.0924369747899159</v>
      </c>
      <c r="L57" s="278">
        <f t="shared" ref="L57:O57" si="3">+L56/$J$56</f>
        <v>1.1596638655462186</v>
      </c>
      <c r="M57" s="278">
        <f t="shared" si="3"/>
        <v>1.2941176470588236</v>
      </c>
      <c r="N57" s="278">
        <f t="shared" si="3"/>
        <v>1.3781512605042017</v>
      </c>
      <c r="O57" s="278">
        <f t="shared" si="3"/>
        <v>1.2957983193277309</v>
      </c>
    </row>
    <row r="58" spans="3:17">
      <c r="C58" s="203" t="s">
        <v>1280</v>
      </c>
      <c r="K58" s="278">
        <f>K54/K55</f>
        <v>1.0086042792964289</v>
      </c>
      <c r="L58" s="278">
        <f t="shared" ref="L58:O58" si="4">L54/L55</f>
        <v>1.0073116691285082</v>
      </c>
      <c r="M58" s="278">
        <f t="shared" si="4"/>
        <v>0.98508925674007486</v>
      </c>
      <c r="N58" s="278">
        <f t="shared" si="4"/>
        <v>0.97739201236618867</v>
      </c>
      <c r="O58" s="278">
        <f t="shared" si="4"/>
        <v>0.97538756431998574</v>
      </c>
    </row>
    <row r="59" spans="3:17">
      <c r="C59" s="25" t="s">
        <v>23</v>
      </c>
      <c r="D59" s="26"/>
      <c r="E59" s="26"/>
      <c r="F59" s="26"/>
      <c r="G59" s="26"/>
      <c r="H59" s="26"/>
      <c r="I59" s="26" t="s">
        <v>24</v>
      </c>
      <c r="J59" s="26"/>
      <c r="K59" s="26"/>
      <c r="L59" s="26"/>
      <c r="M59" s="26"/>
      <c r="N59" s="26"/>
    </row>
    <row r="60" spans="3:17">
      <c r="C60" s="29"/>
      <c r="D60" s="30" t="s">
        <v>26</v>
      </c>
      <c r="E60" s="30" t="s">
        <v>1318</v>
      </c>
      <c r="F60" s="30" t="s">
        <v>61</v>
      </c>
      <c r="G60" s="31" t="s">
        <v>5392</v>
      </c>
      <c r="H60" s="30" t="s">
        <v>5393</v>
      </c>
      <c r="I60" s="30" t="s">
        <v>70</v>
      </c>
      <c r="J60" s="30" t="s">
        <v>71</v>
      </c>
      <c r="K60" s="30" t="s">
        <v>72</v>
      </c>
      <c r="L60" s="30" t="s">
        <v>73</v>
      </c>
      <c r="M60" s="30" t="s">
        <v>74</v>
      </c>
      <c r="N60" s="30" t="s">
        <v>5102</v>
      </c>
    </row>
    <row r="61" spans="3:17">
      <c r="C61" s="312"/>
      <c r="D61" s="314">
        <v>2.5380133226301487E-2</v>
      </c>
      <c r="E61" s="314">
        <v>2.1104477152683428E-2</v>
      </c>
      <c r="F61" s="314">
        <v>1.6172250289377209E-2</v>
      </c>
      <c r="G61" s="314">
        <v>9.7556223716188956E-3</v>
      </c>
      <c r="H61" s="2482">
        <f>AVERAGE(D61:G61)</f>
        <v>1.8103120759995255E-2</v>
      </c>
      <c r="I61" s="2482">
        <f>H61</f>
        <v>1.8103120759995255E-2</v>
      </c>
      <c r="J61" s="2482">
        <f>H61</f>
        <v>1.8103120759995255E-2</v>
      </c>
      <c r="K61" s="2482">
        <f>J61</f>
        <v>1.8103120759995255E-2</v>
      </c>
      <c r="L61" s="2482">
        <f t="shared" ref="L61:N61" si="5">K61</f>
        <v>1.8103120759995255E-2</v>
      </c>
      <c r="M61" s="2482">
        <f t="shared" si="5"/>
        <v>1.8103120759995255E-2</v>
      </c>
      <c r="N61" s="2482">
        <f t="shared" si="5"/>
        <v>1.8103120759995255E-2</v>
      </c>
    </row>
    <row r="63" spans="3:17">
      <c r="C63" s="32" t="s">
        <v>1351</v>
      </c>
    </row>
    <row r="64" spans="3:17">
      <c r="C64" s="2600"/>
      <c r="D64" s="2600" t="s">
        <v>2889</v>
      </c>
      <c r="E64" s="10" t="s">
        <v>5173</v>
      </c>
      <c r="F64" s="10" t="s">
        <v>70</v>
      </c>
      <c r="G64" s="10" t="s">
        <v>71</v>
      </c>
      <c r="H64" s="10" t="s">
        <v>72</v>
      </c>
      <c r="I64" s="10" t="s">
        <v>73</v>
      </c>
      <c r="J64" s="10" t="s">
        <v>74</v>
      </c>
      <c r="K64" s="10" t="s">
        <v>5102</v>
      </c>
    </row>
    <row r="65" spans="3:12">
      <c r="C65" s="3" t="s">
        <v>258</v>
      </c>
      <c r="D65" s="3" t="s">
        <v>3538</v>
      </c>
      <c r="E65" s="248">
        <v>391.82277667618479</v>
      </c>
      <c r="F65" s="248">
        <v>391.82277667618479</v>
      </c>
      <c r="G65" s="4867">
        <v>428.04168880591618</v>
      </c>
      <c r="H65" s="4867">
        <v>454.38271580935714</v>
      </c>
      <c r="I65" s="4867">
        <v>507.06476981623911</v>
      </c>
      <c r="J65" s="4867">
        <v>539.99105357054032</v>
      </c>
      <c r="K65" s="4867">
        <v>507.72329549132513</v>
      </c>
    </row>
    <row r="66" spans="3:12">
      <c r="C66" s="3" t="s">
        <v>262</v>
      </c>
      <c r="D66" s="3" t="s">
        <v>3547</v>
      </c>
      <c r="E66" s="248">
        <v>529.72101379416165</v>
      </c>
      <c r="F66" s="248">
        <v>529.72101379416165</v>
      </c>
      <c r="G66" s="4867">
        <v>585.14358754902923</v>
      </c>
      <c r="H66" s="4867">
        <v>585.14358754902923</v>
      </c>
      <c r="I66" s="4867">
        <v>614.07925946079445</v>
      </c>
      <c r="J66" s="4867">
        <v>594.78881151961764</v>
      </c>
      <c r="K66" s="4867">
        <v>594.78881151961764</v>
      </c>
    </row>
    <row r="67" spans="3:12">
      <c r="C67" s="3" t="s">
        <v>264</v>
      </c>
      <c r="D67" s="3" t="s">
        <v>3547</v>
      </c>
      <c r="E67" s="248">
        <v>17.434539373440931</v>
      </c>
      <c r="F67" s="248">
        <v>17.434539373440931</v>
      </c>
      <c r="G67" s="4867">
        <v>16.07537328431399</v>
      </c>
      <c r="H67" s="4867">
        <v>16.07537328431399</v>
      </c>
      <c r="I67" s="4867">
        <v>16.07537328431399</v>
      </c>
      <c r="J67" s="4867">
        <v>16.07537328431399</v>
      </c>
      <c r="K67" s="4867">
        <v>16.07537328431399</v>
      </c>
    </row>
    <row r="68" spans="3:12">
      <c r="C68" s="3" t="s">
        <v>268</v>
      </c>
      <c r="D68" s="3" t="s">
        <v>3547</v>
      </c>
      <c r="E68" s="248">
        <v>1742.4294357047231</v>
      </c>
      <c r="F68" s="248">
        <v>1742.4294357047231</v>
      </c>
      <c r="G68" s="4867">
        <v>1404.6212188323987</v>
      </c>
      <c r="H68" s="4867">
        <v>1195.6875995977671</v>
      </c>
      <c r="I68" s="4867">
        <v>1159.7816285329188</v>
      </c>
      <c r="J68" s="4867">
        <v>1253.3634823210284</v>
      </c>
      <c r="K68" s="4867">
        <v>1253.3634823210284</v>
      </c>
    </row>
    <row r="69" spans="3:12">
      <c r="C69" s="12" t="s">
        <v>333</v>
      </c>
      <c r="D69" s="12" t="s">
        <v>3547</v>
      </c>
      <c r="E69" s="2615">
        <v>440.69189672908044</v>
      </c>
      <c r="F69" s="2615">
        <v>440.69189672908044</v>
      </c>
      <c r="G69" s="4869">
        <v>507.82720443603205</v>
      </c>
      <c r="H69" s="4869">
        <v>505.95767600552432</v>
      </c>
      <c r="I69" s="4869">
        <v>507.79399534427552</v>
      </c>
      <c r="J69" s="4869">
        <v>507.19295859527733</v>
      </c>
      <c r="K69" s="4869">
        <v>507.19295859527733</v>
      </c>
    </row>
    <row r="71" spans="3:12">
      <c r="C71" s="32" t="s">
        <v>6443</v>
      </c>
    </row>
    <row r="72" spans="3:12">
      <c r="C72" s="2600"/>
      <c r="D72" s="2600"/>
      <c r="E72" s="2600" t="s">
        <v>5104</v>
      </c>
      <c r="F72" s="10" t="s">
        <v>5173</v>
      </c>
      <c r="G72" s="10" t="s">
        <v>70</v>
      </c>
      <c r="H72" s="10" t="s">
        <v>71</v>
      </c>
      <c r="I72" s="10" t="s">
        <v>72</v>
      </c>
      <c r="J72" s="10" t="s">
        <v>73</v>
      </c>
      <c r="K72" s="10" t="s">
        <v>74</v>
      </c>
      <c r="L72" s="10" t="s">
        <v>5102</v>
      </c>
    </row>
    <row r="73" spans="3:12">
      <c r="C73" s="3" t="s">
        <v>1506</v>
      </c>
      <c r="E73" s="248">
        <f>Assumption!M544</f>
        <v>229834.826179</v>
      </c>
      <c r="F73" s="248">
        <f>G73-E73</f>
        <v>90565.173821000004</v>
      </c>
      <c r="G73" s="248">
        <v>320400</v>
      </c>
      <c r="H73" s="4867">
        <v>302200</v>
      </c>
      <c r="I73" s="4867">
        <v>323200</v>
      </c>
      <c r="J73" s="4867">
        <v>304900</v>
      </c>
      <c r="K73" s="4867">
        <v>323200</v>
      </c>
      <c r="L73" s="4867">
        <v>304900</v>
      </c>
    </row>
    <row r="74" spans="3:12">
      <c r="C74" s="3" t="s">
        <v>1505</v>
      </c>
      <c r="E74" s="248" t="e">
        <f>Assumption!#REF!</f>
        <v>#REF!</v>
      </c>
      <c r="F74" s="248" t="e">
        <f t="shared" ref="F74:F76" si="6">G74-E74</f>
        <v>#REF!</v>
      </c>
      <c r="G74" s="248">
        <v>287500</v>
      </c>
      <c r="H74" s="4867">
        <v>274000</v>
      </c>
      <c r="I74" s="4867">
        <v>304200</v>
      </c>
      <c r="J74" s="4867">
        <v>317200</v>
      </c>
      <c r="K74" s="4867">
        <v>316377.36708725436</v>
      </c>
      <c r="L74" s="4867">
        <v>316507.39863573073</v>
      </c>
    </row>
    <row r="75" spans="3:12">
      <c r="C75" s="3" t="s">
        <v>1507</v>
      </c>
      <c r="E75" s="248">
        <f>Assumption!M545</f>
        <v>48552.445700999997</v>
      </c>
      <c r="F75" s="248">
        <f t="shared" si="6"/>
        <v>18247.554299000003</v>
      </c>
      <c r="G75" s="248">
        <v>66800</v>
      </c>
      <c r="H75" s="4867">
        <v>50900</v>
      </c>
      <c r="I75" s="4867">
        <v>41000</v>
      </c>
      <c r="J75" s="4867">
        <v>41900</v>
      </c>
      <c r="K75" s="4867">
        <v>41900</v>
      </c>
      <c r="L75" s="4867">
        <v>41900</v>
      </c>
    </row>
    <row r="76" spans="3:12">
      <c r="C76" s="12" t="s">
        <v>1561</v>
      </c>
      <c r="D76" s="12"/>
      <c r="E76" s="2615">
        <f>Assumption!M546</f>
        <v>7381.7472749999997</v>
      </c>
      <c r="F76" s="2615">
        <f t="shared" si="6"/>
        <v>3118.2527250000003</v>
      </c>
      <c r="G76" s="2615">
        <v>10500</v>
      </c>
      <c r="H76" s="4869">
        <v>14700</v>
      </c>
      <c r="I76" s="4869">
        <v>13800</v>
      </c>
      <c r="J76" s="4869">
        <v>14400</v>
      </c>
      <c r="K76" s="4869">
        <v>14400</v>
      </c>
      <c r="L76" s="4869">
        <v>14400</v>
      </c>
    </row>
    <row r="78" spans="3:12">
      <c r="C78" s="32" t="s">
        <v>6669</v>
      </c>
    </row>
    <row r="79" spans="3:12">
      <c r="C79" s="2600"/>
      <c r="D79" s="2600"/>
      <c r="E79" s="2600" t="s">
        <v>5104</v>
      </c>
      <c r="F79" s="10" t="s">
        <v>5173</v>
      </c>
      <c r="G79" s="10" t="s">
        <v>70</v>
      </c>
      <c r="H79" s="10" t="s">
        <v>71</v>
      </c>
      <c r="I79" s="10" t="s">
        <v>72</v>
      </c>
      <c r="J79" s="10" t="s">
        <v>73</v>
      </c>
      <c r="K79" s="10" t="s">
        <v>74</v>
      </c>
      <c r="L79" s="10" t="s">
        <v>5102</v>
      </c>
    </row>
    <row r="80" spans="3:12">
      <c r="C80" s="3" t="s">
        <v>6670</v>
      </c>
      <c r="D80" s="3" t="s">
        <v>3528</v>
      </c>
      <c r="I80" s="4867">
        <v>22127.14421966828</v>
      </c>
      <c r="J80" s="4867">
        <v>27761.015655605381</v>
      </c>
      <c r="K80" s="4867">
        <v>27785.179394187784</v>
      </c>
      <c r="L80" s="4867">
        <v>28500.134146544831</v>
      </c>
    </row>
    <row r="81" spans="3:13">
      <c r="C81" s="3" t="s">
        <v>6671</v>
      </c>
      <c r="D81" s="3" t="s">
        <v>3545</v>
      </c>
      <c r="I81" s="4867">
        <v>960.4</v>
      </c>
      <c r="J81" s="4867">
        <v>1122.0999999999999</v>
      </c>
      <c r="K81" s="4867">
        <v>1122.0999999999999</v>
      </c>
      <c r="L81" s="4867">
        <v>1122.0999999999999</v>
      </c>
    </row>
    <row r="82" spans="3:13">
      <c r="C82" s="3" t="s">
        <v>6672</v>
      </c>
      <c r="D82" s="3" t="s">
        <v>6676</v>
      </c>
      <c r="I82" s="4867">
        <v>1793.7219730941704</v>
      </c>
      <c r="J82" s="4867">
        <v>1793.7219730941704</v>
      </c>
      <c r="K82" s="4867">
        <v>2191.8064840941825</v>
      </c>
      <c r="L82" s="4867">
        <v>2669.5078972941965</v>
      </c>
    </row>
    <row r="83" spans="3:13">
      <c r="C83" s="3" t="s">
        <v>6673</v>
      </c>
      <c r="D83" s="3" t="s">
        <v>6676</v>
      </c>
      <c r="I83" s="4867">
        <v>19000</v>
      </c>
      <c r="J83" s="4867">
        <v>20000</v>
      </c>
      <c r="K83" s="4867">
        <v>20096.013113986301</v>
      </c>
      <c r="L83" s="4867">
        <v>20191.811058672651</v>
      </c>
    </row>
    <row r="84" spans="3:13">
      <c r="C84" s="3" t="s">
        <v>6674</v>
      </c>
      <c r="D84" s="3" t="s">
        <v>3549</v>
      </c>
      <c r="I84" s="4867">
        <v>1138.95</v>
      </c>
      <c r="J84" s="4867">
        <v>1135.2</v>
      </c>
      <c r="K84" s="4867">
        <v>1111</v>
      </c>
      <c r="L84" s="4867">
        <v>1111</v>
      </c>
    </row>
    <row r="85" spans="3:13">
      <c r="C85" s="12" t="s">
        <v>6675</v>
      </c>
      <c r="D85" s="12"/>
      <c r="E85" s="12"/>
      <c r="F85" s="12"/>
      <c r="G85" s="12"/>
      <c r="H85" s="12"/>
      <c r="I85" s="4877">
        <v>0.79705816581679945</v>
      </c>
      <c r="J85" s="4877">
        <v>1</v>
      </c>
      <c r="K85" s="4877">
        <v>1</v>
      </c>
      <c r="L85" s="4877">
        <v>1</v>
      </c>
    </row>
    <row r="88" spans="3:13">
      <c r="C88" s="32" t="s">
        <v>6772</v>
      </c>
      <c r="G88" s="3" t="s">
        <v>6769</v>
      </c>
    </row>
    <row r="89" spans="3:13">
      <c r="C89" s="2600"/>
      <c r="D89" s="2600" t="s">
        <v>2889</v>
      </c>
      <c r="E89" s="2600" t="s">
        <v>5104</v>
      </c>
      <c r="F89" s="10" t="s">
        <v>5173</v>
      </c>
      <c r="G89" s="10" t="s">
        <v>70</v>
      </c>
      <c r="H89" s="10" t="s">
        <v>71</v>
      </c>
      <c r="I89" s="10" t="s">
        <v>72</v>
      </c>
      <c r="J89" s="10" t="s">
        <v>73</v>
      </c>
      <c r="K89" s="10" t="s">
        <v>74</v>
      </c>
      <c r="L89" s="10" t="s">
        <v>5102</v>
      </c>
    </row>
    <row r="90" spans="3:13">
      <c r="C90" s="3" t="s">
        <v>6771</v>
      </c>
      <c r="D90" s="3" t="s">
        <v>6861</v>
      </c>
      <c r="E90" s="248">
        <f>Assumption!M21</f>
        <v>9188.2486772486773</v>
      </c>
      <c r="F90" s="105">
        <f>E4</f>
        <v>9784</v>
      </c>
      <c r="G90" s="4411">
        <v>9293.0608695652172</v>
      </c>
      <c r="H90" s="4411">
        <v>9500</v>
      </c>
      <c r="I90" s="4411">
        <v>10000</v>
      </c>
      <c r="J90" s="4411">
        <v>10200</v>
      </c>
      <c r="K90" s="4411">
        <v>10400</v>
      </c>
      <c r="L90" s="4411">
        <v>10400</v>
      </c>
      <c r="M90" s="3" t="s">
        <v>6770</v>
      </c>
    </row>
    <row r="91" spans="3:13">
      <c r="C91" s="3" t="s">
        <v>6773</v>
      </c>
      <c r="D91" s="3" t="s">
        <v>3487</v>
      </c>
      <c r="F91" s="14">
        <f>G27</f>
        <v>138681.16899999999</v>
      </c>
      <c r="G91" s="248">
        <v>586000</v>
      </c>
      <c r="H91" s="248">
        <v>541000</v>
      </c>
      <c r="I91" s="248">
        <v>551000</v>
      </c>
      <c r="J91" s="248">
        <v>549000</v>
      </c>
      <c r="K91" s="248">
        <v>552687.95978209993</v>
      </c>
      <c r="L91" s="248">
        <v>546607.56711165723</v>
      </c>
    </row>
    <row r="92" spans="3:13">
      <c r="C92" s="3" t="s">
        <v>6774</v>
      </c>
      <c r="D92" s="3" t="s">
        <v>3487</v>
      </c>
      <c r="F92" s="14">
        <f>G28</f>
        <v>0</v>
      </c>
      <c r="G92" s="248">
        <v>1820</v>
      </c>
      <c r="H92" s="248">
        <v>35700</v>
      </c>
      <c r="I92" s="248">
        <v>64599.999999999993</v>
      </c>
      <c r="J92" s="248">
        <v>113900</v>
      </c>
      <c r="K92" s="248">
        <v>203447.08800827703</v>
      </c>
      <c r="L92" s="248">
        <v>363395.23809523811</v>
      </c>
    </row>
    <row r="93" spans="3:13">
      <c r="C93" s="3" t="s">
        <v>6775</v>
      </c>
      <c r="F93" s="14">
        <f>G32</f>
        <v>40605.009999999995</v>
      </c>
      <c r="G93" s="248">
        <v>162000</v>
      </c>
      <c r="H93" s="248">
        <v>173000</v>
      </c>
      <c r="I93" s="248">
        <v>183000</v>
      </c>
      <c r="J93" s="248">
        <v>191000</v>
      </c>
      <c r="K93" s="248">
        <v>221000</v>
      </c>
      <c r="L93" s="248">
        <v>221000</v>
      </c>
    </row>
    <row r="94" spans="3:13">
      <c r="C94" s="12" t="s">
        <v>5620</v>
      </c>
      <c r="D94" s="12"/>
      <c r="E94" s="12"/>
      <c r="F94" s="3607">
        <f>G33</f>
        <v>388769.07299999997</v>
      </c>
      <c r="G94" s="2615">
        <v>1287000</v>
      </c>
      <c r="H94" s="2615">
        <v>1436000</v>
      </c>
      <c r="I94" s="2615">
        <v>1368000</v>
      </c>
      <c r="J94" s="2615">
        <v>1354000</v>
      </c>
      <c r="K94" s="2615">
        <v>1310010.5373087984</v>
      </c>
      <c r="L94" s="2615">
        <v>1302113.5951661631</v>
      </c>
    </row>
    <row r="96" spans="3:13">
      <c r="F96" s="14"/>
      <c r="G96" s="14"/>
      <c r="H96" s="14"/>
      <c r="I96" s="14"/>
      <c r="J96" s="14"/>
      <c r="K96" s="14"/>
      <c r="L96" s="14"/>
    </row>
    <row r="97" spans="6:12">
      <c r="F97" s="14"/>
      <c r="G97" s="14"/>
      <c r="H97" s="14"/>
      <c r="I97" s="14"/>
      <c r="J97" s="14"/>
      <c r="K97" s="14"/>
      <c r="L97" s="14"/>
    </row>
  </sheetData>
  <phoneticPr fontId="1" type="noConversion"/>
  <conditionalFormatting sqref="C3:K3 P3:V3 J53:O53 D72:L72">
    <cfRule type="cellIs" dxfId="304" priority="106" operator="equal">
      <formula>"X"</formula>
    </cfRule>
    <cfRule type="cellIs" dxfId="303" priority="107" operator="equal">
      <formula>"O"</formula>
    </cfRule>
    <cfRule type="cellIs" dxfId="302" priority="108" operator="equal">
      <formula>"미정"</formula>
    </cfRule>
    <cfRule type="cellIs" dxfId="301" priority="109" operator="equal">
      <formula>"예정"</formula>
    </cfRule>
    <cfRule type="cellIs" dxfId="300" priority="110" operator="equal">
      <formula>"확정"</formula>
    </cfRule>
  </conditionalFormatting>
  <conditionalFormatting sqref="C12:D12">
    <cfRule type="cellIs" dxfId="299" priority="96" operator="equal">
      <formula>"X"</formula>
    </cfRule>
    <cfRule type="cellIs" dxfId="298" priority="97" operator="equal">
      <formula>"O"</formula>
    </cfRule>
    <cfRule type="cellIs" dxfId="297" priority="98" operator="equal">
      <formula>"미정"</formula>
    </cfRule>
    <cfRule type="cellIs" dxfId="296" priority="99" operator="equal">
      <formula>"예정"</formula>
    </cfRule>
    <cfRule type="cellIs" dxfId="295" priority="100" operator="equal">
      <formula>"확정"</formula>
    </cfRule>
  </conditionalFormatting>
  <conditionalFormatting sqref="E12:K12">
    <cfRule type="cellIs" dxfId="294" priority="101" operator="equal">
      <formula>"X"</formula>
    </cfRule>
    <cfRule type="cellIs" dxfId="293" priority="102" operator="equal">
      <formula>"O"</formula>
    </cfRule>
    <cfRule type="cellIs" dxfId="292" priority="103" operator="equal">
      <formula>"미정"</formula>
    </cfRule>
    <cfRule type="cellIs" dxfId="291" priority="104" operator="equal">
      <formula>"예정"</formula>
    </cfRule>
    <cfRule type="cellIs" dxfId="290" priority="105" operator="equal">
      <formula>"확정"</formula>
    </cfRule>
  </conditionalFormatting>
  <conditionalFormatting sqref="C24:M24">
    <cfRule type="cellIs" dxfId="289" priority="91" operator="equal">
      <formula>"X"</formula>
    </cfRule>
    <cfRule type="cellIs" dxfId="288" priority="92" operator="equal">
      <formula>"O"</formula>
    </cfRule>
    <cfRule type="cellIs" dxfId="287" priority="93" operator="equal">
      <formula>"미정"</formula>
    </cfRule>
    <cfRule type="cellIs" dxfId="286" priority="94" operator="equal">
      <formula>"예정"</formula>
    </cfRule>
    <cfRule type="cellIs" dxfId="285" priority="95" operator="equal">
      <formula>"확정"</formula>
    </cfRule>
  </conditionalFormatting>
  <conditionalFormatting sqref="C39:K39">
    <cfRule type="cellIs" dxfId="284" priority="86" operator="equal">
      <formula>"X"</formula>
    </cfRule>
    <cfRule type="cellIs" dxfId="283" priority="87" operator="equal">
      <formula>"O"</formula>
    </cfRule>
    <cfRule type="cellIs" dxfId="282" priority="88" operator="equal">
      <formula>"미정"</formula>
    </cfRule>
    <cfRule type="cellIs" dxfId="281" priority="89" operator="equal">
      <formula>"예정"</formula>
    </cfRule>
    <cfRule type="cellIs" dxfId="280" priority="90" operator="equal">
      <formula>"확정"</formula>
    </cfRule>
  </conditionalFormatting>
  <conditionalFormatting sqref="C53:I53">
    <cfRule type="cellIs" dxfId="279" priority="81" operator="equal">
      <formula>"X"</formula>
    </cfRule>
    <cfRule type="cellIs" dxfId="278" priority="82" operator="equal">
      <formula>"O"</formula>
    </cfRule>
    <cfRule type="cellIs" dxfId="277" priority="83" operator="equal">
      <formula>"미정"</formula>
    </cfRule>
    <cfRule type="cellIs" dxfId="276" priority="84" operator="equal">
      <formula>"예정"</formula>
    </cfRule>
    <cfRule type="cellIs" dxfId="275" priority="85" operator="equal">
      <formula>"확정"</formula>
    </cfRule>
  </conditionalFormatting>
  <conditionalFormatting sqref="D60:J60">
    <cfRule type="cellIs" dxfId="274" priority="71" operator="equal">
      <formula>"X"</formula>
    </cfRule>
    <cfRule type="cellIs" dxfId="273" priority="72" operator="equal">
      <formula>"O"</formula>
    </cfRule>
    <cfRule type="cellIs" dxfId="272" priority="73" operator="equal">
      <formula>"미정"</formula>
    </cfRule>
    <cfRule type="cellIs" dxfId="271" priority="74" operator="equal">
      <formula>"예정"</formula>
    </cfRule>
    <cfRule type="cellIs" dxfId="270" priority="75" operator="equal">
      <formula>"확정"</formula>
    </cfRule>
  </conditionalFormatting>
  <conditionalFormatting sqref="P12:V12">
    <cfRule type="cellIs" dxfId="269" priority="51" operator="equal">
      <formula>"X"</formula>
    </cfRule>
    <cfRule type="cellIs" dxfId="268" priority="52" operator="equal">
      <formula>"O"</formula>
    </cfRule>
    <cfRule type="cellIs" dxfId="267" priority="53" operator="equal">
      <formula>"미정"</formula>
    </cfRule>
    <cfRule type="cellIs" dxfId="266" priority="54" operator="equal">
      <formula>"예정"</formula>
    </cfRule>
    <cfRule type="cellIs" dxfId="265" priority="55" operator="equal">
      <formula>"확정"</formula>
    </cfRule>
  </conditionalFormatting>
  <conditionalFormatting sqref="W12:X12">
    <cfRule type="cellIs" dxfId="264" priority="61" operator="equal">
      <formula>"X"</formula>
    </cfRule>
    <cfRule type="cellIs" dxfId="263" priority="62" operator="equal">
      <formula>"O"</formula>
    </cfRule>
    <cfRule type="cellIs" dxfId="262" priority="63" operator="equal">
      <formula>"미정"</formula>
    </cfRule>
    <cfRule type="cellIs" dxfId="261" priority="64" operator="equal">
      <formula>"예정"</formula>
    </cfRule>
    <cfRule type="cellIs" dxfId="260" priority="65" operator="equal">
      <formula>"확정"</formula>
    </cfRule>
  </conditionalFormatting>
  <conditionalFormatting sqref="O24:P24">
    <cfRule type="cellIs" dxfId="259" priority="46" operator="equal">
      <formula>"X"</formula>
    </cfRule>
    <cfRule type="cellIs" dxfId="258" priority="47" operator="equal">
      <formula>"O"</formula>
    </cfRule>
    <cfRule type="cellIs" dxfId="257" priority="48" operator="equal">
      <formula>"미정"</formula>
    </cfRule>
    <cfRule type="cellIs" dxfId="256" priority="49" operator="equal">
      <formula>"예정"</formula>
    </cfRule>
    <cfRule type="cellIs" dxfId="255" priority="50" operator="equal">
      <formula>"확정"</formula>
    </cfRule>
  </conditionalFormatting>
  <conditionalFormatting sqref="C64">
    <cfRule type="cellIs" dxfId="254" priority="41" operator="equal">
      <formula>"X"</formula>
    </cfRule>
    <cfRule type="cellIs" dxfId="253" priority="42" operator="equal">
      <formula>"O"</formula>
    </cfRule>
    <cfRule type="cellIs" dxfId="252" priority="43" operator="equal">
      <formula>"미정"</formula>
    </cfRule>
    <cfRule type="cellIs" dxfId="251" priority="44" operator="equal">
      <formula>"예정"</formula>
    </cfRule>
    <cfRule type="cellIs" dxfId="250" priority="45" operator="equal">
      <formula>"확정"</formula>
    </cfRule>
  </conditionalFormatting>
  <conditionalFormatting sqref="D64:K64">
    <cfRule type="cellIs" dxfId="249" priority="36" operator="equal">
      <formula>"X"</formula>
    </cfRule>
    <cfRule type="cellIs" dxfId="248" priority="37" operator="equal">
      <formula>"O"</formula>
    </cfRule>
    <cfRule type="cellIs" dxfId="247" priority="38" operator="equal">
      <formula>"미정"</formula>
    </cfRule>
    <cfRule type="cellIs" dxfId="246" priority="39" operator="equal">
      <formula>"예정"</formula>
    </cfRule>
    <cfRule type="cellIs" dxfId="245" priority="40" operator="equal">
      <formula>"확정"</formula>
    </cfRule>
  </conditionalFormatting>
  <conditionalFormatting sqref="C72">
    <cfRule type="cellIs" dxfId="244" priority="31" operator="equal">
      <formula>"X"</formula>
    </cfRule>
    <cfRule type="cellIs" dxfId="243" priority="32" operator="equal">
      <formula>"O"</formula>
    </cfRule>
    <cfRule type="cellIs" dxfId="242" priority="33" operator="equal">
      <formula>"미정"</formula>
    </cfRule>
    <cfRule type="cellIs" dxfId="241" priority="34" operator="equal">
      <formula>"예정"</formula>
    </cfRule>
    <cfRule type="cellIs" dxfId="240" priority="35" operator="equal">
      <formula>"확정"</formula>
    </cfRule>
  </conditionalFormatting>
  <conditionalFormatting sqref="D79:L79">
    <cfRule type="cellIs" dxfId="239" priority="21" operator="equal">
      <formula>"X"</formula>
    </cfRule>
    <cfRule type="cellIs" dxfId="238" priority="22" operator="equal">
      <formula>"O"</formula>
    </cfRule>
    <cfRule type="cellIs" dxfId="237" priority="23" operator="equal">
      <formula>"미정"</formula>
    </cfRule>
    <cfRule type="cellIs" dxfId="236" priority="24" operator="equal">
      <formula>"예정"</formula>
    </cfRule>
    <cfRule type="cellIs" dxfId="235" priority="25" operator="equal">
      <formula>"확정"</formula>
    </cfRule>
  </conditionalFormatting>
  <conditionalFormatting sqref="C79">
    <cfRule type="cellIs" dxfId="234" priority="16" operator="equal">
      <formula>"X"</formula>
    </cfRule>
    <cfRule type="cellIs" dxfId="233" priority="17" operator="equal">
      <formula>"O"</formula>
    </cfRule>
    <cfRule type="cellIs" dxfId="232" priority="18" operator="equal">
      <formula>"미정"</formula>
    </cfRule>
    <cfRule type="cellIs" dxfId="231" priority="19" operator="equal">
      <formula>"예정"</formula>
    </cfRule>
    <cfRule type="cellIs" dxfId="230" priority="20" operator="equal">
      <formula>"확정"</formula>
    </cfRule>
  </conditionalFormatting>
  <conditionalFormatting sqref="G89:L89">
    <cfRule type="cellIs" dxfId="229" priority="11" operator="equal">
      <formula>"X"</formula>
    </cfRule>
    <cfRule type="cellIs" dxfId="228" priority="12" operator="equal">
      <formula>"O"</formula>
    </cfRule>
    <cfRule type="cellIs" dxfId="227" priority="13" operator="equal">
      <formula>"미정"</formula>
    </cfRule>
    <cfRule type="cellIs" dxfId="226" priority="14" operator="equal">
      <formula>"예정"</formula>
    </cfRule>
    <cfRule type="cellIs" dxfId="225" priority="15" operator="equal">
      <formula>"확정"</formula>
    </cfRule>
  </conditionalFormatting>
  <conditionalFormatting sqref="D89:F89">
    <cfRule type="cellIs" dxfId="224" priority="6" operator="equal">
      <formula>"X"</formula>
    </cfRule>
    <cfRule type="cellIs" dxfId="223" priority="7" operator="equal">
      <formula>"O"</formula>
    </cfRule>
    <cfRule type="cellIs" dxfId="222" priority="8" operator="equal">
      <formula>"미정"</formula>
    </cfRule>
    <cfRule type="cellIs" dxfId="221" priority="9" operator="equal">
      <formula>"예정"</formula>
    </cfRule>
    <cfRule type="cellIs" dxfId="220" priority="10" operator="equal">
      <formula>"확정"</formula>
    </cfRule>
  </conditionalFormatting>
  <conditionalFormatting sqref="C89">
    <cfRule type="cellIs" dxfId="219" priority="1" operator="equal">
      <formula>"X"</formula>
    </cfRule>
    <cfRule type="cellIs" dxfId="218" priority="2" operator="equal">
      <formula>"O"</formula>
    </cfRule>
    <cfRule type="cellIs" dxfId="217" priority="3" operator="equal">
      <formula>"미정"</formula>
    </cfRule>
    <cfRule type="cellIs" dxfId="216" priority="4" operator="equal">
      <formula>"예정"</formula>
    </cfRule>
    <cfRule type="cellIs" dxfId="215" priority="5" operator="equal">
      <formula>"확정"</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B3:Y74"/>
  <sheetViews>
    <sheetView workbookViewId="0"/>
  </sheetViews>
  <sheetFormatPr defaultColWidth="9" defaultRowHeight="12" customHeight="1"/>
  <cols>
    <col min="1" max="1" width="1.625" style="1" customWidth="1"/>
    <col min="2" max="3" width="9" style="1" customWidth="1"/>
    <col min="4" max="13" width="9" style="1"/>
    <col min="14" max="14" width="15.75" style="1" customWidth="1"/>
    <col min="15" max="16384" width="9" style="1"/>
  </cols>
  <sheetData>
    <row r="3" spans="2:23" ht="12" customHeight="1">
      <c r="B3" s="204" t="s">
        <v>1314</v>
      </c>
      <c r="C3" s="204"/>
      <c r="D3" s="204" t="s">
        <v>354</v>
      </c>
      <c r="E3" s="204" t="s">
        <v>2889</v>
      </c>
      <c r="F3" s="204" t="s">
        <v>1305</v>
      </c>
      <c r="G3" s="204" t="s">
        <v>1306</v>
      </c>
      <c r="H3" s="204" t="s">
        <v>1317</v>
      </c>
      <c r="J3" s="204" t="s">
        <v>1316</v>
      </c>
      <c r="K3" s="204" t="s">
        <v>1320</v>
      </c>
      <c r="N3" s="32" t="s">
        <v>1322</v>
      </c>
    </row>
    <row r="4" spans="2:23" ht="12" customHeight="1">
      <c r="B4" s="322" t="s">
        <v>25</v>
      </c>
      <c r="C4" s="322" t="s">
        <v>258</v>
      </c>
      <c r="D4" s="323" t="s">
        <v>1307</v>
      </c>
      <c r="E4" s="322" t="s">
        <v>3486</v>
      </c>
      <c r="F4" s="324">
        <v>643810.52899999998</v>
      </c>
      <c r="G4" s="324">
        <v>624533.40300000005</v>
      </c>
      <c r="H4" s="324">
        <v>312789.93</v>
      </c>
      <c r="J4" s="325">
        <f>G4/F4</f>
        <v>0.97005776524043164</v>
      </c>
      <c r="K4" s="324">
        <f>H4/G4*1000</f>
        <v>500.83779105727024</v>
      </c>
      <c r="N4" s="212" t="s">
        <v>1323</v>
      </c>
      <c r="O4" s="212">
        <v>2017</v>
      </c>
      <c r="P4" s="212">
        <v>2018</v>
      </c>
      <c r="Q4" s="212">
        <v>2019</v>
      </c>
      <c r="R4" s="212" t="s">
        <v>1324</v>
      </c>
      <c r="S4" s="212" t="s">
        <v>1325</v>
      </c>
      <c r="T4" s="212" t="s">
        <v>1326</v>
      </c>
      <c r="U4" s="212" t="s">
        <v>1327</v>
      </c>
      <c r="V4" s="212" t="s">
        <v>1328</v>
      </c>
      <c r="W4" s="212" t="s">
        <v>1329</v>
      </c>
    </row>
    <row r="5" spans="2:23" ht="12" customHeight="1">
      <c r="B5" s="210" t="s">
        <v>240</v>
      </c>
      <c r="C5" s="210" t="s">
        <v>262</v>
      </c>
      <c r="D5" s="1" t="s">
        <v>1308</v>
      </c>
      <c r="E5" s="210" t="s">
        <v>3487</v>
      </c>
      <c r="F5" s="205">
        <v>39856.324999999997</v>
      </c>
      <c r="G5" s="205">
        <v>38713.478999999999</v>
      </c>
      <c r="H5" s="205">
        <v>20667.509999999998</v>
      </c>
      <c r="J5" s="326">
        <f t="shared" ref="J5:J43" si="0">G5/F5</f>
        <v>0.97132585605923283</v>
      </c>
      <c r="K5" s="205">
        <f t="shared" ref="K5:K43" si="1">H5/G5*1000</f>
        <v>533.85824611629448</v>
      </c>
      <c r="N5" s="328" t="s">
        <v>1330</v>
      </c>
      <c r="O5" s="329">
        <v>20000</v>
      </c>
      <c r="P5" s="329">
        <v>20725</v>
      </c>
      <c r="Q5" s="329">
        <v>20677</v>
      </c>
      <c r="R5" s="329">
        <v>20288</v>
      </c>
      <c r="S5" s="329">
        <v>20790</v>
      </c>
      <c r="T5" s="329">
        <v>21638</v>
      </c>
      <c r="U5" s="329">
        <v>22116</v>
      </c>
      <c r="V5" s="329">
        <v>22518</v>
      </c>
      <c r="W5" s="329">
        <v>22455</v>
      </c>
    </row>
    <row r="6" spans="2:23" ht="12" customHeight="1">
      <c r="B6" s="210" t="s">
        <v>240</v>
      </c>
      <c r="C6" s="210" t="s">
        <v>264</v>
      </c>
      <c r="D6" s="1" t="s">
        <v>1309</v>
      </c>
      <c r="E6" s="210" t="s">
        <v>3487</v>
      </c>
      <c r="F6" s="205">
        <v>613049.84</v>
      </c>
      <c r="G6" s="205">
        <v>575862.58499999996</v>
      </c>
      <c r="H6" s="205">
        <v>9575.7900000000009</v>
      </c>
      <c r="J6" s="326">
        <f t="shared" si="0"/>
        <v>0.93934056813390576</v>
      </c>
      <c r="K6" s="205">
        <f t="shared" si="1"/>
        <v>16.628602464249351</v>
      </c>
      <c r="N6" s="1" t="s">
        <v>1331</v>
      </c>
      <c r="O6" s="330">
        <v>-5.0000000000000001E-3</v>
      </c>
      <c r="P6" s="330">
        <v>3.5999999999999997E-2</v>
      </c>
      <c r="Q6" s="330">
        <v>-2E-3</v>
      </c>
      <c r="R6" s="330">
        <v>-1.9E-2</v>
      </c>
      <c r="S6" s="330">
        <v>2.5000000000000001E-2</v>
      </c>
      <c r="T6" s="330">
        <v>4.1000000000000002E-2</v>
      </c>
      <c r="U6" s="330">
        <v>2.1999999999999999E-2</v>
      </c>
      <c r="V6" s="330">
        <v>1.7999999999999999E-2</v>
      </c>
      <c r="W6" s="330">
        <v>-3.0000000000000001E-3</v>
      </c>
    </row>
    <row r="7" spans="2:23" ht="12" customHeight="1">
      <c r="B7" s="210" t="s">
        <v>240</v>
      </c>
      <c r="C7" s="210" t="s">
        <v>266</v>
      </c>
      <c r="D7" s="1" t="s">
        <v>1310</v>
      </c>
      <c r="E7" s="210" t="s">
        <v>3487</v>
      </c>
      <c r="F7" s="205">
        <v>83.715000000000003</v>
      </c>
      <c r="G7" s="205">
        <v>55.279000000000003</v>
      </c>
      <c r="H7" s="205">
        <v>29.69</v>
      </c>
      <c r="J7" s="326">
        <f t="shared" si="0"/>
        <v>0.66032371737442519</v>
      </c>
      <c r="K7" s="205">
        <f t="shared" si="1"/>
        <v>537.0936522006549</v>
      </c>
      <c r="N7" s="1" t="s">
        <v>1332</v>
      </c>
      <c r="O7" s="1">
        <v>213</v>
      </c>
      <c r="P7" s="1">
        <v>220</v>
      </c>
      <c r="Q7" s="1">
        <v>-186</v>
      </c>
      <c r="R7" s="1">
        <v>-197</v>
      </c>
      <c r="S7" s="1">
        <v>-244</v>
      </c>
      <c r="T7" s="1" t="s">
        <v>1333</v>
      </c>
      <c r="V7" s="1">
        <v>361</v>
      </c>
      <c r="W7" s="1">
        <v>215</v>
      </c>
    </row>
    <row r="8" spans="2:23" ht="12" customHeight="1">
      <c r="B8" s="210" t="s">
        <v>240</v>
      </c>
      <c r="C8" s="210" t="s">
        <v>268</v>
      </c>
      <c r="D8" s="1" t="s">
        <v>1311</v>
      </c>
      <c r="E8" s="210" t="s">
        <v>3487</v>
      </c>
      <c r="F8" s="205">
        <v>1155.944</v>
      </c>
      <c r="G8" s="205">
        <v>914.63300000000004</v>
      </c>
      <c r="H8" s="205">
        <v>659.64</v>
      </c>
      <c r="J8" s="326">
        <f t="shared" si="0"/>
        <v>0.79124334742859526</v>
      </c>
      <c r="K8" s="205">
        <f t="shared" si="1"/>
        <v>721.20730391315419</v>
      </c>
      <c r="N8" s="328" t="s">
        <v>1334</v>
      </c>
      <c r="O8" s="329">
        <v>22772</v>
      </c>
      <c r="P8" s="329">
        <v>23441</v>
      </c>
      <c r="Q8" s="331">
        <v>23897</v>
      </c>
      <c r="R8" s="329">
        <v>23524</v>
      </c>
      <c r="S8" s="329">
        <v>24037</v>
      </c>
      <c r="T8" s="329">
        <v>24656</v>
      </c>
      <c r="U8" s="329">
        <v>24907</v>
      </c>
      <c r="V8" s="329">
        <v>25301</v>
      </c>
      <c r="W8" s="329">
        <v>25412</v>
      </c>
    </row>
    <row r="9" spans="2:23" ht="12" customHeight="1">
      <c r="B9" s="210" t="s">
        <v>240</v>
      </c>
      <c r="C9" s="210" t="s">
        <v>1319</v>
      </c>
      <c r="D9" s="1" t="s">
        <v>1312</v>
      </c>
      <c r="E9" s="210" t="s">
        <v>3487</v>
      </c>
      <c r="F9" s="205">
        <v>111.375</v>
      </c>
      <c r="G9" s="205">
        <v>71.491</v>
      </c>
      <c r="H9" s="205">
        <v>830.11</v>
      </c>
      <c r="J9" s="326">
        <f t="shared" si="0"/>
        <v>0.64189450056116726</v>
      </c>
      <c r="K9" s="205">
        <f t="shared" si="1"/>
        <v>11611.391643703402</v>
      </c>
      <c r="N9" s="1" t="s">
        <v>1331</v>
      </c>
      <c r="O9" s="330">
        <v>2.1000000000000001E-2</v>
      </c>
      <c r="P9" s="330">
        <v>2.9000000000000001E-2</v>
      </c>
      <c r="Q9" s="330">
        <v>1.9E-2</v>
      </c>
      <c r="R9" s="330">
        <v>-1.6E-2</v>
      </c>
      <c r="S9" s="330">
        <v>2.1999999999999999E-2</v>
      </c>
      <c r="T9" s="330">
        <v>2.5999999999999999E-2</v>
      </c>
      <c r="U9" s="330">
        <v>0.01</v>
      </c>
      <c r="V9" s="330">
        <v>1.6E-2</v>
      </c>
      <c r="W9" s="330">
        <v>4.0000000000000001E-3</v>
      </c>
    </row>
    <row r="10" spans="2:23" ht="12" customHeight="1">
      <c r="B10" s="212" t="s">
        <v>240</v>
      </c>
      <c r="C10" s="212" t="s">
        <v>250</v>
      </c>
      <c r="D10" s="68" t="s">
        <v>1313</v>
      </c>
      <c r="E10" s="212" t="s">
        <v>3487</v>
      </c>
      <c r="F10" s="208">
        <v>232.06399999999999</v>
      </c>
      <c r="G10" s="208">
        <v>81.222999999999999</v>
      </c>
      <c r="H10" s="208">
        <v>632.09</v>
      </c>
      <c r="J10" s="327">
        <f t="shared" si="0"/>
        <v>0.35000258549365693</v>
      </c>
      <c r="K10" s="208">
        <f t="shared" si="1"/>
        <v>7782.1553008384326</v>
      </c>
      <c r="N10" s="1" t="s">
        <v>1335</v>
      </c>
      <c r="O10" s="19">
        <v>22688</v>
      </c>
      <c r="P10" s="19">
        <v>23479</v>
      </c>
      <c r="Q10" s="19">
        <v>23557</v>
      </c>
      <c r="R10" s="1" t="s">
        <v>1336</v>
      </c>
      <c r="S10" s="1">
        <v>23736</v>
      </c>
      <c r="T10" s="1">
        <v>24259</v>
      </c>
      <c r="U10" s="1" t="s">
        <v>1337</v>
      </c>
      <c r="V10" s="1">
        <v>25095</v>
      </c>
      <c r="W10" s="1">
        <v>25549</v>
      </c>
    </row>
    <row r="11" spans="2:23" ht="12" customHeight="1">
      <c r="B11" s="322" t="s">
        <v>69</v>
      </c>
      <c r="C11" s="322" t="s">
        <v>258</v>
      </c>
      <c r="D11" s="323" t="s">
        <v>1307</v>
      </c>
      <c r="E11" s="322" t="s">
        <v>3486</v>
      </c>
      <c r="F11" s="324">
        <v>669724.45400000003</v>
      </c>
      <c r="G11" s="324">
        <v>649104.03899999999</v>
      </c>
      <c r="H11" s="324">
        <v>316259.03999999998</v>
      </c>
      <c r="J11" s="325">
        <f t="shared" si="0"/>
        <v>0.96921059866211778</v>
      </c>
      <c r="K11" s="324">
        <f t="shared" si="1"/>
        <v>487.22395948610017</v>
      </c>
      <c r="N11" s="1" t="s">
        <v>1331</v>
      </c>
      <c r="O11" s="330">
        <v>1.2999999999999999E-2</v>
      </c>
      <c r="P11" s="330">
        <v>3.5000000000000003E-2</v>
      </c>
      <c r="Q11" s="330">
        <v>3.0000000000000001E-3</v>
      </c>
      <c r="R11" s="330">
        <v>-2.4E-2</v>
      </c>
      <c r="S11" s="330">
        <v>3.2000000000000001E-2</v>
      </c>
      <c r="T11" s="330">
        <v>2.1999999999999999E-2</v>
      </c>
      <c r="U11" s="330">
        <v>1.7000000000000001E-2</v>
      </c>
      <c r="V11" s="330">
        <v>1.7000000000000001E-2</v>
      </c>
      <c r="W11" s="330">
        <v>1.7999999999999999E-2</v>
      </c>
    </row>
    <row r="12" spans="2:23" ht="12" customHeight="1">
      <c r="B12" s="210" t="s">
        <v>69</v>
      </c>
      <c r="C12" s="210" t="s">
        <v>262</v>
      </c>
      <c r="D12" s="1" t="s">
        <v>1308</v>
      </c>
      <c r="E12" s="210" t="s">
        <v>3487</v>
      </c>
      <c r="F12" s="205">
        <v>44998.408000000003</v>
      </c>
      <c r="G12" s="205">
        <v>43833.38</v>
      </c>
      <c r="H12" s="205">
        <v>18963.259999999998</v>
      </c>
      <c r="J12" s="326">
        <f t="shared" si="0"/>
        <v>0.97410957294311373</v>
      </c>
      <c r="K12" s="205">
        <f t="shared" si="1"/>
        <v>432.62144055512033</v>
      </c>
      <c r="N12" s="1" t="s">
        <v>1338</v>
      </c>
      <c r="O12" s="1">
        <v>84</v>
      </c>
      <c r="P12" s="1">
        <v>-37</v>
      </c>
      <c r="Q12" s="1">
        <v>340</v>
      </c>
      <c r="R12" s="1">
        <v>527</v>
      </c>
      <c r="S12" s="1">
        <v>301</v>
      </c>
      <c r="T12" s="1">
        <v>398</v>
      </c>
      <c r="U12" s="1">
        <v>223</v>
      </c>
      <c r="V12" s="1">
        <v>206</v>
      </c>
      <c r="W12" s="1">
        <v>-137</v>
      </c>
    </row>
    <row r="13" spans="2:23" ht="12" customHeight="1">
      <c r="B13" s="210" t="s">
        <v>69</v>
      </c>
      <c r="C13" s="210" t="s">
        <v>264</v>
      </c>
      <c r="D13" s="1" t="s">
        <v>1309</v>
      </c>
      <c r="E13" s="210" t="s">
        <v>3487</v>
      </c>
      <c r="F13" s="205">
        <v>698851.54299999995</v>
      </c>
      <c r="G13" s="205">
        <v>662710.20600000001</v>
      </c>
      <c r="H13" s="205">
        <v>11168.9</v>
      </c>
      <c r="J13" s="326">
        <f t="shared" si="0"/>
        <v>0.94828467167024633</v>
      </c>
      <c r="K13" s="205">
        <f t="shared" si="1"/>
        <v>16.853369540531869</v>
      </c>
      <c r="N13" s="1" t="s">
        <v>1339</v>
      </c>
      <c r="O13" s="1">
        <v>0</v>
      </c>
      <c r="P13" s="1">
        <v>0</v>
      </c>
      <c r="Q13" s="1">
        <v>0</v>
      </c>
      <c r="R13" s="1">
        <v>800</v>
      </c>
      <c r="S13" s="1">
        <v>150</v>
      </c>
      <c r="T13" s="1">
        <v>100</v>
      </c>
      <c r="U13" s="1">
        <v>50</v>
      </c>
      <c r="V13" s="1">
        <v>0</v>
      </c>
      <c r="W13" s="1">
        <v>0</v>
      </c>
    </row>
    <row r="14" spans="2:23" ht="12" customHeight="1">
      <c r="B14" s="210" t="s">
        <v>69</v>
      </c>
      <c r="C14" s="210" t="s">
        <v>266</v>
      </c>
      <c r="D14" s="1" t="s">
        <v>1310</v>
      </c>
      <c r="E14" s="210" t="s">
        <v>3487</v>
      </c>
      <c r="F14" s="205">
        <v>104.574</v>
      </c>
      <c r="G14" s="205">
        <v>68.256</v>
      </c>
      <c r="H14" s="205">
        <v>36.49</v>
      </c>
      <c r="J14" s="326">
        <f t="shared" si="0"/>
        <v>0.65270526134603246</v>
      </c>
      <c r="K14" s="205">
        <f t="shared" si="1"/>
        <v>534.60501640881387</v>
      </c>
      <c r="N14" s="1" t="s">
        <v>1340</v>
      </c>
      <c r="O14" s="1">
        <v>84</v>
      </c>
      <c r="P14" s="1">
        <v>-37</v>
      </c>
      <c r="Q14" s="1">
        <v>340</v>
      </c>
      <c r="R14" s="1">
        <v>-273</v>
      </c>
      <c r="S14" s="1">
        <v>151</v>
      </c>
      <c r="T14" s="1" t="s">
        <v>1341</v>
      </c>
      <c r="V14" s="1">
        <v>206</v>
      </c>
      <c r="W14" s="1">
        <v>-137</v>
      </c>
    </row>
    <row r="15" spans="2:23" ht="12" customHeight="1">
      <c r="B15" s="210" t="s">
        <v>69</v>
      </c>
      <c r="C15" s="210" t="s">
        <v>268</v>
      </c>
      <c r="D15" s="1" t="s">
        <v>1311</v>
      </c>
      <c r="E15" s="210" t="s">
        <v>3487</v>
      </c>
      <c r="F15" s="205">
        <v>1374.037</v>
      </c>
      <c r="G15" s="205">
        <v>1116.7539999999999</v>
      </c>
      <c r="H15" s="205">
        <v>1063.0899999999999</v>
      </c>
      <c r="J15" s="326">
        <f t="shared" si="0"/>
        <v>0.81275395058502786</v>
      </c>
      <c r="K15" s="205">
        <f t="shared" si="1"/>
        <v>951.94644478551231</v>
      </c>
      <c r="N15" s="1" t="s">
        <v>1342</v>
      </c>
      <c r="O15" s="1">
        <v>6162</v>
      </c>
      <c r="P15" s="1">
        <v>6527</v>
      </c>
      <c r="Q15" s="1">
        <v>6006</v>
      </c>
      <c r="R15" s="1">
        <v>6022</v>
      </c>
      <c r="S15" s="1">
        <v>6275</v>
      </c>
      <c r="T15" s="1">
        <v>5800</v>
      </c>
      <c r="U15" s="1">
        <v>5650</v>
      </c>
      <c r="V15" s="1">
        <v>5750</v>
      </c>
      <c r="W15" s="1">
        <v>5750</v>
      </c>
    </row>
    <row r="16" spans="2:23" ht="12" customHeight="1">
      <c r="B16" s="210" t="s">
        <v>69</v>
      </c>
      <c r="C16" s="210" t="s">
        <v>270</v>
      </c>
      <c r="D16" s="1" t="s">
        <v>1312</v>
      </c>
      <c r="E16" s="210" t="s">
        <v>3487</v>
      </c>
      <c r="F16" s="205">
        <v>179.364</v>
      </c>
      <c r="G16" s="205">
        <v>120.071</v>
      </c>
      <c r="H16" s="205">
        <v>1329.47</v>
      </c>
      <c r="J16" s="326">
        <f t="shared" si="0"/>
        <v>0.66942641778729284</v>
      </c>
      <c r="K16" s="205">
        <f t="shared" si="1"/>
        <v>11072.365517069067</v>
      </c>
      <c r="N16" s="332"/>
      <c r="O16" s="332">
        <v>2017</v>
      </c>
      <c r="P16" s="332">
        <v>2018</v>
      </c>
      <c r="Q16" s="332">
        <v>2019</v>
      </c>
      <c r="R16" s="332">
        <v>2020</v>
      </c>
      <c r="S16" s="332">
        <v>2021</v>
      </c>
      <c r="T16" s="332">
        <v>2022</v>
      </c>
      <c r="U16" s="332">
        <v>2023</v>
      </c>
      <c r="V16" s="332">
        <v>2024</v>
      </c>
      <c r="W16" s="332">
        <v>2025</v>
      </c>
    </row>
    <row r="17" spans="2:25" ht="12" customHeight="1">
      <c r="B17" s="212" t="s">
        <v>69</v>
      </c>
      <c r="C17" s="212" t="s">
        <v>250</v>
      </c>
      <c r="D17" s="68" t="s">
        <v>1313</v>
      </c>
      <c r="E17" s="212" t="s">
        <v>3487</v>
      </c>
      <c r="F17" s="208">
        <v>1177.942</v>
      </c>
      <c r="G17" s="208">
        <v>190.11500000000001</v>
      </c>
      <c r="H17" s="208">
        <v>1607.52</v>
      </c>
      <c r="J17" s="327">
        <f t="shared" si="0"/>
        <v>0.16139589215767841</v>
      </c>
      <c r="K17" s="208">
        <f t="shared" si="1"/>
        <v>8455.5137679825366</v>
      </c>
      <c r="N17" s="332" t="s">
        <v>1343</v>
      </c>
      <c r="O17" s="333">
        <f>O5-O8</f>
        <v>-2772</v>
      </c>
      <c r="P17" s="333">
        <f t="shared" ref="P17:W17" si="2">P5-P8</f>
        <v>-2716</v>
      </c>
      <c r="Q17" s="333">
        <f t="shared" si="2"/>
        <v>-3220</v>
      </c>
      <c r="R17" s="333">
        <f t="shared" si="2"/>
        <v>-3236</v>
      </c>
      <c r="S17" s="333">
        <f t="shared" si="2"/>
        <v>-3247</v>
      </c>
      <c r="T17" s="333">
        <f t="shared" si="2"/>
        <v>-3018</v>
      </c>
      <c r="U17" s="333">
        <f t="shared" si="2"/>
        <v>-2791</v>
      </c>
      <c r="V17" s="333">
        <f t="shared" si="2"/>
        <v>-2783</v>
      </c>
      <c r="W17" s="333">
        <f t="shared" si="2"/>
        <v>-2957</v>
      </c>
    </row>
    <row r="18" spans="2:25" ht="12" customHeight="1">
      <c r="B18" s="322" t="s">
        <v>1318</v>
      </c>
      <c r="C18" s="210" t="s">
        <v>258</v>
      </c>
      <c r="D18" s="1" t="s">
        <v>1307</v>
      </c>
      <c r="E18" s="322" t="s">
        <v>3486</v>
      </c>
      <c r="F18" s="205">
        <v>649052.06499999994</v>
      </c>
      <c r="G18" s="205">
        <v>629689.30000000005</v>
      </c>
      <c r="H18" s="205">
        <v>276449.81</v>
      </c>
      <c r="J18" s="326">
        <f t="shared" si="0"/>
        <v>0.97016762438002579</v>
      </c>
      <c r="K18" s="2624">
        <f t="shared" si="1"/>
        <v>439.0257385666232</v>
      </c>
      <c r="N18" s="332" t="s">
        <v>1344</v>
      </c>
      <c r="O18" s="334"/>
      <c r="P18" s="334"/>
      <c r="Q18" s="334"/>
      <c r="R18" s="334"/>
      <c r="S18" s="335"/>
      <c r="T18" s="335"/>
      <c r="U18" s="335"/>
      <c r="V18" s="335"/>
      <c r="W18" s="335"/>
    </row>
    <row r="19" spans="2:25" ht="12" customHeight="1">
      <c r="B19" s="210" t="s">
        <v>27</v>
      </c>
      <c r="C19" s="210" t="s">
        <v>262</v>
      </c>
      <c r="D19" s="1" t="s">
        <v>1308</v>
      </c>
      <c r="E19" s="210" t="s">
        <v>3487</v>
      </c>
      <c r="F19" s="205">
        <v>38889.938000000002</v>
      </c>
      <c r="G19" s="205">
        <v>37881.343000000001</v>
      </c>
      <c r="H19" s="205">
        <v>17083</v>
      </c>
      <c r="J19" s="326">
        <f t="shared" si="0"/>
        <v>0.97406539964141881</v>
      </c>
      <c r="K19" s="205">
        <f t="shared" si="1"/>
        <v>450.9607803503693</v>
      </c>
      <c r="N19" s="332"/>
      <c r="O19" s="334"/>
      <c r="P19" s="334"/>
      <c r="Q19" s="334"/>
      <c r="R19" s="334"/>
      <c r="S19" s="335"/>
      <c r="T19" s="335"/>
      <c r="U19" s="335"/>
      <c r="V19" s="335"/>
      <c r="W19" s="335"/>
    </row>
    <row r="20" spans="2:25" ht="12" customHeight="1">
      <c r="B20" s="210" t="s">
        <v>27</v>
      </c>
      <c r="C20" s="210" t="s">
        <v>264</v>
      </c>
      <c r="D20" s="1" t="s">
        <v>1309</v>
      </c>
      <c r="E20" s="210" t="s">
        <v>3487</v>
      </c>
      <c r="F20" s="205">
        <v>585503.99600000004</v>
      </c>
      <c r="G20" s="205">
        <v>553050.95799999998</v>
      </c>
      <c r="H20" s="205">
        <v>9572.23</v>
      </c>
      <c r="J20" s="326">
        <f t="shared" si="0"/>
        <v>0.94457247393406341</v>
      </c>
      <c r="K20" s="205">
        <f t="shared" si="1"/>
        <v>17.308043429878662</v>
      </c>
      <c r="N20" s="332"/>
      <c r="O20" s="335"/>
      <c r="P20" s="335"/>
      <c r="Q20" s="335"/>
      <c r="R20" s="335"/>
      <c r="S20" s="335"/>
      <c r="T20" s="335"/>
      <c r="U20" s="335"/>
      <c r="V20" s="335"/>
      <c r="W20" s="335"/>
    </row>
    <row r="21" spans="2:25" ht="12" customHeight="1">
      <c r="B21" s="210" t="s">
        <v>27</v>
      </c>
      <c r="C21" s="210" t="s">
        <v>266</v>
      </c>
      <c r="D21" s="1" t="s">
        <v>1310</v>
      </c>
      <c r="E21" s="210" t="s">
        <v>3487</v>
      </c>
      <c r="F21" s="205">
        <v>175.363</v>
      </c>
      <c r="G21" s="205">
        <v>125.505</v>
      </c>
      <c r="H21" s="205">
        <v>61.07</v>
      </c>
      <c r="J21" s="326">
        <f t="shared" si="0"/>
        <v>0.71568688948067716</v>
      </c>
      <c r="K21" s="205">
        <f t="shared" si="1"/>
        <v>486.59415959523528</v>
      </c>
      <c r="N21" s="336" t="s">
        <v>1345</v>
      </c>
      <c r="O21" s="337">
        <f>O8-O5</f>
        <v>2772</v>
      </c>
      <c r="P21" s="337">
        <f t="shared" ref="P21:W21" si="3">P8-P5</f>
        <v>2716</v>
      </c>
      <c r="Q21" s="337">
        <f t="shared" si="3"/>
        <v>3220</v>
      </c>
      <c r="R21" s="337">
        <f t="shared" si="3"/>
        <v>3236</v>
      </c>
      <c r="S21" s="337">
        <f t="shared" si="3"/>
        <v>3247</v>
      </c>
      <c r="T21" s="337">
        <f t="shared" si="3"/>
        <v>3018</v>
      </c>
      <c r="U21" s="337">
        <f t="shared" si="3"/>
        <v>2791</v>
      </c>
      <c r="V21" s="337">
        <f t="shared" si="3"/>
        <v>2783</v>
      </c>
      <c r="W21" s="337">
        <f t="shared" si="3"/>
        <v>2957</v>
      </c>
    </row>
    <row r="22" spans="2:25" ht="12" customHeight="1">
      <c r="B22" s="210" t="s">
        <v>27</v>
      </c>
      <c r="C22" s="210" t="s">
        <v>268</v>
      </c>
      <c r="D22" s="1" t="s">
        <v>1311</v>
      </c>
      <c r="E22" s="210" t="s">
        <v>3487</v>
      </c>
      <c r="F22" s="205">
        <v>1525.6220000000001</v>
      </c>
      <c r="G22" s="205">
        <v>1218.153</v>
      </c>
      <c r="H22" s="205">
        <v>1676.17</v>
      </c>
      <c r="J22" s="326">
        <f t="shared" si="0"/>
        <v>0.79846318419634743</v>
      </c>
      <c r="K22" s="205">
        <f t="shared" si="1"/>
        <v>1375.99299923737</v>
      </c>
      <c r="N22" s="338" t="s">
        <v>1344</v>
      </c>
      <c r="O22" s="339">
        <f>K4</f>
        <v>500.83779105727024</v>
      </c>
      <c r="P22" s="339">
        <f>K11</f>
        <v>487.22395948610017</v>
      </c>
      <c r="Q22" s="339">
        <f>K18</f>
        <v>439.0257385666232</v>
      </c>
      <c r="R22" s="339">
        <f>K25</f>
        <v>399.22519059789727</v>
      </c>
      <c r="S22" s="340">
        <f>S28</f>
        <v>366.66430751688131</v>
      </c>
      <c r="T22" s="341">
        <f>_xlfn.FORECAST.LINEAR(T21,$O$22:$S$22,$O$21:$S$21)</f>
        <v>442.41810938923595</v>
      </c>
      <c r="U22" s="341">
        <f t="shared" ref="U22:W22" si="4">_xlfn.FORECAST.LINEAR(U21,$O$22:$S$22,$O$21:$S$21)</f>
        <v>485.37630797101406</v>
      </c>
      <c r="V22" s="341">
        <f t="shared" si="4"/>
        <v>486.89025329548201</v>
      </c>
      <c r="W22" s="341">
        <f t="shared" si="4"/>
        <v>453.96194248830409</v>
      </c>
    </row>
    <row r="23" spans="2:25" ht="12" customHeight="1">
      <c r="B23" s="210" t="s">
        <v>27</v>
      </c>
      <c r="C23" s="210" t="s">
        <v>270</v>
      </c>
      <c r="D23" s="1" t="s">
        <v>1312</v>
      </c>
      <c r="E23" s="210" t="s">
        <v>3487</v>
      </c>
      <c r="F23" s="205">
        <v>115.79600000000001</v>
      </c>
      <c r="G23" s="205">
        <v>67.183000000000007</v>
      </c>
      <c r="H23" s="205">
        <v>779.48</v>
      </c>
      <c r="J23" s="326">
        <f t="shared" si="0"/>
        <v>0.58018411689522953</v>
      </c>
      <c r="K23" s="205">
        <f t="shared" si="1"/>
        <v>11602.339877647617</v>
      </c>
      <c r="N23" s="332"/>
      <c r="O23" s="332"/>
      <c r="P23" s="332"/>
      <c r="Q23" s="332"/>
      <c r="R23" s="332"/>
      <c r="S23" s="332"/>
      <c r="T23" s="332"/>
      <c r="U23" s="332"/>
      <c r="V23" s="332"/>
      <c r="W23" s="332"/>
    </row>
    <row r="24" spans="2:25" ht="12" customHeight="1">
      <c r="B24" s="212" t="s">
        <v>27</v>
      </c>
      <c r="C24" s="212" t="s">
        <v>250</v>
      </c>
      <c r="D24" s="68" t="s">
        <v>1313</v>
      </c>
      <c r="E24" s="212" t="s">
        <v>3487</v>
      </c>
      <c r="F24" s="208">
        <v>1348.509</v>
      </c>
      <c r="G24" s="208">
        <v>187.60499999999999</v>
      </c>
      <c r="H24" s="208">
        <v>1568.79</v>
      </c>
      <c r="J24" s="327">
        <f t="shared" si="0"/>
        <v>0.1391203173282492</v>
      </c>
      <c r="K24" s="208">
        <f>H24/G24*1000</f>
        <v>8362.1971695850316</v>
      </c>
    </row>
    <row r="25" spans="2:25" ht="12" customHeight="1">
      <c r="B25" s="322" t="s">
        <v>57</v>
      </c>
      <c r="C25" s="322" t="s">
        <v>258</v>
      </c>
      <c r="D25" s="323" t="s">
        <v>1307</v>
      </c>
      <c r="E25" s="322" t="s">
        <v>3486</v>
      </c>
      <c r="F25" s="324">
        <v>512135.25</v>
      </c>
      <c r="G25" s="324">
        <v>496882.97399999999</v>
      </c>
      <c r="H25" s="324">
        <v>198368.2</v>
      </c>
      <c r="J25" s="325">
        <f t="shared" si="0"/>
        <v>0.97021826558511637</v>
      </c>
      <c r="K25" s="324">
        <f t="shared" si="1"/>
        <v>399.22519059789727</v>
      </c>
    </row>
    <row r="26" spans="2:25" ht="12" customHeight="1">
      <c r="B26" s="210" t="s">
        <v>57</v>
      </c>
      <c r="C26" s="210" t="s">
        <v>262</v>
      </c>
      <c r="D26" s="1" t="s">
        <v>1308</v>
      </c>
      <c r="E26" s="210" t="s">
        <v>3487</v>
      </c>
      <c r="F26" s="205">
        <v>23327.041000000001</v>
      </c>
      <c r="G26" s="205">
        <v>22631.982</v>
      </c>
      <c r="H26" s="205">
        <v>11870.35</v>
      </c>
      <c r="J26" s="326">
        <f t="shared" si="0"/>
        <v>0.97020372193798599</v>
      </c>
      <c r="K26" s="205">
        <f t="shared" si="1"/>
        <v>524.49449632824917</v>
      </c>
      <c r="N26" s="32" t="s">
        <v>1346</v>
      </c>
    </row>
    <row r="27" spans="2:25" ht="12" customHeight="1">
      <c r="B27" s="210" t="s">
        <v>57</v>
      </c>
      <c r="C27" s="210" t="s">
        <v>264</v>
      </c>
      <c r="D27" s="1" t="s">
        <v>1309</v>
      </c>
      <c r="E27" s="210" t="s">
        <v>3487</v>
      </c>
      <c r="F27" s="205">
        <v>423901.08899999998</v>
      </c>
      <c r="G27" s="205">
        <v>400193.58799999999</v>
      </c>
      <c r="H27" s="205">
        <v>6807.41</v>
      </c>
      <c r="J27" s="326">
        <f t="shared" si="0"/>
        <v>0.94407303586804425</v>
      </c>
      <c r="K27" s="205">
        <f t="shared" si="1"/>
        <v>17.010292528724872</v>
      </c>
      <c r="N27" s="212" t="s">
        <v>354</v>
      </c>
      <c r="O27" s="212">
        <v>2017</v>
      </c>
      <c r="P27" s="212">
        <v>2018</v>
      </c>
      <c r="Q27" s="212">
        <v>2019</v>
      </c>
      <c r="R27" s="212" t="s">
        <v>1324</v>
      </c>
      <c r="S27" s="212" t="s">
        <v>1325</v>
      </c>
      <c r="T27" s="212" t="s">
        <v>1326</v>
      </c>
      <c r="U27" s="212" t="s">
        <v>1327</v>
      </c>
      <c r="V27" s="212" t="s">
        <v>1328</v>
      </c>
      <c r="W27" s="212" t="s">
        <v>1329</v>
      </c>
    </row>
    <row r="28" spans="2:25" ht="12" customHeight="1">
      <c r="B28" s="210" t="s">
        <v>57</v>
      </c>
      <c r="C28" s="210" t="s">
        <v>266</v>
      </c>
      <c r="D28" s="1" t="s">
        <v>1310</v>
      </c>
      <c r="E28" s="210" t="s">
        <v>3487</v>
      </c>
      <c r="F28" s="205">
        <v>110.80200000000001</v>
      </c>
      <c r="G28" s="205">
        <v>85.542000000000002</v>
      </c>
      <c r="H28" s="205">
        <v>34.64</v>
      </c>
      <c r="J28" s="326">
        <f t="shared" si="0"/>
        <v>0.77202577570801967</v>
      </c>
      <c r="K28" s="205">
        <f t="shared" si="1"/>
        <v>404.94727736082859</v>
      </c>
      <c r="N28" s="1" t="s">
        <v>1347</v>
      </c>
      <c r="O28" s="1">
        <v>500.83779105727024</v>
      </c>
      <c r="P28" s="1">
        <v>487.22395948610017</v>
      </c>
      <c r="Q28" s="1">
        <v>439.0257385666232</v>
      </c>
      <c r="R28" s="1">
        <v>399.22519059789727</v>
      </c>
      <c r="S28" s="1">
        <v>366.66430751688131</v>
      </c>
      <c r="T28" s="1">
        <v>391.51339849851126</v>
      </c>
      <c r="U28" s="1">
        <v>413.27254236332237</v>
      </c>
    </row>
    <row r="29" spans="2:25" ht="12" customHeight="1">
      <c r="B29" s="210" t="s">
        <v>57</v>
      </c>
      <c r="C29" s="210" t="s">
        <v>268</v>
      </c>
      <c r="D29" s="1" t="s">
        <v>1311</v>
      </c>
      <c r="E29" s="210" t="s">
        <v>3487</v>
      </c>
      <c r="F29" s="205">
        <v>948.91399999999999</v>
      </c>
      <c r="G29" s="205">
        <v>773.43299999999999</v>
      </c>
      <c r="H29" s="205">
        <v>1128.25</v>
      </c>
      <c r="J29" s="326">
        <f t="shared" si="0"/>
        <v>0.8150717557123196</v>
      </c>
      <c r="K29" s="205">
        <f t="shared" si="1"/>
        <v>1458.7559620548905</v>
      </c>
    </row>
    <row r="30" spans="2:25" ht="12" customHeight="1">
      <c r="B30" s="210" t="s">
        <v>57</v>
      </c>
      <c r="C30" s="210" t="s">
        <v>270</v>
      </c>
      <c r="D30" s="1" t="s">
        <v>1312</v>
      </c>
      <c r="E30" s="210" t="s">
        <v>3487</v>
      </c>
      <c r="F30" s="205">
        <v>142.25800000000001</v>
      </c>
      <c r="G30" s="205">
        <v>54.600999999999999</v>
      </c>
      <c r="H30" s="205">
        <v>492.28</v>
      </c>
      <c r="J30" s="326">
        <f t="shared" si="0"/>
        <v>0.38381672735452482</v>
      </c>
      <c r="K30" s="205">
        <f t="shared" si="1"/>
        <v>9015.9520887895815</v>
      </c>
      <c r="N30" s="342" t="s">
        <v>1349</v>
      </c>
      <c r="O30" s="343"/>
      <c r="P30" s="343"/>
      <c r="Q30" s="343"/>
      <c r="R30" s="343"/>
      <c r="S30" s="343"/>
      <c r="T30" s="343"/>
      <c r="U30" s="343"/>
      <c r="V30" s="343"/>
      <c r="W30" s="343"/>
      <c r="X30" s="343"/>
      <c r="Y30" s="344"/>
    </row>
    <row r="31" spans="2:25" ht="12" customHeight="1">
      <c r="B31" s="212" t="s">
        <v>57</v>
      </c>
      <c r="C31" s="212" t="s">
        <v>250</v>
      </c>
      <c r="D31" s="68" t="s">
        <v>1313</v>
      </c>
      <c r="E31" s="212" t="s">
        <v>3487</v>
      </c>
      <c r="F31" s="208">
        <v>662.88400000000001</v>
      </c>
      <c r="G31" s="208">
        <v>66.070999999999998</v>
      </c>
      <c r="H31" s="208">
        <v>563.20000000000005</v>
      </c>
      <c r="J31" s="327">
        <f t="shared" si="0"/>
        <v>9.9672039150137878E-2</v>
      </c>
      <c r="K31" s="208">
        <f t="shared" si="1"/>
        <v>8524.1633999788119</v>
      </c>
      <c r="N31" s="345"/>
      <c r="O31" s="346">
        <v>2015</v>
      </c>
      <c r="P31" s="346">
        <v>2016</v>
      </c>
      <c r="Q31" s="346">
        <v>2017</v>
      </c>
      <c r="R31" s="346">
        <v>2018</v>
      </c>
      <c r="S31" s="346">
        <v>2019</v>
      </c>
      <c r="T31" s="346">
        <v>2020</v>
      </c>
      <c r="U31" s="346">
        <v>2021</v>
      </c>
      <c r="V31" s="346">
        <v>2022</v>
      </c>
      <c r="W31" s="346">
        <v>2023</v>
      </c>
      <c r="X31" s="346">
        <v>2024</v>
      </c>
      <c r="Y31" s="347">
        <v>2025</v>
      </c>
    </row>
    <row r="32" spans="2:25" ht="12" customHeight="1">
      <c r="B32" s="210" t="s">
        <v>59</v>
      </c>
      <c r="C32" s="210" t="s">
        <v>325</v>
      </c>
      <c r="D32" s="210" t="s">
        <v>1307</v>
      </c>
      <c r="E32" s="210" t="s">
        <v>3545</v>
      </c>
      <c r="F32" s="19">
        <f>170157055.09/1000</f>
        <v>170157.05509000001</v>
      </c>
      <c r="G32" s="19">
        <v>165129.983749001</v>
      </c>
      <c r="H32" s="19">
        <v>64780.415060000232</v>
      </c>
      <c r="J32" s="330">
        <f t="shared" si="0"/>
        <v>0.97045628617432245</v>
      </c>
      <c r="K32" s="205">
        <f t="shared" si="1"/>
        <v>392.29953028074556</v>
      </c>
      <c r="N32" s="348" t="s">
        <v>1321</v>
      </c>
      <c r="O32" s="349">
        <v>107</v>
      </c>
      <c r="P32" s="349">
        <v>97.35</v>
      </c>
      <c r="Q32" s="349">
        <v>92.5</v>
      </c>
      <c r="R32" s="349">
        <v>82.25</v>
      </c>
      <c r="S32" s="349">
        <v>80.8</v>
      </c>
      <c r="T32" s="349">
        <v>59.5</v>
      </c>
      <c r="U32" s="350"/>
      <c r="V32" s="350"/>
      <c r="W32" s="350"/>
      <c r="X32" s="350"/>
      <c r="Y32" s="351"/>
    </row>
    <row r="33" spans="2:20" ht="12" customHeight="1">
      <c r="B33" s="210" t="s">
        <v>59</v>
      </c>
      <c r="C33" s="210" t="s">
        <v>330</v>
      </c>
      <c r="D33" s="210" t="s">
        <v>1308</v>
      </c>
      <c r="E33" s="210" t="s">
        <v>3548</v>
      </c>
      <c r="F33" s="19">
        <f>8175008.67099999/1000</f>
        <v>8175.0086709999896</v>
      </c>
      <c r="G33" s="19">
        <v>7941.1805519999943</v>
      </c>
      <c r="H33" s="19">
        <v>4572.5938200000055</v>
      </c>
      <c r="J33" s="330">
        <f t="shared" si="0"/>
        <v>0.97139720232597715</v>
      </c>
      <c r="K33" s="205">
        <f t="shared" si="1"/>
        <v>575.80781472704246</v>
      </c>
      <c r="Q33" s="1">
        <f>O22/Q32</f>
        <v>5.4144626060245429</v>
      </c>
      <c r="R33" s="1">
        <f t="shared" ref="R33:T33" si="5">P22/R32</f>
        <v>5.9236955560620084</v>
      </c>
      <c r="S33" s="1">
        <f t="shared" si="5"/>
        <v>5.4334868634483069</v>
      </c>
      <c r="T33" s="1">
        <f t="shared" si="5"/>
        <v>6.7096670688722231</v>
      </c>
    </row>
    <row r="34" spans="2:20" ht="12" customHeight="1">
      <c r="B34" s="210" t="s">
        <v>59</v>
      </c>
      <c r="C34" s="210" t="s">
        <v>331</v>
      </c>
      <c r="D34" s="210" t="s">
        <v>1309</v>
      </c>
      <c r="E34" s="210" t="s">
        <v>3548</v>
      </c>
      <c r="F34" s="19">
        <f>167120693.674/1000</f>
        <v>167120.69367400001</v>
      </c>
      <c r="G34" s="19">
        <v>157848.7391140002</v>
      </c>
      <c r="H34" s="19">
        <v>2843.3737600000036</v>
      </c>
      <c r="J34" s="330">
        <f t="shared" si="0"/>
        <v>0.94451941075540002</v>
      </c>
      <c r="K34" s="205">
        <f t="shared" si="1"/>
        <v>18.0132814234676</v>
      </c>
    </row>
    <row r="35" spans="2:20" ht="12" customHeight="1">
      <c r="B35" s="210" t="s">
        <v>59</v>
      </c>
      <c r="C35" s="210" t="s">
        <v>333</v>
      </c>
      <c r="D35" s="210" t="s">
        <v>1310</v>
      </c>
      <c r="E35" s="210" t="s">
        <v>3548</v>
      </c>
      <c r="F35" s="19">
        <f>48639.523/1000</f>
        <v>48.639523000000004</v>
      </c>
      <c r="G35" s="19">
        <v>36.02324799999996</v>
      </c>
      <c r="H35" s="19">
        <v>15.806610000000013</v>
      </c>
      <c r="J35" s="330">
        <f t="shared" si="0"/>
        <v>0.74061680251263884</v>
      </c>
      <c r="K35" s="205">
        <f t="shared" si="1"/>
        <v>438.78913972443661</v>
      </c>
      <c r="N35" s="32" t="s">
        <v>1364</v>
      </c>
    </row>
    <row r="36" spans="2:20" ht="12" customHeight="1">
      <c r="B36" s="210" t="s">
        <v>59</v>
      </c>
      <c r="C36" s="1" t="s">
        <v>250</v>
      </c>
      <c r="D36" s="1" t="s">
        <v>1313</v>
      </c>
      <c r="E36" s="1" t="s">
        <v>3487</v>
      </c>
      <c r="F36" s="19"/>
      <c r="G36" s="19"/>
      <c r="H36" s="19"/>
      <c r="J36" s="2623">
        <f>J31</f>
        <v>9.9672039150137878E-2</v>
      </c>
      <c r="K36" s="2621">
        <f>K31</f>
        <v>8524.1633999788119</v>
      </c>
      <c r="N36" s="358" t="s">
        <v>1358</v>
      </c>
      <c r="O36" s="359">
        <v>2017</v>
      </c>
      <c r="P36" s="359">
        <v>2018</v>
      </c>
      <c r="Q36" s="359">
        <v>2019</v>
      </c>
      <c r="R36" s="359">
        <v>2020</v>
      </c>
      <c r="S36" s="359" t="s">
        <v>5101</v>
      </c>
    </row>
    <row r="37" spans="2:20" ht="12" customHeight="1">
      <c r="B37" s="212" t="s">
        <v>59</v>
      </c>
      <c r="C37" s="212" t="s">
        <v>332</v>
      </c>
      <c r="D37" s="212" t="s">
        <v>1311</v>
      </c>
      <c r="E37" s="212" t="s">
        <v>3548</v>
      </c>
      <c r="F37" s="100">
        <f>407039.329000001/1000</f>
        <v>407.03932900000103</v>
      </c>
      <c r="G37" s="100">
        <v>326.89537399999955</v>
      </c>
      <c r="H37" s="100">
        <v>466.94592999999998</v>
      </c>
      <c r="J37" s="2587">
        <f t="shared" si="0"/>
        <v>0.80310513188763322</v>
      </c>
      <c r="K37" s="208">
        <f t="shared" si="1"/>
        <v>1428.4262401339477</v>
      </c>
      <c r="N37" s="359" t="s">
        <v>1307</v>
      </c>
      <c r="O37" s="360">
        <v>0.97423833412870187</v>
      </c>
      <c r="P37" s="360">
        <v>0.97414644463158795</v>
      </c>
      <c r="Q37" s="360">
        <v>0.97597908548370704</v>
      </c>
      <c r="R37" s="360">
        <v>0.9784010886212221</v>
      </c>
      <c r="S37" s="2588" t="s">
        <v>5105</v>
      </c>
      <c r="T37" s="1" t="s">
        <v>5106</v>
      </c>
    </row>
    <row r="38" spans="2:20" ht="12" customHeight="1">
      <c r="B38" s="210" t="s">
        <v>61</v>
      </c>
      <c r="C38" s="210" t="s">
        <v>325</v>
      </c>
      <c r="D38" s="210" t="s">
        <v>1307</v>
      </c>
      <c r="E38" s="210" t="s">
        <v>3545</v>
      </c>
      <c r="F38" s="205">
        <f>F25+F32</f>
        <v>682292.30509000004</v>
      </c>
      <c r="G38" s="205">
        <f t="shared" ref="G38:H38" si="6">G25+G32</f>
        <v>662012.95774900098</v>
      </c>
      <c r="H38" s="205">
        <f t="shared" si="6"/>
        <v>263148.61506000021</v>
      </c>
      <c r="J38" s="330">
        <f t="shared" si="0"/>
        <v>0.97027762560164876</v>
      </c>
      <c r="K38" s="205">
        <f t="shared" si="1"/>
        <v>397.49768033962221</v>
      </c>
      <c r="N38" s="359" t="s">
        <v>1308</v>
      </c>
      <c r="O38" s="360">
        <v>0.99415881985494381</v>
      </c>
      <c r="P38" s="360">
        <v>0.99914959899760958</v>
      </c>
      <c r="Q38" s="360">
        <v>1.0060408216398142</v>
      </c>
      <c r="R38" s="360">
        <v>0.99616687064156928</v>
      </c>
      <c r="S38" s="2588">
        <v>0.99609999999999999</v>
      </c>
    </row>
    <row r="39" spans="2:20" ht="12" customHeight="1">
      <c r="B39" s="210" t="s">
        <v>60</v>
      </c>
      <c r="C39" s="210" t="s">
        <v>330</v>
      </c>
      <c r="D39" s="210" t="s">
        <v>1308</v>
      </c>
      <c r="E39" s="210" t="s">
        <v>3548</v>
      </c>
      <c r="F39" s="205">
        <f t="shared" ref="F39:H41" si="7">F26+F33</f>
        <v>31502.04967099999</v>
      </c>
      <c r="G39" s="205">
        <f t="shared" si="7"/>
        <v>30573.162551999994</v>
      </c>
      <c r="H39" s="205">
        <f t="shared" si="7"/>
        <v>16442.943820000008</v>
      </c>
      <c r="J39" s="330">
        <f t="shared" si="0"/>
        <v>0.9705134386904638</v>
      </c>
      <c r="K39" s="205">
        <f t="shared" si="1"/>
        <v>537.82279775712527</v>
      </c>
      <c r="N39" s="359" t="s">
        <v>1309</v>
      </c>
      <c r="O39" s="360">
        <v>1.0236966878974187</v>
      </c>
      <c r="P39" s="360">
        <v>0.99436349386597522</v>
      </c>
      <c r="Q39" s="360">
        <v>0.99525094543571668</v>
      </c>
      <c r="R39" s="360">
        <v>0.98864338371332006</v>
      </c>
      <c r="S39" s="2588">
        <v>0.98839999999999995</v>
      </c>
    </row>
    <row r="40" spans="2:20" ht="12" customHeight="1">
      <c r="B40" s="210" t="s">
        <v>60</v>
      </c>
      <c r="C40" s="210" t="s">
        <v>331</v>
      </c>
      <c r="D40" s="210" t="s">
        <v>1309</v>
      </c>
      <c r="E40" s="210" t="s">
        <v>3548</v>
      </c>
      <c r="F40" s="205">
        <f t="shared" si="7"/>
        <v>591021.78267400002</v>
      </c>
      <c r="G40" s="205">
        <f t="shared" si="7"/>
        <v>558042.32711400022</v>
      </c>
      <c r="H40" s="205">
        <f t="shared" si="7"/>
        <v>9650.7837600000039</v>
      </c>
      <c r="J40" s="330">
        <f t="shared" si="0"/>
        <v>0.94419925537974492</v>
      </c>
      <c r="K40" s="205">
        <f t="shared" si="1"/>
        <v>17.293999560768953</v>
      </c>
      <c r="N40" s="359" t="s">
        <v>1310</v>
      </c>
      <c r="O40" s="360">
        <v>1.6414664220671049</v>
      </c>
      <c r="P40" s="360">
        <v>1.0508425486255135</v>
      </c>
      <c r="Q40" s="360">
        <v>1.1146904411042342</v>
      </c>
      <c r="R40" s="360">
        <v>1.4329089666172954</v>
      </c>
      <c r="S40" s="2588">
        <v>0.89459999999999995</v>
      </c>
    </row>
    <row r="41" spans="2:20" ht="12" customHeight="1">
      <c r="B41" s="210" t="s">
        <v>60</v>
      </c>
      <c r="C41" s="210" t="s">
        <v>333</v>
      </c>
      <c r="D41" s="210" t="s">
        <v>1310</v>
      </c>
      <c r="E41" s="210" t="s">
        <v>3548</v>
      </c>
      <c r="F41" s="205">
        <f t="shared" si="7"/>
        <v>159.44152300000002</v>
      </c>
      <c r="G41" s="205">
        <f t="shared" si="7"/>
        <v>121.56524799999997</v>
      </c>
      <c r="H41" s="205">
        <f t="shared" si="7"/>
        <v>50.446610000000014</v>
      </c>
      <c r="J41" s="330">
        <f t="shared" si="0"/>
        <v>0.76244409682413761</v>
      </c>
      <c r="K41" s="205">
        <f t="shared" si="1"/>
        <v>414.97558578583272</v>
      </c>
      <c r="N41" s="359" t="s">
        <v>1311</v>
      </c>
      <c r="O41" s="360">
        <v>1.0071753522853859</v>
      </c>
      <c r="P41" s="360">
        <v>0.97601431781776704</v>
      </c>
      <c r="Q41" s="360">
        <v>1.0752275888137688</v>
      </c>
      <c r="R41" s="360">
        <v>1.4257795536256619</v>
      </c>
      <c r="S41" s="2588">
        <v>0.95940000000000003</v>
      </c>
    </row>
    <row r="42" spans="2:20" ht="12" customHeight="1">
      <c r="B42" s="210" t="s">
        <v>60</v>
      </c>
      <c r="C42" s="210" t="s">
        <v>250</v>
      </c>
      <c r="D42" s="210" t="s">
        <v>1313</v>
      </c>
      <c r="E42" s="210" t="s">
        <v>3487</v>
      </c>
      <c r="F42" s="205"/>
      <c r="G42" s="205"/>
      <c r="H42" s="205"/>
      <c r="J42" s="2621">
        <f>J31</f>
        <v>9.9672039150137878E-2</v>
      </c>
      <c r="K42" s="2621">
        <f>K31</f>
        <v>8524.1633999788119</v>
      </c>
      <c r="P42" s="78"/>
    </row>
    <row r="43" spans="2:20" ht="12" customHeight="1">
      <c r="B43" s="212" t="s">
        <v>60</v>
      </c>
      <c r="C43" s="212" t="s">
        <v>332</v>
      </c>
      <c r="D43" s="212" t="s">
        <v>1311</v>
      </c>
      <c r="E43" s="212" t="s">
        <v>3548</v>
      </c>
      <c r="F43" s="208">
        <f>F29+F37</f>
        <v>1355.9533290000011</v>
      </c>
      <c r="G43" s="208">
        <f>G29+G37</f>
        <v>1100.3283739999995</v>
      </c>
      <c r="H43" s="208">
        <f>H29+H37</f>
        <v>1595.1959299999999</v>
      </c>
      <c r="J43" s="2587">
        <f t="shared" si="0"/>
        <v>0.81147953286229857</v>
      </c>
      <c r="K43" s="208">
        <f t="shared" si="1"/>
        <v>1449.7453375677474</v>
      </c>
    </row>
    <row r="44" spans="2:20" ht="12" customHeight="1">
      <c r="B44" s="1" t="s">
        <v>5104</v>
      </c>
      <c r="C44" s="210" t="s">
        <v>258</v>
      </c>
      <c r="D44" s="210" t="s">
        <v>1307</v>
      </c>
      <c r="E44" s="210" t="s">
        <v>3545</v>
      </c>
      <c r="F44" s="2586"/>
      <c r="G44" s="2586"/>
      <c r="H44" s="2586"/>
      <c r="J44" s="2586"/>
      <c r="K44" s="2586">
        <v>395.1</v>
      </c>
      <c r="N44" s="2086" t="s">
        <v>1802</v>
      </c>
      <c r="O44" s="2086" t="s">
        <v>3784</v>
      </c>
      <c r="P44" s="2086" t="s">
        <v>3785</v>
      </c>
      <c r="Q44" s="2086" t="s">
        <v>3786</v>
      </c>
    </row>
    <row r="45" spans="2:20" ht="12" customHeight="1">
      <c r="B45" s="1" t="s">
        <v>5103</v>
      </c>
      <c r="C45" s="210" t="s">
        <v>262</v>
      </c>
      <c r="D45" s="210" t="s">
        <v>1308</v>
      </c>
      <c r="E45" s="210" t="s">
        <v>3548</v>
      </c>
      <c r="F45" s="2586"/>
      <c r="G45" s="2586"/>
      <c r="H45" s="2586"/>
      <c r="J45" s="2586"/>
      <c r="K45" s="2620">
        <f>16.53*32.151</f>
        <v>531.45603000000006</v>
      </c>
      <c r="N45" s="2087">
        <v>2021</v>
      </c>
      <c r="O45" s="2088">
        <v>59.5</v>
      </c>
      <c r="P45" s="2089">
        <v>44179</v>
      </c>
      <c r="Q45" s="2090" t="s">
        <v>3787</v>
      </c>
    </row>
    <row r="46" spans="2:20" ht="12" customHeight="1">
      <c r="B46" s="1" t="s">
        <v>5103</v>
      </c>
      <c r="C46" s="210" t="s">
        <v>264</v>
      </c>
      <c r="D46" s="210" t="s">
        <v>1309</v>
      </c>
      <c r="E46" s="210" t="s">
        <v>3548</v>
      </c>
      <c r="F46" s="2586"/>
      <c r="G46" s="2586"/>
      <c r="H46" s="2586"/>
      <c r="J46" s="2586"/>
      <c r="K46" s="2620">
        <f>0.55*32.151</f>
        <v>17.683050000000005</v>
      </c>
      <c r="N46" s="1558">
        <v>2020</v>
      </c>
      <c r="O46" s="2091">
        <v>62</v>
      </c>
      <c r="P46" s="2092">
        <v>43790</v>
      </c>
      <c r="Q46" s="2093" t="s">
        <v>3788</v>
      </c>
    </row>
    <row r="47" spans="2:20" ht="12" customHeight="1">
      <c r="B47" s="1" t="s">
        <v>5103</v>
      </c>
      <c r="C47" s="210" t="s">
        <v>266</v>
      </c>
      <c r="D47" s="210" t="s">
        <v>1310</v>
      </c>
      <c r="E47" s="210" t="s">
        <v>3548</v>
      </c>
      <c r="F47" s="2586"/>
      <c r="G47" s="2586"/>
      <c r="H47" s="2586"/>
      <c r="J47" s="2586"/>
      <c r="K47" s="2622">
        <f>K41</f>
        <v>414.97558578583272</v>
      </c>
      <c r="N47" s="1558">
        <v>2019</v>
      </c>
      <c r="O47" s="2091">
        <v>80.8</v>
      </c>
      <c r="P47" s="2092">
        <v>43419</v>
      </c>
      <c r="Q47" s="2093" t="s">
        <v>3789</v>
      </c>
    </row>
    <row r="48" spans="2:20" ht="12" customHeight="1">
      <c r="B48" s="1" t="s">
        <v>5103</v>
      </c>
      <c r="C48" s="210" t="s">
        <v>250</v>
      </c>
      <c r="D48" s="210" t="s">
        <v>1313</v>
      </c>
      <c r="E48" s="210" t="s">
        <v>3487</v>
      </c>
      <c r="F48" s="2586"/>
      <c r="G48" s="2586"/>
      <c r="H48" s="2586"/>
      <c r="J48" s="2586"/>
      <c r="K48" s="2622">
        <f>K42</f>
        <v>8524.1633999788119</v>
      </c>
      <c r="N48" s="1558">
        <v>2018</v>
      </c>
      <c r="O48" s="2091">
        <v>87</v>
      </c>
      <c r="P48" s="2092">
        <v>43102</v>
      </c>
      <c r="Q48" s="2093" t="s">
        <v>3790</v>
      </c>
    </row>
    <row r="49" spans="2:22" ht="12" customHeight="1">
      <c r="B49" s="1" t="s">
        <v>5103</v>
      </c>
      <c r="C49" s="210" t="s">
        <v>268</v>
      </c>
      <c r="D49" s="210" t="s">
        <v>1311</v>
      </c>
      <c r="E49" s="210" t="s">
        <v>3548</v>
      </c>
      <c r="F49" s="2586"/>
      <c r="G49" s="2586"/>
      <c r="H49" s="2586"/>
      <c r="J49" s="2586"/>
      <c r="K49" s="2622">
        <f>K43</f>
        <v>1449.7453375677474</v>
      </c>
      <c r="N49" s="1558">
        <v>2017</v>
      </c>
      <c r="O49" s="2091">
        <v>92.5</v>
      </c>
      <c r="P49" s="2092">
        <v>42691</v>
      </c>
      <c r="Q49" s="2093" t="s">
        <v>3791</v>
      </c>
    </row>
    <row r="50" spans="2:22" ht="12" customHeight="1">
      <c r="N50" s="1558">
        <v>2016</v>
      </c>
      <c r="O50" s="2091">
        <v>97.35</v>
      </c>
      <c r="P50" s="2092">
        <v>42353</v>
      </c>
      <c r="Q50" s="2093" t="s">
        <v>3792</v>
      </c>
    </row>
    <row r="51" spans="2:22" ht="12" customHeight="1">
      <c r="N51" s="1558">
        <v>2015</v>
      </c>
      <c r="O51" s="2091">
        <v>107</v>
      </c>
      <c r="P51" s="2092">
        <v>41982</v>
      </c>
      <c r="Q51" s="2093" t="s">
        <v>3793</v>
      </c>
    </row>
    <row r="52" spans="2:22" ht="12" customHeight="1">
      <c r="N52" s="1558">
        <v>2014</v>
      </c>
      <c r="O52" s="2091">
        <v>92</v>
      </c>
      <c r="P52" s="2092">
        <v>41596</v>
      </c>
      <c r="Q52" s="2093" t="s">
        <v>3794</v>
      </c>
    </row>
    <row r="53" spans="2:22" ht="12" customHeight="1">
      <c r="N53" s="1558">
        <v>2013</v>
      </c>
      <c r="O53" s="2091">
        <v>70</v>
      </c>
      <c r="P53" s="2092">
        <v>41255</v>
      </c>
      <c r="Q53" s="2093" t="s">
        <v>3795</v>
      </c>
    </row>
    <row r="54" spans="2:22" ht="12" customHeight="1">
      <c r="N54" s="1558">
        <v>2012</v>
      </c>
      <c r="O54" s="2091">
        <v>63.5</v>
      </c>
      <c r="P54" s="2092">
        <v>40864</v>
      </c>
      <c r="Q54" s="2093" t="s">
        <v>3796</v>
      </c>
    </row>
    <row r="55" spans="2:22" ht="12" customHeight="1">
      <c r="N55" s="1558">
        <v>2011</v>
      </c>
      <c r="O55" s="2091">
        <v>70</v>
      </c>
      <c r="P55" s="2092">
        <v>40568</v>
      </c>
      <c r="Q55" s="2093" t="s">
        <v>3797</v>
      </c>
    </row>
    <row r="56" spans="2:22" ht="12" customHeight="1">
      <c r="N56" s="2094">
        <v>2010</v>
      </c>
      <c r="O56" s="2095">
        <v>46.5</v>
      </c>
      <c r="P56" s="2096">
        <v>40193</v>
      </c>
      <c r="Q56" s="2097" t="s">
        <v>3798</v>
      </c>
    </row>
    <row r="59" spans="2:22" ht="12" customHeight="1">
      <c r="N59" s="32" t="s">
        <v>5394</v>
      </c>
    </row>
    <row r="60" spans="2:22" ht="12" customHeight="1">
      <c r="N60" s="10"/>
      <c r="O60" s="2600" t="s">
        <v>2889</v>
      </c>
      <c r="P60" s="10" t="s">
        <v>5174</v>
      </c>
      <c r="Q60" s="10" t="s">
        <v>70</v>
      </c>
      <c r="R60" s="10" t="s">
        <v>71</v>
      </c>
      <c r="S60" s="10" t="s">
        <v>72</v>
      </c>
      <c r="T60" s="10" t="s">
        <v>73</v>
      </c>
      <c r="U60" s="10" t="s">
        <v>74</v>
      </c>
      <c r="V60" s="10" t="s">
        <v>5102</v>
      </c>
    </row>
    <row r="61" spans="2:22" ht="12" customHeight="1">
      <c r="N61" s="1" t="s">
        <v>325</v>
      </c>
      <c r="O61" s="1" t="s">
        <v>3462</v>
      </c>
      <c r="Q61" s="1">
        <v>389.8</v>
      </c>
      <c r="R61" s="1">
        <v>386.5</v>
      </c>
      <c r="S61" s="1">
        <v>411.4</v>
      </c>
      <c r="T61" s="1">
        <v>428.1</v>
      </c>
      <c r="U61" s="1">
        <f>T61</f>
        <v>428.1</v>
      </c>
      <c r="V61" s="1">
        <f t="shared" ref="V61:V63" si="8">U61</f>
        <v>428.1</v>
      </c>
    </row>
    <row r="62" spans="2:22" ht="12" customHeight="1">
      <c r="N62" s="1" t="s">
        <v>330</v>
      </c>
      <c r="O62" s="1" t="s">
        <v>5395</v>
      </c>
      <c r="Q62" s="1">
        <v>17.8</v>
      </c>
      <c r="R62" s="1">
        <v>18.2</v>
      </c>
      <c r="S62" s="1">
        <v>18.2</v>
      </c>
      <c r="T62" s="1">
        <v>19.100000000000001</v>
      </c>
      <c r="U62" s="1">
        <f t="shared" ref="U62" si="9">T62</f>
        <v>19.100000000000001</v>
      </c>
      <c r="V62" s="1">
        <f t="shared" si="8"/>
        <v>19.100000000000001</v>
      </c>
    </row>
    <row r="63" spans="2:22" ht="12" customHeight="1">
      <c r="N63" s="1" t="s">
        <v>331</v>
      </c>
      <c r="O63" s="1" t="s">
        <v>5395</v>
      </c>
      <c r="Q63" s="1">
        <v>0.5</v>
      </c>
      <c r="R63" s="1">
        <v>0.5</v>
      </c>
      <c r="S63" s="1">
        <v>0.5</v>
      </c>
      <c r="T63" s="1">
        <v>0.5</v>
      </c>
      <c r="U63" s="1">
        <f t="shared" ref="U63" si="10">T63</f>
        <v>0.5</v>
      </c>
      <c r="V63" s="1">
        <f t="shared" si="8"/>
        <v>0.5</v>
      </c>
    </row>
    <row r="64" spans="2:22" ht="12" customHeight="1">
      <c r="N64" s="1" t="s">
        <v>332</v>
      </c>
      <c r="Q64" s="2586"/>
      <c r="R64" s="2586"/>
      <c r="S64" s="2586"/>
      <c r="T64" s="2586"/>
      <c r="U64" s="2586"/>
      <c r="V64" s="2586"/>
    </row>
    <row r="65" spans="14:22" ht="12" customHeight="1">
      <c r="N65" s="1" t="s">
        <v>333</v>
      </c>
      <c r="Q65" s="2586"/>
      <c r="R65" s="2586"/>
      <c r="S65" s="2586"/>
      <c r="T65" s="2586"/>
      <c r="U65" s="2586"/>
      <c r="V65" s="2586"/>
    </row>
    <row r="66" spans="14:22" ht="12" customHeight="1">
      <c r="N66" s="68" t="s">
        <v>334</v>
      </c>
      <c r="O66" s="68"/>
      <c r="P66" s="68"/>
      <c r="Q66" s="2695"/>
      <c r="R66" s="2695"/>
      <c r="S66" s="2695"/>
      <c r="T66" s="2695"/>
      <c r="U66" s="2695"/>
      <c r="V66" s="2695"/>
    </row>
    <row r="68" spans="14:22" ht="12" customHeight="1">
      <c r="N68" s="10"/>
      <c r="O68" s="2600" t="s">
        <v>2889</v>
      </c>
      <c r="P68" s="10" t="s">
        <v>5174</v>
      </c>
      <c r="Q68" s="10" t="s">
        <v>70</v>
      </c>
      <c r="R68" s="10" t="s">
        <v>71</v>
      </c>
      <c r="S68" s="10" t="s">
        <v>72</v>
      </c>
      <c r="T68" s="10" t="s">
        <v>73</v>
      </c>
      <c r="U68" s="10" t="s">
        <v>74</v>
      </c>
      <c r="V68" s="10" t="s">
        <v>5102</v>
      </c>
    </row>
    <row r="69" spans="14:22" ht="12" customHeight="1">
      <c r="N69" s="1" t="s">
        <v>325</v>
      </c>
      <c r="O69" s="1" t="s">
        <v>3462</v>
      </c>
      <c r="Q69" s="1">
        <f>Q61</f>
        <v>389.8</v>
      </c>
      <c r="R69" s="1">
        <f t="shared" ref="R69:V69" si="11">R61</f>
        <v>386.5</v>
      </c>
      <c r="S69" s="1">
        <f t="shared" si="11"/>
        <v>411.4</v>
      </c>
      <c r="T69" s="1">
        <f t="shared" si="11"/>
        <v>428.1</v>
      </c>
      <c r="U69" s="1">
        <f t="shared" si="11"/>
        <v>428.1</v>
      </c>
      <c r="V69" s="1">
        <f t="shared" si="11"/>
        <v>428.1</v>
      </c>
    </row>
    <row r="70" spans="14:22" ht="12" customHeight="1">
      <c r="N70" s="1" t="s">
        <v>330</v>
      </c>
      <c r="O70" s="1" t="s">
        <v>3463</v>
      </c>
      <c r="Q70" s="2706">
        <f>Q62/31.1034768*1000</f>
        <v>572.28328892157811</v>
      </c>
      <c r="R70" s="2706">
        <f t="shared" ref="R70:V70" si="12">R62/31.1034768*1000</f>
        <v>585.14358754902923</v>
      </c>
      <c r="S70" s="2706">
        <f t="shared" si="12"/>
        <v>585.14358754902923</v>
      </c>
      <c r="T70" s="2706">
        <f t="shared" si="12"/>
        <v>614.07925946079445</v>
      </c>
      <c r="U70" s="2706">
        <f t="shared" si="12"/>
        <v>614.07925946079445</v>
      </c>
      <c r="V70" s="2706">
        <f t="shared" si="12"/>
        <v>614.07925946079445</v>
      </c>
    </row>
    <row r="71" spans="14:22" ht="12" customHeight="1">
      <c r="N71" s="1" t="s">
        <v>331</v>
      </c>
      <c r="O71" s="1" t="s">
        <v>3463</v>
      </c>
      <c r="Q71" s="2706">
        <f t="shared" ref="Q71:V71" si="13">Q63/31.1034768*1000</f>
        <v>16.07537328431399</v>
      </c>
      <c r="R71" s="2706">
        <f t="shared" si="13"/>
        <v>16.07537328431399</v>
      </c>
      <c r="S71" s="2706">
        <f t="shared" si="13"/>
        <v>16.07537328431399</v>
      </c>
      <c r="T71" s="2706">
        <f t="shared" si="13"/>
        <v>16.07537328431399</v>
      </c>
      <c r="U71" s="2706">
        <f t="shared" si="13"/>
        <v>16.07537328431399</v>
      </c>
      <c r="V71" s="2706">
        <f t="shared" si="13"/>
        <v>16.07537328431399</v>
      </c>
    </row>
    <row r="72" spans="14:22" ht="12" customHeight="1">
      <c r="N72" s="1" t="s">
        <v>332</v>
      </c>
      <c r="Q72" s="2586"/>
      <c r="R72" s="2586"/>
      <c r="S72" s="2586"/>
      <c r="T72" s="2586"/>
      <c r="U72" s="2586"/>
      <c r="V72" s="2586"/>
    </row>
    <row r="73" spans="14:22" ht="12" customHeight="1">
      <c r="N73" s="1" t="s">
        <v>333</v>
      </c>
      <c r="Q73" s="2586"/>
      <c r="R73" s="2586"/>
      <c r="S73" s="2586"/>
      <c r="T73" s="2586"/>
      <c r="U73" s="2586"/>
      <c r="V73" s="2586"/>
    </row>
    <row r="74" spans="14:22" ht="12" customHeight="1">
      <c r="N74" s="68" t="s">
        <v>334</v>
      </c>
      <c r="O74" s="68"/>
      <c r="P74" s="68"/>
      <c r="Q74" s="2695"/>
      <c r="R74" s="2695"/>
      <c r="S74" s="2695"/>
      <c r="T74" s="2695"/>
      <c r="U74" s="2695"/>
      <c r="V74" s="2695"/>
    </row>
  </sheetData>
  <phoneticPr fontId="1" type="noConversion"/>
  <conditionalFormatting sqref="N60">
    <cfRule type="cellIs" dxfId="214" priority="21" operator="equal">
      <formula>"X"</formula>
    </cfRule>
    <cfRule type="cellIs" dxfId="213" priority="22" operator="equal">
      <formula>"O"</formula>
    </cfRule>
    <cfRule type="cellIs" dxfId="212" priority="23" operator="equal">
      <formula>"미정"</formula>
    </cfRule>
    <cfRule type="cellIs" dxfId="211" priority="24" operator="equal">
      <formula>"예정"</formula>
    </cfRule>
    <cfRule type="cellIs" dxfId="210" priority="25" operator="equal">
      <formula>"확정"</formula>
    </cfRule>
  </conditionalFormatting>
  <conditionalFormatting sqref="P60:V60">
    <cfRule type="cellIs" dxfId="209" priority="26" operator="equal">
      <formula>"X"</formula>
    </cfRule>
    <cfRule type="cellIs" dxfId="208" priority="27" operator="equal">
      <formula>"O"</formula>
    </cfRule>
    <cfRule type="cellIs" dxfId="207" priority="28" operator="equal">
      <formula>"미정"</formula>
    </cfRule>
    <cfRule type="cellIs" dxfId="206" priority="29" operator="equal">
      <formula>"예정"</formula>
    </cfRule>
    <cfRule type="cellIs" dxfId="205" priority="30" operator="equal">
      <formula>"확정"</formula>
    </cfRule>
  </conditionalFormatting>
  <conditionalFormatting sqref="O60">
    <cfRule type="cellIs" dxfId="204" priority="16" operator="equal">
      <formula>"X"</formula>
    </cfRule>
    <cfRule type="cellIs" dxfId="203" priority="17" operator="equal">
      <formula>"O"</formula>
    </cfRule>
    <cfRule type="cellIs" dxfId="202" priority="18" operator="equal">
      <formula>"미정"</formula>
    </cfRule>
    <cfRule type="cellIs" dxfId="201" priority="19" operator="equal">
      <formula>"예정"</formula>
    </cfRule>
    <cfRule type="cellIs" dxfId="200" priority="20" operator="equal">
      <formula>"확정"</formula>
    </cfRule>
  </conditionalFormatting>
  <conditionalFormatting sqref="O68">
    <cfRule type="cellIs" dxfId="199" priority="1" operator="equal">
      <formula>"X"</formula>
    </cfRule>
    <cfRule type="cellIs" dxfId="198" priority="2" operator="equal">
      <formula>"O"</formula>
    </cfRule>
    <cfRule type="cellIs" dxfId="197" priority="3" operator="equal">
      <formula>"미정"</formula>
    </cfRule>
    <cfRule type="cellIs" dxfId="196" priority="4" operator="equal">
      <formula>"예정"</formula>
    </cfRule>
    <cfRule type="cellIs" dxfId="195" priority="5" operator="equal">
      <formula>"확정"</formula>
    </cfRule>
  </conditionalFormatting>
  <conditionalFormatting sqref="N68">
    <cfRule type="cellIs" dxfId="194" priority="6" operator="equal">
      <formula>"X"</formula>
    </cfRule>
    <cfRule type="cellIs" dxfId="193" priority="7" operator="equal">
      <formula>"O"</formula>
    </cfRule>
    <cfRule type="cellIs" dxfId="192" priority="8" operator="equal">
      <formula>"미정"</formula>
    </cfRule>
    <cfRule type="cellIs" dxfId="191" priority="9" operator="equal">
      <formula>"예정"</formula>
    </cfRule>
    <cfRule type="cellIs" dxfId="190" priority="10" operator="equal">
      <formula>"확정"</formula>
    </cfRule>
  </conditionalFormatting>
  <conditionalFormatting sqref="P68:V68">
    <cfRule type="cellIs" dxfId="189" priority="11" operator="equal">
      <formula>"X"</formula>
    </cfRule>
    <cfRule type="cellIs" dxfId="188" priority="12" operator="equal">
      <formula>"O"</formula>
    </cfRule>
    <cfRule type="cellIs" dxfId="187" priority="13" operator="equal">
      <formula>"미정"</formula>
    </cfRule>
    <cfRule type="cellIs" dxfId="186" priority="14" operator="equal">
      <formula>"예정"</formula>
    </cfRule>
    <cfRule type="cellIs" dxfId="185" priority="15" operator="equal">
      <formula>"확정"</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BC246-A544-4AD8-AF4F-E157987BA4C0}">
  <sheetPr codeName="Sheet44"/>
  <dimension ref="B2:T56"/>
  <sheetViews>
    <sheetView workbookViewId="0"/>
  </sheetViews>
  <sheetFormatPr defaultColWidth="9" defaultRowHeight="12"/>
  <cols>
    <col min="1" max="1" width="5.75" style="1" customWidth="1"/>
    <col min="2" max="4" width="9" style="1"/>
    <col min="5" max="5" width="9" style="1" customWidth="1"/>
    <col min="6" max="8" width="11.875" style="1" customWidth="1"/>
    <col min="9" max="9" width="10.5" style="1" bestFit="1" customWidth="1"/>
    <col min="10" max="10" width="10.125" style="1" customWidth="1"/>
    <col min="11" max="12" width="9" style="1"/>
    <col min="13" max="13" width="11.375" style="1" bestFit="1" customWidth="1"/>
    <col min="14" max="16" width="9" style="1" customWidth="1"/>
    <col min="17" max="18" width="10.125" style="1" bestFit="1" customWidth="1"/>
    <col min="19" max="16384" width="9" style="1"/>
  </cols>
  <sheetData>
    <row r="2" spans="2:20">
      <c r="B2" s="32" t="s">
        <v>5212</v>
      </c>
      <c r="C2" s="110"/>
      <c r="D2" s="110"/>
      <c r="E2" s="3"/>
      <c r="F2" s="3"/>
      <c r="G2" s="3"/>
      <c r="H2" s="3"/>
      <c r="I2" s="3"/>
      <c r="J2" s="3"/>
      <c r="K2" s="3"/>
      <c r="L2" s="3"/>
      <c r="M2" s="3"/>
      <c r="N2" s="110"/>
      <c r="O2" s="3"/>
      <c r="P2" s="3"/>
      <c r="Q2" s="3"/>
      <c r="R2" s="3"/>
      <c r="S2" s="3"/>
      <c r="T2" s="3"/>
    </row>
    <row r="3" spans="2:20">
      <c r="B3" s="2625"/>
      <c r="C3" s="2626"/>
      <c r="D3" s="2626"/>
      <c r="E3" s="2630" t="s">
        <v>5220</v>
      </c>
      <c r="F3" s="2630" t="s">
        <v>5221</v>
      </c>
      <c r="G3" s="2630" t="s">
        <v>5222</v>
      </c>
      <c r="H3" s="2630" t="s">
        <v>5223</v>
      </c>
      <c r="I3" s="2630" t="s">
        <v>5224</v>
      </c>
      <c r="J3" s="2630" t="s">
        <v>5225</v>
      </c>
      <c r="K3" s="3"/>
      <c r="L3" s="3" t="s">
        <v>6057</v>
      </c>
      <c r="M3" s="3">
        <v>60</v>
      </c>
      <c r="N3" s="110" t="s">
        <v>6060</v>
      </c>
      <c r="O3" s="3"/>
      <c r="P3" s="248">
        <f>10000</f>
        <v>10000</v>
      </c>
      <c r="Q3" s="3"/>
      <c r="R3" s="3">
        <f>M3*P3</f>
        <v>600000</v>
      </c>
      <c r="S3" s="3"/>
      <c r="T3" s="3"/>
    </row>
    <row r="4" spans="2:20">
      <c r="B4" s="2611" t="s">
        <v>5187</v>
      </c>
      <c r="C4" s="2627" t="s">
        <v>5213</v>
      </c>
      <c r="D4" s="2627" t="s">
        <v>3486</v>
      </c>
      <c r="E4" s="2611">
        <f>Sheet1!E5/1000</f>
        <v>634919.87014329992</v>
      </c>
      <c r="F4" s="2611">
        <f>Sheet1!F5/1000</f>
        <v>656953.0119863</v>
      </c>
      <c r="G4" s="2611">
        <f>Sheet1!G5/1000</f>
        <v>665404.34407999995</v>
      </c>
      <c r="H4" s="2611">
        <f>Sheet1!H5/1000</f>
        <v>654006.17745800002</v>
      </c>
      <c r="I4" s="2611">
        <f>Sheet1!I5/1000</f>
        <v>654821.35237899993</v>
      </c>
      <c r="J4" s="2611">
        <f>Sheet1!J5/1000</f>
        <v>463530.18276600004</v>
      </c>
      <c r="K4" s="248"/>
      <c r="L4" s="248" t="s">
        <v>6058</v>
      </c>
      <c r="M4" s="248">
        <v>6</v>
      </c>
      <c r="N4" s="2628"/>
      <c r="O4" s="248"/>
      <c r="P4" s="278">
        <v>0.3</v>
      </c>
      <c r="Q4" s="248"/>
      <c r="R4" s="248">
        <f>M6*P3*P4*P5</f>
        <v>382942.49399999995</v>
      </c>
      <c r="S4" s="248"/>
      <c r="T4" s="248"/>
    </row>
    <row r="5" spans="2:20">
      <c r="B5" s="3" t="s">
        <v>262</v>
      </c>
      <c r="C5" s="110" t="s">
        <v>5214</v>
      </c>
      <c r="D5" s="110" t="s">
        <v>3487</v>
      </c>
      <c r="E5" s="248">
        <f>Sheet1!E6/1000</f>
        <v>47065.947283000001</v>
      </c>
      <c r="F5" s="248">
        <f>Sheet1!F6/1000</f>
        <v>41321.202831399998</v>
      </c>
      <c r="G5" s="248">
        <f>Sheet1!G6/1000</f>
        <v>39219.843363</v>
      </c>
      <c r="H5" s="248">
        <f>Sheet1!H6/1000</f>
        <v>45537.069965000002</v>
      </c>
      <c r="I5" s="248">
        <f>Sheet1!I6/1000</f>
        <v>32292.962364999996</v>
      </c>
      <c r="J5" s="248">
        <f>Sheet1!J6/1000</f>
        <v>24574.674384000002</v>
      </c>
      <c r="K5" s="3"/>
      <c r="L5" s="3"/>
      <c r="M5" s="3"/>
      <c r="N5" s="110"/>
      <c r="O5" s="3"/>
      <c r="P5" s="1981">
        <v>0.96499999999999997</v>
      </c>
      <c r="Q5" s="3"/>
      <c r="R5" s="3"/>
      <c r="S5" s="3"/>
      <c r="T5" s="3"/>
    </row>
    <row r="6" spans="2:20">
      <c r="B6" s="3" t="s">
        <v>264</v>
      </c>
      <c r="C6" s="110" t="s">
        <v>5214</v>
      </c>
      <c r="D6" s="110" t="s">
        <v>3487</v>
      </c>
      <c r="E6" s="248">
        <f>Sheet1!E7/1000</f>
        <v>907450.90322580002</v>
      </c>
      <c r="F6" s="248">
        <f>Sheet1!F7/1000</f>
        <v>550745.5430073</v>
      </c>
      <c r="G6" s="248">
        <f>Sheet1!G7/1000</f>
        <v>655186.38159899996</v>
      </c>
      <c r="H6" s="248">
        <f>Sheet1!H7/1000</f>
        <v>641222.21914100018</v>
      </c>
      <c r="I6" s="248">
        <f>Sheet1!I7/1000</f>
        <v>564136.19235100003</v>
      </c>
      <c r="J6" s="248">
        <f>Sheet1!J7/1000</f>
        <v>459027.945557</v>
      </c>
      <c r="K6" s="3"/>
      <c r="L6" s="3" t="s">
        <v>6059</v>
      </c>
      <c r="M6" s="248">
        <f>M4*2204.62/100</f>
        <v>132.27719999999999</v>
      </c>
      <c r="N6" s="110" t="s">
        <v>6060</v>
      </c>
      <c r="O6" s="3"/>
      <c r="P6" s="3"/>
      <c r="Q6" s="3"/>
      <c r="R6" s="3"/>
      <c r="S6" s="3"/>
      <c r="T6" s="3"/>
    </row>
    <row r="7" spans="2:20">
      <c r="B7" s="3" t="s">
        <v>266</v>
      </c>
      <c r="C7" s="110" t="s">
        <v>5214</v>
      </c>
      <c r="D7" s="110" t="s">
        <v>3487</v>
      </c>
      <c r="E7" s="248">
        <f>Sheet1!E8/1000</f>
        <v>0</v>
      </c>
      <c r="F7" s="248">
        <f>Sheet1!F8/1000</f>
        <v>34.230556999999997</v>
      </c>
      <c r="G7" s="248">
        <f>Sheet1!G8/1000</f>
        <v>105.08205700000001</v>
      </c>
      <c r="H7" s="248">
        <f>Sheet1!H8/1000</f>
        <v>162.68063799999999</v>
      </c>
      <c r="I7" s="248">
        <f>Sheet1!I8/1000</f>
        <v>137.69426300000001</v>
      </c>
      <c r="J7" s="248">
        <f>Sheet1!J8/1000</f>
        <v>138.43223900000001</v>
      </c>
      <c r="K7" s="3"/>
      <c r="L7" s="3" t="s">
        <v>6061</v>
      </c>
      <c r="M7" s="2104">
        <f t="shared" ref="M7:R7" si="0">E36*1000/(E4+2.20462*E12)</f>
        <v>149.78274678510823</v>
      </c>
      <c r="N7" s="3617">
        <f t="shared" si="0"/>
        <v>147.82030410839832</v>
      </c>
      <c r="O7" s="2104">
        <f t="shared" si="0"/>
        <v>151.44717062118312</v>
      </c>
      <c r="P7" s="2104">
        <f t="shared" si="0"/>
        <v>135.99083156644991</v>
      </c>
      <c r="Q7" s="2104">
        <f t="shared" si="0"/>
        <v>126.25234126557322</v>
      </c>
      <c r="R7" s="2104">
        <f t="shared" si="0"/>
        <v>121.16920422367865</v>
      </c>
      <c r="S7" s="3"/>
      <c r="T7" s="3"/>
    </row>
    <row r="8" spans="2:20">
      <c r="B8" s="12" t="s">
        <v>268</v>
      </c>
      <c r="C8" s="1950" t="s">
        <v>5214</v>
      </c>
      <c r="D8" s="1950" t="s">
        <v>3487</v>
      </c>
      <c r="E8" s="2615">
        <f>Sheet1!E9/1000</f>
        <v>0</v>
      </c>
      <c r="F8" s="2615">
        <f>Sheet1!F9/1000</f>
        <v>201.544364</v>
      </c>
      <c r="G8" s="2615">
        <f>Sheet1!G9/1000</f>
        <v>1624.001888</v>
      </c>
      <c r="H8" s="2615">
        <f>Sheet1!H9/1000</f>
        <v>1567.9296400000001</v>
      </c>
      <c r="I8" s="2615">
        <f>Sheet1!I9/1000</f>
        <v>1292.6238379999998</v>
      </c>
      <c r="J8" s="2615">
        <f>Sheet1!J9/1000</f>
        <v>846.60489300000006</v>
      </c>
      <c r="K8" s="3"/>
      <c r="L8" s="1" t="s">
        <v>6062</v>
      </c>
      <c r="M8" s="2620">
        <f>M7*0.1*22.0462</f>
        <v>330.21403921738528</v>
      </c>
      <c r="N8" s="2620">
        <f t="shared" ref="N8:R8" si="1">N7*0.1*22.0462</f>
        <v>325.88759884345711</v>
      </c>
      <c r="O8" s="2620">
        <f t="shared" si="1"/>
        <v>333.88346129487275</v>
      </c>
      <c r="P8" s="2620">
        <f t="shared" si="1"/>
        <v>299.80810708802682</v>
      </c>
      <c r="Q8" s="2620">
        <f t="shared" si="1"/>
        <v>278.33843660090804</v>
      </c>
      <c r="R8" s="2620">
        <f t="shared" si="1"/>
        <v>267.13205101560641</v>
      </c>
      <c r="S8" s="3"/>
      <c r="T8" s="3"/>
    </row>
    <row r="9" spans="2:20">
      <c r="B9" s="3"/>
      <c r="C9" s="110"/>
      <c r="D9" s="110"/>
      <c r="E9" s="3"/>
      <c r="F9" s="3"/>
      <c r="G9" s="3"/>
      <c r="H9" s="3"/>
      <c r="I9" s="3"/>
      <c r="J9" s="3"/>
      <c r="K9" s="3"/>
      <c r="L9" s="3"/>
      <c r="M9" s="3617">
        <f>(M7*E4+M8*E12)/1000</f>
        <v>298330.35366999998</v>
      </c>
      <c r="N9" s="3617">
        <f t="shared" ref="N9:R9" si="2">(N7*F4+N8*F12)/1000</f>
        <v>305148.74659000005</v>
      </c>
      <c r="O9" s="3617">
        <f t="shared" si="2"/>
        <v>316608.51434000011</v>
      </c>
      <c r="P9" s="3617">
        <f t="shared" si="2"/>
        <v>279447.28437999997</v>
      </c>
      <c r="Q9" s="3617">
        <f t="shared" si="2"/>
        <v>259484.78419000003</v>
      </c>
      <c r="R9" s="3617">
        <f t="shared" si="2"/>
        <v>176492.31501999998</v>
      </c>
      <c r="S9" s="3"/>
      <c r="T9" s="3"/>
    </row>
    <row r="10" spans="2:20">
      <c r="B10" s="32" t="s">
        <v>5215</v>
      </c>
      <c r="C10" s="110"/>
      <c r="D10" s="110"/>
      <c r="E10" s="3"/>
      <c r="F10" s="3"/>
      <c r="G10" s="3"/>
      <c r="H10" s="3"/>
      <c r="I10" s="3"/>
      <c r="J10" s="3"/>
      <c r="K10" s="3"/>
      <c r="L10" s="32" t="s">
        <v>5216</v>
      </c>
      <c r="M10" s="3"/>
      <c r="N10" s="110"/>
      <c r="O10" s="3"/>
      <c r="P10" s="3"/>
      <c r="Q10" s="3"/>
      <c r="R10" s="3"/>
      <c r="S10" s="3"/>
      <c r="T10" s="3"/>
    </row>
    <row r="11" spans="2:20">
      <c r="B11" s="2625"/>
      <c r="C11" s="2626"/>
      <c r="D11" s="2626"/>
      <c r="E11" s="2630" t="s">
        <v>3799</v>
      </c>
      <c r="F11" s="2630" t="s">
        <v>240</v>
      </c>
      <c r="G11" s="2630" t="s">
        <v>69</v>
      </c>
      <c r="H11" s="2630" t="s">
        <v>27</v>
      </c>
      <c r="I11" s="2630" t="s">
        <v>60</v>
      </c>
      <c r="J11" s="2630" t="s">
        <v>5104</v>
      </c>
      <c r="K11" s="3"/>
      <c r="L11" s="2625"/>
      <c r="M11" s="2625"/>
      <c r="N11" s="2626"/>
      <c r="O11" s="2630" t="s">
        <v>3799</v>
      </c>
      <c r="P11" s="2630" t="s">
        <v>240</v>
      </c>
      <c r="Q11" s="2630" t="s">
        <v>69</v>
      </c>
      <c r="R11" s="2630" t="s">
        <v>27</v>
      </c>
      <c r="S11" s="2630" t="s">
        <v>60</v>
      </c>
      <c r="T11" s="2630" t="s">
        <v>5104</v>
      </c>
    </row>
    <row r="12" spans="2:20">
      <c r="B12" s="2611" t="s">
        <v>5187</v>
      </c>
      <c r="C12" s="2627" t="s">
        <v>5213</v>
      </c>
      <c r="D12" s="2627" t="s">
        <v>3486</v>
      </c>
      <c r="E12" s="2611">
        <f>Sheet1!E10/1000</f>
        <v>615450.24558360002</v>
      </c>
      <c r="F12" s="2611">
        <f>Sheet1!F10/1000</f>
        <v>638372.71903429995</v>
      </c>
      <c r="G12" s="2611">
        <f>Sheet1!G10/1000</f>
        <v>646437.85670899996</v>
      </c>
      <c r="H12" s="2611">
        <f>Sheet1!H10/1000</f>
        <v>635434.58617000002</v>
      </c>
      <c r="I12" s="2611">
        <f>Sheet1!I10/1000</f>
        <v>635241.24623499997</v>
      </c>
      <c r="J12" s="2611">
        <f>Sheet1!J10/1000</f>
        <v>450439.14117800002</v>
      </c>
      <c r="K12" s="3"/>
      <c r="L12" s="2611" t="s">
        <v>325</v>
      </c>
      <c r="M12" s="2611"/>
      <c r="N12" s="2627" t="s">
        <v>360</v>
      </c>
      <c r="O12" s="2629">
        <f t="shared" ref="O12:T16" si="3">IFERROR(E12/E4,)</f>
        <v>0.96933530438210158</v>
      </c>
      <c r="P12" s="2629">
        <f t="shared" si="3"/>
        <v>0.97171747048419421</v>
      </c>
      <c r="Q12" s="2629">
        <f t="shared" si="3"/>
        <v>0.97149629764256584</v>
      </c>
      <c r="R12" s="2629">
        <f t="shared" si="3"/>
        <v>0.97160333965011725</v>
      </c>
      <c r="S12" s="2629">
        <f t="shared" si="3"/>
        <v>0.97009855272302226</v>
      </c>
      <c r="T12" s="2629">
        <f t="shared" si="3"/>
        <v>0.9717579521793327</v>
      </c>
    </row>
    <row r="13" spans="2:20">
      <c r="B13" s="3" t="s">
        <v>262</v>
      </c>
      <c r="C13" s="110" t="s">
        <v>5214</v>
      </c>
      <c r="D13" s="110" t="s">
        <v>3487</v>
      </c>
      <c r="E13" s="248">
        <f>Sheet1!E11/1000</f>
        <v>45826.251081100003</v>
      </c>
      <c r="F13" s="248">
        <f>Sheet1!F11/1000</f>
        <v>40235.892221599999</v>
      </c>
      <c r="G13" s="248">
        <f>Sheet1!G11/1000</f>
        <v>38162.984255999996</v>
      </c>
      <c r="H13" s="248">
        <f>Sheet1!H11/1000</f>
        <v>44458.895858000003</v>
      </c>
      <c r="I13" s="248">
        <f>Sheet1!I11/1000</f>
        <v>31390.009663000001</v>
      </c>
      <c r="J13" s="248">
        <f>Sheet1!J11/1000</f>
        <v>23898.811054000002</v>
      </c>
      <c r="K13" s="3"/>
      <c r="L13" s="3" t="s">
        <v>262</v>
      </c>
      <c r="M13" s="3"/>
      <c r="N13" s="110" t="s">
        <v>2702</v>
      </c>
      <c r="O13" s="1981">
        <f t="shared" si="3"/>
        <v>0.97366044298554322</v>
      </c>
      <c r="P13" s="1981">
        <f t="shared" si="3"/>
        <v>0.97373477693211608</v>
      </c>
      <c r="Q13" s="1981">
        <f t="shared" si="3"/>
        <v>0.97305294931399333</v>
      </c>
      <c r="R13" s="1981">
        <f t="shared" si="3"/>
        <v>0.97632315588533281</v>
      </c>
      <c r="S13" s="1981">
        <f t="shared" si="3"/>
        <v>0.97203871568690026</v>
      </c>
      <c r="T13" s="1981">
        <f t="shared" si="3"/>
        <v>0.97249756723368674</v>
      </c>
    </row>
    <row r="14" spans="2:20">
      <c r="B14" s="3" t="s">
        <v>264</v>
      </c>
      <c r="C14" s="110" t="s">
        <v>5214</v>
      </c>
      <c r="D14" s="110" t="s">
        <v>3487</v>
      </c>
      <c r="E14" s="248">
        <f>Sheet1!E12/1000</f>
        <v>869381.12497839995</v>
      </c>
      <c r="F14" s="248">
        <f>Sheet1!F12/1000</f>
        <v>520684.31874590006</v>
      </c>
      <c r="G14" s="248">
        <f>Sheet1!G12/1000</f>
        <v>620602.59479600005</v>
      </c>
      <c r="H14" s="248">
        <f>Sheet1!H12/1000</f>
        <v>608130.03273700003</v>
      </c>
      <c r="I14" s="248">
        <f>Sheet1!I12/1000</f>
        <v>532957.63798400003</v>
      </c>
      <c r="J14" s="248">
        <f>Sheet1!J12/1000</f>
        <v>436817.04843900003</v>
      </c>
      <c r="K14" s="3"/>
      <c r="L14" s="3" t="s">
        <v>264</v>
      </c>
      <c r="M14" s="3"/>
      <c r="N14" s="110" t="s">
        <v>2702</v>
      </c>
      <c r="O14" s="1981">
        <f t="shared" si="3"/>
        <v>0.95804756145806913</v>
      </c>
      <c r="P14" s="1981">
        <f t="shared" si="3"/>
        <v>0.94541721736456885</v>
      </c>
      <c r="Q14" s="1981">
        <f t="shared" si="3"/>
        <v>0.94721534547376085</v>
      </c>
      <c r="R14" s="1981">
        <f t="shared" si="3"/>
        <v>0.94839201541030282</v>
      </c>
      <c r="S14" s="1981">
        <f t="shared" si="3"/>
        <v>0.94473222106692811</v>
      </c>
      <c r="T14" s="1981">
        <f t="shared" si="3"/>
        <v>0.95161319189172999</v>
      </c>
    </row>
    <row r="15" spans="2:20">
      <c r="B15" s="3" t="s">
        <v>266</v>
      </c>
      <c r="C15" s="110" t="s">
        <v>5214</v>
      </c>
      <c r="D15" s="110" t="s">
        <v>3487</v>
      </c>
      <c r="E15" s="248">
        <f>Sheet1!E13/1000</f>
        <v>0</v>
      </c>
      <c r="F15" s="248">
        <f>Sheet1!F13/1000</f>
        <v>21.917883999999997</v>
      </c>
      <c r="G15" s="248">
        <f>Sheet1!G13/1000</f>
        <v>78.203711999999996</v>
      </c>
      <c r="H15" s="248">
        <f>Sheet1!H13/1000</f>
        <v>113.17987000000001</v>
      </c>
      <c r="I15" s="248">
        <f>Sheet1!I13/1000</f>
        <v>101.14659099999999</v>
      </c>
      <c r="J15" s="248">
        <f>Sheet1!J13/1000</f>
        <v>102.88755099999999</v>
      </c>
      <c r="K15" s="3"/>
      <c r="L15" s="3" t="s">
        <v>266</v>
      </c>
      <c r="M15" s="3"/>
      <c r="N15" s="110" t="s">
        <v>2702</v>
      </c>
      <c r="O15" s="1981">
        <f t="shared" si="3"/>
        <v>0</v>
      </c>
      <c r="P15" s="1981">
        <f t="shared" si="3"/>
        <v>0.64030170470202974</v>
      </c>
      <c r="Q15" s="1981">
        <f t="shared" si="3"/>
        <v>0.74421565615145879</v>
      </c>
      <c r="R15" s="1981">
        <f t="shared" si="3"/>
        <v>0.69571813456989284</v>
      </c>
      <c r="S15" s="1981">
        <f t="shared" si="3"/>
        <v>0.73457374908931383</v>
      </c>
      <c r="T15" s="1981">
        <f t="shared" si="3"/>
        <v>0.74323403091096418</v>
      </c>
    </row>
    <row r="16" spans="2:20">
      <c r="B16" s="12" t="s">
        <v>268</v>
      </c>
      <c r="C16" s="1950" t="s">
        <v>5214</v>
      </c>
      <c r="D16" s="1950" t="s">
        <v>3487</v>
      </c>
      <c r="E16" s="2615">
        <f>Sheet1!E14/1000</f>
        <v>0</v>
      </c>
      <c r="F16" s="2615">
        <f>Sheet1!F14/1000</f>
        <v>155.05459500000001</v>
      </c>
      <c r="G16" s="2615">
        <f>Sheet1!G14/1000</f>
        <v>1347.9532619999998</v>
      </c>
      <c r="H16" s="2615">
        <f>Sheet1!H14/1000</f>
        <v>1290.720264</v>
      </c>
      <c r="I16" s="2615">
        <f>Sheet1!I14/1000</f>
        <v>1052.835769</v>
      </c>
      <c r="J16" s="2615">
        <f>Sheet1!J14/1000</f>
        <v>692.19691499999999</v>
      </c>
      <c r="K16" s="3"/>
      <c r="L16" s="12" t="s">
        <v>268</v>
      </c>
      <c r="M16" s="12"/>
      <c r="N16" s="1950" t="s">
        <v>2702</v>
      </c>
      <c r="O16" s="1980">
        <f t="shared" si="3"/>
        <v>0</v>
      </c>
      <c r="P16" s="1980">
        <f t="shared" si="3"/>
        <v>0.76933232923347838</v>
      </c>
      <c r="Q16" s="1980">
        <f t="shared" si="3"/>
        <v>0.83001951657829587</v>
      </c>
      <c r="R16" s="1980">
        <f t="shared" si="3"/>
        <v>0.82320037269019286</v>
      </c>
      <c r="S16" s="1980">
        <f t="shared" si="3"/>
        <v>0.81449508979270446</v>
      </c>
      <c r="T16" s="1980">
        <f t="shared" si="3"/>
        <v>0.81761506544942675</v>
      </c>
    </row>
    <row r="17" spans="2:20">
      <c r="B17" s="3"/>
      <c r="C17" s="110"/>
      <c r="D17" s="110"/>
      <c r="E17" s="3"/>
      <c r="F17" s="3"/>
      <c r="G17" s="3"/>
      <c r="H17" s="3"/>
      <c r="I17" s="3"/>
      <c r="J17" s="3"/>
      <c r="K17" s="3"/>
      <c r="L17" s="3"/>
      <c r="M17" s="3"/>
      <c r="N17" s="110"/>
      <c r="O17" s="3"/>
      <c r="P17" s="3"/>
      <c r="Q17" s="3"/>
      <c r="R17" s="3"/>
      <c r="S17" s="3"/>
      <c r="T17" s="3"/>
    </row>
    <row r="18" spans="2:20">
      <c r="B18" s="32" t="s">
        <v>6907</v>
      </c>
      <c r="C18" s="110"/>
      <c r="D18" s="110"/>
      <c r="E18" s="3"/>
      <c r="F18" s="3"/>
      <c r="G18" s="3"/>
      <c r="H18" s="3"/>
      <c r="I18" s="3"/>
      <c r="J18" s="3"/>
      <c r="K18" s="3"/>
      <c r="L18" s="32" t="s">
        <v>5564</v>
      </c>
      <c r="M18" s="3"/>
      <c r="N18" s="110"/>
      <c r="O18" s="3"/>
      <c r="P18" s="3"/>
      <c r="Q18" s="1981"/>
      <c r="R18" s="1981"/>
      <c r="S18" s="1981"/>
      <c r="T18" s="1981"/>
    </row>
    <row r="19" spans="2:20">
      <c r="B19" s="2625"/>
      <c r="C19" s="2626"/>
      <c r="D19" s="2626"/>
      <c r="E19" s="2630"/>
      <c r="F19" s="2630"/>
      <c r="G19" s="2630" t="s">
        <v>69</v>
      </c>
      <c r="H19" s="2630" t="s">
        <v>27</v>
      </c>
      <c r="I19" s="2630" t="s">
        <v>60</v>
      </c>
      <c r="J19" s="2630" t="s">
        <v>5104</v>
      </c>
      <c r="K19" s="3"/>
      <c r="L19" s="2625"/>
      <c r="M19" s="2625"/>
      <c r="N19" s="2626"/>
      <c r="O19" s="2630"/>
      <c r="P19" s="2630"/>
      <c r="Q19" s="2630" t="s">
        <v>69</v>
      </c>
      <c r="R19" s="2630" t="s">
        <v>27</v>
      </c>
      <c r="S19" s="2630" t="s">
        <v>60</v>
      </c>
      <c r="T19" s="2630" t="s">
        <v>5104</v>
      </c>
    </row>
    <row r="20" spans="2:20">
      <c r="B20" s="2611" t="s">
        <v>5187</v>
      </c>
      <c r="C20" s="2627" t="s">
        <v>5213</v>
      </c>
      <c r="D20" s="2627" t="s">
        <v>3486</v>
      </c>
      <c r="E20" s="2611"/>
      <c r="F20" s="2611"/>
      <c r="G20" s="2611">
        <f>Revenue!J27</f>
        <v>651602.01399999962</v>
      </c>
      <c r="H20" s="2611">
        <f>Revenue!K27</f>
        <v>640466.69499999925</v>
      </c>
      <c r="I20" s="2611">
        <f>Revenue!L27</f>
        <v>642520.47100000002</v>
      </c>
      <c r="J20" s="2611">
        <f>Revenue!M27</f>
        <v>454818.78399999999</v>
      </c>
      <c r="K20" s="3"/>
      <c r="L20" s="2611" t="s">
        <v>325</v>
      </c>
      <c r="M20" s="2611"/>
      <c r="N20" s="2627" t="s">
        <v>360</v>
      </c>
      <c r="O20" s="2629"/>
      <c r="P20" s="2629"/>
      <c r="Q20" s="2629">
        <f t="shared" ref="Q20:T24" si="4">IFERROR(G20/G4,)</f>
        <v>0.97925722877706234</v>
      </c>
      <c r="R20" s="2629">
        <f t="shared" si="4"/>
        <v>0.97929762298174883</v>
      </c>
      <c r="S20" s="2629">
        <f t="shared" si="4"/>
        <v>0.9812149048983968</v>
      </c>
      <c r="T20" s="2629">
        <f t="shared" si="4"/>
        <v>0.98120640448046559</v>
      </c>
    </row>
    <row r="21" spans="2:20">
      <c r="B21" s="3" t="s">
        <v>262</v>
      </c>
      <c r="C21" s="110" t="s">
        <v>5214</v>
      </c>
      <c r="D21" s="110" t="s">
        <v>3487</v>
      </c>
      <c r="E21" s="248"/>
      <c r="F21" s="248"/>
      <c r="G21" s="248">
        <f>Revenue!J34</f>
        <v>39446.750799999994</v>
      </c>
      <c r="H21" s="248">
        <f>Revenue!K34</f>
        <v>45910.3151</v>
      </c>
      <c r="I21" s="248">
        <f>Revenue!L34</f>
        <v>32290</v>
      </c>
      <c r="J21" s="248">
        <f>Revenue!M34</f>
        <v>24624</v>
      </c>
      <c r="K21" s="3"/>
      <c r="L21" s="3" t="s">
        <v>262</v>
      </c>
      <c r="M21" s="3"/>
      <c r="N21" s="110" t="s">
        <v>2702</v>
      </c>
      <c r="O21" s="1981"/>
      <c r="P21" s="1981"/>
      <c r="Q21" s="1981">
        <f t="shared" si="4"/>
        <v>1.0057855263444029</v>
      </c>
      <c r="R21" s="1981">
        <f t="shared" si="4"/>
        <v>1.0081965118811307</v>
      </c>
      <c r="S21" s="1981">
        <f t="shared" si="4"/>
        <v>0.99990826592597748</v>
      </c>
      <c r="T21" s="1981">
        <f t="shared" si="4"/>
        <v>1.0020071727189237</v>
      </c>
    </row>
    <row r="22" spans="2:20">
      <c r="B22" s="3" t="s">
        <v>264</v>
      </c>
      <c r="C22" s="110" t="s">
        <v>5214</v>
      </c>
      <c r="D22" s="110" t="s">
        <v>3487</v>
      </c>
      <c r="E22" s="248"/>
      <c r="F22" s="248"/>
      <c r="G22" s="248">
        <f>Revenue!J41+Revenue!J48</f>
        <v>659376.72400000005</v>
      </c>
      <c r="H22" s="248">
        <f>Revenue!K41+Revenue!K48</f>
        <v>614179.16399999999</v>
      </c>
      <c r="I22" s="248">
        <f>Revenue!L41+Revenue!L48+1500</f>
        <v>530538.73800000001</v>
      </c>
      <c r="J22" s="248">
        <f>Revenue!M41+Revenue!M48</f>
        <v>449138.83100000001</v>
      </c>
      <c r="K22" s="3"/>
      <c r="L22" s="3" t="s">
        <v>264</v>
      </c>
      <c r="M22" s="3"/>
      <c r="N22" s="110" t="s">
        <v>2702</v>
      </c>
      <c r="O22" s="1981"/>
      <c r="P22" s="1981"/>
      <c r="Q22" s="1981">
        <f t="shared" si="4"/>
        <v>1.0063956494192896</v>
      </c>
      <c r="R22" s="1981">
        <f t="shared" si="4"/>
        <v>0.95782576720870982</v>
      </c>
      <c r="S22" s="1981">
        <f t="shared" si="4"/>
        <v>0.94044442670663464</v>
      </c>
      <c r="T22" s="1981">
        <f t="shared" si="4"/>
        <v>0.97845639976232779</v>
      </c>
    </row>
    <row r="23" spans="2:20">
      <c r="B23" s="3" t="s">
        <v>266</v>
      </c>
      <c r="C23" s="110" t="s">
        <v>5214</v>
      </c>
      <c r="D23" s="110" t="s">
        <v>3487</v>
      </c>
      <c r="E23" s="248"/>
      <c r="F23" s="248"/>
      <c r="G23" s="248">
        <f>Revenue!J62</f>
        <v>180.76269999999988</v>
      </c>
      <c r="H23" s="248">
        <f>Revenue!K62</f>
        <v>182.15029999999999</v>
      </c>
      <c r="I23" s="248">
        <f>Revenue!L62</f>
        <v>199.13170000000002</v>
      </c>
      <c r="J23" s="248">
        <f>Revenue!M62</f>
        <v>153.9744</v>
      </c>
      <c r="K23" s="3"/>
      <c r="L23" s="3" t="s">
        <v>266</v>
      </c>
      <c r="M23" s="3"/>
      <c r="N23" s="110" t="s">
        <v>2702</v>
      </c>
      <c r="O23" s="1981"/>
      <c r="P23" s="1981"/>
      <c r="Q23" s="1981">
        <f t="shared" si="4"/>
        <v>1.7202051916437062</v>
      </c>
      <c r="R23" s="1981">
        <f t="shared" si="4"/>
        <v>1.1196802658224145</v>
      </c>
      <c r="S23" s="1981">
        <f t="shared" si="4"/>
        <v>1.4461873404268122</v>
      </c>
      <c r="T23" s="1981">
        <f t="shared" si="4"/>
        <v>1.1122726982693676</v>
      </c>
    </row>
    <row r="24" spans="2:20">
      <c r="B24" s="12" t="s">
        <v>268</v>
      </c>
      <c r="C24" s="1950" t="s">
        <v>5214</v>
      </c>
      <c r="D24" s="1950" t="s">
        <v>3487</v>
      </c>
      <c r="E24" s="2615"/>
      <c r="F24" s="2615"/>
      <c r="G24" s="2615">
        <f>Revenue!J55</f>
        <v>1584.3124999999991</v>
      </c>
      <c r="H24" s="2615">
        <f>Revenue!K55</f>
        <v>1675.5292999999999</v>
      </c>
      <c r="I24" s="2615">
        <f>Revenue!L55</f>
        <v>1648.8732</v>
      </c>
      <c r="J24" s="2615">
        <f>Revenue!M55</f>
        <v>1195.6563000000001</v>
      </c>
      <c r="K24" s="3"/>
      <c r="L24" s="12" t="s">
        <v>268</v>
      </c>
      <c r="M24" s="12"/>
      <c r="N24" s="1950" t="s">
        <v>2702</v>
      </c>
      <c r="O24" s="1980"/>
      <c r="P24" s="1980"/>
      <c r="Q24" s="1980">
        <f t="shared" si="4"/>
        <v>0.97556075008700915</v>
      </c>
      <c r="R24" s="1980">
        <f t="shared" si="4"/>
        <v>1.0686253115286473</v>
      </c>
      <c r="S24" s="1980">
        <f t="shared" si="4"/>
        <v>1.2756017269116773</v>
      </c>
      <c r="T24" s="1980">
        <f t="shared" si="4"/>
        <v>1.412295522841964</v>
      </c>
    </row>
    <row r="25" spans="2:20">
      <c r="K25" s="3"/>
      <c r="L25" s="3"/>
      <c r="M25" s="3"/>
      <c r="N25" s="110"/>
      <c r="O25" s="3"/>
      <c r="P25" s="3"/>
      <c r="Q25" s="3"/>
      <c r="R25" s="3"/>
      <c r="S25" s="3"/>
      <c r="T25" s="3"/>
    </row>
    <row r="26" spans="2:20">
      <c r="B26" s="32" t="s">
        <v>5563</v>
      </c>
      <c r="C26" s="110"/>
      <c r="D26" s="110"/>
      <c r="E26" s="3"/>
      <c r="F26" s="3"/>
      <c r="G26" s="3"/>
      <c r="H26" s="3"/>
      <c r="I26" s="3"/>
      <c r="J26" s="3"/>
      <c r="K26" s="3"/>
      <c r="L26" s="32" t="s">
        <v>5567</v>
      </c>
      <c r="M26" s="3"/>
      <c r="N26" s="110"/>
      <c r="O26" s="3"/>
      <c r="P26" s="3"/>
      <c r="Q26" s="3"/>
      <c r="R26" s="3"/>
      <c r="S26" s="3"/>
      <c r="T26" s="3"/>
    </row>
    <row r="27" spans="2:20">
      <c r="B27" s="2625"/>
      <c r="C27" s="2626"/>
      <c r="D27" s="2626"/>
      <c r="E27" s="2630" t="s">
        <v>3799</v>
      </c>
      <c r="F27" s="2630" t="s">
        <v>240</v>
      </c>
      <c r="G27" s="2630" t="s">
        <v>69</v>
      </c>
      <c r="H27" s="2630" t="s">
        <v>27</v>
      </c>
      <c r="I27" s="2630" t="s">
        <v>60</v>
      </c>
      <c r="J27" s="2630" t="s">
        <v>5104</v>
      </c>
      <c r="K27" s="3"/>
      <c r="L27" s="2625"/>
      <c r="M27" s="2625"/>
      <c r="N27" s="2626"/>
      <c r="O27" s="2630" t="s">
        <v>3799</v>
      </c>
      <c r="P27" s="2630" t="s">
        <v>240</v>
      </c>
      <c r="Q27" s="2630" t="s">
        <v>69</v>
      </c>
      <c r="R27" s="2630" t="s">
        <v>27</v>
      </c>
      <c r="S27" s="2630" t="s">
        <v>60</v>
      </c>
      <c r="T27" s="2630" t="s">
        <v>5104</v>
      </c>
    </row>
    <row r="28" spans="2:20">
      <c r="B28" s="2611" t="s">
        <v>5187</v>
      </c>
      <c r="C28" s="2627" t="s">
        <v>5213</v>
      </c>
      <c r="D28" s="2627" t="s">
        <v>3486</v>
      </c>
      <c r="E28" s="2611">
        <f>Sheet1!E15/1000</f>
        <v>622617.65956379997</v>
      </c>
      <c r="F28" s="2611">
        <f>Sheet1!F15/1000</f>
        <v>643834.79003959987</v>
      </c>
      <c r="G28" s="2611">
        <f>Sheet1!G15/1000</f>
        <v>649728.77057399997</v>
      </c>
      <c r="H28" s="2611">
        <f>Sheet1!H15/1000</f>
        <v>639065.45845999988</v>
      </c>
      <c r="I28" s="2611">
        <f>Sheet1!I15/1000</f>
        <v>642064.41661200009</v>
      </c>
      <c r="J28" s="2611">
        <f>Sheet1!J15/1000</f>
        <v>454365.27288900001</v>
      </c>
      <c r="K28" s="3"/>
      <c r="L28" s="2611" t="s">
        <v>325</v>
      </c>
      <c r="M28" s="2611"/>
      <c r="N28" s="2627" t="s">
        <v>360</v>
      </c>
      <c r="O28" s="2629">
        <f t="shared" ref="O28:T32" si="5">IFERROR(E28/E4,)</f>
        <v>0.98062399499841868</v>
      </c>
      <c r="P28" s="2629">
        <f t="shared" si="5"/>
        <v>0.98003171960953928</v>
      </c>
      <c r="Q28" s="2629">
        <f t="shared" si="5"/>
        <v>0.97644203311044908</v>
      </c>
      <c r="R28" s="2629">
        <f t="shared" si="5"/>
        <v>0.97715507970265369</v>
      </c>
      <c r="S28" s="2629">
        <f t="shared" si="5"/>
        <v>0.98051844870260685</v>
      </c>
      <c r="T28" s="2629">
        <f t="shared" si="5"/>
        <v>0.98022801919324709</v>
      </c>
    </row>
    <row r="29" spans="2:20">
      <c r="B29" s="3" t="s">
        <v>262</v>
      </c>
      <c r="C29" s="110" t="s">
        <v>5214</v>
      </c>
      <c r="D29" s="110" t="s">
        <v>3487</v>
      </c>
      <c r="E29" s="248">
        <f>Sheet1!E16/1000</f>
        <v>46860.765397899995</v>
      </c>
      <c r="F29" s="248">
        <f>Sheet1!F16/1000</f>
        <v>41053.667197500006</v>
      </c>
      <c r="G29" s="248">
        <f>Sheet1!G16/1000</f>
        <v>38941.806125000003</v>
      </c>
      <c r="H29" s="248">
        <f>Sheet1!H16/1000</f>
        <v>45255.218761000011</v>
      </c>
      <c r="I29" s="248">
        <f>Sheet1!I16/1000</f>
        <v>32075.997387999996</v>
      </c>
      <c r="J29" s="248">
        <f>Sheet1!J16/1000</f>
        <v>24478.621206</v>
      </c>
      <c r="K29" s="3"/>
      <c r="L29" s="3" t="s">
        <v>262</v>
      </c>
      <c r="M29" s="3"/>
      <c r="N29" s="110" t="s">
        <v>2702</v>
      </c>
      <c r="O29" s="1981">
        <f t="shared" si="5"/>
        <v>0.99564054487491183</v>
      </c>
      <c r="P29" s="1981">
        <f t="shared" si="5"/>
        <v>0.99352546354975191</v>
      </c>
      <c r="Q29" s="1981">
        <f t="shared" si="5"/>
        <v>0.99291080192680481</v>
      </c>
      <c r="R29" s="1981">
        <f t="shared" si="5"/>
        <v>0.99381051077250637</v>
      </c>
      <c r="S29" s="1981">
        <f t="shared" si="5"/>
        <v>0.99328135416789287</v>
      </c>
      <c r="T29" s="1981">
        <f t="shared" si="5"/>
        <v>0.99609137535256465</v>
      </c>
    </row>
    <row r="30" spans="2:20">
      <c r="B30" s="3" t="s">
        <v>264</v>
      </c>
      <c r="C30" s="110" t="s">
        <v>5214</v>
      </c>
      <c r="D30" s="110" t="s">
        <v>3487</v>
      </c>
      <c r="E30" s="248">
        <f>Sheet1!E17/1000</f>
        <v>895817.23221220006</v>
      </c>
      <c r="F30" s="248">
        <f>Sheet1!F17/1000</f>
        <v>541118.20360929996</v>
      </c>
      <c r="G30" s="248">
        <f>Sheet1!G17/1000</f>
        <v>643303.78079799993</v>
      </c>
      <c r="H30" s="248">
        <f>Sheet1!H17/1000</f>
        <v>630640.23570700001</v>
      </c>
      <c r="I30" s="248">
        <f>Sheet1!I17/1000</f>
        <v>554268.23607300001</v>
      </c>
      <c r="J30" s="248">
        <f>Sheet1!J17/1000</f>
        <v>453700.50939800002</v>
      </c>
      <c r="K30" s="3"/>
      <c r="L30" s="3" t="s">
        <v>264</v>
      </c>
      <c r="M30" s="3"/>
      <c r="N30" s="110" t="s">
        <v>2702</v>
      </c>
      <c r="O30" s="1981">
        <f t="shared" si="5"/>
        <v>0.98717983422326794</v>
      </c>
      <c r="P30" s="1981">
        <f t="shared" si="5"/>
        <v>0.98251944201775876</v>
      </c>
      <c r="Q30" s="1981">
        <f t="shared" si="5"/>
        <v>0.98186378542850627</v>
      </c>
      <c r="R30" s="1981">
        <f t="shared" si="5"/>
        <v>0.98349716663253484</v>
      </c>
      <c r="S30" s="1981">
        <f t="shared" si="5"/>
        <v>0.98250784755206721</v>
      </c>
      <c r="T30" s="1981">
        <f t="shared" si="5"/>
        <v>0.98839409188358784</v>
      </c>
    </row>
    <row r="31" spans="2:20">
      <c r="B31" s="3" t="s">
        <v>266</v>
      </c>
      <c r="C31" s="110" t="s">
        <v>5214</v>
      </c>
      <c r="D31" s="110" t="s">
        <v>3487</v>
      </c>
      <c r="E31" s="248">
        <f>Sheet1!E18/1000</f>
        <v>0</v>
      </c>
      <c r="F31" s="248">
        <f>Sheet1!F18/1000</f>
        <v>30.46435</v>
      </c>
      <c r="G31" s="248">
        <f>Sheet1!G18/1000</f>
        <v>93.522880999999998</v>
      </c>
      <c r="H31" s="248">
        <f>Sheet1!H18/1000</f>
        <v>144.786</v>
      </c>
      <c r="I31" s="248">
        <f>Sheet1!I18/1000</f>
        <v>122.563445</v>
      </c>
      <c r="J31" s="248">
        <f>Sheet1!J18/1000</f>
        <v>123.83644199999999</v>
      </c>
      <c r="K31" s="3"/>
      <c r="L31" s="3" t="s">
        <v>266</v>
      </c>
      <c r="M31" s="3"/>
      <c r="N31" s="110" t="s">
        <v>2702</v>
      </c>
      <c r="O31" s="1981">
        <f t="shared" si="5"/>
        <v>0</v>
      </c>
      <c r="P31" s="1981">
        <f t="shared" si="5"/>
        <v>0.88997529312771628</v>
      </c>
      <c r="Q31" s="1981">
        <f t="shared" si="5"/>
        <v>0.88999857511354197</v>
      </c>
      <c r="R31" s="1981">
        <f t="shared" si="5"/>
        <v>0.89000142721348319</v>
      </c>
      <c r="S31" s="1981">
        <f t="shared" si="5"/>
        <v>0.89011293811129955</v>
      </c>
      <c r="T31" s="1981">
        <f t="shared" si="5"/>
        <v>0.89456359945171426</v>
      </c>
    </row>
    <row r="32" spans="2:20">
      <c r="B32" s="12" t="s">
        <v>268</v>
      </c>
      <c r="C32" s="1950" t="s">
        <v>5214</v>
      </c>
      <c r="D32" s="1950" t="s">
        <v>3487</v>
      </c>
      <c r="E32" s="2615">
        <f>Sheet1!E19/1000</f>
        <v>0</v>
      </c>
      <c r="F32" s="2615">
        <f>Sheet1!F19/1000</f>
        <v>189.451572</v>
      </c>
      <c r="G32" s="2615">
        <f>Sheet1!G19/1000</f>
        <v>1526.7281879999998</v>
      </c>
      <c r="H32" s="2615">
        <f>Sheet1!H19/1000</f>
        <v>1473.8537700000002</v>
      </c>
      <c r="I32" s="2615">
        <f>Sheet1!I19/1000</f>
        <v>1215.4847609999997</v>
      </c>
      <c r="J32" s="2615">
        <f>Sheet1!J19/1000</f>
        <v>812.20020999999997</v>
      </c>
      <c r="K32" s="3"/>
      <c r="L32" s="12" t="s">
        <v>268</v>
      </c>
      <c r="M32" s="12"/>
      <c r="N32" s="1950" t="s">
        <v>2702</v>
      </c>
      <c r="O32" s="1980">
        <f t="shared" si="5"/>
        <v>0</v>
      </c>
      <c r="P32" s="1980">
        <f t="shared" si="5"/>
        <v>0.93999935418685288</v>
      </c>
      <c r="Q32" s="1980">
        <f t="shared" si="5"/>
        <v>0.94010247111239797</v>
      </c>
      <c r="R32" s="1980">
        <f t="shared" si="5"/>
        <v>0.93999994157901123</v>
      </c>
      <c r="S32" s="1980">
        <f t="shared" si="5"/>
        <v>0.94032364657659973</v>
      </c>
      <c r="T32" s="1980">
        <f t="shared" si="5"/>
        <v>0.95936158261726456</v>
      </c>
    </row>
    <row r="33" spans="2:20">
      <c r="B33" s="3"/>
      <c r="C33" s="110"/>
      <c r="D33" s="110"/>
      <c r="E33" s="3"/>
      <c r="F33" s="3"/>
      <c r="G33" s="3"/>
      <c r="H33" s="3"/>
      <c r="I33" s="3"/>
      <c r="J33" s="3"/>
      <c r="K33" s="3"/>
      <c r="L33" s="3"/>
      <c r="M33" s="3"/>
      <c r="N33" s="110"/>
      <c r="O33" s="3"/>
      <c r="P33" s="3"/>
      <c r="Q33" s="3"/>
      <c r="R33" s="3"/>
      <c r="S33" s="3"/>
      <c r="T33" s="3"/>
    </row>
    <row r="34" spans="2:20">
      <c r="B34" s="32" t="s">
        <v>3011</v>
      </c>
      <c r="C34" s="110"/>
      <c r="D34" s="110"/>
      <c r="E34" s="3"/>
      <c r="F34" s="3"/>
      <c r="G34" s="3"/>
      <c r="H34" s="3"/>
      <c r="I34" s="3"/>
      <c r="J34" s="3"/>
      <c r="K34" s="3"/>
      <c r="L34" s="32" t="s">
        <v>5568</v>
      </c>
      <c r="M34" s="3"/>
      <c r="N34" s="110"/>
      <c r="O34" s="3"/>
      <c r="P34" s="3"/>
      <c r="Q34" s="3"/>
      <c r="R34" s="3"/>
      <c r="S34" s="3"/>
      <c r="T34" s="3"/>
    </row>
    <row r="35" spans="2:20">
      <c r="B35" s="2625"/>
      <c r="C35" s="2626"/>
      <c r="D35" s="2626"/>
      <c r="E35" s="2630" t="s">
        <v>3799</v>
      </c>
      <c r="F35" s="2630" t="s">
        <v>240</v>
      </c>
      <c r="G35" s="2630" t="s">
        <v>69</v>
      </c>
      <c r="H35" s="2630" t="s">
        <v>27</v>
      </c>
      <c r="I35" s="2630" t="s">
        <v>60</v>
      </c>
      <c r="J35" s="2630" t="s">
        <v>5104</v>
      </c>
      <c r="K35" s="3"/>
      <c r="L35" s="2625"/>
      <c r="M35" s="2625"/>
      <c r="N35" s="2626"/>
      <c r="O35" s="2630"/>
      <c r="P35" s="2630"/>
      <c r="Q35" s="2630" t="s">
        <v>69</v>
      </c>
      <c r="R35" s="2630" t="s">
        <v>27</v>
      </c>
      <c r="S35" s="2630" t="s">
        <v>60</v>
      </c>
      <c r="T35" s="2630" t="s">
        <v>5104</v>
      </c>
    </row>
    <row r="36" spans="2:20">
      <c r="B36" s="2611" t="s">
        <v>5187</v>
      </c>
      <c r="C36" s="2627" t="s">
        <v>5218</v>
      </c>
      <c r="D36" s="2627"/>
      <c r="E36" s="2611">
        <f>Sheet1!E20/1000</f>
        <v>298330.35366999998</v>
      </c>
      <c r="F36" s="2611">
        <f>Sheet1!F20/1000</f>
        <v>305148.74659000005</v>
      </c>
      <c r="G36" s="2611">
        <f>Sheet1!G20/1000</f>
        <v>316608.51434000005</v>
      </c>
      <c r="H36" s="2611">
        <f>Sheet1!H20/1000</f>
        <v>279447.28437999997</v>
      </c>
      <c r="I36" s="2611">
        <f>Sheet1!I20/1000</f>
        <v>259484.78419000001</v>
      </c>
      <c r="J36" s="2611">
        <f>Sheet1!J20/1000</f>
        <v>176492.31501999998</v>
      </c>
      <c r="K36" s="3"/>
      <c r="L36" s="2611" t="s">
        <v>325</v>
      </c>
      <c r="M36" s="2611"/>
      <c r="N36" s="2627" t="s">
        <v>360</v>
      </c>
      <c r="O36" s="2629"/>
      <c r="P36" s="2629"/>
      <c r="Q36" s="2629">
        <f>Q20-Q28</f>
        <v>2.8151956666132572E-3</v>
      </c>
      <c r="R36" s="2629">
        <f t="shared" ref="R36:T36" si="6">R20-R28</f>
        <v>2.1425432790951326E-3</v>
      </c>
      <c r="S36" s="2629">
        <f t="shared" si="6"/>
        <v>6.9645619578995177E-4</v>
      </c>
      <c r="T36" s="2629">
        <f t="shared" si="6"/>
        <v>9.7838528721849727E-4</v>
      </c>
    </row>
    <row r="37" spans="2:20">
      <c r="B37" s="3" t="s">
        <v>262</v>
      </c>
      <c r="C37" s="110" t="s">
        <v>5219</v>
      </c>
      <c r="D37" s="110"/>
      <c r="E37" s="248">
        <f>Sheet1!E21/1000</f>
        <v>26125.729629999994</v>
      </c>
      <c r="F37" s="248">
        <f>Sheet1!F21/1000</f>
        <v>22119.948339999999</v>
      </c>
      <c r="G37" s="248">
        <f>Sheet1!G21/1000</f>
        <v>18802.045560000002</v>
      </c>
      <c r="H37" s="248">
        <f>Sheet1!H21/1000</f>
        <v>17885.19023</v>
      </c>
      <c r="I37" s="248">
        <f>Sheet1!I21/1000</f>
        <v>15906.936019999999</v>
      </c>
      <c r="J37" s="248">
        <f>Sheet1!J21/1000</f>
        <v>12659.702419999998</v>
      </c>
      <c r="K37" s="3"/>
      <c r="L37" s="3" t="s">
        <v>262</v>
      </c>
      <c r="M37" s="3"/>
      <c r="N37" s="110" t="s">
        <v>2702</v>
      </c>
      <c r="O37" s="1981"/>
      <c r="P37" s="1981"/>
      <c r="Q37" s="1981">
        <f t="shared" ref="Q37:T37" si="7">Q21-Q29</f>
        <v>1.2874724417598071E-2</v>
      </c>
      <c r="R37" s="1981">
        <f t="shared" si="7"/>
        <v>1.4386001108624313E-2</v>
      </c>
      <c r="S37" s="1981">
        <f t="shared" si="7"/>
        <v>6.6269117580846082E-3</v>
      </c>
      <c r="T37" s="1981">
        <f t="shared" si="7"/>
        <v>5.9157973663590546E-3</v>
      </c>
    </row>
    <row r="38" spans="2:20">
      <c r="B38" s="3" t="s">
        <v>264</v>
      </c>
      <c r="C38" s="110" t="s">
        <v>5219</v>
      </c>
      <c r="D38" s="110"/>
      <c r="E38" s="248">
        <f>Sheet1!E22/1000</f>
        <v>11617.7237</v>
      </c>
      <c r="F38" s="248">
        <f>Sheet1!F22/1000</f>
        <v>8374.0220300000001</v>
      </c>
      <c r="G38" s="248">
        <f>Sheet1!G22/1000</f>
        <v>10538.922600000002</v>
      </c>
      <c r="H38" s="248">
        <f>Sheet1!H22/1000</f>
        <v>10466.72999</v>
      </c>
      <c r="I38" s="248">
        <f>Sheet1!I22/1000</f>
        <v>9156.0222999999987</v>
      </c>
      <c r="J38" s="248">
        <f>Sheet1!J22/1000</f>
        <v>7615.7040299999999</v>
      </c>
      <c r="K38" s="3"/>
      <c r="L38" s="3" t="s">
        <v>264</v>
      </c>
      <c r="M38" s="3"/>
      <c r="N38" s="110" t="s">
        <v>2702</v>
      </c>
      <c r="O38" s="1981"/>
      <c r="P38" s="1981"/>
      <c r="Q38" s="1981">
        <f t="shared" ref="Q38:T38" si="8">Q22-Q30</f>
        <v>2.4531863990783331E-2</v>
      </c>
      <c r="R38" s="1981">
        <f t="shared" si="8"/>
        <v>-2.5671399423825014E-2</v>
      </c>
      <c r="S38" s="1981">
        <f t="shared" si="8"/>
        <v>-4.2063420845432575E-2</v>
      </c>
      <c r="T38" s="1981">
        <f t="shared" si="8"/>
        <v>-9.9376921212600555E-3</v>
      </c>
    </row>
    <row r="39" spans="2:20">
      <c r="B39" s="3" t="s">
        <v>266</v>
      </c>
      <c r="C39" s="110" t="s">
        <v>5219</v>
      </c>
      <c r="D39" s="110"/>
      <c r="E39" s="248">
        <f>Sheet1!E23/1000</f>
        <v>0</v>
      </c>
      <c r="F39" s="248">
        <f>Sheet1!F23/1000</f>
        <v>18.619330000000001</v>
      </c>
      <c r="G39" s="248">
        <f>Sheet1!G23/1000</f>
        <v>45.468369999999993</v>
      </c>
      <c r="H39" s="248">
        <f>Sheet1!H23/1000</f>
        <v>57.80548000000001</v>
      </c>
      <c r="I39" s="248">
        <f>Sheet1!I23/1000</f>
        <v>47.489100000000001</v>
      </c>
      <c r="J39" s="248">
        <f>Sheet1!J23/1000</f>
        <v>45.341709999999992</v>
      </c>
      <c r="K39" s="3"/>
      <c r="L39" s="3" t="s">
        <v>266</v>
      </c>
      <c r="M39" s="3"/>
      <c r="N39" s="110" t="s">
        <v>2702</v>
      </c>
      <c r="O39" s="1981"/>
      <c r="P39" s="1981"/>
      <c r="Q39" s="1981">
        <f t="shared" ref="Q39:T39" si="9">Q23-Q31</f>
        <v>0.83020661653016425</v>
      </c>
      <c r="R39" s="1981">
        <f t="shared" si="9"/>
        <v>0.22967883860893135</v>
      </c>
      <c r="S39" s="1981">
        <f t="shared" si="9"/>
        <v>0.55607440231551264</v>
      </c>
      <c r="T39" s="1981">
        <f t="shared" si="9"/>
        <v>0.21770909881765332</v>
      </c>
    </row>
    <row r="40" spans="2:20">
      <c r="B40" s="12" t="s">
        <v>268</v>
      </c>
      <c r="C40" s="1950" t="s">
        <v>5219</v>
      </c>
      <c r="D40" s="1950"/>
      <c r="E40" s="2615">
        <f>Sheet1!E24/1000</f>
        <v>0</v>
      </c>
      <c r="F40" s="2615">
        <f>Sheet1!F24/1000</f>
        <v>89.225320000000011</v>
      </c>
      <c r="G40" s="2615">
        <f>Sheet1!G24/1000</f>
        <v>1217.34755</v>
      </c>
      <c r="H40" s="2615">
        <f>Sheet1!H24/1000</f>
        <v>1590.4136799999999</v>
      </c>
      <c r="I40" s="2615">
        <f>Sheet1!I24/1000</f>
        <v>1578.3128000000004</v>
      </c>
      <c r="J40" s="2615">
        <f>Sheet1!J24/1000</f>
        <v>1206.1042800000002</v>
      </c>
      <c r="K40" s="3"/>
      <c r="L40" s="12" t="s">
        <v>268</v>
      </c>
      <c r="M40" s="12"/>
      <c r="N40" s="1950" t="s">
        <v>2702</v>
      </c>
      <c r="O40" s="1980"/>
      <c r="P40" s="1980"/>
      <c r="Q40" s="1980">
        <f t="shared" ref="Q40:T40" si="10">Q24-Q32</f>
        <v>3.5458278974611179E-2</v>
      </c>
      <c r="R40" s="1980">
        <f t="shared" si="10"/>
        <v>0.12862536994963603</v>
      </c>
      <c r="S40" s="1980">
        <f t="shared" si="10"/>
        <v>0.33527808033507756</v>
      </c>
      <c r="T40" s="1980">
        <f t="shared" si="10"/>
        <v>0.45293394022469946</v>
      </c>
    </row>
    <row r="41" spans="2:20">
      <c r="B41" s="3"/>
      <c r="C41" s="110"/>
      <c r="D41" s="110"/>
      <c r="E41" s="3"/>
      <c r="F41" s="3"/>
      <c r="G41" s="3"/>
      <c r="H41" s="3"/>
      <c r="I41" s="3"/>
      <c r="J41" s="3"/>
    </row>
    <row r="42" spans="2:20">
      <c r="B42" s="32" t="s">
        <v>5596</v>
      </c>
      <c r="C42" s="110"/>
      <c r="D42" s="110"/>
      <c r="E42" s="3"/>
      <c r="F42" s="3"/>
      <c r="G42" s="3"/>
      <c r="H42" s="3"/>
      <c r="I42" s="3"/>
      <c r="J42" s="3"/>
      <c r="L42" s="32" t="s">
        <v>5217</v>
      </c>
      <c r="M42" s="3"/>
      <c r="N42" s="110"/>
      <c r="O42" s="3"/>
      <c r="P42" s="3"/>
      <c r="Q42" s="3"/>
      <c r="R42" s="3"/>
      <c r="S42" s="3"/>
      <c r="T42" s="3"/>
    </row>
    <row r="43" spans="2:20">
      <c r="B43" s="2625"/>
      <c r="C43" s="2626"/>
      <c r="D43" s="2626"/>
      <c r="E43" s="2630" t="s">
        <v>3799</v>
      </c>
      <c r="F43" s="2630" t="s">
        <v>240</v>
      </c>
      <c r="G43" s="2630" t="s">
        <v>69</v>
      </c>
      <c r="H43" s="2630" t="s">
        <v>27</v>
      </c>
      <c r="I43" s="2630" t="s">
        <v>60</v>
      </c>
      <c r="J43" s="2630" t="s">
        <v>5104</v>
      </c>
      <c r="L43" s="2625"/>
      <c r="M43" s="2625"/>
      <c r="N43" s="2626"/>
      <c r="O43" s="2630" t="s">
        <v>3799</v>
      </c>
      <c r="P43" s="2630" t="s">
        <v>240</v>
      </c>
      <c r="Q43" s="2630" t="s">
        <v>69</v>
      </c>
      <c r="R43" s="2630" t="s">
        <v>27</v>
      </c>
      <c r="S43" s="2630" t="s">
        <v>60</v>
      </c>
      <c r="T43" s="2630" t="s">
        <v>5104</v>
      </c>
    </row>
    <row r="44" spans="2:20">
      <c r="B44" s="2611" t="s">
        <v>5187</v>
      </c>
      <c r="C44" s="2627" t="s">
        <v>5219</v>
      </c>
      <c r="D44" s="2627"/>
      <c r="E44" s="2611">
        <f>Sheet1!E25/1000</f>
        <v>2686556.2367299995</v>
      </c>
      <c r="F44" s="2611">
        <f>Sheet1!F25/1000</f>
        <v>3624310.1545199994</v>
      </c>
      <c r="G44" s="2611">
        <f>Sheet1!G25/1000</f>
        <v>3914109.4640699998</v>
      </c>
      <c r="H44" s="2611">
        <f>Sheet1!H25/1000</f>
        <v>3540763.5227299999</v>
      </c>
      <c r="I44" s="2611">
        <f>Sheet1!I25/1000</f>
        <v>3634984.1946199997</v>
      </c>
      <c r="J44" s="2611">
        <f>Sheet1!J25/1000</f>
        <v>3896079.2400699998</v>
      </c>
      <c r="L44" s="2611" t="s">
        <v>325</v>
      </c>
      <c r="M44" s="2611"/>
      <c r="N44" s="2627" t="s">
        <v>3462</v>
      </c>
      <c r="O44" s="2611">
        <f t="shared" ref="O44:T48" si="11">IFERROR(E36/E12,)*1000</f>
        <v>484.73512816151134</v>
      </c>
      <c r="P44" s="2611">
        <f t="shared" si="11"/>
        <v>478.0103182535974</v>
      </c>
      <c r="Q44" s="2611">
        <f t="shared" si="11"/>
        <v>489.77409205557143</v>
      </c>
      <c r="R44" s="2611">
        <f t="shared" si="11"/>
        <v>439.7734880380566</v>
      </c>
      <c r="S44" s="2611">
        <f t="shared" si="11"/>
        <v>408.48226674186498</v>
      </c>
      <c r="T44" s="2611">
        <f t="shared" si="11"/>
        <v>391.82277667618479</v>
      </c>
    </row>
    <row r="45" spans="2:20">
      <c r="B45" s="3" t="s">
        <v>262</v>
      </c>
      <c r="C45" s="110" t="s">
        <v>5219</v>
      </c>
      <c r="D45" s="110"/>
      <c r="E45" s="248">
        <f>Sheet1!E26/1000</f>
        <v>1785467.06225</v>
      </c>
      <c r="F45" s="248">
        <f>Sheet1!F26/1000</f>
        <v>1589839.9208099998</v>
      </c>
      <c r="G45" s="248">
        <f>Sheet1!G26/1000</f>
        <v>1540176.50826</v>
      </c>
      <c r="H45" s="248">
        <f>Sheet1!H26/1000</f>
        <v>1924755.1580899998</v>
      </c>
      <c r="I45" s="248">
        <f>Sheet1!I26/1000</f>
        <v>1730920.0947299998</v>
      </c>
      <c r="J45" s="248">
        <f>Sheet1!J26/1000</f>
        <v>1377287.8687500001</v>
      </c>
      <c r="L45" s="3" t="s">
        <v>262</v>
      </c>
      <c r="M45" s="3"/>
      <c r="N45" s="110" t="s">
        <v>3463</v>
      </c>
      <c r="O45" s="248">
        <f t="shared" si="11"/>
        <v>570.10401273638024</v>
      </c>
      <c r="P45" s="248">
        <f t="shared" si="11"/>
        <v>549.75662570557483</v>
      </c>
      <c r="Q45" s="248">
        <f t="shared" si="11"/>
        <v>492.67754937283081</v>
      </c>
      <c r="R45" s="248">
        <f t="shared" si="11"/>
        <v>402.28597415294809</v>
      </c>
      <c r="S45" s="248">
        <f t="shared" si="11"/>
        <v>506.75154900477162</v>
      </c>
      <c r="T45" s="248">
        <f t="shared" si="11"/>
        <v>529.72101379416165</v>
      </c>
    </row>
    <row r="46" spans="2:20">
      <c r="B46" s="3" t="s">
        <v>264</v>
      </c>
      <c r="C46" s="110" t="s">
        <v>5219</v>
      </c>
      <c r="D46" s="110"/>
      <c r="E46" s="248">
        <f>Sheet1!E27/1000</f>
        <v>449253.34216</v>
      </c>
      <c r="F46" s="248">
        <f>Sheet1!F27/1000</f>
        <v>276549.74575999996</v>
      </c>
      <c r="G46" s="248">
        <f>Sheet1!G27/1000</f>
        <v>308157.89260000002</v>
      </c>
      <c r="H46" s="248">
        <f>Sheet1!H27/1000</f>
        <v>299671.42569</v>
      </c>
      <c r="I46" s="248">
        <f>Sheet1!I27/1000</f>
        <v>328303.30221999995</v>
      </c>
      <c r="J46" s="248">
        <f>Sheet1!J27/1000</f>
        <v>353729.70889000001</v>
      </c>
      <c r="L46" s="3" t="s">
        <v>264</v>
      </c>
      <c r="M46" s="3"/>
      <c r="N46" s="110" t="s">
        <v>3463</v>
      </c>
      <c r="O46" s="248">
        <f t="shared" si="11"/>
        <v>13.363211330690721</v>
      </c>
      <c r="P46" s="248">
        <f t="shared" si="11"/>
        <v>16.082723693637142</v>
      </c>
      <c r="Q46" s="248">
        <f t="shared" si="11"/>
        <v>16.981757228173176</v>
      </c>
      <c r="R46" s="248">
        <f t="shared" si="11"/>
        <v>17.2113354489213</v>
      </c>
      <c r="S46" s="248">
        <f t="shared" si="11"/>
        <v>17.179643647915732</v>
      </c>
      <c r="T46" s="248">
        <f t="shared" si="11"/>
        <v>17.434539373440931</v>
      </c>
    </row>
    <row r="47" spans="2:20">
      <c r="B47" s="3" t="s">
        <v>266</v>
      </c>
      <c r="C47" s="110" t="s">
        <v>5219</v>
      </c>
      <c r="D47" s="110"/>
      <c r="E47" s="248">
        <f>Sheet1!E28/1000</f>
        <v>0</v>
      </c>
      <c r="F47" s="248">
        <f>Sheet1!F28/1000</f>
        <v>630.09692000000007</v>
      </c>
      <c r="G47" s="248">
        <f>Sheet1!G28/1000</f>
        <v>2257.8617299999996</v>
      </c>
      <c r="H47" s="248">
        <f>Sheet1!H28/1000</f>
        <v>3047.21992</v>
      </c>
      <c r="I47" s="248">
        <f>Sheet1!I28/1000</f>
        <v>2760.1094200000002</v>
      </c>
      <c r="J47" s="248">
        <f>Sheet1!J28/1000</f>
        <v>3117.4208199999994</v>
      </c>
      <c r="L47" s="3" t="s">
        <v>266</v>
      </c>
      <c r="M47" s="3"/>
      <c r="N47" s="110" t="s">
        <v>3463</v>
      </c>
      <c r="O47" s="248">
        <f t="shared" si="11"/>
        <v>0</v>
      </c>
      <c r="P47" s="248">
        <f t="shared" si="11"/>
        <v>849.50399408994065</v>
      </c>
      <c r="Q47" s="248">
        <f t="shared" si="11"/>
        <v>581.40935816448189</v>
      </c>
      <c r="R47" s="248">
        <f t="shared" si="11"/>
        <v>510.7399398850697</v>
      </c>
      <c r="S47" s="248">
        <f t="shared" si="11"/>
        <v>469.50766734194735</v>
      </c>
      <c r="T47" s="248">
        <f t="shared" si="11"/>
        <v>440.69189672908044</v>
      </c>
    </row>
    <row r="48" spans="2:20">
      <c r="B48" s="12" t="s">
        <v>268</v>
      </c>
      <c r="C48" s="1950" t="s">
        <v>5219</v>
      </c>
      <c r="D48" s="1950"/>
      <c r="E48" s="2615">
        <f>Sheet1!E29/1000</f>
        <v>0</v>
      </c>
      <c r="F48" s="2615">
        <f>Sheet1!F29/1000</f>
        <v>3745.8042</v>
      </c>
      <c r="G48" s="2615">
        <f>Sheet1!G29/1000</f>
        <v>38403.77203</v>
      </c>
      <c r="H48" s="2615">
        <f>Sheet1!H29/1000</f>
        <v>52275.309179999989</v>
      </c>
      <c r="I48" s="2615">
        <f>Sheet1!I29/1000</f>
        <v>63437.231530000012</v>
      </c>
      <c r="J48" s="2615">
        <f>Sheet1!J29/1000</f>
        <v>50073.14046000001</v>
      </c>
      <c r="L48" s="12" t="s">
        <v>268</v>
      </c>
      <c r="M48" s="12"/>
      <c r="N48" s="1950" t="s">
        <v>3547</v>
      </c>
      <c r="O48" s="2615">
        <f t="shared" si="11"/>
        <v>0</v>
      </c>
      <c r="P48" s="2615">
        <f t="shared" si="11"/>
        <v>575.44453938949698</v>
      </c>
      <c r="Q48" s="2615">
        <f t="shared" si="11"/>
        <v>903.10813016898214</v>
      </c>
      <c r="R48" s="2615">
        <f>IFERROR(H40/H16,)*1000</f>
        <v>1232.1908351165391</v>
      </c>
      <c r="S48" s="2615">
        <f t="shared" si="11"/>
        <v>1499.1063625232896</v>
      </c>
      <c r="T48" s="2615">
        <f t="shared" si="11"/>
        <v>1742.4294357047231</v>
      </c>
    </row>
    <row r="49" spans="2:20">
      <c r="F49" s="73">
        <f>(F48+F40)/F16*1000</f>
        <v>24733.414188724946</v>
      </c>
      <c r="G49" s="73">
        <f>(G48+G40)/G16*1000</f>
        <v>29393.541079616458</v>
      </c>
      <c r="H49" s="73">
        <f>(H48+H40)/H16*1000</f>
        <v>41733.072891462703</v>
      </c>
      <c r="I49" s="73">
        <f>(I48+I40)/I16*1000</f>
        <v>61752.788273666651</v>
      </c>
      <c r="J49" s="73">
        <f>(J48+J40)/J16*1000</f>
        <v>74081.874144151618</v>
      </c>
    </row>
    <row r="50" spans="2:20">
      <c r="B50" s="32" t="s">
        <v>5226</v>
      </c>
      <c r="O50" s="19"/>
      <c r="P50" s="19"/>
      <c r="Q50" s="19"/>
      <c r="R50" s="19"/>
      <c r="S50" s="19"/>
      <c r="T50" s="19"/>
    </row>
    <row r="51" spans="2:20">
      <c r="B51" s="2625"/>
      <c r="C51" s="2626"/>
      <c r="D51" s="2626"/>
      <c r="E51" s="2630" t="s">
        <v>3799</v>
      </c>
      <c r="F51" s="2630" t="s">
        <v>240</v>
      </c>
      <c r="G51" s="2630" t="s">
        <v>69</v>
      </c>
      <c r="H51" s="2630" t="s">
        <v>27</v>
      </c>
      <c r="I51" s="2630" t="s">
        <v>60</v>
      </c>
      <c r="J51" s="2630" t="s">
        <v>5104</v>
      </c>
    </row>
    <row r="52" spans="2:20">
      <c r="B52" s="2611" t="s">
        <v>5187</v>
      </c>
      <c r="C52" s="2627" t="s">
        <v>3462</v>
      </c>
      <c r="D52" s="2627"/>
      <c r="E52" s="2611">
        <v>84.18</v>
      </c>
      <c r="F52" s="2611">
        <v>61.07</v>
      </c>
      <c r="G52" s="2611">
        <v>62.04</v>
      </c>
      <c r="H52" s="2611">
        <v>73.55</v>
      </c>
      <c r="I52" s="2611">
        <v>71.61</v>
      </c>
      <c r="J52" s="2611">
        <v>69.02</v>
      </c>
    </row>
    <row r="53" spans="2:20">
      <c r="B53" s="3" t="s">
        <v>262</v>
      </c>
      <c r="C53" s="110" t="s">
        <v>360</v>
      </c>
      <c r="D53" s="110"/>
      <c r="E53" s="2631">
        <v>4.0999999999999995E-3</v>
      </c>
      <c r="F53" s="2631">
        <v>4.0000000000000001E-3</v>
      </c>
      <c r="G53" s="2631">
        <v>4.3E-3</v>
      </c>
      <c r="H53" s="2631">
        <v>3.3E-3</v>
      </c>
      <c r="I53" s="2631">
        <v>2E-3</v>
      </c>
      <c r="J53" s="2631">
        <v>2.2000000000000001E-3</v>
      </c>
    </row>
    <row r="54" spans="2:20">
      <c r="B54" s="3" t="s">
        <v>264</v>
      </c>
      <c r="C54" s="110" t="s">
        <v>360</v>
      </c>
      <c r="D54" s="110"/>
      <c r="E54" s="2631">
        <v>3.0000000000000001E-3</v>
      </c>
      <c r="F54" s="2631">
        <v>5.0000000000000001E-3</v>
      </c>
      <c r="G54" s="2631">
        <v>6.9999999999999993E-3</v>
      </c>
      <c r="H54" s="2631">
        <v>6.8999999999999999E-3</v>
      </c>
      <c r="I54" s="2631">
        <v>4.5000000000000005E-3</v>
      </c>
      <c r="J54" s="2631">
        <v>4.3E-3</v>
      </c>
    </row>
    <row r="55" spans="2:20">
      <c r="B55" s="3" t="s">
        <v>266</v>
      </c>
      <c r="C55" s="110" t="s">
        <v>360</v>
      </c>
      <c r="D55" s="110"/>
      <c r="E55" s="2631">
        <v>0</v>
      </c>
      <c r="F55" s="2631">
        <f>금속가격!P30</f>
        <v>3.0000000000000001E-3</v>
      </c>
      <c r="G55" s="2631">
        <f>금속가격!Q30</f>
        <v>8.9999999999999993E-3</v>
      </c>
      <c r="H55" s="2631">
        <v>1.2E-2</v>
      </c>
      <c r="I55" s="2631">
        <v>1.1000000000000001E-2</v>
      </c>
      <c r="J55" s="2631">
        <v>1.2E-2</v>
      </c>
    </row>
    <row r="56" spans="2:20">
      <c r="B56" s="12" t="s">
        <v>268</v>
      </c>
      <c r="C56" s="1950" t="s">
        <v>360</v>
      </c>
      <c r="D56" s="1950"/>
      <c r="E56" s="2632">
        <v>0</v>
      </c>
      <c r="F56" s="2632">
        <f>금속가격!P29</f>
        <v>6.0000000000000001E-3</v>
      </c>
      <c r="G56" s="2632">
        <f>금속가격!Q29</f>
        <v>6.0000000000000001E-3</v>
      </c>
      <c r="H56" s="2632">
        <v>6.1999999999999998E-3</v>
      </c>
      <c r="I56" s="2632">
        <v>5.5000000000000005E-3</v>
      </c>
      <c r="J56" s="2632">
        <v>5.0000000000000001E-3</v>
      </c>
    </row>
  </sheetData>
  <phoneticPr fontId="1"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A9ECF-EF71-4D47-A227-0CCCF27F398F}">
  <sheetPr codeName="Sheet62"/>
  <dimension ref="B4:K33"/>
  <sheetViews>
    <sheetView workbookViewId="0"/>
  </sheetViews>
  <sheetFormatPr defaultRowHeight="16.5"/>
  <cols>
    <col min="2" max="2" width="20.5" customWidth="1"/>
    <col min="3" max="4" width="9.125" customWidth="1"/>
    <col min="5" max="10" width="15.25" customWidth="1"/>
  </cols>
  <sheetData>
    <row r="4" spans="2:11">
      <c r="B4" t="s">
        <v>1407</v>
      </c>
      <c r="C4" t="s">
        <v>5594</v>
      </c>
      <c r="D4" t="s">
        <v>3537</v>
      </c>
      <c r="E4">
        <v>2016</v>
      </c>
      <c r="F4">
        <v>2017</v>
      </c>
      <c r="G4">
        <v>2018</v>
      </c>
      <c r="H4">
        <v>2019</v>
      </c>
      <c r="I4">
        <v>2020</v>
      </c>
      <c r="J4">
        <v>2021</v>
      </c>
    </row>
    <row r="5" spans="2:11">
      <c r="B5" t="s">
        <v>5593</v>
      </c>
      <c r="C5" t="s">
        <v>1307</v>
      </c>
      <c r="D5" t="s">
        <v>5213</v>
      </c>
      <c r="E5" s="2048">
        <v>634919870.14329994</v>
      </c>
      <c r="F5" s="2048">
        <v>656953011.98629999</v>
      </c>
      <c r="G5" s="2048">
        <v>665404344.07999992</v>
      </c>
      <c r="H5" s="2048">
        <v>654006177.45800006</v>
      </c>
      <c r="I5" s="2048">
        <v>654821352.37899995</v>
      </c>
      <c r="J5" s="2048">
        <v>463530182.76600003</v>
      </c>
      <c r="K5" s="2048"/>
    </row>
    <row r="6" spans="2:11">
      <c r="B6" t="s">
        <v>5593</v>
      </c>
      <c r="C6" t="s">
        <v>1308</v>
      </c>
      <c r="D6" t="s">
        <v>5214</v>
      </c>
      <c r="E6" s="2048">
        <v>47065947.283</v>
      </c>
      <c r="F6" s="2048">
        <v>41321202.8314</v>
      </c>
      <c r="G6" s="2048">
        <v>39219843.362999998</v>
      </c>
      <c r="H6" s="2048">
        <v>45537069.965000004</v>
      </c>
      <c r="I6" s="2048">
        <v>32292962.364999995</v>
      </c>
      <c r="J6" s="2048">
        <v>24574674.384000003</v>
      </c>
      <c r="K6" s="2048"/>
    </row>
    <row r="7" spans="2:11">
      <c r="B7" t="s">
        <v>5593</v>
      </c>
      <c r="C7" t="s">
        <v>1309</v>
      </c>
      <c r="D7" t="s">
        <v>5214</v>
      </c>
      <c r="E7" s="2048">
        <v>907450903.22580004</v>
      </c>
      <c r="F7" s="2048">
        <v>550745543.00730002</v>
      </c>
      <c r="G7" s="2048">
        <v>655186381.59899998</v>
      </c>
      <c r="H7" s="2048">
        <v>641222219.14100015</v>
      </c>
      <c r="I7" s="2048">
        <v>564136192.35100007</v>
      </c>
      <c r="J7" s="2048">
        <v>459027945.55699998</v>
      </c>
      <c r="K7" s="2048"/>
    </row>
    <row r="8" spans="2:11">
      <c r="B8" t="s">
        <v>5593</v>
      </c>
      <c r="C8" t="s">
        <v>1310</v>
      </c>
      <c r="D8" t="s">
        <v>5214</v>
      </c>
      <c r="E8" s="2048">
        <v>0</v>
      </c>
      <c r="F8" s="2048">
        <v>34230.557000000001</v>
      </c>
      <c r="G8" s="2048">
        <v>105082.057</v>
      </c>
      <c r="H8" s="2048">
        <v>162680.63799999998</v>
      </c>
      <c r="I8" s="2048">
        <v>137694.26300000001</v>
      </c>
      <c r="J8" s="2048">
        <v>138432.239</v>
      </c>
      <c r="K8" s="2048"/>
    </row>
    <row r="9" spans="2:11">
      <c r="B9" t="s">
        <v>5593</v>
      </c>
      <c r="C9" t="s">
        <v>1311</v>
      </c>
      <c r="D9" t="s">
        <v>5214</v>
      </c>
      <c r="E9" s="2048">
        <v>0</v>
      </c>
      <c r="F9" s="2048">
        <v>201544.364</v>
      </c>
      <c r="G9" s="2048">
        <v>1624001.888</v>
      </c>
      <c r="H9" s="2048">
        <v>1567929.6400000001</v>
      </c>
      <c r="I9" s="2048">
        <v>1292623.8379999998</v>
      </c>
      <c r="J9" s="2048">
        <v>846604.89300000004</v>
      </c>
      <c r="K9" s="2048"/>
    </row>
    <row r="10" spans="2:11">
      <c r="B10" t="s">
        <v>5591</v>
      </c>
      <c r="C10" t="s">
        <v>1307</v>
      </c>
      <c r="D10" t="s">
        <v>5213</v>
      </c>
      <c r="E10" s="2048">
        <v>615450245.58360004</v>
      </c>
      <c r="F10" s="2048">
        <v>638372719.03429997</v>
      </c>
      <c r="G10" s="2048">
        <v>646437856.70899999</v>
      </c>
      <c r="H10" s="2048">
        <v>635434586.17000008</v>
      </c>
      <c r="I10" s="2048">
        <v>635241246.23500001</v>
      </c>
      <c r="J10" s="2048">
        <v>450439141.17800003</v>
      </c>
      <c r="K10" s="2048"/>
    </row>
    <row r="11" spans="2:11">
      <c r="B11" t="s">
        <v>5591</v>
      </c>
      <c r="C11" t="s">
        <v>1308</v>
      </c>
      <c r="D11" t="s">
        <v>5214</v>
      </c>
      <c r="E11" s="2048">
        <v>45826251.081100002</v>
      </c>
      <c r="F11" s="2048">
        <v>40235892.221599996</v>
      </c>
      <c r="G11" s="2048">
        <v>38162984.255999997</v>
      </c>
      <c r="H11" s="2048">
        <v>44458895.858000003</v>
      </c>
      <c r="I11" s="2048">
        <v>31390009.663000003</v>
      </c>
      <c r="J11" s="2048">
        <v>23898811.054000001</v>
      </c>
      <c r="K11" s="2048"/>
    </row>
    <row r="12" spans="2:11">
      <c r="B12" t="s">
        <v>5591</v>
      </c>
      <c r="C12" t="s">
        <v>1309</v>
      </c>
      <c r="D12" t="s">
        <v>5214</v>
      </c>
      <c r="E12" s="2048">
        <v>869381124.97839999</v>
      </c>
      <c r="F12" s="2048">
        <v>520684318.74590003</v>
      </c>
      <c r="G12" s="2048">
        <v>620602594.796</v>
      </c>
      <c r="H12" s="2048">
        <v>608130032.73699999</v>
      </c>
      <c r="I12" s="2048">
        <v>532957637.98400003</v>
      </c>
      <c r="J12" s="2048">
        <v>436817048.43900001</v>
      </c>
      <c r="K12" s="2048"/>
    </row>
    <row r="13" spans="2:11">
      <c r="B13" t="s">
        <v>5591</v>
      </c>
      <c r="C13" t="s">
        <v>1310</v>
      </c>
      <c r="D13" t="s">
        <v>5214</v>
      </c>
      <c r="E13" s="2048">
        <v>0</v>
      </c>
      <c r="F13" s="2048">
        <v>21917.883999999998</v>
      </c>
      <c r="G13" s="2048">
        <v>78203.712</v>
      </c>
      <c r="H13" s="2048">
        <v>113179.87000000001</v>
      </c>
      <c r="I13" s="2048">
        <v>101146.59099999999</v>
      </c>
      <c r="J13" s="2048">
        <v>102887.55099999999</v>
      </c>
      <c r="K13" s="2048"/>
    </row>
    <row r="14" spans="2:11">
      <c r="B14" t="s">
        <v>5591</v>
      </c>
      <c r="C14" t="s">
        <v>1311</v>
      </c>
      <c r="D14" t="s">
        <v>5214</v>
      </c>
      <c r="E14" s="2048">
        <v>0</v>
      </c>
      <c r="F14" s="2048">
        <v>155054.595</v>
      </c>
      <c r="G14" s="2048">
        <v>1347953.2619999999</v>
      </c>
      <c r="H14" s="2048">
        <v>1290720.264</v>
      </c>
      <c r="I14" s="2048">
        <v>1052835.7690000001</v>
      </c>
      <c r="J14" s="2048">
        <v>692196.91500000004</v>
      </c>
      <c r="K14" s="2048"/>
    </row>
    <row r="15" spans="2:11">
      <c r="B15" t="s">
        <v>5592</v>
      </c>
      <c r="C15" t="s">
        <v>1307</v>
      </c>
      <c r="D15" t="s">
        <v>5213</v>
      </c>
      <c r="E15" s="2048">
        <v>622617659.56379998</v>
      </c>
      <c r="F15" s="2048">
        <v>643834790.0395999</v>
      </c>
      <c r="G15" s="2048">
        <v>649728770.574</v>
      </c>
      <c r="H15" s="2048">
        <v>639065458.45999992</v>
      </c>
      <c r="I15" s="2048">
        <v>642064416.61200011</v>
      </c>
      <c r="J15" s="2048">
        <v>454365272.889</v>
      </c>
      <c r="K15" s="2048"/>
    </row>
    <row r="16" spans="2:11">
      <c r="B16" t="s">
        <v>5592</v>
      </c>
      <c r="C16" t="s">
        <v>1308</v>
      </c>
      <c r="D16" t="s">
        <v>5214</v>
      </c>
      <c r="E16" s="2048">
        <v>46860765.397899993</v>
      </c>
      <c r="F16" s="2048">
        <v>41053667.197500005</v>
      </c>
      <c r="G16" s="2048">
        <v>38941806.125</v>
      </c>
      <c r="H16" s="2048">
        <v>45255218.761000007</v>
      </c>
      <c r="I16" s="2048">
        <v>32075997.387999997</v>
      </c>
      <c r="J16" s="2048">
        <v>24478621.206</v>
      </c>
      <c r="K16" s="2048"/>
    </row>
    <row r="17" spans="2:11">
      <c r="B17" t="s">
        <v>5592</v>
      </c>
      <c r="C17" t="s">
        <v>1309</v>
      </c>
      <c r="D17" t="s">
        <v>5214</v>
      </c>
      <c r="E17" s="2048">
        <v>895817232.21220005</v>
      </c>
      <c r="F17" s="2048">
        <v>541118203.60930002</v>
      </c>
      <c r="G17" s="2048">
        <v>643303780.79799998</v>
      </c>
      <c r="H17" s="2048">
        <v>630640235.70700002</v>
      </c>
      <c r="I17" s="2048">
        <v>554268236.07299995</v>
      </c>
      <c r="J17" s="2048">
        <v>453700509.398</v>
      </c>
      <c r="K17" s="2048"/>
    </row>
    <row r="18" spans="2:11">
      <c r="B18" t="s">
        <v>5592</v>
      </c>
      <c r="C18" t="s">
        <v>1310</v>
      </c>
      <c r="D18" t="s">
        <v>5214</v>
      </c>
      <c r="E18" s="2048">
        <v>0</v>
      </c>
      <c r="F18" s="2048">
        <v>30464.35</v>
      </c>
      <c r="G18" s="2048">
        <v>93522.880999999994</v>
      </c>
      <c r="H18" s="2048">
        <v>144786</v>
      </c>
      <c r="I18" s="2048">
        <v>122563.44500000001</v>
      </c>
      <c r="J18" s="2048">
        <v>123836.442</v>
      </c>
      <c r="K18" s="2048"/>
    </row>
    <row r="19" spans="2:11">
      <c r="B19" t="s">
        <v>5592</v>
      </c>
      <c r="C19" t="s">
        <v>1311</v>
      </c>
      <c r="D19" t="s">
        <v>5214</v>
      </c>
      <c r="E19" s="2048">
        <v>0</v>
      </c>
      <c r="F19" s="2048">
        <v>189451.57199999999</v>
      </c>
      <c r="G19" s="2048">
        <v>1526728.1879999998</v>
      </c>
      <c r="H19" s="2048">
        <v>1473853.7700000003</v>
      </c>
      <c r="I19" s="2048">
        <v>1215484.7609999997</v>
      </c>
      <c r="J19" s="2048">
        <v>812200.21</v>
      </c>
      <c r="K19" s="2048"/>
    </row>
    <row r="20" spans="2:11">
      <c r="B20" t="s">
        <v>5589</v>
      </c>
      <c r="C20" t="s">
        <v>1307</v>
      </c>
      <c r="D20" t="s">
        <v>5595</v>
      </c>
      <c r="E20" s="2048">
        <v>298330353.66999996</v>
      </c>
      <c r="F20" s="2048">
        <v>305148746.59000003</v>
      </c>
      <c r="G20" s="2048">
        <v>316608514.34000003</v>
      </c>
      <c r="H20" s="2048">
        <v>279447284.38</v>
      </c>
      <c r="I20" s="2048">
        <v>259484784.19</v>
      </c>
      <c r="J20" s="2048">
        <v>176492315.01999998</v>
      </c>
      <c r="K20" s="2048"/>
    </row>
    <row r="21" spans="2:11">
      <c r="B21" t="s">
        <v>5589</v>
      </c>
      <c r="C21" t="s">
        <v>1308</v>
      </c>
      <c r="D21" t="s">
        <v>5595</v>
      </c>
      <c r="E21" s="2048">
        <v>26125729.629999995</v>
      </c>
      <c r="F21" s="2048">
        <v>22119948.34</v>
      </c>
      <c r="G21" s="2048">
        <v>18802045.560000002</v>
      </c>
      <c r="H21" s="2048">
        <v>17885190.23</v>
      </c>
      <c r="I21" s="2048">
        <v>15906936.02</v>
      </c>
      <c r="J21" s="2048">
        <v>12659702.419999998</v>
      </c>
      <c r="K21" s="2048"/>
    </row>
    <row r="22" spans="2:11">
      <c r="B22" t="s">
        <v>5589</v>
      </c>
      <c r="C22" t="s">
        <v>1309</v>
      </c>
      <c r="D22" t="s">
        <v>5595</v>
      </c>
      <c r="E22" s="2048">
        <v>11617723.700000001</v>
      </c>
      <c r="F22" s="2048">
        <v>8374022.0299999993</v>
      </c>
      <c r="G22" s="2048">
        <v>10538922.600000001</v>
      </c>
      <c r="H22" s="2048">
        <v>10466729.99</v>
      </c>
      <c r="I22" s="2048">
        <v>9156022.2999999989</v>
      </c>
      <c r="J22" s="2048">
        <v>7615704.0300000003</v>
      </c>
      <c r="K22" s="2048"/>
    </row>
    <row r="23" spans="2:11">
      <c r="B23" t="s">
        <v>5589</v>
      </c>
      <c r="C23" t="s">
        <v>1310</v>
      </c>
      <c r="D23" t="s">
        <v>5595</v>
      </c>
      <c r="E23" s="2048">
        <v>0</v>
      </c>
      <c r="F23" s="2048">
        <v>18619.330000000002</v>
      </c>
      <c r="G23" s="2048">
        <v>45468.369999999995</v>
      </c>
      <c r="H23" s="2048">
        <v>57805.48000000001</v>
      </c>
      <c r="I23" s="2048">
        <v>47489.1</v>
      </c>
      <c r="J23" s="2048">
        <v>45341.709999999992</v>
      </c>
      <c r="K23" s="2048"/>
    </row>
    <row r="24" spans="2:11">
      <c r="B24" t="s">
        <v>5589</v>
      </c>
      <c r="C24" t="s">
        <v>1311</v>
      </c>
      <c r="D24" t="s">
        <v>5595</v>
      </c>
      <c r="E24" s="2048">
        <v>0</v>
      </c>
      <c r="F24" s="2048">
        <v>89225.32</v>
      </c>
      <c r="G24" s="2048">
        <v>1217347.55</v>
      </c>
      <c r="H24" s="2048">
        <v>1590413.68</v>
      </c>
      <c r="I24" s="2048">
        <v>1578312.8000000003</v>
      </c>
      <c r="J24" s="2048">
        <v>1206104.2800000003</v>
      </c>
      <c r="K24" s="2048"/>
    </row>
    <row r="25" spans="2:11">
      <c r="B25" t="s">
        <v>5590</v>
      </c>
      <c r="C25" t="s">
        <v>1307</v>
      </c>
      <c r="D25" t="s">
        <v>5595</v>
      </c>
      <c r="E25" s="2048">
        <v>2686556236.7299995</v>
      </c>
      <c r="F25" s="2048">
        <v>3624310154.5199995</v>
      </c>
      <c r="G25" s="2048">
        <v>3914109464.0699997</v>
      </c>
      <c r="H25" s="2048">
        <v>3540763522.73</v>
      </c>
      <c r="I25" s="2048">
        <v>3634984194.6199999</v>
      </c>
      <c r="J25" s="2048">
        <v>3896079240.0699997</v>
      </c>
      <c r="K25" s="2048"/>
    </row>
    <row r="26" spans="2:11">
      <c r="B26" t="s">
        <v>5590</v>
      </c>
      <c r="C26" t="s">
        <v>1308</v>
      </c>
      <c r="D26" t="s">
        <v>5595</v>
      </c>
      <c r="E26" s="2048">
        <v>1785467062.25</v>
      </c>
      <c r="F26" s="2048">
        <v>1589839920.8099997</v>
      </c>
      <c r="G26" s="2048">
        <v>1540176508.26</v>
      </c>
      <c r="H26" s="2048">
        <v>1924755158.0899999</v>
      </c>
      <c r="I26" s="2048">
        <v>1730920094.7299998</v>
      </c>
      <c r="J26" s="2048">
        <v>1377287868.7500002</v>
      </c>
      <c r="K26" s="2048"/>
    </row>
    <row r="27" spans="2:11">
      <c r="B27" t="s">
        <v>5590</v>
      </c>
      <c r="C27" t="s">
        <v>1309</v>
      </c>
      <c r="D27" t="s">
        <v>5595</v>
      </c>
      <c r="E27" s="2048">
        <v>449253342.16000003</v>
      </c>
      <c r="F27" s="2048">
        <v>276549745.75999999</v>
      </c>
      <c r="G27" s="2048">
        <v>308157892.60000002</v>
      </c>
      <c r="H27" s="2048">
        <v>299671425.69</v>
      </c>
      <c r="I27" s="2048">
        <v>328303302.21999997</v>
      </c>
      <c r="J27" s="2048">
        <v>353729708.88999999</v>
      </c>
      <c r="K27" s="2048"/>
    </row>
    <row r="28" spans="2:11">
      <c r="B28" t="s">
        <v>5590</v>
      </c>
      <c r="C28" t="s">
        <v>1310</v>
      </c>
      <c r="D28" t="s">
        <v>5595</v>
      </c>
      <c r="E28" s="2048">
        <v>0</v>
      </c>
      <c r="F28" s="2048">
        <v>630096.92000000004</v>
      </c>
      <c r="G28" s="2048">
        <v>2257861.7299999995</v>
      </c>
      <c r="H28" s="2048">
        <v>3047219.92</v>
      </c>
      <c r="I28" s="2048">
        <v>2760109.4200000004</v>
      </c>
      <c r="J28" s="2048">
        <v>3117420.8199999994</v>
      </c>
      <c r="K28" s="2048"/>
    </row>
    <row r="29" spans="2:11">
      <c r="B29" t="s">
        <v>5590</v>
      </c>
      <c r="C29" t="s">
        <v>1311</v>
      </c>
      <c r="D29" t="s">
        <v>5595</v>
      </c>
      <c r="E29" s="2048">
        <v>0</v>
      </c>
      <c r="F29" s="2048">
        <v>3745804.2</v>
      </c>
      <c r="G29" s="2048">
        <v>38403772.030000001</v>
      </c>
      <c r="H29" s="2048">
        <v>52275309.179999992</v>
      </c>
      <c r="I29" s="2048">
        <v>63437231.530000009</v>
      </c>
      <c r="J29" s="2048">
        <v>50073140.460000008</v>
      </c>
      <c r="K29" s="2048"/>
    </row>
    <row r="30" spans="2:11">
      <c r="E30" s="2048"/>
      <c r="F30" s="2048"/>
      <c r="G30" s="2048"/>
      <c r="H30" s="2048"/>
      <c r="I30" s="2048"/>
      <c r="J30" s="2048"/>
      <c r="K30" s="2048"/>
    </row>
    <row r="31" spans="2:11">
      <c r="E31" s="2048"/>
      <c r="F31" s="2048"/>
      <c r="G31" s="2048"/>
      <c r="H31" s="2048"/>
      <c r="I31" s="2048"/>
      <c r="J31" s="2048"/>
      <c r="K31" s="2048"/>
    </row>
    <row r="32" spans="2:11">
      <c r="E32" s="2048"/>
      <c r="F32" s="2048"/>
      <c r="G32" s="2048"/>
      <c r="H32" s="2048"/>
      <c r="I32" s="2048"/>
      <c r="J32" s="2048"/>
      <c r="K32" s="2048"/>
    </row>
    <row r="33" spans="5:11">
      <c r="E33" s="2048"/>
      <c r="F33" s="2048"/>
      <c r="G33" s="2048"/>
      <c r="H33" s="2048"/>
      <c r="I33" s="2048"/>
      <c r="J33" s="2048"/>
      <c r="K33" s="2048"/>
    </row>
  </sheetData>
  <phoneticPr fontId="1" type="noConversion"/>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B1:Z951"/>
  <sheetViews>
    <sheetView topLeftCell="A1066" workbookViewId="0">
      <selection activeCell="C1077" sqref="C1077"/>
    </sheetView>
  </sheetViews>
  <sheetFormatPr defaultColWidth="9" defaultRowHeight="12"/>
  <cols>
    <col min="1" max="1" width="4.625" style="1" customWidth="1"/>
    <col min="2" max="2" width="9.75" style="1" bestFit="1" customWidth="1"/>
    <col min="3" max="5" width="9.75" style="1" customWidth="1"/>
    <col min="6" max="11" width="12.625" style="1" customWidth="1"/>
    <col min="12" max="12" width="1.625" style="1" customWidth="1"/>
    <col min="13" max="14" width="9" style="1"/>
    <col min="15" max="24" width="13.625" style="1" customWidth="1"/>
    <col min="25" max="16384" width="9" style="1"/>
  </cols>
  <sheetData>
    <row r="1" spans="2:24">
      <c r="B1" s="114" t="s">
        <v>339</v>
      </c>
      <c r="C1" s="114"/>
      <c r="D1" s="114"/>
      <c r="E1" s="114"/>
    </row>
    <row r="2" spans="2:24">
      <c r="B2" s="204" t="s">
        <v>335</v>
      </c>
      <c r="C2" s="204" t="s">
        <v>348</v>
      </c>
      <c r="D2" s="204" t="s">
        <v>349</v>
      </c>
      <c r="E2" s="204" t="s">
        <v>350</v>
      </c>
      <c r="F2" s="204" t="s">
        <v>336</v>
      </c>
      <c r="G2" s="204" t="s">
        <v>337</v>
      </c>
      <c r="H2" s="204" t="s">
        <v>342</v>
      </c>
      <c r="I2" s="204" t="s">
        <v>340</v>
      </c>
      <c r="J2" s="204" t="s">
        <v>341</v>
      </c>
      <c r="K2" s="204" t="s">
        <v>343</v>
      </c>
      <c r="L2" s="215"/>
      <c r="N2" s="204" t="s">
        <v>344</v>
      </c>
      <c r="O2" s="204" t="s">
        <v>329</v>
      </c>
      <c r="P2" s="204" t="s">
        <v>334</v>
      </c>
      <c r="Q2" s="204" t="s">
        <v>342</v>
      </c>
      <c r="R2" s="204" t="s">
        <v>340</v>
      </c>
      <c r="S2" s="204" t="s">
        <v>341</v>
      </c>
      <c r="T2" s="204" t="s">
        <v>343</v>
      </c>
      <c r="U2" s="204" t="s">
        <v>330</v>
      </c>
      <c r="V2" s="204" t="s">
        <v>331</v>
      </c>
      <c r="W2" s="204" t="s">
        <v>333</v>
      </c>
      <c r="X2" s="204" t="s">
        <v>332</v>
      </c>
    </row>
    <row r="3" spans="2:24">
      <c r="B3" s="206">
        <v>43102</v>
      </c>
      <c r="C3" s="211">
        <f t="shared" ref="C3:C34" si="0">YEAR(B3)</f>
        <v>2018</v>
      </c>
      <c r="D3" s="211">
        <f t="shared" ref="D3:D34" si="1">MONTH(B3)</f>
        <v>1</v>
      </c>
      <c r="E3" s="211">
        <f t="shared" ref="E3:E34" si="2">DAY(B3)</f>
        <v>2</v>
      </c>
      <c r="F3" s="205">
        <v>7181</v>
      </c>
      <c r="G3" s="205">
        <v>12690</v>
      </c>
      <c r="H3" s="207">
        <v>1312.05</v>
      </c>
      <c r="I3" s="207">
        <v>17.059999999999999</v>
      </c>
      <c r="J3" s="207">
        <v>947.8</v>
      </c>
      <c r="K3" s="207">
        <v>1087.3499999999999</v>
      </c>
      <c r="L3" s="207"/>
      <c r="M3" s="210" t="s">
        <v>69</v>
      </c>
      <c r="N3" s="210">
        <v>2018</v>
      </c>
      <c r="O3" s="207">
        <f>AVERAGEIFS(F$3:F$951,$C$3:$C$951,$N3)</f>
        <v>6523.037549407115</v>
      </c>
      <c r="P3" s="207">
        <f t="shared" ref="P3:T4" si="3">AVERAGEIFS(G$3:G$886,$C$3:$C$886,$N3)</f>
        <v>13122.272727272728</v>
      </c>
      <c r="Q3" s="207">
        <f t="shared" si="3"/>
        <v>1268.4865737051794</v>
      </c>
      <c r="R3" s="207">
        <f t="shared" si="3"/>
        <v>15.708458498023717</v>
      </c>
      <c r="S3" s="207">
        <f t="shared" si="3"/>
        <v>881.50620967741861</v>
      </c>
      <c r="T3" s="207">
        <f t="shared" si="3"/>
        <v>1016.124475806452</v>
      </c>
      <c r="U3" s="207">
        <f>Q3/31.1034768*1000</f>
        <v>40782.790356902457</v>
      </c>
      <c r="V3" s="207">
        <f t="shared" ref="V3:X8" si="4">R3/31.1034768*1000</f>
        <v>505.03866815377108</v>
      </c>
      <c r="W3" s="207">
        <f t="shared" si="4"/>
        <v>28341.082746010525</v>
      </c>
      <c r="X3" s="207">
        <f t="shared" si="4"/>
        <v>32669.160503833191</v>
      </c>
    </row>
    <row r="4" spans="2:24">
      <c r="B4" s="206">
        <v>43103</v>
      </c>
      <c r="C4" s="211">
        <f t="shared" si="0"/>
        <v>2018</v>
      </c>
      <c r="D4" s="211">
        <f t="shared" si="1"/>
        <v>1</v>
      </c>
      <c r="E4" s="211">
        <f t="shared" si="2"/>
        <v>3</v>
      </c>
      <c r="F4" s="205">
        <v>7115.5</v>
      </c>
      <c r="G4" s="205">
        <v>12465</v>
      </c>
      <c r="H4" s="207">
        <v>1314.9</v>
      </c>
      <c r="I4" s="207">
        <v>17.13</v>
      </c>
      <c r="J4" s="207">
        <v>962.3</v>
      </c>
      <c r="K4" s="207">
        <v>1083.3499999999999</v>
      </c>
      <c r="L4" s="207"/>
      <c r="M4" s="210" t="s">
        <v>27</v>
      </c>
      <c r="N4" s="210">
        <v>2019</v>
      </c>
      <c r="O4" s="207">
        <f>AVERAGEIFS(F$3:F$951,$C$3:$C$951,$N4)</f>
        <v>5999.733201581028</v>
      </c>
      <c r="P4" s="207">
        <f t="shared" si="3"/>
        <v>13936.442687747036</v>
      </c>
      <c r="Q4" s="207">
        <f t="shared" si="3"/>
        <v>1392.5960159362558</v>
      </c>
      <c r="R4" s="207">
        <f t="shared" si="3"/>
        <v>16.209920948616602</v>
      </c>
      <c r="S4" s="207">
        <f t="shared" si="3"/>
        <v>867.54048387096782</v>
      </c>
      <c r="T4" s="207">
        <f t="shared" si="3"/>
        <v>1519.1402419354831</v>
      </c>
      <c r="U4" s="207">
        <f t="shared" ref="U4:U8" si="5">Q4/31.1034768*1000</f>
        <v>44773.001580847573</v>
      </c>
      <c r="V4" s="207">
        <f t="shared" si="4"/>
        <v>521.16106031646598</v>
      </c>
      <c r="W4" s="207">
        <f t="shared" si="4"/>
        <v>27892.074234960375</v>
      </c>
      <c r="X4" s="207">
        <f t="shared" si="4"/>
        <v>48841.492920671917</v>
      </c>
    </row>
    <row r="5" spans="2:24">
      <c r="B5" s="206">
        <v>43104</v>
      </c>
      <c r="C5" s="211">
        <f t="shared" si="0"/>
        <v>2018</v>
      </c>
      <c r="D5" s="211">
        <f t="shared" si="1"/>
        <v>1</v>
      </c>
      <c r="E5" s="211">
        <f t="shared" si="2"/>
        <v>4</v>
      </c>
      <c r="F5" s="205">
        <v>7202.5</v>
      </c>
      <c r="G5" s="205">
        <v>12615</v>
      </c>
      <c r="H5" s="207">
        <v>1314.5</v>
      </c>
      <c r="I5" s="207">
        <v>17.13</v>
      </c>
      <c r="J5" s="207">
        <v>970.2</v>
      </c>
      <c r="K5" s="207">
        <v>1094.75</v>
      </c>
      <c r="L5" s="207"/>
      <c r="M5" s="210" t="s">
        <v>57</v>
      </c>
      <c r="N5" s="210" t="s">
        <v>345</v>
      </c>
      <c r="O5" s="207">
        <f t="shared" ref="O5:T5" si="6">AVERAGEIFS(F$3:F$951,$C$3:$C$951,"2020",$D$3:$D$951,"&lt;10")</f>
        <v>5848.5578947368422</v>
      </c>
      <c r="P5" s="207">
        <f t="shared" si="6"/>
        <v>13068.38947368421</v>
      </c>
      <c r="Q5" s="207">
        <f t="shared" si="6"/>
        <v>1735.4426315789469</v>
      </c>
      <c r="R5" s="207">
        <f t="shared" si="6"/>
        <v>19.251947368421053</v>
      </c>
      <c r="S5" s="207">
        <f t="shared" si="6"/>
        <v>877.02559139784978</v>
      </c>
      <c r="T5" s="207">
        <f t="shared" si="6"/>
        <v>2119.1320430107526</v>
      </c>
      <c r="U5" s="207">
        <f t="shared" si="5"/>
        <v>55795.776232287542</v>
      </c>
      <c r="V5" s="207">
        <f t="shared" si="4"/>
        <v>618.96448079466973</v>
      </c>
      <c r="W5" s="207">
        <f t="shared" si="4"/>
        <v>28197.027523233344</v>
      </c>
      <c r="X5" s="207">
        <f t="shared" si="4"/>
        <v>68131.677260297554</v>
      </c>
    </row>
    <row r="6" spans="2:24">
      <c r="B6" s="206">
        <v>43105</v>
      </c>
      <c r="C6" s="211">
        <f t="shared" si="0"/>
        <v>2018</v>
      </c>
      <c r="D6" s="211">
        <f t="shared" si="1"/>
        <v>1</v>
      </c>
      <c r="E6" s="211">
        <f t="shared" si="2"/>
        <v>5</v>
      </c>
      <c r="F6" s="205">
        <v>7097</v>
      </c>
      <c r="G6" s="205">
        <v>12500</v>
      </c>
      <c r="H6" s="207">
        <v>1317.15</v>
      </c>
      <c r="I6" s="207">
        <v>17.16</v>
      </c>
      <c r="J6" s="207">
        <v>975.2</v>
      </c>
      <c r="K6" s="207">
        <v>1082.2</v>
      </c>
      <c r="L6" s="207"/>
      <c r="M6" s="210" t="s">
        <v>58</v>
      </c>
      <c r="N6" s="210" t="s">
        <v>346</v>
      </c>
      <c r="O6" s="207">
        <f t="shared" ref="O6:T6" si="7">AVERAGEIFS(F$3:F$951,$C$3:$C$951,"2020",$D$3:$D$951,"&gt;9")</f>
        <v>7166.453125</v>
      </c>
      <c r="P6" s="207">
        <f t="shared" si="7"/>
        <v>15929.546875</v>
      </c>
      <c r="Q6" s="207">
        <f t="shared" si="7"/>
        <v>1874.2346774193552</v>
      </c>
      <c r="R6" s="207">
        <f t="shared" si="7"/>
        <v>24.392812500000002</v>
      </c>
      <c r="S6" s="207">
        <f t="shared" si="7"/>
        <v>942.55206349206367</v>
      </c>
      <c r="T6" s="207">
        <f t="shared" si="7"/>
        <v>2357.1701587301577</v>
      </c>
      <c r="U6" s="207">
        <f>Q6/31.1034768*1000</f>
        <v>60258.044123843902</v>
      </c>
      <c r="V6" s="207">
        <f t="shared" si="4"/>
        <v>784.24713278356069</v>
      </c>
      <c r="W6" s="207">
        <f t="shared" si="4"/>
        <v>30303.752521070688</v>
      </c>
      <c r="X6" s="207">
        <f t="shared" si="4"/>
        <v>75784.780392465895</v>
      </c>
    </row>
    <row r="7" spans="2:24">
      <c r="B7" s="206">
        <v>43108</v>
      </c>
      <c r="C7" s="211">
        <f t="shared" si="0"/>
        <v>2018</v>
      </c>
      <c r="D7" s="211">
        <f t="shared" si="1"/>
        <v>1</v>
      </c>
      <c r="E7" s="211">
        <f t="shared" si="2"/>
        <v>8</v>
      </c>
      <c r="F7" s="205">
        <v>7084.5</v>
      </c>
      <c r="G7" s="205">
        <v>12450</v>
      </c>
      <c r="H7" s="207">
        <v>1319.95</v>
      </c>
      <c r="I7" s="207">
        <v>17.170000000000002</v>
      </c>
      <c r="J7" s="207">
        <v>976.4</v>
      </c>
      <c r="K7" s="207">
        <v>1095.9000000000001</v>
      </c>
      <c r="L7" s="207"/>
      <c r="M7" s="210" t="s">
        <v>60</v>
      </c>
      <c r="N7" s="210">
        <v>2020</v>
      </c>
      <c r="O7" s="207">
        <f t="shared" ref="O7:T7" si="8">AVERAGEIFS(F$3:F$951,$C$3:$C$951,$N7)</f>
        <v>6180.6259842519685</v>
      </c>
      <c r="P7" s="207">
        <f t="shared" si="8"/>
        <v>13789.311023622047</v>
      </c>
      <c r="Q7" s="207">
        <f t="shared" si="8"/>
        <v>1769.5898809523806</v>
      </c>
      <c r="R7" s="207">
        <f t="shared" si="8"/>
        <v>20.547283464566917</v>
      </c>
      <c r="S7" s="207">
        <f t="shared" si="8"/>
        <v>893.60457831325277</v>
      </c>
      <c r="T7" s="207">
        <f t="shared" si="8"/>
        <v>2179.358554216868</v>
      </c>
      <c r="U7" s="207">
        <f t="shared" si="5"/>
        <v>56893.63579290855</v>
      </c>
      <c r="V7" s="207">
        <f t="shared" si="4"/>
        <v>660.61050334305128</v>
      </c>
      <c r="W7" s="207">
        <f t="shared" si="4"/>
        <v>28730.054329915067</v>
      </c>
      <c r="X7" s="207">
        <f t="shared" si="4"/>
        <v>70068.004558798013</v>
      </c>
    </row>
    <row r="8" spans="2:24">
      <c r="B8" s="206">
        <v>43109</v>
      </c>
      <c r="C8" s="211">
        <f t="shared" si="0"/>
        <v>2018</v>
      </c>
      <c r="D8" s="211">
        <f t="shared" si="1"/>
        <v>1</v>
      </c>
      <c r="E8" s="211">
        <f t="shared" si="2"/>
        <v>9</v>
      </c>
      <c r="F8" s="205">
        <v>7092</v>
      </c>
      <c r="G8" s="205">
        <v>12515</v>
      </c>
      <c r="H8" s="207">
        <v>1311</v>
      </c>
      <c r="I8" s="207">
        <v>17.059999999999999</v>
      </c>
      <c r="J8" s="207">
        <v>972.3</v>
      </c>
      <c r="K8" s="207">
        <v>1098.1500000000001</v>
      </c>
      <c r="L8" s="207"/>
      <c r="M8" s="210" t="s">
        <v>62</v>
      </c>
      <c r="N8" s="210" t="s">
        <v>347</v>
      </c>
      <c r="O8" s="207">
        <f t="shared" ref="O8:T8" si="9">AVERAGEIFS(F$3:F$951,$C$3:$C$951,"2021",$D$3:$D$951,"&lt;7")</f>
        <v>9092.0120967741932</v>
      </c>
      <c r="P8" s="207">
        <f t="shared" si="9"/>
        <v>17466</v>
      </c>
      <c r="Q8" s="207">
        <f t="shared" si="9"/>
        <v>1805.0572580645157</v>
      </c>
      <c r="R8" s="207">
        <f t="shared" si="9"/>
        <v>26.472016129032248</v>
      </c>
      <c r="S8" s="207">
        <f t="shared" si="9"/>
        <v>1172.9706557377051</v>
      </c>
      <c r="T8" s="207">
        <f t="shared" si="9"/>
        <v>2594.8432786885255</v>
      </c>
      <c r="U8" s="207">
        <f t="shared" si="5"/>
        <v>58033.938445894761</v>
      </c>
      <c r="V8" s="207">
        <f t="shared" si="4"/>
        <v>851.09508172514813</v>
      </c>
      <c r="W8" s="207">
        <f t="shared" si="4"/>
        <v>37711.882285060332</v>
      </c>
      <c r="X8" s="207">
        <f t="shared" si="4"/>
        <v>83426.148638422485</v>
      </c>
    </row>
    <row r="9" spans="2:24">
      <c r="B9" s="206">
        <v>43110</v>
      </c>
      <c r="C9" s="211">
        <f t="shared" si="0"/>
        <v>2018</v>
      </c>
      <c r="D9" s="211">
        <f t="shared" si="1"/>
        <v>1</v>
      </c>
      <c r="E9" s="211">
        <f t="shared" si="2"/>
        <v>10</v>
      </c>
      <c r="F9" s="205">
        <v>7140.5</v>
      </c>
      <c r="G9" s="205">
        <v>12900</v>
      </c>
      <c r="H9" s="207">
        <v>1319.75</v>
      </c>
      <c r="I9" s="207">
        <v>17.14</v>
      </c>
      <c r="J9" s="207">
        <v>978.8</v>
      </c>
      <c r="K9" s="207">
        <v>1077.4000000000001</v>
      </c>
      <c r="L9" s="207"/>
      <c r="M9" s="210" t="s">
        <v>5104</v>
      </c>
      <c r="N9" s="212" t="s">
        <v>5172</v>
      </c>
      <c r="O9" s="209">
        <f t="shared" ref="O9:T9" si="10">AVERAGEIFS(F$3:F$951,$C$3:$C$951,"2021")</f>
        <v>9188.2486772486773</v>
      </c>
      <c r="P9" s="209">
        <f t="shared" si="10"/>
        <v>18036.4708994709</v>
      </c>
      <c r="Q9" s="209">
        <f t="shared" si="10"/>
        <v>1799.7145502645499</v>
      </c>
      <c r="R9" s="209">
        <f t="shared" si="10"/>
        <v>25.748042328042327</v>
      </c>
      <c r="S9" s="209">
        <f t="shared" si="10"/>
        <v>1119.1633155080222</v>
      </c>
      <c r="T9" s="209">
        <f t="shared" si="10"/>
        <v>2540.6796791443844</v>
      </c>
      <c r="U9" s="209">
        <f t="shared" ref="U9" si="11">Q9/31.1034768*1000</f>
        <v>57862.166401427829</v>
      </c>
      <c r="V9" s="209">
        <f t="shared" ref="V9" si="12">R9/31.1034768*1000</f>
        <v>827.8187835271948</v>
      </c>
      <c r="W9" s="209">
        <f t="shared" ref="W9" si="13">S9/31.1034768*1000</f>
        <v>35981.936125803855</v>
      </c>
      <c r="X9" s="209">
        <f t="shared" ref="X9" si="14">T9/31.1034768*1000</f>
        <v>81684.748476234163</v>
      </c>
    </row>
    <row r="10" spans="2:24">
      <c r="B10" s="206">
        <v>43111</v>
      </c>
      <c r="C10" s="211">
        <f t="shared" si="0"/>
        <v>2018</v>
      </c>
      <c r="D10" s="211">
        <f t="shared" si="1"/>
        <v>1</v>
      </c>
      <c r="E10" s="211">
        <f t="shared" si="2"/>
        <v>11</v>
      </c>
      <c r="F10" s="205">
        <v>7123</v>
      </c>
      <c r="G10" s="205">
        <v>12835</v>
      </c>
      <c r="H10" s="207">
        <v>1323.05</v>
      </c>
      <c r="I10" s="207">
        <v>17.010000000000002</v>
      </c>
      <c r="J10" s="207">
        <v>990.8</v>
      </c>
      <c r="K10" s="207">
        <v>1076.25</v>
      </c>
      <c r="L10" s="207"/>
      <c r="N10" s="210"/>
      <c r="O10" s="207"/>
      <c r="P10" s="207"/>
      <c r="Q10" s="207"/>
      <c r="R10" s="207"/>
      <c r="S10" s="207"/>
      <c r="T10" s="207"/>
      <c r="U10" s="207"/>
      <c r="V10" s="207"/>
      <c r="W10" s="207"/>
      <c r="X10" s="207"/>
    </row>
    <row r="11" spans="2:24">
      <c r="B11" s="206">
        <v>43112</v>
      </c>
      <c r="C11" s="211">
        <f t="shared" si="0"/>
        <v>2018</v>
      </c>
      <c r="D11" s="211">
        <f t="shared" si="1"/>
        <v>1</v>
      </c>
      <c r="E11" s="211">
        <f t="shared" si="2"/>
        <v>12</v>
      </c>
      <c r="F11" s="205">
        <v>7070.5</v>
      </c>
      <c r="G11" s="205">
        <v>12670</v>
      </c>
      <c r="H11" s="207">
        <v>1326.8</v>
      </c>
      <c r="I11" s="207">
        <v>17.12</v>
      </c>
      <c r="J11" s="207">
        <v>996.2</v>
      </c>
      <c r="K11" s="207">
        <v>1105.3499999999999</v>
      </c>
      <c r="L11" s="207"/>
    </row>
    <row r="12" spans="2:24">
      <c r="B12" s="206">
        <v>43115</v>
      </c>
      <c r="C12" s="211">
        <f t="shared" si="0"/>
        <v>2018</v>
      </c>
      <c r="D12" s="211">
        <f t="shared" si="1"/>
        <v>1</v>
      </c>
      <c r="E12" s="211">
        <f t="shared" si="2"/>
        <v>15</v>
      </c>
      <c r="F12" s="205">
        <v>7180</v>
      </c>
      <c r="G12" s="205">
        <v>12835</v>
      </c>
      <c r="H12" s="207">
        <v>1339.25</v>
      </c>
      <c r="I12" s="207">
        <v>17.329999999999998</v>
      </c>
      <c r="J12" s="207" t="s">
        <v>338</v>
      </c>
      <c r="K12" s="207" t="s">
        <v>338</v>
      </c>
      <c r="L12" s="207"/>
      <c r="N12" s="214" t="s">
        <v>351</v>
      </c>
    </row>
    <row r="13" spans="2:24">
      <c r="B13" s="206">
        <v>43116</v>
      </c>
      <c r="C13" s="211">
        <f t="shared" si="0"/>
        <v>2018</v>
      </c>
      <c r="D13" s="211">
        <f t="shared" si="1"/>
        <v>1</v>
      </c>
      <c r="E13" s="211">
        <f t="shared" si="2"/>
        <v>16</v>
      </c>
      <c r="F13" s="205">
        <v>7023</v>
      </c>
      <c r="G13" s="205">
        <v>12415</v>
      </c>
      <c r="H13" s="207">
        <v>1333.85</v>
      </c>
      <c r="I13" s="207">
        <v>17.100000000000001</v>
      </c>
      <c r="J13" s="207">
        <v>1004.9</v>
      </c>
      <c r="K13" s="207">
        <v>1088.1500000000001</v>
      </c>
      <c r="L13" s="207"/>
      <c r="N13" s="213" t="s">
        <v>352</v>
      </c>
    </row>
    <row r="14" spans="2:24">
      <c r="B14" s="206">
        <v>43117</v>
      </c>
      <c r="C14" s="211">
        <f t="shared" si="0"/>
        <v>2018</v>
      </c>
      <c r="D14" s="211">
        <f t="shared" si="1"/>
        <v>1</v>
      </c>
      <c r="E14" s="211">
        <f t="shared" si="2"/>
        <v>17</v>
      </c>
      <c r="F14" s="205">
        <v>7047</v>
      </c>
      <c r="G14" s="205">
        <v>12415</v>
      </c>
      <c r="H14" s="207">
        <v>1335.65</v>
      </c>
      <c r="I14" s="207">
        <v>17.21</v>
      </c>
      <c r="J14" s="207">
        <v>1010.9</v>
      </c>
      <c r="K14" s="207">
        <v>1109.7</v>
      </c>
      <c r="L14" s="207"/>
    </row>
    <row r="15" spans="2:24">
      <c r="B15" s="206">
        <v>43118</v>
      </c>
      <c r="C15" s="211">
        <f t="shared" si="0"/>
        <v>2018</v>
      </c>
      <c r="D15" s="211">
        <f t="shared" si="1"/>
        <v>1</v>
      </c>
      <c r="E15" s="211">
        <f t="shared" si="2"/>
        <v>18</v>
      </c>
      <c r="F15" s="205">
        <v>7047</v>
      </c>
      <c r="G15" s="205">
        <v>12455</v>
      </c>
      <c r="H15" s="207">
        <v>1332.2</v>
      </c>
      <c r="I15" s="207">
        <v>17.09</v>
      </c>
      <c r="J15" s="207">
        <v>1007.2</v>
      </c>
      <c r="K15" s="207">
        <v>1093.3</v>
      </c>
      <c r="L15" s="207"/>
    </row>
    <row r="16" spans="2:24">
      <c r="B16" s="206">
        <v>43119</v>
      </c>
      <c r="C16" s="211">
        <f t="shared" si="0"/>
        <v>2018</v>
      </c>
      <c r="D16" s="211">
        <f t="shared" si="1"/>
        <v>1</v>
      </c>
      <c r="E16" s="211">
        <f t="shared" si="2"/>
        <v>19</v>
      </c>
      <c r="F16" s="205">
        <v>7079</v>
      </c>
      <c r="G16" s="205">
        <v>12595</v>
      </c>
      <c r="H16" s="207">
        <v>1334.95</v>
      </c>
      <c r="I16" s="207">
        <v>17.04</v>
      </c>
      <c r="J16" s="207">
        <v>1020.1</v>
      </c>
      <c r="K16" s="207">
        <v>1098.4000000000001</v>
      </c>
      <c r="L16" s="207"/>
      <c r="N16" s="114" t="s">
        <v>1277</v>
      </c>
      <c r="T16" s="399"/>
      <c r="U16" s="399">
        <f t="shared" ref="U16:W16" si="15">U18/6600</f>
        <v>1.090909090909091E-2</v>
      </c>
      <c r="V16" s="399">
        <f t="shared" si="15"/>
        <v>1.0757575757575757E-2</v>
      </c>
      <c r="W16" s="399">
        <f t="shared" si="15"/>
        <v>1.0757575757575757E-2</v>
      </c>
    </row>
    <row r="17" spans="2:24">
      <c r="B17" s="206">
        <v>43122</v>
      </c>
      <c r="C17" s="211">
        <f t="shared" si="0"/>
        <v>2018</v>
      </c>
      <c r="D17" s="211">
        <f t="shared" si="1"/>
        <v>1</v>
      </c>
      <c r="E17" s="211">
        <f t="shared" si="2"/>
        <v>22</v>
      </c>
      <c r="F17" s="205">
        <v>7049</v>
      </c>
      <c r="G17" s="205">
        <v>12720</v>
      </c>
      <c r="H17" s="207">
        <v>1332.6</v>
      </c>
      <c r="I17" s="207">
        <v>17.04</v>
      </c>
      <c r="J17" s="207">
        <v>996.8</v>
      </c>
      <c r="K17" s="207">
        <v>1092.3</v>
      </c>
      <c r="L17" s="207"/>
      <c r="N17" s="5581" t="s">
        <v>354</v>
      </c>
      <c r="O17" s="5582"/>
      <c r="P17" s="234">
        <v>2017</v>
      </c>
      <c r="Q17" s="234">
        <v>2018</v>
      </c>
      <c r="R17" s="234">
        <v>2019</v>
      </c>
      <c r="S17" s="234" t="s">
        <v>61</v>
      </c>
      <c r="T17" s="234">
        <v>2020</v>
      </c>
      <c r="U17" s="234">
        <v>2021</v>
      </c>
      <c r="V17" s="234">
        <v>2022</v>
      </c>
      <c r="W17" s="234">
        <v>2023</v>
      </c>
    </row>
    <row r="18" spans="2:24">
      <c r="B18" s="206">
        <v>43123</v>
      </c>
      <c r="C18" s="211">
        <f t="shared" si="0"/>
        <v>2018</v>
      </c>
      <c r="D18" s="211">
        <f t="shared" si="1"/>
        <v>1</v>
      </c>
      <c r="E18" s="211">
        <f t="shared" si="2"/>
        <v>23</v>
      </c>
      <c r="F18" s="205">
        <v>6905</v>
      </c>
      <c r="G18" s="205">
        <v>12750</v>
      </c>
      <c r="H18" s="207">
        <v>1333.4</v>
      </c>
      <c r="I18" s="207">
        <v>16.98</v>
      </c>
      <c r="J18" s="207">
        <v>1007.8</v>
      </c>
      <c r="K18" s="207">
        <v>1084.25</v>
      </c>
      <c r="L18" s="207"/>
      <c r="N18" s="235" t="s">
        <v>355</v>
      </c>
      <c r="O18" s="235" t="s">
        <v>356</v>
      </c>
      <c r="P18" s="236">
        <v>61.070852074461285</v>
      </c>
      <c r="Q18" s="235">
        <v>62.04</v>
      </c>
      <c r="R18" s="235">
        <v>73.55</v>
      </c>
      <c r="S18" s="235">
        <v>71.58</v>
      </c>
      <c r="T18" s="235">
        <v>71</v>
      </c>
      <c r="U18" s="235">
        <v>72</v>
      </c>
      <c r="V18" s="235">
        <v>71</v>
      </c>
      <c r="W18" s="235">
        <v>71</v>
      </c>
    </row>
    <row r="19" spans="2:24">
      <c r="B19" s="206">
        <v>43124</v>
      </c>
      <c r="C19" s="211">
        <f t="shared" si="0"/>
        <v>2018</v>
      </c>
      <c r="D19" s="211">
        <f t="shared" si="1"/>
        <v>1</v>
      </c>
      <c r="E19" s="211">
        <f t="shared" si="2"/>
        <v>24</v>
      </c>
      <c r="F19" s="205">
        <v>6943</v>
      </c>
      <c r="G19" s="205">
        <v>13000</v>
      </c>
      <c r="H19" s="207">
        <v>1353.7</v>
      </c>
      <c r="I19" s="207">
        <v>17.190000000000001</v>
      </c>
      <c r="J19" s="207">
        <v>1015.8</v>
      </c>
      <c r="K19" s="207">
        <v>1106.3499999999999</v>
      </c>
      <c r="L19" s="207"/>
      <c r="N19" s="235"/>
      <c r="O19" s="235" t="s">
        <v>357</v>
      </c>
      <c r="P19" s="236"/>
      <c r="Q19" s="235"/>
      <c r="R19" s="235"/>
      <c r="S19" s="235"/>
      <c r="T19" s="235">
        <v>71</v>
      </c>
      <c r="U19" s="235">
        <v>73</v>
      </c>
      <c r="V19" s="235">
        <v>73</v>
      </c>
      <c r="W19" s="235">
        <v>73</v>
      </c>
    </row>
    <row r="20" spans="2:24">
      <c r="B20" s="206">
        <v>43125</v>
      </c>
      <c r="C20" s="211">
        <f t="shared" si="0"/>
        <v>2018</v>
      </c>
      <c r="D20" s="211">
        <f t="shared" si="1"/>
        <v>1</v>
      </c>
      <c r="E20" s="211">
        <f t="shared" si="2"/>
        <v>25</v>
      </c>
      <c r="F20" s="205">
        <v>7112</v>
      </c>
      <c r="G20" s="205">
        <v>13695</v>
      </c>
      <c r="H20" s="207">
        <v>1354.95</v>
      </c>
      <c r="I20" s="207">
        <v>17.52</v>
      </c>
      <c r="J20" s="207">
        <v>1032.0999999999999</v>
      </c>
      <c r="K20" s="207">
        <v>1097.4000000000001</v>
      </c>
      <c r="L20" s="207"/>
      <c r="N20" s="235"/>
      <c r="O20" s="235" t="s">
        <v>358</v>
      </c>
      <c r="P20" s="236"/>
      <c r="Q20" s="235"/>
      <c r="R20" s="235"/>
      <c r="S20" s="235"/>
      <c r="T20" s="235">
        <v>73</v>
      </c>
      <c r="U20" s="235">
        <v>74</v>
      </c>
      <c r="V20" s="235">
        <v>74</v>
      </c>
      <c r="W20" s="235">
        <v>75</v>
      </c>
    </row>
    <row r="21" spans="2:24">
      <c r="B21" s="206">
        <v>43126</v>
      </c>
      <c r="C21" s="211">
        <f t="shared" si="0"/>
        <v>2018</v>
      </c>
      <c r="D21" s="211">
        <f t="shared" si="1"/>
        <v>1</v>
      </c>
      <c r="E21" s="211">
        <f t="shared" si="2"/>
        <v>26</v>
      </c>
      <c r="F21" s="205">
        <v>7063.5</v>
      </c>
      <c r="G21" s="205">
        <v>13750</v>
      </c>
      <c r="H21" s="207">
        <v>1353.15</v>
      </c>
      <c r="I21" s="207">
        <v>17.399999999999999</v>
      </c>
      <c r="J21" s="207">
        <v>1018.4</v>
      </c>
      <c r="K21" s="207">
        <v>1085.05</v>
      </c>
      <c r="L21" s="207"/>
      <c r="N21" s="237" t="s">
        <v>359</v>
      </c>
      <c r="O21" s="237" t="s">
        <v>360</v>
      </c>
      <c r="P21" s="237">
        <v>4.3499999999999997E-3</v>
      </c>
      <c r="Q21" s="237">
        <v>4.3E-3</v>
      </c>
      <c r="R21" s="237">
        <v>3.3E-3</v>
      </c>
      <c r="S21" s="237">
        <v>1.9E-3</v>
      </c>
      <c r="T21" s="237">
        <v>1.8E-3</v>
      </c>
      <c r="U21" s="237">
        <v>1.9E-3</v>
      </c>
      <c r="V21" s="237">
        <v>2E-3</v>
      </c>
      <c r="W21" s="237">
        <v>2.0999999999999999E-3</v>
      </c>
    </row>
    <row r="22" spans="2:24">
      <c r="B22" s="206">
        <v>43129</v>
      </c>
      <c r="C22" s="211">
        <f t="shared" si="0"/>
        <v>2018</v>
      </c>
      <c r="D22" s="211">
        <f t="shared" si="1"/>
        <v>1</v>
      </c>
      <c r="E22" s="211">
        <f t="shared" si="2"/>
        <v>29</v>
      </c>
      <c r="F22" s="205">
        <v>7062</v>
      </c>
      <c r="G22" s="205">
        <v>13890</v>
      </c>
      <c r="H22" s="207">
        <v>1343.85</v>
      </c>
      <c r="I22" s="207">
        <v>17.34</v>
      </c>
      <c r="J22" s="207">
        <v>1012.7</v>
      </c>
      <c r="K22" s="207">
        <v>1083.4000000000001</v>
      </c>
      <c r="L22" s="207"/>
      <c r="N22" s="235"/>
      <c r="O22" s="235" t="s">
        <v>357</v>
      </c>
      <c r="P22" s="238"/>
      <c r="Q22" s="235"/>
      <c r="R22" s="235"/>
      <c r="S22" s="235"/>
      <c r="T22" s="237">
        <v>2.5999999999999999E-3</v>
      </c>
      <c r="U22" s="237">
        <v>2.3E-3</v>
      </c>
      <c r="V22" s="237">
        <v>2.3E-3</v>
      </c>
      <c r="W22" s="237">
        <v>2.3E-3</v>
      </c>
    </row>
    <row r="23" spans="2:24">
      <c r="B23" s="206">
        <v>43130</v>
      </c>
      <c r="C23" s="211">
        <f t="shared" si="0"/>
        <v>2018</v>
      </c>
      <c r="D23" s="211">
        <f t="shared" si="1"/>
        <v>1</v>
      </c>
      <c r="E23" s="211">
        <f t="shared" si="2"/>
        <v>30</v>
      </c>
      <c r="F23" s="205">
        <v>7049</v>
      </c>
      <c r="G23" s="205">
        <v>13650</v>
      </c>
      <c r="H23" s="207">
        <v>1344.9</v>
      </c>
      <c r="I23" s="207">
        <v>17.3</v>
      </c>
      <c r="J23" s="207">
        <v>1001.8</v>
      </c>
      <c r="K23" s="207">
        <v>1052.45</v>
      </c>
      <c r="L23" s="207"/>
      <c r="N23" s="235"/>
      <c r="O23" s="235" t="s">
        <v>358</v>
      </c>
      <c r="P23" s="238"/>
      <c r="Q23" s="235"/>
      <c r="R23" s="235"/>
      <c r="S23" s="235"/>
      <c r="T23" s="237">
        <v>-5.0000000000000001E-4</v>
      </c>
      <c r="U23" s="237">
        <v>-5.9999999999999995E-4</v>
      </c>
      <c r="V23" s="237">
        <v>5.9999999999999995E-4</v>
      </c>
      <c r="W23" s="237">
        <v>5.9999999999999995E-4</v>
      </c>
    </row>
    <row r="24" spans="2:24">
      <c r="B24" s="206">
        <v>43131</v>
      </c>
      <c r="C24" s="211">
        <f t="shared" si="0"/>
        <v>2018</v>
      </c>
      <c r="D24" s="211">
        <f t="shared" si="1"/>
        <v>1</v>
      </c>
      <c r="E24" s="211">
        <f t="shared" si="2"/>
        <v>31</v>
      </c>
      <c r="F24" s="205">
        <v>7100.5</v>
      </c>
      <c r="G24" s="205">
        <v>13555</v>
      </c>
      <c r="H24" s="207">
        <v>1345.05</v>
      </c>
      <c r="I24" s="207">
        <v>17.23</v>
      </c>
      <c r="J24" s="207">
        <v>1004.3</v>
      </c>
      <c r="K24" s="207">
        <v>1023.55</v>
      </c>
      <c r="L24" s="207"/>
      <c r="N24" s="235" t="s">
        <v>361</v>
      </c>
      <c r="O24" s="235" t="s">
        <v>360</v>
      </c>
      <c r="P24" s="237">
        <v>5.0000000000000001E-3</v>
      </c>
      <c r="Q24" s="237">
        <v>7.0000000000000001E-3</v>
      </c>
      <c r="R24" s="237">
        <v>6.8999999999999999E-3</v>
      </c>
      <c r="S24" s="237">
        <v>4.7000000000000002E-3</v>
      </c>
      <c r="T24" s="237">
        <v>3.7000000000000002E-3</v>
      </c>
      <c r="U24" s="237">
        <v>4.1999999999999997E-3</v>
      </c>
      <c r="V24" s="237">
        <v>5.0000000000000001E-3</v>
      </c>
      <c r="W24" s="237">
        <v>5.0000000000000001E-3</v>
      </c>
    </row>
    <row r="25" spans="2:24">
      <c r="B25" s="206">
        <v>43132</v>
      </c>
      <c r="C25" s="211">
        <f t="shared" si="0"/>
        <v>2018</v>
      </c>
      <c r="D25" s="211">
        <f t="shared" si="1"/>
        <v>2</v>
      </c>
      <c r="E25" s="211">
        <f t="shared" si="2"/>
        <v>1</v>
      </c>
      <c r="F25" s="205">
        <v>7027</v>
      </c>
      <c r="G25" s="205">
        <v>13545</v>
      </c>
      <c r="H25" s="207">
        <v>1341.35</v>
      </c>
      <c r="I25" s="207">
        <v>17.190000000000001</v>
      </c>
      <c r="J25" s="207">
        <v>1007.8</v>
      </c>
      <c r="K25" s="207">
        <v>1024.7</v>
      </c>
      <c r="L25" s="207"/>
      <c r="N25" s="235"/>
      <c r="O25" s="235" t="s">
        <v>357</v>
      </c>
      <c r="P25" s="239"/>
      <c r="Q25" s="239"/>
      <c r="R25" s="235"/>
      <c r="S25" s="235"/>
      <c r="T25" s="237">
        <v>8.2000000000000007E-3</v>
      </c>
      <c r="U25" s="237">
        <v>7.6E-3</v>
      </c>
      <c r="V25" s="237">
        <v>7.6E-3</v>
      </c>
      <c r="W25" s="237">
        <v>7.6E-3</v>
      </c>
    </row>
    <row r="26" spans="2:24">
      <c r="B26" s="206">
        <v>43133</v>
      </c>
      <c r="C26" s="211">
        <f t="shared" si="0"/>
        <v>2018</v>
      </c>
      <c r="D26" s="211">
        <f t="shared" si="1"/>
        <v>2</v>
      </c>
      <c r="E26" s="211">
        <f t="shared" si="2"/>
        <v>2</v>
      </c>
      <c r="F26" s="205">
        <v>7066</v>
      </c>
      <c r="G26" s="205">
        <v>13795</v>
      </c>
      <c r="H26" s="207">
        <v>1331.15</v>
      </c>
      <c r="I26" s="207">
        <v>17.14</v>
      </c>
      <c r="J26" s="207">
        <v>999.4</v>
      </c>
      <c r="K26" s="207">
        <v>1044.95</v>
      </c>
      <c r="L26" s="207"/>
      <c r="N26" s="235"/>
      <c r="O26" s="235" t="s">
        <v>358</v>
      </c>
      <c r="P26" s="239"/>
      <c r="Q26" s="239"/>
      <c r="R26" s="235"/>
      <c r="S26" s="235"/>
      <c r="T26" s="237">
        <v>1E-4</v>
      </c>
      <c r="U26" s="237">
        <v>5.0000000000000001E-4</v>
      </c>
      <c r="V26" s="237">
        <v>5.0000000000000001E-4</v>
      </c>
      <c r="W26" s="237">
        <v>5.0000000000000001E-4</v>
      </c>
    </row>
    <row r="27" spans="2:24">
      <c r="B27" s="206">
        <v>43136</v>
      </c>
      <c r="C27" s="211">
        <f t="shared" si="0"/>
        <v>2018</v>
      </c>
      <c r="D27" s="211">
        <f t="shared" si="1"/>
        <v>2</v>
      </c>
      <c r="E27" s="211">
        <f t="shared" si="2"/>
        <v>5</v>
      </c>
      <c r="F27" s="205">
        <v>7050</v>
      </c>
      <c r="G27" s="205">
        <v>13540</v>
      </c>
      <c r="H27" s="207">
        <v>1333.6</v>
      </c>
      <c r="I27" s="207">
        <v>16.88</v>
      </c>
      <c r="J27" s="207">
        <v>995.5</v>
      </c>
      <c r="K27" s="207">
        <v>1032.95</v>
      </c>
      <c r="L27" s="207"/>
      <c r="N27" s="235" t="s">
        <v>362</v>
      </c>
      <c r="O27" s="235" t="s">
        <v>363</v>
      </c>
      <c r="P27" s="239"/>
      <c r="Q27" s="239"/>
      <c r="R27" s="235"/>
      <c r="S27" s="235"/>
      <c r="T27" s="240">
        <v>126</v>
      </c>
      <c r="U27" s="240">
        <v>120</v>
      </c>
      <c r="V27" s="240">
        <v>116</v>
      </c>
      <c r="W27" s="240">
        <v>114</v>
      </c>
    </row>
    <row r="28" spans="2:24">
      <c r="B28" s="206">
        <v>43137</v>
      </c>
      <c r="C28" s="211">
        <f t="shared" si="0"/>
        <v>2018</v>
      </c>
      <c r="D28" s="211">
        <f t="shared" si="1"/>
        <v>2</v>
      </c>
      <c r="E28" s="211">
        <f t="shared" si="2"/>
        <v>6</v>
      </c>
      <c r="F28" s="205">
        <v>7060</v>
      </c>
      <c r="G28" s="205">
        <v>13370</v>
      </c>
      <c r="H28" s="207">
        <v>1331.4</v>
      </c>
      <c r="I28" s="207">
        <v>16.809999999999999</v>
      </c>
      <c r="J28" s="207">
        <v>994.3</v>
      </c>
      <c r="K28" s="207">
        <v>1002.5</v>
      </c>
      <c r="L28" s="207"/>
      <c r="N28" s="235"/>
      <c r="O28" s="235" t="s">
        <v>360</v>
      </c>
      <c r="P28" s="243"/>
      <c r="Q28" s="243"/>
      <c r="R28" s="243"/>
      <c r="S28" s="243"/>
      <c r="T28" s="244">
        <f>T27/1000*31.1034768/20</f>
        <v>0.19595190384</v>
      </c>
      <c r="U28" s="244">
        <f t="shared" ref="U28:V28" si="16">U27/1000*31.1034768/20</f>
        <v>0.18662086080000001</v>
      </c>
      <c r="V28" s="244">
        <f t="shared" si="16"/>
        <v>0.18040016544000001</v>
      </c>
      <c r="W28" s="244">
        <f>W27/1000*31.1034768/20</f>
        <v>0.17728981776000002</v>
      </c>
      <c r="X28" s="242" t="s">
        <v>367</v>
      </c>
    </row>
    <row r="29" spans="2:24">
      <c r="B29" s="206">
        <v>43138</v>
      </c>
      <c r="C29" s="211">
        <f t="shared" si="0"/>
        <v>2018</v>
      </c>
      <c r="D29" s="211">
        <f t="shared" si="1"/>
        <v>2</v>
      </c>
      <c r="E29" s="211">
        <f t="shared" si="2"/>
        <v>7</v>
      </c>
      <c r="F29" s="205">
        <v>7006</v>
      </c>
      <c r="G29" s="205">
        <v>13490</v>
      </c>
      <c r="H29" s="207">
        <v>1324.65</v>
      </c>
      <c r="I29" s="207">
        <v>16.690000000000001</v>
      </c>
      <c r="J29" s="207">
        <v>981.7</v>
      </c>
      <c r="K29" s="207">
        <v>984.55</v>
      </c>
      <c r="L29" s="207"/>
      <c r="N29" s="235" t="s">
        <v>364</v>
      </c>
      <c r="O29" s="235" t="s">
        <v>360</v>
      </c>
      <c r="P29" s="237">
        <v>6.0000000000000001E-3</v>
      </c>
      <c r="Q29" s="237">
        <v>6.0000000000000001E-3</v>
      </c>
      <c r="R29" s="237">
        <v>6.1999999999999998E-3</v>
      </c>
      <c r="S29" s="237">
        <v>5.4000000000000003E-3</v>
      </c>
      <c r="T29" s="237">
        <v>4.3E-3</v>
      </c>
      <c r="U29" s="237">
        <v>4.1000000000000003E-3</v>
      </c>
      <c r="V29" s="237">
        <f>U29</f>
        <v>4.1000000000000003E-3</v>
      </c>
      <c r="W29" s="237">
        <f>V29</f>
        <v>4.1000000000000003E-3</v>
      </c>
    </row>
    <row r="30" spans="2:24">
      <c r="B30" s="206">
        <v>43139</v>
      </c>
      <c r="C30" s="211">
        <f t="shared" si="0"/>
        <v>2018</v>
      </c>
      <c r="D30" s="211">
        <f t="shared" si="1"/>
        <v>2</v>
      </c>
      <c r="E30" s="211">
        <f t="shared" si="2"/>
        <v>8</v>
      </c>
      <c r="F30" s="205">
        <v>6838</v>
      </c>
      <c r="G30" s="205">
        <v>13025</v>
      </c>
      <c r="H30" s="207">
        <v>1315.45</v>
      </c>
      <c r="I30" s="207">
        <v>16.350000000000001</v>
      </c>
      <c r="J30" s="207">
        <v>978.4</v>
      </c>
      <c r="K30" s="207">
        <v>962.2</v>
      </c>
      <c r="L30" s="207"/>
      <c r="N30" s="235" t="s">
        <v>365</v>
      </c>
      <c r="O30" s="235" t="s">
        <v>360</v>
      </c>
      <c r="P30" s="237">
        <v>3.0000000000000001E-3</v>
      </c>
      <c r="Q30" s="237">
        <v>8.9999999999999993E-3</v>
      </c>
      <c r="R30" s="237">
        <v>1.2E-2</v>
      </c>
      <c r="S30" s="237">
        <v>1.06E-2</v>
      </c>
      <c r="T30" s="237">
        <v>8.3000000000000001E-3</v>
      </c>
      <c r="U30" s="237">
        <v>8.3000000000000001E-3</v>
      </c>
      <c r="V30" s="237">
        <v>8.3000000000000001E-3</v>
      </c>
      <c r="W30" s="237">
        <f>V30</f>
        <v>8.3000000000000001E-3</v>
      </c>
    </row>
    <row r="31" spans="2:24">
      <c r="B31" s="206">
        <v>43140</v>
      </c>
      <c r="C31" s="211">
        <f t="shared" si="0"/>
        <v>2018</v>
      </c>
      <c r="D31" s="211">
        <f t="shared" si="1"/>
        <v>2</v>
      </c>
      <c r="E31" s="211">
        <f t="shared" si="2"/>
        <v>9</v>
      </c>
      <c r="F31" s="205">
        <v>6755</v>
      </c>
      <c r="G31" s="205">
        <v>12970</v>
      </c>
      <c r="H31" s="207">
        <v>1314.1</v>
      </c>
      <c r="I31" s="207">
        <v>16.36</v>
      </c>
      <c r="J31" s="207">
        <v>961.5</v>
      </c>
      <c r="K31" s="207">
        <v>963.35</v>
      </c>
      <c r="L31" s="207"/>
      <c r="N31" s="235" t="s">
        <v>366</v>
      </c>
      <c r="O31" s="235" t="s">
        <v>360</v>
      </c>
      <c r="P31" s="241">
        <v>-0.16600000000000001</v>
      </c>
      <c r="Q31" s="241">
        <v>-0.26</v>
      </c>
      <c r="R31" s="241">
        <v>-0.219</v>
      </c>
      <c r="S31" s="241">
        <v>-0.23499999999999999</v>
      </c>
      <c r="T31" s="237">
        <f>S31</f>
        <v>-0.23499999999999999</v>
      </c>
      <c r="U31" s="237">
        <v>-0.25193899782135076</v>
      </c>
      <c r="V31" s="237">
        <v>-0.25871459694989107</v>
      </c>
      <c r="W31" s="237">
        <v>-0.25871459694989107</v>
      </c>
    </row>
    <row r="32" spans="2:24">
      <c r="B32" s="206">
        <v>43143</v>
      </c>
      <c r="C32" s="211">
        <f t="shared" si="0"/>
        <v>2018</v>
      </c>
      <c r="D32" s="211">
        <f t="shared" si="1"/>
        <v>2</v>
      </c>
      <c r="E32" s="211">
        <f t="shared" si="2"/>
        <v>12</v>
      </c>
      <c r="F32" s="205">
        <v>6786.5</v>
      </c>
      <c r="G32" s="205">
        <v>12965</v>
      </c>
      <c r="H32" s="207">
        <v>1322.3</v>
      </c>
      <c r="I32" s="207">
        <v>16.43</v>
      </c>
      <c r="J32" s="207">
        <v>972.8</v>
      </c>
      <c r="K32" s="207">
        <v>976.15</v>
      </c>
      <c r="L32" s="207"/>
    </row>
    <row r="33" spans="2:26">
      <c r="B33" s="206">
        <v>43144</v>
      </c>
      <c r="C33" s="211">
        <f t="shared" si="0"/>
        <v>2018</v>
      </c>
      <c r="D33" s="211">
        <f t="shared" si="1"/>
        <v>2</v>
      </c>
      <c r="E33" s="211">
        <f t="shared" si="2"/>
        <v>13</v>
      </c>
      <c r="F33" s="205">
        <v>6908</v>
      </c>
      <c r="G33" s="205">
        <v>13215</v>
      </c>
      <c r="H33" s="207">
        <v>1325.35</v>
      </c>
      <c r="I33" s="207">
        <v>16.61</v>
      </c>
      <c r="J33" s="207">
        <v>975.7</v>
      </c>
      <c r="K33" s="207">
        <v>980.7</v>
      </c>
      <c r="L33" s="207"/>
      <c r="N33" s="114" t="s">
        <v>403</v>
      </c>
    </row>
    <row r="34" spans="2:26">
      <c r="B34" s="206">
        <v>43145</v>
      </c>
      <c r="C34" s="211">
        <f t="shared" si="0"/>
        <v>2018</v>
      </c>
      <c r="D34" s="211">
        <f t="shared" si="1"/>
        <v>2</v>
      </c>
      <c r="E34" s="211">
        <f t="shared" si="2"/>
        <v>14</v>
      </c>
      <c r="F34" s="205">
        <v>6962</v>
      </c>
      <c r="G34" s="205">
        <v>13630</v>
      </c>
      <c r="H34" s="207">
        <v>1336.25</v>
      </c>
      <c r="I34" s="207">
        <v>16.579999999999998</v>
      </c>
      <c r="J34" s="207">
        <v>999.1</v>
      </c>
      <c r="K34" s="207">
        <v>997.3</v>
      </c>
      <c r="L34" s="207"/>
      <c r="N34" s="290" t="s">
        <v>354</v>
      </c>
      <c r="O34" s="290" t="s">
        <v>404</v>
      </c>
      <c r="P34" s="10" t="s">
        <v>5</v>
      </c>
      <c r="Q34" s="10" t="s">
        <v>6</v>
      </c>
      <c r="R34" s="10" t="s">
        <v>7</v>
      </c>
      <c r="S34" s="10" t="s">
        <v>8</v>
      </c>
      <c r="T34" s="10" t="s">
        <v>9</v>
      </c>
    </row>
    <row r="35" spans="2:26">
      <c r="B35" s="206">
        <v>43146</v>
      </c>
      <c r="C35" s="211">
        <f t="shared" ref="C35:C66" si="17">YEAR(B35)</f>
        <v>2018</v>
      </c>
      <c r="D35" s="211">
        <f t="shared" ref="D35:D67" si="18">MONTH(B35)</f>
        <v>2</v>
      </c>
      <c r="E35" s="211">
        <f t="shared" ref="E35:E67" si="19">DAY(B35)</f>
        <v>15</v>
      </c>
      <c r="F35" s="205">
        <v>7098</v>
      </c>
      <c r="G35" s="205">
        <v>14150</v>
      </c>
      <c r="H35" s="207">
        <v>1352.45</v>
      </c>
      <c r="I35" s="207">
        <v>16.829999999999998</v>
      </c>
      <c r="J35" s="207">
        <v>1001.1</v>
      </c>
      <c r="K35" s="207">
        <v>1006.65</v>
      </c>
      <c r="L35" s="207"/>
      <c r="N35" s="1" t="s">
        <v>329</v>
      </c>
      <c r="O35" s="1" t="s">
        <v>405</v>
      </c>
      <c r="P35" s="205">
        <v>7761</v>
      </c>
      <c r="Q35" s="205">
        <v>9350</v>
      </c>
      <c r="R35" s="205">
        <v>9190</v>
      </c>
      <c r="S35" s="205">
        <v>9040</v>
      </c>
      <c r="T35" s="1955">
        <f>S35</f>
        <v>9040</v>
      </c>
    </row>
    <row r="36" spans="2:26">
      <c r="B36" s="206">
        <v>43147</v>
      </c>
      <c r="C36" s="211">
        <f t="shared" si="17"/>
        <v>2018</v>
      </c>
      <c r="D36" s="211">
        <f t="shared" si="18"/>
        <v>2</v>
      </c>
      <c r="E36" s="211">
        <f t="shared" si="19"/>
        <v>16</v>
      </c>
      <c r="F36" s="205">
        <v>7159</v>
      </c>
      <c r="G36" s="205">
        <v>14030</v>
      </c>
      <c r="H36" s="207">
        <v>1352.1</v>
      </c>
      <c r="I36" s="207">
        <v>16.84</v>
      </c>
      <c r="J36" s="207">
        <v>1012.3</v>
      </c>
      <c r="K36" s="207">
        <v>1035.75</v>
      </c>
      <c r="L36" s="207"/>
      <c r="O36" s="1" t="s">
        <v>406</v>
      </c>
      <c r="P36" s="205">
        <v>8500</v>
      </c>
      <c r="Q36" s="205">
        <v>7500</v>
      </c>
      <c r="R36" s="205">
        <v>7555.1887044242103</v>
      </c>
      <c r="S36" s="205">
        <v>7610.7835145945601</v>
      </c>
      <c r="T36" s="205">
        <v>7666.78741883772</v>
      </c>
    </row>
    <row r="37" spans="2:26">
      <c r="B37" s="206">
        <v>43150</v>
      </c>
      <c r="C37" s="211">
        <f t="shared" si="17"/>
        <v>2018</v>
      </c>
      <c r="D37" s="211">
        <f t="shared" si="18"/>
        <v>2</v>
      </c>
      <c r="E37" s="211">
        <f t="shared" si="19"/>
        <v>19</v>
      </c>
      <c r="F37" s="205">
        <v>7093</v>
      </c>
      <c r="G37" s="205">
        <v>13600</v>
      </c>
      <c r="H37" s="207">
        <v>1346.6</v>
      </c>
      <c r="I37" s="207">
        <v>16.72</v>
      </c>
      <c r="J37" s="207" t="s">
        <v>338</v>
      </c>
      <c r="K37" s="207" t="s">
        <v>338</v>
      </c>
      <c r="L37" s="207"/>
      <c r="N37" s="1" t="s">
        <v>330</v>
      </c>
      <c r="O37" s="1" t="s">
        <v>405</v>
      </c>
      <c r="P37" s="205">
        <v>1811.53</v>
      </c>
      <c r="Q37" s="205">
        <v>1802.17</v>
      </c>
      <c r="R37" s="205">
        <v>1757.16</v>
      </c>
      <c r="S37" s="205">
        <v>1728.84</v>
      </c>
      <c r="T37" s="205">
        <v>1672.31</v>
      </c>
      <c r="U37" s="204" t="s">
        <v>342</v>
      </c>
      <c r="V37" s="73">
        <f>P37/31.1034768*1000</f>
        <v>58242.041931466643</v>
      </c>
      <c r="W37" s="73">
        <f t="shared" ref="W37:Z37" si="20">Q37/31.1034768*1000</f>
        <v>57941.110943584288</v>
      </c>
      <c r="X37" s="73">
        <f t="shared" si="20"/>
        <v>56494.00584053035</v>
      </c>
      <c r="Y37" s="73">
        <f t="shared" si="20"/>
        <v>55583.496697706796</v>
      </c>
      <c r="Z37" s="73">
        <f t="shared" si="20"/>
        <v>53766.01499418226</v>
      </c>
    </row>
    <row r="38" spans="2:26">
      <c r="B38" s="206">
        <v>43151</v>
      </c>
      <c r="C38" s="211">
        <f t="shared" si="17"/>
        <v>2018</v>
      </c>
      <c r="D38" s="211">
        <f t="shared" si="18"/>
        <v>2</v>
      </c>
      <c r="E38" s="211">
        <f t="shared" si="19"/>
        <v>20</v>
      </c>
      <c r="F38" s="205">
        <v>7027</v>
      </c>
      <c r="G38" s="205">
        <v>13650</v>
      </c>
      <c r="H38" s="207">
        <v>1339.85</v>
      </c>
      <c r="I38" s="207">
        <v>16.57</v>
      </c>
      <c r="J38" s="207">
        <v>1004</v>
      </c>
      <c r="K38" s="207">
        <v>1027.1500000000001</v>
      </c>
      <c r="L38" s="207"/>
      <c r="O38" s="1" t="s">
        <v>406</v>
      </c>
      <c r="P38" s="205">
        <v>1700</v>
      </c>
      <c r="Q38" s="205">
        <v>1600</v>
      </c>
      <c r="R38" s="205">
        <v>1550</v>
      </c>
      <c r="S38" s="205">
        <v>1525</v>
      </c>
      <c r="T38" s="205">
        <v>1500</v>
      </c>
      <c r="V38" s="73">
        <f t="shared" ref="V38" si="21">P38/31.1034768*1000</f>
        <v>54656.269166667567</v>
      </c>
      <c r="W38" s="73">
        <f t="shared" ref="W38:W42" si="22">Q38/31.1034768*1000</f>
        <v>51441.194509804765</v>
      </c>
      <c r="X38" s="73">
        <f t="shared" ref="X38:X42" si="23">R38/31.1034768*1000</f>
        <v>49833.657181373368</v>
      </c>
      <c r="Y38" s="73">
        <f t="shared" ref="Y38:Y42" si="24">S38/31.1034768*1000</f>
        <v>49029.888517157669</v>
      </c>
      <c r="Z38" s="73">
        <f t="shared" ref="Z38:Z42" si="25">T38/31.1034768*1000</f>
        <v>48226.119852941971</v>
      </c>
    </row>
    <row r="39" spans="2:26">
      <c r="B39" s="206">
        <v>43152</v>
      </c>
      <c r="C39" s="211">
        <f t="shared" si="17"/>
        <v>2018</v>
      </c>
      <c r="D39" s="211">
        <f t="shared" si="18"/>
        <v>2</v>
      </c>
      <c r="E39" s="211">
        <f t="shared" si="19"/>
        <v>21</v>
      </c>
      <c r="F39" s="205">
        <v>7003</v>
      </c>
      <c r="G39" s="205">
        <v>13590</v>
      </c>
      <c r="H39" s="207">
        <v>1330.5</v>
      </c>
      <c r="I39" s="207">
        <v>16.440000000000001</v>
      </c>
      <c r="J39" s="207">
        <v>996.6</v>
      </c>
      <c r="K39" s="207">
        <v>1022.5</v>
      </c>
      <c r="L39" s="207"/>
      <c r="N39" s="1" t="s">
        <v>331</v>
      </c>
      <c r="O39" s="1" t="s">
        <v>405</v>
      </c>
      <c r="P39" s="205">
        <v>25.65</v>
      </c>
      <c r="Q39" s="205">
        <v>25.5</v>
      </c>
      <c r="R39" s="205">
        <v>24.34</v>
      </c>
      <c r="S39" s="205">
        <v>23.25</v>
      </c>
      <c r="T39" s="205">
        <v>21.21</v>
      </c>
      <c r="U39" s="204" t="s">
        <v>340</v>
      </c>
      <c r="V39" s="73">
        <f>P39/31.1034768*1000</f>
        <v>824.66664948530763</v>
      </c>
      <c r="W39" s="73">
        <f t="shared" si="22"/>
        <v>819.84403750001354</v>
      </c>
      <c r="X39" s="73">
        <f t="shared" si="23"/>
        <v>782.54917148040499</v>
      </c>
      <c r="Y39" s="73">
        <f t="shared" si="24"/>
        <v>747.50485772060063</v>
      </c>
      <c r="Z39" s="73">
        <f t="shared" si="25"/>
        <v>681.91733472059946</v>
      </c>
    </row>
    <row r="40" spans="2:26">
      <c r="B40" s="206">
        <v>43153</v>
      </c>
      <c r="C40" s="211">
        <f t="shared" si="17"/>
        <v>2018</v>
      </c>
      <c r="D40" s="211">
        <f t="shared" si="18"/>
        <v>2</v>
      </c>
      <c r="E40" s="211">
        <f t="shared" si="19"/>
        <v>22</v>
      </c>
      <c r="F40" s="205">
        <v>7032</v>
      </c>
      <c r="G40" s="205">
        <v>13575</v>
      </c>
      <c r="H40" s="207">
        <v>1328.35</v>
      </c>
      <c r="I40" s="207">
        <v>16.47</v>
      </c>
      <c r="J40" s="207">
        <v>999.4</v>
      </c>
      <c r="K40" s="207">
        <v>1033.5</v>
      </c>
      <c r="L40" s="207"/>
      <c r="O40" s="1" t="s">
        <v>406</v>
      </c>
      <c r="P40" s="205">
        <v>25</v>
      </c>
      <c r="Q40" s="205">
        <v>22</v>
      </c>
      <c r="R40" s="205">
        <v>20</v>
      </c>
      <c r="S40" s="205">
        <v>19</v>
      </c>
      <c r="T40" s="205">
        <v>18</v>
      </c>
      <c r="V40" s="73">
        <f>P40/31.1034768*1000</f>
        <v>803.76866421569946</v>
      </c>
      <c r="W40" s="73">
        <f t="shared" si="22"/>
        <v>707.31642450981553</v>
      </c>
      <c r="X40" s="73">
        <f t="shared" si="23"/>
        <v>643.01493137255966</v>
      </c>
      <c r="Y40" s="73">
        <f t="shared" si="24"/>
        <v>610.86418480393172</v>
      </c>
      <c r="Z40" s="73">
        <f t="shared" si="25"/>
        <v>578.71343823530367</v>
      </c>
    </row>
    <row r="41" spans="2:26">
      <c r="B41" s="206">
        <v>43154</v>
      </c>
      <c r="C41" s="211">
        <f t="shared" si="17"/>
        <v>2018</v>
      </c>
      <c r="D41" s="211">
        <f t="shared" si="18"/>
        <v>2</v>
      </c>
      <c r="E41" s="211">
        <f t="shared" si="19"/>
        <v>23</v>
      </c>
      <c r="F41" s="205">
        <v>7073.5</v>
      </c>
      <c r="G41" s="205">
        <v>13800</v>
      </c>
      <c r="H41" s="207">
        <v>1327.95</v>
      </c>
      <c r="I41" s="207">
        <v>16.61</v>
      </c>
      <c r="J41" s="207">
        <v>998.8</v>
      </c>
      <c r="K41" s="207">
        <v>1041</v>
      </c>
      <c r="L41" s="207"/>
      <c r="N41" s="1" t="s">
        <v>332</v>
      </c>
      <c r="O41" s="1" t="s">
        <v>405</v>
      </c>
      <c r="P41" s="205">
        <v>2516.41</v>
      </c>
      <c r="Q41" s="205">
        <v>2184.5300000000002</v>
      </c>
      <c r="R41" s="205">
        <v>1925.88</v>
      </c>
      <c r="S41" s="205">
        <v>1718.43</v>
      </c>
      <c r="T41" s="205">
        <v>1491.4</v>
      </c>
      <c r="U41" s="204" t="s">
        <v>343</v>
      </c>
      <c r="V41" s="73">
        <f>P41/31.1034768*1000</f>
        <v>80904.46017276113</v>
      </c>
      <c r="W41" s="73">
        <f t="shared" si="22"/>
        <v>70234.270401564878</v>
      </c>
      <c r="X41" s="73">
        <f t="shared" si="23"/>
        <v>61918.479801589259</v>
      </c>
      <c r="Y41" s="73">
        <f t="shared" si="24"/>
        <v>55248.807425927378</v>
      </c>
      <c r="Z41" s="73">
        <f t="shared" si="25"/>
        <v>47949.623432451772</v>
      </c>
    </row>
    <row r="42" spans="2:26">
      <c r="B42" s="206">
        <v>43157</v>
      </c>
      <c r="C42" s="211">
        <f t="shared" si="17"/>
        <v>2018</v>
      </c>
      <c r="D42" s="211">
        <f t="shared" si="18"/>
        <v>2</v>
      </c>
      <c r="E42" s="211">
        <f t="shared" si="19"/>
        <v>26</v>
      </c>
      <c r="F42" s="205">
        <v>7111</v>
      </c>
      <c r="G42" s="205">
        <v>13910</v>
      </c>
      <c r="H42" s="207">
        <v>1333.5</v>
      </c>
      <c r="I42" s="207">
        <v>16.670000000000002</v>
      </c>
      <c r="J42" s="207">
        <v>1001.8</v>
      </c>
      <c r="K42" s="207">
        <v>1054.54</v>
      </c>
      <c r="L42" s="207"/>
      <c r="N42" s="1" t="s">
        <v>333</v>
      </c>
      <c r="O42" s="1" t="s">
        <v>406</v>
      </c>
      <c r="P42" s="205">
        <v>1100</v>
      </c>
      <c r="Q42" s="205">
        <v>1110.0900463948201</v>
      </c>
      <c r="R42" s="205">
        <v>1120.27264645895</v>
      </c>
      <c r="S42" s="205">
        <v>1130.5486491658801</v>
      </c>
      <c r="T42" s="205">
        <v>1140.9189112765</v>
      </c>
      <c r="U42" s="204" t="s">
        <v>341</v>
      </c>
      <c r="V42" s="73">
        <f>P42/31.1034768*1000</f>
        <v>35365.821225490778</v>
      </c>
      <c r="W42" s="73">
        <f t="shared" si="22"/>
        <v>35690.223749996345</v>
      </c>
      <c r="X42" s="73">
        <f t="shared" si="23"/>
        <v>36017.601944067879</v>
      </c>
      <c r="Y42" s="73">
        <f t="shared" si="24"/>
        <v>36347.983102836923</v>
      </c>
      <c r="Z42" s="73">
        <f t="shared" si="25"/>
        <v>36681.39477180571</v>
      </c>
    </row>
    <row r="43" spans="2:26">
      <c r="B43" s="206">
        <v>43158</v>
      </c>
      <c r="C43" s="211">
        <f t="shared" si="17"/>
        <v>2018</v>
      </c>
      <c r="D43" s="211">
        <f t="shared" si="18"/>
        <v>2</v>
      </c>
      <c r="E43" s="211">
        <f t="shared" si="19"/>
        <v>27</v>
      </c>
      <c r="F43" s="205">
        <v>7028</v>
      </c>
      <c r="G43" s="205">
        <v>13885</v>
      </c>
      <c r="H43" s="207">
        <v>1325.75</v>
      </c>
      <c r="I43" s="207">
        <v>16.61</v>
      </c>
      <c r="J43" s="207">
        <v>984.6</v>
      </c>
      <c r="K43" s="207">
        <v>1029.23</v>
      </c>
      <c r="L43" s="207"/>
      <c r="N43" s="68" t="s">
        <v>334</v>
      </c>
      <c r="O43" s="68" t="s">
        <v>406</v>
      </c>
      <c r="P43" s="208">
        <v>16406.350572704599</v>
      </c>
      <c r="Q43" s="208">
        <v>15646.990242247201</v>
      </c>
      <c r="R43" s="208">
        <v>15520.130445282701</v>
      </c>
      <c r="S43" s="208">
        <v>15387.029098436</v>
      </c>
      <c r="T43" s="208">
        <v>15248.983796061601</v>
      </c>
    </row>
    <row r="44" spans="2:26">
      <c r="B44" s="206">
        <v>43159</v>
      </c>
      <c r="C44" s="211">
        <f t="shared" si="17"/>
        <v>2018</v>
      </c>
      <c r="D44" s="211">
        <f t="shared" si="18"/>
        <v>2</v>
      </c>
      <c r="E44" s="211">
        <f t="shared" si="19"/>
        <v>28</v>
      </c>
      <c r="F44" s="205">
        <v>6953</v>
      </c>
      <c r="G44" s="205">
        <v>13800</v>
      </c>
      <c r="H44" s="207">
        <v>1317.85</v>
      </c>
      <c r="I44" s="207">
        <v>16.440000000000001</v>
      </c>
      <c r="J44" s="207">
        <v>988.1</v>
      </c>
      <c r="K44" s="207">
        <v>1039.52</v>
      </c>
      <c r="L44" s="207"/>
      <c r="P44" s="205"/>
      <c r="Q44" s="205"/>
      <c r="R44" s="205"/>
      <c r="S44" s="205"/>
      <c r="T44" s="205"/>
    </row>
    <row r="45" spans="2:26">
      <c r="B45" s="206">
        <v>43160</v>
      </c>
      <c r="C45" s="211">
        <f t="shared" si="17"/>
        <v>2018</v>
      </c>
      <c r="D45" s="211">
        <f t="shared" si="18"/>
        <v>3</v>
      </c>
      <c r="E45" s="211">
        <f t="shared" si="19"/>
        <v>1</v>
      </c>
      <c r="F45" s="205">
        <v>6852</v>
      </c>
      <c r="G45" s="205">
        <v>13510</v>
      </c>
      <c r="H45" s="207">
        <v>1307.75</v>
      </c>
      <c r="I45" s="207">
        <v>16.32</v>
      </c>
      <c r="J45" s="207">
        <v>957.8</v>
      </c>
      <c r="K45" s="207">
        <v>973.2</v>
      </c>
      <c r="L45" s="207"/>
      <c r="P45" s="205"/>
      <c r="Q45" s="205"/>
      <c r="R45" s="205"/>
      <c r="S45" s="205"/>
      <c r="T45" s="205"/>
    </row>
    <row r="46" spans="2:26">
      <c r="B46" s="206">
        <v>43161</v>
      </c>
      <c r="C46" s="211">
        <f t="shared" si="17"/>
        <v>2018</v>
      </c>
      <c r="D46" s="211">
        <f t="shared" si="18"/>
        <v>3</v>
      </c>
      <c r="E46" s="211">
        <f t="shared" si="19"/>
        <v>2</v>
      </c>
      <c r="F46" s="205">
        <v>6883</v>
      </c>
      <c r="G46" s="205">
        <v>13450</v>
      </c>
      <c r="H46" s="207">
        <v>1322.3</v>
      </c>
      <c r="I46" s="207">
        <v>16.45</v>
      </c>
      <c r="J46" s="207">
        <v>965.1</v>
      </c>
      <c r="K46" s="207">
        <v>986.65</v>
      </c>
      <c r="L46" s="207"/>
      <c r="N46" s="32" t="s">
        <v>5197</v>
      </c>
      <c r="P46" s="1" t="s">
        <v>5190</v>
      </c>
      <c r="R46" s="1" t="s">
        <v>5189</v>
      </c>
    </row>
    <row r="47" spans="2:26">
      <c r="B47" s="206">
        <v>43164</v>
      </c>
      <c r="C47" s="211">
        <f t="shared" si="17"/>
        <v>2018</v>
      </c>
      <c r="D47" s="211">
        <f t="shared" si="18"/>
        <v>3</v>
      </c>
      <c r="E47" s="211">
        <f t="shared" si="19"/>
        <v>5</v>
      </c>
      <c r="F47" s="205">
        <v>6850</v>
      </c>
      <c r="G47" s="205">
        <v>13335</v>
      </c>
      <c r="H47" s="207">
        <v>1320.4</v>
      </c>
      <c r="I47" s="207">
        <v>16.510000000000002</v>
      </c>
      <c r="J47" s="207">
        <v>962.1</v>
      </c>
      <c r="K47" s="207">
        <v>977.5</v>
      </c>
      <c r="L47" s="207"/>
      <c r="N47" s="10"/>
      <c r="O47" s="10"/>
      <c r="P47" s="10" t="s">
        <v>5186</v>
      </c>
      <c r="Q47" s="10" t="s">
        <v>5174</v>
      </c>
      <c r="R47" s="10" t="s">
        <v>70</v>
      </c>
      <c r="S47" s="10" t="s">
        <v>71</v>
      </c>
      <c r="T47" s="10" t="s">
        <v>72</v>
      </c>
      <c r="U47" s="10" t="s">
        <v>73</v>
      </c>
      <c r="V47" s="10" t="s">
        <v>74</v>
      </c>
      <c r="W47" s="10" t="s">
        <v>5102</v>
      </c>
    </row>
    <row r="48" spans="2:26">
      <c r="B48" s="206">
        <v>43165</v>
      </c>
      <c r="C48" s="211">
        <f t="shared" si="17"/>
        <v>2018</v>
      </c>
      <c r="D48" s="211">
        <f t="shared" si="18"/>
        <v>3</v>
      </c>
      <c r="E48" s="211">
        <f t="shared" si="19"/>
        <v>6</v>
      </c>
      <c r="F48" s="205">
        <v>6968.5</v>
      </c>
      <c r="G48" s="205">
        <v>13580</v>
      </c>
      <c r="H48" s="207">
        <v>1331.4</v>
      </c>
      <c r="I48" s="207">
        <v>16.62</v>
      </c>
      <c r="J48" s="207">
        <v>970.6</v>
      </c>
      <c r="K48" s="207">
        <v>978.3</v>
      </c>
      <c r="L48" s="207"/>
      <c r="M48" s="2589" t="s">
        <v>5187</v>
      </c>
      <c r="N48" s="1" t="s">
        <v>1347</v>
      </c>
      <c r="O48" s="1" t="s">
        <v>5177</v>
      </c>
      <c r="P48" s="205">
        <v>7000</v>
      </c>
      <c r="Q48" s="2590"/>
      <c r="R48" s="205">
        <v>9213</v>
      </c>
      <c r="S48" s="205">
        <v>8500</v>
      </c>
      <c r="T48" s="205">
        <v>8500</v>
      </c>
      <c r="U48" s="205">
        <v>8500</v>
      </c>
      <c r="V48" s="205">
        <f>U48</f>
        <v>8500</v>
      </c>
      <c r="W48" s="205">
        <f t="shared" ref="W48:W55" si="26">V48</f>
        <v>8500</v>
      </c>
    </row>
    <row r="49" spans="2:23">
      <c r="B49" s="206">
        <v>43166</v>
      </c>
      <c r="C49" s="211">
        <f t="shared" si="17"/>
        <v>2018</v>
      </c>
      <c r="D49" s="211">
        <f t="shared" si="18"/>
        <v>3</v>
      </c>
      <c r="E49" s="211">
        <f t="shared" si="19"/>
        <v>7</v>
      </c>
      <c r="F49" s="205">
        <v>6873</v>
      </c>
      <c r="G49" s="205">
        <v>13370</v>
      </c>
      <c r="H49" s="207">
        <v>1329.4</v>
      </c>
      <c r="I49" s="207">
        <v>16.649999999999999</v>
      </c>
      <c r="J49" s="207">
        <v>953.2</v>
      </c>
      <c r="K49" s="207">
        <v>959.05</v>
      </c>
      <c r="L49" s="207"/>
      <c r="M49" s="2589" t="s">
        <v>262</v>
      </c>
      <c r="N49" s="1" t="s">
        <v>5178</v>
      </c>
      <c r="O49" s="1" t="s">
        <v>2674</v>
      </c>
      <c r="P49" s="205">
        <v>1900</v>
      </c>
      <c r="Q49" s="2590"/>
      <c r="R49" s="205">
        <v>1786</v>
      </c>
      <c r="S49" s="205">
        <v>1700</v>
      </c>
      <c r="T49" s="205">
        <v>1700</v>
      </c>
      <c r="U49" s="205">
        <v>1700</v>
      </c>
      <c r="V49" s="205">
        <f t="shared" ref="V49" si="27">U49</f>
        <v>1700</v>
      </c>
      <c r="W49" s="205">
        <f t="shared" si="26"/>
        <v>1700</v>
      </c>
    </row>
    <row r="50" spans="2:23">
      <c r="B50" s="206">
        <v>43167</v>
      </c>
      <c r="C50" s="211">
        <f t="shared" si="17"/>
        <v>2018</v>
      </c>
      <c r="D50" s="211">
        <f t="shared" si="18"/>
        <v>3</v>
      </c>
      <c r="E50" s="211">
        <f t="shared" si="19"/>
        <v>8</v>
      </c>
      <c r="F50" s="205">
        <v>6830</v>
      </c>
      <c r="G50" s="205">
        <v>13250</v>
      </c>
      <c r="H50" s="207">
        <v>1321</v>
      </c>
      <c r="I50" s="207">
        <v>16.48</v>
      </c>
      <c r="J50" s="207">
        <v>952.3</v>
      </c>
      <c r="K50" s="207">
        <v>965.6</v>
      </c>
      <c r="L50" s="207"/>
      <c r="M50" s="2589" t="s">
        <v>264</v>
      </c>
      <c r="N50" s="1" t="s">
        <v>5179</v>
      </c>
      <c r="O50" s="1" t="s">
        <v>2674</v>
      </c>
      <c r="P50" s="205">
        <v>24</v>
      </c>
      <c r="Q50" s="2590"/>
      <c r="R50" s="205">
        <v>25.4</v>
      </c>
      <c r="S50" s="205">
        <v>24</v>
      </c>
      <c r="T50" s="205">
        <v>24</v>
      </c>
      <c r="U50" s="205">
        <v>24</v>
      </c>
      <c r="V50" s="205">
        <f t="shared" ref="V50" si="28">U50</f>
        <v>24</v>
      </c>
      <c r="W50" s="205">
        <f t="shared" si="26"/>
        <v>24</v>
      </c>
    </row>
    <row r="51" spans="2:23">
      <c r="B51" s="206">
        <v>43168</v>
      </c>
      <c r="C51" s="211">
        <f t="shared" si="17"/>
        <v>2018</v>
      </c>
      <c r="D51" s="211">
        <f t="shared" si="18"/>
        <v>3</v>
      </c>
      <c r="E51" s="211">
        <f t="shared" si="19"/>
        <v>9</v>
      </c>
      <c r="F51" s="205">
        <v>6808</v>
      </c>
      <c r="G51" s="205">
        <v>13345</v>
      </c>
      <c r="H51" s="207">
        <v>1320.6</v>
      </c>
      <c r="I51" s="207">
        <v>16.489999999999998</v>
      </c>
      <c r="J51" s="207">
        <v>964.2</v>
      </c>
      <c r="K51" s="207">
        <v>986.85</v>
      </c>
      <c r="L51" s="207"/>
      <c r="M51" s="2589" t="s">
        <v>268</v>
      </c>
      <c r="N51" s="1" t="s">
        <v>5180</v>
      </c>
      <c r="O51" s="1" t="s">
        <v>2674</v>
      </c>
      <c r="P51" s="205">
        <v>2400</v>
      </c>
      <c r="Q51" s="2590"/>
      <c r="R51" s="205">
        <v>2404</v>
      </c>
      <c r="S51" s="205">
        <v>2000</v>
      </c>
      <c r="T51" s="205">
        <v>1900</v>
      </c>
      <c r="U51" s="205">
        <v>1800</v>
      </c>
      <c r="V51" s="205">
        <f t="shared" ref="V51" si="29">U51</f>
        <v>1800</v>
      </c>
      <c r="W51" s="205">
        <f t="shared" si="26"/>
        <v>1800</v>
      </c>
    </row>
    <row r="52" spans="2:23">
      <c r="B52" s="206">
        <v>43171</v>
      </c>
      <c r="C52" s="211">
        <f t="shared" si="17"/>
        <v>2018</v>
      </c>
      <c r="D52" s="211">
        <f t="shared" si="18"/>
        <v>3</v>
      </c>
      <c r="E52" s="211">
        <f t="shared" si="19"/>
        <v>12</v>
      </c>
      <c r="F52" s="205">
        <v>6857</v>
      </c>
      <c r="G52" s="205">
        <v>13725</v>
      </c>
      <c r="H52" s="207">
        <v>1319.15</v>
      </c>
      <c r="I52" s="207">
        <v>16.46</v>
      </c>
      <c r="J52" s="207">
        <v>962.9</v>
      </c>
      <c r="K52" s="207">
        <v>967.65</v>
      </c>
      <c r="L52" s="207"/>
      <c r="M52" s="2589" t="s">
        <v>266</v>
      </c>
      <c r="N52" s="1" t="s">
        <v>5181</v>
      </c>
      <c r="O52" s="1" t="s">
        <v>2674</v>
      </c>
      <c r="P52" s="205">
        <v>1000</v>
      </c>
      <c r="Q52" s="2590"/>
      <c r="R52" s="205">
        <v>1110</v>
      </c>
      <c r="S52" s="205">
        <v>1000</v>
      </c>
      <c r="T52" s="205">
        <v>1000</v>
      </c>
      <c r="U52" s="205">
        <v>1000</v>
      </c>
      <c r="V52" s="205">
        <f t="shared" ref="V52" si="30">U52</f>
        <v>1000</v>
      </c>
      <c r="W52" s="205">
        <f t="shared" si="26"/>
        <v>1000</v>
      </c>
    </row>
    <row r="53" spans="2:23">
      <c r="B53" s="206">
        <v>43172</v>
      </c>
      <c r="C53" s="211">
        <f t="shared" si="17"/>
        <v>2018</v>
      </c>
      <c r="D53" s="211">
        <f t="shared" si="18"/>
        <v>3</v>
      </c>
      <c r="E53" s="211">
        <f t="shared" si="19"/>
        <v>13</v>
      </c>
      <c r="F53" s="205">
        <v>6883</v>
      </c>
      <c r="G53" s="205">
        <v>13830</v>
      </c>
      <c r="H53" s="207">
        <v>1322.75</v>
      </c>
      <c r="I53" s="207">
        <v>16.510000000000002</v>
      </c>
      <c r="J53" s="207">
        <v>967.3</v>
      </c>
      <c r="K53" s="207">
        <v>991.6</v>
      </c>
      <c r="L53" s="207"/>
      <c r="M53" s="2589" t="s">
        <v>1319</v>
      </c>
      <c r="N53" s="1" t="s">
        <v>5182</v>
      </c>
      <c r="O53" s="1" t="s">
        <v>5183</v>
      </c>
      <c r="P53" s="205">
        <v>6</v>
      </c>
      <c r="Q53" s="2590"/>
      <c r="R53" s="205">
        <v>8.4</v>
      </c>
      <c r="S53" s="205">
        <v>8</v>
      </c>
      <c r="T53" s="205">
        <v>8</v>
      </c>
      <c r="U53" s="205">
        <v>8</v>
      </c>
      <c r="V53" s="205">
        <f t="shared" ref="V53" si="31">U53</f>
        <v>8</v>
      </c>
      <c r="W53" s="205">
        <f t="shared" si="26"/>
        <v>8</v>
      </c>
    </row>
    <row r="54" spans="2:23">
      <c r="B54" s="206">
        <v>43173</v>
      </c>
      <c r="C54" s="211">
        <f t="shared" si="17"/>
        <v>2018</v>
      </c>
      <c r="D54" s="211">
        <f t="shared" si="18"/>
        <v>3</v>
      </c>
      <c r="E54" s="211">
        <f t="shared" si="19"/>
        <v>14</v>
      </c>
      <c r="F54" s="205">
        <v>7015</v>
      </c>
      <c r="G54" s="205">
        <v>13925</v>
      </c>
      <c r="H54" s="207">
        <v>1323.55</v>
      </c>
      <c r="I54" s="207">
        <v>16.61</v>
      </c>
      <c r="J54" s="207">
        <v>961.5</v>
      </c>
      <c r="K54" s="207">
        <v>984.75</v>
      </c>
      <c r="L54" s="207"/>
      <c r="M54" s="2589" t="s">
        <v>334</v>
      </c>
      <c r="N54" s="1" t="s">
        <v>5184</v>
      </c>
      <c r="O54" s="1" t="s">
        <v>5177</v>
      </c>
      <c r="P54" s="205">
        <v>15000</v>
      </c>
      <c r="Q54" s="2590"/>
      <c r="R54" s="205">
        <v>17907</v>
      </c>
      <c r="S54" s="205">
        <v>18000</v>
      </c>
      <c r="T54" s="205">
        <v>19000</v>
      </c>
      <c r="U54" s="205">
        <v>20000</v>
      </c>
      <c r="V54" s="205">
        <f t="shared" ref="V54" si="32">U54</f>
        <v>20000</v>
      </c>
      <c r="W54" s="205">
        <f t="shared" si="26"/>
        <v>20000</v>
      </c>
    </row>
    <row r="55" spans="2:23">
      <c r="B55" s="206">
        <v>43174</v>
      </c>
      <c r="C55" s="211">
        <f t="shared" si="17"/>
        <v>2018</v>
      </c>
      <c r="D55" s="211">
        <f t="shared" si="18"/>
        <v>3</v>
      </c>
      <c r="E55" s="211">
        <f t="shared" si="19"/>
        <v>15</v>
      </c>
      <c r="F55" s="205">
        <v>6885.5</v>
      </c>
      <c r="G55" s="205">
        <v>13685</v>
      </c>
      <c r="H55" s="207">
        <v>1318.75</v>
      </c>
      <c r="I55" s="207">
        <v>16.52</v>
      </c>
      <c r="J55" s="207">
        <v>956.9</v>
      </c>
      <c r="K55" s="207">
        <v>981</v>
      </c>
      <c r="L55" s="207"/>
      <c r="M55" s="2589" t="s">
        <v>5188</v>
      </c>
      <c r="N55" s="68" t="s">
        <v>5185</v>
      </c>
      <c r="O55" s="68" t="s">
        <v>2687</v>
      </c>
      <c r="P55" s="208">
        <v>55</v>
      </c>
      <c r="Q55" s="2591"/>
      <c r="R55" s="208">
        <v>68</v>
      </c>
      <c r="S55" s="208">
        <v>75</v>
      </c>
      <c r="T55" s="208">
        <v>75</v>
      </c>
      <c r="U55" s="208">
        <v>75</v>
      </c>
      <c r="V55" s="208">
        <f t="shared" ref="V55" si="33">U55</f>
        <v>75</v>
      </c>
      <c r="W55" s="208">
        <f t="shared" si="26"/>
        <v>75</v>
      </c>
    </row>
    <row r="56" spans="2:23">
      <c r="B56" s="206">
        <v>43175</v>
      </c>
      <c r="C56" s="211">
        <f t="shared" si="17"/>
        <v>2018</v>
      </c>
      <c r="D56" s="211">
        <f t="shared" si="18"/>
        <v>3</v>
      </c>
      <c r="E56" s="211">
        <f t="shared" si="19"/>
        <v>16</v>
      </c>
      <c r="F56" s="205">
        <v>6923</v>
      </c>
      <c r="G56" s="205">
        <v>13740</v>
      </c>
      <c r="H56" s="207">
        <v>1310.0999999999999</v>
      </c>
      <c r="I56" s="207">
        <v>16.48</v>
      </c>
      <c r="J56" s="207">
        <v>950.2</v>
      </c>
      <c r="K56" s="207">
        <v>988.55</v>
      </c>
      <c r="L56" s="207"/>
    </row>
    <row r="57" spans="2:23">
      <c r="B57" s="206">
        <v>43178</v>
      </c>
      <c r="C57" s="211">
        <f t="shared" si="17"/>
        <v>2018</v>
      </c>
      <c r="D57" s="211">
        <f t="shared" si="18"/>
        <v>3</v>
      </c>
      <c r="E57" s="211">
        <f t="shared" si="19"/>
        <v>19</v>
      </c>
      <c r="F57" s="205">
        <v>6791.5</v>
      </c>
      <c r="G57" s="205">
        <v>13430</v>
      </c>
      <c r="H57" s="207">
        <v>1312.4</v>
      </c>
      <c r="I57" s="207">
        <v>16.29</v>
      </c>
      <c r="J57" s="207">
        <v>954.4</v>
      </c>
      <c r="K57" s="207">
        <v>987.4</v>
      </c>
      <c r="L57" s="207"/>
      <c r="N57" s="10"/>
      <c r="O57" s="10"/>
      <c r="P57" s="10" t="s">
        <v>5186</v>
      </c>
      <c r="Q57" s="10" t="s">
        <v>5174</v>
      </c>
      <c r="R57" s="10" t="s">
        <v>70</v>
      </c>
      <c r="S57" s="10" t="s">
        <v>71</v>
      </c>
      <c r="T57" s="10" t="s">
        <v>72</v>
      </c>
      <c r="U57" s="10" t="s">
        <v>73</v>
      </c>
      <c r="V57" s="10" t="s">
        <v>74</v>
      </c>
      <c r="W57" s="10" t="s">
        <v>5102</v>
      </c>
    </row>
    <row r="58" spans="2:23">
      <c r="B58" s="206">
        <v>43179</v>
      </c>
      <c r="C58" s="211">
        <f t="shared" si="17"/>
        <v>2018</v>
      </c>
      <c r="D58" s="211">
        <f t="shared" si="18"/>
        <v>3</v>
      </c>
      <c r="E58" s="211">
        <f t="shared" si="19"/>
        <v>20</v>
      </c>
      <c r="F58" s="205">
        <v>6784</v>
      </c>
      <c r="G58" s="205">
        <v>13520</v>
      </c>
      <c r="H58" s="207">
        <v>1311</v>
      </c>
      <c r="I58" s="207">
        <v>16.25</v>
      </c>
      <c r="J58" s="207">
        <v>945</v>
      </c>
      <c r="K58" s="207">
        <v>975.9</v>
      </c>
      <c r="L58" s="207"/>
      <c r="M58" s="2589" t="s">
        <v>5187</v>
      </c>
      <c r="N58" s="1" t="s">
        <v>1347</v>
      </c>
      <c r="O58" s="1" t="s">
        <v>3538</v>
      </c>
      <c r="P58" s="205">
        <v>7000</v>
      </c>
      <c r="Q58" s="205">
        <v>9784</v>
      </c>
      <c r="R58" s="205">
        <v>9213</v>
      </c>
      <c r="S58" s="205">
        <v>8500</v>
      </c>
      <c r="T58" s="205">
        <v>8500</v>
      </c>
      <c r="U58" s="205">
        <v>8500</v>
      </c>
      <c r="V58" s="205">
        <f>U58</f>
        <v>8500</v>
      </c>
      <c r="W58" s="205">
        <f t="shared" ref="W58:W65" si="34">V58</f>
        <v>8500</v>
      </c>
    </row>
    <row r="59" spans="2:23" ht="12" customHeight="1">
      <c r="B59" s="206">
        <v>43180</v>
      </c>
      <c r="C59" s="211">
        <f t="shared" si="17"/>
        <v>2018</v>
      </c>
      <c r="D59" s="211">
        <f t="shared" si="18"/>
        <v>3</v>
      </c>
      <c r="E59" s="211">
        <f t="shared" si="19"/>
        <v>21</v>
      </c>
      <c r="F59" s="205">
        <v>6675</v>
      </c>
      <c r="G59" s="205">
        <v>13330</v>
      </c>
      <c r="H59" s="207">
        <v>1321.35</v>
      </c>
      <c r="I59" s="207">
        <v>16.25</v>
      </c>
      <c r="J59" s="207">
        <v>950.6</v>
      </c>
      <c r="K59" s="207">
        <v>986.45</v>
      </c>
      <c r="L59" s="207"/>
      <c r="M59" s="2589" t="s">
        <v>262</v>
      </c>
      <c r="N59" s="1" t="s">
        <v>5178</v>
      </c>
      <c r="O59" s="1" t="s">
        <v>3547</v>
      </c>
      <c r="P59" s="205">
        <f>P49/31.1034768*1000</f>
        <v>61086.418480393164</v>
      </c>
      <c r="Q59" s="205">
        <v>57851.190794583701</v>
      </c>
      <c r="R59" s="205">
        <f t="shared" ref="R59:W59" si="35">R49/31.1034768*1000</f>
        <v>57421.233371569579</v>
      </c>
      <c r="S59" s="205">
        <f t="shared" si="35"/>
        <v>54656.269166667567</v>
      </c>
      <c r="T59" s="205">
        <f t="shared" si="35"/>
        <v>54656.269166667567</v>
      </c>
      <c r="U59" s="205">
        <f t="shared" si="35"/>
        <v>54656.269166667567</v>
      </c>
      <c r="V59" s="205">
        <f t="shared" si="35"/>
        <v>54656.269166667567</v>
      </c>
      <c r="W59" s="205">
        <f t="shared" si="35"/>
        <v>54656.269166667567</v>
      </c>
    </row>
    <row r="60" spans="2:23" ht="12" customHeight="1">
      <c r="B60" s="206">
        <v>43181</v>
      </c>
      <c r="C60" s="211">
        <f t="shared" si="17"/>
        <v>2018</v>
      </c>
      <c r="D60" s="211">
        <f t="shared" si="18"/>
        <v>3</v>
      </c>
      <c r="E60" s="211">
        <f t="shared" si="19"/>
        <v>22</v>
      </c>
      <c r="F60" s="205">
        <v>6746.5</v>
      </c>
      <c r="G60" s="205">
        <v>13355</v>
      </c>
      <c r="H60" s="207">
        <v>1329.15</v>
      </c>
      <c r="I60" s="207">
        <v>16.52</v>
      </c>
      <c r="J60" s="207">
        <v>949.1</v>
      </c>
      <c r="K60" s="207">
        <v>981.8</v>
      </c>
      <c r="L60" s="207"/>
      <c r="M60" s="2589" t="s">
        <v>264</v>
      </c>
      <c r="N60" s="1" t="s">
        <v>5179</v>
      </c>
      <c r="O60" s="1" t="s">
        <v>3547</v>
      </c>
      <c r="P60" s="205">
        <f t="shared" ref="P60:W60" si="36">P50/31.1034768*1000</f>
        <v>771.61791764707152</v>
      </c>
      <c r="Q60" s="205">
        <v>766.30143882790117</v>
      </c>
      <c r="R60" s="205">
        <f t="shared" si="36"/>
        <v>816.6289628431507</v>
      </c>
      <c r="S60" s="205">
        <f t="shared" si="36"/>
        <v>771.61791764707152</v>
      </c>
      <c r="T60" s="205">
        <f t="shared" si="36"/>
        <v>771.61791764707152</v>
      </c>
      <c r="U60" s="205">
        <f t="shared" si="36"/>
        <v>771.61791764707152</v>
      </c>
      <c r="V60" s="205">
        <f t="shared" si="36"/>
        <v>771.61791764707152</v>
      </c>
      <c r="W60" s="205">
        <f t="shared" si="36"/>
        <v>771.61791764707152</v>
      </c>
    </row>
    <row r="61" spans="2:23">
      <c r="B61" s="206">
        <v>43182</v>
      </c>
      <c r="C61" s="211">
        <f t="shared" si="17"/>
        <v>2018</v>
      </c>
      <c r="D61" s="211">
        <f t="shared" si="18"/>
        <v>3</v>
      </c>
      <c r="E61" s="211">
        <f t="shared" si="19"/>
        <v>23</v>
      </c>
      <c r="F61" s="205">
        <v>6658</v>
      </c>
      <c r="G61" s="205">
        <v>13050</v>
      </c>
      <c r="H61" s="207">
        <v>1346.6</v>
      </c>
      <c r="I61" s="207">
        <v>16.53</v>
      </c>
      <c r="J61" s="207">
        <v>948.4</v>
      </c>
      <c r="K61" s="207">
        <v>971.55</v>
      </c>
      <c r="L61" s="207"/>
      <c r="M61" s="2589" t="s">
        <v>268</v>
      </c>
      <c r="N61" s="1" t="s">
        <v>5180</v>
      </c>
      <c r="O61" s="1" t="s">
        <v>3547</v>
      </c>
      <c r="P61" s="205">
        <f t="shared" ref="P61:W61" si="37">P51/31.1034768*1000</f>
        <v>77161.791764707159</v>
      </c>
      <c r="Q61" s="205">
        <v>64813.191873009433</v>
      </c>
      <c r="R61" s="205">
        <f t="shared" si="37"/>
        <v>77290.394750981664</v>
      </c>
      <c r="S61" s="205">
        <f t="shared" si="37"/>
        <v>64301.493137255959</v>
      </c>
      <c r="T61" s="205">
        <f t="shared" si="37"/>
        <v>61086.418480393164</v>
      </c>
      <c r="U61" s="205">
        <f t="shared" si="37"/>
        <v>57871.343823530369</v>
      </c>
      <c r="V61" s="205">
        <f t="shared" si="37"/>
        <v>57871.343823530369</v>
      </c>
      <c r="W61" s="205">
        <f t="shared" si="37"/>
        <v>57871.343823530369</v>
      </c>
    </row>
    <row r="62" spans="2:23">
      <c r="B62" s="206">
        <v>43185</v>
      </c>
      <c r="C62" s="211">
        <f t="shared" si="17"/>
        <v>2018</v>
      </c>
      <c r="D62" s="211">
        <f t="shared" si="18"/>
        <v>3</v>
      </c>
      <c r="E62" s="211">
        <f t="shared" si="19"/>
        <v>26</v>
      </c>
      <c r="F62" s="205">
        <v>6500</v>
      </c>
      <c r="G62" s="205">
        <v>12845</v>
      </c>
      <c r="H62" s="207">
        <v>1352.4</v>
      </c>
      <c r="I62" s="207">
        <v>16.61</v>
      </c>
      <c r="J62" s="207">
        <v>951.6</v>
      </c>
      <c r="K62" s="207">
        <v>966.85</v>
      </c>
      <c r="L62" s="207"/>
      <c r="M62" s="2589" t="s">
        <v>266</v>
      </c>
      <c r="N62" s="1" t="s">
        <v>5181</v>
      </c>
      <c r="O62" s="1" t="s">
        <v>3547</v>
      </c>
      <c r="P62" s="205">
        <f t="shared" ref="P62:W62" si="38">P52/31.1034768*1000</f>
        <v>32150.746568627979</v>
      </c>
      <c r="Q62" s="205">
        <v>33108.995649283184</v>
      </c>
      <c r="R62" s="205">
        <f t="shared" si="38"/>
        <v>35687.328691177056</v>
      </c>
      <c r="S62" s="205">
        <f t="shared" si="38"/>
        <v>32150.746568627979</v>
      </c>
      <c r="T62" s="205">
        <f t="shared" si="38"/>
        <v>32150.746568627979</v>
      </c>
      <c r="U62" s="205">
        <f t="shared" si="38"/>
        <v>32150.746568627979</v>
      </c>
      <c r="V62" s="205">
        <f t="shared" si="38"/>
        <v>32150.746568627979</v>
      </c>
      <c r="W62" s="205">
        <f t="shared" si="38"/>
        <v>32150.746568627979</v>
      </c>
    </row>
    <row r="63" spans="2:23">
      <c r="B63" s="206">
        <v>43186</v>
      </c>
      <c r="C63" s="211">
        <f t="shared" si="17"/>
        <v>2018</v>
      </c>
      <c r="D63" s="211">
        <f t="shared" si="18"/>
        <v>3</v>
      </c>
      <c r="E63" s="211">
        <f t="shared" si="19"/>
        <v>27</v>
      </c>
      <c r="F63" s="205">
        <v>6641.5</v>
      </c>
      <c r="G63" s="205">
        <v>13030</v>
      </c>
      <c r="H63" s="207">
        <v>1341.45</v>
      </c>
      <c r="I63" s="207">
        <v>16.64</v>
      </c>
      <c r="J63" s="207">
        <v>948.98</v>
      </c>
      <c r="K63" s="207">
        <v>971.8</v>
      </c>
      <c r="L63" s="207"/>
      <c r="M63" s="2589" t="s">
        <v>1319</v>
      </c>
      <c r="N63" s="1" t="s">
        <v>5182</v>
      </c>
      <c r="O63" s="1" t="s">
        <v>5183</v>
      </c>
      <c r="P63" s="205">
        <v>6</v>
      </c>
      <c r="Q63" s="205">
        <v>0</v>
      </c>
      <c r="R63" s="205">
        <v>8.4</v>
      </c>
      <c r="S63" s="205">
        <v>8</v>
      </c>
      <c r="T63" s="205">
        <v>8</v>
      </c>
      <c r="U63" s="205">
        <v>8</v>
      </c>
      <c r="V63" s="205">
        <f t="shared" ref="V63" si="39">U63</f>
        <v>8</v>
      </c>
      <c r="W63" s="205">
        <f t="shared" si="34"/>
        <v>8</v>
      </c>
    </row>
    <row r="64" spans="2:23">
      <c r="B64" s="206">
        <v>43187</v>
      </c>
      <c r="C64" s="211">
        <f t="shared" si="17"/>
        <v>2018</v>
      </c>
      <c r="D64" s="211">
        <f t="shared" si="18"/>
        <v>3</v>
      </c>
      <c r="E64" s="211">
        <f t="shared" si="19"/>
        <v>28</v>
      </c>
      <c r="F64" s="205">
        <v>6601.5</v>
      </c>
      <c r="G64" s="205">
        <v>12925</v>
      </c>
      <c r="H64" s="207">
        <v>1332.45</v>
      </c>
      <c r="I64" s="207">
        <v>16.46</v>
      </c>
      <c r="J64" s="207">
        <v>938.36</v>
      </c>
      <c r="K64" s="207">
        <v>963.2</v>
      </c>
      <c r="L64" s="207"/>
      <c r="M64" s="2589" t="s">
        <v>334</v>
      </c>
      <c r="N64" s="1" t="s">
        <v>5184</v>
      </c>
      <c r="O64" s="1" t="s">
        <v>3538</v>
      </c>
      <c r="P64" s="205">
        <v>15000</v>
      </c>
      <c r="Q64" s="205">
        <f>R64</f>
        <v>17907</v>
      </c>
      <c r="R64" s="205">
        <v>17907</v>
      </c>
      <c r="S64" s="205">
        <v>18000</v>
      </c>
      <c r="T64" s="205">
        <v>19000</v>
      </c>
      <c r="U64" s="205">
        <v>20000</v>
      </c>
      <c r="V64" s="205">
        <v>20096.013113986301</v>
      </c>
      <c r="W64" s="205">
        <v>20191.811058672651</v>
      </c>
    </row>
    <row r="65" spans="2:23">
      <c r="B65" s="206">
        <v>43188</v>
      </c>
      <c r="C65" s="211">
        <f t="shared" si="17"/>
        <v>2018</v>
      </c>
      <c r="D65" s="211">
        <f t="shared" si="18"/>
        <v>3</v>
      </c>
      <c r="E65" s="211">
        <f t="shared" si="19"/>
        <v>29</v>
      </c>
      <c r="F65" s="205">
        <v>6685</v>
      </c>
      <c r="G65" s="205">
        <v>13245</v>
      </c>
      <c r="H65" s="207">
        <v>1323.85</v>
      </c>
      <c r="I65" s="207">
        <v>16.28</v>
      </c>
      <c r="J65" s="207">
        <v>931.54</v>
      </c>
      <c r="K65" s="207">
        <v>943.8</v>
      </c>
      <c r="L65" s="207"/>
      <c r="M65" s="2589" t="s">
        <v>5188</v>
      </c>
      <c r="N65" s="68" t="s">
        <v>5185</v>
      </c>
      <c r="O65" s="68" t="s">
        <v>2687</v>
      </c>
      <c r="P65" s="208">
        <v>55</v>
      </c>
      <c r="Q65" s="208">
        <v>19703.414634146342</v>
      </c>
      <c r="R65" s="208">
        <v>68</v>
      </c>
      <c r="S65" s="208">
        <v>75</v>
      </c>
      <c r="T65" s="208">
        <v>75</v>
      </c>
      <c r="U65" s="208">
        <v>75</v>
      </c>
      <c r="V65" s="208">
        <f t="shared" ref="V65" si="40">U65</f>
        <v>75</v>
      </c>
      <c r="W65" s="208">
        <f t="shared" si="34"/>
        <v>75</v>
      </c>
    </row>
    <row r="66" spans="2:23">
      <c r="B66" s="206">
        <v>43193</v>
      </c>
      <c r="C66" s="211">
        <f t="shared" si="17"/>
        <v>2018</v>
      </c>
      <c r="D66" s="211">
        <f t="shared" si="18"/>
        <v>4</v>
      </c>
      <c r="E66" s="211">
        <f t="shared" si="19"/>
        <v>3</v>
      </c>
      <c r="F66" s="205">
        <v>6756</v>
      </c>
      <c r="G66" s="205">
        <v>13560</v>
      </c>
      <c r="H66" s="207">
        <v>1333.45</v>
      </c>
      <c r="I66" s="207">
        <v>16.52</v>
      </c>
      <c r="J66" s="207">
        <v>931.3</v>
      </c>
      <c r="K66" s="207">
        <v>927.8</v>
      </c>
      <c r="L66" s="207"/>
    </row>
    <row r="67" spans="2:23">
      <c r="B67" s="206">
        <v>43194</v>
      </c>
      <c r="C67" s="211">
        <f t="shared" ref="C67" si="41">YEAR(B67)</f>
        <v>2018</v>
      </c>
      <c r="D67" s="211">
        <f t="shared" si="18"/>
        <v>4</v>
      </c>
      <c r="E67" s="211">
        <f t="shared" si="19"/>
        <v>4</v>
      </c>
      <c r="F67" s="205">
        <v>6625</v>
      </c>
      <c r="G67" s="205">
        <v>13060</v>
      </c>
      <c r="H67" s="207">
        <v>1337.3</v>
      </c>
      <c r="I67" s="207">
        <v>16.46</v>
      </c>
      <c r="J67" s="207">
        <v>918.1</v>
      </c>
      <c r="K67" s="207">
        <v>917.9</v>
      </c>
      <c r="L67" s="207"/>
    </row>
    <row r="68" spans="2:23">
      <c r="B68" s="206">
        <v>43195</v>
      </c>
      <c r="C68" s="211">
        <f t="shared" ref="C68:C131" si="42">YEAR(B68)</f>
        <v>2018</v>
      </c>
      <c r="D68" s="211">
        <f t="shared" ref="D68:D131" si="43">MONTH(B68)</f>
        <v>4</v>
      </c>
      <c r="E68" s="211">
        <f t="shared" ref="E68:E131" si="44">DAY(B68)</f>
        <v>5</v>
      </c>
      <c r="F68" s="205">
        <v>6767</v>
      </c>
      <c r="G68" s="205">
        <v>13285</v>
      </c>
      <c r="H68" s="207">
        <v>1327.7</v>
      </c>
      <c r="I68" s="207">
        <v>16.309999999999999</v>
      </c>
      <c r="J68" s="207">
        <v>915.3</v>
      </c>
      <c r="K68" s="207">
        <v>900.1</v>
      </c>
      <c r="L68" s="207"/>
      <c r="N68" s="32" t="s">
        <v>5198</v>
      </c>
    </row>
    <row r="69" spans="2:23">
      <c r="B69" s="206">
        <v>43196</v>
      </c>
      <c r="C69" s="211">
        <f t="shared" si="42"/>
        <v>2018</v>
      </c>
      <c r="D69" s="211">
        <f t="shared" si="43"/>
        <v>4</v>
      </c>
      <c r="E69" s="211">
        <f t="shared" si="44"/>
        <v>6</v>
      </c>
      <c r="F69" s="205">
        <v>6703</v>
      </c>
      <c r="G69" s="205">
        <v>12890</v>
      </c>
      <c r="H69" s="207">
        <v>1331.2</v>
      </c>
      <c r="I69" s="207">
        <v>16.28</v>
      </c>
      <c r="J69" s="207">
        <v>917.5</v>
      </c>
      <c r="K69" s="207">
        <v>895.15</v>
      </c>
      <c r="L69" s="207"/>
      <c r="N69" s="10"/>
      <c r="O69" s="10"/>
      <c r="P69" s="10" t="s">
        <v>5174</v>
      </c>
      <c r="Q69" s="10" t="s">
        <v>70</v>
      </c>
      <c r="R69" s="10" t="s">
        <v>71</v>
      </c>
      <c r="S69" s="10" t="s">
        <v>72</v>
      </c>
      <c r="T69" s="10" t="s">
        <v>73</v>
      </c>
      <c r="U69" s="10" t="s">
        <v>74</v>
      </c>
      <c r="V69" s="10" t="s">
        <v>5102</v>
      </c>
    </row>
    <row r="70" spans="2:23">
      <c r="B70" s="206">
        <v>43199</v>
      </c>
      <c r="C70" s="211">
        <f t="shared" si="42"/>
        <v>2018</v>
      </c>
      <c r="D70" s="211">
        <f t="shared" si="43"/>
        <v>4</v>
      </c>
      <c r="E70" s="211">
        <f t="shared" si="44"/>
        <v>9</v>
      </c>
      <c r="F70" s="205">
        <v>6767</v>
      </c>
      <c r="G70" s="205">
        <v>13240</v>
      </c>
      <c r="H70" s="207">
        <v>1331.95</v>
      </c>
      <c r="I70" s="207">
        <v>16.28</v>
      </c>
      <c r="J70" s="207">
        <v>939.4</v>
      </c>
      <c r="K70" s="207">
        <v>932.5</v>
      </c>
      <c r="L70" s="207"/>
      <c r="N70" s="1" t="s">
        <v>258</v>
      </c>
      <c r="O70" s="1" t="s">
        <v>2702</v>
      </c>
      <c r="P70" s="76"/>
      <c r="Q70" s="76"/>
      <c r="R70" s="76"/>
      <c r="S70" s="76"/>
      <c r="T70" s="76"/>
      <c r="U70" s="76"/>
      <c r="V70" s="76"/>
    </row>
    <row r="71" spans="2:23">
      <c r="B71" s="206">
        <v>43200</v>
      </c>
      <c r="C71" s="211">
        <f t="shared" si="42"/>
        <v>2018</v>
      </c>
      <c r="D71" s="211">
        <f t="shared" si="43"/>
        <v>4</v>
      </c>
      <c r="E71" s="211">
        <f t="shared" si="44"/>
        <v>10</v>
      </c>
      <c r="F71" s="205">
        <v>6888</v>
      </c>
      <c r="G71" s="205">
        <v>13700</v>
      </c>
      <c r="H71" s="207">
        <v>1338.95</v>
      </c>
      <c r="I71" s="207">
        <v>16.489999999999998</v>
      </c>
      <c r="J71" s="207">
        <v>933.1</v>
      </c>
      <c r="K71" s="207">
        <v>949.75</v>
      </c>
      <c r="L71" s="207"/>
      <c r="M71" s="2589" t="s">
        <v>329</v>
      </c>
      <c r="N71" s="1" t="s">
        <v>325</v>
      </c>
      <c r="O71" s="1" t="s">
        <v>3462</v>
      </c>
      <c r="P71" s="19"/>
      <c r="Q71" s="19">
        <v>69</v>
      </c>
      <c r="R71" s="19">
        <v>82</v>
      </c>
      <c r="S71" s="19">
        <v>82</v>
      </c>
      <c r="T71" s="19">
        <v>82</v>
      </c>
      <c r="U71" s="19">
        <f>T71</f>
        <v>82</v>
      </c>
      <c r="V71" s="19">
        <f>U71</f>
        <v>82</v>
      </c>
    </row>
    <row r="72" spans="2:23">
      <c r="B72" s="206">
        <v>43201</v>
      </c>
      <c r="C72" s="211">
        <f t="shared" si="42"/>
        <v>2018</v>
      </c>
      <c r="D72" s="211">
        <f t="shared" si="43"/>
        <v>4</v>
      </c>
      <c r="E72" s="211">
        <f t="shared" si="44"/>
        <v>11</v>
      </c>
      <c r="F72" s="205">
        <v>6930.5</v>
      </c>
      <c r="G72" s="205">
        <v>13740</v>
      </c>
      <c r="H72" s="207">
        <v>1350.75</v>
      </c>
      <c r="I72" s="207">
        <v>16.57</v>
      </c>
      <c r="J72" s="207">
        <v>934.3</v>
      </c>
      <c r="K72" s="207">
        <v>960.95</v>
      </c>
      <c r="L72" s="207"/>
      <c r="M72" s="2589" t="s">
        <v>330</v>
      </c>
      <c r="N72" s="1" t="s">
        <v>262</v>
      </c>
      <c r="O72" s="1" t="s">
        <v>2702</v>
      </c>
      <c r="P72" s="76"/>
      <c r="Q72" s="330">
        <v>2.2000000000000001E-3</v>
      </c>
      <c r="R72" s="330">
        <v>2.2000000000000001E-3</v>
      </c>
      <c r="S72" s="330">
        <v>2.2000000000000001E-3</v>
      </c>
      <c r="T72" s="330">
        <v>2.3E-3</v>
      </c>
      <c r="U72" s="330">
        <f t="shared" ref="U72:V72" si="45">T72</f>
        <v>2.3E-3</v>
      </c>
      <c r="V72" s="330">
        <f t="shared" si="45"/>
        <v>2.3E-3</v>
      </c>
    </row>
    <row r="73" spans="2:23">
      <c r="B73" s="206">
        <v>43202</v>
      </c>
      <c r="C73" s="211">
        <f t="shared" si="42"/>
        <v>2018</v>
      </c>
      <c r="D73" s="211">
        <f t="shared" si="43"/>
        <v>4</v>
      </c>
      <c r="E73" s="211">
        <f t="shared" si="44"/>
        <v>12</v>
      </c>
      <c r="F73" s="205">
        <v>6756</v>
      </c>
      <c r="G73" s="205">
        <v>13585</v>
      </c>
      <c r="H73" s="207">
        <v>1341.35</v>
      </c>
      <c r="I73" s="207">
        <v>16.66</v>
      </c>
      <c r="J73" s="207">
        <v>934.8</v>
      </c>
      <c r="K73" s="207">
        <v>959.15</v>
      </c>
      <c r="L73" s="207"/>
      <c r="M73" s="2589" t="s">
        <v>331</v>
      </c>
      <c r="N73" s="1" t="s">
        <v>264</v>
      </c>
      <c r="O73" s="1" t="s">
        <v>2702</v>
      </c>
      <c r="P73" s="76"/>
      <c r="Q73" s="330">
        <v>3.5999999999999999E-3</v>
      </c>
      <c r="R73" s="330">
        <v>4.0000000000000001E-3</v>
      </c>
      <c r="S73" s="330">
        <v>4.1999999999999997E-3</v>
      </c>
      <c r="T73" s="330">
        <v>4.5999999999999999E-3</v>
      </c>
      <c r="U73" s="330">
        <f t="shared" ref="U73:V73" si="46">T73</f>
        <v>4.5999999999999999E-3</v>
      </c>
      <c r="V73" s="330">
        <f t="shared" si="46"/>
        <v>4.5999999999999999E-3</v>
      </c>
    </row>
    <row r="74" spans="2:23">
      <c r="B74" s="206">
        <v>43203</v>
      </c>
      <c r="C74" s="211">
        <f t="shared" si="42"/>
        <v>2018</v>
      </c>
      <c r="D74" s="211">
        <f t="shared" si="43"/>
        <v>4</v>
      </c>
      <c r="E74" s="211">
        <f t="shared" si="44"/>
        <v>13</v>
      </c>
      <c r="F74" s="205">
        <v>6830</v>
      </c>
      <c r="G74" s="205">
        <v>14005</v>
      </c>
      <c r="H74" s="207">
        <v>1343.7</v>
      </c>
      <c r="I74" s="207">
        <v>16.510000000000002</v>
      </c>
      <c r="J74" s="207">
        <v>933.1</v>
      </c>
      <c r="K74" s="207">
        <v>980.95</v>
      </c>
      <c r="L74" s="207"/>
      <c r="M74" s="2589" t="s">
        <v>316</v>
      </c>
      <c r="N74" s="1" t="s">
        <v>316</v>
      </c>
      <c r="O74" s="1" t="s">
        <v>2702</v>
      </c>
      <c r="P74" s="76"/>
      <c r="Q74" s="78">
        <f>Q84/R60</f>
        <v>0.18000831061417322</v>
      </c>
      <c r="R74" s="78">
        <f t="shared" ref="R74:V74" si="47">R84/S60</f>
        <v>0.1607012968</v>
      </c>
      <c r="S74" s="78">
        <f t="shared" si="47"/>
        <v>0.15422140579999999</v>
      </c>
      <c r="T74" s="78">
        <f t="shared" si="47"/>
        <v>0.15033347120000001</v>
      </c>
      <c r="U74" s="78">
        <f t="shared" si="47"/>
        <v>0.15033347120000001</v>
      </c>
      <c r="V74" s="78">
        <f t="shared" si="47"/>
        <v>0.15033347120000001</v>
      </c>
    </row>
    <row r="75" spans="2:23">
      <c r="B75" s="206">
        <v>43206</v>
      </c>
      <c r="C75" s="211">
        <f t="shared" si="42"/>
        <v>2018</v>
      </c>
      <c r="D75" s="211">
        <f t="shared" si="43"/>
        <v>4</v>
      </c>
      <c r="E75" s="211">
        <f t="shared" si="44"/>
        <v>16</v>
      </c>
      <c r="F75" s="205">
        <v>6811.5</v>
      </c>
      <c r="G75" s="205">
        <v>14150</v>
      </c>
      <c r="H75" s="207">
        <v>1349.35</v>
      </c>
      <c r="I75" s="207">
        <v>16.600000000000001</v>
      </c>
      <c r="J75" s="207">
        <v>931.8</v>
      </c>
      <c r="K75" s="207">
        <v>1003.75</v>
      </c>
      <c r="L75" s="207"/>
      <c r="M75" s="2589" t="s">
        <v>268</v>
      </c>
      <c r="N75" s="1" t="s">
        <v>268</v>
      </c>
      <c r="O75" s="1" t="s">
        <v>2702</v>
      </c>
      <c r="P75" s="76"/>
      <c r="Q75" s="330">
        <v>3.7000000000000002E-3</v>
      </c>
      <c r="R75" s="330">
        <v>3.8E-3</v>
      </c>
      <c r="S75" s="330">
        <v>3.8E-3</v>
      </c>
      <c r="T75" s="330">
        <v>3.8E-3</v>
      </c>
      <c r="U75" s="78">
        <f t="shared" ref="U75:V75" si="48">T75</f>
        <v>3.8E-3</v>
      </c>
      <c r="V75" s="78">
        <f t="shared" si="48"/>
        <v>3.8E-3</v>
      </c>
    </row>
    <row r="76" spans="2:23">
      <c r="B76" s="206">
        <v>43207</v>
      </c>
      <c r="C76" s="211">
        <f t="shared" si="42"/>
        <v>2018</v>
      </c>
      <c r="D76" s="211">
        <f t="shared" si="43"/>
        <v>4</v>
      </c>
      <c r="E76" s="211">
        <f t="shared" si="44"/>
        <v>17</v>
      </c>
      <c r="F76" s="205">
        <v>6784</v>
      </c>
      <c r="G76" s="205">
        <v>13950</v>
      </c>
      <c r="H76" s="207">
        <v>1342.1</v>
      </c>
      <c r="I76" s="207">
        <v>16.63</v>
      </c>
      <c r="J76" s="207">
        <v>940</v>
      </c>
      <c r="K76" s="207">
        <v>1005</v>
      </c>
      <c r="L76" s="207"/>
      <c r="M76" s="2589" t="s">
        <v>266</v>
      </c>
      <c r="N76" s="1" t="s">
        <v>266</v>
      </c>
      <c r="O76" s="1" t="s">
        <v>2702</v>
      </c>
      <c r="P76" s="76"/>
      <c r="Q76" s="330">
        <v>8.9999999999999993E-3</v>
      </c>
      <c r="R76" s="330">
        <v>8.3999999999999995E-3</v>
      </c>
      <c r="S76" s="330">
        <v>8.0000000000000002E-3</v>
      </c>
      <c r="T76" s="330">
        <v>8.0999999999999996E-3</v>
      </c>
      <c r="U76" s="78">
        <f t="shared" ref="U76:V76" si="49">T76</f>
        <v>8.0999999999999996E-3</v>
      </c>
      <c r="V76" s="78">
        <f t="shared" si="49"/>
        <v>8.0999999999999996E-3</v>
      </c>
    </row>
    <row r="77" spans="2:23">
      <c r="B77" s="206">
        <v>43208</v>
      </c>
      <c r="C77" s="211">
        <f t="shared" si="42"/>
        <v>2018</v>
      </c>
      <c r="D77" s="211">
        <f t="shared" si="43"/>
        <v>4</v>
      </c>
      <c r="E77" s="211">
        <f t="shared" si="44"/>
        <v>18</v>
      </c>
      <c r="F77" s="205">
        <v>6936</v>
      </c>
      <c r="G77" s="205">
        <v>15105</v>
      </c>
      <c r="H77" s="207">
        <v>1351.45</v>
      </c>
      <c r="I77" s="207">
        <v>16.95</v>
      </c>
      <c r="J77" s="207">
        <v>945.8</v>
      </c>
      <c r="K77" s="207">
        <v>1034.95</v>
      </c>
      <c r="L77" s="207"/>
      <c r="M77" s="2589" t="s">
        <v>250</v>
      </c>
      <c r="N77" s="2695" t="s">
        <v>250</v>
      </c>
      <c r="O77" s="2695" t="s">
        <v>2702</v>
      </c>
      <c r="P77" s="2603"/>
      <c r="Q77" s="2694">
        <f>Q83</f>
        <v>-0.22236014684795324</v>
      </c>
      <c r="R77" s="2694">
        <f t="shared" ref="R77:V77" si="50">R83</f>
        <v>-0.18503937007874016</v>
      </c>
      <c r="S77" s="2694">
        <f t="shared" si="50"/>
        <v>-0.30397845006216329</v>
      </c>
      <c r="T77" s="2694">
        <f t="shared" si="50"/>
        <v>-0.18503937007874016</v>
      </c>
      <c r="U77" s="2694">
        <f t="shared" si="50"/>
        <v>-0.18503937007874016</v>
      </c>
      <c r="V77" s="2694">
        <f t="shared" si="50"/>
        <v>-0.18503937007874016</v>
      </c>
    </row>
    <row r="78" spans="2:23">
      <c r="B78" s="206">
        <v>43209</v>
      </c>
      <c r="C78" s="211">
        <f t="shared" si="42"/>
        <v>2018</v>
      </c>
      <c r="D78" s="211">
        <f t="shared" si="43"/>
        <v>4</v>
      </c>
      <c r="E78" s="211">
        <f t="shared" si="44"/>
        <v>19</v>
      </c>
      <c r="F78" s="205">
        <v>6942</v>
      </c>
      <c r="G78" s="205">
        <v>15710</v>
      </c>
      <c r="H78" s="207">
        <v>1348.6</v>
      </c>
      <c r="I78" s="207">
        <v>17.2</v>
      </c>
      <c r="J78" s="207">
        <v>940.1</v>
      </c>
      <c r="K78" s="207">
        <v>1026.45</v>
      </c>
      <c r="L78" s="207"/>
    </row>
    <row r="79" spans="2:23">
      <c r="B79" s="206">
        <v>43210</v>
      </c>
      <c r="C79" s="211">
        <f t="shared" si="42"/>
        <v>2018</v>
      </c>
      <c r="D79" s="211">
        <f t="shared" si="43"/>
        <v>4</v>
      </c>
      <c r="E79" s="211">
        <f t="shared" si="44"/>
        <v>20</v>
      </c>
      <c r="F79" s="205">
        <v>6939</v>
      </c>
      <c r="G79" s="205">
        <v>14640</v>
      </c>
      <c r="H79" s="207">
        <v>1336.75</v>
      </c>
      <c r="I79" s="207">
        <v>17.11</v>
      </c>
      <c r="J79" s="207">
        <v>931.8</v>
      </c>
      <c r="K79" s="207">
        <v>1030.2</v>
      </c>
      <c r="L79" s="207"/>
      <c r="N79" s="32" t="s">
        <v>5552</v>
      </c>
    </row>
    <row r="80" spans="2:23">
      <c r="B80" s="206">
        <v>43213</v>
      </c>
      <c r="C80" s="211">
        <f t="shared" si="42"/>
        <v>2018</v>
      </c>
      <c r="D80" s="211">
        <f t="shared" si="43"/>
        <v>4</v>
      </c>
      <c r="E80" s="211">
        <f t="shared" si="44"/>
        <v>23</v>
      </c>
      <c r="F80" s="205">
        <v>6923</v>
      </c>
      <c r="G80" s="205">
        <v>14050</v>
      </c>
      <c r="H80" s="207">
        <v>1324.3</v>
      </c>
      <c r="I80" s="207">
        <v>16.940000000000001</v>
      </c>
      <c r="J80" s="207">
        <v>922.4</v>
      </c>
      <c r="K80" s="207">
        <v>979.55</v>
      </c>
      <c r="L80" s="207"/>
      <c r="N80" s="10"/>
      <c r="O80" s="10"/>
      <c r="P80" s="10" t="s">
        <v>5174</v>
      </c>
      <c r="Q80" s="10" t="s">
        <v>70</v>
      </c>
      <c r="R80" s="10" t="s">
        <v>71</v>
      </c>
      <c r="S80" s="10" t="s">
        <v>72</v>
      </c>
      <c r="T80" s="10" t="s">
        <v>73</v>
      </c>
      <c r="U80" s="10" t="s">
        <v>74</v>
      </c>
      <c r="V80" s="10" t="s">
        <v>5102</v>
      </c>
    </row>
    <row r="81" spans="2:22">
      <c r="B81" s="206">
        <v>43214</v>
      </c>
      <c r="C81" s="211">
        <f t="shared" si="42"/>
        <v>2018</v>
      </c>
      <c r="D81" s="211">
        <f t="shared" si="43"/>
        <v>4</v>
      </c>
      <c r="E81" s="211">
        <f t="shared" si="44"/>
        <v>24</v>
      </c>
      <c r="F81" s="205">
        <v>6987</v>
      </c>
      <c r="G81" s="205">
        <v>14250</v>
      </c>
      <c r="H81" s="207">
        <v>1328.85</v>
      </c>
      <c r="I81" s="207">
        <v>16.600000000000001</v>
      </c>
      <c r="J81" s="207">
        <v>935</v>
      </c>
      <c r="K81" s="207">
        <v>971.65</v>
      </c>
      <c r="L81" s="207"/>
      <c r="N81" s="1" t="s">
        <v>334</v>
      </c>
      <c r="O81" s="1" t="s">
        <v>3462</v>
      </c>
      <c r="Q81" s="19">
        <v>3537</v>
      </c>
      <c r="R81" s="19">
        <v>3726</v>
      </c>
      <c r="S81" s="19">
        <v>3359</v>
      </c>
      <c r="T81" s="19">
        <v>4140</v>
      </c>
      <c r="U81" s="19">
        <f>T81</f>
        <v>4140</v>
      </c>
      <c r="V81" s="19">
        <f>U81</f>
        <v>4140</v>
      </c>
    </row>
    <row r="82" spans="2:22">
      <c r="B82" s="206">
        <v>43215</v>
      </c>
      <c r="C82" s="211">
        <f t="shared" si="42"/>
        <v>2018</v>
      </c>
      <c r="D82" s="211">
        <f t="shared" si="43"/>
        <v>4</v>
      </c>
      <c r="E82" s="211">
        <f t="shared" si="44"/>
        <v>25</v>
      </c>
      <c r="F82" s="205">
        <v>6960.5</v>
      </c>
      <c r="G82" s="205">
        <v>14120</v>
      </c>
      <c r="H82" s="207">
        <v>1321.65</v>
      </c>
      <c r="I82" s="207">
        <v>16.57</v>
      </c>
      <c r="J82" s="207">
        <v>912.7</v>
      </c>
      <c r="K82" s="207">
        <v>967.5</v>
      </c>
      <c r="L82" s="207"/>
      <c r="O82" s="330">
        <v>0.254</v>
      </c>
      <c r="Q82" s="19">
        <f>Q81/$O$82</f>
        <v>13925.196850393701</v>
      </c>
      <c r="R82" s="19">
        <f t="shared" ref="R82:V82" si="51">R81/$O$82</f>
        <v>14669.291338582678</v>
      </c>
      <c r="S82" s="19">
        <f t="shared" si="51"/>
        <v>13224.409448818897</v>
      </c>
      <c r="T82" s="19">
        <f t="shared" si="51"/>
        <v>16299.212598425196</v>
      </c>
      <c r="U82" s="19">
        <f t="shared" si="51"/>
        <v>16299.212598425196</v>
      </c>
      <c r="V82" s="19">
        <f t="shared" si="51"/>
        <v>16299.212598425196</v>
      </c>
    </row>
    <row r="83" spans="2:22">
      <c r="B83" s="206">
        <v>43216</v>
      </c>
      <c r="C83" s="211">
        <f t="shared" si="42"/>
        <v>2018</v>
      </c>
      <c r="D83" s="211">
        <f t="shared" si="43"/>
        <v>4</v>
      </c>
      <c r="E83" s="211">
        <f t="shared" si="44"/>
        <v>26</v>
      </c>
      <c r="F83" s="205">
        <v>6885.5</v>
      </c>
      <c r="G83" s="205">
        <v>13945</v>
      </c>
      <c r="H83" s="207">
        <v>1320.7</v>
      </c>
      <c r="I83" s="207">
        <v>16.57</v>
      </c>
      <c r="J83" s="207">
        <v>910.1</v>
      </c>
      <c r="K83" s="207">
        <v>979.05</v>
      </c>
      <c r="L83" s="207"/>
      <c r="Q83" s="78">
        <f>Q82/R54-1</f>
        <v>-0.22236014684795324</v>
      </c>
      <c r="R83" s="78">
        <f t="shared" ref="R83:V83" si="52">R82/S54-1</f>
        <v>-0.18503937007874016</v>
      </c>
      <c r="S83" s="78">
        <f t="shared" si="52"/>
        <v>-0.30397845006216329</v>
      </c>
      <c r="T83" s="78">
        <f t="shared" si="52"/>
        <v>-0.18503937007874016</v>
      </c>
      <c r="U83" s="78">
        <f t="shared" si="52"/>
        <v>-0.18503937007874016</v>
      </c>
      <c r="V83" s="78">
        <f t="shared" si="52"/>
        <v>-0.18503937007874016</v>
      </c>
    </row>
    <row r="84" spans="2:22">
      <c r="B84" s="206">
        <v>43217</v>
      </c>
      <c r="C84" s="211">
        <f t="shared" si="42"/>
        <v>2018</v>
      </c>
      <c r="D84" s="211">
        <f t="shared" si="43"/>
        <v>4</v>
      </c>
      <c r="E84" s="211">
        <f t="shared" si="44"/>
        <v>27</v>
      </c>
      <c r="F84" s="205">
        <v>6797</v>
      </c>
      <c r="G84" s="205">
        <v>13980</v>
      </c>
      <c r="H84" s="207">
        <v>1321.5</v>
      </c>
      <c r="I84" s="207">
        <v>16.53</v>
      </c>
      <c r="J84" s="207">
        <v>916.4</v>
      </c>
      <c r="K84" s="207">
        <v>963</v>
      </c>
      <c r="L84" s="207"/>
      <c r="N84" s="1" t="s">
        <v>316</v>
      </c>
      <c r="O84" s="1" t="s">
        <v>3463</v>
      </c>
      <c r="Q84" s="19">
        <v>147</v>
      </c>
      <c r="R84" s="19">
        <v>124</v>
      </c>
      <c r="S84" s="19">
        <v>119</v>
      </c>
      <c r="T84" s="19">
        <v>116</v>
      </c>
      <c r="U84" s="19">
        <f>T84</f>
        <v>116</v>
      </c>
      <c r="V84" s="19">
        <f>U84</f>
        <v>116</v>
      </c>
    </row>
    <row r="85" spans="2:22">
      <c r="B85" s="206">
        <v>43220</v>
      </c>
      <c r="C85" s="211">
        <f t="shared" si="42"/>
        <v>2018</v>
      </c>
      <c r="D85" s="211">
        <f t="shared" si="43"/>
        <v>4</v>
      </c>
      <c r="E85" s="211">
        <f t="shared" si="44"/>
        <v>30</v>
      </c>
      <c r="F85" s="205">
        <v>6783</v>
      </c>
      <c r="G85" s="205">
        <v>13725</v>
      </c>
      <c r="H85" s="207">
        <v>1313.2</v>
      </c>
      <c r="I85" s="207">
        <v>16.38</v>
      </c>
      <c r="J85" s="207">
        <v>904.4</v>
      </c>
      <c r="K85" s="207">
        <v>960.55</v>
      </c>
      <c r="L85" s="207"/>
      <c r="N85" s="68"/>
      <c r="O85" s="68"/>
      <c r="P85" s="68"/>
      <c r="Q85" s="2996"/>
      <c r="R85" s="2996"/>
      <c r="S85" s="2996"/>
      <c r="T85" s="2996"/>
      <c r="U85" s="2996"/>
      <c r="V85" s="2996"/>
    </row>
    <row r="86" spans="2:22">
      <c r="B86" s="206">
        <v>43221</v>
      </c>
      <c r="C86" s="211">
        <f t="shared" si="42"/>
        <v>2018</v>
      </c>
      <c r="D86" s="211">
        <f t="shared" si="43"/>
        <v>5</v>
      </c>
      <c r="E86" s="211">
        <f t="shared" si="44"/>
        <v>1</v>
      </c>
      <c r="F86" s="205">
        <v>6777.5</v>
      </c>
      <c r="G86" s="205">
        <v>13610</v>
      </c>
      <c r="H86" s="207">
        <v>1307.0999999999999</v>
      </c>
      <c r="I86" s="207">
        <v>16.25</v>
      </c>
      <c r="J86" s="207">
        <v>894.2</v>
      </c>
      <c r="K86" s="207">
        <v>936.25</v>
      </c>
      <c r="L86" s="207"/>
    </row>
    <row r="87" spans="2:22">
      <c r="B87" s="206">
        <v>43222</v>
      </c>
      <c r="C87" s="211">
        <f t="shared" si="42"/>
        <v>2018</v>
      </c>
      <c r="D87" s="211">
        <f t="shared" si="43"/>
        <v>5</v>
      </c>
      <c r="E87" s="211">
        <f t="shared" si="44"/>
        <v>2</v>
      </c>
      <c r="F87" s="205">
        <v>6785</v>
      </c>
      <c r="G87" s="205">
        <v>13915</v>
      </c>
      <c r="H87" s="207">
        <v>1304.2</v>
      </c>
      <c r="I87" s="207">
        <v>16.350000000000001</v>
      </c>
      <c r="J87" s="207">
        <v>893.8</v>
      </c>
      <c r="K87" s="207">
        <v>960.15</v>
      </c>
      <c r="L87" s="207"/>
    </row>
    <row r="88" spans="2:22">
      <c r="B88" s="206">
        <v>43223</v>
      </c>
      <c r="C88" s="211">
        <f t="shared" si="42"/>
        <v>2018</v>
      </c>
      <c r="D88" s="211">
        <f t="shared" si="43"/>
        <v>5</v>
      </c>
      <c r="E88" s="211">
        <f t="shared" si="44"/>
        <v>3</v>
      </c>
      <c r="F88" s="205">
        <v>6837</v>
      </c>
      <c r="G88" s="205">
        <v>13985</v>
      </c>
      <c r="H88" s="207">
        <v>1315.05</v>
      </c>
      <c r="I88" s="207">
        <v>16.47</v>
      </c>
      <c r="J88" s="207">
        <v>904</v>
      </c>
      <c r="K88" s="207">
        <v>958.7</v>
      </c>
      <c r="L88" s="207"/>
    </row>
    <row r="89" spans="2:22">
      <c r="B89" s="206">
        <v>43224</v>
      </c>
      <c r="C89" s="211">
        <f t="shared" si="42"/>
        <v>2018</v>
      </c>
      <c r="D89" s="211">
        <f t="shared" si="43"/>
        <v>5</v>
      </c>
      <c r="E89" s="211">
        <f t="shared" si="44"/>
        <v>4</v>
      </c>
      <c r="F89" s="205">
        <v>6783</v>
      </c>
      <c r="G89" s="205">
        <v>13835</v>
      </c>
      <c r="H89" s="207">
        <v>1309.4000000000001</v>
      </c>
      <c r="I89" s="207">
        <v>16.420000000000002</v>
      </c>
      <c r="J89" s="207">
        <v>910.3</v>
      </c>
      <c r="K89" s="207">
        <v>957.25</v>
      </c>
      <c r="L89" s="207"/>
    </row>
    <row r="90" spans="2:22">
      <c r="B90" s="206">
        <v>43228</v>
      </c>
      <c r="C90" s="211">
        <f t="shared" si="42"/>
        <v>2018</v>
      </c>
      <c r="D90" s="211">
        <f t="shared" si="43"/>
        <v>5</v>
      </c>
      <c r="E90" s="211">
        <f t="shared" si="44"/>
        <v>8</v>
      </c>
      <c r="F90" s="205">
        <v>6722</v>
      </c>
      <c r="G90" s="205">
        <v>13940</v>
      </c>
      <c r="H90" s="207">
        <v>1306.5999999999999</v>
      </c>
      <c r="I90" s="207">
        <v>16.45</v>
      </c>
      <c r="J90" s="207">
        <v>912.1</v>
      </c>
      <c r="K90" s="207">
        <v>963.4</v>
      </c>
      <c r="L90" s="207"/>
    </row>
    <row r="91" spans="2:22">
      <c r="B91" s="206">
        <v>43229</v>
      </c>
      <c r="C91" s="211">
        <f t="shared" si="42"/>
        <v>2018</v>
      </c>
      <c r="D91" s="211">
        <f t="shared" si="43"/>
        <v>5</v>
      </c>
      <c r="E91" s="211">
        <f t="shared" si="44"/>
        <v>9</v>
      </c>
      <c r="F91" s="205">
        <v>6786</v>
      </c>
      <c r="G91" s="205">
        <v>13790</v>
      </c>
      <c r="H91" s="207">
        <v>1313.85</v>
      </c>
      <c r="I91" s="207">
        <v>16.440000000000001</v>
      </c>
      <c r="J91" s="207">
        <v>916.6</v>
      </c>
      <c r="K91" s="207">
        <v>970.6</v>
      </c>
      <c r="L91" s="207"/>
    </row>
    <row r="92" spans="2:22">
      <c r="B92" s="206">
        <v>43230</v>
      </c>
      <c r="C92" s="211">
        <f t="shared" si="42"/>
        <v>2018</v>
      </c>
      <c r="D92" s="211">
        <f t="shared" si="43"/>
        <v>5</v>
      </c>
      <c r="E92" s="211">
        <f t="shared" si="44"/>
        <v>10</v>
      </c>
      <c r="F92" s="205">
        <v>6862</v>
      </c>
      <c r="G92" s="205">
        <v>13810</v>
      </c>
      <c r="H92" s="207">
        <v>1318.8</v>
      </c>
      <c r="I92" s="207">
        <v>16.600000000000001</v>
      </c>
      <c r="J92" s="207">
        <v>925.1</v>
      </c>
      <c r="K92" s="207">
        <v>993.9</v>
      </c>
      <c r="L92" s="207"/>
    </row>
    <row r="93" spans="2:22">
      <c r="B93" s="206">
        <v>43231</v>
      </c>
      <c r="C93" s="211">
        <f t="shared" si="42"/>
        <v>2018</v>
      </c>
      <c r="D93" s="211">
        <f t="shared" si="43"/>
        <v>5</v>
      </c>
      <c r="E93" s="211">
        <f t="shared" si="44"/>
        <v>11</v>
      </c>
      <c r="F93" s="205">
        <v>6869</v>
      </c>
      <c r="G93" s="205">
        <v>13910</v>
      </c>
      <c r="H93" s="207">
        <v>1324.35</v>
      </c>
      <c r="I93" s="207">
        <v>16.760000000000002</v>
      </c>
      <c r="J93" s="207">
        <v>925.9</v>
      </c>
      <c r="K93" s="207">
        <v>985.2</v>
      </c>
      <c r="L93" s="207"/>
    </row>
    <row r="94" spans="2:22">
      <c r="B94" s="206">
        <v>43234</v>
      </c>
      <c r="C94" s="211">
        <f t="shared" si="42"/>
        <v>2018</v>
      </c>
      <c r="D94" s="211">
        <f t="shared" si="43"/>
        <v>5</v>
      </c>
      <c r="E94" s="211">
        <f t="shared" si="44"/>
        <v>14</v>
      </c>
      <c r="F94" s="205">
        <v>6828</v>
      </c>
      <c r="G94" s="205">
        <v>14320</v>
      </c>
      <c r="H94" s="207">
        <v>1319.85</v>
      </c>
      <c r="I94" s="207">
        <v>16.649999999999999</v>
      </c>
      <c r="J94" s="207">
        <v>914.9</v>
      </c>
      <c r="K94" s="207">
        <v>995.7</v>
      </c>
      <c r="L94" s="207"/>
    </row>
    <row r="95" spans="2:22">
      <c r="B95" s="206">
        <v>43235</v>
      </c>
      <c r="C95" s="211">
        <f t="shared" si="42"/>
        <v>2018</v>
      </c>
      <c r="D95" s="211">
        <f t="shared" si="43"/>
        <v>5</v>
      </c>
      <c r="E95" s="211">
        <f t="shared" si="44"/>
        <v>15</v>
      </c>
      <c r="F95" s="205">
        <v>6822.5</v>
      </c>
      <c r="G95" s="205">
        <v>14490</v>
      </c>
      <c r="H95" s="207">
        <v>1295</v>
      </c>
      <c r="I95" s="207">
        <v>16.41</v>
      </c>
      <c r="J95" s="207">
        <v>897.2</v>
      </c>
      <c r="K95" s="207">
        <v>983.2</v>
      </c>
      <c r="L95" s="207"/>
    </row>
    <row r="96" spans="2:22">
      <c r="B96" s="206">
        <v>43236</v>
      </c>
      <c r="C96" s="211">
        <f t="shared" si="42"/>
        <v>2018</v>
      </c>
      <c r="D96" s="211">
        <f t="shared" si="43"/>
        <v>5</v>
      </c>
      <c r="E96" s="211">
        <f t="shared" si="44"/>
        <v>16</v>
      </c>
      <c r="F96" s="205">
        <v>6773.5</v>
      </c>
      <c r="G96" s="205">
        <v>14410</v>
      </c>
      <c r="H96" s="207">
        <v>1291.25</v>
      </c>
      <c r="I96" s="207">
        <v>16.260000000000002</v>
      </c>
      <c r="J96" s="207">
        <v>889.8</v>
      </c>
      <c r="K96" s="207">
        <v>982.5</v>
      </c>
      <c r="L96" s="207"/>
    </row>
    <row r="97" spans="2:12">
      <c r="B97" s="206">
        <v>43237</v>
      </c>
      <c r="C97" s="211">
        <f t="shared" si="42"/>
        <v>2018</v>
      </c>
      <c r="D97" s="211">
        <f t="shared" si="43"/>
        <v>5</v>
      </c>
      <c r="E97" s="211">
        <f t="shared" si="44"/>
        <v>17</v>
      </c>
      <c r="F97" s="205">
        <v>6838</v>
      </c>
      <c r="G97" s="205">
        <v>14580</v>
      </c>
      <c r="H97" s="207">
        <v>1289.5</v>
      </c>
      <c r="I97" s="207">
        <v>16.39</v>
      </c>
      <c r="J97" s="207">
        <v>892.1</v>
      </c>
      <c r="K97" s="207">
        <v>977.5</v>
      </c>
      <c r="L97" s="207"/>
    </row>
    <row r="98" spans="2:12">
      <c r="B98" s="206">
        <v>43238</v>
      </c>
      <c r="C98" s="211">
        <f t="shared" si="42"/>
        <v>2018</v>
      </c>
      <c r="D98" s="211">
        <f t="shared" si="43"/>
        <v>5</v>
      </c>
      <c r="E98" s="211">
        <f t="shared" si="44"/>
        <v>18</v>
      </c>
      <c r="F98" s="205">
        <v>6783.5</v>
      </c>
      <c r="G98" s="205">
        <v>14750</v>
      </c>
      <c r="H98" s="207">
        <v>1288.3</v>
      </c>
      <c r="I98" s="207">
        <v>16.39</v>
      </c>
      <c r="J98" s="207">
        <v>886.5</v>
      </c>
      <c r="K98" s="207">
        <v>960.2</v>
      </c>
      <c r="L98" s="207"/>
    </row>
    <row r="99" spans="2:12">
      <c r="B99" s="206">
        <v>43241</v>
      </c>
      <c r="C99" s="211">
        <f t="shared" si="42"/>
        <v>2018</v>
      </c>
      <c r="D99" s="211">
        <f t="shared" si="43"/>
        <v>5</v>
      </c>
      <c r="E99" s="211">
        <f t="shared" si="44"/>
        <v>21</v>
      </c>
      <c r="F99" s="205">
        <v>6861</v>
      </c>
      <c r="G99" s="205">
        <v>14615</v>
      </c>
      <c r="H99" s="207">
        <v>1288.3499999999999</v>
      </c>
      <c r="I99" s="207">
        <v>16.34</v>
      </c>
      <c r="J99" s="207">
        <v>899.8</v>
      </c>
      <c r="K99" s="207">
        <v>990.4</v>
      </c>
      <c r="L99" s="207"/>
    </row>
    <row r="100" spans="2:12">
      <c r="B100" s="206">
        <v>43242</v>
      </c>
      <c r="C100" s="211">
        <f t="shared" si="42"/>
        <v>2018</v>
      </c>
      <c r="D100" s="211">
        <f t="shared" si="43"/>
        <v>5</v>
      </c>
      <c r="E100" s="211">
        <f t="shared" si="44"/>
        <v>22</v>
      </c>
      <c r="F100" s="205">
        <v>6931.5</v>
      </c>
      <c r="G100" s="205">
        <v>14700</v>
      </c>
      <c r="H100" s="207">
        <v>1293.03</v>
      </c>
      <c r="I100" s="207">
        <v>16.579999999999998</v>
      </c>
      <c r="J100" s="207">
        <v>908.8</v>
      </c>
      <c r="K100" s="207">
        <v>986.8</v>
      </c>
      <c r="L100" s="207"/>
    </row>
    <row r="101" spans="2:12">
      <c r="B101" s="206">
        <v>43243</v>
      </c>
      <c r="C101" s="211">
        <f t="shared" si="42"/>
        <v>2018</v>
      </c>
      <c r="D101" s="211">
        <f t="shared" si="43"/>
        <v>5</v>
      </c>
      <c r="E101" s="211">
        <f t="shared" si="44"/>
        <v>23</v>
      </c>
      <c r="F101" s="205">
        <v>6800</v>
      </c>
      <c r="G101" s="205">
        <v>14510</v>
      </c>
      <c r="H101" s="207">
        <v>1289</v>
      </c>
      <c r="I101" s="207">
        <v>16.53</v>
      </c>
      <c r="J101" s="207">
        <v>900.8</v>
      </c>
      <c r="K101" s="207">
        <v>971.1</v>
      </c>
      <c r="L101" s="207"/>
    </row>
    <row r="102" spans="2:12">
      <c r="B102" s="206">
        <v>43244</v>
      </c>
      <c r="C102" s="211">
        <f t="shared" si="42"/>
        <v>2018</v>
      </c>
      <c r="D102" s="211">
        <f t="shared" si="43"/>
        <v>5</v>
      </c>
      <c r="E102" s="211">
        <f t="shared" si="44"/>
        <v>24</v>
      </c>
      <c r="F102" s="205">
        <v>6835</v>
      </c>
      <c r="G102" s="205">
        <v>14525</v>
      </c>
      <c r="H102" s="207">
        <v>1304.8499999999999</v>
      </c>
      <c r="I102" s="207">
        <v>16.510000000000002</v>
      </c>
      <c r="J102" s="207">
        <v>912.6</v>
      </c>
      <c r="K102" s="207">
        <v>967.5</v>
      </c>
      <c r="L102" s="207"/>
    </row>
    <row r="103" spans="2:12">
      <c r="B103" s="206">
        <v>43245</v>
      </c>
      <c r="C103" s="211">
        <f t="shared" si="42"/>
        <v>2018</v>
      </c>
      <c r="D103" s="211">
        <f t="shared" si="43"/>
        <v>5</v>
      </c>
      <c r="E103" s="211">
        <f t="shared" si="44"/>
        <v>25</v>
      </c>
      <c r="F103" s="205">
        <v>6886</v>
      </c>
      <c r="G103" s="205">
        <v>14840</v>
      </c>
      <c r="H103" s="207">
        <v>1303.5</v>
      </c>
      <c r="I103" s="207">
        <v>16.670000000000002</v>
      </c>
      <c r="J103" s="207">
        <v>901.3</v>
      </c>
      <c r="K103" s="207">
        <v>976.58</v>
      </c>
      <c r="L103" s="207"/>
    </row>
    <row r="104" spans="2:12">
      <c r="B104" s="206">
        <v>43249</v>
      </c>
      <c r="C104" s="211">
        <f t="shared" si="42"/>
        <v>2018</v>
      </c>
      <c r="D104" s="211">
        <f t="shared" si="43"/>
        <v>5</v>
      </c>
      <c r="E104" s="211">
        <f t="shared" si="44"/>
        <v>29</v>
      </c>
      <c r="F104" s="205">
        <v>6841.5</v>
      </c>
      <c r="G104" s="205">
        <v>14880</v>
      </c>
      <c r="H104" s="207">
        <v>1295.5</v>
      </c>
      <c r="I104" s="207">
        <v>16.48</v>
      </c>
      <c r="J104" s="207">
        <v>905.9</v>
      </c>
      <c r="K104" s="207">
        <v>971.78</v>
      </c>
      <c r="L104" s="207"/>
    </row>
    <row r="105" spans="2:12">
      <c r="B105" s="206">
        <v>43250</v>
      </c>
      <c r="C105" s="211">
        <f t="shared" si="42"/>
        <v>2018</v>
      </c>
      <c r="D105" s="211">
        <f t="shared" si="43"/>
        <v>5</v>
      </c>
      <c r="E105" s="211">
        <f t="shared" si="44"/>
        <v>30</v>
      </c>
      <c r="F105" s="205">
        <v>6810</v>
      </c>
      <c r="G105" s="205">
        <v>14870</v>
      </c>
      <c r="H105" s="207">
        <v>1300.7</v>
      </c>
      <c r="I105" s="207">
        <v>16.37</v>
      </c>
      <c r="J105" s="207">
        <v>908.5</v>
      </c>
      <c r="K105" s="207">
        <v>975.4</v>
      </c>
      <c r="L105" s="207"/>
    </row>
    <row r="106" spans="2:12">
      <c r="B106" s="206">
        <v>43251</v>
      </c>
      <c r="C106" s="211">
        <f t="shared" si="42"/>
        <v>2018</v>
      </c>
      <c r="D106" s="211">
        <f t="shared" si="43"/>
        <v>5</v>
      </c>
      <c r="E106" s="211">
        <f t="shared" si="44"/>
        <v>31</v>
      </c>
      <c r="F106" s="205">
        <v>6825</v>
      </c>
      <c r="G106" s="205">
        <v>15200</v>
      </c>
      <c r="H106" s="207">
        <v>1305.3499999999999</v>
      </c>
      <c r="I106" s="207">
        <v>16.55</v>
      </c>
      <c r="J106" s="207">
        <v>910.1</v>
      </c>
      <c r="K106" s="207">
        <v>983.14</v>
      </c>
      <c r="L106" s="207"/>
    </row>
    <row r="107" spans="2:12">
      <c r="B107" s="206">
        <v>43252</v>
      </c>
      <c r="C107" s="211">
        <f t="shared" si="42"/>
        <v>2018</v>
      </c>
      <c r="D107" s="211">
        <f t="shared" si="43"/>
        <v>6</v>
      </c>
      <c r="E107" s="211">
        <f t="shared" si="44"/>
        <v>1</v>
      </c>
      <c r="F107" s="205">
        <v>6814</v>
      </c>
      <c r="G107" s="205">
        <v>15150</v>
      </c>
      <c r="H107" s="207">
        <v>1294.5999999999999</v>
      </c>
      <c r="I107" s="207">
        <v>16.420000000000002</v>
      </c>
      <c r="J107" s="207">
        <v>906.7</v>
      </c>
      <c r="K107" s="207">
        <v>996.6</v>
      </c>
      <c r="L107" s="207"/>
    </row>
    <row r="108" spans="2:12">
      <c r="B108" s="206">
        <v>43255</v>
      </c>
      <c r="C108" s="211">
        <f t="shared" si="42"/>
        <v>2018</v>
      </c>
      <c r="D108" s="211">
        <f t="shared" si="43"/>
        <v>6</v>
      </c>
      <c r="E108" s="211">
        <f t="shared" si="44"/>
        <v>4</v>
      </c>
      <c r="F108" s="205">
        <v>6935</v>
      </c>
      <c r="G108" s="205">
        <v>15280</v>
      </c>
      <c r="H108" s="207">
        <v>1295.45</v>
      </c>
      <c r="I108" s="207">
        <v>16.440000000000001</v>
      </c>
      <c r="J108" s="207">
        <v>903.5</v>
      </c>
      <c r="K108" s="207">
        <v>994.3</v>
      </c>
      <c r="L108" s="207"/>
    </row>
    <row r="109" spans="2:12">
      <c r="B109" s="206">
        <v>43256</v>
      </c>
      <c r="C109" s="211">
        <f t="shared" si="42"/>
        <v>2018</v>
      </c>
      <c r="D109" s="211">
        <f t="shared" si="43"/>
        <v>6</v>
      </c>
      <c r="E109" s="211">
        <f t="shared" si="44"/>
        <v>5</v>
      </c>
      <c r="F109" s="205">
        <v>6971</v>
      </c>
      <c r="G109" s="205">
        <v>15415</v>
      </c>
      <c r="H109" s="207">
        <v>1292.05</v>
      </c>
      <c r="I109" s="207">
        <v>16.39</v>
      </c>
      <c r="J109" s="207">
        <v>901.3</v>
      </c>
      <c r="K109" s="207">
        <v>985.7</v>
      </c>
      <c r="L109" s="207"/>
    </row>
    <row r="110" spans="2:12">
      <c r="B110" s="206">
        <v>43257</v>
      </c>
      <c r="C110" s="211">
        <f t="shared" si="42"/>
        <v>2018</v>
      </c>
      <c r="D110" s="211">
        <f t="shared" si="43"/>
        <v>6</v>
      </c>
      <c r="E110" s="211">
        <f t="shared" si="44"/>
        <v>6</v>
      </c>
      <c r="F110" s="205">
        <v>7147</v>
      </c>
      <c r="G110" s="205">
        <v>15640</v>
      </c>
      <c r="H110" s="207">
        <v>1300.0999999999999</v>
      </c>
      <c r="I110" s="207">
        <v>16.55</v>
      </c>
      <c r="J110" s="207">
        <v>907.6</v>
      </c>
      <c r="K110" s="207">
        <v>1015.2</v>
      </c>
      <c r="L110" s="207"/>
    </row>
    <row r="111" spans="2:12">
      <c r="B111" s="206">
        <v>43258</v>
      </c>
      <c r="C111" s="211">
        <f t="shared" si="42"/>
        <v>2018</v>
      </c>
      <c r="D111" s="211">
        <f t="shared" si="43"/>
        <v>6</v>
      </c>
      <c r="E111" s="211">
        <f t="shared" si="44"/>
        <v>7</v>
      </c>
      <c r="F111" s="205">
        <v>7245.5</v>
      </c>
      <c r="G111" s="205">
        <v>15750</v>
      </c>
      <c r="H111" s="207">
        <v>1297.25</v>
      </c>
      <c r="I111" s="207">
        <v>16.75</v>
      </c>
      <c r="J111" s="207">
        <v>900.3</v>
      </c>
      <c r="K111" s="207">
        <v>1009.6</v>
      </c>
      <c r="L111" s="207"/>
    </row>
    <row r="112" spans="2:12">
      <c r="B112" s="206">
        <v>43259</v>
      </c>
      <c r="C112" s="211">
        <f t="shared" si="42"/>
        <v>2018</v>
      </c>
      <c r="D112" s="211">
        <f t="shared" si="43"/>
        <v>6</v>
      </c>
      <c r="E112" s="211">
        <f t="shared" si="44"/>
        <v>8</v>
      </c>
      <c r="F112" s="205">
        <v>7262.5</v>
      </c>
      <c r="G112" s="205">
        <v>15240</v>
      </c>
      <c r="H112" s="207">
        <v>1298.25</v>
      </c>
      <c r="I112" s="207">
        <v>16.72</v>
      </c>
      <c r="J112" s="207">
        <v>905.7</v>
      </c>
      <c r="K112" s="207">
        <v>1005.7</v>
      </c>
      <c r="L112" s="207"/>
    </row>
    <row r="113" spans="2:12">
      <c r="B113" s="206">
        <v>43262</v>
      </c>
      <c r="C113" s="211">
        <f t="shared" si="42"/>
        <v>2018</v>
      </c>
      <c r="D113" s="211">
        <f t="shared" si="43"/>
        <v>6</v>
      </c>
      <c r="E113" s="211">
        <f t="shared" si="44"/>
        <v>11</v>
      </c>
      <c r="F113" s="205">
        <v>7223.5</v>
      </c>
      <c r="G113" s="205">
        <v>15310</v>
      </c>
      <c r="H113" s="207">
        <v>1299.5999999999999</v>
      </c>
      <c r="I113" s="207">
        <v>16.760000000000002</v>
      </c>
      <c r="J113" s="207">
        <v>906.4</v>
      </c>
      <c r="K113" s="207">
        <v>1016.5</v>
      </c>
      <c r="L113" s="207"/>
    </row>
    <row r="114" spans="2:12">
      <c r="B114" s="206">
        <v>43263</v>
      </c>
      <c r="C114" s="211">
        <f t="shared" si="42"/>
        <v>2018</v>
      </c>
      <c r="D114" s="211">
        <f t="shared" si="43"/>
        <v>6</v>
      </c>
      <c r="E114" s="211">
        <f t="shared" si="44"/>
        <v>12</v>
      </c>
      <c r="F114" s="205">
        <v>7200.5</v>
      </c>
      <c r="G114" s="205">
        <v>15295</v>
      </c>
      <c r="H114" s="207">
        <v>1298.6500000000001</v>
      </c>
      <c r="I114" s="207">
        <v>16.86</v>
      </c>
      <c r="J114" s="207">
        <v>901.5</v>
      </c>
      <c r="K114" s="207">
        <v>1015.3</v>
      </c>
      <c r="L114" s="207"/>
    </row>
    <row r="115" spans="2:12">
      <c r="B115" s="206">
        <v>43264</v>
      </c>
      <c r="C115" s="211">
        <f t="shared" si="42"/>
        <v>2018</v>
      </c>
      <c r="D115" s="211">
        <f t="shared" si="43"/>
        <v>6</v>
      </c>
      <c r="E115" s="211">
        <f t="shared" si="44"/>
        <v>13</v>
      </c>
      <c r="F115" s="205">
        <v>7201.5</v>
      </c>
      <c r="G115" s="205">
        <v>15180</v>
      </c>
      <c r="H115" s="207">
        <v>1296.1500000000001</v>
      </c>
      <c r="I115" s="207">
        <v>16.91</v>
      </c>
      <c r="J115" s="207">
        <v>902.5</v>
      </c>
      <c r="K115" s="207">
        <v>1007.2</v>
      </c>
      <c r="L115" s="207"/>
    </row>
    <row r="116" spans="2:12">
      <c r="B116" s="206">
        <v>43265</v>
      </c>
      <c r="C116" s="211">
        <f t="shared" si="42"/>
        <v>2018</v>
      </c>
      <c r="D116" s="211">
        <f t="shared" si="43"/>
        <v>6</v>
      </c>
      <c r="E116" s="211">
        <f t="shared" si="44"/>
        <v>14</v>
      </c>
      <c r="F116" s="205">
        <v>7197</v>
      </c>
      <c r="G116" s="205">
        <v>15245</v>
      </c>
      <c r="H116" s="207">
        <v>1302.75</v>
      </c>
      <c r="I116" s="207">
        <v>17.13</v>
      </c>
      <c r="J116" s="207">
        <v>910.9</v>
      </c>
      <c r="K116" s="207">
        <v>1006.6</v>
      </c>
      <c r="L116" s="207"/>
    </row>
    <row r="117" spans="2:12">
      <c r="B117" s="206">
        <v>43266</v>
      </c>
      <c r="C117" s="211">
        <f t="shared" si="42"/>
        <v>2018</v>
      </c>
      <c r="D117" s="211">
        <f t="shared" si="43"/>
        <v>6</v>
      </c>
      <c r="E117" s="211">
        <f t="shared" si="44"/>
        <v>15</v>
      </c>
      <c r="F117" s="205">
        <v>7136</v>
      </c>
      <c r="G117" s="205">
        <v>15265</v>
      </c>
      <c r="H117" s="207">
        <v>1285.25</v>
      </c>
      <c r="I117" s="207">
        <v>17.23</v>
      </c>
      <c r="J117" s="207">
        <v>887.8</v>
      </c>
      <c r="K117" s="207">
        <v>981.8</v>
      </c>
      <c r="L117" s="207"/>
    </row>
    <row r="118" spans="2:12">
      <c r="B118" s="206">
        <v>43269</v>
      </c>
      <c r="C118" s="211">
        <f t="shared" si="42"/>
        <v>2018</v>
      </c>
      <c r="D118" s="211">
        <f t="shared" si="43"/>
        <v>6</v>
      </c>
      <c r="E118" s="211">
        <f t="shared" si="44"/>
        <v>18</v>
      </c>
      <c r="F118" s="205">
        <v>6987</v>
      </c>
      <c r="G118" s="205">
        <v>14970</v>
      </c>
      <c r="H118" s="207">
        <v>1281.55</v>
      </c>
      <c r="I118" s="207">
        <v>16.61</v>
      </c>
      <c r="J118" s="207">
        <v>883.9</v>
      </c>
      <c r="K118" s="207">
        <v>982.9</v>
      </c>
      <c r="L118" s="207"/>
    </row>
    <row r="119" spans="2:12">
      <c r="B119" s="206">
        <v>43270</v>
      </c>
      <c r="C119" s="211">
        <f t="shared" si="42"/>
        <v>2018</v>
      </c>
      <c r="D119" s="211">
        <f t="shared" si="43"/>
        <v>6</v>
      </c>
      <c r="E119" s="211">
        <f t="shared" si="44"/>
        <v>19</v>
      </c>
      <c r="F119" s="205">
        <v>6820</v>
      </c>
      <c r="G119" s="205">
        <v>14545</v>
      </c>
      <c r="H119" s="207">
        <v>1276.1500000000001</v>
      </c>
      <c r="I119" s="207">
        <v>16.36</v>
      </c>
      <c r="J119" s="207">
        <v>864.9</v>
      </c>
      <c r="K119" s="207">
        <v>960.3</v>
      </c>
      <c r="L119" s="207"/>
    </row>
    <row r="120" spans="2:12">
      <c r="B120" s="206">
        <v>43271</v>
      </c>
      <c r="C120" s="211">
        <f t="shared" si="42"/>
        <v>2018</v>
      </c>
      <c r="D120" s="211">
        <f t="shared" si="43"/>
        <v>6</v>
      </c>
      <c r="E120" s="211">
        <f t="shared" si="44"/>
        <v>20</v>
      </c>
      <c r="F120" s="205">
        <v>6819</v>
      </c>
      <c r="G120" s="205">
        <v>14850</v>
      </c>
      <c r="H120" s="207">
        <v>1274.2</v>
      </c>
      <c r="I120" s="207">
        <v>16.29</v>
      </c>
      <c r="J120" s="207">
        <v>874.1</v>
      </c>
      <c r="K120" s="207">
        <v>957.2</v>
      </c>
      <c r="L120" s="207"/>
    </row>
    <row r="121" spans="2:12">
      <c r="B121" s="206">
        <v>43272</v>
      </c>
      <c r="C121" s="211">
        <f t="shared" si="42"/>
        <v>2018</v>
      </c>
      <c r="D121" s="211">
        <f t="shared" si="43"/>
        <v>6</v>
      </c>
      <c r="E121" s="211">
        <f t="shared" si="44"/>
        <v>21</v>
      </c>
      <c r="F121" s="205">
        <v>6801</v>
      </c>
      <c r="G121" s="205">
        <v>14980</v>
      </c>
      <c r="H121" s="207">
        <v>1266.1500000000001</v>
      </c>
      <c r="I121" s="207">
        <v>16.25</v>
      </c>
      <c r="J121" s="207">
        <v>863.2</v>
      </c>
      <c r="K121" s="207">
        <v>945.6</v>
      </c>
      <c r="L121" s="207"/>
    </row>
    <row r="122" spans="2:12">
      <c r="B122" s="206">
        <v>43273</v>
      </c>
      <c r="C122" s="211">
        <f t="shared" si="42"/>
        <v>2018</v>
      </c>
      <c r="D122" s="211">
        <f t="shared" si="43"/>
        <v>6</v>
      </c>
      <c r="E122" s="211">
        <f t="shared" si="44"/>
        <v>22</v>
      </c>
      <c r="F122" s="205">
        <v>6811</v>
      </c>
      <c r="G122" s="205">
        <v>15255</v>
      </c>
      <c r="H122" s="207">
        <v>1269.1500000000001</v>
      </c>
      <c r="I122" s="207">
        <v>16.43</v>
      </c>
      <c r="J122" s="207">
        <v>873.3</v>
      </c>
      <c r="K122" s="207">
        <v>946.4</v>
      </c>
      <c r="L122" s="207"/>
    </row>
    <row r="123" spans="2:12">
      <c r="B123" s="206">
        <v>43276</v>
      </c>
      <c r="C123" s="211">
        <f t="shared" si="42"/>
        <v>2018</v>
      </c>
      <c r="D123" s="211">
        <f t="shared" si="43"/>
        <v>6</v>
      </c>
      <c r="E123" s="211">
        <f t="shared" si="44"/>
        <v>25</v>
      </c>
      <c r="F123" s="205">
        <v>6783</v>
      </c>
      <c r="G123" s="205">
        <v>15060</v>
      </c>
      <c r="H123" s="207">
        <v>1268.7</v>
      </c>
      <c r="I123" s="207">
        <v>16.38</v>
      </c>
      <c r="J123" s="207">
        <v>868.8</v>
      </c>
      <c r="K123" s="207">
        <v>935.4</v>
      </c>
      <c r="L123" s="207"/>
    </row>
    <row r="124" spans="2:12">
      <c r="B124" s="206">
        <v>43277</v>
      </c>
      <c r="C124" s="211">
        <f t="shared" si="42"/>
        <v>2018</v>
      </c>
      <c r="D124" s="211">
        <f t="shared" si="43"/>
        <v>6</v>
      </c>
      <c r="E124" s="211">
        <f t="shared" si="44"/>
        <v>26</v>
      </c>
      <c r="F124" s="205">
        <v>6712</v>
      </c>
      <c r="G124" s="205">
        <v>14570</v>
      </c>
      <c r="H124" s="207">
        <v>1260.3</v>
      </c>
      <c r="I124" s="207">
        <v>16.23</v>
      </c>
      <c r="J124" s="207">
        <v>871.98</v>
      </c>
      <c r="K124" s="207">
        <v>954.7</v>
      </c>
      <c r="L124" s="207"/>
    </row>
    <row r="125" spans="2:12">
      <c r="B125" s="206">
        <v>43278</v>
      </c>
      <c r="C125" s="211">
        <f t="shared" si="42"/>
        <v>2018</v>
      </c>
      <c r="D125" s="211">
        <f t="shared" si="43"/>
        <v>6</v>
      </c>
      <c r="E125" s="211">
        <f t="shared" si="44"/>
        <v>27</v>
      </c>
      <c r="F125" s="205">
        <v>6688</v>
      </c>
      <c r="G125" s="205">
        <v>14700</v>
      </c>
      <c r="H125" s="207">
        <v>1254.5999999999999</v>
      </c>
      <c r="I125" s="207">
        <v>16.21</v>
      </c>
      <c r="J125" s="207">
        <v>859.78</v>
      </c>
      <c r="K125" s="207">
        <v>943.9</v>
      </c>
      <c r="L125" s="207"/>
    </row>
    <row r="126" spans="2:12">
      <c r="B126" s="206">
        <v>43279</v>
      </c>
      <c r="C126" s="211">
        <f t="shared" si="42"/>
        <v>2018</v>
      </c>
      <c r="D126" s="211">
        <f t="shared" si="43"/>
        <v>6</v>
      </c>
      <c r="E126" s="211">
        <f t="shared" si="44"/>
        <v>28</v>
      </c>
      <c r="F126" s="205">
        <v>6650</v>
      </c>
      <c r="G126" s="205">
        <v>14720</v>
      </c>
      <c r="H126" s="207">
        <v>1251.55</v>
      </c>
      <c r="I126" s="207">
        <v>16.11</v>
      </c>
      <c r="J126" s="207">
        <v>853.24</v>
      </c>
      <c r="K126" s="207">
        <v>930.9</v>
      </c>
      <c r="L126" s="207"/>
    </row>
    <row r="127" spans="2:12">
      <c r="B127" s="206">
        <v>43280</v>
      </c>
      <c r="C127" s="211">
        <f t="shared" si="42"/>
        <v>2018</v>
      </c>
      <c r="D127" s="211">
        <f t="shared" si="43"/>
        <v>6</v>
      </c>
      <c r="E127" s="211">
        <f t="shared" si="44"/>
        <v>29</v>
      </c>
      <c r="F127" s="205">
        <v>6646</v>
      </c>
      <c r="G127" s="205">
        <v>14910</v>
      </c>
      <c r="H127" s="207">
        <v>1250.45</v>
      </c>
      <c r="I127" s="207">
        <v>16.03</v>
      </c>
      <c r="J127" s="207">
        <v>856.64</v>
      </c>
      <c r="K127" s="207">
        <v>950.9</v>
      </c>
      <c r="L127" s="207"/>
    </row>
    <row r="128" spans="2:12">
      <c r="B128" s="206">
        <v>43283</v>
      </c>
      <c r="C128" s="211">
        <f t="shared" si="42"/>
        <v>2018</v>
      </c>
      <c r="D128" s="211">
        <f t="shared" si="43"/>
        <v>7</v>
      </c>
      <c r="E128" s="211">
        <f t="shared" si="44"/>
        <v>2</v>
      </c>
      <c r="F128" s="205">
        <v>6595</v>
      </c>
      <c r="G128" s="205">
        <v>14575</v>
      </c>
      <c r="H128" s="207">
        <v>1247.8</v>
      </c>
      <c r="I128" s="207">
        <v>15.98</v>
      </c>
      <c r="J128" s="207">
        <v>813.4</v>
      </c>
      <c r="K128" s="207">
        <v>934.4</v>
      </c>
      <c r="L128" s="207"/>
    </row>
    <row r="129" spans="2:12">
      <c r="B129" s="206">
        <v>43284</v>
      </c>
      <c r="C129" s="211">
        <f t="shared" si="42"/>
        <v>2018</v>
      </c>
      <c r="D129" s="211">
        <f t="shared" si="43"/>
        <v>7</v>
      </c>
      <c r="E129" s="211">
        <f t="shared" si="44"/>
        <v>3</v>
      </c>
      <c r="F129" s="205">
        <v>6584.5</v>
      </c>
      <c r="G129" s="205">
        <v>14620</v>
      </c>
      <c r="H129" s="207">
        <v>1251.75</v>
      </c>
      <c r="I129" s="207">
        <v>15.93</v>
      </c>
      <c r="J129" s="207">
        <v>846.3</v>
      </c>
      <c r="K129" s="207">
        <v>938</v>
      </c>
      <c r="L129" s="207"/>
    </row>
    <row r="130" spans="2:12">
      <c r="B130" s="206">
        <v>43285</v>
      </c>
      <c r="C130" s="211">
        <f t="shared" si="42"/>
        <v>2018</v>
      </c>
      <c r="D130" s="211">
        <f t="shared" si="43"/>
        <v>7</v>
      </c>
      <c r="E130" s="211">
        <f t="shared" si="44"/>
        <v>4</v>
      </c>
      <c r="F130" s="205">
        <v>6459</v>
      </c>
      <c r="G130" s="205">
        <v>14100</v>
      </c>
      <c r="H130" s="207">
        <v>1255.6500000000001</v>
      </c>
      <c r="I130" s="207">
        <v>16.05</v>
      </c>
      <c r="J130" s="207" t="s">
        <v>338</v>
      </c>
      <c r="K130" s="207" t="s">
        <v>338</v>
      </c>
      <c r="L130" s="207"/>
    </row>
    <row r="131" spans="2:12">
      <c r="B131" s="206">
        <v>43286</v>
      </c>
      <c r="C131" s="211">
        <f t="shared" si="42"/>
        <v>2018</v>
      </c>
      <c r="D131" s="211">
        <f t="shared" si="43"/>
        <v>7</v>
      </c>
      <c r="E131" s="211">
        <f t="shared" si="44"/>
        <v>5</v>
      </c>
      <c r="F131" s="205">
        <v>6399.5</v>
      </c>
      <c r="G131" s="205">
        <v>14170</v>
      </c>
      <c r="H131" s="207">
        <v>1255.5</v>
      </c>
      <c r="I131" s="207">
        <v>15.95</v>
      </c>
      <c r="J131" s="207">
        <v>841.4</v>
      </c>
      <c r="K131" s="207">
        <v>942.7</v>
      </c>
      <c r="L131" s="207"/>
    </row>
    <row r="132" spans="2:12">
      <c r="B132" s="206">
        <v>43287</v>
      </c>
      <c r="C132" s="211">
        <f t="shared" ref="C132:C195" si="53">YEAR(B132)</f>
        <v>2018</v>
      </c>
      <c r="D132" s="211">
        <f t="shared" ref="D132:D195" si="54">MONTH(B132)</f>
        <v>7</v>
      </c>
      <c r="E132" s="211">
        <f t="shared" ref="E132:E195" si="55">DAY(B132)</f>
        <v>6</v>
      </c>
      <c r="F132" s="205">
        <v>6326</v>
      </c>
      <c r="G132" s="205">
        <v>13760</v>
      </c>
      <c r="H132" s="207">
        <v>1255.3499999999999</v>
      </c>
      <c r="I132" s="207">
        <v>16</v>
      </c>
      <c r="J132" s="207">
        <v>848.6</v>
      </c>
      <c r="K132" s="207">
        <v>947.6</v>
      </c>
      <c r="L132" s="207"/>
    </row>
    <row r="133" spans="2:12">
      <c r="B133" s="206">
        <v>43290</v>
      </c>
      <c r="C133" s="211">
        <f t="shared" si="53"/>
        <v>2018</v>
      </c>
      <c r="D133" s="211">
        <f t="shared" si="54"/>
        <v>7</v>
      </c>
      <c r="E133" s="211">
        <f t="shared" si="55"/>
        <v>9</v>
      </c>
      <c r="F133" s="205">
        <v>6383</v>
      </c>
      <c r="G133" s="205">
        <v>13970</v>
      </c>
      <c r="H133" s="207">
        <v>1262.05</v>
      </c>
      <c r="I133" s="207">
        <v>16.21</v>
      </c>
      <c r="J133" s="207">
        <v>853.5</v>
      </c>
      <c r="K133" s="207">
        <v>954.7</v>
      </c>
      <c r="L133" s="207"/>
    </row>
    <row r="134" spans="2:12">
      <c r="B134" s="206">
        <v>43291</v>
      </c>
      <c r="C134" s="211">
        <f t="shared" si="53"/>
        <v>2018</v>
      </c>
      <c r="D134" s="211">
        <f t="shared" si="54"/>
        <v>7</v>
      </c>
      <c r="E134" s="211">
        <f t="shared" si="55"/>
        <v>10</v>
      </c>
      <c r="F134" s="205">
        <v>6308</v>
      </c>
      <c r="G134" s="205">
        <v>13960</v>
      </c>
      <c r="H134" s="207">
        <v>1254</v>
      </c>
      <c r="I134" s="207">
        <v>15.93</v>
      </c>
      <c r="J134" s="207">
        <v>846.2</v>
      </c>
      <c r="K134" s="207">
        <v>937.6</v>
      </c>
      <c r="L134" s="207"/>
    </row>
    <row r="135" spans="2:12">
      <c r="B135" s="206">
        <v>43292</v>
      </c>
      <c r="C135" s="211">
        <f t="shared" si="53"/>
        <v>2018</v>
      </c>
      <c r="D135" s="211">
        <f t="shared" si="54"/>
        <v>7</v>
      </c>
      <c r="E135" s="211">
        <f t="shared" si="55"/>
        <v>11</v>
      </c>
      <c r="F135" s="205">
        <v>6182</v>
      </c>
      <c r="G135" s="205">
        <v>13630</v>
      </c>
      <c r="H135" s="207">
        <v>1251.4000000000001</v>
      </c>
      <c r="I135" s="207">
        <v>15.92</v>
      </c>
      <c r="J135" s="207">
        <v>835</v>
      </c>
      <c r="K135" s="207">
        <v>937</v>
      </c>
      <c r="L135" s="207"/>
    </row>
    <row r="136" spans="2:12">
      <c r="B136" s="206">
        <v>43293</v>
      </c>
      <c r="C136" s="211">
        <f t="shared" si="53"/>
        <v>2018</v>
      </c>
      <c r="D136" s="211">
        <f t="shared" si="54"/>
        <v>7</v>
      </c>
      <c r="E136" s="211">
        <f t="shared" si="55"/>
        <v>12</v>
      </c>
      <c r="F136" s="205">
        <v>6173</v>
      </c>
      <c r="G136" s="205">
        <v>14055</v>
      </c>
      <c r="H136" s="207">
        <v>1245.9000000000001</v>
      </c>
      <c r="I136" s="207">
        <v>15.84</v>
      </c>
      <c r="J136" s="207">
        <v>846.4</v>
      </c>
      <c r="K136" s="207">
        <v>948.8</v>
      </c>
      <c r="L136" s="207"/>
    </row>
    <row r="137" spans="2:12">
      <c r="B137" s="206">
        <v>43294</v>
      </c>
      <c r="C137" s="211">
        <f t="shared" si="53"/>
        <v>2018</v>
      </c>
      <c r="D137" s="211">
        <f t="shared" si="54"/>
        <v>7</v>
      </c>
      <c r="E137" s="211">
        <f t="shared" si="55"/>
        <v>13</v>
      </c>
      <c r="F137" s="205">
        <v>6166</v>
      </c>
      <c r="G137" s="205">
        <v>13870</v>
      </c>
      <c r="H137" s="207">
        <v>1241.7</v>
      </c>
      <c r="I137" s="207">
        <v>15.81</v>
      </c>
      <c r="J137" s="207">
        <v>830.3</v>
      </c>
      <c r="K137" s="207">
        <v>932.8</v>
      </c>
      <c r="L137" s="207"/>
    </row>
    <row r="138" spans="2:12">
      <c r="B138" s="206">
        <v>43297</v>
      </c>
      <c r="C138" s="211">
        <f t="shared" si="53"/>
        <v>2018</v>
      </c>
      <c r="D138" s="211">
        <f t="shared" si="54"/>
        <v>7</v>
      </c>
      <c r="E138" s="211">
        <f t="shared" si="55"/>
        <v>16</v>
      </c>
      <c r="F138" s="205">
        <v>6143</v>
      </c>
      <c r="G138" s="205">
        <v>13680</v>
      </c>
      <c r="H138" s="207">
        <v>1241.0999999999999</v>
      </c>
      <c r="I138" s="207">
        <v>15.81</v>
      </c>
      <c r="J138" s="207">
        <v>826.4</v>
      </c>
      <c r="K138" s="207">
        <v>913.5</v>
      </c>
      <c r="L138" s="207"/>
    </row>
    <row r="139" spans="2:12">
      <c r="B139" s="206">
        <v>43298</v>
      </c>
      <c r="C139" s="211">
        <f t="shared" si="53"/>
        <v>2018</v>
      </c>
      <c r="D139" s="211">
        <f t="shared" si="54"/>
        <v>7</v>
      </c>
      <c r="E139" s="211">
        <f t="shared" si="55"/>
        <v>17</v>
      </c>
      <c r="F139" s="205">
        <v>6141.5</v>
      </c>
      <c r="G139" s="205">
        <v>13460</v>
      </c>
      <c r="H139" s="207">
        <v>1232.8</v>
      </c>
      <c r="I139" s="207">
        <v>15.77</v>
      </c>
      <c r="J139" s="207">
        <v>819.9</v>
      </c>
      <c r="K139" s="207">
        <v>909.2</v>
      </c>
      <c r="L139" s="207"/>
    </row>
    <row r="140" spans="2:12">
      <c r="B140" s="206">
        <v>43299</v>
      </c>
      <c r="C140" s="211">
        <f t="shared" si="53"/>
        <v>2018</v>
      </c>
      <c r="D140" s="211">
        <f t="shared" si="54"/>
        <v>7</v>
      </c>
      <c r="E140" s="211">
        <f t="shared" si="55"/>
        <v>18</v>
      </c>
      <c r="F140" s="205">
        <v>6068</v>
      </c>
      <c r="G140" s="205">
        <v>13315</v>
      </c>
      <c r="H140" s="207">
        <v>1224.5</v>
      </c>
      <c r="I140" s="207">
        <v>15.44</v>
      </c>
      <c r="J140" s="207">
        <v>817.8</v>
      </c>
      <c r="K140" s="207">
        <v>901.8</v>
      </c>
      <c r="L140" s="207"/>
    </row>
    <row r="141" spans="2:12">
      <c r="B141" s="206">
        <v>43300</v>
      </c>
      <c r="C141" s="211">
        <f t="shared" si="53"/>
        <v>2018</v>
      </c>
      <c r="D141" s="211">
        <f t="shared" si="54"/>
        <v>7</v>
      </c>
      <c r="E141" s="211">
        <f t="shared" si="55"/>
        <v>19</v>
      </c>
      <c r="F141" s="205">
        <v>5982</v>
      </c>
      <c r="G141" s="205">
        <v>13220</v>
      </c>
      <c r="H141" s="207">
        <v>1217.55</v>
      </c>
      <c r="I141" s="207">
        <v>15.26</v>
      </c>
      <c r="J141" s="207">
        <v>806.3</v>
      </c>
      <c r="K141" s="207">
        <v>866.2</v>
      </c>
      <c r="L141" s="207"/>
    </row>
    <row r="142" spans="2:12">
      <c r="B142" s="206">
        <v>43301</v>
      </c>
      <c r="C142" s="211">
        <f t="shared" si="53"/>
        <v>2018</v>
      </c>
      <c r="D142" s="211">
        <f t="shared" si="54"/>
        <v>7</v>
      </c>
      <c r="E142" s="211">
        <f t="shared" si="55"/>
        <v>20</v>
      </c>
      <c r="F142" s="205">
        <v>6073</v>
      </c>
      <c r="G142" s="205">
        <v>13425</v>
      </c>
      <c r="H142" s="207">
        <v>1228.75</v>
      </c>
      <c r="I142" s="207">
        <v>15.37</v>
      </c>
      <c r="J142" s="207">
        <v>829.5</v>
      </c>
      <c r="K142" s="207">
        <v>888.9</v>
      </c>
      <c r="L142" s="207"/>
    </row>
    <row r="143" spans="2:12">
      <c r="B143" s="206">
        <v>43304</v>
      </c>
      <c r="C143" s="211">
        <f t="shared" si="53"/>
        <v>2018</v>
      </c>
      <c r="D143" s="211">
        <f t="shared" si="54"/>
        <v>7</v>
      </c>
      <c r="E143" s="211">
        <f t="shared" si="55"/>
        <v>23</v>
      </c>
      <c r="F143" s="205">
        <v>6153</v>
      </c>
      <c r="G143" s="205">
        <v>13440</v>
      </c>
      <c r="H143" s="207">
        <v>1224.95</v>
      </c>
      <c r="I143" s="207">
        <v>15.49</v>
      </c>
      <c r="J143" s="207">
        <v>831</v>
      </c>
      <c r="K143" s="207">
        <v>902.6</v>
      </c>
      <c r="L143" s="207"/>
    </row>
    <row r="144" spans="2:12">
      <c r="B144" s="206">
        <v>43305</v>
      </c>
      <c r="C144" s="211">
        <f t="shared" si="53"/>
        <v>2018</v>
      </c>
      <c r="D144" s="211">
        <f t="shared" si="54"/>
        <v>7</v>
      </c>
      <c r="E144" s="211">
        <f t="shared" si="55"/>
        <v>24</v>
      </c>
      <c r="F144" s="205">
        <v>6167</v>
      </c>
      <c r="G144" s="205">
        <v>13435</v>
      </c>
      <c r="H144" s="207">
        <v>1228.3499999999999</v>
      </c>
      <c r="I144" s="207">
        <v>15.51</v>
      </c>
      <c r="J144" s="207">
        <v>835.6</v>
      </c>
      <c r="K144" s="207">
        <v>908.6</v>
      </c>
      <c r="L144" s="207"/>
    </row>
    <row r="145" spans="2:12">
      <c r="B145" s="206">
        <v>43306</v>
      </c>
      <c r="C145" s="211">
        <f t="shared" si="53"/>
        <v>2018</v>
      </c>
      <c r="D145" s="211">
        <f t="shared" si="54"/>
        <v>7</v>
      </c>
      <c r="E145" s="211">
        <f t="shared" si="55"/>
        <v>25</v>
      </c>
      <c r="F145" s="205">
        <v>6252</v>
      </c>
      <c r="G145" s="205">
        <v>13535</v>
      </c>
      <c r="H145" s="207">
        <v>1231.5</v>
      </c>
      <c r="I145" s="207">
        <v>15.57</v>
      </c>
      <c r="J145" s="207">
        <v>839.7</v>
      </c>
      <c r="K145" s="207">
        <v>928.3</v>
      </c>
      <c r="L145" s="207"/>
    </row>
    <row r="146" spans="2:12">
      <c r="B146" s="206">
        <v>43307</v>
      </c>
      <c r="C146" s="211">
        <f t="shared" si="53"/>
        <v>2018</v>
      </c>
      <c r="D146" s="211">
        <f t="shared" si="54"/>
        <v>7</v>
      </c>
      <c r="E146" s="211">
        <f t="shared" si="55"/>
        <v>26</v>
      </c>
      <c r="F146" s="205">
        <v>6255</v>
      </c>
      <c r="G146" s="205">
        <v>13575</v>
      </c>
      <c r="H146" s="207">
        <v>1228.25</v>
      </c>
      <c r="I146" s="207">
        <v>15.54</v>
      </c>
      <c r="J146" s="207">
        <v>835.7</v>
      </c>
      <c r="K146" s="207">
        <v>933.6</v>
      </c>
      <c r="L146" s="207"/>
    </row>
    <row r="147" spans="2:12">
      <c r="B147" s="206">
        <v>43308</v>
      </c>
      <c r="C147" s="211">
        <f t="shared" si="53"/>
        <v>2018</v>
      </c>
      <c r="D147" s="211">
        <f t="shared" si="54"/>
        <v>7</v>
      </c>
      <c r="E147" s="211">
        <f t="shared" si="55"/>
        <v>27</v>
      </c>
      <c r="F147" s="205">
        <v>6251.5</v>
      </c>
      <c r="G147" s="205">
        <v>13720</v>
      </c>
      <c r="H147" s="207">
        <v>1223.95</v>
      </c>
      <c r="I147" s="207">
        <v>15.36</v>
      </c>
      <c r="J147" s="207">
        <v>831.7</v>
      </c>
      <c r="K147" s="207">
        <v>918.5</v>
      </c>
      <c r="L147" s="207"/>
    </row>
    <row r="148" spans="2:12">
      <c r="B148" s="206">
        <v>43311</v>
      </c>
      <c r="C148" s="211">
        <f t="shared" si="53"/>
        <v>2018</v>
      </c>
      <c r="D148" s="211">
        <f t="shared" si="54"/>
        <v>7</v>
      </c>
      <c r="E148" s="211">
        <f t="shared" si="55"/>
        <v>30</v>
      </c>
      <c r="F148" s="205">
        <v>6185</v>
      </c>
      <c r="G148" s="205">
        <v>13700</v>
      </c>
      <c r="H148" s="207">
        <v>1223.8</v>
      </c>
      <c r="I148" s="207">
        <v>15.49</v>
      </c>
      <c r="J148" s="207">
        <v>831.5</v>
      </c>
      <c r="K148" s="207">
        <v>922.5</v>
      </c>
      <c r="L148" s="207"/>
    </row>
    <row r="149" spans="2:12">
      <c r="B149" s="206">
        <v>43312</v>
      </c>
      <c r="C149" s="211">
        <f t="shared" si="53"/>
        <v>2018</v>
      </c>
      <c r="D149" s="211">
        <f t="shared" si="54"/>
        <v>7</v>
      </c>
      <c r="E149" s="211">
        <f t="shared" si="55"/>
        <v>31</v>
      </c>
      <c r="F149" s="205">
        <v>6213</v>
      </c>
      <c r="G149" s="205">
        <v>13770</v>
      </c>
      <c r="H149" s="207">
        <v>1220.95</v>
      </c>
      <c r="I149" s="207">
        <v>15.43</v>
      </c>
      <c r="J149" s="207">
        <v>845.8</v>
      </c>
      <c r="K149" s="207">
        <v>931.9</v>
      </c>
      <c r="L149" s="207"/>
    </row>
    <row r="150" spans="2:12">
      <c r="B150" s="206">
        <v>43313</v>
      </c>
      <c r="C150" s="211">
        <f t="shared" si="53"/>
        <v>2018</v>
      </c>
      <c r="D150" s="211">
        <f t="shared" si="54"/>
        <v>8</v>
      </c>
      <c r="E150" s="211">
        <f t="shared" si="55"/>
        <v>1</v>
      </c>
      <c r="F150" s="205">
        <v>6137</v>
      </c>
      <c r="G150" s="205">
        <v>13780</v>
      </c>
      <c r="H150" s="207">
        <v>1219</v>
      </c>
      <c r="I150" s="207">
        <v>15.48</v>
      </c>
      <c r="J150" s="207">
        <v>817.2</v>
      </c>
      <c r="K150" s="207">
        <v>911.9</v>
      </c>
      <c r="L150" s="207"/>
    </row>
    <row r="151" spans="2:12">
      <c r="B151" s="206">
        <v>43314</v>
      </c>
      <c r="C151" s="211">
        <f t="shared" si="53"/>
        <v>2018</v>
      </c>
      <c r="D151" s="211">
        <f t="shared" si="54"/>
        <v>8</v>
      </c>
      <c r="E151" s="211">
        <f t="shared" si="55"/>
        <v>2</v>
      </c>
      <c r="F151" s="205">
        <v>6063</v>
      </c>
      <c r="G151" s="205">
        <v>13225</v>
      </c>
      <c r="H151" s="207">
        <v>1215.45</v>
      </c>
      <c r="I151" s="207">
        <v>15.45</v>
      </c>
      <c r="J151" s="207">
        <v>828.2</v>
      </c>
      <c r="K151" s="207">
        <v>915.5</v>
      </c>
      <c r="L151" s="207"/>
    </row>
    <row r="152" spans="2:12">
      <c r="B152" s="206">
        <v>43315</v>
      </c>
      <c r="C152" s="211">
        <f t="shared" si="53"/>
        <v>2018</v>
      </c>
      <c r="D152" s="211">
        <f t="shared" si="54"/>
        <v>8</v>
      </c>
      <c r="E152" s="211">
        <f t="shared" si="55"/>
        <v>3</v>
      </c>
      <c r="F152" s="205">
        <v>6167</v>
      </c>
      <c r="G152" s="205">
        <v>13130</v>
      </c>
      <c r="H152" s="207">
        <v>1216.3</v>
      </c>
      <c r="I152" s="207">
        <v>15.36</v>
      </c>
      <c r="J152" s="207">
        <v>836.9</v>
      </c>
      <c r="K152" s="207">
        <v>907.9</v>
      </c>
      <c r="L152" s="207"/>
    </row>
    <row r="153" spans="2:12">
      <c r="B153" s="206">
        <v>43318</v>
      </c>
      <c r="C153" s="211">
        <f t="shared" si="53"/>
        <v>2018</v>
      </c>
      <c r="D153" s="211">
        <f t="shared" si="54"/>
        <v>8</v>
      </c>
      <c r="E153" s="211">
        <f t="shared" si="55"/>
        <v>6</v>
      </c>
      <c r="F153" s="205">
        <v>6040</v>
      </c>
      <c r="G153" s="205">
        <v>13225</v>
      </c>
      <c r="H153" s="207">
        <v>1209.6500000000001</v>
      </c>
      <c r="I153" s="207">
        <v>15.35</v>
      </c>
      <c r="J153" s="207">
        <v>826.3</v>
      </c>
      <c r="K153" s="207">
        <v>903.6</v>
      </c>
      <c r="L153" s="207"/>
    </row>
    <row r="154" spans="2:12">
      <c r="B154" s="206">
        <v>43319</v>
      </c>
      <c r="C154" s="211">
        <f t="shared" si="53"/>
        <v>2018</v>
      </c>
      <c r="D154" s="211">
        <f t="shared" si="54"/>
        <v>8</v>
      </c>
      <c r="E154" s="211">
        <f t="shared" si="55"/>
        <v>7</v>
      </c>
      <c r="F154" s="205">
        <v>6132</v>
      </c>
      <c r="G154" s="205">
        <v>13750</v>
      </c>
      <c r="H154" s="207">
        <v>1212.3499999999999</v>
      </c>
      <c r="I154" s="207">
        <v>15.47</v>
      </c>
      <c r="J154" s="207">
        <v>831.4</v>
      </c>
      <c r="K154" s="207">
        <v>902.9</v>
      </c>
      <c r="L154" s="207"/>
    </row>
    <row r="155" spans="2:12">
      <c r="B155" s="206">
        <v>43320</v>
      </c>
      <c r="C155" s="211">
        <f t="shared" si="53"/>
        <v>2018</v>
      </c>
      <c r="D155" s="211">
        <f t="shared" si="54"/>
        <v>8</v>
      </c>
      <c r="E155" s="211">
        <f t="shared" si="55"/>
        <v>8</v>
      </c>
      <c r="F155" s="205">
        <v>6113</v>
      </c>
      <c r="G155" s="205">
        <v>13920</v>
      </c>
      <c r="H155" s="207">
        <v>1209.55</v>
      </c>
      <c r="I155" s="207">
        <v>15.35</v>
      </c>
      <c r="J155" s="207">
        <v>829.5</v>
      </c>
      <c r="K155" s="207">
        <v>886.4</v>
      </c>
      <c r="L155" s="207"/>
    </row>
    <row r="156" spans="2:12">
      <c r="B156" s="206">
        <v>43321</v>
      </c>
      <c r="C156" s="211">
        <f t="shared" si="53"/>
        <v>2018</v>
      </c>
      <c r="D156" s="211">
        <f t="shared" si="54"/>
        <v>8</v>
      </c>
      <c r="E156" s="211">
        <f t="shared" si="55"/>
        <v>9</v>
      </c>
      <c r="F156" s="205">
        <v>6247</v>
      </c>
      <c r="G156" s="205">
        <v>14060</v>
      </c>
      <c r="H156" s="207">
        <v>1214.3499999999999</v>
      </c>
      <c r="I156" s="207">
        <v>15.48</v>
      </c>
      <c r="J156" s="207">
        <v>834.1</v>
      </c>
      <c r="K156" s="207">
        <v>898.4</v>
      </c>
      <c r="L156" s="207"/>
    </row>
    <row r="157" spans="2:12">
      <c r="B157" s="206">
        <v>43322</v>
      </c>
      <c r="C157" s="211">
        <f t="shared" si="53"/>
        <v>2018</v>
      </c>
      <c r="D157" s="211">
        <f t="shared" si="54"/>
        <v>8</v>
      </c>
      <c r="E157" s="211">
        <f t="shared" si="55"/>
        <v>10</v>
      </c>
      <c r="F157" s="205">
        <v>6120</v>
      </c>
      <c r="G157" s="205">
        <v>13635</v>
      </c>
      <c r="H157" s="207">
        <v>1214.4000000000001</v>
      </c>
      <c r="I157" s="207">
        <v>15.38</v>
      </c>
      <c r="J157" s="207">
        <v>829.6</v>
      </c>
      <c r="K157" s="207">
        <v>901.1</v>
      </c>
      <c r="L157" s="207"/>
    </row>
    <row r="158" spans="2:12">
      <c r="B158" s="206">
        <v>43325</v>
      </c>
      <c r="C158" s="211">
        <f t="shared" si="53"/>
        <v>2018</v>
      </c>
      <c r="D158" s="211">
        <f t="shared" si="54"/>
        <v>8</v>
      </c>
      <c r="E158" s="211">
        <f t="shared" si="55"/>
        <v>13</v>
      </c>
      <c r="F158" s="205">
        <v>6081</v>
      </c>
      <c r="G158" s="205">
        <v>13680</v>
      </c>
      <c r="H158" s="207">
        <v>1200.3499999999999</v>
      </c>
      <c r="I158" s="207">
        <v>15.19</v>
      </c>
      <c r="J158" s="207">
        <v>799.5</v>
      </c>
      <c r="K158" s="207">
        <v>880.9</v>
      </c>
      <c r="L158" s="207"/>
    </row>
    <row r="159" spans="2:12">
      <c r="B159" s="206">
        <v>43326</v>
      </c>
      <c r="C159" s="211">
        <f t="shared" si="53"/>
        <v>2018</v>
      </c>
      <c r="D159" s="211">
        <f t="shared" si="54"/>
        <v>8</v>
      </c>
      <c r="E159" s="211">
        <f t="shared" si="55"/>
        <v>14</v>
      </c>
      <c r="F159" s="205">
        <v>6059</v>
      </c>
      <c r="G159" s="205">
        <v>13345</v>
      </c>
      <c r="H159" s="207">
        <v>1197</v>
      </c>
      <c r="I159" s="207">
        <v>15.04</v>
      </c>
      <c r="J159" s="207">
        <v>801.7</v>
      </c>
      <c r="K159" s="207">
        <v>890</v>
      </c>
      <c r="L159" s="207"/>
    </row>
    <row r="160" spans="2:12">
      <c r="B160" s="206">
        <v>43327</v>
      </c>
      <c r="C160" s="211">
        <f t="shared" si="53"/>
        <v>2018</v>
      </c>
      <c r="D160" s="211">
        <f t="shared" si="54"/>
        <v>8</v>
      </c>
      <c r="E160" s="211">
        <f t="shared" si="55"/>
        <v>15</v>
      </c>
      <c r="F160" s="205">
        <v>5843</v>
      </c>
      <c r="G160" s="205">
        <v>12985</v>
      </c>
      <c r="H160" s="207">
        <v>1182</v>
      </c>
      <c r="I160" s="207">
        <v>14.83</v>
      </c>
      <c r="J160" s="207">
        <v>771.9</v>
      </c>
      <c r="K160" s="207">
        <v>837.2</v>
      </c>
      <c r="L160" s="207"/>
    </row>
    <row r="161" spans="2:12">
      <c r="B161" s="206">
        <v>43328</v>
      </c>
      <c r="C161" s="211">
        <f t="shared" si="53"/>
        <v>2018</v>
      </c>
      <c r="D161" s="211">
        <f t="shared" si="54"/>
        <v>8</v>
      </c>
      <c r="E161" s="211">
        <f t="shared" si="55"/>
        <v>16</v>
      </c>
      <c r="F161" s="205">
        <v>5860</v>
      </c>
      <c r="G161" s="205">
        <v>13115</v>
      </c>
      <c r="H161" s="207">
        <v>1180.4000000000001</v>
      </c>
      <c r="I161" s="207">
        <v>14.83</v>
      </c>
      <c r="J161" s="207">
        <v>784.5</v>
      </c>
      <c r="K161" s="207">
        <v>874.8</v>
      </c>
      <c r="L161" s="207"/>
    </row>
    <row r="162" spans="2:12">
      <c r="B162" s="206">
        <v>43329</v>
      </c>
      <c r="C162" s="211">
        <f t="shared" si="53"/>
        <v>2018</v>
      </c>
      <c r="D162" s="211">
        <f t="shared" si="54"/>
        <v>8</v>
      </c>
      <c r="E162" s="211">
        <f t="shared" si="55"/>
        <v>17</v>
      </c>
      <c r="F162" s="205">
        <v>5844</v>
      </c>
      <c r="G162" s="205">
        <v>13240</v>
      </c>
      <c r="H162" s="207">
        <v>1178.4000000000001</v>
      </c>
      <c r="I162" s="207">
        <v>14.66</v>
      </c>
      <c r="J162" s="207">
        <v>777.3</v>
      </c>
      <c r="K162" s="207">
        <v>877.8</v>
      </c>
      <c r="L162" s="207"/>
    </row>
    <row r="163" spans="2:12">
      <c r="B163" s="206">
        <v>43332</v>
      </c>
      <c r="C163" s="211">
        <f t="shared" si="53"/>
        <v>2018</v>
      </c>
      <c r="D163" s="211">
        <f t="shared" si="54"/>
        <v>8</v>
      </c>
      <c r="E163" s="211">
        <f t="shared" si="55"/>
        <v>20</v>
      </c>
      <c r="F163" s="205">
        <v>5963</v>
      </c>
      <c r="G163" s="205">
        <v>13560</v>
      </c>
      <c r="H163" s="207">
        <v>1184.3499999999999</v>
      </c>
      <c r="I163" s="207">
        <v>14.76</v>
      </c>
      <c r="J163" s="207">
        <v>793.9</v>
      </c>
      <c r="K163" s="207">
        <v>898.7</v>
      </c>
      <c r="L163" s="207"/>
    </row>
    <row r="164" spans="2:12">
      <c r="B164" s="206">
        <v>43333</v>
      </c>
      <c r="C164" s="211">
        <f t="shared" si="53"/>
        <v>2018</v>
      </c>
      <c r="D164" s="211">
        <f t="shared" si="54"/>
        <v>8</v>
      </c>
      <c r="E164" s="211">
        <f t="shared" si="55"/>
        <v>21</v>
      </c>
      <c r="F164" s="205">
        <v>6025.5</v>
      </c>
      <c r="G164" s="205">
        <v>13680</v>
      </c>
      <c r="H164" s="207">
        <v>1190.95</v>
      </c>
      <c r="I164" s="207">
        <v>14.79</v>
      </c>
      <c r="J164" s="207">
        <v>793</v>
      </c>
      <c r="K164" s="207">
        <v>910</v>
      </c>
      <c r="L164" s="207"/>
    </row>
    <row r="165" spans="2:12">
      <c r="B165" s="206">
        <v>43334</v>
      </c>
      <c r="C165" s="211">
        <f t="shared" si="53"/>
        <v>2018</v>
      </c>
      <c r="D165" s="211">
        <f t="shared" si="54"/>
        <v>8</v>
      </c>
      <c r="E165" s="211">
        <f t="shared" si="55"/>
        <v>22</v>
      </c>
      <c r="F165" s="205">
        <v>6000</v>
      </c>
      <c r="G165" s="205">
        <v>13570</v>
      </c>
      <c r="H165" s="207">
        <v>1196.6500000000001</v>
      </c>
      <c r="I165" s="207">
        <v>14.81</v>
      </c>
      <c r="J165" s="207">
        <v>793.7</v>
      </c>
      <c r="K165" s="207">
        <v>918.2</v>
      </c>
      <c r="L165" s="207"/>
    </row>
    <row r="166" spans="2:12">
      <c r="B166" s="206">
        <v>43335</v>
      </c>
      <c r="C166" s="211">
        <f t="shared" si="53"/>
        <v>2018</v>
      </c>
      <c r="D166" s="211">
        <f t="shared" si="54"/>
        <v>8</v>
      </c>
      <c r="E166" s="211">
        <f t="shared" si="55"/>
        <v>23</v>
      </c>
      <c r="F166" s="205">
        <v>5910.5</v>
      </c>
      <c r="G166" s="205">
        <v>13140</v>
      </c>
      <c r="H166" s="207">
        <v>1192.3499999999999</v>
      </c>
      <c r="I166" s="207">
        <v>14.63</v>
      </c>
      <c r="J166" s="207">
        <v>778.4</v>
      </c>
      <c r="K166" s="207">
        <v>911.2</v>
      </c>
      <c r="L166" s="207"/>
    </row>
    <row r="167" spans="2:12">
      <c r="B167" s="206">
        <v>43336</v>
      </c>
      <c r="C167" s="211">
        <f t="shared" si="53"/>
        <v>2018</v>
      </c>
      <c r="D167" s="211">
        <f t="shared" si="54"/>
        <v>8</v>
      </c>
      <c r="E167" s="211">
        <f t="shared" si="55"/>
        <v>24</v>
      </c>
      <c r="F167" s="205">
        <v>6001</v>
      </c>
      <c r="G167" s="205">
        <v>13310</v>
      </c>
      <c r="H167" s="207">
        <v>1197.7</v>
      </c>
      <c r="I167" s="207">
        <v>14.62</v>
      </c>
      <c r="J167" s="207">
        <v>789.4</v>
      </c>
      <c r="K167" s="207">
        <v>928.6</v>
      </c>
      <c r="L167" s="207"/>
    </row>
    <row r="168" spans="2:12">
      <c r="B168" s="206">
        <v>43340</v>
      </c>
      <c r="C168" s="211">
        <f t="shared" si="53"/>
        <v>2018</v>
      </c>
      <c r="D168" s="211">
        <f t="shared" si="54"/>
        <v>8</v>
      </c>
      <c r="E168" s="211">
        <f t="shared" si="55"/>
        <v>28</v>
      </c>
      <c r="F168" s="205">
        <v>6118</v>
      </c>
      <c r="G168" s="205">
        <v>13460</v>
      </c>
      <c r="H168" s="207">
        <v>1212.25</v>
      </c>
      <c r="I168" s="207">
        <v>14.9</v>
      </c>
      <c r="J168" s="207">
        <v>795.3</v>
      </c>
      <c r="K168" s="207">
        <v>938.6</v>
      </c>
      <c r="L168" s="207"/>
    </row>
    <row r="169" spans="2:12">
      <c r="B169" s="206">
        <v>43341</v>
      </c>
      <c r="C169" s="211">
        <f t="shared" si="53"/>
        <v>2018</v>
      </c>
      <c r="D169" s="211">
        <f t="shared" si="54"/>
        <v>8</v>
      </c>
      <c r="E169" s="211">
        <f t="shared" si="55"/>
        <v>29</v>
      </c>
      <c r="F169" s="205">
        <v>6065</v>
      </c>
      <c r="G169" s="205">
        <v>13415</v>
      </c>
      <c r="H169" s="207">
        <v>1204.2</v>
      </c>
      <c r="I169" s="207">
        <v>14.69</v>
      </c>
      <c r="J169" s="207">
        <v>796.6</v>
      </c>
      <c r="K169" s="207">
        <v>956.82</v>
      </c>
      <c r="L169" s="207"/>
    </row>
    <row r="170" spans="2:12">
      <c r="B170" s="206">
        <v>43342</v>
      </c>
      <c r="C170" s="211">
        <f t="shared" si="53"/>
        <v>2018</v>
      </c>
      <c r="D170" s="211">
        <f t="shared" si="54"/>
        <v>8</v>
      </c>
      <c r="E170" s="211">
        <f t="shared" si="55"/>
        <v>30</v>
      </c>
      <c r="F170" s="205">
        <v>6066.5</v>
      </c>
      <c r="G170" s="205">
        <v>13290</v>
      </c>
      <c r="H170" s="207">
        <v>1197.3</v>
      </c>
      <c r="I170" s="207">
        <v>14.67</v>
      </c>
      <c r="J170" s="207">
        <v>791.8</v>
      </c>
      <c r="K170" s="207">
        <v>961.9</v>
      </c>
      <c r="L170" s="207"/>
    </row>
    <row r="171" spans="2:12">
      <c r="B171" s="206">
        <v>43343</v>
      </c>
      <c r="C171" s="211">
        <f t="shared" si="53"/>
        <v>2018</v>
      </c>
      <c r="D171" s="211">
        <f t="shared" si="54"/>
        <v>8</v>
      </c>
      <c r="E171" s="211">
        <f t="shared" si="55"/>
        <v>31</v>
      </c>
      <c r="F171" s="205">
        <v>6019</v>
      </c>
      <c r="G171" s="205">
        <v>13010</v>
      </c>
      <c r="H171" s="207">
        <v>1202.45</v>
      </c>
      <c r="I171" s="207">
        <v>14.66</v>
      </c>
      <c r="J171" s="207">
        <v>787.1</v>
      </c>
      <c r="K171" s="207">
        <v>971.98</v>
      </c>
      <c r="L171" s="207"/>
    </row>
    <row r="172" spans="2:12">
      <c r="B172" s="206">
        <v>43346</v>
      </c>
      <c r="C172" s="211">
        <f t="shared" si="53"/>
        <v>2018</v>
      </c>
      <c r="D172" s="211">
        <f t="shared" si="54"/>
        <v>9</v>
      </c>
      <c r="E172" s="211">
        <f t="shared" si="55"/>
        <v>3</v>
      </c>
      <c r="F172" s="205">
        <v>5951</v>
      </c>
      <c r="G172" s="205">
        <v>12670</v>
      </c>
      <c r="H172" s="207">
        <v>1200.05</v>
      </c>
      <c r="I172" s="207">
        <v>14.53</v>
      </c>
      <c r="J172" s="207" t="s">
        <v>338</v>
      </c>
      <c r="K172" s="207" t="s">
        <v>338</v>
      </c>
      <c r="L172" s="207"/>
    </row>
    <row r="173" spans="2:12">
      <c r="B173" s="206">
        <v>43347</v>
      </c>
      <c r="C173" s="211">
        <f t="shared" si="53"/>
        <v>2018</v>
      </c>
      <c r="D173" s="211">
        <f t="shared" si="54"/>
        <v>9</v>
      </c>
      <c r="E173" s="211">
        <f t="shared" si="55"/>
        <v>4</v>
      </c>
      <c r="F173" s="205">
        <v>5823</v>
      </c>
      <c r="G173" s="205">
        <v>12475</v>
      </c>
      <c r="H173" s="207">
        <v>1190.8499999999999</v>
      </c>
      <c r="I173" s="207">
        <v>14.25</v>
      </c>
      <c r="J173" s="207">
        <v>778.2</v>
      </c>
      <c r="K173" s="207">
        <v>967.5</v>
      </c>
      <c r="L173" s="207"/>
    </row>
    <row r="174" spans="2:12">
      <c r="B174" s="206">
        <v>43348</v>
      </c>
      <c r="C174" s="211">
        <f t="shared" si="53"/>
        <v>2018</v>
      </c>
      <c r="D174" s="211">
        <f t="shared" si="54"/>
        <v>9</v>
      </c>
      <c r="E174" s="211">
        <f t="shared" si="55"/>
        <v>5</v>
      </c>
      <c r="F174" s="205">
        <v>5850</v>
      </c>
      <c r="G174" s="205">
        <v>12415</v>
      </c>
      <c r="H174" s="207">
        <v>1196.7</v>
      </c>
      <c r="I174" s="207">
        <v>14.17</v>
      </c>
      <c r="J174" s="207">
        <v>784.3</v>
      </c>
      <c r="K174" s="207">
        <v>961.2</v>
      </c>
      <c r="L174" s="207"/>
    </row>
    <row r="175" spans="2:12">
      <c r="B175" s="206">
        <v>43349</v>
      </c>
      <c r="C175" s="211">
        <f t="shared" si="53"/>
        <v>2018</v>
      </c>
      <c r="D175" s="211">
        <f t="shared" si="54"/>
        <v>9</v>
      </c>
      <c r="E175" s="211">
        <f t="shared" si="55"/>
        <v>6</v>
      </c>
      <c r="F175" s="205">
        <v>5940</v>
      </c>
      <c r="G175" s="205">
        <v>12490</v>
      </c>
      <c r="H175" s="207">
        <v>1205.1500000000001</v>
      </c>
      <c r="I175" s="207">
        <v>14.27</v>
      </c>
      <c r="J175" s="207">
        <v>790.9</v>
      </c>
      <c r="K175" s="207">
        <v>962.1</v>
      </c>
      <c r="L175" s="207"/>
    </row>
    <row r="176" spans="2:12">
      <c r="B176" s="206">
        <v>43350</v>
      </c>
      <c r="C176" s="211">
        <f t="shared" si="53"/>
        <v>2018</v>
      </c>
      <c r="D176" s="211">
        <f t="shared" si="54"/>
        <v>9</v>
      </c>
      <c r="E176" s="211">
        <f t="shared" si="55"/>
        <v>7</v>
      </c>
      <c r="F176" s="205">
        <v>5883</v>
      </c>
      <c r="G176" s="205">
        <v>12290</v>
      </c>
      <c r="H176" s="207">
        <v>1198.9000000000001</v>
      </c>
      <c r="I176" s="207">
        <v>14.19</v>
      </c>
      <c r="J176" s="207">
        <v>780.4</v>
      </c>
      <c r="K176" s="207">
        <v>968.8</v>
      </c>
      <c r="L176" s="207"/>
    </row>
    <row r="177" spans="2:12">
      <c r="B177" s="206">
        <v>43353</v>
      </c>
      <c r="C177" s="211">
        <f t="shared" si="53"/>
        <v>2018</v>
      </c>
      <c r="D177" s="211">
        <f t="shared" si="54"/>
        <v>9</v>
      </c>
      <c r="E177" s="211">
        <f t="shared" si="55"/>
        <v>10</v>
      </c>
      <c r="F177" s="205">
        <v>5840.5</v>
      </c>
      <c r="G177" s="205">
        <v>12205</v>
      </c>
      <c r="H177" s="207">
        <v>1196.5999999999999</v>
      </c>
      <c r="I177" s="207">
        <v>14.22</v>
      </c>
      <c r="J177" s="207">
        <v>790</v>
      </c>
      <c r="K177" s="207">
        <v>964.6</v>
      </c>
      <c r="L177" s="207"/>
    </row>
    <row r="178" spans="2:12">
      <c r="B178" s="206">
        <v>43354</v>
      </c>
      <c r="C178" s="211">
        <f t="shared" si="53"/>
        <v>2018</v>
      </c>
      <c r="D178" s="211">
        <f t="shared" si="54"/>
        <v>9</v>
      </c>
      <c r="E178" s="211">
        <f t="shared" si="55"/>
        <v>11</v>
      </c>
      <c r="F178" s="205">
        <v>5849</v>
      </c>
      <c r="G178" s="205">
        <v>12255</v>
      </c>
      <c r="H178" s="207">
        <v>1189.8499999999999</v>
      </c>
      <c r="I178" s="207">
        <v>14.13</v>
      </c>
      <c r="J178" s="207">
        <v>789.3</v>
      </c>
      <c r="K178" s="207">
        <v>961.8</v>
      </c>
      <c r="L178" s="207"/>
    </row>
    <row r="179" spans="2:12">
      <c r="B179" s="206">
        <v>43355</v>
      </c>
      <c r="C179" s="211">
        <f t="shared" si="53"/>
        <v>2018</v>
      </c>
      <c r="D179" s="211">
        <f t="shared" si="54"/>
        <v>9</v>
      </c>
      <c r="E179" s="211">
        <f t="shared" si="55"/>
        <v>12</v>
      </c>
      <c r="F179" s="205">
        <v>5891</v>
      </c>
      <c r="G179" s="205">
        <v>12285</v>
      </c>
      <c r="H179" s="207">
        <v>1195.5999999999999</v>
      </c>
      <c r="I179" s="207">
        <v>14.16</v>
      </c>
      <c r="J179" s="207">
        <v>799.9</v>
      </c>
      <c r="K179" s="207">
        <v>965</v>
      </c>
      <c r="L179" s="207"/>
    </row>
    <row r="180" spans="2:12">
      <c r="B180" s="206">
        <v>43356</v>
      </c>
      <c r="C180" s="211">
        <f t="shared" si="53"/>
        <v>2018</v>
      </c>
      <c r="D180" s="211">
        <f t="shared" si="54"/>
        <v>9</v>
      </c>
      <c r="E180" s="211">
        <f t="shared" si="55"/>
        <v>13</v>
      </c>
      <c r="F180" s="205">
        <v>5991</v>
      </c>
      <c r="G180" s="205">
        <v>12615</v>
      </c>
      <c r="H180" s="207">
        <v>1209.8</v>
      </c>
      <c r="I180" s="207">
        <v>14.23</v>
      </c>
      <c r="J180" s="207">
        <v>803.3</v>
      </c>
      <c r="K180" s="207">
        <v>968.7</v>
      </c>
      <c r="L180" s="207"/>
    </row>
    <row r="181" spans="2:12">
      <c r="B181" s="206">
        <v>43357</v>
      </c>
      <c r="C181" s="211">
        <f t="shared" si="53"/>
        <v>2018</v>
      </c>
      <c r="D181" s="211">
        <f t="shared" si="54"/>
        <v>9</v>
      </c>
      <c r="E181" s="211">
        <f t="shared" si="55"/>
        <v>14</v>
      </c>
      <c r="F181" s="205">
        <v>5946.5</v>
      </c>
      <c r="G181" s="205">
        <v>12515</v>
      </c>
      <c r="H181" s="207">
        <v>1201.95</v>
      </c>
      <c r="I181" s="207">
        <v>14.22</v>
      </c>
      <c r="J181" s="207">
        <v>798.6</v>
      </c>
      <c r="K181" s="207">
        <v>970.5</v>
      </c>
      <c r="L181" s="207"/>
    </row>
    <row r="182" spans="2:12">
      <c r="B182" s="206">
        <v>43360</v>
      </c>
      <c r="C182" s="211">
        <f t="shared" si="53"/>
        <v>2018</v>
      </c>
      <c r="D182" s="211">
        <f t="shared" si="54"/>
        <v>9</v>
      </c>
      <c r="E182" s="211">
        <f t="shared" si="55"/>
        <v>17</v>
      </c>
      <c r="F182" s="205">
        <v>5860</v>
      </c>
      <c r="G182" s="205">
        <v>12235</v>
      </c>
      <c r="H182" s="207">
        <v>1201.9000000000001</v>
      </c>
      <c r="I182" s="207">
        <v>14.17</v>
      </c>
      <c r="J182" s="207">
        <v>800.9</v>
      </c>
      <c r="K182" s="207">
        <v>977</v>
      </c>
      <c r="L182" s="207"/>
    </row>
    <row r="183" spans="2:12">
      <c r="B183" s="206">
        <v>43361</v>
      </c>
      <c r="C183" s="211">
        <f t="shared" si="53"/>
        <v>2018</v>
      </c>
      <c r="D183" s="211">
        <f t="shared" si="54"/>
        <v>9</v>
      </c>
      <c r="E183" s="211">
        <f t="shared" si="55"/>
        <v>18</v>
      </c>
      <c r="F183" s="205">
        <v>6003</v>
      </c>
      <c r="G183" s="205">
        <v>12320</v>
      </c>
      <c r="H183" s="207">
        <v>1200.2</v>
      </c>
      <c r="I183" s="207">
        <v>14.21</v>
      </c>
      <c r="J183" s="207">
        <v>814.9</v>
      </c>
      <c r="K183" s="207">
        <v>1004.8</v>
      </c>
      <c r="L183" s="207"/>
    </row>
    <row r="184" spans="2:12">
      <c r="B184" s="206">
        <v>43362</v>
      </c>
      <c r="C184" s="211">
        <f t="shared" si="53"/>
        <v>2018</v>
      </c>
      <c r="D184" s="211">
        <f t="shared" si="54"/>
        <v>9</v>
      </c>
      <c r="E184" s="211">
        <f t="shared" si="55"/>
        <v>19</v>
      </c>
      <c r="F184" s="205">
        <v>6057</v>
      </c>
      <c r="G184" s="205">
        <v>12470</v>
      </c>
      <c r="H184" s="207">
        <v>1203.3</v>
      </c>
      <c r="I184" s="207">
        <v>14.19</v>
      </c>
      <c r="J184" s="207">
        <v>821.9</v>
      </c>
      <c r="K184" s="207">
        <v>1030.8</v>
      </c>
      <c r="L184" s="207"/>
    </row>
    <row r="185" spans="2:12">
      <c r="B185" s="206">
        <v>43363</v>
      </c>
      <c r="C185" s="211">
        <f t="shared" si="53"/>
        <v>2018</v>
      </c>
      <c r="D185" s="211">
        <f t="shared" si="54"/>
        <v>9</v>
      </c>
      <c r="E185" s="211">
        <f t="shared" si="55"/>
        <v>20</v>
      </c>
      <c r="F185" s="205">
        <v>6057</v>
      </c>
      <c r="G185" s="205">
        <v>12530</v>
      </c>
      <c r="H185" s="207">
        <v>1208.3499999999999</v>
      </c>
      <c r="I185" s="207">
        <v>14.23</v>
      </c>
      <c r="J185" s="207">
        <v>834.2</v>
      </c>
      <c r="K185" s="207">
        <v>1044.2</v>
      </c>
      <c r="L185" s="207"/>
    </row>
    <row r="186" spans="2:12">
      <c r="B186" s="206">
        <v>43364</v>
      </c>
      <c r="C186" s="211">
        <f t="shared" si="53"/>
        <v>2018</v>
      </c>
      <c r="D186" s="211">
        <f t="shared" si="54"/>
        <v>9</v>
      </c>
      <c r="E186" s="211">
        <f t="shared" si="55"/>
        <v>21</v>
      </c>
      <c r="F186" s="205">
        <v>6203</v>
      </c>
      <c r="G186" s="205">
        <v>12955</v>
      </c>
      <c r="H186" s="207">
        <v>1198.7</v>
      </c>
      <c r="I186" s="207">
        <v>14.33</v>
      </c>
      <c r="J186" s="207">
        <v>829.6</v>
      </c>
      <c r="K186" s="207">
        <v>1044.9000000000001</v>
      </c>
      <c r="L186" s="207"/>
    </row>
    <row r="187" spans="2:12">
      <c r="B187" s="206">
        <v>43367</v>
      </c>
      <c r="C187" s="211">
        <f t="shared" si="53"/>
        <v>2018</v>
      </c>
      <c r="D187" s="211">
        <f t="shared" si="54"/>
        <v>9</v>
      </c>
      <c r="E187" s="211">
        <f t="shared" si="55"/>
        <v>24</v>
      </c>
      <c r="F187" s="205">
        <v>6320</v>
      </c>
      <c r="G187" s="205">
        <v>12980</v>
      </c>
      <c r="H187" s="207">
        <v>1202.75</v>
      </c>
      <c r="I187" s="207">
        <v>14.32</v>
      </c>
      <c r="J187" s="207">
        <v>829.3</v>
      </c>
      <c r="K187" s="207">
        <v>1051.5999999999999</v>
      </c>
      <c r="L187" s="207"/>
    </row>
    <row r="188" spans="2:12">
      <c r="B188" s="206">
        <v>43368</v>
      </c>
      <c r="C188" s="211">
        <f t="shared" si="53"/>
        <v>2018</v>
      </c>
      <c r="D188" s="211">
        <f t="shared" si="54"/>
        <v>9</v>
      </c>
      <c r="E188" s="211">
        <f t="shared" si="55"/>
        <v>25</v>
      </c>
      <c r="F188" s="205">
        <v>6276</v>
      </c>
      <c r="G188" s="205">
        <v>12845</v>
      </c>
      <c r="H188" s="207">
        <v>1201.9000000000001</v>
      </c>
      <c r="I188" s="207">
        <v>14.29</v>
      </c>
      <c r="J188" s="207">
        <v>823.56</v>
      </c>
      <c r="K188" s="207">
        <v>1053.8</v>
      </c>
      <c r="L188" s="207"/>
    </row>
    <row r="189" spans="2:12">
      <c r="B189" s="206">
        <v>43369</v>
      </c>
      <c r="C189" s="211">
        <f t="shared" si="53"/>
        <v>2018</v>
      </c>
      <c r="D189" s="211">
        <f t="shared" si="54"/>
        <v>9</v>
      </c>
      <c r="E189" s="211">
        <f t="shared" si="55"/>
        <v>26</v>
      </c>
      <c r="F189" s="205">
        <v>6257.5</v>
      </c>
      <c r="G189" s="205">
        <v>12895</v>
      </c>
      <c r="H189" s="207">
        <v>1194.25</v>
      </c>
      <c r="I189" s="207">
        <v>14.48</v>
      </c>
      <c r="J189" s="207">
        <v>827</v>
      </c>
      <c r="K189" s="207">
        <v>1063.0999999999999</v>
      </c>
      <c r="L189" s="207"/>
    </row>
    <row r="190" spans="2:12">
      <c r="B190" s="206">
        <v>43370</v>
      </c>
      <c r="C190" s="211">
        <f t="shared" si="53"/>
        <v>2018</v>
      </c>
      <c r="D190" s="211">
        <f t="shared" si="54"/>
        <v>9</v>
      </c>
      <c r="E190" s="211">
        <f t="shared" si="55"/>
        <v>27</v>
      </c>
      <c r="F190" s="205">
        <v>6222</v>
      </c>
      <c r="G190" s="205">
        <v>12620</v>
      </c>
      <c r="H190" s="207">
        <v>1185.4000000000001</v>
      </c>
      <c r="I190" s="207">
        <v>14.42</v>
      </c>
      <c r="J190" s="207">
        <v>812.94</v>
      </c>
      <c r="K190" s="207">
        <v>1071.2</v>
      </c>
      <c r="L190" s="207"/>
    </row>
    <row r="191" spans="2:12">
      <c r="B191" s="206">
        <v>43371</v>
      </c>
      <c r="C191" s="211">
        <f t="shared" si="53"/>
        <v>2018</v>
      </c>
      <c r="D191" s="211">
        <f t="shared" si="54"/>
        <v>9</v>
      </c>
      <c r="E191" s="211">
        <f t="shared" si="55"/>
        <v>28</v>
      </c>
      <c r="F191" s="205">
        <v>6180</v>
      </c>
      <c r="G191" s="205">
        <v>12480</v>
      </c>
      <c r="H191" s="207">
        <v>1187.25</v>
      </c>
      <c r="I191" s="207">
        <v>14.31</v>
      </c>
      <c r="J191" s="207">
        <v>821.66</v>
      </c>
      <c r="K191" s="207">
        <v>1072.8</v>
      </c>
      <c r="L191" s="207"/>
    </row>
    <row r="192" spans="2:12">
      <c r="B192" s="206">
        <v>43374</v>
      </c>
      <c r="C192" s="211">
        <f t="shared" si="53"/>
        <v>2018</v>
      </c>
      <c r="D192" s="211">
        <f t="shared" si="54"/>
        <v>10</v>
      </c>
      <c r="E192" s="211">
        <f t="shared" si="55"/>
        <v>1</v>
      </c>
      <c r="F192" s="205">
        <v>6172</v>
      </c>
      <c r="G192" s="205">
        <v>12325</v>
      </c>
      <c r="H192" s="207">
        <v>1189.3499999999999</v>
      </c>
      <c r="I192" s="207">
        <v>14.55</v>
      </c>
      <c r="J192" s="207">
        <v>827.9</v>
      </c>
      <c r="K192" s="207">
        <v>1056.4000000000001</v>
      </c>
      <c r="L192" s="207"/>
    </row>
    <row r="193" spans="2:12">
      <c r="B193" s="206">
        <v>43375</v>
      </c>
      <c r="C193" s="211">
        <f t="shared" si="53"/>
        <v>2018</v>
      </c>
      <c r="D193" s="211">
        <f t="shared" si="54"/>
        <v>10</v>
      </c>
      <c r="E193" s="211">
        <f t="shared" si="55"/>
        <v>2</v>
      </c>
      <c r="F193" s="205">
        <v>6274</v>
      </c>
      <c r="G193" s="205">
        <v>12420</v>
      </c>
      <c r="H193" s="207">
        <v>1204.7</v>
      </c>
      <c r="I193" s="207">
        <v>14.51</v>
      </c>
      <c r="J193" s="207">
        <v>833.5</v>
      </c>
      <c r="K193" s="207">
        <v>1050.7</v>
      </c>
      <c r="L193" s="207"/>
    </row>
    <row r="194" spans="2:12">
      <c r="B194" s="206">
        <v>43376</v>
      </c>
      <c r="C194" s="211">
        <f t="shared" si="53"/>
        <v>2018</v>
      </c>
      <c r="D194" s="211">
        <f t="shared" si="54"/>
        <v>10</v>
      </c>
      <c r="E194" s="211">
        <f t="shared" si="55"/>
        <v>3</v>
      </c>
      <c r="F194" s="205">
        <v>6275</v>
      </c>
      <c r="G194" s="205">
        <v>12400</v>
      </c>
      <c r="H194" s="207">
        <v>1201.2</v>
      </c>
      <c r="I194" s="207">
        <v>14.74</v>
      </c>
      <c r="J194" s="207">
        <v>835.7</v>
      </c>
      <c r="K194" s="207">
        <v>1053</v>
      </c>
      <c r="L194" s="207"/>
    </row>
    <row r="195" spans="2:12">
      <c r="B195" s="206">
        <v>43377</v>
      </c>
      <c r="C195" s="211">
        <f t="shared" si="53"/>
        <v>2018</v>
      </c>
      <c r="D195" s="211">
        <f t="shared" si="54"/>
        <v>10</v>
      </c>
      <c r="E195" s="211">
        <f t="shared" si="55"/>
        <v>4</v>
      </c>
      <c r="F195" s="205">
        <v>6310</v>
      </c>
      <c r="G195" s="205">
        <v>12770</v>
      </c>
      <c r="H195" s="207">
        <v>1203.45</v>
      </c>
      <c r="I195" s="207">
        <v>14.63</v>
      </c>
      <c r="J195" s="207">
        <v>824.5</v>
      </c>
      <c r="K195" s="207">
        <v>1045.5</v>
      </c>
      <c r="L195" s="207"/>
    </row>
    <row r="196" spans="2:12">
      <c r="B196" s="206">
        <v>43378</v>
      </c>
      <c r="C196" s="211">
        <f t="shared" ref="C196:C259" si="56">YEAR(B196)</f>
        <v>2018</v>
      </c>
      <c r="D196" s="211">
        <f t="shared" ref="D196:D259" si="57">MONTH(B196)</f>
        <v>10</v>
      </c>
      <c r="E196" s="211">
        <f t="shared" ref="E196:E259" si="58">DAY(B196)</f>
        <v>5</v>
      </c>
      <c r="F196" s="205">
        <v>6182.5</v>
      </c>
      <c r="G196" s="205">
        <v>12400</v>
      </c>
      <c r="H196" s="207">
        <v>1203.8</v>
      </c>
      <c r="I196" s="207">
        <v>14.64</v>
      </c>
      <c r="J196" s="207">
        <v>824.5</v>
      </c>
      <c r="K196" s="207">
        <v>1057.0999999999999</v>
      </c>
      <c r="L196" s="207"/>
    </row>
    <row r="197" spans="2:12">
      <c r="B197" s="206">
        <v>43381</v>
      </c>
      <c r="C197" s="211">
        <f t="shared" si="56"/>
        <v>2018</v>
      </c>
      <c r="D197" s="211">
        <f t="shared" si="57"/>
        <v>10</v>
      </c>
      <c r="E197" s="211">
        <f t="shared" si="58"/>
        <v>8</v>
      </c>
      <c r="F197" s="205">
        <v>6169</v>
      </c>
      <c r="G197" s="205">
        <v>12395</v>
      </c>
      <c r="H197" s="207">
        <v>1186.95</v>
      </c>
      <c r="I197" s="207">
        <v>14.47</v>
      </c>
      <c r="J197" s="207">
        <v>818.3</v>
      </c>
      <c r="K197" s="207">
        <v>1068.9000000000001</v>
      </c>
      <c r="L197" s="207"/>
    </row>
    <row r="198" spans="2:12">
      <c r="B198" s="206">
        <v>43382</v>
      </c>
      <c r="C198" s="211">
        <f t="shared" si="56"/>
        <v>2018</v>
      </c>
      <c r="D198" s="211">
        <f t="shared" si="57"/>
        <v>10</v>
      </c>
      <c r="E198" s="211">
        <f t="shared" si="58"/>
        <v>9</v>
      </c>
      <c r="F198" s="205">
        <v>6219</v>
      </c>
      <c r="G198" s="205">
        <v>12660</v>
      </c>
      <c r="H198" s="207">
        <v>1185.55</v>
      </c>
      <c r="I198" s="207">
        <v>14.33</v>
      </c>
      <c r="J198" s="207">
        <v>828.9</v>
      </c>
      <c r="K198" s="207">
        <v>1062.0999999999999</v>
      </c>
      <c r="L198" s="207"/>
    </row>
    <row r="199" spans="2:12">
      <c r="B199" s="206">
        <v>43383</v>
      </c>
      <c r="C199" s="211">
        <f t="shared" si="56"/>
        <v>2018</v>
      </c>
      <c r="D199" s="211">
        <f t="shared" si="57"/>
        <v>10</v>
      </c>
      <c r="E199" s="211">
        <f t="shared" si="58"/>
        <v>10</v>
      </c>
      <c r="F199" s="205">
        <v>6294</v>
      </c>
      <c r="G199" s="205">
        <v>12775</v>
      </c>
      <c r="H199" s="207">
        <v>1188.5999999999999</v>
      </c>
      <c r="I199" s="207">
        <v>14.38</v>
      </c>
      <c r="J199" s="207">
        <v>827.3</v>
      </c>
      <c r="K199" s="207">
        <v>1067.2</v>
      </c>
      <c r="L199" s="207"/>
    </row>
    <row r="200" spans="2:12">
      <c r="B200" s="206">
        <v>43384</v>
      </c>
      <c r="C200" s="211">
        <f t="shared" si="56"/>
        <v>2018</v>
      </c>
      <c r="D200" s="211">
        <f t="shared" si="57"/>
        <v>10</v>
      </c>
      <c r="E200" s="211">
        <f t="shared" si="58"/>
        <v>11</v>
      </c>
      <c r="F200" s="205">
        <v>6155</v>
      </c>
      <c r="G200" s="205">
        <v>12420</v>
      </c>
      <c r="H200" s="207">
        <v>1205.55</v>
      </c>
      <c r="I200" s="207">
        <v>14.4</v>
      </c>
      <c r="J200" s="207">
        <v>846.6</v>
      </c>
      <c r="K200" s="207">
        <v>1075.2</v>
      </c>
      <c r="L200" s="207"/>
    </row>
    <row r="201" spans="2:12">
      <c r="B201" s="206">
        <v>43385</v>
      </c>
      <c r="C201" s="211">
        <f t="shared" si="56"/>
        <v>2018</v>
      </c>
      <c r="D201" s="211">
        <f t="shared" si="57"/>
        <v>10</v>
      </c>
      <c r="E201" s="211">
        <f t="shared" si="58"/>
        <v>12</v>
      </c>
      <c r="F201" s="205">
        <v>6325</v>
      </c>
      <c r="G201" s="205">
        <v>12710</v>
      </c>
      <c r="H201" s="207">
        <v>1219.75</v>
      </c>
      <c r="I201" s="207">
        <v>14.6</v>
      </c>
      <c r="J201" s="207">
        <v>840</v>
      </c>
      <c r="K201" s="207">
        <v>1060.8</v>
      </c>
      <c r="L201" s="207"/>
    </row>
    <row r="202" spans="2:12">
      <c r="B202" s="206">
        <v>43388</v>
      </c>
      <c r="C202" s="211">
        <f t="shared" si="56"/>
        <v>2018</v>
      </c>
      <c r="D202" s="211">
        <f t="shared" si="57"/>
        <v>10</v>
      </c>
      <c r="E202" s="211">
        <f t="shared" si="58"/>
        <v>15</v>
      </c>
      <c r="F202" s="205">
        <v>6296</v>
      </c>
      <c r="G202" s="205">
        <v>12650</v>
      </c>
      <c r="H202" s="207">
        <v>1229.95</v>
      </c>
      <c r="I202" s="207">
        <v>14.74</v>
      </c>
      <c r="J202" s="207">
        <v>846.3</v>
      </c>
      <c r="K202" s="207">
        <v>1078.2</v>
      </c>
      <c r="L202" s="207"/>
    </row>
    <row r="203" spans="2:12">
      <c r="B203" s="206">
        <v>43389</v>
      </c>
      <c r="C203" s="211">
        <f t="shared" si="56"/>
        <v>2018</v>
      </c>
      <c r="D203" s="211">
        <f t="shared" si="57"/>
        <v>10</v>
      </c>
      <c r="E203" s="211">
        <f t="shared" si="58"/>
        <v>16</v>
      </c>
      <c r="F203" s="205">
        <v>6202</v>
      </c>
      <c r="G203" s="205">
        <v>12450</v>
      </c>
      <c r="H203" s="207">
        <v>1230.7</v>
      </c>
      <c r="I203" s="207">
        <v>14.76</v>
      </c>
      <c r="J203" s="207">
        <v>846.7</v>
      </c>
      <c r="K203" s="207">
        <v>1073.9000000000001</v>
      </c>
      <c r="L203" s="207"/>
    </row>
    <row r="204" spans="2:12">
      <c r="B204" s="206">
        <v>43390</v>
      </c>
      <c r="C204" s="211">
        <f t="shared" si="56"/>
        <v>2018</v>
      </c>
      <c r="D204" s="211">
        <f t="shared" si="57"/>
        <v>10</v>
      </c>
      <c r="E204" s="211">
        <f t="shared" si="58"/>
        <v>17</v>
      </c>
      <c r="F204" s="205">
        <v>6249</v>
      </c>
      <c r="G204" s="205">
        <v>12440</v>
      </c>
      <c r="H204" s="207">
        <v>1229.05</v>
      </c>
      <c r="I204" s="207">
        <v>14.65</v>
      </c>
      <c r="J204" s="207">
        <v>840.6</v>
      </c>
      <c r="K204" s="207">
        <v>1067.5999999999999</v>
      </c>
      <c r="L204" s="207"/>
    </row>
    <row r="205" spans="2:12">
      <c r="B205" s="206">
        <v>43391</v>
      </c>
      <c r="C205" s="211">
        <f t="shared" si="56"/>
        <v>2018</v>
      </c>
      <c r="D205" s="211">
        <f t="shared" si="57"/>
        <v>10</v>
      </c>
      <c r="E205" s="211">
        <f t="shared" si="58"/>
        <v>18</v>
      </c>
      <c r="F205" s="205">
        <v>6147</v>
      </c>
      <c r="G205" s="205">
        <v>12140</v>
      </c>
      <c r="H205" s="207">
        <v>1223</v>
      </c>
      <c r="I205" s="207">
        <v>14.52</v>
      </c>
      <c r="J205" s="207">
        <v>831.7</v>
      </c>
      <c r="K205" s="207">
        <v>1064.7</v>
      </c>
      <c r="L205" s="207"/>
    </row>
    <row r="206" spans="2:12">
      <c r="B206" s="206">
        <v>43392</v>
      </c>
      <c r="C206" s="211">
        <f t="shared" si="56"/>
        <v>2018</v>
      </c>
      <c r="D206" s="211">
        <f t="shared" si="57"/>
        <v>10</v>
      </c>
      <c r="E206" s="211">
        <f t="shared" si="58"/>
        <v>19</v>
      </c>
      <c r="F206" s="205">
        <v>6191.5</v>
      </c>
      <c r="G206" s="205">
        <v>12470</v>
      </c>
      <c r="H206" s="207">
        <v>1227.8499999999999</v>
      </c>
      <c r="I206" s="207">
        <v>14.61</v>
      </c>
      <c r="J206" s="207">
        <v>836</v>
      </c>
      <c r="K206" s="207">
        <v>1069.9000000000001</v>
      </c>
      <c r="L206" s="207"/>
    </row>
    <row r="207" spans="2:12">
      <c r="B207" s="206">
        <v>43395</v>
      </c>
      <c r="C207" s="211">
        <f t="shared" si="56"/>
        <v>2018</v>
      </c>
      <c r="D207" s="211">
        <f t="shared" si="57"/>
        <v>10</v>
      </c>
      <c r="E207" s="211">
        <f t="shared" si="58"/>
        <v>22</v>
      </c>
      <c r="F207" s="205">
        <v>6284</v>
      </c>
      <c r="G207" s="205">
        <v>12455</v>
      </c>
      <c r="H207" s="207">
        <v>1222.3</v>
      </c>
      <c r="I207" s="207">
        <v>14.63</v>
      </c>
      <c r="J207" s="207">
        <v>822.5</v>
      </c>
      <c r="K207" s="207">
        <v>1107.7</v>
      </c>
      <c r="L207" s="207"/>
    </row>
    <row r="208" spans="2:12">
      <c r="B208" s="206">
        <v>43396</v>
      </c>
      <c r="C208" s="211">
        <f t="shared" si="56"/>
        <v>2018</v>
      </c>
      <c r="D208" s="211">
        <f t="shared" si="57"/>
        <v>10</v>
      </c>
      <c r="E208" s="211">
        <f t="shared" si="58"/>
        <v>23</v>
      </c>
      <c r="F208" s="205">
        <v>6167.5</v>
      </c>
      <c r="G208" s="205">
        <v>12330</v>
      </c>
      <c r="H208" s="207">
        <v>1235.95</v>
      </c>
      <c r="I208" s="207">
        <v>14.72</v>
      </c>
      <c r="J208" s="207">
        <v>835.4</v>
      </c>
      <c r="K208" s="207">
        <v>1122.8</v>
      </c>
      <c r="L208" s="207"/>
    </row>
    <row r="209" spans="2:12">
      <c r="B209" s="206">
        <v>43397</v>
      </c>
      <c r="C209" s="211">
        <f t="shared" si="56"/>
        <v>2018</v>
      </c>
      <c r="D209" s="211">
        <f t="shared" si="57"/>
        <v>10</v>
      </c>
      <c r="E209" s="211">
        <f t="shared" si="58"/>
        <v>24</v>
      </c>
      <c r="F209" s="205">
        <v>6215</v>
      </c>
      <c r="G209" s="205">
        <v>12295</v>
      </c>
      <c r="H209" s="207">
        <v>1230.55</v>
      </c>
      <c r="I209" s="207">
        <v>14.75</v>
      </c>
      <c r="J209" s="207">
        <v>831.5</v>
      </c>
      <c r="K209" s="207">
        <v>1112.3</v>
      </c>
      <c r="L209" s="207"/>
    </row>
    <row r="210" spans="2:12">
      <c r="B210" s="206">
        <v>43398</v>
      </c>
      <c r="C210" s="211">
        <f t="shared" si="56"/>
        <v>2018</v>
      </c>
      <c r="D210" s="211">
        <f t="shared" si="57"/>
        <v>10</v>
      </c>
      <c r="E210" s="211">
        <f t="shared" si="58"/>
        <v>25</v>
      </c>
      <c r="F210" s="205">
        <v>6210</v>
      </c>
      <c r="G210" s="205">
        <v>12135</v>
      </c>
      <c r="H210" s="207">
        <v>1230.8</v>
      </c>
      <c r="I210" s="207">
        <v>14.75</v>
      </c>
      <c r="J210" s="207">
        <v>831.9</v>
      </c>
      <c r="K210" s="207">
        <v>1087.5999999999999</v>
      </c>
      <c r="L210" s="207"/>
    </row>
    <row r="211" spans="2:12">
      <c r="B211" s="206">
        <v>43399</v>
      </c>
      <c r="C211" s="211">
        <f t="shared" si="56"/>
        <v>2018</v>
      </c>
      <c r="D211" s="211">
        <f t="shared" si="57"/>
        <v>10</v>
      </c>
      <c r="E211" s="211">
        <f t="shared" si="58"/>
        <v>26</v>
      </c>
      <c r="F211" s="205">
        <v>6159</v>
      </c>
      <c r="G211" s="205">
        <v>11835</v>
      </c>
      <c r="H211" s="207">
        <v>1233.8499999999999</v>
      </c>
      <c r="I211" s="207">
        <v>14.69</v>
      </c>
      <c r="J211" s="207">
        <v>834.4</v>
      </c>
      <c r="K211" s="207">
        <v>1085.9000000000001</v>
      </c>
      <c r="L211" s="207"/>
    </row>
    <row r="212" spans="2:12">
      <c r="B212" s="206">
        <v>43402</v>
      </c>
      <c r="C212" s="211">
        <f t="shared" si="56"/>
        <v>2018</v>
      </c>
      <c r="D212" s="211">
        <f t="shared" si="57"/>
        <v>10</v>
      </c>
      <c r="E212" s="211">
        <f t="shared" si="58"/>
        <v>29</v>
      </c>
      <c r="F212" s="205">
        <v>6260</v>
      </c>
      <c r="G212" s="205">
        <v>11725</v>
      </c>
      <c r="H212" s="207">
        <v>1230.8</v>
      </c>
      <c r="I212" s="207">
        <v>14.65</v>
      </c>
      <c r="J212" s="207">
        <v>836.9</v>
      </c>
      <c r="K212" s="207">
        <v>1079.3</v>
      </c>
      <c r="L212" s="207"/>
    </row>
    <row r="213" spans="2:12">
      <c r="B213" s="206">
        <v>43403</v>
      </c>
      <c r="C213" s="211">
        <f t="shared" si="56"/>
        <v>2018</v>
      </c>
      <c r="D213" s="211">
        <f t="shared" si="57"/>
        <v>10</v>
      </c>
      <c r="E213" s="211">
        <f t="shared" si="58"/>
        <v>30</v>
      </c>
      <c r="F213" s="205">
        <v>6136</v>
      </c>
      <c r="G213" s="205">
        <v>11700</v>
      </c>
      <c r="H213" s="207">
        <v>1225.4000000000001</v>
      </c>
      <c r="I213" s="207">
        <v>14.43</v>
      </c>
      <c r="J213" s="207">
        <v>839</v>
      </c>
      <c r="K213" s="207">
        <v>1055</v>
      </c>
      <c r="L213" s="207"/>
    </row>
    <row r="214" spans="2:12">
      <c r="B214" s="206">
        <v>43404</v>
      </c>
      <c r="C214" s="211">
        <f t="shared" si="56"/>
        <v>2018</v>
      </c>
      <c r="D214" s="211">
        <f t="shared" si="57"/>
        <v>10</v>
      </c>
      <c r="E214" s="211">
        <f t="shared" si="58"/>
        <v>31</v>
      </c>
      <c r="F214" s="205">
        <v>6073</v>
      </c>
      <c r="G214" s="205">
        <v>11625</v>
      </c>
      <c r="H214" s="207">
        <v>1214.95</v>
      </c>
      <c r="I214" s="207">
        <v>14.34</v>
      </c>
      <c r="J214" s="207">
        <v>843</v>
      </c>
      <c r="K214" s="207">
        <v>1068.5</v>
      </c>
      <c r="L214" s="207"/>
    </row>
    <row r="215" spans="2:12">
      <c r="B215" s="206">
        <v>43405</v>
      </c>
      <c r="C215" s="211">
        <f t="shared" si="56"/>
        <v>2018</v>
      </c>
      <c r="D215" s="211">
        <f t="shared" si="57"/>
        <v>11</v>
      </c>
      <c r="E215" s="211">
        <f t="shared" si="58"/>
        <v>1</v>
      </c>
      <c r="F215" s="205">
        <v>6070</v>
      </c>
      <c r="G215" s="205">
        <v>11555</v>
      </c>
      <c r="H215" s="207">
        <v>1231.1500000000001</v>
      </c>
      <c r="I215" s="207">
        <v>14.45</v>
      </c>
      <c r="J215" s="207">
        <v>862.8</v>
      </c>
      <c r="K215" s="207">
        <v>1081.4000000000001</v>
      </c>
      <c r="L215" s="207"/>
    </row>
    <row r="216" spans="2:12">
      <c r="B216" s="206">
        <v>43406</v>
      </c>
      <c r="C216" s="211">
        <f t="shared" si="56"/>
        <v>2018</v>
      </c>
      <c r="D216" s="211">
        <f t="shared" si="57"/>
        <v>11</v>
      </c>
      <c r="E216" s="211">
        <f t="shared" si="58"/>
        <v>2</v>
      </c>
      <c r="F216" s="205">
        <v>6255</v>
      </c>
      <c r="G216" s="205">
        <v>11980</v>
      </c>
      <c r="H216" s="207">
        <v>1232.0999999999999</v>
      </c>
      <c r="I216" s="207">
        <v>14.82</v>
      </c>
      <c r="J216" s="207">
        <v>875.7</v>
      </c>
      <c r="K216" s="207">
        <v>1104.5</v>
      </c>
      <c r="L216" s="207"/>
    </row>
    <row r="217" spans="2:12">
      <c r="B217" s="206">
        <v>43409</v>
      </c>
      <c r="C217" s="211">
        <f t="shared" si="56"/>
        <v>2018</v>
      </c>
      <c r="D217" s="211">
        <f t="shared" si="57"/>
        <v>11</v>
      </c>
      <c r="E217" s="211">
        <f t="shared" si="58"/>
        <v>5</v>
      </c>
      <c r="F217" s="205">
        <v>6239</v>
      </c>
      <c r="G217" s="205">
        <v>11680</v>
      </c>
      <c r="H217" s="207">
        <v>1232.25</v>
      </c>
      <c r="I217" s="207">
        <v>14.74</v>
      </c>
      <c r="J217" s="207">
        <v>869.4</v>
      </c>
      <c r="K217" s="207">
        <v>1121.5999999999999</v>
      </c>
      <c r="L217" s="207"/>
    </row>
    <row r="218" spans="2:12">
      <c r="B218" s="206">
        <v>43410</v>
      </c>
      <c r="C218" s="211">
        <f t="shared" si="56"/>
        <v>2018</v>
      </c>
      <c r="D218" s="211">
        <f t="shared" si="57"/>
        <v>11</v>
      </c>
      <c r="E218" s="211">
        <f t="shared" si="58"/>
        <v>6</v>
      </c>
      <c r="F218" s="205">
        <v>6205</v>
      </c>
      <c r="G218" s="205">
        <v>11820</v>
      </c>
      <c r="H218" s="207">
        <v>1231.5999999999999</v>
      </c>
      <c r="I218" s="207">
        <v>14.7</v>
      </c>
      <c r="J218" s="207">
        <v>871.5</v>
      </c>
      <c r="K218" s="207">
        <v>1095.3</v>
      </c>
      <c r="L218" s="207"/>
    </row>
    <row r="219" spans="2:12">
      <c r="B219" s="206">
        <v>43411</v>
      </c>
      <c r="C219" s="211">
        <f t="shared" si="56"/>
        <v>2018</v>
      </c>
      <c r="D219" s="211">
        <f t="shared" si="57"/>
        <v>11</v>
      </c>
      <c r="E219" s="211">
        <f t="shared" si="58"/>
        <v>7</v>
      </c>
      <c r="F219" s="205">
        <v>6210</v>
      </c>
      <c r="G219" s="205">
        <v>11670</v>
      </c>
      <c r="H219" s="207">
        <v>1229.95</v>
      </c>
      <c r="I219" s="207">
        <v>14.67</v>
      </c>
      <c r="J219" s="207">
        <v>878.8</v>
      </c>
      <c r="K219" s="207">
        <v>1120.7</v>
      </c>
      <c r="L219" s="207"/>
    </row>
    <row r="220" spans="2:12">
      <c r="B220" s="206">
        <v>43412</v>
      </c>
      <c r="C220" s="211">
        <f t="shared" si="56"/>
        <v>2018</v>
      </c>
      <c r="D220" s="211">
        <f t="shared" si="57"/>
        <v>11</v>
      </c>
      <c r="E220" s="211">
        <f t="shared" si="58"/>
        <v>8</v>
      </c>
      <c r="F220" s="205">
        <v>6137</v>
      </c>
      <c r="G220" s="205">
        <v>11615</v>
      </c>
      <c r="H220" s="207">
        <v>1224.1500000000001</v>
      </c>
      <c r="I220" s="207">
        <v>14.49</v>
      </c>
      <c r="J220" s="207">
        <v>870.3</v>
      </c>
      <c r="K220" s="207">
        <v>1116.0999999999999</v>
      </c>
      <c r="L220" s="207"/>
    </row>
    <row r="221" spans="2:12">
      <c r="B221" s="206">
        <v>43413</v>
      </c>
      <c r="C221" s="211">
        <f t="shared" si="56"/>
        <v>2018</v>
      </c>
      <c r="D221" s="211">
        <f t="shared" si="57"/>
        <v>11</v>
      </c>
      <c r="E221" s="211">
        <f t="shared" si="58"/>
        <v>9</v>
      </c>
      <c r="F221" s="205">
        <v>6088</v>
      </c>
      <c r="G221" s="205">
        <v>11470</v>
      </c>
      <c r="H221" s="207">
        <v>1211.4000000000001</v>
      </c>
      <c r="I221" s="207">
        <v>14.34</v>
      </c>
      <c r="J221" s="207">
        <v>856</v>
      </c>
      <c r="K221" s="207">
        <v>1097.5</v>
      </c>
      <c r="L221" s="207"/>
    </row>
    <row r="222" spans="2:12">
      <c r="B222" s="206">
        <v>43416</v>
      </c>
      <c r="C222" s="211">
        <f t="shared" si="56"/>
        <v>2018</v>
      </c>
      <c r="D222" s="211">
        <f t="shared" si="57"/>
        <v>11</v>
      </c>
      <c r="E222" s="211">
        <f t="shared" si="58"/>
        <v>12</v>
      </c>
      <c r="F222" s="205">
        <v>6083.5</v>
      </c>
      <c r="G222" s="205">
        <v>11290</v>
      </c>
      <c r="H222" s="207">
        <v>1205.55</v>
      </c>
      <c r="I222" s="207">
        <v>14.16</v>
      </c>
      <c r="J222" s="207">
        <v>845.3</v>
      </c>
      <c r="K222" s="207">
        <v>1085.5999999999999</v>
      </c>
      <c r="L222" s="207"/>
    </row>
    <row r="223" spans="2:12">
      <c r="B223" s="206">
        <v>43417</v>
      </c>
      <c r="C223" s="211">
        <f t="shared" si="56"/>
        <v>2018</v>
      </c>
      <c r="D223" s="211">
        <f t="shared" si="57"/>
        <v>11</v>
      </c>
      <c r="E223" s="211">
        <f t="shared" si="58"/>
        <v>13</v>
      </c>
      <c r="F223" s="205">
        <v>6130</v>
      </c>
      <c r="G223" s="205">
        <v>11370</v>
      </c>
      <c r="H223" s="207">
        <v>1202.0999999999999</v>
      </c>
      <c r="I223" s="207">
        <v>14.02</v>
      </c>
      <c r="J223" s="207">
        <v>841.3</v>
      </c>
      <c r="K223" s="207">
        <v>1092.0999999999999</v>
      </c>
      <c r="L223" s="207"/>
    </row>
    <row r="224" spans="2:12">
      <c r="B224" s="206">
        <v>43418</v>
      </c>
      <c r="C224" s="211">
        <f t="shared" si="56"/>
        <v>2018</v>
      </c>
      <c r="D224" s="211">
        <f t="shared" si="57"/>
        <v>11</v>
      </c>
      <c r="E224" s="211">
        <f t="shared" si="58"/>
        <v>14</v>
      </c>
      <c r="F224" s="205">
        <v>6106</v>
      </c>
      <c r="G224" s="205">
        <v>11225</v>
      </c>
      <c r="H224" s="207">
        <v>1203.25</v>
      </c>
      <c r="I224" s="207">
        <v>13.97</v>
      </c>
      <c r="J224" s="207">
        <v>833.8</v>
      </c>
      <c r="K224" s="207">
        <v>1110.2</v>
      </c>
      <c r="L224" s="207"/>
    </row>
    <row r="225" spans="2:12">
      <c r="B225" s="206">
        <v>43419</v>
      </c>
      <c r="C225" s="211">
        <f t="shared" si="56"/>
        <v>2018</v>
      </c>
      <c r="D225" s="211">
        <f t="shared" si="57"/>
        <v>11</v>
      </c>
      <c r="E225" s="211">
        <f t="shared" si="58"/>
        <v>15</v>
      </c>
      <c r="F225" s="205">
        <v>6188</v>
      </c>
      <c r="G225" s="205">
        <v>11340</v>
      </c>
      <c r="H225" s="207">
        <v>1211.8499999999999</v>
      </c>
      <c r="I225" s="207">
        <v>14.13</v>
      </c>
      <c r="J225" s="207">
        <v>845.3</v>
      </c>
      <c r="K225" s="207">
        <v>1137.4000000000001</v>
      </c>
      <c r="L225" s="207"/>
    </row>
    <row r="226" spans="2:12">
      <c r="B226" s="206">
        <v>43420</v>
      </c>
      <c r="C226" s="211">
        <f t="shared" si="56"/>
        <v>2018</v>
      </c>
      <c r="D226" s="211">
        <f t="shared" si="57"/>
        <v>11</v>
      </c>
      <c r="E226" s="211">
        <f t="shared" si="58"/>
        <v>16</v>
      </c>
      <c r="F226" s="205">
        <v>6181</v>
      </c>
      <c r="G226" s="205">
        <v>11280</v>
      </c>
      <c r="H226" s="207">
        <v>1222.4000000000001</v>
      </c>
      <c r="I226" s="207">
        <v>14.29</v>
      </c>
      <c r="J226" s="207">
        <v>846.6</v>
      </c>
      <c r="K226" s="207">
        <v>1154.5999999999999</v>
      </c>
      <c r="L226" s="207"/>
    </row>
    <row r="227" spans="2:12">
      <c r="B227" s="206">
        <v>43423</v>
      </c>
      <c r="C227" s="211">
        <f t="shared" si="56"/>
        <v>2018</v>
      </c>
      <c r="D227" s="211">
        <f t="shared" si="57"/>
        <v>11</v>
      </c>
      <c r="E227" s="211">
        <f t="shared" si="58"/>
        <v>19</v>
      </c>
      <c r="F227" s="205">
        <v>6260</v>
      </c>
      <c r="G227" s="205">
        <v>11200</v>
      </c>
      <c r="H227" s="207">
        <v>1221.5999999999999</v>
      </c>
      <c r="I227" s="207">
        <v>14.36</v>
      </c>
      <c r="J227" s="207">
        <v>857.6</v>
      </c>
      <c r="K227" s="207">
        <v>1141.3</v>
      </c>
      <c r="L227" s="207"/>
    </row>
    <row r="228" spans="2:12">
      <c r="B228" s="206">
        <v>43424</v>
      </c>
      <c r="C228" s="211">
        <f t="shared" si="56"/>
        <v>2018</v>
      </c>
      <c r="D228" s="211">
        <f t="shared" si="57"/>
        <v>11</v>
      </c>
      <c r="E228" s="211">
        <f t="shared" si="58"/>
        <v>20</v>
      </c>
      <c r="F228" s="205">
        <v>6262</v>
      </c>
      <c r="G228" s="205">
        <v>11190</v>
      </c>
      <c r="H228" s="207">
        <v>1223</v>
      </c>
      <c r="I228" s="207">
        <v>14.44</v>
      </c>
      <c r="J228" s="207">
        <v>847</v>
      </c>
      <c r="K228" s="207">
        <v>1126.0999999999999</v>
      </c>
      <c r="L228" s="207"/>
    </row>
    <row r="229" spans="2:12">
      <c r="B229" s="206">
        <v>43425</v>
      </c>
      <c r="C229" s="211">
        <f t="shared" si="56"/>
        <v>2018</v>
      </c>
      <c r="D229" s="211">
        <f t="shared" si="57"/>
        <v>11</v>
      </c>
      <c r="E229" s="211">
        <f t="shared" si="58"/>
        <v>21</v>
      </c>
      <c r="F229" s="205">
        <v>6242</v>
      </c>
      <c r="G229" s="205">
        <v>11085</v>
      </c>
      <c r="H229" s="207">
        <v>1226.0999999999999</v>
      </c>
      <c r="I229" s="207">
        <v>14.42</v>
      </c>
      <c r="J229" s="207">
        <v>850.6</v>
      </c>
      <c r="K229" s="207">
        <v>1133.2</v>
      </c>
      <c r="L229" s="207"/>
    </row>
    <row r="230" spans="2:12">
      <c r="B230" s="206">
        <v>43426</v>
      </c>
      <c r="C230" s="211">
        <f t="shared" si="56"/>
        <v>2018</v>
      </c>
      <c r="D230" s="211">
        <f t="shared" si="57"/>
        <v>11</v>
      </c>
      <c r="E230" s="211">
        <f t="shared" si="58"/>
        <v>22</v>
      </c>
      <c r="F230" s="205">
        <v>6246</v>
      </c>
      <c r="G230" s="205">
        <v>10970</v>
      </c>
      <c r="H230" s="207">
        <v>1227.05</v>
      </c>
      <c r="I230" s="207">
        <v>14.52</v>
      </c>
      <c r="J230" s="207" t="s">
        <v>338</v>
      </c>
      <c r="K230" s="207" t="s">
        <v>338</v>
      </c>
      <c r="L230" s="207"/>
    </row>
    <row r="231" spans="2:12">
      <c r="B231" s="206">
        <v>43427</v>
      </c>
      <c r="C231" s="211">
        <f t="shared" si="56"/>
        <v>2018</v>
      </c>
      <c r="D231" s="211">
        <f t="shared" si="57"/>
        <v>11</v>
      </c>
      <c r="E231" s="211">
        <f t="shared" si="58"/>
        <v>23</v>
      </c>
      <c r="F231" s="205">
        <v>6210</v>
      </c>
      <c r="G231" s="205">
        <v>10710</v>
      </c>
      <c r="H231" s="207">
        <v>1223.6500000000001</v>
      </c>
      <c r="I231" s="207">
        <v>14.26</v>
      </c>
      <c r="J231" s="207">
        <v>845</v>
      </c>
      <c r="K231" s="207">
        <v>1114.5</v>
      </c>
      <c r="L231" s="207"/>
    </row>
    <row r="232" spans="2:12">
      <c r="B232" s="206">
        <v>43430</v>
      </c>
      <c r="C232" s="211">
        <f t="shared" si="56"/>
        <v>2018</v>
      </c>
      <c r="D232" s="211">
        <f t="shared" si="57"/>
        <v>11</v>
      </c>
      <c r="E232" s="211">
        <f t="shared" si="58"/>
        <v>26</v>
      </c>
      <c r="F232" s="205">
        <v>6246</v>
      </c>
      <c r="G232" s="205">
        <v>10770</v>
      </c>
      <c r="H232" s="207">
        <v>1223.4000000000001</v>
      </c>
      <c r="I232" s="207">
        <v>14.38</v>
      </c>
      <c r="J232" s="207">
        <v>847.8</v>
      </c>
      <c r="K232" s="207">
        <v>1124.7</v>
      </c>
      <c r="L232" s="207"/>
    </row>
    <row r="233" spans="2:12">
      <c r="B233" s="206">
        <v>43431</v>
      </c>
      <c r="C233" s="211">
        <f t="shared" si="56"/>
        <v>2018</v>
      </c>
      <c r="D233" s="211">
        <f t="shared" si="57"/>
        <v>11</v>
      </c>
      <c r="E233" s="211">
        <f t="shared" si="58"/>
        <v>27</v>
      </c>
      <c r="F233" s="205">
        <v>6169.5</v>
      </c>
      <c r="G233" s="205">
        <v>10710</v>
      </c>
      <c r="H233" s="207">
        <v>1221.2</v>
      </c>
      <c r="I233" s="207">
        <v>14.28</v>
      </c>
      <c r="J233" s="207">
        <v>835.3</v>
      </c>
      <c r="K233" s="207">
        <v>1124.74</v>
      </c>
      <c r="L233" s="207"/>
    </row>
    <row r="234" spans="2:12">
      <c r="B234" s="206">
        <v>43432</v>
      </c>
      <c r="C234" s="211">
        <f t="shared" si="56"/>
        <v>2018</v>
      </c>
      <c r="D234" s="211">
        <f t="shared" si="57"/>
        <v>11</v>
      </c>
      <c r="E234" s="211">
        <f t="shared" si="58"/>
        <v>28</v>
      </c>
      <c r="F234" s="205">
        <v>6198</v>
      </c>
      <c r="G234" s="205">
        <v>10735</v>
      </c>
      <c r="H234" s="207">
        <v>1213.25</v>
      </c>
      <c r="I234" s="207">
        <v>14.15</v>
      </c>
      <c r="J234" s="207">
        <v>826.3</v>
      </c>
      <c r="K234" s="207">
        <v>1153.94</v>
      </c>
      <c r="L234" s="207"/>
    </row>
    <row r="235" spans="2:12">
      <c r="B235" s="206">
        <v>43433</v>
      </c>
      <c r="C235" s="211">
        <f t="shared" si="56"/>
        <v>2018</v>
      </c>
      <c r="D235" s="211">
        <f t="shared" si="57"/>
        <v>11</v>
      </c>
      <c r="E235" s="211">
        <f t="shared" si="58"/>
        <v>29</v>
      </c>
      <c r="F235" s="205">
        <v>6282</v>
      </c>
      <c r="G235" s="205">
        <v>10890</v>
      </c>
      <c r="H235" s="207">
        <v>1226.25</v>
      </c>
      <c r="I235" s="207">
        <v>14.27</v>
      </c>
      <c r="J235" s="207">
        <v>820.9</v>
      </c>
      <c r="K235" s="207">
        <v>1156.2</v>
      </c>
      <c r="L235" s="207"/>
    </row>
    <row r="236" spans="2:12">
      <c r="B236" s="206">
        <v>43434</v>
      </c>
      <c r="C236" s="211">
        <f t="shared" si="56"/>
        <v>2018</v>
      </c>
      <c r="D236" s="211">
        <f t="shared" si="57"/>
        <v>11</v>
      </c>
      <c r="E236" s="211">
        <f t="shared" si="58"/>
        <v>30</v>
      </c>
      <c r="F236" s="205">
        <v>6238</v>
      </c>
      <c r="G236" s="205">
        <v>11020</v>
      </c>
      <c r="H236" s="207">
        <v>1217.55</v>
      </c>
      <c r="I236" s="207">
        <v>14.24</v>
      </c>
      <c r="J236" s="207">
        <v>799.8</v>
      </c>
      <c r="K236" s="207">
        <v>1149.4000000000001</v>
      </c>
      <c r="L236" s="207"/>
    </row>
    <row r="237" spans="2:12">
      <c r="B237" s="206">
        <v>43437</v>
      </c>
      <c r="C237" s="211">
        <f t="shared" si="56"/>
        <v>2018</v>
      </c>
      <c r="D237" s="211">
        <f t="shared" si="57"/>
        <v>12</v>
      </c>
      <c r="E237" s="211">
        <f t="shared" si="58"/>
        <v>3</v>
      </c>
      <c r="F237" s="205">
        <v>6307</v>
      </c>
      <c r="G237" s="205">
        <v>11200</v>
      </c>
      <c r="H237" s="207">
        <v>1230.3</v>
      </c>
      <c r="I237" s="207">
        <v>14.39</v>
      </c>
      <c r="J237" s="207">
        <v>810.7</v>
      </c>
      <c r="K237" s="207">
        <v>1165.5999999999999</v>
      </c>
      <c r="L237" s="207"/>
    </row>
    <row r="238" spans="2:12">
      <c r="B238" s="206">
        <v>43438</v>
      </c>
      <c r="C238" s="211">
        <f t="shared" si="56"/>
        <v>2018</v>
      </c>
      <c r="D238" s="211">
        <f t="shared" si="57"/>
        <v>12</v>
      </c>
      <c r="E238" s="211">
        <f t="shared" si="58"/>
        <v>4</v>
      </c>
      <c r="F238" s="205">
        <v>6278</v>
      </c>
      <c r="G238" s="205">
        <v>11265</v>
      </c>
      <c r="H238" s="207">
        <v>1240.3</v>
      </c>
      <c r="I238" s="207">
        <v>14.55</v>
      </c>
      <c r="J238" s="207">
        <v>804.2</v>
      </c>
      <c r="K238" s="207">
        <v>1180.2</v>
      </c>
      <c r="L238" s="207"/>
    </row>
    <row r="239" spans="2:12">
      <c r="B239" s="206">
        <v>43439</v>
      </c>
      <c r="C239" s="211">
        <f t="shared" si="56"/>
        <v>2018</v>
      </c>
      <c r="D239" s="211">
        <f t="shared" si="57"/>
        <v>12</v>
      </c>
      <c r="E239" s="211">
        <f t="shared" si="58"/>
        <v>5</v>
      </c>
      <c r="F239" s="205">
        <v>6162</v>
      </c>
      <c r="G239" s="205">
        <v>11020</v>
      </c>
      <c r="H239" s="207">
        <v>1235.9000000000001</v>
      </c>
      <c r="I239" s="207">
        <v>14.48</v>
      </c>
      <c r="J239" s="207">
        <v>802</v>
      </c>
      <c r="K239" s="207">
        <v>1184.4000000000001</v>
      </c>
      <c r="L239" s="207"/>
    </row>
    <row r="240" spans="2:12">
      <c r="B240" s="206">
        <v>43440</v>
      </c>
      <c r="C240" s="211">
        <f t="shared" si="56"/>
        <v>2018</v>
      </c>
      <c r="D240" s="211">
        <f t="shared" si="57"/>
        <v>12</v>
      </c>
      <c r="E240" s="211">
        <f t="shared" si="58"/>
        <v>6</v>
      </c>
      <c r="F240" s="205">
        <v>6112</v>
      </c>
      <c r="G240" s="205">
        <v>10855</v>
      </c>
      <c r="H240" s="207">
        <v>1242.55</v>
      </c>
      <c r="I240" s="207">
        <v>14.38</v>
      </c>
      <c r="J240" s="207">
        <v>789.6</v>
      </c>
      <c r="K240" s="207">
        <v>1141.9000000000001</v>
      </c>
      <c r="L240" s="207"/>
    </row>
    <row r="241" spans="2:12">
      <c r="B241" s="206">
        <v>43441</v>
      </c>
      <c r="C241" s="211">
        <f t="shared" si="56"/>
        <v>2018</v>
      </c>
      <c r="D241" s="211">
        <f t="shared" si="57"/>
        <v>12</v>
      </c>
      <c r="E241" s="211">
        <f t="shared" si="58"/>
        <v>7</v>
      </c>
      <c r="F241" s="205">
        <v>6173</v>
      </c>
      <c r="G241" s="205">
        <v>10815</v>
      </c>
      <c r="H241" s="207">
        <v>1243.3</v>
      </c>
      <c r="I241" s="207">
        <v>14.49</v>
      </c>
      <c r="J241" s="207">
        <v>790.4</v>
      </c>
      <c r="K241" s="207">
        <v>1170.8</v>
      </c>
      <c r="L241" s="207"/>
    </row>
    <row r="242" spans="2:12">
      <c r="B242" s="206">
        <v>43444</v>
      </c>
      <c r="C242" s="211">
        <f t="shared" si="56"/>
        <v>2018</v>
      </c>
      <c r="D242" s="211">
        <f t="shared" si="57"/>
        <v>12</v>
      </c>
      <c r="E242" s="211">
        <f t="shared" si="58"/>
        <v>10</v>
      </c>
      <c r="F242" s="205">
        <v>6112</v>
      </c>
      <c r="G242" s="205">
        <v>10740</v>
      </c>
      <c r="H242" s="207">
        <v>1245.3499999999999</v>
      </c>
      <c r="I242" s="207">
        <v>14.53</v>
      </c>
      <c r="J242" s="207">
        <v>782.1</v>
      </c>
      <c r="K242" s="207">
        <v>1158.7</v>
      </c>
      <c r="L242" s="207"/>
    </row>
    <row r="243" spans="2:12">
      <c r="B243" s="206">
        <v>43445</v>
      </c>
      <c r="C243" s="211">
        <f t="shared" si="56"/>
        <v>2018</v>
      </c>
      <c r="D243" s="211">
        <f t="shared" si="57"/>
        <v>12</v>
      </c>
      <c r="E243" s="211">
        <f t="shared" si="58"/>
        <v>11</v>
      </c>
      <c r="F243" s="205">
        <v>6163</v>
      </c>
      <c r="G243" s="205">
        <v>10765</v>
      </c>
      <c r="H243" s="207">
        <v>1245.3</v>
      </c>
      <c r="I243" s="207">
        <v>14.64</v>
      </c>
      <c r="J243" s="207">
        <v>785.5</v>
      </c>
      <c r="K243" s="207">
        <v>1177.3</v>
      </c>
      <c r="L243" s="207"/>
    </row>
    <row r="244" spans="2:12">
      <c r="B244" s="206">
        <v>43446</v>
      </c>
      <c r="C244" s="211">
        <f t="shared" si="56"/>
        <v>2018</v>
      </c>
      <c r="D244" s="211">
        <f t="shared" si="57"/>
        <v>12</v>
      </c>
      <c r="E244" s="211">
        <f t="shared" si="58"/>
        <v>12</v>
      </c>
      <c r="F244" s="205">
        <v>6151</v>
      </c>
      <c r="G244" s="205">
        <v>10720</v>
      </c>
      <c r="H244" s="207">
        <v>1245.75</v>
      </c>
      <c r="I244" s="207">
        <v>14.66</v>
      </c>
      <c r="J244" s="207">
        <v>807.1</v>
      </c>
      <c r="K244" s="207">
        <v>1194.5</v>
      </c>
      <c r="L244" s="207"/>
    </row>
    <row r="245" spans="2:12">
      <c r="B245" s="206">
        <v>43447</v>
      </c>
      <c r="C245" s="211">
        <f t="shared" si="56"/>
        <v>2018</v>
      </c>
      <c r="D245" s="211">
        <f t="shared" si="57"/>
        <v>12</v>
      </c>
      <c r="E245" s="211">
        <f t="shared" si="58"/>
        <v>13</v>
      </c>
      <c r="F245" s="205">
        <v>6196</v>
      </c>
      <c r="G245" s="205">
        <v>10800</v>
      </c>
      <c r="H245" s="207">
        <v>1242.75</v>
      </c>
      <c r="I245" s="207">
        <v>14.68</v>
      </c>
      <c r="J245" s="207">
        <v>797.5</v>
      </c>
      <c r="K245" s="207">
        <v>1190.7</v>
      </c>
      <c r="L245" s="207"/>
    </row>
    <row r="246" spans="2:12">
      <c r="B246" s="206">
        <v>43448</v>
      </c>
      <c r="C246" s="211">
        <f t="shared" si="56"/>
        <v>2018</v>
      </c>
      <c r="D246" s="211">
        <f t="shared" si="57"/>
        <v>12</v>
      </c>
      <c r="E246" s="211">
        <f t="shared" si="58"/>
        <v>14</v>
      </c>
      <c r="F246" s="205">
        <v>6104</v>
      </c>
      <c r="G246" s="205">
        <v>10740</v>
      </c>
      <c r="H246" s="207">
        <v>1235.3499999999999</v>
      </c>
      <c r="I246" s="207">
        <v>14.58</v>
      </c>
      <c r="J246" s="207">
        <v>785.3</v>
      </c>
      <c r="K246" s="207">
        <v>1171.5999999999999</v>
      </c>
      <c r="L246" s="207"/>
    </row>
    <row r="247" spans="2:12">
      <c r="B247" s="206">
        <v>43451</v>
      </c>
      <c r="C247" s="211">
        <f t="shared" si="56"/>
        <v>2018</v>
      </c>
      <c r="D247" s="211">
        <f t="shared" si="57"/>
        <v>12</v>
      </c>
      <c r="E247" s="211">
        <f t="shared" si="58"/>
        <v>17</v>
      </c>
      <c r="F247" s="205">
        <v>6095.5</v>
      </c>
      <c r="G247" s="205">
        <v>10935</v>
      </c>
      <c r="H247" s="207">
        <v>1241.6500000000001</v>
      </c>
      <c r="I247" s="207">
        <v>14.6</v>
      </c>
      <c r="J247" s="207">
        <v>795.9</v>
      </c>
      <c r="K247" s="207">
        <v>1182</v>
      </c>
      <c r="L247" s="207"/>
    </row>
    <row r="248" spans="2:12">
      <c r="B248" s="206">
        <v>43452</v>
      </c>
      <c r="C248" s="211">
        <f t="shared" si="56"/>
        <v>2018</v>
      </c>
      <c r="D248" s="211">
        <f t="shared" si="57"/>
        <v>12</v>
      </c>
      <c r="E248" s="211">
        <f t="shared" si="58"/>
        <v>18</v>
      </c>
      <c r="F248" s="205">
        <v>6043</v>
      </c>
      <c r="G248" s="205">
        <v>10885</v>
      </c>
      <c r="H248" s="207">
        <v>1246.3</v>
      </c>
      <c r="I248" s="207">
        <v>14.66</v>
      </c>
      <c r="J248" s="207">
        <v>794.8</v>
      </c>
      <c r="K248" s="207">
        <v>1179.2</v>
      </c>
      <c r="L248" s="207"/>
    </row>
    <row r="249" spans="2:12">
      <c r="B249" s="206">
        <v>43453</v>
      </c>
      <c r="C249" s="211">
        <f t="shared" si="56"/>
        <v>2018</v>
      </c>
      <c r="D249" s="211">
        <f t="shared" si="57"/>
        <v>12</v>
      </c>
      <c r="E249" s="211">
        <f t="shared" si="58"/>
        <v>19</v>
      </c>
      <c r="F249" s="205">
        <v>5987</v>
      </c>
      <c r="G249" s="205">
        <v>10775</v>
      </c>
      <c r="H249" s="207">
        <v>1255</v>
      </c>
      <c r="I249" s="207">
        <v>14.65</v>
      </c>
      <c r="J249" s="207">
        <v>796</v>
      </c>
      <c r="K249" s="207">
        <v>1201.3</v>
      </c>
      <c r="L249" s="207"/>
    </row>
    <row r="250" spans="2:12">
      <c r="B250" s="206">
        <v>43454</v>
      </c>
      <c r="C250" s="211">
        <f t="shared" si="56"/>
        <v>2018</v>
      </c>
      <c r="D250" s="211">
        <f t="shared" si="57"/>
        <v>12</v>
      </c>
      <c r="E250" s="211">
        <f t="shared" si="58"/>
        <v>20</v>
      </c>
      <c r="F250" s="205">
        <v>6015</v>
      </c>
      <c r="G250" s="205">
        <v>10885</v>
      </c>
      <c r="H250" s="207">
        <v>1259.75</v>
      </c>
      <c r="I250" s="207">
        <v>14.77</v>
      </c>
      <c r="J250" s="207">
        <v>795.8</v>
      </c>
      <c r="K250" s="207">
        <v>1191.9000000000001</v>
      </c>
      <c r="L250" s="207"/>
    </row>
    <row r="251" spans="2:12">
      <c r="B251" s="206">
        <v>43455</v>
      </c>
      <c r="C251" s="211">
        <f t="shared" si="56"/>
        <v>2018</v>
      </c>
      <c r="D251" s="211">
        <f t="shared" si="57"/>
        <v>12</v>
      </c>
      <c r="E251" s="211">
        <f t="shared" si="58"/>
        <v>21</v>
      </c>
      <c r="F251" s="205">
        <v>5987</v>
      </c>
      <c r="G251" s="205">
        <v>10785</v>
      </c>
      <c r="H251" s="207">
        <v>1258.1500000000001</v>
      </c>
      <c r="I251" s="207">
        <v>14.69</v>
      </c>
      <c r="J251" s="207">
        <v>795.8</v>
      </c>
      <c r="K251" s="207">
        <v>1158.7</v>
      </c>
      <c r="L251" s="207"/>
    </row>
    <row r="252" spans="2:12">
      <c r="B252" s="206">
        <v>43458</v>
      </c>
      <c r="C252" s="211">
        <f t="shared" si="56"/>
        <v>2018</v>
      </c>
      <c r="D252" s="211">
        <f t="shared" si="57"/>
        <v>12</v>
      </c>
      <c r="E252" s="211">
        <f t="shared" si="58"/>
        <v>24</v>
      </c>
      <c r="F252" s="205">
        <v>5931.5</v>
      </c>
      <c r="G252" s="205">
        <v>10800</v>
      </c>
      <c r="H252" s="207" t="s">
        <v>338</v>
      </c>
      <c r="I252" s="207">
        <v>14.68</v>
      </c>
      <c r="J252" s="207">
        <v>789.4</v>
      </c>
      <c r="K252" s="207">
        <v>1176.0999999999999</v>
      </c>
      <c r="L252" s="207"/>
    </row>
    <row r="253" spans="2:12">
      <c r="B253" s="206">
        <v>43461</v>
      </c>
      <c r="C253" s="211">
        <f t="shared" si="56"/>
        <v>2018</v>
      </c>
      <c r="D253" s="211">
        <f t="shared" si="57"/>
        <v>12</v>
      </c>
      <c r="E253" s="211">
        <f t="shared" si="58"/>
        <v>27</v>
      </c>
      <c r="F253" s="205">
        <v>5990</v>
      </c>
      <c r="G253" s="205">
        <v>10650</v>
      </c>
      <c r="H253" s="207">
        <v>1268</v>
      </c>
      <c r="I253" s="207">
        <v>15.06</v>
      </c>
      <c r="J253" s="207">
        <v>798.22</v>
      </c>
      <c r="K253" s="207">
        <v>1194.5</v>
      </c>
      <c r="L253" s="207"/>
    </row>
    <row r="254" spans="2:12">
      <c r="B254" s="206">
        <v>43462</v>
      </c>
      <c r="C254" s="211">
        <f t="shared" si="56"/>
        <v>2018</v>
      </c>
      <c r="D254" s="211">
        <f t="shared" si="57"/>
        <v>12</v>
      </c>
      <c r="E254" s="211">
        <f t="shared" si="58"/>
        <v>28</v>
      </c>
      <c r="F254" s="205">
        <v>6018</v>
      </c>
      <c r="G254" s="205">
        <v>10670</v>
      </c>
      <c r="H254" s="207">
        <v>1279</v>
      </c>
      <c r="I254" s="207">
        <v>15.3</v>
      </c>
      <c r="J254" s="207">
        <v>793.68</v>
      </c>
      <c r="K254" s="207">
        <v>1183.4000000000001</v>
      </c>
      <c r="L254" s="207"/>
    </row>
    <row r="255" spans="2:12">
      <c r="B255" s="206">
        <v>43465</v>
      </c>
      <c r="C255" s="211">
        <f t="shared" si="56"/>
        <v>2018</v>
      </c>
      <c r="D255" s="211">
        <f t="shared" si="57"/>
        <v>12</v>
      </c>
      <c r="E255" s="211">
        <f t="shared" si="58"/>
        <v>31</v>
      </c>
      <c r="F255" s="205">
        <v>5965</v>
      </c>
      <c r="G255" s="205">
        <v>10595</v>
      </c>
      <c r="H255" s="207" t="s">
        <v>338</v>
      </c>
      <c r="I255" s="207">
        <v>15.47</v>
      </c>
      <c r="J255" s="207">
        <v>799.66</v>
      </c>
      <c r="K255" s="207">
        <v>1197.2</v>
      </c>
      <c r="L255" s="207"/>
    </row>
    <row r="256" spans="2:12">
      <c r="B256" s="206">
        <v>43467</v>
      </c>
      <c r="C256" s="211">
        <f t="shared" si="56"/>
        <v>2019</v>
      </c>
      <c r="D256" s="211">
        <f t="shared" si="57"/>
        <v>1</v>
      </c>
      <c r="E256" s="211">
        <f t="shared" si="58"/>
        <v>2</v>
      </c>
      <c r="F256" s="205">
        <v>5839</v>
      </c>
      <c r="G256" s="205">
        <v>10440</v>
      </c>
      <c r="H256" s="207">
        <v>1282.9000000000001</v>
      </c>
      <c r="I256" s="207">
        <v>15.24</v>
      </c>
      <c r="J256" s="207">
        <v>804</v>
      </c>
      <c r="K256" s="207">
        <v>1198.8</v>
      </c>
      <c r="L256" s="207"/>
    </row>
    <row r="257" spans="2:12">
      <c r="B257" s="206">
        <v>43468</v>
      </c>
      <c r="C257" s="211">
        <f t="shared" si="56"/>
        <v>2019</v>
      </c>
      <c r="D257" s="211">
        <f t="shared" si="57"/>
        <v>1</v>
      </c>
      <c r="E257" s="211">
        <f t="shared" si="58"/>
        <v>3</v>
      </c>
      <c r="F257" s="205">
        <v>5811</v>
      </c>
      <c r="G257" s="205">
        <v>10715</v>
      </c>
      <c r="H257" s="207">
        <v>1290.45</v>
      </c>
      <c r="I257" s="207">
        <v>15.54</v>
      </c>
      <c r="J257" s="207">
        <v>799.3</v>
      </c>
      <c r="K257" s="207">
        <v>1200.3</v>
      </c>
      <c r="L257" s="207"/>
    </row>
    <row r="258" spans="2:12">
      <c r="B258" s="206">
        <v>43469</v>
      </c>
      <c r="C258" s="211">
        <f t="shared" si="56"/>
        <v>2019</v>
      </c>
      <c r="D258" s="211">
        <f t="shared" si="57"/>
        <v>1</v>
      </c>
      <c r="E258" s="211">
        <f t="shared" si="58"/>
        <v>4</v>
      </c>
      <c r="F258" s="205">
        <v>5840</v>
      </c>
      <c r="G258" s="205">
        <v>10920</v>
      </c>
      <c r="H258" s="207">
        <v>1279.9000000000001</v>
      </c>
      <c r="I258" s="207">
        <v>15.71</v>
      </c>
      <c r="J258" s="207">
        <v>827.2</v>
      </c>
      <c r="K258" s="207">
        <v>1234.4000000000001</v>
      </c>
      <c r="L258" s="207"/>
    </row>
    <row r="259" spans="2:12">
      <c r="B259" s="206">
        <v>43472</v>
      </c>
      <c r="C259" s="211">
        <f t="shared" si="56"/>
        <v>2019</v>
      </c>
      <c r="D259" s="211">
        <f t="shared" si="57"/>
        <v>1</v>
      </c>
      <c r="E259" s="211">
        <f t="shared" si="58"/>
        <v>7</v>
      </c>
      <c r="F259" s="205">
        <v>5889.5</v>
      </c>
      <c r="G259" s="205">
        <v>11040</v>
      </c>
      <c r="H259" s="207">
        <v>1292.2</v>
      </c>
      <c r="I259" s="207">
        <v>15.75</v>
      </c>
      <c r="J259" s="207">
        <v>824.3</v>
      </c>
      <c r="K259" s="207">
        <v>1240.2</v>
      </c>
      <c r="L259" s="207"/>
    </row>
    <row r="260" spans="2:12">
      <c r="B260" s="206">
        <v>43473</v>
      </c>
      <c r="C260" s="211">
        <f t="shared" ref="C260:C323" si="59">YEAR(B260)</f>
        <v>2019</v>
      </c>
      <c r="D260" s="211">
        <f t="shared" ref="D260:D323" si="60">MONTH(B260)</f>
        <v>1</v>
      </c>
      <c r="E260" s="211">
        <f t="shared" ref="E260:E323" si="61">DAY(B260)</f>
        <v>8</v>
      </c>
      <c r="F260" s="205">
        <v>5904.5</v>
      </c>
      <c r="G260" s="205">
        <v>11055</v>
      </c>
      <c r="H260" s="207">
        <v>1286.45</v>
      </c>
      <c r="I260" s="207">
        <v>15.64</v>
      </c>
      <c r="J260" s="207">
        <v>821.8</v>
      </c>
      <c r="K260" s="207">
        <v>1261.4000000000001</v>
      </c>
      <c r="L260" s="207"/>
    </row>
    <row r="261" spans="2:12">
      <c r="B261" s="206">
        <v>43474</v>
      </c>
      <c r="C261" s="211">
        <f t="shared" si="59"/>
        <v>2019</v>
      </c>
      <c r="D261" s="211">
        <f t="shared" si="60"/>
        <v>1</v>
      </c>
      <c r="E261" s="211">
        <f t="shared" si="61"/>
        <v>9</v>
      </c>
      <c r="F261" s="205">
        <v>5964</v>
      </c>
      <c r="G261" s="205">
        <v>11205</v>
      </c>
      <c r="H261" s="207">
        <v>1288.5999999999999</v>
      </c>
      <c r="I261" s="207">
        <v>15.62</v>
      </c>
      <c r="J261" s="207">
        <v>825.3</v>
      </c>
      <c r="K261" s="207">
        <v>1269.4000000000001</v>
      </c>
      <c r="L261" s="207"/>
    </row>
    <row r="262" spans="2:12">
      <c r="B262" s="206">
        <v>43475</v>
      </c>
      <c r="C262" s="211">
        <f t="shared" si="59"/>
        <v>2019</v>
      </c>
      <c r="D262" s="211">
        <f t="shared" si="60"/>
        <v>1</v>
      </c>
      <c r="E262" s="211">
        <f t="shared" si="61"/>
        <v>10</v>
      </c>
      <c r="F262" s="205">
        <v>5908.5</v>
      </c>
      <c r="G262" s="205">
        <v>11225</v>
      </c>
      <c r="H262" s="207">
        <v>1291.9000000000001</v>
      </c>
      <c r="I262" s="207">
        <v>15.71</v>
      </c>
      <c r="J262" s="207">
        <v>826.1</v>
      </c>
      <c r="K262" s="207">
        <v>1273.2</v>
      </c>
      <c r="L262" s="207"/>
    </row>
    <row r="263" spans="2:12">
      <c r="B263" s="206">
        <v>43476</v>
      </c>
      <c r="C263" s="211">
        <f t="shared" si="59"/>
        <v>2019</v>
      </c>
      <c r="D263" s="211">
        <f t="shared" si="60"/>
        <v>1</v>
      </c>
      <c r="E263" s="211">
        <f t="shared" si="61"/>
        <v>11</v>
      </c>
      <c r="F263" s="205">
        <v>5926.5</v>
      </c>
      <c r="G263" s="205">
        <v>11400</v>
      </c>
      <c r="H263" s="207">
        <v>1288.95</v>
      </c>
      <c r="I263" s="207">
        <v>15.68</v>
      </c>
      <c r="J263" s="207">
        <v>818</v>
      </c>
      <c r="K263" s="207">
        <v>1278.7</v>
      </c>
      <c r="L263" s="207"/>
    </row>
    <row r="264" spans="2:12">
      <c r="B264" s="206">
        <v>43479</v>
      </c>
      <c r="C264" s="211">
        <f t="shared" si="59"/>
        <v>2019</v>
      </c>
      <c r="D264" s="211">
        <f t="shared" si="60"/>
        <v>1</v>
      </c>
      <c r="E264" s="211">
        <f t="shared" si="61"/>
        <v>14</v>
      </c>
      <c r="F264" s="205">
        <v>5861</v>
      </c>
      <c r="G264" s="205">
        <v>11420</v>
      </c>
      <c r="H264" s="207">
        <v>1292.75</v>
      </c>
      <c r="I264" s="207">
        <v>15.62</v>
      </c>
      <c r="J264" s="207">
        <v>802.5</v>
      </c>
      <c r="K264" s="207">
        <v>1282</v>
      </c>
      <c r="L264" s="207"/>
    </row>
    <row r="265" spans="2:12">
      <c r="B265" s="206">
        <v>43480</v>
      </c>
      <c r="C265" s="211">
        <f t="shared" si="59"/>
        <v>2019</v>
      </c>
      <c r="D265" s="211">
        <f t="shared" si="60"/>
        <v>1</v>
      </c>
      <c r="E265" s="211">
        <f t="shared" si="61"/>
        <v>15</v>
      </c>
      <c r="F265" s="205">
        <v>5882</v>
      </c>
      <c r="G265" s="205">
        <v>11430</v>
      </c>
      <c r="H265" s="207">
        <v>1294.4000000000001</v>
      </c>
      <c r="I265" s="207">
        <v>15.6</v>
      </c>
      <c r="J265" s="207">
        <v>800.1</v>
      </c>
      <c r="K265" s="207">
        <v>1277.0999999999999</v>
      </c>
      <c r="L265" s="207"/>
    </row>
    <row r="266" spans="2:12">
      <c r="B266" s="206">
        <v>43481</v>
      </c>
      <c r="C266" s="211">
        <f t="shared" si="59"/>
        <v>2019</v>
      </c>
      <c r="D266" s="211">
        <f t="shared" si="60"/>
        <v>1</v>
      </c>
      <c r="E266" s="211">
        <f t="shared" si="61"/>
        <v>16</v>
      </c>
      <c r="F266" s="205">
        <v>5911</v>
      </c>
      <c r="G266" s="205">
        <v>11580</v>
      </c>
      <c r="H266" s="207">
        <v>1292.3</v>
      </c>
      <c r="I266" s="207">
        <v>15.54</v>
      </c>
      <c r="J266" s="207">
        <v>807.9</v>
      </c>
      <c r="K266" s="207">
        <v>1318.5</v>
      </c>
      <c r="L266" s="207"/>
    </row>
    <row r="267" spans="2:12">
      <c r="B267" s="206">
        <v>43482</v>
      </c>
      <c r="C267" s="211">
        <f t="shared" si="59"/>
        <v>2019</v>
      </c>
      <c r="D267" s="211">
        <f t="shared" si="60"/>
        <v>1</v>
      </c>
      <c r="E267" s="211">
        <f t="shared" si="61"/>
        <v>17</v>
      </c>
      <c r="F267" s="205">
        <v>5933</v>
      </c>
      <c r="G267" s="205">
        <v>11450</v>
      </c>
      <c r="H267" s="207">
        <v>1290.7</v>
      </c>
      <c r="I267" s="207">
        <v>15.58</v>
      </c>
      <c r="J267" s="207">
        <v>812.3</v>
      </c>
      <c r="K267" s="207">
        <v>1348.2</v>
      </c>
      <c r="L267" s="207"/>
    </row>
    <row r="268" spans="2:12">
      <c r="B268" s="206">
        <v>43483</v>
      </c>
      <c r="C268" s="211">
        <f t="shared" si="59"/>
        <v>2019</v>
      </c>
      <c r="D268" s="211">
        <f t="shared" si="60"/>
        <v>1</v>
      </c>
      <c r="E268" s="211">
        <f t="shared" si="61"/>
        <v>18</v>
      </c>
      <c r="F268" s="205">
        <v>6022</v>
      </c>
      <c r="G268" s="205">
        <v>11610</v>
      </c>
      <c r="H268" s="207">
        <v>1284.2</v>
      </c>
      <c r="I268" s="207">
        <v>15.47</v>
      </c>
      <c r="J268" s="207">
        <v>802.1</v>
      </c>
      <c r="K268" s="207">
        <v>1335.1</v>
      </c>
      <c r="L268" s="207"/>
    </row>
    <row r="269" spans="2:12">
      <c r="B269" s="206">
        <v>43486</v>
      </c>
      <c r="C269" s="211">
        <f t="shared" si="59"/>
        <v>2019</v>
      </c>
      <c r="D269" s="211">
        <f t="shared" si="60"/>
        <v>1</v>
      </c>
      <c r="E269" s="211">
        <f t="shared" si="61"/>
        <v>21</v>
      </c>
      <c r="F269" s="205">
        <v>5951.5</v>
      </c>
      <c r="G269" s="205">
        <v>11670</v>
      </c>
      <c r="H269" s="207">
        <v>1279.55</v>
      </c>
      <c r="I269" s="207">
        <v>15.26</v>
      </c>
      <c r="J269" s="207" t="s">
        <v>338</v>
      </c>
      <c r="K269" s="207" t="s">
        <v>338</v>
      </c>
      <c r="L269" s="207"/>
    </row>
    <row r="270" spans="2:12">
      <c r="B270" s="206">
        <v>43487</v>
      </c>
      <c r="C270" s="211">
        <f t="shared" si="59"/>
        <v>2019</v>
      </c>
      <c r="D270" s="211">
        <f t="shared" si="60"/>
        <v>1</v>
      </c>
      <c r="E270" s="211">
        <f t="shared" si="61"/>
        <v>22</v>
      </c>
      <c r="F270" s="205">
        <v>5926.5</v>
      </c>
      <c r="G270" s="205">
        <v>11615</v>
      </c>
      <c r="H270" s="207">
        <v>1282.0999999999999</v>
      </c>
      <c r="I270" s="207">
        <v>15.26</v>
      </c>
      <c r="J270" s="207">
        <v>791.2</v>
      </c>
      <c r="K270" s="207">
        <v>1306.5</v>
      </c>
      <c r="L270" s="207"/>
    </row>
    <row r="271" spans="2:12">
      <c r="B271" s="206">
        <v>43488</v>
      </c>
      <c r="C271" s="211">
        <f t="shared" si="59"/>
        <v>2019</v>
      </c>
      <c r="D271" s="211">
        <f t="shared" si="60"/>
        <v>1</v>
      </c>
      <c r="E271" s="211">
        <f t="shared" si="61"/>
        <v>23</v>
      </c>
      <c r="F271" s="205">
        <v>5920.5</v>
      </c>
      <c r="G271" s="205">
        <v>11615</v>
      </c>
      <c r="H271" s="207">
        <v>1279.8</v>
      </c>
      <c r="I271" s="207">
        <v>15.39</v>
      </c>
      <c r="J271" s="207">
        <v>796.4</v>
      </c>
      <c r="K271" s="207">
        <v>1308.2</v>
      </c>
      <c r="L271" s="207"/>
    </row>
    <row r="272" spans="2:12">
      <c r="B272" s="206">
        <v>43489</v>
      </c>
      <c r="C272" s="211">
        <f t="shared" si="59"/>
        <v>2019</v>
      </c>
      <c r="D272" s="211">
        <f t="shared" si="60"/>
        <v>1</v>
      </c>
      <c r="E272" s="211">
        <f t="shared" si="61"/>
        <v>24</v>
      </c>
      <c r="F272" s="205">
        <v>5885</v>
      </c>
      <c r="G272" s="205">
        <v>11540</v>
      </c>
      <c r="H272" s="207">
        <v>1283.7</v>
      </c>
      <c r="I272" s="207">
        <v>15.3</v>
      </c>
      <c r="J272" s="207">
        <v>805</v>
      </c>
      <c r="K272" s="207">
        <v>1280.7</v>
      </c>
      <c r="L272" s="207"/>
    </row>
    <row r="273" spans="2:12">
      <c r="B273" s="206">
        <v>43490</v>
      </c>
      <c r="C273" s="211">
        <f t="shared" si="59"/>
        <v>2019</v>
      </c>
      <c r="D273" s="211">
        <f t="shared" si="60"/>
        <v>1</v>
      </c>
      <c r="E273" s="211">
        <f t="shared" si="61"/>
        <v>25</v>
      </c>
      <c r="F273" s="205">
        <v>5901</v>
      </c>
      <c r="G273" s="205">
        <v>11715</v>
      </c>
      <c r="H273" s="207">
        <v>1293.9000000000001</v>
      </c>
      <c r="I273" s="207">
        <v>15.38</v>
      </c>
      <c r="J273" s="207">
        <v>818.3</v>
      </c>
      <c r="K273" s="207">
        <v>1319.8</v>
      </c>
      <c r="L273" s="207"/>
    </row>
    <row r="274" spans="2:12">
      <c r="B274" s="206">
        <v>43493</v>
      </c>
      <c r="C274" s="211">
        <f t="shared" si="59"/>
        <v>2019</v>
      </c>
      <c r="D274" s="211">
        <f t="shared" si="60"/>
        <v>1</v>
      </c>
      <c r="E274" s="211">
        <f t="shared" si="61"/>
        <v>28</v>
      </c>
      <c r="F274" s="205">
        <v>5996</v>
      </c>
      <c r="G274" s="205">
        <v>11845</v>
      </c>
      <c r="H274" s="207">
        <v>1302.1500000000001</v>
      </c>
      <c r="I274" s="207">
        <v>15.69</v>
      </c>
      <c r="J274" s="207">
        <v>814.5</v>
      </c>
      <c r="K274" s="207">
        <v>1289.3</v>
      </c>
      <c r="L274" s="207"/>
    </row>
    <row r="275" spans="2:12">
      <c r="B275" s="206">
        <v>43494</v>
      </c>
      <c r="C275" s="211">
        <f t="shared" si="59"/>
        <v>2019</v>
      </c>
      <c r="D275" s="211">
        <f t="shared" si="60"/>
        <v>1</v>
      </c>
      <c r="E275" s="211">
        <f t="shared" si="61"/>
        <v>29</v>
      </c>
      <c r="F275" s="205">
        <v>6007</v>
      </c>
      <c r="G275" s="205">
        <v>11885</v>
      </c>
      <c r="H275" s="207">
        <v>1307.55</v>
      </c>
      <c r="I275" s="207">
        <v>15.86</v>
      </c>
      <c r="J275" s="207">
        <v>815.8</v>
      </c>
      <c r="K275" s="207">
        <v>1303.5999999999999</v>
      </c>
      <c r="L275" s="207"/>
    </row>
    <row r="276" spans="2:12">
      <c r="B276" s="206">
        <v>43495</v>
      </c>
      <c r="C276" s="211">
        <f t="shared" si="59"/>
        <v>2019</v>
      </c>
      <c r="D276" s="211">
        <f t="shared" si="60"/>
        <v>1</v>
      </c>
      <c r="E276" s="211">
        <f t="shared" si="61"/>
        <v>30</v>
      </c>
      <c r="F276" s="205">
        <v>6077</v>
      </c>
      <c r="G276" s="205">
        <v>12245</v>
      </c>
      <c r="H276" s="207">
        <v>1310.7</v>
      </c>
      <c r="I276" s="207">
        <v>15.92</v>
      </c>
      <c r="J276" s="207">
        <v>816.2</v>
      </c>
      <c r="K276" s="207">
        <v>1316.4</v>
      </c>
      <c r="L276" s="207"/>
    </row>
    <row r="277" spans="2:12">
      <c r="B277" s="206">
        <v>43496</v>
      </c>
      <c r="C277" s="211">
        <f t="shared" si="59"/>
        <v>2019</v>
      </c>
      <c r="D277" s="211">
        <f t="shared" si="60"/>
        <v>1</v>
      </c>
      <c r="E277" s="211">
        <f t="shared" si="61"/>
        <v>31</v>
      </c>
      <c r="F277" s="205">
        <v>6148</v>
      </c>
      <c r="G277" s="205">
        <v>12380</v>
      </c>
      <c r="H277" s="207">
        <v>1323.25</v>
      </c>
      <c r="I277" s="207">
        <v>16.079999999999998</v>
      </c>
      <c r="J277" s="207">
        <v>824.7</v>
      </c>
      <c r="K277" s="207">
        <v>1299.9000000000001</v>
      </c>
      <c r="L277" s="207"/>
    </row>
    <row r="278" spans="2:12">
      <c r="B278" s="206">
        <v>43497</v>
      </c>
      <c r="C278" s="211">
        <f t="shared" si="59"/>
        <v>2019</v>
      </c>
      <c r="D278" s="211">
        <f t="shared" si="60"/>
        <v>2</v>
      </c>
      <c r="E278" s="211">
        <f t="shared" si="61"/>
        <v>1</v>
      </c>
      <c r="F278" s="205">
        <v>6097.5</v>
      </c>
      <c r="G278" s="205">
        <v>12460</v>
      </c>
      <c r="H278" s="207">
        <v>1318.7</v>
      </c>
      <c r="I278" s="207">
        <v>16.010000000000002</v>
      </c>
      <c r="J278" s="207">
        <v>826.7</v>
      </c>
      <c r="K278" s="207">
        <v>1313.6</v>
      </c>
      <c r="L278" s="207"/>
    </row>
    <row r="279" spans="2:12">
      <c r="B279" s="206">
        <v>43500</v>
      </c>
      <c r="C279" s="211">
        <f t="shared" si="59"/>
        <v>2019</v>
      </c>
      <c r="D279" s="211">
        <f t="shared" si="60"/>
        <v>2</v>
      </c>
      <c r="E279" s="211">
        <f t="shared" si="61"/>
        <v>4</v>
      </c>
      <c r="F279" s="205">
        <v>6076.5</v>
      </c>
      <c r="G279" s="205">
        <v>12675</v>
      </c>
      <c r="H279" s="207">
        <v>1312.15</v>
      </c>
      <c r="I279" s="207">
        <v>15.75</v>
      </c>
      <c r="J279" s="207">
        <v>822.8</v>
      </c>
      <c r="K279" s="207">
        <v>1330.4</v>
      </c>
      <c r="L279" s="207"/>
    </row>
    <row r="280" spans="2:12">
      <c r="B280" s="206">
        <v>43501</v>
      </c>
      <c r="C280" s="211">
        <f t="shared" si="59"/>
        <v>2019</v>
      </c>
      <c r="D280" s="211">
        <f t="shared" si="60"/>
        <v>2</v>
      </c>
      <c r="E280" s="211">
        <f t="shared" si="61"/>
        <v>5</v>
      </c>
      <c r="F280" s="205">
        <v>6174</v>
      </c>
      <c r="G280" s="205">
        <v>12870</v>
      </c>
      <c r="H280" s="207">
        <v>1314.2</v>
      </c>
      <c r="I280" s="207">
        <v>15.87</v>
      </c>
      <c r="J280" s="207">
        <v>819.9</v>
      </c>
      <c r="K280" s="207">
        <v>1341.2</v>
      </c>
      <c r="L280" s="207"/>
    </row>
    <row r="281" spans="2:12">
      <c r="B281" s="206">
        <v>43502</v>
      </c>
      <c r="C281" s="211">
        <f t="shared" si="59"/>
        <v>2019</v>
      </c>
      <c r="D281" s="211">
        <f t="shared" si="60"/>
        <v>2</v>
      </c>
      <c r="E281" s="211">
        <f t="shared" si="61"/>
        <v>6</v>
      </c>
      <c r="F281" s="205">
        <v>6210</v>
      </c>
      <c r="G281" s="205">
        <v>12930</v>
      </c>
      <c r="H281" s="207">
        <v>1312.4</v>
      </c>
      <c r="I281" s="207">
        <v>15.73</v>
      </c>
      <c r="J281" s="207">
        <v>813.8</v>
      </c>
      <c r="K281" s="207">
        <v>1351.6</v>
      </c>
      <c r="L281" s="207"/>
    </row>
    <row r="282" spans="2:12">
      <c r="B282" s="206">
        <v>43503</v>
      </c>
      <c r="C282" s="211">
        <f t="shared" si="59"/>
        <v>2019</v>
      </c>
      <c r="D282" s="211">
        <f t="shared" si="60"/>
        <v>2</v>
      </c>
      <c r="E282" s="211">
        <f t="shared" si="61"/>
        <v>7</v>
      </c>
      <c r="F282" s="205">
        <v>6227</v>
      </c>
      <c r="G282" s="205">
        <v>12845</v>
      </c>
      <c r="H282" s="207">
        <v>1310</v>
      </c>
      <c r="I282" s="207">
        <v>15.71</v>
      </c>
      <c r="J282" s="207">
        <v>797.3</v>
      </c>
      <c r="K282" s="207">
        <v>1358.1</v>
      </c>
      <c r="L282" s="207"/>
    </row>
    <row r="283" spans="2:12">
      <c r="B283" s="206">
        <v>43504</v>
      </c>
      <c r="C283" s="211">
        <f t="shared" si="59"/>
        <v>2019</v>
      </c>
      <c r="D283" s="211">
        <f t="shared" si="60"/>
        <v>2</v>
      </c>
      <c r="E283" s="211">
        <f t="shared" si="61"/>
        <v>8</v>
      </c>
      <c r="F283" s="205">
        <v>6207</v>
      </c>
      <c r="G283" s="205">
        <v>12735</v>
      </c>
      <c r="H283" s="207">
        <v>1314.85</v>
      </c>
      <c r="I283" s="207">
        <v>15.78</v>
      </c>
      <c r="J283" s="207">
        <v>802.5</v>
      </c>
      <c r="K283" s="207">
        <v>1371.2</v>
      </c>
      <c r="L283" s="207"/>
    </row>
    <row r="284" spans="2:12">
      <c r="B284" s="206">
        <v>43507</v>
      </c>
      <c r="C284" s="211">
        <f t="shared" si="59"/>
        <v>2019</v>
      </c>
      <c r="D284" s="211">
        <f t="shared" si="60"/>
        <v>2</v>
      </c>
      <c r="E284" s="211">
        <f t="shared" si="61"/>
        <v>11</v>
      </c>
      <c r="F284" s="205">
        <v>6148</v>
      </c>
      <c r="G284" s="205">
        <v>12475</v>
      </c>
      <c r="H284" s="207">
        <v>1306.4000000000001</v>
      </c>
      <c r="I284" s="207">
        <v>15.71</v>
      </c>
      <c r="J284" s="207">
        <v>786.6</v>
      </c>
      <c r="K284" s="207">
        <v>1356.8</v>
      </c>
      <c r="L284" s="207"/>
    </row>
    <row r="285" spans="2:12">
      <c r="B285" s="206">
        <v>43508</v>
      </c>
      <c r="C285" s="211">
        <f t="shared" si="59"/>
        <v>2019</v>
      </c>
      <c r="D285" s="211">
        <f t="shared" si="60"/>
        <v>2</v>
      </c>
      <c r="E285" s="211">
        <f t="shared" si="61"/>
        <v>12</v>
      </c>
      <c r="F285" s="205">
        <v>6102</v>
      </c>
      <c r="G285" s="205">
        <v>12455</v>
      </c>
      <c r="H285" s="207">
        <v>1310</v>
      </c>
      <c r="I285" s="207">
        <v>15.81</v>
      </c>
      <c r="J285" s="207">
        <v>789.6</v>
      </c>
      <c r="K285" s="207">
        <v>1375.4</v>
      </c>
      <c r="L285" s="207"/>
    </row>
    <row r="286" spans="2:12">
      <c r="B286" s="206">
        <v>43509</v>
      </c>
      <c r="C286" s="211">
        <f t="shared" si="59"/>
        <v>2019</v>
      </c>
      <c r="D286" s="211">
        <f t="shared" si="60"/>
        <v>2</v>
      </c>
      <c r="E286" s="211">
        <f t="shared" si="61"/>
        <v>13</v>
      </c>
      <c r="F286" s="205">
        <v>6120</v>
      </c>
      <c r="G286" s="205">
        <v>12305</v>
      </c>
      <c r="H286" s="207">
        <v>1312.8</v>
      </c>
      <c r="I286" s="207">
        <v>15.7</v>
      </c>
      <c r="J286" s="207">
        <v>791.8</v>
      </c>
      <c r="K286" s="207">
        <v>1372.6</v>
      </c>
      <c r="L286" s="207"/>
    </row>
    <row r="287" spans="2:12">
      <c r="B287" s="206">
        <v>43510</v>
      </c>
      <c r="C287" s="211">
        <f t="shared" si="59"/>
        <v>2019</v>
      </c>
      <c r="D287" s="211">
        <f t="shared" si="60"/>
        <v>2</v>
      </c>
      <c r="E287" s="211">
        <f t="shared" si="61"/>
        <v>14</v>
      </c>
      <c r="F287" s="205">
        <v>6178.5</v>
      </c>
      <c r="G287" s="205">
        <v>12345</v>
      </c>
      <c r="H287" s="207">
        <v>1311.45</v>
      </c>
      <c r="I287" s="207">
        <v>15.58</v>
      </c>
      <c r="J287" s="207">
        <v>789.2</v>
      </c>
      <c r="K287" s="207">
        <v>1385.9</v>
      </c>
      <c r="L287" s="207"/>
    </row>
    <row r="288" spans="2:12">
      <c r="B288" s="206">
        <v>43511</v>
      </c>
      <c r="C288" s="211">
        <f t="shared" si="59"/>
        <v>2019</v>
      </c>
      <c r="D288" s="211">
        <f t="shared" si="60"/>
        <v>2</v>
      </c>
      <c r="E288" s="211">
        <f t="shared" si="61"/>
        <v>15</v>
      </c>
      <c r="F288" s="205">
        <v>6190</v>
      </c>
      <c r="G288" s="205">
        <v>12100</v>
      </c>
      <c r="H288" s="207">
        <v>1316.55</v>
      </c>
      <c r="I288" s="207">
        <v>15.68</v>
      </c>
      <c r="J288" s="207">
        <v>806.9</v>
      </c>
      <c r="K288" s="207">
        <v>1407.2</v>
      </c>
      <c r="L288" s="207"/>
    </row>
    <row r="289" spans="2:12">
      <c r="B289" s="206">
        <v>43514</v>
      </c>
      <c r="C289" s="211">
        <f t="shared" si="59"/>
        <v>2019</v>
      </c>
      <c r="D289" s="211">
        <f t="shared" si="60"/>
        <v>2</v>
      </c>
      <c r="E289" s="211">
        <f t="shared" si="61"/>
        <v>18</v>
      </c>
      <c r="F289" s="205">
        <v>6269.5</v>
      </c>
      <c r="G289" s="205">
        <v>12350</v>
      </c>
      <c r="H289" s="207">
        <v>1325.5</v>
      </c>
      <c r="I289" s="207">
        <v>15.77</v>
      </c>
      <c r="J289" s="207" t="s">
        <v>338</v>
      </c>
      <c r="K289" s="207" t="s">
        <v>338</v>
      </c>
      <c r="L289" s="207"/>
    </row>
    <row r="290" spans="2:12">
      <c r="B290" s="206">
        <v>43515</v>
      </c>
      <c r="C290" s="211">
        <f t="shared" si="59"/>
        <v>2019</v>
      </c>
      <c r="D290" s="211">
        <f t="shared" si="60"/>
        <v>2</v>
      </c>
      <c r="E290" s="211">
        <f t="shared" si="61"/>
        <v>19</v>
      </c>
      <c r="F290" s="205">
        <v>6246.5</v>
      </c>
      <c r="G290" s="205">
        <v>12430</v>
      </c>
      <c r="H290" s="207">
        <v>1334.15</v>
      </c>
      <c r="I290" s="207">
        <v>15.78</v>
      </c>
      <c r="J290" s="207">
        <v>821</v>
      </c>
      <c r="K290" s="207">
        <v>1453.9</v>
      </c>
      <c r="L290" s="207"/>
    </row>
    <row r="291" spans="2:12">
      <c r="B291" s="206">
        <v>43516</v>
      </c>
      <c r="C291" s="211">
        <f t="shared" si="59"/>
        <v>2019</v>
      </c>
      <c r="D291" s="211">
        <f t="shared" si="60"/>
        <v>2</v>
      </c>
      <c r="E291" s="211">
        <f t="shared" si="61"/>
        <v>20</v>
      </c>
      <c r="F291" s="205">
        <v>6351.5</v>
      </c>
      <c r="G291" s="205">
        <v>12700</v>
      </c>
      <c r="H291" s="207">
        <v>1343.75</v>
      </c>
      <c r="I291" s="207">
        <v>16.04</v>
      </c>
      <c r="J291" s="207">
        <v>834.2</v>
      </c>
      <c r="K291" s="207">
        <v>1462.1</v>
      </c>
      <c r="L291" s="207"/>
    </row>
    <row r="292" spans="2:12">
      <c r="B292" s="206">
        <v>43517</v>
      </c>
      <c r="C292" s="211">
        <f t="shared" si="59"/>
        <v>2019</v>
      </c>
      <c r="D292" s="211">
        <f t="shared" si="60"/>
        <v>2</v>
      </c>
      <c r="E292" s="211">
        <f t="shared" si="61"/>
        <v>21</v>
      </c>
      <c r="F292" s="205">
        <v>6391</v>
      </c>
      <c r="G292" s="205">
        <v>12715</v>
      </c>
      <c r="H292" s="207">
        <v>1331.25</v>
      </c>
      <c r="I292" s="207">
        <v>15.91</v>
      </c>
      <c r="J292" s="207">
        <v>826.3</v>
      </c>
      <c r="K292" s="207">
        <v>1445.1</v>
      </c>
      <c r="L292" s="207"/>
    </row>
    <row r="293" spans="2:12">
      <c r="B293" s="206">
        <v>43518</v>
      </c>
      <c r="C293" s="211">
        <f t="shared" si="59"/>
        <v>2019</v>
      </c>
      <c r="D293" s="211">
        <f t="shared" si="60"/>
        <v>2</v>
      </c>
      <c r="E293" s="211">
        <f t="shared" si="61"/>
        <v>22</v>
      </c>
      <c r="F293" s="205">
        <v>6489</v>
      </c>
      <c r="G293" s="205">
        <v>12930</v>
      </c>
      <c r="H293" s="207">
        <v>1329.05</v>
      </c>
      <c r="I293" s="207">
        <v>15.87</v>
      </c>
      <c r="J293" s="207">
        <v>845.9</v>
      </c>
      <c r="K293" s="207">
        <v>1462.2</v>
      </c>
      <c r="L293" s="207"/>
    </row>
    <row r="294" spans="2:12">
      <c r="B294" s="206">
        <v>43521</v>
      </c>
      <c r="C294" s="211">
        <f t="shared" si="59"/>
        <v>2019</v>
      </c>
      <c r="D294" s="211">
        <f t="shared" si="60"/>
        <v>2</v>
      </c>
      <c r="E294" s="211">
        <f t="shared" si="61"/>
        <v>25</v>
      </c>
      <c r="F294" s="205">
        <v>6546</v>
      </c>
      <c r="G294" s="205">
        <v>12940</v>
      </c>
      <c r="H294" s="207">
        <v>1331.05</v>
      </c>
      <c r="I294" s="207">
        <v>15.96</v>
      </c>
      <c r="J294" s="207">
        <v>853.6</v>
      </c>
      <c r="K294" s="207">
        <v>1496.1</v>
      </c>
      <c r="L294" s="207"/>
    </row>
    <row r="295" spans="2:12">
      <c r="B295" s="206">
        <v>43522</v>
      </c>
      <c r="C295" s="211">
        <f t="shared" si="59"/>
        <v>2019</v>
      </c>
      <c r="D295" s="211">
        <f t="shared" si="60"/>
        <v>2</v>
      </c>
      <c r="E295" s="211">
        <f t="shared" si="61"/>
        <v>26</v>
      </c>
      <c r="F295" s="205">
        <v>6471</v>
      </c>
      <c r="G295" s="205">
        <v>12815</v>
      </c>
      <c r="H295" s="207">
        <v>1325.05</v>
      </c>
      <c r="I295" s="207">
        <v>15.83</v>
      </c>
      <c r="J295" s="207">
        <v>860.4</v>
      </c>
      <c r="K295" s="207">
        <v>1521.98</v>
      </c>
      <c r="L295" s="207"/>
    </row>
    <row r="296" spans="2:12">
      <c r="B296" s="206">
        <v>43523</v>
      </c>
      <c r="C296" s="211">
        <f t="shared" si="59"/>
        <v>2019</v>
      </c>
      <c r="D296" s="211">
        <f t="shared" si="60"/>
        <v>2</v>
      </c>
      <c r="E296" s="211">
        <f t="shared" si="61"/>
        <v>27</v>
      </c>
      <c r="F296" s="205">
        <v>6533</v>
      </c>
      <c r="G296" s="205">
        <v>12880</v>
      </c>
      <c r="H296" s="207">
        <v>1322.85</v>
      </c>
      <c r="I296" s="207">
        <v>15.86</v>
      </c>
      <c r="J296" s="207">
        <v>869.9</v>
      </c>
      <c r="K296" s="207">
        <v>1495.68</v>
      </c>
      <c r="L296" s="207"/>
    </row>
    <row r="297" spans="2:12">
      <c r="B297" s="206">
        <v>43524</v>
      </c>
      <c r="C297" s="211">
        <f t="shared" si="59"/>
        <v>2019</v>
      </c>
      <c r="D297" s="211">
        <f t="shared" si="60"/>
        <v>2</v>
      </c>
      <c r="E297" s="211">
        <f t="shared" si="61"/>
        <v>28</v>
      </c>
      <c r="F297" s="205">
        <v>6536</v>
      </c>
      <c r="G297" s="205">
        <v>13040</v>
      </c>
      <c r="H297" s="207">
        <v>1319.15</v>
      </c>
      <c r="I297" s="207">
        <v>15.82</v>
      </c>
      <c r="J297" s="207">
        <v>875.2</v>
      </c>
      <c r="K297" s="207">
        <v>1507.6</v>
      </c>
      <c r="L297" s="207"/>
    </row>
    <row r="298" spans="2:12">
      <c r="B298" s="206">
        <v>43525</v>
      </c>
      <c r="C298" s="211">
        <f t="shared" si="59"/>
        <v>2019</v>
      </c>
      <c r="D298" s="211">
        <f t="shared" si="60"/>
        <v>3</v>
      </c>
      <c r="E298" s="211">
        <f t="shared" si="61"/>
        <v>1</v>
      </c>
      <c r="F298" s="205">
        <v>6572</v>
      </c>
      <c r="G298" s="205">
        <v>13160</v>
      </c>
      <c r="H298" s="207">
        <v>1311.95</v>
      </c>
      <c r="I298" s="207">
        <v>15.56</v>
      </c>
      <c r="J298" s="207">
        <v>863.7</v>
      </c>
      <c r="K298" s="207">
        <v>1506.1</v>
      </c>
      <c r="L298" s="207"/>
    </row>
    <row r="299" spans="2:12">
      <c r="B299" s="206">
        <v>43528</v>
      </c>
      <c r="C299" s="211">
        <f t="shared" si="59"/>
        <v>2019</v>
      </c>
      <c r="D299" s="211">
        <f t="shared" si="60"/>
        <v>3</v>
      </c>
      <c r="E299" s="211">
        <f t="shared" si="61"/>
        <v>4</v>
      </c>
      <c r="F299" s="205">
        <v>6420</v>
      </c>
      <c r="G299" s="205">
        <v>13160</v>
      </c>
      <c r="H299" s="207">
        <v>1285.4000000000001</v>
      </c>
      <c r="I299" s="207">
        <v>15.16</v>
      </c>
      <c r="J299" s="207">
        <v>838.9</v>
      </c>
      <c r="K299" s="207">
        <v>1485.1</v>
      </c>
      <c r="L299" s="207"/>
    </row>
    <row r="300" spans="2:12">
      <c r="B300" s="206">
        <v>43529</v>
      </c>
      <c r="C300" s="211">
        <f t="shared" si="59"/>
        <v>2019</v>
      </c>
      <c r="D300" s="211">
        <f t="shared" si="60"/>
        <v>3</v>
      </c>
      <c r="E300" s="211">
        <f t="shared" si="61"/>
        <v>5</v>
      </c>
      <c r="F300" s="205">
        <v>6553.5</v>
      </c>
      <c r="G300" s="205">
        <v>13450</v>
      </c>
      <c r="H300" s="207">
        <v>1283.8</v>
      </c>
      <c r="I300" s="207">
        <v>15.11</v>
      </c>
      <c r="J300" s="207">
        <v>838</v>
      </c>
      <c r="K300" s="207">
        <v>1465.9</v>
      </c>
      <c r="L300" s="207"/>
    </row>
    <row r="301" spans="2:12">
      <c r="B301" s="206">
        <v>43530</v>
      </c>
      <c r="C301" s="211">
        <f t="shared" si="59"/>
        <v>2019</v>
      </c>
      <c r="D301" s="211">
        <f t="shared" si="60"/>
        <v>3</v>
      </c>
      <c r="E301" s="211">
        <f t="shared" si="61"/>
        <v>6</v>
      </c>
      <c r="F301" s="205">
        <v>6505</v>
      </c>
      <c r="G301" s="205">
        <v>13610</v>
      </c>
      <c r="H301" s="207">
        <v>1285.8499999999999</v>
      </c>
      <c r="I301" s="207">
        <v>15.1</v>
      </c>
      <c r="J301" s="207">
        <v>828.1</v>
      </c>
      <c r="K301" s="207">
        <v>1486.4</v>
      </c>
      <c r="L301" s="207"/>
    </row>
    <row r="302" spans="2:12">
      <c r="B302" s="206">
        <v>43531</v>
      </c>
      <c r="C302" s="211">
        <f t="shared" si="59"/>
        <v>2019</v>
      </c>
      <c r="D302" s="211">
        <f t="shared" si="60"/>
        <v>3</v>
      </c>
      <c r="E302" s="211">
        <f t="shared" si="61"/>
        <v>7</v>
      </c>
      <c r="F302" s="205">
        <v>6458</v>
      </c>
      <c r="G302" s="205">
        <v>13380</v>
      </c>
      <c r="H302" s="207">
        <v>1285.3</v>
      </c>
      <c r="I302" s="207">
        <v>15.08</v>
      </c>
      <c r="J302" s="207">
        <v>817.1</v>
      </c>
      <c r="K302" s="207">
        <v>1482.4</v>
      </c>
      <c r="L302" s="207"/>
    </row>
    <row r="303" spans="2:12">
      <c r="B303" s="206">
        <v>43532</v>
      </c>
      <c r="C303" s="211">
        <f t="shared" si="59"/>
        <v>2019</v>
      </c>
      <c r="D303" s="211">
        <f t="shared" si="60"/>
        <v>3</v>
      </c>
      <c r="E303" s="211">
        <f t="shared" si="61"/>
        <v>8</v>
      </c>
      <c r="F303" s="205">
        <v>6398.5</v>
      </c>
      <c r="G303" s="205">
        <v>13040</v>
      </c>
      <c r="H303" s="207">
        <v>1296.75</v>
      </c>
      <c r="I303" s="207">
        <v>15.12</v>
      </c>
      <c r="J303" s="207">
        <v>817.6</v>
      </c>
      <c r="K303" s="207">
        <v>1459</v>
      </c>
      <c r="L303" s="207"/>
    </row>
    <row r="304" spans="2:12">
      <c r="B304" s="206">
        <v>43535</v>
      </c>
      <c r="C304" s="211">
        <f t="shared" si="59"/>
        <v>2019</v>
      </c>
      <c r="D304" s="211">
        <f t="shared" si="60"/>
        <v>3</v>
      </c>
      <c r="E304" s="211">
        <f t="shared" si="61"/>
        <v>11</v>
      </c>
      <c r="F304" s="205">
        <v>6435</v>
      </c>
      <c r="G304" s="205">
        <v>12990</v>
      </c>
      <c r="H304" s="207">
        <v>1292.75</v>
      </c>
      <c r="I304" s="207">
        <v>15.3</v>
      </c>
      <c r="J304" s="207">
        <v>816.8</v>
      </c>
      <c r="K304" s="207">
        <v>1482</v>
      </c>
      <c r="L304" s="207"/>
    </row>
    <row r="305" spans="2:12">
      <c r="B305" s="206">
        <v>43536</v>
      </c>
      <c r="C305" s="211">
        <f t="shared" si="59"/>
        <v>2019</v>
      </c>
      <c r="D305" s="211">
        <f t="shared" si="60"/>
        <v>3</v>
      </c>
      <c r="E305" s="211">
        <f t="shared" si="61"/>
        <v>12</v>
      </c>
      <c r="F305" s="205">
        <v>6510</v>
      </c>
      <c r="G305" s="205">
        <v>13150</v>
      </c>
      <c r="H305" s="207">
        <v>1297.05</v>
      </c>
      <c r="I305" s="207">
        <v>15.45</v>
      </c>
      <c r="J305" s="207">
        <v>831.9</v>
      </c>
      <c r="K305" s="207">
        <v>1490</v>
      </c>
      <c r="L305" s="207"/>
    </row>
    <row r="306" spans="2:12">
      <c r="B306" s="206">
        <v>43537</v>
      </c>
      <c r="C306" s="211">
        <f t="shared" si="59"/>
        <v>2019</v>
      </c>
      <c r="D306" s="211">
        <f t="shared" si="60"/>
        <v>3</v>
      </c>
      <c r="E306" s="211">
        <f t="shared" si="61"/>
        <v>13</v>
      </c>
      <c r="F306" s="205">
        <v>6529</v>
      </c>
      <c r="G306" s="205">
        <v>12950</v>
      </c>
      <c r="H306" s="207">
        <v>1306.95</v>
      </c>
      <c r="I306" s="207">
        <v>15.52</v>
      </c>
      <c r="J306" s="207">
        <v>841.7</v>
      </c>
      <c r="K306" s="207">
        <v>1506.7</v>
      </c>
      <c r="L306" s="207"/>
    </row>
    <row r="307" spans="2:12">
      <c r="B307" s="206">
        <v>43538</v>
      </c>
      <c r="C307" s="211">
        <f t="shared" si="59"/>
        <v>2019</v>
      </c>
      <c r="D307" s="211">
        <f t="shared" si="60"/>
        <v>3</v>
      </c>
      <c r="E307" s="211">
        <f t="shared" si="61"/>
        <v>14</v>
      </c>
      <c r="F307" s="205">
        <v>6409</v>
      </c>
      <c r="G307" s="205">
        <v>12930</v>
      </c>
      <c r="H307" s="207">
        <v>1295.55</v>
      </c>
      <c r="I307" s="207">
        <v>15.24</v>
      </c>
      <c r="J307" s="207">
        <v>827.1</v>
      </c>
      <c r="K307" s="207">
        <v>1514.6</v>
      </c>
      <c r="L307" s="207"/>
    </row>
    <row r="308" spans="2:12">
      <c r="B308" s="206">
        <v>43539</v>
      </c>
      <c r="C308" s="211">
        <f t="shared" si="59"/>
        <v>2019</v>
      </c>
      <c r="D308" s="211">
        <f t="shared" si="60"/>
        <v>3</v>
      </c>
      <c r="E308" s="211">
        <f t="shared" si="61"/>
        <v>15</v>
      </c>
      <c r="F308" s="205">
        <v>6410</v>
      </c>
      <c r="G308" s="205">
        <v>12845</v>
      </c>
      <c r="H308" s="207">
        <v>1303.5</v>
      </c>
      <c r="I308" s="207">
        <v>15.36</v>
      </c>
      <c r="J308" s="207">
        <v>831.8</v>
      </c>
      <c r="K308" s="207">
        <v>1518.5</v>
      </c>
      <c r="L308" s="207"/>
    </row>
    <row r="309" spans="2:12">
      <c r="B309" s="206">
        <v>43542</v>
      </c>
      <c r="C309" s="211">
        <f t="shared" si="59"/>
        <v>2019</v>
      </c>
      <c r="D309" s="211">
        <f t="shared" si="60"/>
        <v>3</v>
      </c>
      <c r="E309" s="211">
        <f t="shared" si="61"/>
        <v>18</v>
      </c>
      <c r="F309" s="205">
        <v>6492</v>
      </c>
      <c r="G309" s="205">
        <v>12810</v>
      </c>
      <c r="H309" s="207">
        <v>1305.5999999999999</v>
      </c>
      <c r="I309" s="207">
        <v>15.38</v>
      </c>
      <c r="J309" s="207">
        <v>834</v>
      </c>
      <c r="K309" s="207">
        <v>1539.7</v>
      </c>
      <c r="L309" s="207"/>
    </row>
    <row r="310" spans="2:12">
      <c r="B310" s="206">
        <v>43543</v>
      </c>
      <c r="C310" s="211">
        <f t="shared" si="59"/>
        <v>2019</v>
      </c>
      <c r="D310" s="211">
        <f t="shared" si="60"/>
        <v>3</v>
      </c>
      <c r="E310" s="211">
        <f t="shared" si="61"/>
        <v>19</v>
      </c>
      <c r="F310" s="205">
        <v>6500</v>
      </c>
      <c r="G310" s="205">
        <v>13095</v>
      </c>
      <c r="H310" s="207">
        <v>1307.7</v>
      </c>
      <c r="I310" s="207">
        <v>15.41</v>
      </c>
      <c r="J310" s="207">
        <v>852.6</v>
      </c>
      <c r="K310" s="207">
        <v>1551.9</v>
      </c>
      <c r="L310" s="207"/>
    </row>
    <row r="311" spans="2:12">
      <c r="B311" s="206">
        <v>43544</v>
      </c>
      <c r="C311" s="211">
        <f t="shared" si="59"/>
        <v>2019</v>
      </c>
      <c r="D311" s="211">
        <f t="shared" si="60"/>
        <v>3</v>
      </c>
      <c r="E311" s="211">
        <f t="shared" si="61"/>
        <v>20</v>
      </c>
      <c r="F311" s="205">
        <v>6487</v>
      </c>
      <c r="G311" s="205">
        <v>13195</v>
      </c>
      <c r="H311" s="207">
        <v>1303.7</v>
      </c>
      <c r="I311" s="207">
        <v>15.32</v>
      </c>
      <c r="J311" s="207">
        <v>859.6</v>
      </c>
      <c r="K311" s="207">
        <v>1560.4</v>
      </c>
      <c r="L311" s="207"/>
    </row>
    <row r="312" spans="2:12">
      <c r="B312" s="206">
        <v>43545</v>
      </c>
      <c r="C312" s="211">
        <f t="shared" si="59"/>
        <v>2019</v>
      </c>
      <c r="D312" s="211">
        <f t="shared" si="60"/>
        <v>3</v>
      </c>
      <c r="E312" s="211">
        <f t="shared" si="61"/>
        <v>21</v>
      </c>
      <c r="F312" s="205">
        <v>6520</v>
      </c>
      <c r="G312" s="205">
        <v>13145</v>
      </c>
      <c r="H312" s="207">
        <v>1309.5999999999999</v>
      </c>
      <c r="I312" s="207">
        <v>15.54</v>
      </c>
      <c r="J312" s="207">
        <v>861.1</v>
      </c>
      <c r="K312" s="207">
        <v>1557.9</v>
      </c>
      <c r="L312" s="207"/>
    </row>
    <row r="313" spans="2:12">
      <c r="B313" s="206">
        <v>43546</v>
      </c>
      <c r="C313" s="211">
        <f t="shared" si="59"/>
        <v>2019</v>
      </c>
      <c r="D313" s="211">
        <f t="shared" si="60"/>
        <v>3</v>
      </c>
      <c r="E313" s="211">
        <f t="shared" si="61"/>
        <v>22</v>
      </c>
      <c r="F313" s="205">
        <v>6375</v>
      </c>
      <c r="G313" s="205">
        <v>12930</v>
      </c>
      <c r="H313" s="207">
        <v>1311.3</v>
      </c>
      <c r="I313" s="207">
        <v>15.46</v>
      </c>
      <c r="J313" s="207">
        <v>848.4</v>
      </c>
      <c r="K313" s="207">
        <v>1515.5</v>
      </c>
      <c r="L313" s="207"/>
    </row>
    <row r="314" spans="2:12">
      <c r="B314" s="206">
        <v>43549</v>
      </c>
      <c r="C314" s="211">
        <f t="shared" si="59"/>
        <v>2019</v>
      </c>
      <c r="D314" s="211">
        <f t="shared" si="60"/>
        <v>3</v>
      </c>
      <c r="E314" s="211">
        <f t="shared" si="61"/>
        <v>25</v>
      </c>
      <c r="F314" s="205">
        <v>6328</v>
      </c>
      <c r="G314" s="205">
        <v>12765</v>
      </c>
      <c r="H314" s="207">
        <v>1319.55</v>
      </c>
      <c r="I314" s="207">
        <v>15.53</v>
      </c>
      <c r="J314" s="207">
        <v>857.7</v>
      </c>
      <c r="K314" s="207">
        <v>1543.4</v>
      </c>
      <c r="L314" s="207"/>
    </row>
    <row r="315" spans="2:12">
      <c r="B315" s="206">
        <v>43550</v>
      </c>
      <c r="C315" s="211">
        <f t="shared" si="59"/>
        <v>2019</v>
      </c>
      <c r="D315" s="211">
        <f t="shared" si="60"/>
        <v>3</v>
      </c>
      <c r="E315" s="211">
        <f t="shared" si="61"/>
        <v>26</v>
      </c>
      <c r="F315" s="205">
        <v>6361</v>
      </c>
      <c r="G315" s="205">
        <v>12850</v>
      </c>
      <c r="H315" s="207">
        <v>1316.3</v>
      </c>
      <c r="I315" s="207">
        <v>15.44</v>
      </c>
      <c r="J315" s="207">
        <v>860.92</v>
      </c>
      <c r="K315" s="207">
        <v>1515.9</v>
      </c>
      <c r="L315" s="207"/>
    </row>
    <row r="316" spans="2:12">
      <c r="B316" s="206">
        <v>43551</v>
      </c>
      <c r="C316" s="211">
        <f t="shared" si="59"/>
        <v>2019</v>
      </c>
      <c r="D316" s="211">
        <f t="shared" si="60"/>
        <v>3</v>
      </c>
      <c r="E316" s="211">
        <f t="shared" si="61"/>
        <v>27</v>
      </c>
      <c r="F316" s="205">
        <v>6338.5</v>
      </c>
      <c r="G316" s="205">
        <v>13025</v>
      </c>
      <c r="H316" s="207">
        <v>1309.7</v>
      </c>
      <c r="I316" s="207">
        <v>15.4</v>
      </c>
      <c r="J316" s="207">
        <v>858.78</v>
      </c>
      <c r="K316" s="207">
        <v>1421.5</v>
      </c>
      <c r="L316" s="207"/>
    </row>
    <row r="317" spans="2:12">
      <c r="B317" s="206">
        <v>43552</v>
      </c>
      <c r="C317" s="211">
        <f t="shared" si="59"/>
        <v>2019</v>
      </c>
      <c r="D317" s="211">
        <f t="shared" si="60"/>
        <v>3</v>
      </c>
      <c r="E317" s="211">
        <f t="shared" si="61"/>
        <v>28</v>
      </c>
      <c r="F317" s="205">
        <v>6385</v>
      </c>
      <c r="G317" s="205">
        <v>12780</v>
      </c>
      <c r="H317" s="207">
        <v>1295.1500000000001</v>
      </c>
      <c r="I317" s="207">
        <v>15.2</v>
      </c>
      <c r="J317" s="207">
        <v>841.56</v>
      </c>
      <c r="K317" s="207">
        <v>1309.7</v>
      </c>
      <c r="L317" s="207"/>
    </row>
    <row r="318" spans="2:12">
      <c r="B318" s="206">
        <v>43553</v>
      </c>
      <c r="C318" s="211">
        <f t="shared" si="59"/>
        <v>2019</v>
      </c>
      <c r="D318" s="211">
        <f t="shared" si="60"/>
        <v>3</v>
      </c>
      <c r="E318" s="211">
        <f t="shared" si="61"/>
        <v>29</v>
      </c>
      <c r="F318" s="205">
        <v>6485</v>
      </c>
      <c r="G318" s="205">
        <v>13015</v>
      </c>
      <c r="H318" s="207">
        <v>1295.4000000000001</v>
      </c>
      <c r="I318" s="207">
        <v>15.1</v>
      </c>
      <c r="J318" s="207">
        <v>853.06</v>
      </c>
      <c r="K318" s="207">
        <v>1341.8</v>
      </c>
      <c r="L318" s="207"/>
    </row>
    <row r="319" spans="2:12">
      <c r="B319" s="206">
        <v>43556</v>
      </c>
      <c r="C319" s="211">
        <f t="shared" si="59"/>
        <v>2019</v>
      </c>
      <c r="D319" s="211">
        <f t="shared" si="60"/>
        <v>4</v>
      </c>
      <c r="E319" s="211">
        <f t="shared" si="61"/>
        <v>1</v>
      </c>
      <c r="F319" s="205">
        <v>6498</v>
      </c>
      <c r="G319" s="205">
        <v>13155</v>
      </c>
      <c r="H319" s="207">
        <v>1293.5</v>
      </c>
      <c r="I319" s="207">
        <v>15.07</v>
      </c>
      <c r="J319" s="207">
        <v>855.3</v>
      </c>
      <c r="K319" s="207">
        <v>1391.8</v>
      </c>
      <c r="L319" s="207"/>
    </row>
    <row r="320" spans="2:12">
      <c r="B320" s="206">
        <v>43557</v>
      </c>
      <c r="C320" s="211">
        <f t="shared" si="59"/>
        <v>2019</v>
      </c>
      <c r="D320" s="211">
        <f t="shared" si="60"/>
        <v>4</v>
      </c>
      <c r="E320" s="211">
        <f t="shared" si="61"/>
        <v>2</v>
      </c>
      <c r="F320" s="205">
        <v>6431</v>
      </c>
      <c r="G320" s="205">
        <v>13020</v>
      </c>
      <c r="H320" s="207">
        <v>1290.3</v>
      </c>
      <c r="I320" s="207">
        <v>15.03</v>
      </c>
      <c r="J320" s="207">
        <v>852.5</v>
      </c>
      <c r="K320" s="207">
        <v>1400.3</v>
      </c>
      <c r="L320" s="207"/>
    </row>
    <row r="321" spans="2:12">
      <c r="B321" s="206">
        <v>43558</v>
      </c>
      <c r="C321" s="211">
        <f t="shared" si="59"/>
        <v>2019</v>
      </c>
      <c r="D321" s="211">
        <f t="shared" si="60"/>
        <v>4</v>
      </c>
      <c r="E321" s="211">
        <f t="shared" si="61"/>
        <v>3</v>
      </c>
      <c r="F321" s="205">
        <v>6483</v>
      </c>
      <c r="G321" s="205">
        <v>13200</v>
      </c>
      <c r="H321" s="207">
        <v>1290.45</v>
      </c>
      <c r="I321" s="207">
        <v>15.17</v>
      </c>
      <c r="J321" s="207">
        <v>874.2</v>
      </c>
      <c r="K321" s="207">
        <v>1378.1</v>
      </c>
      <c r="L321" s="207"/>
    </row>
    <row r="322" spans="2:12">
      <c r="B322" s="206">
        <v>43559</v>
      </c>
      <c r="C322" s="211">
        <f t="shared" si="59"/>
        <v>2019</v>
      </c>
      <c r="D322" s="211">
        <f t="shared" si="60"/>
        <v>4</v>
      </c>
      <c r="E322" s="211">
        <f t="shared" si="61"/>
        <v>4</v>
      </c>
      <c r="F322" s="205">
        <v>6444</v>
      </c>
      <c r="G322" s="205">
        <v>13045</v>
      </c>
      <c r="H322" s="207">
        <v>1283.1500000000001</v>
      </c>
      <c r="I322" s="207">
        <v>15.2</v>
      </c>
      <c r="J322" s="207">
        <v>904.5</v>
      </c>
      <c r="K322" s="207">
        <v>1332.3</v>
      </c>
      <c r="L322" s="207"/>
    </row>
    <row r="323" spans="2:12">
      <c r="B323" s="206">
        <v>43560</v>
      </c>
      <c r="C323" s="211">
        <f t="shared" si="59"/>
        <v>2019</v>
      </c>
      <c r="D323" s="211">
        <f t="shared" si="60"/>
        <v>4</v>
      </c>
      <c r="E323" s="211">
        <f t="shared" si="61"/>
        <v>5</v>
      </c>
      <c r="F323" s="205">
        <v>6419</v>
      </c>
      <c r="G323" s="205">
        <v>13090</v>
      </c>
      <c r="H323" s="207">
        <v>1288.45</v>
      </c>
      <c r="I323" s="207">
        <v>15.16</v>
      </c>
      <c r="J323" s="207">
        <v>905.4</v>
      </c>
      <c r="K323" s="207">
        <v>1345.9</v>
      </c>
      <c r="L323" s="207"/>
    </row>
    <row r="324" spans="2:12">
      <c r="B324" s="206">
        <v>43563</v>
      </c>
      <c r="C324" s="211">
        <f t="shared" ref="C324:C387" si="62">YEAR(B324)</f>
        <v>2019</v>
      </c>
      <c r="D324" s="211">
        <f t="shared" ref="D324:D387" si="63">MONTH(B324)</f>
        <v>4</v>
      </c>
      <c r="E324" s="211">
        <f t="shared" ref="E324:E387" si="64">DAY(B324)</f>
        <v>8</v>
      </c>
      <c r="F324" s="205">
        <v>6432.5</v>
      </c>
      <c r="G324" s="205">
        <v>13150</v>
      </c>
      <c r="H324" s="207">
        <v>1300</v>
      </c>
      <c r="I324" s="207">
        <v>15.14</v>
      </c>
      <c r="J324" s="207">
        <v>912.9</v>
      </c>
      <c r="K324" s="207">
        <v>1353.1</v>
      </c>
      <c r="L324" s="207"/>
    </row>
    <row r="325" spans="2:12">
      <c r="B325" s="206">
        <v>43564</v>
      </c>
      <c r="C325" s="211">
        <f t="shared" si="62"/>
        <v>2019</v>
      </c>
      <c r="D325" s="211">
        <f t="shared" si="63"/>
        <v>4</v>
      </c>
      <c r="E325" s="211">
        <f t="shared" si="64"/>
        <v>9</v>
      </c>
      <c r="F325" s="205">
        <v>6498</v>
      </c>
      <c r="G325" s="205">
        <v>13165</v>
      </c>
      <c r="H325" s="207">
        <v>1303</v>
      </c>
      <c r="I325" s="207">
        <v>15.26</v>
      </c>
      <c r="J325" s="207">
        <v>899.3</v>
      </c>
      <c r="K325" s="207">
        <v>1362.6</v>
      </c>
      <c r="L325" s="207"/>
    </row>
    <row r="326" spans="2:12">
      <c r="B326" s="206">
        <v>43565</v>
      </c>
      <c r="C326" s="211">
        <f t="shared" si="62"/>
        <v>2019</v>
      </c>
      <c r="D326" s="211">
        <f t="shared" si="63"/>
        <v>4</v>
      </c>
      <c r="E326" s="211">
        <f t="shared" si="64"/>
        <v>10</v>
      </c>
      <c r="F326" s="205">
        <v>6447</v>
      </c>
      <c r="G326" s="205">
        <v>13120</v>
      </c>
      <c r="H326" s="207">
        <v>1305.45</v>
      </c>
      <c r="I326" s="207">
        <v>15.25</v>
      </c>
      <c r="J326" s="207">
        <v>908.9</v>
      </c>
      <c r="K326" s="207">
        <v>1363.2</v>
      </c>
      <c r="L326" s="207"/>
    </row>
    <row r="327" spans="2:12">
      <c r="B327" s="206">
        <v>43566</v>
      </c>
      <c r="C327" s="211">
        <f t="shared" si="62"/>
        <v>2019</v>
      </c>
      <c r="D327" s="211">
        <f t="shared" si="63"/>
        <v>4</v>
      </c>
      <c r="E327" s="211">
        <f t="shared" si="64"/>
        <v>11</v>
      </c>
      <c r="F327" s="205">
        <v>6432.5</v>
      </c>
      <c r="G327" s="205">
        <v>13020</v>
      </c>
      <c r="H327" s="207">
        <v>1298.8</v>
      </c>
      <c r="I327" s="207">
        <v>15.16</v>
      </c>
      <c r="J327" s="207">
        <v>895.3</v>
      </c>
      <c r="K327" s="207">
        <v>1332.6</v>
      </c>
      <c r="L327" s="207"/>
    </row>
    <row r="328" spans="2:12">
      <c r="B328" s="206">
        <v>43567</v>
      </c>
      <c r="C328" s="211">
        <f t="shared" si="62"/>
        <v>2019</v>
      </c>
      <c r="D328" s="211">
        <f t="shared" si="63"/>
        <v>4</v>
      </c>
      <c r="E328" s="211">
        <f t="shared" si="64"/>
        <v>12</v>
      </c>
      <c r="F328" s="205">
        <v>6490</v>
      </c>
      <c r="G328" s="205">
        <v>12945</v>
      </c>
      <c r="H328" s="207">
        <v>1294.3</v>
      </c>
      <c r="I328" s="207">
        <v>15.07</v>
      </c>
      <c r="J328" s="207">
        <v>898.5</v>
      </c>
      <c r="K328" s="207">
        <v>1350.2</v>
      </c>
      <c r="L328" s="207"/>
    </row>
    <row r="329" spans="2:12">
      <c r="B329" s="206">
        <v>43570</v>
      </c>
      <c r="C329" s="211">
        <f t="shared" si="62"/>
        <v>2019</v>
      </c>
      <c r="D329" s="211">
        <f t="shared" si="63"/>
        <v>4</v>
      </c>
      <c r="E329" s="211">
        <f t="shared" si="64"/>
        <v>15</v>
      </c>
      <c r="F329" s="205">
        <v>6456</v>
      </c>
      <c r="G329" s="205">
        <v>12855</v>
      </c>
      <c r="H329" s="207">
        <v>1285.6500000000001</v>
      </c>
      <c r="I329" s="207">
        <v>14.94</v>
      </c>
      <c r="J329" s="207">
        <v>894.5</v>
      </c>
      <c r="K329" s="207">
        <v>1334.7</v>
      </c>
      <c r="L329" s="207"/>
    </row>
    <row r="330" spans="2:12">
      <c r="B330" s="206">
        <v>43571</v>
      </c>
      <c r="C330" s="211">
        <f t="shared" si="62"/>
        <v>2019</v>
      </c>
      <c r="D330" s="211">
        <f t="shared" si="63"/>
        <v>4</v>
      </c>
      <c r="E330" s="211">
        <f t="shared" si="64"/>
        <v>16</v>
      </c>
      <c r="F330" s="205">
        <v>6460</v>
      </c>
      <c r="G330" s="205">
        <v>12970</v>
      </c>
      <c r="H330" s="207">
        <v>1276.3499999999999</v>
      </c>
      <c r="I330" s="207">
        <v>14.95</v>
      </c>
      <c r="J330" s="207">
        <v>884.2</v>
      </c>
      <c r="K330" s="207">
        <v>1328.4</v>
      </c>
      <c r="L330" s="207"/>
    </row>
    <row r="331" spans="2:12">
      <c r="B331" s="206">
        <v>43572</v>
      </c>
      <c r="C331" s="211">
        <f t="shared" si="62"/>
        <v>2019</v>
      </c>
      <c r="D331" s="211">
        <f t="shared" si="63"/>
        <v>4</v>
      </c>
      <c r="E331" s="211">
        <f t="shared" si="64"/>
        <v>17</v>
      </c>
      <c r="F331" s="205">
        <v>6509</v>
      </c>
      <c r="G331" s="205">
        <v>12950</v>
      </c>
      <c r="H331" s="207">
        <v>1275.8499999999999</v>
      </c>
      <c r="I331" s="207">
        <v>15</v>
      </c>
      <c r="J331" s="207">
        <v>891.3</v>
      </c>
      <c r="K331" s="207">
        <v>1378.6</v>
      </c>
      <c r="L331" s="207"/>
    </row>
    <row r="332" spans="2:12">
      <c r="B332" s="206">
        <v>43573</v>
      </c>
      <c r="C332" s="211">
        <f t="shared" si="62"/>
        <v>2019</v>
      </c>
      <c r="D332" s="211">
        <f t="shared" si="63"/>
        <v>4</v>
      </c>
      <c r="E332" s="211">
        <f t="shared" si="64"/>
        <v>18</v>
      </c>
      <c r="F332" s="205">
        <v>6448</v>
      </c>
      <c r="G332" s="205">
        <v>12630</v>
      </c>
      <c r="H332" s="207">
        <v>1275.7</v>
      </c>
      <c r="I332" s="207">
        <v>14.96</v>
      </c>
      <c r="J332" s="207">
        <v>903.7</v>
      </c>
      <c r="K332" s="207">
        <v>1398.5</v>
      </c>
      <c r="L332" s="207"/>
    </row>
    <row r="333" spans="2:12">
      <c r="B333" s="206">
        <v>43578</v>
      </c>
      <c r="C333" s="211">
        <f t="shared" si="62"/>
        <v>2019</v>
      </c>
      <c r="D333" s="211">
        <f t="shared" si="63"/>
        <v>4</v>
      </c>
      <c r="E333" s="211">
        <f t="shared" si="64"/>
        <v>23</v>
      </c>
      <c r="F333" s="205">
        <v>6430</v>
      </c>
      <c r="G333" s="205">
        <v>12490</v>
      </c>
      <c r="H333" s="207">
        <v>1269.5</v>
      </c>
      <c r="I333" s="207">
        <v>14.98</v>
      </c>
      <c r="J333" s="207">
        <v>893.8</v>
      </c>
      <c r="K333" s="207">
        <v>1375.6</v>
      </c>
      <c r="L333" s="207"/>
    </row>
    <row r="334" spans="2:12">
      <c r="B334" s="206">
        <v>43579</v>
      </c>
      <c r="C334" s="211">
        <f t="shared" si="62"/>
        <v>2019</v>
      </c>
      <c r="D334" s="211">
        <f t="shared" si="63"/>
        <v>4</v>
      </c>
      <c r="E334" s="211">
        <f t="shared" si="64"/>
        <v>24</v>
      </c>
      <c r="F334" s="205">
        <v>6437.5</v>
      </c>
      <c r="G334" s="205">
        <v>12340</v>
      </c>
      <c r="H334" s="207">
        <v>1271.6500000000001</v>
      </c>
      <c r="I334" s="207">
        <v>14.81</v>
      </c>
      <c r="J334" s="207">
        <v>888.6</v>
      </c>
      <c r="K334" s="207">
        <v>1405.1</v>
      </c>
      <c r="L334" s="207"/>
    </row>
    <row r="335" spans="2:12">
      <c r="B335" s="206">
        <v>43580</v>
      </c>
      <c r="C335" s="211">
        <f t="shared" si="62"/>
        <v>2019</v>
      </c>
      <c r="D335" s="211">
        <f t="shared" si="63"/>
        <v>4</v>
      </c>
      <c r="E335" s="211">
        <f t="shared" si="64"/>
        <v>25</v>
      </c>
      <c r="F335" s="205">
        <v>6375.5</v>
      </c>
      <c r="G335" s="205">
        <v>12270</v>
      </c>
      <c r="H335" s="207">
        <v>1280.8</v>
      </c>
      <c r="I335" s="207">
        <v>14.87</v>
      </c>
      <c r="J335" s="207">
        <v>889.7</v>
      </c>
      <c r="K335" s="207">
        <v>1406.9</v>
      </c>
      <c r="L335" s="207"/>
    </row>
    <row r="336" spans="2:12">
      <c r="B336" s="206">
        <v>43581</v>
      </c>
      <c r="C336" s="211">
        <f t="shared" si="62"/>
        <v>2019</v>
      </c>
      <c r="D336" s="211">
        <f t="shared" si="63"/>
        <v>4</v>
      </c>
      <c r="E336" s="211">
        <f t="shared" si="64"/>
        <v>26</v>
      </c>
      <c r="F336" s="205">
        <v>6393</v>
      </c>
      <c r="G336" s="205">
        <v>12270</v>
      </c>
      <c r="H336" s="207">
        <v>1284.2</v>
      </c>
      <c r="I336" s="207">
        <v>15</v>
      </c>
      <c r="J336" s="207">
        <v>903.6</v>
      </c>
      <c r="K336" s="207">
        <v>1447.2</v>
      </c>
      <c r="L336" s="207"/>
    </row>
    <row r="337" spans="2:12">
      <c r="B337" s="206">
        <v>43584</v>
      </c>
      <c r="C337" s="211">
        <f t="shared" si="62"/>
        <v>2019</v>
      </c>
      <c r="D337" s="211">
        <f t="shared" si="63"/>
        <v>4</v>
      </c>
      <c r="E337" s="211">
        <f t="shared" si="64"/>
        <v>29</v>
      </c>
      <c r="F337" s="205">
        <v>6376</v>
      </c>
      <c r="G337" s="205">
        <v>12335</v>
      </c>
      <c r="H337" s="207">
        <v>1279.5</v>
      </c>
      <c r="I337" s="207">
        <v>14.97</v>
      </c>
      <c r="J337" s="207">
        <v>901.3</v>
      </c>
      <c r="K337" s="207">
        <v>1362</v>
      </c>
      <c r="L337" s="207"/>
    </row>
    <row r="338" spans="2:12">
      <c r="B338" s="206">
        <v>43585</v>
      </c>
      <c r="C338" s="211">
        <f t="shared" si="62"/>
        <v>2019</v>
      </c>
      <c r="D338" s="211">
        <f t="shared" si="63"/>
        <v>4</v>
      </c>
      <c r="E338" s="211">
        <f t="shared" si="64"/>
        <v>30</v>
      </c>
      <c r="F338" s="205">
        <v>6442</v>
      </c>
      <c r="G338" s="205">
        <v>12360</v>
      </c>
      <c r="H338" s="207">
        <v>1282.3</v>
      </c>
      <c r="I338" s="207">
        <v>14.99</v>
      </c>
      <c r="J338" s="207">
        <v>891.7</v>
      </c>
      <c r="K338" s="207">
        <v>1382.7</v>
      </c>
      <c r="L338" s="207"/>
    </row>
    <row r="339" spans="2:12">
      <c r="B339" s="206">
        <v>43586</v>
      </c>
      <c r="C339" s="211">
        <f t="shared" si="62"/>
        <v>2019</v>
      </c>
      <c r="D339" s="211">
        <f t="shared" si="63"/>
        <v>5</v>
      </c>
      <c r="E339" s="211">
        <f t="shared" si="64"/>
        <v>1</v>
      </c>
      <c r="F339" s="205">
        <v>6398</v>
      </c>
      <c r="G339" s="205">
        <v>12130</v>
      </c>
      <c r="H339" s="207">
        <v>1283.8</v>
      </c>
      <c r="I339" s="207">
        <v>14.88</v>
      </c>
      <c r="J339" s="207">
        <v>877.4</v>
      </c>
      <c r="K339" s="207">
        <v>1344.4</v>
      </c>
      <c r="L339" s="207"/>
    </row>
    <row r="340" spans="2:12">
      <c r="B340" s="206">
        <v>43587</v>
      </c>
      <c r="C340" s="211">
        <f t="shared" si="62"/>
        <v>2019</v>
      </c>
      <c r="D340" s="211">
        <f t="shared" si="63"/>
        <v>5</v>
      </c>
      <c r="E340" s="211">
        <f t="shared" si="64"/>
        <v>2</v>
      </c>
      <c r="F340" s="205">
        <v>6214</v>
      </c>
      <c r="G340" s="205">
        <v>12125</v>
      </c>
      <c r="H340" s="207">
        <v>1270.95</v>
      </c>
      <c r="I340" s="207">
        <v>14.68</v>
      </c>
      <c r="J340" s="207">
        <v>854.2</v>
      </c>
      <c r="K340" s="207">
        <v>1343.2</v>
      </c>
      <c r="L340" s="207"/>
    </row>
    <row r="341" spans="2:12">
      <c r="B341" s="206">
        <v>43588</v>
      </c>
      <c r="C341" s="211">
        <f t="shared" si="62"/>
        <v>2019</v>
      </c>
      <c r="D341" s="211">
        <f t="shared" si="63"/>
        <v>5</v>
      </c>
      <c r="E341" s="211">
        <f t="shared" si="64"/>
        <v>3</v>
      </c>
      <c r="F341" s="205">
        <v>6180</v>
      </c>
      <c r="G341" s="205">
        <v>12170</v>
      </c>
      <c r="H341" s="207">
        <v>1278.55</v>
      </c>
      <c r="I341" s="207">
        <v>14.66</v>
      </c>
      <c r="J341" s="207">
        <v>874.8</v>
      </c>
      <c r="K341" s="207">
        <v>1358</v>
      </c>
      <c r="L341" s="207"/>
    </row>
    <row r="342" spans="2:12">
      <c r="B342" s="206">
        <v>43592</v>
      </c>
      <c r="C342" s="211">
        <f t="shared" si="62"/>
        <v>2019</v>
      </c>
      <c r="D342" s="211">
        <f t="shared" si="63"/>
        <v>5</v>
      </c>
      <c r="E342" s="211">
        <f t="shared" si="64"/>
        <v>7</v>
      </c>
      <c r="F342" s="205">
        <v>6174</v>
      </c>
      <c r="G342" s="205">
        <v>12050</v>
      </c>
      <c r="H342" s="207">
        <v>1281.2</v>
      </c>
      <c r="I342" s="207">
        <v>14.83</v>
      </c>
      <c r="J342" s="207">
        <v>873.4</v>
      </c>
      <c r="K342" s="207">
        <v>1323.4</v>
      </c>
      <c r="L342" s="207"/>
    </row>
    <row r="343" spans="2:12">
      <c r="B343" s="206">
        <v>43593</v>
      </c>
      <c r="C343" s="211">
        <f t="shared" si="62"/>
        <v>2019</v>
      </c>
      <c r="D343" s="211">
        <f t="shared" si="63"/>
        <v>5</v>
      </c>
      <c r="E343" s="211">
        <f t="shared" si="64"/>
        <v>8</v>
      </c>
      <c r="F343" s="205">
        <v>6103</v>
      </c>
      <c r="G343" s="205">
        <v>11965</v>
      </c>
      <c r="H343" s="207">
        <v>1285.2</v>
      </c>
      <c r="I343" s="207">
        <v>14.93</v>
      </c>
      <c r="J343" s="207">
        <v>864.4</v>
      </c>
      <c r="K343" s="207">
        <v>1306.4000000000001</v>
      </c>
      <c r="L343" s="207"/>
    </row>
    <row r="344" spans="2:12">
      <c r="B344" s="206">
        <v>43594</v>
      </c>
      <c r="C344" s="211">
        <f t="shared" si="62"/>
        <v>2019</v>
      </c>
      <c r="D344" s="211">
        <f t="shared" si="63"/>
        <v>5</v>
      </c>
      <c r="E344" s="211">
        <f t="shared" si="64"/>
        <v>9</v>
      </c>
      <c r="F344" s="205">
        <v>6112</v>
      </c>
      <c r="G344" s="205">
        <v>11710</v>
      </c>
      <c r="H344" s="207">
        <v>1286.0999999999999</v>
      </c>
      <c r="I344" s="207">
        <v>14.82</v>
      </c>
      <c r="J344" s="207">
        <v>851.4</v>
      </c>
      <c r="K344" s="207">
        <v>1283</v>
      </c>
      <c r="L344" s="207"/>
    </row>
    <row r="345" spans="2:12">
      <c r="B345" s="206">
        <v>43595</v>
      </c>
      <c r="C345" s="211">
        <f t="shared" si="62"/>
        <v>2019</v>
      </c>
      <c r="D345" s="211">
        <f t="shared" si="63"/>
        <v>5</v>
      </c>
      <c r="E345" s="211">
        <f t="shared" si="64"/>
        <v>10</v>
      </c>
      <c r="F345" s="205">
        <v>6135.5</v>
      </c>
      <c r="G345" s="205">
        <v>11865</v>
      </c>
      <c r="H345" s="207">
        <v>1287.0999999999999</v>
      </c>
      <c r="I345" s="207">
        <v>14.8</v>
      </c>
      <c r="J345" s="207">
        <v>865.6</v>
      </c>
      <c r="K345" s="207">
        <v>1350.7</v>
      </c>
      <c r="L345" s="207"/>
    </row>
    <row r="346" spans="2:12">
      <c r="B346" s="206">
        <v>43598</v>
      </c>
      <c r="C346" s="211">
        <f t="shared" si="62"/>
        <v>2019</v>
      </c>
      <c r="D346" s="211">
        <f t="shared" si="63"/>
        <v>5</v>
      </c>
      <c r="E346" s="211">
        <f t="shared" si="64"/>
        <v>13</v>
      </c>
      <c r="F346" s="205">
        <v>6042.5</v>
      </c>
      <c r="G346" s="205">
        <v>11730</v>
      </c>
      <c r="H346" s="207">
        <v>1295.5999999999999</v>
      </c>
      <c r="I346" s="207">
        <v>14.66</v>
      </c>
      <c r="J346" s="207">
        <v>854.9</v>
      </c>
      <c r="K346" s="207">
        <v>1316.8</v>
      </c>
      <c r="L346" s="207"/>
    </row>
    <row r="347" spans="2:12">
      <c r="B347" s="206">
        <v>43599</v>
      </c>
      <c r="C347" s="211">
        <f t="shared" si="62"/>
        <v>2019</v>
      </c>
      <c r="D347" s="211">
        <f t="shared" si="63"/>
        <v>5</v>
      </c>
      <c r="E347" s="211">
        <f t="shared" si="64"/>
        <v>14</v>
      </c>
      <c r="F347" s="205">
        <v>6007</v>
      </c>
      <c r="G347" s="205">
        <v>11820</v>
      </c>
      <c r="H347" s="207">
        <v>1298.4000000000001</v>
      </c>
      <c r="I347" s="207">
        <v>14.76</v>
      </c>
      <c r="J347" s="207">
        <v>859.1</v>
      </c>
      <c r="K347" s="207">
        <v>1333</v>
      </c>
      <c r="L347" s="207"/>
    </row>
    <row r="348" spans="2:12">
      <c r="B348" s="206">
        <v>43600</v>
      </c>
      <c r="C348" s="211">
        <f t="shared" si="62"/>
        <v>2019</v>
      </c>
      <c r="D348" s="211">
        <f t="shared" si="63"/>
        <v>5</v>
      </c>
      <c r="E348" s="211">
        <f t="shared" si="64"/>
        <v>15</v>
      </c>
      <c r="F348" s="205">
        <v>6002</v>
      </c>
      <c r="G348" s="205">
        <v>11930</v>
      </c>
      <c r="H348" s="207">
        <v>1299.0999999999999</v>
      </c>
      <c r="I348" s="207">
        <v>14.82</v>
      </c>
      <c r="J348" s="207">
        <v>847.7</v>
      </c>
      <c r="K348" s="207">
        <v>1332.9</v>
      </c>
      <c r="L348" s="207"/>
    </row>
    <row r="349" spans="2:12">
      <c r="B349" s="206">
        <v>43601</v>
      </c>
      <c r="C349" s="211">
        <f t="shared" si="62"/>
        <v>2019</v>
      </c>
      <c r="D349" s="211">
        <f t="shared" si="63"/>
        <v>5</v>
      </c>
      <c r="E349" s="211">
        <f t="shared" si="64"/>
        <v>16</v>
      </c>
      <c r="F349" s="205">
        <v>6089</v>
      </c>
      <c r="G349" s="205">
        <v>12215</v>
      </c>
      <c r="H349" s="207">
        <v>1291.7</v>
      </c>
      <c r="I349" s="207">
        <v>14.8</v>
      </c>
      <c r="J349" s="207">
        <v>833.6</v>
      </c>
      <c r="K349" s="207">
        <v>1324.7</v>
      </c>
      <c r="L349" s="207"/>
    </row>
    <row r="350" spans="2:12">
      <c r="B350" s="206">
        <v>43602</v>
      </c>
      <c r="C350" s="211">
        <f t="shared" si="62"/>
        <v>2019</v>
      </c>
      <c r="D350" s="211">
        <f t="shared" si="63"/>
        <v>5</v>
      </c>
      <c r="E350" s="211">
        <f t="shared" si="64"/>
        <v>17</v>
      </c>
      <c r="F350" s="205">
        <v>6025</v>
      </c>
      <c r="G350" s="205">
        <v>12025</v>
      </c>
      <c r="H350" s="207">
        <v>1280.8</v>
      </c>
      <c r="I350" s="207">
        <v>14.48</v>
      </c>
      <c r="J350" s="207">
        <v>820.3</v>
      </c>
      <c r="K350" s="207">
        <v>1305.8</v>
      </c>
      <c r="L350" s="207"/>
    </row>
    <row r="351" spans="2:12">
      <c r="B351" s="206">
        <v>43605</v>
      </c>
      <c r="C351" s="211">
        <f t="shared" si="62"/>
        <v>2019</v>
      </c>
      <c r="D351" s="211">
        <f t="shared" si="63"/>
        <v>5</v>
      </c>
      <c r="E351" s="211">
        <f t="shared" si="64"/>
        <v>20</v>
      </c>
      <c r="F351" s="205">
        <v>5985</v>
      </c>
      <c r="G351" s="205">
        <v>11915</v>
      </c>
      <c r="H351" s="207">
        <v>1276.8499999999999</v>
      </c>
      <c r="I351" s="207">
        <v>14.42</v>
      </c>
      <c r="J351" s="207">
        <v>814.2</v>
      </c>
      <c r="K351" s="207">
        <v>1331</v>
      </c>
      <c r="L351" s="207"/>
    </row>
    <row r="352" spans="2:12">
      <c r="B352" s="206">
        <v>43606</v>
      </c>
      <c r="C352" s="211">
        <f t="shared" si="62"/>
        <v>2019</v>
      </c>
      <c r="D352" s="211">
        <f t="shared" si="63"/>
        <v>5</v>
      </c>
      <c r="E352" s="211">
        <f t="shared" si="64"/>
        <v>21</v>
      </c>
      <c r="F352" s="205">
        <v>6004</v>
      </c>
      <c r="G352" s="205">
        <v>12030</v>
      </c>
      <c r="H352" s="207">
        <v>1271.1500000000001</v>
      </c>
      <c r="I352" s="207">
        <v>14.43</v>
      </c>
      <c r="J352" s="207">
        <v>815.4</v>
      </c>
      <c r="K352" s="207">
        <v>1312.5</v>
      </c>
      <c r="L352" s="207"/>
    </row>
    <row r="353" spans="2:12">
      <c r="B353" s="206">
        <v>43607</v>
      </c>
      <c r="C353" s="211">
        <f t="shared" si="62"/>
        <v>2019</v>
      </c>
      <c r="D353" s="211">
        <f t="shared" si="63"/>
        <v>5</v>
      </c>
      <c r="E353" s="211">
        <f t="shared" si="64"/>
        <v>22</v>
      </c>
      <c r="F353" s="205">
        <v>5920</v>
      </c>
      <c r="G353" s="205">
        <v>11965</v>
      </c>
      <c r="H353" s="207">
        <v>1273.8</v>
      </c>
      <c r="I353" s="207">
        <v>14.44</v>
      </c>
      <c r="J353" s="207">
        <v>805.3</v>
      </c>
      <c r="K353" s="207">
        <v>1313.5</v>
      </c>
      <c r="L353" s="207"/>
    </row>
    <row r="354" spans="2:12">
      <c r="B354" s="206">
        <v>43608</v>
      </c>
      <c r="C354" s="211">
        <f t="shared" si="62"/>
        <v>2019</v>
      </c>
      <c r="D354" s="211">
        <f t="shared" si="63"/>
        <v>5</v>
      </c>
      <c r="E354" s="211">
        <f t="shared" si="64"/>
        <v>23</v>
      </c>
      <c r="F354" s="205">
        <v>5860</v>
      </c>
      <c r="G354" s="205">
        <v>11870</v>
      </c>
      <c r="H354" s="207">
        <v>1283.6500000000001</v>
      </c>
      <c r="I354" s="207">
        <v>14.48</v>
      </c>
      <c r="J354" s="207">
        <v>799.5</v>
      </c>
      <c r="K354" s="207">
        <v>1307.8</v>
      </c>
      <c r="L354" s="207"/>
    </row>
    <row r="355" spans="2:12">
      <c r="B355" s="206">
        <v>43609</v>
      </c>
      <c r="C355" s="211">
        <f t="shared" si="62"/>
        <v>2019</v>
      </c>
      <c r="D355" s="211">
        <f t="shared" si="63"/>
        <v>5</v>
      </c>
      <c r="E355" s="211">
        <f t="shared" si="64"/>
        <v>24</v>
      </c>
      <c r="F355" s="205">
        <v>5919</v>
      </c>
      <c r="G355" s="205">
        <v>12155</v>
      </c>
      <c r="H355" s="207">
        <v>1282.5</v>
      </c>
      <c r="I355" s="207">
        <v>14.55</v>
      </c>
      <c r="J355" s="207">
        <v>802.9</v>
      </c>
      <c r="K355" s="207">
        <v>1325.7</v>
      </c>
      <c r="L355" s="207"/>
    </row>
    <row r="356" spans="2:12">
      <c r="B356" s="206">
        <v>43613</v>
      </c>
      <c r="C356" s="211">
        <f t="shared" si="62"/>
        <v>2019</v>
      </c>
      <c r="D356" s="211">
        <f t="shared" si="63"/>
        <v>5</v>
      </c>
      <c r="E356" s="211">
        <f t="shared" si="64"/>
        <v>28</v>
      </c>
      <c r="F356" s="205">
        <v>5956.5</v>
      </c>
      <c r="G356" s="205">
        <v>12235</v>
      </c>
      <c r="H356" s="207">
        <v>1278.3</v>
      </c>
      <c r="I356" s="207">
        <v>14.48</v>
      </c>
      <c r="J356" s="207">
        <v>797.1</v>
      </c>
      <c r="K356" s="207">
        <v>1338.94</v>
      </c>
      <c r="L356" s="207"/>
    </row>
    <row r="357" spans="2:12">
      <c r="B357" s="206">
        <v>43614</v>
      </c>
      <c r="C357" s="211">
        <f t="shared" si="62"/>
        <v>2019</v>
      </c>
      <c r="D357" s="211">
        <f t="shared" si="63"/>
        <v>5</v>
      </c>
      <c r="E357" s="211">
        <f t="shared" si="64"/>
        <v>29</v>
      </c>
      <c r="F357" s="205">
        <v>5864.5</v>
      </c>
      <c r="G357" s="205">
        <v>12040</v>
      </c>
      <c r="H357" s="207">
        <v>1281.6500000000001</v>
      </c>
      <c r="I357" s="207">
        <v>14.38</v>
      </c>
      <c r="J357" s="207">
        <v>791.7</v>
      </c>
      <c r="K357" s="207">
        <v>1346.72</v>
      </c>
      <c r="L357" s="207"/>
    </row>
    <row r="358" spans="2:12">
      <c r="B358" s="206">
        <v>43615</v>
      </c>
      <c r="C358" s="211">
        <f t="shared" si="62"/>
        <v>2019</v>
      </c>
      <c r="D358" s="211">
        <f t="shared" si="63"/>
        <v>5</v>
      </c>
      <c r="E358" s="211">
        <f t="shared" si="64"/>
        <v>30</v>
      </c>
      <c r="F358" s="205">
        <v>5823</v>
      </c>
      <c r="G358" s="205">
        <v>11980</v>
      </c>
      <c r="H358" s="207">
        <v>1280.95</v>
      </c>
      <c r="I358" s="207">
        <v>14.4</v>
      </c>
      <c r="J358" s="207">
        <v>794.1</v>
      </c>
      <c r="K358" s="207">
        <v>1367.34</v>
      </c>
      <c r="L358" s="207"/>
    </row>
    <row r="359" spans="2:12">
      <c r="B359" s="206">
        <v>43616</v>
      </c>
      <c r="C359" s="211">
        <f t="shared" si="62"/>
        <v>2019</v>
      </c>
      <c r="D359" s="211">
        <f t="shared" si="63"/>
        <v>5</v>
      </c>
      <c r="E359" s="211">
        <f t="shared" si="64"/>
        <v>31</v>
      </c>
      <c r="F359" s="205">
        <v>5780.5</v>
      </c>
      <c r="G359" s="205">
        <v>12040</v>
      </c>
      <c r="H359" s="207">
        <v>1295.55</v>
      </c>
      <c r="I359" s="207">
        <v>14.48</v>
      </c>
      <c r="J359" s="207">
        <v>794.2</v>
      </c>
      <c r="K359" s="207">
        <v>1331.98</v>
      </c>
      <c r="L359" s="207"/>
    </row>
    <row r="360" spans="2:12">
      <c r="B360" s="206">
        <v>43619</v>
      </c>
      <c r="C360" s="211">
        <f t="shared" si="62"/>
        <v>2019</v>
      </c>
      <c r="D360" s="211">
        <f t="shared" si="63"/>
        <v>6</v>
      </c>
      <c r="E360" s="211">
        <f t="shared" si="64"/>
        <v>3</v>
      </c>
      <c r="F360" s="205">
        <v>5796</v>
      </c>
      <c r="G360" s="205">
        <v>11860</v>
      </c>
      <c r="H360" s="207">
        <v>1317.1</v>
      </c>
      <c r="I360" s="207">
        <v>14.76</v>
      </c>
      <c r="J360" s="207">
        <v>820.9</v>
      </c>
      <c r="K360" s="207">
        <v>1315</v>
      </c>
      <c r="L360" s="207"/>
    </row>
    <row r="361" spans="2:12">
      <c r="B361" s="206">
        <v>43620</v>
      </c>
      <c r="C361" s="211">
        <f t="shared" si="62"/>
        <v>2019</v>
      </c>
      <c r="D361" s="211">
        <f t="shared" si="63"/>
        <v>6</v>
      </c>
      <c r="E361" s="211">
        <f t="shared" si="64"/>
        <v>4</v>
      </c>
      <c r="F361" s="205">
        <v>5804</v>
      </c>
      <c r="G361" s="205">
        <v>11800</v>
      </c>
      <c r="H361" s="207">
        <v>1324.25</v>
      </c>
      <c r="I361" s="207">
        <v>14.72</v>
      </c>
      <c r="J361" s="207">
        <v>819.1</v>
      </c>
      <c r="K361" s="207">
        <v>1340.8</v>
      </c>
      <c r="L361" s="207"/>
    </row>
    <row r="362" spans="2:12">
      <c r="B362" s="206">
        <v>43621</v>
      </c>
      <c r="C362" s="211">
        <f t="shared" si="62"/>
        <v>2019</v>
      </c>
      <c r="D362" s="211">
        <f t="shared" si="63"/>
        <v>6</v>
      </c>
      <c r="E362" s="211">
        <f t="shared" si="64"/>
        <v>5</v>
      </c>
      <c r="F362" s="205">
        <v>5832.5</v>
      </c>
      <c r="G362" s="205">
        <v>11765</v>
      </c>
      <c r="H362" s="207">
        <v>1335.05</v>
      </c>
      <c r="I362" s="207">
        <v>14.84</v>
      </c>
      <c r="J362" s="207">
        <v>802.8</v>
      </c>
      <c r="K362" s="207">
        <v>1327.3</v>
      </c>
      <c r="L362" s="207"/>
    </row>
    <row r="363" spans="2:12">
      <c r="B363" s="206">
        <v>43622</v>
      </c>
      <c r="C363" s="211">
        <f t="shared" si="62"/>
        <v>2019</v>
      </c>
      <c r="D363" s="211">
        <f t="shared" si="63"/>
        <v>6</v>
      </c>
      <c r="E363" s="211">
        <f t="shared" si="64"/>
        <v>6</v>
      </c>
      <c r="F363" s="205">
        <v>5805</v>
      </c>
      <c r="G363" s="205">
        <v>11710</v>
      </c>
      <c r="H363" s="207">
        <v>1335.5</v>
      </c>
      <c r="I363" s="207">
        <v>14.96</v>
      </c>
      <c r="J363" s="207">
        <v>803.7</v>
      </c>
      <c r="K363" s="207">
        <v>1349.1</v>
      </c>
      <c r="L363" s="207"/>
    </row>
    <row r="364" spans="2:12">
      <c r="B364" s="206">
        <v>43623</v>
      </c>
      <c r="C364" s="211">
        <f t="shared" si="62"/>
        <v>2019</v>
      </c>
      <c r="D364" s="211">
        <f t="shared" si="63"/>
        <v>6</v>
      </c>
      <c r="E364" s="211">
        <f t="shared" si="64"/>
        <v>7</v>
      </c>
      <c r="F364" s="205">
        <v>5770</v>
      </c>
      <c r="G364" s="205">
        <v>11580</v>
      </c>
      <c r="H364" s="207">
        <v>1340.65</v>
      </c>
      <c r="I364" s="207">
        <v>14.91</v>
      </c>
      <c r="J364" s="207">
        <v>806.1</v>
      </c>
      <c r="K364" s="207">
        <v>1356</v>
      </c>
      <c r="L364" s="207"/>
    </row>
    <row r="365" spans="2:12">
      <c r="B365" s="206">
        <v>43626</v>
      </c>
      <c r="C365" s="211">
        <f t="shared" si="62"/>
        <v>2019</v>
      </c>
      <c r="D365" s="211">
        <f t="shared" si="63"/>
        <v>6</v>
      </c>
      <c r="E365" s="211">
        <f t="shared" si="64"/>
        <v>10</v>
      </c>
      <c r="F365" s="205">
        <v>5788</v>
      </c>
      <c r="G365" s="205">
        <v>11600</v>
      </c>
      <c r="H365" s="207">
        <v>1328.6</v>
      </c>
      <c r="I365" s="207">
        <v>14.75</v>
      </c>
      <c r="J365" s="207">
        <v>805.2</v>
      </c>
      <c r="K365" s="207">
        <v>1386.8</v>
      </c>
      <c r="L365" s="207"/>
    </row>
    <row r="366" spans="2:12">
      <c r="B366" s="206">
        <v>43627</v>
      </c>
      <c r="C366" s="211">
        <f t="shared" si="62"/>
        <v>2019</v>
      </c>
      <c r="D366" s="211">
        <f t="shared" si="63"/>
        <v>6</v>
      </c>
      <c r="E366" s="211">
        <f t="shared" si="64"/>
        <v>11</v>
      </c>
      <c r="F366" s="205">
        <v>5905</v>
      </c>
      <c r="G366" s="205">
        <v>11825</v>
      </c>
      <c r="H366" s="207">
        <v>1324.3</v>
      </c>
      <c r="I366" s="207">
        <v>14.7</v>
      </c>
      <c r="J366" s="207">
        <v>814.3</v>
      </c>
      <c r="K366" s="207">
        <v>1389.2</v>
      </c>
      <c r="L366" s="207"/>
    </row>
    <row r="367" spans="2:12">
      <c r="B367" s="206">
        <v>43628</v>
      </c>
      <c r="C367" s="211">
        <f t="shared" si="62"/>
        <v>2019</v>
      </c>
      <c r="D367" s="211">
        <f t="shared" si="63"/>
        <v>6</v>
      </c>
      <c r="E367" s="211">
        <f t="shared" si="64"/>
        <v>12</v>
      </c>
      <c r="F367" s="205">
        <v>5828.5</v>
      </c>
      <c r="G367" s="205">
        <v>11745</v>
      </c>
      <c r="H367" s="207">
        <v>1332.35</v>
      </c>
      <c r="I367" s="207">
        <v>14.79</v>
      </c>
      <c r="J367" s="207">
        <v>810.5</v>
      </c>
      <c r="K367" s="207">
        <v>1405.6</v>
      </c>
      <c r="L367" s="207"/>
    </row>
    <row r="368" spans="2:12">
      <c r="B368" s="206">
        <v>43629</v>
      </c>
      <c r="C368" s="211">
        <f t="shared" si="62"/>
        <v>2019</v>
      </c>
      <c r="D368" s="211">
        <f t="shared" si="63"/>
        <v>6</v>
      </c>
      <c r="E368" s="211">
        <f t="shared" si="64"/>
        <v>13</v>
      </c>
      <c r="F368" s="205">
        <v>5797.5</v>
      </c>
      <c r="G368" s="205">
        <v>11920</v>
      </c>
      <c r="H368" s="207">
        <v>1335.9</v>
      </c>
      <c r="I368" s="207">
        <v>14.8</v>
      </c>
      <c r="J368" s="207">
        <v>809.4</v>
      </c>
      <c r="K368" s="207">
        <v>1438.2</v>
      </c>
      <c r="L368" s="207"/>
    </row>
    <row r="369" spans="2:12">
      <c r="B369" s="206">
        <v>43630</v>
      </c>
      <c r="C369" s="211">
        <f t="shared" si="62"/>
        <v>2019</v>
      </c>
      <c r="D369" s="211">
        <f t="shared" si="63"/>
        <v>6</v>
      </c>
      <c r="E369" s="211">
        <f t="shared" si="64"/>
        <v>14</v>
      </c>
      <c r="F369" s="205">
        <v>5805.5</v>
      </c>
      <c r="G369" s="205">
        <v>11895</v>
      </c>
      <c r="H369" s="207">
        <v>1351.25</v>
      </c>
      <c r="I369" s="207">
        <v>15.03</v>
      </c>
      <c r="J369" s="207">
        <v>804.7</v>
      </c>
      <c r="K369" s="207">
        <v>1461.5</v>
      </c>
      <c r="L369" s="207"/>
    </row>
    <row r="370" spans="2:12">
      <c r="B370" s="206">
        <v>43633</v>
      </c>
      <c r="C370" s="211">
        <f t="shared" si="62"/>
        <v>2019</v>
      </c>
      <c r="D370" s="211">
        <f t="shared" si="63"/>
        <v>6</v>
      </c>
      <c r="E370" s="211">
        <f t="shared" si="64"/>
        <v>17</v>
      </c>
      <c r="F370" s="205">
        <v>5756</v>
      </c>
      <c r="G370" s="205">
        <v>11745</v>
      </c>
      <c r="H370" s="207">
        <v>1341.3</v>
      </c>
      <c r="I370" s="207">
        <v>14.78</v>
      </c>
      <c r="J370" s="207">
        <v>794.6</v>
      </c>
      <c r="K370" s="207">
        <v>1455.5</v>
      </c>
      <c r="L370" s="207"/>
    </row>
    <row r="371" spans="2:12">
      <c r="B371" s="206">
        <v>43634</v>
      </c>
      <c r="C371" s="211">
        <f t="shared" si="62"/>
        <v>2019</v>
      </c>
      <c r="D371" s="211">
        <f t="shared" si="63"/>
        <v>6</v>
      </c>
      <c r="E371" s="211">
        <f t="shared" si="64"/>
        <v>18</v>
      </c>
      <c r="F371" s="205">
        <v>5848.5</v>
      </c>
      <c r="G371" s="205">
        <v>11705</v>
      </c>
      <c r="H371" s="207">
        <v>1341.35</v>
      </c>
      <c r="I371" s="207">
        <v>14.9</v>
      </c>
      <c r="J371" s="207">
        <v>802</v>
      </c>
      <c r="K371" s="207">
        <v>1473.3</v>
      </c>
      <c r="L371" s="207"/>
    </row>
    <row r="372" spans="2:12">
      <c r="B372" s="206">
        <v>43635</v>
      </c>
      <c r="C372" s="211">
        <f t="shared" si="62"/>
        <v>2019</v>
      </c>
      <c r="D372" s="211">
        <f t="shared" si="63"/>
        <v>6</v>
      </c>
      <c r="E372" s="211">
        <f t="shared" si="64"/>
        <v>19</v>
      </c>
      <c r="F372" s="205">
        <v>5895</v>
      </c>
      <c r="G372" s="205">
        <v>11865</v>
      </c>
      <c r="H372" s="207">
        <v>1344.05</v>
      </c>
      <c r="I372" s="207">
        <v>14.95</v>
      </c>
      <c r="J372" s="207">
        <v>805.8</v>
      </c>
      <c r="K372" s="207">
        <v>1492.6</v>
      </c>
      <c r="L372" s="207"/>
    </row>
    <row r="373" spans="2:12">
      <c r="B373" s="206">
        <v>43636</v>
      </c>
      <c r="C373" s="211">
        <f t="shared" si="62"/>
        <v>2019</v>
      </c>
      <c r="D373" s="211">
        <f t="shared" si="63"/>
        <v>6</v>
      </c>
      <c r="E373" s="211">
        <f t="shared" si="64"/>
        <v>20</v>
      </c>
      <c r="F373" s="205">
        <v>5962</v>
      </c>
      <c r="G373" s="205">
        <v>12245</v>
      </c>
      <c r="H373" s="207">
        <v>1379.5</v>
      </c>
      <c r="I373" s="207">
        <v>15.33</v>
      </c>
      <c r="J373" s="207">
        <v>805.6</v>
      </c>
      <c r="K373" s="207">
        <v>1480.6</v>
      </c>
      <c r="L373" s="207"/>
    </row>
    <row r="374" spans="2:12">
      <c r="B374" s="206">
        <v>43637</v>
      </c>
      <c r="C374" s="211">
        <f t="shared" si="62"/>
        <v>2019</v>
      </c>
      <c r="D374" s="211">
        <f t="shared" si="63"/>
        <v>6</v>
      </c>
      <c r="E374" s="211">
        <f t="shared" si="64"/>
        <v>21</v>
      </c>
      <c r="F374" s="205">
        <v>5941</v>
      </c>
      <c r="G374" s="205">
        <v>12135</v>
      </c>
      <c r="H374" s="207">
        <v>1397.15</v>
      </c>
      <c r="I374" s="207">
        <v>15.29</v>
      </c>
      <c r="J374" s="207">
        <v>811</v>
      </c>
      <c r="K374" s="207">
        <v>1499.6</v>
      </c>
      <c r="L374" s="207"/>
    </row>
    <row r="375" spans="2:12">
      <c r="B375" s="206">
        <v>43640</v>
      </c>
      <c r="C375" s="211">
        <f t="shared" si="62"/>
        <v>2019</v>
      </c>
      <c r="D375" s="211">
        <f t="shared" si="63"/>
        <v>6</v>
      </c>
      <c r="E375" s="211">
        <f t="shared" si="64"/>
        <v>24</v>
      </c>
      <c r="F375" s="205">
        <v>5917</v>
      </c>
      <c r="G375" s="205">
        <v>12065</v>
      </c>
      <c r="H375" s="207">
        <v>1405.7</v>
      </c>
      <c r="I375" s="207">
        <v>15.37</v>
      </c>
      <c r="J375" s="207">
        <v>811.7</v>
      </c>
      <c r="K375" s="207">
        <v>1528.6</v>
      </c>
      <c r="L375" s="207"/>
    </row>
    <row r="376" spans="2:12">
      <c r="B376" s="206">
        <v>43641</v>
      </c>
      <c r="C376" s="211">
        <f t="shared" si="62"/>
        <v>2019</v>
      </c>
      <c r="D376" s="211">
        <f t="shared" si="63"/>
        <v>6</v>
      </c>
      <c r="E376" s="211">
        <f t="shared" si="64"/>
        <v>25</v>
      </c>
      <c r="F376" s="205">
        <v>5985.5</v>
      </c>
      <c r="G376" s="205">
        <v>12210</v>
      </c>
      <c r="H376" s="207">
        <v>1431.4</v>
      </c>
      <c r="I376" s="207">
        <v>15.4</v>
      </c>
      <c r="J376" s="207">
        <v>810.74</v>
      </c>
      <c r="K376" s="207">
        <v>1532.5</v>
      </c>
      <c r="L376" s="207"/>
    </row>
    <row r="377" spans="2:12">
      <c r="B377" s="206">
        <v>43642</v>
      </c>
      <c r="C377" s="211">
        <f t="shared" si="62"/>
        <v>2019</v>
      </c>
      <c r="D377" s="211">
        <f t="shared" si="63"/>
        <v>6</v>
      </c>
      <c r="E377" s="211">
        <f t="shared" si="64"/>
        <v>26</v>
      </c>
      <c r="F377" s="205">
        <v>6006</v>
      </c>
      <c r="G377" s="205">
        <v>12400</v>
      </c>
      <c r="H377" s="207">
        <v>1403.95</v>
      </c>
      <c r="I377" s="207">
        <v>15.26</v>
      </c>
      <c r="J377" s="207">
        <v>818.76</v>
      </c>
      <c r="K377" s="207">
        <v>1525.7</v>
      </c>
      <c r="L377" s="207"/>
    </row>
    <row r="378" spans="2:12">
      <c r="B378" s="206">
        <v>43643</v>
      </c>
      <c r="C378" s="211">
        <f t="shared" si="62"/>
        <v>2019</v>
      </c>
      <c r="D378" s="211">
        <f t="shared" si="63"/>
        <v>6</v>
      </c>
      <c r="E378" s="211">
        <f t="shared" si="64"/>
        <v>27</v>
      </c>
      <c r="F378" s="205">
        <v>5953.5</v>
      </c>
      <c r="G378" s="205">
        <v>12665</v>
      </c>
      <c r="H378" s="207">
        <v>1402.5</v>
      </c>
      <c r="I378" s="207">
        <v>15.25</v>
      </c>
      <c r="J378" s="207">
        <v>815.54</v>
      </c>
      <c r="K378" s="207">
        <v>1538.9</v>
      </c>
      <c r="L378" s="207"/>
    </row>
    <row r="379" spans="2:12">
      <c r="B379" s="206">
        <v>43644</v>
      </c>
      <c r="C379" s="211">
        <f t="shared" si="62"/>
        <v>2019</v>
      </c>
      <c r="D379" s="211">
        <f t="shared" si="63"/>
        <v>6</v>
      </c>
      <c r="E379" s="211">
        <f t="shared" si="64"/>
        <v>28</v>
      </c>
      <c r="F379" s="205">
        <v>5972</v>
      </c>
      <c r="G379" s="205">
        <v>12665</v>
      </c>
      <c r="H379" s="207">
        <v>1409</v>
      </c>
      <c r="I379" s="207">
        <v>15.22</v>
      </c>
      <c r="J379" s="207">
        <v>839.98</v>
      </c>
      <c r="K379" s="207">
        <v>1537.6</v>
      </c>
      <c r="L379" s="207"/>
    </row>
    <row r="380" spans="2:12">
      <c r="B380" s="206">
        <v>43647</v>
      </c>
      <c r="C380" s="211">
        <f t="shared" si="62"/>
        <v>2019</v>
      </c>
      <c r="D380" s="211">
        <f t="shared" si="63"/>
        <v>7</v>
      </c>
      <c r="E380" s="211">
        <f t="shared" si="64"/>
        <v>1</v>
      </c>
      <c r="F380" s="205">
        <v>5999</v>
      </c>
      <c r="G380" s="205">
        <v>12340</v>
      </c>
      <c r="H380" s="207">
        <v>1390.1</v>
      </c>
      <c r="I380" s="207">
        <v>15.26</v>
      </c>
      <c r="J380" s="207">
        <v>837.2</v>
      </c>
      <c r="K380" s="207">
        <v>1544.7</v>
      </c>
      <c r="L380" s="207"/>
    </row>
    <row r="381" spans="2:12">
      <c r="B381" s="206">
        <v>43648</v>
      </c>
      <c r="C381" s="211">
        <f t="shared" si="62"/>
        <v>2019</v>
      </c>
      <c r="D381" s="211">
        <f t="shared" si="63"/>
        <v>7</v>
      </c>
      <c r="E381" s="211">
        <f t="shared" si="64"/>
        <v>2</v>
      </c>
      <c r="F381" s="205">
        <v>5910</v>
      </c>
      <c r="G381" s="205">
        <v>12025</v>
      </c>
      <c r="H381" s="207">
        <v>1391.05</v>
      </c>
      <c r="I381" s="207">
        <v>15.17</v>
      </c>
      <c r="J381" s="207">
        <v>833.5</v>
      </c>
      <c r="K381" s="207">
        <v>1552.8</v>
      </c>
      <c r="L381" s="207"/>
    </row>
    <row r="382" spans="2:12">
      <c r="B382" s="206">
        <v>43649</v>
      </c>
      <c r="C382" s="211">
        <f t="shared" si="62"/>
        <v>2019</v>
      </c>
      <c r="D382" s="211">
        <f t="shared" si="63"/>
        <v>7</v>
      </c>
      <c r="E382" s="211">
        <f t="shared" si="64"/>
        <v>3</v>
      </c>
      <c r="F382" s="205">
        <v>5874</v>
      </c>
      <c r="G382" s="205">
        <v>12185</v>
      </c>
      <c r="H382" s="207">
        <v>1413.5</v>
      </c>
      <c r="I382" s="207">
        <v>15.31</v>
      </c>
      <c r="J382" s="207">
        <v>843.6</v>
      </c>
      <c r="K382" s="207">
        <v>1565.8</v>
      </c>
      <c r="L382" s="207"/>
    </row>
    <row r="383" spans="2:12">
      <c r="B383" s="206">
        <v>43650</v>
      </c>
      <c r="C383" s="211">
        <f t="shared" si="62"/>
        <v>2019</v>
      </c>
      <c r="D383" s="211">
        <f t="shared" si="63"/>
        <v>7</v>
      </c>
      <c r="E383" s="211">
        <f t="shared" si="64"/>
        <v>4</v>
      </c>
      <c r="F383" s="205">
        <v>5900</v>
      </c>
      <c r="G383" s="205">
        <v>12305</v>
      </c>
      <c r="H383" s="207">
        <v>1414.9</v>
      </c>
      <c r="I383" s="207">
        <v>15.28</v>
      </c>
      <c r="J383" s="207" t="s">
        <v>338</v>
      </c>
      <c r="K383" s="207" t="s">
        <v>338</v>
      </c>
      <c r="L383" s="207"/>
    </row>
    <row r="384" spans="2:12">
      <c r="B384" s="206">
        <v>43651</v>
      </c>
      <c r="C384" s="211">
        <f t="shared" si="62"/>
        <v>2019</v>
      </c>
      <c r="D384" s="211">
        <f t="shared" si="63"/>
        <v>7</v>
      </c>
      <c r="E384" s="211">
        <f t="shared" si="64"/>
        <v>5</v>
      </c>
      <c r="F384" s="205">
        <v>5857</v>
      </c>
      <c r="G384" s="205">
        <v>12300</v>
      </c>
      <c r="H384" s="207">
        <v>1388.65</v>
      </c>
      <c r="I384" s="207">
        <v>15.21</v>
      </c>
      <c r="J384" s="207">
        <v>811.4</v>
      </c>
      <c r="K384" s="207">
        <v>1564.2</v>
      </c>
      <c r="L384" s="207"/>
    </row>
    <row r="385" spans="2:12">
      <c r="B385" s="206">
        <v>43654</v>
      </c>
      <c r="C385" s="211">
        <f t="shared" si="62"/>
        <v>2019</v>
      </c>
      <c r="D385" s="211">
        <f t="shared" si="63"/>
        <v>7</v>
      </c>
      <c r="E385" s="211">
        <f t="shared" si="64"/>
        <v>8</v>
      </c>
      <c r="F385" s="205">
        <v>5912</v>
      </c>
      <c r="G385" s="205">
        <v>12525</v>
      </c>
      <c r="H385" s="207">
        <v>1400.1</v>
      </c>
      <c r="I385" s="207">
        <v>15.07</v>
      </c>
      <c r="J385" s="207">
        <v>820.4</v>
      </c>
      <c r="K385" s="207">
        <v>1558.2</v>
      </c>
      <c r="L385" s="207"/>
    </row>
    <row r="386" spans="2:12">
      <c r="B386" s="206">
        <v>43655</v>
      </c>
      <c r="C386" s="211">
        <f t="shared" si="62"/>
        <v>2019</v>
      </c>
      <c r="D386" s="211">
        <f t="shared" si="63"/>
        <v>7</v>
      </c>
      <c r="E386" s="211">
        <f t="shared" si="64"/>
        <v>9</v>
      </c>
      <c r="F386" s="205">
        <v>5805</v>
      </c>
      <c r="G386" s="205">
        <v>12560</v>
      </c>
      <c r="H386" s="207">
        <v>1391.55</v>
      </c>
      <c r="I386" s="207">
        <v>15.03</v>
      </c>
      <c r="J386" s="207">
        <v>815.1</v>
      </c>
      <c r="K386" s="207">
        <v>1539.9</v>
      </c>
      <c r="L386" s="207"/>
    </row>
    <row r="387" spans="2:12">
      <c r="B387" s="206">
        <v>43656</v>
      </c>
      <c r="C387" s="211">
        <f t="shared" si="62"/>
        <v>2019</v>
      </c>
      <c r="D387" s="211">
        <f t="shared" si="63"/>
        <v>7</v>
      </c>
      <c r="E387" s="211">
        <f t="shared" si="64"/>
        <v>10</v>
      </c>
      <c r="F387" s="205">
        <v>5862.5</v>
      </c>
      <c r="G387" s="205">
        <v>12790</v>
      </c>
      <c r="H387" s="207">
        <v>1408.3</v>
      </c>
      <c r="I387" s="207">
        <v>15.1</v>
      </c>
      <c r="J387" s="207">
        <v>830</v>
      </c>
      <c r="K387" s="207">
        <v>1588.1</v>
      </c>
      <c r="L387" s="207"/>
    </row>
    <row r="388" spans="2:12">
      <c r="B388" s="206">
        <v>43657</v>
      </c>
      <c r="C388" s="211">
        <f t="shared" ref="C388:C451" si="65">YEAR(B388)</f>
        <v>2019</v>
      </c>
      <c r="D388" s="211">
        <f t="shared" ref="D388:D451" si="66">MONTH(B388)</f>
        <v>7</v>
      </c>
      <c r="E388" s="211">
        <f t="shared" ref="E388:E451" si="67">DAY(B388)</f>
        <v>11</v>
      </c>
      <c r="F388" s="205">
        <v>5925</v>
      </c>
      <c r="G388" s="205">
        <v>13090</v>
      </c>
      <c r="H388" s="207">
        <v>1413.75</v>
      </c>
      <c r="I388" s="207">
        <v>15.27</v>
      </c>
      <c r="J388" s="207">
        <v>830.9</v>
      </c>
      <c r="K388" s="207">
        <v>1559.1</v>
      </c>
      <c r="L388" s="207"/>
    </row>
    <row r="389" spans="2:12">
      <c r="B389" s="206">
        <v>43658</v>
      </c>
      <c r="C389" s="211">
        <f t="shared" si="65"/>
        <v>2019</v>
      </c>
      <c r="D389" s="211">
        <f t="shared" si="66"/>
        <v>7</v>
      </c>
      <c r="E389" s="211">
        <f t="shared" si="67"/>
        <v>12</v>
      </c>
      <c r="F389" s="205">
        <v>5950</v>
      </c>
      <c r="G389" s="205">
        <v>13205</v>
      </c>
      <c r="H389" s="207">
        <v>1407.6</v>
      </c>
      <c r="I389" s="207">
        <v>15.14</v>
      </c>
      <c r="J389" s="207">
        <v>834.6</v>
      </c>
      <c r="K389" s="207">
        <v>1542.4</v>
      </c>
      <c r="L389" s="207"/>
    </row>
    <row r="390" spans="2:12">
      <c r="B390" s="206">
        <v>43661</v>
      </c>
      <c r="C390" s="211">
        <f t="shared" si="65"/>
        <v>2019</v>
      </c>
      <c r="D390" s="211">
        <f t="shared" si="66"/>
        <v>7</v>
      </c>
      <c r="E390" s="211">
        <f t="shared" si="67"/>
        <v>15</v>
      </c>
      <c r="F390" s="205">
        <v>5997.5</v>
      </c>
      <c r="G390" s="205">
        <v>13350</v>
      </c>
      <c r="H390" s="207">
        <v>1412.4</v>
      </c>
      <c r="I390" s="207">
        <v>15.32</v>
      </c>
      <c r="J390" s="207">
        <v>845.2</v>
      </c>
      <c r="K390" s="207">
        <v>1562.9</v>
      </c>
      <c r="L390" s="207"/>
    </row>
    <row r="391" spans="2:12">
      <c r="B391" s="206">
        <v>43662</v>
      </c>
      <c r="C391" s="211">
        <f t="shared" si="65"/>
        <v>2019</v>
      </c>
      <c r="D391" s="211">
        <f t="shared" si="66"/>
        <v>7</v>
      </c>
      <c r="E391" s="211">
        <f t="shared" si="67"/>
        <v>16</v>
      </c>
      <c r="F391" s="205">
        <v>5959</v>
      </c>
      <c r="G391" s="205">
        <v>13920</v>
      </c>
      <c r="H391" s="207">
        <v>1409.85</v>
      </c>
      <c r="I391" s="207">
        <v>15.4</v>
      </c>
      <c r="J391" s="207">
        <v>846.9</v>
      </c>
      <c r="K391" s="207">
        <v>1516.3</v>
      </c>
      <c r="L391" s="207"/>
    </row>
    <row r="392" spans="2:12">
      <c r="B392" s="206">
        <v>43663</v>
      </c>
      <c r="C392" s="211">
        <f t="shared" si="65"/>
        <v>2019</v>
      </c>
      <c r="D392" s="211">
        <f t="shared" si="66"/>
        <v>7</v>
      </c>
      <c r="E392" s="211">
        <f t="shared" si="67"/>
        <v>17</v>
      </c>
      <c r="F392" s="205">
        <v>5922</v>
      </c>
      <c r="G392" s="205">
        <v>14230</v>
      </c>
      <c r="H392" s="207">
        <v>1410.35</v>
      </c>
      <c r="I392" s="207">
        <v>15.61</v>
      </c>
      <c r="J392" s="207">
        <v>847.1</v>
      </c>
      <c r="K392" s="207">
        <v>1543.2</v>
      </c>
      <c r="L392" s="207"/>
    </row>
    <row r="393" spans="2:12">
      <c r="B393" s="206">
        <v>43664</v>
      </c>
      <c r="C393" s="211">
        <f t="shared" si="65"/>
        <v>2019</v>
      </c>
      <c r="D393" s="211">
        <f t="shared" si="66"/>
        <v>7</v>
      </c>
      <c r="E393" s="211">
        <f t="shared" si="67"/>
        <v>18</v>
      </c>
      <c r="F393" s="205">
        <v>5948</v>
      </c>
      <c r="G393" s="205">
        <v>14685</v>
      </c>
      <c r="H393" s="207">
        <v>1417.45</v>
      </c>
      <c r="I393" s="207">
        <v>16.03</v>
      </c>
      <c r="J393" s="207">
        <v>849.9</v>
      </c>
      <c r="K393" s="207">
        <v>1511.9</v>
      </c>
      <c r="L393" s="207"/>
    </row>
    <row r="394" spans="2:12">
      <c r="B394" s="206">
        <v>43665</v>
      </c>
      <c r="C394" s="211">
        <f t="shared" si="65"/>
        <v>2019</v>
      </c>
      <c r="D394" s="211">
        <f t="shared" si="66"/>
        <v>7</v>
      </c>
      <c r="E394" s="211">
        <f t="shared" si="67"/>
        <v>19</v>
      </c>
      <c r="F394" s="205">
        <v>6066</v>
      </c>
      <c r="G394" s="205">
        <v>14425</v>
      </c>
      <c r="H394" s="207">
        <v>1439.7</v>
      </c>
      <c r="I394" s="207">
        <v>16.32</v>
      </c>
      <c r="J394" s="207">
        <v>852.1</v>
      </c>
      <c r="K394" s="207">
        <v>1508.3</v>
      </c>
      <c r="L394" s="207"/>
    </row>
    <row r="395" spans="2:12">
      <c r="B395" s="206">
        <v>43668</v>
      </c>
      <c r="C395" s="211">
        <f t="shared" si="65"/>
        <v>2019</v>
      </c>
      <c r="D395" s="211">
        <f t="shared" si="66"/>
        <v>7</v>
      </c>
      <c r="E395" s="211">
        <f t="shared" si="67"/>
        <v>22</v>
      </c>
      <c r="F395" s="205">
        <v>6007.5</v>
      </c>
      <c r="G395" s="205">
        <v>14310</v>
      </c>
      <c r="H395" s="207">
        <v>1427.75</v>
      </c>
      <c r="I395" s="207">
        <v>16.39</v>
      </c>
      <c r="J395" s="207">
        <v>852.7</v>
      </c>
      <c r="K395" s="207">
        <v>1529.2</v>
      </c>
      <c r="L395" s="207"/>
    </row>
    <row r="396" spans="2:12">
      <c r="B396" s="206">
        <v>43669</v>
      </c>
      <c r="C396" s="211">
        <f t="shared" si="65"/>
        <v>2019</v>
      </c>
      <c r="D396" s="211">
        <f t="shared" si="66"/>
        <v>7</v>
      </c>
      <c r="E396" s="211">
        <f t="shared" si="67"/>
        <v>23</v>
      </c>
      <c r="F396" s="205">
        <v>5968.5</v>
      </c>
      <c r="G396" s="205">
        <v>14305</v>
      </c>
      <c r="H396" s="207">
        <v>1425.55</v>
      </c>
      <c r="I396" s="207">
        <v>16.43</v>
      </c>
      <c r="J396" s="207">
        <v>861.6</v>
      </c>
      <c r="K396" s="207">
        <v>1518.6</v>
      </c>
      <c r="L396" s="207"/>
    </row>
    <row r="397" spans="2:12">
      <c r="B397" s="206">
        <v>43670</v>
      </c>
      <c r="C397" s="211">
        <f t="shared" si="65"/>
        <v>2019</v>
      </c>
      <c r="D397" s="211">
        <f t="shared" si="66"/>
        <v>7</v>
      </c>
      <c r="E397" s="211">
        <f t="shared" si="67"/>
        <v>24</v>
      </c>
      <c r="F397" s="205">
        <v>5980</v>
      </c>
      <c r="G397" s="205">
        <v>14475</v>
      </c>
      <c r="H397" s="207">
        <v>1426.95</v>
      </c>
      <c r="I397" s="207">
        <v>16.54</v>
      </c>
      <c r="J397" s="207">
        <v>881.1</v>
      </c>
      <c r="K397" s="207">
        <v>1538.5</v>
      </c>
      <c r="L397" s="207"/>
    </row>
    <row r="398" spans="2:12">
      <c r="B398" s="206">
        <v>43671</v>
      </c>
      <c r="C398" s="211">
        <f t="shared" si="65"/>
        <v>2019</v>
      </c>
      <c r="D398" s="211">
        <f t="shared" si="66"/>
        <v>7</v>
      </c>
      <c r="E398" s="211">
        <f t="shared" si="67"/>
        <v>25</v>
      </c>
      <c r="F398" s="205">
        <v>6010</v>
      </c>
      <c r="G398" s="205">
        <v>13995</v>
      </c>
      <c r="H398" s="207">
        <v>1416.1</v>
      </c>
      <c r="I398" s="207">
        <v>16.54</v>
      </c>
      <c r="J398" s="207">
        <v>874</v>
      </c>
      <c r="K398" s="207">
        <v>1533.9</v>
      </c>
      <c r="L398" s="207"/>
    </row>
    <row r="399" spans="2:12">
      <c r="B399" s="206">
        <v>43672</v>
      </c>
      <c r="C399" s="211">
        <f t="shared" si="65"/>
        <v>2019</v>
      </c>
      <c r="D399" s="211">
        <f t="shared" si="66"/>
        <v>7</v>
      </c>
      <c r="E399" s="211">
        <f t="shared" si="67"/>
        <v>26</v>
      </c>
      <c r="F399" s="205">
        <v>5945</v>
      </c>
      <c r="G399" s="205">
        <v>14060</v>
      </c>
      <c r="H399" s="207">
        <v>1420.4</v>
      </c>
      <c r="I399" s="207">
        <v>16.440000000000001</v>
      </c>
      <c r="J399" s="207">
        <v>867.8</v>
      </c>
      <c r="K399" s="207">
        <v>1531</v>
      </c>
      <c r="L399" s="207"/>
    </row>
    <row r="400" spans="2:12">
      <c r="B400" s="206">
        <v>43675</v>
      </c>
      <c r="C400" s="211">
        <f t="shared" si="65"/>
        <v>2019</v>
      </c>
      <c r="D400" s="211">
        <f t="shared" si="66"/>
        <v>7</v>
      </c>
      <c r="E400" s="211">
        <f t="shared" si="67"/>
        <v>29</v>
      </c>
      <c r="F400" s="205">
        <v>5949.5</v>
      </c>
      <c r="G400" s="205">
        <v>13990</v>
      </c>
      <c r="H400" s="207">
        <v>1419.05</v>
      </c>
      <c r="I400" s="207">
        <v>16.39</v>
      </c>
      <c r="J400" s="207">
        <v>881.9</v>
      </c>
      <c r="K400" s="207">
        <v>1553.8</v>
      </c>
      <c r="L400" s="207"/>
    </row>
    <row r="401" spans="2:12">
      <c r="B401" s="206">
        <v>43676</v>
      </c>
      <c r="C401" s="211">
        <f t="shared" si="65"/>
        <v>2019</v>
      </c>
      <c r="D401" s="211">
        <f t="shared" si="66"/>
        <v>7</v>
      </c>
      <c r="E401" s="211">
        <f t="shared" si="67"/>
        <v>30</v>
      </c>
      <c r="F401" s="205">
        <v>5943</v>
      </c>
      <c r="G401" s="205">
        <v>14205</v>
      </c>
      <c r="H401" s="207">
        <v>1425.9</v>
      </c>
      <c r="I401" s="207">
        <v>16.46</v>
      </c>
      <c r="J401" s="207">
        <v>872.6</v>
      </c>
      <c r="K401" s="207">
        <v>1509.1</v>
      </c>
      <c r="L401" s="207"/>
    </row>
    <row r="402" spans="2:12">
      <c r="B402" s="206">
        <v>43677</v>
      </c>
      <c r="C402" s="211">
        <f t="shared" si="65"/>
        <v>2019</v>
      </c>
      <c r="D402" s="211">
        <f t="shared" si="66"/>
        <v>7</v>
      </c>
      <c r="E402" s="211">
        <f t="shared" si="67"/>
        <v>31</v>
      </c>
      <c r="F402" s="205">
        <v>5926</v>
      </c>
      <c r="G402" s="205">
        <v>14360</v>
      </c>
      <c r="H402" s="207">
        <v>1427.55</v>
      </c>
      <c r="I402" s="207">
        <v>16.48</v>
      </c>
      <c r="J402" s="207">
        <v>878.9</v>
      </c>
      <c r="K402" s="207">
        <v>1524.4</v>
      </c>
      <c r="L402" s="207"/>
    </row>
    <row r="403" spans="2:12">
      <c r="B403" s="206">
        <v>43678</v>
      </c>
      <c r="C403" s="211">
        <f t="shared" si="65"/>
        <v>2019</v>
      </c>
      <c r="D403" s="211">
        <f t="shared" si="66"/>
        <v>8</v>
      </c>
      <c r="E403" s="211">
        <f t="shared" si="67"/>
        <v>1</v>
      </c>
      <c r="F403" s="205">
        <v>5876</v>
      </c>
      <c r="G403" s="205">
        <v>14290</v>
      </c>
      <c r="H403" s="207">
        <v>1406.8</v>
      </c>
      <c r="I403" s="207">
        <v>16.010000000000002</v>
      </c>
      <c r="J403" s="207">
        <v>851.3</v>
      </c>
      <c r="K403" s="207">
        <v>1414.3</v>
      </c>
      <c r="L403" s="207"/>
    </row>
    <row r="404" spans="2:12">
      <c r="B404" s="206">
        <v>43679</v>
      </c>
      <c r="C404" s="211">
        <f t="shared" si="65"/>
        <v>2019</v>
      </c>
      <c r="D404" s="211">
        <f t="shared" si="66"/>
        <v>8</v>
      </c>
      <c r="E404" s="211">
        <f t="shared" si="67"/>
        <v>2</v>
      </c>
      <c r="F404" s="205">
        <v>5769</v>
      </c>
      <c r="G404" s="205">
        <v>14520</v>
      </c>
      <c r="H404" s="207">
        <v>1441.75</v>
      </c>
      <c r="I404" s="207">
        <v>16.2</v>
      </c>
      <c r="J404" s="207">
        <v>853</v>
      </c>
      <c r="K404" s="207">
        <v>1404.2</v>
      </c>
      <c r="L404" s="207"/>
    </row>
    <row r="405" spans="2:12">
      <c r="B405" s="206">
        <v>43682</v>
      </c>
      <c r="C405" s="211">
        <f t="shared" si="65"/>
        <v>2019</v>
      </c>
      <c r="D405" s="211">
        <f t="shared" si="66"/>
        <v>8</v>
      </c>
      <c r="E405" s="211">
        <f t="shared" si="67"/>
        <v>5</v>
      </c>
      <c r="F405" s="205">
        <v>5647</v>
      </c>
      <c r="G405" s="205">
        <v>14860</v>
      </c>
      <c r="H405" s="207">
        <v>1465.25</v>
      </c>
      <c r="I405" s="207">
        <v>16.489999999999998</v>
      </c>
      <c r="J405" s="207">
        <v>857.9</v>
      </c>
      <c r="K405" s="207">
        <v>1416.3</v>
      </c>
      <c r="L405" s="207"/>
    </row>
    <row r="406" spans="2:12">
      <c r="B406" s="206">
        <v>43683</v>
      </c>
      <c r="C406" s="211">
        <f t="shared" si="65"/>
        <v>2019</v>
      </c>
      <c r="D406" s="211">
        <f t="shared" si="66"/>
        <v>8</v>
      </c>
      <c r="E406" s="211">
        <f t="shared" si="67"/>
        <v>6</v>
      </c>
      <c r="F406" s="205">
        <v>5667</v>
      </c>
      <c r="G406" s="205">
        <v>15020</v>
      </c>
      <c r="H406" s="207">
        <v>1465.25</v>
      </c>
      <c r="I406" s="207">
        <v>16.489999999999998</v>
      </c>
      <c r="J406" s="207">
        <v>853.2</v>
      </c>
      <c r="K406" s="207">
        <v>1437</v>
      </c>
      <c r="L406" s="207"/>
    </row>
    <row r="407" spans="2:12">
      <c r="B407" s="206">
        <v>43684</v>
      </c>
      <c r="C407" s="211">
        <f t="shared" si="65"/>
        <v>2019</v>
      </c>
      <c r="D407" s="211">
        <f t="shared" si="66"/>
        <v>8</v>
      </c>
      <c r="E407" s="211">
        <f t="shared" si="67"/>
        <v>7</v>
      </c>
      <c r="F407" s="205">
        <v>5673.5</v>
      </c>
      <c r="G407" s="205">
        <v>14740</v>
      </c>
      <c r="H407" s="207">
        <v>1506.05</v>
      </c>
      <c r="I407" s="207">
        <v>16.82</v>
      </c>
      <c r="J407" s="207">
        <v>871</v>
      </c>
      <c r="K407" s="207">
        <v>1410.3</v>
      </c>
      <c r="L407" s="207"/>
    </row>
    <row r="408" spans="2:12">
      <c r="B408" s="206">
        <v>43685</v>
      </c>
      <c r="C408" s="211">
        <f t="shared" si="65"/>
        <v>2019</v>
      </c>
      <c r="D408" s="211">
        <f t="shared" si="66"/>
        <v>8</v>
      </c>
      <c r="E408" s="211">
        <f t="shared" si="67"/>
        <v>8</v>
      </c>
      <c r="F408" s="205">
        <v>5723</v>
      </c>
      <c r="G408" s="205">
        <v>15495</v>
      </c>
      <c r="H408" s="207">
        <v>1495.75</v>
      </c>
      <c r="I408" s="207">
        <v>17.02</v>
      </c>
      <c r="J408" s="207">
        <v>867.5</v>
      </c>
      <c r="K408" s="207">
        <v>1413.5</v>
      </c>
      <c r="L408" s="207"/>
    </row>
    <row r="409" spans="2:12">
      <c r="B409" s="206">
        <v>43686</v>
      </c>
      <c r="C409" s="211">
        <f t="shared" si="65"/>
        <v>2019</v>
      </c>
      <c r="D409" s="211">
        <f t="shared" si="66"/>
        <v>8</v>
      </c>
      <c r="E409" s="211">
        <f t="shared" si="67"/>
        <v>9</v>
      </c>
      <c r="F409" s="205">
        <v>5744</v>
      </c>
      <c r="G409" s="205">
        <v>15620</v>
      </c>
      <c r="H409" s="207">
        <v>1497.7</v>
      </c>
      <c r="I409" s="207">
        <v>17</v>
      </c>
      <c r="J409" s="207">
        <v>863.8</v>
      </c>
      <c r="K409" s="207">
        <v>1419.3</v>
      </c>
      <c r="L409" s="207"/>
    </row>
    <row r="410" spans="2:12">
      <c r="B410" s="206">
        <v>43689</v>
      </c>
      <c r="C410" s="211">
        <f t="shared" si="65"/>
        <v>2019</v>
      </c>
      <c r="D410" s="211">
        <f t="shared" si="66"/>
        <v>8</v>
      </c>
      <c r="E410" s="211">
        <f t="shared" si="67"/>
        <v>12</v>
      </c>
      <c r="F410" s="205">
        <v>5724.5</v>
      </c>
      <c r="G410" s="205">
        <v>15635</v>
      </c>
      <c r="H410" s="207">
        <v>1504.7</v>
      </c>
      <c r="I410" s="207">
        <v>16.96</v>
      </c>
      <c r="J410" s="207">
        <v>863.7</v>
      </c>
      <c r="K410" s="207">
        <v>1430.8</v>
      </c>
      <c r="L410" s="207"/>
    </row>
    <row r="411" spans="2:12">
      <c r="B411" s="206">
        <v>43690</v>
      </c>
      <c r="C411" s="211">
        <f t="shared" si="65"/>
        <v>2019</v>
      </c>
      <c r="D411" s="211">
        <f t="shared" si="66"/>
        <v>8</v>
      </c>
      <c r="E411" s="211">
        <f t="shared" si="67"/>
        <v>13</v>
      </c>
      <c r="F411" s="205">
        <v>5697</v>
      </c>
      <c r="G411" s="205">
        <v>15725</v>
      </c>
      <c r="H411" s="207">
        <v>1498.4</v>
      </c>
      <c r="I411" s="207">
        <v>17.45</v>
      </c>
      <c r="J411" s="207">
        <v>859.7</v>
      </c>
      <c r="K411" s="207">
        <v>1451.5</v>
      </c>
      <c r="L411" s="207"/>
    </row>
    <row r="412" spans="2:12">
      <c r="B412" s="206">
        <v>43691</v>
      </c>
      <c r="C412" s="211">
        <f t="shared" si="65"/>
        <v>2019</v>
      </c>
      <c r="D412" s="211">
        <f t="shared" si="66"/>
        <v>8</v>
      </c>
      <c r="E412" s="211">
        <f t="shared" si="67"/>
        <v>14</v>
      </c>
      <c r="F412" s="205">
        <v>5732</v>
      </c>
      <c r="G412" s="205">
        <v>16050</v>
      </c>
      <c r="H412" s="207">
        <v>1513.25</v>
      </c>
      <c r="I412" s="207">
        <v>17.12</v>
      </c>
      <c r="J412" s="207">
        <v>848</v>
      </c>
      <c r="K412" s="207">
        <v>1416.4</v>
      </c>
      <c r="L412" s="207"/>
    </row>
    <row r="413" spans="2:12">
      <c r="B413" s="206">
        <v>43692</v>
      </c>
      <c r="C413" s="211">
        <f t="shared" si="65"/>
        <v>2019</v>
      </c>
      <c r="D413" s="211">
        <f t="shared" si="66"/>
        <v>8</v>
      </c>
      <c r="E413" s="211">
        <f t="shared" si="67"/>
        <v>15</v>
      </c>
      <c r="F413" s="205">
        <v>5696.5</v>
      </c>
      <c r="G413" s="205">
        <v>15990</v>
      </c>
      <c r="H413" s="207">
        <v>1515.65</v>
      </c>
      <c r="I413" s="207">
        <v>17.29</v>
      </c>
      <c r="J413" s="207">
        <v>842</v>
      </c>
      <c r="K413" s="207">
        <v>1438.6</v>
      </c>
      <c r="L413" s="207"/>
    </row>
    <row r="414" spans="2:12">
      <c r="B414" s="206">
        <v>43693</v>
      </c>
      <c r="C414" s="211">
        <f t="shared" si="65"/>
        <v>2019</v>
      </c>
      <c r="D414" s="211">
        <f t="shared" si="66"/>
        <v>8</v>
      </c>
      <c r="E414" s="211">
        <f t="shared" si="67"/>
        <v>16</v>
      </c>
      <c r="F414" s="205">
        <v>5710</v>
      </c>
      <c r="G414" s="205">
        <v>16090</v>
      </c>
      <c r="H414" s="207">
        <v>1515.25</v>
      </c>
      <c r="I414" s="207">
        <v>17.16</v>
      </c>
      <c r="J414" s="207">
        <v>851.5</v>
      </c>
      <c r="K414" s="207">
        <v>1441.3</v>
      </c>
      <c r="L414" s="207"/>
    </row>
    <row r="415" spans="2:12">
      <c r="B415" s="206">
        <v>43696</v>
      </c>
      <c r="C415" s="211">
        <f t="shared" si="65"/>
        <v>2019</v>
      </c>
      <c r="D415" s="211">
        <f t="shared" si="66"/>
        <v>8</v>
      </c>
      <c r="E415" s="211">
        <f t="shared" si="67"/>
        <v>19</v>
      </c>
      <c r="F415" s="205">
        <v>5755.5</v>
      </c>
      <c r="G415" s="205">
        <v>16005</v>
      </c>
      <c r="H415" s="207">
        <v>1496.6</v>
      </c>
      <c r="I415" s="207">
        <v>16.93</v>
      </c>
      <c r="J415" s="207">
        <v>856.8</v>
      </c>
      <c r="K415" s="207">
        <v>1474.3</v>
      </c>
      <c r="L415" s="207"/>
    </row>
    <row r="416" spans="2:12">
      <c r="B416" s="206">
        <v>43697</v>
      </c>
      <c r="C416" s="211">
        <f t="shared" si="65"/>
        <v>2019</v>
      </c>
      <c r="D416" s="211">
        <f t="shared" si="66"/>
        <v>8</v>
      </c>
      <c r="E416" s="211">
        <f t="shared" si="67"/>
        <v>20</v>
      </c>
      <c r="F416" s="205">
        <v>5698</v>
      </c>
      <c r="G416" s="205">
        <v>15860</v>
      </c>
      <c r="H416" s="207">
        <v>1504.55</v>
      </c>
      <c r="I416" s="207">
        <v>17.02</v>
      </c>
      <c r="J416" s="207">
        <v>852.8</v>
      </c>
      <c r="K416" s="207">
        <v>1489.7</v>
      </c>
      <c r="L416" s="207"/>
    </row>
    <row r="417" spans="2:12">
      <c r="B417" s="206">
        <v>43698</v>
      </c>
      <c r="C417" s="211">
        <f t="shared" si="65"/>
        <v>2019</v>
      </c>
      <c r="D417" s="211">
        <f t="shared" si="66"/>
        <v>8</v>
      </c>
      <c r="E417" s="211">
        <f t="shared" si="67"/>
        <v>21</v>
      </c>
      <c r="F417" s="205">
        <v>5696.5</v>
      </c>
      <c r="G417" s="205">
        <v>15755</v>
      </c>
      <c r="H417" s="207">
        <v>1503.25</v>
      </c>
      <c r="I417" s="207">
        <v>17.11</v>
      </c>
      <c r="J417" s="207">
        <v>858.1</v>
      </c>
      <c r="K417" s="207">
        <v>1465.5</v>
      </c>
      <c r="L417" s="207"/>
    </row>
    <row r="418" spans="2:12">
      <c r="B418" s="206">
        <v>43699</v>
      </c>
      <c r="C418" s="211">
        <f t="shared" si="65"/>
        <v>2019</v>
      </c>
      <c r="D418" s="211">
        <f t="shared" si="66"/>
        <v>8</v>
      </c>
      <c r="E418" s="211">
        <f t="shared" si="67"/>
        <v>22</v>
      </c>
      <c r="F418" s="205">
        <v>5668</v>
      </c>
      <c r="G418" s="205">
        <v>15780</v>
      </c>
      <c r="H418" s="207">
        <v>1502.05</v>
      </c>
      <c r="I418" s="207">
        <v>16.96</v>
      </c>
      <c r="J418" s="207">
        <v>861.9</v>
      </c>
      <c r="K418" s="207">
        <v>1485.2</v>
      </c>
      <c r="L418" s="207"/>
    </row>
    <row r="419" spans="2:12">
      <c r="B419" s="206">
        <v>43700</v>
      </c>
      <c r="C419" s="211">
        <f t="shared" si="65"/>
        <v>2019</v>
      </c>
      <c r="D419" s="211">
        <f t="shared" si="66"/>
        <v>8</v>
      </c>
      <c r="E419" s="211">
        <f t="shared" si="67"/>
        <v>23</v>
      </c>
      <c r="F419" s="205">
        <v>5675</v>
      </c>
      <c r="G419" s="205">
        <v>15755</v>
      </c>
      <c r="H419" s="207">
        <v>1503.8</v>
      </c>
      <c r="I419" s="207">
        <v>17.05</v>
      </c>
      <c r="J419" s="207">
        <v>855.3</v>
      </c>
      <c r="K419" s="207">
        <v>1454.3</v>
      </c>
      <c r="L419" s="207"/>
    </row>
    <row r="420" spans="2:12">
      <c r="B420" s="206">
        <v>43704</v>
      </c>
      <c r="C420" s="211">
        <f t="shared" si="65"/>
        <v>2019</v>
      </c>
      <c r="D420" s="211">
        <f t="shared" si="66"/>
        <v>8</v>
      </c>
      <c r="E420" s="211">
        <f t="shared" si="67"/>
        <v>27</v>
      </c>
      <c r="F420" s="205">
        <v>5662</v>
      </c>
      <c r="G420" s="205">
        <v>15905</v>
      </c>
      <c r="H420" s="207">
        <v>1532.95</v>
      </c>
      <c r="I420" s="207">
        <v>17.73</v>
      </c>
      <c r="J420" s="207">
        <v>868.2</v>
      </c>
      <c r="K420" s="207">
        <v>1478.84</v>
      </c>
      <c r="L420" s="207"/>
    </row>
    <row r="421" spans="2:12">
      <c r="B421" s="206">
        <v>43705</v>
      </c>
      <c r="C421" s="211">
        <f t="shared" si="65"/>
        <v>2019</v>
      </c>
      <c r="D421" s="211">
        <f t="shared" si="66"/>
        <v>8</v>
      </c>
      <c r="E421" s="211">
        <f t="shared" si="67"/>
        <v>28</v>
      </c>
      <c r="F421" s="205">
        <v>5653</v>
      </c>
      <c r="G421" s="205">
        <v>16025</v>
      </c>
      <c r="H421" s="207">
        <v>1537.15</v>
      </c>
      <c r="I421" s="207">
        <v>18.37</v>
      </c>
      <c r="J421" s="207">
        <v>908.9</v>
      </c>
      <c r="K421" s="207">
        <v>1461.48</v>
      </c>
      <c r="L421" s="207"/>
    </row>
    <row r="422" spans="2:12">
      <c r="B422" s="206">
        <v>43706</v>
      </c>
      <c r="C422" s="211">
        <f t="shared" si="65"/>
        <v>2019</v>
      </c>
      <c r="D422" s="211">
        <f t="shared" si="66"/>
        <v>8</v>
      </c>
      <c r="E422" s="211">
        <f t="shared" si="67"/>
        <v>29</v>
      </c>
      <c r="F422" s="205">
        <v>5722</v>
      </c>
      <c r="G422" s="205">
        <v>16345</v>
      </c>
      <c r="H422" s="207">
        <v>1540.2</v>
      </c>
      <c r="I422" s="207">
        <v>18.48</v>
      </c>
      <c r="J422" s="207">
        <v>920</v>
      </c>
      <c r="K422" s="207">
        <v>1470.54</v>
      </c>
      <c r="L422" s="207"/>
    </row>
    <row r="423" spans="2:12">
      <c r="B423" s="206">
        <v>43707</v>
      </c>
      <c r="C423" s="211">
        <f t="shared" si="65"/>
        <v>2019</v>
      </c>
      <c r="D423" s="211">
        <f t="shared" si="66"/>
        <v>8</v>
      </c>
      <c r="E423" s="211">
        <f t="shared" si="67"/>
        <v>30</v>
      </c>
      <c r="F423" s="205">
        <v>5678</v>
      </c>
      <c r="G423" s="205">
        <v>17860</v>
      </c>
      <c r="H423" s="207">
        <v>1528.4</v>
      </c>
      <c r="I423" s="207">
        <v>18.39</v>
      </c>
      <c r="J423" s="207">
        <v>931.7</v>
      </c>
      <c r="K423" s="207">
        <v>1539.08</v>
      </c>
      <c r="L423" s="207"/>
    </row>
    <row r="424" spans="2:12">
      <c r="B424" s="206">
        <v>43710</v>
      </c>
      <c r="C424" s="211">
        <f t="shared" si="65"/>
        <v>2019</v>
      </c>
      <c r="D424" s="211">
        <f t="shared" si="66"/>
        <v>9</v>
      </c>
      <c r="E424" s="211">
        <f t="shared" si="67"/>
        <v>2</v>
      </c>
      <c r="F424" s="205">
        <v>5610.5</v>
      </c>
      <c r="G424" s="205">
        <v>18625</v>
      </c>
      <c r="H424" s="207">
        <v>1525.95</v>
      </c>
      <c r="I424" s="207">
        <v>18.350000000000001</v>
      </c>
      <c r="J424" s="207" t="s">
        <v>338</v>
      </c>
      <c r="K424" s="207" t="s">
        <v>338</v>
      </c>
      <c r="L424" s="207"/>
    </row>
    <row r="425" spans="2:12">
      <c r="B425" s="206">
        <v>43711</v>
      </c>
      <c r="C425" s="211">
        <f t="shared" si="65"/>
        <v>2019</v>
      </c>
      <c r="D425" s="211">
        <f t="shared" si="66"/>
        <v>9</v>
      </c>
      <c r="E425" s="211">
        <f t="shared" si="67"/>
        <v>3</v>
      </c>
      <c r="F425" s="205">
        <v>5537</v>
      </c>
      <c r="G425" s="205">
        <v>17925</v>
      </c>
      <c r="H425" s="207">
        <v>1537.85</v>
      </c>
      <c r="I425" s="207">
        <v>18.48</v>
      </c>
      <c r="J425" s="207">
        <v>955.6</v>
      </c>
      <c r="K425" s="207">
        <v>1535.2</v>
      </c>
      <c r="L425" s="207"/>
    </row>
    <row r="426" spans="2:12">
      <c r="B426" s="206">
        <v>43712</v>
      </c>
      <c r="C426" s="211">
        <f t="shared" si="65"/>
        <v>2019</v>
      </c>
      <c r="D426" s="211">
        <f t="shared" si="66"/>
        <v>9</v>
      </c>
      <c r="E426" s="211">
        <f t="shared" si="67"/>
        <v>4</v>
      </c>
      <c r="F426" s="205">
        <v>5663</v>
      </c>
      <c r="G426" s="205">
        <v>17910</v>
      </c>
      <c r="H426" s="207">
        <v>1546.1</v>
      </c>
      <c r="I426" s="207">
        <v>19.309999999999999</v>
      </c>
      <c r="J426" s="207">
        <v>984.2</v>
      </c>
      <c r="K426" s="207">
        <v>1552.1</v>
      </c>
      <c r="L426" s="207"/>
    </row>
    <row r="427" spans="2:12">
      <c r="B427" s="206">
        <v>43713</v>
      </c>
      <c r="C427" s="211">
        <f t="shared" si="65"/>
        <v>2019</v>
      </c>
      <c r="D427" s="211">
        <f t="shared" si="66"/>
        <v>9</v>
      </c>
      <c r="E427" s="211">
        <f t="shared" si="67"/>
        <v>5</v>
      </c>
      <c r="F427" s="205">
        <v>5777</v>
      </c>
      <c r="G427" s="205">
        <v>17540</v>
      </c>
      <c r="H427" s="207">
        <v>1529.1</v>
      </c>
      <c r="I427" s="207">
        <v>19.22</v>
      </c>
      <c r="J427" s="207">
        <v>963.7</v>
      </c>
      <c r="K427" s="207">
        <v>1561.1</v>
      </c>
      <c r="L427" s="207"/>
    </row>
    <row r="428" spans="2:12">
      <c r="B428" s="206">
        <v>43714</v>
      </c>
      <c r="C428" s="211">
        <f t="shared" si="65"/>
        <v>2019</v>
      </c>
      <c r="D428" s="211">
        <f t="shared" si="66"/>
        <v>9</v>
      </c>
      <c r="E428" s="211">
        <f t="shared" si="67"/>
        <v>6</v>
      </c>
      <c r="F428" s="205">
        <v>5787.5</v>
      </c>
      <c r="G428" s="205">
        <v>17500</v>
      </c>
      <c r="H428" s="207">
        <v>1523.7</v>
      </c>
      <c r="I428" s="207">
        <v>18.149999999999999</v>
      </c>
      <c r="J428" s="207">
        <v>958.5</v>
      </c>
      <c r="K428" s="207">
        <v>1544.7</v>
      </c>
      <c r="L428" s="207"/>
    </row>
    <row r="429" spans="2:12">
      <c r="B429" s="206">
        <v>43717</v>
      </c>
      <c r="C429" s="211">
        <f t="shared" si="65"/>
        <v>2019</v>
      </c>
      <c r="D429" s="211">
        <f t="shared" si="66"/>
        <v>9</v>
      </c>
      <c r="E429" s="211">
        <f t="shared" si="67"/>
        <v>9</v>
      </c>
      <c r="F429" s="205">
        <v>5771</v>
      </c>
      <c r="G429" s="205">
        <v>17895</v>
      </c>
      <c r="H429" s="207">
        <v>1509.2</v>
      </c>
      <c r="I429" s="207">
        <v>18.170000000000002</v>
      </c>
      <c r="J429" s="207">
        <v>952.7</v>
      </c>
      <c r="K429" s="207">
        <v>1536.8</v>
      </c>
      <c r="L429" s="207"/>
    </row>
    <row r="430" spans="2:12">
      <c r="B430" s="206">
        <v>43718</v>
      </c>
      <c r="C430" s="211">
        <f t="shared" si="65"/>
        <v>2019</v>
      </c>
      <c r="D430" s="211">
        <f t="shared" si="66"/>
        <v>9</v>
      </c>
      <c r="E430" s="211">
        <f t="shared" si="67"/>
        <v>10</v>
      </c>
      <c r="F430" s="205">
        <v>5738</v>
      </c>
      <c r="G430" s="205">
        <v>18065</v>
      </c>
      <c r="H430" s="207">
        <v>1498.25</v>
      </c>
      <c r="I430" s="207">
        <v>17.989999999999998</v>
      </c>
      <c r="J430" s="207">
        <v>936.6</v>
      </c>
      <c r="K430" s="207">
        <v>1554.1</v>
      </c>
      <c r="L430" s="207"/>
    </row>
    <row r="431" spans="2:12">
      <c r="B431" s="206">
        <v>43719</v>
      </c>
      <c r="C431" s="211">
        <f t="shared" si="65"/>
        <v>2019</v>
      </c>
      <c r="D431" s="211">
        <f t="shared" si="66"/>
        <v>9</v>
      </c>
      <c r="E431" s="211">
        <f t="shared" si="67"/>
        <v>11</v>
      </c>
      <c r="F431" s="205">
        <v>5765</v>
      </c>
      <c r="G431" s="205">
        <v>18330</v>
      </c>
      <c r="H431" s="207">
        <v>1490.65</v>
      </c>
      <c r="I431" s="207">
        <v>18.170000000000002</v>
      </c>
      <c r="J431" s="207">
        <v>940.2</v>
      </c>
      <c r="K431" s="207">
        <v>1556.8</v>
      </c>
      <c r="L431" s="207"/>
    </row>
    <row r="432" spans="2:12">
      <c r="B432" s="206">
        <v>43720</v>
      </c>
      <c r="C432" s="211">
        <f t="shared" si="65"/>
        <v>2019</v>
      </c>
      <c r="D432" s="211">
        <f t="shared" si="66"/>
        <v>9</v>
      </c>
      <c r="E432" s="211">
        <f t="shared" si="67"/>
        <v>12</v>
      </c>
      <c r="F432" s="205">
        <v>5842.5</v>
      </c>
      <c r="G432" s="205">
        <v>18200</v>
      </c>
      <c r="H432" s="207">
        <v>1515.2</v>
      </c>
      <c r="I432" s="207">
        <v>18.190000000000001</v>
      </c>
      <c r="J432" s="207">
        <v>952.6</v>
      </c>
      <c r="K432" s="207">
        <v>1604.8</v>
      </c>
      <c r="L432" s="207"/>
    </row>
    <row r="433" spans="2:12">
      <c r="B433" s="206">
        <v>43721</v>
      </c>
      <c r="C433" s="211">
        <f t="shared" si="65"/>
        <v>2019</v>
      </c>
      <c r="D433" s="211">
        <f t="shared" si="66"/>
        <v>9</v>
      </c>
      <c r="E433" s="211">
        <f t="shared" si="67"/>
        <v>13</v>
      </c>
      <c r="F433" s="205">
        <v>5870</v>
      </c>
      <c r="G433" s="205">
        <v>17820</v>
      </c>
      <c r="H433" s="207">
        <v>1503.1</v>
      </c>
      <c r="I433" s="207">
        <v>18.149999999999999</v>
      </c>
      <c r="J433" s="207">
        <v>952.2</v>
      </c>
      <c r="K433" s="207">
        <v>1600.9</v>
      </c>
      <c r="L433" s="207"/>
    </row>
    <row r="434" spans="2:12">
      <c r="B434" s="206">
        <v>43724</v>
      </c>
      <c r="C434" s="211">
        <f t="shared" si="65"/>
        <v>2019</v>
      </c>
      <c r="D434" s="211">
        <f t="shared" si="66"/>
        <v>9</v>
      </c>
      <c r="E434" s="211">
        <f t="shared" si="67"/>
        <v>16</v>
      </c>
      <c r="F434" s="205">
        <v>5877</v>
      </c>
      <c r="G434" s="205">
        <v>17295</v>
      </c>
      <c r="H434" s="207">
        <v>1497.2</v>
      </c>
      <c r="I434" s="207">
        <v>17.84</v>
      </c>
      <c r="J434" s="207">
        <v>939.2</v>
      </c>
      <c r="K434" s="207">
        <v>1592.2</v>
      </c>
      <c r="L434" s="207"/>
    </row>
    <row r="435" spans="2:12">
      <c r="B435" s="206">
        <v>43725</v>
      </c>
      <c r="C435" s="211">
        <f t="shared" si="65"/>
        <v>2019</v>
      </c>
      <c r="D435" s="211">
        <f t="shared" si="66"/>
        <v>9</v>
      </c>
      <c r="E435" s="211">
        <f t="shared" si="67"/>
        <v>17</v>
      </c>
      <c r="F435" s="205">
        <v>5762</v>
      </c>
      <c r="G435" s="205">
        <v>17000</v>
      </c>
      <c r="H435" s="207">
        <v>1502.1</v>
      </c>
      <c r="I435" s="207">
        <v>17.84</v>
      </c>
      <c r="J435" s="207">
        <v>944.2</v>
      </c>
      <c r="K435" s="207">
        <v>1597.7</v>
      </c>
      <c r="L435" s="207"/>
    </row>
    <row r="436" spans="2:12">
      <c r="B436" s="206">
        <v>43726</v>
      </c>
      <c r="C436" s="211">
        <f t="shared" si="65"/>
        <v>2019</v>
      </c>
      <c r="D436" s="211">
        <f t="shared" si="66"/>
        <v>9</v>
      </c>
      <c r="E436" s="211">
        <f t="shared" si="67"/>
        <v>18</v>
      </c>
      <c r="F436" s="205">
        <v>5745</v>
      </c>
      <c r="G436" s="205">
        <v>17230</v>
      </c>
      <c r="H436" s="207">
        <v>1503.5</v>
      </c>
      <c r="I436" s="207">
        <v>17.850000000000001</v>
      </c>
      <c r="J436" s="207">
        <v>934.6</v>
      </c>
      <c r="K436" s="207">
        <v>1582.2</v>
      </c>
      <c r="L436" s="207"/>
    </row>
    <row r="437" spans="2:12">
      <c r="B437" s="206">
        <v>43727</v>
      </c>
      <c r="C437" s="211">
        <f t="shared" si="65"/>
        <v>2019</v>
      </c>
      <c r="D437" s="211">
        <f t="shared" si="66"/>
        <v>9</v>
      </c>
      <c r="E437" s="211">
        <f t="shared" si="67"/>
        <v>19</v>
      </c>
      <c r="F437" s="205">
        <v>5758.5</v>
      </c>
      <c r="G437" s="205">
        <v>17270</v>
      </c>
      <c r="H437" s="207">
        <v>1500.7</v>
      </c>
      <c r="I437" s="207">
        <v>17.760000000000002</v>
      </c>
      <c r="J437" s="207">
        <v>942.4</v>
      </c>
      <c r="K437" s="207">
        <v>1612.6</v>
      </c>
      <c r="L437" s="207"/>
    </row>
    <row r="438" spans="2:12">
      <c r="B438" s="206">
        <v>43728</v>
      </c>
      <c r="C438" s="211">
        <f t="shared" si="65"/>
        <v>2019</v>
      </c>
      <c r="D438" s="211">
        <f t="shared" si="66"/>
        <v>9</v>
      </c>
      <c r="E438" s="211">
        <f t="shared" si="67"/>
        <v>20</v>
      </c>
      <c r="F438" s="205">
        <v>5777.5</v>
      </c>
      <c r="G438" s="205">
        <v>17960</v>
      </c>
      <c r="H438" s="207">
        <v>1501.9</v>
      </c>
      <c r="I438" s="207">
        <v>17.88</v>
      </c>
      <c r="J438" s="207">
        <v>942.6</v>
      </c>
      <c r="K438" s="207">
        <v>1625</v>
      </c>
      <c r="L438" s="207"/>
    </row>
    <row r="439" spans="2:12">
      <c r="B439" s="206">
        <v>43731</v>
      </c>
      <c r="C439" s="211">
        <f t="shared" si="65"/>
        <v>2019</v>
      </c>
      <c r="D439" s="211">
        <f t="shared" si="66"/>
        <v>9</v>
      </c>
      <c r="E439" s="211">
        <f t="shared" si="67"/>
        <v>23</v>
      </c>
      <c r="F439" s="205">
        <v>5695</v>
      </c>
      <c r="G439" s="205">
        <v>17760</v>
      </c>
      <c r="H439" s="207">
        <v>1522.1</v>
      </c>
      <c r="I439" s="207">
        <v>18.38</v>
      </c>
      <c r="J439" s="207">
        <v>953.9</v>
      </c>
      <c r="K439" s="207">
        <v>1625.6</v>
      </c>
      <c r="L439" s="207"/>
    </row>
    <row r="440" spans="2:12">
      <c r="B440" s="206">
        <v>43732</v>
      </c>
      <c r="C440" s="211">
        <f t="shared" si="65"/>
        <v>2019</v>
      </c>
      <c r="D440" s="211">
        <f t="shared" si="66"/>
        <v>9</v>
      </c>
      <c r="E440" s="211">
        <f t="shared" si="67"/>
        <v>24</v>
      </c>
      <c r="F440" s="205">
        <v>5761</v>
      </c>
      <c r="G440" s="205">
        <v>17270</v>
      </c>
      <c r="H440" s="207">
        <v>1520.65</v>
      </c>
      <c r="I440" s="207">
        <v>18.559999999999999</v>
      </c>
      <c r="J440" s="207">
        <v>955.4</v>
      </c>
      <c r="K440" s="207">
        <v>1646.4</v>
      </c>
      <c r="L440" s="207"/>
    </row>
    <row r="441" spans="2:12">
      <c r="B441" s="206">
        <v>43733</v>
      </c>
      <c r="C441" s="211">
        <f t="shared" si="65"/>
        <v>2019</v>
      </c>
      <c r="D441" s="211">
        <f t="shared" si="66"/>
        <v>9</v>
      </c>
      <c r="E441" s="211">
        <f t="shared" si="67"/>
        <v>25</v>
      </c>
      <c r="F441" s="205">
        <v>5718.5</v>
      </c>
      <c r="G441" s="205">
        <v>17195</v>
      </c>
      <c r="H441" s="207">
        <v>1528.75</v>
      </c>
      <c r="I441" s="207">
        <v>18.57</v>
      </c>
      <c r="J441" s="207">
        <v>929.44</v>
      </c>
      <c r="K441" s="207">
        <v>1611.8</v>
      </c>
      <c r="L441" s="207"/>
    </row>
    <row r="442" spans="2:12">
      <c r="B442" s="206">
        <v>43734</v>
      </c>
      <c r="C442" s="211">
        <f t="shared" si="65"/>
        <v>2019</v>
      </c>
      <c r="D442" s="211">
        <f t="shared" si="66"/>
        <v>9</v>
      </c>
      <c r="E442" s="211">
        <f t="shared" si="67"/>
        <v>26</v>
      </c>
      <c r="F442" s="205">
        <v>5757</v>
      </c>
      <c r="G442" s="205">
        <v>17365</v>
      </c>
      <c r="H442" s="207">
        <v>1506.4</v>
      </c>
      <c r="I442" s="207">
        <v>17.97</v>
      </c>
      <c r="J442" s="207">
        <v>938.74</v>
      </c>
      <c r="K442" s="207">
        <v>1642.9</v>
      </c>
      <c r="L442" s="207"/>
    </row>
    <row r="443" spans="2:12">
      <c r="B443" s="206">
        <v>43735</v>
      </c>
      <c r="C443" s="211">
        <f t="shared" si="65"/>
        <v>2019</v>
      </c>
      <c r="D443" s="211">
        <f t="shared" si="66"/>
        <v>9</v>
      </c>
      <c r="E443" s="211">
        <f t="shared" si="67"/>
        <v>27</v>
      </c>
      <c r="F443" s="205">
        <v>5714</v>
      </c>
      <c r="G443" s="205">
        <v>17410</v>
      </c>
      <c r="H443" s="207">
        <v>1489.9</v>
      </c>
      <c r="I443" s="207">
        <v>17.52</v>
      </c>
      <c r="J443" s="207">
        <v>934.06</v>
      </c>
      <c r="K443" s="207">
        <v>1652.9</v>
      </c>
      <c r="L443" s="207"/>
    </row>
    <row r="444" spans="2:12">
      <c r="B444" s="206">
        <v>43738</v>
      </c>
      <c r="C444" s="211">
        <f t="shared" si="65"/>
        <v>2019</v>
      </c>
      <c r="D444" s="211">
        <f t="shared" si="66"/>
        <v>9</v>
      </c>
      <c r="E444" s="211">
        <f t="shared" si="67"/>
        <v>30</v>
      </c>
      <c r="F444" s="205">
        <v>5728</v>
      </c>
      <c r="G444" s="205">
        <v>17570</v>
      </c>
      <c r="H444" s="207">
        <v>1485.3</v>
      </c>
      <c r="I444" s="207">
        <v>17.260000000000002</v>
      </c>
      <c r="J444" s="207">
        <v>888.04</v>
      </c>
      <c r="K444" s="207">
        <v>1647.5</v>
      </c>
      <c r="L444" s="207"/>
    </row>
    <row r="445" spans="2:12">
      <c r="B445" s="206">
        <v>43739</v>
      </c>
      <c r="C445" s="211">
        <f t="shared" si="65"/>
        <v>2019</v>
      </c>
      <c r="D445" s="211">
        <f t="shared" si="66"/>
        <v>10</v>
      </c>
      <c r="E445" s="211">
        <f t="shared" si="67"/>
        <v>1</v>
      </c>
      <c r="F445" s="205">
        <v>5610</v>
      </c>
      <c r="G445" s="205">
        <v>17410</v>
      </c>
      <c r="H445" s="207">
        <v>1473.45</v>
      </c>
      <c r="I445" s="207">
        <v>17.11</v>
      </c>
      <c r="J445" s="207">
        <v>886.1</v>
      </c>
      <c r="K445" s="207">
        <v>1630.7</v>
      </c>
      <c r="L445" s="207"/>
    </row>
    <row r="446" spans="2:12">
      <c r="B446" s="206">
        <v>43740</v>
      </c>
      <c r="C446" s="211">
        <f t="shared" si="65"/>
        <v>2019</v>
      </c>
      <c r="D446" s="211">
        <f t="shared" si="66"/>
        <v>10</v>
      </c>
      <c r="E446" s="211">
        <f t="shared" si="67"/>
        <v>2</v>
      </c>
      <c r="F446" s="205">
        <v>5629</v>
      </c>
      <c r="G446" s="205">
        <v>17670</v>
      </c>
      <c r="H446" s="207">
        <v>1492.6</v>
      </c>
      <c r="I446" s="207">
        <v>17.260000000000002</v>
      </c>
      <c r="J446" s="207">
        <v>894.4</v>
      </c>
      <c r="K446" s="207">
        <v>1665.5</v>
      </c>
      <c r="L446" s="207"/>
    </row>
    <row r="447" spans="2:12">
      <c r="B447" s="206">
        <v>43741</v>
      </c>
      <c r="C447" s="211">
        <f t="shared" si="65"/>
        <v>2019</v>
      </c>
      <c r="D447" s="211">
        <f t="shared" si="66"/>
        <v>10</v>
      </c>
      <c r="E447" s="211">
        <f t="shared" si="67"/>
        <v>3</v>
      </c>
      <c r="F447" s="205">
        <v>5626</v>
      </c>
      <c r="G447" s="205">
        <v>17785</v>
      </c>
      <c r="H447" s="207">
        <v>1517.1</v>
      </c>
      <c r="I447" s="207">
        <v>17.600000000000001</v>
      </c>
      <c r="J447" s="207">
        <v>894.4</v>
      </c>
      <c r="K447" s="207">
        <v>1630.2</v>
      </c>
      <c r="L447" s="207"/>
    </row>
    <row r="448" spans="2:12">
      <c r="B448" s="206">
        <v>43742</v>
      </c>
      <c r="C448" s="211">
        <f t="shared" si="65"/>
        <v>2019</v>
      </c>
      <c r="D448" s="211">
        <f t="shared" si="66"/>
        <v>10</v>
      </c>
      <c r="E448" s="211">
        <f t="shared" si="67"/>
        <v>4</v>
      </c>
      <c r="F448" s="205">
        <v>5599</v>
      </c>
      <c r="G448" s="205">
        <v>17905</v>
      </c>
      <c r="H448" s="207">
        <v>1499.15</v>
      </c>
      <c r="I448" s="207">
        <v>17.61</v>
      </c>
      <c r="J448" s="207">
        <v>886.9</v>
      </c>
      <c r="K448" s="207">
        <v>1642.4</v>
      </c>
      <c r="L448" s="207"/>
    </row>
    <row r="449" spans="2:12">
      <c r="B449" s="206">
        <v>43745</v>
      </c>
      <c r="C449" s="211">
        <f t="shared" si="65"/>
        <v>2019</v>
      </c>
      <c r="D449" s="211">
        <f t="shared" si="66"/>
        <v>10</v>
      </c>
      <c r="E449" s="211">
        <f t="shared" si="67"/>
        <v>7</v>
      </c>
      <c r="F449" s="205">
        <v>5626</v>
      </c>
      <c r="G449" s="205">
        <v>17950</v>
      </c>
      <c r="H449" s="207">
        <v>1501.25</v>
      </c>
      <c r="I449" s="207">
        <v>17.43</v>
      </c>
      <c r="J449" s="207">
        <v>888.3</v>
      </c>
      <c r="K449" s="207">
        <v>1646.3</v>
      </c>
      <c r="L449" s="207"/>
    </row>
    <row r="450" spans="2:12">
      <c r="B450" s="206">
        <v>43746</v>
      </c>
      <c r="C450" s="211">
        <f t="shared" si="65"/>
        <v>2019</v>
      </c>
      <c r="D450" s="211">
        <f t="shared" si="66"/>
        <v>10</v>
      </c>
      <c r="E450" s="211">
        <f t="shared" si="67"/>
        <v>8</v>
      </c>
      <c r="F450" s="205">
        <v>5650.5</v>
      </c>
      <c r="G450" s="205">
        <v>17560</v>
      </c>
      <c r="H450" s="207">
        <v>1505.85</v>
      </c>
      <c r="I450" s="207">
        <v>17.559999999999999</v>
      </c>
      <c r="J450" s="207">
        <v>890.1</v>
      </c>
      <c r="K450" s="207">
        <v>1650.7</v>
      </c>
      <c r="L450" s="207"/>
    </row>
    <row r="451" spans="2:12">
      <c r="B451" s="206">
        <v>43747</v>
      </c>
      <c r="C451" s="211">
        <f t="shared" si="65"/>
        <v>2019</v>
      </c>
      <c r="D451" s="211">
        <f t="shared" si="66"/>
        <v>10</v>
      </c>
      <c r="E451" s="211">
        <f t="shared" si="67"/>
        <v>9</v>
      </c>
      <c r="F451" s="205">
        <v>5660</v>
      </c>
      <c r="G451" s="205">
        <v>17745</v>
      </c>
      <c r="H451" s="207">
        <v>1507.25</v>
      </c>
      <c r="I451" s="207">
        <v>17.78</v>
      </c>
      <c r="J451" s="207">
        <v>896.7</v>
      </c>
      <c r="K451" s="207">
        <v>1654.7</v>
      </c>
      <c r="L451" s="207"/>
    </row>
    <row r="452" spans="2:12">
      <c r="B452" s="206">
        <v>43748</v>
      </c>
      <c r="C452" s="211">
        <f t="shared" ref="C452:C515" si="68">YEAR(B452)</f>
        <v>2019</v>
      </c>
      <c r="D452" s="211">
        <f t="shared" ref="D452:D515" si="69">MONTH(B452)</f>
        <v>10</v>
      </c>
      <c r="E452" s="211">
        <f t="shared" ref="E452:E515" si="70">DAY(B452)</f>
        <v>10</v>
      </c>
      <c r="F452" s="205">
        <v>5698.5</v>
      </c>
      <c r="G452" s="205">
        <v>17750</v>
      </c>
      <c r="H452" s="207">
        <v>1494.8</v>
      </c>
      <c r="I452" s="207">
        <v>17.75</v>
      </c>
      <c r="J452" s="207">
        <v>907.9</v>
      </c>
      <c r="K452" s="207">
        <v>1675.9</v>
      </c>
      <c r="L452" s="207"/>
    </row>
    <row r="453" spans="2:12">
      <c r="B453" s="206">
        <v>43749</v>
      </c>
      <c r="C453" s="211">
        <f t="shared" si="68"/>
        <v>2019</v>
      </c>
      <c r="D453" s="211">
        <f t="shared" si="69"/>
        <v>10</v>
      </c>
      <c r="E453" s="211">
        <f t="shared" si="70"/>
        <v>11</v>
      </c>
      <c r="F453" s="205">
        <v>5763</v>
      </c>
      <c r="G453" s="205">
        <v>18000</v>
      </c>
      <c r="H453" s="207">
        <v>1479.15</v>
      </c>
      <c r="I453" s="207">
        <v>17.600000000000001</v>
      </c>
      <c r="J453" s="207">
        <v>900.3</v>
      </c>
      <c r="K453" s="207">
        <v>1670.1</v>
      </c>
      <c r="L453" s="207"/>
    </row>
    <row r="454" spans="2:12">
      <c r="B454" s="206">
        <v>43752</v>
      </c>
      <c r="C454" s="211">
        <f t="shared" si="68"/>
        <v>2019</v>
      </c>
      <c r="D454" s="211">
        <f t="shared" si="69"/>
        <v>10</v>
      </c>
      <c r="E454" s="211">
        <f t="shared" si="70"/>
        <v>14</v>
      </c>
      <c r="F454" s="205">
        <v>5718.5</v>
      </c>
      <c r="G454" s="205">
        <v>17405</v>
      </c>
      <c r="H454" s="207">
        <v>1490.6</v>
      </c>
      <c r="I454" s="207">
        <v>17.61</v>
      </c>
      <c r="J454" s="207">
        <v>899.4</v>
      </c>
      <c r="K454" s="207">
        <v>1687</v>
      </c>
      <c r="L454" s="207"/>
    </row>
    <row r="455" spans="2:12">
      <c r="B455" s="206">
        <v>43753</v>
      </c>
      <c r="C455" s="211">
        <f t="shared" si="68"/>
        <v>2019</v>
      </c>
      <c r="D455" s="211">
        <f t="shared" si="69"/>
        <v>10</v>
      </c>
      <c r="E455" s="211">
        <f t="shared" si="70"/>
        <v>15</v>
      </c>
      <c r="F455" s="205">
        <v>5745</v>
      </c>
      <c r="G455" s="205">
        <v>17070</v>
      </c>
      <c r="H455" s="207">
        <v>1487.8</v>
      </c>
      <c r="I455" s="207">
        <v>17.670000000000002</v>
      </c>
      <c r="J455" s="207">
        <v>889.2</v>
      </c>
      <c r="K455" s="207">
        <v>1696.6</v>
      </c>
      <c r="L455" s="207"/>
    </row>
    <row r="456" spans="2:12">
      <c r="B456" s="206">
        <v>43754</v>
      </c>
      <c r="C456" s="211">
        <f t="shared" si="68"/>
        <v>2019</v>
      </c>
      <c r="D456" s="211">
        <f t="shared" si="69"/>
        <v>10</v>
      </c>
      <c r="E456" s="211">
        <f t="shared" si="70"/>
        <v>16</v>
      </c>
      <c r="F456" s="205">
        <v>5684</v>
      </c>
      <c r="G456" s="205">
        <v>17005</v>
      </c>
      <c r="H456" s="207">
        <v>1485.1</v>
      </c>
      <c r="I456" s="207">
        <v>17.260000000000002</v>
      </c>
      <c r="J456" s="207">
        <v>890.7</v>
      </c>
      <c r="K456" s="207">
        <v>1735</v>
      </c>
      <c r="L456" s="207"/>
    </row>
    <row r="457" spans="2:12">
      <c r="B457" s="206">
        <v>43755</v>
      </c>
      <c r="C457" s="211">
        <f t="shared" si="68"/>
        <v>2019</v>
      </c>
      <c r="D457" s="211">
        <f t="shared" si="69"/>
        <v>10</v>
      </c>
      <c r="E457" s="211">
        <f t="shared" si="70"/>
        <v>17</v>
      </c>
      <c r="F457" s="205">
        <v>5726.5</v>
      </c>
      <c r="G457" s="205">
        <v>16325</v>
      </c>
      <c r="H457" s="207">
        <v>1492.65</v>
      </c>
      <c r="I457" s="207">
        <v>17.45</v>
      </c>
      <c r="J457" s="207">
        <v>893</v>
      </c>
      <c r="K457" s="207">
        <v>1730.7</v>
      </c>
      <c r="L457" s="207"/>
    </row>
    <row r="458" spans="2:12">
      <c r="B458" s="206">
        <v>43756</v>
      </c>
      <c r="C458" s="211">
        <f t="shared" si="68"/>
        <v>2019</v>
      </c>
      <c r="D458" s="211">
        <f t="shared" si="69"/>
        <v>10</v>
      </c>
      <c r="E458" s="211">
        <f t="shared" si="70"/>
        <v>18</v>
      </c>
      <c r="F458" s="205">
        <v>5751</v>
      </c>
      <c r="G458" s="205">
        <v>16475</v>
      </c>
      <c r="H458" s="207">
        <v>1490</v>
      </c>
      <c r="I458" s="207">
        <v>17.440000000000001</v>
      </c>
      <c r="J458" s="207">
        <v>895.9</v>
      </c>
      <c r="K458" s="207">
        <v>1717.6</v>
      </c>
      <c r="L458" s="207"/>
    </row>
    <row r="459" spans="2:12">
      <c r="B459" s="206">
        <v>43759</v>
      </c>
      <c r="C459" s="211">
        <f t="shared" si="68"/>
        <v>2019</v>
      </c>
      <c r="D459" s="211">
        <f t="shared" si="69"/>
        <v>10</v>
      </c>
      <c r="E459" s="211">
        <f t="shared" si="70"/>
        <v>21</v>
      </c>
      <c r="F459" s="205">
        <v>5820</v>
      </c>
      <c r="G459" s="205">
        <v>16200</v>
      </c>
      <c r="H459" s="207">
        <v>1491.65</v>
      </c>
      <c r="I459" s="207">
        <v>17.73</v>
      </c>
      <c r="J459" s="207">
        <v>892.2</v>
      </c>
      <c r="K459" s="207">
        <v>1725.3</v>
      </c>
      <c r="L459" s="207"/>
    </row>
    <row r="460" spans="2:12">
      <c r="B460" s="206">
        <v>43760</v>
      </c>
      <c r="C460" s="211">
        <f t="shared" si="68"/>
        <v>2019</v>
      </c>
      <c r="D460" s="211">
        <f t="shared" si="69"/>
        <v>10</v>
      </c>
      <c r="E460" s="211">
        <f t="shared" si="70"/>
        <v>22</v>
      </c>
      <c r="F460" s="205">
        <v>5794</v>
      </c>
      <c r="G460" s="205">
        <v>16025</v>
      </c>
      <c r="H460" s="207">
        <v>1485.35</v>
      </c>
      <c r="I460" s="207">
        <v>17.63</v>
      </c>
      <c r="J460" s="207">
        <v>896</v>
      </c>
      <c r="K460" s="207">
        <v>1728.5</v>
      </c>
      <c r="L460" s="207"/>
    </row>
    <row r="461" spans="2:12">
      <c r="B461" s="206">
        <v>43761</v>
      </c>
      <c r="C461" s="211">
        <f t="shared" si="68"/>
        <v>2019</v>
      </c>
      <c r="D461" s="211">
        <f t="shared" si="69"/>
        <v>10</v>
      </c>
      <c r="E461" s="211">
        <f t="shared" si="70"/>
        <v>23</v>
      </c>
      <c r="F461" s="205">
        <v>5773</v>
      </c>
      <c r="G461" s="205">
        <v>16395</v>
      </c>
      <c r="H461" s="207">
        <v>1494.45</v>
      </c>
      <c r="I461" s="207">
        <v>17.54</v>
      </c>
      <c r="J461" s="207">
        <v>922.4</v>
      </c>
      <c r="K461" s="207">
        <v>1714.6</v>
      </c>
      <c r="L461" s="207"/>
    </row>
    <row r="462" spans="2:12">
      <c r="B462" s="206">
        <v>43762</v>
      </c>
      <c r="C462" s="211">
        <f t="shared" si="68"/>
        <v>2019</v>
      </c>
      <c r="D462" s="211">
        <f t="shared" si="69"/>
        <v>10</v>
      </c>
      <c r="E462" s="211">
        <f t="shared" si="70"/>
        <v>24</v>
      </c>
      <c r="F462" s="205">
        <v>5869</v>
      </c>
      <c r="G462" s="205">
        <v>16950</v>
      </c>
      <c r="H462" s="207">
        <v>1496.55</v>
      </c>
      <c r="I462" s="207">
        <v>17.53</v>
      </c>
      <c r="J462" s="207">
        <v>925.1</v>
      </c>
      <c r="K462" s="207">
        <v>1747.9</v>
      </c>
      <c r="L462" s="207"/>
    </row>
    <row r="463" spans="2:12">
      <c r="B463" s="206">
        <v>43763</v>
      </c>
      <c r="C463" s="211">
        <f t="shared" si="68"/>
        <v>2019</v>
      </c>
      <c r="D463" s="211">
        <f t="shared" si="69"/>
        <v>10</v>
      </c>
      <c r="E463" s="211">
        <f t="shared" si="70"/>
        <v>25</v>
      </c>
      <c r="F463" s="205">
        <v>5867.5</v>
      </c>
      <c r="G463" s="205">
        <v>16890</v>
      </c>
      <c r="H463" s="207">
        <v>1513.45</v>
      </c>
      <c r="I463" s="207">
        <v>18.13</v>
      </c>
      <c r="J463" s="207">
        <v>933.3</v>
      </c>
      <c r="K463" s="207">
        <v>1744.2</v>
      </c>
      <c r="L463" s="207"/>
    </row>
    <row r="464" spans="2:12">
      <c r="B464" s="206">
        <v>43766</v>
      </c>
      <c r="C464" s="211">
        <f t="shared" si="68"/>
        <v>2019</v>
      </c>
      <c r="D464" s="211">
        <f t="shared" si="69"/>
        <v>10</v>
      </c>
      <c r="E464" s="211">
        <f t="shared" si="70"/>
        <v>28</v>
      </c>
      <c r="F464" s="205">
        <v>5888.5</v>
      </c>
      <c r="G464" s="205">
        <v>16680</v>
      </c>
      <c r="H464" s="207">
        <v>1492.4</v>
      </c>
      <c r="I464" s="207">
        <v>18.059999999999999</v>
      </c>
      <c r="J464" s="207">
        <v>919</v>
      </c>
      <c r="K464" s="207">
        <v>1779.3</v>
      </c>
      <c r="L464" s="207"/>
    </row>
    <row r="465" spans="2:12">
      <c r="B465" s="206">
        <v>43767</v>
      </c>
      <c r="C465" s="211">
        <f t="shared" si="68"/>
        <v>2019</v>
      </c>
      <c r="D465" s="211">
        <f t="shared" si="69"/>
        <v>10</v>
      </c>
      <c r="E465" s="211">
        <f t="shared" si="70"/>
        <v>29</v>
      </c>
      <c r="F465" s="205">
        <v>5879.5</v>
      </c>
      <c r="G465" s="205">
        <v>16680</v>
      </c>
      <c r="H465" s="207">
        <v>1486.75</v>
      </c>
      <c r="I465" s="207">
        <v>17.66</v>
      </c>
      <c r="J465" s="207">
        <v>925.1</v>
      </c>
      <c r="K465" s="207">
        <v>1755.1</v>
      </c>
      <c r="L465" s="207"/>
    </row>
    <row r="466" spans="2:12">
      <c r="B466" s="206">
        <v>43768</v>
      </c>
      <c r="C466" s="211">
        <f t="shared" si="68"/>
        <v>2019</v>
      </c>
      <c r="D466" s="211">
        <f t="shared" si="69"/>
        <v>10</v>
      </c>
      <c r="E466" s="211">
        <f t="shared" si="70"/>
        <v>30</v>
      </c>
      <c r="F466" s="205">
        <v>5883</v>
      </c>
      <c r="G466" s="205">
        <v>16900</v>
      </c>
      <c r="H466" s="207">
        <v>1492.1</v>
      </c>
      <c r="I466" s="207">
        <v>17.96</v>
      </c>
      <c r="J466" s="207">
        <v>930.6</v>
      </c>
      <c r="K466" s="207">
        <v>1792.1</v>
      </c>
      <c r="L466" s="207"/>
    </row>
    <row r="467" spans="2:12">
      <c r="B467" s="206">
        <v>43769</v>
      </c>
      <c r="C467" s="211">
        <f t="shared" si="68"/>
        <v>2019</v>
      </c>
      <c r="D467" s="211">
        <f t="shared" si="69"/>
        <v>10</v>
      </c>
      <c r="E467" s="211">
        <f t="shared" si="70"/>
        <v>31</v>
      </c>
      <c r="F467" s="205">
        <v>5825</v>
      </c>
      <c r="G467" s="205">
        <v>16835</v>
      </c>
      <c r="H467" s="207">
        <v>1510.95</v>
      </c>
      <c r="I467" s="207">
        <v>18.059999999999999</v>
      </c>
      <c r="J467" s="207">
        <v>933.7</v>
      </c>
      <c r="K467" s="207">
        <v>1755.6</v>
      </c>
      <c r="L467" s="207"/>
    </row>
    <row r="468" spans="2:12">
      <c r="B468" s="206">
        <v>43770</v>
      </c>
      <c r="C468" s="211">
        <f t="shared" si="68"/>
        <v>2019</v>
      </c>
      <c r="D468" s="211">
        <f t="shared" si="69"/>
        <v>11</v>
      </c>
      <c r="E468" s="211">
        <f t="shared" si="70"/>
        <v>1</v>
      </c>
      <c r="F468" s="205">
        <v>5797</v>
      </c>
      <c r="G468" s="205">
        <v>16750</v>
      </c>
      <c r="H468" s="207">
        <v>1508.8</v>
      </c>
      <c r="I468" s="207">
        <v>18.12</v>
      </c>
      <c r="J468" s="207">
        <v>954</v>
      </c>
      <c r="K468" s="207">
        <v>1784.3</v>
      </c>
      <c r="L468" s="207"/>
    </row>
    <row r="469" spans="2:12">
      <c r="B469" s="206">
        <v>43773</v>
      </c>
      <c r="C469" s="211">
        <f t="shared" si="68"/>
        <v>2019</v>
      </c>
      <c r="D469" s="211">
        <f t="shared" si="69"/>
        <v>11</v>
      </c>
      <c r="E469" s="211">
        <f t="shared" si="70"/>
        <v>4</v>
      </c>
      <c r="F469" s="205">
        <v>5846.5</v>
      </c>
      <c r="G469" s="205">
        <v>16595</v>
      </c>
      <c r="H469" s="207">
        <v>1509.45</v>
      </c>
      <c r="I469" s="207">
        <v>18.190000000000001</v>
      </c>
      <c r="J469" s="207">
        <v>938.7</v>
      </c>
      <c r="K469" s="207">
        <v>1752.8</v>
      </c>
      <c r="L469" s="207"/>
    </row>
    <row r="470" spans="2:12">
      <c r="B470" s="206">
        <v>43774</v>
      </c>
      <c r="C470" s="211">
        <f t="shared" si="68"/>
        <v>2019</v>
      </c>
      <c r="D470" s="211">
        <f t="shared" si="69"/>
        <v>11</v>
      </c>
      <c r="E470" s="211">
        <f t="shared" si="70"/>
        <v>5</v>
      </c>
      <c r="F470" s="205">
        <v>5880</v>
      </c>
      <c r="G470" s="205">
        <v>16235</v>
      </c>
      <c r="H470" s="207">
        <v>1488.95</v>
      </c>
      <c r="I470" s="207">
        <v>18.05</v>
      </c>
      <c r="J470" s="207">
        <v>930.6</v>
      </c>
      <c r="K470" s="207">
        <v>1746.7</v>
      </c>
      <c r="L470" s="207"/>
    </row>
    <row r="471" spans="2:12">
      <c r="B471" s="206">
        <v>43775</v>
      </c>
      <c r="C471" s="211">
        <f t="shared" si="68"/>
        <v>2019</v>
      </c>
      <c r="D471" s="211">
        <f t="shared" si="69"/>
        <v>11</v>
      </c>
      <c r="E471" s="211">
        <f t="shared" si="70"/>
        <v>6</v>
      </c>
      <c r="F471" s="205">
        <v>5913.5</v>
      </c>
      <c r="G471" s="205">
        <v>16390</v>
      </c>
      <c r="H471" s="207">
        <v>1486.05</v>
      </c>
      <c r="I471" s="207">
        <v>17.54</v>
      </c>
      <c r="J471" s="207">
        <v>931.7</v>
      </c>
      <c r="K471" s="207">
        <v>1761.1</v>
      </c>
      <c r="L471" s="207"/>
    </row>
    <row r="472" spans="2:12">
      <c r="B472" s="206">
        <v>43776</v>
      </c>
      <c r="C472" s="211">
        <f t="shared" si="68"/>
        <v>2019</v>
      </c>
      <c r="D472" s="211">
        <f t="shared" si="69"/>
        <v>11</v>
      </c>
      <c r="E472" s="211">
        <f t="shared" si="70"/>
        <v>7</v>
      </c>
      <c r="F472" s="205">
        <v>5941</v>
      </c>
      <c r="G472" s="205">
        <v>16305</v>
      </c>
      <c r="H472" s="207">
        <v>1484.25</v>
      </c>
      <c r="I472" s="207">
        <v>17.53</v>
      </c>
      <c r="J472" s="207">
        <v>914</v>
      </c>
      <c r="K472" s="207">
        <v>1777.8</v>
      </c>
      <c r="L472" s="207"/>
    </row>
    <row r="473" spans="2:12">
      <c r="B473" s="206">
        <v>43777</v>
      </c>
      <c r="C473" s="211">
        <f t="shared" si="68"/>
        <v>2019</v>
      </c>
      <c r="D473" s="211">
        <f t="shared" si="69"/>
        <v>11</v>
      </c>
      <c r="E473" s="211">
        <f t="shared" si="70"/>
        <v>8</v>
      </c>
      <c r="F473" s="205">
        <v>5951.5</v>
      </c>
      <c r="G473" s="205">
        <v>16190</v>
      </c>
      <c r="H473" s="207">
        <v>1464.15</v>
      </c>
      <c r="I473" s="207">
        <v>16.809999999999999</v>
      </c>
      <c r="J473" s="207">
        <v>893.1</v>
      </c>
      <c r="K473" s="207">
        <v>1708.6</v>
      </c>
      <c r="L473" s="207"/>
    </row>
    <row r="474" spans="2:12">
      <c r="B474" s="206">
        <v>43780</v>
      </c>
      <c r="C474" s="211">
        <f t="shared" si="68"/>
        <v>2019</v>
      </c>
      <c r="D474" s="211">
        <f t="shared" si="69"/>
        <v>11</v>
      </c>
      <c r="E474" s="211">
        <f t="shared" si="70"/>
        <v>11</v>
      </c>
      <c r="F474" s="205">
        <v>5857</v>
      </c>
      <c r="G474" s="205">
        <v>15730</v>
      </c>
      <c r="H474" s="207">
        <v>1458.7</v>
      </c>
      <c r="I474" s="207">
        <v>16.88</v>
      </c>
      <c r="J474" s="207">
        <v>880.6</v>
      </c>
      <c r="K474" s="207">
        <v>1656</v>
      </c>
      <c r="L474" s="207"/>
    </row>
    <row r="475" spans="2:12">
      <c r="B475" s="206">
        <v>43781</v>
      </c>
      <c r="C475" s="211">
        <f t="shared" si="68"/>
        <v>2019</v>
      </c>
      <c r="D475" s="211">
        <f t="shared" si="69"/>
        <v>11</v>
      </c>
      <c r="E475" s="211">
        <f t="shared" si="70"/>
        <v>12</v>
      </c>
      <c r="F475" s="205">
        <v>5838</v>
      </c>
      <c r="G475" s="205">
        <v>15500</v>
      </c>
      <c r="H475" s="207">
        <v>1452.05</v>
      </c>
      <c r="I475" s="207">
        <v>16.739999999999998</v>
      </c>
      <c r="J475" s="207">
        <v>869.9</v>
      </c>
      <c r="K475" s="207">
        <v>1670.1</v>
      </c>
      <c r="L475" s="207"/>
    </row>
    <row r="476" spans="2:12">
      <c r="B476" s="206">
        <v>43782</v>
      </c>
      <c r="C476" s="211">
        <f t="shared" si="68"/>
        <v>2019</v>
      </c>
      <c r="D476" s="211">
        <f t="shared" si="69"/>
        <v>11</v>
      </c>
      <c r="E476" s="211">
        <f t="shared" si="70"/>
        <v>13</v>
      </c>
      <c r="F476" s="205">
        <v>5823</v>
      </c>
      <c r="G476" s="205">
        <v>15530</v>
      </c>
      <c r="H476" s="207">
        <v>1462.9</v>
      </c>
      <c r="I476" s="207">
        <v>16.95</v>
      </c>
      <c r="J476" s="207">
        <v>874.8</v>
      </c>
      <c r="K476" s="207">
        <v>1675.1</v>
      </c>
      <c r="L476" s="207"/>
    </row>
    <row r="477" spans="2:12">
      <c r="B477" s="206">
        <v>43783</v>
      </c>
      <c r="C477" s="211">
        <f t="shared" si="68"/>
        <v>2019</v>
      </c>
      <c r="D477" s="211">
        <f t="shared" si="69"/>
        <v>11</v>
      </c>
      <c r="E477" s="211">
        <f t="shared" si="70"/>
        <v>14</v>
      </c>
      <c r="F477" s="205">
        <v>5835</v>
      </c>
      <c r="G477" s="205">
        <v>15355</v>
      </c>
      <c r="H477" s="207">
        <v>1466.65</v>
      </c>
      <c r="I477" s="207">
        <v>17.04</v>
      </c>
      <c r="J477" s="207">
        <v>882.8</v>
      </c>
      <c r="K477" s="207">
        <v>1702.1</v>
      </c>
      <c r="L477" s="207"/>
    </row>
    <row r="478" spans="2:12">
      <c r="B478" s="206">
        <v>43784</v>
      </c>
      <c r="C478" s="211">
        <f t="shared" si="68"/>
        <v>2019</v>
      </c>
      <c r="D478" s="211">
        <f t="shared" si="69"/>
        <v>11</v>
      </c>
      <c r="E478" s="211">
        <f t="shared" si="70"/>
        <v>15</v>
      </c>
      <c r="F478" s="205">
        <v>5812</v>
      </c>
      <c r="G478" s="205">
        <v>14990</v>
      </c>
      <c r="H478" s="207">
        <v>1466.9</v>
      </c>
      <c r="I478" s="207">
        <v>16.87</v>
      </c>
      <c r="J478" s="207">
        <v>894.5</v>
      </c>
      <c r="K478" s="207">
        <v>1682.5</v>
      </c>
      <c r="L478" s="207"/>
    </row>
    <row r="479" spans="2:12">
      <c r="B479" s="206">
        <v>43787</v>
      </c>
      <c r="C479" s="211">
        <f t="shared" si="68"/>
        <v>2019</v>
      </c>
      <c r="D479" s="211">
        <f t="shared" si="69"/>
        <v>11</v>
      </c>
      <c r="E479" s="211">
        <f t="shared" si="70"/>
        <v>18</v>
      </c>
      <c r="F479" s="205">
        <v>5828</v>
      </c>
      <c r="G479" s="205">
        <v>14760</v>
      </c>
      <c r="H479" s="207">
        <v>1467.65</v>
      </c>
      <c r="I479" s="207">
        <v>16.8</v>
      </c>
      <c r="J479" s="207">
        <v>895</v>
      </c>
      <c r="K479" s="207">
        <v>1704.4</v>
      </c>
      <c r="L479" s="207"/>
    </row>
    <row r="480" spans="2:12">
      <c r="B480" s="206">
        <v>43788</v>
      </c>
      <c r="C480" s="211">
        <f t="shared" si="68"/>
        <v>2019</v>
      </c>
      <c r="D480" s="211">
        <f t="shared" si="69"/>
        <v>11</v>
      </c>
      <c r="E480" s="211">
        <f t="shared" si="70"/>
        <v>19</v>
      </c>
      <c r="F480" s="205">
        <v>5821.5</v>
      </c>
      <c r="G480" s="205">
        <v>14475</v>
      </c>
      <c r="H480" s="207">
        <v>1468.45</v>
      </c>
      <c r="I480" s="207">
        <v>17.13</v>
      </c>
      <c r="J480" s="207">
        <v>912.3</v>
      </c>
      <c r="K480" s="207">
        <v>1737.4</v>
      </c>
      <c r="L480" s="207"/>
    </row>
    <row r="481" spans="2:12">
      <c r="B481" s="206">
        <v>43789</v>
      </c>
      <c r="C481" s="211">
        <f t="shared" si="68"/>
        <v>2019</v>
      </c>
      <c r="D481" s="211">
        <f t="shared" si="69"/>
        <v>11</v>
      </c>
      <c r="E481" s="211">
        <f t="shared" si="70"/>
        <v>20</v>
      </c>
      <c r="F481" s="205">
        <v>5873</v>
      </c>
      <c r="G481" s="205">
        <v>14310</v>
      </c>
      <c r="H481" s="207">
        <v>1471.7</v>
      </c>
      <c r="I481" s="207">
        <v>17.12</v>
      </c>
      <c r="J481" s="207">
        <v>920</v>
      </c>
      <c r="K481" s="207">
        <v>1741.8</v>
      </c>
      <c r="L481" s="207"/>
    </row>
    <row r="482" spans="2:12">
      <c r="B482" s="206">
        <v>43790</v>
      </c>
      <c r="C482" s="211">
        <f t="shared" si="68"/>
        <v>2019</v>
      </c>
      <c r="D482" s="211">
        <f t="shared" si="69"/>
        <v>11</v>
      </c>
      <c r="E482" s="211">
        <f t="shared" si="70"/>
        <v>21</v>
      </c>
      <c r="F482" s="205">
        <v>5813</v>
      </c>
      <c r="G482" s="205">
        <v>14410</v>
      </c>
      <c r="H482" s="207">
        <v>1467.05</v>
      </c>
      <c r="I482" s="207">
        <v>17.09</v>
      </c>
      <c r="J482" s="207">
        <v>917.5</v>
      </c>
      <c r="K482" s="207">
        <v>1731.9</v>
      </c>
      <c r="L482" s="207"/>
    </row>
    <row r="483" spans="2:12">
      <c r="B483" s="206">
        <v>43791</v>
      </c>
      <c r="C483" s="211">
        <f t="shared" si="68"/>
        <v>2019</v>
      </c>
      <c r="D483" s="211">
        <f t="shared" si="69"/>
        <v>11</v>
      </c>
      <c r="E483" s="211">
        <f t="shared" si="70"/>
        <v>22</v>
      </c>
      <c r="F483" s="205">
        <v>5834</v>
      </c>
      <c r="G483" s="205">
        <v>14400</v>
      </c>
      <c r="H483" s="207">
        <v>1464.45</v>
      </c>
      <c r="I483" s="207">
        <v>17.18</v>
      </c>
      <c r="J483" s="207">
        <v>892.6</v>
      </c>
      <c r="K483" s="207">
        <v>1743.4</v>
      </c>
      <c r="L483" s="207"/>
    </row>
    <row r="484" spans="2:12">
      <c r="B484" s="206">
        <v>43794</v>
      </c>
      <c r="C484" s="211">
        <f t="shared" si="68"/>
        <v>2019</v>
      </c>
      <c r="D484" s="211">
        <f t="shared" si="69"/>
        <v>11</v>
      </c>
      <c r="E484" s="211">
        <f t="shared" si="70"/>
        <v>25</v>
      </c>
      <c r="F484" s="205">
        <v>5872.5</v>
      </c>
      <c r="G484" s="205">
        <v>14570</v>
      </c>
      <c r="H484" s="207">
        <v>1458.4</v>
      </c>
      <c r="I484" s="207">
        <v>16.87</v>
      </c>
      <c r="J484" s="207">
        <v>900.4</v>
      </c>
      <c r="K484" s="207">
        <v>1771.52</v>
      </c>
      <c r="L484" s="207"/>
    </row>
    <row r="485" spans="2:12">
      <c r="B485" s="206">
        <v>43795</v>
      </c>
      <c r="C485" s="211">
        <f t="shared" si="68"/>
        <v>2019</v>
      </c>
      <c r="D485" s="211">
        <f t="shared" si="69"/>
        <v>11</v>
      </c>
      <c r="E485" s="211">
        <f t="shared" si="70"/>
        <v>26</v>
      </c>
      <c r="F485" s="205">
        <v>5856</v>
      </c>
      <c r="G485" s="205">
        <v>14370</v>
      </c>
      <c r="H485" s="207">
        <v>1454.65</v>
      </c>
      <c r="I485" s="207">
        <v>16.940000000000001</v>
      </c>
      <c r="J485" s="207">
        <v>911.7</v>
      </c>
      <c r="K485" s="207">
        <v>1782.18</v>
      </c>
      <c r="L485" s="207"/>
    </row>
    <row r="486" spans="2:12">
      <c r="B486" s="206">
        <v>43796</v>
      </c>
      <c r="C486" s="211">
        <f t="shared" si="68"/>
        <v>2019</v>
      </c>
      <c r="D486" s="211">
        <f t="shared" si="69"/>
        <v>11</v>
      </c>
      <c r="E486" s="211">
        <f t="shared" si="70"/>
        <v>27</v>
      </c>
      <c r="F486" s="205">
        <v>5925.5</v>
      </c>
      <c r="G486" s="205">
        <v>14445</v>
      </c>
      <c r="H486" s="207">
        <v>1454.35</v>
      </c>
      <c r="I486" s="207">
        <v>17.059999999999999</v>
      </c>
      <c r="J486" s="207">
        <v>895.4</v>
      </c>
      <c r="K486" s="207">
        <v>1808.1</v>
      </c>
      <c r="L486" s="207"/>
    </row>
    <row r="487" spans="2:12">
      <c r="B487" s="206">
        <v>43797</v>
      </c>
      <c r="C487" s="211">
        <f t="shared" si="68"/>
        <v>2019</v>
      </c>
      <c r="D487" s="211">
        <f t="shared" si="69"/>
        <v>11</v>
      </c>
      <c r="E487" s="211">
        <f t="shared" si="70"/>
        <v>28</v>
      </c>
      <c r="F487" s="205">
        <v>5881.5</v>
      </c>
      <c r="G487" s="205">
        <v>14070</v>
      </c>
      <c r="H487" s="207">
        <v>1454.65</v>
      </c>
      <c r="I487" s="207">
        <v>16.95</v>
      </c>
      <c r="J487" s="207" t="s">
        <v>338</v>
      </c>
      <c r="K487" s="207" t="s">
        <v>338</v>
      </c>
      <c r="L487" s="207"/>
    </row>
    <row r="488" spans="2:12">
      <c r="B488" s="206">
        <v>43798</v>
      </c>
      <c r="C488" s="211">
        <f t="shared" si="68"/>
        <v>2019</v>
      </c>
      <c r="D488" s="211">
        <f t="shared" si="69"/>
        <v>11</v>
      </c>
      <c r="E488" s="211">
        <f t="shared" si="70"/>
        <v>29</v>
      </c>
      <c r="F488" s="205">
        <v>5854</v>
      </c>
      <c r="G488" s="205">
        <v>13810</v>
      </c>
      <c r="H488" s="207">
        <v>1460.15</v>
      </c>
      <c r="I488" s="207">
        <v>16.97</v>
      </c>
      <c r="J488" s="207">
        <v>900.4</v>
      </c>
      <c r="K488" s="207">
        <v>1811.2</v>
      </c>
      <c r="L488" s="207"/>
    </row>
    <row r="489" spans="2:12">
      <c r="B489" s="206">
        <v>43801</v>
      </c>
      <c r="C489" s="211">
        <f t="shared" si="68"/>
        <v>2019</v>
      </c>
      <c r="D489" s="211">
        <f t="shared" si="69"/>
        <v>12</v>
      </c>
      <c r="E489" s="211">
        <f t="shared" si="70"/>
        <v>2</v>
      </c>
      <c r="F489" s="205">
        <v>5855.5</v>
      </c>
      <c r="G489" s="205">
        <v>13625</v>
      </c>
      <c r="H489" s="207">
        <v>1461.15</v>
      </c>
      <c r="I489" s="207">
        <v>16.88</v>
      </c>
      <c r="J489" s="207">
        <v>899.7</v>
      </c>
      <c r="K489" s="207">
        <v>1824.7</v>
      </c>
      <c r="L489" s="207"/>
    </row>
    <row r="490" spans="2:12">
      <c r="B490" s="206">
        <v>43802</v>
      </c>
      <c r="C490" s="211">
        <f t="shared" si="68"/>
        <v>2019</v>
      </c>
      <c r="D490" s="211">
        <f t="shared" si="69"/>
        <v>12</v>
      </c>
      <c r="E490" s="211">
        <f t="shared" si="70"/>
        <v>3</v>
      </c>
      <c r="F490" s="205">
        <v>5812</v>
      </c>
      <c r="G490" s="205">
        <v>13600</v>
      </c>
      <c r="H490" s="207">
        <v>1477.3</v>
      </c>
      <c r="I490" s="207">
        <v>17.010000000000002</v>
      </c>
      <c r="J490" s="207">
        <v>911.6</v>
      </c>
      <c r="K490" s="207">
        <v>1824.4</v>
      </c>
      <c r="L490" s="207"/>
    </row>
    <row r="491" spans="2:12">
      <c r="B491" s="206">
        <v>43803</v>
      </c>
      <c r="C491" s="211">
        <f t="shared" si="68"/>
        <v>2019</v>
      </c>
      <c r="D491" s="211">
        <f t="shared" si="69"/>
        <v>12</v>
      </c>
      <c r="E491" s="211">
        <f t="shared" si="70"/>
        <v>4</v>
      </c>
      <c r="F491" s="205">
        <v>5823</v>
      </c>
      <c r="G491" s="205">
        <v>13250</v>
      </c>
      <c r="H491" s="207">
        <v>1475.1</v>
      </c>
      <c r="I491" s="207">
        <v>17.13</v>
      </c>
      <c r="J491" s="207">
        <v>901.8</v>
      </c>
      <c r="K491" s="207">
        <v>1845.4</v>
      </c>
      <c r="L491" s="207"/>
    </row>
    <row r="492" spans="2:12">
      <c r="B492" s="206">
        <v>43804</v>
      </c>
      <c r="C492" s="211">
        <f t="shared" si="68"/>
        <v>2019</v>
      </c>
      <c r="D492" s="211">
        <f t="shared" si="69"/>
        <v>12</v>
      </c>
      <c r="E492" s="211">
        <f t="shared" si="70"/>
        <v>5</v>
      </c>
      <c r="F492" s="205">
        <v>5855</v>
      </c>
      <c r="G492" s="205">
        <v>13165</v>
      </c>
      <c r="H492" s="207">
        <v>1475.95</v>
      </c>
      <c r="I492" s="207">
        <v>16.87</v>
      </c>
      <c r="J492" s="207">
        <v>900.6</v>
      </c>
      <c r="K492" s="207">
        <v>1845.7</v>
      </c>
      <c r="L492" s="207"/>
    </row>
    <row r="493" spans="2:12">
      <c r="B493" s="206">
        <v>43805</v>
      </c>
      <c r="C493" s="211">
        <f t="shared" si="68"/>
        <v>2019</v>
      </c>
      <c r="D493" s="211">
        <f t="shared" si="69"/>
        <v>12</v>
      </c>
      <c r="E493" s="211">
        <f t="shared" si="70"/>
        <v>6</v>
      </c>
      <c r="F493" s="205">
        <v>5867.5</v>
      </c>
      <c r="G493" s="205">
        <v>13420</v>
      </c>
      <c r="H493" s="207">
        <v>1459.65</v>
      </c>
      <c r="I493" s="207">
        <v>16.940000000000001</v>
      </c>
      <c r="J493" s="207">
        <v>898.9</v>
      </c>
      <c r="K493" s="207">
        <v>1846.1</v>
      </c>
      <c r="L493" s="207"/>
    </row>
    <row r="494" spans="2:12">
      <c r="B494" s="206">
        <v>43808</v>
      </c>
      <c r="C494" s="211">
        <f t="shared" si="68"/>
        <v>2019</v>
      </c>
      <c r="D494" s="211">
        <f t="shared" si="69"/>
        <v>12</v>
      </c>
      <c r="E494" s="211">
        <f t="shared" si="70"/>
        <v>9</v>
      </c>
      <c r="F494" s="205">
        <v>5985</v>
      </c>
      <c r="G494" s="205">
        <v>13200</v>
      </c>
      <c r="H494" s="207">
        <v>1461.7</v>
      </c>
      <c r="I494" s="207">
        <v>16.62</v>
      </c>
      <c r="J494" s="207">
        <v>898.5</v>
      </c>
      <c r="K494" s="207">
        <v>1856.6</v>
      </c>
      <c r="L494" s="207"/>
    </row>
    <row r="495" spans="2:12">
      <c r="B495" s="206">
        <v>43809</v>
      </c>
      <c r="C495" s="211">
        <f t="shared" si="68"/>
        <v>2019</v>
      </c>
      <c r="D495" s="211">
        <f t="shared" si="69"/>
        <v>12</v>
      </c>
      <c r="E495" s="211">
        <f t="shared" si="70"/>
        <v>10</v>
      </c>
      <c r="F495" s="205">
        <v>6055</v>
      </c>
      <c r="G495" s="205">
        <v>13070</v>
      </c>
      <c r="H495" s="207">
        <v>1464.95</v>
      </c>
      <c r="I495" s="207">
        <v>16.68</v>
      </c>
      <c r="J495" s="207">
        <v>922.6</v>
      </c>
      <c r="K495" s="207">
        <v>1869.1</v>
      </c>
      <c r="L495" s="207"/>
    </row>
    <row r="496" spans="2:12">
      <c r="B496" s="206">
        <v>43810</v>
      </c>
      <c r="C496" s="211">
        <f t="shared" si="68"/>
        <v>2019</v>
      </c>
      <c r="D496" s="211">
        <f t="shared" si="69"/>
        <v>12</v>
      </c>
      <c r="E496" s="211">
        <f t="shared" si="70"/>
        <v>11</v>
      </c>
      <c r="F496" s="205">
        <v>6083</v>
      </c>
      <c r="G496" s="205">
        <v>13535</v>
      </c>
      <c r="H496" s="207">
        <v>1466.8</v>
      </c>
      <c r="I496" s="207">
        <v>16.66</v>
      </c>
      <c r="J496" s="207">
        <v>939.5</v>
      </c>
      <c r="K496" s="207">
        <v>1885.1</v>
      </c>
      <c r="L496" s="207"/>
    </row>
    <row r="497" spans="2:12">
      <c r="B497" s="206">
        <v>43811</v>
      </c>
      <c r="C497" s="211">
        <f t="shared" si="68"/>
        <v>2019</v>
      </c>
      <c r="D497" s="211">
        <f t="shared" si="69"/>
        <v>12</v>
      </c>
      <c r="E497" s="211">
        <f t="shared" si="70"/>
        <v>12</v>
      </c>
      <c r="F497" s="205">
        <v>6097</v>
      </c>
      <c r="G497" s="205">
        <v>13810</v>
      </c>
      <c r="H497" s="207">
        <v>1467.8</v>
      </c>
      <c r="I497" s="207">
        <v>16.87</v>
      </c>
      <c r="J497" s="207">
        <v>944.8</v>
      </c>
      <c r="K497" s="207">
        <v>1914.2</v>
      </c>
      <c r="L497" s="207"/>
    </row>
    <row r="498" spans="2:12">
      <c r="B498" s="206">
        <v>43812</v>
      </c>
      <c r="C498" s="211">
        <f t="shared" si="68"/>
        <v>2019</v>
      </c>
      <c r="D498" s="211">
        <f t="shared" si="69"/>
        <v>12</v>
      </c>
      <c r="E498" s="211">
        <f t="shared" si="70"/>
        <v>13</v>
      </c>
      <c r="F498" s="205">
        <v>6154</v>
      </c>
      <c r="G498" s="205">
        <v>14145</v>
      </c>
      <c r="H498" s="207">
        <v>1466.6</v>
      </c>
      <c r="I498" s="207">
        <v>16.940000000000001</v>
      </c>
      <c r="J498" s="207">
        <v>928.8</v>
      </c>
      <c r="K498" s="207">
        <v>1891.6</v>
      </c>
      <c r="L498" s="207"/>
    </row>
    <row r="499" spans="2:12">
      <c r="B499" s="206">
        <v>43815</v>
      </c>
      <c r="C499" s="211">
        <f t="shared" si="68"/>
        <v>2019</v>
      </c>
      <c r="D499" s="211">
        <f t="shared" si="69"/>
        <v>12</v>
      </c>
      <c r="E499" s="211">
        <f t="shared" si="70"/>
        <v>16</v>
      </c>
      <c r="F499" s="205">
        <v>6155.5</v>
      </c>
      <c r="G499" s="205">
        <v>14085</v>
      </c>
      <c r="H499" s="207">
        <v>1477.9</v>
      </c>
      <c r="I499" s="207">
        <v>17.02</v>
      </c>
      <c r="J499" s="207">
        <v>931.3</v>
      </c>
      <c r="K499" s="207">
        <v>1963.6</v>
      </c>
      <c r="L499" s="207"/>
    </row>
    <row r="500" spans="2:12">
      <c r="B500" s="206">
        <v>43816</v>
      </c>
      <c r="C500" s="211">
        <f t="shared" si="68"/>
        <v>2019</v>
      </c>
      <c r="D500" s="211">
        <f t="shared" si="69"/>
        <v>12</v>
      </c>
      <c r="E500" s="211">
        <f t="shared" si="70"/>
        <v>17</v>
      </c>
      <c r="F500" s="205">
        <v>6175</v>
      </c>
      <c r="G500" s="205">
        <v>14090</v>
      </c>
      <c r="H500" s="207">
        <v>1475.8</v>
      </c>
      <c r="I500" s="207">
        <v>17.059999999999999</v>
      </c>
      <c r="J500" s="207">
        <v>929.8</v>
      </c>
      <c r="K500" s="207">
        <v>1918.6</v>
      </c>
      <c r="L500" s="207"/>
    </row>
    <row r="501" spans="2:12">
      <c r="B501" s="206">
        <v>43817</v>
      </c>
      <c r="C501" s="211">
        <f t="shared" si="68"/>
        <v>2019</v>
      </c>
      <c r="D501" s="211">
        <f t="shared" si="69"/>
        <v>12</v>
      </c>
      <c r="E501" s="211">
        <f t="shared" si="70"/>
        <v>18</v>
      </c>
      <c r="F501" s="205">
        <v>6126.5</v>
      </c>
      <c r="G501" s="205">
        <v>13850</v>
      </c>
      <c r="H501" s="207">
        <v>1474.05</v>
      </c>
      <c r="I501" s="207">
        <v>16.7</v>
      </c>
      <c r="J501" s="207">
        <v>935.7</v>
      </c>
      <c r="K501" s="207">
        <v>1896.2</v>
      </c>
      <c r="L501" s="207"/>
    </row>
    <row r="502" spans="2:12">
      <c r="B502" s="206">
        <v>43818</v>
      </c>
      <c r="C502" s="211">
        <f t="shared" si="68"/>
        <v>2019</v>
      </c>
      <c r="D502" s="211">
        <f t="shared" si="69"/>
        <v>12</v>
      </c>
      <c r="E502" s="211">
        <f t="shared" si="70"/>
        <v>19</v>
      </c>
      <c r="F502" s="205">
        <v>6161</v>
      </c>
      <c r="G502" s="205">
        <v>14035</v>
      </c>
      <c r="H502" s="207">
        <v>1476.7</v>
      </c>
      <c r="I502" s="207">
        <v>16.940000000000001</v>
      </c>
      <c r="J502" s="207">
        <v>935.5</v>
      </c>
      <c r="K502" s="207">
        <v>1901</v>
      </c>
      <c r="L502" s="207"/>
    </row>
    <row r="503" spans="2:12">
      <c r="B503" s="206">
        <v>43819</v>
      </c>
      <c r="C503" s="211">
        <f t="shared" si="68"/>
        <v>2019</v>
      </c>
      <c r="D503" s="211">
        <f t="shared" si="69"/>
        <v>12</v>
      </c>
      <c r="E503" s="211">
        <f t="shared" si="70"/>
        <v>20</v>
      </c>
      <c r="F503" s="205">
        <v>6155.5</v>
      </c>
      <c r="G503" s="205">
        <v>14220</v>
      </c>
      <c r="H503" s="207">
        <v>1479</v>
      </c>
      <c r="I503" s="207">
        <v>17.04</v>
      </c>
      <c r="J503" s="207">
        <v>913.8</v>
      </c>
      <c r="K503" s="207">
        <v>1808.9</v>
      </c>
      <c r="L503" s="207"/>
    </row>
    <row r="504" spans="2:12">
      <c r="B504" s="206">
        <v>43822</v>
      </c>
      <c r="C504" s="211">
        <f t="shared" si="68"/>
        <v>2019</v>
      </c>
      <c r="D504" s="211">
        <f t="shared" si="69"/>
        <v>12</v>
      </c>
      <c r="E504" s="211">
        <f t="shared" si="70"/>
        <v>23</v>
      </c>
      <c r="F504" s="205">
        <v>6153</v>
      </c>
      <c r="G504" s="205">
        <v>14395</v>
      </c>
      <c r="H504" s="207">
        <v>1482.1</v>
      </c>
      <c r="I504" s="207">
        <v>17.38</v>
      </c>
      <c r="J504" s="207">
        <v>938.4</v>
      </c>
      <c r="K504" s="207">
        <v>1849</v>
      </c>
      <c r="L504" s="207"/>
    </row>
    <row r="505" spans="2:12">
      <c r="B505" s="206">
        <v>43823</v>
      </c>
      <c r="C505" s="211">
        <f t="shared" si="68"/>
        <v>2019</v>
      </c>
      <c r="D505" s="211">
        <f t="shared" si="69"/>
        <v>12</v>
      </c>
      <c r="E505" s="211">
        <f t="shared" si="70"/>
        <v>24</v>
      </c>
      <c r="F505" s="205">
        <v>6184.5</v>
      </c>
      <c r="G505" s="205">
        <v>14290</v>
      </c>
      <c r="H505" s="207" t="s">
        <v>338</v>
      </c>
      <c r="I505" s="207">
        <v>17.59</v>
      </c>
      <c r="J505" s="207">
        <v>942.8</v>
      </c>
      <c r="K505" s="207">
        <v>1851.8</v>
      </c>
      <c r="L505" s="207"/>
    </row>
    <row r="506" spans="2:12">
      <c r="B506" s="206">
        <v>43826</v>
      </c>
      <c r="C506" s="211">
        <f t="shared" si="68"/>
        <v>2019</v>
      </c>
      <c r="D506" s="211">
        <f t="shared" si="69"/>
        <v>12</v>
      </c>
      <c r="E506" s="211">
        <f t="shared" si="70"/>
        <v>27</v>
      </c>
      <c r="F506" s="205">
        <v>6211</v>
      </c>
      <c r="G506" s="205">
        <v>14000</v>
      </c>
      <c r="H506" s="207">
        <v>1511.5</v>
      </c>
      <c r="I506" s="207">
        <v>17.829999999999998</v>
      </c>
      <c r="J506" s="207">
        <v>952.88</v>
      </c>
      <c r="K506" s="207">
        <v>1881.2</v>
      </c>
      <c r="L506" s="207"/>
    </row>
    <row r="507" spans="2:12">
      <c r="B507" s="206">
        <v>43829</v>
      </c>
      <c r="C507" s="211">
        <f t="shared" si="68"/>
        <v>2019</v>
      </c>
      <c r="D507" s="211">
        <f t="shared" si="69"/>
        <v>12</v>
      </c>
      <c r="E507" s="211">
        <f t="shared" si="70"/>
        <v>30</v>
      </c>
      <c r="F507" s="205">
        <v>6183.5</v>
      </c>
      <c r="G507" s="205">
        <v>14225</v>
      </c>
      <c r="H507" s="207">
        <v>1514.75</v>
      </c>
      <c r="I507" s="207">
        <v>17.829999999999998</v>
      </c>
      <c r="J507" s="207">
        <v>962.32</v>
      </c>
      <c r="K507" s="207">
        <v>1880.5</v>
      </c>
      <c r="L507" s="207"/>
    </row>
    <row r="508" spans="2:12">
      <c r="B508" s="206">
        <v>43830</v>
      </c>
      <c r="C508" s="211">
        <f t="shared" si="68"/>
        <v>2019</v>
      </c>
      <c r="D508" s="211">
        <f t="shared" si="69"/>
        <v>12</v>
      </c>
      <c r="E508" s="211">
        <f t="shared" si="70"/>
        <v>31</v>
      </c>
      <c r="F508" s="205">
        <v>6156</v>
      </c>
      <c r="G508" s="205">
        <v>14000</v>
      </c>
      <c r="H508" s="207" t="s">
        <v>338</v>
      </c>
      <c r="I508" s="207">
        <v>18.05</v>
      </c>
      <c r="J508" s="207">
        <v>976.52</v>
      </c>
      <c r="K508" s="207">
        <v>1909.3</v>
      </c>
      <c r="L508" s="207"/>
    </row>
    <row r="509" spans="2:12">
      <c r="B509" s="206">
        <v>43832</v>
      </c>
      <c r="C509" s="211">
        <f t="shared" si="68"/>
        <v>2020</v>
      </c>
      <c r="D509" s="211">
        <f t="shared" si="69"/>
        <v>1</v>
      </c>
      <c r="E509" s="211">
        <f t="shared" si="70"/>
        <v>2</v>
      </c>
      <c r="F509" s="205">
        <v>6165.5</v>
      </c>
      <c r="G509" s="205">
        <v>14075</v>
      </c>
      <c r="H509" s="207">
        <v>1527.1</v>
      </c>
      <c r="I509" s="207">
        <v>17.920000000000002</v>
      </c>
      <c r="J509" s="207">
        <v>985</v>
      </c>
      <c r="K509" s="207">
        <v>1928</v>
      </c>
      <c r="L509" s="207"/>
    </row>
    <row r="510" spans="2:12">
      <c r="B510" s="206">
        <v>43833</v>
      </c>
      <c r="C510" s="211">
        <f t="shared" si="68"/>
        <v>2020</v>
      </c>
      <c r="D510" s="211">
        <f t="shared" si="69"/>
        <v>1</v>
      </c>
      <c r="E510" s="211">
        <f t="shared" si="70"/>
        <v>3</v>
      </c>
      <c r="F510" s="205">
        <v>6077</v>
      </c>
      <c r="G510" s="205">
        <v>13740</v>
      </c>
      <c r="H510" s="207">
        <v>1548.75</v>
      </c>
      <c r="I510" s="207">
        <v>18.21</v>
      </c>
      <c r="J510" s="207">
        <v>990.3</v>
      </c>
      <c r="K510" s="207">
        <v>1955.7</v>
      </c>
      <c r="L510" s="207"/>
    </row>
    <row r="511" spans="2:12">
      <c r="B511" s="206">
        <v>43836</v>
      </c>
      <c r="C511" s="211">
        <f t="shared" si="68"/>
        <v>2020</v>
      </c>
      <c r="D511" s="211">
        <f t="shared" si="69"/>
        <v>1</v>
      </c>
      <c r="E511" s="211">
        <f t="shared" si="70"/>
        <v>6</v>
      </c>
      <c r="F511" s="205">
        <v>6097.5</v>
      </c>
      <c r="G511" s="205">
        <v>13795</v>
      </c>
      <c r="H511" s="207">
        <v>1573.1</v>
      </c>
      <c r="I511" s="207">
        <v>18.440000000000001</v>
      </c>
      <c r="J511" s="207">
        <v>966.2</v>
      </c>
      <c r="K511" s="207">
        <v>1989.6</v>
      </c>
      <c r="L511" s="207"/>
    </row>
    <row r="512" spans="2:12">
      <c r="B512" s="206">
        <v>43837</v>
      </c>
      <c r="C512" s="211">
        <f t="shared" si="68"/>
        <v>2020</v>
      </c>
      <c r="D512" s="211">
        <f t="shared" si="69"/>
        <v>1</v>
      </c>
      <c r="E512" s="211">
        <f t="shared" si="70"/>
        <v>7</v>
      </c>
      <c r="F512" s="205">
        <v>6134.5</v>
      </c>
      <c r="G512" s="205">
        <v>13860</v>
      </c>
      <c r="H512" s="207">
        <v>1567.85</v>
      </c>
      <c r="I512" s="207">
        <v>18.149999999999999</v>
      </c>
      <c r="J512" s="207">
        <v>971.6</v>
      </c>
      <c r="K512" s="207">
        <v>2014.3</v>
      </c>
      <c r="L512" s="207"/>
    </row>
    <row r="513" spans="2:12">
      <c r="B513" s="206">
        <v>43838</v>
      </c>
      <c r="C513" s="211">
        <f t="shared" si="68"/>
        <v>2020</v>
      </c>
      <c r="D513" s="211">
        <f t="shared" si="69"/>
        <v>1</v>
      </c>
      <c r="E513" s="211">
        <f t="shared" si="70"/>
        <v>8</v>
      </c>
      <c r="F513" s="205">
        <v>6154</v>
      </c>
      <c r="G513" s="205">
        <v>13810</v>
      </c>
      <c r="H513" s="207">
        <v>1571.95</v>
      </c>
      <c r="I513" s="207">
        <v>18.420000000000002</v>
      </c>
      <c r="J513" s="207">
        <v>963.8</v>
      </c>
      <c r="K513" s="207">
        <v>2061.4</v>
      </c>
      <c r="L513" s="207"/>
    </row>
    <row r="514" spans="2:12">
      <c r="B514" s="206">
        <v>43839</v>
      </c>
      <c r="C514" s="211">
        <f t="shared" si="68"/>
        <v>2020</v>
      </c>
      <c r="D514" s="211">
        <f t="shared" si="69"/>
        <v>1</v>
      </c>
      <c r="E514" s="211">
        <f t="shared" si="70"/>
        <v>9</v>
      </c>
      <c r="F514" s="205">
        <v>6156</v>
      </c>
      <c r="G514" s="205">
        <v>14125</v>
      </c>
      <c r="H514" s="207">
        <v>1550.75</v>
      </c>
      <c r="I514" s="207">
        <v>17.91</v>
      </c>
      <c r="J514" s="207">
        <v>972</v>
      </c>
      <c r="K514" s="207">
        <v>2060.4</v>
      </c>
      <c r="L514" s="207"/>
    </row>
    <row r="515" spans="2:12">
      <c r="B515" s="206">
        <v>43840</v>
      </c>
      <c r="C515" s="211">
        <f t="shared" si="68"/>
        <v>2020</v>
      </c>
      <c r="D515" s="211">
        <f t="shared" si="69"/>
        <v>1</v>
      </c>
      <c r="E515" s="211">
        <f t="shared" si="70"/>
        <v>10</v>
      </c>
      <c r="F515" s="205">
        <v>6157</v>
      </c>
      <c r="G515" s="205">
        <v>14050</v>
      </c>
      <c r="H515" s="207">
        <v>1553.6</v>
      </c>
      <c r="I515" s="207">
        <v>17.920000000000002</v>
      </c>
      <c r="J515" s="207">
        <v>986</v>
      </c>
      <c r="K515" s="207">
        <v>2072.9</v>
      </c>
      <c r="L515" s="207"/>
    </row>
    <row r="516" spans="2:12">
      <c r="B516" s="206">
        <v>43843</v>
      </c>
      <c r="C516" s="211">
        <f t="shared" ref="C516:C579" si="71">YEAR(B516)</f>
        <v>2020</v>
      </c>
      <c r="D516" s="211">
        <f t="shared" ref="D516:D579" si="72">MONTH(B516)</f>
        <v>1</v>
      </c>
      <c r="E516" s="211">
        <f t="shared" ref="E516:E579" si="73">DAY(B516)</f>
        <v>13</v>
      </c>
      <c r="F516" s="205">
        <v>6177</v>
      </c>
      <c r="G516" s="205">
        <v>14190</v>
      </c>
      <c r="H516" s="207">
        <v>1549.9</v>
      </c>
      <c r="I516" s="207">
        <v>17.989999999999998</v>
      </c>
      <c r="J516" s="207">
        <v>982.1</v>
      </c>
      <c r="K516" s="207">
        <v>2079.1</v>
      </c>
      <c r="L516" s="207"/>
    </row>
    <row r="517" spans="2:12">
      <c r="B517" s="206">
        <v>43844</v>
      </c>
      <c r="C517" s="211">
        <f t="shared" si="71"/>
        <v>2020</v>
      </c>
      <c r="D517" s="211">
        <f t="shared" si="72"/>
        <v>1</v>
      </c>
      <c r="E517" s="211">
        <f t="shared" si="73"/>
        <v>14</v>
      </c>
      <c r="F517" s="205">
        <v>6247</v>
      </c>
      <c r="G517" s="205">
        <v>13680</v>
      </c>
      <c r="H517" s="207">
        <v>1545.1</v>
      </c>
      <c r="I517" s="207">
        <v>17.77</v>
      </c>
      <c r="J517" s="207">
        <v>987.3</v>
      </c>
      <c r="K517" s="207">
        <v>2123.3000000000002</v>
      </c>
      <c r="L517" s="207"/>
    </row>
    <row r="518" spans="2:12">
      <c r="B518" s="206">
        <v>43845</v>
      </c>
      <c r="C518" s="211">
        <f t="shared" si="71"/>
        <v>2020</v>
      </c>
      <c r="D518" s="211">
        <f t="shared" si="72"/>
        <v>1</v>
      </c>
      <c r="E518" s="211">
        <f t="shared" si="73"/>
        <v>15</v>
      </c>
      <c r="F518" s="205">
        <v>6232</v>
      </c>
      <c r="G518" s="205">
        <v>13950</v>
      </c>
      <c r="H518" s="207">
        <v>1549</v>
      </c>
      <c r="I518" s="207">
        <v>17.850000000000001</v>
      </c>
      <c r="J518" s="207">
        <v>1025.5999999999999</v>
      </c>
      <c r="K518" s="207">
        <v>2165.1</v>
      </c>
      <c r="L518" s="207"/>
    </row>
    <row r="519" spans="2:12">
      <c r="B519" s="206">
        <v>43846</v>
      </c>
      <c r="C519" s="211">
        <f t="shared" si="71"/>
        <v>2020</v>
      </c>
      <c r="D519" s="211">
        <f t="shared" si="72"/>
        <v>1</v>
      </c>
      <c r="E519" s="211">
        <f t="shared" si="73"/>
        <v>16</v>
      </c>
      <c r="F519" s="205">
        <v>6300.5</v>
      </c>
      <c r="G519" s="205">
        <v>14290</v>
      </c>
      <c r="H519" s="207">
        <v>1554.55</v>
      </c>
      <c r="I519" s="207">
        <v>18.010000000000002</v>
      </c>
      <c r="J519" s="207">
        <v>1001.2</v>
      </c>
      <c r="K519" s="207">
        <v>2177.8000000000002</v>
      </c>
      <c r="L519" s="207"/>
    </row>
    <row r="520" spans="2:12">
      <c r="B520" s="206">
        <v>43847</v>
      </c>
      <c r="C520" s="211">
        <f t="shared" si="71"/>
        <v>2020</v>
      </c>
      <c r="D520" s="211">
        <f t="shared" si="72"/>
        <v>1</v>
      </c>
      <c r="E520" s="211">
        <f t="shared" si="73"/>
        <v>17</v>
      </c>
      <c r="F520" s="205">
        <v>6276.5</v>
      </c>
      <c r="G520" s="205">
        <v>13840</v>
      </c>
      <c r="H520" s="207">
        <v>1557.6</v>
      </c>
      <c r="I520" s="207">
        <v>18.059999999999999</v>
      </c>
      <c r="J520" s="207">
        <v>1024.8</v>
      </c>
      <c r="K520" s="207">
        <v>2224.9</v>
      </c>
      <c r="L520" s="207"/>
    </row>
    <row r="521" spans="2:12">
      <c r="B521" s="206">
        <v>43850</v>
      </c>
      <c r="C521" s="211">
        <f t="shared" si="71"/>
        <v>2020</v>
      </c>
      <c r="D521" s="211">
        <f t="shared" si="72"/>
        <v>1</v>
      </c>
      <c r="E521" s="211">
        <f t="shared" si="73"/>
        <v>20</v>
      </c>
      <c r="F521" s="205">
        <v>6245</v>
      </c>
      <c r="G521" s="205">
        <v>13845</v>
      </c>
      <c r="H521" s="207">
        <v>1560.15</v>
      </c>
      <c r="I521" s="207">
        <v>18.059999999999999</v>
      </c>
      <c r="J521" s="207" t="s">
        <v>338</v>
      </c>
      <c r="K521" s="207" t="s">
        <v>338</v>
      </c>
      <c r="L521" s="207"/>
    </row>
    <row r="522" spans="2:12">
      <c r="B522" s="206">
        <v>43851</v>
      </c>
      <c r="C522" s="211">
        <f t="shared" si="71"/>
        <v>2020</v>
      </c>
      <c r="D522" s="211">
        <f t="shared" si="72"/>
        <v>1</v>
      </c>
      <c r="E522" s="211">
        <f t="shared" si="73"/>
        <v>21</v>
      </c>
      <c r="F522" s="205">
        <v>6158.5</v>
      </c>
      <c r="G522" s="205">
        <v>13750</v>
      </c>
      <c r="H522" s="207">
        <v>1551.3</v>
      </c>
      <c r="I522" s="207">
        <v>17.989999999999998</v>
      </c>
      <c r="J522" s="207">
        <v>1007.5</v>
      </c>
      <c r="K522" s="207">
        <v>2232.6999999999998</v>
      </c>
      <c r="L522" s="207"/>
    </row>
    <row r="523" spans="2:12">
      <c r="B523" s="206">
        <v>43852</v>
      </c>
      <c r="C523" s="211">
        <f t="shared" si="71"/>
        <v>2020</v>
      </c>
      <c r="D523" s="211">
        <f t="shared" si="72"/>
        <v>1</v>
      </c>
      <c r="E523" s="211">
        <f t="shared" si="73"/>
        <v>22</v>
      </c>
      <c r="F523" s="205">
        <v>6103.5</v>
      </c>
      <c r="G523" s="205">
        <v>13645</v>
      </c>
      <c r="H523" s="207">
        <v>1556.9</v>
      </c>
      <c r="I523" s="207">
        <v>17.77</v>
      </c>
      <c r="J523" s="207">
        <v>1021.3</v>
      </c>
      <c r="K523" s="207">
        <v>2335.6</v>
      </c>
      <c r="L523" s="207"/>
    </row>
    <row r="524" spans="2:12">
      <c r="B524" s="206">
        <v>43853</v>
      </c>
      <c r="C524" s="211">
        <f t="shared" si="71"/>
        <v>2020</v>
      </c>
      <c r="D524" s="211">
        <f t="shared" si="72"/>
        <v>1</v>
      </c>
      <c r="E524" s="211">
        <f t="shared" si="73"/>
        <v>23</v>
      </c>
      <c r="F524" s="205">
        <v>6050</v>
      </c>
      <c r="G524" s="205">
        <v>13300</v>
      </c>
      <c r="H524" s="207">
        <v>1562.9</v>
      </c>
      <c r="I524" s="207">
        <v>17.600000000000001</v>
      </c>
      <c r="J524" s="207">
        <v>1007.3</v>
      </c>
      <c r="K524" s="207">
        <v>2329</v>
      </c>
      <c r="L524" s="207"/>
    </row>
    <row r="525" spans="2:12">
      <c r="B525" s="206">
        <v>43854</v>
      </c>
      <c r="C525" s="211">
        <f t="shared" si="71"/>
        <v>2020</v>
      </c>
      <c r="D525" s="211">
        <f t="shared" si="72"/>
        <v>1</v>
      </c>
      <c r="E525" s="211">
        <f t="shared" si="73"/>
        <v>24</v>
      </c>
      <c r="F525" s="205">
        <v>5968</v>
      </c>
      <c r="G525" s="205">
        <v>12990</v>
      </c>
      <c r="H525" s="207">
        <v>1564.3</v>
      </c>
      <c r="I525" s="207">
        <v>17.829999999999998</v>
      </c>
      <c r="J525" s="207">
        <v>1010.6</v>
      </c>
      <c r="K525" s="207">
        <v>2316.3000000000002</v>
      </c>
      <c r="L525" s="207"/>
    </row>
    <row r="526" spans="2:12">
      <c r="B526" s="206">
        <v>43857</v>
      </c>
      <c r="C526" s="211">
        <f t="shared" si="71"/>
        <v>2020</v>
      </c>
      <c r="D526" s="211">
        <f t="shared" si="72"/>
        <v>1</v>
      </c>
      <c r="E526" s="211">
        <f t="shared" si="73"/>
        <v>27</v>
      </c>
      <c r="F526" s="205">
        <v>5779</v>
      </c>
      <c r="G526" s="205">
        <v>12650</v>
      </c>
      <c r="H526" s="207">
        <v>1580.1</v>
      </c>
      <c r="I526" s="207">
        <v>18.3</v>
      </c>
      <c r="J526" s="207">
        <v>991.7</v>
      </c>
      <c r="K526" s="207">
        <v>2173.6</v>
      </c>
      <c r="L526" s="207"/>
    </row>
    <row r="527" spans="2:12">
      <c r="B527" s="206">
        <v>43858</v>
      </c>
      <c r="C527" s="211">
        <f t="shared" si="71"/>
        <v>2020</v>
      </c>
      <c r="D527" s="211">
        <f t="shared" si="72"/>
        <v>1</v>
      </c>
      <c r="E527" s="211">
        <f t="shared" si="73"/>
        <v>28</v>
      </c>
      <c r="F527" s="205">
        <v>5715</v>
      </c>
      <c r="G527" s="205">
        <v>12740</v>
      </c>
      <c r="H527" s="207">
        <v>1574</v>
      </c>
      <c r="I527" s="207">
        <v>17.98</v>
      </c>
      <c r="J527" s="207">
        <v>995</v>
      </c>
      <c r="K527" s="207">
        <v>2185.1</v>
      </c>
      <c r="L527" s="207"/>
    </row>
    <row r="528" spans="2:12">
      <c r="B528" s="206">
        <v>43859</v>
      </c>
      <c r="C528" s="211">
        <f t="shared" si="71"/>
        <v>2020</v>
      </c>
      <c r="D528" s="211">
        <f t="shared" si="72"/>
        <v>1</v>
      </c>
      <c r="E528" s="211">
        <f t="shared" si="73"/>
        <v>29</v>
      </c>
      <c r="F528" s="205">
        <v>5698</v>
      </c>
      <c r="G528" s="205">
        <v>12630</v>
      </c>
      <c r="H528" s="207">
        <v>1573.45</v>
      </c>
      <c r="I528" s="207">
        <v>17.47</v>
      </c>
      <c r="J528" s="207">
        <v>975.3</v>
      </c>
      <c r="K528" s="207">
        <v>2202.1999999999998</v>
      </c>
      <c r="L528" s="207"/>
    </row>
    <row r="529" spans="2:12">
      <c r="B529" s="206">
        <v>43860</v>
      </c>
      <c r="C529" s="211">
        <f t="shared" si="71"/>
        <v>2020</v>
      </c>
      <c r="D529" s="211">
        <f t="shared" si="72"/>
        <v>1</v>
      </c>
      <c r="E529" s="211">
        <f t="shared" si="73"/>
        <v>30</v>
      </c>
      <c r="F529" s="205">
        <v>5621</v>
      </c>
      <c r="G529" s="205">
        <v>12535</v>
      </c>
      <c r="H529" s="207">
        <v>1578.25</v>
      </c>
      <c r="I529" s="207">
        <v>17.73</v>
      </c>
      <c r="J529" s="207">
        <v>980.5</v>
      </c>
      <c r="K529" s="207">
        <v>2215.6999999999998</v>
      </c>
      <c r="L529" s="207"/>
    </row>
    <row r="530" spans="2:12">
      <c r="B530" s="206">
        <v>43861</v>
      </c>
      <c r="C530" s="211">
        <f t="shared" si="71"/>
        <v>2020</v>
      </c>
      <c r="D530" s="211">
        <f t="shared" si="72"/>
        <v>1</v>
      </c>
      <c r="E530" s="211">
        <f t="shared" si="73"/>
        <v>31</v>
      </c>
      <c r="F530" s="205">
        <v>5570</v>
      </c>
      <c r="G530" s="205">
        <v>12675</v>
      </c>
      <c r="H530" s="207">
        <v>1584.2</v>
      </c>
      <c r="I530" s="207">
        <v>17.89</v>
      </c>
      <c r="J530" s="207">
        <v>961.9</v>
      </c>
      <c r="K530" s="207">
        <v>2224.6999999999998</v>
      </c>
      <c r="L530" s="207"/>
    </row>
    <row r="531" spans="2:12">
      <c r="B531" s="206">
        <v>43864</v>
      </c>
      <c r="C531" s="211">
        <f t="shared" si="71"/>
        <v>2020</v>
      </c>
      <c r="D531" s="211">
        <f t="shared" si="72"/>
        <v>2</v>
      </c>
      <c r="E531" s="211">
        <f t="shared" si="73"/>
        <v>3</v>
      </c>
      <c r="F531" s="205">
        <v>5595</v>
      </c>
      <c r="G531" s="205">
        <v>12750</v>
      </c>
      <c r="H531" s="207">
        <v>1574.75</v>
      </c>
      <c r="I531" s="207">
        <v>17.77</v>
      </c>
      <c r="J531" s="207">
        <v>970.7</v>
      </c>
      <c r="K531" s="207">
        <v>2233.5</v>
      </c>
      <c r="L531" s="207"/>
    </row>
    <row r="532" spans="2:12">
      <c r="B532" s="206">
        <v>43865</v>
      </c>
      <c r="C532" s="211">
        <f t="shared" si="71"/>
        <v>2020</v>
      </c>
      <c r="D532" s="211">
        <f t="shared" si="72"/>
        <v>2</v>
      </c>
      <c r="E532" s="211">
        <f t="shared" si="73"/>
        <v>4</v>
      </c>
      <c r="F532" s="205">
        <v>5652</v>
      </c>
      <c r="G532" s="205">
        <v>12800</v>
      </c>
      <c r="H532" s="207">
        <v>1558.35</v>
      </c>
      <c r="I532" s="207">
        <v>17.73</v>
      </c>
      <c r="J532" s="207">
        <v>966.1</v>
      </c>
      <c r="K532" s="207">
        <v>2335.6</v>
      </c>
      <c r="L532" s="207"/>
    </row>
    <row r="533" spans="2:12">
      <c r="B533" s="206">
        <v>43866</v>
      </c>
      <c r="C533" s="211">
        <f t="shared" si="71"/>
        <v>2020</v>
      </c>
      <c r="D533" s="211">
        <f t="shared" si="72"/>
        <v>2</v>
      </c>
      <c r="E533" s="211">
        <f t="shared" si="73"/>
        <v>5</v>
      </c>
      <c r="F533" s="205">
        <v>5714</v>
      </c>
      <c r="G533" s="205">
        <v>13005</v>
      </c>
      <c r="H533" s="207">
        <v>1553.3</v>
      </c>
      <c r="I533" s="207">
        <v>17.62</v>
      </c>
      <c r="J533" s="207">
        <v>987.1</v>
      </c>
      <c r="K533" s="207">
        <v>2326.6999999999998</v>
      </c>
      <c r="L533" s="207"/>
    </row>
    <row r="534" spans="2:12">
      <c r="B534" s="206">
        <v>43867</v>
      </c>
      <c r="C534" s="211">
        <f t="shared" si="71"/>
        <v>2020</v>
      </c>
      <c r="D534" s="211">
        <f t="shared" si="72"/>
        <v>2</v>
      </c>
      <c r="E534" s="211">
        <f t="shared" si="73"/>
        <v>6</v>
      </c>
      <c r="F534" s="205">
        <v>5726</v>
      </c>
      <c r="G534" s="205">
        <v>13010</v>
      </c>
      <c r="H534" s="207">
        <v>1563.3</v>
      </c>
      <c r="I534" s="207">
        <v>17.77</v>
      </c>
      <c r="J534" s="207">
        <v>967.4</v>
      </c>
      <c r="K534" s="207">
        <v>2237.1999999999998</v>
      </c>
      <c r="L534" s="207"/>
    </row>
    <row r="535" spans="2:12">
      <c r="B535" s="206">
        <v>43868</v>
      </c>
      <c r="C535" s="211">
        <f t="shared" si="71"/>
        <v>2020</v>
      </c>
      <c r="D535" s="211">
        <f t="shared" si="72"/>
        <v>2</v>
      </c>
      <c r="E535" s="211">
        <f t="shared" si="73"/>
        <v>7</v>
      </c>
      <c r="F535" s="205">
        <v>5653</v>
      </c>
      <c r="G535" s="205">
        <v>12770</v>
      </c>
      <c r="H535" s="207">
        <v>1572.65</v>
      </c>
      <c r="I535" s="207">
        <v>17.77</v>
      </c>
      <c r="J535" s="207">
        <v>969.2</v>
      </c>
      <c r="K535" s="207">
        <v>2210.1999999999998</v>
      </c>
      <c r="L535" s="207"/>
    </row>
    <row r="536" spans="2:12">
      <c r="B536" s="206">
        <v>43871</v>
      </c>
      <c r="C536" s="211">
        <f t="shared" si="71"/>
        <v>2020</v>
      </c>
      <c r="D536" s="211">
        <f t="shared" si="72"/>
        <v>2</v>
      </c>
      <c r="E536" s="211">
        <f t="shared" si="73"/>
        <v>10</v>
      </c>
      <c r="F536" s="205">
        <v>5659.5</v>
      </c>
      <c r="G536" s="205">
        <v>12880</v>
      </c>
      <c r="H536" s="207">
        <v>1573.2</v>
      </c>
      <c r="I536" s="207">
        <v>17.79</v>
      </c>
      <c r="J536" s="207">
        <v>966.9</v>
      </c>
      <c r="K536" s="207">
        <v>2249.8000000000002</v>
      </c>
      <c r="L536" s="207"/>
    </row>
    <row r="537" spans="2:12">
      <c r="B537" s="206">
        <v>43872</v>
      </c>
      <c r="C537" s="211">
        <f t="shared" si="71"/>
        <v>2020</v>
      </c>
      <c r="D537" s="211">
        <f t="shared" si="72"/>
        <v>2</v>
      </c>
      <c r="E537" s="211">
        <f t="shared" si="73"/>
        <v>11</v>
      </c>
      <c r="F537" s="205">
        <v>5696</v>
      </c>
      <c r="G537" s="205">
        <v>13100</v>
      </c>
      <c r="H537" s="207">
        <v>1570.5</v>
      </c>
      <c r="I537" s="207">
        <v>17.71</v>
      </c>
      <c r="J537" s="207">
        <v>973.5</v>
      </c>
      <c r="K537" s="207">
        <v>2265.6999999999998</v>
      </c>
      <c r="L537" s="207"/>
    </row>
    <row r="538" spans="2:12">
      <c r="B538" s="206">
        <v>43873</v>
      </c>
      <c r="C538" s="211">
        <f t="shared" si="71"/>
        <v>2020</v>
      </c>
      <c r="D538" s="211">
        <f t="shared" si="72"/>
        <v>2</v>
      </c>
      <c r="E538" s="211">
        <f t="shared" si="73"/>
        <v>12</v>
      </c>
      <c r="F538" s="205">
        <v>5747</v>
      </c>
      <c r="G538" s="205">
        <v>13050</v>
      </c>
      <c r="H538" s="207">
        <v>1563.7</v>
      </c>
      <c r="I538" s="207">
        <v>17.559999999999999</v>
      </c>
      <c r="J538" s="207">
        <v>967.3</v>
      </c>
      <c r="K538" s="207">
        <v>2322.5</v>
      </c>
      <c r="L538" s="207"/>
    </row>
    <row r="539" spans="2:12">
      <c r="B539" s="206">
        <v>43874</v>
      </c>
      <c r="C539" s="211">
        <f t="shared" si="71"/>
        <v>2020</v>
      </c>
      <c r="D539" s="211">
        <f t="shared" si="72"/>
        <v>2</v>
      </c>
      <c r="E539" s="211">
        <f t="shared" si="73"/>
        <v>13</v>
      </c>
      <c r="F539" s="205">
        <v>5716</v>
      </c>
      <c r="G539" s="205">
        <v>13065</v>
      </c>
      <c r="H539" s="207">
        <v>1575.05</v>
      </c>
      <c r="I539" s="207">
        <v>17.64</v>
      </c>
      <c r="J539" s="207">
        <v>974.7</v>
      </c>
      <c r="K539" s="207">
        <v>2351</v>
      </c>
      <c r="L539" s="207"/>
    </row>
    <row r="540" spans="2:12">
      <c r="B540" s="206">
        <v>43875</v>
      </c>
      <c r="C540" s="211">
        <f t="shared" si="71"/>
        <v>2020</v>
      </c>
      <c r="D540" s="211">
        <f t="shared" si="72"/>
        <v>2</v>
      </c>
      <c r="E540" s="211">
        <f t="shared" si="73"/>
        <v>14</v>
      </c>
      <c r="F540" s="205">
        <v>5737</v>
      </c>
      <c r="G540" s="205">
        <v>13035</v>
      </c>
      <c r="H540" s="207">
        <v>1581.4</v>
      </c>
      <c r="I540" s="207">
        <v>17.71</v>
      </c>
      <c r="J540" s="207">
        <v>968.8</v>
      </c>
      <c r="K540" s="207">
        <v>2316.6999999999998</v>
      </c>
      <c r="L540" s="207"/>
    </row>
    <row r="541" spans="2:12">
      <c r="B541" s="206">
        <v>43878</v>
      </c>
      <c r="C541" s="211">
        <f t="shared" si="71"/>
        <v>2020</v>
      </c>
      <c r="D541" s="211">
        <f t="shared" si="72"/>
        <v>2</v>
      </c>
      <c r="E541" s="211">
        <f t="shared" si="73"/>
        <v>17</v>
      </c>
      <c r="F541" s="205">
        <v>5802</v>
      </c>
      <c r="G541" s="205">
        <v>13070</v>
      </c>
      <c r="H541" s="207">
        <v>1580.8</v>
      </c>
      <c r="I541" s="207">
        <v>17.8</v>
      </c>
      <c r="J541" s="207" t="s">
        <v>338</v>
      </c>
      <c r="K541" s="207" t="s">
        <v>338</v>
      </c>
      <c r="L541" s="207"/>
    </row>
    <row r="542" spans="2:12">
      <c r="B542" s="206">
        <v>43879</v>
      </c>
      <c r="C542" s="211">
        <f t="shared" si="71"/>
        <v>2020</v>
      </c>
      <c r="D542" s="211">
        <f t="shared" si="72"/>
        <v>2</v>
      </c>
      <c r="E542" s="211">
        <f t="shared" si="73"/>
        <v>18</v>
      </c>
      <c r="F542" s="205">
        <v>5728</v>
      </c>
      <c r="G542" s="205">
        <v>12880</v>
      </c>
      <c r="H542" s="207">
        <v>1589.85</v>
      </c>
      <c r="I542" s="207">
        <v>17.89</v>
      </c>
      <c r="J542" s="207">
        <v>993.9</v>
      </c>
      <c r="K542" s="207">
        <v>2497.6</v>
      </c>
      <c r="L542" s="207"/>
    </row>
    <row r="543" spans="2:12">
      <c r="B543" s="206">
        <v>43880</v>
      </c>
      <c r="C543" s="211">
        <f t="shared" si="71"/>
        <v>2020</v>
      </c>
      <c r="D543" s="211">
        <f t="shared" si="72"/>
        <v>2</v>
      </c>
      <c r="E543" s="211">
        <f t="shared" si="73"/>
        <v>19</v>
      </c>
      <c r="F543" s="205">
        <v>5745.5</v>
      </c>
      <c r="G543" s="205">
        <v>12700</v>
      </c>
      <c r="H543" s="207">
        <v>1604.2</v>
      </c>
      <c r="I543" s="207">
        <v>18.350000000000001</v>
      </c>
      <c r="J543" s="207">
        <v>1004.5</v>
      </c>
      <c r="K543" s="207">
        <v>2571.1999999999998</v>
      </c>
      <c r="L543" s="207"/>
    </row>
    <row r="544" spans="2:12">
      <c r="B544" s="206">
        <v>43881</v>
      </c>
      <c r="C544" s="211">
        <f t="shared" si="71"/>
        <v>2020</v>
      </c>
      <c r="D544" s="211">
        <f t="shared" si="72"/>
        <v>2</v>
      </c>
      <c r="E544" s="211">
        <f t="shared" si="73"/>
        <v>20</v>
      </c>
      <c r="F544" s="205">
        <v>5730</v>
      </c>
      <c r="G544" s="205">
        <v>12685</v>
      </c>
      <c r="H544" s="207">
        <v>1619</v>
      </c>
      <c r="I544" s="207">
        <v>18.39</v>
      </c>
      <c r="J544" s="207">
        <v>979</v>
      </c>
      <c r="K544" s="207">
        <v>2573.9</v>
      </c>
      <c r="L544" s="207"/>
    </row>
    <row r="545" spans="2:12">
      <c r="B545" s="206">
        <v>43882</v>
      </c>
      <c r="C545" s="211">
        <f t="shared" si="71"/>
        <v>2020</v>
      </c>
      <c r="D545" s="211">
        <f t="shared" si="72"/>
        <v>2</v>
      </c>
      <c r="E545" s="211">
        <f t="shared" si="73"/>
        <v>21</v>
      </c>
      <c r="F545" s="205">
        <v>5702</v>
      </c>
      <c r="G545" s="205">
        <v>12440</v>
      </c>
      <c r="H545" s="207">
        <v>1643.3</v>
      </c>
      <c r="I545" s="207">
        <v>18.559999999999999</v>
      </c>
      <c r="J545" s="207">
        <v>976.1</v>
      </c>
      <c r="K545" s="207">
        <v>2605.4</v>
      </c>
      <c r="L545" s="207"/>
    </row>
    <row r="546" spans="2:12">
      <c r="B546" s="206">
        <v>43885</v>
      </c>
      <c r="C546" s="211">
        <f t="shared" si="71"/>
        <v>2020</v>
      </c>
      <c r="D546" s="211">
        <f t="shared" si="72"/>
        <v>2</v>
      </c>
      <c r="E546" s="211">
        <f t="shared" si="73"/>
        <v>24</v>
      </c>
      <c r="F546" s="205">
        <v>5657.5</v>
      </c>
      <c r="G546" s="205">
        <v>12360</v>
      </c>
      <c r="H546" s="207">
        <v>1671.65</v>
      </c>
      <c r="I546" s="207">
        <v>18.78</v>
      </c>
      <c r="J546" s="207">
        <v>974.2</v>
      </c>
      <c r="K546" s="207">
        <v>2521.3000000000002</v>
      </c>
      <c r="L546" s="207"/>
    </row>
    <row r="547" spans="2:12">
      <c r="B547" s="206">
        <v>43886</v>
      </c>
      <c r="C547" s="211">
        <f t="shared" si="71"/>
        <v>2020</v>
      </c>
      <c r="D547" s="211">
        <f t="shared" si="72"/>
        <v>2</v>
      </c>
      <c r="E547" s="211">
        <f t="shared" si="73"/>
        <v>25</v>
      </c>
      <c r="F547" s="205">
        <v>5663.5</v>
      </c>
      <c r="G547" s="205">
        <v>12540</v>
      </c>
      <c r="H547" s="207">
        <v>1650.3</v>
      </c>
      <c r="I547" s="207">
        <v>18.329999999999998</v>
      </c>
      <c r="J547" s="207">
        <v>932.3</v>
      </c>
      <c r="K547" s="207">
        <v>2641.1</v>
      </c>
      <c r="L547" s="207"/>
    </row>
    <row r="548" spans="2:12">
      <c r="B548" s="206">
        <v>43887</v>
      </c>
      <c r="C548" s="211">
        <f t="shared" si="71"/>
        <v>2020</v>
      </c>
      <c r="D548" s="211">
        <f t="shared" si="72"/>
        <v>2</v>
      </c>
      <c r="E548" s="211">
        <f t="shared" si="73"/>
        <v>26</v>
      </c>
      <c r="F548" s="205">
        <v>5614</v>
      </c>
      <c r="G548" s="205">
        <v>12290</v>
      </c>
      <c r="H548" s="207">
        <v>1634.9</v>
      </c>
      <c r="I548" s="207">
        <v>18.07</v>
      </c>
      <c r="J548" s="207">
        <v>914.8</v>
      </c>
      <c r="K548" s="207">
        <v>2682.4</v>
      </c>
      <c r="L548" s="207"/>
    </row>
    <row r="549" spans="2:12">
      <c r="B549" s="206">
        <v>43888</v>
      </c>
      <c r="C549" s="211">
        <f t="shared" si="71"/>
        <v>2020</v>
      </c>
      <c r="D549" s="211">
        <f t="shared" si="72"/>
        <v>2</v>
      </c>
      <c r="E549" s="211">
        <f t="shared" si="73"/>
        <v>27</v>
      </c>
      <c r="F549" s="205">
        <v>5618</v>
      </c>
      <c r="G549" s="205">
        <v>12280</v>
      </c>
      <c r="H549" s="207">
        <v>1652</v>
      </c>
      <c r="I549" s="207">
        <v>18.05</v>
      </c>
      <c r="J549" s="207">
        <v>905.5</v>
      </c>
      <c r="K549" s="207">
        <v>2724.9</v>
      </c>
      <c r="L549" s="207"/>
    </row>
    <row r="550" spans="2:12">
      <c r="B550" s="206">
        <v>43889</v>
      </c>
      <c r="C550" s="211">
        <f t="shared" si="71"/>
        <v>2020</v>
      </c>
      <c r="D550" s="211">
        <f t="shared" si="72"/>
        <v>2</v>
      </c>
      <c r="E550" s="211">
        <f t="shared" si="73"/>
        <v>28</v>
      </c>
      <c r="F550" s="205">
        <v>5573</v>
      </c>
      <c r="G550" s="205">
        <v>12160</v>
      </c>
      <c r="H550" s="207">
        <v>1609.85</v>
      </c>
      <c r="I550" s="207">
        <v>17.190000000000001</v>
      </c>
      <c r="J550" s="207">
        <v>864.7</v>
      </c>
      <c r="K550" s="207">
        <v>2494.64</v>
      </c>
      <c r="L550" s="207"/>
    </row>
    <row r="551" spans="2:12">
      <c r="B551" s="206">
        <v>43892</v>
      </c>
      <c r="C551" s="211">
        <f t="shared" si="71"/>
        <v>2020</v>
      </c>
      <c r="D551" s="211">
        <f t="shared" si="72"/>
        <v>3</v>
      </c>
      <c r="E551" s="211">
        <f t="shared" si="73"/>
        <v>2</v>
      </c>
      <c r="F551" s="205">
        <v>5640</v>
      </c>
      <c r="G551" s="205">
        <v>12440</v>
      </c>
      <c r="H551" s="207">
        <v>1599.65</v>
      </c>
      <c r="I551" s="207">
        <v>16.920000000000002</v>
      </c>
      <c r="J551" s="207">
        <v>859.4</v>
      </c>
      <c r="K551" s="207">
        <v>2427.6999999999998</v>
      </c>
      <c r="L551" s="207"/>
    </row>
    <row r="552" spans="2:12">
      <c r="B552" s="206">
        <v>43893</v>
      </c>
      <c r="C552" s="211">
        <f t="shared" si="71"/>
        <v>2020</v>
      </c>
      <c r="D552" s="211">
        <f t="shared" si="72"/>
        <v>3</v>
      </c>
      <c r="E552" s="211">
        <f t="shared" si="73"/>
        <v>3</v>
      </c>
      <c r="F552" s="205">
        <v>5668</v>
      </c>
      <c r="G552" s="205">
        <v>12555</v>
      </c>
      <c r="H552" s="207">
        <v>1615.5</v>
      </c>
      <c r="I552" s="207">
        <v>16.809999999999999</v>
      </c>
      <c r="J552" s="207">
        <v>869.3</v>
      </c>
      <c r="K552" s="207">
        <v>2387.5</v>
      </c>
      <c r="L552" s="207"/>
    </row>
    <row r="553" spans="2:12">
      <c r="B553" s="206">
        <v>43894</v>
      </c>
      <c r="C553" s="211">
        <f t="shared" si="71"/>
        <v>2020</v>
      </c>
      <c r="D553" s="211">
        <f t="shared" si="72"/>
        <v>3</v>
      </c>
      <c r="E553" s="211">
        <f t="shared" si="73"/>
        <v>4</v>
      </c>
      <c r="F553" s="205">
        <v>5694.5</v>
      </c>
      <c r="G553" s="205">
        <v>12700</v>
      </c>
      <c r="H553" s="207">
        <v>1641.85</v>
      </c>
      <c r="I553" s="207">
        <v>17.25</v>
      </c>
      <c r="J553" s="207">
        <v>875.2</v>
      </c>
      <c r="K553" s="207">
        <v>2385</v>
      </c>
      <c r="L553" s="207"/>
    </row>
    <row r="554" spans="2:12">
      <c r="B554" s="206">
        <v>43895</v>
      </c>
      <c r="C554" s="211">
        <f t="shared" si="71"/>
        <v>2020</v>
      </c>
      <c r="D554" s="211">
        <f t="shared" si="72"/>
        <v>3</v>
      </c>
      <c r="E554" s="211">
        <f t="shared" si="73"/>
        <v>5</v>
      </c>
      <c r="F554" s="205">
        <v>5667.5</v>
      </c>
      <c r="G554" s="205">
        <v>12800</v>
      </c>
      <c r="H554" s="207">
        <v>1659.6</v>
      </c>
      <c r="I554" s="207">
        <v>17.2</v>
      </c>
      <c r="J554" s="207">
        <v>865.7</v>
      </c>
      <c r="K554" s="207">
        <v>2469.4</v>
      </c>
      <c r="L554" s="207"/>
    </row>
    <row r="555" spans="2:12">
      <c r="B555" s="206">
        <v>43896</v>
      </c>
      <c r="C555" s="211">
        <f t="shared" si="71"/>
        <v>2020</v>
      </c>
      <c r="D555" s="211">
        <f t="shared" si="72"/>
        <v>3</v>
      </c>
      <c r="E555" s="211">
        <f t="shared" si="73"/>
        <v>6</v>
      </c>
      <c r="F555" s="205">
        <v>5624</v>
      </c>
      <c r="G555" s="205">
        <v>12710</v>
      </c>
      <c r="H555" s="207">
        <v>1683.65</v>
      </c>
      <c r="I555" s="207">
        <v>17.48</v>
      </c>
      <c r="J555" s="207">
        <v>896.4</v>
      </c>
      <c r="K555" s="207">
        <v>2439.1999999999998</v>
      </c>
      <c r="L555" s="207"/>
    </row>
    <row r="556" spans="2:12">
      <c r="B556" s="206">
        <v>43899</v>
      </c>
      <c r="C556" s="211">
        <f t="shared" si="71"/>
        <v>2020</v>
      </c>
      <c r="D556" s="211">
        <f t="shared" si="72"/>
        <v>3</v>
      </c>
      <c r="E556" s="211">
        <f t="shared" si="73"/>
        <v>9</v>
      </c>
      <c r="F556" s="205">
        <v>5483</v>
      </c>
      <c r="G556" s="205">
        <v>12415</v>
      </c>
      <c r="H556" s="207">
        <v>1672.5</v>
      </c>
      <c r="I556" s="207">
        <v>16.89</v>
      </c>
      <c r="J556" s="207">
        <v>862.8</v>
      </c>
      <c r="K556" s="207">
        <v>2405.6999999999998</v>
      </c>
      <c r="L556" s="207"/>
    </row>
    <row r="557" spans="2:12">
      <c r="B557" s="206">
        <v>43900</v>
      </c>
      <c r="C557" s="211">
        <f t="shared" si="71"/>
        <v>2020</v>
      </c>
      <c r="D557" s="211">
        <f t="shared" si="72"/>
        <v>3</v>
      </c>
      <c r="E557" s="211">
        <f t="shared" si="73"/>
        <v>10</v>
      </c>
      <c r="F557" s="205">
        <v>5598</v>
      </c>
      <c r="G557" s="205">
        <v>12835</v>
      </c>
      <c r="H557" s="207">
        <v>1655.7</v>
      </c>
      <c r="I557" s="207">
        <v>17.07</v>
      </c>
      <c r="J557" s="207">
        <v>869.4</v>
      </c>
      <c r="K557" s="207">
        <v>2317.4</v>
      </c>
      <c r="L557" s="207"/>
    </row>
    <row r="558" spans="2:12">
      <c r="B558" s="206">
        <v>43901</v>
      </c>
      <c r="C558" s="211">
        <f t="shared" si="71"/>
        <v>2020</v>
      </c>
      <c r="D558" s="211">
        <f t="shared" si="72"/>
        <v>3</v>
      </c>
      <c r="E558" s="211">
        <f t="shared" si="73"/>
        <v>11</v>
      </c>
      <c r="F558" s="205">
        <v>5552</v>
      </c>
      <c r="G558" s="205">
        <v>12435</v>
      </c>
      <c r="H558" s="207">
        <v>1653.75</v>
      </c>
      <c r="I558" s="207">
        <v>17.02</v>
      </c>
      <c r="J558" s="207">
        <v>868.2</v>
      </c>
      <c r="K558" s="207">
        <v>2229.3000000000002</v>
      </c>
      <c r="L558" s="207"/>
    </row>
    <row r="559" spans="2:12">
      <c r="B559" s="206">
        <v>43902</v>
      </c>
      <c r="C559" s="211">
        <f t="shared" si="71"/>
        <v>2020</v>
      </c>
      <c r="D559" s="211">
        <f t="shared" si="72"/>
        <v>3</v>
      </c>
      <c r="E559" s="211">
        <f t="shared" si="73"/>
        <v>12</v>
      </c>
      <c r="F559" s="205">
        <v>5386.5</v>
      </c>
      <c r="G559" s="205">
        <v>11855</v>
      </c>
      <c r="H559" s="207">
        <v>1570.7</v>
      </c>
      <c r="I559" s="207">
        <v>16.53</v>
      </c>
      <c r="J559" s="207">
        <v>781.8</v>
      </c>
      <c r="K559" s="207">
        <v>1914.9</v>
      </c>
      <c r="L559" s="207"/>
    </row>
    <row r="560" spans="2:12">
      <c r="B560" s="206">
        <v>43903</v>
      </c>
      <c r="C560" s="211">
        <f t="shared" si="71"/>
        <v>2020</v>
      </c>
      <c r="D560" s="211">
        <f t="shared" si="72"/>
        <v>3</v>
      </c>
      <c r="E560" s="211">
        <f t="shared" si="73"/>
        <v>13</v>
      </c>
      <c r="F560" s="205">
        <v>5530.5</v>
      </c>
      <c r="G560" s="205">
        <v>12565</v>
      </c>
      <c r="H560" s="207">
        <v>1562.8</v>
      </c>
      <c r="I560" s="207">
        <v>15.77</v>
      </c>
      <c r="J560" s="207">
        <v>743.9</v>
      </c>
      <c r="K560" s="207">
        <v>1509.1</v>
      </c>
      <c r="L560" s="207"/>
    </row>
    <row r="561" spans="2:12">
      <c r="B561" s="206">
        <v>43906</v>
      </c>
      <c r="C561" s="211">
        <f t="shared" si="71"/>
        <v>2020</v>
      </c>
      <c r="D561" s="211">
        <f t="shared" si="72"/>
        <v>3</v>
      </c>
      <c r="E561" s="211">
        <f t="shared" si="73"/>
        <v>16</v>
      </c>
      <c r="F561" s="205">
        <v>5211</v>
      </c>
      <c r="G561" s="205">
        <v>11775</v>
      </c>
      <c r="H561" s="207">
        <v>1487.7</v>
      </c>
      <c r="I561" s="207">
        <v>12.97</v>
      </c>
      <c r="J561" s="207">
        <v>657.7</v>
      </c>
      <c r="K561" s="207">
        <v>1514.1</v>
      </c>
      <c r="L561" s="207"/>
    </row>
    <row r="562" spans="2:12">
      <c r="B562" s="206">
        <v>43907</v>
      </c>
      <c r="C562" s="211">
        <f t="shared" si="71"/>
        <v>2020</v>
      </c>
      <c r="D562" s="211">
        <f t="shared" si="72"/>
        <v>3</v>
      </c>
      <c r="E562" s="211">
        <f t="shared" si="73"/>
        <v>17</v>
      </c>
      <c r="F562" s="205">
        <v>5205</v>
      </c>
      <c r="G562" s="205">
        <v>11830</v>
      </c>
      <c r="H562" s="207">
        <v>1536.2</v>
      </c>
      <c r="I562" s="207">
        <v>12.44</v>
      </c>
      <c r="J562" s="207">
        <v>665.3</v>
      </c>
      <c r="K562" s="207">
        <v>1509.6</v>
      </c>
      <c r="L562" s="207"/>
    </row>
    <row r="563" spans="2:12">
      <c r="B563" s="206">
        <v>43908</v>
      </c>
      <c r="C563" s="211">
        <f t="shared" si="71"/>
        <v>2020</v>
      </c>
      <c r="D563" s="211">
        <f t="shared" si="72"/>
        <v>3</v>
      </c>
      <c r="E563" s="211">
        <f t="shared" si="73"/>
        <v>18</v>
      </c>
      <c r="F563" s="205">
        <v>4860.5</v>
      </c>
      <c r="G563" s="205">
        <v>11420</v>
      </c>
      <c r="H563" s="207">
        <v>1498.2</v>
      </c>
      <c r="I563" s="207">
        <v>12.42</v>
      </c>
      <c r="J563" s="207">
        <v>605</v>
      </c>
      <c r="K563" s="207">
        <v>1419.8</v>
      </c>
      <c r="L563" s="207"/>
    </row>
    <row r="564" spans="2:12">
      <c r="B564" s="206">
        <v>43909</v>
      </c>
      <c r="C564" s="211">
        <f t="shared" si="71"/>
        <v>2020</v>
      </c>
      <c r="D564" s="211">
        <f t="shared" si="72"/>
        <v>3</v>
      </c>
      <c r="E564" s="211">
        <f t="shared" si="73"/>
        <v>19</v>
      </c>
      <c r="F564" s="205">
        <v>4685</v>
      </c>
      <c r="G564" s="205">
        <v>11235</v>
      </c>
      <c r="H564" s="207">
        <v>1474.25</v>
      </c>
      <c r="I564" s="207">
        <v>12.01</v>
      </c>
      <c r="J564" s="207">
        <v>596.79999999999995</v>
      </c>
      <c r="K564" s="207">
        <v>1529.4</v>
      </c>
      <c r="L564" s="207"/>
    </row>
    <row r="565" spans="2:12">
      <c r="B565" s="206">
        <v>43910</v>
      </c>
      <c r="C565" s="211">
        <f t="shared" si="71"/>
        <v>2020</v>
      </c>
      <c r="D565" s="211">
        <f t="shared" si="72"/>
        <v>3</v>
      </c>
      <c r="E565" s="211">
        <f t="shared" si="73"/>
        <v>20</v>
      </c>
      <c r="F565" s="205">
        <v>4855</v>
      </c>
      <c r="G565" s="205">
        <v>11370</v>
      </c>
      <c r="H565" s="207">
        <v>1494.4</v>
      </c>
      <c r="I565" s="207">
        <v>12.63</v>
      </c>
      <c r="J565" s="207">
        <v>622.5</v>
      </c>
      <c r="K565" s="207">
        <v>1540.2</v>
      </c>
      <c r="L565" s="207"/>
    </row>
    <row r="566" spans="2:12">
      <c r="B566" s="206">
        <v>43913</v>
      </c>
      <c r="C566" s="211">
        <f t="shared" si="71"/>
        <v>2020</v>
      </c>
      <c r="D566" s="211">
        <f t="shared" si="72"/>
        <v>3</v>
      </c>
      <c r="E566" s="211">
        <f t="shared" si="73"/>
        <v>23</v>
      </c>
      <c r="F566" s="205">
        <v>4617.5</v>
      </c>
      <c r="G566" s="205">
        <v>11055</v>
      </c>
      <c r="H566" s="207">
        <v>1525.4</v>
      </c>
      <c r="I566" s="207">
        <v>12.51</v>
      </c>
      <c r="J566" s="207">
        <v>627.5</v>
      </c>
      <c r="K566" s="207">
        <v>1556.9</v>
      </c>
      <c r="L566" s="207"/>
    </row>
    <row r="567" spans="2:12">
      <c r="B567" s="206">
        <v>43914</v>
      </c>
      <c r="C567" s="211">
        <f t="shared" si="71"/>
        <v>2020</v>
      </c>
      <c r="D567" s="211">
        <f t="shared" si="72"/>
        <v>3</v>
      </c>
      <c r="E567" s="211">
        <f t="shared" si="73"/>
        <v>24</v>
      </c>
      <c r="F567" s="205">
        <v>4789.5</v>
      </c>
      <c r="G567" s="205">
        <v>11075</v>
      </c>
      <c r="H567" s="207">
        <v>1605.75</v>
      </c>
      <c r="I567" s="207">
        <v>13.63</v>
      </c>
      <c r="J567" s="207">
        <v>701.7</v>
      </c>
      <c r="K567" s="207">
        <v>1786.9</v>
      </c>
      <c r="L567" s="207"/>
    </row>
    <row r="568" spans="2:12">
      <c r="B568" s="206">
        <v>43915</v>
      </c>
      <c r="C568" s="211">
        <f t="shared" si="71"/>
        <v>2020</v>
      </c>
      <c r="D568" s="211">
        <f t="shared" si="72"/>
        <v>3</v>
      </c>
      <c r="E568" s="211">
        <f t="shared" si="73"/>
        <v>25</v>
      </c>
      <c r="F568" s="205">
        <v>4754</v>
      </c>
      <c r="G568" s="205">
        <v>11175</v>
      </c>
      <c r="H568" s="207">
        <v>1605.45</v>
      </c>
      <c r="I568" s="207">
        <v>13.97</v>
      </c>
      <c r="J568" s="207">
        <v>745.5</v>
      </c>
      <c r="K568" s="207">
        <v>2247.6</v>
      </c>
      <c r="L568" s="207"/>
    </row>
    <row r="569" spans="2:12">
      <c r="B569" s="206">
        <v>43916</v>
      </c>
      <c r="C569" s="211">
        <f t="shared" si="71"/>
        <v>2020</v>
      </c>
      <c r="D569" s="211">
        <f t="shared" si="72"/>
        <v>3</v>
      </c>
      <c r="E569" s="211">
        <f t="shared" si="73"/>
        <v>26</v>
      </c>
      <c r="F569" s="205">
        <v>4775.5</v>
      </c>
      <c r="G569" s="205">
        <v>11221</v>
      </c>
      <c r="H569" s="207">
        <v>1634.8</v>
      </c>
      <c r="I569" s="207">
        <v>14.42</v>
      </c>
      <c r="J569" s="207">
        <v>737.1</v>
      </c>
      <c r="K569" s="207">
        <v>2226.1</v>
      </c>
      <c r="L569" s="207"/>
    </row>
    <row r="570" spans="2:12">
      <c r="B570" s="206">
        <v>43917</v>
      </c>
      <c r="C570" s="211">
        <f t="shared" si="71"/>
        <v>2020</v>
      </c>
      <c r="D570" s="211">
        <f t="shared" si="72"/>
        <v>3</v>
      </c>
      <c r="E570" s="211">
        <f t="shared" si="73"/>
        <v>27</v>
      </c>
      <c r="F570" s="205">
        <v>4774</v>
      </c>
      <c r="G570" s="205">
        <v>11225</v>
      </c>
      <c r="H570" s="207">
        <v>1617.3</v>
      </c>
      <c r="I570" s="207">
        <v>14.52</v>
      </c>
      <c r="J570" s="207">
        <v>740.82</v>
      </c>
      <c r="K570" s="207">
        <v>2196.8000000000002</v>
      </c>
      <c r="L570" s="207"/>
    </row>
    <row r="571" spans="2:12">
      <c r="B571" s="206">
        <v>43920</v>
      </c>
      <c r="C571" s="211">
        <f t="shared" si="71"/>
        <v>2020</v>
      </c>
      <c r="D571" s="211">
        <f t="shared" si="72"/>
        <v>3</v>
      </c>
      <c r="E571" s="211">
        <f t="shared" si="73"/>
        <v>30</v>
      </c>
      <c r="F571" s="205">
        <v>4763</v>
      </c>
      <c r="G571" s="205">
        <v>11280</v>
      </c>
      <c r="H571" s="207">
        <v>1618.3</v>
      </c>
      <c r="I571" s="207">
        <v>14.06</v>
      </c>
      <c r="J571" s="207">
        <v>723.84</v>
      </c>
      <c r="K571" s="207">
        <v>2197.6</v>
      </c>
      <c r="L571" s="207"/>
    </row>
    <row r="572" spans="2:12">
      <c r="B572" s="206">
        <v>43921</v>
      </c>
      <c r="C572" s="211">
        <f t="shared" si="71"/>
        <v>2020</v>
      </c>
      <c r="D572" s="211">
        <f t="shared" si="72"/>
        <v>3</v>
      </c>
      <c r="E572" s="211">
        <f t="shared" si="73"/>
        <v>31</v>
      </c>
      <c r="F572" s="205">
        <v>4797</v>
      </c>
      <c r="G572" s="205">
        <v>11235</v>
      </c>
      <c r="H572" s="207">
        <v>1608.95</v>
      </c>
      <c r="I572" s="207">
        <v>13.93</v>
      </c>
      <c r="J572" s="207">
        <v>728.8</v>
      </c>
      <c r="K572" s="207">
        <v>2304.8000000000002</v>
      </c>
      <c r="L572" s="207"/>
    </row>
    <row r="573" spans="2:12">
      <c r="B573" s="206">
        <v>43922</v>
      </c>
      <c r="C573" s="211">
        <f t="shared" si="71"/>
        <v>2020</v>
      </c>
      <c r="D573" s="211">
        <f t="shared" si="72"/>
        <v>4</v>
      </c>
      <c r="E573" s="211">
        <f t="shared" si="73"/>
        <v>1</v>
      </c>
      <c r="F573" s="205">
        <v>4772</v>
      </c>
      <c r="G573" s="205">
        <v>11220</v>
      </c>
      <c r="H573" s="207">
        <v>1576.55</v>
      </c>
      <c r="I573" s="207">
        <v>14.02</v>
      </c>
      <c r="J573" s="207">
        <v>717.8</v>
      </c>
      <c r="K573" s="207">
        <v>2140.8000000000002</v>
      </c>
      <c r="L573" s="207"/>
    </row>
    <row r="574" spans="2:12">
      <c r="B574" s="206">
        <v>43923</v>
      </c>
      <c r="C574" s="211">
        <f t="shared" si="71"/>
        <v>2020</v>
      </c>
      <c r="D574" s="211">
        <f t="shared" si="72"/>
        <v>4</v>
      </c>
      <c r="E574" s="211">
        <f t="shared" si="73"/>
        <v>2</v>
      </c>
      <c r="F574" s="205">
        <v>4821.5</v>
      </c>
      <c r="G574" s="205">
        <v>11185</v>
      </c>
      <c r="H574" s="207">
        <v>1616.8</v>
      </c>
      <c r="I574" s="207">
        <v>14.18</v>
      </c>
      <c r="J574" s="207">
        <v>730</v>
      </c>
      <c r="K574" s="207">
        <v>2121.6999999999998</v>
      </c>
      <c r="L574" s="207"/>
    </row>
    <row r="575" spans="2:12">
      <c r="B575" s="206">
        <v>43924</v>
      </c>
      <c r="C575" s="211">
        <f t="shared" si="71"/>
        <v>2020</v>
      </c>
      <c r="D575" s="211">
        <f t="shared" si="72"/>
        <v>4</v>
      </c>
      <c r="E575" s="211">
        <f t="shared" si="73"/>
        <v>3</v>
      </c>
      <c r="F575" s="205">
        <v>4863.5</v>
      </c>
      <c r="G575" s="205">
        <v>11192</v>
      </c>
      <c r="H575" s="207">
        <v>1613.1</v>
      </c>
      <c r="I575" s="207">
        <v>14.39</v>
      </c>
      <c r="J575" s="207">
        <v>718.1</v>
      </c>
      <c r="K575" s="207">
        <v>2106</v>
      </c>
      <c r="L575" s="207"/>
    </row>
    <row r="576" spans="2:12">
      <c r="B576" s="206">
        <v>43927</v>
      </c>
      <c r="C576" s="211">
        <f t="shared" si="71"/>
        <v>2020</v>
      </c>
      <c r="D576" s="211">
        <f t="shared" si="72"/>
        <v>4</v>
      </c>
      <c r="E576" s="211">
        <f t="shared" si="73"/>
        <v>6</v>
      </c>
      <c r="F576" s="205">
        <v>4867</v>
      </c>
      <c r="G576" s="205">
        <v>11162</v>
      </c>
      <c r="H576" s="207">
        <v>1648.3</v>
      </c>
      <c r="I576" s="207">
        <v>14.56</v>
      </c>
      <c r="J576" s="207">
        <v>732</v>
      </c>
      <c r="K576" s="207">
        <v>2076.8000000000002</v>
      </c>
      <c r="L576" s="207"/>
    </row>
    <row r="577" spans="2:12">
      <c r="B577" s="206">
        <v>43928</v>
      </c>
      <c r="C577" s="211">
        <f t="shared" si="71"/>
        <v>2020</v>
      </c>
      <c r="D577" s="211">
        <f t="shared" si="72"/>
        <v>4</v>
      </c>
      <c r="E577" s="211">
        <f t="shared" si="73"/>
        <v>7</v>
      </c>
      <c r="F577" s="205">
        <v>5067.5</v>
      </c>
      <c r="G577" s="205">
        <v>11350</v>
      </c>
      <c r="H577" s="207">
        <v>1649.25</v>
      </c>
      <c r="I577" s="207">
        <v>15.08</v>
      </c>
      <c r="J577" s="207">
        <v>745</v>
      </c>
      <c r="K577" s="207">
        <v>2094.3000000000002</v>
      </c>
      <c r="L577" s="207"/>
    </row>
    <row r="578" spans="2:12">
      <c r="B578" s="206">
        <v>43929</v>
      </c>
      <c r="C578" s="211">
        <f t="shared" si="71"/>
        <v>2020</v>
      </c>
      <c r="D578" s="211">
        <f t="shared" si="72"/>
        <v>4</v>
      </c>
      <c r="E578" s="211">
        <f t="shared" si="73"/>
        <v>8</v>
      </c>
      <c r="F578" s="205">
        <v>4976</v>
      </c>
      <c r="G578" s="205">
        <v>11425</v>
      </c>
      <c r="H578" s="207">
        <v>1647.8</v>
      </c>
      <c r="I578" s="207">
        <v>15.07</v>
      </c>
      <c r="J578" s="207">
        <v>733.6</v>
      </c>
      <c r="K578" s="207">
        <v>2095.1999999999998</v>
      </c>
      <c r="L578" s="207"/>
    </row>
    <row r="579" spans="2:12">
      <c r="B579" s="206">
        <v>43930</v>
      </c>
      <c r="C579" s="211">
        <f t="shared" si="71"/>
        <v>2020</v>
      </c>
      <c r="D579" s="211">
        <f t="shared" si="72"/>
        <v>4</v>
      </c>
      <c r="E579" s="211">
        <f t="shared" si="73"/>
        <v>9</v>
      </c>
      <c r="F579" s="205">
        <v>4963.5</v>
      </c>
      <c r="G579" s="205">
        <v>11457</v>
      </c>
      <c r="H579" s="207">
        <v>1680.65</v>
      </c>
      <c r="I579" s="207">
        <v>15.18</v>
      </c>
      <c r="J579" s="207">
        <v>748.6</v>
      </c>
      <c r="K579" s="207">
        <v>2110</v>
      </c>
      <c r="L579" s="207"/>
    </row>
    <row r="580" spans="2:12">
      <c r="B580" s="206">
        <v>43935</v>
      </c>
      <c r="C580" s="211">
        <f t="shared" ref="C580:C643" si="74">YEAR(B580)</f>
        <v>2020</v>
      </c>
      <c r="D580" s="211">
        <f t="shared" ref="D580:D643" si="75">MONTH(B580)</f>
        <v>4</v>
      </c>
      <c r="E580" s="211">
        <f t="shared" ref="E580:E643" si="76">DAY(B580)</f>
        <v>14</v>
      </c>
      <c r="F580" s="205">
        <v>5119</v>
      </c>
      <c r="G580" s="205">
        <v>11723</v>
      </c>
      <c r="H580" s="207">
        <v>1741.9</v>
      </c>
      <c r="I580" s="207">
        <v>15.52</v>
      </c>
      <c r="J580" s="207">
        <v>819.7</v>
      </c>
      <c r="K580" s="207">
        <v>2185.4</v>
      </c>
      <c r="L580" s="207"/>
    </row>
    <row r="581" spans="2:12">
      <c r="B581" s="206">
        <v>43936</v>
      </c>
      <c r="C581" s="211">
        <f t="shared" si="74"/>
        <v>2020</v>
      </c>
      <c r="D581" s="211">
        <f t="shared" si="75"/>
        <v>4</v>
      </c>
      <c r="E581" s="211">
        <f t="shared" si="76"/>
        <v>15</v>
      </c>
      <c r="F581" s="205">
        <v>5054.5</v>
      </c>
      <c r="G581" s="205">
        <v>11712</v>
      </c>
      <c r="H581" s="207">
        <v>1718.65</v>
      </c>
      <c r="I581" s="207">
        <v>15.57</v>
      </c>
      <c r="J581" s="207">
        <v>804.6</v>
      </c>
      <c r="K581" s="207">
        <v>2153.6</v>
      </c>
      <c r="L581" s="207"/>
    </row>
    <row r="582" spans="2:12">
      <c r="B582" s="206">
        <v>43937</v>
      </c>
      <c r="C582" s="211">
        <f t="shared" si="74"/>
        <v>2020</v>
      </c>
      <c r="D582" s="211">
        <f t="shared" si="75"/>
        <v>4</v>
      </c>
      <c r="E582" s="211">
        <f t="shared" si="76"/>
        <v>16</v>
      </c>
      <c r="F582" s="205">
        <v>5098.5</v>
      </c>
      <c r="G582" s="205">
        <v>11657</v>
      </c>
      <c r="H582" s="207">
        <v>1729.5</v>
      </c>
      <c r="I582" s="207">
        <v>15.5</v>
      </c>
      <c r="J582" s="207">
        <v>793.3</v>
      </c>
      <c r="K582" s="207">
        <v>2120.6999999999998</v>
      </c>
      <c r="L582" s="207"/>
    </row>
    <row r="583" spans="2:12">
      <c r="B583" s="206">
        <v>43938</v>
      </c>
      <c r="C583" s="211">
        <f t="shared" si="74"/>
        <v>2020</v>
      </c>
      <c r="D583" s="211">
        <f t="shared" si="75"/>
        <v>4</v>
      </c>
      <c r="E583" s="211">
        <f t="shared" si="76"/>
        <v>17</v>
      </c>
      <c r="F583" s="205">
        <v>5175.5</v>
      </c>
      <c r="G583" s="205">
        <v>11887</v>
      </c>
      <c r="H583" s="207">
        <v>1692.55</v>
      </c>
      <c r="I583" s="207">
        <v>15.16</v>
      </c>
      <c r="J583" s="207">
        <v>785.3</v>
      </c>
      <c r="K583" s="207">
        <v>2130.9</v>
      </c>
      <c r="L583" s="207"/>
    </row>
    <row r="584" spans="2:12">
      <c r="B584" s="206">
        <v>43941</v>
      </c>
      <c r="C584" s="211">
        <f t="shared" si="74"/>
        <v>2020</v>
      </c>
      <c r="D584" s="211">
        <f t="shared" si="75"/>
        <v>4</v>
      </c>
      <c r="E584" s="211">
        <f t="shared" si="76"/>
        <v>20</v>
      </c>
      <c r="F584" s="205">
        <v>5169.5</v>
      </c>
      <c r="G584" s="205">
        <v>12255</v>
      </c>
      <c r="H584" s="207">
        <v>1686.2</v>
      </c>
      <c r="I584" s="207">
        <v>15.15</v>
      </c>
      <c r="J584" s="207">
        <v>796</v>
      </c>
      <c r="K584" s="207">
        <v>2127.5</v>
      </c>
      <c r="L584" s="207"/>
    </row>
    <row r="585" spans="2:12">
      <c r="B585" s="206">
        <v>43942</v>
      </c>
      <c r="C585" s="211">
        <f t="shared" si="74"/>
        <v>2020</v>
      </c>
      <c r="D585" s="211">
        <f t="shared" si="75"/>
        <v>4</v>
      </c>
      <c r="E585" s="211">
        <f t="shared" si="76"/>
        <v>21</v>
      </c>
      <c r="F585" s="205">
        <v>4994.5</v>
      </c>
      <c r="G585" s="205">
        <v>12085</v>
      </c>
      <c r="H585" s="207">
        <v>1682.05</v>
      </c>
      <c r="I585" s="207">
        <v>14.97</v>
      </c>
      <c r="J585" s="207">
        <v>758.4</v>
      </c>
      <c r="K585" s="207">
        <v>1907.6</v>
      </c>
      <c r="L585" s="207"/>
    </row>
    <row r="586" spans="2:12">
      <c r="B586" s="206">
        <v>43943</v>
      </c>
      <c r="C586" s="211">
        <f t="shared" si="74"/>
        <v>2020</v>
      </c>
      <c r="D586" s="211">
        <f t="shared" si="75"/>
        <v>4</v>
      </c>
      <c r="E586" s="211">
        <f t="shared" si="76"/>
        <v>22</v>
      </c>
      <c r="F586" s="205">
        <v>5034</v>
      </c>
      <c r="G586" s="205">
        <v>11895</v>
      </c>
      <c r="H586" s="207">
        <v>1710.55</v>
      </c>
      <c r="I586" s="207">
        <v>14.91</v>
      </c>
      <c r="J586" s="207">
        <v>765.3</v>
      </c>
      <c r="K586" s="207">
        <v>1892.2</v>
      </c>
      <c r="L586" s="207"/>
    </row>
    <row r="587" spans="2:12">
      <c r="B587" s="206">
        <v>43944</v>
      </c>
      <c r="C587" s="211">
        <f t="shared" si="74"/>
        <v>2020</v>
      </c>
      <c r="D587" s="211">
        <f t="shared" si="75"/>
        <v>4</v>
      </c>
      <c r="E587" s="211">
        <f t="shared" si="76"/>
        <v>23</v>
      </c>
      <c r="F587" s="205">
        <v>5120.5</v>
      </c>
      <c r="G587" s="205">
        <v>12010</v>
      </c>
      <c r="H587" s="207">
        <v>1736.25</v>
      </c>
      <c r="I587" s="207">
        <v>15.31</v>
      </c>
      <c r="J587" s="207">
        <v>788</v>
      </c>
      <c r="K587" s="207">
        <v>2001</v>
      </c>
      <c r="L587" s="207"/>
    </row>
    <row r="588" spans="2:12">
      <c r="B588" s="206">
        <v>43945</v>
      </c>
      <c r="C588" s="211">
        <f t="shared" si="74"/>
        <v>2020</v>
      </c>
      <c r="D588" s="211">
        <f t="shared" si="75"/>
        <v>4</v>
      </c>
      <c r="E588" s="211">
        <f t="shared" si="76"/>
        <v>24</v>
      </c>
      <c r="F588" s="205">
        <v>5118</v>
      </c>
      <c r="G588" s="205">
        <v>12073</v>
      </c>
      <c r="H588" s="207">
        <v>1715.9</v>
      </c>
      <c r="I588" s="207">
        <v>15.32</v>
      </c>
      <c r="J588" s="207">
        <v>773.8</v>
      </c>
      <c r="K588" s="207">
        <v>1985.3</v>
      </c>
      <c r="L588" s="207"/>
    </row>
    <row r="589" spans="2:12">
      <c r="B589" s="206">
        <v>43948</v>
      </c>
      <c r="C589" s="211">
        <f t="shared" si="74"/>
        <v>2020</v>
      </c>
      <c r="D589" s="211">
        <f t="shared" si="75"/>
        <v>4</v>
      </c>
      <c r="E589" s="211">
        <f t="shared" si="76"/>
        <v>27</v>
      </c>
      <c r="F589" s="205">
        <v>5165.5</v>
      </c>
      <c r="G589" s="205">
        <v>12256</v>
      </c>
      <c r="H589" s="207">
        <v>1714.95</v>
      </c>
      <c r="I589" s="207">
        <v>15.21</v>
      </c>
      <c r="J589" s="207">
        <v>777</v>
      </c>
      <c r="K589" s="207">
        <v>1894.8</v>
      </c>
      <c r="L589" s="207"/>
    </row>
    <row r="590" spans="2:12">
      <c r="B590" s="206">
        <v>43949</v>
      </c>
      <c r="C590" s="211">
        <f t="shared" si="74"/>
        <v>2020</v>
      </c>
      <c r="D590" s="211">
        <f t="shared" si="75"/>
        <v>4</v>
      </c>
      <c r="E590" s="211">
        <f t="shared" si="76"/>
        <v>28</v>
      </c>
      <c r="F590" s="205">
        <v>5169.5</v>
      </c>
      <c r="G590" s="205">
        <v>12251</v>
      </c>
      <c r="H590" s="207">
        <v>1691.55</v>
      </c>
      <c r="I590" s="207">
        <v>15.15</v>
      </c>
      <c r="J590" s="207">
        <v>795.6</v>
      </c>
      <c r="K590" s="207">
        <v>1878.7</v>
      </c>
      <c r="L590" s="207"/>
    </row>
    <row r="591" spans="2:12">
      <c r="B591" s="206">
        <v>43950</v>
      </c>
      <c r="C591" s="211">
        <f t="shared" si="74"/>
        <v>2020</v>
      </c>
      <c r="D591" s="211">
        <f t="shared" si="75"/>
        <v>4</v>
      </c>
      <c r="E591" s="211">
        <f t="shared" si="76"/>
        <v>29</v>
      </c>
      <c r="F591" s="205">
        <v>5184</v>
      </c>
      <c r="G591" s="205">
        <v>12135</v>
      </c>
      <c r="H591" s="207">
        <v>1703.35</v>
      </c>
      <c r="I591" s="207">
        <v>15.17</v>
      </c>
      <c r="J591" s="207">
        <v>799.6</v>
      </c>
      <c r="K591" s="207">
        <v>1917.4</v>
      </c>
      <c r="L591" s="207"/>
    </row>
    <row r="592" spans="2:12">
      <c r="B592" s="206">
        <v>43951</v>
      </c>
      <c r="C592" s="211">
        <f t="shared" si="74"/>
        <v>2020</v>
      </c>
      <c r="D592" s="211">
        <f t="shared" si="75"/>
        <v>4</v>
      </c>
      <c r="E592" s="211">
        <f t="shared" si="76"/>
        <v>30</v>
      </c>
      <c r="F592" s="205">
        <v>5231</v>
      </c>
      <c r="G592" s="205">
        <v>12134</v>
      </c>
      <c r="H592" s="207">
        <v>1702.75</v>
      </c>
      <c r="I592" s="207">
        <v>15.34</v>
      </c>
      <c r="J592" s="207">
        <v>813</v>
      </c>
      <c r="K592" s="207">
        <v>1956</v>
      </c>
      <c r="L592" s="207"/>
    </row>
    <row r="593" spans="2:12">
      <c r="B593" s="206">
        <v>43952</v>
      </c>
      <c r="C593" s="211">
        <f t="shared" si="74"/>
        <v>2020</v>
      </c>
      <c r="D593" s="211">
        <f t="shared" si="75"/>
        <v>5</v>
      </c>
      <c r="E593" s="211">
        <f t="shared" si="76"/>
        <v>1</v>
      </c>
      <c r="F593" s="205">
        <v>5061</v>
      </c>
      <c r="G593" s="205">
        <v>11853</v>
      </c>
      <c r="H593" s="207">
        <v>1686.25</v>
      </c>
      <c r="I593" s="207">
        <v>14.85</v>
      </c>
      <c r="J593" s="207">
        <v>773.9</v>
      </c>
      <c r="K593" s="207">
        <v>1887.8</v>
      </c>
      <c r="L593" s="207"/>
    </row>
    <row r="594" spans="2:12">
      <c r="B594" s="206">
        <v>43955</v>
      </c>
      <c r="C594" s="211">
        <f t="shared" si="74"/>
        <v>2020</v>
      </c>
      <c r="D594" s="211">
        <f t="shared" si="75"/>
        <v>5</v>
      </c>
      <c r="E594" s="211">
        <f t="shared" si="76"/>
        <v>4</v>
      </c>
      <c r="F594" s="205">
        <v>5058</v>
      </c>
      <c r="G594" s="205">
        <v>11785</v>
      </c>
      <c r="H594" s="207">
        <v>1709.1</v>
      </c>
      <c r="I594" s="207">
        <v>14.93</v>
      </c>
      <c r="J594" s="207">
        <v>778.5</v>
      </c>
      <c r="K594" s="207">
        <v>1835.3</v>
      </c>
      <c r="L594" s="207"/>
    </row>
    <row r="595" spans="2:12">
      <c r="B595" s="206">
        <v>43956</v>
      </c>
      <c r="C595" s="211">
        <f t="shared" si="74"/>
        <v>2020</v>
      </c>
      <c r="D595" s="211">
        <f t="shared" si="75"/>
        <v>5</v>
      </c>
      <c r="E595" s="211">
        <f t="shared" si="76"/>
        <v>5</v>
      </c>
      <c r="F595" s="205">
        <v>5111.5</v>
      </c>
      <c r="G595" s="205">
        <v>11805</v>
      </c>
      <c r="H595" s="207">
        <v>1699.55</v>
      </c>
      <c r="I595" s="207">
        <v>14.75</v>
      </c>
      <c r="J595" s="207">
        <v>784.7</v>
      </c>
      <c r="K595" s="207">
        <v>1756.5</v>
      </c>
      <c r="L595" s="207"/>
    </row>
    <row r="596" spans="2:12">
      <c r="B596" s="206">
        <v>43957</v>
      </c>
      <c r="C596" s="211">
        <f t="shared" si="74"/>
        <v>2020</v>
      </c>
      <c r="D596" s="211">
        <f t="shared" si="75"/>
        <v>5</v>
      </c>
      <c r="E596" s="211">
        <f t="shared" si="76"/>
        <v>6</v>
      </c>
      <c r="F596" s="205">
        <v>5199.5</v>
      </c>
      <c r="G596" s="205">
        <v>12199</v>
      </c>
      <c r="H596" s="207">
        <v>1691.5</v>
      </c>
      <c r="I596" s="207">
        <v>15.08</v>
      </c>
      <c r="J596" s="207">
        <v>765.5</v>
      </c>
      <c r="K596" s="207">
        <v>1758.9</v>
      </c>
      <c r="L596" s="207"/>
    </row>
    <row r="597" spans="2:12">
      <c r="B597" s="206">
        <v>43958</v>
      </c>
      <c r="C597" s="211">
        <f t="shared" si="74"/>
        <v>2020</v>
      </c>
      <c r="D597" s="211">
        <f t="shared" si="75"/>
        <v>5</v>
      </c>
      <c r="E597" s="211">
        <f t="shared" si="76"/>
        <v>7</v>
      </c>
      <c r="F597" s="205">
        <v>5227.5</v>
      </c>
      <c r="G597" s="205">
        <v>12247</v>
      </c>
      <c r="H597" s="207">
        <v>1704.05</v>
      </c>
      <c r="I597" s="207">
        <v>14.98</v>
      </c>
      <c r="J597" s="207">
        <v>782.1</v>
      </c>
      <c r="K597" s="207">
        <v>1835.7</v>
      </c>
      <c r="L597" s="207"/>
    </row>
    <row r="598" spans="2:12">
      <c r="B598" s="206">
        <v>43962</v>
      </c>
      <c r="C598" s="211">
        <f t="shared" si="74"/>
        <v>2020</v>
      </c>
      <c r="D598" s="211">
        <f t="shared" si="75"/>
        <v>5</v>
      </c>
      <c r="E598" s="211">
        <f t="shared" si="76"/>
        <v>11</v>
      </c>
      <c r="F598" s="205">
        <v>5231</v>
      </c>
      <c r="G598" s="205">
        <v>12188</v>
      </c>
      <c r="H598" s="207">
        <v>1702.75</v>
      </c>
      <c r="I598" s="207">
        <v>15.45</v>
      </c>
      <c r="J598" s="207">
        <v>781.3</v>
      </c>
      <c r="K598" s="207">
        <v>1828.1</v>
      </c>
      <c r="L598" s="207"/>
    </row>
    <row r="599" spans="2:12">
      <c r="B599" s="206">
        <v>43963</v>
      </c>
      <c r="C599" s="211">
        <f t="shared" si="74"/>
        <v>2020</v>
      </c>
      <c r="D599" s="211">
        <f t="shared" si="75"/>
        <v>5</v>
      </c>
      <c r="E599" s="211">
        <f t="shared" si="76"/>
        <v>12</v>
      </c>
      <c r="F599" s="205">
        <v>5234</v>
      </c>
      <c r="G599" s="205">
        <v>12275</v>
      </c>
      <c r="H599" s="207">
        <v>1702.4</v>
      </c>
      <c r="I599" s="207">
        <v>15.49</v>
      </c>
      <c r="J599" s="207">
        <v>777.4</v>
      </c>
      <c r="K599" s="207">
        <v>1835.4</v>
      </c>
      <c r="L599" s="207"/>
    </row>
    <row r="600" spans="2:12">
      <c r="B600" s="206">
        <v>43964</v>
      </c>
      <c r="C600" s="211">
        <f t="shared" si="74"/>
        <v>2020</v>
      </c>
      <c r="D600" s="211">
        <f t="shared" si="75"/>
        <v>5</v>
      </c>
      <c r="E600" s="211">
        <f t="shared" si="76"/>
        <v>13</v>
      </c>
      <c r="F600" s="205">
        <v>5212.5</v>
      </c>
      <c r="G600" s="205">
        <v>12200</v>
      </c>
      <c r="H600" s="207">
        <v>1708.4</v>
      </c>
      <c r="I600" s="207">
        <v>15.56</v>
      </c>
      <c r="J600" s="207">
        <v>769.8</v>
      </c>
      <c r="K600" s="207">
        <v>1790.7</v>
      </c>
      <c r="L600" s="207"/>
    </row>
    <row r="601" spans="2:12">
      <c r="B601" s="206">
        <v>43965</v>
      </c>
      <c r="C601" s="211">
        <f t="shared" si="74"/>
        <v>2020</v>
      </c>
      <c r="D601" s="211">
        <f t="shared" si="75"/>
        <v>5</v>
      </c>
      <c r="E601" s="211">
        <f t="shared" si="76"/>
        <v>14</v>
      </c>
      <c r="F601" s="205">
        <v>5155.5</v>
      </c>
      <c r="G601" s="205">
        <v>12084</v>
      </c>
      <c r="H601" s="207">
        <v>1731.6</v>
      </c>
      <c r="I601" s="207">
        <v>15.53</v>
      </c>
      <c r="J601" s="207">
        <v>775</v>
      </c>
      <c r="K601" s="207">
        <v>1798.2</v>
      </c>
      <c r="L601" s="207"/>
    </row>
    <row r="602" spans="2:12">
      <c r="B602" s="206">
        <v>43966</v>
      </c>
      <c r="C602" s="211">
        <f t="shared" si="74"/>
        <v>2020</v>
      </c>
      <c r="D602" s="211">
        <f t="shared" si="75"/>
        <v>5</v>
      </c>
      <c r="E602" s="211">
        <f t="shared" si="76"/>
        <v>15</v>
      </c>
      <c r="F602" s="205">
        <v>5165</v>
      </c>
      <c r="G602" s="205">
        <v>11807</v>
      </c>
      <c r="H602" s="207">
        <v>1735.35</v>
      </c>
      <c r="I602" s="207">
        <v>16.25</v>
      </c>
      <c r="J602" s="207">
        <v>817.1</v>
      </c>
      <c r="K602" s="207">
        <v>1857.9</v>
      </c>
      <c r="L602" s="207"/>
    </row>
    <row r="603" spans="2:12">
      <c r="B603" s="206">
        <v>43969</v>
      </c>
      <c r="C603" s="211">
        <f t="shared" si="74"/>
        <v>2020</v>
      </c>
      <c r="D603" s="211">
        <f t="shared" si="75"/>
        <v>5</v>
      </c>
      <c r="E603" s="211">
        <f t="shared" si="76"/>
        <v>18</v>
      </c>
      <c r="F603" s="205">
        <v>5249.5</v>
      </c>
      <c r="G603" s="205">
        <v>11950</v>
      </c>
      <c r="H603" s="207">
        <v>1734.7</v>
      </c>
      <c r="I603" s="207">
        <v>17.350000000000001</v>
      </c>
      <c r="J603" s="207">
        <v>869.3</v>
      </c>
      <c r="K603" s="207">
        <v>2027.1</v>
      </c>
      <c r="L603" s="207"/>
    </row>
    <row r="604" spans="2:12">
      <c r="B604" s="206">
        <v>43970</v>
      </c>
      <c r="C604" s="211">
        <f t="shared" si="74"/>
        <v>2020</v>
      </c>
      <c r="D604" s="211">
        <f t="shared" si="75"/>
        <v>5</v>
      </c>
      <c r="E604" s="211">
        <f t="shared" si="76"/>
        <v>19</v>
      </c>
      <c r="F604" s="205">
        <v>5314</v>
      </c>
      <c r="G604" s="205">
        <v>12300</v>
      </c>
      <c r="H604" s="207">
        <v>1737.95</v>
      </c>
      <c r="I604" s="207">
        <v>17.12</v>
      </c>
      <c r="J604" s="207">
        <v>889.6</v>
      </c>
      <c r="K604" s="207">
        <v>2074.6999999999998</v>
      </c>
      <c r="L604" s="207"/>
    </row>
    <row r="605" spans="2:12">
      <c r="B605" s="206">
        <v>43971</v>
      </c>
      <c r="C605" s="211">
        <f t="shared" si="74"/>
        <v>2020</v>
      </c>
      <c r="D605" s="211">
        <f t="shared" si="75"/>
        <v>5</v>
      </c>
      <c r="E605" s="211">
        <f t="shared" si="76"/>
        <v>20</v>
      </c>
      <c r="F605" s="205">
        <v>5333</v>
      </c>
      <c r="G605" s="205">
        <v>12335</v>
      </c>
      <c r="H605" s="207">
        <v>1748.3</v>
      </c>
      <c r="I605" s="207">
        <v>17.47</v>
      </c>
      <c r="J605" s="207">
        <v>934.5</v>
      </c>
      <c r="K605" s="207">
        <v>2159.4</v>
      </c>
      <c r="L605" s="207"/>
    </row>
    <row r="606" spans="2:12">
      <c r="B606" s="206">
        <v>43972</v>
      </c>
      <c r="C606" s="211">
        <f t="shared" si="74"/>
        <v>2020</v>
      </c>
      <c r="D606" s="211">
        <f t="shared" si="75"/>
        <v>5</v>
      </c>
      <c r="E606" s="211">
        <f t="shared" si="76"/>
        <v>21</v>
      </c>
      <c r="F606" s="205">
        <v>5387</v>
      </c>
      <c r="G606" s="205">
        <v>12762</v>
      </c>
      <c r="H606" s="207">
        <v>1724.9</v>
      </c>
      <c r="I606" s="207">
        <v>17.21</v>
      </c>
      <c r="J606" s="207">
        <v>866.5</v>
      </c>
      <c r="K606" s="207">
        <v>2062.3000000000002</v>
      </c>
      <c r="L606" s="207"/>
    </row>
    <row r="607" spans="2:12">
      <c r="B607" s="206">
        <v>43973</v>
      </c>
      <c r="C607" s="211">
        <f t="shared" si="74"/>
        <v>2020</v>
      </c>
      <c r="D607" s="211">
        <f t="shared" si="75"/>
        <v>5</v>
      </c>
      <c r="E607" s="211">
        <f t="shared" si="76"/>
        <v>22</v>
      </c>
      <c r="F607" s="205">
        <v>5242.5</v>
      </c>
      <c r="G607" s="205">
        <v>12124</v>
      </c>
      <c r="H607" s="207">
        <v>1733.55</v>
      </c>
      <c r="I607" s="207">
        <v>17</v>
      </c>
      <c r="J607" s="207">
        <v>886.3</v>
      </c>
      <c r="K607" s="207">
        <v>1977.1</v>
      </c>
      <c r="L607" s="207"/>
    </row>
    <row r="608" spans="2:12">
      <c r="B608" s="206">
        <v>43977</v>
      </c>
      <c r="C608" s="211">
        <f t="shared" si="74"/>
        <v>2020</v>
      </c>
      <c r="D608" s="211">
        <f t="shared" si="75"/>
        <v>5</v>
      </c>
      <c r="E608" s="211">
        <f t="shared" si="76"/>
        <v>26</v>
      </c>
      <c r="F608" s="205">
        <v>5341.5</v>
      </c>
      <c r="G608" s="205">
        <v>12260</v>
      </c>
      <c r="H608" s="207">
        <v>1720.25</v>
      </c>
      <c r="I608" s="207">
        <v>17.3</v>
      </c>
      <c r="J608" s="207">
        <v>873.3</v>
      </c>
      <c r="K608" s="207">
        <v>1988.64</v>
      </c>
      <c r="L608" s="207"/>
    </row>
    <row r="609" spans="2:12">
      <c r="B609" s="206">
        <v>43978</v>
      </c>
      <c r="C609" s="211">
        <f t="shared" si="74"/>
        <v>2020</v>
      </c>
      <c r="D609" s="211">
        <f t="shared" si="75"/>
        <v>5</v>
      </c>
      <c r="E609" s="211">
        <f t="shared" si="76"/>
        <v>27</v>
      </c>
      <c r="F609" s="205">
        <v>5308.5</v>
      </c>
      <c r="G609" s="205">
        <v>12144</v>
      </c>
      <c r="H609" s="207">
        <v>1694.6</v>
      </c>
      <c r="I609" s="207">
        <v>17.190000000000001</v>
      </c>
      <c r="J609" s="207">
        <v>878.1</v>
      </c>
      <c r="K609" s="207">
        <v>1977.32</v>
      </c>
      <c r="L609" s="207"/>
    </row>
    <row r="610" spans="2:12">
      <c r="B610" s="206">
        <v>43979</v>
      </c>
      <c r="C610" s="211">
        <f t="shared" si="74"/>
        <v>2020</v>
      </c>
      <c r="D610" s="211">
        <f t="shared" si="75"/>
        <v>5</v>
      </c>
      <c r="E610" s="211">
        <f t="shared" si="76"/>
        <v>28</v>
      </c>
      <c r="F610" s="205">
        <v>5278.5</v>
      </c>
      <c r="G610" s="205">
        <v>12133</v>
      </c>
      <c r="H610" s="207">
        <v>1717.35</v>
      </c>
      <c r="I610" s="207">
        <v>17.34</v>
      </c>
      <c r="J610" s="207">
        <v>868.1</v>
      </c>
      <c r="K610" s="207">
        <v>1928.54</v>
      </c>
      <c r="L610" s="207"/>
    </row>
    <row r="611" spans="2:12">
      <c r="B611" s="206">
        <v>43980</v>
      </c>
      <c r="C611" s="211">
        <f t="shared" si="74"/>
        <v>2020</v>
      </c>
      <c r="D611" s="211">
        <f t="shared" si="75"/>
        <v>5</v>
      </c>
      <c r="E611" s="211">
        <f t="shared" si="76"/>
        <v>29</v>
      </c>
      <c r="F611" s="205">
        <v>5332.5</v>
      </c>
      <c r="G611" s="205">
        <v>12120</v>
      </c>
      <c r="H611" s="207">
        <v>1728.7</v>
      </c>
      <c r="I611" s="207">
        <v>17.59</v>
      </c>
      <c r="J611" s="207">
        <v>874.6</v>
      </c>
      <c r="K611" s="207">
        <v>1965.22</v>
      </c>
      <c r="L611" s="207"/>
    </row>
    <row r="612" spans="2:12">
      <c r="B612" s="206">
        <v>43983</v>
      </c>
      <c r="C612" s="211">
        <f t="shared" si="74"/>
        <v>2020</v>
      </c>
      <c r="D612" s="211">
        <f t="shared" si="75"/>
        <v>6</v>
      </c>
      <c r="E612" s="211">
        <f t="shared" si="76"/>
        <v>1</v>
      </c>
      <c r="F612" s="205">
        <v>5376.5</v>
      </c>
      <c r="G612" s="205">
        <v>12418</v>
      </c>
      <c r="H612" s="207">
        <v>1730.6</v>
      </c>
      <c r="I612" s="207">
        <v>18.16</v>
      </c>
      <c r="J612" s="207">
        <v>901.1</v>
      </c>
      <c r="K612" s="207">
        <v>1988.4</v>
      </c>
      <c r="L612" s="207"/>
    </row>
    <row r="613" spans="2:12">
      <c r="B613" s="206">
        <v>43984</v>
      </c>
      <c r="C613" s="211">
        <f t="shared" si="74"/>
        <v>2020</v>
      </c>
      <c r="D613" s="211">
        <f t="shared" si="75"/>
        <v>6</v>
      </c>
      <c r="E613" s="211">
        <f t="shared" si="76"/>
        <v>2</v>
      </c>
      <c r="F613" s="205">
        <v>5463</v>
      </c>
      <c r="G613" s="205">
        <v>12680</v>
      </c>
      <c r="H613" s="207">
        <v>1742.15</v>
      </c>
      <c r="I613" s="207">
        <v>18.27</v>
      </c>
      <c r="J613" s="207">
        <v>868.7</v>
      </c>
      <c r="K613" s="207">
        <v>1982.6</v>
      </c>
      <c r="L613" s="207"/>
    </row>
    <row r="614" spans="2:12">
      <c r="B614" s="206">
        <v>43985</v>
      </c>
      <c r="C614" s="211">
        <f t="shared" si="74"/>
        <v>2020</v>
      </c>
      <c r="D614" s="211">
        <f t="shared" si="75"/>
        <v>6</v>
      </c>
      <c r="E614" s="211">
        <f t="shared" si="76"/>
        <v>3</v>
      </c>
      <c r="F614" s="205">
        <v>5499</v>
      </c>
      <c r="G614" s="205">
        <v>12812</v>
      </c>
      <c r="H614" s="207">
        <v>1705.35</v>
      </c>
      <c r="I614" s="207">
        <v>17.86</v>
      </c>
      <c r="J614" s="207">
        <v>860.5</v>
      </c>
      <c r="K614" s="207">
        <v>1958.2</v>
      </c>
      <c r="L614" s="207"/>
    </row>
    <row r="615" spans="2:12">
      <c r="B615" s="206">
        <v>43986</v>
      </c>
      <c r="C615" s="211">
        <f t="shared" si="74"/>
        <v>2020</v>
      </c>
      <c r="D615" s="211">
        <f t="shared" si="75"/>
        <v>6</v>
      </c>
      <c r="E615" s="211">
        <f t="shared" si="76"/>
        <v>4</v>
      </c>
      <c r="F615" s="205">
        <v>5452.5</v>
      </c>
      <c r="G615" s="205">
        <v>12608</v>
      </c>
      <c r="H615" s="207">
        <v>1700.05</v>
      </c>
      <c r="I615" s="207">
        <v>17.75</v>
      </c>
      <c r="J615" s="207">
        <v>865</v>
      </c>
      <c r="K615" s="207">
        <v>1922.8</v>
      </c>
      <c r="L615" s="207"/>
    </row>
    <row r="616" spans="2:12">
      <c r="B616" s="206">
        <v>43987</v>
      </c>
      <c r="C616" s="211">
        <f t="shared" si="74"/>
        <v>2020</v>
      </c>
      <c r="D616" s="211">
        <f t="shared" si="75"/>
        <v>6</v>
      </c>
      <c r="E616" s="211">
        <f t="shared" si="76"/>
        <v>5</v>
      </c>
      <c r="F616" s="205">
        <v>5588</v>
      </c>
      <c r="G616" s="205">
        <v>12785</v>
      </c>
      <c r="H616" s="207">
        <v>1683.45</v>
      </c>
      <c r="I616" s="207">
        <v>17.579999999999998</v>
      </c>
      <c r="J616" s="207">
        <v>830.4</v>
      </c>
      <c r="K616" s="207">
        <v>1952.6</v>
      </c>
      <c r="L616" s="207"/>
    </row>
    <row r="617" spans="2:12">
      <c r="B617" s="206">
        <v>43990</v>
      </c>
      <c r="C617" s="211">
        <f t="shared" si="74"/>
        <v>2020</v>
      </c>
      <c r="D617" s="211">
        <f t="shared" si="75"/>
        <v>6</v>
      </c>
      <c r="E617" s="211">
        <f t="shared" si="76"/>
        <v>8</v>
      </c>
      <c r="F617" s="205">
        <v>5659</v>
      </c>
      <c r="G617" s="205">
        <v>12943</v>
      </c>
      <c r="H617" s="207">
        <v>1690.35</v>
      </c>
      <c r="I617" s="207">
        <v>17.579999999999998</v>
      </c>
      <c r="J617" s="207">
        <v>861.2</v>
      </c>
      <c r="K617" s="207">
        <v>2036.9</v>
      </c>
      <c r="L617" s="207"/>
    </row>
    <row r="618" spans="2:12">
      <c r="B618" s="206">
        <v>43991</v>
      </c>
      <c r="C618" s="211">
        <f t="shared" si="74"/>
        <v>2020</v>
      </c>
      <c r="D618" s="211">
        <f t="shared" si="75"/>
        <v>6</v>
      </c>
      <c r="E618" s="211">
        <f t="shared" si="76"/>
        <v>9</v>
      </c>
      <c r="F618" s="205">
        <v>5680.5</v>
      </c>
      <c r="G618" s="205">
        <v>12804</v>
      </c>
      <c r="H618" s="207">
        <v>1713.5</v>
      </c>
      <c r="I618" s="207">
        <v>17.63</v>
      </c>
      <c r="J618" s="207">
        <v>860.6</v>
      </c>
      <c r="K618" s="207">
        <v>1967.1</v>
      </c>
      <c r="L618" s="207"/>
    </row>
    <row r="619" spans="2:12">
      <c r="B619" s="206">
        <v>43992</v>
      </c>
      <c r="C619" s="211">
        <f t="shared" si="74"/>
        <v>2020</v>
      </c>
      <c r="D619" s="211">
        <f t="shared" si="75"/>
        <v>6</v>
      </c>
      <c r="E619" s="211">
        <f t="shared" si="76"/>
        <v>10</v>
      </c>
      <c r="F619" s="205">
        <v>5801</v>
      </c>
      <c r="G619" s="205">
        <v>12881</v>
      </c>
      <c r="H619" s="207">
        <v>1722.05</v>
      </c>
      <c r="I619" s="207">
        <v>17.72</v>
      </c>
      <c r="J619" s="207">
        <v>846</v>
      </c>
      <c r="K619" s="207">
        <v>1930.8</v>
      </c>
      <c r="L619" s="207"/>
    </row>
    <row r="620" spans="2:12">
      <c r="B620" s="206">
        <v>43993</v>
      </c>
      <c r="C620" s="211">
        <f t="shared" si="74"/>
        <v>2020</v>
      </c>
      <c r="D620" s="211">
        <f t="shared" si="75"/>
        <v>6</v>
      </c>
      <c r="E620" s="211">
        <f t="shared" si="76"/>
        <v>11</v>
      </c>
      <c r="F620" s="205">
        <v>5801.5</v>
      </c>
      <c r="G620" s="205">
        <v>12615</v>
      </c>
      <c r="H620" s="207">
        <v>1738.25</v>
      </c>
      <c r="I620" s="207">
        <v>17.88</v>
      </c>
      <c r="J620" s="207">
        <v>824</v>
      </c>
      <c r="K620" s="207">
        <v>1910.1</v>
      </c>
      <c r="L620" s="207"/>
    </row>
    <row r="621" spans="2:12">
      <c r="B621" s="206">
        <v>43994</v>
      </c>
      <c r="C621" s="211">
        <f t="shared" si="74"/>
        <v>2020</v>
      </c>
      <c r="D621" s="211">
        <f t="shared" si="75"/>
        <v>6</v>
      </c>
      <c r="E621" s="211">
        <f t="shared" si="76"/>
        <v>12</v>
      </c>
      <c r="F621" s="205">
        <v>5785.5</v>
      </c>
      <c r="G621" s="205">
        <v>12733</v>
      </c>
      <c r="H621" s="207">
        <v>1733.5</v>
      </c>
      <c r="I621" s="207">
        <v>17.63</v>
      </c>
      <c r="J621" s="207">
        <v>819</v>
      </c>
      <c r="K621" s="207">
        <v>1938.5</v>
      </c>
      <c r="L621" s="207"/>
    </row>
    <row r="622" spans="2:12">
      <c r="B622" s="206">
        <v>43997</v>
      </c>
      <c r="C622" s="211">
        <f t="shared" si="74"/>
        <v>2020</v>
      </c>
      <c r="D622" s="211">
        <f t="shared" si="75"/>
        <v>6</v>
      </c>
      <c r="E622" s="211">
        <f t="shared" si="76"/>
        <v>15</v>
      </c>
      <c r="F622" s="205">
        <v>5646</v>
      </c>
      <c r="G622" s="205">
        <v>12503</v>
      </c>
      <c r="H622" s="207">
        <v>1710.45</v>
      </c>
      <c r="I622" s="207">
        <v>17.09</v>
      </c>
      <c r="J622" s="207">
        <v>821.7</v>
      </c>
      <c r="K622" s="207">
        <v>1933.1</v>
      </c>
      <c r="L622" s="207"/>
    </row>
    <row r="623" spans="2:12">
      <c r="B623" s="206">
        <v>43998</v>
      </c>
      <c r="C623" s="211">
        <f t="shared" si="74"/>
        <v>2020</v>
      </c>
      <c r="D623" s="211">
        <f t="shared" si="75"/>
        <v>6</v>
      </c>
      <c r="E623" s="211">
        <f t="shared" si="76"/>
        <v>16</v>
      </c>
      <c r="F623" s="205">
        <v>5759.5</v>
      </c>
      <c r="G623" s="205">
        <v>12930</v>
      </c>
      <c r="H623" s="207">
        <v>1719.85</v>
      </c>
      <c r="I623" s="207">
        <v>17.41</v>
      </c>
      <c r="J623" s="207">
        <v>843.9</v>
      </c>
      <c r="K623" s="207">
        <v>1942.7</v>
      </c>
      <c r="L623" s="207"/>
    </row>
    <row r="624" spans="2:12">
      <c r="B624" s="206">
        <v>43999</v>
      </c>
      <c r="C624" s="211">
        <f t="shared" si="74"/>
        <v>2020</v>
      </c>
      <c r="D624" s="211">
        <f t="shared" si="75"/>
        <v>6</v>
      </c>
      <c r="E624" s="211">
        <f t="shared" si="76"/>
        <v>17</v>
      </c>
      <c r="F624" s="205">
        <v>5734</v>
      </c>
      <c r="G624" s="205">
        <v>12900</v>
      </c>
      <c r="H624" s="207">
        <v>1724.35</v>
      </c>
      <c r="I624" s="207">
        <v>17.47</v>
      </c>
      <c r="J624" s="207">
        <v>838.2</v>
      </c>
      <c r="K624" s="207">
        <v>1925.5</v>
      </c>
      <c r="L624" s="207"/>
    </row>
    <row r="625" spans="2:12">
      <c r="B625" s="206">
        <v>44000</v>
      </c>
      <c r="C625" s="211">
        <f t="shared" si="74"/>
        <v>2020</v>
      </c>
      <c r="D625" s="211">
        <f t="shared" si="75"/>
        <v>6</v>
      </c>
      <c r="E625" s="211">
        <f t="shared" si="76"/>
        <v>18</v>
      </c>
      <c r="F625" s="205">
        <v>5799</v>
      </c>
      <c r="G625" s="205">
        <v>12760</v>
      </c>
      <c r="H625" s="207">
        <v>1719.5</v>
      </c>
      <c r="I625" s="207">
        <v>17.62</v>
      </c>
      <c r="J625" s="207">
        <v>812.2</v>
      </c>
      <c r="K625" s="207">
        <v>1908.6</v>
      </c>
      <c r="L625" s="207"/>
    </row>
    <row r="626" spans="2:12">
      <c r="B626" s="206">
        <v>44001</v>
      </c>
      <c r="C626" s="211">
        <f t="shared" si="74"/>
        <v>2020</v>
      </c>
      <c r="D626" s="211">
        <f t="shared" si="75"/>
        <v>6</v>
      </c>
      <c r="E626" s="211">
        <f t="shared" si="76"/>
        <v>19</v>
      </c>
      <c r="F626" s="205">
        <v>5835.5</v>
      </c>
      <c r="G626" s="205">
        <v>12855</v>
      </c>
      <c r="H626" s="207">
        <v>1734.75</v>
      </c>
      <c r="I626" s="207">
        <v>17.53</v>
      </c>
      <c r="J626" s="207">
        <v>827.3</v>
      </c>
      <c r="K626" s="207">
        <v>1908.4</v>
      </c>
      <c r="L626" s="207"/>
    </row>
    <row r="627" spans="2:12">
      <c r="B627" s="206">
        <v>44004</v>
      </c>
      <c r="C627" s="211">
        <f t="shared" si="74"/>
        <v>2020</v>
      </c>
      <c r="D627" s="211">
        <f t="shared" si="75"/>
        <v>6</v>
      </c>
      <c r="E627" s="211">
        <f t="shared" si="76"/>
        <v>22</v>
      </c>
      <c r="F627" s="205">
        <v>5825</v>
      </c>
      <c r="G627" s="205">
        <v>12625</v>
      </c>
      <c r="H627" s="207">
        <v>1761.85</v>
      </c>
      <c r="I627" s="207">
        <v>17.86</v>
      </c>
      <c r="J627" s="207">
        <v>843.7</v>
      </c>
      <c r="K627" s="207">
        <v>1942.1</v>
      </c>
      <c r="L627" s="207"/>
    </row>
    <row r="628" spans="2:12">
      <c r="B628" s="206">
        <v>44005</v>
      </c>
      <c r="C628" s="211">
        <f t="shared" si="74"/>
        <v>2020</v>
      </c>
      <c r="D628" s="211">
        <f t="shared" si="75"/>
        <v>6</v>
      </c>
      <c r="E628" s="211">
        <f t="shared" si="76"/>
        <v>23</v>
      </c>
      <c r="F628" s="205">
        <v>5895</v>
      </c>
      <c r="G628" s="205">
        <v>12541</v>
      </c>
      <c r="H628" s="207">
        <v>1768.9</v>
      </c>
      <c r="I628" s="207">
        <v>17.809999999999999</v>
      </c>
      <c r="J628" s="207">
        <v>846.4</v>
      </c>
      <c r="K628" s="207">
        <v>1951.1</v>
      </c>
      <c r="L628" s="207"/>
    </row>
    <row r="629" spans="2:12">
      <c r="B629" s="206">
        <v>44006</v>
      </c>
      <c r="C629" s="211">
        <f t="shared" si="74"/>
        <v>2020</v>
      </c>
      <c r="D629" s="211">
        <f t="shared" si="75"/>
        <v>6</v>
      </c>
      <c r="E629" s="211">
        <f t="shared" si="76"/>
        <v>24</v>
      </c>
      <c r="F629" s="205">
        <v>5871</v>
      </c>
      <c r="G629" s="205">
        <v>12510</v>
      </c>
      <c r="H629" s="207">
        <v>1766.05</v>
      </c>
      <c r="I629" s="207">
        <v>17.86</v>
      </c>
      <c r="J629" s="207">
        <v>804.6</v>
      </c>
      <c r="K629" s="207">
        <v>1888.5</v>
      </c>
      <c r="L629" s="207"/>
    </row>
    <row r="630" spans="2:12">
      <c r="B630" s="206">
        <v>44007</v>
      </c>
      <c r="C630" s="211">
        <f t="shared" si="74"/>
        <v>2020</v>
      </c>
      <c r="D630" s="211">
        <f t="shared" si="75"/>
        <v>6</v>
      </c>
      <c r="E630" s="211">
        <f t="shared" si="76"/>
        <v>25</v>
      </c>
      <c r="F630" s="205">
        <v>5880.5</v>
      </c>
      <c r="G630" s="205">
        <v>12386</v>
      </c>
      <c r="H630" s="207">
        <v>1756.55</v>
      </c>
      <c r="I630" s="207">
        <v>17.53</v>
      </c>
      <c r="J630" s="207">
        <v>803.86</v>
      </c>
      <c r="K630" s="207">
        <v>1845.1</v>
      </c>
      <c r="L630" s="207"/>
    </row>
    <row r="631" spans="2:12">
      <c r="B631" s="206">
        <v>44008</v>
      </c>
      <c r="C631" s="211">
        <f t="shared" si="74"/>
        <v>2020</v>
      </c>
      <c r="D631" s="211">
        <f t="shared" si="75"/>
        <v>6</v>
      </c>
      <c r="E631" s="211">
        <f t="shared" si="76"/>
        <v>26</v>
      </c>
      <c r="F631" s="205">
        <v>5985.5</v>
      </c>
      <c r="G631" s="205">
        <v>12709</v>
      </c>
      <c r="H631" s="207">
        <v>1747.6</v>
      </c>
      <c r="I631" s="207">
        <v>17.829999999999998</v>
      </c>
      <c r="J631" s="207">
        <v>813.66</v>
      </c>
      <c r="K631" s="207">
        <v>1894.4</v>
      </c>
      <c r="L631" s="207"/>
    </row>
    <row r="632" spans="2:12">
      <c r="B632" s="206">
        <v>44011</v>
      </c>
      <c r="C632" s="211">
        <f t="shared" si="74"/>
        <v>2020</v>
      </c>
      <c r="D632" s="211">
        <f t="shared" si="75"/>
        <v>6</v>
      </c>
      <c r="E632" s="211">
        <f t="shared" si="76"/>
        <v>29</v>
      </c>
      <c r="F632" s="205">
        <v>5957</v>
      </c>
      <c r="G632" s="205">
        <v>12684</v>
      </c>
      <c r="H632" s="207">
        <v>1771.6</v>
      </c>
      <c r="I632" s="207">
        <v>17.91</v>
      </c>
      <c r="J632" s="207">
        <v>823.64</v>
      </c>
      <c r="K632" s="207">
        <v>1933.1</v>
      </c>
      <c r="L632" s="207"/>
    </row>
    <row r="633" spans="2:12">
      <c r="B633" s="206">
        <v>44012</v>
      </c>
      <c r="C633" s="211">
        <f t="shared" si="74"/>
        <v>2020</v>
      </c>
      <c r="D633" s="211">
        <f t="shared" si="75"/>
        <v>6</v>
      </c>
      <c r="E633" s="211">
        <f t="shared" si="76"/>
        <v>30</v>
      </c>
      <c r="F633" s="205">
        <v>6038</v>
      </c>
      <c r="G633" s="205">
        <v>12790</v>
      </c>
      <c r="H633" s="207">
        <v>1768.1</v>
      </c>
      <c r="I633" s="207">
        <v>17.850000000000001</v>
      </c>
      <c r="J633" s="207">
        <v>849.1</v>
      </c>
      <c r="K633" s="207">
        <v>1966.9</v>
      </c>
      <c r="L633" s="207"/>
    </row>
    <row r="634" spans="2:12">
      <c r="B634" s="206">
        <v>44013</v>
      </c>
      <c r="C634" s="211">
        <f t="shared" si="74"/>
        <v>2020</v>
      </c>
      <c r="D634" s="211">
        <f t="shared" si="75"/>
        <v>7</v>
      </c>
      <c r="E634" s="211">
        <f t="shared" si="76"/>
        <v>1</v>
      </c>
      <c r="F634" s="205">
        <v>6016.5</v>
      </c>
      <c r="G634" s="205">
        <v>12555</v>
      </c>
      <c r="H634" s="207">
        <v>1771.05</v>
      </c>
      <c r="I634" s="207">
        <v>18.22</v>
      </c>
      <c r="J634" s="207">
        <v>834.4</v>
      </c>
      <c r="K634" s="207">
        <v>1930.7</v>
      </c>
      <c r="L634" s="207"/>
    </row>
    <row r="635" spans="2:12">
      <c r="B635" s="206">
        <v>44014</v>
      </c>
      <c r="C635" s="211">
        <f t="shared" si="74"/>
        <v>2020</v>
      </c>
      <c r="D635" s="211">
        <f t="shared" si="75"/>
        <v>7</v>
      </c>
      <c r="E635" s="211">
        <f t="shared" si="76"/>
        <v>2</v>
      </c>
      <c r="F635" s="205">
        <v>6080</v>
      </c>
      <c r="G635" s="205">
        <v>12823</v>
      </c>
      <c r="H635" s="207">
        <v>1777.45</v>
      </c>
      <c r="I635" s="207">
        <v>17.93</v>
      </c>
      <c r="J635" s="207">
        <v>831.6</v>
      </c>
      <c r="K635" s="207">
        <v>1927.6</v>
      </c>
      <c r="L635" s="207"/>
    </row>
    <row r="636" spans="2:12">
      <c r="B636" s="206">
        <v>44015</v>
      </c>
      <c r="C636" s="211">
        <f t="shared" si="74"/>
        <v>2020</v>
      </c>
      <c r="D636" s="211">
        <f t="shared" si="75"/>
        <v>7</v>
      </c>
      <c r="E636" s="211">
        <f t="shared" si="76"/>
        <v>3</v>
      </c>
      <c r="F636" s="205">
        <v>6022.5</v>
      </c>
      <c r="G636" s="205">
        <v>13040</v>
      </c>
      <c r="H636" s="207">
        <v>1772.9</v>
      </c>
      <c r="I636" s="207">
        <v>18.02</v>
      </c>
      <c r="J636" s="207" t="s">
        <v>338</v>
      </c>
      <c r="K636" s="207" t="s">
        <v>338</v>
      </c>
      <c r="L636" s="207"/>
    </row>
    <row r="637" spans="2:12">
      <c r="B637" s="206">
        <v>44018</v>
      </c>
      <c r="C637" s="211">
        <f t="shared" si="74"/>
        <v>2020</v>
      </c>
      <c r="D637" s="211">
        <f t="shared" si="75"/>
        <v>7</v>
      </c>
      <c r="E637" s="211">
        <f t="shared" si="76"/>
        <v>6</v>
      </c>
      <c r="F637" s="205">
        <v>6112</v>
      </c>
      <c r="G637" s="205">
        <v>13242</v>
      </c>
      <c r="H637" s="207">
        <v>1787.9</v>
      </c>
      <c r="I637" s="207">
        <v>18.260000000000002</v>
      </c>
      <c r="J637" s="207">
        <v>837.7</v>
      </c>
      <c r="K637" s="207">
        <v>1952.3</v>
      </c>
      <c r="L637" s="207"/>
    </row>
    <row r="638" spans="2:12">
      <c r="B638" s="206">
        <v>44019</v>
      </c>
      <c r="C638" s="211">
        <f t="shared" si="74"/>
        <v>2020</v>
      </c>
      <c r="D638" s="211">
        <f t="shared" si="75"/>
        <v>7</v>
      </c>
      <c r="E638" s="211">
        <f t="shared" si="76"/>
        <v>7</v>
      </c>
      <c r="F638" s="205">
        <v>6086</v>
      </c>
      <c r="G638" s="205">
        <v>13231</v>
      </c>
      <c r="H638" s="207">
        <v>1789.55</v>
      </c>
      <c r="I638" s="207">
        <v>18.02</v>
      </c>
      <c r="J638" s="207">
        <v>863.2</v>
      </c>
      <c r="K638" s="207">
        <v>1951.6</v>
      </c>
      <c r="L638" s="207"/>
    </row>
    <row r="639" spans="2:12">
      <c r="B639" s="206">
        <v>44020</v>
      </c>
      <c r="C639" s="211">
        <f t="shared" si="74"/>
        <v>2020</v>
      </c>
      <c r="D639" s="211">
        <f t="shared" si="75"/>
        <v>7</v>
      </c>
      <c r="E639" s="211">
        <f t="shared" si="76"/>
        <v>8</v>
      </c>
      <c r="F639" s="205">
        <v>6194</v>
      </c>
      <c r="G639" s="205">
        <v>13415</v>
      </c>
      <c r="H639" s="207">
        <v>1811.1</v>
      </c>
      <c r="I639" s="207">
        <v>18.489999999999998</v>
      </c>
      <c r="J639" s="207">
        <v>884</v>
      </c>
      <c r="K639" s="207">
        <v>1938.3</v>
      </c>
      <c r="L639" s="207"/>
    </row>
    <row r="640" spans="2:12">
      <c r="B640" s="206">
        <v>44021</v>
      </c>
      <c r="C640" s="211">
        <f t="shared" si="74"/>
        <v>2020</v>
      </c>
      <c r="D640" s="211">
        <f t="shared" si="75"/>
        <v>7</v>
      </c>
      <c r="E640" s="211">
        <f t="shared" si="76"/>
        <v>9</v>
      </c>
      <c r="F640" s="205">
        <v>6339.5</v>
      </c>
      <c r="G640" s="205">
        <v>13425</v>
      </c>
      <c r="H640" s="207">
        <v>1812.1</v>
      </c>
      <c r="I640" s="207">
        <v>18.84</v>
      </c>
      <c r="J640" s="207">
        <v>846.9</v>
      </c>
      <c r="K640" s="207">
        <v>1963.2</v>
      </c>
      <c r="L640" s="207"/>
    </row>
    <row r="641" spans="2:12">
      <c r="B641" s="206">
        <v>44022</v>
      </c>
      <c r="C641" s="211">
        <f t="shared" si="74"/>
        <v>2020</v>
      </c>
      <c r="D641" s="211">
        <f t="shared" si="75"/>
        <v>7</v>
      </c>
      <c r="E641" s="211">
        <f t="shared" si="76"/>
        <v>10</v>
      </c>
      <c r="F641" s="205">
        <v>6322.5</v>
      </c>
      <c r="G641" s="205">
        <v>13070</v>
      </c>
      <c r="H641" s="207">
        <v>1803.1</v>
      </c>
      <c r="I641" s="207">
        <v>18.77</v>
      </c>
      <c r="J641" s="207">
        <v>845.9</v>
      </c>
      <c r="K641" s="207">
        <v>1994.4</v>
      </c>
      <c r="L641" s="207"/>
    </row>
    <row r="642" spans="2:12">
      <c r="B642" s="206">
        <v>44025</v>
      </c>
      <c r="C642" s="211">
        <f t="shared" si="74"/>
        <v>2020</v>
      </c>
      <c r="D642" s="211">
        <f t="shared" si="75"/>
        <v>7</v>
      </c>
      <c r="E642" s="211">
        <f t="shared" si="76"/>
        <v>13</v>
      </c>
      <c r="F642" s="205">
        <v>6545</v>
      </c>
      <c r="G642" s="205">
        <v>13482</v>
      </c>
      <c r="H642" s="207">
        <v>1807.5</v>
      </c>
      <c r="I642" s="207">
        <v>19.100000000000001</v>
      </c>
      <c r="J642" s="207">
        <v>863</v>
      </c>
      <c r="K642" s="207">
        <v>2040.9</v>
      </c>
      <c r="L642" s="207"/>
    </row>
    <row r="643" spans="2:12">
      <c r="B643" s="206">
        <v>44026</v>
      </c>
      <c r="C643" s="211">
        <f t="shared" si="74"/>
        <v>2020</v>
      </c>
      <c r="D643" s="211">
        <f t="shared" si="75"/>
        <v>7</v>
      </c>
      <c r="E643" s="211">
        <f t="shared" si="76"/>
        <v>14</v>
      </c>
      <c r="F643" s="205">
        <v>6489.5</v>
      </c>
      <c r="G643" s="205">
        <v>13518</v>
      </c>
      <c r="H643" s="207">
        <v>1801.9</v>
      </c>
      <c r="I643" s="207">
        <v>18.899999999999999</v>
      </c>
      <c r="J643" s="207">
        <v>836.8</v>
      </c>
      <c r="K643" s="207">
        <v>1985.6</v>
      </c>
      <c r="L643" s="207"/>
    </row>
    <row r="644" spans="2:12">
      <c r="B644" s="206">
        <v>44027</v>
      </c>
      <c r="C644" s="211">
        <f t="shared" ref="C644:C707" si="77">YEAR(B644)</f>
        <v>2020</v>
      </c>
      <c r="D644" s="211">
        <f t="shared" ref="D644:D707" si="78">MONTH(B644)</f>
        <v>7</v>
      </c>
      <c r="E644" s="211">
        <f t="shared" ref="E644:E707" si="79">DAY(B644)</f>
        <v>15</v>
      </c>
      <c r="F644" s="205">
        <v>6507</v>
      </c>
      <c r="G644" s="205">
        <v>13512</v>
      </c>
      <c r="H644" s="207">
        <v>1804.6</v>
      </c>
      <c r="I644" s="207">
        <v>19.329999999999998</v>
      </c>
      <c r="J644" s="207">
        <v>843.2</v>
      </c>
      <c r="K644" s="207">
        <v>2010</v>
      </c>
      <c r="L644" s="207"/>
    </row>
    <row r="645" spans="2:12">
      <c r="B645" s="206">
        <v>44028</v>
      </c>
      <c r="C645" s="211">
        <f t="shared" si="77"/>
        <v>2020</v>
      </c>
      <c r="D645" s="211">
        <f t="shared" si="78"/>
        <v>7</v>
      </c>
      <c r="E645" s="211">
        <f t="shared" si="79"/>
        <v>16</v>
      </c>
      <c r="F645" s="205">
        <v>6385</v>
      </c>
      <c r="G645" s="205">
        <v>13253</v>
      </c>
      <c r="H645" s="207">
        <v>1807.7</v>
      </c>
      <c r="I645" s="207">
        <v>19.25</v>
      </c>
      <c r="J645" s="207">
        <v>837</v>
      </c>
      <c r="K645" s="207">
        <v>2025.1</v>
      </c>
      <c r="L645" s="207"/>
    </row>
    <row r="646" spans="2:12">
      <c r="B646" s="206">
        <v>44029</v>
      </c>
      <c r="C646" s="211">
        <f t="shared" si="77"/>
        <v>2020</v>
      </c>
      <c r="D646" s="211">
        <f t="shared" si="78"/>
        <v>7</v>
      </c>
      <c r="E646" s="211">
        <f t="shared" si="79"/>
        <v>17</v>
      </c>
      <c r="F646" s="205">
        <v>6454.5</v>
      </c>
      <c r="G646" s="205">
        <v>13281</v>
      </c>
      <c r="H646" s="207">
        <v>1807.35</v>
      </c>
      <c r="I646" s="207">
        <v>19.16</v>
      </c>
      <c r="J646" s="207">
        <v>849.6</v>
      </c>
      <c r="K646" s="207">
        <v>2071.6999999999998</v>
      </c>
      <c r="L646" s="207"/>
    </row>
    <row r="647" spans="2:12">
      <c r="B647" s="206">
        <v>44032</v>
      </c>
      <c r="C647" s="211">
        <f t="shared" si="77"/>
        <v>2020</v>
      </c>
      <c r="D647" s="211">
        <f t="shared" si="78"/>
        <v>7</v>
      </c>
      <c r="E647" s="211">
        <f t="shared" si="79"/>
        <v>20</v>
      </c>
      <c r="F647" s="205">
        <v>6416.5</v>
      </c>
      <c r="G647" s="205">
        <v>13162</v>
      </c>
      <c r="H647" s="207">
        <v>1815.65</v>
      </c>
      <c r="I647" s="207">
        <v>19.440000000000001</v>
      </c>
      <c r="J647" s="207">
        <v>857.9</v>
      </c>
      <c r="K647" s="207">
        <v>2109.4</v>
      </c>
      <c r="L647" s="207"/>
    </row>
    <row r="648" spans="2:12">
      <c r="B648" s="206">
        <v>44033</v>
      </c>
      <c r="C648" s="211">
        <f t="shared" si="77"/>
        <v>2020</v>
      </c>
      <c r="D648" s="211">
        <f t="shared" si="78"/>
        <v>7</v>
      </c>
      <c r="E648" s="211">
        <f t="shared" si="79"/>
        <v>21</v>
      </c>
      <c r="F648" s="205">
        <v>6513</v>
      </c>
      <c r="G648" s="205">
        <v>13315</v>
      </c>
      <c r="H648" s="207">
        <v>1842.55</v>
      </c>
      <c r="I648" s="207">
        <v>20.56</v>
      </c>
      <c r="J648" s="207">
        <v>918.9</v>
      </c>
      <c r="K648" s="207">
        <v>2188.1999999999998</v>
      </c>
      <c r="L648" s="207"/>
    </row>
    <row r="649" spans="2:12">
      <c r="B649" s="206">
        <v>44034</v>
      </c>
      <c r="C649" s="211">
        <f t="shared" si="77"/>
        <v>2020</v>
      </c>
      <c r="D649" s="211">
        <f t="shared" si="78"/>
        <v>7</v>
      </c>
      <c r="E649" s="211">
        <f t="shared" si="79"/>
        <v>22</v>
      </c>
      <c r="F649" s="205">
        <v>6527</v>
      </c>
      <c r="G649" s="205">
        <v>13215</v>
      </c>
      <c r="H649" s="207">
        <v>1852.4</v>
      </c>
      <c r="I649" s="207">
        <v>22.25</v>
      </c>
      <c r="J649" s="207">
        <v>957.4</v>
      </c>
      <c r="K649" s="207">
        <v>2229</v>
      </c>
      <c r="L649" s="207"/>
    </row>
    <row r="650" spans="2:12">
      <c r="B650" s="206">
        <v>44035</v>
      </c>
      <c r="C650" s="211">
        <f t="shared" si="77"/>
        <v>2020</v>
      </c>
      <c r="D650" s="211">
        <f t="shared" si="78"/>
        <v>7</v>
      </c>
      <c r="E650" s="211">
        <f t="shared" si="79"/>
        <v>23</v>
      </c>
      <c r="F650" s="205">
        <v>6533.5</v>
      </c>
      <c r="G650" s="205">
        <v>13460</v>
      </c>
      <c r="H650" s="207">
        <v>1878.3</v>
      </c>
      <c r="I650" s="207">
        <v>22.86</v>
      </c>
      <c r="J650" s="207">
        <v>963.8</v>
      </c>
      <c r="K650" s="207">
        <v>2239.8000000000002</v>
      </c>
      <c r="L650" s="207"/>
    </row>
    <row r="651" spans="2:12">
      <c r="B651" s="206">
        <v>44036</v>
      </c>
      <c r="C651" s="211">
        <f t="shared" si="77"/>
        <v>2020</v>
      </c>
      <c r="D651" s="211">
        <f t="shared" si="78"/>
        <v>7</v>
      </c>
      <c r="E651" s="211">
        <f t="shared" si="79"/>
        <v>24</v>
      </c>
      <c r="F651" s="205">
        <v>6412.5</v>
      </c>
      <c r="G651" s="205">
        <v>13430</v>
      </c>
      <c r="H651" s="207">
        <v>1902.1</v>
      </c>
      <c r="I651" s="207">
        <v>22.48</v>
      </c>
      <c r="J651" s="207">
        <v>956</v>
      </c>
      <c r="K651" s="207">
        <v>2294.1</v>
      </c>
      <c r="L651" s="207"/>
    </row>
    <row r="652" spans="2:12">
      <c r="B652" s="206">
        <v>44039</v>
      </c>
      <c r="C652" s="211">
        <f t="shared" si="77"/>
        <v>2020</v>
      </c>
      <c r="D652" s="211">
        <f t="shared" si="78"/>
        <v>7</v>
      </c>
      <c r="E652" s="211">
        <f t="shared" si="79"/>
        <v>27</v>
      </c>
      <c r="F652" s="205">
        <v>6425.5</v>
      </c>
      <c r="G652" s="205">
        <v>13718</v>
      </c>
      <c r="H652" s="207">
        <v>1936.65</v>
      </c>
      <c r="I652" s="207">
        <v>24.38</v>
      </c>
      <c r="J652" s="207">
        <v>966.6</v>
      </c>
      <c r="K652" s="207">
        <v>2369.6999999999998</v>
      </c>
      <c r="L652" s="207"/>
    </row>
    <row r="653" spans="2:12">
      <c r="B653" s="206">
        <v>44040</v>
      </c>
      <c r="C653" s="211">
        <f t="shared" si="77"/>
        <v>2020</v>
      </c>
      <c r="D653" s="211">
        <f t="shared" si="78"/>
        <v>7</v>
      </c>
      <c r="E653" s="211">
        <f t="shared" si="79"/>
        <v>28</v>
      </c>
      <c r="F653" s="205">
        <v>6399.5</v>
      </c>
      <c r="G653" s="205">
        <v>13470</v>
      </c>
      <c r="H653" s="207">
        <v>1940.9</v>
      </c>
      <c r="I653" s="207">
        <v>23.55</v>
      </c>
      <c r="J653" s="207">
        <v>986.2</v>
      </c>
      <c r="K653" s="207">
        <v>2365.5</v>
      </c>
      <c r="L653" s="207"/>
    </row>
    <row r="654" spans="2:12">
      <c r="B654" s="206">
        <v>44041</v>
      </c>
      <c r="C654" s="211">
        <f t="shared" si="77"/>
        <v>2020</v>
      </c>
      <c r="D654" s="211">
        <f t="shared" si="78"/>
        <v>7</v>
      </c>
      <c r="E654" s="211">
        <f t="shared" si="79"/>
        <v>29</v>
      </c>
      <c r="F654" s="205">
        <v>6475</v>
      </c>
      <c r="G654" s="205">
        <v>13762</v>
      </c>
      <c r="H654" s="207">
        <v>1950.9</v>
      </c>
      <c r="I654" s="207">
        <v>24.34</v>
      </c>
      <c r="J654" s="207">
        <v>958.5</v>
      </c>
      <c r="K654" s="207">
        <v>2261.1999999999998</v>
      </c>
      <c r="L654" s="207"/>
    </row>
    <row r="655" spans="2:12">
      <c r="B655" s="206">
        <v>44042</v>
      </c>
      <c r="C655" s="211">
        <f t="shared" si="77"/>
        <v>2020</v>
      </c>
      <c r="D655" s="211">
        <f t="shared" si="78"/>
        <v>7</v>
      </c>
      <c r="E655" s="211">
        <f t="shared" si="79"/>
        <v>30</v>
      </c>
      <c r="F655" s="205">
        <v>6433.5</v>
      </c>
      <c r="G655" s="205">
        <v>13716</v>
      </c>
      <c r="H655" s="207">
        <v>1957.65</v>
      </c>
      <c r="I655" s="207">
        <v>23.16</v>
      </c>
      <c r="J655" s="207">
        <v>912.6</v>
      </c>
      <c r="K655" s="207">
        <v>2134.9</v>
      </c>
      <c r="L655" s="207"/>
    </row>
    <row r="656" spans="2:12">
      <c r="B656" s="206">
        <v>44043</v>
      </c>
      <c r="C656" s="211">
        <f t="shared" si="77"/>
        <v>2020</v>
      </c>
      <c r="D656" s="211">
        <f t="shared" si="78"/>
        <v>7</v>
      </c>
      <c r="E656" s="211">
        <f t="shared" si="79"/>
        <v>31</v>
      </c>
      <c r="F656" s="205">
        <v>6446.5</v>
      </c>
      <c r="G656" s="205">
        <v>13756</v>
      </c>
      <c r="H656" s="207">
        <v>1964.9</v>
      </c>
      <c r="I656" s="207">
        <v>24.07</v>
      </c>
      <c r="J656" s="207">
        <v>918.9</v>
      </c>
      <c r="K656" s="207">
        <v>2145.3000000000002</v>
      </c>
      <c r="L656" s="207"/>
    </row>
    <row r="657" spans="2:12">
      <c r="B657" s="206">
        <v>44046</v>
      </c>
      <c r="C657" s="211">
        <f t="shared" si="77"/>
        <v>2020</v>
      </c>
      <c r="D657" s="211">
        <f t="shared" si="78"/>
        <v>8</v>
      </c>
      <c r="E657" s="211">
        <f t="shared" si="79"/>
        <v>3</v>
      </c>
      <c r="F657" s="205">
        <v>6441</v>
      </c>
      <c r="G657" s="205">
        <v>13683</v>
      </c>
      <c r="H657" s="207">
        <v>1958.55</v>
      </c>
      <c r="I657" s="207">
        <v>24.23</v>
      </c>
      <c r="J657" s="207">
        <v>931.1</v>
      </c>
      <c r="K657" s="207">
        <v>2139.5</v>
      </c>
      <c r="L657" s="207"/>
    </row>
    <row r="658" spans="2:12">
      <c r="B658" s="206">
        <v>44047</v>
      </c>
      <c r="C658" s="211">
        <f t="shared" si="77"/>
        <v>2020</v>
      </c>
      <c r="D658" s="211">
        <f t="shared" si="78"/>
        <v>8</v>
      </c>
      <c r="E658" s="211">
        <f t="shared" si="79"/>
        <v>4</v>
      </c>
      <c r="F658" s="205">
        <v>6440</v>
      </c>
      <c r="G658" s="205">
        <v>13888</v>
      </c>
      <c r="H658" s="207">
        <v>1977.9</v>
      </c>
      <c r="I658" s="207">
        <v>24.33</v>
      </c>
      <c r="J658" s="207">
        <v>955.2</v>
      </c>
      <c r="K658" s="207">
        <v>2170.6</v>
      </c>
      <c r="L658" s="207"/>
    </row>
    <row r="659" spans="2:12">
      <c r="B659" s="206">
        <v>44048</v>
      </c>
      <c r="C659" s="211">
        <f t="shared" si="77"/>
        <v>2020</v>
      </c>
      <c r="D659" s="211">
        <f t="shared" si="78"/>
        <v>8</v>
      </c>
      <c r="E659" s="211">
        <f t="shared" si="79"/>
        <v>5</v>
      </c>
      <c r="F659" s="205">
        <v>6525.5</v>
      </c>
      <c r="G659" s="205">
        <v>14250</v>
      </c>
      <c r="H659" s="207">
        <v>2048.15</v>
      </c>
      <c r="I659" s="207">
        <v>26.95</v>
      </c>
      <c r="J659" s="207">
        <v>989.1</v>
      </c>
      <c r="K659" s="207">
        <v>2215.5</v>
      </c>
      <c r="L659" s="207"/>
    </row>
    <row r="660" spans="2:12">
      <c r="B660" s="206">
        <v>44049</v>
      </c>
      <c r="C660" s="211">
        <f t="shared" si="77"/>
        <v>2020</v>
      </c>
      <c r="D660" s="211">
        <f t="shared" si="78"/>
        <v>8</v>
      </c>
      <c r="E660" s="211">
        <f t="shared" si="79"/>
        <v>6</v>
      </c>
      <c r="F660" s="205">
        <v>6453.5</v>
      </c>
      <c r="G660" s="205">
        <v>14381</v>
      </c>
      <c r="H660" s="207">
        <v>2067.15</v>
      </c>
      <c r="I660" s="207">
        <v>27.89</v>
      </c>
      <c r="J660" s="207">
        <v>1013.9</v>
      </c>
      <c r="K660" s="207">
        <v>2259.4</v>
      </c>
      <c r="L660" s="207"/>
    </row>
    <row r="661" spans="2:12">
      <c r="B661" s="206">
        <v>44050</v>
      </c>
      <c r="C661" s="211">
        <f t="shared" si="77"/>
        <v>2020</v>
      </c>
      <c r="D661" s="211">
        <f t="shared" si="78"/>
        <v>8</v>
      </c>
      <c r="E661" s="211">
        <f t="shared" si="79"/>
        <v>7</v>
      </c>
      <c r="F661" s="205">
        <v>6437</v>
      </c>
      <c r="G661" s="205">
        <v>14335</v>
      </c>
      <c r="H661" s="207">
        <v>2031.15</v>
      </c>
      <c r="I661" s="207">
        <v>28.33</v>
      </c>
      <c r="J661" s="207">
        <v>970.4</v>
      </c>
      <c r="K661" s="207">
        <v>2176.6</v>
      </c>
      <c r="L661" s="207"/>
    </row>
    <row r="662" spans="2:12">
      <c r="B662" s="206">
        <v>44053</v>
      </c>
      <c r="C662" s="211">
        <f t="shared" si="77"/>
        <v>2020</v>
      </c>
      <c r="D662" s="211">
        <f t="shared" si="78"/>
        <v>8</v>
      </c>
      <c r="E662" s="211">
        <f t="shared" si="79"/>
        <v>10</v>
      </c>
      <c r="F662" s="205">
        <v>6363</v>
      </c>
      <c r="G662" s="205">
        <v>14146</v>
      </c>
      <c r="H662" s="207">
        <v>2044.5</v>
      </c>
      <c r="I662" s="207">
        <v>28.27</v>
      </c>
      <c r="J662" s="207">
        <v>1002.7</v>
      </c>
      <c r="K662" s="207">
        <v>2270.4</v>
      </c>
      <c r="L662" s="207"/>
    </row>
    <row r="663" spans="2:12">
      <c r="B663" s="206">
        <v>44054</v>
      </c>
      <c r="C663" s="211">
        <f t="shared" si="77"/>
        <v>2020</v>
      </c>
      <c r="D663" s="211">
        <f t="shared" si="78"/>
        <v>8</v>
      </c>
      <c r="E663" s="211">
        <f t="shared" si="79"/>
        <v>11</v>
      </c>
      <c r="F663" s="205">
        <v>6356.5</v>
      </c>
      <c r="G663" s="205">
        <v>14153</v>
      </c>
      <c r="H663" s="207">
        <v>1939.65</v>
      </c>
      <c r="I663" s="207">
        <v>28.28</v>
      </c>
      <c r="J663" s="207">
        <v>971.4</v>
      </c>
      <c r="K663" s="207">
        <v>2175</v>
      </c>
      <c r="L663" s="207"/>
    </row>
    <row r="664" spans="2:12">
      <c r="B664" s="206">
        <v>44055</v>
      </c>
      <c r="C664" s="211">
        <f t="shared" si="77"/>
        <v>2020</v>
      </c>
      <c r="D664" s="211">
        <f t="shared" si="78"/>
        <v>8</v>
      </c>
      <c r="E664" s="211">
        <f t="shared" si="79"/>
        <v>12</v>
      </c>
      <c r="F664" s="205">
        <v>6379</v>
      </c>
      <c r="G664" s="205">
        <v>14167</v>
      </c>
      <c r="H664" s="207">
        <v>1931.9</v>
      </c>
      <c r="I664" s="207">
        <v>25.81</v>
      </c>
      <c r="J664" s="207">
        <v>959.2</v>
      </c>
      <c r="K664" s="207">
        <v>2168.1999999999998</v>
      </c>
      <c r="L664" s="207"/>
    </row>
    <row r="665" spans="2:12">
      <c r="B665" s="206">
        <v>44056</v>
      </c>
      <c r="C665" s="211">
        <f t="shared" si="77"/>
        <v>2020</v>
      </c>
      <c r="D665" s="211">
        <f t="shared" si="78"/>
        <v>8</v>
      </c>
      <c r="E665" s="211">
        <f t="shared" si="79"/>
        <v>13</v>
      </c>
      <c r="F665" s="205">
        <v>6380</v>
      </c>
      <c r="G665" s="205">
        <v>14106</v>
      </c>
      <c r="H665" s="207">
        <v>1944.25</v>
      </c>
      <c r="I665" s="207">
        <v>26.25</v>
      </c>
      <c r="J665" s="207">
        <v>983</v>
      </c>
      <c r="K665" s="207">
        <v>2216.8000000000002</v>
      </c>
      <c r="L665" s="207"/>
    </row>
    <row r="666" spans="2:12">
      <c r="B666" s="206">
        <v>44057</v>
      </c>
      <c r="C666" s="211">
        <f t="shared" si="77"/>
        <v>2020</v>
      </c>
      <c r="D666" s="211">
        <f t="shared" si="78"/>
        <v>8</v>
      </c>
      <c r="E666" s="211">
        <f t="shared" si="79"/>
        <v>14</v>
      </c>
      <c r="F666" s="205">
        <v>6342.5</v>
      </c>
      <c r="G666" s="205">
        <v>14235</v>
      </c>
      <c r="H666" s="207">
        <v>1944.75</v>
      </c>
      <c r="I666" s="207">
        <v>26.71</v>
      </c>
      <c r="J666" s="207">
        <v>959.1</v>
      </c>
      <c r="K666" s="207">
        <v>2143.8000000000002</v>
      </c>
      <c r="L666" s="207"/>
    </row>
    <row r="667" spans="2:12">
      <c r="B667" s="206">
        <v>44060</v>
      </c>
      <c r="C667" s="211">
        <f t="shared" si="77"/>
        <v>2020</v>
      </c>
      <c r="D667" s="211">
        <f t="shared" si="78"/>
        <v>8</v>
      </c>
      <c r="E667" s="211">
        <f t="shared" si="79"/>
        <v>17</v>
      </c>
      <c r="F667" s="205">
        <v>6439.5</v>
      </c>
      <c r="G667" s="205">
        <v>14548</v>
      </c>
      <c r="H667" s="207">
        <v>1972.85</v>
      </c>
      <c r="I667" s="207">
        <v>26.92</v>
      </c>
      <c r="J667" s="207">
        <v>967.6</v>
      </c>
      <c r="K667" s="207">
        <v>2233.8000000000002</v>
      </c>
      <c r="L667" s="207"/>
    </row>
    <row r="668" spans="2:12">
      <c r="B668" s="206">
        <v>44061</v>
      </c>
      <c r="C668" s="211">
        <f t="shared" si="77"/>
        <v>2020</v>
      </c>
      <c r="D668" s="211">
        <f t="shared" si="78"/>
        <v>8</v>
      </c>
      <c r="E668" s="211">
        <f t="shared" si="79"/>
        <v>18</v>
      </c>
      <c r="F668" s="205">
        <v>6492.5</v>
      </c>
      <c r="G668" s="205">
        <v>14602</v>
      </c>
      <c r="H668" s="207">
        <v>2008.75</v>
      </c>
      <c r="I668" s="207">
        <v>28.33</v>
      </c>
      <c r="J668" s="207">
        <v>975.4</v>
      </c>
      <c r="K668" s="207">
        <v>2228.3000000000002</v>
      </c>
      <c r="L668" s="207"/>
    </row>
    <row r="669" spans="2:12">
      <c r="B669" s="206">
        <v>44062</v>
      </c>
      <c r="C669" s="211">
        <f t="shared" si="77"/>
        <v>2020</v>
      </c>
      <c r="D669" s="211">
        <f t="shared" si="78"/>
        <v>8</v>
      </c>
      <c r="E669" s="211">
        <f t="shared" si="79"/>
        <v>19</v>
      </c>
      <c r="F669" s="205">
        <v>6667</v>
      </c>
      <c r="G669" s="205">
        <v>14705</v>
      </c>
      <c r="H669" s="207">
        <v>1981</v>
      </c>
      <c r="I669" s="207">
        <v>27.44</v>
      </c>
      <c r="J669" s="207">
        <v>956.3</v>
      </c>
      <c r="K669" s="207">
        <v>2179.1</v>
      </c>
      <c r="L669" s="207"/>
    </row>
    <row r="670" spans="2:12">
      <c r="B670" s="206">
        <v>44063</v>
      </c>
      <c r="C670" s="211">
        <f t="shared" si="77"/>
        <v>2020</v>
      </c>
      <c r="D670" s="211">
        <f t="shared" si="78"/>
        <v>8</v>
      </c>
      <c r="E670" s="211">
        <f t="shared" si="79"/>
        <v>20</v>
      </c>
      <c r="F670" s="205">
        <v>6594.5</v>
      </c>
      <c r="G670" s="205">
        <v>14666</v>
      </c>
      <c r="H670" s="207">
        <v>1927.15</v>
      </c>
      <c r="I670" s="207">
        <v>26.92</v>
      </c>
      <c r="J670" s="207">
        <v>926.9</v>
      </c>
      <c r="K670" s="207">
        <v>2186.9</v>
      </c>
      <c r="L670" s="207"/>
    </row>
    <row r="671" spans="2:12">
      <c r="B671" s="206">
        <v>44064</v>
      </c>
      <c r="C671" s="211">
        <f t="shared" si="77"/>
        <v>2020</v>
      </c>
      <c r="D671" s="211">
        <f t="shared" si="78"/>
        <v>8</v>
      </c>
      <c r="E671" s="211">
        <f t="shared" si="79"/>
        <v>21</v>
      </c>
      <c r="F671" s="205">
        <v>6564.5</v>
      </c>
      <c r="G671" s="205">
        <v>14562</v>
      </c>
      <c r="H671" s="207">
        <v>1924.35</v>
      </c>
      <c r="I671" s="207">
        <v>26.85</v>
      </c>
      <c r="J671" s="207">
        <v>926.1</v>
      </c>
      <c r="K671" s="207">
        <v>2180.3000000000002</v>
      </c>
      <c r="L671" s="207"/>
    </row>
    <row r="672" spans="2:12">
      <c r="B672" s="206">
        <v>44067</v>
      </c>
      <c r="C672" s="211">
        <f t="shared" si="77"/>
        <v>2020</v>
      </c>
      <c r="D672" s="211">
        <f t="shared" si="78"/>
        <v>8</v>
      </c>
      <c r="E672" s="211">
        <f t="shared" si="79"/>
        <v>24</v>
      </c>
      <c r="F672" s="205">
        <v>6579.5</v>
      </c>
      <c r="G672" s="205">
        <v>14862</v>
      </c>
      <c r="H672" s="207">
        <v>1943.95</v>
      </c>
      <c r="I672" s="207">
        <v>26.89</v>
      </c>
      <c r="J672" s="207">
        <v>924.5</v>
      </c>
      <c r="K672" s="207">
        <v>2165.5</v>
      </c>
      <c r="L672" s="207"/>
    </row>
    <row r="673" spans="2:12">
      <c r="B673" s="206">
        <v>44068</v>
      </c>
      <c r="C673" s="211">
        <f t="shared" si="77"/>
        <v>2020</v>
      </c>
      <c r="D673" s="211">
        <f t="shared" si="78"/>
        <v>8</v>
      </c>
      <c r="E673" s="211">
        <f t="shared" si="79"/>
        <v>25</v>
      </c>
      <c r="F673" s="205">
        <v>6544.5</v>
      </c>
      <c r="G673" s="205">
        <v>14880</v>
      </c>
      <c r="H673" s="207">
        <v>1911.15</v>
      </c>
      <c r="I673" s="207">
        <v>26.5</v>
      </c>
      <c r="J673" s="207">
        <v>934</v>
      </c>
      <c r="K673" s="207">
        <v>2171.9</v>
      </c>
      <c r="L673" s="207"/>
    </row>
    <row r="674" spans="2:12">
      <c r="B674" s="206">
        <v>44069</v>
      </c>
      <c r="C674" s="211">
        <f t="shared" si="77"/>
        <v>2020</v>
      </c>
      <c r="D674" s="211">
        <f t="shared" si="78"/>
        <v>8</v>
      </c>
      <c r="E674" s="211">
        <f t="shared" si="79"/>
        <v>26</v>
      </c>
      <c r="F674" s="205">
        <v>6603.5</v>
      </c>
      <c r="G674" s="205">
        <v>15034</v>
      </c>
      <c r="H674" s="207">
        <v>1932.95</v>
      </c>
      <c r="I674" s="207">
        <v>26.4</v>
      </c>
      <c r="J674" s="207">
        <v>939.8</v>
      </c>
      <c r="K674" s="207">
        <v>2195.06</v>
      </c>
      <c r="L674" s="207"/>
    </row>
    <row r="675" spans="2:12">
      <c r="B675" s="206">
        <v>44070</v>
      </c>
      <c r="C675" s="211">
        <f t="shared" si="77"/>
        <v>2020</v>
      </c>
      <c r="D675" s="211">
        <f t="shared" si="78"/>
        <v>8</v>
      </c>
      <c r="E675" s="211">
        <f t="shared" si="79"/>
        <v>27</v>
      </c>
      <c r="F675" s="205">
        <v>6602.5</v>
      </c>
      <c r="G675" s="205">
        <v>15120</v>
      </c>
      <c r="H675" s="207">
        <v>1923.85</v>
      </c>
      <c r="I675" s="207">
        <v>27.25</v>
      </c>
      <c r="J675" s="207">
        <v>928.1</v>
      </c>
      <c r="K675" s="207">
        <v>2171.7199999999998</v>
      </c>
      <c r="L675" s="207"/>
    </row>
    <row r="676" spans="2:12">
      <c r="B676" s="206">
        <v>44071</v>
      </c>
      <c r="C676" s="211">
        <f t="shared" si="77"/>
        <v>2020</v>
      </c>
      <c r="D676" s="211">
        <f t="shared" si="78"/>
        <v>8</v>
      </c>
      <c r="E676" s="211">
        <f t="shared" si="79"/>
        <v>28</v>
      </c>
      <c r="F676" s="205">
        <v>6728</v>
      </c>
      <c r="G676" s="205">
        <v>15414</v>
      </c>
      <c r="H676" s="207">
        <v>1957.35</v>
      </c>
      <c r="I676" s="207">
        <v>27.35</v>
      </c>
      <c r="J676" s="207">
        <v>940</v>
      </c>
      <c r="K676" s="207">
        <v>2218.02</v>
      </c>
      <c r="L676" s="207"/>
    </row>
    <row r="677" spans="2:12">
      <c r="B677" s="206">
        <v>44075</v>
      </c>
      <c r="C677" s="211">
        <f t="shared" si="77"/>
        <v>2020</v>
      </c>
      <c r="D677" s="211">
        <f t="shared" si="78"/>
        <v>9</v>
      </c>
      <c r="E677" s="211">
        <f t="shared" si="79"/>
        <v>1</v>
      </c>
      <c r="F677" s="205">
        <v>6788.5</v>
      </c>
      <c r="G677" s="205">
        <v>15660</v>
      </c>
      <c r="H677" s="207">
        <v>1972.35</v>
      </c>
      <c r="I677" s="207">
        <v>28.89</v>
      </c>
      <c r="J677" s="207">
        <v>952.7</v>
      </c>
      <c r="K677" s="207">
        <v>2311.1</v>
      </c>
      <c r="L677" s="207"/>
    </row>
    <row r="678" spans="2:12">
      <c r="B678" s="206">
        <v>44076</v>
      </c>
      <c r="C678" s="211">
        <f t="shared" si="77"/>
        <v>2020</v>
      </c>
      <c r="D678" s="211">
        <f t="shared" si="78"/>
        <v>9</v>
      </c>
      <c r="E678" s="211">
        <f t="shared" si="79"/>
        <v>2</v>
      </c>
      <c r="F678" s="205">
        <v>6719</v>
      </c>
      <c r="G678" s="205">
        <v>15658</v>
      </c>
      <c r="H678" s="207">
        <v>1947.05</v>
      </c>
      <c r="I678" s="207">
        <v>27.71</v>
      </c>
      <c r="J678" s="207">
        <v>904.1</v>
      </c>
      <c r="K678" s="207">
        <v>2267.5</v>
      </c>
      <c r="L678" s="207"/>
    </row>
    <row r="679" spans="2:12">
      <c r="B679" s="206">
        <v>44077</v>
      </c>
      <c r="C679" s="211">
        <f t="shared" si="77"/>
        <v>2020</v>
      </c>
      <c r="D679" s="211">
        <f t="shared" si="78"/>
        <v>9</v>
      </c>
      <c r="E679" s="211">
        <f t="shared" si="79"/>
        <v>3</v>
      </c>
      <c r="F679" s="205">
        <v>6613</v>
      </c>
      <c r="G679" s="205">
        <v>15135</v>
      </c>
      <c r="H679" s="207">
        <v>1940.45</v>
      </c>
      <c r="I679" s="207">
        <v>26.9</v>
      </c>
      <c r="J679" s="207">
        <v>889.6</v>
      </c>
      <c r="K679" s="207">
        <v>2321.6</v>
      </c>
      <c r="L679" s="207"/>
    </row>
    <row r="680" spans="2:12">
      <c r="B680" s="206">
        <v>44078</v>
      </c>
      <c r="C680" s="211">
        <f t="shared" si="77"/>
        <v>2020</v>
      </c>
      <c r="D680" s="211">
        <f t="shared" si="78"/>
        <v>9</v>
      </c>
      <c r="E680" s="211">
        <f t="shared" si="79"/>
        <v>4</v>
      </c>
      <c r="F680" s="205">
        <v>6678</v>
      </c>
      <c r="G680" s="205">
        <v>15210</v>
      </c>
      <c r="H680" s="207">
        <v>1926.3</v>
      </c>
      <c r="I680" s="207">
        <v>26.82</v>
      </c>
      <c r="J680" s="207">
        <v>898.2</v>
      </c>
      <c r="K680" s="207">
        <v>2343.1999999999998</v>
      </c>
      <c r="L680" s="207"/>
    </row>
    <row r="681" spans="2:12">
      <c r="B681" s="206">
        <v>44081</v>
      </c>
      <c r="C681" s="211">
        <f t="shared" si="77"/>
        <v>2020</v>
      </c>
      <c r="D681" s="211">
        <f t="shared" si="78"/>
        <v>9</v>
      </c>
      <c r="E681" s="211">
        <f t="shared" si="79"/>
        <v>7</v>
      </c>
      <c r="F681" s="205">
        <v>6790.5</v>
      </c>
      <c r="G681" s="205">
        <v>15185</v>
      </c>
      <c r="H681" s="207">
        <v>1928.45</v>
      </c>
      <c r="I681" s="207">
        <v>26.83</v>
      </c>
      <c r="J681" s="207" t="s">
        <v>338</v>
      </c>
      <c r="K681" s="207" t="s">
        <v>338</v>
      </c>
      <c r="L681" s="207"/>
    </row>
    <row r="682" spans="2:12">
      <c r="B682" s="206">
        <v>44082</v>
      </c>
      <c r="C682" s="211">
        <f t="shared" si="77"/>
        <v>2020</v>
      </c>
      <c r="D682" s="211">
        <f t="shared" si="78"/>
        <v>9</v>
      </c>
      <c r="E682" s="211">
        <f t="shared" si="79"/>
        <v>8</v>
      </c>
      <c r="F682" s="205">
        <v>6767.5</v>
      </c>
      <c r="G682" s="205">
        <v>15090</v>
      </c>
      <c r="H682" s="207">
        <v>1910.95</v>
      </c>
      <c r="I682" s="207">
        <v>26.68</v>
      </c>
      <c r="J682" s="207">
        <v>910.3</v>
      </c>
      <c r="K682" s="207">
        <v>2305.8000000000002</v>
      </c>
      <c r="L682" s="207"/>
    </row>
    <row r="683" spans="2:12">
      <c r="B683" s="206">
        <v>44083</v>
      </c>
      <c r="C683" s="211">
        <f t="shared" si="77"/>
        <v>2020</v>
      </c>
      <c r="D683" s="211">
        <f t="shared" si="78"/>
        <v>9</v>
      </c>
      <c r="E683" s="211">
        <f t="shared" si="79"/>
        <v>9</v>
      </c>
      <c r="F683" s="205">
        <v>6709</v>
      </c>
      <c r="G683" s="205">
        <v>14821</v>
      </c>
      <c r="H683" s="207">
        <v>1947.2</v>
      </c>
      <c r="I683" s="207">
        <v>26.54</v>
      </c>
      <c r="J683" s="207">
        <v>924.9</v>
      </c>
      <c r="K683" s="207">
        <v>2318.1999999999998</v>
      </c>
      <c r="L683" s="207"/>
    </row>
    <row r="684" spans="2:12">
      <c r="B684" s="206">
        <v>44084</v>
      </c>
      <c r="C684" s="211">
        <f t="shared" si="77"/>
        <v>2020</v>
      </c>
      <c r="D684" s="211">
        <f t="shared" si="78"/>
        <v>9</v>
      </c>
      <c r="E684" s="211">
        <f t="shared" si="79"/>
        <v>10</v>
      </c>
      <c r="F684" s="205">
        <v>6710.5</v>
      </c>
      <c r="G684" s="205">
        <v>14748</v>
      </c>
      <c r="H684" s="207">
        <v>1966.25</v>
      </c>
      <c r="I684" s="207">
        <v>27.11</v>
      </c>
      <c r="J684" s="207">
        <v>941</v>
      </c>
      <c r="K684" s="207">
        <v>2330.9</v>
      </c>
      <c r="L684" s="207"/>
    </row>
    <row r="685" spans="2:12">
      <c r="B685" s="206">
        <v>44085</v>
      </c>
      <c r="C685" s="211">
        <f t="shared" si="77"/>
        <v>2020</v>
      </c>
      <c r="D685" s="211">
        <f t="shared" si="78"/>
        <v>9</v>
      </c>
      <c r="E685" s="211">
        <f t="shared" si="79"/>
        <v>11</v>
      </c>
      <c r="F685" s="205">
        <v>6757.5</v>
      </c>
      <c r="G685" s="205">
        <v>14935</v>
      </c>
      <c r="H685" s="207">
        <v>1947.4</v>
      </c>
      <c r="I685" s="207">
        <v>26.88</v>
      </c>
      <c r="J685" s="207">
        <v>939.6</v>
      </c>
      <c r="K685" s="207">
        <v>2330.8000000000002</v>
      </c>
      <c r="L685" s="207"/>
    </row>
    <row r="686" spans="2:12">
      <c r="B686" s="206">
        <v>44088</v>
      </c>
      <c r="C686" s="211">
        <f t="shared" si="77"/>
        <v>2020</v>
      </c>
      <c r="D686" s="211">
        <f t="shared" si="78"/>
        <v>9</v>
      </c>
      <c r="E686" s="211">
        <f t="shared" si="79"/>
        <v>14</v>
      </c>
      <c r="F686" s="205">
        <v>6788</v>
      </c>
      <c r="G686" s="205">
        <v>15090</v>
      </c>
      <c r="H686" s="207">
        <v>1958.7</v>
      </c>
      <c r="I686" s="207">
        <v>26.89</v>
      </c>
      <c r="J686" s="207">
        <v>958.7</v>
      </c>
      <c r="K686" s="207">
        <v>2324.4</v>
      </c>
      <c r="L686" s="207"/>
    </row>
    <row r="687" spans="2:12">
      <c r="B687" s="206">
        <v>44089</v>
      </c>
      <c r="C687" s="211">
        <f t="shared" si="77"/>
        <v>2020</v>
      </c>
      <c r="D687" s="211">
        <f t="shared" si="78"/>
        <v>9</v>
      </c>
      <c r="E687" s="211">
        <f t="shared" si="79"/>
        <v>15</v>
      </c>
      <c r="F687" s="205">
        <v>6813.5</v>
      </c>
      <c r="G687" s="205">
        <v>15218</v>
      </c>
      <c r="H687" s="207">
        <v>1949.35</v>
      </c>
      <c r="I687" s="207">
        <v>27.55</v>
      </c>
      <c r="J687" s="207">
        <v>982.2</v>
      </c>
      <c r="K687" s="207">
        <v>2414.5</v>
      </c>
      <c r="L687" s="207"/>
    </row>
    <row r="688" spans="2:12">
      <c r="B688" s="206">
        <v>44090</v>
      </c>
      <c r="C688" s="211">
        <f t="shared" si="77"/>
        <v>2020</v>
      </c>
      <c r="D688" s="211">
        <f t="shared" si="78"/>
        <v>9</v>
      </c>
      <c r="E688" s="211">
        <f t="shared" si="79"/>
        <v>16</v>
      </c>
      <c r="F688" s="205">
        <v>6776</v>
      </c>
      <c r="G688" s="205">
        <v>15160</v>
      </c>
      <c r="H688" s="207">
        <v>1961.8</v>
      </c>
      <c r="I688" s="207">
        <v>27.38</v>
      </c>
      <c r="J688" s="207">
        <v>973.5</v>
      </c>
      <c r="K688" s="207">
        <v>2417.6</v>
      </c>
      <c r="L688" s="207"/>
    </row>
    <row r="689" spans="2:12">
      <c r="B689" s="206">
        <v>44091</v>
      </c>
      <c r="C689" s="211">
        <f t="shared" si="77"/>
        <v>2020</v>
      </c>
      <c r="D689" s="211">
        <f t="shared" si="78"/>
        <v>9</v>
      </c>
      <c r="E689" s="211">
        <f t="shared" si="79"/>
        <v>17</v>
      </c>
      <c r="F689" s="205">
        <v>6761</v>
      </c>
      <c r="G689" s="205">
        <v>14895</v>
      </c>
      <c r="H689" s="207">
        <v>1936.25</v>
      </c>
      <c r="I689" s="207">
        <v>26.75</v>
      </c>
      <c r="J689" s="207">
        <v>930.9</v>
      </c>
      <c r="K689" s="207">
        <v>2335.3000000000002</v>
      </c>
      <c r="L689" s="207"/>
    </row>
    <row r="690" spans="2:12">
      <c r="B690" s="206">
        <v>44092</v>
      </c>
      <c r="C690" s="211">
        <f t="shared" si="77"/>
        <v>2020</v>
      </c>
      <c r="D690" s="211">
        <f t="shared" si="78"/>
        <v>9</v>
      </c>
      <c r="E690" s="211">
        <f t="shared" si="79"/>
        <v>18</v>
      </c>
      <c r="F690" s="205">
        <v>6833.5</v>
      </c>
      <c r="G690" s="205">
        <v>14908</v>
      </c>
      <c r="H690" s="207">
        <v>1950.85</v>
      </c>
      <c r="I690" s="207">
        <v>27.06</v>
      </c>
      <c r="J690" s="207">
        <v>938.5</v>
      </c>
      <c r="K690" s="207">
        <v>2380.8000000000002</v>
      </c>
      <c r="L690" s="207"/>
    </row>
    <row r="691" spans="2:12">
      <c r="B691" s="206">
        <v>44095</v>
      </c>
      <c r="C691" s="211">
        <f t="shared" si="77"/>
        <v>2020</v>
      </c>
      <c r="D691" s="211">
        <f t="shared" si="78"/>
        <v>9</v>
      </c>
      <c r="E691" s="211">
        <f t="shared" si="79"/>
        <v>21</v>
      </c>
      <c r="F691" s="205">
        <v>6837</v>
      </c>
      <c r="G691" s="205">
        <v>14691</v>
      </c>
      <c r="H691" s="207">
        <v>1909.35</v>
      </c>
      <c r="I691" s="207">
        <v>26.36</v>
      </c>
      <c r="J691" s="207">
        <v>876.1</v>
      </c>
      <c r="K691" s="207">
        <v>2281.6999999999998</v>
      </c>
      <c r="L691" s="207"/>
    </row>
    <row r="692" spans="2:12">
      <c r="B692" s="206">
        <v>44096</v>
      </c>
      <c r="C692" s="211">
        <f t="shared" si="77"/>
        <v>2020</v>
      </c>
      <c r="D692" s="211">
        <f t="shared" si="78"/>
        <v>9</v>
      </c>
      <c r="E692" s="211">
        <f t="shared" si="79"/>
        <v>22</v>
      </c>
      <c r="F692" s="205">
        <v>6810</v>
      </c>
      <c r="G692" s="205">
        <v>14554</v>
      </c>
      <c r="H692" s="207">
        <v>1906</v>
      </c>
      <c r="I692" s="207">
        <v>24.3</v>
      </c>
      <c r="J692" s="207">
        <v>857.4</v>
      </c>
      <c r="K692" s="207">
        <v>2229.6</v>
      </c>
      <c r="L692" s="207"/>
    </row>
    <row r="693" spans="2:12">
      <c r="B693" s="206">
        <v>44097</v>
      </c>
      <c r="C693" s="211">
        <f t="shared" si="77"/>
        <v>2020</v>
      </c>
      <c r="D693" s="211">
        <f t="shared" si="78"/>
        <v>9</v>
      </c>
      <c r="E693" s="211">
        <f t="shared" si="79"/>
        <v>23</v>
      </c>
      <c r="F693" s="205">
        <v>6725.5</v>
      </c>
      <c r="G693" s="205">
        <v>14365</v>
      </c>
      <c r="H693" s="207">
        <v>1873.4</v>
      </c>
      <c r="I693" s="207">
        <v>23.4</v>
      </c>
      <c r="J693" s="207">
        <v>843</v>
      </c>
      <c r="K693" s="207">
        <v>2258.3000000000002</v>
      </c>
      <c r="L693" s="207"/>
    </row>
    <row r="694" spans="2:12">
      <c r="B694" s="206">
        <v>44098</v>
      </c>
      <c r="C694" s="211">
        <f t="shared" si="77"/>
        <v>2020</v>
      </c>
      <c r="D694" s="211">
        <f t="shared" si="78"/>
        <v>9</v>
      </c>
      <c r="E694" s="211">
        <f t="shared" si="79"/>
        <v>24</v>
      </c>
      <c r="F694" s="205">
        <v>6538.5</v>
      </c>
      <c r="G694" s="205">
        <v>14179</v>
      </c>
      <c r="H694" s="207">
        <v>1861.75</v>
      </c>
      <c r="I694" s="207">
        <v>22.22</v>
      </c>
      <c r="J694" s="207">
        <v>838</v>
      </c>
      <c r="K694" s="207">
        <v>2226.9</v>
      </c>
      <c r="L694" s="207"/>
    </row>
    <row r="695" spans="2:12">
      <c r="B695" s="206">
        <v>44099</v>
      </c>
      <c r="C695" s="211">
        <f t="shared" si="77"/>
        <v>2020</v>
      </c>
      <c r="D695" s="211">
        <f t="shared" si="78"/>
        <v>9</v>
      </c>
      <c r="E695" s="211">
        <f t="shared" si="79"/>
        <v>25</v>
      </c>
      <c r="F695" s="205">
        <v>6529</v>
      </c>
      <c r="G695" s="205">
        <v>14285</v>
      </c>
      <c r="H695" s="207">
        <v>1859.7</v>
      </c>
      <c r="I695" s="207">
        <v>22.63</v>
      </c>
      <c r="J695" s="207">
        <v>843.44</v>
      </c>
      <c r="K695" s="207">
        <v>2222.1999999999998</v>
      </c>
      <c r="L695" s="207"/>
    </row>
    <row r="696" spans="2:12">
      <c r="B696" s="206">
        <v>44102</v>
      </c>
      <c r="C696" s="211">
        <f t="shared" si="77"/>
        <v>2020</v>
      </c>
      <c r="D696" s="211">
        <f t="shared" si="78"/>
        <v>9</v>
      </c>
      <c r="E696" s="211">
        <f t="shared" si="79"/>
        <v>28</v>
      </c>
      <c r="F696" s="205">
        <v>6571.5</v>
      </c>
      <c r="G696" s="205">
        <v>14416</v>
      </c>
      <c r="H696" s="207">
        <v>1864.3</v>
      </c>
      <c r="I696" s="207">
        <v>22.89</v>
      </c>
      <c r="J696" s="207">
        <v>886.12</v>
      </c>
      <c r="K696" s="207">
        <v>2271.5</v>
      </c>
      <c r="L696" s="207"/>
    </row>
    <row r="697" spans="2:12">
      <c r="B697" s="206">
        <v>44103</v>
      </c>
      <c r="C697" s="211">
        <f t="shared" si="77"/>
        <v>2020</v>
      </c>
      <c r="D697" s="211">
        <f t="shared" si="78"/>
        <v>9</v>
      </c>
      <c r="E697" s="211">
        <f t="shared" si="79"/>
        <v>29</v>
      </c>
      <c r="F697" s="205">
        <v>6546</v>
      </c>
      <c r="G697" s="205">
        <v>14470</v>
      </c>
      <c r="H697" s="207">
        <v>1883.95</v>
      </c>
      <c r="I697" s="207">
        <v>23.84</v>
      </c>
      <c r="J697" s="207">
        <v>893.62</v>
      </c>
      <c r="K697" s="207">
        <v>2329.3000000000002</v>
      </c>
      <c r="L697" s="207"/>
    </row>
    <row r="698" spans="2:12">
      <c r="B698" s="206">
        <v>44104</v>
      </c>
      <c r="C698" s="211">
        <f t="shared" si="77"/>
        <v>2020</v>
      </c>
      <c r="D698" s="211">
        <f t="shared" si="78"/>
        <v>9</v>
      </c>
      <c r="E698" s="211">
        <f t="shared" si="79"/>
        <v>30</v>
      </c>
      <c r="F698" s="205">
        <v>6610</v>
      </c>
      <c r="G698" s="205">
        <v>14385</v>
      </c>
      <c r="H698" s="207">
        <v>1886.9</v>
      </c>
      <c r="I698" s="207">
        <v>23.73</v>
      </c>
      <c r="J698" s="207">
        <v>907.56</v>
      </c>
      <c r="K698" s="207">
        <v>2330.5</v>
      </c>
      <c r="L698" s="207"/>
    </row>
    <row r="699" spans="2:12">
      <c r="B699" s="206">
        <v>44105</v>
      </c>
      <c r="C699" s="211">
        <f t="shared" si="77"/>
        <v>2020</v>
      </c>
      <c r="D699" s="211">
        <f t="shared" si="78"/>
        <v>10</v>
      </c>
      <c r="E699" s="211">
        <f t="shared" si="79"/>
        <v>1</v>
      </c>
      <c r="F699" s="205">
        <v>6614</v>
      </c>
      <c r="G699" s="205">
        <v>14430</v>
      </c>
      <c r="H699" s="207">
        <v>1902</v>
      </c>
      <c r="I699" s="207">
        <v>23.62</v>
      </c>
      <c r="J699" s="207">
        <v>906</v>
      </c>
      <c r="K699" s="207">
        <v>2328.1999999999998</v>
      </c>
      <c r="L699" s="207"/>
    </row>
    <row r="700" spans="2:12">
      <c r="B700" s="206">
        <v>44106</v>
      </c>
      <c r="C700" s="211">
        <f t="shared" si="77"/>
        <v>2020</v>
      </c>
      <c r="D700" s="211">
        <f t="shared" si="78"/>
        <v>10</v>
      </c>
      <c r="E700" s="211">
        <f t="shared" si="79"/>
        <v>2</v>
      </c>
      <c r="F700" s="205">
        <v>6409.5</v>
      </c>
      <c r="G700" s="205">
        <v>14271</v>
      </c>
      <c r="H700" s="207">
        <v>1903.05</v>
      </c>
      <c r="I700" s="207">
        <v>23.87</v>
      </c>
      <c r="J700" s="207">
        <v>891.4</v>
      </c>
      <c r="K700" s="207">
        <v>2325</v>
      </c>
      <c r="L700" s="207"/>
    </row>
    <row r="701" spans="2:12">
      <c r="B701" s="206">
        <v>44109</v>
      </c>
      <c r="C701" s="211">
        <f t="shared" si="77"/>
        <v>2020</v>
      </c>
      <c r="D701" s="211">
        <f t="shared" si="78"/>
        <v>10</v>
      </c>
      <c r="E701" s="211">
        <f t="shared" si="79"/>
        <v>5</v>
      </c>
      <c r="F701" s="205">
        <v>6507.5</v>
      </c>
      <c r="G701" s="205">
        <v>14360</v>
      </c>
      <c r="H701" s="207">
        <v>1909.6</v>
      </c>
      <c r="I701" s="207">
        <v>23.92</v>
      </c>
      <c r="J701" s="207">
        <v>904.7</v>
      </c>
      <c r="K701" s="207">
        <v>2378.4</v>
      </c>
      <c r="L701" s="207"/>
    </row>
    <row r="702" spans="2:12">
      <c r="B702" s="206">
        <v>44110</v>
      </c>
      <c r="C702" s="211">
        <f t="shared" si="77"/>
        <v>2020</v>
      </c>
      <c r="D702" s="211">
        <f t="shared" si="78"/>
        <v>10</v>
      </c>
      <c r="E702" s="211">
        <f t="shared" si="79"/>
        <v>6</v>
      </c>
      <c r="F702" s="205">
        <v>6509</v>
      </c>
      <c r="G702" s="205">
        <v>14643</v>
      </c>
      <c r="H702" s="207">
        <v>1913.4</v>
      </c>
      <c r="I702" s="207">
        <v>24.3</v>
      </c>
      <c r="J702" s="207">
        <v>870.3</v>
      </c>
      <c r="K702" s="207">
        <v>2391.1999999999998</v>
      </c>
      <c r="L702" s="207"/>
    </row>
    <row r="703" spans="2:12">
      <c r="B703" s="206">
        <v>44111</v>
      </c>
      <c r="C703" s="211">
        <f t="shared" si="77"/>
        <v>2020</v>
      </c>
      <c r="D703" s="211">
        <f t="shared" si="78"/>
        <v>10</v>
      </c>
      <c r="E703" s="211">
        <f t="shared" si="79"/>
        <v>7</v>
      </c>
      <c r="F703" s="205">
        <v>6525</v>
      </c>
      <c r="G703" s="205">
        <v>14570</v>
      </c>
      <c r="H703" s="207">
        <v>1884.5</v>
      </c>
      <c r="I703" s="207">
        <v>23.53</v>
      </c>
      <c r="J703" s="207">
        <v>866.8</v>
      </c>
      <c r="K703" s="207">
        <v>2382.1</v>
      </c>
      <c r="L703" s="207"/>
    </row>
    <row r="704" spans="2:12">
      <c r="B704" s="206">
        <v>44112</v>
      </c>
      <c r="C704" s="211">
        <f t="shared" si="77"/>
        <v>2020</v>
      </c>
      <c r="D704" s="211">
        <f t="shared" si="78"/>
        <v>10</v>
      </c>
      <c r="E704" s="211">
        <f t="shared" si="79"/>
        <v>8</v>
      </c>
      <c r="F704" s="205">
        <v>6611.5</v>
      </c>
      <c r="G704" s="205">
        <v>14687</v>
      </c>
      <c r="H704" s="207">
        <v>1887.45</v>
      </c>
      <c r="I704" s="207">
        <v>23.96</v>
      </c>
      <c r="J704" s="207">
        <v>864</v>
      </c>
      <c r="K704" s="207">
        <v>2403</v>
      </c>
      <c r="L704" s="207"/>
    </row>
    <row r="705" spans="2:12">
      <c r="B705" s="206">
        <v>44113</v>
      </c>
      <c r="C705" s="211">
        <f t="shared" si="77"/>
        <v>2020</v>
      </c>
      <c r="D705" s="211">
        <f t="shared" si="78"/>
        <v>10</v>
      </c>
      <c r="E705" s="211">
        <f t="shared" si="79"/>
        <v>9</v>
      </c>
      <c r="F705" s="205">
        <v>6740.5</v>
      </c>
      <c r="G705" s="205">
        <v>14990</v>
      </c>
      <c r="H705" s="207">
        <v>1923.25</v>
      </c>
      <c r="I705" s="207">
        <v>24.32</v>
      </c>
      <c r="J705" s="207">
        <v>894.3</v>
      </c>
      <c r="K705" s="207">
        <v>2463.1999999999998</v>
      </c>
      <c r="L705" s="207"/>
    </row>
    <row r="706" spans="2:12">
      <c r="B706" s="206">
        <v>44116</v>
      </c>
      <c r="C706" s="211">
        <f t="shared" si="77"/>
        <v>2020</v>
      </c>
      <c r="D706" s="211">
        <f t="shared" si="78"/>
        <v>10</v>
      </c>
      <c r="E706" s="211">
        <f t="shared" si="79"/>
        <v>12</v>
      </c>
      <c r="F706" s="205">
        <v>6769</v>
      </c>
      <c r="G706" s="205">
        <v>15217</v>
      </c>
      <c r="H706" s="207">
        <v>1925.5</v>
      </c>
      <c r="I706" s="207">
        <v>25.06</v>
      </c>
      <c r="J706" s="207">
        <v>876.3</v>
      </c>
      <c r="K706" s="207">
        <v>2425.6</v>
      </c>
      <c r="L706" s="207"/>
    </row>
    <row r="707" spans="2:12">
      <c r="B707" s="206">
        <v>44117</v>
      </c>
      <c r="C707" s="211">
        <f t="shared" si="77"/>
        <v>2020</v>
      </c>
      <c r="D707" s="211">
        <f t="shared" si="78"/>
        <v>10</v>
      </c>
      <c r="E707" s="211">
        <f t="shared" si="79"/>
        <v>13</v>
      </c>
      <c r="F707" s="205">
        <v>6699.5</v>
      </c>
      <c r="G707" s="205">
        <v>15147</v>
      </c>
      <c r="H707" s="207">
        <v>1891.3</v>
      </c>
      <c r="I707" s="207">
        <v>24.94</v>
      </c>
      <c r="J707" s="207">
        <v>873.3</v>
      </c>
      <c r="K707" s="207">
        <v>2344.3000000000002</v>
      </c>
      <c r="L707" s="207"/>
    </row>
    <row r="708" spans="2:12">
      <c r="B708" s="206">
        <v>44118</v>
      </c>
      <c r="C708" s="211">
        <f t="shared" ref="C708:C771" si="80">YEAR(B708)</f>
        <v>2020</v>
      </c>
      <c r="D708" s="211">
        <f t="shared" ref="D708:D771" si="81">MONTH(B708)</f>
        <v>10</v>
      </c>
      <c r="E708" s="211">
        <f t="shared" ref="E708:E771" si="82">DAY(B708)</f>
        <v>14</v>
      </c>
      <c r="F708" s="205">
        <v>6702</v>
      </c>
      <c r="G708" s="205">
        <v>15105</v>
      </c>
      <c r="H708" s="207">
        <v>1910.05</v>
      </c>
      <c r="I708" s="207">
        <v>24.18</v>
      </c>
      <c r="J708" s="207">
        <v>863.4</v>
      </c>
      <c r="K708" s="207">
        <v>2366.3000000000002</v>
      </c>
      <c r="L708" s="207"/>
    </row>
    <row r="709" spans="2:12">
      <c r="B709" s="206">
        <v>44119</v>
      </c>
      <c r="C709" s="211">
        <f t="shared" si="80"/>
        <v>2020</v>
      </c>
      <c r="D709" s="211">
        <f t="shared" si="81"/>
        <v>10</v>
      </c>
      <c r="E709" s="211">
        <f t="shared" si="82"/>
        <v>15</v>
      </c>
      <c r="F709" s="205">
        <v>6683.5</v>
      </c>
      <c r="G709" s="205">
        <v>15353</v>
      </c>
      <c r="H709" s="207">
        <v>1891.9</v>
      </c>
      <c r="I709" s="207">
        <v>23.94</v>
      </c>
      <c r="J709" s="207">
        <v>861.3</v>
      </c>
      <c r="K709" s="207">
        <v>2367.1</v>
      </c>
      <c r="L709" s="207"/>
    </row>
    <row r="710" spans="2:12">
      <c r="B710" s="206">
        <v>44120</v>
      </c>
      <c r="C710" s="211">
        <f t="shared" si="80"/>
        <v>2020</v>
      </c>
      <c r="D710" s="211">
        <f t="shared" si="81"/>
        <v>10</v>
      </c>
      <c r="E710" s="211">
        <f t="shared" si="82"/>
        <v>16</v>
      </c>
      <c r="F710" s="205">
        <v>6728</v>
      </c>
      <c r="G710" s="205">
        <v>15603</v>
      </c>
      <c r="H710" s="207">
        <v>1905.05</v>
      </c>
      <c r="I710" s="207">
        <v>24.36</v>
      </c>
      <c r="J710" s="207">
        <v>869.3</v>
      </c>
      <c r="K710" s="207">
        <v>2342.3000000000002</v>
      </c>
      <c r="L710" s="207"/>
    </row>
    <row r="711" spans="2:12">
      <c r="B711" s="206">
        <v>44123</v>
      </c>
      <c r="C711" s="211">
        <f t="shared" si="80"/>
        <v>2020</v>
      </c>
      <c r="D711" s="211">
        <f t="shared" si="81"/>
        <v>10</v>
      </c>
      <c r="E711" s="211">
        <f t="shared" si="82"/>
        <v>19</v>
      </c>
      <c r="F711" s="205">
        <v>6755</v>
      </c>
      <c r="G711" s="205">
        <v>15653</v>
      </c>
      <c r="H711" s="207">
        <v>1905.6</v>
      </c>
      <c r="I711" s="207">
        <v>24.84</v>
      </c>
      <c r="J711" s="207">
        <v>863.5</v>
      </c>
      <c r="K711" s="207">
        <v>2357.5</v>
      </c>
      <c r="L711" s="207"/>
    </row>
    <row r="712" spans="2:12">
      <c r="B712" s="206">
        <v>44124</v>
      </c>
      <c r="C712" s="211">
        <f t="shared" si="80"/>
        <v>2020</v>
      </c>
      <c r="D712" s="211">
        <f t="shared" si="81"/>
        <v>10</v>
      </c>
      <c r="E712" s="211">
        <f t="shared" si="82"/>
        <v>20</v>
      </c>
      <c r="F712" s="205">
        <v>6814</v>
      </c>
      <c r="G712" s="205">
        <v>15791</v>
      </c>
      <c r="H712" s="207">
        <v>1898.4</v>
      </c>
      <c r="I712" s="207">
        <v>24.63</v>
      </c>
      <c r="J712" s="207">
        <v>877.3</v>
      </c>
      <c r="K712" s="207">
        <v>2417.6999999999998</v>
      </c>
      <c r="L712" s="207"/>
    </row>
    <row r="713" spans="2:12">
      <c r="B713" s="206">
        <v>44125</v>
      </c>
      <c r="C713" s="211">
        <f t="shared" si="80"/>
        <v>2020</v>
      </c>
      <c r="D713" s="211">
        <f t="shared" si="81"/>
        <v>10</v>
      </c>
      <c r="E713" s="211">
        <f t="shared" si="82"/>
        <v>21</v>
      </c>
      <c r="F713" s="205">
        <v>6953</v>
      </c>
      <c r="G713" s="205">
        <v>16064</v>
      </c>
      <c r="H713" s="207">
        <v>1924.15</v>
      </c>
      <c r="I713" s="207">
        <v>25.02</v>
      </c>
      <c r="J713" s="207">
        <v>893.9</v>
      </c>
      <c r="K713" s="207">
        <v>2427.5</v>
      </c>
      <c r="L713" s="207"/>
    </row>
    <row r="714" spans="2:12">
      <c r="B714" s="206">
        <v>44126</v>
      </c>
      <c r="C714" s="211">
        <f t="shared" si="80"/>
        <v>2020</v>
      </c>
      <c r="D714" s="211">
        <f t="shared" si="81"/>
        <v>10</v>
      </c>
      <c r="E714" s="211">
        <f t="shared" si="82"/>
        <v>22</v>
      </c>
      <c r="F714" s="205">
        <v>6886</v>
      </c>
      <c r="G714" s="205">
        <v>15707</v>
      </c>
      <c r="H714" s="207">
        <v>1900.95</v>
      </c>
      <c r="I714" s="207">
        <v>24.92</v>
      </c>
      <c r="J714" s="207">
        <v>884</v>
      </c>
      <c r="K714" s="207">
        <v>2395.9</v>
      </c>
      <c r="L714" s="207"/>
    </row>
    <row r="715" spans="2:12">
      <c r="B715" s="206">
        <v>44127</v>
      </c>
      <c r="C715" s="211">
        <f t="shared" si="80"/>
        <v>2020</v>
      </c>
      <c r="D715" s="211">
        <f t="shared" si="81"/>
        <v>10</v>
      </c>
      <c r="E715" s="211">
        <f t="shared" si="82"/>
        <v>23</v>
      </c>
      <c r="F715" s="205">
        <v>6879.5</v>
      </c>
      <c r="G715" s="205">
        <v>15768</v>
      </c>
      <c r="H715" s="207">
        <v>1903.65</v>
      </c>
      <c r="I715" s="207">
        <v>24.76</v>
      </c>
      <c r="J715" s="207">
        <v>906.7</v>
      </c>
      <c r="K715" s="207">
        <v>2398.6</v>
      </c>
      <c r="L715" s="207"/>
    </row>
    <row r="716" spans="2:12">
      <c r="B716" s="206">
        <v>44130</v>
      </c>
      <c r="C716" s="211">
        <f t="shared" si="80"/>
        <v>2020</v>
      </c>
      <c r="D716" s="211">
        <f t="shared" si="81"/>
        <v>10</v>
      </c>
      <c r="E716" s="211">
        <f t="shared" si="82"/>
        <v>26</v>
      </c>
      <c r="F716" s="205">
        <v>6806</v>
      </c>
      <c r="G716" s="205">
        <v>15397</v>
      </c>
      <c r="H716" s="207">
        <v>1898.45</v>
      </c>
      <c r="I716" s="207">
        <v>24.28</v>
      </c>
      <c r="J716" s="207">
        <v>877.4</v>
      </c>
      <c r="K716" s="207">
        <v>2368.6999999999998</v>
      </c>
      <c r="L716" s="207"/>
    </row>
    <row r="717" spans="2:12">
      <c r="B717" s="206">
        <v>44131</v>
      </c>
      <c r="C717" s="211">
        <f t="shared" si="80"/>
        <v>2020</v>
      </c>
      <c r="D717" s="211">
        <f t="shared" si="81"/>
        <v>10</v>
      </c>
      <c r="E717" s="211">
        <f t="shared" si="82"/>
        <v>27</v>
      </c>
      <c r="F717" s="205">
        <v>6787.5</v>
      </c>
      <c r="G717" s="205">
        <v>15602</v>
      </c>
      <c r="H717" s="207">
        <v>1905.7</v>
      </c>
      <c r="I717" s="207">
        <v>24.44</v>
      </c>
      <c r="J717" s="207">
        <v>886.8</v>
      </c>
      <c r="K717" s="207">
        <v>2353.9</v>
      </c>
      <c r="L717" s="207"/>
    </row>
    <row r="718" spans="2:12">
      <c r="B718" s="206">
        <v>44132</v>
      </c>
      <c r="C718" s="211">
        <f t="shared" si="80"/>
        <v>2020</v>
      </c>
      <c r="D718" s="211">
        <f t="shared" si="81"/>
        <v>10</v>
      </c>
      <c r="E718" s="211">
        <f t="shared" si="82"/>
        <v>28</v>
      </c>
      <c r="F718" s="205">
        <v>6694.5</v>
      </c>
      <c r="G718" s="205">
        <v>15819</v>
      </c>
      <c r="H718" s="207">
        <v>1869.95</v>
      </c>
      <c r="I718" s="207">
        <v>23.93</v>
      </c>
      <c r="J718" s="207">
        <v>875</v>
      </c>
      <c r="K718" s="207">
        <v>2250.6</v>
      </c>
      <c r="L718" s="207"/>
    </row>
    <row r="719" spans="2:12">
      <c r="B719" s="206">
        <v>44133</v>
      </c>
      <c r="C719" s="211">
        <f t="shared" si="80"/>
        <v>2020</v>
      </c>
      <c r="D719" s="211">
        <f t="shared" si="81"/>
        <v>10</v>
      </c>
      <c r="E719" s="211">
        <f t="shared" si="82"/>
        <v>29</v>
      </c>
      <c r="F719" s="205">
        <v>6692</v>
      </c>
      <c r="G719" s="205">
        <v>15393</v>
      </c>
      <c r="H719" s="207">
        <v>1870.3</v>
      </c>
      <c r="I719" s="207">
        <v>23.02</v>
      </c>
      <c r="J719" s="207">
        <v>849.5</v>
      </c>
      <c r="K719" s="207">
        <v>2198.5</v>
      </c>
      <c r="L719" s="207"/>
    </row>
    <row r="720" spans="2:12">
      <c r="B720" s="206">
        <v>44134</v>
      </c>
      <c r="C720" s="211">
        <f t="shared" si="80"/>
        <v>2020</v>
      </c>
      <c r="D720" s="211">
        <f t="shared" si="81"/>
        <v>10</v>
      </c>
      <c r="E720" s="211">
        <f t="shared" si="82"/>
        <v>30</v>
      </c>
      <c r="F720" s="205">
        <v>6694.5</v>
      </c>
      <c r="G720" s="205">
        <v>15256</v>
      </c>
      <c r="H720" s="207">
        <v>1881.85</v>
      </c>
      <c r="I720" s="207">
        <v>23.63</v>
      </c>
      <c r="J720" s="207">
        <v>848.4</v>
      </c>
      <c r="K720" s="207">
        <v>2217.1999999999998</v>
      </c>
      <c r="L720" s="207"/>
    </row>
    <row r="721" spans="2:12">
      <c r="B721" s="206">
        <v>44137</v>
      </c>
      <c r="C721" s="211">
        <f t="shared" si="80"/>
        <v>2020</v>
      </c>
      <c r="D721" s="211">
        <f t="shared" si="81"/>
        <v>11</v>
      </c>
      <c r="E721" s="211">
        <f t="shared" si="82"/>
        <v>2</v>
      </c>
      <c r="F721" s="205">
        <v>6712.5</v>
      </c>
      <c r="G721" s="205">
        <v>15113</v>
      </c>
      <c r="H721" s="207">
        <v>1889.9</v>
      </c>
      <c r="I721" s="207">
        <v>23.98</v>
      </c>
      <c r="J721" s="207">
        <v>859.5</v>
      </c>
      <c r="K721" s="207">
        <v>2220.4</v>
      </c>
      <c r="L721" s="207"/>
    </row>
    <row r="722" spans="2:12">
      <c r="B722" s="206">
        <v>44138</v>
      </c>
      <c r="C722" s="211">
        <f t="shared" si="80"/>
        <v>2020</v>
      </c>
      <c r="D722" s="211">
        <f t="shared" si="81"/>
        <v>11</v>
      </c>
      <c r="E722" s="211">
        <f t="shared" si="82"/>
        <v>3</v>
      </c>
      <c r="F722" s="205">
        <v>6791.5</v>
      </c>
      <c r="G722" s="205">
        <v>15365</v>
      </c>
      <c r="H722" s="207">
        <v>1908.3</v>
      </c>
      <c r="I722" s="207">
        <v>24.17</v>
      </c>
      <c r="J722" s="207">
        <v>875</v>
      </c>
      <c r="K722" s="207">
        <v>2297.8000000000002</v>
      </c>
      <c r="L722" s="207"/>
    </row>
    <row r="723" spans="2:12">
      <c r="B723" s="206">
        <v>44139</v>
      </c>
      <c r="C723" s="211">
        <f t="shared" si="80"/>
        <v>2020</v>
      </c>
      <c r="D723" s="211">
        <f t="shared" si="81"/>
        <v>11</v>
      </c>
      <c r="E723" s="211">
        <f t="shared" si="82"/>
        <v>4</v>
      </c>
      <c r="F723" s="205">
        <v>6748</v>
      </c>
      <c r="G723" s="205">
        <v>15391</v>
      </c>
      <c r="H723" s="207">
        <v>1900.15</v>
      </c>
      <c r="I723" s="207">
        <v>23.98</v>
      </c>
      <c r="J723" s="207">
        <v>870.1</v>
      </c>
      <c r="K723" s="207">
        <v>2307.6</v>
      </c>
      <c r="L723" s="207"/>
    </row>
    <row r="724" spans="2:12">
      <c r="B724" s="206">
        <v>44140</v>
      </c>
      <c r="C724" s="211">
        <f t="shared" si="80"/>
        <v>2020</v>
      </c>
      <c r="D724" s="211">
        <f t="shared" si="81"/>
        <v>11</v>
      </c>
      <c r="E724" s="211">
        <f t="shared" si="82"/>
        <v>5</v>
      </c>
      <c r="F724" s="205">
        <v>6798</v>
      </c>
      <c r="G724" s="205">
        <v>15450</v>
      </c>
      <c r="H724" s="207">
        <v>1938.45</v>
      </c>
      <c r="I724" s="207">
        <v>24.57</v>
      </c>
      <c r="J724" s="207">
        <v>899.9</v>
      </c>
      <c r="K724" s="207">
        <v>2383.6</v>
      </c>
      <c r="L724" s="207"/>
    </row>
    <row r="725" spans="2:12">
      <c r="B725" s="206">
        <v>44141</v>
      </c>
      <c r="C725" s="211">
        <f t="shared" si="80"/>
        <v>2020</v>
      </c>
      <c r="D725" s="211">
        <f t="shared" si="81"/>
        <v>11</v>
      </c>
      <c r="E725" s="211">
        <f t="shared" si="82"/>
        <v>6</v>
      </c>
      <c r="F725" s="205">
        <v>6938.5</v>
      </c>
      <c r="G725" s="205">
        <v>15532</v>
      </c>
      <c r="H725" s="207">
        <v>1940.8</v>
      </c>
      <c r="I725" s="207">
        <v>25.78</v>
      </c>
      <c r="J725" s="207">
        <v>899.4</v>
      </c>
      <c r="K725" s="207">
        <v>2500</v>
      </c>
      <c r="L725" s="207"/>
    </row>
    <row r="726" spans="2:12">
      <c r="B726" s="206">
        <v>44144</v>
      </c>
      <c r="C726" s="211">
        <f t="shared" si="80"/>
        <v>2020</v>
      </c>
      <c r="D726" s="211">
        <f t="shared" si="81"/>
        <v>11</v>
      </c>
      <c r="E726" s="211">
        <f t="shared" si="82"/>
        <v>9</v>
      </c>
      <c r="F726" s="205">
        <v>7034</v>
      </c>
      <c r="G726" s="205">
        <v>15862</v>
      </c>
      <c r="H726" s="207">
        <v>1867.3</v>
      </c>
      <c r="I726" s="207">
        <v>25.11</v>
      </c>
      <c r="J726" s="207">
        <v>867.4</v>
      </c>
      <c r="K726" s="207">
        <v>2499.1999999999998</v>
      </c>
      <c r="L726" s="207"/>
    </row>
    <row r="727" spans="2:12">
      <c r="B727" s="206">
        <v>44145</v>
      </c>
      <c r="C727" s="211">
        <f t="shared" si="80"/>
        <v>2020</v>
      </c>
      <c r="D727" s="211">
        <f t="shared" si="81"/>
        <v>11</v>
      </c>
      <c r="E727" s="211">
        <f t="shared" si="82"/>
        <v>10</v>
      </c>
      <c r="F727" s="205">
        <v>6865.5</v>
      </c>
      <c r="G727" s="205">
        <v>15700</v>
      </c>
      <c r="H727" s="207">
        <v>1878.7</v>
      </c>
      <c r="I727" s="207">
        <v>24.2</v>
      </c>
      <c r="J727" s="207">
        <v>892.7</v>
      </c>
      <c r="K727" s="207">
        <v>2471.4</v>
      </c>
      <c r="L727" s="207"/>
    </row>
    <row r="728" spans="2:12">
      <c r="B728" s="206">
        <v>44146</v>
      </c>
      <c r="C728" s="211">
        <f t="shared" si="80"/>
        <v>2020</v>
      </c>
      <c r="D728" s="211">
        <f t="shared" si="81"/>
        <v>11</v>
      </c>
      <c r="E728" s="211">
        <f t="shared" si="82"/>
        <v>11</v>
      </c>
      <c r="F728" s="205">
        <v>6912.5</v>
      </c>
      <c r="G728" s="205">
        <v>15807</v>
      </c>
      <c r="H728" s="207">
        <v>1860.95</v>
      </c>
      <c r="I728" s="207">
        <v>24.21</v>
      </c>
      <c r="J728" s="207">
        <v>868.1</v>
      </c>
      <c r="K728" s="207">
        <v>2316.8000000000002</v>
      </c>
      <c r="L728" s="207"/>
    </row>
    <row r="729" spans="2:12">
      <c r="B729" s="206">
        <v>44147</v>
      </c>
      <c r="C729" s="211">
        <f t="shared" si="80"/>
        <v>2020</v>
      </c>
      <c r="D729" s="211">
        <f t="shared" si="81"/>
        <v>11</v>
      </c>
      <c r="E729" s="211">
        <f t="shared" si="82"/>
        <v>12</v>
      </c>
      <c r="F729" s="205">
        <v>6904</v>
      </c>
      <c r="G729" s="205">
        <v>15874</v>
      </c>
      <c r="H729" s="207">
        <v>1874.85</v>
      </c>
      <c r="I729" s="207">
        <v>24.22</v>
      </c>
      <c r="J729" s="207">
        <v>884</v>
      </c>
      <c r="K729" s="207">
        <v>2341.9</v>
      </c>
      <c r="L729" s="207"/>
    </row>
    <row r="730" spans="2:12">
      <c r="B730" s="206">
        <v>44148</v>
      </c>
      <c r="C730" s="211">
        <f t="shared" si="80"/>
        <v>2020</v>
      </c>
      <c r="D730" s="211">
        <f t="shared" si="81"/>
        <v>11</v>
      </c>
      <c r="E730" s="211">
        <f t="shared" si="82"/>
        <v>13</v>
      </c>
      <c r="F730" s="205">
        <v>6926</v>
      </c>
      <c r="G730" s="205">
        <v>15815</v>
      </c>
      <c r="H730" s="207">
        <v>1890.9</v>
      </c>
      <c r="I730" s="207">
        <v>24.25</v>
      </c>
      <c r="J730" s="207">
        <v>896</v>
      </c>
      <c r="K730" s="207">
        <v>2329.6999999999998</v>
      </c>
      <c r="L730" s="207"/>
    </row>
    <row r="731" spans="2:12">
      <c r="B731" s="206">
        <v>44151</v>
      </c>
      <c r="C731" s="211">
        <f t="shared" si="80"/>
        <v>2020</v>
      </c>
      <c r="D731" s="211">
        <f t="shared" si="81"/>
        <v>11</v>
      </c>
      <c r="E731" s="211">
        <f t="shared" si="82"/>
        <v>16</v>
      </c>
      <c r="F731" s="205">
        <v>7113</v>
      </c>
      <c r="G731" s="205">
        <v>16030</v>
      </c>
      <c r="H731" s="207">
        <v>1885.6</v>
      </c>
      <c r="I731" s="207">
        <v>24.27</v>
      </c>
      <c r="J731" s="207">
        <v>927.5</v>
      </c>
      <c r="K731" s="207">
        <v>2345.1</v>
      </c>
      <c r="L731" s="207"/>
    </row>
    <row r="732" spans="2:12">
      <c r="B732" s="206">
        <v>44152</v>
      </c>
      <c r="C732" s="211">
        <f t="shared" si="80"/>
        <v>2020</v>
      </c>
      <c r="D732" s="211">
        <f t="shared" si="81"/>
        <v>11</v>
      </c>
      <c r="E732" s="211">
        <f t="shared" si="82"/>
        <v>17</v>
      </c>
      <c r="F732" s="205">
        <v>7050</v>
      </c>
      <c r="G732" s="205">
        <v>15703</v>
      </c>
      <c r="H732" s="207">
        <v>1889.05</v>
      </c>
      <c r="I732" s="207">
        <v>24.63</v>
      </c>
      <c r="J732" s="207">
        <v>937.1</v>
      </c>
      <c r="K732" s="207">
        <v>2326.5</v>
      </c>
      <c r="L732" s="207"/>
    </row>
    <row r="733" spans="2:12">
      <c r="B733" s="206">
        <v>44153</v>
      </c>
      <c r="C733" s="211">
        <f t="shared" si="80"/>
        <v>2020</v>
      </c>
      <c r="D733" s="211">
        <f t="shared" si="81"/>
        <v>11</v>
      </c>
      <c r="E733" s="211">
        <f t="shared" si="82"/>
        <v>18</v>
      </c>
      <c r="F733" s="205">
        <v>7083</v>
      </c>
      <c r="G733" s="205">
        <v>15745</v>
      </c>
      <c r="H733" s="207">
        <v>1876.1</v>
      </c>
      <c r="I733" s="207">
        <v>24.32</v>
      </c>
      <c r="J733" s="207">
        <v>950.9</v>
      </c>
      <c r="K733" s="207">
        <v>2354</v>
      </c>
      <c r="L733" s="207"/>
    </row>
    <row r="734" spans="2:12">
      <c r="B734" s="206">
        <v>44154</v>
      </c>
      <c r="C734" s="211">
        <f t="shared" si="80"/>
        <v>2020</v>
      </c>
      <c r="D734" s="211">
        <f t="shared" si="81"/>
        <v>11</v>
      </c>
      <c r="E734" s="211">
        <f t="shared" si="82"/>
        <v>19</v>
      </c>
      <c r="F734" s="205">
        <v>7028</v>
      </c>
      <c r="G734" s="205">
        <v>15690</v>
      </c>
      <c r="H734" s="207">
        <v>1857.35</v>
      </c>
      <c r="I734" s="207">
        <v>23.98</v>
      </c>
      <c r="J734" s="207">
        <v>951.5</v>
      </c>
      <c r="K734" s="207">
        <v>2319.8000000000002</v>
      </c>
      <c r="L734" s="207"/>
    </row>
    <row r="735" spans="2:12">
      <c r="B735" s="206">
        <v>44155</v>
      </c>
      <c r="C735" s="211">
        <f t="shared" si="80"/>
        <v>2020</v>
      </c>
      <c r="D735" s="211">
        <f t="shared" si="81"/>
        <v>11</v>
      </c>
      <c r="E735" s="211">
        <f t="shared" si="82"/>
        <v>20</v>
      </c>
      <c r="F735" s="205">
        <v>7178.5</v>
      </c>
      <c r="G735" s="205">
        <v>15870</v>
      </c>
      <c r="H735" s="207">
        <v>1875.7</v>
      </c>
      <c r="I735" s="207">
        <v>24.17</v>
      </c>
      <c r="J735" s="207">
        <v>957.2</v>
      </c>
      <c r="K735" s="207">
        <v>2323.3000000000002</v>
      </c>
      <c r="L735" s="207"/>
    </row>
    <row r="736" spans="2:12">
      <c r="B736" s="206">
        <v>44158</v>
      </c>
      <c r="C736" s="211">
        <f t="shared" si="80"/>
        <v>2020</v>
      </c>
      <c r="D736" s="211">
        <f t="shared" si="81"/>
        <v>11</v>
      </c>
      <c r="E736" s="211">
        <f t="shared" si="82"/>
        <v>23</v>
      </c>
      <c r="F736" s="205">
        <v>7215.5</v>
      </c>
      <c r="G736" s="205">
        <v>16017</v>
      </c>
      <c r="H736" s="207">
        <v>1840.2</v>
      </c>
      <c r="I736" s="207">
        <v>23.91</v>
      </c>
      <c r="J736" s="207">
        <v>931.7</v>
      </c>
      <c r="K736" s="207">
        <v>2353.8000000000002</v>
      </c>
      <c r="L736" s="207"/>
    </row>
    <row r="737" spans="2:12">
      <c r="B737" s="206">
        <v>44159</v>
      </c>
      <c r="C737" s="211">
        <f t="shared" si="80"/>
        <v>2020</v>
      </c>
      <c r="D737" s="211">
        <f t="shared" si="81"/>
        <v>11</v>
      </c>
      <c r="E737" s="211">
        <f t="shared" si="82"/>
        <v>24</v>
      </c>
      <c r="F737" s="205">
        <v>7302</v>
      </c>
      <c r="G737" s="205">
        <v>16007</v>
      </c>
      <c r="H737" s="207">
        <v>1799.6</v>
      </c>
      <c r="I737" s="207">
        <v>23.16</v>
      </c>
      <c r="J737" s="207">
        <v>958.3</v>
      </c>
      <c r="K737" s="207">
        <v>2356.12</v>
      </c>
      <c r="L737" s="207"/>
    </row>
    <row r="738" spans="2:12">
      <c r="B738" s="206">
        <v>44160</v>
      </c>
      <c r="C738" s="211">
        <f t="shared" si="80"/>
        <v>2020</v>
      </c>
      <c r="D738" s="211">
        <f t="shared" si="81"/>
        <v>11</v>
      </c>
      <c r="E738" s="211">
        <f t="shared" si="82"/>
        <v>25</v>
      </c>
      <c r="F738" s="205">
        <v>7238.5</v>
      </c>
      <c r="G738" s="205">
        <v>15975</v>
      </c>
      <c r="H738" s="207">
        <v>1810.2</v>
      </c>
      <c r="I738" s="207">
        <v>23.41</v>
      </c>
      <c r="J738" s="207">
        <v>969.8</v>
      </c>
      <c r="K738" s="207">
        <v>2351.44</v>
      </c>
      <c r="L738" s="207"/>
    </row>
    <row r="739" spans="2:12">
      <c r="B739" s="206">
        <v>44161</v>
      </c>
      <c r="C739" s="211">
        <f t="shared" si="80"/>
        <v>2020</v>
      </c>
      <c r="D739" s="211">
        <f t="shared" si="81"/>
        <v>11</v>
      </c>
      <c r="E739" s="211">
        <f t="shared" si="82"/>
        <v>26</v>
      </c>
      <c r="F739" s="205">
        <v>7356.5</v>
      </c>
      <c r="G739" s="205">
        <v>16055</v>
      </c>
      <c r="H739" s="207">
        <v>1807.4</v>
      </c>
      <c r="I739" s="207">
        <v>23.36</v>
      </c>
      <c r="J739" s="207" t="s">
        <v>338</v>
      </c>
      <c r="K739" s="207" t="s">
        <v>338</v>
      </c>
      <c r="L739" s="207"/>
    </row>
    <row r="740" spans="2:12">
      <c r="B740" s="206">
        <v>44162</v>
      </c>
      <c r="C740" s="211">
        <f t="shared" si="80"/>
        <v>2020</v>
      </c>
      <c r="D740" s="211">
        <f t="shared" si="81"/>
        <v>11</v>
      </c>
      <c r="E740" s="211">
        <f t="shared" si="82"/>
        <v>27</v>
      </c>
      <c r="F740" s="205">
        <v>7462</v>
      </c>
      <c r="G740" s="205">
        <v>16373</v>
      </c>
      <c r="H740" s="207">
        <v>1779.3</v>
      </c>
      <c r="I740" s="207">
        <v>23.14</v>
      </c>
      <c r="J740" s="207">
        <v>964.8</v>
      </c>
      <c r="K740" s="207">
        <v>2433.58</v>
      </c>
      <c r="L740" s="207"/>
    </row>
    <row r="741" spans="2:12">
      <c r="B741" s="206">
        <v>44165</v>
      </c>
      <c r="C741" s="211">
        <f t="shared" si="80"/>
        <v>2020</v>
      </c>
      <c r="D741" s="211">
        <f t="shared" si="81"/>
        <v>11</v>
      </c>
      <c r="E741" s="211">
        <f t="shared" si="82"/>
        <v>30</v>
      </c>
      <c r="F741" s="205">
        <v>7674.5</v>
      </c>
      <c r="G741" s="205">
        <v>16343</v>
      </c>
      <c r="H741" s="207">
        <v>1762.55</v>
      </c>
      <c r="I741" s="207">
        <v>22.15</v>
      </c>
      <c r="J741" s="207">
        <v>965.9</v>
      </c>
      <c r="K741" s="207">
        <v>2403.2800000000002</v>
      </c>
      <c r="L741" s="207"/>
    </row>
    <row r="742" spans="2:12">
      <c r="B742" s="206">
        <v>44166</v>
      </c>
      <c r="C742" s="211">
        <f t="shared" si="80"/>
        <v>2020</v>
      </c>
      <c r="D742" s="211">
        <f t="shared" si="81"/>
        <v>12</v>
      </c>
      <c r="E742" s="211">
        <f t="shared" si="82"/>
        <v>1</v>
      </c>
      <c r="F742" s="205">
        <v>7644</v>
      </c>
      <c r="G742" s="205">
        <v>16102</v>
      </c>
      <c r="H742" s="207">
        <v>1810.75</v>
      </c>
      <c r="I742" s="207">
        <v>23.54</v>
      </c>
      <c r="J742" s="207">
        <v>1003.9</v>
      </c>
      <c r="K742" s="207">
        <v>2429.6999999999998</v>
      </c>
      <c r="L742" s="207"/>
    </row>
    <row r="743" spans="2:12">
      <c r="B743" s="206">
        <v>44167</v>
      </c>
      <c r="C743" s="211">
        <f t="shared" si="80"/>
        <v>2020</v>
      </c>
      <c r="D743" s="211">
        <f t="shared" si="81"/>
        <v>12</v>
      </c>
      <c r="E743" s="211">
        <f t="shared" si="82"/>
        <v>2</v>
      </c>
      <c r="F743" s="205">
        <v>7616.5</v>
      </c>
      <c r="G743" s="205">
        <v>15850</v>
      </c>
      <c r="H743" s="207">
        <v>1822.6</v>
      </c>
      <c r="I743" s="207">
        <v>23.98</v>
      </c>
      <c r="J743" s="207">
        <v>1012.1</v>
      </c>
      <c r="K743" s="207">
        <v>2408.1999999999998</v>
      </c>
      <c r="L743" s="207"/>
    </row>
    <row r="744" spans="2:12">
      <c r="B744" s="206">
        <v>44168</v>
      </c>
      <c r="C744" s="211">
        <f t="shared" si="80"/>
        <v>2020</v>
      </c>
      <c r="D744" s="211">
        <f t="shared" si="81"/>
        <v>12</v>
      </c>
      <c r="E744" s="211">
        <f t="shared" si="82"/>
        <v>3</v>
      </c>
      <c r="F744" s="205">
        <v>7679</v>
      </c>
      <c r="G744" s="205">
        <v>15937</v>
      </c>
      <c r="H744" s="207">
        <v>1832.35</v>
      </c>
      <c r="I744" s="207">
        <v>24.17</v>
      </c>
      <c r="J744" s="207">
        <v>1038.5999999999999</v>
      </c>
      <c r="K744" s="207">
        <v>2317.9</v>
      </c>
      <c r="L744" s="207"/>
    </row>
    <row r="745" spans="2:12">
      <c r="B745" s="206">
        <v>44169</v>
      </c>
      <c r="C745" s="211">
        <f t="shared" si="80"/>
        <v>2020</v>
      </c>
      <c r="D745" s="211">
        <f t="shared" si="81"/>
        <v>12</v>
      </c>
      <c r="E745" s="211">
        <f t="shared" si="82"/>
        <v>4</v>
      </c>
      <c r="F745" s="205">
        <v>7741.5</v>
      </c>
      <c r="G745" s="205">
        <v>16020</v>
      </c>
      <c r="H745" s="207">
        <v>1843</v>
      </c>
      <c r="I745" s="207">
        <v>24.23</v>
      </c>
      <c r="J745" s="207">
        <v>1072.8</v>
      </c>
      <c r="K745" s="207">
        <v>2357.8000000000002</v>
      </c>
      <c r="L745" s="207"/>
    </row>
    <row r="746" spans="2:12">
      <c r="B746" s="206">
        <v>44172</v>
      </c>
      <c r="C746" s="211">
        <f t="shared" si="80"/>
        <v>2020</v>
      </c>
      <c r="D746" s="211">
        <f t="shared" si="81"/>
        <v>12</v>
      </c>
      <c r="E746" s="211">
        <f t="shared" si="82"/>
        <v>7</v>
      </c>
      <c r="F746" s="205">
        <v>7656.5</v>
      </c>
      <c r="G746" s="205">
        <v>16290</v>
      </c>
      <c r="H746" s="207">
        <v>1859.95</v>
      </c>
      <c r="I746" s="207">
        <v>23.75</v>
      </c>
      <c r="J746" s="207">
        <v>1049.4000000000001</v>
      </c>
      <c r="K746" s="207">
        <v>2351.3000000000002</v>
      </c>
      <c r="L746" s="207"/>
    </row>
    <row r="747" spans="2:12">
      <c r="B747" s="206">
        <v>44173</v>
      </c>
      <c r="C747" s="211">
        <f t="shared" si="80"/>
        <v>2020</v>
      </c>
      <c r="D747" s="211">
        <f t="shared" si="81"/>
        <v>12</v>
      </c>
      <c r="E747" s="211">
        <f t="shared" si="82"/>
        <v>8</v>
      </c>
      <c r="F747" s="205">
        <v>7635</v>
      </c>
      <c r="G747" s="205">
        <v>16390</v>
      </c>
      <c r="H747" s="207">
        <v>1868.15</v>
      </c>
      <c r="I747" s="207">
        <v>24.48</v>
      </c>
      <c r="J747" s="207">
        <v>1037</v>
      </c>
      <c r="K747" s="207">
        <v>2327.9</v>
      </c>
      <c r="L747" s="207"/>
    </row>
    <row r="748" spans="2:12">
      <c r="B748" s="206">
        <v>44174</v>
      </c>
      <c r="C748" s="211">
        <f t="shared" si="80"/>
        <v>2020</v>
      </c>
      <c r="D748" s="211">
        <f t="shared" si="81"/>
        <v>12</v>
      </c>
      <c r="E748" s="211">
        <f t="shared" si="82"/>
        <v>9</v>
      </c>
      <c r="F748" s="205">
        <v>7704.5</v>
      </c>
      <c r="G748" s="205">
        <v>16475</v>
      </c>
      <c r="H748" s="207">
        <v>1841.75</v>
      </c>
      <c r="I748" s="207">
        <v>24.09</v>
      </c>
      <c r="J748" s="207">
        <v>1018.5</v>
      </c>
      <c r="K748" s="207">
        <v>2290.6</v>
      </c>
      <c r="L748" s="207"/>
    </row>
    <row r="749" spans="2:12">
      <c r="B749" s="206">
        <v>44175</v>
      </c>
      <c r="C749" s="211">
        <f t="shared" si="80"/>
        <v>2020</v>
      </c>
      <c r="D749" s="211">
        <f t="shared" si="81"/>
        <v>12</v>
      </c>
      <c r="E749" s="211">
        <f t="shared" si="82"/>
        <v>10</v>
      </c>
      <c r="F749" s="205">
        <v>7712</v>
      </c>
      <c r="G749" s="205">
        <v>16807</v>
      </c>
      <c r="H749" s="207">
        <v>1844.35</v>
      </c>
      <c r="I749" s="207">
        <v>23.89</v>
      </c>
      <c r="J749" s="207">
        <v>1027.7</v>
      </c>
      <c r="K749" s="207">
        <v>2335.5</v>
      </c>
      <c r="L749" s="207"/>
    </row>
    <row r="750" spans="2:12">
      <c r="B750" s="206">
        <v>44176</v>
      </c>
      <c r="C750" s="211">
        <f t="shared" si="80"/>
        <v>2020</v>
      </c>
      <c r="D750" s="211">
        <f t="shared" si="81"/>
        <v>12</v>
      </c>
      <c r="E750" s="211">
        <f t="shared" si="82"/>
        <v>11</v>
      </c>
      <c r="F750" s="205">
        <v>7741</v>
      </c>
      <c r="G750" s="205">
        <v>17192</v>
      </c>
      <c r="H750" s="207">
        <v>1842</v>
      </c>
      <c r="I750" s="207">
        <v>23.82</v>
      </c>
      <c r="J750" s="207">
        <v>1021.8</v>
      </c>
      <c r="K750" s="207">
        <v>2333.1</v>
      </c>
      <c r="L750" s="207"/>
    </row>
    <row r="751" spans="2:12">
      <c r="B751" s="206">
        <v>44179</v>
      </c>
      <c r="C751" s="211">
        <f t="shared" si="80"/>
        <v>2020</v>
      </c>
      <c r="D751" s="211">
        <f t="shared" si="81"/>
        <v>12</v>
      </c>
      <c r="E751" s="211">
        <f t="shared" si="82"/>
        <v>14</v>
      </c>
      <c r="F751" s="205">
        <v>7763</v>
      </c>
      <c r="G751" s="205">
        <v>17594</v>
      </c>
      <c r="H751" s="207">
        <v>1831.15</v>
      </c>
      <c r="I751" s="207">
        <v>23.86</v>
      </c>
      <c r="J751" s="207">
        <v>1015.6</v>
      </c>
      <c r="K751" s="207">
        <v>2318.9</v>
      </c>
      <c r="L751" s="207"/>
    </row>
    <row r="752" spans="2:12">
      <c r="B752" s="206">
        <v>44180</v>
      </c>
      <c r="C752" s="211">
        <f t="shared" si="80"/>
        <v>2020</v>
      </c>
      <c r="D752" s="211">
        <f t="shared" si="81"/>
        <v>12</v>
      </c>
      <c r="E752" s="211">
        <f t="shared" si="82"/>
        <v>15</v>
      </c>
      <c r="F752" s="205">
        <v>7753</v>
      </c>
      <c r="G752" s="205">
        <v>17650</v>
      </c>
      <c r="H752" s="207">
        <v>1850.65</v>
      </c>
      <c r="I752" s="207">
        <v>24.22</v>
      </c>
      <c r="J752" s="207">
        <v>1039.3</v>
      </c>
      <c r="K752" s="207">
        <v>2324</v>
      </c>
      <c r="L752" s="207"/>
    </row>
    <row r="753" spans="2:12">
      <c r="B753" s="206">
        <v>44181</v>
      </c>
      <c r="C753" s="211">
        <f t="shared" si="80"/>
        <v>2020</v>
      </c>
      <c r="D753" s="211">
        <f t="shared" si="81"/>
        <v>12</v>
      </c>
      <c r="E753" s="211">
        <f t="shared" si="82"/>
        <v>16</v>
      </c>
      <c r="F753" s="205">
        <v>7823</v>
      </c>
      <c r="G753" s="205">
        <v>17355</v>
      </c>
      <c r="H753" s="207">
        <v>1851.95</v>
      </c>
      <c r="I753" s="207">
        <v>25.13</v>
      </c>
      <c r="J753" s="207">
        <v>1035.4000000000001</v>
      </c>
      <c r="K753" s="207">
        <v>2348.1999999999998</v>
      </c>
      <c r="L753" s="207"/>
    </row>
    <row r="754" spans="2:12">
      <c r="B754" s="206">
        <v>44182</v>
      </c>
      <c r="C754" s="211">
        <f t="shared" si="80"/>
        <v>2020</v>
      </c>
      <c r="D754" s="211">
        <f t="shared" si="81"/>
        <v>12</v>
      </c>
      <c r="E754" s="211">
        <f t="shared" si="82"/>
        <v>17</v>
      </c>
      <c r="F754" s="205">
        <v>7893</v>
      </c>
      <c r="G754" s="205">
        <v>17520</v>
      </c>
      <c r="H754" s="207">
        <v>1890.75</v>
      </c>
      <c r="I754" s="207">
        <v>25.74</v>
      </c>
      <c r="J754" s="207">
        <v>1050.0999999999999</v>
      </c>
      <c r="K754" s="207">
        <v>2347.5</v>
      </c>
      <c r="L754" s="207"/>
    </row>
    <row r="755" spans="2:12">
      <c r="B755" s="206">
        <v>44183</v>
      </c>
      <c r="C755" s="211">
        <f t="shared" si="80"/>
        <v>2020</v>
      </c>
      <c r="D755" s="211">
        <f t="shared" si="81"/>
        <v>12</v>
      </c>
      <c r="E755" s="211">
        <f t="shared" si="82"/>
        <v>18</v>
      </c>
      <c r="F755" s="205">
        <v>7964</v>
      </c>
      <c r="G755" s="205">
        <v>17551</v>
      </c>
      <c r="H755" s="207">
        <v>1879.75</v>
      </c>
      <c r="I755" s="207">
        <v>25.82</v>
      </c>
      <c r="J755" s="207">
        <v>1043.0999999999999</v>
      </c>
      <c r="K755" s="207">
        <v>2372</v>
      </c>
      <c r="L755" s="207"/>
    </row>
    <row r="756" spans="2:12">
      <c r="B756" s="206">
        <v>44186</v>
      </c>
      <c r="C756" s="211">
        <f t="shared" si="80"/>
        <v>2020</v>
      </c>
      <c r="D756" s="211">
        <f t="shared" si="81"/>
        <v>12</v>
      </c>
      <c r="E756" s="211">
        <f t="shared" si="82"/>
        <v>21</v>
      </c>
      <c r="F756" s="205">
        <v>7838.5</v>
      </c>
      <c r="G756" s="205">
        <v>17342</v>
      </c>
      <c r="H756" s="207">
        <v>1880</v>
      </c>
      <c r="I756" s="207">
        <v>26.16</v>
      </c>
      <c r="J756" s="207">
        <v>1016.1</v>
      </c>
      <c r="K756" s="207">
        <v>2316.4</v>
      </c>
      <c r="L756" s="207"/>
    </row>
    <row r="757" spans="2:12">
      <c r="B757" s="206">
        <v>44187</v>
      </c>
      <c r="C757" s="211">
        <f t="shared" si="80"/>
        <v>2020</v>
      </c>
      <c r="D757" s="211">
        <f t="shared" si="81"/>
        <v>12</v>
      </c>
      <c r="E757" s="211">
        <f t="shared" si="82"/>
        <v>22</v>
      </c>
      <c r="F757" s="205">
        <v>7753</v>
      </c>
      <c r="G757" s="205">
        <v>16913</v>
      </c>
      <c r="H757" s="207">
        <v>1877.1</v>
      </c>
      <c r="I757" s="207">
        <v>25.77</v>
      </c>
      <c r="J757" s="207">
        <v>1009.4</v>
      </c>
      <c r="K757" s="207">
        <v>2323.1</v>
      </c>
      <c r="L757" s="207"/>
    </row>
    <row r="758" spans="2:12">
      <c r="B758" s="206">
        <v>44188</v>
      </c>
      <c r="C758" s="211">
        <f t="shared" si="80"/>
        <v>2020</v>
      </c>
      <c r="D758" s="211">
        <f t="shared" si="81"/>
        <v>12</v>
      </c>
      <c r="E758" s="211">
        <f t="shared" si="82"/>
        <v>23</v>
      </c>
      <c r="F758" s="205">
        <v>7764.5</v>
      </c>
      <c r="G758" s="205">
        <v>16691</v>
      </c>
      <c r="H758" s="207">
        <v>1875</v>
      </c>
      <c r="I758" s="207">
        <v>25.32</v>
      </c>
      <c r="J758" s="207">
        <v>1017.1</v>
      </c>
      <c r="K758" s="207">
        <v>2339.1</v>
      </c>
      <c r="L758" s="207"/>
    </row>
    <row r="759" spans="2:12">
      <c r="B759" s="206">
        <v>44189</v>
      </c>
      <c r="C759" s="211">
        <f t="shared" si="80"/>
        <v>2020</v>
      </c>
      <c r="D759" s="211">
        <f t="shared" si="81"/>
        <v>12</v>
      </c>
      <c r="E759" s="211">
        <f t="shared" si="82"/>
        <v>24</v>
      </c>
      <c r="F759" s="205">
        <v>7793</v>
      </c>
      <c r="G759" s="205">
        <v>16951</v>
      </c>
      <c r="H759" s="207" t="s">
        <v>338</v>
      </c>
      <c r="I759" s="207">
        <v>25.78</v>
      </c>
      <c r="J759" s="207">
        <v>1028.9000000000001</v>
      </c>
      <c r="K759" s="207">
        <v>2345.9</v>
      </c>
      <c r="L759" s="207"/>
    </row>
    <row r="760" spans="2:12">
      <c r="B760" s="206">
        <v>44194</v>
      </c>
      <c r="C760" s="211">
        <f t="shared" si="80"/>
        <v>2020</v>
      </c>
      <c r="D760" s="211">
        <f t="shared" si="81"/>
        <v>12</v>
      </c>
      <c r="E760" s="211">
        <f t="shared" si="82"/>
        <v>29</v>
      </c>
      <c r="F760" s="205">
        <v>7840</v>
      </c>
      <c r="G760" s="205">
        <v>17003</v>
      </c>
      <c r="H760" s="207">
        <v>1874.3</v>
      </c>
      <c r="I760" s="207">
        <v>26.15</v>
      </c>
      <c r="J760" s="207">
        <v>1059</v>
      </c>
      <c r="K760" s="207">
        <v>2344.3000000000002</v>
      </c>
      <c r="L760" s="207"/>
    </row>
    <row r="761" spans="2:12">
      <c r="B761" s="206">
        <v>44195</v>
      </c>
      <c r="C761" s="211">
        <f t="shared" si="80"/>
        <v>2020</v>
      </c>
      <c r="D761" s="211">
        <f t="shared" si="81"/>
        <v>12</v>
      </c>
      <c r="E761" s="211">
        <f t="shared" si="82"/>
        <v>30</v>
      </c>
      <c r="F761" s="205">
        <v>7803.5</v>
      </c>
      <c r="G761" s="205">
        <v>16775</v>
      </c>
      <c r="H761" s="207">
        <v>1887.6</v>
      </c>
      <c r="I761" s="207">
        <v>26.31</v>
      </c>
      <c r="J761" s="207">
        <v>1076.1400000000001</v>
      </c>
      <c r="K761" s="207">
        <v>2378.4</v>
      </c>
      <c r="L761" s="207"/>
    </row>
    <row r="762" spans="2:12">
      <c r="B762" s="206">
        <v>44196</v>
      </c>
      <c r="C762" s="211">
        <f t="shared" si="80"/>
        <v>2020</v>
      </c>
      <c r="D762" s="211">
        <f t="shared" si="81"/>
        <v>12</v>
      </c>
      <c r="E762" s="211">
        <f t="shared" si="82"/>
        <v>31</v>
      </c>
      <c r="F762" s="205">
        <v>7741.5</v>
      </c>
      <c r="G762" s="205">
        <v>16540</v>
      </c>
      <c r="H762" s="207" t="s">
        <v>338</v>
      </c>
      <c r="I762" s="207">
        <v>26.49</v>
      </c>
      <c r="J762" s="207">
        <v>1078.44</v>
      </c>
      <c r="K762" s="207">
        <v>2453.8000000000002</v>
      </c>
      <c r="L762" s="207"/>
    </row>
    <row r="763" spans="2:12">
      <c r="B763" s="206">
        <v>44200</v>
      </c>
      <c r="C763" s="211">
        <f t="shared" si="80"/>
        <v>2021</v>
      </c>
      <c r="D763" s="211">
        <f t="shared" si="81"/>
        <v>1</v>
      </c>
      <c r="E763" s="211">
        <f t="shared" si="82"/>
        <v>4</v>
      </c>
      <c r="F763" s="205">
        <v>7918.5</v>
      </c>
      <c r="G763" s="205">
        <v>17344</v>
      </c>
      <c r="H763" s="207">
        <v>1943.2</v>
      </c>
      <c r="I763" s="207">
        <v>27.27</v>
      </c>
      <c r="J763" s="207">
        <v>1071.5</v>
      </c>
      <c r="K763" s="207">
        <v>2391.1999999999998</v>
      </c>
      <c r="L763" s="207"/>
    </row>
    <row r="764" spans="2:12">
      <c r="B764" s="206">
        <v>44201</v>
      </c>
      <c r="C764" s="211">
        <f t="shared" si="80"/>
        <v>2021</v>
      </c>
      <c r="D764" s="211">
        <f t="shared" si="81"/>
        <v>1</v>
      </c>
      <c r="E764" s="211">
        <f t="shared" si="82"/>
        <v>5</v>
      </c>
      <c r="F764" s="205">
        <v>7914</v>
      </c>
      <c r="G764" s="205">
        <v>17517</v>
      </c>
      <c r="H764" s="207">
        <v>1940.35</v>
      </c>
      <c r="I764" s="207">
        <v>27.51</v>
      </c>
      <c r="J764" s="207">
        <v>1119.5999999999999</v>
      </c>
      <c r="K764" s="207">
        <v>2493.4</v>
      </c>
      <c r="L764" s="207"/>
    </row>
    <row r="765" spans="2:12">
      <c r="B765" s="206">
        <v>44202</v>
      </c>
      <c r="C765" s="211">
        <f t="shared" si="80"/>
        <v>2021</v>
      </c>
      <c r="D765" s="211">
        <f t="shared" si="81"/>
        <v>1</v>
      </c>
      <c r="E765" s="211">
        <f t="shared" si="82"/>
        <v>6</v>
      </c>
      <c r="F765" s="205">
        <v>8129.5</v>
      </c>
      <c r="G765" s="205">
        <v>17796</v>
      </c>
      <c r="H765" s="207">
        <v>1931.35</v>
      </c>
      <c r="I765" s="207">
        <v>27.53</v>
      </c>
      <c r="J765" s="207">
        <v>1110.2</v>
      </c>
      <c r="K765" s="207">
        <v>2448.1</v>
      </c>
      <c r="L765" s="207"/>
    </row>
    <row r="766" spans="2:12">
      <c r="B766" s="206">
        <v>44203</v>
      </c>
      <c r="C766" s="211">
        <f t="shared" si="80"/>
        <v>2021</v>
      </c>
      <c r="D766" s="211">
        <f t="shared" si="81"/>
        <v>1</v>
      </c>
      <c r="E766" s="211">
        <f t="shared" si="82"/>
        <v>7</v>
      </c>
      <c r="F766" s="205">
        <v>8036.5</v>
      </c>
      <c r="G766" s="205">
        <v>17929</v>
      </c>
      <c r="H766" s="207">
        <v>1920.1</v>
      </c>
      <c r="I766" s="207">
        <v>27.13</v>
      </c>
      <c r="J766" s="207">
        <v>1124.5999999999999</v>
      </c>
      <c r="K766" s="207">
        <v>2431.6</v>
      </c>
      <c r="L766" s="207"/>
    </row>
    <row r="767" spans="2:12">
      <c r="B767" s="206">
        <v>44204</v>
      </c>
      <c r="C767" s="211">
        <f t="shared" si="80"/>
        <v>2021</v>
      </c>
      <c r="D767" s="211">
        <f t="shared" si="81"/>
        <v>1</v>
      </c>
      <c r="E767" s="211">
        <f t="shared" si="82"/>
        <v>8</v>
      </c>
      <c r="F767" s="205">
        <v>8146</v>
      </c>
      <c r="G767" s="205">
        <v>17890</v>
      </c>
      <c r="H767" s="207">
        <v>1862.9</v>
      </c>
      <c r="I767" s="207">
        <v>26.65</v>
      </c>
      <c r="J767" s="207">
        <v>1071.3</v>
      </c>
      <c r="K767" s="207">
        <v>2365</v>
      </c>
      <c r="L767" s="207"/>
    </row>
    <row r="768" spans="2:12">
      <c r="B768" s="206">
        <v>44207</v>
      </c>
      <c r="C768" s="211">
        <f t="shared" si="80"/>
        <v>2021</v>
      </c>
      <c r="D768" s="211">
        <f t="shared" si="81"/>
        <v>1</v>
      </c>
      <c r="E768" s="211">
        <f t="shared" si="82"/>
        <v>11</v>
      </c>
      <c r="F768" s="205">
        <v>7951.5</v>
      </c>
      <c r="G768" s="205">
        <v>17164</v>
      </c>
      <c r="H768" s="207">
        <v>1847.25</v>
      </c>
      <c r="I768" s="207">
        <v>25.02</v>
      </c>
      <c r="J768" s="207">
        <v>1044.5999999999999</v>
      </c>
      <c r="K768" s="207">
        <v>2378.8000000000002</v>
      </c>
      <c r="L768" s="207"/>
    </row>
    <row r="769" spans="2:12">
      <c r="B769" s="206">
        <v>44208</v>
      </c>
      <c r="C769" s="211">
        <f t="shared" si="80"/>
        <v>2021</v>
      </c>
      <c r="D769" s="211">
        <f t="shared" si="81"/>
        <v>1</v>
      </c>
      <c r="E769" s="211">
        <f t="shared" si="82"/>
        <v>12</v>
      </c>
      <c r="F769" s="205">
        <v>7983</v>
      </c>
      <c r="G769" s="205">
        <v>17665</v>
      </c>
      <c r="H769" s="207">
        <v>1841.25</v>
      </c>
      <c r="I769" s="207">
        <v>25.53</v>
      </c>
      <c r="J769" s="207">
        <v>1067.8</v>
      </c>
      <c r="K769" s="207">
        <v>2376.1999999999998</v>
      </c>
      <c r="L769" s="207"/>
    </row>
    <row r="770" spans="2:12">
      <c r="B770" s="206">
        <v>44209</v>
      </c>
      <c r="C770" s="211">
        <f t="shared" si="80"/>
        <v>2021</v>
      </c>
      <c r="D770" s="211">
        <f t="shared" si="81"/>
        <v>1</v>
      </c>
      <c r="E770" s="211">
        <f t="shared" si="82"/>
        <v>13</v>
      </c>
      <c r="F770" s="205">
        <v>7960.5</v>
      </c>
      <c r="G770" s="205">
        <v>17675</v>
      </c>
      <c r="H770" s="207">
        <v>1858.85</v>
      </c>
      <c r="I770" s="207">
        <v>25.34</v>
      </c>
      <c r="J770" s="207">
        <v>1110.7</v>
      </c>
      <c r="K770" s="207">
        <v>2397.1</v>
      </c>
      <c r="L770" s="207"/>
    </row>
    <row r="771" spans="2:12">
      <c r="B771" s="206">
        <v>44210</v>
      </c>
      <c r="C771" s="211">
        <f t="shared" si="80"/>
        <v>2021</v>
      </c>
      <c r="D771" s="211">
        <f t="shared" si="81"/>
        <v>1</v>
      </c>
      <c r="E771" s="211">
        <f t="shared" si="82"/>
        <v>14</v>
      </c>
      <c r="F771" s="205">
        <v>8002.5</v>
      </c>
      <c r="G771" s="205">
        <v>17951</v>
      </c>
      <c r="H771" s="207">
        <v>1841.75</v>
      </c>
      <c r="I771" s="207">
        <v>25.25</v>
      </c>
      <c r="J771" s="207">
        <v>1126.4000000000001</v>
      </c>
      <c r="K771" s="207">
        <v>2423.3000000000002</v>
      </c>
      <c r="L771" s="207"/>
    </row>
    <row r="772" spans="2:12">
      <c r="B772" s="206">
        <v>44211</v>
      </c>
      <c r="C772" s="211">
        <f t="shared" ref="C772:C835" si="83">YEAR(B772)</f>
        <v>2021</v>
      </c>
      <c r="D772" s="211">
        <f t="shared" ref="D772:D835" si="84">MONTH(B772)</f>
        <v>1</v>
      </c>
      <c r="E772" s="211">
        <f t="shared" ref="E772:E835" si="85">DAY(B772)</f>
        <v>15</v>
      </c>
      <c r="F772" s="205">
        <v>7979.5</v>
      </c>
      <c r="G772" s="205">
        <v>17970</v>
      </c>
      <c r="H772" s="207">
        <v>1839</v>
      </c>
      <c r="I772" s="207">
        <v>25.25</v>
      </c>
      <c r="J772" s="207">
        <v>1089.9000000000001</v>
      </c>
      <c r="K772" s="207">
        <v>2395.1</v>
      </c>
      <c r="L772" s="207"/>
    </row>
    <row r="773" spans="2:12">
      <c r="B773" s="206">
        <v>44214</v>
      </c>
      <c r="C773" s="211">
        <f t="shared" si="83"/>
        <v>2021</v>
      </c>
      <c r="D773" s="211">
        <f t="shared" si="84"/>
        <v>1</v>
      </c>
      <c r="E773" s="211">
        <f t="shared" si="85"/>
        <v>18</v>
      </c>
      <c r="F773" s="205">
        <v>7972.5</v>
      </c>
      <c r="G773" s="205">
        <v>18056</v>
      </c>
      <c r="H773" s="207">
        <v>1833.05</v>
      </c>
      <c r="I773" s="207">
        <v>24.87</v>
      </c>
      <c r="J773" s="207" t="s">
        <v>338</v>
      </c>
      <c r="K773" s="207" t="s">
        <v>338</v>
      </c>
      <c r="L773" s="207"/>
    </row>
    <row r="774" spans="2:12">
      <c r="B774" s="206">
        <v>44215</v>
      </c>
      <c r="C774" s="211">
        <f t="shared" si="83"/>
        <v>2021</v>
      </c>
      <c r="D774" s="211">
        <f t="shared" si="84"/>
        <v>1</v>
      </c>
      <c r="E774" s="211">
        <f t="shared" si="85"/>
        <v>19</v>
      </c>
      <c r="F774" s="205">
        <v>7986.5</v>
      </c>
      <c r="G774" s="205">
        <v>18075</v>
      </c>
      <c r="H774" s="207">
        <v>1834.7</v>
      </c>
      <c r="I774" s="207">
        <v>25.3</v>
      </c>
      <c r="J774" s="207">
        <v>1092</v>
      </c>
      <c r="K774" s="207">
        <v>2365</v>
      </c>
      <c r="L774" s="207"/>
    </row>
    <row r="775" spans="2:12">
      <c r="B775" s="206">
        <v>44216</v>
      </c>
      <c r="C775" s="211">
        <f t="shared" si="83"/>
        <v>2021</v>
      </c>
      <c r="D775" s="211">
        <f t="shared" si="84"/>
        <v>1</v>
      </c>
      <c r="E775" s="211">
        <f t="shared" si="85"/>
        <v>20</v>
      </c>
      <c r="F775" s="205">
        <v>8014.5</v>
      </c>
      <c r="G775" s="205">
        <v>18055</v>
      </c>
      <c r="H775" s="207">
        <v>1856.6</v>
      </c>
      <c r="I775" s="207">
        <v>25.3</v>
      </c>
      <c r="J775" s="207">
        <v>1116.4000000000001</v>
      </c>
      <c r="K775" s="207">
        <v>2403.1999999999998</v>
      </c>
      <c r="L775" s="207"/>
    </row>
    <row r="776" spans="2:12">
      <c r="B776" s="206">
        <v>44217</v>
      </c>
      <c r="C776" s="211">
        <f t="shared" si="83"/>
        <v>2021</v>
      </c>
      <c r="D776" s="211">
        <f t="shared" si="84"/>
        <v>1</v>
      </c>
      <c r="E776" s="211">
        <f t="shared" si="85"/>
        <v>21</v>
      </c>
      <c r="F776" s="205">
        <v>8051</v>
      </c>
      <c r="G776" s="205">
        <v>18370</v>
      </c>
      <c r="H776" s="207">
        <v>1862.1</v>
      </c>
      <c r="I776" s="207">
        <v>25.87</v>
      </c>
      <c r="J776" s="207">
        <v>1128</v>
      </c>
      <c r="K776" s="207">
        <v>2375.1</v>
      </c>
      <c r="L776" s="207"/>
    </row>
    <row r="777" spans="2:12">
      <c r="B777" s="206">
        <v>44218</v>
      </c>
      <c r="C777" s="211">
        <f t="shared" si="83"/>
        <v>2021</v>
      </c>
      <c r="D777" s="211">
        <f t="shared" si="84"/>
        <v>1</v>
      </c>
      <c r="E777" s="211">
        <f t="shared" si="85"/>
        <v>22</v>
      </c>
      <c r="F777" s="205">
        <v>7872</v>
      </c>
      <c r="G777" s="205">
        <v>17906</v>
      </c>
      <c r="H777" s="207">
        <v>1852.7</v>
      </c>
      <c r="I777" s="207">
        <v>25.32</v>
      </c>
      <c r="J777" s="207">
        <v>1111.5999999999999</v>
      </c>
      <c r="K777" s="207">
        <v>2365.1999999999998</v>
      </c>
      <c r="L777" s="207"/>
    </row>
    <row r="778" spans="2:12">
      <c r="B778" s="206">
        <v>44221</v>
      </c>
      <c r="C778" s="211">
        <f t="shared" si="83"/>
        <v>2021</v>
      </c>
      <c r="D778" s="211">
        <f t="shared" si="84"/>
        <v>1</v>
      </c>
      <c r="E778" s="211">
        <f t="shared" si="85"/>
        <v>25</v>
      </c>
      <c r="F778" s="205">
        <v>7984.5</v>
      </c>
      <c r="G778" s="205">
        <v>18240</v>
      </c>
      <c r="H778" s="207">
        <v>1856.85</v>
      </c>
      <c r="I778" s="207">
        <v>25.64</v>
      </c>
      <c r="J778" s="207">
        <v>1104.7</v>
      </c>
      <c r="K778" s="207">
        <v>2346.9</v>
      </c>
      <c r="L778" s="207"/>
    </row>
    <row r="779" spans="2:12">
      <c r="B779" s="206">
        <v>44222</v>
      </c>
      <c r="C779" s="211">
        <f t="shared" si="83"/>
        <v>2021</v>
      </c>
      <c r="D779" s="211">
        <f t="shared" si="84"/>
        <v>1</v>
      </c>
      <c r="E779" s="211">
        <f t="shared" si="85"/>
        <v>26</v>
      </c>
      <c r="F779" s="205">
        <v>7957</v>
      </c>
      <c r="G779" s="205">
        <v>18142</v>
      </c>
      <c r="H779" s="207">
        <v>1856.6</v>
      </c>
      <c r="I779" s="207">
        <v>25.4</v>
      </c>
      <c r="J779" s="207">
        <v>1107.4000000000001</v>
      </c>
      <c r="K779" s="207">
        <v>2325</v>
      </c>
      <c r="L779" s="207"/>
    </row>
    <row r="780" spans="2:12">
      <c r="B780" s="206">
        <v>44223</v>
      </c>
      <c r="C780" s="211">
        <f t="shared" si="83"/>
        <v>2021</v>
      </c>
      <c r="D780" s="211">
        <f t="shared" si="84"/>
        <v>1</v>
      </c>
      <c r="E780" s="211">
        <f t="shared" si="85"/>
        <v>27</v>
      </c>
      <c r="F780" s="205">
        <v>7895</v>
      </c>
      <c r="G780" s="205">
        <v>17818</v>
      </c>
      <c r="H780" s="207">
        <v>1843</v>
      </c>
      <c r="I780" s="207">
        <v>25.19</v>
      </c>
      <c r="J780" s="207">
        <v>1079</v>
      </c>
      <c r="K780" s="207">
        <v>2310.5</v>
      </c>
      <c r="L780" s="207"/>
    </row>
    <row r="781" spans="2:12">
      <c r="B781" s="206">
        <v>44224</v>
      </c>
      <c r="C781" s="211">
        <f t="shared" si="83"/>
        <v>2021</v>
      </c>
      <c r="D781" s="211">
        <f t="shared" si="84"/>
        <v>1</v>
      </c>
      <c r="E781" s="211">
        <f t="shared" si="85"/>
        <v>28</v>
      </c>
      <c r="F781" s="205">
        <v>7778.5</v>
      </c>
      <c r="G781" s="205">
        <v>17662</v>
      </c>
      <c r="H781" s="207">
        <v>1853.7</v>
      </c>
      <c r="I781" s="207">
        <v>25.21</v>
      </c>
      <c r="J781" s="207">
        <v>1072.4000000000001</v>
      </c>
      <c r="K781" s="207">
        <v>2322.3000000000002</v>
      </c>
      <c r="L781" s="207"/>
    </row>
    <row r="782" spans="2:12">
      <c r="B782" s="206">
        <v>44225</v>
      </c>
      <c r="C782" s="211">
        <f t="shared" si="83"/>
        <v>2021</v>
      </c>
      <c r="D782" s="211">
        <f t="shared" si="84"/>
        <v>1</v>
      </c>
      <c r="E782" s="211">
        <f t="shared" si="85"/>
        <v>29</v>
      </c>
      <c r="F782" s="205">
        <v>7877</v>
      </c>
      <c r="G782" s="205">
        <v>17727</v>
      </c>
      <c r="H782" s="207">
        <v>1863.8</v>
      </c>
      <c r="I782" s="207">
        <v>27.42</v>
      </c>
      <c r="J782" s="207">
        <v>1079.2</v>
      </c>
      <c r="K782" s="207">
        <v>2208.4</v>
      </c>
      <c r="L782" s="207"/>
    </row>
    <row r="783" spans="2:12">
      <c r="B783" s="206">
        <v>44228</v>
      </c>
      <c r="C783" s="211">
        <f t="shared" si="83"/>
        <v>2021</v>
      </c>
      <c r="D783" s="211">
        <f t="shared" si="84"/>
        <v>2</v>
      </c>
      <c r="E783" s="211">
        <f t="shared" si="85"/>
        <v>1</v>
      </c>
      <c r="F783" s="205">
        <v>7827</v>
      </c>
      <c r="G783" s="205">
        <v>17807</v>
      </c>
      <c r="H783" s="207">
        <v>1862.95</v>
      </c>
      <c r="I783" s="207">
        <v>29.59</v>
      </c>
      <c r="J783" s="207">
        <v>1138.8</v>
      </c>
      <c r="K783" s="207">
        <v>2241.6999999999998</v>
      </c>
      <c r="L783" s="207"/>
    </row>
    <row r="784" spans="2:12">
      <c r="B784" s="206">
        <v>44229</v>
      </c>
      <c r="C784" s="211">
        <f t="shared" si="83"/>
        <v>2021</v>
      </c>
      <c r="D784" s="211">
        <f t="shared" si="84"/>
        <v>2</v>
      </c>
      <c r="E784" s="211">
        <f t="shared" si="85"/>
        <v>2</v>
      </c>
      <c r="F784" s="205">
        <v>7755.5</v>
      </c>
      <c r="G784" s="205">
        <v>17756</v>
      </c>
      <c r="H784" s="207">
        <v>1833.1</v>
      </c>
      <c r="I784" s="207">
        <v>27.33</v>
      </c>
      <c r="J784" s="207">
        <v>1096</v>
      </c>
      <c r="K784" s="207">
        <v>2227.6999999999998</v>
      </c>
      <c r="L784" s="207"/>
    </row>
    <row r="785" spans="2:12">
      <c r="B785" s="206">
        <v>44230</v>
      </c>
      <c r="C785" s="211">
        <f t="shared" si="83"/>
        <v>2021</v>
      </c>
      <c r="D785" s="211">
        <f t="shared" si="84"/>
        <v>2</v>
      </c>
      <c r="E785" s="211">
        <f t="shared" si="85"/>
        <v>3</v>
      </c>
      <c r="F785" s="205">
        <v>7832.5</v>
      </c>
      <c r="G785" s="205">
        <v>17623</v>
      </c>
      <c r="H785" s="207">
        <v>1835.45</v>
      </c>
      <c r="I785" s="207">
        <v>26.8</v>
      </c>
      <c r="J785" s="207">
        <v>1114.5</v>
      </c>
      <c r="K785" s="207">
        <v>2276.6</v>
      </c>
      <c r="L785" s="207"/>
    </row>
    <row r="786" spans="2:12">
      <c r="B786" s="206">
        <v>44231</v>
      </c>
      <c r="C786" s="211">
        <f t="shared" si="83"/>
        <v>2021</v>
      </c>
      <c r="D786" s="211">
        <f t="shared" si="84"/>
        <v>2</v>
      </c>
      <c r="E786" s="211">
        <f t="shared" si="85"/>
        <v>4</v>
      </c>
      <c r="F786" s="205">
        <v>7833.5</v>
      </c>
      <c r="G786" s="205">
        <v>17535</v>
      </c>
      <c r="H786" s="207">
        <v>1785.9</v>
      </c>
      <c r="I786" s="207">
        <v>26.4</v>
      </c>
      <c r="J786" s="207">
        <v>1103</v>
      </c>
      <c r="K786" s="207">
        <v>2280.6999999999998</v>
      </c>
      <c r="L786" s="207"/>
    </row>
    <row r="787" spans="2:12">
      <c r="B787" s="206">
        <v>44232</v>
      </c>
      <c r="C787" s="211">
        <f t="shared" si="83"/>
        <v>2021</v>
      </c>
      <c r="D787" s="211">
        <f t="shared" si="84"/>
        <v>2</v>
      </c>
      <c r="E787" s="211">
        <f t="shared" si="85"/>
        <v>5</v>
      </c>
      <c r="F787" s="205">
        <v>7936.5</v>
      </c>
      <c r="G787" s="205">
        <v>17954</v>
      </c>
      <c r="H787" s="207">
        <v>1802.95</v>
      </c>
      <c r="I787" s="207">
        <v>26.53</v>
      </c>
      <c r="J787" s="207">
        <v>1133</v>
      </c>
      <c r="K787" s="207">
        <v>2326.3000000000002</v>
      </c>
      <c r="L787" s="207"/>
    </row>
    <row r="788" spans="2:12">
      <c r="B788" s="206">
        <v>44235</v>
      </c>
      <c r="C788" s="211">
        <f t="shared" si="83"/>
        <v>2021</v>
      </c>
      <c r="D788" s="211">
        <f t="shared" si="84"/>
        <v>2</v>
      </c>
      <c r="E788" s="211">
        <f t="shared" si="85"/>
        <v>8</v>
      </c>
      <c r="F788" s="205">
        <v>8007</v>
      </c>
      <c r="G788" s="205">
        <v>18067</v>
      </c>
      <c r="H788" s="207">
        <v>1835.25</v>
      </c>
      <c r="I788" s="207">
        <v>27.18</v>
      </c>
      <c r="J788" s="207">
        <v>1175.2</v>
      </c>
      <c r="K788" s="207">
        <v>2336.6999999999998</v>
      </c>
      <c r="L788" s="207"/>
    </row>
    <row r="789" spans="2:12">
      <c r="B789" s="206">
        <v>44236</v>
      </c>
      <c r="C789" s="211">
        <f t="shared" si="83"/>
        <v>2021</v>
      </c>
      <c r="D789" s="211">
        <f t="shared" si="84"/>
        <v>2</v>
      </c>
      <c r="E789" s="211">
        <f t="shared" si="85"/>
        <v>9</v>
      </c>
      <c r="F789" s="205">
        <v>8146.5</v>
      </c>
      <c r="G789" s="205">
        <v>18338</v>
      </c>
      <c r="H789" s="207">
        <v>1839.6</v>
      </c>
      <c r="I789" s="207">
        <v>27.64</v>
      </c>
      <c r="J789" s="207">
        <v>1194.4000000000001</v>
      </c>
      <c r="K789" s="207">
        <v>2320.6</v>
      </c>
      <c r="L789" s="207"/>
    </row>
    <row r="790" spans="2:12">
      <c r="B790" s="206">
        <v>44237</v>
      </c>
      <c r="C790" s="211">
        <f t="shared" si="83"/>
        <v>2021</v>
      </c>
      <c r="D790" s="211">
        <f t="shared" si="84"/>
        <v>2</v>
      </c>
      <c r="E790" s="211">
        <f t="shared" si="85"/>
        <v>10</v>
      </c>
      <c r="F790" s="205">
        <v>8279.5</v>
      </c>
      <c r="G790" s="205">
        <v>18484</v>
      </c>
      <c r="H790" s="207">
        <v>1842.65</v>
      </c>
      <c r="I790" s="207">
        <v>27.23</v>
      </c>
      <c r="J790" s="207">
        <v>1246.9000000000001</v>
      </c>
      <c r="K790" s="207">
        <v>2352.5</v>
      </c>
      <c r="L790" s="207"/>
    </row>
    <row r="791" spans="2:12">
      <c r="B791" s="206">
        <v>44238</v>
      </c>
      <c r="C791" s="211">
        <f t="shared" si="83"/>
        <v>2021</v>
      </c>
      <c r="D791" s="211">
        <f t="shared" si="84"/>
        <v>2</v>
      </c>
      <c r="E791" s="211">
        <f t="shared" si="85"/>
        <v>11</v>
      </c>
      <c r="F791" s="205">
        <v>8292</v>
      </c>
      <c r="G791" s="205">
        <v>18599</v>
      </c>
      <c r="H791" s="207">
        <v>1840.1</v>
      </c>
      <c r="I791" s="207">
        <v>27.13</v>
      </c>
      <c r="J791" s="207">
        <v>1247</v>
      </c>
      <c r="K791" s="207">
        <v>2347</v>
      </c>
      <c r="L791" s="207"/>
    </row>
    <row r="792" spans="2:12">
      <c r="B792" s="206">
        <v>44239</v>
      </c>
      <c r="C792" s="211">
        <f t="shared" si="83"/>
        <v>2021</v>
      </c>
      <c r="D792" s="211">
        <f t="shared" si="84"/>
        <v>2</v>
      </c>
      <c r="E792" s="211">
        <f t="shared" si="85"/>
        <v>12</v>
      </c>
      <c r="F792" s="205">
        <v>8270.5</v>
      </c>
      <c r="G792" s="205">
        <v>18363</v>
      </c>
      <c r="H792" s="207">
        <v>1816.35</v>
      </c>
      <c r="I792" s="207">
        <v>27.07</v>
      </c>
      <c r="J792" s="207">
        <v>1259</v>
      </c>
      <c r="K792" s="207">
        <v>2382.6</v>
      </c>
      <c r="L792" s="207"/>
    </row>
    <row r="793" spans="2:12">
      <c r="B793" s="206">
        <v>44242</v>
      </c>
      <c r="C793" s="211">
        <f t="shared" si="83"/>
        <v>2021</v>
      </c>
      <c r="D793" s="211">
        <f t="shared" si="84"/>
        <v>2</v>
      </c>
      <c r="E793" s="211">
        <f t="shared" si="85"/>
        <v>15</v>
      </c>
      <c r="F793" s="205">
        <v>8416.5</v>
      </c>
      <c r="G793" s="205">
        <v>18612</v>
      </c>
      <c r="H793" s="207">
        <v>1817.3</v>
      </c>
      <c r="I793" s="207">
        <v>27.57</v>
      </c>
      <c r="J793" s="207" t="s">
        <v>338</v>
      </c>
      <c r="K793" s="207" t="s">
        <v>338</v>
      </c>
      <c r="L793" s="207"/>
    </row>
    <row r="794" spans="2:12">
      <c r="B794" s="206">
        <v>44243</v>
      </c>
      <c r="C794" s="211">
        <f t="shared" si="83"/>
        <v>2021</v>
      </c>
      <c r="D794" s="211">
        <f t="shared" si="84"/>
        <v>2</v>
      </c>
      <c r="E794" s="211">
        <f t="shared" si="85"/>
        <v>16</v>
      </c>
      <c r="F794" s="205">
        <v>8439.5</v>
      </c>
      <c r="G794" s="205">
        <v>18615</v>
      </c>
      <c r="H794" s="207">
        <v>1794.25</v>
      </c>
      <c r="I794" s="207">
        <v>27.58</v>
      </c>
      <c r="J794" s="207">
        <v>1279.5999999999999</v>
      </c>
      <c r="K794" s="207">
        <v>2388.1999999999998</v>
      </c>
      <c r="L794" s="207"/>
    </row>
    <row r="795" spans="2:12">
      <c r="B795" s="206">
        <v>44244</v>
      </c>
      <c r="C795" s="211">
        <f t="shared" si="83"/>
        <v>2021</v>
      </c>
      <c r="D795" s="211">
        <f t="shared" si="84"/>
        <v>2</v>
      </c>
      <c r="E795" s="211">
        <f t="shared" si="85"/>
        <v>17</v>
      </c>
      <c r="F795" s="205">
        <v>8413.5</v>
      </c>
      <c r="G795" s="205">
        <v>18704</v>
      </c>
      <c r="H795" s="207">
        <v>1780.7</v>
      </c>
      <c r="I795" s="207">
        <v>27.12</v>
      </c>
      <c r="J795" s="207">
        <v>1257.7</v>
      </c>
      <c r="K795" s="207">
        <v>2369.6999999999998</v>
      </c>
      <c r="L795" s="207"/>
    </row>
    <row r="796" spans="2:12">
      <c r="B796" s="206">
        <v>44245</v>
      </c>
      <c r="C796" s="211">
        <f t="shared" si="83"/>
        <v>2021</v>
      </c>
      <c r="D796" s="211">
        <f t="shared" si="84"/>
        <v>2</v>
      </c>
      <c r="E796" s="211">
        <f t="shared" si="85"/>
        <v>18</v>
      </c>
      <c r="F796" s="205">
        <v>8650</v>
      </c>
      <c r="G796" s="205">
        <v>18966</v>
      </c>
      <c r="H796" s="207">
        <v>1773.15</v>
      </c>
      <c r="I796" s="207">
        <v>27.17</v>
      </c>
      <c r="J796" s="207">
        <v>1274.7</v>
      </c>
      <c r="K796" s="207">
        <v>2348.8000000000002</v>
      </c>
      <c r="L796" s="207"/>
    </row>
    <row r="797" spans="2:12">
      <c r="B797" s="206">
        <v>44246</v>
      </c>
      <c r="C797" s="211">
        <f t="shared" si="83"/>
        <v>2021</v>
      </c>
      <c r="D797" s="211">
        <f t="shared" si="84"/>
        <v>2</v>
      </c>
      <c r="E797" s="211">
        <f t="shared" si="85"/>
        <v>19</v>
      </c>
      <c r="F797" s="205">
        <v>8806.5</v>
      </c>
      <c r="G797" s="205">
        <v>19496</v>
      </c>
      <c r="H797" s="207">
        <v>1786.2</v>
      </c>
      <c r="I797" s="207">
        <v>26.95</v>
      </c>
      <c r="J797" s="207">
        <v>1293.0999999999999</v>
      </c>
      <c r="K797" s="207">
        <v>2369.1999999999998</v>
      </c>
      <c r="L797" s="207"/>
    </row>
    <row r="798" spans="2:12">
      <c r="B798" s="206">
        <v>44249</v>
      </c>
      <c r="C798" s="211">
        <f t="shared" si="83"/>
        <v>2021</v>
      </c>
      <c r="D798" s="211">
        <f t="shared" si="84"/>
        <v>2</v>
      </c>
      <c r="E798" s="211">
        <f t="shared" si="85"/>
        <v>22</v>
      </c>
      <c r="F798" s="205">
        <v>9067.5</v>
      </c>
      <c r="G798" s="205">
        <v>19689</v>
      </c>
      <c r="H798" s="207">
        <v>1807.45</v>
      </c>
      <c r="I798" s="207">
        <v>27.45</v>
      </c>
      <c r="J798" s="207">
        <v>1282.3</v>
      </c>
      <c r="K798" s="207">
        <v>2392.1</v>
      </c>
      <c r="L798" s="207"/>
    </row>
    <row r="799" spans="2:12">
      <c r="B799" s="206">
        <v>44250</v>
      </c>
      <c r="C799" s="211">
        <f t="shared" si="83"/>
        <v>2021</v>
      </c>
      <c r="D799" s="211">
        <f t="shared" si="84"/>
        <v>2</v>
      </c>
      <c r="E799" s="211">
        <f t="shared" si="85"/>
        <v>23</v>
      </c>
      <c r="F799" s="205">
        <v>9158</v>
      </c>
      <c r="G799" s="205">
        <v>19226</v>
      </c>
      <c r="H799" s="207">
        <v>1799.65</v>
      </c>
      <c r="I799" s="207">
        <v>27.97</v>
      </c>
      <c r="J799" s="207">
        <v>1239.7</v>
      </c>
      <c r="K799" s="207">
        <v>2337.02</v>
      </c>
      <c r="L799" s="207"/>
    </row>
    <row r="800" spans="2:12">
      <c r="B800" s="206">
        <v>44251</v>
      </c>
      <c r="C800" s="211">
        <f t="shared" si="83"/>
        <v>2021</v>
      </c>
      <c r="D800" s="211">
        <f t="shared" si="84"/>
        <v>2</v>
      </c>
      <c r="E800" s="211">
        <f t="shared" si="85"/>
        <v>24</v>
      </c>
      <c r="F800" s="205">
        <v>9286</v>
      </c>
      <c r="G800" s="205">
        <v>19352</v>
      </c>
      <c r="H800" s="207">
        <v>1788</v>
      </c>
      <c r="I800" s="207">
        <v>27.75</v>
      </c>
      <c r="J800" s="207">
        <v>1257.9000000000001</v>
      </c>
      <c r="K800" s="207">
        <v>2425.86</v>
      </c>
      <c r="L800" s="207"/>
    </row>
    <row r="801" spans="2:12">
      <c r="B801" s="206">
        <v>44252</v>
      </c>
      <c r="C801" s="211">
        <f t="shared" si="83"/>
        <v>2021</v>
      </c>
      <c r="D801" s="211">
        <f t="shared" si="84"/>
        <v>2</v>
      </c>
      <c r="E801" s="211">
        <f t="shared" si="85"/>
        <v>25</v>
      </c>
      <c r="F801" s="205">
        <v>9614.5</v>
      </c>
      <c r="G801" s="205">
        <v>19568</v>
      </c>
      <c r="H801" s="207">
        <v>1779.65</v>
      </c>
      <c r="I801" s="207">
        <v>27.93</v>
      </c>
      <c r="J801" s="207">
        <v>1231.5</v>
      </c>
      <c r="K801" s="207">
        <v>2411.8000000000002</v>
      </c>
      <c r="L801" s="207"/>
    </row>
    <row r="802" spans="2:12">
      <c r="B802" s="206">
        <v>44253</v>
      </c>
      <c r="C802" s="211">
        <f t="shared" si="83"/>
        <v>2021</v>
      </c>
      <c r="D802" s="211">
        <f t="shared" si="84"/>
        <v>2</v>
      </c>
      <c r="E802" s="211">
        <f t="shared" si="85"/>
        <v>26</v>
      </c>
      <c r="F802" s="205">
        <v>9172.5</v>
      </c>
      <c r="G802" s="205">
        <v>18607</v>
      </c>
      <c r="H802" s="207">
        <v>1742.85</v>
      </c>
      <c r="I802" s="207">
        <v>26.69</v>
      </c>
      <c r="J802" s="207">
        <v>1185.3</v>
      </c>
      <c r="K802" s="207">
        <v>2312.8200000000002</v>
      </c>
      <c r="L802" s="207"/>
    </row>
    <row r="803" spans="2:12">
      <c r="B803" s="206">
        <v>44256</v>
      </c>
      <c r="C803" s="211">
        <f t="shared" si="83"/>
        <v>2021</v>
      </c>
      <c r="D803" s="211">
        <f t="shared" si="84"/>
        <v>3</v>
      </c>
      <c r="E803" s="211">
        <f t="shared" si="85"/>
        <v>1</v>
      </c>
      <c r="F803" s="205">
        <v>9198</v>
      </c>
      <c r="G803" s="205">
        <v>18655</v>
      </c>
      <c r="H803" s="207">
        <v>1734.15</v>
      </c>
      <c r="I803" s="207">
        <v>26.89</v>
      </c>
      <c r="J803" s="207">
        <v>1191.3</v>
      </c>
      <c r="K803" s="207">
        <v>2349</v>
      </c>
      <c r="L803" s="207"/>
    </row>
    <row r="804" spans="2:12">
      <c r="B804" s="206">
        <v>44257</v>
      </c>
      <c r="C804" s="211">
        <f t="shared" si="83"/>
        <v>2021</v>
      </c>
      <c r="D804" s="211">
        <f t="shared" si="84"/>
        <v>3</v>
      </c>
      <c r="E804" s="211">
        <f t="shared" si="85"/>
        <v>2</v>
      </c>
      <c r="F804" s="205">
        <v>9213.5</v>
      </c>
      <c r="G804" s="205">
        <v>18580</v>
      </c>
      <c r="H804" s="207">
        <v>1723.85</v>
      </c>
      <c r="I804" s="207">
        <v>26.26</v>
      </c>
      <c r="J804" s="207">
        <v>1214.4000000000001</v>
      </c>
      <c r="K804" s="207">
        <v>2368.6</v>
      </c>
      <c r="L804" s="207"/>
    </row>
    <row r="805" spans="2:12">
      <c r="B805" s="206">
        <v>44258</v>
      </c>
      <c r="C805" s="211">
        <f t="shared" si="83"/>
        <v>2021</v>
      </c>
      <c r="D805" s="211">
        <f t="shared" si="84"/>
        <v>3</v>
      </c>
      <c r="E805" s="211">
        <f t="shared" si="85"/>
        <v>3</v>
      </c>
      <c r="F805" s="205">
        <v>9266</v>
      </c>
      <c r="G805" s="205">
        <v>17802</v>
      </c>
      <c r="H805" s="207">
        <v>1711.4</v>
      </c>
      <c r="I805" s="207">
        <v>26.59</v>
      </c>
      <c r="J805" s="207">
        <v>1181.8</v>
      </c>
      <c r="K805" s="207">
        <v>2354.4</v>
      </c>
      <c r="L805" s="207"/>
    </row>
    <row r="806" spans="2:12">
      <c r="B806" s="206">
        <v>44259</v>
      </c>
      <c r="C806" s="211">
        <f t="shared" si="83"/>
        <v>2021</v>
      </c>
      <c r="D806" s="211">
        <f t="shared" si="84"/>
        <v>3</v>
      </c>
      <c r="E806" s="211">
        <f t="shared" si="85"/>
        <v>4</v>
      </c>
      <c r="F806" s="205">
        <v>8786.5</v>
      </c>
      <c r="G806" s="205">
        <v>16144</v>
      </c>
      <c r="H806" s="207">
        <v>1712.1</v>
      </c>
      <c r="I806" s="207">
        <v>25.96</v>
      </c>
      <c r="J806" s="207">
        <v>1135.3</v>
      </c>
      <c r="K806" s="207">
        <v>2342.8000000000002</v>
      </c>
      <c r="L806" s="207"/>
    </row>
    <row r="807" spans="2:12">
      <c r="B807" s="206">
        <v>44260</v>
      </c>
      <c r="C807" s="211">
        <f t="shared" si="83"/>
        <v>2021</v>
      </c>
      <c r="D807" s="211">
        <f t="shared" si="84"/>
        <v>3</v>
      </c>
      <c r="E807" s="211">
        <f t="shared" si="85"/>
        <v>5</v>
      </c>
      <c r="F807" s="205">
        <v>9021.5</v>
      </c>
      <c r="G807" s="205">
        <v>16349</v>
      </c>
      <c r="H807" s="207">
        <v>1696.25</v>
      </c>
      <c r="I807" s="207">
        <v>25.36</v>
      </c>
      <c r="J807" s="207">
        <v>1128.3</v>
      </c>
      <c r="K807" s="207">
        <v>2329.1</v>
      </c>
      <c r="L807" s="207"/>
    </row>
    <row r="808" spans="2:12">
      <c r="B808" s="206">
        <v>44263</v>
      </c>
      <c r="C808" s="211">
        <f t="shared" si="83"/>
        <v>2021</v>
      </c>
      <c r="D808" s="211">
        <f t="shared" si="84"/>
        <v>3</v>
      </c>
      <c r="E808" s="211">
        <f t="shared" si="85"/>
        <v>8</v>
      </c>
      <c r="F808" s="205">
        <v>8992.5</v>
      </c>
      <c r="G808" s="205">
        <v>16115</v>
      </c>
      <c r="H808" s="207">
        <v>1687.05</v>
      </c>
      <c r="I808" s="207">
        <v>25.16</v>
      </c>
      <c r="J808" s="207">
        <v>1152.3</v>
      </c>
      <c r="K808" s="207">
        <v>2314.1999999999998</v>
      </c>
      <c r="L808" s="207"/>
    </row>
    <row r="809" spans="2:12">
      <c r="B809" s="206">
        <v>44264</v>
      </c>
      <c r="C809" s="211">
        <f t="shared" si="83"/>
        <v>2021</v>
      </c>
      <c r="D809" s="211">
        <f t="shared" si="84"/>
        <v>3</v>
      </c>
      <c r="E809" s="211">
        <f t="shared" si="85"/>
        <v>9</v>
      </c>
      <c r="F809" s="205">
        <v>8895</v>
      </c>
      <c r="G809" s="205">
        <v>15907</v>
      </c>
      <c r="H809" s="207">
        <v>1716.9</v>
      </c>
      <c r="I809" s="207">
        <v>25.76</v>
      </c>
      <c r="J809" s="207">
        <v>1175.4000000000001</v>
      </c>
      <c r="K809" s="207">
        <v>2292.1999999999998</v>
      </c>
      <c r="L809" s="207"/>
    </row>
    <row r="810" spans="2:12">
      <c r="B810" s="206">
        <v>44265</v>
      </c>
      <c r="C810" s="211">
        <f t="shared" si="83"/>
        <v>2021</v>
      </c>
      <c r="D810" s="211">
        <f t="shared" si="84"/>
        <v>3</v>
      </c>
      <c r="E810" s="211">
        <f t="shared" si="85"/>
        <v>10</v>
      </c>
      <c r="F810" s="205">
        <v>8939</v>
      </c>
      <c r="G810" s="205">
        <v>16040</v>
      </c>
      <c r="H810" s="207">
        <v>1716.2</v>
      </c>
      <c r="I810" s="207">
        <v>25.65</v>
      </c>
      <c r="J810" s="207">
        <v>1201.8</v>
      </c>
      <c r="K810" s="207">
        <v>2293.1999999999998</v>
      </c>
      <c r="L810" s="207"/>
    </row>
    <row r="811" spans="2:12">
      <c r="B811" s="206">
        <v>44266</v>
      </c>
      <c r="C811" s="211">
        <f t="shared" si="83"/>
        <v>2021</v>
      </c>
      <c r="D811" s="211">
        <f t="shared" si="84"/>
        <v>3</v>
      </c>
      <c r="E811" s="211">
        <f t="shared" si="85"/>
        <v>11</v>
      </c>
      <c r="F811" s="205">
        <v>9062.5</v>
      </c>
      <c r="G811" s="205">
        <v>16434</v>
      </c>
      <c r="H811" s="207">
        <v>1724.25</v>
      </c>
      <c r="I811" s="207">
        <v>26.25</v>
      </c>
      <c r="J811" s="207">
        <v>1202.3</v>
      </c>
      <c r="K811" s="207">
        <v>2341.6</v>
      </c>
      <c r="L811" s="207"/>
    </row>
    <row r="812" spans="2:12">
      <c r="B812" s="206">
        <v>44267</v>
      </c>
      <c r="C812" s="211">
        <f t="shared" si="83"/>
        <v>2021</v>
      </c>
      <c r="D812" s="211">
        <f t="shared" si="84"/>
        <v>3</v>
      </c>
      <c r="E812" s="211">
        <f t="shared" si="85"/>
        <v>12</v>
      </c>
      <c r="F812" s="205">
        <v>9052.5</v>
      </c>
      <c r="G812" s="205">
        <v>16158</v>
      </c>
      <c r="H812" s="207">
        <v>1704.8</v>
      </c>
      <c r="I812" s="207">
        <v>25.48</v>
      </c>
      <c r="J812" s="207">
        <v>1200.3</v>
      </c>
      <c r="K812" s="207">
        <v>2360.6999999999998</v>
      </c>
      <c r="L812" s="207"/>
    </row>
    <row r="813" spans="2:12">
      <c r="B813" s="206">
        <v>44270</v>
      </c>
      <c r="C813" s="211">
        <f t="shared" si="83"/>
        <v>2021</v>
      </c>
      <c r="D813" s="211">
        <f t="shared" si="84"/>
        <v>3</v>
      </c>
      <c r="E813" s="211">
        <f t="shared" si="85"/>
        <v>15</v>
      </c>
      <c r="F813" s="205">
        <v>9147.5</v>
      </c>
      <c r="G813" s="205">
        <v>16167</v>
      </c>
      <c r="H813" s="207">
        <v>1723.65</v>
      </c>
      <c r="I813" s="207">
        <v>26.1</v>
      </c>
      <c r="J813" s="207">
        <v>1209.5</v>
      </c>
      <c r="K813" s="207">
        <v>2373.6999999999998</v>
      </c>
      <c r="L813" s="207"/>
    </row>
    <row r="814" spans="2:12">
      <c r="B814" s="206">
        <v>44271</v>
      </c>
      <c r="C814" s="211">
        <f t="shared" si="83"/>
        <v>2021</v>
      </c>
      <c r="D814" s="211">
        <f t="shared" si="84"/>
        <v>3</v>
      </c>
      <c r="E814" s="211">
        <f t="shared" si="85"/>
        <v>16</v>
      </c>
      <c r="F814" s="205">
        <v>8965.5</v>
      </c>
      <c r="G814" s="205">
        <v>16131</v>
      </c>
      <c r="H814" s="207">
        <v>1735</v>
      </c>
      <c r="I814" s="207">
        <v>26.08</v>
      </c>
      <c r="J814" s="207">
        <v>1219.0999999999999</v>
      </c>
      <c r="K814" s="207">
        <v>2491.9</v>
      </c>
      <c r="L814" s="207"/>
    </row>
    <row r="815" spans="2:12">
      <c r="B815" s="206">
        <v>44272</v>
      </c>
      <c r="C815" s="211">
        <f t="shared" si="83"/>
        <v>2021</v>
      </c>
      <c r="D815" s="211">
        <f t="shared" si="84"/>
        <v>3</v>
      </c>
      <c r="E815" s="211">
        <f t="shared" si="85"/>
        <v>17</v>
      </c>
      <c r="F815" s="205">
        <v>9027</v>
      </c>
      <c r="G815" s="205">
        <v>15988</v>
      </c>
      <c r="H815" s="207">
        <v>1729.65</v>
      </c>
      <c r="I815" s="207">
        <v>25.85</v>
      </c>
      <c r="J815" s="207">
        <v>1199.3</v>
      </c>
      <c r="K815" s="207">
        <v>2538.3000000000002</v>
      </c>
      <c r="L815" s="207"/>
    </row>
    <row r="816" spans="2:12">
      <c r="B816" s="206">
        <v>44273</v>
      </c>
      <c r="C816" s="211">
        <f t="shared" si="83"/>
        <v>2021</v>
      </c>
      <c r="D816" s="211">
        <f t="shared" si="84"/>
        <v>3</v>
      </c>
      <c r="E816" s="211">
        <f t="shared" si="85"/>
        <v>18</v>
      </c>
      <c r="F816" s="205">
        <v>9090</v>
      </c>
      <c r="G816" s="205">
        <v>15999</v>
      </c>
      <c r="H816" s="207">
        <v>1725.9</v>
      </c>
      <c r="I816" s="207">
        <v>26.13</v>
      </c>
      <c r="J816" s="207">
        <v>1217.5</v>
      </c>
      <c r="K816" s="207">
        <v>2662.8</v>
      </c>
      <c r="L816" s="207"/>
    </row>
    <row r="817" spans="2:12">
      <c r="B817" s="206">
        <v>44274</v>
      </c>
      <c r="C817" s="211">
        <f t="shared" si="83"/>
        <v>2021</v>
      </c>
      <c r="D817" s="211">
        <f t="shared" si="84"/>
        <v>3</v>
      </c>
      <c r="E817" s="211">
        <f t="shared" si="85"/>
        <v>19</v>
      </c>
      <c r="F817" s="205">
        <v>9036</v>
      </c>
      <c r="G817" s="205">
        <v>16121</v>
      </c>
      <c r="H817" s="207">
        <v>1735.2</v>
      </c>
      <c r="I817" s="207">
        <v>26.18</v>
      </c>
      <c r="J817" s="207">
        <v>1200.0999999999999</v>
      </c>
      <c r="K817" s="207">
        <v>2630.9</v>
      </c>
      <c r="L817" s="207"/>
    </row>
    <row r="818" spans="2:12">
      <c r="B818" s="206">
        <v>44277</v>
      </c>
      <c r="C818" s="211">
        <f t="shared" si="83"/>
        <v>2021</v>
      </c>
      <c r="D818" s="211">
        <f t="shared" si="84"/>
        <v>3</v>
      </c>
      <c r="E818" s="211">
        <f t="shared" si="85"/>
        <v>22</v>
      </c>
      <c r="F818" s="205">
        <v>9097.5</v>
      </c>
      <c r="G818" s="205">
        <v>16425</v>
      </c>
      <c r="H818" s="207">
        <v>1736.15</v>
      </c>
      <c r="I818" s="207">
        <v>25.74</v>
      </c>
      <c r="J818" s="207">
        <v>1184</v>
      </c>
      <c r="K818" s="207">
        <v>2600.1999999999998</v>
      </c>
      <c r="L818" s="207"/>
    </row>
    <row r="819" spans="2:12">
      <c r="B819" s="206">
        <v>44278</v>
      </c>
      <c r="C819" s="211">
        <f t="shared" si="83"/>
        <v>2021</v>
      </c>
      <c r="D819" s="211">
        <f t="shared" si="84"/>
        <v>3</v>
      </c>
      <c r="E819" s="211">
        <f t="shared" si="85"/>
        <v>23</v>
      </c>
      <c r="F819" s="205">
        <v>9016.5</v>
      </c>
      <c r="G819" s="205">
        <v>16526</v>
      </c>
      <c r="H819" s="207">
        <v>1726.2</v>
      </c>
      <c r="I819" s="207">
        <v>25.62</v>
      </c>
      <c r="J819" s="207">
        <v>1174.5999999999999</v>
      </c>
      <c r="K819" s="207">
        <v>2617.3000000000002</v>
      </c>
      <c r="L819" s="207"/>
    </row>
    <row r="820" spans="2:12">
      <c r="B820" s="206">
        <v>44279</v>
      </c>
      <c r="C820" s="211">
        <f t="shared" si="83"/>
        <v>2021</v>
      </c>
      <c r="D820" s="211">
        <f t="shared" si="84"/>
        <v>3</v>
      </c>
      <c r="E820" s="211">
        <f t="shared" si="85"/>
        <v>24</v>
      </c>
      <c r="F820" s="205">
        <v>9016</v>
      </c>
      <c r="G820" s="205">
        <v>16133</v>
      </c>
      <c r="H820" s="207">
        <v>1730.5</v>
      </c>
      <c r="I820" s="207">
        <v>25.2</v>
      </c>
      <c r="J820" s="207">
        <v>1180.2</v>
      </c>
      <c r="K820" s="207">
        <v>2640.1</v>
      </c>
      <c r="L820" s="207"/>
    </row>
    <row r="821" spans="2:12">
      <c r="B821" s="206">
        <v>44280</v>
      </c>
      <c r="C821" s="211">
        <f t="shared" si="83"/>
        <v>2021</v>
      </c>
      <c r="D821" s="211">
        <f t="shared" si="84"/>
        <v>3</v>
      </c>
      <c r="E821" s="211">
        <f t="shared" si="85"/>
        <v>25</v>
      </c>
      <c r="F821" s="205">
        <v>8781</v>
      </c>
      <c r="G821" s="205">
        <v>15984</v>
      </c>
      <c r="H821" s="207">
        <v>1737.3</v>
      </c>
      <c r="I821" s="207">
        <v>24.67</v>
      </c>
      <c r="J821" s="207">
        <v>1154.2</v>
      </c>
      <c r="K821" s="207">
        <v>2615.4</v>
      </c>
      <c r="L821" s="207"/>
    </row>
    <row r="822" spans="2:12">
      <c r="B822" s="206">
        <v>44281</v>
      </c>
      <c r="C822" s="211">
        <f t="shared" si="83"/>
        <v>2021</v>
      </c>
      <c r="D822" s="211">
        <f t="shared" si="84"/>
        <v>3</v>
      </c>
      <c r="E822" s="211">
        <f t="shared" si="85"/>
        <v>26</v>
      </c>
      <c r="F822" s="205">
        <v>8929</v>
      </c>
      <c r="G822" s="205">
        <v>16255</v>
      </c>
      <c r="H822" s="207">
        <v>1731.8</v>
      </c>
      <c r="I822" s="207">
        <v>25.06</v>
      </c>
      <c r="J822" s="207">
        <v>1178.6600000000001</v>
      </c>
      <c r="K822" s="207">
        <v>2676.1</v>
      </c>
      <c r="L822" s="207"/>
    </row>
    <row r="823" spans="2:12">
      <c r="B823" s="206">
        <v>44284</v>
      </c>
      <c r="C823" s="211">
        <f t="shared" si="83"/>
        <v>2021</v>
      </c>
      <c r="D823" s="211">
        <f t="shared" si="84"/>
        <v>3</v>
      </c>
      <c r="E823" s="211">
        <f t="shared" si="85"/>
        <v>29</v>
      </c>
      <c r="F823" s="205">
        <v>8942.5</v>
      </c>
      <c r="G823" s="205">
        <v>16259</v>
      </c>
      <c r="H823" s="207">
        <v>1705.95</v>
      </c>
      <c r="I823" s="207">
        <v>24.83</v>
      </c>
      <c r="J823" s="207">
        <v>1182.6600000000001</v>
      </c>
      <c r="K823" s="207">
        <v>2530.6999999999998</v>
      </c>
      <c r="L823" s="207"/>
    </row>
    <row r="824" spans="2:12">
      <c r="B824" s="206">
        <v>44285</v>
      </c>
      <c r="C824" s="211">
        <f t="shared" si="83"/>
        <v>2021</v>
      </c>
      <c r="D824" s="211">
        <f t="shared" si="84"/>
        <v>3</v>
      </c>
      <c r="E824" s="211">
        <f t="shared" si="85"/>
        <v>30</v>
      </c>
      <c r="F824" s="205">
        <v>8788.5</v>
      </c>
      <c r="G824" s="205">
        <v>16327</v>
      </c>
      <c r="H824" s="207">
        <v>1683.95</v>
      </c>
      <c r="I824" s="207">
        <v>24.34</v>
      </c>
      <c r="J824" s="207">
        <v>1159.44</v>
      </c>
      <c r="K824" s="207">
        <v>2569</v>
      </c>
      <c r="L824" s="207"/>
    </row>
    <row r="825" spans="2:12">
      <c r="B825" s="206">
        <v>44286</v>
      </c>
      <c r="C825" s="211">
        <f t="shared" si="83"/>
        <v>2021</v>
      </c>
      <c r="D825" s="211">
        <f t="shared" si="84"/>
        <v>3</v>
      </c>
      <c r="E825" s="211">
        <f t="shared" si="85"/>
        <v>31</v>
      </c>
      <c r="F825" s="205">
        <v>8850.5</v>
      </c>
      <c r="G825" s="205">
        <v>16098</v>
      </c>
      <c r="H825" s="207">
        <v>1691.05</v>
      </c>
      <c r="I825" s="207">
        <v>24</v>
      </c>
      <c r="J825" s="207">
        <v>1190.9000000000001</v>
      </c>
      <c r="K825" s="207">
        <v>2619.9</v>
      </c>
      <c r="L825" s="207"/>
    </row>
    <row r="826" spans="2:12">
      <c r="B826" s="206">
        <v>44287</v>
      </c>
      <c r="C826" s="211">
        <f t="shared" si="83"/>
        <v>2021</v>
      </c>
      <c r="D826" s="211">
        <f t="shared" si="84"/>
        <v>4</v>
      </c>
      <c r="E826" s="211">
        <f t="shared" si="85"/>
        <v>1</v>
      </c>
      <c r="F826" s="205">
        <v>8768</v>
      </c>
      <c r="G826" s="205">
        <v>16001</v>
      </c>
      <c r="H826" s="207">
        <v>1726.05</v>
      </c>
      <c r="I826" s="207">
        <v>24.32</v>
      </c>
      <c r="J826" s="207">
        <v>1208.5999999999999</v>
      </c>
      <c r="K826" s="207">
        <v>2655.8</v>
      </c>
      <c r="L826" s="207"/>
    </row>
    <row r="827" spans="2:12">
      <c r="B827" s="206">
        <v>44292</v>
      </c>
      <c r="C827" s="211">
        <f t="shared" si="83"/>
        <v>2021</v>
      </c>
      <c r="D827" s="211">
        <f t="shared" si="84"/>
        <v>4</v>
      </c>
      <c r="E827" s="211">
        <f t="shared" si="85"/>
        <v>6</v>
      </c>
      <c r="F827" s="205">
        <v>8984.5</v>
      </c>
      <c r="G827" s="205">
        <v>16520</v>
      </c>
      <c r="H827" s="207">
        <v>1744.65</v>
      </c>
      <c r="I827" s="207">
        <v>25.04</v>
      </c>
      <c r="J827" s="207">
        <v>1240.5</v>
      </c>
      <c r="K827" s="207">
        <v>2690.2</v>
      </c>
      <c r="L827" s="207"/>
    </row>
    <row r="828" spans="2:12">
      <c r="B828" s="206">
        <v>44293</v>
      </c>
      <c r="C828" s="211">
        <f t="shared" si="83"/>
        <v>2021</v>
      </c>
      <c r="D828" s="211">
        <f t="shared" si="84"/>
        <v>4</v>
      </c>
      <c r="E828" s="211">
        <f t="shared" si="85"/>
        <v>7</v>
      </c>
      <c r="F828" s="205">
        <v>8981.5</v>
      </c>
      <c r="G828" s="205">
        <v>16681</v>
      </c>
      <c r="H828" s="207">
        <v>1738.05</v>
      </c>
      <c r="I828" s="207">
        <v>24.99</v>
      </c>
      <c r="J828" s="207">
        <v>1231.9000000000001</v>
      </c>
      <c r="K828" s="207">
        <v>2621.1</v>
      </c>
      <c r="L828" s="207"/>
    </row>
    <row r="829" spans="2:12">
      <c r="B829" s="206">
        <v>44294</v>
      </c>
      <c r="C829" s="211">
        <f t="shared" si="83"/>
        <v>2021</v>
      </c>
      <c r="D829" s="211">
        <f t="shared" si="84"/>
        <v>4</v>
      </c>
      <c r="E829" s="211">
        <f t="shared" si="85"/>
        <v>8</v>
      </c>
      <c r="F829" s="205">
        <v>9001.5</v>
      </c>
      <c r="G829" s="205">
        <v>16778</v>
      </c>
      <c r="H829" s="207">
        <v>1755.5</v>
      </c>
      <c r="I829" s="207">
        <v>25.33</v>
      </c>
      <c r="J829" s="207">
        <v>1235.4000000000001</v>
      </c>
      <c r="K829" s="207">
        <v>2628.3</v>
      </c>
      <c r="L829" s="207"/>
    </row>
    <row r="830" spans="2:12">
      <c r="B830" s="206">
        <v>44295</v>
      </c>
      <c r="C830" s="211">
        <f t="shared" si="83"/>
        <v>2021</v>
      </c>
      <c r="D830" s="211">
        <f t="shared" si="84"/>
        <v>4</v>
      </c>
      <c r="E830" s="211">
        <f t="shared" si="85"/>
        <v>9</v>
      </c>
      <c r="F830" s="205">
        <v>8993</v>
      </c>
      <c r="G830" s="205">
        <v>16629</v>
      </c>
      <c r="H830" s="207">
        <v>1741.2</v>
      </c>
      <c r="I830" s="207">
        <v>25.23</v>
      </c>
      <c r="J830" s="207">
        <v>1209.3</v>
      </c>
      <c r="K830" s="207">
        <v>2636</v>
      </c>
      <c r="L830" s="207"/>
    </row>
    <row r="831" spans="2:12">
      <c r="B831" s="206">
        <v>44298</v>
      </c>
      <c r="C831" s="211">
        <f t="shared" si="83"/>
        <v>2021</v>
      </c>
      <c r="D831" s="211">
        <f t="shared" si="84"/>
        <v>4</v>
      </c>
      <c r="E831" s="211">
        <f t="shared" si="85"/>
        <v>12</v>
      </c>
      <c r="F831" s="205">
        <v>8901</v>
      </c>
      <c r="G831" s="205">
        <v>16220</v>
      </c>
      <c r="H831" s="207">
        <v>1732.85</v>
      </c>
      <c r="I831" s="207">
        <v>25.16</v>
      </c>
      <c r="J831" s="207">
        <v>1174.8</v>
      </c>
      <c r="K831" s="207">
        <v>2671.9</v>
      </c>
      <c r="L831" s="207"/>
    </row>
    <row r="832" spans="2:12">
      <c r="B832" s="206">
        <v>44299</v>
      </c>
      <c r="C832" s="211">
        <f t="shared" si="83"/>
        <v>2021</v>
      </c>
      <c r="D832" s="211">
        <f t="shared" si="84"/>
        <v>4</v>
      </c>
      <c r="E832" s="211">
        <f t="shared" si="85"/>
        <v>13</v>
      </c>
      <c r="F832" s="205">
        <v>8904</v>
      </c>
      <c r="G832" s="205">
        <v>16173</v>
      </c>
      <c r="H832" s="207">
        <v>1747.95</v>
      </c>
      <c r="I832" s="207">
        <v>24.95</v>
      </c>
      <c r="J832" s="207">
        <v>1157.0999999999999</v>
      </c>
      <c r="K832" s="207">
        <v>2696.9</v>
      </c>
      <c r="L832" s="207"/>
    </row>
    <row r="833" spans="2:12">
      <c r="B833" s="206">
        <v>44300</v>
      </c>
      <c r="C833" s="211">
        <f t="shared" si="83"/>
        <v>2021</v>
      </c>
      <c r="D833" s="211">
        <f t="shared" si="84"/>
        <v>4</v>
      </c>
      <c r="E833" s="211">
        <f t="shared" si="85"/>
        <v>14</v>
      </c>
      <c r="F833" s="205">
        <v>9011</v>
      </c>
      <c r="G833" s="205">
        <v>16205</v>
      </c>
      <c r="H833" s="207">
        <v>1735.55</v>
      </c>
      <c r="I833" s="207">
        <v>25.33</v>
      </c>
      <c r="J833" s="207">
        <v>1177.4000000000001</v>
      </c>
      <c r="K833" s="207">
        <v>2679.4</v>
      </c>
      <c r="L833" s="207"/>
    </row>
    <row r="834" spans="2:12">
      <c r="B834" s="206">
        <v>44301</v>
      </c>
      <c r="C834" s="211">
        <f t="shared" si="83"/>
        <v>2021</v>
      </c>
      <c r="D834" s="211">
        <f t="shared" si="84"/>
        <v>4</v>
      </c>
      <c r="E834" s="211">
        <f t="shared" si="85"/>
        <v>15</v>
      </c>
      <c r="F834" s="205">
        <v>9187.5</v>
      </c>
      <c r="G834" s="205">
        <v>16049</v>
      </c>
      <c r="H834" s="207">
        <v>1757.2</v>
      </c>
      <c r="I834" s="207">
        <v>25.59</v>
      </c>
      <c r="J834" s="207">
        <v>1200.2</v>
      </c>
      <c r="K834" s="207">
        <v>2739.4</v>
      </c>
      <c r="L834" s="207"/>
    </row>
    <row r="835" spans="2:12">
      <c r="B835" s="206">
        <v>44302</v>
      </c>
      <c r="C835" s="211">
        <f t="shared" si="83"/>
        <v>2021</v>
      </c>
      <c r="D835" s="211">
        <f t="shared" si="84"/>
        <v>4</v>
      </c>
      <c r="E835" s="211">
        <f t="shared" si="85"/>
        <v>16</v>
      </c>
      <c r="F835" s="205">
        <v>9336</v>
      </c>
      <c r="G835" s="205">
        <v>16411</v>
      </c>
      <c r="H835" s="207">
        <v>1774.45</v>
      </c>
      <c r="I835" s="207">
        <v>26.14</v>
      </c>
      <c r="J835" s="207">
        <v>1208.7</v>
      </c>
      <c r="K835" s="207">
        <v>2774.7</v>
      </c>
      <c r="L835" s="207"/>
    </row>
    <row r="836" spans="2:12">
      <c r="B836" s="206">
        <v>44305</v>
      </c>
      <c r="C836" s="211">
        <f t="shared" ref="C836:C899" si="86">YEAR(B836)</f>
        <v>2021</v>
      </c>
      <c r="D836" s="211">
        <f t="shared" ref="D836:D899" si="87">MONTH(B836)</f>
        <v>4</v>
      </c>
      <c r="E836" s="211">
        <f t="shared" ref="E836:E899" si="88">DAY(B836)</f>
        <v>19</v>
      </c>
      <c r="F836" s="205">
        <v>9415</v>
      </c>
      <c r="G836" s="205">
        <v>16063</v>
      </c>
      <c r="H836" s="207">
        <v>1774.5</v>
      </c>
      <c r="I836" s="207">
        <v>26.11</v>
      </c>
      <c r="J836" s="207">
        <v>1206.5</v>
      </c>
      <c r="K836" s="207">
        <v>2813.6</v>
      </c>
      <c r="L836" s="207"/>
    </row>
    <row r="837" spans="2:12">
      <c r="B837" s="206">
        <v>44306</v>
      </c>
      <c r="C837" s="211">
        <f t="shared" si="86"/>
        <v>2021</v>
      </c>
      <c r="D837" s="211">
        <f t="shared" si="87"/>
        <v>4</v>
      </c>
      <c r="E837" s="211">
        <f t="shared" si="88"/>
        <v>20</v>
      </c>
      <c r="F837" s="205">
        <v>9396.5</v>
      </c>
      <c r="G837" s="205">
        <v>16144</v>
      </c>
      <c r="H837" s="207">
        <v>1777.85</v>
      </c>
      <c r="I837" s="207">
        <v>25.88</v>
      </c>
      <c r="J837" s="207">
        <v>1196.3</v>
      </c>
      <c r="K837" s="207">
        <v>2757.4</v>
      </c>
      <c r="L837" s="207"/>
    </row>
    <row r="838" spans="2:12">
      <c r="B838" s="206">
        <v>44307</v>
      </c>
      <c r="C838" s="211">
        <f t="shared" si="86"/>
        <v>2021</v>
      </c>
      <c r="D838" s="211">
        <f t="shared" si="87"/>
        <v>4</v>
      </c>
      <c r="E838" s="211">
        <f t="shared" si="88"/>
        <v>21</v>
      </c>
      <c r="F838" s="205">
        <v>9382.5</v>
      </c>
      <c r="G838" s="205">
        <v>16085</v>
      </c>
      <c r="H838" s="207">
        <v>1798.2</v>
      </c>
      <c r="I838" s="207">
        <v>25.91</v>
      </c>
      <c r="J838" s="207">
        <v>1214.7</v>
      </c>
      <c r="K838" s="207">
        <v>2875.6</v>
      </c>
      <c r="L838" s="207"/>
    </row>
    <row r="839" spans="2:12">
      <c r="B839" s="206">
        <v>44308</v>
      </c>
      <c r="C839" s="211">
        <f t="shared" si="86"/>
        <v>2021</v>
      </c>
      <c r="D839" s="211">
        <f t="shared" si="87"/>
        <v>4</v>
      </c>
      <c r="E839" s="211">
        <f t="shared" si="88"/>
        <v>22</v>
      </c>
      <c r="F839" s="205">
        <v>9475.5</v>
      </c>
      <c r="G839" s="205">
        <v>16009</v>
      </c>
      <c r="H839" s="207">
        <v>1787.75</v>
      </c>
      <c r="I839" s="207">
        <v>26.3</v>
      </c>
      <c r="J839" s="207">
        <v>1208.5</v>
      </c>
      <c r="K839" s="207">
        <v>2842.9</v>
      </c>
      <c r="L839" s="207"/>
    </row>
    <row r="840" spans="2:12">
      <c r="B840" s="206">
        <v>44309</v>
      </c>
      <c r="C840" s="211">
        <f t="shared" si="86"/>
        <v>2021</v>
      </c>
      <c r="D840" s="211">
        <f t="shared" si="87"/>
        <v>4</v>
      </c>
      <c r="E840" s="211">
        <f t="shared" si="88"/>
        <v>23</v>
      </c>
      <c r="F840" s="205">
        <v>9545.5</v>
      </c>
      <c r="G840" s="205">
        <v>16150</v>
      </c>
      <c r="H840" s="207">
        <v>1781.8</v>
      </c>
      <c r="I840" s="207">
        <v>26.13</v>
      </c>
      <c r="J840" s="207">
        <v>1233.0999999999999</v>
      </c>
      <c r="K840" s="207">
        <v>2857</v>
      </c>
      <c r="L840" s="207"/>
    </row>
    <row r="841" spans="2:12">
      <c r="B841" s="206">
        <v>44312</v>
      </c>
      <c r="C841" s="211">
        <f t="shared" si="86"/>
        <v>2021</v>
      </c>
      <c r="D841" s="211">
        <f t="shared" si="87"/>
        <v>4</v>
      </c>
      <c r="E841" s="211">
        <f t="shared" si="88"/>
        <v>26</v>
      </c>
      <c r="F841" s="205">
        <v>9758</v>
      </c>
      <c r="G841" s="205">
        <v>16449</v>
      </c>
      <c r="H841" s="207">
        <v>1773.35</v>
      </c>
      <c r="I841" s="207">
        <v>26.11</v>
      </c>
      <c r="J841" s="207">
        <v>1245.2</v>
      </c>
      <c r="K841" s="207">
        <v>2909.3</v>
      </c>
      <c r="L841" s="207"/>
    </row>
    <row r="842" spans="2:12">
      <c r="B842" s="206">
        <v>44313</v>
      </c>
      <c r="C842" s="211">
        <f t="shared" si="86"/>
        <v>2021</v>
      </c>
      <c r="D842" s="211">
        <f t="shared" si="87"/>
        <v>4</v>
      </c>
      <c r="E842" s="211">
        <f t="shared" si="88"/>
        <v>27</v>
      </c>
      <c r="F842" s="205">
        <v>9898.5</v>
      </c>
      <c r="G842" s="205">
        <v>16914</v>
      </c>
      <c r="H842" s="207">
        <v>1784.15</v>
      </c>
      <c r="I842" s="207">
        <v>26.29</v>
      </c>
      <c r="J842" s="207">
        <v>1249.5</v>
      </c>
      <c r="K842" s="207">
        <v>2952.6</v>
      </c>
      <c r="L842" s="207"/>
    </row>
    <row r="843" spans="2:12">
      <c r="B843" s="206">
        <v>44314</v>
      </c>
      <c r="C843" s="211">
        <f t="shared" si="86"/>
        <v>2021</v>
      </c>
      <c r="D843" s="211">
        <f t="shared" si="87"/>
        <v>4</v>
      </c>
      <c r="E843" s="211">
        <f t="shared" si="88"/>
        <v>28</v>
      </c>
      <c r="F843" s="205">
        <v>9832.5</v>
      </c>
      <c r="G843" s="205">
        <v>17223</v>
      </c>
      <c r="H843" s="207">
        <v>1772.2</v>
      </c>
      <c r="I843" s="207">
        <v>25.87</v>
      </c>
      <c r="J843" s="207">
        <v>1212.2</v>
      </c>
      <c r="K843" s="207">
        <v>2930.2</v>
      </c>
      <c r="L843" s="207"/>
    </row>
    <row r="844" spans="2:12">
      <c r="B844" s="206">
        <v>44315</v>
      </c>
      <c r="C844" s="211">
        <f t="shared" si="86"/>
        <v>2021</v>
      </c>
      <c r="D844" s="211">
        <f t="shared" si="87"/>
        <v>4</v>
      </c>
      <c r="E844" s="211">
        <f t="shared" si="88"/>
        <v>29</v>
      </c>
      <c r="F844" s="205">
        <v>9990</v>
      </c>
      <c r="G844" s="205">
        <v>17433</v>
      </c>
      <c r="H844" s="207">
        <v>1762.65</v>
      </c>
      <c r="I844" s="207">
        <v>26.29</v>
      </c>
      <c r="J844" s="207">
        <v>1197.5999999999999</v>
      </c>
      <c r="K844" s="207">
        <v>2948.6</v>
      </c>
      <c r="L844" s="207"/>
    </row>
    <row r="845" spans="2:12">
      <c r="B845" s="206">
        <v>44316</v>
      </c>
      <c r="C845" s="211">
        <f t="shared" si="86"/>
        <v>2021</v>
      </c>
      <c r="D845" s="211">
        <f t="shared" si="87"/>
        <v>4</v>
      </c>
      <c r="E845" s="211">
        <f t="shared" si="88"/>
        <v>30</v>
      </c>
      <c r="F845" s="205">
        <v>9949</v>
      </c>
      <c r="G845" s="205">
        <v>17477</v>
      </c>
      <c r="H845" s="207">
        <v>1767.65</v>
      </c>
      <c r="I845" s="207">
        <v>25.88</v>
      </c>
      <c r="J845" s="207">
        <v>1205.2</v>
      </c>
      <c r="K845" s="207">
        <v>2953.7</v>
      </c>
      <c r="L845" s="207"/>
    </row>
    <row r="846" spans="2:12">
      <c r="B846" s="206">
        <v>44320</v>
      </c>
      <c r="C846" s="211">
        <f t="shared" si="86"/>
        <v>2021</v>
      </c>
      <c r="D846" s="211">
        <f t="shared" si="87"/>
        <v>5</v>
      </c>
      <c r="E846" s="211">
        <f t="shared" si="88"/>
        <v>4</v>
      </c>
      <c r="F846" s="205">
        <v>9961</v>
      </c>
      <c r="G846" s="205">
        <v>17861</v>
      </c>
      <c r="H846" s="207">
        <v>1797.75</v>
      </c>
      <c r="I846" s="207">
        <v>26.83</v>
      </c>
      <c r="J846" s="207">
        <v>1231.8</v>
      </c>
      <c r="K846" s="207">
        <v>2977.6</v>
      </c>
      <c r="L846" s="207"/>
    </row>
    <row r="847" spans="2:12">
      <c r="B847" s="206">
        <v>44321</v>
      </c>
      <c r="C847" s="211">
        <f t="shared" si="86"/>
        <v>2021</v>
      </c>
      <c r="D847" s="211">
        <f t="shared" si="87"/>
        <v>5</v>
      </c>
      <c r="E847" s="211">
        <f t="shared" si="88"/>
        <v>5</v>
      </c>
      <c r="F847" s="205">
        <v>9991.5</v>
      </c>
      <c r="G847" s="205">
        <v>17985</v>
      </c>
      <c r="H847" s="207">
        <v>1782.25</v>
      </c>
      <c r="I847" s="207">
        <v>26.3</v>
      </c>
      <c r="J847" s="207">
        <v>1228.8</v>
      </c>
      <c r="K847" s="207">
        <v>2972.8</v>
      </c>
      <c r="L847" s="207"/>
    </row>
    <row r="848" spans="2:12">
      <c r="B848" s="206">
        <v>44322</v>
      </c>
      <c r="C848" s="211">
        <f t="shared" si="86"/>
        <v>2021</v>
      </c>
      <c r="D848" s="211">
        <f t="shared" si="87"/>
        <v>5</v>
      </c>
      <c r="E848" s="211">
        <f t="shared" si="88"/>
        <v>6</v>
      </c>
      <c r="F848" s="205">
        <v>10025.5</v>
      </c>
      <c r="G848" s="205">
        <v>17943</v>
      </c>
      <c r="H848" s="207">
        <v>1813.15</v>
      </c>
      <c r="I848" s="207">
        <v>26.73</v>
      </c>
      <c r="J848" s="207">
        <v>1257.5999999999999</v>
      </c>
      <c r="K848" s="207">
        <v>2947.4</v>
      </c>
      <c r="L848" s="207"/>
    </row>
    <row r="849" spans="2:12">
      <c r="B849" s="206">
        <v>44323</v>
      </c>
      <c r="C849" s="211">
        <f t="shared" si="86"/>
        <v>2021</v>
      </c>
      <c r="D849" s="211">
        <f t="shared" si="87"/>
        <v>5</v>
      </c>
      <c r="E849" s="211">
        <f t="shared" si="88"/>
        <v>7</v>
      </c>
      <c r="F849" s="205">
        <v>10361</v>
      </c>
      <c r="G849" s="205">
        <v>18025</v>
      </c>
      <c r="H849" s="207">
        <v>1836.55</v>
      </c>
      <c r="I849" s="207">
        <v>27.38</v>
      </c>
      <c r="J849" s="207">
        <v>1254.5</v>
      </c>
      <c r="K849" s="207">
        <v>2925.1</v>
      </c>
      <c r="L849" s="207"/>
    </row>
    <row r="850" spans="2:12">
      <c r="B850" s="206">
        <v>44326</v>
      </c>
      <c r="C850" s="211">
        <f t="shared" si="86"/>
        <v>2021</v>
      </c>
      <c r="D850" s="211">
        <f t="shared" si="87"/>
        <v>5</v>
      </c>
      <c r="E850" s="211">
        <f t="shared" si="88"/>
        <v>10</v>
      </c>
      <c r="F850" s="205">
        <v>10724.5</v>
      </c>
      <c r="G850" s="205">
        <v>18070</v>
      </c>
      <c r="H850" s="207">
        <v>1840.45</v>
      </c>
      <c r="I850" s="207">
        <v>27.74</v>
      </c>
      <c r="J850" s="207">
        <v>1265.5</v>
      </c>
      <c r="K850" s="207">
        <v>2968.2</v>
      </c>
      <c r="L850" s="207"/>
    </row>
    <row r="851" spans="2:12">
      <c r="B851" s="206">
        <v>44327</v>
      </c>
      <c r="C851" s="211">
        <f t="shared" si="86"/>
        <v>2021</v>
      </c>
      <c r="D851" s="211">
        <f t="shared" si="87"/>
        <v>5</v>
      </c>
      <c r="E851" s="211">
        <f t="shared" si="88"/>
        <v>11</v>
      </c>
      <c r="F851" s="205">
        <v>10528</v>
      </c>
      <c r="G851" s="205">
        <v>17943</v>
      </c>
      <c r="H851" s="207">
        <v>1829.1</v>
      </c>
      <c r="I851" s="207">
        <v>27.48</v>
      </c>
      <c r="J851" s="207">
        <v>1241.2</v>
      </c>
      <c r="K851" s="207">
        <v>2926.2</v>
      </c>
      <c r="L851" s="207"/>
    </row>
    <row r="852" spans="2:12">
      <c r="B852" s="206">
        <v>44328</v>
      </c>
      <c r="C852" s="211">
        <f t="shared" si="86"/>
        <v>2021</v>
      </c>
      <c r="D852" s="211">
        <f t="shared" si="87"/>
        <v>5</v>
      </c>
      <c r="E852" s="211">
        <f t="shared" si="88"/>
        <v>12</v>
      </c>
      <c r="F852" s="205">
        <v>10537</v>
      </c>
      <c r="G852" s="205">
        <v>17932</v>
      </c>
      <c r="H852" s="207">
        <v>1830.7</v>
      </c>
      <c r="I852" s="207">
        <v>27.41</v>
      </c>
      <c r="J852" s="207">
        <v>1225.9000000000001</v>
      </c>
      <c r="K852" s="207">
        <v>2849</v>
      </c>
      <c r="L852" s="207"/>
    </row>
    <row r="853" spans="2:12">
      <c r="B853" s="206">
        <v>44329</v>
      </c>
      <c r="C853" s="211">
        <f t="shared" si="86"/>
        <v>2021</v>
      </c>
      <c r="D853" s="211">
        <f t="shared" si="87"/>
        <v>5</v>
      </c>
      <c r="E853" s="211">
        <f t="shared" si="88"/>
        <v>13</v>
      </c>
      <c r="F853" s="205">
        <v>10253.5</v>
      </c>
      <c r="G853" s="205">
        <v>17180</v>
      </c>
      <c r="H853" s="207">
        <v>1821.8</v>
      </c>
      <c r="I853" s="207">
        <v>26.82</v>
      </c>
      <c r="J853" s="207">
        <v>1206.5</v>
      </c>
      <c r="K853" s="207">
        <v>2864.6</v>
      </c>
      <c r="L853" s="207"/>
    </row>
    <row r="854" spans="2:12">
      <c r="B854" s="206">
        <v>44330</v>
      </c>
      <c r="C854" s="211">
        <f t="shared" si="86"/>
        <v>2021</v>
      </c>
      <c r="D854" s="211">
        <f t="shared" si="87"/>
        <v>5</v>
      </c>
      <c r="E854" s="211">
        <f t="shared" si="88"/>
        <v>14</v>
      </c>
      <c r="F854" s="205">
        <v>10212</v>
      </c>
      <c r="G854" s="205">
        <v>17404</v>
      </c>
      <c r="H854" s="207">
        <v>1838.1</v>
      </c>
      <c r="I854" s="207">
        <v>27.23</v>
      </c>
      <c r="J854" s="207">
        <v>1222.8</v>
      </c>
      <c r="K854" s="207">
        <v>2894.6</v>
      </c>
      <c r="L854" s="207"/>
    </row>
    <row r="855" spans="2:12">
      <c r="B855" s="206">
        <v>44333</v>
      </c>
      <c r="C855" s="211">
        <f t="shared" si="86"/>
        <v>2021</v>
      </c>
      <c r="D855" s="211">
        <f t="shared" si="87"/>
        <v>5</v>
      </c>
      <c r="E855" s="211">
        <f t="shared" si="88"/>
        <v>17</v>
      </c>
      <c r="F855" s="205">
        <v>10257</v>
      </c>
      <c r="G855" s="205">
        <v>17723</v>
      </c>
      <c r="H855" s="207">
        <v>1853.7</v>
      </c>
      <c r="I855" s="207">
        <v>27.61</v>
      </c>
      <c r="J855" s="207">
        <v>1244.5</v>
      </c>
      <c r="K855" s="207">
        <v>2895.9</v>
      </c>
      <c r="L855" s="207"/>
    </row>
    <row r="856" spans="2:12">
      <c r="B856" s="206">
        <v>44334</v>
      </c>
      <c r="C856" s="211">
        <f t="shared" si="86"/>
        <v>2021</v>
      </c>
      <c r="D856" s="211">
        <f t="shared" si="87"/>
        <v>5</v>
      </c>
      <c r="E856" s="211">
        <f t="shared" si="88"/>
        <v>18</v>
      </c>
      <c r="F856" s="205">
        <v>10465</v>
      </c>
      <c r="G856" s="205">
        <v>18142</v>
      </c>
      <c r="H856" s="207">
        <v>1866.75</v>
      </c>
      <c r="I856" s="207">
        <v>28.48</v>
      </c>
      <c r="J856" s="207">
        <v>1225.3</v>
      </c>
      <c r="K856" s="207">
        <v>2903.1</v>
      </c>
      <c r="L856" s="207"/>
    </row>
    <row r="857" spans="2:12">
      <c r="B857" s="206">
        <v>44335</v>
      </c>
      <c r="C857" s="211">
        <f t="shared" si="86"/>
        <v>2021</v>
      </c>
      <c r="D857" s="211">
        <f t="shared" si="87"/>
        <v>5</v>
      </c>
      <c r="E857" s="211">
        <f t="shared" si="88"/>
        <v>19</v>
      </c>
      <c r="F857" s="205">
        <v>10114.5</v>
      </c>
      <c r="G857" s="205">
        <v>17680</v>
      </c>
      <c r="H857" s="207">
        <v>1888.45</v>
      </c>
      <c r="I857" s="207">
        <v>27.68</v>
      </c>
      <c r="J857" s="207">
        <v>1201.5999999999999</v>
      </c>
      <c r="K857" s="207">
        <v>2884.8</v>
      </c>
      <c r="L857" s="207"/>
    </row>
    <row r="858" spans="2:12">
      <c r="B858" s="206">
        <v>44336</v>
      </c>
      <c r="C858" s="211">
        <f t="shared" si="86"/>
        <v>2021</v>
      </c>
      <c r="D858" s="211">
        <f t="shared" si="87"/>
        <v>5</v>
      </c>
      <c r="E858" s="211">
        <f t="shared" si="88"/>
        <v>20</v>
      </c>
      <c r="F858" s="205">
        <v>10086</v>
      </c>
      <c r="G858" s="205">
        <v>17326</v>
      </c>
      <c r="H858" s="207">
        <v>1878.3</v>
      </c>
      <c r="I858" s="207">
        <v>27.74</v>
      </c>
      <c r="J858" s="207">
        <v>1205</v>
      </c>
      <c r="K858" s="207">
        <v>2870.2</v>
      </c>
      <c r="L858" s="207"/>
    </row>
    <row r="859" spans="2:12">
      <c r="B859" s="206">
        <v>44337</v>
      </c>
      <c r="C859" s="211">
        <f t="shared" si="86"/>
        <v>2021</v>
      </c>
      <c r="D859" s="211">
        <f t="shared" si="87"/>
        <v>5</v>
      </c>
      <c r="E859" s="211">
        <f t="shared" si="88"/>
        <v>21</v>
      </c>
      <c r="F859" s="205">
        <v>10011</v>
      </c>
      <c r="G859" s="205">
        <v>17047</v>
      </c>
      <c r="H859" s="207">
        <v>1875.9</v>
      </c>
      <c r="I859" s="207">
        <v>27.74</v>
      </c>
      <c r="J859" s="207">
        <v>1169.4000000000001</v>
      </c>
      <c r="K859" s="207">
        <v>2775</v>
      </c>
      <c r="L859" s="207"/>
    </row>
    <row r="860" spans="2:12">
      <c r="B860" s="206">
        <v>44340</v>
      </c>
      <c r="C860" s="211">
        <f t="shared" si="86"/>
        <v>2021</v>
      </c>
      <c r="D860" s="211">
        <f t="shared" si="87"/>
        <v>5</v>
      </c>
      <c r="E860" s="211">
        <f t="shared" si="88"/>
        <v>24</v>
      </c>
      <c r="F860" s="205">
        <v>9868</v>
      </c>
      <c r="G860" s="205">
        <v>16780</v>
      </c>
      <c r="H860" s="207">
        <v>1880.15</v>
      </c>
      <c r="I860" s="207">
        <v>27.65</v>
      </c>
      <c r="J860" s="207">
        <v>1177.5999999999999</v>
      </c>
      <c r="K860" s="207">
        <v>2729.8</v>
      </c>
      <c r="L860" s="207"/>
    </row>
    <row r="861" spans="2:12">
      <c r="B861" s="206">
        <v>44341</v>
      </c>
      <c r="C861" s="211">
        <f t="shared" si="86"/>
        <v>2021</v>
      </c>
      <c r="D861" s="211">
        <f t="shared" si="87"/>
        <v>5</v>
      </c>
      <c r="E861" s="211">
        <f t="shared" si="88"/>
        <v>25</v>
      </c>
      <c r="F861" s="205">
        <v>9943</v>
      </c>
      <c r="G861" s="205">
        <v>17125</v>
      </c>
      <c r="H861" s="207">
        <v>1887</v>
      </c>
      <c r="I861" s="207">
        <v>27.56</v>
      </c>
      <c r="J861" s="207">
        <v>1196.9000000000001</v>
      </c>
      <c r="K861" s="207">
        <v>2778.94</v>
      </c>
      <c r="L861" s="207"/>
    </row>
    <row r="862" spans="2:12">
      <c r="B862" s="206">
        <v>44342</v>
      </c>
      <c r="C862" s="211">
        <f t="shared" si="86"/>
        <v>2021</v>
      </c>
      <c r="D862" s="211">
        <f t="shared" si="87"/>
        <v>5</v>
      </c>
      <c r="E862" s="211">
        <f t="shared" si="88"/>
        <v>26</v>
      </c>
      <c r="F862" s="205">
        <v>9965</v>
      </c>
      <c r="G862" s="205">
        <v>17168</v>
      </c>
      <c r="H862" s="207">
        <v>1899.75</v>
      </c>
      <c r="I862" s="207">
        <v>28.12</v>
      </c>
      <c r="J862" s="207">
        <v>1200.2</v>
      </c>
      <c r="K862" s="207">
        <v>2750</v>
      </c>
      <c r="L862" s="207"/>
    </row>
    <row r="863" spans="2:12">
      <c r="B863" s="206">
        <v>44343</v>
      </c>
      <c r="C863" s="211">
        <f t="shared" si="86"/>
        <v>2021</v>
      </c>
      <c r="D863" s="211">
        <f t="shared" si="87"/>
        <v>5</v>
      </c>
      <c r="E863" s="211">
        <f t="shared" si="88"/>
        <v>27</v>
      </c>
      <c r="F863" s="205">
        <v>10032.5</v>
      </c>
      <c r="G863" s="205">
        <v>17364</v>
      </c>
      <c r="H863" s="207">
        <v>1891.45</v>
      </c>
      <c r="I863" s="207">
        <v>27.66</v>
      </c>
      <c r="J863" s="207">
        <v>1179.0999999999999</v>
      </c>
      <c r="K863" s="207">
        <v>2807.22</v>
      </c>
      <c r="L863" s="207"/>
    </row>
    <row r="864" spans="2:12">
      <c r="B864" s="206">
        <v>44344</v>
      </c>
      <c r="C864" s="211">
        <f t="shared" si="86"/>
        <v>2021</v>
      </c>
      <c r="D864" s="211">
        <f t="shared" si="87"/>
        <v>5</v>
      </c>
      <c r="E864" s="211">
        <f t="shared" si="88"/>
        <v>28</v>
      </c>
      <c r="F864" s="205">
        <v>10159.5</v>
      </c>
      <c r="G864" s="205">
        <v>17811</v>
      </c>
      <c r="H864" s="207">
        <v>1899.95</v>
      </c>
      <c r="I864" s="207">
        <v>27.63</v>
      </c>
      <c r="J864" s="207">
        <v>1182.4000000000001</v>
      </c>
      <c r="K864" s="207">
        <v>2828.92</v>
      </c>
      <c r="L864" s="207"/>
    </row>
    <row r="865" spans="2:12">
      <c r="B865" s="206">
        <v>44348</v>
      </c>
      <c r="C865" s="211">
        <f t="shared" si="86"/>
        <v>2021</v>
      </c>
      <c r="D865" s="211">
        <f t="shared" si="87"/>
        <v>6</v>
      </c>
      <c r="E865" s="211">
        <f t="shared" si="88"/>
        <v>1</v>
      </c>
      <c r="F865" s="205">
        <v>10212.5</v>
      </c>
      <c r="G865" s="205">
        <v>18147</v>
      </c>
      <c r="H865" s="207">
        <v>1899.35</v>
      </c>
      <c r="I865" s="207">
        <v>28.21</v>
      </c>
      <c r="J865" s="207">
        <v>1199.7</v>
      </c>
      <c r="K865" s="207">
        <v>2863.2</v>
      </c>
      <c r="L865" s="207"/>
    </row>
    <row r="866" spans="2:12">
      <c r="B866" s="206">
        <v>44349</v>
      </c>
      <c r="C866" s="211">
        <f t="shared" si="86"/>
        <v>2021</v>
      </c>
      <c r="D866" s="211">
        <f t="shared" si="87"/>
        <v>6</v>
      </c>
      <c r="E866" s="211">
        <f t="shared" si="88"/>
        <v>2</v>
      </c>
      <c r="F866" s="205">
        <v>10117.5</v>
      </c>
      <c r="G866" s="205">
        <v>18133</v>
      </c>
      <c r="H866" s="207">
        <v>1902.75</v>
      </c>
      <c r="I866" s="207">
        <v>27.75</v>
      </c>
      <c r="J866" s="207">
        <v>1192.7</v>
      </c>
      <c r="K866" s="207">
        <v>2868.6</v>
      </c>
      <c r="L866" s="207"/>
    </row>
    <row r="867" spans="2:12">
      <c r="B867" s="206">
        <v>44350</v>
      </c>
      <c r="C867" s="211">
        <f t="shared" si="86"/>
        <v>2021</v>
      </c>
      <c r="D867" s="211">
        <f t="shared" si="87"/>
        <v>6</v>
      </c>
      <c r="E867" s="211">
        <f t="shared" si="88"/>
        <v>3</v>
      </c>
      <c r="F867" s="205">
        <v>9967</v>
      </c>
      <c r="G867" s="205">
        <v>17945</v>
      </c>
      <c r="H867" s="207">
        <v>1866.55</v>
      </c>
      <c r="I867" s="207">
        <v>27.76</v>
      </c>
      <c r="J867" s="207">
        <v>1162.5</v>
      </c>
      <c r="K867" s="207">
        <v>2826.6</v>
      </c>
      <c r="L867" s="207"/>
    </row>
    <row r="868" spans="2:12">
      <c r="B868" s="206">
        <v>44351</v>
      </c>
      <c r="C868" s="211">
        <f t="shared" si="86"/>
        <v>2021</v>
      </c>
      <c r="D868" s="211">
        <f t="shared" si="87"/>
        <v>6</v>
      </c>
      <c r="E868" s="211">
        <f t="shared" si="88"/>
        <v>4</v>
      </c>
      <c r="F868" s="205">
        <v>9852</v>
      </c>
      <c r="G868" s="205">
        <v>17922</v>
      </c>
      <c r="H868" s="207">
        <v>1890.6</v>
      </c>
      <c r="I868" s="207">
        <v>27.37</v>
      </c>
      <c r="J868" s="207">
        <v>1164.4000000000001</v>
      </c>
      <c r="K868" s="207">
        <v>2842.2</v>
      </c>
      <c r="L868" s="207"/>
    </row>
    <row r="869" spans="2:12">
      <c r="B869" s="206">
        <v>44354</v>
      </c>
      <c r="C869" s="211">
        <f t="shared" si="86"/>
        <v>2021</v>
      </c>
      <c r="D869" s="211">
        <f t="shared" si="87"/>
        <v>6</v>
      </c>
      <c r="E869" s="211">
        <f t="shared" si="88"/>
        <v>7</v>
      </c>
      <c r="F869" s="205">
        <v>9848</v>
      </c>
      <c r="G869" s="205">
        <v>17625</v>
      </c>
      <c r="H869" s="207">
        <v>1888.4</v>
      </c>
      <c r="I869" s="207">
        <v>27.58</v>
      </c>
      <c r="J869" s="207">
        <v>1174.8</v>
      </c>
      <c r="K869" s="207">
        <v>2837.7</v>
      </c>
      <c r="L869" s="207"/>
    </row>
    <row r="870" spans="2:12">
      <c r="B870" s="206">
        <v>44355</v>
      </c>
      <c r="C870" s="211">
        <f t="shared" si="86"/>
        <v>2021</v>
      </c>
      <c r="D870" s="211">
        <f t="shared" si="87"/>
        <v>6</v>
      </c>
      <c r="E870" s="211">
        <f t="shared" si="88"/>
        <v>8</v>
      </c>
      <c r="F870" s="205">
        <v>9878.5</v>
      </c>
      <c r="G870" s="205">
        <v>17828</v>
      </c>
      <c r="H870" s="207">
        <v>1893.15</v>
      </c>
      <c r="I870" s="207">
        <v>27.72</v>
      </c>
      <c r="J870" s="207">
        <v>1162.5</v>
      </c>
      <c r="K870" s="207">
        <v>2807</v>
      </c>
      <c r="L870" s="207"/>
    </row>
    <row r="871" spans="2:12">
      <c r="B871" s="206">
        <v>44356</v>
      </c>
      <c r="C871" s="211">
        <f t="shared" si="86"/>
        <v>2021</v>
      </c>
      <c r="D871" s="211">
        <f t="shared" si="87"/>
        <v>6</v>
      </c>
      <c r="E871" s="211">
        <f t="shared" si="88"/>
        <v>9</v>
      </c>
      <c r="F871" s="205">
        <v>9877</v>
      </c>
      <c r="G871" s="205">
        <v>18088</v>
      </c>
      <c r="H871" s="207">
        <v>1894.6</v>
      </c>
      <c r="I871" s="207">
        <v>27.58</v>
      </c>
      <c r="J871" s="207">
        <v>1151.8</v>
      </c>
      <c r="K871" s="207">
        <v>2772.8</v>
      </c>
      <c r="L871" s="207"/>
    </row>
    <row r="872" spans="2:12">
      <c r="B872" s="206">
        <v>44357</v>
      </c>
      <c r="C872" s="211">
        <f t="shared" si="86"/>
        <v>2021</v>
      </c>
      <c r="D872" s="211">
        <f t="shared" si="87"/>
        <v>6</v>
      </c>
      <c r="E872" s="211">
        <f t="shared" si="88"/>
        <v>10</v>
      </c>
      <c r="F872" s="205">
        <v>9808.5</v>
      </c>
      <c r="G872" s="205">
        <v>17783</v>
      </c>
      <c r="H872" s="207">
        <v>1888.65</v>
      </c>
      <c r="I872" s="207">
        <v>27.66</v>
      </c>
      <c r="J872" s="207">
        <v>1146</v>
      </c>
      <c r="K872" s="207">
        <v>2777.7</v>
      </c>
      <c r="L872" s="207"/>
    </row>
    <row r="873" spans="2:12">
      <c r="B873" s="206">
        <v>44358</v>
      </c>
      <c r="C873" s="211">
        <f t="shared" si="86"/>
        <v>2021</v>
      </c>
      <c r="D873" s="211">
        <f t="shared" si="87"/>
        <v>6</v>
      </c>
      <c r="E873" s="211">
        <f t="shared" si="88"/>
        <v>11</v>
      </c>
      <c r="F873" s="205">
        <v>10029</v>
      </c>
      <c r="G873" s="205">
        <v>18303</v>
      </c>
      <c r="H873" s="207">
        <v>1881.05</v>
      </c>
      <c r="I873" s="207">
        <v>28.14</v>
      </c>
      <c r="J873" s="207">
        <v>1151.0999999999999</v>
      </c>
      <c r="K873" s="207">
        <v>2780.8</v>
      </c>
      <c r="L873" s="207"/>
    </row>
    <row r="874" spans="2:12">
      <c r="B874" s="206">
        <v>44361</v>
      </c>
      <c r="C874" s="211">
        <f t="shared" si="86"/>
        <v>2021</v>
      </c>
      <c r="D874" s="211">
        <f t="shared" si="87"/>
        <v>6</v>
      </c>
      <c r="E874" s="211">
        <f t="shared" si="88"/>
        <v>14</v>
      </c>
      <c r="F874" s="205">
        <v>9900</v>
      </c>
      <c r="G874" s="205">
        <v>18276</v>
      </c>
      <c r="H874" s="207">
        <v>1865.6</v>
      </c>
      <c r="I874" s="207">
        <v>27.73</v>
      </c>
      <c r="J874" s="207">
        <v>1165.3</v>
      </c>
      <c r="K874" s="207">
        <v>2756.6</v>
      </c>
      <c r="L874" s="207"/>
    </row>
    <row r="875" spans="2:12">
      <c r="B875" s="206">
        <v>44362</v>
      </c>
      <c r="C875" s="211">
        <f t="shared" si="86"/>
        <v>2021</v>
      </c>
      <c r="D875" s="211">
        <f t="shared" si="87"/>
        <v>6</v>
      </c>
      <c r="E875" s="211">
        <f t="shared" si="88"/>
        <v>15</v>
      </c>
      <c r="F875" s="205">
        <v>9552.5</v>
      </c>
      <c r="G875" s="205">
        <v>17909</v>
      </c>
      <c r="H875" s="207">
        <v>1865.1</v>
      </c>
      <c r="I875" s="207">
        <v>27.63</v>
      </c>
      <c r="J875" s="207">
        <v>1148.5999999999999</v>
      </c>
      <c r="K875" s="207">
        <v>2764.8</v>
      </c>
      <c r="L875" s="207"/>
    </row>
    <row r="876" spans="2:12">
      <c r="B876" s="206">
        <v>44363</v>
      </c>
      <c r="C876" s="211">
        <f t="shared" si="86"/>
        <v>2021</v>
      </c>
      <c r="D876" s="211">
        <f t="shared" si="87"/>
        <v>6</v>
      </c>
      <c r="E876" s="211">
        <f t="shared" si="88"/>
        <v>16</v>
      </c>
      <c r="F876" s="205">
        <v>9508</v>
      </c>
      <c r="G876" s="205">
        <v>17483</v>
      </c>
      <c r="H876" s="207">
        <v>1860.75</v>
      </c>
      <c r="I876" s="207">
        <v>27.71</v>
      </c>
      <c r="J876" s="207">
        <v>1141.9000000000001</v>
      </c>
      <c r="K876" s="207">
        <v>2836.8</v>
      </c>
      <c r="L876" s="207"/>
    </row>
    <row r="877" spans="2:12">
      <c r="B877" s="206">
        <v>44364</v>
      </c>
      <c r="C877" s="211">
        <f t="shared" si="86"/>
        <v>2021</v>
      </c>
      <c r="D877" s="211">
        <f t="shared" si="87"/>
        <v>6</v>
      </c>
      <c r="E877" s="211">
        <f t="shared" si="88"/>
        <v>17</v>
      </c>
      <c r="F877" s="205">
        <v>9427.5</v>
      </c>
      <c r="G877" s="205">
        <v>17287</v>
      </c>
      <c r="H877" s="207">
        <v>1778.7</v>
      </c>
      <c r="I877" s="207">
        <v>26.6</v>
      </c>
      <c r="J877" s="207">
        <v>1055.2</v>
      </c>
      <c r="K877" s="207">
        <v>2512.1999999999998</v>
      </c>
      <c r="L877" s="207"/>
    </row>
    <row r="878" spans="2:12">
      <c r="B878" s="206">
        <v>44365</v>
      </c>
      <c r="C878" s="211">
        <f t="shared" si="86"/>
        <v>2021</v>
      </c>
      <c r="D878" s="211">
        <f t="shared" si="87"/>
        <v>6</v>
      </c>
      <c r="E878" s="211">
        <f t="shared" si="88"/>
        <v>18</v>
      </c>
      <c r="F878" s="205">
        <v>9206</v>
      </c>
      <c r="G878" s="205">
        <v>17320</v>
      </c>
      <c r="H878" s="207">
        <v>1773.1</v>
      </c>
      <c r="I878" s="207">
        <v>26.39</v>
      </c>
      <c r="J878" s="207">
        <v>1041</v>
      </c>
      <c r="K878" s="207">
        <v>2469.9</v>
      </c>
      <c r="L878" s="207"/>
    </row>
    <row r="879" spans="2:12">
      <c r="B879" s="206">
        <v>44368</v>
      </c>
      <c r="C879" s="211">
        <f t="shared" si="86"/>
        <v>2021</v>
      </c>
      <c r="D879" s="211">
        <f t="shared" si="87"/>
        <v>6</v>
      </c>
      <c r="E879" s="211">
        <f t="shared" si="88"/>
        <v>21</v>
      </c>
      <c r="F879" s="205">
        <v>9042.5</v>
      </c>
      <c r="G879" s="205">
        <v>17310</v>
      </c>
      <c r="H879" s="207">
        <v>1775.05</v>
      </c>
      <c r="I879" s="207">
        <v>25.96</v>
      </c>
      <c r="J879" s="207">
        <v>1050.5999999999999</v>
      </c>
      <c r="K879" s="207">
        <v>2558.3000000000002</v>
      </c>
      <c r="L879" s="207"/>
    </row>
    <row r="880" spans="2:12">
      <c r="B880" s="206">
        <v>44369</v>
      </c>
      <c r="C880" s="211">
        <f t="shared" si="86"/>
        <v>2021</v>
      </c>
      <c r="D880" s="211">
        <f t="shared" si="87"/>
        <v>6</v>
      </c>
      <c r="E880" s="211">
        <f t="shared" si="88"/>
        <v>22</v>
      </c>
      <c r="F880" s="205">
        <v>9190.5</v>
      </c>
      <c r="G880" s="205">
        <v>17701</v>
      </c>
      <c r="H880" s="207">
        <v>1775.05</v>
      </c>
      <c r="I880" s="207">
        <v>25.97</v>
      </c>
      <c r="J880" s="207">
        <v>1070.2</v>
      </c>
      <c r="K880" s="207">
        <v>2558.9</v>
      </c>
      <c r="L880" s="207"/>
    </row>
    <row r="881" spans="2:12">
      <c r="B881" s="206">
        <v>44370</v>
      </c>
      <c r="C881" s="211">
        <f t="shared" si="86"/>
        <v>2021</v>
      </c>
      <c r="D881" s="211">
        <f t="shared" si="87"/>
        <v>6</v>
      </c>
      <c r="E881" s="211">
        <f t="shared" si="88"/>
        <v>23</v>
      </c>
      <c r="F881" s="205">
        <v>9289.5</v>
      </c>
      <c r="G881" s="205">
        <v>17867</v>
      </c>
      <c r="H881" s="207">
        <v>1791.6</v>
      </c>
      <c r="I881" s="207">
        <v>25.95</v>
      </c>
      <c r="J881" s="207">
        <v>1086.5</v>
      </c>
      <c r="K881" s="207">
        <v>2630.5</v>
      </c>
      <c r="L881" s="207"/>
    </row>
    <row r="882" spans="2:12">
      <c r="B882" s="206">
        <v>44371</v>
      </c>
      <c r="C882" s="211">
        <f t="shared" si="86"/>
        <v>2021</v>
      </c>
      <c r="D882" s="211">
        <f t="shared" si="87"/>
        <v>6</v>
      </c>
      <c r="E882" s="211">
        <f t="shared" si="88"/>
        <v>24</v>
      </c>
      <c r="F882" s="205">
        <v>9390.5</v>
      </c>
      <c r="G882" s="205">
        <v>18192</v>
      </c>
      <c r="H882" s="207">
        <v>1784.85</v>
      </c>
      <c r="I882" s="207">
        <v>25.99</v>
      </c>
      <c r="J882" s="207">
        <v>1093.9000000000001</v>
      </c>
      <c r="K882" s="207">
        <v>2643.9</v>
      </c>
      <c r="L882" s="207"/>
    </row>
    <row r="883" spans="2:12">
      <c r="B883" s="206">
        <v>44372</v>
      </c>
      <c r="C883" s="211">
        <f t="shared" si="86"/>
        <v>2021</v>
      </c>
      <c r="D883" s="211">
        <f t="shared" si="87"/>
        <v>6</v>
      </c>
      <c r="E883" s="211">
        <f t="shared" si="88"/>
        <v>25</v>
      </c>
      <c r="F883" s="205">
        <v>9432.5</v>
      </c>
      <c r="G883" s="205">
        <v>18611</v>
      </c>
      <c r="H883" s="207">
        <v>1786.65</v>
      </c>
      <c r="I883" s="207">
        <v>26.13</v>
      </c>
      <c r="J883" s="207">
        <v>1104.02</v>
      </c>
      <c r="K883" s="207">
        <v>2637.2</v>
      </c>
      <c r="L883" s="207"/>
    </row>
    <row r="884" spans="2:12">
      <c r="B884" s="206">
        <v>44375</v>
      </c>
      <c r="C884" s="211">
        <f t="shared" si="86"/>
        <v>2021</v>
      </c>
      <c r="D884" s="211">
        <f t="shared" si="87"/>
        <v>6</v>
      </c>
      <c r="E884" s="211">
        <f t="shared" si="88"/>
        <v>28</v>
      </c>
      <c r="F884" s="205">
        <v>9333.5</v>
      </c>
      <c r="G884" s="205">
        <v>18358</v>
      </c>
      <c r="H884" s="207">
        <v>1780.3</v>
      </c>
      <c r="I884" s="207">
        <v>26.09</v>
      </c>
      <c r="J884" s="207">
        <v>1098.3599999999999</v>
      </c>
      <c r="K884" s="207">
        <v>2699.4</v>
      </c>
      <c r="L884" s="207"/>
    </row>
    <row r="885" spans="2:12">
      <c r="B885" s="206">
        <v>44376</v>
      </c>
      <c r="C885" s="211">
        <f t="shared" si="86"/>
        <v>2021</v>
      </c>
      <c r="D885" s="211">
        <f t="shared" si="87"/>
        <v>6</v>
      </c>
      <c r="E885" s="211">
        <f t="shared" si="88"/>
        <v>29</v>
      </c>
      <c r="F885" s="205">
        <v>9225.5</v>
      </c>
      <c r="G885" s="205">
        <v>18213</v>
      </c>
      <c r="H885" s="207">
        <v>1755.45</v>
      </c>
      <c r="I885" s="207">
        <v>25.96</v>
      </c>
      <c r="J885" s="207">
        <v>1069.3599999999999</v>
      </c>
      <c r="K885" s="207">
        <v>2681.2</v>
      </c>
      <c r="L885" s="207"/>
    </row>
    <row r="886" spans="2:12">
      <c r="B886" s="206">
        <v>44377</v>
      </c>
      <c r="C886" s="211">
        <f t="shared" si="86"/>
        <v>2021</v>
      </c>
      <c r="D886" s="211">
        <f t="shared" si="87"/>
        <v>6</v>
      </c>
      <c r="E886" s="211">
        <f t="shared" si="88"/>
        <v>30</v>
      </c>
      <c r="F886" s="205">
        <v>9385</v>
      </c>
      <c r="G886" s="205">
        <v>18450</v>
      </c>
      <c r="H886" s="207">
        <v>1763.15</v>
      </c>
      <c r="I886" s="207">
        <v>25.77</v>
      </c>
      <c r="J886" s="207">
        <v>1072.42</v>
      </c>
      <c r="K886" s="207">
        <v>2779.2</v>
      </c>
      <c r="L886" s="207"/>
    </row>
    <row r="887" spans="2:12">
      <c r="B887" s="1" t="s">
        <v>5107</v>
      </c>
      <c r="C887" s="2584">
        <f t="shared" si="86"/>
        <v>2021</v>
      </c>
      <c r="D887" s="2584">
        <f t="shared" si="87"/>
        <v>7</v>
      </c>
      <c r="E887" s="2584">
        <f t="shared" si="88"/>
        <v>1</v>
      </c>
      <c r="F887" s="19">
        <v>9342</v>
      </c>
      <c r="G887" s="19">
        <v>18082</v>
      </c>
      <c r="H887" s="19">
        <v>1781.5</v>
      </c>
      <c r="I887" s="1">
        <v>26.26</v>
      </c>
      <c r="J887" s="1">
        <v>1080.9000000000001</v>
      </c>
      <c r="K887" s="19">
        <v>2768.9</v>
      </c>
    </row>
    <row r="888" spans="2:12">
      <c r="B888" s="1" t="s">
        <v>5108</v>
      </c>
      <c r="C888" s="2584">
        <f t="shared" si="86"/>
        <v>2021</v>
      </c>
      <c r="D888" s="2584">
        <f t="shared" si="87"/>
        <v>7</v>
      </c>
      <c r="E888" s="2584">
        <f t="shared" si="88"/>
        <v>2</v>
      </c>
      <c r="F888" s="19">
        <v>9296.5</v>
      </c>
      <c r="G888" s="19">
        <v>18141</v>
      </c>
      <c r="H888" s="19">
        <v>1786.15</v>
      </c>
      <c r="I888" s="1">
        <v>26.17</v>
      </c>
      <c r="J888" s="1">
        <v>1087.7</v>
      </c>
      <c r="K888" s="19">
        <v>2792.5</v>
      </c>
    </row>
    <row r="889" spans="2:12">
      <c r="B889" s="1" t="s">
        <v>5109</v>
      </c>
      <c r="C889" s="2584">
        <f t="shared" si="86"/>
        <v>2021</v>
      </c>
      <c r="D889" s="2584">
        <f t="shared" si="87"/>
        <v>7</v>
      </c>
      <c r="E889" s="2584">
        <f t="shared" si="88"/>
        <v>5</v>
      </c>
      <c r="F889" s="19">
        <v>9432</v>
      </c>
      <c r="G889" s="19">
        <v>18370</v>
      </c>
      <c r="H889" s="19">
        <v>1791.35</v>
      </c>
      <c r="I889" s="1">
        <v>26.55</v>
      </c>
      <c r="J889" s="1">
        <v>1084</v>
      </c>
      <c r="K889" s="19">
        <v>2796.1</v>
      </c>
    </row>
    <row r="890" spans="2:12">
      <c r="B890" s="1" t="s">
        <v>5110</v>
      </c>
      <c r="C890" s="2584">
        <f t="shared" si="86"/>
        <v>2021</v>
      </c>
      <c r="D890" s="2584">
        <f t="shared" si="87"/>
        <v>7</v>
      </c>
      <c r="E890" s="2584">
        <f t="shared" si="88"/>
        <v>6</v>
      </c>
      <c r="F890" s="19">
        <v>9528</v>
      </c>
      <c r="G890" s="19">
        <v>18541</v>
      </c>
      <c r="H890" s="19">
        <v>1809.85</v>
      </c>
      <c r="I890" s="1">
        <v>26.61</v>
      </c>
      <c r="J890" s="1">
        <v>1081.9000000000001</v>
      </c>
      <c r="K890" s="19">
        <v>2848.3</v>
      </c>
    </row>
    <row r="891" spans="2:12">
      <c r="B891" s="1" t="s">
        <v>5111</v>
      </c>
      <c r="C891" s="2584">
        <f t="shared" si="86"/>
        <v>2021</v>
      </c>
      <c r="D891" s="2584">
        <f t="shared" si="87"/>
        <v>7</v>
      </c>
      <c r="E891" s="2584">
        <f t="shared" si="88"/>
        <v>7</v>
      </c>
      <c r="F891" s="19">
        <v>9451.5</v>
      </c>
      <c r="G891" s="19">
        <v>18309</v>
      </c>
      <c r="H891" s="19">
        <v>1804.65</v>
      </c>
      <c r="I891" s="1">
        <v>26.39</v>
      </c>
      <c r="J891" s="1">
        <v>1074.5</v>
      </c>
      <c r="K891" s="19">
        <v>2810.2</v>
      </c>
    </row>
    <row r="892" spans="2:12">
      <c r="B892" s="1" t="s">
        <v>5112</v>
      </c>
      <c r="C892" s="2584">
        <f t="shared" si="86"/>
        <v>2021</v>
      </c>
      <c r="D892" s="2584">
        <f t="shared" si="87"/>
        <v>7</v>
      </c>
      <c r="E892" s="2584">
        <f t="shared" si="88"/>
        <v>8</v>
      </c>
      <c r="F892" s="19">
        <v>9264.5</v>
      </c>
      <c r="G892" s="19">
        <v>18180</v>
      </c>
      <c r="H892" s="19">
        <v>1807.7</v>
      </c>
      <c r="I892" s="1">
        <v>26.11</v>
      </c>
      <c r="J892" s="1">
        <v>1095.7</v>
      </c>
      <c r="K892" s="19">
        <v>2812</v>
      </c>
    </row>
    <row r="893" spans="2:12">
      <c r="B893" s="1" t="s">
        <v>5113</v>
      </c>
      <c r="C893" s="2584">
        <f t="shared" si="86"/>
        <v>2021</v>
      </c>
      <c r="D893" s="2584">
        <f t="shared" si="87"/>
        <v>7</v>
      </c>
      <c r="E893" s="2584">
        <f t="shared" si="88"/>
        <v>9</v>
      </c>
      <c r="F893" s="19">
        <v>9437.5</v>
      </c>
      <c r="G893" s="19">
        <v>18673</v>
      </c>
      <c r="H893" s="19">
        <v>1806</v>
      </c>
      <c r="I893" s="1">
        <v>26.01</v>
      </c>
      <c r="J893" s="1">
        <v>1123</v>
      </c>
      <c r="K893" s="19">
        <v>2859.3</v>
      </c>
    </row>
    <row r="894" spans="2:12">
      <c r="B894" s="1" t="s">
        <v>5114</v>
      </c>
      <c r="C894" s="2584">
        <f t="shared" si="86"/>
        <v>2021</v>
      </c>
      <c r="D894" s="2584">
        <f t="shared" si="87"/>
        <v>7</v>
      </c>
      <c r="E894" s="2584">
        <f t="shared" si="88"/>
        <v>12</v>
      </c>
      <c r="F894" s="19">
        <v>9347</v>
      </c>
      <c r="G894" s="19">
        <v>18566</v>
      </c>
      <c r="H894" s="19">
        <v>1792.4</v>
      </c>
      <c r="I894" s="1">
        <v>25.93</v>
      </c>
      <c r="J894" s="1">
        <v>1111.2</v>
      </c>
      <c r="K894" s="19">
        <v>2832.5</v>
      </c>
    </row>
    <row r="895" spans="2:12">
      <c r="B895" s="1" t="s">
        <v>5115</v>
      </c>
      <c r="C895" s="2584">
        <f t="shared" si="86"/>
        <v>2021</v>
      </c>
      <c r="D895" s="2584">
        <f t="shared" si="87"/>
        <v>7</v>
      </c>
      <c r="E895" s="2584">
        <f t="shared" si="88"/>
        <v>13</v>
      </c>
      <c r="F895" s="19">
        <v>9310</v>
      </c>
      <c r="G895" s="19">
        <v>18785</v>
      </c>
      <c r="H895" s="19">
        <v>1813.85</v>
      </c>
      <c r="I895" s="1">
        <v>26.11</v>
      </c>
      <c r="J895" s="1">
        <v>1128.0999999999999</v>
      </c>
      <c r="K895" s="19">
        <v>2826.3</v>
      </c>
    </row>
    <row r="896" spans="2:12">
      <c r="B896" s="1" t="s">
        <v>5116</v>
      </c>
      <c r="C896" s="2584">
        <f t="shared" si="86"/>
        <v>2021</v>
      </c>
      <c r="D896" s="2584">
        <f t="shared" si="87"/>
        <v>7</v>
      </c>
      <c r="E896" s="2584">
        <f t="shared" si="88"/>
        <v>14</v>
      </c>
      <c r="F896" s="19">
        <v>9309</v>
      </c>
      <c r="G896" s="19">
        <v>18689</v>
      </c>
      <c r="H896" s="19">
        <v>1823.2</v>
      </c>
      <c r="I896" s="1">
        <v>26.17</v>
      </c>
      <c r="J896" s="1">
        <v>1137.7</v>
      </c>
      <c r="K896" s="19">
        <v>2729.3</v>
      </c>
    </row>
    <row r="897" spans="2:11">
      <c r="B897" s="1" t="s">
        <v>5117</v>
      </c>
      <c r="C897" s="2584">
        <f t="shared" si="86"/>
        <v>2021</v>
      </c>
      <c r="D897" s="2584">
        <f t="shared" si="87"/>
        <v>7</v>
      </c>
      <c r="E897" s="2584">
        <f t="shared" si="88"/>
        <v>15</v>
      </c>
      <c r="F897" s="19">
        <v>9347</v>
      </c>
      <c r="G897" s="19">
        <v>18695</v>
      </c>
      <c r="H897" s="19">
        <v>1823.75</v>
      </c>
      <c r="I897" s="1">
        <v>26.21</v>
      </c>
      <c r="J897" s="1">
        <v>1108.5</v>
      </c>
      <c r="K897" s="19">
        <v>2637.3</v>
      </c>
    </row>
    <row r="898" spans="2:11">
      <c r="B898" s="1" t="s">
        <v>5118</v>
      </c>
      <c r="C898" s="2584">
        <f t="shared" si="86"/>
        <v>2021</v>
      </c>
      <c r="D898" s="2584">
        <f t="shared" si="87"/>
        <v>7</v>
      </c>
      <c r="E898" s="2584">
        <f t="shared" si="88"/>
        <v>16</v>
      </c>
      <c r="F898" s="19">
        <v>9396.5</v>
      </c>
      <c r="G898" s="19">
        <v>18895</v>
      </c>
      <c r="H898" s="19">
        <v>1824.3</v>
      </c>
      <c r="I898" s="1">
        <v>26.11</v>
      </c>
      <c r="J898" s="1">
        <v>1071.4000000000001</v>
      </c>
      <c r="K898" s="19">
        <v>2592.6999999999998</v>
      </c>
    </row>
    <row r="899" spans="2:11">
      <c r="B899" s="1" t="s">
        <v>5119</v>
      </c>
      <c r="C899" s="2584">
        <f t="shared" si="86"/>
        <v>2021</v>
      </c>
      <c r="D899" s="2584">
        <f t="shared" si="87"/>
        <v>7</v>
      </c>
      <c r="E899" s="2584">
        <f t="shared" si="88"/>
        <v>19</v>
      </c>
      <c r="F899" s="19">
        <v>9264.5</v>
      </c>
      <c r="G899" s="19">
        <v>18866</v>
      </c>
      <c r="H899" s="19">
        <v>1814.9</v>
      </c>
      <c r="I899" s="1">
        <v>25.33</v>
      </c>
      <c r="J899" s="1">
        <v>1065.2</v>
      </c>
      <c r="K899" s="19">
        <v>2640.4</v>
      </c>
    </row>
    <row r="900" spans="2:11">
      <c r="B900" s="1" t="s">
        <v>5120</v>
      </c>
      <c r="C900" s="2584">
        <f t="shared" ref="C900:C950" si="89">YEAR(B900)</f>
        <v>2021</v>
      </c>
      <c r="D900" s="2584">
        <f t="shared" ref="D900:D950" si="90">MONTH(B900)</f>
        <v>7</v>
      </c>
      <c r="E900" s="2584">
        <f t="shared" ref="E900:E950" si="91">DAY(B900)</f>
        <v>20</v>
      </c>
      <c r="F900" s="19">
        <v>9211</v>
      </c>
      <c r="G900" s="19">
        <v>18570</v>
      </c>
      <c r="H900" s="19">
        <v>1823.05</v>
      </c>
      <c r="I900" s="1">
        <v>25.1</v>
      </c>
      <c r="J900" s="1">
        <v>1075.3</v>
      </c>
      <c r="K900" s="19">
        <v>2654.9</v>
      </c>
    </row>
    <row r="901" spans="2:11">
      <c r="B901" s="1" t="s">
        <v>5121</v>
      </c>
      <c r="C901" s="2584">
        <f t="shared" si="89"/>
        <v>2021</v>
      </c>
      <c r="D901" s="2584">
        <f t="shared" si="90"/>
        <v>7</v>
      </c>
      <c r="E901" s="2584">
        <f t="shared" si="91"/>
        <v>21</v>
      </c>
      <c r="F901" s="19">
        <v>9271.5</v>
      </c>
      <c r="G901" s="19">
        <v>18382</v>
      </c>
      <c r="H901" s="19">
        <v>1802.15</v>
      </c>
      <c r="I901" s="1">
        <v>25.11</v>
      </c>
      <c r="J901" s="1">
        <v>1090.5999999999999</v>
      </c>
      <c r="K901" s="19">
        <v>2704.6</v>
      </c>
    </row>
    <row r="902" spans="2:11">
      <c r="B902" s="1" t="s">
        <v>5122</v>
      </c>
      <c r="C902" s="2584">
        <f t="shared" si="89"/>
        <v>2021</v>
      </c>
      <c r="D902" s="2584">
        <f t="shared" si="90"/>
        <v>7</v>
      </c>
      <c r="E902" s="2584">
        <f t="shared" si="91"/>
        <v>22</v>
      </c>
      <c r="F902" s="19">
        <v>9382.5</v>
      </c>
      <c r="G902" s="19">
        <v>18870</v>
      </c>
      <c r="H902" s="19">
        <v>1799.45</v>
      </c>
      <c r="I902" s="1">
        <v>25.07</v>
      </c>
      <c r="J902" s="1">
        <v>1061.4000000000001</v>
      </c>
      <c r="K902" s="19">
        <v>2662.4</v>
      </c>
    </row>
    <row r="903" spans="2:11">
      <c r="B903" s="1" t="s">
        <v>5123</v>
      </c>
      <c r="C903" s="2584">
        <f t="shared" si="89"/>
        <v>2021</v>
      </c>
      <c r="D903" s="2584">
        <f t="shared" si="90"/>
        <v>7</v>
      </c>
      <c r="E903" s="2584">
        <f t="shared" si="91"/>
        <v>23</v>
      </c>
      <c r="F903" s="19">
        <v>9433.5</v>
      </c>
      <c r="G903" s="19">
        <v>19267</v>
      </c>
      <c r="H903" s="19">
        <v>1799.6</v>
      </c>
      <c r="I903" s="1">
        <v>25.17</v>
      </c>
      <c r="J903" s="1">
        <v>1070</v>
      </c>
      <c r="K903" s="19">
        <v>2678.1</v>
      </c>
    </row>
    <row r="904" spans="2:11">
      <c r="B904" s="1" t="s">
        <v>5124</v>
      </c>
      <c r="C904" s="2584">
        <f t="shared" si="89"/>
        <v>2021</v>
      </c>
      <c r="D904" s="2584">
        <f t="shared" si="90"/>
        <v>7</v>
      </c>
      <c r="E904" s="2584">
        <f t="shared" si="91"/>
        <v>26</v>
      </c>
      <c r="F904" s="19">
        <v>9580</v>
      </c>
      <c r="G904" s="19">
        <v>19482</v>
      </c>
      <c r="H904" s="19">
        <v>1800.2</v>
      </c>
      <c r="I904" s="1">
        <v>25.37</v>
      </c>
      <c r="J904" s="1">
        <v>1049.5</v>
      </c>
      <c r="K904" s="19">
        <v>2606.6999999999998</v>
      </c>
    </row>
    <row r="905" spans="2:11">
      <c r="B905" s="1" t="s">
        <v>5125</v>
      </c>
      <c r="C905" s="2584">
        <f t="shared" si="89"/>
        <v>2021</v>
      </c>
      <c r="D905" s="2584">
        <f t="shared" si="90"/>
        <v>7</v>
      </c>
      <c r="E905" s="2584">
        <f t="shared" si="91"/>
        <v>27</v>
      </c>
      <c r="F905" s="19">
        <v>9709</v>
      </c>
      <c r="G905" s="19">
        <v>19368</v>
      </c>
      <c r="H905" s="19">
        <v>1800.35</v>
      </c>
      <c r="I905" s="1">
        <v>25.12</v>
      </c>
      <c r="J905" s="1">
        <v>1058.0999999999999</v>
      </c>
      <c r="K905" s="19">
        <v>2622.6</v>
      </c>
    </row>
    <row r="906" spans="2:11">
      <c r="B906" s="1" t="s">
        <v>5126</v>
      </c>
      <c r="C906" s="2584">
        <f t="shared" si="89"/>
        <v>2021</v>
      </c>
      <c r="D906" s="2584">
        <f t="shared" si="90"/>
        <v>7</v>
      </c>
      <c r="E906" s="2584">
        <f t="shared" si="91"/>
        <v>28</v>
      </c>
      <c r="F906" s="19">
        <v>9697</v>
      </c>
      <c r="G906" s="19">
        <v>19583</v>
      </c>
      <c r="H906" s="19">
        <v>1796.6</v>
      </c>
      <c r="I906" s="1">
        <v>24.8</v>
      </c>
      <c r="J906" s="1">
        <v>1067.5999999999999</v>
      </c>
      <c r="K906" s="19">
        <v>2643.1</v>
      </c>
    </row>
    <row r="907" spans="2:11">
      <c r="B907" s="1" t="s">
        <v>5127</v>
      </c>
      <c r="C907" s="2584">
        <f t="shared" si="89"/>
        <v>2021</v>
      </c>
      <c r="D907" s="2584">
        <f t="shared" si="90"/>
        <v>7</v>
      </c>
      <c r="E907" s="2584">
        <f t="shared" si="91"/>
        <v>29</v>
      </c>
      <c r="F907" s="19">
        <v>9781</v>
      </c>
      <c r="G907" s="19">
        <v>19769</v>
      </c>
      <c r="H907" s="19">
        <v>1829.3</v>
      </c>
      <c r="I907" s="1">
        <v>25.45</v>
      </c>
      <c r="J907" s="1">
        <v>1048.4000000000001</v>
      </c>
      <c r="K907" s="19">
        <v>2656.2</v>
      </c>
    </row>
    <row r="908" spans="2:11">
      <c r="B908" s="1" t="s">
        <v>5128</v>
      </c>
      <c r="C908" s="2584">
        <f t="shared" si="89"/>
        <v>2021</v>
      </c>
      <c r="D908" s="2584">
        <f t="shared" si="90"/>
        <v>7</v>
      </c>
      <c r="E908" s="2584">
        <f t="shared" si="91"/>
        <v>30</v>
      </c>
      <c r="F908" s="19">
        <v>9747.5</v>
      </c>
      <c r="G908" s="19">
        <v>19892</v>
      </c>
      <c r="H908" s="19">
        <v>1825.75</v>
      </c>
      <c r="I908" s="1">
        <v>25.49</v>
      </c>
      <c r="J908" s="1">
        <v>1056.3</v>
      </c>
      <c r="K908" s="19">
        <v>2684.1</v>
      </c>
    </row>
    <row r="909" spans="2:11">
      <c r="B909" s="1" t="s">
        <v>5129</v>
      </c>
      <c r="C909" s="2584">
        <f t="shared" si="89"/>
        <v>2021</v>
      </c>
      <c r="D909" s="2584">
        <f t="shared" si="90"/>
        <v>8</v>
      </c>
      <c r="E909" s="2584">
        <f t="shared" si="91"/>
        <v>2</v>
      </c>
      <c r="F909" s="19">
        <v>9737</v>
      </c>
      <c r="G909" s="19">
        <v>19725</v>
      </c>
      <c r="H909" s="19">
        <v>1811.45</v>
      </c>
      <c r="I909" s="1">
        <v>25.41</v>
      </c>
      <c r="J909" s="1">
        <v>1046.9000000000001</v>
      </c>
      <c r="K909" s="19">
        <v>2645.3</v>
      </c>
    </row>
    <row r="910" spans="2:11">
      <c r="B910" s="1" t="s">
        <v>5130</v>
      </c>
      <c r="C910" s="2584">
        <f t="shared" si="89"/>
        <v>2021</v>
      </c>
      <c r="D910" s="2584">
        <f t="shared" si="90"/>
        <v>8</v>
      </c>
      <c r="E910" s="2584">
        <f t="shared" si="91"/>
        <v>3</v>
      </c>
      <c r="F910" s="19">
        <v>9583.5</v>
      </c>
      <c r="G910" s="19">
        <v>19324</v>
      </c>
      <c r="H910" s="19">
        <v>1812.65</v>
      </c>
      <c r="I910" s="1">
        <v>25.46</v>
      </c>
      <c r="J910" s="1">
        <v>1021.3</v>
      </c>
      <c r="K910" s="19">
        <v>2651.7</v>
      </c>
    </row>
    <row r="911" spans="2:11">
      <c r="B911" s="1" t="s">
        <v>5131</v>
      </c>
      <c r="C911" s="2584">
        <f t="shared" si="89"/>
        <v>2021</v>
      </c>
      <c r="D911" s="2584">
        <f t="shared" si="90"/>
        <v>8</v>
      </c>
      <c r="E911" s="2584">
        <f t="shared" si="91"/>
        <v>4</v>
      </c>
      <c r="F911" s="19">
        <v>9503</v>
      </c>
      <c r="G911" s="19">
        <v>19448</v>
      </c>
      <c r="H911" s="19">
        <v>1829.1</v>
      </c>
      <c r="I911" s="1">
        <v>25.67</v>
      </c>
      <c r="J911" s="1">
        <v>1005.7</v>
      </c>
      <c r="K911" s="19">
        <v>2655.1</v>
      </c>
    </row>
    <row r="912" spans="2:11">
      <c r="B912" s="1" t="s">
        <v>5132</v>
      </c>
      <c r="C912" s="2584">
        <f t="shared" si="89"/>
        <v>2021</v>
      </c>
      <c r="D912" s="2584">
        <f t="shared" si="90"/>
        <v>8</v>
      </c>
      <c r="E912" s="2584">
        <f t="shared" si="91"/>
        <v>5</v>
      </c>
      <c r="F912" s="19">
        <v>9429</v>
      </c>
      <c r="G912" s="19">
        <v>19279</v>
      </c>
      <c r="H912" s="19">
        <v>1800.75</v>
      </c>
      <c r="I912" s="1">
        <v>25.45</v>
      </c>
      <c r="J912" s="1">
        <v>972.2</v>
      </c>
      <c r="K912" s="19">
        <v>2630.1</v>
      </c>
    </row>
    <row r="913" spans="2:11">
      <c r="B913" s="1" t="s">
        <v>5133</v>
      </c>
      <c r="C913" s="2584">
        <f t="shared" si="89"/>
        <v>2021</v>
      </c>
      <c r="D913" s="2584">
        <f t="shared" si="90"/>
        <v>8</v>
      </c>
      <c r="E913" s="2584">
        <f t="shared" si="91"/>
        <v>6</v>
      </c>
      <c r="F913" s="19">
        <v>9529.5</v>
      </c>
      <c r="G913" s="19">
        <v>19533</v>
      </c>
      <c r="H913" s="19">
        <v>1762.9</v>
      </c>
      <c r="I913" s="1">
        <v>24.98</v>
      </c>
      <c r="J913" s="1">
        <v>970.9</v>
      </c>
      <c r="K913" s="19">
        <v>2602.1</v>
      </c>
    </row>
    <row r="914" spans="2:11">
      <c r="B914" s="1" t="s">
        <v>5134</v>
      </c>
      <c r="C914" s="2584">
        <f t="shared" si="89"/>
        <v>2021</v>
      </c>
      <c r="D914" s="2584">
        <f t="shared" si="90"/>
        <v>8</v>
      </c>
      <c r="E914" s="2584">
        <f t="shared" si="91"/>
        <v>9</v>
      </c>
      <c r="F914" s="19">
        <v>9311.5</v>
      </c>
      <c r="G914" s="19">
        <v>18748</v>
      </c>
      <c r="H914" s="19">
        <v>1738.85</v>
      </c>
      <c r="I914" s="1">
        <v>23.84</v>
      </c>
      <c r="J914" s="1">
        <v>987</v>
      </c>
      <c r="K914" s="19">
        <v>2650</v>
      </c>
    </row>
    <row r="915" spans="2:11">
      <c r="B915" s="1" t="s">
        <v>5135</v>
      </c>
      <c r="C915" s="2584">
        <f t="shared" si="89"/>
        <v>2021</v>
      </c>
      <c r="D915" s="2584">
        <f t="shared" si="90"/>
        <v>8</v>
      </c>
      <c r="E915" s="2584">
        <f t="shared" si="91"/>
        <v>10</v>
      </c>
      <c r="F915" s="19">
        <v>9409.5</v>
      </c>
      <c r="G915" s="19">
        <v>18718</v>
      </c>
      <c r="H915" s="19">
        <v>1723.35</v>
      </c>
      <c r="I915" s="1">
        <v>23.39</v>
      </c>
      <c r="J915" s="1">
        <v>1015.6</v>
      </c>
      <c r="K915" s="19">
        <v>2632.8</v>
      </c>
    </row>
    <row r="916" spans="2:11">
      <c r="B916" s="1" t="s">
        <v>5136</v>
      </c>
      <c r="C916" s="2584">
        <f t="shared" si="89"/>
        <v>2021</v>
      </c>
      <c r="D916" s="2584">
        <f t="shared" si="90"/>
        <v>8</v>
      </c>
      <c r="E916" s="2584">
        <f t="shared" si="91"/>
        <v>11</v>
      </c>
      <c r="F916" s="19">
        <v>9421</v>
      </c>
      <c r="G916" s="19">
        <v>18885</v>
      </c>
      <c r="H916" s="19">
        <v>1743.6</v>
      </c>
      <c r="I916" s="1">
        <v>23.42</v>
      </c>
      <c r="J916" s="1">
        <v>1017.7</v>
      </c>
      <c r="K916" s="19">
        <v>2623.9</v>
      </c>
    </row>
    <row r="917" spans="2:11">
      <c r="B917" s="1" t="s">
        <v>5137</v>
      </c>
      <c r="C917" s="2584">
        <f t="shared" si="89"/>
        <v>2021</v>
      </c>
      <c r="D917" s="2584">
        <f t="shared" si="90"/>
        <v>8</v>
      </c>
      <c r="E917" s="2584">
        <f t="shared" si="91"/>
        <v>12</v>
      </c>
      <c r="F917" s="19">
        <v>9508.5</v>
      </c>
      <c r="G917" s="19">
        <v>19540</v>
      </c>
      <c r="H917" s="19">
        <v>1747.4</v>
      </c>
      <c r="I917" s="1">
        <v>23.42</v>
      </c>
      <c r="J917" s="1">
        <v>1026</v>
      </c>
      <c r="K917" s="19">
        <v>2656.5</v>
      </c>
    </row>
    <row r="918" spans="2:11">
      <c r="B918" s="1" t="s">
        <v>5138</v>
      </c>
      <c r="C918" s="2584">
        <f t="shared" si="89"/>
        <v>2021</v>
      </c>
      <c r="D918" s="2584">
        <f t="shared" si="90"/>
        <v>8</v>
      </c>
      <c r="E918" s="2584">
        <f t="shared" si="91"/>
        <v>13</v>
      </c>
      <c r="F918" s="19">
        <v>9429.5</v>
      </c>
      <c r="G918" s="19">
        <v>19650</v>
      </c>
      <c r="H918" s="19">
        <v>1773.85</v>
      </c>
      <c r="I918" s="1">
        <v>23.39</v>
      </c>
      <c r="J918" s="1">
        <v>1021.1</v>
      </c>
      <c r="K918" s="19">
        <v>2598</v>
      </c>
    </row>
    <row r="919" spans="2:11">
      <c r="B919" s="1" t="s">
        <v>5139</v>
      </c>
      <c r="C919" s="2584">
        <f t="shared" si="89"/>
        <v>2021</v>
      </c>
      <c r="D919" s="2584">
        <f t="shared" si="90"/>
        <v>8</v>
      </c>
      <c r="E919" s="2584">
        <f t="shared" si="91"/>
        <v>16</v>
      </c>
      <c r="F919" s="19">
        <v>9377</v>
      </c>
      <c r="G919" s="19">
        <v>19505</v>
      </c>
      <c r="H919" s="19">
        <v>1786.35</v>
      </c>
      <c r="I919" s="1">
        <v>23.54</v>
      </c>
      <c r="J919" s="1">
        <v>993.8</v>
      </c>
      <c r="K919" s="19">
        <v>2495.6</v>
      </c>
    </row>
    <row r="920" spans="2:11">
      <c r="B920" s="1" t="s">
        <v>5140</v>
      </c>
      <c r="C920" s="2584">
        <f t="shared" si="89"/>
        <v>2021</v>
      </c>
      <c r="D920" s="2584">
        <f t="shared" si="90"/>
        <v>8</v>
      </c>
      <c r="E920" s="2584">
        <f t="shared" si="91"/>
        <v>17</v>
      </c>
      <c r="F920" s="19">
        <v>9346.5</v>
      </c>
      <c r="G920" s="19">
        <v>19470</v>
      </c>
      <c r="H920" s="19">
        <v>1789.45</v>
      </c>
      <c r="I920" s="1">
        <v>23.9</v>
      </c>
      <c r="J920" s="1">
        <v>996.4</v>
      </c>
      <c r="K920" s="19">
        <v>2423.3000000000002</v>
      </c>
    </row>
    <row r="921" spans="2:11">
      <c r="B921" s="1" t="s">
        <v>5141</v>
      </c>
      <c r="C921" s="2584">
        <f t="shared" si="89"/>
        <v>2021</v>
      </c>
      <c r="D921" s="2584">
        <f t="shared" si="90"/>
        <v>8</v>
      </c>
      <c r="E921" s="2584">
        <f t="shared" si="91"/>
        <v>18</v>
      </c>
      <c r="F921" s="19">
        <v>9148.5</v>
      </c>
      <c r="G921" s="19">
        <v>19019</v>
      </c>
      <c r="H921" s="19">
        <v>1783.45</v>
      </c>
      <c r="I921" s="1">
        <v>23.67</v>
      </c>
      <c r="J921" s="1">
        <v>971.2</v>
      </c>
      <c r="K921" s="19">
        <v>2297.9</v>
      </c>
    </row>
    <row r="922" spans="2:11">
      <c r="B922" s="1" t="s">
        <v>5142</v>
      </c>
      <c r="C922" s="2584">
        <f t="shared" si="89"/>
        <v>2021</v>
      </c>
      <c r="D922" s="2584">
        <f t="shared" si="90"/>
        <v>8</v>
      </c>
      <c r="E922" s="2584">
        <f t="shared" si="91"/>
        <v>19</v>
      </c>
      <c r="F922" s="19">
        <v>8775.5</v>
      </c>
      <c r="G922" s="19">
        <v>18476</v>
      </c>
      <c r="H922" s="19">
        <v>1782.05</v>
      </c>
      <c r="I922" s="1">
        <v>23.34</v>
      </c>
      <c r="J922" s="1">
        <v>994.2</v>
      </c>
      <c r="K922" s="19">
        <v>2276.5</v>
      </c>
    </row>
    <row r="923" spans="2:11">
      <c r="B923" s="1" t="s">
        <v>5143</v>
      </c>
      <c r="C923" s="2584">
        <f t="shared" si="89"/>
        <v>2021</v>
      </c>
      <c r="D923" s="2584">
        <f t="shared" si="90"/>
        <v>8</v>
      </c>
      <c r="E923" s="2584">
        <f t="shared" si="91"/>
        <v>20</v>
      </c>
      <c r="F923" s="19">
        <v>8922</v>
      </c>
      <c r="G923" s="19">
        <v>18569</v>
      </c>
      <c r="H923" s="19">
        <v>1779.05</v>
      </c>
      <c r="I923" s="1">
        <v>23.21</v>
      </c>
      <c r="J923" s="1">
        <v>1014.1</v>
      </c>
      <c r="K923" s="19">
        <v>2385.1</v>
      </c>
    </row>
    <row r="924" spans="2:11">
      <c r="B924" s="1" t="s">
        <v>5144</v>
      </c>
      <c r="C924" s="2584">
        <f t="shared" si="89"/>
        <v>2021</v>
      </c>
      <c r="D924" s="2584">
        <f t="shared" si="90"/>
        <v>8</v>
      </c>
      <c r="E924" s="2584">
        <f t="shared" si="91"/>
        <v>23</v>
      </c>
      <c r="F924" s="19">
        <v>9237</v>
      </c>
      <c r="G924" s="19">
        <v>18895</v>
      </c>
      <c r="H924" s="19">
        <v>1802</v>
      </c>
      <c r="I924" s="1">
        <v>23.43</v>
      </c>
      <c r="J924" s="1">
        <v>1010.1</v>
      </c>
      <c r="K924" s="19">
        <v>2442.5</v>
      </c>
    </row>
    <row r="925" spans="2:11">
      <c r="B925" s="1" t="s">
        <v>5145</v>
      </c>
      <c r="C925" s="2584">
        <f t="shared" si="89"/>
        <v>2021</v>
      </c>
      <c r="D925" s="2584">
        <f t="shared" si="90"/>
        <v>8</v>
      </c>
      <c r="E925" s="2584">
        <f t="shared" si="91"/>
        <v>24</v>
      </c>
      <c r="F925" s="19">
        <v>9316.5</v>
      </c>
      <c r="G925" s="19">
        <v>19065</v>
      </c>
      <c r="H925" s="19">
        <v>1808.45</v>
      </c>
      <c r="I925" s="1">
        <v>23.76</v>
      </c>
      <c r="J925" s="1">
        <v>993.5</v>
      </c>
      <c r="K925" s="19">
        <v>2430.6999999999998</v>
      </c>
    </row>
    <row r="926" spans="2:11">
      <c r="B926" s="1" t="s">
        <v>5146</v>
      </c>
      <c r="C926" s="2584">
        <f t="shared" si="89"/>
        <v>2021</v>
      </c>
      <c r="D926" s="2584">
        <f t="shared" si="90"/>
        <v>8</v>
      </c>
      <c r="E926" s="2584">
        <f t="shared" si="91"/>
        <v>25</v>
      </c>
      <c r="F926" s="19">
        <v>9378.5</v>
      </c>
      <c r="G926" s="19">
        <v>19225</v>
      </c>
      <c r="H926" s="19">
        <v>1788.7</v>
      </c>
      <c r="I926" s="1">
        <v>23.76</v>
      </c>
      <c r="J926" s="1">
        <v>975.5</v>
      </c>
      <c r="K926" s="19">
        <v>2389.12</v>
      </c>
    </row>
    <row r="927" spans="2:11">
      <c r="B927" s="1" t="s">
        <v>5147</v>
      </c>
      <c r="C927" s="2584">
        <f t="shared" si="89"/>
        <v>2021</v>
      </c>
      <c r="D927" s="2584">
        <f t="shared" si="90"/>
        <v>8</v>
      </c>
      <c r="E927" s="2584">
        <f t="shared" si="91"/>
        <v>26</v>
      </c>
      <c r="F927" s="19">
        <v>9323</v>
      </c>
      <c r="G927" s="19">
        <v>18868</v>
      </c>
      <c r="H927" s="19">
        <v>1786.6</v>
      </c>
      <c r="I927" s="1">
        <v>23.68</v>
      </c>
      <c r="J927" s="1">
        <v>1006.5</v>
      </c>
      <c r="K927" s="19">
        <v>2405.64</v>
      </c>
    </row>
    <row r="928" spans="2:11">
      <c r="B928" s="1" t="s">
        <v>5148</v>
      </c>
      <c r="C928" s="2584">
        <f t="shared" si="89"/>
        <v>2021</v>
      </c>
      <c r="D928" s="2584">
        <f t="shared" si="90"/>
        <v>8</v>
      </c>
      <c r="E928" s="2584">
        <f t="shared" si="91"/>
        <v>27</v>
      </c>
      <c r="F928" s="19">
        <v>9352</v>
      </c>
      <c r="G928" s="19">
        <v>18914</v>
      </c>
      <c r="H928" s="19">
        <v>1798.5</v>
      </c>
      <c r="I928" s="1">
        <v>23.61</v>
      </c>
      <c r="J928" s="1">
        <v>1002.1</v>
      </c>
      <c r="K928" s="19">
        <v>2477.9</v>
      </c>
    </row>
    <row r="929" spans="2:11">
      <c r="B929" s="1" t="s">
        <v>5149</v>
      </c>
      <c r="C929" s="2584">
        <f t="shared" si="89"/>
        <v>2021</v>
      </c>
      <c r="D929" s="2584">
        <f t="shared" si="90"/>
        <v>8</v>
      </c>
      <c r="E929" s="2584">
        <f t="shared" si="91"/>
        <v>31</v>
      </c>
      <c r="F929" s="19">
        <v>9462.5</v>
      </c>
      <c r="G929" s="19">
        <v>19513</v>
      </c>
      <c r="H929" s="19">
        <v>1814.85</v>
      </c>
      <c r="I929" s="1">
        <v>24.05</v>
      </c>
      <c r="J929" s="1">
        <v>1014.1</v>
      </c>
      <c r="K929" s="19">
        <v>2470.46</v>
      </c>
    </row>
    <row r="930" spans="2:11">
      <c r="B930" s="1" t="s">
        <v>5150</v>
      </c>
      <c r="C930" s="2584">
        <f t="shared" si="89"/>
        <v>2021</v>
      </c>
      <c r="D930" s="2584">
        <f t="shared" si="90"/>
        <v>9</v>
      </c>
      <c r="E930" s="2584">
        <f t="shared" si="91"/>
        <v>1</v>
      </c>
      <c r="F930" s="19">
        <v>9312</v>
      </c>
      <c r="G930" s="19">
        <v>19541</v>
      </c>
      <c r="H930" s="19">
        <v>1811.8</v>
      </c>
      <c r="I930" s="1">
        <v>23.92</v>
      </c>
      <c r="J930" s="1">
        <v>999.6</v>
      </c>
      <c r="K930" s="19">
        <v>2441.5</v>
      </c>
    </row>
    <row r="931" spans="2:11">
      <c r="B931" s="1" t="s">
        <v>5151</v>
      </c>
      <c r="C931" s="2584">
        <f t="shared" si="89"/>
        <v>2021</v>
      </c>
      <c r="D931" s="2584">
        <f t="shared" si="90"/>
        <v>9</v>
      </c>
      <c r="E931" s="2584">
        <f t="shared" si="91"/>
        <v>2</v>
      </c>
      <c r="F931" s="19">
        <v>9347</v>
      </c>
      <c r="G931" s="19">
        <v>19365</v>
      </c>
      <c r="H931" s="19">
        <v>1812.55</v>
      </c>
      <c r="I931" s="1">
        <v>24.17</v>
      </c>
      <c r="J931" s="1">
        <v>994.2</v>
      </c>
      <c r="K931" s="19">
        <v>2400.4</v>
      </c>
    </row>
    <row r="932" spans="2:11">
      <c r="B932" s="1" t="s">
        <v>5152</v>
      </c>
      <c r="C932" s="2584">
        <f t="shared" si="89"/>
        <v>2021</v>
      </c>
      <c r="D932" s="2584">
        <f t="shared" si="90"/>
        <v>9</v>
      </c>
      <c r="E932" s="2584">
        <f t="shared" si="91"/>
        <v>3</v>
      </c>
      <c r="F932" s="19">
        <v>9361</v>
      </c>
      <c r="G932" s="19">
        <v>19494</v>
      </c>
      <c r="H932" s="19">
        <v>1823.7</v>
      </c>
      <c r="I932" s="1">
        <v>24.06</v>
      </c>
      <c r="J932" s="1">
        <v>1021.6</v>
      </c>
      <c r="K932" s="19">
        <v>2416.3000000000002</v>
      </c>
    </row>
    <row r="933" spans="2:11">
      <c r="B933" s="1" t="s">
        <v>5153</v>
      </c>
      <c r="C933" s="2584">
        <f t="shared" si="89"/>
        <v>2021</v>
      </c>
      <c r="D933" s="2584">
        <f t="shared" si="90"/>
        <v>9</v>
      </c>
      <c r="E933" s="2584">
        <f t="shared" si="91"/>
        <v>6</v>
      </c>
      <c r="F933" s="19">
        <v>9401.5</v>
      </c>
      <c r="G933" s="19">
        <v>19640</v>
      </c>
      <c r="H933" s="19">
        <v>1821.6</v>
      </c>
      <c r="I933" s="1">
        <v>24.71</v>
      </c>
      <c r="J933" s="1">
        <v>1021.6</v>
      </c>
      <c r="K933" s="19">
        <v>2416.3000000000002</v>
      </c>
    </row>
    <row r="934" spans="2:11">
      <c r="B934" s="1" t="s">
        <v>5154</v>
      </c>
      <c r="C934" s="2584">
        <f t="shared" si="89"/>
        <v>2021</v>
      </c>
      <c r="D934" s="2584">
        <f t="shared" si="90"/>
        <v>9</v>
      </c>
      <c r="E934" s="2584">
        <f t="shared" si="91"/>
        <v>7</v>
      </c>
      <c r="F934" s="19">
        <v>9325</v>
      </c>
      <c r="G934" s="19">
        <v>19555</v>
      </c>
      <c r="H934" s="19">
        <v>1802.15</v>
      </c>
      <c r="I934" s="1">
        <v>24.25</v>
      </c>
      <c r="J934" s="1">
        <v>995.9</v>
      </c>
      <c r="K934" s="19">
        <v>2353.5</v>
      </c>
    </row>
    <row r="935" spans="2:11">
      <c r="B935" s="1" t="s">
        <v>5155</v>
      </c>
      <c r="C935" s="2584">
        <f t="shared" si="89"/>
        <v>2021</v>
      </c>
      <c r="D935" s="2584">
        <f t="shared" si="90"/>
        <v>9</v>
      </c>
      <c r="E935" s="2584">
        <f t="shared" si="91"/>
        <v>8</v>
      </c>
      <c r="F935" s="19">
        <v>9256</v>
      </c>
      <c r="G935" s="19">
        <v>19725</v>
      </c>
      <c r="H935" s="19">
        <v>1786</v>
      </c>
      <c r="I935" s="1">
        <v>24.32</v>
      </c>
      <c r="J935" s="1">
        <v>976.1</v>
      </c>
      <c r="K935" s="19">
        <v>2237.3000000000002</v>
      </c>
    </row>
    <row r="936" spans="2:11">
      <c r="B936" s="1" t="s">
        <v>5156</v>
      </c>
      <c r="C936" s="2584">
        <f t="shared" si="89"/>
        <v>2021</v>
      </c>
      <c r="D936" s="2584">
        <f t="shared" si="90"/>
        <v>9</v>
      </c>
      <c r="E936" s="2584">
        <f t="shared" si="91"/>
        <v>9</v>
      </c>
      <c r="F936" s="19">
        <v>9356.5</v>
      </c>
      <c r="G936" s="19">
        <v>20240</v>
      </c>
      <c r="H936" s="19">
        <v>1788.25</v>
      </c>
      <c r="I936" s="1">
        <v>24.15</v>
      </c>
      <c r="J936" s="1">
        <v>974.5</v>
      </c>
      <c r="K936" s="19">
        <v>2142.8000000000002</v>
      </c>
    </row>
    <row r="937" spans="2:11">
      <c r="B937" s="1" t="s">
        <v>5157</v>
      </c>
      <c r="C937" s="2584">
        <f t="shared" si="89"/>
        <v>2021</v>
      </c>
      <c r="D937" s="2584">
        <f t="shared" si="90"/>
        <v>9</v>
      </c>
      <c r="E937" s="2584">
        <f t="shared" si="91"/>
        <v>10</v>
      </c>
      <c r="F937" s="19">
        <v>9515</v>
      </c>
      <c r="G937" s="19">
        <v>20375</v>
      </c>
      <c r="H937" s="19">
        <v>1794.6</v>
      </c>
      <c r="I937" s="1">
        <v>24.03</v>
      </c>
      <c r="J937" s="1">
        <v>956.5</v>
      </c>
      <c r="K937" s="19">
        <v>2126.3000000000002</v>
      </c>
    </row>
    <row r="938" spans="2:11">
      <c r="B938" s="1" t="s">
        <v>5158</v>
      </c>
      <c r="C938" s="2584">
        <f t="shared" si="89"/>
        <v>2021</v>
      </c>
      <c r="D938" s="2584">
        <f t="shared" si="90"/>
        <v>9</v>
      </c>
      <c r="E938" s="2584">
        <f t="shared" si="91"/>
        <v>13</v>
      </c>
      <c r="F938" s="19">
        <v>9627</v>
      </c>
      <c r="G938" s="19">
        <v>19930</v>
      </c>
      <c r="H938" s="19">
        <v>1793.9</v>
      </c>
      <c r="I938" s="1">
        <v>23.58</v>
      </c>
      <c r="J938" s="1">
        <v>957.5</v>
      </c>
      <c r="K938" s="19">
        <v>2079.8000000000002</v>
      </c>
    </row>
    <row r="939" spans="2:11">
      <c r="B939" s="1" t="s">
        <v>5159</v>
      </c>
      <c r="C939" s="2584">
        <f t="shared" si="89"/>
        <v>2021</v>
      </c>
      <c r="D939" s="2584">
        <f t="shared" si="90"/>
        <v>9</v>
      </c>
      <c r="E939" s="2584">
        <f t="shared" si="91"/>
        <v>14</v>
      </c>
      <c r="F939" s="19">
        <v>9407</v>
      </c>
      <c r="G939" s="19">
        <v>19640</v>
      </c>
      <c r="H939" s="19">
        <v>1792.75</v>
      </c>
      <c r="I939" s="1">
        <v>23.6</v>
      </c>
      <c r="J939" s="1">
        <v>938.7</v>
      </c>
      <c r="K939" s="19">
        <v>1975.6</v>
      </c>
    </row>
    <row r="940" spans="2:11">
      <c r="B940" s="1" t="s">
        <v>5160</v>
      </c>
      <c r="C940" s="2584">
        <f t="shared" si="89"/>
        <v>2021</v>
      </c>
      <c r="D940" s="2584">
        <f t="shared" si="90"/>
        <v>9</v>
      </c>
      <c r="E940" s="2584">
        <f t="shared" si="91"/>
        <v>15</v>
      </c>
      <c r="F940" s="19">
        <v>9488.5</v>
      </c>
      <c r="G940" s="19">
        <v>19850</v>
      </c>
      <c r="H940" s="19">
        <v>1796.95</v>
      </c>
      <c r="I940" s="1">
        <v>23.84</v>
      </c>
      <c r="J940" s="1">
        <v>930.5</v>
      </c>
      <c r="K940" s="19">
        <v>1991.6</v>
      </c>
    </row>
    <row r="941" spans="2:11">
      <c r="B941" s="1" t="s">
        <v>5161</v>
      </c>
      <c r="C941" s="2584">
        <f t="shared" si="89"/>
        <v>2021</v>
      </c>
      <c r="D941" s="2584">
        <f t="shared" si="90"/>
        <v>9</v>
      </c>
      <c r="E941" s="2584">
        <f t="shared" si="91"/>
        <v>16</v>
      </c>
      <c r="F941" s="19">
        <v>9392</v>
      </c>
      <c r="G941" s="19">
        <v>19530</v>
      </c>
      <c r="H941" s="19">
        <v>1747.95</v>
      </c>
      <c r="I941" s="1">
        <v>23.47</v>
      </c>
      <c r="J941" s="1">
        <v>923.3</v>
      </c>
      <c r="K941" s="19">
        <v>2021.5</v>
      </c>
    </row>
    <row r="942" spans="2:11">
      <c r="B942" s="1" t="s">
        <v>5162</v>
      </c>
      <c r="C942" s="2584">
        <f t="shared" si="89"/>
        <v>2021</v>
      </c>
      <c r="D942" s="2584">
        <f t="shared" si="90"/>
        <v>9</v>
      </c>
      <c r="E942" s="2584">
        <f t="shared" si="91"/>
        <v>17</v>
      </c>
      <c r="F942" s="19">
        <v>9435.5</v>
      </c>
      <c r="G942" s="19">
        <v>20060</v>
      </c>
      <c r="H942" s="19">
        <v>1755.95</v>
      </c>
      <c r="I942" s="1">
        <v>23.01</v>
      </c>
      <c r="J942" s="1">
        <v>930.6</v>
      </c>
      <c r="K942" s="19">
        <v>1983.8</v>
      </c>
    </row>
    <row r="943" spans="2:11">
      <c r="B943" s="1" t="s">
        <v>5163</v>
      </c>
      <c r="C943" s="2584">
        <f t="shared" si="89"/>
        <v>2021</v>
      </c>
      <c r="D943" s="2584">
        <f t="shared" si="90"/>
        <v>9</v>
      </c>
      <c r="E943" s="2584">
        <f t="shared" si="91"/>
        <v>20</v>
      </c>
      <c r="F943" s="19">
        <v>9145.5</v>
      </c>
      <c r="G943" s="19">
        <v>19080</v>
      </c>
      <c r="H943" s="19">
        <v>1757.75</v>
      </c>
      <c r="I943" s="1">
        <v>22.4</v>
      </c>
      <c r="J943" s="1">
        <v>899.2</v>
      </c>
      <c r="K943" s="19">
        <v>1865.2</v>
      </c>
    </row>
    <row r="944" spans="2:11">
      <c r="B944" s="1" t="s">
        <v>5164</v>
      </c>
      <c r="C944" s="2584">
        <f t="shared" si="89"/>
        <v>2021</v>
      </c>
      <c r="D944" s="2584">
        <f t="shared" si="90"/>
        <v>9</v>
      </c>
      <c r="E944" s="2584">
        <f t="shared" si="91"/>
        <v>21</v>
      </c>
      <c r="F944" s="19">
        <v>9106</v>
      </c>
      <c r="G944" s="19">
        <v>18910</v>
      </c>
      <c r="H944" s="19">
        <v>1774.45</v>
      </c>
      <c r="I944" s="1">
        <v>22.56</v>
      </c>
      <c r="J944" s="1">
        <v>950.8</v>
      </c>
      <c r="K944" s="19">
        <v>1894.5</v>
      </c>
    </row>
    <row r="945" spans="2:11">
      <c r="B945" s="1" t="s">
        <v>5165</v>
      </c>
      <c r="C945" s="2584">
        <f t="shared" si="89"/>
        <v>2021</v>
      </c>
      <c r="D945" s="2584">
        <f t="shared" si="90"/>
        <v>9</v>
      </c>
      <c r="E945" s="2584">
        <f t="shared" si="91"/>
        <v>22</v>
      </c>
      <c r="F945" s="19">
        <v>9255</v>
      </c>
      <c r="G945" s="19">
        <v>19080</v>
      </c>
      <c r="H945" s="19">
        <v>1773.4</v>
      </c>
      <c r="I945" s="1">
        <v>22.74</v>
      </c>
      <c r="J945" s="1">
        <v>1001.1</v>
      </c>
      <c r="K945" s="19">
        <v>2036.2</v>
      </c>
    </row>
    <row r="946" spans="2:11">
      <c r="B946" s="1" t="s">
        <v>5166</v>
      </c>
      <c r="C946" s="2584">
        <f t="shared" si="89"/>
        <v>2021</v>
      </c>
      <c r="D946" s="2584">
        <f t="shared" si="90"/>
        <v>9</v>
      </c>
      <c r="E946" s="2584">
        <f t="shared" si="91"/>
        <v>23</v>
      </c>
      <c r="F946" s="19">
        <v>9252</v>
      </c>
      <c r="G946" s="19">
        <v>19235</v>
      </c>
      <c r="H946" s="19">
        <v>1750</v>
      </c>
      <c r="I946" s="1">
        <v>22.74</v>
      </c>
      <c r="J946" s="1">
        <v>997</v>
      </c>
      <c r="K946" s="19">
        <v>1971.8</v>
      </c>
    </row>
    <row r="947" spans="2:11">
      <c r="B947" s="1" t="s">
        <v>5167</v>
      </c>
      <c r="C947" s="2584">
        <f t="shared" si="89"/>
        <v>2021</v>
      </c>
      <c r="D947" s="2584">
        <f t="shared" si="90"/>
        <v>9</v>
      </c>
      <c r="E947" s="2584">
        <f t="shared" si="91"/>
        <v>24</v>
      </c>
      <c r="F947" s="19">
        <v>9275</v>
      </c>
      <c r="G947" s="19">
        <v>19180</v>
      </c>
      <c r="H947" s="19">
        <v>1746.8</v>
      </c>
      <c r="I947" s="1">
        <v>22.66</v>
      </c>
      <c r="J947" s="1">
        <v>979.9</v>
      </c>
      <c r="K947" s="19">
        <v>1951.1</v>
      </c>
    </row>
    <row r="948" spans="2:11">
      <c r="B948" s="1" t="s">
        <v>5168</v>
      </c>
      <c r="C948" s="2584">
        <f t="shared" si="89"/>
        <v>2021</v>
      </c>
      <c r="D948" s="2584">
        <f t="shared" si="90"/>
        <v>9</v>
      </c>
      <c r="E948" s="2584">
        <f t="shared" si="91"/>
        <v>27</v>
      </c>
      <c r="F948" s="19">
        <v>9341</v>
      </c>
      <c r="G948" s="19">
        <v>18910</v>
      </c>
      <c r="H948" s="19">
        <v>1755.3</v>
      </c>
      <c r="I948" s="1">
        <v>22.56</v>
      </c>
      <c r="J948" s="1">
        <v>980.84</v>
      </c>
      <c r="K948" s="19">
        <v>1947.7</v>
      </c>
    </row>
    <row r="949" spans="2:11">
      <c r="B949" s="1" t="s">
        <v>5169</v>
      </c>
      <c r="C949" s="2584">
        <f t="shared" si="89"/>
        <v>2021</v>
      </c>
      <c r="D949" s="2584">
        <f t="shared" si="90"/>
        <v>9</v>
      </c>
      <c r="E949" s="2584">
        <f t="shared" si="91"/>
        <v>28</v>
      </c>
      <c r="F949" s="19">
        <v>9263</v>
      </c>
      <c r="G949" s="19">
        <v>18620</v>
      </c>
      <c r="H949" s="19">
        <v>1733.75</v>
      </c>
      <c r="I949" s="1">
        <v>22.2</v>
      </c>
      <c r="J949" s="1">
        <v>960.76</v>
      </c>
      <c r="K949" s="19">
        <v>1854.2</v>
      </c>
    </row>
    <row r="950" spans="2:11">
      <c r="B950" s="1" t="s">
        <v>5170</v>
      </c>
      <c r="C950" s="2584">
        <f t="shared" si="89"/>
        <v>2021</v>
      </c>
      <c r="D950" s="2584">
        <f t="shared" si="90"/>
        <v>9</v>
      </c>
      <c r="E950" s="2584">
        <f t="shared" si="91"/>
        <v>29</v>
      </c>
      <c r="F950" s="19">
        <v>9227</v>
      </c>
      <c r="G950" s="19">
        <v>18625</v>
      </c>
      <c r="H950" s="19">
        <v>1737.15</v>
      </c>
      <c r="I950" s="1">
        <v>22.33</v>
      </c>
      <c r="J950" s="1">
        <v>945.92</v>
      </c>
      <c r="K950" s="19">
        <v>1830.3</v>
      </c>
    </row>
    <row r="951" spans="2:11">
      <c r="B951" s="1" t="s">
        <v>5171</v>
      </c>
      <c r="C951" s="2584">
        <f t="shared" ref="C951" si="92">YEAR(B951)</f>
        <v>2021</v>
      </c>
      <c r="D951" s="2584">
        <f t="shared" ref="D951" si="93">MONTH(B951)</f>
        <v>9</v>
      </c>
      <c r="E951" s="2584">
        <f t="shared" ref="E951" si="94">DAY(B951)</f>
        <v>30</v>
      </c>
      <c r="F951" s="19">
        <v>9041</v>
      </c>
      <c r="G951" s="19">
        <v>18180</v>
      </c>
      <c r="H951" s="19">
        <v>1742.8</v>
      </c>
      <c r="I951" s="1">
        <v>21.53</v>
      </c>
      <c r="J951" s="1">
        <v>962.1</v>
      </c>
      <c r="K951" s="19">
        <v>1899.8</v>
      </c>
    </row>
  </sheetData>
  <mergeCells count="1">
    <mergeCell ref="N17:O17"/>
  </mergeCells>
  <phoneticPr fontId="1" type="noConversion"/>
  <conditionalFormatting sqref="P34:Q34 N47:P47 N57:P57 R47 R57">
    <cfRule type="cellIs" dxfId="184" priority="66" operator="equal">
      <formula>"X"</formula>
    </cfRule>
    <cfRule type="cellIs" dxfId="183" priority="67" operator="equal">
      <formula>"O"</formula>
    </cfRule>
    <cfRule type="cellIs" dxfId="182" priority="68" operator="equal">
      <formula>"미정"</formula>
    </cfRule>
    <cfRule type="cellIs" dxfId="181" priority="69" operator="equal">
      <formula>"예정"</formula>
    </cfRule>
    <cfRule type="cellIs" dxfId="180" priority="70" operator="equal">
      <formula>"확정"</formula>
    </cfRule>
  </conditionalFormatting>
  <conditionalFormatting sqref="S47:W47">
    <cfRule type="cellIs" dxfId="179" priority="51" operator="equal">
      <formula>"X"</formula>
    </cfRule>
    <cfRule type="cellIs" dxfId="178" priority="52" operator="equal">
      <formula>"O"</formula>
    </cfRule>
    <cfRule type="cellIs" dxfId="177" priority="53" operator="equal">
      <formula>"미정"</formula>
    </cfRule>
    <cfRule type="cellIs" dxfId="176" priority="54" operator="equal">
      <formula>"예정"</formula>
    </cfRule>
    <cfRule type="cellIs" dxfId="175" priority="55" operator="equal">
      <formula>"확정"</formula>
    </cfRule>
  </conditionalFormatting>
  <conditionalFormatting sqref="S57:W57">
    <cfRule type="cellIs" dxfId="174" priority="41" operator="equal">
      <formula>"X"</formula>
    </cfRule>
    <cfRule type="cellIs" dxfId="173" priority="42" operator="equal">
      <formula>"O"</formula>
    </cfRule>
    <cfRule type="cellIs" dxfId="172" priority="43" operator="equal">
      <formula>"미정"</formula>
    </cfRule>
    <cfRule type="cellIs" dxfId="171" priority="44" operator="equal">
      <formula>"예정"</formula>
    </cfRule>
    <cfRule type="cellIs" dxfId="170" priority="45" operator="equal">
      <formula>"확정"</formula>
    </cfRule>
  </conditionalFormatting>
  <conditionalFormatting sqref="Q47">
    <cfRule type="cellIs" dxfId="169" priority="36" operator="equal">
      <formula>"X"</formula>
    </cfRule>
    <cfRule type="cellIs" dxfId="168" priority="37" operator="equal">
      <formula>"O"</formula>
    </cfRule>
    <cfRule type="cellIs" dxfId="167" priority="38" operator="equal">
      <formula>"미정"</formula>
    </cfRule>
    <cfRule type="cellIs" dxfId="166" priority="39" operator="equal">
      <formula>"예정"</formula>
    </cfRule>
    <cfRule type="cellIs" dxfId="165" priority="40" operator="equal">
      <formula>"확정"</formula>
    </cfRule>
  </conditionalFormatting>
  <conditionalFormatting sqref="Q57">
    <cfRule type="cellIs" dxfId="164" priority="31" operator="equal">
      <formula>"X"</formula>
    </cfRule>
    <cfRule type="cellIs" dxfId="163" priority="32" operator="equal">
      <formula>"O"</formula>
    </cfRule>
    <cfRule type="cellIs" dxfId="162" priority="33" operator="equal">
      <formula>"미정"</formula>
    </cfRule>
    <cfRule type="cellIs" dxfId="161" priority="34" operator="equal">
      <formula>"예정"</formula>
    </cfRule>
    <cfRule type="cellIs" dxfId="160" priority="35" operator="equal">
      <formula>"확정"</formula>
    </cfRule>
  </conditionalFormatting>
  <conditionalFormatting sqref="N69:O69">
    <cfRule type="cellIs" dxfId="159" priority="11" operator="equal">
      <formula>"X"</formula>
    </cfRule>
    <cfRule type="cellIs" dxfId="158" priority="12" operator="equal">
      <formula>"O"</formula>
    </cfRule>
    <cfRule type="cellIs" dxfId="157" priority="13" operator="equal">
      <formula>"미정"</formula>
    </cfRule>
    <cfRule type="cellIs" dxfId="156" priority="14" operator="equal">
      <formula>"예정"</formula>
    </cfRule>
    <cfRule type="cellIs" dxfId="155" priority="15" operator="equal">
      <formula>"확정"</formula>
    </cfRule>
  </conditionalFormatting>
  <conditionalFormatting sqref="P69:V69">
    <cfRule type="cellIs" dxfId="154" priority="16" operator="equal">
      <formula>"X"</formula>
    </cfRule>
    <cfRule type="cellIs" dxfId="153" priority="17" operator="equal">
      <formula>"O"</formula>
    </cfRule>
    <cfRule type="cellIs" dxfId="152" priority="18" operator="equal">
      <formula>"미정"</formula>
    </cfRule>
    <cfRule type="cellIs" dxfId="151" priority="19" operator="equal">
      <formula>"예정"</formula>
    </cfRule>
    <cfRule type="cellIs" dxfId="150" priority="20" operator="equal">
      <formula>"확정"</formula>
    </cfRule>
  </conditionalFormatting>
  <conditionalFormatting sqref="N80:O80">
    <cfRule type="cellIs" dxfId="149" priority="1" operator="equal">
      <formula>"X"</formula>
    </cfRule>
    <cfRule type="cellIs" dxfId="148" priority="2" operator="equal">
      <formula>"O"</formula>
    </cfRule>
    <cfRule type="cellIs" dxfId="147" priority="3" operator="equal">
      <formula>"미정"</formula>
    </cfRule>
    <cfRule type="cellIs" dxfId="146" priority="4" operator="equal">
      <formula>"예정"</formula>
    </cfRule>
    <cfRule type="cellIs" dxfId="145" priority="5" operator="equal">
      <formula>"확정"</formula>
    </cfRule>
  </conditionalFormatting>
  <conditionalFormatting sqref="P80:V80">
    <cfRule type="cellIs" dxfId="144" priority="6" operator="equal">
      <formula>"X"</formula>
    </cfRule>
    <cfRule type="cellIs" dxfId="143" priority="7" operator="equal">
      <formula>"O"</formula>
    </cfRule>
    <cfRule type="cellIs" dxfId="142" priority="8" operator="equal">
      <formula>"미정"</formula>
    </cfRule>
    <cfRule type="cellIs" dxfId="141" priority="9" operator="equal">
      <formula>"예정"</formula>
    </cfRule>
    <cfRule type="cellIs" dxfId="140" priority="10" operator="equal">
      <formula>"확정"</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B12AA-BE35-490A-8B63-559F29B639B2}">
  <sheetPr codeName="Sheet45"/>
  <dimension ref="B10:K16"/>
  <sheetViews>
    <sheetView workbookViewId="0"/>
  </sheetViews>
  <sheetFormatPr defaultColWidth="9" defaultRowHeight="12"/>
  <cols>
    <col min="1" max="1" width="4.125" style="1" customWidth="1"/>
    <col min="2" max="2" width="11.125" style="1" bestFit="1" customWidth="1"/>
    <col min="3" max="16384" width="9" style="1"/>
  </cols>
  <sheetData>
    <row r="10" spans="2:11">
      <c r="B10" s="32" t="s">
        <v>1346</v>
      </c>
    </row>
    <row r="11" spans="2:11">
      <c r="B11" s="2600" t="s">
        <v>354</v>
      </c>
      <c r="C11" s="2600" t="s">
        <v>2889</v>
      </c>
      <c r="D11" s="10" t="s">
        <v>5104</v>
      </c>
      <c r="E11" s="10" t="s">
        <v>5173</v>
      </c>
      <c r="F11" s="10" t="s">
        <v>70</v>
      </c>
      <c r="G11" s="10" t="s">
        <v>71</v>
      </c>
      <c r="H11" s="10" t="s">
        <v>72</v>
      </c>
      <c r="I11" s="10" t="s">
        <v>73</v>
      </c>
      <c r="J11" s="10" t="s">
        <v>74</v>
      </c>
      <c r="K11" s="10" t="s">
        <v>5102</v>
      </c>
    </row>
    <row r="12" spans="2:11">
      <c r="B12" s="1" t="s">
        <v>244</v>
      </c>
      <c r="C12" s="1" t="s">
        <v>3470</v>
      </c>
      <c r="D12" s="62">
        <f>Assumption!M42</f>
        <v>0.51502282672456257</v>
      </c>
      <c r="E12" s="62">
        <f>(F12-0.75*D12)/0.25</f>
        <v>0.52293151982631247</v>
      </c>
      <c r="F12" s="62">
        <v>0.51700000000000002</v>
      </c>
      <c r="G12" s="62">
        <v>0.54100000000000004</v>
      </c>
      <c r="H12" s="62">
        <v>0.55500000000000005</v>
      </c>
      <c r="I12" s="62">
        <v>0.56100000000000005</v>
      </c>
      <c r="J12" s="62">
        <f t="shared" ref="J12:K12" si="0">I12</f>
        <v>0.56100000000000005</v>
      </c>
      <c r="K12" s="62">
        <f t="shared" si="0"/>
        <v>0.56100000000000005</v>
      </c>
    </row>
    <row r="13" spans="2:11">
      <c r="B13" s="1" t="s">
        <v>242</v>
      </c>
      <c r="C13" s="1" t="s">
        <v>3470</v>
      </c>
      <c r="D13" s="62">
        <f>Assumption!M43</f>
        <v>3.6598702155353421E-2</v>
      </c>
      <c r="E13" s="62">
        <f t="shared" ref="E13:E16" si="1">(F13-0.75*D13)/0.25</f>
        <v>3.4203893533939725E-2</v>
      </c>
      <c r="F13" s="62">
        <v>3.5999999999999997E-2</v>
      </c>
      <c r="G13" s="62">
        <v>0.04</v>
      </c>
      <c r="H13" s="62">
        <v>3.5000000000000003E-2</v>
      </c>
      <c r="I13" s="62">
        <v>3.5000000000000003E-2</v>
      </c>
      <c r="J13" s="62">
        <f t="shared" ref="J13:K13" si="2">I13</f>
        <v>3.5000000000000003E-2</v>
      </c>
      <c r="K13" s="62">
        <f t="shared" si="2"/>
        <v>3.5000000000000003E-2</v>
      </c>
    </row>
    <row r="14" spans="2:11">
      <c r="B14" s="1" t="s">
        <v>260</v>
      </c>
      <c r="C14" s="1" t="s">
        <v>3470</v>
      </c>
      <c r="D14" s="2696">
        <f>Assumption!M44</f>
        <v>2.5800024837791132E-3</v>
      </c>
      <c r="E14" s="2696">
        <f t="shared" si="1"/>
        <v>-1.5740007451337339E-2</v>
      </c>
      <c r="F14" s="2696">
        <v>-2E-3</v>
      </c>
      <c r="G14" s="2696">
        <v>-2.8999999999999998E-3</v>
      </c>
      <c r="H14" s="2696">
        <v>-3.3999999999999998E-3</v>
      </c>
      <c r="I14" s="2696">
        <v>-3.3999999999999998E-3</v>
      </c>
      <c r="J14" s="2696">
        <f t="shared" ref="J14:K14" si="3">I14</f>
        <v>-3.3999999999999998E-3</v>
      </c>
      <c r="K14" s="2696">
        <f t="shared" si="3"/>
        <v>-3.3999999999999998E-3</v>
      </c>
    </row>
    <row r="15" spans="2:11">
      <c r="B15" s="1" t="s">
        <v>327</v>
      </c>
      <c r="C15" s="1" t="s">
        <v>3470</v>
      </c>
      <c r="D15" s="2697">
        <f>Assumption!M45</f>
        <v>12.493101217917564</v>
      </c>
      <c r="E15" s="2697">
        <f>(F15-0.75*D15)/0.25</f>
        <v>17.788494482643273</v>
      </c>
      <c r="F15" s="2697">
        <f>사업계획_본체!E19/사업계획_본체!D19/10^6*1000</f>
        <v>13.816949534098992</v>
      </c>
      <c r="G15" s="2697">
        <f>SUMIFS(사업계획_본체!$E:$E,사업계획_본체!$C:$C,부산물가격!$B15,사업계획_본체!$A:$A,부산물가격!G$11)/SUMIFS(사업계획_본체!$D:$D,사업계획_본체!$C:$C,부산물가격!$B15,사업계획_본체!$A:$A,부산물가격!G$11)/10^6*1000</f>
        <v>13.82361951623048</v>
      </c>
      <c r="H15" s="2697">
        <f>SUMIFS(사업계획_본체!$E:$E,사업계획_본체!$C:$C,부산물가격!$B15,사업계획_본체!$A:$A,부산물가격!H$11)/SUMIFS(사업계획_본체!$D:$D,사업계획_본체!$C:$C,부산물가격!$B15,사업계획_본체!$A:$A,부산물가격!H$11)/10^6*1000</f>
        <v>13.829929828486243</v>
      </c>
      <c r="I15" s="2697">
        <f t="shared" ref="I15:K15" si="4">H15</f>
        <v>13.829929828486243</v>
      </c>
      <c r="J15" s="2697">
        <f t="shared" si="4"/>
        <v>13.829929828486243</v>
      </c>
      <c r="K15" s="2697">
        <f t="shared" si="4"/>
        <v>13.829929828486243</v>
      </c>
    </row>
    <row r="16" spans="2:11">
      <c r="B16" s="68" t="s">
        <v>252</v>
      </c>
      <c r="C16" s="68" t="s">
        <v>3470</v>
      </c>
      <c r="D16" s="2599">
        <f>Assumption!M46</f>
        <v>3.3266520903324735E-2</v>
      </c>
      <c r="E16" s="2599">
        <f t="shared" si="1"/>
        <v>2.8600437290025787E-2</v>
      </c>
      <c r="F16" s="2599">
        <v>3.2099999999999997E-2</v>
      </c>
      <c r="G16" s="2599">
        <v>3.6400000000000002E-2</v>
      </c>
      <c r="H16" s="2599">
        <v>3.6999999999999998E-2</v>
      </c>
      <c r="I16" s="2599">
        <v>3.8100000000000002E-2</v>
      </c>
      <c r="J16" s="2599">
        <f t="shared" ref="J16:K16" si="5">I16</f>
        <v>3.8100000000000002E-2</v>
      </c>
      <c r="K16" s="2599">
        <f t="shared" si="5"/>
        <v>3.8100000000000002E-2</v>
      </c>
    </row>
  </sheetData>
  <phoneticPr fontId="1" type="noConversion"/>
  <conditionalFormatting sqref="B11:C11 F11:K11">
    <cfRule type="cellIs" dxfId="139" priority="11" operator="equal">
      <formula>"X"</formula>
    </cfRule>
    <cfRule type="cellIs" dxfId="138" priority="12" operator="equal">
      <formula>"O"</formula>
    </cfRule>
    <cfRule type="cellIs" dxfId="137" priority="13" operator="equal">
      <formula>"미정"</formula>
    </cfRule>
    <cfRule type="cellIs" dxfId="136" priority="14" operator="equal">
      <formula>"예정"</formula>
    </cfRule>
    <cfRule type="cellIs" dxfId="135" priority="15" operator="equal">
      <formula>"확정"</formula>
    </cfRule>
  </conditionalFormatting>
  <conditionalFormatting sqref="E11">
    <cfRule type="cellIs" dxfId="134" priority="6" operator="equal">
      <formula>"X"</formula>
    </cfRule>
    <cfRule type="cellIs" dxfId="133" priority="7" operator="equal">
      <formula>"O"</formula>
    </cfRule>
    <cfRule type="cellIs" dxfId="132" priority="8" operator="equal">
      <formula>"미정"</formula>
    </cfRule>
    <cfRule type="cellIs" dxfId="131" priority="9" operator="equal">
      <formula>"예정"</formula>
    </cfRule>
    <cfRule type="cellIs" dxfId="130" priority="10" operator="equal">
      <formula>"확정"</formula>
    </cfRule>
  </conditionalFormatting>
  <conditionalFormatting sqref="D11">
    <cfRule type="cellIs" dxfId="129" priority="1" operator="equal">
      <formula>"X"</formula>
    </cfRule>
    <cfRule type="cellIs" dxfId="128" priority="2" operator="equal">
      <formula>"O"</formula>
    </cfRule>
    <cfRule type="cellIs" dxfId="127" priority="3" operator="equal">
      <formula>"미정"</formula>
    </cfRule>
    <cfRule type="cellIs" dxfId="126" priority="4" operator="equal">
      <formula>"예정"</formula>
    </cfRule>
    <cfRule type="cellIs" dxfId="125" priority="5" operator="equal">
      <formula>"확정"</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B2:P252"/>
  <sheetViews>
    <sheetView workbookViewId="0"/>
  </sheetViews>
  <sheetFormatPr defaultColWidth="11.625" defaultRowHeight="12" customHeight="1"/>
  <cols>
    <col min="1" max="1" width="1.625" style="3" customWidth="1"/>
    <col min="2" max="16384" width="11.625" style="3"/>
  </cols>
  <sheetData>
    <row r="2" spans="2:16" ht="12" customHeight="1">
      <c r="B2" s="114" t="s">
        <v>661</v>
      </c>
    </row>
    <row r="3" spans="2:16" ht="12" customHeight="1">
      <c r="B3" s="293" t="s">
        <v>409</v>
      </c>
      <c r="C3" s="293" t="s">
        <v>410</v>
      </c>
      <c r="D3" s="293" t="s">
        <v>326</v>
      </c>
      <c r="F3" s="293" t="s">
        <v>409</v>
      </c>
      <c r="G3" s="293" t="s">
        <v>410</v>
      </c>
      <c r="H3" s="293" t="s">
        <v>326</v>
      </c>
      <c r="J3" s="293" t="s">
        <v>409</v>
      </c>
      <c r="K3" s="293" t="s">
        <v>410</v>
      </c>
      <c r="L3" s="293" t="s">
        <v>326</v>
      </c>
      <c r="N3" s="293" t="s">
        <v>409</v>
      </c>
      <c r="O3" s="293" t="s">
        <v>410</v>
      </c>
      <c r="P3" s="293" t="s">
        <v>326</v>
      </c>
    </row>
    <row r="4" spans="2:16" ht="12" customHeight="1">
      <c r="B4" s="293" t="s">
        <v>411</v>
      </c>
      <c r="C4" s="293" t="s">
        <v>412</v>
      </c>
      <c r="D4" s="294">
        <v>1157.8</v>
      </c>
      <c r="F4" s="293" t="s">
        <v>662</v>
      </c>
      <c r="G4" s="293" t="s">
        <v>412</v>
      </c>
      <c r="H4" s="294">
        <v>1118.0999999999999</v>
      </c>
      <c r="J4" s="293" t="s">
        <v>909</v>
      </c>
      <c r="K4" s="293" t="s">
        <v>412</v>
      </c>
      <c r="L4" s="294">
        <v>1071.4000000000001</v>
      </c>
      <c r="N4" s="293" t="s">
        <v>1154</v>
      </c>
      <c r="O4" s="293" t="s">
        <v>412</v>
      </c>
      <c r="P4" s="294">
        <v>1088</v>
      </c>
    </row>
    <row r="5" spans="2:16" ht="12" customHeight="1">
      <c r="B5" s="293" t="s">
        <v>413</v>
      </c>
      <c r="C5" s="293" t="s">
        <v>412</v>
      </c>
      <c r="D5" s="294">
        <v>1156.9000000000001</v>
      </c>
      <c r="F5" s="293" t="s">
        <v>663</v>
      </c>
      <c r="G5" s="293" t="s">
        <v>412</v>
      </c>
      <c r="H5" s="294">
        <v>1119</v>
      </c>
      <c r="J5" s="293" t="s">
        <v>910</v>
      </c>
      <c r="K5" s="293" t="s">
        <v>412</v>
      </c>
      <c r="L5" s="294">
        <v>1064.3</v>
      </c>
      <c r="N5" s="293" t="s">
        <v>1155</v>
      </c>
      <c r="O5" s="293" t="s">
        <v>412</v>
      </c>
      <c r="P5" s="294">
        <v>1083.0999999999999</v>
      </c>
    </row>
    <row r="6" spans="2:16" ht="12" customHeight="1">
      <c r="B6" s="293" t="s">
        <v>414</v>
      </c>
      <c r="C6" s="293" t="s">
        <v>412</v>
      </c>
      <c r="D6" s="294">
        <v>1162.7</v>
      </c>
      <c r="F6" s="293" t="s">
        <v>664</v>
      </c>
      <c r="G6" s="293" t="s">
        <v>412</v>
      </c>
      <c r="H6" s="294">
        <v>1127.5</v>
      </c>
      <c r="J6" s="293" t="s">
        <v>911</v>
      </c>
      <c r="K6" s="293" t="s">
        <v>412</v>
      </c>
      <c r="L6" s="294">
        <v>1065.4000000000001</v>
      </c>
      <c r="N6" s="293" t="s">
        <v>1156</v>
      </c>
      <c r="O6" s="293" t="s">
        <v>412</v>
      </c>
      <c r="P6" s="294">
        <v>1086.0999999999999</v>
      </c>
    </row>
    <row r="7" spans="2:16" ht="12" customHeight="1">
      <c r="B7" s="293" t="s">
        <v>415</v>
      </c>
      <c r="C7" s="293" t="s">
        <v>412</v>
      </c>
      <c r="D7" s="294">
        <v>1169.5999999999999</v>
      </c>
      <c r="F7" s="293" t="s">
        <v>665</v>
      </c>
      <c r="G7" s="293" t="s">
        <v>412</v>
      </c>
      <c r="H7" s="294">
        <v>1125.2</v>
      </c>
      <c r="J7" s="293" t="s">
        <v>912</v>
      </c>
      <c r="K7" s="293" t="s">
        <v>412</v>
      </c>
      <c r="L7" s="294">
        <v>1065.5</v>
      </c>
      <c r="N7" s="293" t="s">
        <v>1157</v>
      </c>
      <c r="O7" s="293" t="s">
        <v>412</v>
      </c>
      <c r="P7" s="294">
        <v>1086.8</v>
      </c>
    </row>
    <row r="8" spans="2:16" ht="12" customHeight="1">
      <c r="B8" s="293" t="s">
        <v>416</v>
      </c>
      <c r="C8" s="293" t="s">
        <v>412</v>
      </c>
      <c r="D8" s="294">
        <v>1165.3</v>
      </c>
      <c r="F8" s="293" t="s">
        <v>666</v>
      </c>
      <c r="G8" s="293" t="s">
        <v>412</v>
      </c>
      <c r="H8" s="294">
        <v>1118</v>
      </c>
      <c r="J8" s="293" t="s">
        <v>913</v>
      </c>
      <c r="K8" s="293" t="s">
        <v>412</v>
      </c>
      <c r="L8" s="294">
        <v>1062.0999999999999</v>
      </c>
      <c r="N8" s="293" t="s">
        <v>1158</v>
      </c>
      <c r="O8" s="293" t="s">
        <v>412</v>
      </c>
      <c r="P8" s="294">
        <v>1087.7</v>
      </c>
    </row>
    <row r="9" spans="2:16" ht="12" customHeight="1">
      <c r="B9" s="293" t="s">
        <v>417</v>
      </c>
      <c r="C9" s="293" t="s">
        <v>412</v>
      </c>
      <c r="D9" s="294">
        <v>1174.0999999999999</v>
      </c>
      <c r="F9" s="293" t="s">
        <v>667</v>
      </c>
      <c r="G9" s="293" t="s">
        <v>412</v>
      </c>
      <c r="H9" s="294">
        <v>1121.7</v>
      </c>
      <c r="J9" s="293" t="s">
        <v>914</v>
      </c>
      <c r="K9" s="293" t="s">
        <v>412</v>
      </c>
      <c r="L9" s="294">
        <v>1065.2</v>
      </c>
      <c r="N9" s="293" t="s">
        <v>1159</v>
      </c>
      <c r="O9" s="293" t="s">
        <v>412</v>
      </c>
      <c r="P9" s="294">
        <v>1094.4000000000001</v>
      </c>
    </row>
    <row r="10" spans="2:16" ht="12" customHeight="1">
      <c r="B10" s="293" t="s">
        <v>418</v>
      </c>
      <c r="C10" s="293" t="s">
        <v>412</v>
      </c>
      <c r="D10" s="294">
        <v>1160</v>
      </c>
      <c r="F10" s="293" t="s">
        <v>668</v>
      </c>
      <c r="G10" s="293" t="s">
        <v>412</v>
      </c>
      <c r="H10" s="294">
        <v>1121.5999999999999</v>
      </c>
      <c r="J10" s="293" t="s">
        <v>915</v>
      </c>
      <c r="K10" s="293" t="s">
        <v>412</v>
      </c>
      <c r="L10" s="294">
        <v>1067.0999999999999</v>
      </c>
      <c r="N10" s="293" t="s">
        <v>1160</v>
      </c>
      <c r="O10" s="293" t="s">
        <v>412</v>
      </c>
      <c r="P10" s="294">
        <v>1097.8</v>
      </c>
    </row>
    <row r="11" spans="2:16" ht="12" customHeight="1">
      <c r="B11" s="293" t="s">
        <v>419</v>
      </c>
      <c r="C11" s="293" t="s">
        <v>412</v>
      </c>
      <c r="D11" s="294">
        <v>1161.0999999999999</v>
      </c>
      <c r="F11" s="293" t="s">
        <v>669</v>
      </c>
      <c r="G11" s="293" t="s">
        <v>412</v>
      </c>
      <c r="H11" s="294">
        <v>1118.9000000000001</v>
      </c>
      <c r="J11" s="293" t="s">
        <v>916</v>
      </c>
      <c r="K11" s="293" t="s">
        <v>412</v>
      </c>
      <c r="L11" s="294">
        <v>1070.7</v>
      </c>
      <c r="N11" s="293" t="s">
        <v>1161</v>
      </c>
      <c r="O11" s="293" t="s">
        <v>412</v>
      </c>
      <c r="P11" s="294">
        <v>1099.9000000000001</v>
      </c>
    </row>
    <row r="12" spans="2:16" ht="12" customHeight="1">
      <c r="B12" s="293" t="s">
        <v>420</v>
      </c>
      <c r="C12" s="293" t="s">
        <v>412</v>
      </c>
      <c r="D12" s="294">
        <v>1155.7</v>
      </c>
      <c r="F12" s="293" t="s">
        <v>670</v>
      </c>
      <c r="G12" s="293" t="s">
        <v>412</v>
      </c>
      <c r="H12" s="294">
        <v>1117.5999999999999</v>
      </c>
      <c r="J12" s="293" t="s">
        <v>917</v>
      </c>
      <c r="K12" s="293" t="s">
        <v>412</v>
      </c>
      <c r="L12" s="294">
        <v>1071.2</v>
      </c>
      <c r="N12" s="293" t="s">
        <v>1162</v>
      </c>
      <c r="O12" s="293" t="s">
        <v>412</v>
      </c>
      <c r="P12" s="294">
        <v>1095</v>
      </c>
    </row>
    <row r="13" spans="2:16" ht="12" customHeight="1">
      <c r="B13" s="293" t="s">
        <v>421</v>
      </c>
      <c r="C13" s="293" t="s">
        <v>412</v>
      </c>
      <c r="D13" s="294">
        <v>1153.0999999999999</v>
      </c>
      <c r="F13" s="293" t="s">
        <v>671</v>
      </c>
      <c r="G13" s="293" t="s">
        <v>412</v>
      </c>
      <c r="H13" s="294">
        <v>1121.4000000000001</v>
      </c>
      <c r="J13" s="293" t="s">
        <v>918</v>
      </c>
      <c r="K13" s="293" t="s">
        <v>412</v>
      </c>
      <c r="L13" s="294">
        <v>1064.7</v>
      </c>
      <c r="N13" s="293" t="s">
        <v>1163</v>
      </c>
      <c r="O13" s="293" t="s">
        <v>412</v>
      </c>
      <c r="P13" s="294">
        <v>1100.3</v>
      </c>
    </row>
    <row r="14" spans="2:16" ht="12" customHeight="1">
      <c r="B14" s="293" t="s">
        <v>422</v>
      </c>
      <c r="C14" s="293" t="s">
        <v>412</v>
      </c>
      <c r="D14" s="294">
        <v>1158.8</v>
      </c>
      <c r="F14" s="293" t="s">
        <v>672</v>
      </c>
      <c r="G14" s="293" t="s">
        <v>412</v>
      </c>
      <c r="H14" s="294">
        <v>1120.0999999999999</v>
      </c>
      <c r="J14" s="293" t="s">
        <v>919</v>
      </c>
      <c r="K14" s="293" t="s">
        <v>412</v>
      </c>
      <c r="L14" s="294">
        <v>1061.3</v>
      </c>
      <c r="N14" s="293" t="s">
        <v>1164</v>
      </c>
      <c r="O14" s="293" t="s">
        <v>412</v>
      </c>
      <c r="P14" s="294">
        <v>1097.9000000000001</v>
      </c>
    </row>
    <row r="15" spans="2:16" ht="12" customHeight="1">
      <c r="B15" s="293" t="s">
        <v>423</v>
      </c>
      <c r="C15" s="293" t="s">
        <v>412</v>
      </c>
      <c r="D15" s="294">
        <v>1159.5999999999999</v>
      </c>
      <c r="F15" s="293" t="s">
        <v>673</v>
      </c>
      <c r="G15" s="293" t="s">
        <v>412</v>
      </c>
      <c r="H15" s="294">
        <v>1122</v>
      </c>
      <c r="J15" s="293" t="s">
        <v>920</v>
      </c>
      <c r="K15" s="293" t="s">
        <v>412</v>
      </c>
      <c r="L15" s="294">
        <v>1064</v>
      </c>
      <c r="N15" s="293" t="s">
        <v>1165</v>
      </c>
      <c r="O15" s="293" t="s">
        <v>412</v>
      </c>
      <c r="P15" s="294">
        <v>1104.4000000000001</v>
      </c>
    </row>
    <row r="16" spans="2:16" ht="12" customHeight="1">
      <c r="B16" s="293" t="s">
        <v>424</v>
      </c>
      <c r="C16" s="293" t="s">
        <v>412</v>
      </c>
      <c r="D16" s="294">
        <v>1158.8</v>
      </c>
      <c r="F16" s="293" t="s">
        <v>674</v>
      </c>
      <c r="G16" s="293" t="s">
        <v>412</v>
      </c>
      <c r="H16" s="294">
        <v>1121.4000000000001</v>
      </c>
      <c r="J16" s="293" t="s">
        <v>921</v>
      </c>
      <c r="K16" s="293" t="s">
        <v>412</v>
      </c>
      <c r="L16" s="294">
        <v>1065.8</v>
      </c>
      <c r="N16" s="293" t="s">
        <v>1166</v>
      </c>
      <c r="O16" s="293" t="s">
        <v>412</v>
      </c>
      <c r="P16" s="294">
        <v>1102.0999999999999</v>
      </c>
    </row>
    <row r="17" spans="2:16" ht="12" customHeight="1">
      <c r="B17" s="293" t="s">
        <v>425</v>
      </c>
      <c r="C17" s="293" t="s">
        <v>412</v>
      </c>
      <c r="D17" s="294">
        <v>1158.8</v>
      </c>
      <c r="F17" s="293" t="s">
        <v>675</v>
      </c>
      <c r="G17" s="293" t="s">
        <v>412</v>
      </c>
      <c r="H17" s="294">
        <v>1121.3</v>
      </c>
      <c r="J17" s="293" t="s">
        <v>922</v>
      </c>
      <c r="K17" s="293" t="s">
        <v>412</v>
      </c>
      <c r="L17" s="294">
        <v>1069.4000000000001</v>
      </c>
      <c r="N17" s="293" t="s">
        <v>1167</v>
      </c>
      <c r="O17" s="293" t="s">
        <v>412</v>
      </c>
      <c r="P17" s="294">
        <v>1100</v>
      </c>
    </row>
    <row r="18" spans="2:16" ht="12" customHeight="1">
      <c r="B18" s="293" t="s">
        <v>426</v>
      </c>
      <c r="C18" s="293" t="s">
        <v>412</v>
      </c>
      <c r="D18" s="294">
        <v>1164.7</v>
      </c>
      <c r="F18" s="293" t="s">
        <v>676</v>
      </c>
      <c r="G18" s="293" t="s">
        <v>412</v>
      </c>
      <c r="H18" s="294">
        <v>1126.5</v>
      </c>
      <c r="J18" s="293" t="s">
        <v>923</v>
      </c>
      <c r="K18" s="293" t="s">
        <v>412</v>
      </c>
      <c r="L18" s="294">
        <v>1067.3</v>
      </c>
      <c r="N18" s="293" t="s">
        <v>1168</v>
      </c>
      <c r="O18" s="293" t="s">
        <v>412</v>
      </c>
      <c r="P18" s="294">
        <v>1099.2</v>
      </c>
    </row>
    <row r="19" spans="2:16" ht="12" customHeight="1">
      <c r="B19" s="293" t="s">
        <v>427</v>
      </c>
      <c r="C19" s="293" t="s">
        <v>412</v>
      </c>
      <c r="D19" s="294">
        <v>1165.0999999999999</v>
      </c>
      <c r="F19" s="293" t="s">
        <v>677</v>
      </c>
      <c r="G19" s="293" t="s">
        <v>412</v>
      </c>
      <c r="H19" s="294">
        <v>1130.2</v>
      </c>
      <c r="J19" s="293" t="s">
        <v>924</v>
      </c>
      <c r="K19" s="293" t="s">
        <v>412</v>
      </c>
      <c r="L19" s="294">
        <v>1068.9000000000001</v>
      </c>
      <c r="N19" s="293" t="s">
        <v>1169</v>
      </c>
      <c r="O19" s="293" t="s">
        <v>412</v>
      </c>
      <c r="P19" s="294">
        <v>1102.3</v>
      </c>
    </row>
    <row r="20" spans="2:16" ht="12" customHeight="1">
      <c r="B20" s="293" t="s">
        <v>428</v>
      </c>
      <c r="C20" s="293" t="s">
        <v>412</v>
      </c>
      <c r="D20" s="294">
        <v>1167.2</v>
      </c>
      <c r="F20" s="293" t="s">
        <v>678</v>
      </c>
      <c r="G20" s="293" t="s">
        <v>412</v>
      </c>
      <c r="H20" s="294">
        <v>1128.2</v>
      </c>
      <c r="J20" s="293" t="s">
        <v>925</v>
      </c>
      <c r="K20" s="293" t="s">
        <v>412</v>
      </c>
      <c r="L20" s="294">
        <v>1069.7</v>
      </c>
      <c r="N20" s="293" t="s">
        <v>1170</v>
      </c>
      <c r="O20" s="293" t="s">
        <v>412</v>
      </c>
      <c r="P20" s="294">
        <v>1103.2</v>
      </c>
    </row>
    <row r="21" spans="2:16" ht="12" customHeight="1">
      <c r="B21" s="293" t="s">
        <v>429</v>
      </c>
      <c r="C21" s="293" t="s">
        <v>412</v>
      </c>
      <c r="D21" s="294">
        <v>1176.7</v>
      </c>
      <c r="F21" s="293" t="s">
        <v>679</v>
      </c>
      <c r="G21" s="293" t="s">
        <v>412</v>
      </c>
      <c r="H21" s="294">
        <v>1128</v>
      </c>
      <c r="J21" s="293" t="s">
        <v>926</v>
      </c>
      <c r="K21" s="293" t="s">
        <v>412</v>
      </c>
      <c r="L21" s="294">
        <v>1070.5999999999999</v>
      </c>
      <c r="N21" s="293" t="s">
        <v>1171</v>
      </c>
      <c r="O21" s="293" t="s">
        <v>412</v>
      </c>
      <c r="P21" s="294">
        <v>1103</v>
      </c>
    </row>
    <row r="22" spans="2:16" ht="12" customHeight="1">
      <c r="B22" s="293" t="s">
        <v>430</v>
      </c>
      <c r="C22" s="293" t="s">
        <v>412</v>
      </c>
      <c r="D22" s="294">
        <v>1176</v>
      </c>
      <c r="F22" s="293" t="s">
        <v>680</v>
      </c>
      <c r="G22" s="293" t="s">
        <v>412</v>
      </c>
      <c r="H22" s="294">
        <v>1125.0999999999999</v>
      </c>
      <c r="J22" s="293" t="s">
        <v>927</v>
      </c>
      <c r="K22" s="293" t="s">
        <v>412</v>
      </c>
      <c r="L22" s="294">
        <v>1061.7</v>
      </c>
      <c r="N22" s="293" t="s">
        <v>1172</v>
      </c>
      <c r="O22" s="293" t="s">
        <v>412</v>
      </c>
      <c r="P22" s="294">
        <v>1104</v>
      </c>
    </row>
    <row r="23" spans="2:16" ht="12" customHeight="1">
      <c r="B23" s="293" t="s">
        <v>431</v>
      </c>
      <c r="C23" s="293" t="s">
        <v>412</v>
      </c>
      <c r="D23" s="294">
        <v>1183.5</v>
      </c>
      <c r="F23" s="293" t="s">
        <v>681</v>
      </c>
      <c r="G23" s="293" t="s">
        <v>412</v>
      </c>
      <c r="H23" s="294">
        <v>1116.9000000000001</v>
      </c>
      <c r="J23" s="293" t="s">
        <v>928</v>
      </c>
      <c r="K23" s="293" t="s">
        <v>412</v>
      </c>
      <c r="L23" s="294">
        <v>1064.8</v>
      </c>
      <c r="N23" s="293" t="s">
        <v>1173</v>
      </c>
      <c r="O23" s="293" t="s">
        <v>412</v>
      </c>
      <c r="P23" s="294">
        <v>1114.5999999999999</v>
      </c>
    </row>
    <row r="24" spans="2:16" ht="12" customHeight="1">
      <c r="B24" s="293" t="s">
        <v>432</v>
      </c>
      <c r="C24" s="293" t="s">
        <v>412</v>
      </c>
      <c r="D24" s="294">
        <v>1187.8</v>
      </c>
      <c r="F24" s="293" t="s">
        <v>682</v>
      </c>
      <c r="G24" s="293" t="s">
        <v>412</v>
      </c>
      <c r="H24" s="294">
        <v>1118.0999999999999</v>
      </c>
      <c r="J24" s="293" t="s">
        <v>929</v>
      </c>
      <c r="K24" s="293" t="s">
        <v>412</v>
      </c>
      <c r="L24" s="294">
        <v>1064.8</v>
      </c>
      <c r="N24" s="293" t="s">
        <v>1174</v>
      </c>
      <c r="O24" s="293" t="s">
        <v>412</v>
      </c>
      <c r="P24" s="294">
        <v>1117.2</v>
      </c>
    </row>
    <row r="25" spans="2:16" ht="12" customHeight="1">
      <c r="B25" s="293" t="s">
        <v>433</v>
      </c>
      <c r="C25" s="293" t="s">
        <v>412</v>
      </c>
      <c r="D25" s="294">
        <v>1196</v>
      </c>
      <c r="F25" s="293" t="s">
        <v>683</v>
      </c>
      <c r="G25" s="293" t="s">
        <v>412</v>
      </c>
      <c r="H25" s="294">
        <v>1117.2</v>
      </c>
      <c r="J25" s="293" t="s">
        <v>930</v>
      </c>
      <c r="K25" s="293" t="s">
        <v>412</v>
      </c>
      <c r="L25" s="294">
        <v>1071.5</v>
      </c>
      <c r="N25" s="293" t="s">
        <v>1175</v>
      </c>
      <c r="O25" s="293" t="s">
        <v>412</v>
      </c>
      <c r="P25" s="294">
        <v>1118</v>
      </c>
    </row>
    <row r="26" spans="2:16" ht="12" customHeight="1">
      <c r="B26" s="293" t="s">
        <v>434</v>
      </c>
      <c r="C26" s="293" t="s">
        <v>412</v>
      </c>
      <c r="D26" s="294">
        <v>1189.4000000000001</v>
      </c>
      <c r="F26" s="293" t="s">
        <v>684</v>
      </c>
      <c r="G26" s="293" t="s">
        <v>412</v>
      </c>
      <c r="H26" s="294">
        <v>1111.5999999999999</v>
      </c>
      <c r="J26" s="293" t="s">
        <v>931</v>
      </c>
      <c r="K26" s="293" t="s">
        <v>412</v>
      </c>
      <c r="L26" s="294">
        <v>1071</v>
      </c>
      <c r="N26" s="293" t="s">
        <v>1176</v>
      </c>
      <c r="O26" s="293" t="s">
        <v>412</v>
      </c>
      <c r="P26" s="294">
        <v>1116.5999999999999</v>
      </c>
    </row>
    <row r="27" spans="2:16" ht="12" customHeight="1">
      <c r="B27" s="293" t="s">
        <v>435</v>
      </c>
      <c r="C27" s="293" t="s">
        <v>412</v>
      </c>
      <c r="D27" s="294">
        <v>1188.5</v>
      </c>
      <c r="F27" s="293" t="s">
        <v>685</v>
      </c>
      <c r="G27" s="293" t="s">
        <v>412</v>
      </c>
      <c r="H27" s="294">
        <v>1116.8</v>
      </c>
      <c r="J27" s="293" t="s">
        <v>932</v>
      </c>
      <c r="K27" s="293" t="s">
        <v>412</v>
      </c>
      <c r="L27" s="294">
        <v>1071.0999999999999</v>
      </c>
      <c r="N27" s="293" t="s">
        <v>1177</v>
      </c>
      <c r="O27" s="293" t="s">
        <v>412</v>
      </c>
      <c r="P27" s="294">
        <v>1114</v>
      </c>
    </row>
    <row r="28" spans="2:16" ht="12" customHeight="1">
      <c r="B28" s="293" t="s">
        <v>436</v>
      </c>
      <c r="C28" s="293" t="s">
        <v>412</v>
      </c>
      <c r="D28" s="294">
        <v>1181.4000000000001</v>
      </c>
      <c r="F28" s="293" t="s">
        <v>686</v>
      </c>
      <c r="G28" s="293" t="s">
        <v>412</v>
      </c>
      <c r="H28" s="294">
        <v>1123.4000000000001</v>
      </c>
      <c r="J28" s="293" t="s">
        <v>933</v>
      </c>
      <c r="K28" s="293" t="s">
        <v>412</v>
      </c>
      <c r="L28" s="294">
        <v>1076.7</v>
      </c>
      <c r="N28" s="293" t="s">
        <v>1178</v>
      </c>
      <c r="O28" s="293" t="s">
        <v>412</v>
      </c>
      <c r="P28" s="294">
        <v>1116.7</v>
      </c>
    </row>
    <row r="29" spans="2:16" ht="12" customHeight="1">
      <c r="B29" s="293" t="s">
        <v>437</v>
      </c>
      <c r="C29" s="293" t="s">
        <v>412</v>
      </c>
      <c r="D29" s="294">
        <v>1187.2</v>
      </c>
      <c r="F29" s="293" t="s">
        <v>687</v>
      </c>
      <c r="G29" s="293" t="s">
        <v>412</v>
      </c>
      <c r="H29" s="294">
        <v>1124.5</v>
      </c>
      <c r="J29" s="293" t="s">
        <v>934</v>
      </c>
      <c r="K29" s="293" t="s">
        <v>412</v>
      </c>
      <c r="L29" s="294">
        <v>1089.8</v>
      </c>
      <c r="N29" s="293" t="s">
        <v>1179</v>
      </c>
      <c r="O29" s="293" t="s">
        <v>412</v>
      </c>
      <c r="P29" s="294">
        <v>1124</v>
      </c>
    </row>
    <row r="30" spans="2:16" ht="12" customHeight="1">
      <c r="B30" s="293" t="s">
        <v>438</v>
      </c>
      <c r="C30" s="293" t="s">
        <v>412</v>
      </c>
      <c r="D30" s="294">
        <v>1189.8</v>
      </c>
      <c r="F30" s="293" t="s">
        <v>688</v>
      </c>
      <c r="G30" s="293" t="s">
        <v>412</v>
      </c>
      <c r="H30" s="294">
        <v>1124.5</v>
      </c>
      <c r="J30" s="293" t="s">
        <v>935</v>
      </c>
      <c r="K30" s="293" t="s">
        <v>412</v>
      </c>
      <c r="L30" s="294">
        <v>1094.3</v>
      </c>
      <c r="N30" s="293" t="s">
        <v>1180</v>
      </c>
      <c r="O30" s="293" t="s">
        <v>412</v>
      </c>
      <c r="P30" s="294">
        <v>1119.0999999999999</v>
      </c>
    </row>
    <row r="31" spans="2:16" ht="12" customHeight="1">
      <c r="B31" s="293" t="s">
        <v>439</v>
      </c>
      <c r="C31" s="293" t="s">
        <v>412</v>
      </c>
      <c r="D31" s="294">
        <v>1184.0999999999999</v>
      </c>
      <c r="F31" s="293" t="s">
        <v>689</v>
      </c>
      <c r="G31" s="293" t="s">
        <v>412</v>
      </c>
      <c r="H31" s="294">
        <v>1124.5999999999999</v>
      </c>
      <c r="J31" s="293" t="s">
        <v>936</v>
      </c>
      <c r="K31" s="293" t="s">
        <v>412</v>
      </c>
      <c r="L31" s="294">
        <v>1083.3</v>
      </c>
      <c r="N31" s="293" t="s">
        <v>1181</v>
      </c>
      <c r="O31" s="293" t="s">
        <v>412</v>
      </c>
      <c r="P31" s="294">
        <v>1116</v>
      </c>
    </row>
    <row r="32" spans="2:16" ht="12" customHeight="1">
      <c r="B32" s="293" t="s">
        <v>440</v>
      </c>
      <c r="C32" s="293" t="s">
        <v>412</v>
      </c>
      <c r="D32" s="294">
        <v>1179.8</v>
      </c>
      <c r="F32" s="293" t="s">
        <v>690</v>
      </c>
      <c r="G32" s="293" t="s">
        <v>412</v>
      </c>
      <c r="H32" s="294">
        <v>1121.7</v>
      </c>
      <c r="J32" s="293" t="s">
        <v>937</v>
      </c>
      <c r="K32" s="293" t="s">
        <v>412</v>
      </c>
      <c r="L32" s="294">
        <v>1087.8</v>
      </c>
      <c r="N32" s="293" t="s">
        <v>1182</v>
      </c>
      <c r="O32" s="293" t="s">
        <v>412</v>
      </c>
      <c r="P32" s="294">
        <v>1110.0999999999999</v>
      </c>
    </row>
    <row r="33" spans="2:16" ht="12" customHeight="1">
      <c r="B33" s="293" t="s">
        <v>441</v>
      </c>
      <c r="C33" s="293" t="s">
        <v>412</v>
      </c>
      <c r="D33" s="294">
        <v>1181.5</v>
      </c>
      <c r="F33" s="293" t="s">
        <v>691</v>
      </c>
      <c r="G33" s="293" t="s">
        <v>412</v>
      </c>
      <c r="H33" s="294">
        <v>1125</v>
      </c>
      <c r="J33" s="293" t="s">
        <v>938</v>
      </c>
      <c r="K33" s="293" t="s">
        <v>412</v>
      </c>
      <c r="L33" s="294">
        <v>1092.7</v>
      </c>
      <c r="N33" s="293" t="s">
        <v>1183</v>
      </c>
      <c r="O33" s="293" t="s">
        <v>412</v>
      </c>
      <c r="P33" s="294">
        <v>1103.0999999999999</v>
      </c>
    </row>
    <row r="34" spans="2:16" ht="12" customHeight="1">
      <c r="B34" s="293" t="s">
        <v>442</v>
      </c>
      <c r="C34" s="293" t="s">
        <v>412</v>
      </c>
      <c r="D34" s="294">
        <v>1183.5</v>
      </c>
      <c r="F34" s="293" t="s">
        <v>692</v>
      </c>
      <c r="G34" s="293" t="s">
        <v>412</v>
      </c>
      <c r="H34" s="294">
        <v>1127.7</v>
      </c>
      <c r="J34" s="293" t="s">
        <v>939</v>
      </c>
      <c r="K34" s="293" t="s">
        <v>412</v>
      </c>
      <c r="L34" s="294">
        <v>1083.4000000000001</v>
      </c>
      <c r="N34" s="293" t="s">
        <v>1184</v>
      </c>
      <c r="O34" s="293" t="s">
        <v>412</v>
      </c>
      <c r="P34" s="294">
        <v>1099.7</v>
      </c>
    </row>
    <row r="35" spans="2:16" ht="12" customHeight="1">
      <c r="B35" s="293" t="s">
        <v>443</v>
      </c>
      <c r="C35" s="293" t="s">
        <v>412</v>
      </c>
      <c r="D35" s="294">
        <v>1182.2</v>
      </c>
      <c r="F35" s="293" t="s">
        <v>693</v>
      </c>
      <c r="G35" s="293" t="s">
        <v>412</v>
      </c>
      <c r="H35" s="294">
        <v>1124.7</v>
      </c>
      <c r="J35" s="293" t="s">
        <v>940</v>
      </c>
      <c r="K35" s="293" t="s">
        <v>412</v>
      </c>
      <c r="L35" s="294">
        <v>1082.8</v>
      </c>
      <c r="N35" s="293" t="s">
        <v>1185</v>
      </c>
      <c r="O35" s="293" t="s">
        <v>412</v>
      </c>
      <c r="P35" s="294">
        <v>1107.7</v>
      </c>
    </row>
    <row r="36" spans="2:16" ht="12" customHeight="1">
      <c r="B36" s="293" t="s">
        <v>444</v>
      </c>
      <c r="C36" s="293" t="s">
        <v>412</v>
      </c>
      <c r="D36" s="294">
        <v>1188.0999999999999</v>
      </c>
      <c r="F36" s="293" t="s">
        <v>694</v>
      </c>
      <c r="G36" s="293" t="s">
        <v>412</v>
      </c>
      <c r="H36" s="294">
        <v>1127.5</v>
      </c>
      <c r="J36" s="293" t="s">
        <v>941</v>
      </c>
      <c r="K36" s="293" t="s">
        <v>412</v>
      </c>
      <c r="L36" s="294">
        <v>1079.9000000000001</v>
      </c>
      <c r="N36" s="293" t="s">
        <v>1186</v>
      </c>
      <c r="O36" s="293" t="s">
        <v>412</v>
      </c>
      <c r="P36" s="294">
        <v>1105.7</v>
      </c>
    </row>
    <row r="37" spans="2:16" ht="12" customHeight="1">
      <c r="B37" s="293" t="s">
        <v>445</v>
      </c>
      <c r="C37" s="293" t="s">
        <v>412</v>
      </c>
      <c r="D37" s="294">
        <v>1190.8</v>
      </c>
      <c r="F37" s="293" t="s">
        <v>695</v>
      </c>
      <c r="G37" s="293" t="s">
        <v>412</v>
      </c>
      <c r="H37" s="294">
        <v>1122.5999999999999</v>
      </c>
      <c r="J37" s="293" t="s">
        <v>942</v>
      </c>
      <c r="K37" s="293" t="s">
        <v>412</v>
      </c>
      <c r="L37" s="294">
        <v>1068</v>
      </c>
      <c r="N37" s="293" t="s">
        <v>1187</v>
      </c>
      <c r="O37" s="293" t="s">
        <v>412</v>
      </c>
      <c r="P37" s="294">
        <v>1107.0999999999999</v>
      </c>
    </row>
    <row r="38" spans="2:16" ht="12" customHeight="1">
      <c r="B38" s="293" t="s">
        <v>446</v>
      </c>
      <c r="C38" s="293" t="s">
        <v>412</v>
      </c>
      <c r="D38" s="294">
        <v>1197</v>
      </c>
      <c r="F38" s="293" t="s">
        <v>696</v>
      </c>
      <c r="G38" s="293" t="s">
        <v>412</v>
      </c>
      <c r="H38" s="294">
        <v>1124.4000000000001</v>
      </c>
      <c r="J38" s="293" t="s">
        <v>943</v>
      </c>
      <c r="K38" s="293" t="s">
        <v>412</v>
      </c>
      <c r="L38" s="294">
        <v>1070.3</v>
      </c>
      <c r="N38" s="293" t="s">
        <v>1188</v>
      </c>
      <c r="O38" s="293" t="s">
        <v>412</v>
      </c>
      <c r="P38" s="294">
        <v>1106.5</v>
      </c>
    </row>
    <row r="39" spans="2:16" ht="12" customHeight="1">
      <c r="B39" s="293" t="s">
        <v>447</v>
      </c>
      <c r="C39" s="293" t="s">
        <v>412</v>
      </c>
      <c r="D39" s="294">
        <v>1205.5999999999999</v>
      </c>
      <c r="F39" s="293" t="s">
        <v>697</v>
      </c>
      <c r="G39" s="293" t="s">
        <v>412</v>
      </c>
      <c r="H39" s="294">
        <v>1125.7</v>
      </c>
      <c r="J39" s="293" t="s">
        <v>944</v>
      </c>
      <c r="K39" s="293" t="s">
        <v>412</v>
      </c>
      <c r="L39" s="294">
        <v>1075.3</v>
      </c>
      <c r="N39" s="293" t="s">
        <v>1189</v>
      </c>
      <c r="O39" s="293" t="s">
        <v>412</v>
      </c>
      <c r="P39" s="294">
        <v>1110.8</v>
      </c>
    </row>
    <row r="40" spans="2:16" ht="12" customHeight="1">
      <c r="B40" s="293" t="s">
        <v>448</v>
      </c>
      <c r="C40" s="293" t="s">
        <v>412</v>
      </c>
      <c r="D40" s="294">
        <v>1217.7</v>
      </c>
      <c r="F40" s="293" t="s">
        <v>698</v>
      </c>
      <c r="G40" s="293" t="s">
        <v>412</v>
      </c>
      <c r="H40" s="294">
        <v>1120.8</v>
      </c>
      <c r="J40" s="293" t="s">
        <v>945</v>
      </c>
      <c r="K40" s="293" t="s">
        <v>412</v>
      </c>
      <c r="L40" s="294">
        <v>1082.9000000000001</v>
      </c>
      <c r="N40" s="293" t="s">
        <v>1190</v>
      </c>
      <c r="O40" s="293" t="s">
        <v>412</v>
      </c>
      <c r="P40" s="294">
        <v>1110.2</v>
      </c>
    </row>
    <row r="41" spans="2:16" ht="12" customHeight="1">
      <c r="B41" s="293" t="s">
        <v>449</v>
      </c>
      <c r="C41" s="293" t="s">
        <v>412</v>
      </c>
      <c r="D41" s="294">
        <v>1212.7</v>
      </c>
      <c r="F41" s="293" t="s">
        <v>699</v>
      </c>
      <c r="G41" s="293" t="s">
        <v>412</v>
      </c>
      <c r="H41" s="294">
        <v>1118.3</v>
      </c>
      <c r="J41" s="293" t="s">
        <v>946</v>
      </c>
      <c r="K41" s="293" t="s">
        <v>412</v>
      </c>
      <c r="L41" s="294">
        <v>1078.5</v>
      </c>
      <c r="N41" s="293" t="s">
        <v>1191</v>
      </c>
      <c r="O41" s="293" t="s">
        <v>412</v>
      </c>
      <c r="P41" s="294">
        <v>1108.4000000000001</v>
      </c>
    </row>
    <row r="42" spans="2:16" ht="12" customHeight="1">
      <c r="B42" s="293" t="s">
        <v>450</v>
      </c>
      <c r="C42" s="293" t="s">
        <v>412</v>
      </c>
      <c r="D42" s="294">
        <v>1216.8</v>
      </c>
      <c r="F42" s="293" t="s">
        <v>700</v>
      </c>
      <c r="G42" s="293" t="s">
        <v>412</v>
      </c>
      <c r="H42" s="294">
        <v>1117.8</v>
      </c>
      <c r="J42" s="293" t="s">
        <v>947</v>
      </c>
      <c r="K42" s="293" t="s">
        <v>412</v>
      </c>
      <c r="L42" s="294">
        <v>1073.7</v>
      </c>
      <c r="N42" s="293" t="s">
        <v>1192</v>
      </c>
      <c r="O42" s="293" t="s">
        <v>412</v>
      </c>
      <c r="P42" s="294">
        <v>1121.8</v>
      </c>
    </row>
    <row r="43" spans="2:16" ht="12" customHeight="1">
      <c r="B43" s="293" t="s">
        <v>451</v>
      </c>
      <c r="C43" s="293" t="s">
        <v>412</v>
      </c>
      <c r="D43" s="294">
        <v>1215.9000000000001</v>
      </c>
      <c r="F43" s="293" t="s">
        <v>701</v>
      </c>
      <c r="G43" s="293" t="s">
        <v>412</v>
      </c>
      <c r="H43" s="294">
        <v>1119.9000000000001</v>
      </c>
      <c r="J43" s="293" t="s">
        <v>948</v>
      </c>
      <c r="K43" s="293" t="s">
        <v>412</v>
      </c>
      <c r="L43" s="294">
        <v>1071</v>
      </c>
      <c r="N43" s="293" t="s">
        <v>1193</v>
      </c>
      <c r="O43" s="293" t="s">
        <v>412</v>
      </c>
      <c r="P43" s="294">
        <v>1121.3</v>
      </c>
    </row>
    <row r="44" spans="2:16" ht="12" customHeight="1">
      <c r="B44" s="293" t="s">
        <v>452</v>
      </c>
      <c r="C44" s="293" t="s">
        <v>412</v>
      </c>
      <c r="D44" s="294">
        <v>1215.3</v>
      </c>
      <c r="F44" s="293" t="s">
        <v>702</v>
      </c>
      <c r="G44" s="293" t="s">
        <v>412</v>
      </c>
      <c r="H44" s="294">
        <v>1125</v>
      </c>
      <c r="J44" s="293" t="s">
        <v>949</v>
      </c>
      <c r="K44" s="293" t="s">
        <v>412</v>
      </c>
      <c r="L44" s="294">
        <v>1081.9000000000001</v>
      </c>
      <c r="N44" s="293" t="s">
        <v>1194</v>
      </c>
      <c r="O44" s="293" t="s">
        <v>412</v>
      </c>
      <c r="P44" s="294">
        <v>1122.9000000000001</v>
      </c>
    </row>
    <row r="45" spans="2:16" ht="12" customHeight="1">
      <c r="B45" s="293" t="s">
        <v>453</v>
      </c>
      <c r="C45" s="293" t="s">
        <v>412</v>
      </c>
      <c r="D45" s="294">
        <v>1200.3</v>
      </c>
      <c r="F45" s="293" t="s">
        <v>703</v>
      </c>
      <c r="G45" s="293" t="s">
        <v>412</v>
      </c>
      <c r="H45" s="294">
        <v>1125.8</v>
      </c>
      <c r="J45" s="293" t="s">
        <v>950</v>
      </c>
      <c r="K45" s="293" t="s">
        <v>412</v>
      </c>
      <c r="L45" s="294">
        <v>1081.3</v>
      </c>
      <c r="N45" s="293" t="s">
        <v>1195</v>
      </c>
      <c r="O45" s="293" t="s">
        <v>412</v>
      </c>
      <c r="P45" s="294">
        <v>1126.2</v>
      </c>
    </row>
    <row r="46" spans="2:16" ht="12" customHeight="1">
      <c r="B46" s="293" t="s">
        <v>454</v>
      </c>
      <c r="C46" s="293" t="s">
        <v>412</v>
      </c>
      <c r="D46" s="294">
        <v>1191.4000000000001</v>
      </c>
      <c r="F46" s="293" t="s">
        <v>704</v>
      </c>
      <c r="G46" s="293" t="s">
        <v>412</v>
      </c>
      <c r="H46" s="294">
        <v>1127.8</v>
      </c>
      <c r="J46" s="293" t="s">
        <v>951</v>
      </c>
      <c r="K46" s="293" t="s">
        <v>412</v>
      </c>
      <c r="L46" s="294">
        <v>1080.5</v>
      </c>
      <c r="N46" s="293" t="s">
        <v>1196</v>
      </c>
      <c r="O46" s="293" t="s">
        <v>412</v>
      </c>
      <c r="P46" s="294">
        <v>1129.4000000000001</v>
      </c>
    </row>
    <row r="47" spans="2:16" ht="12" customHeight="1">
      <c r="B47" s="293" t="s">
        <v>455</v>
      </c>
      <c r="C47" s="293" t="s">
        <v>412</v>
      </c>
      <c r="D47" s="294">
        <v>1186.4000000000001</v>
      </c>
      <c r="F47" s="293" t="s">
        <v>705</v>
      </c>
      <c r="G47" s="293" t="s">
        <v>412</v>
      </c>
      <c r="H47" s="294">
        <v>1128.3</v>
      </c>
      <c r="J47" s="293" t="s">
        <v>952</v>
      </c>
      <c r="K47" s="293" t="s">
        <v>412</v>
      </c>
      <c r="L47" s="294">
        <v>1075.4000000000001</v>
      </c>
      <c r="N47" s="293" t="s">
        <v>1197</v>
      </c>
      <c r="O47" s="293" t="s">
        <v>412</v>
      </c>
      <c r="P47" s="294">
        <v>1131.3</v>
      </c>
    </row>
    <row r="48" spans="2:16" ht="12" customHeight="1">
      <c r="B48" s="293" t="s">
        <v>456</v>
      </c>
      <c r="C48" s="293" t="s">
        <v>412</v>
      </c>
      <c r="D48" s="294">
        <v>1185</v>
      </c>
      <c r="F48" s="293" t="s">
        <v>706</v>
      </c>
      <c r="G48" s="293" t="s">
        <v>412</v>
      </c>
      <c r="H48" s="294">
        <v>1134</v>
      </c>
      <c r="J48" s="293" t="s">
        <v>953</v>
      </c>
      <c r="K48" s="293" t="s">
        <v>412</v>
      </c>
      <c r="L48" s="294">
        <v>1068.7</v>
      </c>
      <c r="N48" s="293" t="s">
        <v>1198</v>
      </c>
      <c r="O48" s="293" t="s">
        <v>412</v>
      </c>
      <c r="P48" s="294">
        <v>1141.0999999999999</v>
      </c>
    </row>
    <row r="49" spans="2:16" ht="12" customHeight="1">
      <c r="B49" s="293" t="s">
        <v>457</v>
      </c>
      <c r="C49" s="293" t="s">
        <v>412</v>
      </c>
      <c r="D49" s="294">
        <v>1191.4000000000001</v>
      </c>
      <c r="F49" s="293" t="s">
        <v>707</v>
      </c>
      <c r="G49" s="293" t="s">
        <v>412</v>
      </c>
      <c r="H49" s="294">
        <v>1134.5</v>
      </c>
      <c r="J49" s="293" t="s">
        <v>954</v>
      </c>
      <c r="K49" s="293" t="s">
        <v>412</v>
      </c>
      <c r="L49" s="294">
        <v>1068.4000000000001</v>
      </c>
      <c r="N49" s="293" t="s">
        <v>1199</v>
      </c>
      <c r="O49" s="293" t="s">
        <v>412</v>
      </c>
      <c r="P49" s="294">
        <v>1140.7</v>
      </c>
    </row>
    <row r="50" spans="2:16" ht="12" customHeight="1">
      <c r="B50" s="293" t="s">
        <v>458</v>
      </c>
      <c r="C50" s="293" t="s">
        <v>412</v>
      </c>
      <c r="D50" s="294">
        <v>1201.4000000000001</v>
      </c>
      <c r="F50" s="293" t="s">
        <v>708</v>
      </c>
      <c r="G50" s="293" t="s">
        <v>412</v>
      </c>
      <c r="H50" s="294">
        <v>1128.7</v>
      </c>
      <c r="J50" s="293" t="s">
        <v>955</v>
      </c>
      <c r="K50" s="293" t="s">
        <v>412</v>
      </c>
      <c r="L50" s="294">
        <v>1069.2</v>
      </c>
      <c r="N50" s="293" t="s">
        <v>1200</v>
      </c>
      <c r="O50" s="293" t="s">
        <v>412</v>
      </c>
      <c r="P50" s="294">
        <v>1137.3</v>
      </c>
    </row>
    <row r="51" spans="2:16" ht="12" customHeight="1">
      <c r="B51" s="293" t="s">
        <v>459</v>
      </c>
      <c r="C51" s="293" t="s">
        <v>412</v>
      </c>
      <c r="D51" s="294">
        <v>1196.7</v>
      </c>
      <c r="F51" s="293" t="s">
        <v>709</v>
      </c>
      <c r="G51" s="293" t="s">
        <v>412</v>
      </c>
      <c r="H51" s="294">
        <v>1131.5</v>
      </c>
      <c r="J51" s="293" t="s">
        <v>956</v>
      </c>
      <c r="K51" s="293" t="s">
        <v>412</v>
      </c>
      <c r="L51" s="294">
        <v>1064.3</v>
      </c>
      <c r="N51" s="293" t="s">
        <v>1201</v>
      </c>
      <c r="O51" s="293" t="s">
        <v>412</v>
      </c>
      <c r="P51" s="294">
        <v>1130.7</v>
      </c>
    </row>
    <row r="52" spans="2:16" ht="12" customHeight="1">
      <c r="B52" s="293" t="s">
        <v>460</v>
      </c>
      <c r="C52" s="293" t="s">
        <v>412</v>
      </c>
      <c r="D52" s="294">
        <v>1192.8</v>
      </c>
      <c r="F52" s="293" t="s">
        <v>710</v>
      </c>
      <c r="G52" s="293" t="s">
        <v>412</v>
      </c>
      <c r="H52" s="294">
        <v>1132.7</v>
      </c>
      <c r="J52" s="293" t="s">
        <v>957</v>
      </c>
      <c r="K52" s="293" t="s">
        <v>412</v>
      </c>
      <c r="L52" s="294">
        <v>1065.8</v>
      </c>
      <c r="N52" s="293" t="s">
        <v>1202</v>
      </c>
      <c r="O52" s="293" t="s">
        <v>412</v>
      </c>
      <c r="P52" s="294">
        <v>1135.9000000000001</v>
      </c>
    </row>
    <row r="53" spans="2:16" ht="12" customHeight="1">
      <c r="B53" s="293" t="s">
        <v>461</v>
      </c>
      <c r="C53" s="293" t="s">
        <v>412</v>
      </c>
      <c r="D53" s="294">
        <v>1202</v>
      </c>
      <c r="F53" s="293" t="s">
        <v>711</v>
      </c>
      <c r="G53" s="293" t="s">
        <v>412</v>
      </c>
      <c r="H53" s="294">
        <v>1136.0999999999999</v>
      </c>
      <c r="J53" s="293" t="s">
        <v>958</v>
      </c>
      <c r="K53" s="293" t="s">
        <v>412</v>
      </c>
      <c r="L53" s="294">
        <v>1065.8</v>
      </c>
      <c r="N53" s="293" t="s">
        <v>1203</v>
      </c>
      <c r="O53" s="293" t="s">
        <v>412</v>
      </c>
      <c r="P53" s="294">
        <v>1132.5</v>
      </c>
    </row>
    <row r="54" spans="2:16" ht="12" customHeight="1">
      <c r="B54" s="293" t="s">
        <v>462</v>
      </c>
      <c r="C54" s="293" t="s">
        <v>412</v>
      </c>
      <c r="D54" s="294">
        <v>1222.2</v>
      </c>
      <c r="F54" s="293" t="s">
        <v>712</v>
      </c>
      <c r="G54" s="293" t="s">
        <v>412</v>
      </c>
      <c r="H54" s="294">
        <v>1133.7</v>
      </c>
      <c r="J54" s="293" t="s">
        <v>959</v>
      </c>
      <c r="K54" s="293" t="s">
        <v>412</v>
      </c>
      <c r="L54" s="294">
        <v>1065.8</v>
      </c>
      <c r="N54" s="293" t="s">
        <v>1204</v>
      </c>
      <c r="O54" s="293" t="s">
        <v>412</v>
      </c>
      <c r="P54" s="294">
        <v>1131.8</v>
      </c>
    </row>
    <row r="55" spans="2:16" ht="12" customHeight="1">
      <c r="B55" s="293" t="s">
        <v>463</v>
      </c>
      <c r="C55" s="293" t="s">
        <v>412</v>
      </c>
      <c r="D55" s="294">
        <v>1219.5999999999999</v>
      </c>
      <c r="F55" s="293" t="s">
        <v>713</v>
      </c>
      <c r="G55" s="293" t="s">
        <v>412</v>
      </c>
      <c r="H55" s="294">
        <v>1130.9000000000001</v>
      </c>
      <c r="J55" s="293" t="s">
        <v>960</v>
      </c>
      <c r="K55" s="293" t="s">
        <v>412</v>
      </c>
      <c r="L55" s="294">
        <v>1069.5999999999999</v>
      </c>
      <c r="N55" s="293" t="s">
        <v>1205</v>
      </c>
      <c r="O55" s="293" t="s">
        <v>412</v>
      </c>
      <c r="P55" s="294">
        <v>1123.7</v>
      </c>
    </row>
    <row r="56" spans="2:16" ht="12" customHeight="1">
      <c r="B56" s="293" t="s">
        <v>464</v>
      </c>
      <c r="C56" s="293" t="s">
        <v>412</v>
      </c>
      <c r="D56" s="294">
        <v>1241.2</v>
      </c>
      <c r="F56" s="293" t="s">
        <v>714</v>
      </c>
      <c r="G56" s="293" t="s">
        <v>412</v>
      </c>
      <c r="H56" s="294">
        <v>1130.4000000000001</v>
      </c>
      <c r="J56" s="293" t="s">
        <v>961</v>
      </c>
      <c r="K56" s="293" t="s">
        <v>412</v>
      </c>
      <c r="L56" s="294">
        <v>1071.2</v>
      </c>
      <c r="N56" s="293" t="s">
        <v>1206</v>
      </c>
      <c r="O56" s="293" t="s">
        <v>412</v>
      </c>
      <c r="P56" s="294">
        <v>1131.8</v>
      </c>
    </row>
    <row r="57" spans="2:16" ht="12" customHeight="1">
      <c r="B57" s="293" t="s">
        <v>465</v>
      </c>
      <c r="C57" s="293" t="s">
        <v>412</v>
      </c>
      <c r="D57" s="294">
        <v>1237.8</v>
      </c>
      <c r="F57" s="293" t="s">
        <v>715</v>
      </c>
      <c r="G57" s="293" t="s">
        <v>412</v>
      </c>
      <c r="H57" s="294">
        <v>1125.8</v>
      </c>
      <c r="J57" s="293" t="s">
        <v>962</v>
      </c>
      <c r="K57" s="293" t="s">
        <v>412</v>
      </c>
      <c r="L57" s="294">
        <v>1071</v>
      </c>
      <c r="N57" s="293" t="s">
        <v>1207</v>
      </c>
      <c r="O57" s="293" t="s">
        <v>412</v>
      </c>
      <c r="P57" s="294">
        <v>1131.3</v>
      </c>
    </row>
    <row r="58" spans="2:16" ht="12" customHeight="1">
      <c r="B58" s="293" t="s">
        <v>466</v>
      </c>
      <c r="C58" s="293" t="s">
        <v>412</v>
      </c>
      <c r="D58" s="294">
        <v>1280.0999999999999</v>
      </c>
      <c r="F58" s="293" t="s">
        <v>716</v>
      </c>
      <c r="G58" s="293" t="s">
        <v>412</v>
      </c>
      <c r="H58" s="294">
        <v>1129.8</v>
      </c>
      <c r="J58" s="293" t="s">
        <v>963</v>
      </c>
      <c r="K58" s="293" t="s">
        <v>412</v>
      </c>
      <c r="L58" s="294">
        <v>1071.4000000000001</v>
      </c>
      <c r="N58" s="293" t="s">
        <v>1208</v>
      </c>
      <c r="O58" s="293" t="s">
        <v>412</v>
      </c>
      <c r="P58" s="294">
        <v>1128</v>
      </c>
    </row>
    <row r="59" spans="2:16" ht="12" customHeight="1">
      <c r="B59" s="293" t="s">
        <v>467</v>
      </c>
      <c r="C59" s="293" t="s">
        <v>412</v>
      </c>
      <c r="D59" s="294">
        <v>1254.0999999999999</v>
      </c>
      <c r="F59" s="293" t="s">
        <v>717</v>
      </c>
      <c r="G59" s="293" t="s">
        <v>412</v>
      </c>
      <c r="H59" s="294">
        <v>1134.9000000000001</v>
      </c>
      <c r="J59" s="293" t="s">
        <v>964</v>
      </c>
      <c r="K59" s="293" t="s">
        <v>412</v>
      </c>
      <c r="L59" s="294">
        <v>1069.2</v>
      </c>
      <c r="N59" s="293" t="s">
        <v>1209</v>
      </c>
      <c r="O59" s="293" t="s">
        <v>412</v>
      </c>
      <c r="P59" s="294">
        <v>1133.5</v>
      </c>
    </row>
    <row r="60" spans="2:16" ht="12" customHeight="1">
      <c r="B60" s="293" t="s">
        <v>468</v>
      </c>
      <c r="C60" s="293" t="s">
        <v>412</v>
      </c>
      <c r="D60" s="294">
        <v>1274.5999999999999</v>
      </c>
      <c r="F60" s="293" t="s">
        <v>718</v>
      </c>
      <c r="G60" s="293" t="s">
        <v>412</v>
      </c>
      <c r="H60" s="294">
        <v>1132.0999999999999</v>
      </c>
      <c r="J60" s="293" t="s">
        <v>965</v>
      </c>
      <c r="K60" s="293" t="s">
        <v>412</v>
      </c>
      <c r="L60" s="294">
        <v>1080.8</v>
      </c>
      <c r="N60" s="293" t="s">
        <v>1210</v>
      </c>
      <c r="O60" s="293" t="s">
        <v>412</v>
      </c>
      <c r="P60" s="294">
        <v>1134.2</v>
      </c>
    </row>
    <row r="61" spans="2:16" ht="12" customHeight="1">
      <c r="B61" s="293" t="s">
        <v>469</v>
      </c>
      <c r="C61" s="293" t="s">
        <v>412</v>
      </c>
      <c r="D61" s="294">
        <v>1256</v>
      </c>
      <c r="F61" s="293" t="s">
        <v>719</v>
      </c>
      <c r="G61" s="293" t="s">
        <v>412</v>
      </c>
      <c r="H61" s="294">
        <v>1134.7</v>
      </c>
      <c r="J61" s="293" t="s">
        <v>966</v>
      </c>
      <c r="K61" s="293" t="s">
        <v>412</v>
      </c>
      <c r="L61" s="294">
        <v>1081.2</v>
      </c>
      <c r="N61" s="293" t="s">
        <v>1211</v>
      </c>
      <c r="O61" s="293" t="s">
        <v>412</v>
      </c>
      <c r="P61" s="294">
        <v>1131.8</v>
      </c>
    </row>
    <row r="62" spans="2:16" ht="12" customHeight="1">
      <c r="B62" s="293" t="s">
        <v>470</v>
      </c>
      <c r="C62" s="293" t="s">
        <v>412</v>
      </c>
      <c r="D62" s="294">
        <v>1230.7</v>
      </c>
      <c r="F62" s="293" t="s">
        <v>720</v>
      </c>
      <c r="G62" s="293" t="s">
        <v>412</v>
      </c>
      <c r="H62" s="294">
        <v>1137.8</v>
      </c>
      <c r="J62" s="293" t="s">
        <v>967</v>
      </c>
      <c r="K62" s="293" t="s">
        <v>412</v>
      </c>
      <c r="L62" s="294">
        <v>1072.2</v>
      </c>
      <c r="N62" s="293" t="s">
        <v>1212</v>
      </c>
      <c r="O62" s="293" t="s">
        <v>412</v>
      </c>
      <c r="P62" s="294">
        <v>1131.7</v>
      </c>
    </row>
    <row r="63" spans="2:16" ht="12" customHeight="1">
      <c r="B63" s="293" t="s">
        <v>471</v>
      </c>
      <c r="C63" s="293" t="s">
        <v>412</v>
      </c>
      <c r="D63" s="294">
        <v>1227.9000000000001</v>
      </c>
      <c r="F63" s="293" t="s">
        <v>721</v>
      </c>
      <c r="G63" s="293" t="s">
        <v>412</v>
      </c>
      <c r="H63" s="294">
        <v>1136.0999999999999</v>
      </c>
      <c r="J63" s="293" t="s">
        <v>968</v>
      </c>
      <c r="K63" s="293" t="s">
        <v>412</v>
      </c>
      <c r="L63" s="294">
        <v>1069.4000000000001</v>
      </c>
      <c r="N63" s="293" t="s">
        <v>1213</v>
      </c>
      <c r="O63" s="293" t="s">
        <v>412</v>
      </c>
      <c r="P63" s="294">
        <v>1133.5</v>
      </c>
    </row>
    <row r="64" spans="2:16" ht="12" customHeight="1">
      <c r="B64" s="293" t="s">
        <v>472</v>
      </c>
      <c r="C64" s="293" t="s">
        <v>412</v>
      </c>
      <c r="D64" s="294">
        <v>1212.4000000000001</v>
      </c>
      <c r="F64" s="293" t="s">
        <v>722</v>
      </c>
      <c r="G64" s="293" t="s">
        <v>412</v>
      </c>
      <c r="H64" s="294">
        <v>1132.7</v>
      </c>
      <c r="J64" s="293" t="s">
        <v>969</v>
      </c>
      <c r="K64" s="293" t="s">
        <v>412</v>
      </c>
      <c r="L64" s="294">
        <v>1066.5</v>
      </c>
      <c r="N64" s="293" t="s">
        <v>1214</v>
      </c>
      <c r="O64" s="293" t="s">
        <v>412</v>
      </c>
      <c r="P64" s="294">
        <v>1132.5999999999999</v>
      </c>
    </row>
    <row r="65" spans="2:16" ht="12" customHeight="1">
      <c r="B65" s="293" t="s">
        <v>473</v>
      </c>
      <c r="C65" s="293" t="s">
        <v>412</v>
      </c>
      <c r="D65" s="294">
        <v>1222.5999999999999</v>
      </c>
      <c r="F65" s="293" t="s">
        <v>723</v>
      </c>
      <c r="G65" s="293" t="s">
        <v>412</v>
      </c>
      <c r="H65" s="294">
        <v>1135.8</v>
      </c>
      <c r="J65" s="293" t="s">
        <v>970</v>
      </c>
      <c r="K65" s="293" t="s">
        <v>412</v>
      </c>
      <c r="L65" s="294">
        <v>1064.4000000000001</v>
      </c>
      <c r="N65" s="293" t="s">
        <v>1215</v>
      </c>
      <c r="O65" s="293" t="s">
        <v>412</v>
      </c>
      <c r="P65" s="294">
        <v>1129.3</v>
      </c>
    </row>
    <row r="66" spans="2:16" ht="12" customHeight="1">
      <c r="B66" s="293" t="s">
        <v>474</v>
      </c>
      <c r="C66" s="293" t="s">
        <v>412</v>
      </c>
      <c r="D66" s="294">
        <v>1220</v>
      </c>
      <c r="F66" s="293" t="s">
        <v>724</v>
      </c>
      <c r="G66" s="293" t="s">
        <v>412</v>
      </c>
      <c r="H66" s="294">
        <v>1134.9000000000001</v>
      </c>
      <c r="J66" s="293" t="s">
        <v>971</v>
      </c>
      <c r="K66" s="293" t="s">
        <v>412</v>
      </c>
      <c r="L66" s="294">
        <v>1058.0999999999999</v>
      </c>
      <c r="N66" s="293" t="s">
        <v>1216</v>
      </c>
      <c r="O66" s="293" t="s">
        <v>412</v>
      </c>
      <c r="P66" s="294">
        <v>1127.5</v>
      </c>
    </row>
    <row r="67" spans="2:16" ht="12" customHeight="1">
      <c r="B67" s="293" t="s">
        <v>475</v>
      </c>
      <c r="C67" s="293" t="s">
        <v>412</v>
      </c>
      <c r="D67" s="294">
        <v>1222.2</v>
      </c>
      <c r="F67" s="293" t="s">
        <v>725</v>
      </c>
      <c r="G67" s="293" t="s">
        <v>412</v>
      </c>
      <c r="H67" s="294">
        <v>1135.5</v>
      </c>
      <c r="J67" s="293" t="s">
        <v>972</v>
      </c>
      <c r="K67" s="293" t="s">
        <v>412</v>
      </c>
      <c r="L67" s="294">
        <v>1057.8</v>
      </c>
      <c r="N67" s="293" t="s">
        <v>1217</v>
      </c>
      <c r="O67" s="293" t="s">
        <v>412</v>
      </c>
      <c r="P67" s="294">
        <v>1127.8</v>
      </c>
    </row>
    <row r="68" spans="2:16" ht="12" customHeight="1">
      <c r="B68" s="293" t="s">
        <v>476</v>
      </c>
      <c r="C68" s="293" t="s">
        <v>412</v>
      </c>
      <c r="D68" s="294">
        <v>1237.5999999999999</v>
      </c>
      <c r="F68" s="293" t="s">
        <v>726</v>
      </c>
      <c r="G68" s="293" t="s">
        <v>412</v>
      </c>
      <c r="H68" s="294">
        <v>1136.4000000000001</v>
      </c>
      <c r="J68" s="293" t="s">
        <v>973</v>
      </c>
      <c r="K68" s="293" t="s">
        <v>412</v>
      </c>
      <c r="L68" s="294">
        <v>1057.5999999999999</v>
      </c>
      <c r="N68" s="293" t="s">
        <v>1218</v>
      </c>
      <c r="O68" s="293" t="s">
        <v>412</v>
      </c>
      <c r="P68" s="294">
        <v>1122.9000000000001</v>
      </c>
    </row>
    <row r="69" spans="2:16" ht="12" customHeight="1">
      <c r="B69" s="293" t="s">
        <v>477</v>
      </c>
      <c r="C69" s="293" t="s">
        <v>412</v>
      </c>
      <c r="D69" s="294">
        <v>1229.8</v>
      </c>
      <c r="F69" s="293" t="s">
        <v>727</v>
      </c>
      <c r="G69" s="293" t="s">
        <v>412</v>
      </c>
      <c r="H69" s="294">
        <v>1141.4000000000001</v>
      </c>
      <c r="J69" s="293" t="s">
        <v>974</v>
      </c>
      <c r="K69" s="293" t="s">
        <v>412</v>
      </c>
      <c r="L69" s="294">
        <v>1059.5</v>
      </c>
      <c r="N69" s="293" t="s">
        <v>1219</v>
      </c>
      <c r="O69" s="293" t="s">
        <v>412</v>
      </c>
      <c r="P69" s="294">
        <v>1116.4000000000001</v>
      </c>
    </row>
    <row r="70" spans="2:16" ht="12" customHeight="1">
      <c r="B70" s="293" t="s">
        <v>478</v>
      </c>
      <c r="C70" s="293" t="s">
        <v>412</v>
      </c>
      <c r="D70" s="294">
        <v>1233.4000000000001</v>
      </c>
      <c r="F70" s="293" t="s">
        <v>728</v>
      </c>
      <c r="G70" s="293" t="s">
        <v>412</v>
      </c>
      <c r="H70" s="294">
        <v>1142.8</v>
      </c>
      <c r="J70" s="293" t="s">
        <v>975</v>
      </c>
      <c r="K70" s="293" t="s">
        <v>412</v>
      </c>
      <c r="L70" s="294">
        <v>1066</v>
      </c>
      <c r="N70" s="293" t="s">
        <v>1220</v>
      </c>
      <c r="O70" s="293" t="s">
        <v>412</v>
      </c>
      <c r="P70" s="294">
        <v>1118.5</v>
      </c>
    </row>
    <row r="71" spans="2:16" ht="12" customHeight="1">
      <c r="B71" s="293" t="s">
        <v>479</v>
      </c>
      <c r="C71" s="293" t="s">
        <v>412</v>
      </c>
      <c r="D71" s="294">
        <v>1222.4000000000001</v>
      </c>
      <c r="F71" s="293" t="s">
        <v>729</v>
      </c>
      <c r="G71" s="293" t="s">
        <v>412</v>
      </c>
      <c r="H71" s="294">
        <v>1141.2</v>
      </c>
      <c r="J71" s="293" t="s">
        <v>976</v>
      </c>
      <c r="K71" s="293" t="s">
        <v>412</v>
      </c>
      <c r="L71" s="294">
        <v>1067.5</v>
      </c>
      <c r="N71" s="293" t="s">
        <v>1221</v>
      </c>
      <c r="O71" s="293" t="s">
        <v>412</v>
      </c>
      <c r="P71" s="294">
        <v>1117.2</v>
      </c>
    </row>
    <row r="72" spans="2:16" ht="12" customHeight="1">
      <c r="B72" s="293" t="s">
        <v>480</v>
      </c>
      <c r="C72" s="293" t="s">
        <v>412</v>
      </c>
      <c r="D72" s="294">
        <v>1219.7</v>
      </c>
      <c r="F72" s="293" t="s">
        <v>730</v>
      </c>
      <c r="G72" s="293" t="s">
        <v>412</v>
      </c>
      <c r="H72" s="294">
        <v>1139.2</v>
      </c>
      <c r="J72" s="293" t="s">
        <v>977</v>
      </c>
      <c r="K72" s="293" t="s">
        <v>412</v>
      </c>
      <c r="L72" s="294">
        <v>1067.7</v>
      </c>
      <c r="N72" s="293" t="s">
        <v>1222</v>
      </c>
      <c r="O72" s="293" t="s">
        <v>412</v>
      </c>
      <c r="P72" s="294">
        <v>1124.3</v>
      </c>
    </row>
    <row r="73" spans="2:16" ht="12" customHeight="1">
      <c r="B73" s="293" t="s">
        <v>481</v>
      </c>
      <c r="C73" s="293" t="s">
        <v>412</v>
      </c>
      <c r="D73" s="294">
        <v>1216.4000000000001</v>
      </c>
      <c r="F73" s="293" t="s">
        <v>731</v>
      </c>
      <c r="G73" s="293" t="s">
        <v>412</v>
      </c>
      <c r="H73" s="294">
        <v>1140.5</v>
      </c>
      <c r="J73" s="293" t="s">
        <v>978</v>
      </c>
      <c r="K73" s="293" t="s">
        <v>412</v>
      </c>
      <c r="L73" s="294">
        <v>1066.4000000000001</v>
      </c>
      <c r="N73" s="293" t="s">
        <v>1223</v>
      </c>
      <c r="O73" s="293" t="s">
        <v>412</v>
      </c>
      <c r="P73" s="294">
        <v>1126.0999999999999</v>
      </c>
    </row>
    <row r="74" spans="2:16" ht="12" customHeight="1">
      <c r="B74" s="293" t="s">
        <v>482</v>
      </c>
      <c r="C74" s="293" t="s">
        <v>412</v>
      </c>
      <c r="D74" s="294">
        <v>1212.3</v>
      </c>
      <c r="F74" s="293" t="s">
        <v>732</v>
      </c>
      <c r="G74" s="293" t="s">
        <v>412</v>
      </c>
      <c r="H74" s="294">
        <v>1133.9000000000001</v>
      </c>
      <c r="J74" s="293" t="s">
        <v>979</v>
      </c>
      <c r="K74" s="293" t="s">
        <v>412</v>
      </c>
      <c r="L74" s="294">
        <v>1068.7</v>
      </c>
      <c r="N74" s="293" t="s">
        <v>1224</v>
      </c>
      <c r="O74" s="293" t="s">
        <v>412</v>
      </c>
      <c r="P74" s="294">
        <v>1119.9000000000001</v>
      </c>
    </row>
    <row r="75" spans="2:16" ht="12" customHeight="1">
      <c r="B75" s="293" t="s">
        <v>483</v>
      </c>
      <c r="C75" s="293" t="s">
        <v>412</v>
      </c>
      <c r="D75" s="294">
        <v>1218.7</v>
      </c>
      <c r="F75" s="293" t="s">
        <v>733</v>
      </c>
      <c r="G75" s="293" t="s">
        <v>412</v>
      </c>
      <c r="H75" s="294">
        <v>1135.7</v>
      </c>
      <c r="J75" s="293" t="s">
        <v>980</v>
      </c>
      <c r="K75" s="293" t="s">
        <v>412</v>
      </c>
      <c r="L75" s="294">
        <v>1070</v>
      </c>
      <c r="N75" s="293" t="s">
        <v>1225</v>
      </c>
      <c r="O75" s="293" t="s">
        <v>412</v>
      </c>
      <c r="P75" s="294">
        <v>1117.5999999999999</v>
      </c>
    </row>
    <row r="76" spans="2:16" ht="12" customHeight="1">
      <c r="B76" s="293" t="s">
        <v>484</v>
      </c>
      <c r="C76" s="293" t="s">
        <v>412</v>
      </c>
      <c r="D76" s="294">
        <v>1216.7</v>
      </c>
      <c r="F76" s="293" t="s">
        <v>734</v>
      </c>
      <c r="G76" s="293" t="s">
        <v>412</v>
      </c>
      <c r="H76" s="294">
        <v>1136.0999999999999</v>
      </c>
      <c r="J76" s="293" t="s">
        <v>981</v>
      </c>
      <c r="K76" s="293" t="s">
        <v>412</v>
      </c>
      <c r="L76" s="294">
        <v>1073.0999999999999</v>
      </c>
      <c r="N76" s="293" t="s">
        <v>1226</v>
      </c>
      <c r="O76" s="293" t="s">
        <v>412</v>
      </c>
      <c r="P76" s="294">
        <v>1117.9000000000001</v>
      </c>
    </row>
    <row r="77" spans="2:16" ht="12" customHeight="1">
      <c r="B77" s="293" t="s">
        <v>485</v>
      </c>
      <c r="C77" s="293" t="s">
        <v>412</v>
      </c>
      <c r="D77" s="294">
        <v>1227.5</v>
      </c>
      <c r="F77" s="293" t="s">
        <v>735</v>
      </c>
      <c r="G77" s="293" t="s">
        <v>412</v>
      </c>
      <c r="H77" s="294">
        <v>1136.2</v>
      </c>
      <c r="J77" s="293" t="s">
        <v>982</v>
      </c>
      <c r="K77" s="293" t="s">
        <v>412</v>
      </c>
      <c r="L77" s="294">
        <v>1068.4000000000001</v>
      </c>
      <c r="N77" s="293" t="s">
        <v>1227</v>
      </c>
      <c r="O77" s="293" t="s">
        <v>412</v>
      </c>
      <c r="P77" s="294">
        <v>1118.2</v>
      </c>
    </row>
    <row r="78" spans="2:16" ht="12" customHeight="1">
      <c r="B78" s="293" t="s">
        <v>486</v>
      </c>
      <c r="C78" s="293" t="s">
        <v>412</v>
      </c>
      <c r="D78" s="294">
        <v>1219.3</v>
      </c>
      <c r="F78" s="293" t="s">
        <v>736</v>
      </c>
      <c r="G78" s="293" t="s">
        <v>412</v>
      </c>
      <c r="H78" s="294">
        <v>1137.0999999999999</v>
      </c>
      <c r="J78" s="293" t="s">
        <v>983</v>
      </c>
      <c r="K78" s="293" t="s">
        <v>412</v>
      </c>
      <c r="L78" s="294">
        <v>1066.5</v>
      </c>
      <c r="N78" s="293" t="s">
        <v>1228</v>
      </c>
      <c r="O78" s="293" t="s">
        <v>412</v>
      </c>
      <c r="P78" s="294">
        <v>1113.4000000000001</v>
      </c>
    </row>
    <row r="79" spans="2:16" ht="12" customHeight="1">
      <c r="B79" s="293" t="s">
        <v>487</v>
      </c>
      <c r="C79" s="293" t="s">
        <v>412</v>
      </c>
      <c r="D79" s="294">
        <v>1218.7</v>
      </c>
      <c r="F79" s="293" t="s">
        <v>737</v>
      </c>
      <c r="G79" s="293" t="s">
        <v>412</v>
      </c>
      <c r="H79" s="294">
        <v>1140.8</v>
      </c>
      <c r="J79" s="293" t="s">
        <v>984</v>
      </c>
      <c r="K79" s="293" t="s">
        <v>412</v>
      </c>
      <c r="L79" s="294">
        <v>1063.5</v>
      </c>
      <c r="N79" s="293" t="s">
        <v>1229</v>
      </c>
      <c r="O79" s="293" t="s">
        <v>412</v>
      </c>
      <c r="P79" s="294">
        <v>1117.4000000000001</v>
      </c>
    </row>
    <row r="80" spans="2:16" ht="12" customHeight="1">
      <c r="B80" s="293" t="s">
        <v>488</v>
      </c>
      <c r="C80" s="293" t="s">
        <v>412</v>
      </c>
      <c r="D80" s="294">
        <v>1231.3</v>
      </c>
      <c r="F80" s="293" t="s">
        <v>738</v>
      </c>
      <c r="G80" s="293" t="s">
        <v>412</v>
      </c>
      <c r="H80" s="294">
        <v>1141.0999999999999</v>
      </c>
      <c r="J80" s="293" t="s">
        <v>985</v>
      </c>
      <c r="K80" s="293" t="s">
        <v>412</v>
      </c>
      <c r="L80" s="294">
        <v>1067.3</v>
      </c>
      <c r="N80" s="293" t="s">
        <v>1230</v>
      </c>
      <c r="O80" s="293" t="s">
        <v>412</v>
      </c>
      <c r="P80" s="294">
        <v>1116.3</v>
      </c>
    </row>
    <row r="81" spans="2:16" ht="12" customHeight="1">
      <c r="B81" s="293" t="s">
        <v>489</v>
      </c>
      <c r="C81" s="293" t="s">
        <v>412</v>
      </c>
      <c r="D81" s="294">
        <v>1235.2</v>
      </c>
      <c r="F81" s="293" t="s">
        <v>739</v>
      </c>
      <c r="G81" s="293" t="s">
        <v>412</v>
      </c>
      <c r="H81" s="294">
        <v>1146.9000000000001</v>
      </c>
      <c r="J81" s="293" t="s">
        <v>986</v>
      </c>
      <c r="K81" s="293" t="s">
        <v>412</v>
      </c>
      <c r="L81" s="294">
        <v>1068.9000000000001</v>
      </c>
      <c r="N81" s="293" t="s">
        <v>1231</v>
      </c>
      <c r="O81" s="293" t="s">
        <v>412</v>
      </c>
      <c r="P81" s="294">
        <v>1118.9000000000001</v>
      </c>
    </row>
    <row r="82" spans="2:16" ht="12" customHeight="1">
      <c r="B82" s="293" t="s">
        <v>490</v>
      </c>
      <c r="C82" s="293" t="s">
        <v>412</v>
      </c>
      <c r="D82" s="294">
        <v>1232</v>
      </c>
      <c r="F82" s="293" t="s">
        <v>740</v>
      </c>
      <c r="G82" s="293" t="s">
        <v>412</v>
      </c>
      <c r="H82" s="294">
        <v>1158.7</v>
      </c>
      <c r="J82" s="293" t="s">
        <v>987</v>
      </c>
      <c r="K82" s="293" t="s">
        <v>412</v>
      </c>
      <c r="L82" s="294">
        <v>1076.9000000000001</v>
      </c>
      <c r="N82" s="293" t="s">
        <v>1232</v>
      </c>
      <c r="O82" s="293" t="s">
        <v>412</v>
      </c>
      <c r="P82" s="294">
        <v>1114</v>
      </c>
    </row>
    <row r="83" spans="2:16" ht="12" customHeight="1">
      <c r="B83" s="293" t="s">
        <v>491</v>
      </c>
      <c r="C83" s="293" t="s">
        <v>412</v>
      </c>
      <c r="D83" s="294">
        <v>1235.8</v>
      </c>
      <c r="F83" s="293" t="s">
        <v>741</v>
      </c>
      <c r="G83" s="293" t="s">
        <v>412</v>
      </c>
      <c r="H83" s="294">
        <v>1159.7</v>
      </c>
      <c r="J83" s="293" t="s">
        <v>988</v>
      </c>
      <c r="K83" s="293" t="s">
        <v>412</v>
      </c>
      <c r="L83" s="294">
        <v>1078.7</v>
      </c>
      <c r="N83" s="293" t="s">
        <v>1233</v>
      </c>
      <c r="O83" s="293" t="s">
        <v>412</v>
      </c>
      <c r="P83" s="294">
        <v>1110.8</v>
      </c>
    </row>
    <row r="84" spans="2:16" ht="12" customHeight="1">
      <c r="B84" s="293" t="s">
        <v>492</v>
      </c>
      <c r="C84" s="293" t="s">
        <v>412</v>
      </c>
      <c r="D84" s="294">
        <v>1230.3</v>
      </c>
      <c r="F84" s="293" t="s">
        <v>742</v>
      </c>
      <c r="G84" s="293" t="s">
        <v>412</v>
      </c>
      <c r="H84" s="294">
        <v>1158.2</v>
      </c>
      <c r="J84" s="293" t="s">
        <v>989</v>
      </c>
      <c r="K84" s="293" t="s">
        <v>412</v>
      </c>
      <c r="L84" s="294">
        <v>1079.7</v>
      </c>
      <c r="N84" s="293" t="s">
        <v>1234</v>
      </c>
      <c r="O84" s="293" t="s">
        <v>412</v>
      </c>
      <c r="P84" s="294">
        <v>1112.5</v>
      </c>
    </row>
    <row r="85" spans="2:16" ht="12" customHeight="1">
      <c r="B85" s="293" t="s">
        <v>493</v>
      </c>
      <c r="C85" s="293" t="s">
        <v>412</v>
      </c>
      <c r="D85" s="294">
        <v>1225.2</v>
      </c>
      <c r="F85" s="293" t="s">
        <v>743</v>
      </c>
      <c r="G85" s="293" t="s">
        <v>412</v>
      </c>
      <c r="H85" s="294">
        <v>1163.8</v>
      </c>
      <c r="J85" s="293" t="s">
        <v>990</v>
      </c>
      <c r="K85" s="293" t="s">
        <v>412</v>
      </c>
      <c r="L85" s="294">
        <v>1076.2</v>
      </c>
      <c r="N85" s="293" t="s">
        <v>1235</v>
      </c>
      <c r="O85" s="293" t="s">
        <v>412</v>
      </c>
      <c r="P85" s="294">
        <v>1107.4000000000001</v>
      </c>
    </row>
    <row r="86" spans="2:16" ht="12" customHeight="1">
      <c r="B86" s="293" t="s">
        <v>494</v>
      </c>
      <c r="C86" s="293" t="s">
        <v>412</v>
      </c>
      <c r="D86" s="294">
        <v>1218.5</v>
      </c>
      <c r="F86" s="293" t="s">
        <v>744</v>
      </c>
      <c r="G86" s="293" t="s">
        <v>412</v>
      </c>
      <c r="H86" s="294">
        <v>1163.9000000000001</v>
      </c>
      <c r="J86" s="293" t="s">
        <v>991</v>
      </c>
      <c r="K86" s="293" t="s">
        <v>412</v>
      </c>
      <c r="L86" s="294">
        <v>1067.5</v>
      </c>
      <c r="N86" s="293" t="s">
        <v>1236</v>
      </c>
      <c r="O86" s="293" t="s">
        <v>412</v>
      </c>
      <c r="P86" s="294">
        <v>1109.5999999999999</v>
      </c>
    </row>
    <row r="87" spans="2:16" ht="12" customHeight="1">
      <c r="B87" s="293" t="s">
        <v>495</v>
      </c>
      <c r="C87" s="293" t="s">
        <v>412</v>
      </c>
      <c r="D87" s="294">
        <v>1227.8</v>
      </c>
      <c r="F87" s="293" t="s">
        <v>745</v>
      </c>
      <c r="G87" s="293" t="s">
        <v>412</v>
      </c>
      <c r="H87" s="294">
        <v>1169.4000000000001</v>
      </c>
      <c r="J87" s="293" t="s">
        <v>992</v>
      </c>
      <c r="K87" s="293" t="s">
        <v>412</v>
      </c>
      <c r="L87" s="294">
        <v>1074.9000000000001</v>
      </c>
      <c r="N87" s="293" t="s">
        <v>1237</v>
      </c>
      <c r="O87" s="293" t="s">
        <v>412</v>
      </c>
      <c r="P87" s="294">
        <v>1119.3</v>
      </c>
    </row>
    <row r="88" spans="2:16" ht="12" customHeight="1">
      <c r="B88" s="293" t="s">
        <v>496</v>
      </c>
      <c r="C88" s="293" t="s">
        <v>412</v>
      </c>
      <c r="D88" s="294">
        <v>1223.3</v>
      </c>
      <c r="F88" s="293" t="s">
        <v>746</v>
      </c>
      <c r="G88" s="293" t="s">
        <v>412</v>
      </c>
      <c r="H88" s="294">
        <v>1169.8</v>
      </c>
      <c r="J88" s="293" t="s">
        <v>993</v>
      </c>
      <c r="K88" s="293" t="s">
        <v>412</v>
      </c>
      <c r="L88" s="294">
        <v>1076.5</v>
      </c>
      <c r="N88" s="293" t="s">
        <v>1238</v>
      </c>
      <c r="O88" s="293" t="s">
        <v>412</v>
      </c>
      <c r="P88" s="294">
        <v>1121.0999999999999</v>
      </c>
    </row>
    <row r="89" spans="2:16" ht="12" customHeight="1">
      <c r="B89" s="293" t="s">
        <v>497</v>
      </c>
      <c r="C89" s="293" t="s">
        <v>412</v>
      </c>
      <c r="D89" s="294">
        <v>1226.5</v>
      </c>
      <c r="F89" s="293" t="s">
        <v>747</v>
      </c>
      <c r="G89" s="293" t="s">
        <v>412</v>
      </c>
      <c r="H89" s="294">
        <v>1169.9000000000001</v>
      </c>
      <c r="J89" s="293" t="s">
        <v>994</v>
      </c>
      <c r="K89" s="293" t="s">
        <v>412</v>
      </c>
      <c r="L89" s="294">
        <v>1076.7</v>
      </c>
      <c r="N89" s="293" t="s">
        <v>1239</v>
      </c>
      <c r="O89" s="293" t="s">
        <v>412</v>
      </c>
      <c r="P89" s="294">
        <v>1125.5</v>
      </c>
    </row>
    <row r="90" spans="2:16" ht="12" customHeight="1">
      <c r="B90" s="293" t="s">
        <v>498</v>
      </c>
      <c r="C90" s="293" t="s">
        <v>412</v>
      </c>
      <c r="D90" s="294">
        <v>1217.7</v>
      </c>
      <c r="F90" s="293" t="s">
        <v>748</v>
      </c>
      <c r="G90" s="293" t="s">
        <v>412</v>
      </c>
      <c r="H90" s="294">
        <v>1175.8</v>
      </c>
      <c r="J90" s="293" t="s">
        <v>995</v>
      </c>
      <c r="K90" s="293" t="s">
        <v>412</v>
      </c>
      <c r="L90" s="294">
        <v>1078.2</v>
      </c>
      <c r="N90" s="293" t="s">
        <v>1240</v>
      </c>
      <c r="O90" s="293" t="s">
        <v>412</v>
      </c>
      <c r="P90" s="294">
        <v>1121.4000000000001</v>
      </c>
    </row>
    <row r="91" spans="2:16" ht="12" customHeight="1">
      <c r="B91" s="293" t="s">
        <v>499</v>
      </c>
      <c r="C91" s="293" t="s">
        <v>412</v>
      </c>
      <c r="D91" s="294">
        <v>1217.8</v>
      </c>
      <c r="F91" s="293" t="s">
        <v>749</v>
      </c>
      <c r="G91" s="293" t="s">
        <v>412</v>
      </c>
      <c r="H91" s="294">
        <v>1178.0999999999999</v>
      </c>
      <c r="J91" s="293" t="s">
        <v>996</v>
      </c>
      <c r="K91" s="293" t="s">
        <v>412</v>
      </c>
      <c r="L91" s="294">
        <v>1081.3</v>
      </c>
      <c r="N91" s="293" t="s">
        <v>1241</v>
      </c>
      <c r="O91" s="293" t="s">
        <v>412</v>
      </c>
      <c r="P91" s="294">
        <v>1114.5999999999999</v>
      </c>
    </row>
    <row r="92" spans="2:16" ht="12" customHeight="1">
      <c r="B92" s="293" t="s">
        <v>500</v>
      </c>
      <c r="C92" s="293" t="s">
        <v>412</v>
      </c>
      <c r="D92" s="294">
        <v>1226.7</v>
      </c>
      <c r="F92" s="293" t="s">
        <v>750</v>
      </c>
      <c r="G92" s="293" t="s">
        <v>412</v>
      </c>
      <c r="H92" s="294">
        <v>1183.0999999999999</v>
      </c>
      <c r="J92" s="293" t="s">
        <v>997</v>
      </c>
      <c r="K92" s="293" t="s">
        <v>412</v>
      </c>
      <c r="L92" s="294">
        <v>1075.3</v>
      </c>
      <c r="N92" s="293" t="s">
        <v>1242</v>
      </c>
      <c r="O92" s="293" t="s">
        <v>412</v>
      </c>
      <c r="P92" s="294">
        <v>1119.0999999999999</v>
      </c>
    </row>
    <row r="93" spans="2:16" ht="12" customHeight="1">
      <c r="B93" s="293" t="s">
        <v>501</v>
      </c>
      <c r="C93" s="293" t="s">
        <v>412</v>
      </c>
      <c r="D93" s="294">
        <v>1226.3</v>
      </c>
      <c r="F93" s="293" t="s">
        <v>751</v>
      </c>
      <c r="G93" s="293" t="s">
        <v>412</v>
      </c>
      <c r="H93" s="294">
        <v>1187</v>
      </c>
      <c r="J93" s="293" t="s">
        <v>998</v>
      </c>
      <c r="K93" s="293" t="s">
        <v>412</v>
      </c>
      <c r="L93" s="294">
        <v>1068.5999999999999</v>
      </c>
      <c r="N93" s="293" t="s">
        <v>1243</v>
      </c>
      <c r="O93" s="293" t="s">
        <v>412</v>
      </c>
      <c r="P93" s="294">
        <v>1123.5</v>
      </c>
    </row>
    <row r="94" spans="2:16" ht="12" customHeight="1">
      <c r="B94" s="293" t="s">
        <v>502</v>
      </c>
      <c r="C94" s="293" t="s">
        <v>412</v>
      </c>
      <c r="D94" s="294">
        <v>1227.9000000000001</v>
      </c>
      <c r="F94" s="293" t="s">
        <v>752</v>
      </c>
      <c r="G94" s="293" t="s">
        <v>412</v>
      </c>
      <c r="H94" s="294">
        <v>1189.4000000000001</v>
      </c>
      <c r="J94" s="293" t="s">
        <v>999</v>
      </c>
      <c r="K94" s="293" t="s">
        <v>412</v>
      </c>
      <c r="L94" s="294">
        <v>1066.5999999999999</v>
      </c>
      <c r="N94" s="293" t="s">
        <v>1244</v>
      </c>
      <c r="O94" s="293" t="s">
        <v>412</v>
      </c>
      <c r="P94" s="294">
        <v>1130.5999999999999</v>
      </c>
    </row>
    <row r="95" spans="2:16" ht="12" customHeight="1">
      <c r="B95" s="293" t="s">
        <v>503</v>
      </c>
      <c r="C95" s="293" t="s">
        <v>412</v>
      </c>
      <c r="D95" s="294">
        <v>1229.3</v>
      </c>
      <c r="F95" s="293" t="s">
        <v>753</v>
      </c>
      <c r="G95" s="293" t="s">
        <v>412</v>
      </c>
      <c r="H95" s="294">
        <v>1189.8</v>
      </c>
      <c r="J95" s="293" t="s">
        <v>1000</v>
      </c>
      <c r="K95" s="293" t="s">
        <v>412</v>
      </c>
      <c r="L95" s="294">
        <v>1072.5999999999999</v>
      </c>
      <c r="N95" s="293" t="s">
        <v>1245</v>
      </c>
      <c r="O95" s="293" t="s">
        <v>412</v>
      </c>
      <c r="P95" s="294">
        <v>1129.5</v>
      </c>
    </row>
    <row r="96" spans="2:16" ht="12" customHeight="1">
      <c r="B96" s="293" t="s">
        <v>504</v>
      </c>
      <c r="C96" s="293" t="s">
        <v>412</v>
      </c>
      <c r="D96" s="294">
        <v>1231.5999999999999</v>
      </c>
      <c r="F96" s="293" t="s">
        <v>754</v>
      </c>
      <c r="G96" s="293" t="s">
        <v>412</v>
      </c>
      <c r="H96" s="294">
        <v>1192.7</v>
      </c>
      <c r="J96" s="293" t="s">
        <v>1001</v>
      </c>
      <c r="K96" s="293" t="s">
        <v>412</v>
      </c>
      <c r="L96" s="294">
        <v>1078.7</v>
      </c>
      <c r="N96" s="293" t="s">
        <v>1246</v>
      </c>
      <c r="O96" s="293" t="s">
        <v>412</v>
      </c>
      <c r="P96" s="294">
        <v>1133</v>
      </c>
    </row>
    <row r="97" spans="2:16" ht="12" customHeight="1">
      <c r="B97" s="293" t="s">
        <v>505</v>
      </c>
      <c r="C97" s="293" t="s">
        <v>412</v>
      </c>
      <c r="D97" s="294">
        <v>1224.5</v>
      </c>
      <c r="F97" s="293" t="s">
        <v>755</v>
      </c>
      <c r="G97" s="293" t="s">
        <v>412</v>
      </c>
      <c r="H97" s="294">
        <v>1192.9000000000001</v>
      </c>
      <c r="J97" s="293" t="s">
        <v>1002</v>
      </c>
      <c r="K97" s="293" t="s">
        <v>412</v>
      </c>
      <c r="L97" s="294">
        <v>1079.3</v>
      </c>
      <c r="N97" s="293" t="s">
        <v>1247</v>
      </c>
      <c r="O97" s="293" t="s">
        <v>412</v>
      </c>
      <c r="P97" s="294">
        <v>1133.0999999999999</v>
      </c>
    </row>
    <row r="98" spans="2:16" ht="12" customHeight="1">
      <c r="B98" s="293" t="s">
        <v>506</v>
      </c>
      <c r="C98" s="293" t="s">
        <v>412</v>
      </c>
      <c r="D98" s="294">
        <v>1227.8</v>
      </c>
      <c r="F98" s="293" t="s">
        <v>756</v>
      </c>
      <c r="G98" s="293" t="s">
        <v>412</v>
      </c>
      <c r="H98" s="294">
        <v>1193.3</v>
      </c>
      <c r="J98" s="293" t="s">
        <v>1003</v>
      </c>
      <c r="K98" s="293" t="s">
        <v>412</v>
      </c>
      <c r="L98" s="294">
        <v>1080</v>
      </c>
      <c r="N98" s="293" t="s">
        <v>1248</v>
      </c>
      <c r="O98" s="293" t="s">
        <v>412</v>
      </c>
      <c r="P98" s="294">
        <v>1132.2</v>
      </c>
    </row>
    <row r="99" spans="2:16" ht="12" customHeight="1">
      <c r="B99" s="293" t="s">
        <v>507</v>
      </c>
      <c r="C99" s="293" t="s">
        <v>412</v>
      </c>
      <c r="D99" s="294">
        <v>1230.7</v>
      </c>
      <c r="F99" s="293" t="s">
        <v>757</v>
      </c>
      <c r="G99" s="293" t="s">
        <v>412</v>
      </c>
      <c r="H99" s="294">
        <v>1194.5999999999999</v>
      </c>
      <c r="J99" s="293" t="s">
        <v>1004</v>
      </c>
      <c r="K99" s="293" t="s">
        <v>412</v>
      </c>
      <c r="L99" s="294">
        <v>1083.8</v>
      </c>
      <c r="N99" s="293" t="s">
        <v>1249</v>
      </c>
      <c r="O99" s="293" t="s">
        <v>412</v>
      </c>
      <c r="P99" s="294">
        <v>1126.9000000000001</v>
      </c>
    </row>
    <row r="100" spans="2:16" ht="12" customHeight="1">
      <c r="B100" s="293" t="s">
        <v>508</v>
      </c>
      <c r="C100" s="293" t="s">
        <v>412</v>
      </c>
      <c r="D100" s="294">
        <v>1236.2</v>
      </c>
      <c r="F100" s="293" t="s">
        <v>758</v>
      </c>
      <c r="G100" s="293" t="s">
        <v>412</v>
      </c>
      <c r="H100" s="294">
        <v>1191.2</v>
      </c>
      <c r="J100" s="293" t="s">
        <v>1005</v>
      </c>
      <c r="K100" s="293" t="s">
        <v>412</v>
      </c>
      <c r="L100" s="294">
        <v>1078.8</v>
      </c>
      <c r="N100" s="293" t="s">
        <v>1250</v>
      </c>
      <c r="O100" s="293" t="s">
        <v>412</v>
      </c>
      <c r="P100" s="294">
        <v>1127.5999999999999</v>
      </c>
    </row>
    <row r="101" spans="2:16" ht="12" customHeight="1">
      <c r="B101" s="293" t="s">
        <v>509</v>
      </c>
      <c r="C101" s="293" t="s">
        <v>412</v>
      </c>
      <c r="D101" s="294">
        <v>1242</v>
      </c>
      <c r="F101" s="293" t="s">
        <v>759</v>
      </c>
      <c r="G101" s="293" t="s">
        <v>412</v>
      </c>
      <c r="H101" s="294">
        <v>1189.5999999999999</v>
      </c>
      <c r="J101" s="293" t="s">
        <v>1006</v>
      </c>
      <c r="K101" s="293" t="s">
        <v>412</v>
      </c>
      <c r="L101" s="294">
        <v>1079.7</v>
      </c>
      <c r="N101" s="293" t="s">
        <v>1251</v>
      </c>
      <c r="O101" s="293" t="s">
        <v>412</v>
      </c>
      <c r="P101" s="294">
        <v>1122.8</v>
      </c>
    </row>
    <row r="102" spans="2:16" ht="12" customHeight="1">
      <c r="B102" s="293" t="s">
        <v>510</v>
      </c>
      <c r="C102" s="293" t="s">
        <v>412</v>
      </c>
      <c r="D102" s="294">
        <v>1237.0999999999999</v>
      </c>
      <c r="F102" s="293" t="s">
        <v>760</v>
      </c>
      <c r="G102" s="293" t="s">
        <v>412</v>
      </c>
      <c r="H102" s="294">
        <v>1184.0999999999999</v>
      </c>
      <c r="J102" s="293" t="s">
        <v>1007</v>
      </c>
      <c r="K102" s="293" t="s">
        <v>412</v>
      </c>
      <c r="L102" s="294">
        <v>1078.7</v>
      </c>
      <c r="N102" s="293" t="s">
        <v>1252</v>
      </c>
      <c r="O102" s="293" t="s">
        <v>412</v>
      </c>
      <c r="P102" s="294">
        <v>1118.5999999999999</v>
      </c>
    </row>
    <row r="103" spans="2:16" ht="12" customHeight="1">
      <c r="B103" s="293" t="s">
        <v>511</v>
      </c>
      <c r="C103" s="293" t="s">
        <v>412</v>
      </c>
      <c r="D103" s="294">
        <v>1233.7</v>
      </c>
      <c r="F103" s="293" t="s">
        <v>761</v>
      </c>
      <c r="G103" s="293" t="s">
        <v>412</v>
      </c>
      <c r="H103" s="294">
        <v>1187.5999999999999</v>
      </c>
      <c r="J103" s="293" t="s">
        <v>1008</v>
      </c>
      <c r="K103" s="293" t="s">
        <v>412</v>
      </c>
      <c r="L103" s="294">
        <v>1073.2</v>
      </c>
      <c r="N103" s="293" t="s">
        <v>1253</v>
      </c>
      <c r="O103" s="293" t="s">
        <v>412</v>
      </c>
      <c r="P103" s="294">
        <v>1118</v>
      </c>
    </row>
    <row r="104" spans="2:16" ht="12" customHeight="1">
      <c r="B104" s="293" t="s">
        <v>512</v>
      </c>
      <c r="C104" s="293" t="s">
        <v>412</v>
      </c>
      <c r="D104" s="294">
        <v>1239.4000000000001</v>
      </c>
      <c r="F104" s="293" t="s">
        <v>762</v>
      </c>
      <c r="G104" s="293" t="s">
        <v>412</v>
      </c>
      <c r="H104" s="294">
        <v>1193.0999999999999</v>
      </c>
      <c r="J104" s="293" t="s">
        <v>1009</v>
      </c>
      <c r="K104" s="293" t="s">
        <v>412</v>
      </c>
      <c r="L104" s="294">
        <v>1076.0999999999999</v>
      </c>
      <c r="N104" s="293" t="s">
        <v>1254</v>
      </c>
      <c r="O104" s="293" t="s">
        <v>412</v>
      </c>
      <c r="P104" s="294">
        <v>1116</v>
      </c>
    </row>
    <row r="105" spans="2:16" ht="12" customHeight="1">
      <c r="B105" s="293" t="s">
        <v>513</v>
      </c>
      <c r="C105" s="293" t="s">
        <v>412</v>
      </c>
      <c r="D105" s="294">
        <v>1237.5999999999999</v>
      </c>
      <c r="F105" s="293" t="s">
        <v>763</v>
      </c>
      <c r="G105" s="293" t="s">
        <v>412</v>
      </c>
      <c r="H105" s="294">
        <v>1190</v>
      </c>
      <c r="J105" s="293" t="s">
        <v>1010</v>
      </c>
      <c r="K105" s="293" t="s">
        <v>412</v>
      </c>
      <c r="L105" s="294">
        <v>1081.3</v>
      </c>
      <c r="N105" s="293" t="s">
        <v>1255</v>
      </c>
      <c r="O105" s="293" t="s">
        <v>412</v>
      </c>
      <c r="P105" s="294">
        <v>1113.5</v>
      </c>
    </row>
    <row r="106" spans="2:16" ht="12" customHeight="1">
      <c r="B106" s="293" t="s">
        <v>514</v>
      </c>
      <c r="C106" s="293" t="s">
        <v>412</v>
      </c>
      <c r="D106" s="294">
        <v>1227.8</v>
      </c>
      <c r="F106" s="293" t="s">
        <v>764</v>
      </c>
      <c r="G106" s="293" t="s">
        <v>412</v>
      </c>
      <c r="H106" s="294">
        <v>1191.2</v>
      </c>
      <c r="J106" s="293" t="s">
        <v>1011</v>
      </c>
      <c r="K106" s="293" t="s">
        <v>412</v>
      </c>
      <c r="L106" s="294">
        <v>1076.4000000000001</v>
      </c>
      <c r="N106" s="293" t="s">
        <v>1256</v>
      </c>
      <c r="O106" s="293" t="s">
        <v>412</v>
      </c>
      <c r="P106" s="294">
        <v>1107</v>
      </c>
    </row>
    <row r="107" spans="2:16" ht="12" customHeight="1">
      <c r="B107" s="293" t="s">
        <v>515</v>
      </c>
      <c r="C107" s="293" t="s">
        <v>412</v>
      </c>
      <c r="D107" s="294">
        <v>1224.0999999999999</v>
      </c>
      <c r="F107" s="293" t="s">
        <v>765</v>
      </c>
      <c r="G107" s="293" t="s">
        <v>412</v>
      </c>
      <c r="H107" s="294">
        <v>1183</v>
      </c>
      <c r="J107" s="293" t="s">
        <v>1012</v>
      </c>
      <c r="K107" s="293" t="s">
        <v>412</v>
      </c>
      <c r="L107" s="294">
        <v>1076</v>
      </c>
      <c r="N107" s="293" t="s">
        <v>1257</v>
      </c>
      <c r="O107" s="293" t="s">
        <v>412</v>
      </c>
      <c r="P107" s="294">
        <v>1110.3</v>
      </c>
    </row>
    <row r="108" spans="2:16" ht="12" customHeight="1">
      <c r="B108" s="293" t="s">
        <v>516</v>
      </c>
      <c r="C108" s="293" t="s">
        <v>412</v>
      </c>
      <c r="D108" s="294">
        <v>1216.9000000000001</v>
      </c>
      <c r="F108" s="293" t="s">
        <v>766</v>
      </c>
      <c r="G108" s="293" t="s">
        <v>412</v>
      </c>
      <c r="H108" s="294">
        <v>1181.5</v>
      </c>
      <c r="J108" s="293" t="s">
        <v>1013</v>
      </c>
      <c r="K108" s="293" t="s">
        <v>412</v>
      </c>
      <c r="L108" s="294">
        <v>1070.9000000000001</v>
      </c>
      <c r="N108" s="293" t="s">
        <v>1258</v>
      </c>
      <c r="O108" s="293" t="s">
        <v>412</v>
      </c>
      <c r="P108" s="294">
        <v>1111.8</v>
      </c>
    </row>
    <row r="109" spans="2:16" ht="12" customHeight="1">
      <c r="B109" s="293" t="s">
        <v>517</v>
      </c>
      <c r="C109" s="293" t="s">
        <v>412</v>
      </c>
      <c r="D109" s="294">
        <v>1217.4000000000001</v>
      </c>
      <c r="F109" s="293" t="s">
        <v>767</v>
      </c>
      <c r="G109" s="293" t="s">
        <v>412</v>
      </c>
      <c r="H109" s="294">
        <v>1179.8</v>
      </c>
      <c r="J109" s="293" t="s">
        <v>1014</v>
      </c>
      <c r="K109" s="293" t="s">
        <v>412</v>
      </c>
      <c r="L109" s="294">
        <v>1069.5999999999999</v>
      </c>
      <c r="N109" s="293" t="s">
        <v>1259</v>
      </c>
      <c r="O109" s="293" t="s">
        <v>412</v>
      </c>
      <c r="P109" s="294">
        <v>1117.5</v>
      </c>
    </row>
    <row r="110" spans="2:16" ht="12" customHeight="1">
      <c r="B110" s="293" t="s">
        <v>518</v>
      </c>
      <c r="C110" s="293" t="s">
        <v>412</v>
      </c>
      <c r="D110" s="294">
        <v>1213.0999999999999</v>
      </c>
      <c r="F110" s="293" t="s">
        <v>768</v>
      </c>
      <c r="G110" s="293" t="s">
        <v>412</v>
      </c>
      <c r="H110" s="294">
        <v>1179.5</v>
      </c>
      <c r="J110" s="293" t="s">
        <v>1015</v>
      </c>
      <c r="K110" s="293" t="s">
        <v>412</v>
      </c>
      <c r="L110" s="294">
        <v>1067.9000000000001</v>
      </c>
      <c r="N110" s="293" t="s">
        <v>1260</v>
      </c>
      <c r="O110" s="293" t="s">
        <v>412</v>
      </c>
      <c r="P110" s="294">
        <v>1111.2</v>
      </c>
    </row>
    <row r="111" spans="2:16" ht="12" customHeight="1">
      <c r="B111" s="293" t="s">
        <v>519</v>
      </c>
      <c r="C111" s="293" t="s">
        <v>412</v>
      </c>
      <c r="D111" s="294">
        <v>1204.2</v>
      </c>
      <c r="F111" s="293" t="s">
        <v>769</v>
      </c>
      <c r="G111" s="293" t="s">
        <v>412</v>
      </c>
      <c r="H111" s="294">
        <v>1184</v>
      </c>
      <c r="J111" s="293" t="s">
        <v>1016</v>
      </c>
      <c r="K111" s="293" t="s">
        <v>412</v>
      </c>
      <c r="L111" s="294">
        <v>1073.2</v>
      </c>
      <c r="N111" s="293" t="s">
        <v>1261</v>
      </c>
      <c r="O111" s="293" t="s">
        <v>412</v>
      </c>
      <c r="P111" s="294">
        <v>1113.7</v>
      </c>
    </row>
    <row r="112" spans="2:16" ht="12" customHeight="1">
      <c r="B112" s="293" t="s">
        <v>520</v>
      </c>
      <c r="C112" s="293" t="s">
        <v>412</v>
      </c>
      <c r="D112" s="294">
        <v>1197.7</v>
      </c>
      <c r="F112" s="293" t="s">
        <v>770</v>
      </c>
      <c r="G112" s="293" t="s">
        <v>412</v>
      </c>
      <c r="H112" s="294">
        <v>1181.7</v>
      </c>
      <c r="J112" s="293" t="s">
        <v>1017</v>
      </c>
      <c r="K112" s="293" t="s">
        <v>412</v>
      </c>
      <c r="L112" s="294">
        <v>1073.5</v>
      </c>
      <c r="N112" s="293" t="s">
        <v>1262</v>
      </c>
      <c r="O112" s="293" t="s">
        <v>412</v>
      </c>
      <c r="P112" s="294">
        <v>1115.8</v>
      </c>
    </row>
    <row r="113" spans="2:16" ht="12" customHeight="1">
      <c r="B113" s="293" t="s">
        <v>521</v>
      </c>
      <c r="C113" s="293" t="s">
        <v>412</v>
      </c>
      <c r="D113" s="294">
        <v>1194.4000000000001</v>
      </c>
      <c r="F113" s="293" t="s">
        <v>771</v>
      </c>
      <c r="G113" s="293" t="s">
        <v>412</v>
      </c>
      <c r="H113" s="294">
        <v>1181.7</v>
      </c>
      <c r="J113" s="293" t="s">
        <v>1018</v>
      </c>
      <c r="K113" s="293" t="s">
        <v>412</v>
      </c>
      <c r="L113" s="294">
        <v>1075.0999999999999</v>
      </c>
      <c r="N113" s="293" t="s">
        <v>1263</v>
      </c>
      <c r="O113" s="293" t="s">
        <v>412</v>
      </c>
      <c r="P113" s="294">
        <v>1115</v>
      </c>
    </row>
    <row r="114" spans="2:16" ht="12" customHeight="1">
      <c r="B114" s="293" t="s">
        <v>522</v>
      </c>
      <c r="C114" s="293" t="s">
        <v>412</v>
      </c>
      <c r="D114" s="294">
        <v>1192.8</v>
      </c>
      <c r="F114" s="293" t="s">
        <v>772</v>
      </c>
      <c r="G114" s="293" t="s">
        <v>412</v>
      </c>
      <c r="H114" s="294">
        <v>1184.7</v>
      </c>
      <c r="J114" s="293" t="s">
        <v>1019</v>
      </c>
      <c r="K114" s="293" t="s">
        <v>412</v>
      </c>
      <c r="L114" s="294">
        <v>1082.5</v>
      </c>
      <c r="N114" s="293" t="s">
        <v>1264</v>
      </c>
      <c r="O114" s="293" t="s">
        <v>412</v>
      </c>
      <c r="P114" s="294">
        <v>1111.2</v>
      </c>
    </row>
    <row r="115" spans="2:16" ht="12" customHeight="1">
      <c r="B115" s="293" t="s">
        <v>523</v>
      </c>
      <c r="C115" s="293" t="s">
        <v>412</v>
      </c>
      <c r="D115" s="294">
        <v>1206.5999999999999</v>
      </c>
      <c r="F115" s="293" t="s">
        <v>773</v>
      </c>
      <c r="G115" s="293" t="s">
        <v>412</v>
      </c>
      <c r="H115" s="294">
        <v>1184</v>
      </c>
      <c r="J115" s="293" t="s">
        <v>1020</v>
      </c>
      <c r="K115" s="293" t="s">
        <v>412</v>
      </c>
      <c r="L115" s="294">
        <v>1091.4000000000001</v>
      </c>
      <c r="N115" s="293" t="s">
        <v>1265</v>
      </c>
      <c r="O115" s="293" t="s">
        <v>412</v>
      </c>
      <c r="P115" s="294">
        <v>1116.4000000000001</v>
      </c>
    </row>
    <row r="116" spans="2:16" ht="12" customHeight="1">
      <c r="B116" s="293" t="s">
        <v>524</v>
      </c>
      <c r="C116" s="293" t="s">
        <v>412</v>
      </c>
      <c r="D116" s="294">
        <v>1210.8</v>
      </c>
      <c r="F116" s="293" t="s">
        <v>774</v>
      </c>
      <c r="G116" s="293" t="s">
        <v>412</v>
      </c>
      <c r="H116" s="294">
        <v>1186.3</v>
      </c>
      <c r="J116" s="293" t="s">
        <v>1021</v>
      </c>
      <c r="K116" s="293" t="s">
        <v>412</v>
      </c>
      <c r="L116" s="294">
        <v>1104.4000000000001</v>
      </c>
      <c r="N116" s="293" t="s">
        <v>1266</v>
      </c>
      <c r="O116" s="293" t="s">
        <v>412</v>
      </c>
      <c r="P116" s="294">
        <v>1117.8</v>
      </c>
    </row>
    <row r="117" spans="2:16" ht="12" customHeight="1">
      <c r="B117" s="293" t="s">
        <v>525</v>
      </c>
      <c r="C117" s="293" t="s">
        <v>412</v>
      </c>
      <c r="D117" s="294">
        <v>1206.5999999999999</v>
      </c>
      <c r="F117" s="293" t="s">
        <v>775</v>
      </c>
      <c r="G117" s="293" t="s">
        <v>412</v>
      </c>
      <c r="H117" s="294">
        <v>1185</v>
      </c>
      <c r="J117" s="293" t="s">
        <v>1022</v>
      </c>
      <c r="K117" s="293" t="s">
        <v>412</v>
      </c>
      <c r="L117" s="294">
        <v>1105.5</v>
      </c>
      <c r="N117" s="293" t="s">
        <v>1267</v>
      </c>
      <c r="O117" s="293" t="s">
        <v>412</v>
      </c>
      <c r="P117" s="294">
        <v>1117.7</v>
      </c>
    </row>
    <row r="118" spans="2:16" ht="12" customHeight="1">
      <c r="B118" s="293" t="s">
        <v>526</v>
      </c>
      <c r="C118" s="293" t="s">
        <v>412</v>
      </c>
      <c r="D118" s="294">
        <v>1214.5</v>
      </c>
      <c r="F118" s="293" t="s">
        <v>776</v>
      </c>
      <c r="G118" s="293" t="s">
        <v>412</v>
      </c>
      <c r="H118" s="294">
        <v>1177</v>
      </c>
      <c r="J118" s="293" t="s">
        <v>1023</v>
      </c>
      <c r="K118" s="293" t="s">
        <v>412</v>
      </c>
      <c r="L118" s="294">
        <v>1108</v>
      </c>
      <c r="N118" s="293" t="s">
        <v>1268</v>
      </c>
      <c r="O118" s="293" t="s">
        <v>412</v>
      </c>
      <c r="P118" s="294">
        <v>1129.5</v>
      </c>
    </row>
    <row r="119" spans="2:16" ht="12" customHeight="1">
      <c r="B119" s="293" t="s">
        <v>527</v>
      </c>
      <c r="C119" s="293" t="s">
        <v>412</v>
      </c>
      <c r="D119" s="294">
        <v>1213</v>
      </c>
      <c r="F119" s="293" t="s">
        <v>777</v>
      </c>
      <c r="G119" s="293" t="s">
        <v>412</v>
      </c>
      <c r="H119" s="294">
        <v>1167.7</v>
      </c>
      <c r="J119" s="293" t="s">
        <v>1024</v>
      </c>
      <c r="K119" s="293" t="s">
        <v>412</v>
      </c>
      <c r="L119" s="294">
        <v>1109</v>
      </c>
      <c r="N119" s="293" t="s">
        <v>1269</v>
      </c>
      <c r="O119" s="293" t="s">
        <v>412</v>
      </c>
      <c r="P119" s="294">
        <v>1132.2</v>
      </c>
    </row>
    <row r="120" spans="2:16" ht="12" customHeight="1">
      <c r="B120" s="293" t="s">
        <v>528</v>
      </c>
      <c r="C120" s="293" t="s">
        <v>412</v>
      </c>
      <c r="D120" s="294">
        <v>1212</v>
      </c>
      <c r="F120" s="293" t="s">
        <v>778</v>
      </c>
      <c r="G120" s="293" t="s">
        <v>412</v>
      </c>
      <c r="H120" s="294">
        <v>1162</v>
      </c>
      <c r="J120" s="293" t="s">
        <v>1025</v>
      </c>
      <c r="K120" s="293" t="s">
        <v>412</v>
      </c>
      <c r="L120" s="294">
        <v>1108.9000000000001</v>
      </c>
      <c r="N120" s="293" t="s">
        <v>1270</v>
      </c>
      <c r="O120" s="293" t="s">
        <v>412</v>
      </c>
      <c r="P120" s="294">
        <v>1135.4000000000001</v>
      </c>
    </row>
    <row r="121" spans="2:16" ht="12" customHeight="1">
      <c r="B121" s="293" t="s">
        <v>529</v>
      </c>
      <c r="C121" s="293" t="s">
        <v>412</v>
      </c>
      <c r="D121" s="294">
        <v>1213.2</v>
      </c>
      <c r="F121" s="293" t="s">
        <v>779</v>
      </c>
      <c r="G121" s="293" t="s">
        <v>412</v>
      </c>
      <c r="H121" s="294">
        <v>1157.9000000000001</v>
      </c>
      <c r="J121" s="293" t="s">
        <v>1026</v>
      </c>
      <c r="K121" s="293" t="s">
        <v>412</v>
      </c>
      <c r="L121" s="294">
        <v>1116.0999999999999</v>
      </c>
      <c r="N121" s="293" t="s">
        <v>1271</v>
      </c>
      <c r="O121" s="293" t="s">
        <v>412</v>
      </c>
      <c r="P121" s="294">
        <v>1132.4000000000001</v>
      </c>
    </row>
    <row r="122" spans="2:16" ht="12" customHeight="1">
      <c r="B122" s="293" t="s">
        <v>530</v>
      </c>
      <c r="C122" s="293" t="s">
        <v>412</v>
      </c>
      <c r="D122" s="294">
        <v>1210.0999999999999</v>
      </c>
      <c r="F122" s="293" t="s">
        <v>780</v>
      </c>
      <c r="G122" s="293" t="s">
        <v>412</v>
      </c>
      <c r="H122" s="294">
        <v>1154.7</v>
      </c>
      <c r="J122" s="293" t="s">
        <v>1027</v>
      </c>
      <c r="K122" s="293" t="s">
        <v>412</v>
      </c>
      <c r="L122" s="294">
        <v>1115.2</v>
      </c>
      <c r="N122" s="293" t="s">
        <v>1272</v>
      </c>
      <c r="O122" s="293" t="s">
        <v>412</v>
      </c>
      <c r="P122" s="294">
        <v>1135.5999999999999</v>
      </c>
    </row>
    <row r="123" spans="2:16" ht="12" customHeight="1">
      <c r="B123" s="293" t="s">
        <v>531</v>
      </c>
      <c r="C123" s="293" t="s">
        <v>412</v>
      </c>
      <c r="D123" s="294">
        <v>1202.9000000000001</v>
      </c>
      <c r="F123" s="293" t="s">
        <v>781</v>
      </c>
      <c r="G123" s="293" t="s">
        <v>412</v>
      </c>
      <c r="H123" s="294">
        <v>1158.2</v>
      </c>
      <c r="J123" s="293" t="s">
        <v>1028</v>
      </c>
      <c r="K123" s="293" t="s">
        <v>412</v>
      </c>
      <c r="L123" s="294">
        <v>1117.9000000000001</v>
      </c>
      <c r="N123" s="293" t="s">
        <v>1273</v>
      </c>
      <c r="O123" s="293" t="s">
        <v>412</v>
      </c>
      <c r="P123" s="294">
        <v>1135.8</v>
      </c>
    </row>
    <row r="124" spans="2:16" ht="12" customHeight="1">
      <c r="B124" s="293" t="s">
        <v>532</v>
      </c>
      <c r="C124" s="293" t="s">
        <v>412</v>
      </c>
      <c r="D124" s="294">
        <v>1205.2</v>
      </c>
      <c r="F124" s="293" t="s">
        <v>782</v>
      </c>
      <c r="G124" s="293" t="s">
        <v>412</v>
      </c>
      <c r="H124" s="294">
        <v>1156.8</v>
      </c>
      <c r="J124" s="293" t="s">
        <v>1029</v>
      </c>
      <c r="K124" s="293" t="s">
        <v>412</v>
      </c>
      <c r="L124" s="294">
        <v>1121.7</v>
      </c>
      <c r="N124" s="293" t="s">
        <v>1274</v>
      </c>
      <c r="O124" s="293" t="s">
        <v>412</v>
      </c>
      <c r="P124" s="294">
        <v>1128.8</v>
      </c>
    </row>
    <row r="125" spans="2:16" ht="12" customHeight="1">
      <c r="B125" s="293" t="s">
        <v>533</v>
      </c>
      <c r="C125" s="293" t="s">
        <v>412</v>
      </c>
      <c r="D125" s="294">
        <v>1198.5999999999999</v>
      </c>
      <c r="F125" s="293" t="s">
        <v>783</v>
      </c>
      <c r="G125" s="293" t="s">
        <v>412</v>
      </c>
      <c r="H125" s="294">
        <v>1156.4000000000001</v>
      </c>
      <c r="J125" s="293" t="s">
        <v>1030</v>
      </c>
      <c r="K125" s="293" t="s">
        <v>412</v>
      </c>
      <c r="L125" s="294">
        <v>1117.2</v>
      </c>
      <c r="N125" s="293" t="s">
        <v>1275</v>
      </c>
      <c r="O125" s="293" t="s">
        <v>412</v>
      </c>
      <c r="P125" s="294">
        <v>1129.9000000000001</v>
      </c>
    </row>
    <row r="126" spans="2:16" ht="12" customHeight="1">
      <c r="B126" s="293" t="s">
        <v>534</v>
      </c>
      <c r="C126" s="293" t="s">
        <v>412</v>
      </c>
      <c r="D126" s="294">
        <v>1200.7</v>
      </c>
      <c r="F126" s="293" t="s">
        <v>784</v>
      </c>
      <c r="G126" s="293" t="s">
        <v>412</v>
      </c>
      <c r="H126" s="294">
        <v>1155.4000000000001</v>
      </c>
      <c r="J126" s="293" t="s">
        <v>1031</v>
      </c>
      <c r="K126" s="293" t="s">
        <v>412</v>
      </c>
      <c r="L126" s="294">
        <v>1117.4000000000001</v>
      </c>
      <c r="N126" s="293" t="s">
        <v>1276</v>
      </c>
      <c r="O126" s="293" t="s">
        <v>412</v>
      </c>
      <c r="P126" s="294">
        <v>1130</v>
      </c>
    </row>
    <row r="127" spans="2:16" ht="12" customHeight="1">
      <c r="B127" s="293" t="s">
        <v>535</v>
      </c>
      <c r="C127" s="293" t="s">
        <v>412</v>
      </c>
      <c r="D127" s="294">
        <v>1198.5</v>
      </c>
      <c r="F127" s="293" t="s">
        <v>785</v>
      </c>
      <c r="G127" s="293" t="s">
        <v>412</v>
      </c>
      <c r="H127" s="294">
        <v>1164.8</v>
      </c>
      <c r="J127" s="293" t="s">
        <v>1032</v>
      </c>
      <c r="K127" s="293" t="s">
        <v>412</v>
      </c>
      <c r="L127" s="294">
        <v>1121.0999999999999</v>
      </c>
      <c r="N127" s="293" t="s">
        <v>6172</v>
      </c>
      <c r="O127" s="293" t="s">
        <v>412</v>
      </c>
      <c r="P127" s="294">
        <v>1129.5</v>
      </c>
    </row>
    <row r="128" spans="2:16" ht="12" customHeight="1">
      <c r="B128" s="293" t="s">
        <v>536</v>
      </c>
      <c r="C128" s="293" t="s">
        <v>412</v>
      </c>
      <c r="D128" s="294">
        <v>1201.5999999999999</v>
      </c>
      <c r="F128" s="293" t="s">
        <v>786</v>
      </c>
      <c r="G128" s="293" t="s">
        <v>412</v>
      </c>
      <c r="H128" s="294">
        <v>1170.4000000000001</v>
      </c>
      <c r="J128" s="293" t="s">
        <v>1033</v>
      </c>
      <c r="K128" s="293" t="s">
        <v>412</v>
      </c>
      <c r="L128" s="294">
        <v>1115.3</v>
      </c>
      <c r="N128" s="293" t="s">
        <v>6173</v>
      </c>
      <c r="O128" s="293" t="s">
        <v>412</v>
      </c>
      <c r="P128" s="294">
        <v>1132.2</v>
      </c>
    </row>
    <row r="129" spans="2:16" ht="12" customHeight="1">
      <c r="B129" s="293" t="s">
        <v>537</v>
      </c>
      <c r="C129" s="293" t="s">
        <v>412</v>
      </c>
      <c r="D129" s="294">
        <v>1201</v>
      </c>
      <c r="F129" s="293" t="s">
        <v>787</v>
      </c>
      <c r="G129" s="293" t="s">
        <v>412</v>
      </c>
      <c r="H129" s="294">
        <v>1169.2</v>
      </c>
      <c r="J129" s="293" t="s">
        <v>1034</v>
      </c>
      <c r="K129" s="293" t="s">
        <v>412</v>
      </c>
      <c r="L129" s="294">
        <v>1118.4000000000001</v>
      </c>
      <c r="N129" s="293" t="s">
        <v>6174</v>
      </c>
      <c r="O129" s="293" t="s">
        <v>412</v>
      </c>
      <c r="P129" s="294">
        <v>1134.5</v>
      </c>
    </row>
    <row r="130" spans="2:16" ht="12" customHeight="1">
      <c r="B130" s="293" t="s">
        <v>538</v>
      </c>
      <c r="C130" s="293" t="s">
        <v>412</v>
      </c>
      <c r="D130" s="294">
        <v>1200.4000000000001</v>
      </c>
      <c r="F130" s="293" t="s">
        <v>788</v>
      </c>
      <c r="G130" s="293" t="s">
        <v>412</v>
      </c>
      <c r="H130" s="294">
        <v>1170.4000000000001</v>
      </c>
      <c r="J130" s="293" t="s">
        <v>1035</v>
      </c>
      <c r="K130" s="293" t="s">
        <v>412</v>
      </c>
      <c r="L130" s="294">
        <v>1117.8</v>
      </c>
      <c r="N130" s="293" t="s">
        <v>6175</v>
      </c>
      <c r="O130" s="293" t="s">
        <v>412</v>
      </c>
      <c r="P130" s="294">
        <v>1130.3</v>
      </c>
    </row>
    <row r="131" spans="2:16" ht="12" customHeight="1">
      <c r="B131" s="293" t="s">
        <v>539</v>
      </c>
      <c r="C131" s="293" t="s">
        <v>412</v>
      </c>
      <c r="D131" s="294">
        <v>1196.8</v>
      </c>
      <c r="F131" s="293" t="s">
        <v>789</v>
      </c>
      <c r="G131" s="293" t="s">
        <v>412</v>
      </c>
      <c r="H131" s="294">
        <v>1178.5</v>
      </c>
      <c r="J131" s="293" t="s">
        <v>1036</v>
      </c>
      <c r="K131" s="293" t="s">
        <v>412</v>
      </c>
      <c r="L131" s="294">
        <v>1112.3</v>
      </c>
      <c r="N131" s="293" t="s">
        <v>6176</v>
      </c>
      <c r="O131" s="293" t="s">
        <v>412</v>
      </c>
      <c r="P131" s="294">
        <v>1131.8</v>
      </c>
    </row>
    <row r="132" spans="2:16" ht="12" customHeight="1">
      <c r="B132" s="293" t="s">
        <v>540</v>
      </c>
      <c r="C132" s="293" t="s">
        <v>412</v>
      </c>
      <c r="D132" s="294">
        <v>1192.9000000000001</v>
      </c>
      <c r="F132" s="293" t="s">
        <v>790</v>
      </c>
      <c r="G132" s="293" t="s">
        <v>412</v>
      </c>
      <c r="H132" s="294">
        <v>1179.9000000000001</v>
      </c>
      <c r="J132" s="293" t="s">
        <v>1037</v>
      </c>
      <c r="K132" s="293" t="s">
        <v>412</v>
      </c>
      <c r="L132" s="294">
        <v>1113.8</v>
      </c>
      <c r="N132" s="293" t="s">
        <v>6177</v>
      </c>
      <c r="O132" s="293" t="s">
        <v>412</v>
      </c>
      <c r="P132" s="294">
        <v>1137.5999999999999</v>
      </c>
    </row>
    <row r="133" spans="2:16" ht="12" customHeight="1">
      <c r="B133" s="293" t="s">
        <v>541</v>
      </c>
      <c r="C133" s="293" t="s">
        <v>412</v>
      </c>
      <c r="D133" s="294">
        <v>1195.8</v>
      </c>
      <c r="F133" s="293" t="s">
        <v>791</v>
      </c>
      <c r="G133" s="293" t="s">
        <v>412</v>
      </c>
      <c r="H133" s="294">
        <v>1181.4000000000001</v>
      </c>
      <c r="J133" s="293" t="s">
        <v>1038</v>
      </c>
      <c r="K133" s="293" t="s">
        <v>412</v>
      </c>
      <c r="L133" s="294">
        <v>1120.8</v>
      </c>
      <c r="N133" s="293" t="s">
        <v>6178</v>
      </c>
      <c r="O133" s="293" t="s">
        <v>412</v>
      </c>
      <c r="P133" s="294">
        <v>1143.4000000000001</v>
      </c>
    </row>
    <row r="134" spans="2:16" ht="12" customHeight="1">
      <c r="B134" s="293" t="s">
        <v>542</v>
      </c>
      <c r="C134" s="293" t="s">
        <v>412</v>
      </c>
      <c r="D134" s="294">
        <v>1194.5</v>
      </c>
      <c r="F134" s="293" t="s">
        <v>792</v>
      </c>
      <c r="G134" s="293" t="s">
        <v>412</v>
      </c>
      <c r="H134" s="294">
        <v>1173.8</v>
      </c>
      <c r="J134" s="293" t="s">
        <v>1039</v>
      </c>
      <c r="K134" s="293" t="s">
        <v>412</v>
      </c>
      <c r="L134" s="294">
        <v>1127.8</v>
      </c>
      <c r="N134" s="293" t="s">
        <v>6179</v>
      </c>
      <c r="O134" s="293" t="s">
        <v>412</v>
      </c>
      <c r="P134" s="294">
        <v>1148.3</v>
      </c>
    </row>
    <row r="135" spans="2:16" ht="12" customHeight="1">
      <c r="B135" s="293" t="s">
        <v>543</v>
      </c>
      <c r="C135" s="293" t="s">
        <v>412</v>
      </c>
      <c r="D135" s="294">
        <v>1202.4000000000001</v>
      </c>
      <c r="F135" s="293" t="s">
        <v>793</v>
      </c>
      <c r="G135" s="293" t="s">
        <v>412</v>
      </c>
      <c r="H135" s="294">
        <v>1177.3</v>
      </c>
      <c r="J135" s="293" t="s">
        <v>1040</v>
      </c>
      <c r="K135" s="293" t="s">
        <v>412</v>
      </c>
      <c r="L135" s="294">
        <v>1123.4000000000001</v>
      </c>
      <c r="N135" s="293" t="s">
        <v>6180</v>
      </c>
      <c r="O135" s="293" t="s">
        <v>412</v>
      </c>
      <c r="P135" s="294">
        <v>1146.4000000000001</v>
      </c>
    </row>
    <row r="136" spans="2:16" ht="12" customHeight="1">
      <c r="B136" s="293" t="s">
        <v>544</v>
      </c>
      <c r="C136" s="293" t="s">
        <v>412</v>
      </c>
      <c r="D136" s="294">
        <v>1200.3</v>
      </c>
      <c r="F136" s="293" t="s">
        <v>794</v>
      </c>
      <c r="G136" s="293" t="s">
        <v>412</v>
      </c>
      <c r="H136" s="294">
        <v>1179.2</v>
      </c>
      <c r="J136" s="293" t="s">
        <v>1041</v>
      </c>
      <c r="K136" s="293" t="s">
        <v>412</v>
      </c>
      <c r="L136" s="294">
        <v>1128.7</v>
      </c>
      <c r="N136" s="293" t="s">
        <v>6181</v>
      </c>
      <c r="O136" s="293" t="s">
        <v>412</v>
      </c>
      <c r="P136" s="294">
        <v>1145.0999999999999</v>
      </c>
    </row>
    <row r="137" spans="2:16" ht="12" customHeight="1">
      <c r="B137" s="293" t="s">
        <v>545</v>
      </c>
      <c r="C137" s="293" t="s">
        <v>412</v>
      </c>
      <c r="D137" s="294">
        <v>1206.4000000000001</v>
      </c>
      <c r="F137" s="293" t="s">
        <v>795</v>
      </c>
      <c r="G137" s="293" t="s">
        <v>412</v>
      </c>
      <c r="H137" s="294">
        <v>1178.5</v>
      </c>
      <c r="J137" s="293" t="s">
        <v>1042</v>
      </c>
      <c r="K137" s="293" t="s">
        <v>412</v>
      </c>
      <c r="L137" s="294">
        <v>1125.2</v>
      </c>
      <c r="N137" s="293" t="s">
        <v>6182</v>
      </c>
      <c r="O137" s="293" t="s">
        <v>412</v>
      </c>
      <c r="P137" s="294">
        <v>1150.3</v>
      </c>
    </row>
    <row r="138" spans="2:16" ht="12" customHeight="1">
      <c r="B138" s="293" t="s">
        <v>546</v>
      </c>
      <c r="C138" s="293" t="s">
        <v>412</v>
      </c>
      <c r="D138" s="294">
        <v>1200.7</v>
      </c>
      <c r="F138" s="293" t="s">
        <v>796</v>
      </c>
      <c r="G138" s="293" t="s">
        <v>412</v>
      </c>
      <c r="H138" s="294">
        <v>1180.4000000000001</v>
      </c>
      <c r="J138" s="293" t="s">
        <v>1043</v>
      </c>
      <c r="K138" s="293" t="s">
        <v>412</v>
      </c>
      <c r="L138" s="294">
        <v>1128.9000000000001</v>
      </c>
      <c r="N138" s="293" t="s">
        <v>6183</v>
      </c>
      <c r="O138" s="293" t="s">
        <v>412</v>
      </c>
      <c r="P138" s="294">
        <v>1143.7</v>
      </c>
    </row>
    <row r="139" spans="2:16" ht="12" customHeight="1">
      <c r="B139" s="293" t="s">
        <v>547</v>
      </c>
      <c r="C139" s="293" t="s">
        <v>412</v>
      </c>
      <c r="D139" s="294">
        <v>1204.0999999999999</v>
      </c>
      <c r="F139" s="293" t="s">
        <v>797</v>
      </c>
      <c r="G139" s="293" t="s">
        <v>412</v>
      </c>
      <c r="H139" s="294">
        <v>1179.5</v>
      </c>
      <c r="J139" s="293" t="s">
        <v>1044</v>
      </c>
      <c r="K139" s="293" t="s">
        <v>412</v>
      </c>
      <c r="L139" s="294">
        <v>1131.2</v>
      </c>
      <c r="N139" s="293" t="s">
        <v>6184</v>
      </c>
      <c r="O139" s="293" t="s">
        <v>412</v>
      </c>
      <c r="P139" s="294">
        <v>1141.0999999999999</v>
      </c>
    </row>
    <row r="140" spans="2:16" ht="12" customHeight="1">
      <c r="B140" s="293" t="s">
        <v>548</v>
      </c>
      <c r="C140" s="293" t="s">
        <v>412</v>
      </c>
      <c r="D140" s="294">
        <v>1205.7</v>
      </c>
      <c r="F140" s="293" t="s">
        <v>798</v>
      </c>
      <c r="G140" s="293" t="s">
        <v>412</v>
      </c>
      <c r="H140" s="294">
        <v>1173.4000000000001</v>
      </c>
      <c r="J140" s="293" t="s">
        <v>1045</v>
      </c>
      <c r="K140" s="293" t="s">
        <v>412</v>
      </c>
      <c r="L140" s="294">
        <v>1134.8</v>
      </c>
      <c r="N140" s="293" t="s">
        <v>6185</v>
      </c>
      <c r="O140" s="293" t="s">
        <v>412</v>
      </c>
      <c r="P140" s="294">
        <v>1145.7</v>
      </c>
    </row>
    <row r="141" spans="2:16" ht="12" customHeight="1">
      <c r="B141" s="293" t="s">
        <v>549</v>
      </c>
      <c r="C141" s="293" t="s">
        <v>412</v>
      </c>
      <c r="D141" s="294">
        <v>1203.7</v>
      </c>
      <c r="F141" s="293" t="s">
        <v>799</v>
      </c>
      <c r="G141" s="293" t="s">
        <v>412</v>
      </c>
      <c r="H141" s="294">
        <v>1177.5999999999999</v>
      </c>
      <c r="J141" s="293" t="s">
        <v>1046</v>
      </c>
      <c r="K141" s="293" t="s">
        <v>412</v>
      </c>
      <c r="L141" s="294">
        <v>1128.5</v>
      </c>
      <c r="N141" s="293" t="s">
        <v>6186</v>
      </c>
      <c r="O141" s="293" t="s">
        <v>412</v>
      </c>
      <c r="P141" s="294">
        <v>1151</v>
      </c>
    </row>
    <row r="142" spans="2:16" ht="12" customHeight="1">
      <c r="B142" s="293" t="s">
        <v>550</v>
      </c>
      <c r="C142" s="293" t="s">
        <v>412</v>
      </c>
      <c r="D142" s="294">
        <v>1198.0999999999999</v>
      </c>
      <c r="F142" s="293" t="s">
        <v>800</v>
      </c>
      <c r="G142" s="293" t="s">
        <v>412</v>
      </c>
      <c r="H142" s="294">
        <v>1178.4000000000001</v>
      </c>
      <c r="J142" s="293" t="s">
        <v>1047</v>
      </c>
      <c r="K142" s="293" t="s">
        <v>412</v>
      </c>
      <c r="L142" s="294">
        <v>1135.2</v>
      </c>
      <c r="N142" s="293" t="s">
        <v>6187</v>
      </c>
      <c r="O142" s="293" t="s">
        <v>412</v>
      </c>
      <c r="P142" s="294">
        <v>1150.5999999999999</v>
      </c>
    </row>
    <row r="143" spans="2:16" ht="12" customHeight="1">
      <c r="B143" s="293" t="s">
        <v>551</v>
      </c>
      <c r="C143" s="293" t="s">
        <v>412</v>
      </c>
      <c r="D143" s="294">
        <v>1193.7</v>
      </c>
      <c r="F143" s="293" t="s">
        <v>801</v>
      </c>
      <c r="G143" s="293" t="s">
        <v>412</v>
      </c>
      <c r="H143" s="294">
        <v>1178.2</v>
      </c>
      <c r="J143" s="293" t="s">
        <v>1048</v>
      </c>
      <c r="K143" s="293" t="s">
        <v>412</v>
      </c>
      <c r="L143" s="294">
        <v>1127.5</v>
      </c>
      <c r="N143" s="293" t="s">
        <v>6188</v>
      </c>
      <c r="O143" s="293" t="s">
        <v>412</v>
      </c>
      <c r="P143" s="294">
        <v>1151</v>
      </c>
    </row>
    <row r="144" spans="2:16" ht="12" customHeight="1">
      <c r="B144" s="293" t="s">
        <v>552</v>
      </c>
      <c r="C144" s="293" t="s">
        <v>412</v>
      </c>
      <c r="D144" s="294">
        <v>1198.5</v>
      </c>
      <c r="F144" s="293" t="s">
        <v>802</v>
      </c>
      <c r="G144" s="293" t="s">
        <v>412</v>
      </c>
      <c r="H144" s="294">
        <v>1179.8</v>
      </c>
      <c r="J144" s="293" t="s">
        <v>1049</v>
      </c>
      <c r="K144" s="293" t="s">
        <v>412</v>
      </c>
      <c r="L144" s="294">
        <v>1119.5999999999999</v>
      </c>
      <c r="N144" s="293" t="s">
        <v>6189</v>
      </c>
      <c r="O144" s="293" t="s">
        <v>412</v>
      </c>
      <c r="P144" s="294">
        <v>1149.5</v>
      </c>
    </row>
    <row r="145" spans="2:16" ht="12" customHeight="1">
      <c r="B145" s="293" t="s">
        <v>553</v>
      </c>
      <c r="C145" s="293" t="s">
        <v>412</v>
      </c>
      <c r="D145" s="294">
        <v>1201.3</v>
      </c>
      <c r="F145" s="293" t="s">
        <v>803</v>
      </c>
      <c r="G145" s="293" t="s">
        <v>412</v>
      </c>
      <c r="H145" s="294">
        <v>1184.2</v>
      </c>
      <c r="J145" s="293" t="s">
        <v>1050</v>
      </c>
      <c r="K145" s="293" t="s">
        <v>412</v>
      </c>
      <c r="L145" s="294">
        <v>1120</v>
      </c>
      <c r="N145" s="293" t="s">
        <v>6190</v>
      </c>
      <c r="O145" s="293" t="s">
        <v>412</v>
      </c>
      <c r="P145" s="294">
        <v>1153.2</v>
      </c>
    </row>
    <row r="146" spans="2:16" ht="12" customHeight="1">
      <c r="B146" s="293" t="s">
        <v>554</v>
      </c>
      <c r="C146" s="293" t="s">
        <v>412</v>
      </c>
      <c r="D146" s="294">
        <v>1196.5999999999999</v>
      </c>
      <c r="F146" s="293" t="s">
        <v>804</v>
      </c>
      <c r="G146" s="293" t="s">
        <v>412</v>
      </c>
      <c r="H146" s="294">
        <v>1183.4000000000001</v>
      </c>
      <c r="J146" s="293" t="s">
        <v>1051</v>
      </c>
      <c r="K146" s="293" t="s">
        <v>412</v>
      </c>
      <c r="L146" s="294">
        <v>1116.7</v>
      </c>
      <c r="N146" s="293" t="s">
        <v>6191</v>
      </c>
      <c r="O146" s="293" t="s">
        <v>412</v>
      </c>
      <c r="P146" s="294">
        <v>1150.2</v>
      </c>
    </row>
    <row r="147" spans="2:16" ht="12" customHeight="1">
      <c r="B147" s="293" t="s">
        <v>555</v>
      </c>
      <c r="C147" s="293" t="s">
        <v>412</v>
      </c>
      <c r="D147" s="294">
        <v>1195.0999999999999</v>
      </c>
      <c r="F147" s="293" t="s">
        <v>805</v>
      </c>
      <c r="G147" s="293" t="s">
        <v>412</v>
      </c>
      <c r="H147" s="294">
        <v>1182</v>
      </c>
      <c r="J147" s="293" t="s">
        <v>1052</v>
      </c>
      <c r="K147" s="293" t="s">
        <v>412</v>
      </c>
      <c r="L147" s="294">
        <v>1117.9000000000001</v>
      </c>
      <c r="N147" s="293" t="s">
        <v>6192</v>
      </c>
      <c r="O147" s="293" t="s">
        <v>412</v>
      </c>
      <c r="P147" s="294">
        <v>1154.8</v>
      </c>
    </row>
    <row r="148" spans="2:16" ht="12" customHeight="1">
      <c r="B148" s="293" t="s">
        <v>556</v>
      </c>
      <c r="C148" s="293" t="s">
        <v>412</v>
      </c>
      <c r="D148" s="294">
        <v>1195.2</v>
      </c>
      <c r="F148" s="293" t="s">
        <v>806</v>
      </c>
      <c r="G148" s="293" t="s">
        <v>412</v>
      </c>
      <c r="H148" s="294">
        <v>1181.9000000000001</v>
      </c>
      <c r="J148" s="293" t="s">
        <v>1053</v>
      </c>
      <c r="K148" s="293" t="s">
        <v>412</v>
      </c>
      <c r="L148" s="294">
        <v>1119.3</v>
      </c>
      <c r="N148" s="293" t="s">
        <v>6193</v>
      </c>
      <c r="O148" s="293" t="s">
        <v>412</v>
      </c>
      <c r="P148" s="294">
        <v>1147.4000000000001</v>
      </c>
    </row>
    <row r="149" spans="2:16" ht="12" customHeight="1">
      <c r="B149" s="293" t="s">
        <v>557</v>
      </c>
      <c r="C149" s="293" t="s">
        <v>412</v>
      </c>
      <c r="D149" s="294">
        <v>1191.4000000000001</v>
      </c>
      <c r="F149" s="293" t="s">
        <v>807</v>
      </c>
      <c r="G149" s="293" t="s">
        <v>412</v>
      </c>
      <c r="H149" s="294">
        <v>1188.5</v>
      </c>
      <c r="J149" s="293" t="s">
        <v>1054</v>
      </c>
      <c r="K149" s="293" t="s">
        <v>412</v>
      </c>
      <c r="L149" s="294">
        <v>1122.5999999999999</v>
      </c>
      <c r="N149" s="293" t="s">
        <v>6194</v>
      </c>
      <c r="O149" s="293" t="s">
        <v>412</v>
      </c>
      <c r="P149" s="294">
        <v>1147.5</v>
      </c>
    </row>
    <row r="150" spans="2:16" ht="12" customHeight="1">
      <c r="B150" s="293" t="s">
        <v>558</v>
      </c>
      <c r="C150" s="293" t="s">
        <v>412</v>
      </c>
      <c r="D150" s="294">
        <v>1189.0999999999999</v>
      </c>
      <c r="F150" s="293" t="s">
        <v>808</v>
      </c>
      <c r="G150" s="293" t="s">
        <v>412</v>
      </c>
      <c r="H150" s="294">
        <v>1194.8</v>
      </c>
      <c r="J150" s="293" t="s">
        <v>1055</v>
      </c>
      <c r="K150" s="293" t="s">
        <v>412</v>
      </c>
      <c r="L150" s="294">
        <v>1128.0999999999999</v>
      </c>
      <c r="N150" s="293" t="s">
        <v>6195</v>
      </c>
      <c r="O150" s="293" t="s">
        <v>412</v>
      </c>
      <c r="P150" s="294">
        <v>1151.5</v>
      </c>
    </row>
    <row r="151" spans="2:16" ht="12" customHeight="1">
      <c r="B151" s="293" t="s">
        <v>559</v>
      </c>
      <c r="C151" s="293" t="s">
        <v>412</v>
      </c>
      <c r="D151" s="294">
        <v>1193.7</v>
      </c>
      <c r="F151" s="293" t="s">
        <v>809</v>
      </c>
      <c r="G151" s="293" t="s">
        <v>412</v>
      </c>
      <c r="H151" s="294">
        <v>1211.8</v>
      </c>
      <c r="J151" s="293" t="s">
        <v>1056</v>
      </c>
      <c r="K151" s="293" t="s">
        <v>412</v>
      </c>
      <c r="L151" s="294">
        <v>1123.5</v>
      </c>
      <c r="N151" s="293" t="s">
        <v>6196</v>
      </c>
      <c r="O151" s="293" t="s">
        <v>412</v>
      </c>
      <c r="P151" s="294">
        <v>1150.7</v>
      </c>
    </row>
    <row r="152" spans="2:16" ht="12" customHeight="1">
      <c r="B152" s="293" t="s">
        <v>560</v>
      </c>
      <c r="C152" s="293" t="s">
        <v>412</v>
      </c>
      <c r="D152" s="294">
        <v>1193.5</v>
      </c>
      <c r="F152" s="293" t="s">
        <v>810</v>
      </c>
      <c r="G152" s="293" t="s">
        <v>412</v>
      </c>
      <c r="H152" s="294">
        <v>1214.3</v>
      </c>
      <c r="J152" s="293" t="s">
        <v>1057</v>
      </c>
      <c r="K152" s="293" t="s">
        <v>412</v>
      </c>
      <c r="L152" s="294">
        <v>1125.7</v>
      </c>
      <c r="N152" s="293" t="s">
        <v>6197</v>
      </c>
      <c r="O152" s="293" t="s">
        <v>412</v>
      </c>
      <c r="P152" s="294">
        <v>1145.8</v>
      </c>
    </row>
    <row r="153" spans="2:16" ht="12" customHeight="1">
      <c r="B153" s="293" t="s">
        <v>561</v>
      </c>
      <c r="C153" s="293" t="s">
        <v>412</v>
      </c>
      <c r="D153" s="294">
        <v>1190.3</v>
      </c>
      <c r="F153" s="293" t="s">
        <v>811</v>
      </c>
      <c r="G153" s="293" t="s">
        <v>412</v>
      </c>
      <c r="H153" s="294">
        <v>1214.5</v>
      </c>
      <c r="J153" s="293" t="s">
        <v>1058</v>
      </c>
      <c r="K153" s="293" t="s">
        <v>412</v>
      </c>
      <c r="L153" s="294">
        <v>1118.8</v>
      </c>
      <c r="N153" s="293" t="s">
        <v>6198</v>
      </c>
      <c r="O153" s="293" t="s">
        <v>412</v>
      </c>
      <c r="P153" s="294">
        <v>1143.5</v>
      </c>
    </row>
    <row r="154" spans="2:16" ht="12" customHeight="1">
      <c r="B154" s="293" t="s">
        <v>562</v>
      </c>
      <c r="C154" s="293" t="s">
        <v>412</v>
      </c>
      <c r="D154" s="294">
        <v>1184.3</v>
      </c>
      <c r="F154" s="293" t="s">
        <v>812</v>
      </c>
      <c r="G154" s="293" t="s">
        <v>412</v>
      </c>
      <c r="H154" s="294">
        <v>1211.3</v>
      </c>
      <c r="J154" s="293" t="s">
        <v>1059</v>
      </c>
      <c r="K154" s="293" t="s">
        <v>412</v>
      </c>
      <c r="L154" s="294">
        <v>1117.9000000000001</v>
      </c>
      <c r="N154" s="293" t="s">
        <v>6199</v>
      </c>
      <c r="O154" s="293" t="s">
        <v>412</v>
      </c>
      <c r="P154" s="294">
        <v>1142.3</v>
      </c>
    </row>
    <row r="155" spans="2:16" ht="12" customHeight="1">
      <c r="B155" s="293" t="s">
        <v>563</v>
      </c>
      <c r="C155" s="293" t="s">
        <v>412</v>
      </c>
      <c r="D155" s="294">
        <v>1185.9000000000001</v>
      </c>
      <c r="F155" s="293" t="s">
        <v>813</v>
      </c>
      <c r="G155" s="293" t="s">
        <v>412</v>
      </c>
      <c r="H155" s="294">
        <v>1209.7</v>
      </c>
      <c r="J155" s="293" t="s">
        <v>1060</v>
      </c>
      <c r="K155" s="293" t="s">
        <v>412</v>
      </c>
      <c r="L155" s="294">
        <v>1126.3</v>
      </c>
      <c r="N155" s="293" t="s">
        <v>6200</v>
      </c>
      <c r="O155" s="293" t="s">
        <v>412</v>
      </c>
      <c r="P155" s="294">
        <v>1145</v>
      </c>
    </row>
    <row r="156" spans="2:16" ht="12" customHeight="1">
      <c r="B156" s="293" t="s">
        <v>564</v>
      </c>
      <c r="C156" s="293" t="s">
        <v>412</v>
      </c>
      <c r="D156" s="294">
        <v>1186.7</v>
      </c>
      <c r="F156" s="293" t="s">
        <v>814</v>
      </c>
      <c r="G156" s="293" t="s">
        <v>412</v>
      </c>
      <c r="H156" s="294">
        <v>1215.5999999999999</v>
      </c>
      <c r="J156" s="293" t="s">
        <v>1061</v>
      </c>
      <c r="K156" s="293" t="s">
        <v>412</v>
      </c>
      <c r="L156" s="294">
        <v>1133.7</v>
      </c>
      <c r="N156" s="293" t="s">
        <v>6201</v>
      </c>
      <c r="O156" s="293" t="s">
        <v>412</v>
      </c>
      <c r="P156" s="294">
        <v>1148.5</v>
      </c>
    </row>
    <row r="157" spans="2:16" ht="12" customHeight="1">
      <c r="B157" s="293" t="s">
        <v>565</v>
      </c>
      <c r="C157" s="293" t="s">
        <v>412</v>
      </c>
      <c r="D157" s="294">
        <v>1184.9000000000001</v>
      </c>
      <c r="F157" s="293" t="s">
        <v>815</v>
      </c>
      <c r="G157" s="293" t="s">
        <v>412</v>
      </c>
      <c r="H157" s="294">
        <v>1218.9000000000001</v>
      </c>
      <c r="J157" s="293" t="s">
        <v>1062</v>
      </c>
      <c r="K157" s="293" t="s">
        <v>412</v>
      </c>
      <c r="L157" s="294">
        <v>1132.0999999999999</v>
      </c>
      <c r="N157" s="293" t="s">
        <v>6202</v>
      </c>
      <c r="O157" s="293" t="s">
        <v>412</v>
      </c>
      <c r="P157" s="294">
        <v>1155</v>
      </c>
    </row>
    <row r="158" spans="2:16" ht="12" customHeight="1">
      <c r="B158" s="293" t="s">
        <v>566</v>
      </c>
      <c r="C158" s="293" t="s">
        <v>412</v>
      </c>
      <c r="D158" s="294">
        <v>1186</v>
      </c>
      <c r="F158" s="293" t="s">
        <v>816</v>
      </c>
      <c r="G158" s="293" t="s">
        <v>412</v>
      </c>
      <c r="H158" s="294">
        <v>1211.7</v>
      </c>
      <c r="J158" s="293" t="s">
        <v>1063</v>
      </c>
      <c r="K158" s="293" t="s">
        <v>412</v>
      </c>
      <c r="L158" s="294">
        <v>1130.7</v>
      </c>
      <c r="N158" s="293" t="s">
        <v>6203</v>
      </c>
      <c r="O158" s="293" t="s">
        <v>412</v>
      </c>
      <c r="P158" s="294">
        <v>1158.9000000000001</v>
      </c>
    </row>
    <row r="159" spans="2:16" ht="12" customHeight="1">
      <c r="B159" s="293" t="s">
        <v>567</v>
      </c>
      <c r="C159" s="293" t="s">
        <v>412</v>
      </c>
      <c r="D159" s="294">
        <v>1183.5999999999999</v>
      </c>
      <c r="F159" s="293" t="s">
        <v>817</v>
      </c>
      <c r="G159" s="293" t="s">
        <v>412</v>
      </c>
      <c r="H159" s="294">
        <v>1213.3</v>
      </c>
      <c r="J159" s="293" t="s">
        <v>1064</v>
      </c>
      <c r="K159" s="293" t="s">
        <v>412</v>
      </c>
      <c r="L159" s="294">
        <v>1125.5999999999999</v>
      </c>
      <c r="N159" s="293" t="s">
        <v>6204</v>
      </c>
      <c r="O159" s="293" t="s">
        <v>412</v>
      </c>
      <c r="P159" s="294">
        <v>1167.8</v>
      </c>
    </row>
    <row r="160" spans="2:16" ht="12" customHeight="1">
      <c r="B160" s="293" t="s">
        <v>568</v>
      </c>
      <c r="C160" s="293" t="s">
        <v>412</v>
      </c>
      <c r="D160" s="294">
        <v>1185.8</v>
      </c>
      <c r="F160" s="293" t="s">
        <v>818</v>
      </c>
      <c r="G160" s="293" t="s">
        <v>412</v>
      </c>
      <c r="H160" s="294">
        <v>1210.7</v>
      </c>
      <c r="J160" s="293" t="s">
        <v>1065</v>
      </c>
      <c r="K160" s="293" t="s">
        <v>412</v>
      </c>
      <c r="L160" s="294">
        <v>1121.7</v>
      </c>
      <c r="N160" s="293" t="s">
        <v>6205</v>
      </c>
      <c r="O160" s="293" t="s">
        <v>412</v>
      </c>
      <c r="P160" s="294">
        <v>1174.9000000000001</v>
      </c>
    </row>
    <row r="161" spans="2:16" ht="12" customHeight="1">
      <c r="B161" s="293" t="s">
        <v>569</v>
      </c>
      <c r="C161" s="293" t="s">
        <v>412</v>
      </c>
      <c r="D161" s="294">
        <v>1185.0999999999999</v>
      </c>
      <c r="F161" s="293" t="s">
        <v>819</v>
      </c>
      <c r="G161" s="293" t="s">
        <v>412</v>
      </c>
      <c r="H161" s="294">
        <v>1210.2</v>
      </c>
      <c r="J161" s="293" t="s">
        <v>1066</v>
      </c>
      <c r="K161" s="293" t="s">
        <v>412</v>
      </c>
      <c r="L161" s="294">
        <v>1118.2</v>
      </c>
      <c r="N161" s="293" t="s">
        <v>6206</v>
      </c>
      <c r="O161" s="293" t="s">
        <v>412</v>
      </c>
      <c r="P161" s="294">
        <v>1172.7</v>
      </c>
    </row>
    <row r="162" spans="2:16" ht="12" customHeight="1">
      <c r="B162" s="293" t="s">
        <v>570</v>
      </c>
      <c r="C162" s="293" t="s">
        <v>412</v>
      </c>
      <c r="D162" s="294">
        <v>1182.3</v>
      </c>
      <c r="F162" s="293" t="s">
        <v>820</v>
      </c>
      <c r="G162" s="293" t="s">
        <v>412</v>
      </c>
      <c r="H162" s="294">
        <v>1204</v>
      </c>
      <c r="J162" s="293" t="s">
        <v>1067</v>
      </c>
      <c r="K162" s="293" t="s">
        <v>412</v>
      </c>
      <c r="L162" s="294">
        <v>1118.7</v>
      </c>
      <c r="N162" s="293" t="s">
        <v>6207</v>
      </c>
      <c r="O162" s="293" t="s">
        <v>412</v>
      </c>
      <c r="P162" s="294">
        <v>1174.5</v>
      </c>
    </row>
    <row r="163" spans="2:16" ht="12" customHeight="1">
      <c r="B163" s="293" t="s">
        <v>571</v>
      </c>
      <c r="C163" s="293" t="s">
        <v>412</v>
      </c>
      <c r="D163" s="294">
        <v>1186.3</v>
      </c>
      <c r="F163" s="293" t="s">
        <v>821</v>
      </c>
      <c r="G163" s="293" t="s">
        <v>412</v>
      </c>
      <c r="H163" s="294">
        <v>1205.0999999999999</v>
      </c>
      <c r="J163" s="293" t="s">
        <v>1068</v>
      </c>
      <c r="K163" s="293" t="s">
        <v>412</v>
      </c>
      <c r="L163" s="294">
        <v>1120.8</v>
      </c>
      <c r="N163" s="293" t="s">
        <v>6208</v>
      </c>
      <c r="O163" s="293" t="s">
        <v>412</v>
      </c>
      <c r="P163" s="294">
        <v>1176.7</v>
      </c>
    </row>
    <row r="164" spans="2:16" ht="12" customHeight="1">
      <c r="B164" s="293" t="s">
        <v>572</v>
      </c>
      <c r="C164" s="293" t="s">
        <v>412</v>
      </c>
      <c r="D164" s="294">
        <v>1185.3</v>
      </c>
      <c r="F164" s="293" t="s">
        <v>822</v>
      </c>
      <c r="G164" s="293" t="s">
        <v>412</v>
      </c>
      <c r="H164" s="294">
        <v>1212.2</v>
      </c>
      <c r="J164" s="293" t="s">
        <v>1069</v>
      </c>
      <c r="K164" s="293" t="s">
        <v>412</v>
      </c>
      <c r="L164" s="294">
        <v>1121.8</v>
      </c>
      <c r="N164" s="293" t="s">
        <v>6209</v>
      </c>
      <c r="O164" s="293" t="s">
        <v>412</v>
      </c>
      <c r="P164" s="294">
        <v>1174</v>
      </c>
    </row>
    <row r="165" spans="2:16" ht="12" customHeight="1">
      <c r="B165" s="293" t="s">
        <v>573</v>
      </c>
      <c r="C165" s="293" t="s">
        <v>412</v>
      </c>
      <c r="D165" s="294">
        <v>1190</v>
      </c>
      <c r="F165" s="293" t="s">
        <v>823</v>
      </c>
      <c r="G165" s="293" t="s">
        <v>412</v>
      </c>
      <c r="H165" s="294">
        <v>1218.2</v>
      </c>
      <c r="J165" s="293" t="s">
        <v>1070</v>
      </c>
      <c r="K165" s="293" t="s">
        <v>412</v>
      </c>
      <c r="L165" s="294">
        <v>1114.3</v>
      </c>
      <c r="N165" s="293" t="s">
        <v>6210</v>
      </c>
      <c r="O165" s="293" t="s">
        <v>412</v>
      </c>
      <c r="P165" s="294">
        <v>1168</v>
      </c>
    </row>
    <row r="166" spans="2:16" ht="12" customHeight="1">
      <c r="B166" s="293" t="s">
        <v>574</v>
      </c>
      <c r="C166" s="293" t="s">
        <v>412</v>
      </c>
      <c r="D166" s="294">
        <v>1186.3</v>
      </c>
      <c r="F166" s="293" t="s">
        <v>824</v>
      </c>
      <c r="G166" s="293" t="s">
        <v>412</v>
      </c>
      <c r="H166" s="294">
        <v>1213.0999999999999</v>
      </c>
      <c r="J166" s="293" t="s">
        <v>1071</v>
      </c>
      <c r="K166" s="293" t="s">
        <v>412</v>
      </c>
      <c r="L166" s="294">
        <v>1110</v>
      </c>
      <c r="N166" s="293" t="s">
        <v>6211</v>
      </c>
      <c r="O166" s="293" t="s">
        <v>412</v>
      </c>
      <c r="P166" s="294">
        <v>1166.5</v>
      </c>
    </row>
    <row r="167" spans="2:16" ht="12" customHeight="1">
      <c r="B167" s="293" t="s">
        <v>575</v>
      </c>
      <c r="C167" s="293" t="s">
        <v>412</v>
      </c>
      <c r="D167" s="294">
        <v>1187</v>
      </c>
      <c r="F167" s="293" t="s">
        <v>825</v>
      </c>
      <c r="G167" s="293" t="s">
        <v>412</v>
      </c>
      <c r="H167" s="294">
        <v>1213.5</v>
      </c>
      <c r="J167" s="293" t="s">
        <v>1072</v>
      </c>
      <c r="K167" s="293" t="s">
        <v>412</v>
      </c>
      <c r="L167" s="294">
        <v>1108.8</v>
      </c>
      <c r="N167" s="293" t="s">
        <v>6212</v>
      </c>
      <c r="O167" s="293" t="s">
        <v>412</v>
      </c>
      <c r="P167" s="294">
        <v>1168.0999999999999</v>
      </c>
    </row>
    <row r="168" spans="2:16" ht="12" customHeight="1">
      <c r="B168" s="293" t="s">
        <v>576</v>
      </c>
      <c r="C168" s="293" t="s">
        <v>412</v>
      </c>
      <c r="D168" s="294">
        <v>1185.7</v>
      </c>
      <c r="F168" s="293" t="s">
        <v>826</v>
      </c>
      <c r="G168" s="293" t="s">
        <v>412</v>
      </c>
      <c r="H168" s="294">
        <v>1215.2</v>
      </c>
      <c r="J168" s="293" t="s">
        <v>1073</v>
      </c>
      <c r="K168" s="293" t="s">
        <v>412</v>
      </c>
      <c r="L168" s="294">
        <v>1108.8</v>
      </c>
      <c r="N168" s="293" t="s">
        <v>6213</v>
      </c>
      <c r="O168" s="293" t="s">
        <v>412</v>
      </c>
      <c r="P168" s="294">
        <v>1170.8</v>
      </c>
    </row>
    <row r="169" spans="2:16" ht="12" customHeight="1">
      <c r="B169" s="293" t="s">
        <v>577</v>
      </c>
      <c r="C169" s="293" t="s">
        <v>412</v>
      </c>
      <c r="D169" s="294">
        <v>1185.0999999999999</v>
      </c>
      <c r="F169" s="293" t="s">
        <v>827</v>
      </c>
      <c r="G169" s="293" t="s">
        <v>412</v>
      </c>
      <c r="H169" s="294">
        <v>1209.5999999999999</v>
      </c>
      <c r="J169" s="293" t="s">
        <v>1074</v>
      </c>
      <c r="K169" s="293" t="s">
        <v>412</v>
      </c>
      <c r="L169" s="294">
        <v>1113.3</v>
      </c>
      <c r="N169" s="293" t="s">
        <v>6214</v>
      </c>
      <c r="O169" s="293" t="s">
        <v>412</v>
      </c>
      <c r="P169" s="294">
        <v>1164.4000000000001</v>
      </c>
    </row>
    <row r="170" spans="2:16" ht="12" customHeight="1">
      <c r="B170" s="293" t="s">
        <v>578</v>
      </c>
      <c r="C170" s="293" t="s">
        <v>412</v>
      </c>
      <c r="D170" s="294">
        <v>1183.3</v>
      </c>
      <c r="F170" s="293" t="s">
        <v>828</v>
      </c>
      <c r="G170" s="293" t="s">
        <v>412</v>
      </c>
      <c r="H170" s="294">
        <v>1211.9000000000001</v>
      </c>
      <c r="J170" s="293" t="s">
        <v>1075</v>
      </c>
      <c r="K170" s="293" t="s">
        <v>412</v>
      </c>
      <c r="L170" s="294">
        <v>1113.5</v>
      </c>
      <c r="N170" s="293" t="s">
        <v>6215</v>
      </c>
      <c r="O170" s="293" t="s">
        <v>412</v>
      </c>
      <c r="P170" s="294">
        <v>1162.8</v>
      </c>
    </row>
    <row r="171" spans="2:16" ht="12" customHeight="1">
      <c r="B171" s="293" t="s">
        <v>579</v>
      </c>
      <c r="C171" s="293" t="s">
        <v>412</v>
      </c>
      <c r="D171" s="294">
        <v>1184.5999999999999</v>
      </c>
      <c r="F171" s="293" t="s">
        <v>829</v>
      </c>
      <c r="G171" s="293" t="s">
        <v>412</v>
      </c>
      <c r="H171" s="294">
        <v>1215.2</v>
      </c>
      <c r="J171" s="293" t="s">
        <v>1076</v>
      </c>
      <c r="K171" s="293" t="s">
        <v>412</v>
      </c>
      <c r="L171" s="294">
        <v>1114.2</v>
      </c>
      <c r="N171" s="293" t="s">
        <v>6216</v>
      </c>
      <c r="O171" s="293" t="s">
        <v>412</v>
      </c>
      <c r="P171" s="294">
        <v>1157.5</v>
      </c>
    </row>
    <row r="172" spans="2:16" ht="12" customHeight="1">
      <c r="B172" s="293" t="s">
        <v>580</v>
      </c>
      <c r="C172" s="293" t="s">
        <v>412</v>
      </c>
      <c r="D172" s="294">
        <v>1186.2</v>
      </c>
      <c r="F172" s="293" t="s">
        <v>830</v>
      </c>
      <c r="G172" s="293" t="s">
        <v>412</v>
      </c>
      <c r="H172" s="294">
        <v>1209.7</v>
      </c>
      <c r="J172" s="293" t="s">
        <v>1077</v>
      </c>
      <c r="K172" s="293" t="s">
        <v>412</v>
      </c>
      <c r="L172" s="294">
        <v>1117.5999999999999</v>
      </c>
      <c r="N172" s="293" t="s">
        <v>6217</v>
      </c>
      <c r="O172" s="293" t="s">
        <v>412</v>
      </c>
      <c r="P172" s="294">
        <v>1159.7</v>
      </c>
    </row>
    <row r="173" spans="2:16" ht="12" customHeight="1">
      <c r="B173" s="293" t="s">
        <v>581</v>
      </c>
      <c r="C173" s="293" t="s">
        <v>412</v>
      </c>
      <c r="D173" s="294">
        <v>1187.5</v>
      </c>
      <c r="F173" s="293" t="s">
        <v>831</v>
      </c>
      <c r="G173" s="293" t="s">
        <v>412</v>
      </c>
      <c r="H173" s="294">
        <v>1199.5999999999999</v>
      </c>
      <c r="J173" s="293" t="s">
        <v>1078</v>
      </c>
      <c r="K173" s="293" t="s">
        <v>412</v>
      </c>
      <c r="L173" s="294">
        <v>1121.2</v>
      </c>
      <c r="N173" s="293" t="s">
        <v>6218</v>
      </c>
      <c r="O173" s="293" t="s">
        <v>412</v>
      </c>
      <c r="P173" s="294">
        <v>1156.4000000000001</v>
      </c>
    </row>
    <row r="174" spans="2:16" ht="12" customHeight="1">
      <c r="B174" s="293" t="s">
        <v>582</v>
      </c>
      <c r="C174" s="293" t="s">
        <v>412</v>
      </c>
      <c r="D174" s="294">
        <v>1190.2</v>
      </c>
      <c r="F174" s="293" t="s">
        <v>832</v>
      </c>
      <c r="G174" s="293" t="s">
        <v>412</v>
      </c>
      <c r="H174" s="294">
        <v>1196.9000000000001</v>
      </c>
      <c r="J174" s="293" t="s">
        <v>1079</v>
      </c>
      <c r="K174" s="293" t="s">
        <v>412</v>
      </c>
      <c r="L174" s="294">
        <v>1123.0999999999999</v>
      </c>
      <c r="N174" s="293" t="s">
        <v>6219</v>
      </c>
      <c r="O174" s="293" t="s">
        <v>412</v>
      </c>
      <c r="P174" s="294">
        <v>1157.3</v>
      </c>
    </row>
    <row r="175" spans="2:16" ht="12" customHeight="1">
      <c r="B175" s="293" t="s">
        <v>583</v>
      </c>
      <c r="C175" s="293" t="s">
        <v>412</v>
      </c>
      <c r="D175" s="294">
        <v>1187.2</v>
      </c>
      <c r="F175" s="293" t="s">
        <v>833</v>
      </c>
      <c r="G175" s="293" t="s">
        <v>412</v>
      </c>
      <c r="H175" s="294">
        <v>1192.4000000000001</v>
      </c>
      <c r="J175" s="293" t="s">
        <v>1080</v>
      </c>
      <c r="K175" s="293" t="s">
        <v>412</v>
      </c>
      <c r="L175" s="294">
        <v>1128.0999999999999</v>
      </c>
      <c r="N175" s="293" t="s">
        <v>6220</v>
      </c>
      <c r="O175" s="293" t="s">
        <v>412</v>
      </c>
      <c r="P175" s="294">
        <v>1157.9000000000001</v>
      </c>
    </row>
    <row r="176" spans="2:16" ht="12" customHeight="1">
      <c r="B176" s="293" t="s">
        <v>584</v>
      </c>
      <c r="C176" s="293" t="s">
        <v>412</v>
      </c>
      <c r="D176" s="294">
        <v>1187.9000000000001</v>
      </c>
      <c r="F176" s="293" t="s">
        <v>834</v>
      </c>
      <c r="G176" s="293" t="s">
        <v>412</v>
      </c>
      <c r="H176" s="294">
        <v>1191.9000000000001</v>
      </c>
      <c r="J176" s="293" t="s">
        <v>1081</v>
      </c>
      <c r="K176" s="293" t="s">
        <v>412</v>
      </c>
      <c r="L176" s="294">
        <v>1126.8</v>
      </c>
      <c r="N176" s="293" t="s">
        <v>6221</v>
      </c>
      <c r="O176" s="293" t="s">
        <v>412</v>
      </c>
      <c r="P176" s="294">
        <v>1164.5</v>
      </c>
    </row>
    <row r="177" spans="2:16" ht="12" customHeight="1">
      <c r="B177" s="293" t="s">
        <v>585</v>
      </c>
      <c r="C177" s="293" t="s">
        <v>412</v>
      </c>
      <c r="D177" s="294">
        <v>1189.5999999999999</v>
      </c>
      <c r="F177" s="293" t="s">
        <v>835</v>
      </c>
      <c r="G177" s="293" t="s">
        <v>412</v>
      </c>
      <c r="H177" s="294">
        <v>1191.4000000000001</v>
      </c>
      <c r="J177" s="293" t="s">
        <v>1082</v>
      </c>
      <c r="K177" s="293" t="s">
        <v>412</v>
      </c>
      <c r="L177" s="294">
        <v>1127.3</v>
      </c>
      <c r="N177" s="293" t="s">
        <v>6222</v>
      </c>
      <c r="O177" s="293" t="s">
        <v>412</v>
      </c>
      <c r="P177" s="294">
        <v>1170.0999999999999</v>
      </c>
    </row>
    <row r="178" spans="2:16" ht="12" customHeight="1">
      <c r="B178" s="293" t="s">
        <v>586</v>
      </c>
      <c r="C178" s="293" t="s">
        <v>412</v>
      </c>
      <c r="D178" s="294">
        <v>1185.3</v>
      </c>
      <c r="F178" s="293" t="s">
        <v>836</v>
      </c>
      <c r="G178" s="293" t="s">
        <v>412</v>
      </c>
      <c r="H178" s="294">
        <v>1184</v>
      </c>
      <c r="J178" s="293" t="s">
        <v>1083</v>
      </c>
      <c r="K178" s="293" t="s">
        <v>412</v>
      </c>
      <c r="L178" s="294">
        <v>1121.2</v>
      </c>
      <c r="N178" s="293" t="s">
        <v>6223</v>
      </c>
      <c r="O178" s="293" t="s">
        <v>412</v>
      </c>
      <c r="P178" s="294">
        <v>1170.4000000000001</v>
      </c>
    </row>
    <row r="179" spans="2:16" ht="12" customHeight="1">
      <c r="B179" s="293" t="s">
        <v>587</v>
      </c>
      <c r="C179" s="293" t="s">
        <v>412</v>
      </c>
      <c r="D179" s="294">
        <v>1188.3</v>
      </c>
      <c r="F179" s="293" t="s">
        <v>837</v>
      </c>
      <c r="G179" s="293" t="s">
        <v>412</v>
      </c>
      <c r="H179" s="294">
        <v>1188.3</v>
      </c>
      <c r="J179" s="293" t="s">
        <v>1084</v>
      </c>
      <c r="K179" s="293" t="s">
        <v>412</v>
      </c>
      <c r="L179" s="294">
        <v>1119.2</v>
      </c>
      <c r="N179" s="293" t="s">
        <v>6224</v>
      </c>
      <c r="O179" s="293" t="s">
        <v>412</v>
      </c>
      <c r="P179" s="294">
        <v>1174.3</v>
      </c>
    </row>
    <row r="180" spans="2:16" ht="12" customHeight="1">
      <c r="B180" s="293" t="s">
        <v>588</v>
      </c>
      <c r="C180" s="293" t="s">
        <v>412</v>
      </c>
      <c r="D180" s="294">
        <v>1184.2</v>
      </c>
      <c r="F180" s="293" t="s">
        <v>838</v>
      </c>
      <c r="G180" s="293" t="s">
        <v>412</v>
      </c>
      <c r="H180" s="294">
        <v>1190.5</v>
      </c>
      <c r="J180" s="293" t="s">
        <v>1085</v>
      </c>
      <c r="K180" s="293" t="s">
        <v>412</v>
      </c>
      <c r="L180" s="294">
        <v>1126.2</v>
      </c>
      <c r="N180" s="293" t="s">
        <v>6225</v>
      </c>
      <c r="O180" s="293" t="s">
        <v>412</v>
      </c>
      <c r="P180" s="294">
        <v>1172.2</v>
      </c>
    </row>
    <row r="181" spans="2:16" ht="12" customHeight="1">
      <c r="B181" s="293" t="s">
        <v>589</v>
      </c>
      <c r="C181" s="293" t="s">
        <v>412</v>
      </c>
      <c r="D181" s="294">
        <v>1180.5</v>
      </c>
      <c r="F181" s="293" t="s">
        <v>839</v>
      </c>
      <c r="G181" s="293" t="s">
        <v>412</v>
      </c>
      <c r="H181" s="294">
        <v>1195.0999999999999</v>
      </c>
      <c r="J181" s="293" t="s">
        <v>1086</v>
      </c>
      <c r="K181" s="293" t="s">
        <v>412</v>
      </c>
      <c r="L181" s="294">
        <v>1126.3</v>
      </c>
      <c r="N181" s="293" t="s">
        <v>6226</v>
      </c>
      <c r="O181" s="293" t="s">
        <v>412</v>
      </c>
      <c r="P181" s="294">
        <v>1171.7</v>
      </c>
    </row>
    <row r="182" spans="2:16" ht="12" customHeight="1">
      <c r="B182" s="293" t="s">
        <v>590</v>
      </c>
      <c r="C182" s="293" t="s">
        <v>412</v>
      </c>
      <c r="D182" s="294">
        <v>1177.8</v>
      </c>
      <c r="F182" s="293" t="s">
        <v>840</v>
      </c>
      <c r="G182" s="293" t="s">
        <v>412</v>
      </c>
      <c r="H182" s="294">
        <v>1191.0999999999999</v>
      </c>
      <c r="J182" s="293" t="s">
        <v>1087</v>
      </c>
      <c r="K182" s="293" t="s">
        <v>412</v>
      </c>
      <c r="L182" s="294">
        <v>1123</v>
      </c>
      <c r="N182" s="293" t="s">
        <v>6227</v>
      </c>
      <c r="O182" s="293" t="s">
        <v>412</v>
      </c>
      <c r="P182" s="294">
        <v>1169.0999999999999</v>
      </c>
    </row>
    <row r="183" spans="2:16" ht="12" customHeight="1">
      <c r="B183" s="293" t="s">
        <v>591</v>
      </c>
      <c r="C183" s="293" t="s">
        <v>412</v>
      </c>
      <c r="D183" s="294">
        <v>1175.4000000000001</v>
      </c>
      <c r="F183" s="293" t="s">
        <v>841</v>
      </c>
      <c r="G183" s="293" t="s">
        <v>412</v>
      </c>
      <c r="H183" s="294">
        <v>1193.0999999999999</v>
      </c>
      <c r="J183" s="293" t="s">
        <v>1088</v>
      </c>
      <c r="K183" s="293" t="s">
        <v>412</v>
      </c>
      <c r="L183" s="294">
        <v>1119.9000000000001</v>
      </c>
      <c r="N183" s="293" t="s">
        <v>6228</v>
      </c>
      <c r="O183" s="293" t="s">
        <v>412</v>
      </c>
      <c r="P183" s="294">
        <v>1177.5999999999999</v>
      </c>
    </row>
    <row r="184" spans="2:16" ht="12" customHeight="1">
      <c r="B184" s="293" t="s">
        <v>592</v>
      </c>
      <c r="C184" s="293" t="s">
        <v>412</v>
      </c>
      <c r="D184" s="294">
        <v>1163.5999999999999</v>
      </c>
      <c r="F184" s="293" t="s">
        <v>842</v>
      </c>
      <c r="G184" s="293" t="s">
        <v>412</v>
      </c>
      <c r="H184" s="294">
        <v>1194</v>
      </c>
      <c r="J184" s="293" t="s">
        <v>1089</v>
      </c>
      <c r="K184" s="293" t="s">
        <v>412</v>
      </c>
      <c r="L184" s="294">
        <v>1116.5999999999999</v>
      </c>
      <c r="N184" s="293" t="s">
        <v>6229</v>
      </c>
      <c r="O184" s="293" t="s">
        <v>412</v>
      </c>
      <c r="P184" s="294">
        <v>1181.7</v>
      </c>
    </row>
    <row r="185" spans="2:16" ht="12" customHeight="1">
      <c r="B185" s="293" t="s">
        <v>593</v>
      </c>
      <c r="C185" s="293" t="s">
        <v>412</v>
      </c>
      <c r="D185" s="294">
        <v>1160.5999999999999</v>
      </c>
      <c r="F185" s="293" t="s">
        <v>843</v>
      </c>
      <c r="G185" s="293" t="s">
        <v>412</v>
      </c>
      <c r="H185" s="294">
        <v>1198.3</v>
      </c>
      <c r="J185" s="293" t="s">
        <v>1090</v>
      </c>
      <c r="K185" s="293" t="s">
        <v>412</v>
      </c>
      <c r="L185" s="294">
        <v>1112.7</v>
      </c>
      <c r="N185" s="293" t="s">
        <v>6230</v>
      </c>
      <c r="O185" s="293" t="s">
        <v>412</v>
      </c>
      <c r="P185" s="294">
        <v>1175.3</v>
      </c>
    </row>
    <row r="186" spans="2:16" ht="12" customHeight="1">
      <c r="B186" s="293" t="s">
        <v>594</v>
      </c>
      <c r="C186" s="293" t="s">
        <v>412</v>
      </c>
      <c r="D186" s="294">
        <v>1163.9000000000001</v>
      </c>
      <c r="F186" s="293" t="s">
        <v>844</v>
      </c>
      <c r="G186" s="293" t="s">
        <v>412</v>
      </c>
      <c r="H186" s="294">
        <v>1199.0999999999999</v>
      </c>
      <c r="J186" s="293" t="s">
        <v>1091</v>
      </c>
      <c r="K186" s="293" t="s">
        <v>412</v>
      </c>
      <c r="L186" s="294">
        <v>1110.2</v>
      </c>
      <c r="N186" s="293" t="s">
        <v>6231</v>
      </c>
      <c r="O186" s="293" t="s">
        <v>412</v>
      </c>
      <c r="P186" s="294">
        <v>1175.9000000000001</v>
      </c>
    </row>
    <row r="187" spans="2:16" ht="12" customHeight="1">
      <c r="B187" s="293" t="s">
        <v>595</v>
      </c>
      <c r="C187" s="293" t="s">
        <v>412</v>
      </c>
      <c r="D187" s="294">
        <v>1164.4000000000001</v>
      </c>
      <c r="F187" s="293" t="s">
        <v>845</v>
      </c>
      <c r="G187" s="293" t="s">
        <v>412</v>
      </c>
      <c r="H187" s="294">
        <v>1201.3</v>
      </c>
      <c r="J187" s="293" t="s">
        <v>1092</v>
      </c>
      <c r="K187" s="293" t="s">
        <v>412</v>
      </c>
      <c r="L187" s="294">
        <v>1110.9000000000001</v>
      </c>
      <c r="N187" s="293" t="s">
        <v>6232</v>
      </c>
      <c r="O187" s="293" t="s">
        <v>412</v>
      </c>
      <c r="P187" s="294">
        <v>1182</v>
      </c>
    </row>
    <row r="188" spans="2:16" ht="12" customHeight="1">
      <c r="B188" s="293" t="s">
        <v>596</v>
      </c>
      <c r="C188" s="293" t="s">
        <v>412</v>
      </c>
      <c r="D188" s="294">
        <v>1170.3</v>
      </c>
      <c r="F188" s="293" t="s">
        <v>846</v>
      </c>
      <c r="G188" s="293" t="s">
        <v>412</v>
      </c>
      <c r="H188" s="294">
        <v>1199.2</v>
      </c>
      <c r="J188" s="293" t="s">
        <v>1093</v>
      </c>
      <c r="K188" s="293" t="s">
        <v>412</v>
      </c>
      <c r="L188" s="294">
        <v>1116.4000000000001</v>
      </c>
      <c r="N188" s="293" t="s">
        <v>6233</v>
      </c>
      <c r="O188" s="293" t="s">
        <v>412</v>
      </c>
      <c r="P188" s="294">
        <v>1184.9000000000001</v>
      </c>
    </row>
    <row r="189" spans="2:16" ht="12" customHeight="1">
      <c r="B189" s="293" t="s">
        <v>597</v>
      </c>
      <c r="C189" s="293" t="s">
        <v>412</v>
      </c>
      <c r="D189" s="294">
        <v>1170.5</v>
      </c>
      <c r="F189" s="293" t="s">
        <v>847</v>
      </c>
      <c r="G189" s="293" t="s">
        <v>412</v>
      </c>
      <c r="H189" s="294">
        <v>1198.2</v>
      </c>
      <c r="J189" s="293" t="s">
        <v>1094</v>
      </c>
      <c r="K189" s="293" t="s">
        <v>412</v>
      </c>
      <c r="L189" s="294">
        <v>1128.3</v>
      </c>
      <c r="N189" s="293" t="s">
        <v>6234</v>
      </c>
      <c r="O189" s="293" t="s">
        <v>412</v>
      </c>
      <c r="P189" s="294">
        <v>1185.2</v>
      </c>
    </row>
    <row r="190" spans="2:16" ht="12" customHeight="1">
      <c r="B190" s="293" t="s">
        <v>598</v>
      </c>
      <c r="C190" s="293" t="s">
        <v>412</v>
      </c>
      <c r="D190" s="294">
        <v>1173.5</v>
      </c>
      <c r="F190" s="293" t="s">
        <v>848</v>
      </c>
      <c r="G190" s="293" t="s">
        <v>412</v>
      </c>
      <c r="H190" s="294">
        <v>1203.7</v>
      </c>
      <c r="J190" s="293" t="s">
        <v>1095</v>
      </c>
      <c r="K190" s="293" t="s">
        <v>412</v>
      </c>
      <c r="L190" s="294">
        <v>1130.7</v>
      </c>
      <c r="N190" s="293" t="s">
        <v>6235</v>
      </c>
      <c r="O190" s="293" t="s">
        <v>412</v>
      </c>
      <c r="P190" s="294">
        <v>1187.2</v>
      </c>
    </row>
    <row r="191" spans="2:16" ht="12" customHeight="1">
      <c r="B191" s="293" t="s">
        <v>599</v>
      </c>
      <c r="C191" s="293" t="s">
        <v>412</v>
      </c>
      <c r="D191" s="294">
        <v>1169.5</v>
      </c>
      <c r="F191" s="293" t="s">
        <v>849</v>
      </c>
      <c r="G191" s="293" t="s">
        <v>412</v>
      </c>
      <c r="H191" s="294">
        <v>1197</v>
      </c>
      <c r="J191" s="293" t="s">
        <v>1096</v>
      </c>
      <c r="K191" s="293" t="s">
        <v>412</v>
      </c>
      <c r="L191" s="294">
        <v>1131.7</v>
      </c>
      <c r="N191" s="293" t="s">
        <v>6236</v>
      </c>
      <c r="O191" s="293" t="s">
        <v>412</v>
      </c>
      <c r="P191" s="294">
        <v>1187.0999999999999</v>
      </c>
    </row>
    <row r="192" spans="2:16" ht="12" customHeight="1">
      <c r="B192" s="293" t="s">
        <v>600</v>
      </c>
      <c r="C192" s="293" t="s">
        <v>412</v>
      </c>
      <c r="D192" s="294">
        <v>1163.4000000000001</v>
      </c>
      <c r="F192" s="293" t="s">
        <v>850</v>
      </c>
      <c r="G192" s="293" t="s">
        <v>412</v>
      </c>
      <c r="H192" s="294">
        <v>1196.5</v>
      </c>
      <c r="J192" s="293" t="s">
        <v>1097</v>
      </c>
      <c r="K192" s="293" t="s">
        <v>412</v>
      </c>
      <c r="L192" s="294">
        <v>1132.5</v>
      </c>
      <c r="N192" s="293" t="s">
        <v>6237</v>
      </c>
      <c r="O192" s="293" t="s">
        <v>412</v>
      </c>
      <c r="P192" s="294">
        <v>1190</v>
      </c>
    </row>
    <row r="193" spans="2:16" ht="12" customHeight="1">
      <c r="B193" s="293" t="s">
        <v>601</v>
      </c>
      <c r="C193" s="293" t="s">
        <v>412</v>
      </c>
      <c r="D193" s="294">
        <v>1160</v>
      </c>
      <c r="F193" s="293" t="s">
        <v>851</v>
      </c>
      <c r="G193" s="293" t="s">
        <v>412</v>
      </c>
      <c r="H193" s="294">
        <v>1194.7</v>
      </c>
      <c r="J193" s="293" t="s">
        <v>1098</v>
      </c>
      <c r="K193" s="293" t="s">
        <v>412</v>
      </c>
      <c r="L193" s="294">
        <v>1142.5</v>
      </c>
      <c r="N193" s="293" t="s">
        <v>6238</v>
      </c>
      <c r="O193" s="293" t="s">
        <v>412</v>
      </c>
      <c r="P193" s="294">
        <v>1190.3</v>
      </c>
    </row>
    <row r="194" spans="2:16" ht="12" customHeight="1">
      <c r="B194" s="293" t="s">
        <v>602</v>
      </c>
      <c r="C194" s="293" t="s">
        <v>412</v>
      </c>
      <c r="D194" s="294">
        <v>1162.5</v>
      </c>
      <c r="F194" s="293" t="s">
        <v>852</v>
      </c>
      <c r="G194" s="293" t="s">
        <v>412</v>
      </c>
      <c r="H194" s="294">
        <v>1196.0999999999999</v>
      </c>
      <c r="J194" s="293" t="s">
        <v>1099</v>
      </c>
      <c r="K194" s="293" t="s">
        <v>412</v>
      </c>
      <c r="L194" s="294">
        <v>1133.3</v>
      </c>
      <c r="N194" s="293" t="s">
        <v>6239</v>
      </c>
      <c r="O194" s="293" t="s">
        <v>412</v>
      </c>
      <c r="P194" s="294">
        <v>1193.4000000000001</v>
      </c>
    </row>
    <row r="195" spans="2:16" ht="12" customHeight="1">
      <c r="B195" s="293" t="s">
        <v>603</v>
      </c>
      <c r="C195" s="293" t="s">
        <v>412</v>
      </c>
      <c r="D195" s="294">
        <v>1156.2</v>
      </c>
      <c r="F195" s="293" t="s">
        <v>853</v>
      </c>
      <c r="G195" s="293" t="s">
        <v>412</v>
      </c>
      <c r="H195" s="294">
        <v>1189.3</v>
      </c>
      <c r="J195" s="293" t="s">
        <v>1100</v>
      </c>
      <c r="K195" s="293" t="s">
        <v>412</v>
      </c>
      <c r="L195" s="294">
        <v>1133.4000000000001</v>
      </c>
      <c r="N195" s="293" t="s">
        <v>6240</v>
      </c>
      <c r="O195" s="293" t="s">
        <v>412</v>
      </c>
      <c r="P195" s="294">
        <v>1199.0999999999999</v>
      </c>
    </row>
    <row r="196" spans="2:16" ht="12" customHeight="1">
      <c r="B196" s="293" t="s">
        <v>604</v>
      </c>
      <c r="C196" s="293" t="s">
        <v>412</v>
      </c>
      <c r="D196" s="294">
        <v>1148.3</v>
      </c>
      <c r="F196" s="293" t="s">
        <v>854</v>
      </c>
      <c r="G196" s="293" t="s">
        <v>412</v>
      </c>
      <c r="H196" s="294">
        <v>1183.7</v>
      </c>
      <c r="J196" s="293" t="s">
        <v>1101</v>
      </c>
      <c r="K196" s="293" t="s">
        <v>412</v>
      </c>
      <c r="L196" s="294">
        <v>1128.0999999999999</v>
      </c>
      <c r="N196" s="293" t="s">
        <v>6241</v>
      </c>
      <c r="O196" s="293" t="s">
        <v>412</v>
      </c>
      <c r="P196" s="294">
        <v>1195</v>
      </c>
    </row>
    <row r="197" spans="2:16" ht="12" customHeight="1">
      <c r="B197" s="293" t="s">
        <v>605</v>
      </c>
      <c r="C197" s="293" t="s">
        <v>412</v>
      </c>
      <c r="D197" s="294">
        <v>1149.5</v>
      </c>
      <c r="F197" s="293" t="s">
        <v>855</v>
      </c>
      <c r="G197" s="293" t="s">
        <v>412</v>
      </c>
      <c r="H197" s="294">
        <v>1184.0999999999999</v>
      </c>
      <c r="J197" s="293" t="s">
        <v>1102</v>
      </c>
      <c r="K197" s="293" t="s">
        <v>412</v>
      </c>
      <c r="L197" s="294">
        <v>1125</v>
      </c>
      <c r="N197" s="293" t="s">
        <v>6242</v>
      </c>
      <c r="O197" s="293" t="s">
        <v>412</v>
      </c>
      <c r="P197" s="294">
        <v>1188.3</v>
      </c>
    </row>
    <row r="198" spans="2:16" ht="12" customHeight="1">
      <c r="B198" s="293" t="s">
        <v>606</v>
      </c>
      <c r="C198" s="293" t="s">
        <v>412</v>
      </c>
      <c r="D198" s="294">
        <v>1145.7</v>
      </c>
      <c r="F198" s="293" t="s">
        <v>856</v>
      </c>
      <c r="G198" s="293" t="s">
        <v>412</v>
      </c>
      <c r="H198" s="294">
        <v>1187</v>
      </c>
      <c r="J198" s="293" t="s">
        <v>1103</v>
      </c>
      <c r="K198" s="293" t="s">
        <v>412</v>
      </c>
      <c r="L198" s="294">
        <v>1132.5999999999999</v>
      </c>
      <c r="N198" s="293" t="s">
        <v>6243</v>
      </c>
      <c r="O198" s="293" t="s">
        <v>412</v>
      </c>
      <c r="P198" s="294">
        <v>1182.8</v>
      </c>
    </row>
    <row r="199" spans="2:16" ht="12" customHeight="1">
      <c r="B199" s="293" t="s">
        <v>607</v>
      </c>
      <c r="C199" s="293" t="s">
        <v>412</v>
      </c>
      <c r="D199" s="294">
        <v>1144.5999999999999</v>
      </c>
      <c r="F199" s="293" t="s">
        <v>857</v>
      </c>
      <c r="G199" s="293" t="s">
        <v>412</v>
      </c>
      <c r="H199" s="294">
        <v>1186.5999999999999</v>
      </c>
      <c r="J199" s="293" t="s">
        <v>1104</v>
      </c>
      <c r="K199" s="293" t="s">
        <v>412</v>
      </c>
      <c r="L199" s="294">
        <v>1134.3</v>
      </c>
      <c r="N199" s="293" t="s">
        <v>6244</v>
      </c>
      <c r="O199" s="293" t="s">
        <v>412</v>
      </c>
      <c r="P199" s="294">
        <v>1185.8</v>
      </c>
    </row>
    <row r="200" spans="2:16" ht="12" customHeight="1">
      <c r="B200" s="293" t="s">
        <v>608</v>
      </c>
      <c r="C200" s="293" t="s">
        <v>412</v>
      </c>
      <c r="D200" s="294">
        <v>1145.5999999999999</v>
      </c>
      <c r="F200" s="293" t="s">
        <v>858</v>
      </c>
      <c r="G200" s="293" t="s">
        <v>412</v>
      </c>
      <c r="H200" s="294">
        <v>1180.5</v>
      </c>
      <c r="J200" s="293" t="s">
        <v>1105</v>
      </c>
      <c r="K200" s="293" t="s">
        <v>412</v>
      </c>
      <c r="L200" s="294">
        <v>1130.9000000000001</v>
      </c>
      <c r="N200" s="293" t="s">
        <v>6245</v>
      </c>
      <c r="O200" s="293" t="s">
        <v>412</v>
      </c>
      <c r="P200" s="294">
        <v>1181.7</v>
      </c>
    </row>
    <row r="201" spans="2:16" ht="12" customHeight="1">
      <c r="B201" s="293" t="s">
        <v>609</v>
      </c>
      <c r="C201" s="293" t="s">
        <v>412</v>
      </c>
      <c r="D201" s="294">
        <v>1142.2</v>
      </c>
      <c r="F201" s="293" t="s">
        <v>859</v>
      </c>
      <c r="G201" s="293" t="s">
        <v>412</v>
      </c>
      <c r="H201" s="294">
        <v>1175.4000000000001</v>
      </c>
      <c r="J201" s="293" t="s">
        <v>1106</v>
      </c>
      <c r="K201" s="293" t="s">
        <v>412</v>
      </c>
      <c r="L201" s="294">
        <v>1135.8</v>
      </c>
      <c r="N201" s="293" t="s">
        <v>6246</v>
      </c>
      <c r="O201" s="293" t="s">
        <v>412</v>
      </c>
      <c r="P201" s="294">
        <v>1175.5999999999999</v>
      </c>
    </row>
    <row r="202" spans="2:16" ht="12" customHeight="1">
      <c r="B202" s="293" t="s">
        <v>610</v>
      </c>
      <c r="C202" s="293" t="s">
        <v>412</v>
      </c>
      <c r="D202" s="294">
        <v>1139.7</v>
      </c>
      <c r="F202" s="293" t="s">
        <v>860</v>
      </c>
      <c r="G202" s="293" t="s">
        <v>412</v>
      </c>
      <c r="H202" s="294">
        <v>1171.4000000000001</v>
      </c>
      <c r="J202" s="293" t="s">
        <v>1107</v>
      </c>
      <c r="K202" s="293" t="s">
        <v>412</v>
      </c>
      <c r="L202" s="294">
        <v>1132.2</v>
      </c>
      <c r="N202" s="293" t="s">
        <v>6247</v>
      </c>
      <c r="O202" s="293" t="s">
        <v>412</v>
      </c>
      <c r="P202" s="294">
        <v>1175.8</v>
      </c>
    </row>
    <row r="203" spans="2:16" ht="12" customHeight="1">
      <c r="B203" s="293" t="s">
        <v>611</v>
      </c>
      <c r="C203" s="293" t="s">
        <v>412</v>
      </c>
      <c r="D203" s="294">
        <v>1133.7</v>
      </c>
      <c r="F203" s="293" t="s">
        <v>861</v>
      </c>
      <c r="G203" s="293" t="s">
        <v>412</v>
      </c>
      <c r="H203" s="294">
        <v>1173.7</v>
      </c>
      <c r="J203" s="293" t="s">
        <v>1108</v>
      </c>
      <c r="K203" s="293" t="s">
        <v>412</v>
      </c>
      <c r="L203" s="294">
        <v>1138.5</v>
      </c>
      <c r="N203" s="293" t="s">
        <v>6248</v>
      </c>
      <c r="O203" s="293" t="s">
        <v>412</v>
      </c>
      <c r="P203" s="294">
        <v>1178.4000000000001</v>
      </c>
    </row>
    <row r="204" spans="2:16" ht="12" customHeight="1">
      <c r="B204" s="293" t="s">
        <v>612</v>
      </c>
      <c r="C204" s="293" t="s">
        <v>412</v>
      </c>
      <c r="D204" s="294">
        <v>1134.0999999999999</v>
      </c>
      <c r="F204" s="293" t="s">
        <v>862</v>
      </c>
      <c r="G204" s="293" t="s">
        <v>412</v>
      </c>
      <c r="H204" s="294">
        <v>1171</v>
      </c>
      <c r="J204" s="293" t="s">
        <v>1109</v>
      </c>
      <c r="K204" s="293" t="s">
        <v>412</v>
      </c>
      <c r="L204" s="294">
        <v>1140.5999999999999</v>
      </c>
      <c r="N204" s="293" t="s">
        <v>6249</v>
      </c>
      <c r="O204" s="293" t="s">
        <v>412</v>
      </c>
      <c r="P204" s="294">
        <v>1171.8</v>
      </c>
    </row>
    <row r="205" spans="2:16" ht="12" customHeight="1">
      <c r="B205" s="293" t="s">
        <v>613</v>
      </c>
      <c r="C205" s="293" t="s">
        <v>412</v>
      </c>
      <c r="D205" s="294">
        <v>1134.5999999999999</v>
      </c>
      <c r="F205" s="293" t="s">
        <v>863</v>
      </c>
      <c r="G205" s="293" t="s">
        <v>412</v>
      </c>
      <c r="H205" s="294">
        <v>1174.2</v>
      </c>
      <c r="J205" s="293" t="s">
        <v>1110</v>
      </c>
      <c r="K205" s="293" t="s">
        <v>412</v>
      </c>
      <c r="L205" s="294">
        <v>1138.5999999999999</v>
      </c>
      <c r="N205" s="293" t="s">
        <v>6250</v>
      </c>
      <c r="O205" s="293" t="s">
        <v>412</v>
      </c>
      <c r="P205" s="294">
        <v>1166.3</v>
      </c>
    </row>
    <row r="206" spans="2:16" ht="12" customHeight="1">
      <c r="B206" s="293" t="s">
        <v>614</v>
      </c>
      <c r="C206" s="293" t="s">
        <v>412</v>
      </c>
      <c r="D206" s="294">
        <v>1129.0999999999999</v>
      </c>
      <c r="F206" s="293" t="s">
        <v>864</v>
      </c>
      <c r="G206" s="293" t="s">
        <v>412</v>
      </c>
      <c r="H206" s="294">
        <v>1169.5999999999999</v>
      </c>
      <c r="J206" s="293" t="s">
        <v>1111</v>
      </c>
      <c r="K206" s="293" t="s">
        <v>412</v>
      </c>
      <c r="L206" s="294">
        <v>1140.5999999999999</v>
      </c>
      <c r="N206" s="293" t="s">
        <v>6251</v>
      </c>
      <c r="O206" s="293" t="s">
        <v>412</v>
      </c>
      <c r="P206" s="294">
        <v>1168.0999999999999</v>
      </c>
    </row>
    <row r="207" spans="2:16" ht="12" customHeight="1">
      <c r="B207" s="293" t="s">
        <v>615</v>
      </c>
      <c r="C207" s="293" t="s">
        <v>412</v>
      </c>
      <c r="D207" s="294">
        <v>1127.5999999999999</v>
      </c>
      <c r="F207" s="293" t="s">
        <v>865</v>
      </c>
      <c r="G207" s="293" t="s">
        <v>412</v>
      </c>
      <c r="H207" s="294">
        <v>1166.5</v>
      </c>
      <c r="J207" s="293" t="s">
        <v>1112</v>
      </c>
      <c r="K207" s="293" t="s">
        <v>412</v>
      </c>
      <c r="L207" s="294">
        <v>1139.2</v>
      </c>
      <c r="N207" s="293" t="s">
        <v>6252</v>
      </c>
      <c r="O207" s="293" t="s">
        <v>412</v>
      </c>
      <c r="P207" s="294">
        <v>1171.7</v>
      </c>
    </row>
    <row r="208" spans="2:16" ht="12" customHeight="1">
      <c r="B208" s="293" t="s">
        <v>616</v>
      </c>
      <c r="C208" s="293" t="s">
        <v>412</v>
      </c>
      <c r="D208" s="294">
        <v>1129.3</v>
      </c>
      <c r="F208" s="293" t="s">
        <v>866</v>
      </c>
      <c r="G208" s="293" t="s">
        <v>412</v>
      </c>
      <c r="H208" s="294">
        <v>1168.4000000000001</v>
      </c>
      <c r="J208" s="293" t="s">
        <v>1113</v>
      </c>
      <c r="K208" s="293" t="s">
        <v>412</v>
      </c>
      <c r="L208" s="294">
        <v>1138.8</v>
      </c>
      <c r="N208" s="293" t="s">
        <v>6253</v>
      </c>
      <c r="O208" s="293" t="s">
        <v>412</v>
      </c>
      <c r="P208" s="294">
        <v>1169.5999999999999</v>
      </c>
    </row>
    <row r="209" spans="2:16" ht="12" customHeight="1">
      <c r="B209" s="293" t="s">
        <v>617</v>
      </c>
      <c r="C209" s="293" t="s">
        <v>412</v>
      </c>
      <c r="D209" s="294">
        <v>1133.4000000000001</v>
      </c>
      <c r="F209" s="293" t="s">
        <v>867</v>
      </c>
      <c r="G209" s="293" t="s">
        <v>412</v>
      </c>
      <c r="H209" s="294">
        <v>1161.7</v>
      </c>
      <c r="J209" s="293" t="s">
        <v>1114</v>
      </c>
      <c r="K209" s="293" t="s">
        <v>412</v>
      </c>
      <c r="L209" s="294">
        <v>1125.5</v>
      </c>
      <c r="N209" s="293" t="s">
        <v>6254</v>
      </c>
      <c r="O209" s="293" t="s">
        <v>412</v>
      </c>
      <c r="P209" s="294">
        <v>1176.3</v>
      </c>
    </row>
    <row r="210" spans="2:16" ht="12" customHeight="1">
      <c r="B210" s="293" t="s">
        <v>618</v>
      </c>
      <c r="C210" s="293" t="s">
        <v>412</v>
      </c>
      <c r="D210" s="294">
        <v>1130.4000000000001</v>
      </c>
      <c r="F210" s="293" t="s">
        <v>868</v>
      </c>
      <c r="G210" s="293" t="s">
        <v>412</v>
      </c>
      <c r="H210" s="294">
        <v>1167.5999999999999</v>
      </c>
      <c r="J210" s="293" t="s">
        <v>1115</v>
      </c>
      <c r="K210" s="293" t="s">
        <v>412</v>
      </c>
      <c r="L210" s="294">
        <v>1122.7</v>
      </c>
      <c r="N210" s="293" t="s">
        <v>6255</v>
      </c>
      <c r="O210" s="293" t="s">
        <v>412</v>
      </c>
      <c r="P210" s="294">
        <v>1175.5</v>
      </c>
    </row>
    <row r="211" spans="2:16" ht="12" customHeight="1">
      <c r="B211" s="293" t="s">
        <v>619</v>
      </c>
      <c r="C211" s="293" t="s">
        <v>412</v>
      </c>
      <c r="D211" s="294">
        <v>1134.7</v>
      </c>
      <c r="F211" s="293" t="s">
        <v>869</v>
      </c>
      <c r="G211" s="293" t="s">
        <v>412</v>
      </c>
      <c r="H211" s="294">
        <v>1160.4000000000001</v>
      </c>
      <c r="J211" s="293" t="s">
        <v>1116</v>
      </c>
      <c r="K211" s="293" t="s">
        <v>412</v>
      </c>
      <c r="L211" s="294">
        <v>1122.5</v>
      </c>
      <c r="N211" s="293" t="s">
        <v>6256</v>
      </c>
      <c r="O211" s="293" t="s">
        <v>412</v>
      </c>
      <c r="P211" s="294">
        <v>1181.0999999999999</v>
      </c>
    </row>
    <row r="212" spans="2:16" ht="12" customHeight="1">
      <c r="B212" s="293" t="s">
        <v>620</v>
      </c>
      <c r="C212" s="293" t="s">
        <v>412</v>
      </c>
      <c r="D212" s="294">
        <v>1134.5999999999999</v>
      </c>
      <c r="F212" s="293" t="s">
        <v>870</v>
      </c>
      <c r="G212" s="293" t="s">
        <v>412</v>
      </c>
      <c r="H212" s="294">
        <v>1160.0999999999999</v>
      </c>
      <c r="J212" s="293" t="s">
        <v>1117</v>
      </c>
      <c r="K212" s="293" t="s">
        <v>412</v>
      </c>
      <c r="L212" s="294">
        <v>1120.9000000000001</v>
      </c>
      <c r="N212" s="293" t="s">
        <v>6257</v>
      </c>
      <c r="O212" s="293" t="s">
        <v>412</v>
      </c>
      <c r="P212" s="294">
        <v>1180</v>
      </c>
    </row>
    <row r="213" spans="2:16" ht="12" customHeight="1">
      <c r="B213" s="293" t="s">
        <v>621</v>
      </c>
      <c r="C213" s="293" t="s">
        <v>412</v>
      </c>
      <c r="D213" s="294">
        <v>1136.5</v>
      </c>
      <c r="F213" s="293" t="s">
        <v>871</v>
      </c>
      <c r="G213" s="293" t="s">
        <v>412</v>
      </c>
      <c r="H213" s="294">
        <v>1157.5</v>
      </c>
      <c r="J213" s="293" t="s">
        <v>1118</v>
      </c>
      <c r="K213" s="293" t="s">
        <v>412</v>
      </c>
      <c r="L213" s="294">
        <v>1118.4000000000001</v>
      </c>
      <c r="N213" s="293" t="s">
        <v>6258</v>
      </c>
      <c r="O213" s="293" t="s">
        <v>412</v>
      </c>
      <c r="P213" s="294">
        <v>1185.2</v>
      </c>
    </row>
    <row r="214" spans="2:16" ht="12" customHeight="1">
      <c r="B214" s="293" t="s">
        <v>622</v>
      </c>
      <c r="C214" s="293" t="s">
        <v>412</v>
      </c>
      <c r="D214" s="294">
        <v>1130.9000000000001</v>
      </c>
      <c r="F214" s="293" t="s">
        <v>872</v>
      </c>
      <c r="G214" s="293" t="s">
        <v>412</v>
      </c>
      <c r="H214" s="294">
        <v>1160.5999999999999</v>
      </c>
      <c r="J214" s="293" t="s">
        <v>1119</v>
      </c>
      <c r="K214" s="293" t="s">
        <v>412</v>
      </c>
      <c r="L214" s="294">
        <v>1125.7</v>
      </c>
      <c r="N214" s="293" t="s">
        <v>6259</v>
      </c>
      <c r="O214" s="293" t="s">
        <v>412</v>
      </c>
      <c r="P214" s="294">
        <v>1184.3</v>
      </c>
    </row>
    <row r="215" spans="2:16" ht="12" customHeight="1">
      <c r="B215" s="293" t="s">
        <v>623</v>
      </c>
      <c r="C215" s="293" t="s">
        <v>412</v>
      </c>
      <c r="D215" s="294">
        <v>1124.4000000000001</v>
      </c>
      <c r="F215" s="293" t="s">
        <v>873</v>
      </c>
      <c r="G215" s="293" t="s">
        <v>412</v>
      </c>
      <c r="H215" s="294">
        <v>1156.0999999999999</v>
      </c>
      <c r="J215" s="293" t="s">
        <v>1120</v>
      </c>
      <c r="K215" s="293" t="s">
        <v>412</v>
      </c>
      <c r="L215" s="294">
        <v>1132</v>
      </c>
      <c r="N215" s="293" t="s">
        <v>6260</v>
      </c>
      <c r="O215" s="293" t="s">
        <v>412</v>
      </c>
      <c r="P215" s="294">
        <v>1178.4000000000001</v>
      </c>
    </row>
    <row r="216" spans="2:16" ht="12" customHeight="1">
      <c r="B216" s="293" t="s">
        <v>624</v>
      </c>
      <c r="C216" s="293" t="s">
        <v>412</v>
      </c>
      <c r="D216" s="294">
        <v>1115.5999999999999</v>
      </c>
      <c r="F216" s="293" t="s">
        <v>874</v>
      </c>
      <c r="G216" s="293" t="s">
        <v>412</v>
      </c>
      <c r="H216" s="294">
        <v>1161.3</v>
      </c>
      <c r="J216" s="293" t="s">
        <v>1121</v>
      </c>
      <c r="K216" s="293" t="s">
        <v>412</v>
      </c>
      <c r="L216" s="294">
        <v>1135.7</v>
      </c>
      <c r="N216" s="293" t="s">
        <v>6261</v>
      </c>
      <c r="O216" s="293" t="s">
        <v>412</v>
      </c>
      <c r="P216" s="294">
        <v>1181</v>
      </c>
    </row>
    <row r="217" spans="2:16" ht="12" customHeight="1">
      <c r="B217" s="293" t="s">
        <v>625</v>
      </c>
      <c r="C217" s="293" t="s">
        <v>412</v>
      </c>
      <c r="D217" s="294">
        <v>1115.9000000000001</v>
      </c>
      <c r="F217" s="293" t="s">
        <v>875</v>
      </c>
      <c r="G217" s="293" t="s">
        <v>412</v>
      </c>
      <c r="H217" s="294">
        <v>1163.5</v>
      </c>
      <c r="J217" s="293" t="s">
        <v>1122</v>
      </c>
      <c r="K217" s="293" t="s">
        <v>412</v>
      </c>
      <c r="L217" s="294">
        <v>1132.4000000000001</v>
      </c>
      <c r="N217" s="293" t="s">
        <v>6262</v>
      </c>
      <c r="O217" s="293" t="s">
        <v>412</v>
      </c>
      <c r="P217" s="294">
        <v>1184.7</v>
      </c>
    </row>
    <row r="218" spans="2:16" ht="12" customHeight="1">
      <c r="B218" s="293" t="s">
        <v>626</v>
      </c>
      <c r="C218" s="293" t="s">
        <v>412</v>
      </c>
      <c r="D218" s="294">
        <v>1112.4000000000001</v>
      </c>
      <c r="F218" s="293" t="s">
        <v>876</v>
      </c>
      <c r="G218" s="293" t="s">
        <v>412</v>
      </c>
      <c r="H218" s="294">
        <v>1167.5999999999999</v>
      </c>
      <c r="J218" s="293" t="s">
        <v>1123</v>
      </c>
      <c r="K218" s="293" t="s">
        <v>412</v>
      </c>
      <c r="L218" s="294">
        <v>1130.3</v>
      </c>
      <c r="N218" s="293" t="s">
        <v>6263</v>
      </c>
      <c r="O218" s="293" t="s">
        <v>412</v>
      </c>
      <c r="P218" s="294">
        <v>1179.5999999999999</v>
      </c>
    </row>
    <row r="219" spans="2:16" ht="12" customHeight="1">
      <c r="B219" s="293" t="s">
        <v>627</v>
      </c>
      <c r="C219" s="293" t="s">
        <v>412</v>
      </c>
      <c r="D219" s="294">
        <v>1113.2</v>
      </c>
      <c r="F219" s="293" t="s">
        <v>877</v>
      </c>
      <c r="G219" s="293" t="s">
        <v>412</v>
      </c>
      <c r="H219" s="294">
        <v>1170.4000000000001</v>
      </c>
      <c r="J219" s="293" t="s">
        <v>1124</v>
      </c>
      <c r="K219" s="293" t="s">
        <v>412</v>
      </c>
      <c r="L219" s="294">
        <v>1128.7</v>
      </c>
      <c r="N219" s="293" t="s">
        <v>6264</v>
      </c>
      <c r="O219" s="293" t="s">
        <v>412</v>
      </c>
      <c r="P219" s="294">
        <v>1180.2</v>
      </c>
    </row>
    <row r="220" spans="2:16" ht="12" customHeight="1">
      <c r="B220" s="293" t="s">
        <v>628</v>
      </c>
      <c r="C220" s="293" t="s">
        <v>412</v>
      </c>
      <c r="D220" s="294">
        <v>1115.0999999999999</v>
      </c>
      <c r="F220" s="293" t="s">
        <v>878</v>
      </c>
      <c r="G220" s="293" t="s">
        <v>412</v>
      </c>
      <c r="H220" s="294">
        <v>1166.3</v>
      </c>
      <c r="J220" s="293" t="s">
        <v>1125</v>
      </c>
      <c r="K220" s="293" t="s">
        <v>412</v>
      </c>
      <c r="L220" s="294">
        <v>1127.4000000000001</v>
      </c>
      <c r="N220" s="293" t="s">
        <v>6265</v>
      </c>
      <c r="O220" s="293" t="s">
        <v>412</v>
      </c>
      <c r="P220" s="294">
        <v>1179.5999999999999</v>
      </c>
    </row>
    <row r="221" spans="2:16" ht="12" customHeight="1">
      <c r="B221" s="293" t="s">
        <v>629</v>
      </c>
      <c r="C221" s="293" t="s">
        <v>412</v>
      </c>
      <c r="D221" s="294">
        <v>1108</v>
      </c>
      <c r="F221" s="293" t="s">
        <v>879</v>
      </c>
      <c r="G221" s="293" t="s">
        <v>412</v>
      </c>
      <c r="H221" s="294">
        <v>1164.5</v>
      </c>
      <c r="J221" s="293" t="s">
        <v>1126</v>
      </c>
      <c r="K221" s="293" t="s">
        <v>412</v>
      </c>
      <c r="L221" s="294">
        <v>1127.5</v>
      </c>
      <c r="N221" s="293" t="s">
        <v>6266</v>
      </c>
      <c r="O221" s="293" t="s">
        <v>412</v>
      </c>
      <c r="P221" s="294">
        <v>1183.5999999999999</v>
      </c>
    </row>
    <row r="222" spans="2:16" ht="12" customHeight="1">
      <c r="B222" s="293" t="s">
        <v>630</v>
      </c>
      <c r="C222" s="293" t="s">
        <v>412</v>
      </c>
      <c r="D222" s="294">
        <v>1106.8</v>
      </c>
      <c r="F222" s="293" t="s">
        <v>880</v>
      </c>
      <c r="G222" s="293" t="s">
        <v>412</v>
      </c>
      <c r="H222" s="294">
        <v>1168.5999999999999</v>
      </c>
      <c r="J222" s="293" t="s">
        <v>1127</v>
      </c>
      <c r="K222" s="293" t="s">
        <v>412</v>
      </c>
      <c r="L222" s="294">
        <v>1131.3</v>
      </c>
      <c r="N222" s="293" t="s">
        <v>6267</v>
      </c>
      <c r="O222" s="293" t="s">
        <v>412</v>
      </c>
      <c r="P222" s="294">
        <v>1180.5</v>
      </c>
    </row>
    <row r="223" spans="2:16" ht="12" customHeight="1">
      <c r="B223" s="293" t="s">
        <v>631</v>
      </c>
      <c r="C223" s="293" t="s">
        <v>412</v>
      </c>
      <c r="D223" s="294">
        <v>1105.9000000000001</v>
      </c>
      <c r="F223" s="293" t="s">
        <v>881</v>
      </c>
      <c r="G223" s="293" t="s">
        <v>412</v>
      </c>
      <c r="H223" s="294">
        <v>1170.0999999999999</v>
      </c>
      <c r="J223" s="293" t="s">
        <v>1128</v>
      </c>
      <c r="K223" s="293" t="s">
        <v>412</v>
      </c>
      <c r="L223" s="294">
        <v>1129</v>
      </c>
      <c r="N223" s="293" t="s">
        <v>6268</v>
      </c>
      <c r="O223" s="293" t="s">
        <v>412</v>
      </c>
      <c r="P223" s="294">
        <v>1183.5</v>
      </c>
    </row>
    <row r="224" spans="2:16" ht="12" customHeight="1">
      <c r="B224" s="293" t="s">
        <v>632</v>
      </c>
      <c r="C224" s="293" t="s">
        <v>412</v>
      </c>
      <c r="D224" s="294">
        <v>1112.2</v>
      </c>
      <c r="F224" s="293" t="s">
        <v>882</v>
      </c>
      <c r="G224" s="293" t="s">
        <v>412</v>
      </c>
      <c r="H224" s="294">
        <v>1176.5</v>
      </c>
      <c r="J224" s="293" t="s">
        <v>1129</v>
      </c>
      <c r="K224" s="293" t="s">
        <v>412</v>
      </c>
      <c r="L224" s="294">
        <v>1130.5</v>
      </c>
      <c r="N224" s="293" t="s">
        <v>6269</v>
      </c>
      <c r="O224" s="293" t="s">
        <v>412</v>
      </c>
      <c r="P224" s="294">
        <v>1187.4000000000001</v>
      </c>
    </row>
    <row r="225" spans="2:16" ht="12" customHeight="1">
      <c r="B225" s="293" t="s">
        <v>633</v>
      </c>
      <c r="C225" s="293" t="s">
        <v>412</v>
      </c>
      <c r="D225" s="294">
        <v>1114.2</v>
      </c>
      <c r="F225" s="293" t="s">
        <v>883</v>
      </c>
      <c r="G225" s="293" t="s">
        <v>412</v>
      </c>
      <c r="H225" s="294">
        <v>1177.8</v>
      </c>
      <c r="J225" s="293" t="s">
        <v>1130</v>
      </c>
      <c r="K225" s="293" t="s">
        <v>412</v>
      </c>
      <c r="L225" s="294">
        <v>1129.9000000000001</v>
      </c>
      <c r="N225" s="293" t="s">
        <v>6270</v>
      </c>
      <c r="O225" s="293" t="s">
        <v>412</v>
      </c>
      <c r="P225" s="294">
        <v>1188.9000000000001</v>
      </c>
    </row>
    <row r="226" spans="2:16" ht="12" customHeight="1">
      <c r="B226" s="293" t="s">
        <v>634</v>
      </c>
      <c r="C226" s="293" t="s">
        <v>412</v>
      </c>
      <c r="D226" s="294">
        <v>1112.5999999999999</v>
      </c>
      <c r="F226" s="293" t="s">
        <v>884</v>
      </c>
      <c r="G226" s="293" t="s">
        <v>412</v>
      </c>
      <c r="H226" s="294">
        <v>1176.2</v>
      </c>
      <c r="J226" s="293" t="s">
        <v>1131</v>
      </c>
      <c r="K226" s="293" t="s">
        <v>412</v>
      </c>
      <c r="L226" s="294">
        <v>1129.7</v>
      </c>
      <c r="N226" s="293" t="s">
        <v>6271</v>
      </c>
      <c r="O226" s="293" t="s">
        <v>412</v>
      </c>
      <c r="P226" s="294">
        <v>1188.5</v>
      </c>
    </row>
    <row r="227" spans="2:16" ht="12" customHeight="1">
      <c r="B227" s="293" t="s">
        <v>635</v>
      </c>
      <c r="C227" s="293" t="s">
        <v>412</v>
      </c>
      <c r="D227" s="294">
        <v>1111.2</v>
      </c>
      <c r="F227" s="293" t="s">
        <v>885</v>
      </c>
      <c r="G227" s="293" t="s">
        <v>412</v>
      </c>
      <c r="H227" s="294">
        <v>1174.4000000000001</v>
      </c>
      <c r="J227" s="293" t="s">
        <v>1132</v>
      </c>
      <c r="K227" s="293" t="s">
        <v>412</v>
      </c>
      <c r="L227" s="294">
        <v>1128.9000000000001</v>
      </c>
      <c r="N227" s="293" t="s">
        <v>6272</v>
      </c>
      <c r="O227" s="293" t="s">
        <v>412</v>
      </c>
      <c r="P227" s="294">
        <v>1189.7</v>
      </c>
    </row>
    <row r="228" spans="2:16" ht="12" customHeight="1">
      <c r="B228" s="293" t="s">
        <v>636</v>
      </c>
      <c r="C228" s="293" t="s">
        <v>412</v>
      </c>
      <c r="D228" s="294">
        <v>1107.2</v>
      </c>
      <c r="F228" s="293" t="s">
        <v>886</v>
      </c>
      <c r="G228" s="293" t="s">
        <v>412</v>
      </c>
      <c r="H228" s="294">
        <v>1176</v>
      </c>
      <c r="J228" s="293" t="s">
        <v>1133</v>
      </c>
      <c r="K228" s="293" t="s">
        <v>412</v>
      </c>
      <c r="L228" s="294">
        <v>1121.8</v>
      </c>
      <c r="N228" s="293" t="s">
        <v>6273</v>
      </c>
      <c r="O228" s="293" t="s">
        <v>412</v>
      </c>
      <c r="P228" s="294">
        <v>1193</v>
      </c>
    </row>
    <row r="229" spans="2:16" ht="12" customHeight="1">
      <c r="B229" s="293" t="s">
        <v>637</v>
      </c>
      <c r="C229" s="293" t="s">
        <v>412</v>
      </c>
      <c r="D229" s="294">
        <v>1105.8</v>
      </c>
      <c r="F229" s="293" t="s">
        <v>887</v>
      </c>
      <c r="G229" s="293" t="s">
        <v>412</v>
      </c>
      <c r="H229" s="294">
        <v>1179.3</v>
      </c>
      <c r="J229" s="293" t="s">
        <v>1134</v>
      </c>
      <c r="K229" s="293" t="s">
        <v>412</v>
      </c>
      <c r="L229" s="294">
        <v>1120.3</v>
      </c>
      <c r="N229" s="293" t="s">
        <v>6274</v>
      </c>
      <c r="O229" s="293" t="s">
        <v>412</v>
      </c>
      <c r="P229" s="294">
        <v>1193.4000000000001</v>
      </c>
    </row>
    <row r="230" spans="2:16" ht="12" customHeight="1">
      <c r="B230" s="293" t="s">
        <v>638</v>
      </c>
      <c r="C230" s="293" t="s">
        <v>412</v>
      </c>
      <c r="D230" s="294">
        <v>1104.4000000000001</v>
      </c>
      <c r="F230" s="293" t="s">
        <v>888</v>
      </c>
      <c r="G230" s="293" t="s">
        <v>412</v>
      </c>
      <c r="H230" s="294">
        <v>1180.3</v>
      </c>
      <c r="J230" s="293" t="s">
        <v>1135</v>
      </c>
      <c r="K230" s="293" t="s">
        <v>412</v>
      </c>
      <c r="L230" s="294">
        <v>1113.7</v>
      </c>
      <c r="N230" s="293" t="s">
        <v>6275</v>
      </c>
      <c r="O230" s="293" t="s">
        <v>412</v>
      </c>
      <c r="P230" s="294">
        <v>1187.7</v>
      </c>
    </row>
    <row r="231" spans="2:16" ht="12" customHeight="1">
      <c r="B231" s="293" t="s">
        <v>639</v>
      </c>
      <c r="C231" s="293" t="s">
        <v>412</v>
      </c>
      <c r="D231" s="294">
        <v>1104.9000000000001</v>
      </c>
      <c r="F231" s="293" t="s">
        <v>889</v>
      </c>
      <c r="G231" s="293" t="s">
        <v>412</v>
      </c>
      <c r="H231" s="294">
        <v>1180.4000000000001</v>
      </c>
      <c r="J231" s="293" t="s">
        <v>1136</v>
      </c>
      <c r="K231" s="293" t="s">
        <v>412</v>
      </c>
      <c r="L231" s="294">
        <v>1109.8</v>
      </c>
      <c r="N231" s="293" t="s">
        <v>6276</v>
      </c>
      <c r="O231" s="293" t="s">
        <v>412</v>
      </c>
      <c r="P231" s="294">
        <v>1180.3</v>
      </c>
    </row>
    <row r="232" spans="2:16" ht="12" customHeight="1">
      <c r="B232" s="293" t="s">
        <v>640</v>
      </c>
      <c r="C232" s="293" t="s">
        <v>412</v>
      </c>
      <c r="D232" s="294">
        <v>1107.0999999999999</v>
      </c>
      <c r="F232" s="293" t="s">
        <v>890</v>
      </c>
      <c r="G232" s="293" t="s">
        <v>412</v>
      </c>
      <c r="H232" s="294">
        <v>1186.2</v>
      </c>
      <c r="J232" s="293" t="s">
        <v>1137</v>
      </c>
      <c r="K232" s="293" t="s">
        <v>412</v>
      </c>
      <c r="L232" s="294">
        <v>1113.5999999999999</v>
      </c>
      <c r="N232" s="293" t="s">
        <v>6277</v>
      </c>
      <c r="O232" s="293" t="s">
        <v>412</v>
      </c>
      <c r="P232" s="294">
        <v>1177.3</v>
      </c>
    </row>
    <row r="233" spans="2:16" ht="12" customHeight="1">
      <c r="B233" s="293" t="s">
        <v>641</v>
      </c>
      <c r="C233" s="293" t="s">
        <v>412</v>
      </c>
      <c r="D233" s="294">
        <v>1103.3</v>
      </c>
      <c r="F233" s="293" t="s">
        <v>891</v>
      </c>
      <c r="G233" s="293" t="s">
        <v>412</v>
      </c>
      <c r="H233" s="294">
        <v>1193.7</v>
      </c>
      <c r="J233" s="293" t="s">
        <v>1138</v>
      </c>
      <c r="K233" s="293" t="s">
        <v>412</v>
      </c>
      <c r="L233" s="294">
        <v>1117.8</v>
      </c>
      <c r="N233" s="293" t="s">
        <v>6278</v>
      </c>
      <c r="O233" s="293" t="s">
        <v>412</v>
      </c>
      <c r="P233" s="294">
        <v>1178.5999999999999</v>
      </c>
    </row>
    <row r="234" spans="2:16" ht="12" customHeight="1">
      <c r="B234" s="293" t="s">
        <v>642</v>
      </c>
      <c r="C234" s="293" t="s">
        <v>412</v>
      </c>
      <c r="D234" s="294">
        <v>1098.0999999999999</v>
      </c>
      <c r="F234" s="293" t="s">
        <v>892</v>
      </c>
      <c r="G234" s="293" t="s">
        <v>412</v>
      </c>
      <c r="H234" s="294">
        <v>1190.2</v>
      </c>
      <c r="J234" s="293" t="s">
        <v>1139</v>
      </c>
      <c r="K234" s="293" t="s">
        <v>412</v>
      </c>
      <c r="L234" s="294">
        <v>1118.2</v>
      </c>
      <c r="N234" s="293" t="s">
        <v>6279</v>
      </c>
      <c r="O234" s="293" t="s">
        <v>412</v>
      </c>
      <c r="P234" s="294">
        <v>1183.7</v>
      </c>
    </row>
    <row r="235" spans="2:16" ht="12" customHeight="1">
      <c r="B235" s="293" t="s">
        <v>643</v>
      </c>
      <c r="C235" s="293" t="s">
        <v>412</v>
      </c>
      <c r="D235" s="294">
        <v>1086.5999999999999</v>
      </c>
      <c r="F235" s="293" t="s">
        <v>893</v>
      </c>
      <c r="G235" s="293" t="s">
        <v>412</v>
      </c>
      <c r="H235" s="294">
        <v>1189.7</v>
      </c>
      <c r="J235" s="293" t="s">
        <v>1140</v>
      </c>
      <c r="K235" s="293" t="s">
        <v>412</v>
      </c>
      <c r="L235" s="294">
        <v>1124.7</v>
      </c>
      <c r="N235" s="293" t="s">
        <v>6280</v>
      </c>
      <c r="O235" s="293" t="s">
        <v>412</v>
      </c>
      <c r="P235" s="294">
        <v>1181.2</v>
      </c>
    </row>
    <row r="236" spans="2:16" ht="12" customHeight="1">
      <c r="B236" s="293" t="s">
        <v>644</v>
      </c>
      <c r="C236" s="293" t="s">
        <v>412</v>
      </c>
      <c r="D236" s="294">
        <v>1082.7</v>
      </c>
      <c r="F236" s="293" t="s">
        <v>894</v>
      </c>
      <c r="G236" s="293" t="s">
        <v>412</v>
      </c>
      <c r="H236" s="294">
        <v>1189.3</v>
      </c>
      <c r="J236" s="293" t="s">
        <v>1141</v>
      </c>
      <c r="K236" s="293" t="s">
        <v>412</v>
      </c>
      <c r="L236" s="294">
        <v>1129.4000000000001</v>
      </c>
      <c r="N236" s="293" t="s">
        <v>6281</v>
      </c>
      <c r="O236" s="293" t="s">
        <v>412</v>
      </c>
      <c r="P236" s="294">
        <v>1176.4000000000001</v>
      </c>
    </row>
    <row r="237" spans="2:16" ht="12" customHeight="1">
      <c r="B237" s="293" t="s">
        <v>645</v>
      </c>
      <c r="C237" s="293" t="s">
        <v>412</v>
      </c>
      <c r="D237" s="294">
        <v>1084.4000000000001</v>
      </c>
      <c r="F237" s="293" t="s">
        <v>895</v>
      </c>
      <c r="G237" s="293" t="s">
        <v>412</v>
      </c>
      <c r="H237" s="294">
        <v>1192</v>
      </c>
      <c r="J237" s="293" t="s">
        <v>1142</v>
      </c>
      <c r="K237" s="293" t="s">
        <v>412</v>
      </c>
      <c r="L237" s="294">
        <v>1127.5999999999999</v>
      </c>
      <c r="N237" s="293" t="s">
        <v>6282</v>
      </c>
      <c r="O237" s="293" t="s">
        <v>412</v>
      </c>
      <c r="P237" s="294">
        <v>1173.8</v>
      </c>
    </row>
    <row r="238" spans="2:16" ht="12" customHeight="1">
      <c r="B238" s="293" t="s">
        <v>646</v>
      </c>
      <c r="C238" s="293" t="s">
        <v>412</v>
      </c>
      <c r="D238" s="294">
        <v>1083.5999999999999</v>
      </c>
      <c r="F238" s="293" t="s">
        <v>896</v>
      </c>
      <c r="G238" s="293" t="s">
        <v>412</v>
      </c>
      <c r="H238" s="294">
        <v>1193.3</v>
      </c>
      <c r="J238" s="293" t="s">
        <v>1143</v>
      </c>
      <c r="K238" s="293" t="s">
        <v>412</v>
      </c>
      <c r="L238" s="294">
        <v>1124</v>
      </c>
      <c r="N238" s="293" t="s">
        <v>6283</v>
      </c>
      <c r="O238" s="293" t="s">
        <v>412</v>
      </c>
      <c r="P238" s="294">
        <v>1178.2</v>
      </c>
    </row>
    <row r="239" spans="2:16" ht="12" customHeight="1">
      <c r="B239" s="293" t="s">
        <v>647</v>
      </c>
      <c r="C239" s="293" t="s">
        <v>412</v>
      </c>
      <c r="D239" s="294">
        <v>1086.2</v>
      </c>
      <c r="F239" s="293" t="s">
        <v>897</v>
      </c>
      <c r="G239" s="293" t="s">
        <v>412</v>
      </c>
      <c r="H239" s="294">
        <v>1188.5999999999999</v>
      </c>
      <c r="J239" s="293" t="s">
        <v>1144</v>
      </c>
      <c r="K239" s="293" t="s">
        <v>412</v>
      </c>
      <c r="L239" s="294">
        <v>1129.2</v>
      </c>
      <c r="N239" s="293" t="s">
        <v>6284</v>
      </c>
      <c r="O239" s="293" t="s">
        <v>412</v>
      </c>
      <c r="P239" s="294">
        <v>1178.8</v>
      </c>
    </row>
    <row r="240" spans="2:16" ht="12" customHeight="1">
      <c r="B240" s="293" t="s">
        <v>648</v>
      </c>
      <c r="C240" s="293" t="s">
        <v>412</v>
      </c>
      <c r="D240" s="294">
        <v>1089.3</v>
      </c>
      <c r="F240" s="293" t="s">
        <v>898</v>
      </c>
      <c r="G240" s="293" t="s">
        <v>412</v>
      </c>
      <c r="H240" s="294">
        <v>1171.7</v>
      </c>
      <c r="J240" s="293" t="s">
        <v>1145</v>
      </c>
      <c r="K240" s="293" t="s">
        <v>412</v>
      </c>
      <c r="L240" s="294">
        <v>1131.5999999999999</v>
      </c>
      <c r="N240" s="293" t="s">
        <v>6285</v>
      </c>
      <c r="O240" s="293" t="s">
        <v>412</v>
      </c>
      <c r="P240" s="294">
        <v>1183.5999999999999</v>
      </c>
    </row>
    <row r="241" spans="2:16" ht="12" customHeight="1">
      <c r="B241" s="293" t="s">
        <v>649</v>
      </c>
      <c r="C241" s="293" t="s">
        <v>412</v>
      </c>
      <c r="D241" s="294">
        <v>1090.8</v>
      </c>
      <c r="F241" s="293" t="s">
        <v>899</v>
      </c>
      <c r="G241" s="293" t="s">
        <v>412</v>
      </c>
      <c r="H241" s="294">
        <v>1172.9000000000001</v>
      </c>
      <c r="J241" s="293" t="s">
        <v>1146</v>
      </c>
      <c r="K241" s="293" t="s">
        <v>412</v>
      </c>
      <c r="L241" s="294">
        <v>1129.9000000000001</v>
      </c>
      <c r="N241" s="293" t="s">
        <v>6286</v>
      </c>
      <c r="O241" s="293" t="s">
        <v>412</v>
      </c>
      <c r="P241" s="294">
        <v>1186.2</v>
      </c>
    </row>
    <row r="242" spans="2:16" ht="12" customHeight="1">
      <c r="B242" s="293" t="s">
        <v>650</v>
      </c>
      <c r="C242" s="293" t="s">
        <v>412</v>
      </c>
      <c r="D242" s="294">
        <v>1093.2</v>
      </c>
      <c r="F242" s="293" t="s">
        <v>900</v>
      </c>
      <c r="G242" s="293" t="s">
        <v>412</v>
      </c>
      <c r="H242" s="294">
        <v>1166.7</v>
      </c>
      <c r="J242" s="293" t="s">
        <v>1147</v>
      </c>
      <c r="K242" s="293" t="s">
        <v>412</v>
      </c>
      <c r="L242" s="294">
        <v>1125.0999999999999</v>
      </c>
      <c r="N242" s="293" t="s">
        <v>6287</v>
      </c>
      <c r="O242" s="293" t="s">
        <v>412</v>
      </c>
      <c r="P242" s="294">
        <v>1183.5</v>
      </c>
    </row>
    <row r="243" spans="2:16" ht="12" customHeight="1">
      <c r="B243" s="293" t="s">
        <v>651</v>
      </c>
      <c r="C243" s="293" t="s">
        <v>412</v>
      </c>
      <c r="D243" s="294">
        <v>1092.2</v>
      </c>
      <c r="F243" s="293" t="s">
        <v>901</v>
      </c>
      <c r="G243" s="293" t="s">
        <v>412</v>
      </c>
      <c r="H243" s="294">
        <v>1165.3</v>
      </c>
      <c r="J243" s="293" t="s">
        <v>1148</v>
      </c>
      <c r="K243" s="293" t="s">
        <v>412</v>
      </c>
      <c r="L243" s="294">
        <v>1128.9000000000001</v>
      </c>
      <c r="N243" s="293"/>
      <c r="O243" s="293"/>
      <c r="P243" s="294"/>
    </row>
    <row r="244" spans="2:16" ht="12" customHeight="1">
      <c r="B244" s="293" t="s">
        <v>652</v>
      </c>
      <c r="C244" s="293" t="s">
        <v>412</v>
      </c>
      <c r="D244" s="294">
        <v>1092.8</v>
      </c>
      <c r="F244" s="293" t="s">
        <v>902</v>
      </c>
      <c r="G244" s="293" t="s">
        <v>412</v>
      </c>
      <c r="H244" s="294">
        <v>1164.5</v>
      </c>
      <c r="J244" s="293" t="s">
        <v>1149</v>
      </c>
      <c r="K244" s="293" t="s">
        <v>412</v>
      </c>
      <c r="L244" s="294">
        <v>1123.9000000000001</v>
      </c>
      <c r="N244" s="293"/>
      <c r="O244" s="293"/>
      <c r="P244" s="294"/>
    </row>
    <row r="245" spans="2:16" ht="12" customHeight="1">
      <c r="B245" s="293" t="s">
        <v>653</v>
      </c>
      <c r="C245" s="293" t="s">
        <v>412</v>
      </c>
      <c r="D245" s="294">
        <v>1097.9000000000001</v>
      </c>
      <c r="F245" s="293" t="s">
        <v>903</v>
      </c>
      <c r="G245" s="293" t="s">
        <v>412</v>
      </c>
      <c r="H245" s="294">
        <v>1162.5999999999999</v>
      </c>
      <c r="J245" s="293" t="s">
        <v>1150</v>
      </c>
      <c r="K245" s="293" t="s">
        <v>412</v>
      </c>
      <c r="L245" s="294">
        <v>1125.2</v>
      </c>
      <c r="N245" s="293"/>
      <c r="O245" s="293"/>
      <c r="P245" s="294"/>
    </row>
    <row r="246" spans="2:16" ht="12" customHeight="1">
      <c r="B246" s="293" t="s">
        <v>654</v>
      </c>
      <c r="C246" s="293" t="s">
        <v>412</v>
      </c>
      <c r="D246" s="294">
        <v>1101.2</v>
      </c>
      <c r="F246" s="293" t="s">
        <v>904</v>
      </c>
      <c r="G246" s="293" t="s">
        <v>412</v>
      </c>
      <c r="H246" s="294">
        <v>1161.7</v>
      </c>
      <c r="J246" s="293" t="s">
        <v>1151</v>
      </c>
      <c r="K246" s="293" t="s">
        <v>412</v>
      </c>
      <c r="L246" s="294">
        <v>1125.5999999999999</v>
      </c>
      <c r="N246" s="293"/>
      <c r="O246" s="293"/>
      <c r="P246" s="294"/>
    </row>
    <row r="247" spans="2:16" ht="12" customHeight="1">
      <c r="B247" s="293" t="s">
        <v>655</v>
      </c>
      <c r="C247" s="293" t="s">
        <v>412</v>
      </c>
      <c r="D247" s="294">
        <v>1106.5999999999999</v>
      </c>
      <c r="F247" s="293" t="s">
        <v>905</v>
      </c>
      <c r="G247" s="293" t="s">
        <v>412</v>
      </c>
      <c r="H247" s="294">
        <v>1163.7</v>
      </c>
      <c r="J247" s="293" t="s">
        <v>1152</v>
      </c>
      <c r="K247" s="293" t="s">
        <v>412</v>
      </c>
      <c r="L247" s="294">
        <v>1121.3</v>
      </c>
      <c r="N247" s="293"/>
      <c r="O247" s="293"/>
      <c r="P247" s="294"/>
    </row>
    <row r="248" spans="2:16" ht="12" customHeight="1">
      <c r="B248" s="293" t="s">
        <v>656</v>
      </c>
      <c r="C248" s="293" t="s">
        <v>412</v>
      </c>
      <c r="D248" s="294">
        <v>1108.9000000000001</v>
      </c>
      <c r="F248" s="293" t="s">
        <v>906</v>
      </c>
      <c r="G248" s="293" t="s">
        <v>412</v>
      </c>
      <c r="H248" s="294">
        <v>1161.2</v>
      </c>
      <c r="J248" s="293" t="s">
        <v>1153</v>
      </c>
      <c r="K248" s="293" t="s">
        <v>412</v>
      </c>
      <c r="L248" s="294">
        <v>1118.0999999999999</v>
      </c>
      <c r="N248" s="293"/>
      <c r="O248" s="293"/>
      <c r="P248" s="294"/>
    </row>
    <row r="249" spans="2:16" ht="12" customHeight="1">
      <c r="B249" s="293" t="s">
        <v>657</v>
      </c>
      <c r="C249" s="293" t="s">
        <v>412</v>
      </c>
      <c r="D249" s="294">
        <v>1103.7</v>
      </c>
      <c r="F249" s="293" t="s">
        <v>907</v>
      </c>
      <c r="G249" s="293" t="s">
        <v>412</v>
      </c>
      <c r="H249" s="294">
        <v>1160.9000000000001</v>
      </c>
      <c r="J249" s="293"/>
      <c r="K249" s="293"/>
      <c r="L249" s="294"/>
    </row>
    <row r="250" spans="2:16" ht="12" customHeight="1">
      <c r="B250" s="293" t="s">
        <v>658</v>
      </c>
      <c r="C250" s="293" t="s">
        <v>412</v>
      </c>
      <c r="D250" s="294">
        <v>1098.2</v>
      </c>
      <c r="F250" s="293" t="s">
        <v>908</v>
      </c>
      <c r="G250" s="293" t="s">
        <v>412</v>
      </c>
      <c r="H250" s="294">
        <v>1157.8</v>
      </c>
      <c r="J250" s="293"/>
      <c r="K250" s="293"/>
      <c r="L250" s="294"/>
    </row>
    <row r="251" spans="2:16" ht="12" customHeight="1">
      <c r="B251" s="293" t="s">
        <v>659</v>
      </c>
      <c r="C251" s="293" t="s">
        <v>412</v>
      </c>
      <c r="D251" s="294">
        <v>1093.2</v>
      </c>
      <c r="F251" s="293"/>
      <c r="G251" s="293"/>
      <c r="H251" s="294"/>
    </row>
    <row r="252" spans="2:16" ht="12" customHeight="1">
      <c r="B252" s="293" t="s">
        <v>660</v>
      </c>
      <c r="C252" s="293" t="s">
        <v>412</v>
      </c>
      <c r="D252" s="294">
        <v>1088</v>
      </c>
      <c r="F252" s="293"/>
      <c r="G252" s="293"/>
      <c r="H252" s="294"/>
    </row>
  </sheetData>
  <phoneticPr fontId="1"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B2:U102"/>
  <sheetViews>
    <sheetView workbookViewId="0"/>
  </sheetViews>
  <sheetFormatPr defaultColWidth="9" defaultRowHeight="12"/>
  <cols>
    <col min="1" max="1" width="4.375" style="3" customWidth="1"/>
    <col min="2" max="15" width="9" style="3"/>
    <col min="16" max="16" width="9.75" style="3" bestFit="1" customWidth="1"/>
    <col min="17" max="16384" width="9" style="3"/>
  </cols>
  <sheetData>
    <row r="2" spans="2:13">
      <c r="B2" s="3" t="s">
        <v>381</v>
      </c>
    </row>
    <row r="3" spans="2:13">
      <c r="B3" s="269" t="s">
        <v>382</v>
      </c>
      <c r="C3" s="5140" t="s">
        <v>135</v>
      </c>
      <c r="D3" s="5140" t="s">
        <v>133</v>
      </c>
      <c r="E3" s="5140" t="s">
        <v>128</v>
      </c>
      <c r="F3" s="5140" t="s">
        <v>126</v>
      </c>
      <c r="G3" s="5140" t="s">
        <v>383</v>
      </c>
      <c r="H3" s="270" t="s">
        <v>384</v>
      </c>
      <c r="I3" s="270" t="s">
        <v>385</v>
      </c>
      <c r="J3" s="270" t="s">
        <v>386</v>
      </c>
      <c r="K3" s="270" t="s">
        <v>387</v>
      </c>
      <c r="L3" s="270" t="s">
        <v>5203</v>
      </c>
    </row>
    <row r="4" spans="2:13">
      <c r="B4" s="235" t="s">
        <v>388</v>
      </c>
      <c r="C4" s="5143"/>
      <c r="D4" s="5143">
        <v>14.5</v>
      </c>
      <c r="E4" s="5143"/>
      <c r="F4" s="5143">
        <v>15.4</v>
      </c>
      <c r="G4" s="5143"/>
      <c r="H4" s="271">
        <v>15</v>
      </c>
      <c r="I4" s="271"/>
      <c r="J4" s="272">
        <v>40</v>
      </c>
      <c r="K4" s="271"/>
      <c r="L4" s="271"/>
      <c r="M4" s="3" t="s">
        <v>13526</v>
      </c>
    </row>
    <row r="5" spans="2:13">
      <c r="B5" s="273" t="s">
        <v>389</v>
      </c>
      <c r="C5" s="5143">
        <v>28.7</v>
      </c>
      <c r="D5" s="5143"/>
      <c r="E5" s="5143">
        <v>39.1</v>
      </c>
      <c r="F5" s="5143"/>
      <c r="G5" s="5144">
        <v>40</v>
      </c>
      <c r="H5" s="271"/>
      <c r="I5" s="271">
        <v>25</v>
      </c>
      <c r="J5" s="271"/>
      <c r="K5" s="271">
        <v>25</v>
      </c>
      <c r="L5" s="271"/>
      <c r="M5" s="3" t="s">
        <v>13526</v>
      </c>
    </row>
    <row r="6" spans="2:13">
      <c r="I6" s="305"/>
    </row>
    <row r="8" spans="2:13">
      <c r="B8" s="3" t="s">
        <v>390</v>
      </c>
    </row>
    <row r="9" spans="2:13">
      <c r="B9" s="269" t="s">
        <v>382</v>
      </c>
      <c r="C9" s="5140" t="s">
        <v>135</v>
      </c>
      <c r="D9" s="5140" t="s">
        <v>133</v>
      </c>
      <c r="E9" s="5140" t="s">
        <v>128</v>
      </c>
      <c r="F9" s="5140" t="s">
        <v>126</v>
      </c>
      <c r="G9" s="5140" t="s">
        <v>383</v>
      </c>
      <c r="H9" s="270" t="s">
        <v>384</v>
      </c>
      <c r="I9" s="270" t="s">
        <v>385</v>
      </c>
      <c r="J9" s="270" t="s">
        <v>386</v>
      </c>
      <c r="K9" s="270" t="s">
        <v>387</v>
      </c>
    </row>
    <row r="10" spans="2:13">
      <c r="B10" s="235" t="s">
        <v>388</v>
      </c>
      <c r="C10" s="5141">
        <v>0.97499999999999998</v>
      </c>
      <c r="D10" s="5141">
        <v>0.93799999999999994</v>
      </c>
      <c r="E10" s="5141">
        <v>0.95599999999999996</v>
      </c>
      <c r="F10" s="5141">
        <v>0.94099999999999995</v>
      </c>
      <c r="G10" s="5141">
        <v>0.95099999999999996</v>
      </c>
      <c r="H10" s="241">
        <v>0.94099999999999995</v>
      </c>
      <c r="I10" s="241">
        <v>0.96899999999999997</v>
      </c>
      <c r="J10" s="274">
        <f>1-J30*J29</f>
        <v>0.87136131386861304</v>
      </c>
      <c r="K10" s="275">
        <f>1-K30*K29</f>
        <v>0.9668126520681265</v>
      </c>
      <c r="L10" s="3" t="s">
        <v>13526</v>
      </c>
      <c r="M10" s="276"/>
    </row>
    <row r="11" spans="2:13">
      <c r="B11" s="273" t="s">
        <v>389</v>
      </c>
      <c r="C11" s="5141">
        <v>0.81799999999999995</v>
      </c>
      <c r="D11" s="5141">
        <v>0.90700000000000003</v>
      </c>
      <c r="E11" s="5141">
        <v>0.77800000000000002</v>
      </c>
      <c r="F11" s="5141">
        <v>0.91100000000000003</v>
      </c>
      <c r="G11" s="5142">
        <v>0.80600000000000005</v>
      </c>
      <c r="H11" s="241">
        <v>0.91100000000000003</v>
      </c>
      <c r="I11" s="241">
        <v>0.86799999999999999</v>
      </c>
      <c r="J11" s="275">
        <f>1-J39*J40</f>
        <v>0.90805517241379308</v>
      </c>
      <c r="K11" s="275">
        <f>1-K39*K40</f>
        <v>0.86799999999999999</v>
      </c>
      <c r="L11" s="3" t="s">
        <v>13526</v>
      </c>
      <c r="M11" s="276"/>
    </row>
    <row r="12" spans="2:13">
      <c r="D12" s="278">
        <f>(D10*D15+D11*D16)/D17</f>
        <v>0.92683527096900242</v>
      </c>
      <c r="E12" s="278">
        <f t="shared" ref="E12:G12" si="0">(E10*E15+E11*E16)/E17</f>
        <v>0.89405892627075967</v>
      </c>
      <c r="F12" s="278">
        <f t="shared" si="0"/>
        <v>0.93027973977695166</v>
      </c>
      <c r="G12" s="278">
        <f t="shared" si="0"/>
        <v>0.90170186735350921</v>
      </c>
    </row>
    <row r="13" spans="2:13">
      <c r="B13" s="3" t="s">
        <v>391</v>
      </c>
    </row>
    <row r="14" spans="2:13">
      <c r="B14" s="269" t="s">
        <v>382</v>
      </c>
      <c r="C14" s="270" t="s">
        <v>135</v>
      </c>
      <c r="D14" s="270" t="s">
        <v>133</v>
      </c>
      <c r="E14" s="270" t="s">
        <v>128</v>
      </c>
      <c r="F14" s="270" t="s">
        <v>126</v>
      </c>
      <c r="G14" s="270" t="s">
        <v>383</v>
      </c>
      <c r="H14" s="270" t="s">
        <v>384</v>
      </c>
      <c r="I14" s="270" t="s">
        <v>385</v>
      </c>
      <c r="J14" s="270" t="s">
        <v>386</v>
      </c>
      <c r="K14" s="270" t="s">
        <v>387</v>
      </c>
    </row>
    <row r="15" spans="2:13">
      <c r="B15" s="235" t="s">
        <v>388</v>
      </c>
      <c r="C15" s="240">
        <v>425075</v>
      </c>
      <c r="D15" s="240">
        <v>415913</v>
      </c>
      <c r="E15" s="240">
        <v>415489</v>
      </c>
      <c r="F15" s="240">
        <v>414900</v>
      </c>
      <c r="G15" s="240">
        <f>K56</f>
        <v>410000</v>
      </c>
      <c r="H15" s="240">
        <v>418200</v>
      </c>
      <c r="I15" s="240">
        <v>422900</v>
      </c>
      <c r="J15" s="277">
        <f>J20*J10</f>
        <v>380287.61572243186</v>
      </c>
      <c r="K15" s="240">
        <f>K20*K10</f>
        <v>421945.37725450023</v>
      </c>
      <c r="L15" s="278">
        <f>SUM(C15:I15)/SUM(C17:I17)</f>
        <v>0.64972261239233642</v>
      </c>
      <c r="M15" s="278">
        <f>SUM(C15:F15)/SUM(C17:F17)</f>
        <v>0.64906886810990749</v>
      </c>
    </row>
    <row r="16" spans="2:13">
      <c r="B16" s="273" t="s">
        <v>389</v>
      </c>
      <c r="C16" s="240">
        <v>217107</v>
      </c>
      <c r="D16" s="240">
        <v>234106</v>
      </c>
      <c r="E16" s="240">
        <v>221748</v>
      </c>
      <c r="F16" s="240">
        <v>230700</v>
      </c>
      <c r="G16" s="277">
        <f>K57</f>
        <v>211200</v>
      </c>
      <c r="H16" s="240">
        <v>234000</v>
      </c>
      <c r="I16" s="240">
        <v>226700</v>
      </c>
      <c r="J16" s="240">
        <f>J21*J11</f>
        <v>237161.41426982361</v>
      </c>
      <c r="K16" s="240">
        <f>K21*K11</f>
        <v>226700</v>
      </c>
      <c r="L16" s="278">
        <f>1-L15</f>
        <v>0.35027738760766358</v>
      </c>
      <c r="M16" s="278">
        <f>1-M15</f>
        <v>0.35093113189009251</v>
      </c>
    </row>
    <row r="17" spans="2:14">
      <c r="C17" s="248">
        <f>SUM(C15:C16)</f>
        <v>642182</v>
      </c>
      <c r="D17" s="248">
        <f t="shared" ref="D17:I17" si="1">SUM(D15:D16)</f>
        <v>650019</v>
      </c>
      <c r="E17" s="248">
        <f t="shared" si="1"/>
        <v>637237</v>
      </c>
      <c r="F17" s="248">
        <f t="shared" si="1"/>
        <v>645600</v>
      </c>
      <c r="G17" s="248">
        <f t="shared" si="1"/>
        <v>621200</v>
      </c>
      <c r="H17" s="248">
        <f t="shared" si="1"/>
        <v>652200</v>
      </c>
      <c r="I17" s="248">
        <f t="shared" si="1"/>
        <v>649600</v>
      </c>
      <c r="J17" s="248">
        <f>SUM(J15:J16)</f>
        <v>617449.0299922555</v>
      </c>
      <c r="K17" s="248">
        <f>SUM(K15:K16)</f>
        <v>648645.37725450029</v>
      </c>
    </row>
    <row r="18" spans="2:14">
      <c r="B18" s="3" t="s">
        <v>392</v>
      </c>
      <c r="J18" s="279">
        <f>J17/I17</f>
        <v>0.95050651168758549</v>
      </c>
      <c r="K18" s="279">
        <f>K17/I17</f>
        <v>0.99853044528094259</v>
      </c>
    </row>
    <row r="19" spans="2:14">
      <c r="B19" s="269" t="s">
        <v>382</v>
      </c>
      <c r="C19" s="270" t="s">
        <v>135</v>
      </c>
      <c r="D19" s="270" t="s">
        <v>133</v>
      </c>
      <c r="E19" s="270" t="s">
        <v>128</v>
      </c>
      <c r="F19" s="270" t="s">
        <v>126</v>
      </c>
      <c r="G19" s="270" t="s">
        <v>383</v>
      </c>
      <c r="H19" s="270" t="s">
        <v>384</v>
      </c>
      <c r="I19" s="270" t="s">
        <v>385</v>
      </c>
      <c r="J19" s="270" t="s">
        <v>386</v>
      </c>
      <c r="K19" s="270" t="s">
        <v>387</v>
      </c>
    </row>
    <row r="20" spans="2:14">
      <c r="B20" s="235" t="s">
        <v>388</v>
      </c>
      <c r="C20" s="240">
        <f>C15/C10</f>
        <v>435974.358974359</v>
      </c>
      <c r="D20" s="240">
        <f t="shared" ref="D20:I21" si="2">D15/D10</f>
        <v>443404.05117270793</v>
      </c>
      <c r="E20" s="240">
        <f t="shared" si="2"/>
        <v>434611.92468619248</v>
      </c>
      <c r="F20" s="240">
        <f t="shared" si="2"/>
        <v>440913.92136025504</v>
      </c>
      <c r="G20" s="240">
        <f t="shared" si="2"/>
        <v>431125.13144058886</v>
      </c>
      <c r="H20" s="240">
        <f t="shared" si="2"/>
        <v>444420.8289054198</v>
      </c>
      <c r="I20" s="240">
        <f>I15/I10</f>
        <v>436429.30856553151</v>
      </c>
      <c r="J20" s="277">
        <f>I20</f>
        <v>436429.30856553151</v>
      </c>
      <c r="K20" s="240">
        <f>J20</f>
        <v>436429.30856553151</v>
      </c>
      <c r="L20" s="278">
        <f>SUM(C20:I20)/SUM(C22:I22)</f>
        <v>0.62478020012834468</v>
      </c>
    </row>
    <row r="21" spans="2:14">
      <c r="B21" s="273" t="s">
        <v>389</v>
      </c>
      <c r="C21" s="240">
        <f>C16/C11</f>
        <v>265411.9804400978</v>
      </c>
      <c r="D21" s="240">
        <f t="shared" si="2"/>
        <v>258110.25358324146</v>
      </c>
      <c r="E21" s="240">
        <f t="shared" si="2"/>
        <v>285023.13624678663</v>
      </c>
      <c r="F21" s="240">
        <f t="shared" si="2"/>
        <v>253238.19978046103</v>
      </c>
      <c r="G21" s="277">
        <f t="shared" si="2"/>
        <v>262034.73945409426</v>
      </c>
      <c r="H21" s="240">
        <f t="shared" si="2"/>
        <v>256860.59275521405</v>
      </c>
      <c r="I21" s="240">
        <f t="shared" si="2"/>
        <v>261175.11520737328</v>
      </c>
      <c r="J21" s="240">
        <f>I21</f>
        <v>261175.11520737328</v>
      </c>
      <c r="K21" s="240">
        <f>J21</f>
        <v>261175.11520737328</v>
      </c>
      <c r="L21" s="278">
        <f>1-L20</f>
        <v>0.37521979987165532</v>
      </c>
    </row>
    <row r="22" spans="2:14">
      <c r="C22" s="248">
        <f t="shared" ref="C22:I22" si="3">SUM(C20:C21)</f>
        <v>701386.33941445686</v>
      </c>
      <c r="D22" s="248">
        <f t="shared" si="3"/>
        <v>701514.30475594942</v>
      </c>
      <c r="E22" s="248">
        <f t="shared" si="3"/>
        <v>719635.0609329791</v>
      </c>
      <c r="F22" s="248">
        <f t="shared" si="3"/>
        <v>694152.12114071613</v>
      </c>
      <c r="G22" s="36">
        <f t="shared" si="3"/>
        <v>693159.87089468306</v>
      </c>
      <c r="H22" s="248">
        <f t="shared" si="3"/>
        <v>701281.42166063387</v>
      </c>
      <c r="I22" s="248">
        <f t="shared" si="3"/>
        <v>697604.42377290479</v>
      </c>
      <c r="J22" s="248"/>
      <c r="K22" s="248"/>
    </row>
    <row r="23" spans="2:14">
      <c r="C23" s="248"/>
      <c r="D23" s="248"/>
      <c r="E23" s="248"/>
      <c r="F23" s="248"/>
      <c r="G23" s="36"/>
      <c r="H23" s="248"/>
      <c r="I23" s="248"/>
      <c r="J23" s="248"/>
      <c r="K23" s="248"/>
    </row>
    <row r="24" spans="2:14">
      <c r="B24" s="235"/>
      <c r="C24" s="235"/>
      <c r="D24" s="235">
        <v>2018</v>
      </c>
      <c r="E24" s="235">
        <v>2019</v>
      </c>
      <c r="F24" s="235">
        <v>2020</v>
      </c>
      <c r="G24" s="235">
        <v>2021</v>
      </c>
      <c r="H24" s="235">
        <v>2022</v>
      </c>
      <c r="I24" s="235">
        <v>2023</v>
      </c>
      <c r="J24" s="280">
        <v>2024</v>
      </c>
      <c r="K24" s="280">
        <v>2025</v>
      </c>
      <c r="M24" s="3">
        <v>2024</v>
      </c>
      <c r="N24" s="3" t="s">
        <v>393</v>
      </c>
    </row>
    <row r="25" spans="2:14">
      <c r="B25" s="235" t="s">
        <v>388</v>
      </c>
      <c r="C25" s="235" t="s">
        <v>394</v>
      </c>
      <c r="D25" s="235">
        <v>348</v>
      </c>
      <c r="E25" s="235">
        <v>0</v>
      </c>
      <c r="F25" s="235">
        <v>370</v>
      </c>
      <c r="G25" s="235">
        <v>0</v>
      </c>
      <c r="H25" s="235">
        <v>360</v>
      </c>
      <c r="I25" s="235">
        <v>0</v>
      </c>
      <c r="J25" s="281">
        <f>J4*24</f>
        <v>960</v>
      </c>
      <c r="K25" s="281">
        <v>0</v>
      </c>
      <c r="M25" s="3">
        <v>2025</v>
      </c>
      <c r="N25" s="3" t="s">
        <v>395</v>
      </c>
    </row>
    <row r="26" spans="2:14">
      <c r="B26" s="235"/>
      <c r="C26" s="235" t="s">
        <v>396</v>
      </c>
      <c r="D26" s="235">
        <v>116</v>
      </c>
      <c r="E26" s="235">
        <v>202</v>
      </c>
      <c r="F26" s="235">
        <v>62</v>
      </c>
      <c r="G26" s="235">
        <v>144</v>
      </c>
      <c r="H26" s="235">
        <v>60</v>
      </c>
      <c r="I26" s="235">
        <v>144</v>
      </c>
      <c r="J26" s="281">
        <f>AVERAGE(H26,F26,D26)</f>
        <v>79.333333333333329</v>
      </c>
      <c r="K26" s="281">
        <f>AVERAGE(I26,G26,E26)</f>
        <v>163.33333333333334</v>
      </c>
    </row>
    <row r="27" spans="2:14">
      <c r="B27" s="235"/>
      <c r="C27" s="235" t="s">
        <v>397</v>
      </c>
      <c r="D27" s="235">
        <v>50</v>
      </c>
      <c r="E27" s="235">
        <v>150</v>
      </c>
      <c r="F27" s="235">
        <v>83</v>
      </c>
      <c r="G27" s="235">
        <v>100</v>
      </c>
      <c r="H27" s="235">
        <v>70</v>
      </c>
      <c r="I27" s="235">
        <v>100</v>
      </c>
      <c r="J27" s="281">
        <f>AVERAGE(H27,F27,D27)</f>
        <v>67.666666666666671</v>
      </c>
      <c r="K27" s="280">
        <f>I27</f>
        <v>100</v>
      </c>
    </row>
    <row r="28" spans="2:14">
      <c r="B28" s="235"/>
      <c r="C28" s="235" t="s">
        <v>398</v>
      </c>
      <c r="D28" s="235">
        <v>25</v>
      </c>
      <c r="E28" s="235">
        <v>35</v>
      </c>
      <c r="F28" s="235">
        <v>35</v>
      </c>
      <c r="G28" s="235">
        <v>50</v>
      </c>
      <c r="H28" s="235">
        <v>30</v>
      </c>
      <c r="I28" s="235">
        <v>30</v>
      </c>
      <c r="J28" s="280">
        <f>I28</f>
        <v>30</v>
      </c>
      <c r="K28" s="280">
        <f>J28</f>
        <v>30</v>
      </c>
      <c r="L28" s="3" t="s">
        <v>399</v>
      </c>
    </row>
    <row r="29" spans="2:14">
      <c r="B29" s="235"/>
      <c r="C29" s="235" t="s">
        <v>400</v>
      </c>
      <c r="D29" s="235">
        <f t="shared" ref="D29:K29" si="4">SUM(D25:D28)</f>
        <v>539</v>
      </c>
      <c r="E29" s="235">
        <f t="shared" si="4"/>
        <v>387</v>
      </c>
      <c r="F29" s="235">
        <f t="shared" si="4"/>
        <v>550</v>
      </c>
      <c r="G29" s="235">
        <f t="shared" si="4"/>
        <v>294</v>
      </c>
      <c r="H29" s="235">
        <f t="shared" si="4"/>
        <v>520</v>
      </c>
      <c r="I29" s="235">
        <f t="shared" si="4"/>
        <v>274</v>
      </c>
      <c r="J29" s="281">
        <f t="shared" si="4"/>
        <v>1137</v>
      </c>
      <c r="K29" s="281">
        <f t="shared" si="4"/>
        <v>293.33333333333337</v>
      </c>
    </row>
    <row r="30" spans="2:14">
      <c r="B30" s="235"/>
      <c r="C30" s="235"/>
      <c r="D30" s="282">
        <f t="shared" ref="D30:I30" si="5">(1-D10)/D29</f>
        <v>1.150278293135437E-4</v>
      </c>
      <c r="E30" s="282">
        <f t="shared" si="5"/>
        <v>1.1369509043927659E-4</v>
      </c>
      <c r="F30" s="282">
        <f t="shared" si="5"/>
        <v>1.0727272727272736E-4</v>
      </c>
      <c r="G30" s="282">
        <f t="shared" si="5"/>
        <v>1.6666666666666682E-4</v>
      </c>
      <c r="H30" s="282">
        <f t="shared" si="5"/>
        <v>1.1346153846153856E-4</v>
      </c>
      <c r="I30" s="282">
        <f t="shared" si="5"/>
        <v>1.1313868613138696E-4</v>
      </c>
      <c r="J30" s="283">
        <f>I30</f>
        <v>1.1313868613138696E-4</v>
      </c>
      <c r="K30" s="283">
        <f>J30</f>
        <v>1.1313868613138696E-4</v>
      </c>
    </row>
    <row r="31" spans="2:14">
      <c r="D31" s="2616">
        <f>(D25+D26)/24</f>
        <v>19.333333333333332</v>
      </c>
      <c r="E31" s="2616">
        <f t="shared" ref="E31:K31" si="6">(E25+E26)/24</f>
        <v>8.4166666666666661</v>
      </c>
      <c r="F31" s="2616">
        <f t="shared" si="6"/>
        <v>18</v>
      </c>
      <c r="G31" s="2616">
        <f t="shared" si="6"/>
        <v>6</v>
      </c>
      <c r="H31" s="2616">
        <f t="shared" si="6"/>
        <v>17.5</v>
      </c>
      <c r="I31" s="2616">
        <f t="shared" si="6"/>
        <v>6</v>
      </c>
      <c r="J31" s="2616">
        <f t="shared" si="6"/>
        <v>43.30555555555555</v>
      </c>
      <c r="K31" s="2616">
        <f t="shared" si="6"/>
        <v>6.8055555555555562</v>
      </c>
    </row>
    <row r="32" spans="2:14">
      <c r="D32" s="2616">
        <f>SUM(D27:D28)/24</f>
        <v>3.125</v>
      </c>
      <c r="E32" s="2616">
        <f t="shared" ref="E32:K32" si="7">SUM(E27:E28)/24</f>
        <v>7.708333333333333</v>
      </c>
      <c r="F32" s="2616">
        <f t="shared" si="7"/>
        <v>4.916666666666667</v>
      </c>
      <c r="G32" s="2616">
        <f t="shared" si="7"/>
        <v>6.25</v>
      </c>
      <c r="H32" s="2616">
        <f t="shared" si="7"/>
        <v>4.166666666666667</v>
      </c>
      <c r="I32" s="2616">
        <f t="shared" si="7"/>
        <v>5.416666666666667</v>
      </c>
      <c r="J32" s="2616">
        <f t="shared" si="7"/>
        <v>4.0694444444444446</v>
      </c>
      <c r="K32" s="2616">
        <f t="shared" si="7"/>
        <v>5.416666666666667</v>
      </c>
    </row>
    <row r="34" spans="2:20">
      <c r="B34" s="235"/>
      <c r="C34" s="235"/>
      <c r="D34" s="235">
        <v>2018</v>
      </c>
      <c r="E34" s="235">
        <v>2019</v>
      </c>
      <c r="F34" s="235">
        <v>2020</v>
      </c>
      <c r="G34" s="163">
        <v>2021</v>
      </c>
      <c r="H34" s="235">
        <v>2022</v>
      </c>
      <c r="I34" s="235">
        <v>2023</v>
      </c>
      <c r="J34" s="280">
        <v>2024</v>
      </c>
      <c r="K34" s="280">
        <v>2025</v>
      </c>
      <c r="M34" s="3">
        <v>2024</v>
      </c>
      <c r="N34" s="3" t="s">
        <v>401</v>
      </c>
    </row>
    <row r="35" spans="2:20">
      <c r="B35" s="235" t="s">
        <v>389</v>
      </c>
      <c r="C35" s="235" t="s">
        <v>394</v>
      </c>
      <c r="D35" s="235">
        <v>0</v>
      </c>
      <c r="E35" s="235">
        <v>939</v>
      </c>
      <c r="F35" s="235">
        <v>0</v>
      </c>
      <c r="G35" s="163">
        <v>960</v>
      </c>
      <c r="H35" s="235">
        <v>0</v>
      </c>
      <c r="I35" s="235">
        <v>600</v>
      </c>
      <c r="J35" s="280">
        <v>0</v>
      </c>
      <c r="K35" s="281">
        <f>K5*24</f>
        <v>600</v>
      </c>
      <c r="M35" s="3">
        <v>2025</v>
      </c>
      <c r="N35" s="3" t="s">
        <v>402</v>
      </c>
    </row>
    <row r="36" spans="2:20">
      <c r="B36" s="235"/>
      <c r="C36" s="235" t="s">
        <v>396</v>
      </c>
      <c r="D36" s="235">
        <v>267</v>
      </c>
      <c r="E36" s="235">
        <v>118</v>
      </c>
      <c r="F36" s="235">
        <v>235</v>
      </c>
      <c r="G36" s="163">
        <v>120</v>
      </c>
      <c r="H36" s="235">
        <v>222</v>
      </c>
      <c r="I36" s="235">
        <v>120</v>
      </c>
      <c r="J36" s="281">
        <f>AVERAGE(H36,F36,D36)</f>
        <v>241.33333333333334</v>
      </c>
      <c r="K36" s="280">
        <f>I36</f>
        <v>120</v>
      </c>
    </row>
    <row r="37" spans="2:20">
      <c r="B37" s="235"/>
      <c r="C37" s="235" t="s">
        <v>397</v>
      </c>
      <c r="D37" s="235">
        <v>264</v>
      </c>
      <c r="E37" s="235">
        <v>661</v>
      </c>
      <c r="F37" s="235">
        <v>309</v>
      </c>
      <c r="G37" s="163">
        <v>200</v>
      </c>
      <c r="H37" s="235">
        <v>300</v>
      </c>
      <c r="I37" s="235">
        <v>200</v>
      </c>
      <c r="J37" s="281">
        <f>AVERAGE(H37,F37,D37)</f>
        <v>291</v>
      </c>
      <c r="K37" s="280">
        <f>I37</f>
        <v>200</v>
      </c>
    </row>
    <row r="38" spans="2:20">
      <c r="B38" s="235"/>
      <c r="C38" s="235" t="s">
        <v>398</v>
      </c>
      <c r="D38" s="235">
        <v>287</v>
      </c>
      <c r="E38" s="235">
        <v>230</v>
      </c>
      <c r="F38" s="235">
        <v>284</v>
      </c>
      <c r="G38" s="163">
        <v>233</v>
      </c>
      <c r="H38" s="235">
        <v>256</v>
      </c>
      <c r="I38" s="235">
        <v>240</v>
      </c>
      <c r="J38" s="281">
        <f>AVERAGE(H38,F38,D38)</f>
        <v>275.66666666666669</v>
      </c>
      <c r="K38" s="280">
        <f>I38</f>
        <v>240</v>
      </c>
    </row>
    <row r="39" spans="2:20">
      <c r="B39" s="235"/>
      <c r="C39" s="235" t="s">
        <v>400</v>
      </c>
      <c r="D39" s="235">
        <f t="shared" ref="D39:K39" si="8">SUM(D35:D38)</f>
        <v>818</v>
      </c>
      <c r="E39" s="235">
        <f t="shared" si="8"/>
        <v>1948</v>
      </c>
      <c r="F39" s="235">
        <f t="shared" si="8"/>
        <v>828</v>
      </c>
      <c r="G39" s="163">
        <f t="shared" si="8"/>
        <v>1513</v>
      </c>
      <c r="H39" s="235">
        <f t="shared" si="8"/>
        <v>778</v>
      </c>
      <c r="I39" s="235">
        <f t="shared" si="8"/>
        <v>1160</v>
      </c>
      <c r="J39" s="280">
        <f t="shared" si="8"/>
        <v>808</v>
      </c>
      <c r="K39" s="280">
        <f t="shared" si="8"/>
        <v>1160</v>
      </c>
    </row>
    <row r="40" spans="2:20">
      <c r="B40" s="235"/>
      <c r="C40" s="235"/>
      <c r="D40" s="282">
        <f t="shared" ref="D40:I40" si="9">(1-D11)/D39</f>
        <v>1.1369193154034227E-4</v>
      </c>
      <c r="E40" s="282">
        <f t="shared" si="9"/>
        <v>1.139630390143737E-4</v>
      </c>
      <c r="F40" s="282">
        <f t="shared" si="9"/>
        <v>1.0748792270531397E-4</v>
      </c>
      <c r="G40" s="2618">
        <f t="shared" si="9"/>
        <v>1.2822207534699269E-4</v>
      </c>
      <c r="H40" s="282">
        <f t="shared" si="9"/>
        <v>1.1439588688946011E-4</v>
      </c>
      <c r="I40" s="282">
        <f t="shared" si="9"/>
        <v>1.1379310344827586E-4</v>
      </c>
      <c r="J40" s="283">
        <f>I40</f>
        <v>1.1379310344827586E-4</v>
      </c>
      <c r="K40" s="283">
        <f>J40</f>
        <v>1.1379310344827586E-4</v>
      </c>
    </row>
    <row r="41" spans="2:20">
      <c r="D41" s="2616">
        <f>(D35+D36)/24</f>
        <v>11.125</v>
      </c>
      <c r="E41" s="2616">
        <f t="shared" ref="E41:K41" si="10">(E35+E36)/24</f>
        <v>44.041666666666664</v>
      </c>
      <c r="F41" s="2616">
        <f t="shared" si="10"/>
        <v>9.7916666666666661</v>
      </c>
      <c r="G41" s="2619">
        <f t="shared" si="10"/>
        <v>45</v>
      </c>
      <c r="H41" s="2616">
        <f t="shared" si="10"/>
        <v>9.25</v>
      </c>
      <c r="I41" s="2616">
        <f t="shared" si="10"/>
        <v>30</v>
      </c>
      <c r="J41" s="2616">
        <f t="shared" si="10"/>
        <v>10.055555555555555</v>
      </c>
      <c r="K41" s="2616">
        <f t="shared" si="10"/>
        <v>30</v>
      </c>
    </row>
    <row r="42" spans="2:20">
      <c r="D42" s="2616">
        <f>SUM(D37:D38)/24</f>
        <v>22.958333333333332</v>
      </c>
      <c r="E42" s="2616">
        <f t="shared" ref="E42:K42" si="11">SUM(E37:E38)/24</f>
        <v>37.125</v>
      </c>
      <c r="F42" s="2616">
        <f t="shared" si="11"/>
        <v>24.708333333333332</v>
      </c>
      <c r="G42" s="2619">
        <f t="shared" si="11"/>
        <v>18.041666666666668</v>
      </c>
      <c r="H42" s="2616">
        <f t="shared" si="11"/>
        <v>23.166666666666668</v>
      </c>
      <c r="I42" s="2616">
        <f t="shared" si="11"/>
        <v>18.333333333333332</v>
      </c>
      <c r="J42" s="2616">
        <f t="shared" si="11"/>
        <v>23.611111111111114</v>
      </c>
      <c r="K42" s="2616">
        <f t="shared" si="11"/>
        <v>18.333333333333332</v>
      </c>
    </row>
    <row r="45" spans="2:20">
      <c r="B45" s="214" t="s">
        <v>5376</v>
      </c>
      <c r="C45" s="1"/>
      <c r="D45" s="1"/>
      <c r="E45" s="1"/>
      <c r="F45" s="1"/>
      <c r="G45" s="1"/>
      <c r="H45" s="1"/>
      <c r="I45" s="1"/>
      <c r="J45" s="1"/>
      <c r="K45" s="1"/>
      <c r="L45" s="1"/>
      <c r="M45" s="1"/>
      <c r="N45" s="1"/>
      <c r="O45" s="1"/>
    </row>
    <row r="46" spans="2:20">
      <c r="B46" s="1930" t="s">
        <v>5959</v>
      </c>
      <c r="C46" s="1"/>
      <c r="D46" s="1"/>
      <c r="E46" s="1"/>
      <c r="F46" s="1"/>
      <c r="G46" s="1"/>
      <c r="H46" s="1"/>
      <c r="J46" s="1930" t="s">
        <v>5964</v>
      </c>
      <c r="K46" s="1"/>
      <c r="L46" s="1"/>
      <c r="M46" s="1"/>
      <c r="N46" s="1"/>
      <c r="O46" s="1"/>
    </row>
    <row r="47" spans="2:20">
      <c r="B47" s="10" t="s">
        <v>354</v>
      </c>
      <c r="C47" s="10" t="s">
        <v>71</v>
      </c>
      <c r="D47" s="10" t="s">
        <v>72</v>
      </c>
      <c r="E47" s="10" t="s">
        <v>73</v>
      </c>
      <c r="F47" s="10" t="s">
        <v>74</v>
      </c>
      <c r="G47" s="10" t="s">
        <v>5102</v>
      </c>
      <c r="H47" s="1"/>
      <c r="J47" s="10" t="s">
        <v>354</v>
      </c>
      <c r="K47" s="10" t="s">
        <v>26</v>
      </c>
      <c r="L47" s="10" t="s">
        <v>27</v>
      </c>
      <c r="M47" s="10" t="s">
        <v>60</v>
      </c>
      <c r="N47" s="10" t="s">
        <v>5104</v>
      </c>
      <c r="O47" s="10" t="s">
        <v>5</v>
      </c>
      <c r="P47" s="10" t="s">
        <v>71</v>
      </c>
      <c r="Q47" s="10" t="s">
        <v>72</v>
      </c>
      <c r="R47" s="10" t="s">
        <v>73</v>
      </c>
      <c r="S47" s="10" t="s">
        <v>74</v>
      </c>
      <c r="T47" s="10" t="s">
        <v>5102</v>
      </c>
    </row>
    <row r="48" spans="2:20">
      <c r="B48" s="1" t="s">
        <v>5206</v>
      </c>
      <c r="C48" s="205">
        <v>22</v>
      </c>
      <c r="D48" s="205">
        <v>11</v>
      </c>
      <c r="E48" s="205">
        <v>47</v>
      </c>
      <c r="F48" s="205">
        <f t="shared" ref="F48:G48" si="12">SUM(F49:F50)</f>
        <v>11</v>
      </c>
      <c r="G48" s="205">
        <f t="shared" si="12"/>
        <v>22</v>
      </c>
      <c r="H48" s="1"/>
      <c r="J48" s="1" t="s">
        <v>5962</v>
      </c>
      <c r="K48" s="78">
        <v>0.96799999999999997</v>
      </c>
      <c r="L48" s="78">
        <v>0.95199999999999996</v>
      </c>
      <c r="M48" s="78">
        <v>0.95499999999999996</v>
      </c>
      <c r="N48" s="78">
        <v>0.94099999999999995</v>
      </c>
      <c r="O48" s="78">
        <v>0.95</v>
      </c>
      <c r="P48" s="78">
        <v>0.94299999999999995</v>
      </c>
      <c r="Q48" s="78">
        <v>0.98099999999999998</v>
      </c>
      <c r="R48" s="78">
        <v>0.96199999999999997</v>
      </c>
      <c r="S48" s="78">
        <f>Q48</f>
        <v>0.98099999999999998</v>
      </c>
      <c r="T48" s="78">
        <f>R48</f>
        <v>0.96199999999999997</v>
      </c>
    </row>
    <row r="49" spans="2:20">
      <c r="B49" s="2617" t="s">
        <v>5207</v>
      </c>
      <c r="C49" s="205">
        <f>C48-C50</f>
        <v>19.083333333333332</v>
      </c>
      <c r="D49" s="205">
        <f t="shared" ref="D49:E49" si="13">D48-D50</f>
        <v>6.833333333333333</v>
      </c>
      <c r="E49" s="205">
        <f t="shared" si="13"/>
        <v>44.083333333333336</v>
      </c>
      <c r="F49" s="205">
        <f>D49</f>
        <v>6.833333333333333</v>
      </c>
      <c r="G49" s="205">
        <f>C49</f>
        <v>19.083333333333332</v>
      </c>
      <c r="H49" s="1"/>
      <c r="J49" s="3433" t="s">
        <v>5963</v>
      </c>
      <c r="K49" s="78">
        <v>0.98399999999999999</v>
      </c>
      <c r="L49" s="78">
        <v>0.93700000000000006</v>
      </c>
      <c r="M49" s="78">
        <v>0.97199999999999998</v>
      </c>
      <c r="N49" s="78">
        <v>0.85599999999999998</v>
      </c>
      <c r="O49" s="78">
        <v>0.88900000000000001</v>
      </c>
      <c r="P49" s="78">
        <v>0.98699999999999999</v>
      </c>
      <c r="Q49" s="78">
        <v>0.96799999999999997</v>
      </c>
      <c r="R49" s="78">
        <v>0.98699999999999999</v>
      </c>
      <c r="S49" s="78">
        <f>Q49</f>
        <v>0.96799999999999997</v>
      </c>
      <c r="T49" s="78">
        <f>R49</f>
        <v>0.98699999999999999</v>
      </c>
    </row>
    <row r="50" spans="2:20">
      <c r="B50" s="2617" t="s">
        <v>5208</v>
      </c>
      <c r="C50" s="205">
        <f>70/24</f>
        <v>2.9166666666666665</v>
      </c>
      <c r="D50" s="205">
        <f>100/24</f>
        <v>4.166666666666667</v>
      </c>
      <c r="E50" s="205">
        <f>70/24</f>
        <v>2.9166666666666665</v>
      </c>
      <c r="F50" s="205">
        <f>D50</f>
        <v>4.166666666666667</v>
      </c>
      <c r="G50" s="205">
        <f>C50</f>
        <v>2.9166666666666665</v>
      </c>
      <c r="H50" s="1"/>
      <c r="J50" s="3434"/>
      <c r="K50" s="4511">
        <f>(K48*D20+K49*D21)/D22</f>
        <v>0.97388692779225439</v>
      </c>
      <c r="L50" s="4511">
        <f t="shared" ref="L50:N50" si="14">(L48*E20+L49*E21)/E22</f>
        <v>0.94605900674411414</v>
      </c>
      <c r="M50" s="4511">
        <f t="shared" si="14"/>
        <v>0.96120188178521049</v>
      </c>
      <c r="N50" s="4511">
        <f t="shared" si="14"/>
        <v>0.90886750966288676</v>
      </c>
      <c r="O50" s="4512">
        <f>(O48*K56+O49*K57)/K58</f>
        <v>0.92926078557630398</v>
      </c>
      <c r="P50" s="4511">
        <f t="shared" ref="P50:T50" si="15">(P48*L56+P49*L57)/L58</f>
        <v>0.95899006056841118</v>
      </c>
      <c r="Q50" s="4511">
        <f>(Q48*M56+Q49*M57)/M58</f>
        <v>0.97646332574031891</v>
      </c>
      <c r="R50" s="4511">
        <f t="shared" si="15"/>
        <v>0.97092344858825297</v>
      </c>
      <c r="S50" s="4511">
        <f t="shared" si="15"/>
        <v>0.97647550789863624</v>
      </c>
      <c r="T50" s="4511">
        <f t="shared" si="15"/>
        <v>0.97092344858825297</v>
      </c>
    </row>
    <row r="51" spans="2:20">
      <c r="B51" s="68" t="s">
        <v>5209</v>
      </c>
      <c r="C51" s="229">
        <f>(365-C48)/365</f>
        <v>0.9397260273972603</v>
      </c>
      <c r="D51" s="229">
        <f t="shared" ref="D51:G51" si="16">(365-D48)/365</f>
        <v>0.96986301369863015</v>
      </c>
      <c r="E51" s="229">
        <f t="shared" si="16"/>
        <v>0.87123287671232874</v>
      </c>
      <c r="F51" s="229">
        <f t="shared" si="16"/>
        <v>0.96986301369863015</v>
      </c>
      <c r="G51" s="229">
        <f t="shared" si="16"/>
        <v>0.9397260273972603</v>
      </c>
      <c r="H51" s="1"/>
      <c r="I51" s="1"/>
      <c r="J51" s="1"/>
      <c r="K51" s="399"/>
      <c r="L51" s="399"/>
      <c r="M51" s="399"/>
      <c r="N51" s="399"/>
      <c r="O51" s="399"/>
      <c r="P51" s="399"/>
      <c r="Q51" s="399"/>
      <c r="R51" s="399"/>
      <c r="S51" s="399"/>
      <c r="T51" s="399"/>
    </row>
    <row r="52" spans="2:20">
      <c r="B52" s="1"/>
      <c r="C52" s="1">
        <f>C51*100</f>
        <v>93.972602739726028</v>
      </c>
      <c r="D52" s="1">
        <f t="shared" ref="D52:G52" si="17">D51*100</f>
        <v>96.986301369863014</v>
      </c>
      <c r="E52" s="1">
        <f t="shared" si="17"/>
        <v>87.123287671232873</v>
      </c>
      <c r="F52" s="1">
        <f t="shared" si="17"/>
        <v>96.986301369863014</v>
      </c>
      <c r="G52" s="1">
        <f t="shared" si="17"/>
        <v>93.972602739726028</v>
      </c>
      <c r="H52" s="1"/>
      <c r="I52" s="1"/>
    </row>
    <row r="54" spans="2:20" s="1930" customFormat="1">
      <c r="B54" s="1930" t="s">
        <v>5960</v>
      </c>
      <c r="J54" s="1930" t="s">
        <v>5379</v>
      </c>
    </row>
    <row r="55" spans="2:20">
      <c r="B55" s="10" t="s">
        <v>354</v>
      </c>
      <c r="C55" s="10" t="s">
        <v>71</v>
      </c>
      <c r="D55" s="10" t="s">
        <v>72</v>
      </c>
      <c r="E55" s="10" t="s">
        <v>73</v>
      </c>
      <c r="F55" s="10" t="s">
        <v>74</v>
      </c>
      <c r="G55" s="10" t="s">
        <v>5102</v>
      </c>
      <c r="J55" s="10" t="s">
        <v>354</v>
      </c>
      <c r="K55" s="10" t="s">
        <v>5</v>
      </c>
      <c r="L55" s="10" t="s">
        <v>71</v>
      </c>
      <c r="M55" s="10" t="s">
        <v>72</v>
      </c>
      <c r="N55" s="10" t="s">
        <v>73</v>
      </c>
      <c r="O55" s="10" t="s">
        <v>74</v>
      </c>
      <c r="P55" s="10" t="s">
        <v>5102</v>
      </c>
    </row>
    <row r="56" spans="2:20">
      <c r="B56" s="1" t="s">
        <v>5206</v>
      </c>
      <c r="C56" s="205">
        <v>32</v>
      </c>
      <c r="D56" s="205">
        <v>53</v>
      </c>
      <c r="E56" s="205">
        <v>33</v>
      </c>
      <c r="F56" s="205">
        <f t="shared" ref="F56:G56" si="18">SUM(F57:F58)</f>
        <v>53</v>
      </c>
      <c r="G56" s="205">
        <f t="shared" si="18"/>
        <v>32</v>
      </c>
      <c r="J56" s="3" t="s">
        <v>5204</v>
      </c>
      <c r="K56" s="248">
        <v>410000</v>
      </c>
      <c r="L56" s="248">
        <f t="shared" ref="L56:N57" si="19">C79</f>
        <v>409900</v>
      </c>
      <c r="M56" s="248">
        <f t="shared" si="19"/>
        <v>428700</v>
      </c>
      <c r="N56" s="248">
        <f t="shared" si="19"/>
        <v>425900</v>
      </c>
      <c r="O56" s="248">
        <f>O63*S48</f>
        <v>434311.74636174634</v>
      </c>
      <c r="P56" s="248">
        <f>P63*T48</f>
        <v>425900</v>
      </c>
    </row>
    <row r="57" spans="2:20">
      <c r="B57" s="2617" t="s">
        <v>5207</v>
      </c>
      <c r="C57" s="205">
        <f>C56-C58</f>
        <v>19.5</v>
      </c>
      <c r="D57" s="205">
        <f t="shared" ref="D57:E57" si="20">D56-D58</f>
        <v>44.666666666666664</v>
      </c>
      <c r="E57" s="205">
        <f t="shared" si="20"/>
        <v>20.5</v>
      </c>
      <c r="F57" s="205">
        <f>D57</f>
        <v>44.666666666666664</v>
      </c>
      <c r="G57" s="205">
        <f>C57</f>
        <v>19.5</v>
      </c>
      <c r="J57" s="3" t="s">
        <v>5205</v>
      </c>
      <c r="K57" s="248">
        <v>211200</v>
      </c>
      <c r="L57" s="248">
        <f t="shared" si="19"/>
        <v>234000</v>
      </c>
      <c r="M57" s="248">
        <f t="shared" si="19"/>
        <v>229800</v>
      </c>
      <c r="N57" s="248">
        <f t="shared" si="19"/>
        <v>236400</v>
      </c>
      <c r="O57" s="248">
        <f>O64*S49</f>
        <v>231849.24012158054</v>
      </c>
      <c r="P57" s="248">
        <f>P64*T49</f>
        <v>236400</v>
      </c>
    </row>
    <row r="58" spans="2:20">
      <c r="B58" s="2617" t="s">
        <v>5208</v>
      </c>
      <c r="C58" s="205">
        <f>300/24</f>
        <v>12.5</v>
      </c>
      <c r="D58" s="205">
        <f>200/24</f>
        <v>8.3333333333333339</v>
      </c>
      <c r="E58" s="205">
        <f>300/24</f>
        <v>12.5</v>
      </c>
      <c r="F58" s="205">
        <f>D58</f>
        <v>8.3333333333333339</v>
      </c>
      <c r="G58" s="205">
        <f>C58</f>
        <v>12.5</v>
      </c>
      <c r="J58" s="67" t="s">
        <v>5210</v>
      </c>
      <c r="K58" s="96">
        <f>SUM(K56:K57)</f>
        <v>621200</v>
      </c>
      <c r="L58" s="96">
        <f>SUM(L56:L57)</f>
        <v>643900</v>
      </c>
      <c r="M58" s="96">
        <f t="shared" ref="M58:P58" si="21">SUM(M56:M57)</f>
        <v>658500</v>
      </c>
      <c r="N58" s="96">
        <f t="shared" si="21"/>
        <v>662300</v>
      </c>
      <c r="O58" s="96">
        <f t="shared" si="21"/>
        <v>666160.98648332688</v>
      </c>
      <c r="P58" s="96">
        <f t="shared" si="21"/>
        <v>662300</v>
      </c>
    </row>
    <row r="59" spans="2:20">
      <c r="B59" s="68" t="s">
        <v>5209</v>
      </c>
      <c r="C59" s="229">
        <f>(365-C56)/365</f>
        <v>0.9123287671232877</v>
      </c>
      <c r="D59" s="229">
        <f t="shared" ref="D59:G59" si="22">(365-D56)/365</f>
        <v>0.85479452054794525</v>
      </c>
      <c r="E59" s="229">
        <f t="shared" si="22"/>
        <v>0.90958904109589045</v>
      </c>
      <c r="F59" s="229">
        <f t="shared" si="22"/>
        <v>0.85479452054794525</v>
      </c>
      <c r="G59" s="229">
        <f t="shared" si="22"/>
        <v>0.9123287671232877</v>
      </c>
    </row>
    <row r="60" spans="2:20">
      <c r="B60" s="1"/>
      <c r="C60" s="1">
        <f>C59*100</f>
        <v>91.232876712328775</v>
      </c>
      <c r="D60" s="1">
        <f t="shared" ref="D60:G60" si="23">D59*100</f>
        <v>85.479452054794521</v>
      </c>
      <c r="E60" s="1">
        <f t="shared" si="23"/>
        <v>90.958904109589042</v>
      </c>
      <c r="F60" s="1">
        <f t="shared" si="23"/>
        <v>85.479452054794521</v>
      </c>
      <c r="G60" s="1">
        <f t="shared" si="23"/>
        <v>91.232876712328775</v>
      </c>
    </row>
    <row r="61" spans="2:20">
      <c r="J61" s="1930" t="s">
        <v>5965</v>
      </c>
      <c r="K61" s="1930"/>
      <c r="L61" s="1930"/>
      <c r="M61" s="1930"/>
      <c r="N61" s="1930"/>
      <c r="O61" s="1930"/>
    </row>
    <row r="62" spans="2:20">
      <c r="B62" s="1"/>
      <c r="F62" s="3" t="s">
        <v>5377</v>
      </c>
      <c r="G62" s="3" t="s">
        <v>5378</v>
      </c>
      <c r="J62" s="10" t="s">
        <v>354</v>
      </c>
      <c r="K62" s="10" t="s">
        <v>5</v>
      </c>
      <c r="L62" s="10" t="s">
        <v>71</v>
      </c>
      <c r="M62" s="10" t="s">
        <v>72</v>
      </c>
      <c r="N62" s="10" t="s">
        <v>73</v>
      </c>
      <c r="O62" s="10" t="s">
        <v>74</v>
      </c>
      <c r="P62" s="10" t="s">
        <v>5102</v>
      </c>
    </row>
    <row r="63" spans="2:20">
      <c r="B63" s="10" t="s">
        <v>354</v>
      </c>
      <c r="C63" s="10" t="s">
        <v>71</v>
      </c>
      <c r="D63" s="10" t="s">
        <v>72</v>
      </c>
      <c r="E63" s="10" t="s">
        <v>73</v>
      </c>
      <c r="F63" s="10" t="s">
        <v>74</v>
      </c>
      <c r="G63" s="10" t="s">
        <v>5102</v>
      </c>
      <c r="J63" s="3" t="s">
        <v>5204</v>
      </c>
      <c r="K63" s="248">
        <f t="shared" ref="K63:N64" si="24">K56/O48</f>
        <v>431578.94736842107</v>
      </c>
      <c r="L63" s="248">
        <f t="shared" si="24"/>
        <v>434676.56415694597</v>
      </c>
      <c r="M63" s="248">
        <f t="shared" si="24"/>
        <v>437003.05810397555</v>
      </c>
      <c r="N63" s="248">
        <f t="shared" si="24"/>
        <v>442723.49272349273</v>
      </c>
      <c r="O63" s="248">
        <f>N63</f>
        <v>442723.49272349273</v>
      </c>
      <c r="P63" s="248">
        <f>O63</f>
        <v>442723.49272349273</v>
      </c>
    </row>
    <row r="64" spans="2:20">
      <c r="B64" s="1" t="s">
        <v>5204</v>
      </c>
      <c r="C64" s="1981">
        <f>C51</f>
        <v>0.9397260273972603</v>
      </c>
      <c r="D64" s="1981">
        <f>D51</f>
        <v>0.96986301369863015</v>
      </c>
      <c r="E64" s="1981">
        <f>E51</f>
        <v>0.87123287671232874</v>
      </c>
      <c r="F64" s="1981">
        <f>F51</f>
        <v>0.96986301369863015</v>
      </c>
      <c r="G64" s="1981">
        <f>G51</f>
        <v>0.9397260273972603</v>
      </c>
      <c r="J64" s="3" t="s">
        <v>5205</v>
      </c>
      <c r="K64" s="248">
        <f t="shared" si="24"/>
        <v>237570.30371203599</v>
      </c>
      <c r="L64" s="248">
        <f t="shared" si="24"/>
        <v>237082.06686930091</v>
      </c>
      <c r="M64" s="248">
        <f t="shared" si="24"/>
        <v>237396.69421487604</v>
      </c>
      <c r="N64" s="248">
        <f t="shared" si="24"/>
        <v>239513.67781155015</v>
      </c>
      <c r="O64" s="248">
        <f>N64</f>
        <v>239513.67781155015</v>
      </c>
      <c r="P64" s="248">
        <f>O64</f>
        <v>239513.67781155015</v>
      </c>
    </row>
    <row r="65" spans="2:21">
      <c r="B65" s="1" t="s">
        <v>5205</v>
      </c>
      <c r="C65" s="1981">
        <f>C59</f>
        <v>0.9123287671232877</v>
      </c>
      <c r="D65" s="1981">
        <f>D59</f>
        <v>0.85479452054794525</v>
      </c>
      <c r="E65" s="1981">
        <f>E59</f>
        <v>0.90958904109589045</v>
      </c>
      <c r="F65" s="1981">
        <f>F59</f>
        <v>0.85479452054794525</v>
      </c>
      <c r="G65" s="1981">
        <f>G59</f>
        <v>0.9123287671232877</v>
      </c>
      <c r="J65" s="67" t="s">
        <v>5210</v>
      </c>
      <c r="K65" s="96">
        <f>SUM(K63:K64)</f>
        <v>669149.25108045712</v>
      </c>
      <c r="L65" s="96">
        <f>SUM(L63:L64)</f>
        <v>671758.63102624682</v>
      </c>
      <c r="M65" s="96">
        <f t="shared" ref="M65" si="25">SUM(M63:M64)</f>
        <v>674399.75231885165</v>
      </c>
      <c r="N65" s="96">
        <f t="shared" ref="N65" si="26">SUM(N63:N64)</f>
        <v>682237.17053504288</v>
      </c>
      <c r="O65" s="96">
        <f t="shared" ref="O65" si="27">SUM(O63:O64)</f>
        <v>682237.17053504288</v>
      </c>
      <c r="P65" s="96">
        <f t="shared" ref="P65" si="28">SUM(P63:P64)</f>
        <v>682237.17053504288</v>
      </c>
    </row>
    <row r="66" spans="2:21">
      <c r="B66" s="67" t="s">
        <v>5210</v>
      </c>
      <c r="C66" s="2702">
        <f>SUMPRODUCT(C64:C65,$M$15:$M$16)</f>
        <v>0.93011147583862763</v>
      </c>
      <c r="D66" s="2702">
        <f t="shared" ref="D66:G66" si="29">SUMPRODUCT(D64:D65,$M$15:$M$16)</f>
        <v>0.92948189715237306</v>
      </c>
      <c r="E66" s="2702">
        <f t="shared" si="29"/>
        <v>0.88469324889441459</v>
      </c>
      <c r="F66" s="2702">
        <f t="shared" si="29"/>
        <v>0.92948189715237306</v>
      </c>
      <c r="G66" s="2702">
        <f t="shared" si="29"/>
        <v>0.93011147583862763</v>
      </c>
    </row>
    <row r="68" spans="2:21">
      <c r="B68" s="2701" t="s">
        <v>5371</v>
      </c>
      <c r="J68" s="32" t="s">
        <v>10695</v>
      </c>
      <c r="L68" s="4510"/>
      <c r="M68" s="4510"/>
      <c r="N68" s="4510"/>
      <c r="O68" s="4510"/>
      <c r="P68" s="4510"/>
    </row>
    <row r="69" spans="2:21">
      <c r="B69" s="2701" t="s">
        <v>5372</v>
      </c>
      <c r="J69" s="10" t="s">
        <v>354</v>
      </c>
      <c r="K69" s="10" t="s">
        <v>5</v>
      </c>
      <c r="L69" s="10" t="s">
        <v>71</v>
      </c>
      <c r="M69" s="10" t="s">
        <v>72</v>
      </c>
      <c r="N69" s="10" t="s">
        <v>73</v>
      </c>
      <c r="O69" s="10" t="s">
        <v>74</v>
      </c>
      <c r="P69" s="10" t="s">
        <v>5102</v>
      </c>
    </row>
    <row r="70" spans="2:21">
      <c r="J70" s="4513" t="s">
        <v>325</v>
      </c>
      <c r="K70" s="3">
        <f>Assumption!O103</f>
        <v>623000</v>
      </c>
      <c r="L70" s="248">
        <f>Assumption!P103</f>
        <v>644000</v>
      </c>
      <c r="M70" s="248">
        <f>Assumption!Q103</f>
        <v>659000</v>
      </c>
      <c r="N70" s="248">
        <f>Assumption!R103</f>
        <v>662000</v>
      </c>
      <c r="O70" s="248">
        <f>Assumption!S103</f>
        <v>666160.98648332688</v>
      </c>
      <c r="P70" s="248">
        <f>Assumption!T103</f>
        <v>662300</v>
      </c>
    </row>
    <row r="71" spans="2:21">
      <c r="B71" s="32" t="s">
        <v>5375</v>
      </c>
      <c r="F71" s="3" t="s">
        <v>5377</v>
      </c>
      <c r="G71" s="3" t="s">
        <v>5378</v>
      </c>
      <c r="J71" s="12" t="s">
        <v>10694</v>
      </c>
      <c r="K71" s="13">
        <f t="shared" ref="K71:P71" si="30">K70/K65</f>
        <v>0.93103294817121718</v>
      </c>
      <c r="L71" s="13">
        <f t="shared" si="30"/>
        <v>0.95867767119889491</v>
      </c>
      <c r="M71" s="13">
        <f t="shared" si="30"/>
        <v>0.97716524618239964</v>
      </c>
      <c r="N71" s="13">
        <f t="shared" si="30"/>
        <v>0.97033704493237749</v>
      </c>
      <c r="O71" s="13">
        <f t="shared" si="30"/>
        <v>0.97643607715025516</v>
      </c>
      <c r="P71" s="13">
        <f t="shared" si="30"/>
        <v>0.97077677471104773</v>
      </c>
    </row>
    <row r="72" spans="2:21">
      <c r="B72" s="10" t="s">
        <v>354</v>
      </c>
      <c r="C72" s="10" t="s">
        <v>71</v>
      </c>
      <c r="D72" s="10" t="s">
        <v>72</v>
      </c>
      <c r="E72" s="10" t="s">
        <v>73</v>
      </c>
      <c r="F72" s="10" t="s">
        <v>74</v>
      </c>
      <c r="G72" s="10" t="s">
        <v>5102</v>
      </c>
    </row>
    <row r="73" spans="2:21">
      <c r="B73" s="3" t="s">
        <v>5373</v>
      </c>
      <c r="C73" s="1981">
        <v>0.94099999999999995</v>
      </c>
      <c r="D73" s="1981">
        <v>0.96899999999999997</v>
      </c>
      <c r="E73" s="1981">
        <v>0.872</v>
      </c>
      <c r="F73" s="1981">
        <f>D73</f>
        <v>0.96899999999999997</v>
      </c>
      <c r="G73" s="1981">
        <f>C73</f>
        <v>0.94099999999999995</v>
      </c>
    </row>
    <row r="74" spans="2:21">
      <c r="B74" s="3" t="s">
        <v>5374</v>
      </c>
      <c r="C74" s="1981">
        <v>0.91100000000000003</v>
      </c>
      <c r="D74" s="1981">
        <v>0.85399999999999998</v>
      </c>
      <c r="E74" s="1981">
        <v>0.90900000000000003</v>
      </c>
      <c r="F74" s="1981">
        <f>D74</f>
        <v>0.85399999999999998</v>
      </c>
      <c r="G74" s="1981">
        <f>C74</f>
        <v>0.91100000000000003</v>
      </c>
    </row>
    <row r="75" spans="2:21">
      <c r="B75" s="67" t="s">
        <v>5210</v>
      </c>
      <c r="C75" s="2702">
        <f>C73*C79/C81+C74*C80/C81</f>
        <v>0.93009768597608322</v>
      </c>
      <c r="D75" s="2702">
        <f t="shared" ref="D75:G75" si="31">D73*D79/D81+D74*D80/D81</f>
        <v>0.92886788154897493</v>
      </c>
      <c r="E75" s="2702">
        <f t="shared" si="31"/>
        <v>0.8852067039106144</v>
      </c>
      <c r="F75" s="2702">
        <f t="shared" si="31"/>
        <v>0.93226994629721716</v>
      </c>
      <c r="G75" s="2702">
        <f t="shared" si="31"/>
        <v>0.93079556305398192</v>
      </c>
    </row>
    <row r="77" spans="2:21">
      <c r="B77" s="32" t="s">
        <v>5379</v>
      </c>
    </row>
    <row r="78" spans="2:21" s="32" customFormat="1">
      <c r="B78" s="10" t="s">
        <v>354</v>
      </c>
      <c r="C78" s="10" t="s">
        <v>71</v>
      </c>
      <c r="D78" s="10" t="s">
        <v>72</v>
      </c>
      <c r="E78" s="10" t="s">
        <v>73</v>
      </c>
      <c r="F78" s="10" t="s">
        <v>74</v>
      </c>
      <c r="G78" s="10" t="s">
        <v>5102</v>
      </c>
      <c r="J78" s="3"/>
      <c r="K78" s="3"/>
      <c r="L78" s="3"/>
      <c r="M78" s="3"/>
      <c r="N78" s="3"/>
      <c r="O78" s="3"/>
      <c r="P78" s="3"/>
      <c r="Q78" s="3"/>
      <c r="R78" s="3"/>
      <c r="S78" s="3"/>
      <c r="T78" s="3"/>
      <c r="U78" s="3"/>
    </row>
    <row r="79" spans="2:21">
      <c r="B79" s="3" t="s">
        <v>5373</v>
      </c>
      <c r="C79" s="248">
        <f>409.9*1000</f>
        <v>409900</v>
      </c>
      <c r="D79" s="248">
        <f>428.7*1000</f>
        <v>428700</v>
      </c>
      <c r="E79" s="248">
        <f>425.9*1000</f>
        <v>425900</v>
      </c>
      <c r="F79" s="248">
        <f>F73*F85</f>
        <v>473276.49082568806</v>
      </c>
      <c r="G79" s="248">
        <f t="shared" ref="G79:G80" si="32">G73*G85</f>
        <v>459600.80275229353</v>
      </c>
    </row>
    <row r="80" spans="2:21">
      <c r="B80" s="3" t="s">
        <v>5374</v>
      </c>
      <c r="C80" s="248">
        <f>234*1000</f>
        <v>234000</v>
      </c>
      <c r="D80" s="248">
        <f>229.8*1000</f>
        <v>229800</v>
      </c>
      <c r="E80" s="248">
        <f>236.4*1000</f>
        <v>236400</v>
      </c>
      <c r="F80" s="248">
        <f t="shared" ref="F80" si="33">F74*F86</f>
        <v>222096.3696369637</v>
      </c>
      <c r="G80" s="248">
        <f t="shared" si="32"/>
        <v>236920.13201320134</v>
      </c>
    </row>
    <row r="81" spans="2:7">
      <c r="B81" s="67" t="s">
        <v>5210</v>
      </c>
      <c r="C81" s="96">
        <f>SUM(C79:C80)</f>
        <v>643900</v>
      </c>
      <c r="D81" s="96">
        <f t="shared" ref="D81:E81" si="34">SUM(D79:D80)</f>
        <v>658500</v>
      </c>
      <c r="E81" s="96">
        <f t="shared" si="34"/>
        <v>662300</v>
      </c>
      <c r="F81" s="96">
        <f t="shared" ref="F81" si="35">SUM(F79:F80)</f>
        <v>695372.86046265182</v>
      </c>
      <c r="G81" s="96">
        <f t="shared" ref="G81" si="36">SUM(G79:G80)</f>
        <v>696520.93476549489</v>
      </c>
    </row>
    <row r="82" spans="2:7">
      <c r="C82" s="248"/>
      <c r="D82" s="248"/>
      <c r="E82" s="248"/>
      <c r="F82" s="248"/>
      <c r="G82" s="248"/>
    </row>
    <row r="83" spans="2:7">
      <c r="B83" s="32" t="s">
        <v>5380</v>
      </c>
    </row>
    <row r="84" spans="2:7">
      <c r="B84" s="10" t="s">
        <v>354</v>
      </c>
      <c r="C84" s="10" t="s">
        <v>71</v>
      </c>
      <c r="D84" s="10" t="s">
        <v>72</v>
      </c>
      <c r="E84" s="10" t="s">
        <v>73</v>
      </c>
      <c r="F84" s="10" t="s">
        <v>74</v>
      </c>
      <c r="G84" s="10" t="s">
        <v>5102</v>
      </c>
    </row>
    <row r="85" spans="2:7">
      <c r="B85" s="3" t="s">
        <v>5373</v>
      </c>
      <c r="C85" s="248">
        <f>C79/C73</f>
        <v>435600.42507970246</v>
      </c>
      <c r="D85" s="248">
        <f t="shared" ref="D85:E85" si="37">D79/D73</f>
        <v>442414.86068111454</v>
      </c>
      <c r="E85" s="248">
        <f t="shared" si="37"/>
        <v>488417.43119266053</v>
      </c>
      <c r="F85" s="248">
        <f>E85</f>
        <v>488417.43119266053</v>
      </c>
      <c r="G85" s="248">
        <f t="shared" ref="G85:G86" si="38">F85</f>
        <v>488417.43119266053</v>
      </c>
    </row>
    <row r="86" spans="2:7">
      <c r="B86" s="3" t="s">
        <v>5374</v>
      </c>
      <c r="C86" s="248">
        <f t="shared" ref="C86:E86" si="39">C80/C74</f>
        <v>256860.59275521405</v>
      </c>
      <c r="D86" s="248">
        <f t="shared" si="39"/>
        <v>269086.65105386416</v>
      </c>
      <c r="E86" s="248">
        <f t="shared" si="39"/>
        <v>260066.00660066007</v>
      </c>
      <c r="F86" s="248">
        <f t="shared" ref="F86" si="40">E86</f>
        <v>260066.00660066007</v>
      </c>
      <c r="G86" s="248">
        <f t="shared" si="38"/>
        <v>260066.00660066007</v>
      </c>
    </row>
    <row r="87" spans="2:7">
      <c r="B87" s="67" t="s">
        <v>5210</v>
      </c>
      <c r="C87" s="96">
        <f>C86+C85</f>
        <v>692461.01783491648</v>
      </c>
      <c r="D87" s="96">
        <f t="shared" ref="D87:E87" si="41">D86+D85</f>
        <v>711501.51173497876</v>
      </c>
      <c r="E87" s="96">
        <f t="shared" si="41"/>
        <v>748483.43779332063</v>
      </c>
      <c r="F87" s="96">
        <f t="shared" ref="F87" si="42">F86+F85</f>
        <v>748483.43779332063</v>
      </c>
      <c r="G87" s="96">
        <f t="shared" ref="G87" si="43">G86+G85</f>
        <v>748483.43779332063</v>
      </c>
    </row>
    <row r="88" spans="2:7">
      <c r="C88" s="248"/>
      <c r="D88" s="248"/>
      <c r="E88" s="248"/>
      <c r="F88" s="248"/>
    </row>
    <row r="89" spans="2:7">
      <c r="B89" s="32" t="s">
        <v>5391</v>
      </c>
    </row>
    <row r="90" spans="2:7">
      <c r="B90" s="10" t="s">
        <v>354</v>
      </c>
      <c r="C90" s="10" t="s">
        <v>71</v>
      </c>
      <c r="D90" s="10" t="s">
        <v>72</v>
      </c>
      <c r="E90" s="10" t="s">
        <v>73</v>
      </c>
      <c r="F90" s="10" t="s">
        <v>74</v>
      </c>
      <c r="G90" s="10" t="s">
        <v>5102</v>
      </c>
    </row>
    <row r="91" spans="2:7">
      <c r="B91" s="2608" t="s">
        <v>325</v>
      </c>
      <c r="C91" s="248">
        <f>판매량!F18</f>
        <v>644000</v>
      </c>
      <c r="D91" s="248">
        <f>판매량!G18</f>
        <v>659000</v>
      </c>
      <c r="E91" s="248">
        <f>판매량!H18</f>
        <v>662000</v>
      </c>
      <c r="F91" s="248">
        <f>F81</f>
        <v>695372.86046265182</v>
      </c>
      <c r="G91" s="248">
        <f>G81</f>
        <v>696520.93476549489</v>
      </c>
    </row>
    <row r="92" spans="2:7">
      <c r="B92" s="2604" t="s">
        <v>330</v>
      </c>
      <c r="C92" s="248">
        <f>판매량!F19</f>
        <v>33000</v>
      </c>
      <c r="D92" s="248">
        <f>판매량!G19</f>
        <v>33000</v>
      </c>
      <c r="E92" s="248">
        <f>판매량!H19</f>
        <v>31000</v>
      </c>
      <c r="F92" s="248">
        <f>E92/E$75*F$75</f>
        <v>32648.158003706227</v>
      </c>
      <c r="G92" s="248">
        <f t="shared" ref="G92:G102" si="44">F92/F$75*G$75</f>
        <v>32596.5250005462</v>
      </c>
    </row>
    <row r="93" spans="2:7">
      <c r="B93" s="2604" t="s">
        <v>331</v>
      </c>
      <c r="C93" s="248">
        <f>판매량!F20</f>
        <v>502000</v>
      </c>
      <c r="D93" s="248">
        <f>판매량!G20</f>
        <v>483000</v>
      </c>
      <c r="E93" s="248">
        <f>판매량!H20</f>
        <v>436000</v>
      </c>
      <c r="F93" s="248">
        <f t="shared" ref="F93" si="45">E93/E$75*F$75</f>
        <v>459180.54482631979</v>
      </c>
      <c r="G93" s="248">
        <f t="shared" si="44"/>
        <v>458454.35162058525</v>
      </c>
    </row>
    <row r="94" spans="2:7">
      <c r="B94" s="2604" t="s">
        <v>268</v>
      </c>
      <c r="C94" s="248">
        <f>판매량!F21</f>
        <v>1858</v>
      </c>
      <c r="D94" s="248">
        <f>판매량!G21</f>
        <v>1960</v>
      </c>
      <c r="E94" s="248">
        <f>판매량!H21</f>
        <v>1942</v>
      </c>
      <c r="F94" s="248">
        <f t="shared" ref="F94" si="46">E94/E$75*F$75</f>
        <v>2045.2491239741125</v>
      </c>
      <c r="G94" s="248">
        <f t="shared" si="44"/>
        <v>2042.0145661632491</v>
      </c>
    </row>
    <row r="95" spans="2:7">
      <c r="B95" s="2604" t="s">
        <v>266</v>
      </c>
      <c r="C95" s="248">
        <f>판매량!F22</f>
        <v>250</v>
      </c>
      <c r="D95" s="248">
        <f>판매량!G22</f>
        <v>290</v>
      </c>
      <c r="E95" s="248">
        <f>판매량!H22</f>
        <v>280</v>
      </c>
      <c r="F95" s="248">
        <f t="shared" ref="F95" si="47">E95/E$75*F$75</f>
        <v>294.88658842057237</v>
      </c>
      <c r="G95" s="248">
        <f t="shared" si="44"/>
        <v>294.42022581138502</v>
      </c>
    </row>
    <row r="96" spans="2:7">
      <c r="B96" s="2604" t="s">
        <v>250</v>
      </c>
      <c r="C96" s="248">
        <f>판매량!F23</f>
        <v>4500</v>
      </c>
      <c r="D96" s="248">
        <f>판매량!G23</f>
        <v>4600</v>
      </c>
      <c r="E96" s="248">
        <f>판매량!H23</f>
        <v>4600</v>
      </c>
      <c r="F96" s="248">
        <f t="shared" ref="F96" si="48">E96/E$75*F$75</f>
        <v>4844.5653811951179</v>
      </c>
      <c r="G96" s="248">
        <f t="shared" si="44"/>
        <v>4836.9037097584687</v>
      </c>
    </row>
    <row r="97" spans="2:7">
      <c r="B97" s="2604" t="s">
        <v>242</v>
      </c>
      <c r="C97" s="248">
        <f>판매량!F24</f>
        <v>1436000</v>
      </c>
      <c r="D97" s="248">
        <f>판매량!G24</f>
        <v>1368000</v>
      </c>
      <c r="E97" s="248">
        <f>판매량!H24</f>
        <v>1354000</v>
      </c>
      <c r="F97" s="248">
        <f t="shared" ref="F97" si="49">E97/E$75*F$75</f>
        <v>1425987.2882909107</v>
      </c>
      <c r="G97" s="248">
        <f t="shared" si="44"/>
        <v>1423732.0919593405</v>
      </c>
    </row>
    <row r="98" spans="2:7">
      <c r="B98" s="2604" t="s">
        <v>260</v>
      </c>
      <c r="C98" s="248">
        <f>판매량!F25</f>
        <v>1257000</v>
      </c>
      <c r="D98" s="248">
        <f>판매량!G25</f>
        <v>1246000</v>
      </c>
      <c r="E98" s="248">
        <f>판매량!H25</f>
        <v>1276000</v>
      </c>
      <c r="F98" s="248">
        <f t="shared" ref="F98" si="50">E98/E$75*F$75</f>
        <v>1343840.310088037</v>
      </c>
      <c r="G98" s="248">
        <f t="shared" si="44"/>
        <v>1341715.0290547404</v>
      </c>
    </row>
    <row r="99" spans="2:7" ht="24">
      <c r="B99" s="2700" t="s">
        <v>327</v>
      </c>
      <c r="C99" s="2104"/>
      <c r="D99" s="2104"/>
      <c r="E99" s="2104"/>
      <c r="F99" s="381"/>
      <c r="G99" s="381"/>
    </row>
    <row r="100" spans="2:7">
      <c r="B100" s="2604" t="s">
        <v>252</v>
      </c>
      <c r="C100" s="248">
        <f>판매량!F27</f>
        <v>420300</v>
      </c>
      <c r="D100" s="248">
        <f>판매량!G27</f>
        <v>323500</v>
      </c>
      <c r="E100" s="248">
        <f>판매량!H27</f>
        <v>224600</v>
      </c>
      <c r="F100" s="248">
        <f t="shared" ref="F100" si="51">E100/E$75*F$75</f>
        <v>236541.1705687877</v>
      </c>
      <c r="G100" s="248">
        <f t="shared" si="44"/>
        <v>236167.08113298958</v>
      </c>
    </row>
    <row r="101" spans="2:7">
      <c r="B101" s="2605" t="s">
        <v>3644</v>
      </c>
      <c r="C101" s="248">
        <f>판매량!F28</f>
        <v>173000</v>
      </c>
      <c r="D101" s="248">
        <f>판매량!G28</f>
        <v>183000</v>
      </c>
      <c r="E101" s="248">
        <f>판매량!H28</f>
        <v>191000</v>
      </c>
      <c r="F101" s="248">
        <f t="shared" ref="F101" si="52">E101/E$75*F$75</f>
        <v>201154.77995831901</v>
      </c>
      <c r="G101" s="248">
        <f t="shared" si="44"/>
        <v>200836.65403562336</v>
      </c>
    </row>
    <row r="102" spans="2:7" ht="13.5">
      <c r="B102" s="2612" t="s">
        <v>5199</v>
      </c>
      <c r="C102" s="2615">
        <f>판매량!F29</f>
        <v>35700</v>
      </c>
      <c r="D102" s="2615">
        <f>판매량!G29</f>
        <v>64599.999999999993</v>
      </c>
      <c r="E102" s="2615">
        <f>판매량!H29</f>
        <v>113900</v>
      </c>
      <c r="F102" s="2615">
        <f t="shared" ref="F102" si="53">E102/E$75*F$75</f>
        <v>119955.65150393997</v>
      </c>
      <c r="G102" s="2615">
        <f t="shared" si="44"/>
        <v>119765.94185684556</v>
      </c>
    </row>
  </sheetData>
  <phoneticPr fontId="1" type="noConversion"/>
  <conditionalFormatting sqref="C47:G47 L55:P55">
    <cfRule type="cellIs" dxfId="124" priority="136" operator="equal">
      <formula>"X"</formula>
    </cfRule>
    <cfRule type="cellIs" dxfId="123" priority="137" operator="equal">
      <formula>"O"</formula>
    </cfRule>
    <cfRule type="cellIs" dxfId="122" priority="138" operator="equal">
      <formula>"미정"</formula>
    </cfRule>
    <cfRule type="cellIs" dxfId="121" priority="139" operator="equal">
      <formula>"예정"</formula>
    </cfRule>
    <cfRule type="cellIs" dxfId="120" priority="140" operator="equal">
      <formula>"확정"</formula>
    </cfRule>
  </conditionalFormatting>
  <conditionalFormatting sqref="B47">
    <cfRule type="cellIs" dxfId="119" priority="131" operator="equal">
      <formula>"X"</formula>
    </cfRule>
    <cfRule type="cellIs" dxfId="118" priority="132" operator="equal">
      <formula>"O"</formula>
    </cfRule>
    <cfRule type="cellIs" dxfId="117" priority="133" operator="equal">
      <formula>"미정"</formula>
    </cfRule>
    <cfRule type="cellIs" dxfId="116" priority="134" operator="equal">
      <formula>"예정"</formula>
    </cfRule>
    <cfRule type="cellIs" dxfId="115" priority="135" operator="equal">
      <formula>"확정"</formula>
    </cfRule>
  </conditionalFormatting>
  <conditionalFormatting sqref="C55:G55">
    <cfRule type="cellIs" dxfId="114" priority="126" operator="equal">
      <formula>"X"</formula>
    </cfRule>
    <cfRule type="cellIs" dxfId="113" priority="127" operator="equal">
      <formula>"O"</formula>
    </cfRule>
    <cfRule type="cellIs" dxfId="112" priority="128" operator="equal">
      <formula>"미정"</formula>
    </cfRule>
    <cfRule type="cellIs" dxfId="111" priority="129" operator="equal">
      <formula>"예정"</formula>
    </cfRule>
    <cfRule type="cellIs" dxfId="110" priority="130" operator="equal">
      <formula>"확정"</formula>
    </cfRule>
  </conditionalFormatting>
  <conditionalFormatting sqref="B55">
    <cfRule type="cellIs" dxfId="109" priority="121" operator="equal">
      <formula>"X"</formula>
    </cfRule>
    <cfRule type="cellIs" dxfId="108" priority="122" operator="equal">
      <formula>"O"</formula>
    </cfRule>
    <cfRule type="cellIs" dxfId="107" priority="123" operator="equal">
      <formula>"미정"</formula>
    </cfRule>
    <cfRule type="cellIs" dxfId="106" priority="124" operator="equal">
      <formula>"예정"</formula>
    </cfRule>
    <cfRule type="cellIs" dxfId="105" priority="125" operator="equal">
      <formula>"확정"</formula>
    </cfRule>
  </conditionalFormatting>
  <conditionalFormatting sqref="C63:G63">
    <cfRule type="cellIs" dxfId="104" priority="116" operator="equal">
      <formula>"X"</formula>
    </cfRule>
    <cfRule type="cellIs" dxfId="103" priority="117" operator="equal">
      <formula>"O"</formula>
    </cfRule>
    <cfRule type="cellIs" dxfId="102" priority="118" operator="equal">
      <formula>"미정"</formula>
    </cfRule>
    <cfRule type="cellIs" dxfId="101" priority="119" operator="equal">
      <formula>"예정"</formula>
    </cfRule>
    <cfRule type="cellIs" dxfId="100" priority="120" operator="equal">
      <formula>"확정"</formula>
    </cfRule>
  </conditionalFormatting>
  <conditionalFormatting sqref="B63">
    <cfRule type="cellIs" dxfId="99" priority="111" operator="equal">
      <formula>"X"</formula>
    </cfRule>
    <cfRule type="cellIs" dxfId="98" priority="112" operator="equal">
      <formula>"O"</formula>
    </cfRule>
    <cfRule type="cellIs" dxfId="97" priority="113" operator="equal">
      <formula>"미정"</formula>
    </cfRule>
    <cfRule type="cellIs" dxfId="96" priority="114" operator="equal">
      <formula>"예정"</formula>
    </cfRule>
    <cfRule type="cellIs" dxfId="95" priority="115" operator="equal">
      <formula>"확정"</formula>
    </cfRule>
  </conditionalFormatting>
  <conditionalFormatting sqref="C72:G72">
    <cfRule type="cellIs" dxfId="94" priority="106" operator="equal">
      <formula>"X"</formula>
    </cfRule>
    <cfRule type="cellIs" dxfId="93" priority="107" operator="equal">
      <formula>"O"</formula>
    </cfRule>
    <cfRule type="cellIs" dxfId="92" priority="108" operator="equal">
      <formula>"미정"</formula>
    </cfRule>
    <cfRule type="cellIs" dxfId="91" priority="109" operator="equal">
      <formula>"예정"</formula>
    </cfRule>
    <cfRule type="cellIs" dxfId="90" priority="110" operator="equal">
      <formula>"확정"</formula>
    </cfRule>
  </conditionalFormatting>
  <conditionalFormatting sqref="B72">
    <cfRule type="cellIs" dxfId="89" priority="101" operator="equal">
      <formula>"X"</formula>
    </cfRule>
    <cfRule type="cellIs" dxfId="88" priority="102" operator="equal">
      <formula>"O"</formula>
    </cfRule>
    <cfRule type="cellIs" dxfId="87" priority="103" operator="equal">
      <formula>"미정"</formula>
    </cfRule>
    <cfRule type="cellIs" dxfId="86" priority="104" operator="equal">
      <formula>"예정"</formula>
    </cfRule>
    <cfRule type="cellIs" dxfId="85" priority="105" operator="equal">
      <formula>"확정"</formula>
    </cfRule>
  </conditionalFormatting>
  <conditionalFormatting sqref="C78:G78">
    <cfRule type="cellIs" dxfId="84" priority="96" operator="equal">
      <formula>"X"</formula>
    </cfRule>
    <cfRule type="cellIs" dxfId="83" priority="97" operator="equal">
      <formula>"O"</formula>
    </cfRule>
    <cfRule type="cellIs" dxfId="82" priority="98" operator="equal">
      <formula>"미정"</formula>
    </cfRule>
    <cfRule type="cellIs" dxfId="81" priority="99" operator="equal">
      <formula>"예정"</formula>
    </cfRule>
    <cfRule type="cellIs" dxfId="80" priority="100" operator="equal">
      <formula>"확정"</formula>
    </cfRule>
  </conditionalFormatting>
  <conditionalFormatting sqref="B78">
    <cfRule type="cellIs" dxfId="79" priority="91" operator="equal">
      <formula>"X"</formula>
    </cfRule>
    <cfRule type="cellIs" dxfId="78" priority="92" operator="equal">
      <formula>"O"</formula>
    </cfRule>
    <cfRule type="cellIs" dxfId="77" priority="93" operator="equal">
      <formula>"미정"</formula>
    </cfRule>
    <cfRule type="cellIs" dxfId="76" priority="94" operator="equal">
      <formula>"예정"</formula>
    </cfRule>
    <cfRule type="cellIs" dxfId="75" priority="95" operator="equal">
      <formula>"확정"</formula>
    </cfRule>
  </conditionalFormatting>
  <conditionalFormatting sqref="C84:G84">
    <cfRule type="cellIs" dxfId="74" priority="86" operator="equal">
      <formula>"X"</formula>
    </cfRule>
    <cfRule type="cellIs" dxfId="73" priority="87" operator="equal">
      <formula>"O"</formula>
    </cfRule>
    <cfRule type="cellIs" dxfId="72" priority="88" operator="equal">
      <formula>"미정"</formula>
    </cfRule>
    <cfRule type="cellIs" dxfId="71" priority="89" operator="equal">
      <formula>"예정"</formula>
    </cfRule>
    <cfRule type="cellIs" dxfId="70" priority="90" operator="equal">
      <formula>"확정"</formula>
    </cfRule>
  </conditionalFormatting>
  <conditionalFormatting sqref="B84">
    <cfRule type="cellIs" dxfId="69" priority="81" operator="equal">
      <formula>"X"</formula>
    </cfRule>
    <cfRule type="cellIs" dxfId="68" priority="82" operator="equal">
      <formula>"O"</formula>
    </cfRule>
    <cfRule type="cellIs" dxfId="67" priority="83" operator="equal">
      <formula>"미정"</formula>
    </cfRule>
    <cfRule type="cellIs" dxfId="66" priority="84" operator="equal">
      <formula>"예정"</formula>
    </cfRule>
    <cfRule type="cellIs" dxfId="65" priority="85" operator="equal">
      <formula>"확정"</formula>
    </cfRule>
  </conditionalFormatting>
  <conditionalFormatting sqref="C90:G90">
    <cfRule type="cellIs" dxfId="64" priority="76" operator="equal">
      <formula>"X"</formula>
    </cfRule>
    <cfRule type="cellIs" dxfId="63" priority="77" operator="equal">
      <formula>"O"</formula>
    </cfRule>
    <cfRule type="cellIs" dxfId="62" priority="78" operator="equal">
      <formula>"미정"</formula>
    </cfRule>
    <cfRule type="cellIs" dxfId="61" priority="79" operator="equal">
      <formula>"예정"</formula>
    </cfRule>
    <cfRule type="cellIs" dxfId="60" priority="80" operator="equal">
      <formula>"확정"</formula>
    </cfRule>
  </conditionalFormatting>
  <conditionalFormatting sqref="B90">
    <cfRule type="cellIs" dxfId="59" priority="71" operator="equal">
      <formula>"X"</formula>
    </cfRule>
    <cfRule type="cellIs" dxfId="58" priority="72" operator="equal">
      <formula>"O"</formula>
    </cfRule>
    <cfRule type="cellIs" dxfId="57" priority="73" operator="equal">
      <formula>"미정"</formula>
    </cfRule>
    <cfRule type="cellIs" dxfId="56" priority="74" operator="equal">
      <formula>"예정"</formula>
    </cfRule>
    <cfRule type="cellIs" dxfId="55" priority="75" operator="equal">
      <formula>"확정"</formula>
    </cfRule>
  </conditionalFormatting>
  <conditionalFormatting sqref="J55">
    <cfRule type="cellIs" dxfId="54" priority="41" operator="equal">
      <formula>"X"</formula>
    </cfRule>
    <cfRule type="cellIs" dxfId="53" priority="42" operator="equal">
      <formula>"O"</formula>
    </cfRule>
    <cfRule type="cellIs" dxfId="52" priority="43" operator="equal">
      <formula>"미정"</formula>
    </cfRule>
    <cfRule type="cellIs" dxfId="51" priority="44" operator="equal">
      <formula>"예정"</formula>
    </cfRule>
    <cfRule type="cellIs" dxfId="50" priority="45" operator="equal">
      <formula>"확정"</formula>
    </cfRule>
  </conditionalFormatting>
  <conditionalFormatting sqref="K47:T47">
    <cfRule type="cellIs" dxfId="49" priority="56" operator="equal">
      <formula>"X"</formula>
    </cfRule>
    <cfRule type="cellIs" dxfId="48" priority="57" operator="equal">
      <formula>"O"</formula>
    </cfRule>
    <cfRule type="cellIs" dxfId="47" priority="58" operator="equal">
      <formula>"미정"</formula>
    </cfRule>
    <cfRule type="cellIs" dxfId="46" priority="59" operator="equal">
      <formula>"예정"</formula>
    </cfRule>
    <cfRule type="cellIs" dxfId="45" priority="60" operator="equal">
      <formula>"확정"</formula>
    </cfRule>
  </conditionalFormatting>
  <conditionalFormatting sqref="J47">
    <cfRule type="cellIs" dxfId="44" priority="51" operator="equal">
      <formula>"X"</formula>
    </cfRule>
    <cfRule type="cellIs" dxfId="43" priority="52" operator="equal">
      <formula>"O"</formula>
    </cfRule>
    <cfRule type="cellIs" dxfId="42" priority="53" operator="equal">
      <formula>"미정"</formula>
    </cfRule>
    <cfRule type="cellIs" dxfId="41" priority="54" operator="equal">
      <formula>"예정"</formula>
    </cfRule>
    <cfRule type="cellIs" dxfId="40" priority="55" operator="equal">
      <formula>"확정"</formula>
    </cfRule>
  </conditionalFormatting>
  <conditionalFormatting sqref="L62:P62">
    <cfRule type="cellIs" dxfId="39" priority="36" operator="equal">
      <formula>"X"</formula>
    </cfRule>
    <cfRule type="cellIs" dxfId="38" priority="37" operator="equal">
      <formula>"O"</formula>
    </cfRule>
    <cfRule type="cellIs" dxfId="37" priority="38" operator="equal">
      <formula>"미정"</formula>
    </cfRule>
    <cfRule type="cellIs" dxfId="36" priority="39" operator="equal">
      <formula>"예정"</formula>
    </cfRule>
    <cfRule type="cellIs" dxfId="35" priority="40" operator="equal">
      <formula>"확정"</formula>
    </cfRule>
  </conditionalFormatting>
  <conditionalFormatting sqref="J62">
    <cfRule type="cellIs" dxfId="34" priority="31" operator="equal">
      <formula>"X"</formula>
    </cfRule>
    <cfRule type="cellIs" dxfId="33" priority="32" operator="equal">
      <formula>"O"</formula>
    </cfRule>
    <cfRule type="cellIs" dxfId="32" priority="33" operator="equal">
      <formula>"미정"</formula>
    </cfRule>
    <cfRule type="cellIs" dxfId="31" priority="34" operator="equal">
      <formula>"예정"</formula>
    </cfRule>
    <cfRule type="cellIs" dxfId="30" priority="35" operator="equal">
      <formula>"확정"</formula>
    </cfRule>
  </conditionalFormatting>
  <conditionalFormatting sqref="L69:P69">
    <cfRule type="cellIs" dxfId="29" priority="26" operator="equal">
      <formula>"X"</formula>
    </cfRule>
    <cfRule type="cellIs" dxfId="28" priority="27" operator="equal">
      <formula>"O"</formula>
    </cfRule>
    <cfRule type="cellIs" dxfId="27" priority="28" operator="equal">
      <formula>"미정"</formula>
    </cfRule>
    <cfRule type="cellIs" dxfId="26" priority="29" operator="equal">
      <formula>"예정"</formula>
    </cfRule>
    <cfRule type="cellIs" dxfId="25" priority="30" operator="equal">
      <formula>"확정"</formula>
    </cfRule>
  </conditionalFormatting>
  <conditionalFormatting sqref="J69">
    <cfRule type="cellIs" dxfId="24" priority="21" operator="equal">
      <formula>"X"</formula>
    </cfRule>
    <cfRule type="cellIs" dxfId="23" priority="22" operator="equal">
      <formula>"O"</formula>
    </cfRule>
    <cfRule type="cellIs" dxfId="22" priority="23" operator="equal">
      <formula>"미정"</formula>
    </cfRule>
    <cfRule type="cellIs" dxfId="21" priority="24" operator="equal">
      <formula>"예정"</formula>
    </cfRule>
    <cfRule type="cellIs" dxfId="20" priority="25" operator="equal">
      <formula>"확정"</formula>
    </cfRule>
  </conditionalFormatting>
  <conditionalFormatting sqref="K55">
    <cfRule type="cellIs" dxfId="19" priority="11" operator="equal">
      <formula>"X"</formula>
    </cfRule>
    <cfRule type="cellIs" dxfId="18" priority="12" operator="equal">
      <formula>"O"</formula>
    </cfRule>
    <cfRule type="cellIs" dxfId="17" priority="13" operator="equal">
      <formula>"미정"</formula>
    </cfRule>
    <cfRule type="cellIs" dxfId="16" priority="14" operator="equal">
      <formula>"예정"</formula>
    </cfRule>
    <cfRule type="cellIs" dxfId="15" priority="15" operator="equal">
      <formula>"확정"</formula>
    </cfRule>
  </conditionalFormatting>
  <conditionalFormatting sqref="K69">
    <cfRule type="cellIs" dxfId="14" priority="6" operator="equal">
      <formula>"X"</formula>
    </cfRule>
    <cfRule type="cellIs" dxfId="13" priority="7" operator="equal">
      <formula>"O"</formula>
    </cfRule>
    <cfRule type="cellIs" dxfId="12" priority="8" operator="equal">
      <formula>"미정"</formula>
    </cfRule>
    <cfRule type="cellIs" dxfId="11" priority="9" operator="equal">
      <formula>"예정"</formula>
    </cfRule>
    <cfRule type="cellIs" dxfId="10" priority="10" operator="equal">
      <formula>"확정"</formula>
    </cfRule>
  </conditionalFormatting>
  <conditionalFormatting sqref="K62">
    <cfRule type="cellIs" dxfId="9" priority="1" operator="equal">
      <formula>"X"</formula>
    </cfRule>
    <cfRule type="cellIs" dxfId="8" priority="2" operator="equal">
      <formula>"O"</formula>
    </cfRule>
    <cfRule type="cellIs" dxfId="7" priority="3" operator="equal">
      <formula>"미정"</formula>
    </cfRule>
    <cfRule type="cellIs" dxfId="6" priority="4" operator="equal">
      <formula>"예정"</formula>
    </cfRule>
    <cfRule type="cellIs" dxfId="5" priority="5" operator="equal">
      <formula>"확정"</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B1:AN84"/>
  <sheetViews>
    <sheetView workbookViewId="0"/>
  </sheetViews>
  <sheetFormatPr defaultColWidth="9" defaultRowHeight="12" customHeight="1"/>
  <cols>
    <col min="1" max="14" width="9" style="115"/>
    <col min="15" max="15" width="33.125" style="115" customWidth="1"/>
    <col min="16" max="20" width="18.875" style="115" customWidth="1"/>
    <col min="21" max="16384" width="9" style="115"/>
  </cols>
  <sheetData>
    <row r="1" spans="2:40" ht="12" customHeight="1">
      <c r="B1" s="115" t="s">
        <v>5649</v>
      </c>
      <c r="AD1" s="32" t="s">
        <v>75</v>
      </c>
      <c r="AE1" s="1"/>
      <c r="AF1" s="1"/>
      <c r="AG1" s="1"/>
      <c r="AH1" s="1"/>
      <c r="AI1" s="1"/>
      <c r="AJ1" s="32" t="s">
        <v>76</v>
      </c>
      <c r="AK1" s="1"/>
      <c r="AL1" s="1"/>
      <c r="AM1" s="1"/>
      <c r="AN1" s="1"/>
    </row>
    <row r="2" spans="2:40" ht="12" customHeight="1" thickBot="1">
      <c r="B2" s="5678" t="s">
        <v>1459</v>
      </c>
      <c r="C2" s="5678"/>
      <c r="D2" s="5678"/>
      <c r="E2" s="5679"/>
      <c r="F2" s="5682" t="s">
        <v>1460</v>
      </c>
      <c r="G2" s="5684"/>
      <c r="H2" s="5685"/>
      <c r="I2" s="5686"/>
      <c r="J2" s="5687"/>
      <c r="K2" s="5687"/>
      <c r="L2" s="5687"/>
      <c r="O2" s="115" t="s">
        <v>1484</v>
      </c>
      <c r="P2" s="115" t="s">
        <v>1485</v>
      </c>
      <c r="Q2" s="115" t="s">
        <v>1486</v>
      </c>
      <c r="R2" s="115" t="s">
        <v>1487</v>
      </c>
      <c r="S2" s="115" t="s">
        <v>1488</v>
      </c>
      <c r="T2" s="115" t="s">
        <v>1489</v>
      </c>
      <c r="V2" s="522" t="s">
        <v>354</v>
      </c>
      <c r="W2" s="522">
        <v>2021</v>
      </c>
      <c r="X2" s="522">
        <v>2022</v>
      </c>
      <c r="Y2" s="522">
        <v>2023</v>
      </c>
      <c r="Z2" s="522">
        <v>2024</v>
      </c>
      <c r="AA2" s="522">
        <v>2025</v>
      </c>
      <c r="AD2" s="204" t="s">
        <v>1503</v>
      </c>
      <c r="AE2" s="204" t="s">
        <v>1559</v>
      </c>
      <c r="AF2" s="204">
        <v>2018</v>
      </c>
      <c r="AG2" s="204">
        <v>2019</v>
      </c>
      <c r="AH2" s="204">
        <v>2020</v>
      </c>
      <c r="AI2" s="1"/>
      <c r="AJ2" s="204" t="s">
        <v>1503</v>
      </c>
      <c r="AK2" s="204" t="s">
        <v>1559</v>
      </c>
      <c r="AL2" s="204">
        <v>2018</v>
      </c>
      <c r="AM2" s="204">
        <v>2019</v>
      </c>
      <c r="AN2" s="204">
        <v>2020</v>
      </c>
    </row>
    <row r="3" spans="2:40" ht="12" customHeight="1" thickTop="1">
      <c r="B3" s="5680"/>
      <c r="C3" s="5680"/>
      <c r="D3" s="5680"/>
      <c r="E3" s="5681"/>
      <c r="F3" s="5683"/>
      <c r="G3" s="411" t="s">
        <v>1461</v>
      </c>
      <c r="H3" s="412" t="s">
        <v>1462</v>
      </c>
      <c r="I3" s="413" t="s">
        <v>1463</v>
      </c>
      <c r="J3" s="413" t="s">
        <v>1464</v>
      </c>
      <c r="K3" s="414" t="s">
        <v>1465</v>
      </c>
      <c r="L3" s="415" t="s">
        <v>1413</v>
      </c>
      <c r="O3" s="115" t="s">
        <v>1490</v>
      </c>
      <c r="P3" s="516">
        <v>3631059816.1156693</v>
      </c>
      <c r="Q3" s="516">
        <v>3821804753.0054502</v>
      </c>
      <c r="R3" s="516">
        <v>3948907048.4722857</v>
      </c>
      <c r="S3" s="516">
        <v>4006780446</v>
      </c>
      <c r="T3" s="516">
        <v>4005617866</v>
      </c>
      <c r="V3" s="115" t="s">
        <v>1456</v>
      </c>
      <c r="W3" s="5">
        <f>P16/10^6</f>
        <v>66602.553713052315</v>
      </c>
      <c r="X3" s="5">
        <f t="shared" ref="X3:AA3" si="0">Q16/10^6</f>
        <v>69892.507029455999</v>
      </c>
      <c r="Y3" s="5">
        <f t="shared" si="0"/>
        <v>77520.955117054022</v>
      </c>
      <c r="Z3" s="5">
        <f t="shared" si="0"/>
        <v>80931.406690000003</v>
      </c>
      <c r="AA3" s="5">
        <f t="shared" si="0"/>
        <v>73330.458532000004</v>
      </c>
      <c r="AD3" s="5715" t="s">
        <v>1505</v>
      </c>
      <c r="AE3" s="323" t="s">
        <v>1456</v>
      </c>
      <c r="AF3" s="324">
        <f>1453287474/10^6</f>
        <v>1453.287474</v>
      </c>
      <c r="AG3" s="324">
        <f>897003590/10^6</f>
        <v>897.00359000000003</v>
      </c>
      <c r="AH3" s="324">
        <f>678640661/10^6</f>
        <v>678.64066100000002</v>
      </c>
      <c r="AI3" s="1"/>
      <c r="AJ3" s="5715" t="s">
        <v>1505</v>
      </c>
      <c r="AK3" s="323" t="s">
        <v>1456</v>
      </c>
      <c r="AL3" s="324">
        <f>1150676/1000</f>
        <v>1150.6759999999999</v>
      </c>
      <c r="AM3" s="324">
        <f>1188480/1000</f>
        <v>1188.48</v>
      </c>
      <c r="AN3" s="324">
        <f>639794/1000</f>
        <v>639.79399999999998</v>
      </c>
    </row>
    <row r="4" spans="2:40" ht="12" customHeight="1">
      <c r="B4" s="5688" t="s">
        <v>1466</v>
      </c>
      <c r="C4" s="5688"/>
      <c r="D4" s="5688"/>
      <c r="E4" s="5689"/>
      <c r="F4" s="416">
        <v>952</v>
      </c>
      <c r="G4" s="417">
        <v>1036</v>
      </c>
      <c r="H4" s="418">
        <v>851</v>
      </c>
      <c r="I4" s="419">
        <v>1425</v>
      </c>
      <c r="J4" s="420">
        <v>768</v>
      </c>
      <c r="K4" s="421">
        <v>826</v>
      </c>
      <c r="L4" s="422">
        <v>3019</v>
      </c>
      <c r="O4" s="115" t="s">
        <v>1491</v>
      </c>
      <c r="P4" s="516">
        <v>25946651</v>
      </c>
      <c r="Q4" s="516">
        <v>25784930</v>
      </c>
      <c r="R4" s="516">
        <v>24029987</v>
      </c>
      <c r="S4" s="516">
        <v>16737320</v>
      </c>
      <c r="T4" s="516">
        <v>6781790</v>
      </c>
      <c r="V4" s="115" t="s">
        <v>1458</v>
      </c>
      <c r="W4" s="5">
        <f>(P15-P16)/10^6</f>
        <v>3754.0989239999999</v>
      </c>
      <c r="X4" s="5">
        <f t="shared" ref="X4:AA4" si="1">(Q15-Q16)/10^6</f>
        <v>4286.5443009999999</v>
      </c>
      <c r="Y4" s="5">
        <f t="shared" si="1"/>
        <v>4683.9334660000004</v>
      </c>
      <c r="Z4" s="5">
        <f t="shared" si="1"/>
        <v>4612.04907</v>
      </c>
      <c r="AA4" s="5">
        <f t="shared" si="1"/>
        <v>4220.0120349999997</v>
      </c>
      <c r="AD4" s="5716"/>
      <c r="AE4" s="1" t="s">
        <v>1458</v>
      </c>
      <c r="AF4" s="205">
        <f>5221200/10^6</f>
        <v>5.2211999999999996</v>
      </c>
      <c r="AG4" s="205">
        <f>490000/10^6</f>
        <v>0.49</v>
      </c>
      <c r="AH4" s="205">
        <v>0</v>
      </c>
      <c r="AI4" s="1"/>
      <c r="AJ4" s="5716"/>
      <c r="AK4" s="1" t="s">
        <v>1458</v>
      </c>
      <c r="AL4" s="205">
        <f>13447/1000</f>
        <v>13.446999999999999</v>
      </c>
      <c r="AM4" s="205">
        <f>13447/1000</f>
        <v>13.446999999999999</v>
      </c>
      <c r="AN4" s="205">
        <f>19143/1000</f>
        <v>19.143000000000001</v>
      </c>
    </row>
    <row r="5" spans="2:40" ht="12" customHeight="1">
      <c r="B5" s="423"/>
      <c r="C5" s="5675" t="s">
        <v>1467</v>
      </c>
      <c r="D5" s="5676"/>
      <c r="E5" s="5677"/>
      <c r="F5" s="424">
        <v>729</v>
      </c>
      <c r="G5" s="425">
        <v>434</v>
      </c>
      <c r="H5" s="426">
        <v>438</v>
      </c>
      <c r="I5" s="427">
        <v>920</v>
      </c>
      <c r="J5" s="428">
        <v>473</v>
      </c>
      <c r="K5" s="429">
        <v>472</v>
      </c>
      <c r="L5" s="430">
        <v>1865</v>
      </c>
      <c r="O5" s="115" t="s">
        <v>1492</v>
      </c>
      <c r="P5" s="516">
        <v>2772037104.4768991</v>
      </c>
      <c r="Q5" s="516">
        <v>2832822441.8613939</v>
      </c>
      <c r="R5" s="516">
        <v>2908107374.8613939</v>
      </c>
      <c r="S5" s="516">
        <v>2679785965</v>
      </c>
      <c r="T5" s="516">
        <v>2369779048</v>
      </c>
      <c r="W5" s="5"/>
      <c r="X5" s="5"/>
      <c r="Y5" s="5"/>
      <c r="Z5" s="524"/>
      <c r="AA5" s="524"/>
      <c r="AD5" s="5717"/>
      <c r="AE5" s="68" t="s">
        <v>1546</v>
      </c>
      <c r="AF5" s="208">
        <v>0</v>
      </c>
      <c r="AG5" s="208">
        <f>102296/1000</f>
        <v>102.29600000000001</v>
      </c>
      <c r="AH5" s="208">
        <f>103481/1000</f>
        <v>103.48099999999999</v>
      </c>
      <c r="AI5" s="1"/>
      <c r="AJ5" s="5717"/>
      <c r="AK5" s="68" t="s">
        <v>1546</v>
      </c>
      <c r="AL5" s="208"/>
      <c r="AM5" s="208">
        <f>67731/1000</f>
        <v>67.730999999999995</v>
      </c>
      <c r="AN5" s="208">
        <f>83472/1000</f>
        <v>83.471999999999994</v>
      </c>
    </row>
    <row r="6" spans="2:40" ht="12" customHeight="1">
      <c r="B6" s="431"/>
      <c r="C6" s="432"/>
      <c r="D6" s="5690" t="s">
        <v>1468</v>
      </c>
      <c r="E6" s="5691"/>
      <c r="F6" s="433">
        <v>279</v>
      </c>
      <c r="G6" s="434">
        <v>45</v>
      </c>
      <c r="H6" s="435">
        <v>107</v>
      </c>
      <c r="I6" s="436">
        <v>217</v>
      </c>
      <c r="J6" s="437">
        <v>40</v>
      </c>
      <c r="K6" s="438" t="s">
        <v>125</v>
      </c>
      <c r="L6" s="439">
        <v>257</v>
      </c>
      <c r="O6" s="115" t="s">
        <v>1493</v>
      </c>
      <c r="P6" s="516">
        <v>57818930177.459755</v>
      </c>
      <c r="Q6" s="516">
        <v>60604146110.58918</v>
      </c>
      <c r="R6" s="516">
        <v>67803420747.720337</v>
      </c>
      <c r="S6" s="516">
        <v>71563130254</v>
      </c>
      <c r="T6" s="516">
        <v>64775372125</v>
      </c>
      <c r="W6" s="5"/>
      <c r="X6" s="5"/>
      <c r="Y6" s="5"/>
      <c r="Z6" s="524"/>
      <c r="AA6" s="524"/>
      <c r="AD6" s="5715" t="s">
        <v>1506</v>
      </c>
      <c r="AE6" s="323" t="s">
        <v>1456</v>
      </c>
      <c r="AF6" s="324">
        <f>8232662410/10^6</f>
        <v>8232.6624100000008</v>
      </c>
      <c r="AG6" s="324">
        <f>2547762882/10^6</f>
        <v>2547.762882</v>
      </c>
      <c r="AH6" s="324">
        <f>7757978580/10^6</f>
        <v>7757.97858</v>
      </c>
      <c r="AI6" s="1"/>
      <c r="AJ6" s="5715" t="s">
        <v>1506</v>
      </c>
      <c r="AK6" s="323" t="s">
        <v>1456</v>
      </c>
      <c r="AL6" s="324">
        <f>6086912/10^3</f>
        <v>6086.9120000000003</v>
      </c>
      <c r="AM6" s="324">
        <f>7343979/1000</f>
        <v>7343.9790000000003</v>
      </c>
      <c r="AN6" s="324">
        <f>7767543/1000</f>
        <v>7767.5429999999997</v>
      </c>
    </row>
    <row r="7" spans="2:40" ht="12" customHeight="1">
      <c r="B7" s="440"/>
      <c r="C7" s="441"/>
      <c r="D7" s="5692" t="s">
        <v>1469</v>
      </c>
      <c r="E7" s="5693"/>
      <c r="F7" s="442">
        <v>1</v>
      </c>
      <c r="G7" s="443">
        <v>18</v>
      </c>
      <c r="H7" s="444">
        <v>18</v>
      </c>
      <c r="I7" s="445">
        <v>45</v>
      </c>
      <c r="J7" s="446">
        <v>63</v>
      </c>
      <c r="K7" s="447">
        <v>50</v>
      </c>
      <c r="L7" s="448">
        <v>158</v>
      </c>
      <c r="O7" s="115" t="s">
        <v>1494</v>
      </c>
      <c r="P7" s="516">
        <v>2694852828</v>
      </c>
      <c r="Q7" s="516">
        <v>3086172804</v>
      </c>
      <c r="R7" s="516">
        <v>3471041964</v>
      </c>
      <c r="S7" s="516">
        <v>3717914974</v>
      </c>
      <c r="T7" s="516">
        <v>3493031272</v>
      </c>
      <c r="W7" s="5"/>
      <c r="X7" s="5"/>
      <c r="Y7" s="5"/>
      <c r="Z7" s="524"/>
      <c r="AA7" s="524"/>
      <c r="AD7" s="5716"/>
      <c r="AE7" s="1" t="s">
        <v>1458</v>
      </c>
      <c r="AF7" s="205">
        <v>0</v>
      </c>
      <c r="AG7" s="205">
        <v>0</v>
      </c>
      <c r="AH7" s="205">
        <f>92893400/10^6</f>
        <v>92.8934</v>
      </c>
      <c r="AI7" s="1"/>
      <c r="AJ7" s="5716"/>
      <c r="AK7" s="1" t="s">
        <v>1458</v>
      </c>
      <c r="AL7" s="205">
        <f>95741/1000</f>
        <v>95.741</v>
      </c>
      <c r="AM7" s="205">
        <f>66760/1000</f>
        <v>66.760000000000005</v>
      </c>
      <c r="AN7" s="205">
        <f>79290/1000</f>
        <v>79.290000000000006</v>
      </c>
    </row>
    <row r="8" spans="2:40" ht="12" customHeight="1">
      <c r="B8" s="449"/>
      <c r="C8" s="450"/>
      <c r="D8" s="5694" t="s">
        <v>1470</v>
      </c>
      <c r="E8" s="5695"/>
      <c r="F8" s="451">
        <v>449</v>
      </c>
      <c r="G8" s="452">
        <v>371</v>
      </c>
      <c r="H8" s="453">
        <v>313</v>
      </c>
      <c r="I8" s="454">
        <v>658</v>
      </c>
      <c r="J8" s="455">
        <v>370</v>
      </c>
      <c r="K8" s="456">
        <v>422</v>
      </c>
      <c r="L8" s="457">
        <v>1450</v>
      </c>
      <c r="O8" s="115" t="s">
        <v>1495</v>
      </c>
      <c r="P8" s="516">
        <v>1160120626</v>
      </c>
      <c r="Q8" s="516">
        <v>1424742875</v>
      </c>
      <c r="R8" s="516">
        <v>1728029804</v>
      </c>
      <c r="S8" s="516">
        <v>1941720595</v>
      </c>
      <c r="T8" s="516">
        <v>1791827343</v>
      </c>
      <c r="W8" s="5"/>
      <c r="X8" s="5"/>
      <c r="Y8" s="5"/>
      <c r="Z8" s="524"/>
      <c r="AA8" s="524"/>
      <c r="AD8" s="5717"/>
      <c r="AE8" s="68" t="s">
        <v>1546</v>
      </c>
      <c r="AF8" s="208">
        <v>0</v>
      </c>
      <c r="AG8" s="208">
        <f>163134/1000</f>
        <v>163.13399999999999</v>
      </c>
      <c r="AH8" s="208">
        <f>168289/1000</f>
        <v>168.28899999999999</v>
      </c>
      <c r="AI8" s="1"/>
      <c r="AJ8" s="5717"/>
      <c r="AK8" s="68" t="s">
        <v>1546</v>
      </c>
      <c r="AL8" s="208">
        <v>0</v>
      </c>
      <c r="AM8" s="208">
        <f>55144/1000</f>
        <v>55.143999999999998</v>
      </c>
      <c r="AN8" s="208">
        <f>61336/1000</f>
        <v>61.335999999999999</v>
      </c>
    </row>
    <row r="9" spans="2:40" ht="12" customHeight="1">
      <c r="B9" s="458"/>
      <c r="C9" s="5696" t="s">
        <v>1471</v>
      </c>
      <c r="D9" s="5697"/>
      <c r="E9" s="5698"/>
      <c r="F9" s="459">
        <v>2</v>
      </c>
      <c r="G9" s="460">
        <v>7</v>
      </c>
      <c r="H9" s="461">
        <v>7</v>
      </c>
      <c r="I9" s="462">
        <v>6</v>
      </c>
      <c r="J9" s="463">
        <v>8</v>
      </c>
      <c r="K9" s="464">
        <v>23</v>
      </c>
      <c r="L9" s="465">
        <v>37</v>
      </c>
      <c r="O9" s="115" t="s">
        <v>1496</v>
      </c>
      <c r="P9" s="516">
        <v>206272753</v>
      </c>
      <c r="Q9" s="516">
        <v>212235791</v>
      </c>
      <c r="R9" s="516">
        <v>167376713</v>
      </c>
      <c r="S9" s="516">
        <v>159605960</v>
      </c>
      <c r="T9" s="516">
        <v>121901914</v>
      </c>
      <c r="W9" s="523"/>
      <c r="X9" s="523"/>
      <c r="Y9" s="523"/>
      <c r="Z9" s="523"/>
      <c r="AA9" s="523"/>
      <c r="AD9" s="5715" t="s">
        <v>1507</v>
      </c>
      <c r="AE9" s="323" t="s">
        <v>1456</v>
      </c>
      <c r="AF9" s="324">
        <f>100699187/10^6</f>
        <v>100.69918699999999</v>
      </c>
      <c r="AG9" s="324">
        <f>91106890/10^6</f>
        <v>91.106890000000007</v>
      </c>
      <c r="AH9" s="324">
        <f>83847876/10^6</f>
        <v>83.847875999999999</v>
      </c>
      <c r="AI9" s="1"/>
      <c r="AJ9" s="5715" t="s">
        <v>1507</v>
      </c>
      <c r="AK9" s="323" t="s">
        <v>1456</v>
      </c>
      <c r="AL9" s="324">
        <f>53357/10^3</f>
        <v>53.356999999999999</v>
      </c>
      <c r="AM9" s="324">
        <f>59111/1000</f>
        <v>59.110999999999997</v>
      </c>
      <c r="AN9" s="324">
        <f>56920/1000</f>
        <v>56.92</v>
      </c>
    </row>
    <row r="10" spans="2:40" ht="12" customHeight="1">
      <c r="B10" s="5699"/>
      <c r="C10" s="5701" t="s">
        <v>1472</v>
      </c>
      <c r="D10" s="5702"/>
      <c r="E10" s="5703"/>
      <c r="F10" s="466">
        <v>221</v>
      </c>
      <c r="G10" s="467">
        <v>595</v>
      </c>
      <c r="H10" s="468">
        <v>406</v>
      </c>
      <c r="I10" s="469">
        <v>499</v>
      </c>
      <c r="J10" s="470">
        <v>287</v>
      </c>
      <c r="K10" s="471">
        <v>331</v>
      </c>
      <c r="L10" s="472">
        <v>1117</v>
      </c>
      <c r="O10" s="115" t="s">
        <v>1497</v>
      </c>
      <c r="P10" s="516">
        <v>93761794</v>
      </c>
      <c r="Q10" s="516">
        <v>93761794</v>
      </c>
      <c r="R10" s="516">
        <v>93761794</v>
      </c>
      <c r="S10" s="516">
        <v>93761794</v>
      </c>
      <c r="T10" s="516">
        <v>93761794</v>
      </c>
      <c r="W10" s="523"/>
      <c r="X10" s="523"/>
      <c r="Y10" s="523"/>
      <c r="Z10" s="523"/>
      <c r="AA10" s="523"/>
      <c r="AD10" s="5716"/>
      <c r="AE10" s="1" t="s">
        <v>1458</v>
      </c>
      <c r="AF10" s="205">
        <v>0</v>
      </c>
      <c r="AG10" s="205">
        <v>0</v>
      </c>
      <c r="AH10" s="205">
        <v>0</v>
      </c>
      <c r="AI10" s="1"/>
      <c r="AJ10" s="5716"/>
      <c r="AK10" s="1" t="s">
        <v>1458</v>
      </c>
      <c r="AL10" s="205">
        <f>25172/1000</f>
        <v>25.172000000000001</v>
      </c>
      <c r="AM10" s="205">
        <f>27335/1000</f>
        <v>27.335000000000001</v>
      </c>
      <c r="AN10" s="205">
        <f>20949/1000</f>
        <v>20.949000000000002</v>
      </c>
    </row>
    <row r="11" spans="2:40" ht="12" customHeight="1">
      <c r="B11" s="5699"/>
      <c r="C11" s="473"/>
      <c r="D11" s="5704" t="s">
        <v>1473</v>
      </c>
      <c r="E11" s="5705"/>
      <c r="F11" s="474">
        <v>70</v>
      </c>
      <c r="G11" s="475">
        <v>379</v>
      </c>
      <c r="H11" s="476">
        <v>267</v>
      </c>
      <c r="I11" s="477">
        <v>374</v>
      </c>
      <c r="J11" s="478">
        <v>176</v>
      </c>
      <c r="K11" s="479">
        <v>237</v>
      </c>
      <c r="L11" s="480">
        <v>787</v>
      </c>
      <c r="O11" s="115" t="s">
        <v>1498</v>
      </c>
      <c r="P11" s="516">
        <v>17395400</v>
      </c>
      <c r="Q11" s="516">
        <v>17395400</v>
      </c>
      <c r="R11" s="516">
        <v>17395400</v>
      </c>
      <c r="S11" s="516">
        <v>8531674</v>
      </c>
      <c r="T11" s="516">
        <v>0</v>
      </c>
      <c r="W11" s="5"/>
      <c r="X11" s="5"/>
      <c r="Y11" s="5"/>
      <c r="Z11" s="524"/>
      <c r="AA11" s="524"/>
      <c r="AD11" s="5717"/>
      <c r="AE11" s="68" t="s">
        <v>1546</v>
      </c>
      <c r="AF11" s="208">
        <v>0</v>
      </c>
      <c r="AG11" s="208">
        <f>56602/1000</f>
        <v>56.601999999999997</v>
      </c>
      <c r="AH11" s="208">
        <f>60262/1000</f>
        <v>60.262</v>
      </c>
      <c r="AI11" s="1"/>
      <c r="AJ11" s="5717"/>
      <c r="AK11" s="68" t="s">
        <v>1546</v>
      </c>
      <c r="AL11" s="208">
        <v>0</v>
      </c>
      <c r="AM11" s="208">
        <f>42845/1000</f>
        <v>42.844999999999999</v>
      </c>
      <c r="AN11" s="208">
        <f>42655/1000</f>
        <v>42.655000000000001</v>
      </c>
    </row>
    <row r="12" spans="2:40" ht="12" customHeight="1">
      <c r="B12" s="5699"/>
      <c r="C12" s="5706"/>
      <c r="D12" s="5709" t="s">
        <v>1474</v>
      </c>
      <c r="E12" s="5710"/>
      <c r="F12" s="481">
        <v>111</v>
      </c>
      <c r="G12" s="482">
        <v>108</v>
      </c>
      <c r="H12" s="483">
        <v>68</v>
      </c>
      <c r="I12" s="484">
        <v>52</v>
      </c>
      <c r="J12" s="485">
        <v>51</v>
      </c>
      <c r="K12" s="486">
        <v>17</v>
      </c>
      <c r="L12" s="487">
        <v>120</v>
      </c>
      <c r="O12" s="115" t="s">
        <v>1499</v>
      </c>
      <c r="P12" s="516">
        <v>1059246096</v>
      </c>
      <c r="Q12" s="516">
        <v>1200371497</v>
      </c>
      <c r="R12" s="516">
        <v>1212891502</v>
      </c>
      <c r="S12" s="516">
        <v>894134096</v>
      </c>
      <c r="T12" s="516">
        <v>726980763</v>
      </c>
      <c r="W12" s="5"/>
      <c r="X12" s="5"/>
      <c r="Y12" s="5"/>
      <c r="Z12" s="5"/>
      <c r="AA12" s="5"/>
      <c r="AD12" s="5715" t="s">
        <v>1561</v>
      </c>
      <c r="AE12" s="323" t="s">
        <v>1456</v>
      </c>
      <c r="AF12" s="540" t="s">
        <v>368</v>
      </c>
      <c r="AG12" s="540" t="s">
        <v>338</v>
      </c>
      <c r="AH12" s="540" t="s">
        <v>338</v>
      </c>
      <c r="AI12" s="1"/>
      <c r="AJ12" s="5715" t="s">
        <v>1560</v>
      </c>
      <c r="AK12" s="323" t="s">
        <v>1456</v>
      </c>
      <c r="AL12" s="324">
        <f>2226027/1000</f>
        <v>2226.027</v>
      </c>
      <c r="AM12" s="324">
        <f>2463271/1000</f>
        <v>2463.2710000000002</v>
      </c>
      <c r="AN12" s="324">
        <f>2539856/1000</f>
        <v>2539.8560000000002</v>
      </c>
    </row>
    <row r="13" spans="2:40" ht="12" customHeight="1">
      <c r="B13" s="5699"/>
      <c r="C13" s="5707"/>
      <c r="D13" s="5711" t="s">
        <v>1475</v>
      </c>
      <c r="E13" s="488" t="s">
        <v>1476</v>
      </c>
      <c r="F13" s="474">
        <v>23</v>
      </c>
      <c r="G13" s="475">
        <v>60</v>
      </c>
      <c r="H13" s="476">
        <v>41</v>
      </c>
      <c r="I13" s="477">
        <v>24</v>
      </c>
      <c r="J13" s="478">
        <v>16</v>
      </c>
      <c r="K13" s="479">
        <v>48</v>
      </c>
      <c r="L13" s="480">
        <v>88</v>
      </c>
      <c r="O13" s="115" t="s">
        <v>1500</v>
      </c>
      <c r="P13" s="516">
        <v>757375173</v>
      </c>
      <c r="Q13" s="516">
        <v>745718334</v>
      </c>
      <c r="R13" s="516">
        <v>721944819</v>
      </c>
      <c r="S13" s="516">
        <v>265566146</v>
      </c>
      <c r="T13" s="516">
        <v>12083328</v>
      </c>
      <c r="W13" s="5"/>
      <c r="X13" s="5"/>
      <c r="Y13" s="5"/>
      <c r="Z13" s="5"/>
      <c r="AA13" s="5"/>
      <c r="AD13" s="5716"/>
      <c r="AE13" s="1" t="s">
        <v>1458</v>
      </c>
      <c r="AF13" s="207" t="s">
        <v>338</v>
      </c>
      <c r="AG13" s="207" t="s">
        <v>338</v>
      </c>
      <c r="AH13" s="207" t="s">
        <v>338</v>
      </c>
      <c r="AI13" s="1"/>
      <c r="AJ13" s="5716"/>
      <c r="AK13" s="1" t="s">
        <v>1458</v>
      </c>
      <c r="AL13" s="205">
        <f>15942/1000</f>
        <v>15.942</v>
      </c>
      <c r="AM13" s="205">
        <f>17194/1000</f>
        <v>17.193999999999999</v>
      </c>
      <c r="AN13" s="205">
        <f>12995/1000</f>
        <v>12.994999999999999</v>
      </c>
    </row>
    <row r="14" spans="2:40" ht="12" customHeight="1">
      <c r="B14" s="5700"/>
      <c r="C14" s="5708"/>
      <c r="D14" s="5712"/>
      <c r="E14" s="489" t="s">
        <v>1477</v>
      </c>
      <c r="F14" s="490">
        <v>17</v>
      </c>
      <c r="G14" s="491">
        <v>48</v>
      </c>
      <c r="H14" s="492">
        <v>30</v>
      </c>
      <c r="I14" s="493">
        <v>49</v>
      </c>
      <c r="J14" s="494">
        <v>44</v>
      </c>
      <c r="K14" s="495">
        <v>29</v>
      </c>
      <c r="L14" s="496">
        <v>122</v>
      </c>
      <c r="O14" s="115" t="s">
        <v>1501</v>
      </c>
      <c r="P14" s="516">
        <v>119654218</v>
      </c>
      <c r="Q14" s="516">
        <v>114094600</v>
      </c>
      <c r="R14" s="516">
        <v>107981429</v>
      </c>
      <c r="S14" s="516">
        <v>195786536</v>
      </c>
      <c r="T14" s="516">
        <v>153333324</v>
      </c>
      <c r="W14" s="5"/>
      <c r="X14" s="5"/>
      <c r="Y14" s="5"/>
      <c r="Z14" s="5"/>
      <c r="AA14" s="5"/>
      <c r="AD14" s="5717"/>
      <c r="AE14" s="68" t="s">
        <v>1546</v>
      </c>
      <c r="AF14" s="209" t="s">
        <v>338</v>
      </c>
      <c r="AG14" s="209" t="s">
        <v>338</v>
      </c>
      <c r="AH14" s="209" t="s">
        <v>338</v>
      </c>
      <c r="AI14" s="1"/>
      <c r="AJ14" s="5717"/>
      <c r="AK14" s="68" t="s">
        <v>1546</v>
      </c>
      <c r="AL14" s="208">
        <v>0</v>
      </c>
      <c r="AM14" s="208">
        <f>10609/1000</f>
        <v>10.609</v>
      </c>
      <c r="AN14" s="208">
        <f>11075/1000</f>
        <v>11.074999999999999</v>
      </c>
    </row>
    <row r="15" spans="2:40" ht="12" customHeight="1">
      <c r="B15" s="5688" t="s">
        <v>1478</v>
      </c>
      <c r="C15" s="5688"/>
      <c r="D15" s="5688"/>
      <c r="E15" s="5689"/>
      <c r="F15" s="416">
        <v>43</v>
      </c>
      <c r="G15" s="497">
        <v>98</v>
      </c>
      <c r="H15" s="418">
        <v>105</v>
      </c>
      <c r="I15" s="498">
        <v>56</v>
      </c>
      <c r="J15" s="420">
        <v>110</v>
      </c>
      <c r="K15" s="421">
        <v>35</v>
      </c>
      <c r="L15" s="499">
        <v>201</v>
      </c>
      <c r="O15" s="115" t="s">
        <v>275</v>
      </c>
      <c r="P15" s="516">
        <v>70356652637.052322</v>
      </c>
      <c r="Q15" s="516">
        <v>74179051330.455994</v>
      </c>
      <c r="R15" s="516">
        <v>82204888583.054016</v>
      </c>
      <c r="S15" s="516">
        <v>85543455760</v>
      </c>
      <c r="T15" s="516">
        <v>77550470567</v>
      </c>
      <c r="W15" s="5"/>
      <c r="X15" s="5"/>
      <c r="Y15" s="5"/>
      <c r="Z15" s="5"/>
      <c r="AA15" s="5"/>
      <c r="AD15" s="5715" t="s">
        <v>1504</v>
      </c>
      <c r="AE15" s="323" t="s">
        <v>1455</v>
      </c>
      <c r="AF15" s="540">
        <f>-별도FS_본체!W22/10^6</f>
        <v>67246.593884999995</v>
      </c>
      <c r="AG15" s="540">
        <f>-별도FS_본체!X22/10^6</f>
        <v>93443.943171999999</v>
      </c>
      <c r="AH15" s="540">
        <f>-별도FS_본체!Y22/10^6</f>
        <v>79612.289063000004</v>
      </c>
      <c r="AI15" s="1"/>
      <c r="AJ15" s="5715" t="s">
        <v>1504</v>
      </c>
      <c r="AK15" s="323" t="s">
        <v>1455</v>
      </c>
      <c r="AL15" s="324">
        <v>61035</v>
      </c>
      <c r="AM15" s="324">
        <v>63785</v>
      </c>
      <c r="AN15" s="324">
        <v>63224</v>
      </c>
    </row>
    <row r="16" spans="2:40" ht="12" customHeight="1">
      <c r="B16" s="500"/>
      <c r="C16" s="5675" t="s">
        <v>1479</v>
      </c>
      <c r="D16" s="5676"/>
      <c r="E16" s="5677"/>
      <c r="F16" s="474">
        <v>31</v>
      </c>
      <c r="G16" s="475">
        <v>68</v>
      </c>
      <c r="H16" s="476">
        <v>75</v>
      </c>
      <c r="I16" s="477">
        <v>30</v>
      </c>
      <c r="J16" s="478">
        <v>89</v>
      </c>
      <c r="K16" s="479">
        <v>14</v>
      </c>
      <c r="L16" s="480">
        <v>133</v>
      </c>
      <c r="P16" s="516">
        <f>P15-P7-P12</f>
        <v>66602553713.052322</v>
      </c>
      <c r="Q16" s="516">
        <f t="shared" ref="Q16:T16" si="2">Q15-Q7-Q12</f>
        <v>69892507029.455994</v>
      </c>
      <c r="R16" s="516">
        <f t="shared" si="2"/>
        <v>77520955117.054016</v>
      </c>
      <c r="S16" s="516">
        <f t="shared" si="2"/>
        <v>80931406690</v>
      </c>
      <c r="T16" s="516">
        <f t="shared" si="2"/>
        <v>73330458532</v>
      </c>
      <c r="U16" s="516"/>
      <c r="W16" s="5"/>
      <c r="X16" s="5"/>
      <c r="Y16" s="5"/>
      <c r="Z16" s="5"/>
      <c r="AA16" s="5"/>
      <c r="AD16" s="5716"/>
      <c r="AE16" s="1" t="s">
        <v>1457</v>
      </c>
      <c r="AF16" s="207">
        <f>-별도FS_본체!W23/10^6</f>
        <v>1986.0362720000001</v>
      </c>
      <c r="AG16" s="207">
        <f>-별도FS_본체!X23/10^6</f>
        <v>1298.8761</v>
      </c>
      <c r="AH16" s="207">
        <f>-별도FS_본체!Y23/10^6</f>
        <v>2262.4924999999998</v>
      </c>
      <c r="AI16" s="1"/>
      <c r="AJ16" s="5716"/>
      <c r="AK16" s="1" t="s">
        <v>1457</v>
      </c>
      <c r="AL16" s="205">
        <v>2182</v>
      </c>
      <c r="AM16" s="205">
        <v>2365</v>
      </c>
      <c r="AN16" s="205">
        <v>2789</v>
      </c>
    </row>
    <row r="17" spans="2:40" ht="12" customHeight="1">
      <c r="B17" s="440"/>
      <c r="C17" s="5718" t="s">
        <v>1480</v>
      </c>
      <c r="D17" s="5719"/>
      <c r="E17" s="5720"/>
      <c r="F17" s="501">
        <v>9</v>
      </c>
      <c r="G17" s="502">
        <v>10</v>
      </c>
      <c r="H17" s="503">
        <v>10</v>
      </c>
      <c r="I17" s="504">
        <v>14</v>
      </c>
      <c r="J17" s="505">
        <v>9</v>
      </c>
      <c r="K17" s="506">
        <v>8</v>
      </c>
      <c r="L17" s="507">
        <v>31</v>
      </c>
      <c r="W17" s="5"/>
      <c r="X17" s="5"/>
      <c r="Y17" s="5"/>
      <c r="Z17" s="5"/>
      <c r="AA17" s="5"/>
      <c r="AD17" s="5717"/>
      <c r="AE17" s="68" t="s">
        <v>1545</v>
      </c>
      <c r="AF17" s="209">
        <v>0</v>
      </c>
      <c r="AG17" s="209">
        <f>별도FS_본체!AC17</f>
        <v>1955</v>
      </c>
      <c r="AH17" s="209">
        <f>별도FS_본체!AB17</f>
        <v>1814</v>
      </c>
      <c r="AI17" s="1"/>
      <c r="AJ17" s="5717"/>
      <c r="AK17" s="68" t="s">
        <v>1545</v>
      </c>
      <c r="AL17" s="208"/>
      <c r="AM17" s="208">
        <v>2206</v>
      </c>
      <c r="AN17" s="208">
        <v>2325</v>
      </c>
    </row>
    <row r="18" spans="2:40" ht="12" customHeight="1">
      <c r="B18" s="440"/>
      <c r="C18" s="5718" t="s">
        <v>1481</v>
      </c>
      <c r="D18" s="5719"/>
      <c r="E18" s="5720"/>
      <c r="F18" s="501">
        <v>1</v>
      </c>
      <c r="G18" s="502">
        <v>1</v>
      </c>
      <c r="H18" s="503">
        <v>1</v>
      </c>
      <c r="I18" s="504">
        <v>1</v>
      </c>
      <c r="J18" s="505" t="s">
        <v>125</v>
      </c>
      <c r="K18" s="506" t="s">
        <v>125</v>
      </c>
      <c r="L18" s="507">
        <v>1</v>
      </c>
      <c r="W18" s="5"/>
      <c r="X18" s="5"/>
      <c r="Y18" s="5"/>
      <c r="Z18" s="5"/>
      <c r="AA18" s="5"/>
      <c r="AD18" s="5715" t="s">
        <v>1580</v>
      </c>
      <c r="AE18" s="323" t="s">
        <v>1455</v>
      </c>
      <c r="AF18" s="540">
        <v>76244.570412999994</v>
      </c>
      <c r="AG18" s="540">
        <v>92928.838665999996</v>
      </c>
      <c r="AH18" s="540">
        <v>84404.385087000002</v>
      </c>
      <c r="AI18" s="1"/>
      <c r="AJ18" s="5715" t="s">
        <v>1580</v>
      </c>
      <c r="AK18" s="323" t="s">
        <v>1455</v>
      </c>
      <c r="AL18" s="324">
        <v>70061</v>
      </c>
      <c r="AM18" s="324">
        <v>74138</v>
      </c>
      <c r="AN18" s="324">
        <v>73321</v>
      </c>
    </row>
    <row r="19" spans="2:40" ht="12" customHeight="1">
      <c r="B19" s="440"/>
      <c r="C19" s="5718" t="s">
        <v>1482</v>
      </c>
      <c r="D19" s="5719"/>
      <c r="E19" s="5720"/>
      <c r="F19" s="501" t="s">
        <v>125</v>
      </c>
      <c r="G19" s="502" t="s">
        <v>125</v>
      </c>
      <c r="H19" s="503">
        <v>7</v>
      </c>
      <c r="I19" s="504" t="s">
        <v>125</v>
      </c>
      <c r="J19" s="505" t="s">
        <v>125</v>
      </c>
      <c r="K19" s="506">
        <v>7</v>
      </c>
      <c r="L19" s="507">
        <v>7</v>
      </c>
      <c r="W19" s="5"/>
      <c r="X19" s="5"/>
      <c r="Y19" s="5"/>
      <c r="Z19" s="5"/>
      <c r="AA19" s="5"/>
      <c r="AD19" s="5716"/>
      <c r="AE19" s="1" t="s">
        <v>1457</v>
      </c>
      <c r="AF19" s="207">
        <v>1991.257472</v>
      </c>
      <c r="AG19" s="207">
        <v>1303.022651</v>
      </c>
      <c r="AH19" s="207">
        <v>2355.3859000000002</v>
      </c>
      <c r="AI19" s="1"/>
      <c r="AJ19" s="5716"/>
      <c r="AK19" s="1" t="s">
        <v>1457</v>
      </c>
      <c r="AL19" s="205">
        <v>2333</v>
      </c>
      <c r="AM19" s="205">
        <v>2491</v>
      </c>
      <c r="AN19" s="205">
        <v>2921</v>
      </c>
    </row>
    <row r="20" spans="2:40" ht="12" customHeight="1">
      <c r="B20" s="508"/>
      <c r="C20" s="5721" t="s">
        <v>1483</v>
      </c>
      <c r="D20" s="5722"/>
      <c r="E20" s="5723"/>
      <c r="F20" s="490">
        <v>2</v>
      </c>
      <c r="G20" s="491">
        <v>19</v>
      </c>
      <c r="H20" s="492">
        <v>12</v>
      </c>
      <c r="I20" s="493">
        <v>11</v>
      </c>
      <c r="J20" s="494">
        <v>12</v>
      </c>
      <c r="K20" s="495">
        <v>6</v>
      </c>
      <c r="L20" s="496">
        <v>29</v>
      </c>
      <c r="W20" s="5"/>
      <c r="X20" s="5"/>
      <c r="Y20" s="5"/>
      <c r="Z20" s="5"/>
      <c r="AA20" s="5"/>
      <c r="AD20" s="5717"/>
      <c r="AE20" s="68" t="s">
        <v>1545</v>
      </c>
      <c r="AF20" s="209">
        <v>0</v>
      </c>
      <c r="AG20" s="209">
        <v>2279</v>
      </c>
      <c r="AH20" s="209">
        <v>2202</v>
      </c>
      <c r="AI20" s="1"/>
      <c r="AJ20" s="5717"/>
      <c r="AK20" s="68" t="s">
        <v>1545</v>
      </c>
      <c r="AL20" s="208">
        <v>0</v>
      </c>
      <c r="AM20" s="208">
        <v>2378</v>
      </c>
      <c r="AN20" s="208">
        <v>2525</v>
      </c>
    </row>
    <row r="21" spans="2:40" ht="12" customHeight="1" thickBot="1">
      <c r="B21" s="5713" t="s">
        <v>1413</v>
      </c>
      <c r="C21" s="5713"/>
      <c r="D21" s="5713"/>
      <c r="E21" s="5714"/>
      <c r="F21" s="509">
        <v>995</v>
      </c>
      <c r="G21" s="510">
        <v>1134</v>
      </c>
      <c r="H21" s="511">
        <v>956</v>
      </c>
      <c r="I21" s="512">
        <v>1481</v>
      </c>
      <c r="J21" s="513">
        <v>878</v>
      </c>
      <c r="K21" s="514">
        <v>861</v>
      </c>
      <c r="L21" s="515">
        <v>3220</v>
      </c>
      <c r="S21" s="1"/>
      <c r="T21" s="1"/>
      <c r="U21" s="205"/>
      <c r="V21" s="205"/>
      <c r="W21" s="1"/>
      <c r="X21" s="1"/>
      <c r="Y21" s="1"/>
      <c r="Z21" s="205"/>
      <c r="AA21" s="205"/>
      <c r="AB21" s="205"/>
    </row>
    <row r="22" spans="2:40" ht="12" customHeight="1" thickTop="1">
      <c r="S22" s="1"/>
      <c r="T22" s="1"/>
      <c r="U22" s="205"/>
      <c r="V22" s="205"/>
      <c r="W22" s="1"/>
      <c r="X22" s="1"/>
      <c r="Y22" s="1"/>
      <c r="Z22" s="205"/>
      <c r="AA22" s="205"/>
      <c r="AB22" s="205"/>
    </row>
    <row r="23" spans="2:40" ht="12" customHeight="1">
      <c r="S23" s="1"/>
      <c r="T23" s="1"/>
      <c r="U23" s="205"/>
      <c r="V23" s="205"/>
      <c r="W23" s="1"/>
      <c r="X23" s="1"/>
      <c r="Y23" s="1"/>
      <c r="Z23" s="205"/>
      <c r="AA23" s="205"/>
      <c r="AB23" s="205"/>
    </row>
    <row r="24" spans="2:40" ht="12" customHeight="1">
      <c r="B24" s="114" t="s">
        <v>5650</v>
      </c>
      <c r="L24" s="115" t="s">
        <v>5664</v>
      </c>
    </row>
    <row r="25" spans="2:40" ht="15" customHeight="1" thickBot="1">
      <c r="B25" s="5663" t="s">
        <v>1459</v>
      </c>
      <c r="C25" s="5663"/>
      <c r="D25" s="5663"/>
      <c r="E25" s="5664"/>
      <c r="F25" s="5667" t="s">
        <v>5651</v>
      </c>
      <c r="G25" s="5669" t="s">
        <v>5652</v>
      </c>
      <c r="H25" s="5670"/>
      <c r="I25" s="5671" t="s">
        <v>5653</v>
      </c>
      <c r="J25" s="5672"/>
      <c r="K25" s="5672"/>
      <c r="L25" s="5672"/>
    </row>
    <row r="26" spans="2:40" ht="12" customHeight="1" thickTop="1">
      <c r="B26" s="5665"/>
      <c r="C26" s="5665"/>
      <c r="D26" s="5665"/>
      <c r="E26" s="5666"/>
      <c r="F26" s="5668"/>
      <c r="G26" s="3081" t="s">
        <v>1461</v>
      </c>
      <c r="H26" s="3082" t="s">
        <v>1462</v>
      </c>
      <c r="I26" s="3083" t="s">
        <v>5654</v>
      </c>
      <c r="J26" s="3084" t="s">
        <v>5655</v>
      </c>
      <c r="K26" s="3085" t="s">
        <v>5656</v>
      </c>
      <c r="L26" s="3086" t="s">
        <v>1413</v>
      </c>
    </row>
    <row r="27" spans="2:40" ht="15" customHeight="1">
      <c r="B27" s="5673" t="s">
        <v>5657</v>
      </c>
      <c r="C27" s="5673"/>
      <c r="D27" s="5673"/>
      <c r="E27" s="5674"/>
      <c r="F27" s="3098">
        <v>832</v>
      </c>
      <c r="G27" s="3099">
        <v>1425</v>
      </c>
      <c r="H27" s="3100">
        <v>1316</v>
      </c>
      <c r="I27" s="3101">
        <v>1218</v>
      </c>
      <c r="J27" s="3102">
        <v>1241</v>
      </c>
      <c r="K27" s="3103">
        <v>1011</v>
      </c>
      <c r="L27" s="3104">
        <v>4786</v>
      </c>
    </row>
    <row r="28" spans="2:40" ht="13.5" customHeight="1">
      <c r="B28" s="3087"/>
      <c r="C28" s="5651" t="s">
        <v>1467</v>
      </c>
      <c r="D28" s="5652"/>
      <c r="E28" s="5653"/>
      <c r="F28" s="3105">
        <v>446</v>
      </c>
      <c r="G28" s="3106">
        <v>926</v>
      </c>
      <c r="H28" s="3107">
        <v>933</v>
      </c>
      <c r="I28" s="3108">
        <v>930</v>
      </c>
      <c r="J28" s="3109">
        <v>908</v>
      </c>
      <c r="K28" s="3110">
        <v>554</v>
      </c>
      <c r="L28" s="3111">
        <v>3325</v>
      </c>
    </row>
    <row r="29" spans="2:40" ht="12.75" customHeight="1">
      <c r="B29" s="3088"/>
      <c r="C29" s="3089"/>
      <c r="D29" s="5654" t="s">
        <v>5658</v>
      </c>
      <c r="E29" s="5655"/>
      <c r="F29" s="3112">
        <v>111</v>
      </c>
      <c r="G29" s="3113">
        <v>217</v>
      </c>
      <c r="H29" s="3114">
        <v>275</v>
      </c>
      <c r="I29" s="3115">
        <v>334</v>
      </c>
      <c r="J29" s="3116">
        <v>235</v>
      </c>
      <c r="K29" s="3117">
        <v>69</v>
      </c>
      <c r="L29" s="3118">
        <v>913</v>
      </c>
    </row>
    <row r="30" spans="2:40" ht="13.5" customHeight="1">
      <c r="B30" s="3090"/>
      <c r="C30" s="3091"/>
      <c r="D30" s="5656" t="s">
        <v>5659</v>
      </c>
      <c r="E30" s="5657"/>
      <c r="F30" s="3119">
        <v>18</v>
      </c>
      <c r="G30" s="3120">
        <v>45</v>
      </c>
      <c r="H30" s="3121">
        <v>34</v>
      </c>
      <c r="I30" s="3122">
        <v>69</v>
      </c>
      <c r="J30" s="3123">
        <v>101</v>
      </c>
      <c r="K30" s="3124">
        <v>55</v>
      </c>
      <c r="L30" s="3125">
        <v>259</v>
      </c>
    </row>
    <row r="31" spans="2:40" ht="13.5" customHeight="1">
      <c r="B31" s="3092"/>
      <c r="C31" s="3093"/>
      <c r="D31" s="5658" t="s">
        <v>1470</v>
      </c>
      <c r="E31" s="5659"/>
      <c r="F31" s="3126">
        <v>310</v>
      </c>
      <c r="G31" s="3127">
        <v>658</v>
      </c>
      <c r="H31" s="3128">
        <v>619</v>
      </c>
      <c r="I31" s="3129">
        <v>514</v>
      </c>
      <c r="J31" s="3130">
        <v>567</v>
      </c>
      <c r="K31" s="3131">
        <v>410</v>
      </c>
      <c r="L31" s="3132">
        <v>2109</v>
      </c>
    </row>
    <row r="32" spans="2:40" ht="14.25" customHeight="1">
      <c r="B32" s="3094"/>
      <c r="C32" s="5660" t="s">
        <v>5660</v>
      </c>
      <c r="D32" s="5661"/>
      <c r="E32" s="5662"/>
      <c r="F32" s="3133">
        <v>7</v>
      </c>
      <c r="G32" s="3134">
        <v>6</v>
      </c>
      <c r="H32" s="3135">
        <v>5</v>
      </c>
      <c r="I32" s="3136">
        <v>12</v>
      </c>
      <c r="J32" s="3137">
        <v>6</v>
      </c>
      <c r="K32" s="3138">
        <v>20</v>
      </c>
      <c r="L32" s="3139">
        <v>43</v>
      </c>
    </row>
    <row r="33" spans="2:17" ht="13.5" customHeight="1">
      <c r="B33" s="5640"/>
      <c r="C33" s="5642" t="s">
        <v>1472</v>
      </c>
      <c r="D33" s="5643"/>
      <c r="E33" s="5644"/>
      <c r="F33" s="3140">
        <v>386</v>
      </c>
      <c r="G33" s="3141">
        <v>499</v>
      </c>
      <c r="H33" s="3142">
        <v>383</v>
      </c>
      <c r="I33" s="3143">
        <v>288</v>
      </c>
      <c r="J33" s="3144">
        <v>333</v>
      </c>
      <c r="K33" s="3145">
        <v>457</v>
      </c>
      <c r="L33" s="3146">
        <v>1461</v>
      </c>
    </row>
    <row r="34" spans="2:17" ht="13.5" customHeight="1">
      <c r="B34" s="5640"/>
      <c r="C34" s="3095"/>
      <c r="D34" s="5645" t="s">
        <v>5661</v>
      </c>
      <c r="E34" s="5646"/>
      <c r="F34" s="5630">
        <v>258</v>
      </c>
      <c r="G34" s="5632">
        <v>374</v>
      </c>
      <c r="H34" s="5634">
        <v>297</v>
      </c>
      <c r="I34" s="5636">
        <v>110</v>
      </c>
      <c r="J34" s="5638">
        <v>134</v>
      </c>
      <c r="K34" s="5619">
        <v>431</v>
      </c>
      <c r="L34" s="5621">
        <v>972</v>
      </c>
      <c r="N34" s="115" t="s">
        <v>6850</v>
      </c>
      <c r="P34" s="516">
        <v>33500</v>
      </c>
      <c r="Q34" s="115" t="s">
        <v>3529</v>
      </c>
    </row>
    <row r="35" spans="2:17" ht="13.5" customHeight="1">
      <c r="B35" s="5640"/>
      <c r="C35" s="5623"/>
      <c r="D35" s="5647" t="s">
        <v>5662</v>
      </c>
      <c r="E35" s="5648"/>
      <c r="F35" s="5631"/>
      <c r="G35" s="5633"/>
      <c r="H35" s="5635"/>
      <c r="I35" s="5637"/>
      <c r="J35" s="5639"/>
      <c r="K35" s="5620"/>
      <c r="L35" s="5622"/>
    </row>
    <row r="36" spans="2:17" ht="12" customHeight="1">
      <c r="B36" s="5640"/>
      <c r="C36" s="5624"/>
      <c r="D36" s="5649"/>
      <c r="E36" s="5650"/>
      <c r="F36" s="3147">
        <v>69</v>
      </c>
      <c r="G36" s="3148">
        <v>52</v>
      </c>
      <c r="H36" s="3149">
        <v>43</v>
      </c>
      <c r="I36" s="3150">
        <v>112</v>
      </c>
      <c r="J36" s="3151">
        <v>87</v>
      </c>
      <c r="K36" s="3152">
        <v>26</v>
      </c>
      <c r="L36" s="3153">
        <v>268</v>
      </c>
    </row>
    <row r="37" spans="2:17" ht="12" customHeight="1">
      <c r="B37" s="5640"/>
      <c r="C37" s="5624"/>
      <c r="D37" s="5626" t="s">
        <v>5663</v>
      </c>
      <c r="E37" s="3096" t="s">
        <v>1476</v>
      </c>
      <c r="F37" s="3154">
        <v>41</v>
      </c>
      <c r="G37" s="3155">
        <v>24</v>
      </c>
      <c r="H37" s="3156">
        <v>10</v>
      </c>
      <c r="I37" s="3157">
        <v>22</v>
      </c>
      <c r="J37" s="3158">
        <v>56</v>
      </c>
      <c r="K37" s="3159" t="s">
        <v>125</v>
      </c>
      <c r="L37" s="3160">
        <v>88</v>
      </c>
    </row>
    <row r="38" spans="2:17" ht="12" customHeight="1" thickBot="1">
      <c r="B38" s="5641"/>
      <c r="C38" s="5625"/>
      <c r="D38" s="5627"/>
      <c r="E38" s="3097" t="s">
        <v>1477</v>
      </c>
      <c r="F38" s="3161">
        <v>18</v>
      </c>
      <c r="G38" s="3162">
        <v>49</v>
      </c>
      <c r="H38" s="3163">
        <v>33</v>
      </c>
      <c r="I38" s="3164">
        <v>44</v>
      </c>
      <c r="J38" s="3165">
        <v>56</v>
      </c>
      <c r="K38" s="3166" t="s">
        <v>125</v>
      </c>
      <c r="L38" s="3167">
        <v>133</v>
      </c>
    </row>
    <row r="39" spans="2:17" ht="15" customHeight="1" thickTop="1">
      <c r="B39" s="5628" t="s">
        <v>5665</v>
      </c>
      <c r="C39" s="5628"/>
      <c r="D39" s="5628"/>
      <c r="E39" s="5629"/>
      <c r="F39" s="3168">
        <v>97.5</v>
      </c>
      <c r="G39" s="3169">
        <v>61.5</v>
      </c>
      <c r="H39" s="3170">
        <v>81.099999999999994</v>
      </c>
      <c r="I39" s="3171">
        <v>280</v>
      </c>
      <c r="J39" s="3172">
        <v>77.7</v>
      </c>
      <c r="K39" s="3173">
        <v>111.4</v>
      </c>
      <c r="L39" s="3174">
        <v>469</v>
      </c>
    </row>
    <row r="40" spans="2:17" ht="14.25" customHeight="1">
      <c r="B40" s="3175"/>
      <c r="C40" s="5610" t="s">
        <v>5666</v>
      </c>
      <c r="D40" s="5611"/>
      <c r="E40" s="5612"/>
      <c r="F40" s="3176">
        <v>75</v>
      </c>
      <c r="G40" s="3179">
        <v>30.1</v>
      </c>
      <c r="H40" s="3182">
        <v>31.6</v>
      </c>
      <c r="I40" s="3185">
        <v>125.6</v>
      </c>
      <c r="J40" s="3188">
        <v>32.9</v>
      </c>
      <c r="K40" s="3191">
        <v>85.1</v>
      </c>
      <c r="L40" s="3194">
        <v>243.6</v>
      </c>
    </row>
    <row r="41" spans="2:17" ht="14.25" customHeight="1">
      <c r="B41" s="3090"/>
      <c r="C41" s="5613" t="s">
        <v>5667</v>
      </c>
      <c r="D41" s="5614"/>
      <c r="E41" s="5615"/>
      <c r="F41" s="3177">
        <v>6.1</v>
      </c>
      <c r="G41" s="3180">
        <v>14.1</v>
      </c>
      <c r="H41" s="3183">
        <v>34</v>
      </c>
      <c r="I41" s="3186">
        <v>140.9</v>
      </c>
      <c r="J41" s="3189">
        <v>21.1</v>
      </c>
      <c r="K41" s="3192">
        <v>6</v>
      </c>
      <c r="L41" s="3195">
        <v>168</v>
      </c>
    </row>
    <row r="42" spans="2:17" ht="14.25" customHeight="1">
      <c r="B42" s="3090"/>
      <c r="C42" s="5613" t="s">
        <v>5668</v>
      </c>
      <c r="D42" s="5614"/>
      <c r="E42" s="5615"/>
      <c r="F42" s="3177">
        <v>1.1000000000000001</v>
      </c>
      <c r="G42" s="3180">
        <v>0.7</v>
      </c>
      <c r="H42" s="3183">
        <v>0.7</v>
      </c>
      <c r="I42" s="3186">
        <v>0.9</v>
      </c>
      <c r="J42" s="3189">
        <v>0.6</v>
      </c>
      <c r="K42" s="3192">
        <v>0.4</v>
      </c>
      <c r="L42" s="3195">
        <v>1.9</v>
      </c>
    </row>
    <row r="43" spans="2:17" ht="14.25" customHeight="1">
      <c r="B43" s="3090"/>
      <c r="C43" s="5613" t="s">
        <v>1482</v>
      </c>
      <c r="D43" s="5614"/>
      <c r="E43" s="5615"/>
      <c r="F43" s="3177">
        <v>7</v>
      </c>
      <c r="G43" s="3180" t="s">
        <v>125</v>
      </c>
      <c r="H43" s="3183">
        <v>0</v>
      </c>
      <c r="I43" s="3186">
        <v>0</v>
      </c>
      <c r="J43" s="3189">
        <v>7</v>
      </c>
      <c r="K43" s="3192">
        <v>0</v>
      </c>
      <c r="L43" s="3195">
        <v>7</v>
      </c>
    </row>
    <row r="44" spans="2:17" ht="14.25" customHeight="1" thickBot="1">
      <c r="B44" s="3197"/>
      <c r="C44" s="5616" t="s">
        <v>1483</v>
      </c>
      <c r="D44" s="5617"/>
      <c r="E44" s="5618"/>
      <c r="F44" s="3178">
        <v>8.3000000000000007</v>
      </c>
      <c r="G44" s="3181">
        <v>16.600000000000001</v>
      </c>
      <c r="H44" s="3184">
        <v>14.8</v>
      </c>
      <c r="I44" s="3187">
        <v>12.6</v>
      </c>
      <c r="J44" s="3190">
        <v>16.100000000000001</v>
      </c>
      <c r="K44" s="3193">
        <v>19.899999999999999</v>
      </c>
      <c r="L44" s="3196">
        <v>48.6</v>
      </c>
    </row>
    <row r="45" spans="2:17" ht="12" customHeight="1" thickTop="1" thickBot="1"/>
    <row r="46" spans="2:17" ht="16.5" customHeight="1" thickTop="1" thickBot="1">
      <c r="B46" s="5500" t="s">
        <v>5857</v>
      </c>
      <c r="C46" s="5501"/>
      <c r="D46" s="5497" t="s">
        <v>5360</v>
      </c>
      <c r="E46" s="5599">
        <v>2022</v>
      </c>
      <c r="F46" s="5600"/>
      <c r="G46" s="5600"/>
      <c r="H46" s="5600"/>
      <c r="I46" s="5600"/>
      <c r="J46" s="5600"/>
      <c r="K46" s="5600"/>
      <c r="L46" s="5601"/>
      <c r="M46" s="5488">
        <v>2023</v>
      </c>
      <c r="N46" s="5491">
        <v>2024</v>
      </c>
    </row>
    <row r="47" spans="2:17" ht="13.5" customHeight="1">
      <c r="B47" s="5502"/>
      <c r="C47" s="5503"/>
      <c r="D47" s="5498"/>
      <c r="E47" s="3314" t="s">
        <v>5858</v>
      </c>
      <c r="F47" s="3315" t="s">
        <v>5859</v>
      </c>
      <c r="G47" s="5602" t="s">
        <v>5860</v>
      </c>
      <c r="H47" s="5603"/>
      <c r="I47" s="5603"/>
      <c r="J47" s="5603"/>
      <c r="K47" s="5603"/>
      <c r="L47" s="5604"/>
      <c r="M47" s="5489"/>
      <c r="N47" s="5492"/>
    </row>
    <row r="48" spans="2:17" ht="12" customHeight="1">
      <c r="B48" s="5502"/>
      <c r="C48" s="5503"/>
      <c r="D48" s="5498"/>
      <c r="E48" s="3316" t="s">
        <v>1461</v>
      </c>
      <c r="F48" s="3317" t="s">
        <v>400</v>
      </c>
      <c r="G48" s="3318" t="s">
        <v>5861</v>
      </c>
      <c r="H48" s="3319" t="s">
        <v>5863</v>
      </c>
      <c r="I48" s="5605" t="s">
        <v>5880</v>
      </c>
      <c r="J48" s="5606"/>
      <c r="K48" s="3318" t="s">
        <v>394</v>
      </c>
      <c r="L48" s="5597" t="s">
        <v>246</v>
      </c>
      <c r="M48" s="5489"/>
      <c r="N48" s="5492"/>
    </row>
    <row r="49" spans="2:14" ht="12" customHeight="1">
      <c r="B49" s="5502"/>
      <c r="C49" s="5503"/>
      <c r="D49" s="5498"/>
      <c r="E49" s="3320"/>
      <c r="F49" s="3321"/>
      <c r="G49" s="3322" t="s">
        <v>5862</v>
      </c>
      <c r="H49" s="3322" t="s">
        <v>5864</v>
      </c>
      <c r="I49" s="5607"/>
      <c r="J49" s="5608"/>
      <c r="K49" s="3322" t="s">
        <v>5865</v>
      </c>
      <c r="L49" s="5609"/>
      <c r="M49" s="5489"/>
      <c r="N49" s="5492"/>
    </row>
    <row r="50" spans="2:14" ht="12" customHeight="1" thickBot="1">
      <c r="B50" s="5504"/>
      <c r="C50" s="5505"/>
      <c r="D50" s="5499"/>
      <c r="E50" s="3323"/>
      <c r="F50" s="3324"/>
      <c r="G50" s="3325"/>
      <c r="H50" s="3325"/>
      <c r="I50" s="3326" t="s">
        <v>5867</v>
      </c>
      <c r="J50" s="3326" t="s">
        <v>246</v>
      </c>
      <c r="K50" s="3313" t="s">
        <v>5866</v>
      </c>
      <c r="L50" s="5598"/>
      <c r="M50" s="5490"/>
      <c r="N50" s="5493"/>
    </row>
    <row r="51" spans="2:14" ht="12" customHeight="1">
      <c r="B51" s="3327" t="s">
        <v>5868</v>
      </c>
      <c r="C51" s="3328" t="s">
        <v>5559</v>
      </c>
      <c r="D51" s="3329">
        <v>751</v>
      </c>
      <c r="E51" s="3330">
        <v>788</v>
      </c>
      <c r="F51" s="3331">
        <v>37</v>
      </c>
      <c r="G51" s="3332"/>
      <c r="H51" s="3332"/>
      <c r="I51" s="3333">
        <v>29</v>
      </c>
      <c r="J51" s="3332"/>
      <c r="K51" s="3332"/>
      <c r="L51" s="3334">
        <v>7</v>
      </c>
      <c r="M51" s="3335">
        <v>804</v>
      </c>
      <c r="N51" s="3336">
        <v>827</v>
      </c>
    </row>
    <row r="52" spans="2:14" ht="12" customHeight="1">
      <c r="B52" s="3337" t="s">
        <v>5869</v>
      </c>
      <c r="C52" s="3337" t="s">
        <v>2633</v>
      </c>
      <c r="D52" s="3338">
        <v>651</v>
      </c>
      <c r="E52" s="3339">
        <v>742</v>
      </c>
      <c r="F52" s="3340">
        <v>92</v>
      </c>
      <c r="G52" s="3341">
        <v>32</v>
      </c>
      <c r="H52" s="3341">
        <v>15</v>
      </c>
      <c r="I52" s="3341">
        <v>4</v>
      </c>
      <c r="J52" s="3341">
        <v>41</v>
      </c>
      <c r="K52" s="3342"/>
      <c r="L52" s="3343"/>
      <c r="M52" s="3344">
        <v>775</v>
      </c>
      <c r="N52" s="3345">
        <v>806</v>
      </c>
    </row>
    <row r="53" spans="2:14" ht="12" customHeight="1">
      <c r="B53" s="3346"/>
      <c r="C53" s="3337" t="s">
        <v>5870</v>
      </c>
      <c r="D53" s="3338">
        <v>291</v>
      </c>
      <c r="E53" s="3339">
        <v>358</v>
      </c>
      <c r="F53" s="3340">
        <v>67</v>
      </c>
      <c r="G53" s="3341">
        <v>33</v>
      </c>
      <c r="H53" s="3342"/>
      <c r="I53" s="3342"/>
      <c r="J53" s="3341">
        <v>23</v>
      </c>
      <c r="K53" s="3342"/>
      <c r="L53" s="3347">
        <v>11</v>
      </c>
      <c r="M53" s="3344">
        <v>372</v>
      </c>
      <c r="N53" s="3345">
        <v>388</v>
      </c>
    </row>
    <row r="54" spans="2:14" ht="12" customHeight="1">
      <c r="B54" s="3346"/>
      <c r="C54" s="3337" t="s">
        <v>5871</v>
      </c>
      <c r="D54" s="3338">
        <v>263</v>
      </c>
      <c r="E54" s="3339">
        <v>316</v>
      </c>
      <c r="F54" s="3340">
        <v>53</v>
      </c>
      <c r="G54" s="3341">
        <v>40</v>
      </c>
      <c r="H54" s="3342"/>
      <c r="I54" s="3341">
        <v>10</v>
      </c>
      <c r="J54" s="3341">
        <v>7</v>
      </c>
      <c r="K54" s="3342"/>
      <c r="L54" s="3348" t="s">
        <v>5881</v>
      </c>
      <c r="M54" s="3344">
        <v>311</v>
      </c>
      <c r="N54" s="3345">
        <v>313</v>
      </c>
    </row>
    <row r="55" spans="2:14" ht="12" customHeight="1">
      <c r="B55" s="3346"/>
      <c r="C55" s="3337" t="s">
        <v>1384</v>
      </c>
      <c r="D55" s="3338">
        <v>266</v>
      </c>
      <c r="E55" s="3339">
        <v>357</v>
      </c>
      <c r="F55" s="3340">
        <v>91</v>
      </c>
      <c r="G55" s="3341">
        <v>49</v>
      </c>
      <c r="H55" s="3341">
        <v>5</v>
      </c>
      <c r="I55" s="3341">
        <v>21</v>
      </c>
      <c r="J55" s="3341">
        <v>5</v>
      </c>
      <c r="K55" s="3342"/>
      <c r="L55" s="3347">
        <v>10</v>
      </c>
      <c r="M55" s="3344">
        <v>371</v>
      </c>
      <c r="N55" s="3345">
        <v>388</v>
      </c>
    </row>
    <row r="56" spans="2:14" ht="12" customHeight="1">
      <c r="B56" s="3346"/>
      <c r="C56" s="3337" t="s">
        <v>5872</v>
      </c>
      <c r="D56" s="3338">
        <v>219</v>
      </c>
      <c r="E56" s="3339">
        <v>244</v>
      </c>
      <c r="F56" s="3340">
        <v>25</v>
      </c>
      <c r="G56" s="3341">
        <v>13</v>
      </c>
      <c r="H56" s="3341">
        <v>7</v>
      </c>
      <c r="I56" s="3341">
        <v>2</v>
      </c>
      <c r="J56" s="3342"/>
      <c r="K56" s="3342"/>
      <c r="L56" s="3347">
        <v>3</v>
      </c>
      <c r="M56" s="3344">
        <v>250</v>
      </c>
      <c r="N56" s="3345">
        <v>244</v>
      </c>
    </row>
    <row r="57" spans="2:14" ht="12" customHeight="1">
      <c r="B57" s="3346"/>
      <c r="C57" s="3337" t="s">
        <v>1383</v>
      </c>
      <c r="D57" s="3338">
        <v>421</v>
      </c>
      <c r="E57" s="3339">
        <v>408</v>
      </c>
      <c r="F57" s="3349" t="s">
        <v>5882</v>
      </c>
      <c r="G57" s="3342"/>
      <c r="H57" s="3341">
        <v>9</v>
      </c>
      <c r="I57" s="3341">
        <v>6</v>
      </c>
      <c r="J57" s="3342"/>
      <c r="K57" s="3350" t="s">
        <v>5883</v>
      </c>
      <c r="L57" s="3348" t="s">
        <v>5884</v>
      </c>
      <c r="M57" s="3344">
        <v>433</v>
      </c>
      <c r="N57" s="3345">
        <v>437</v>
      </c>
    </row>
    <row r="58" spans="2:14" ht="12" customHeight="1">
      <c r="B58" s="3346"/>
      <c r="C58" s="3337" t="s">
        <v>3576</v>
      </c>
      <c r="D58" s="3338">
        <v>132</v>
      </c>
      <c r="E58" s="3339">
        <v>144</v>
      </c>
      <c r="F58" s="3340">
        <v>12</v>
      </c>
      <c r="G58" s="3342"/>
      <c r="H58" s="3341">
        <v>14</v>
      </c>
      <c r="I58" s="3341">
        <v>4</v>
      </c>
      <c r="J58" s="3341">
        <v>7</v>
      </c>
      <c r="K58" s="3342"/>
      <c r="L58" s="3348" t="s">
        <v>5885</v>
      </c>
      <c r="M58" s="3344">
        <v>136</v>
      </c>
      <c r="N58" s="3345">
        <v>142</v>
      </c>
    </row>
    <row r="59" spans="2:14" ht="12" customHeight="1">
      <c r="B59" s="3346"/>
      <c r="C59" s="3337" t="s">
        <v>5873</v>
      </c>
      <c r="D59" s="3338">
        <v>656</v>
      </c>
      <c r="E59" s="3339">
        <v>694</v>
      </c>
      <c r="F59" s="3340">
        <v>38</v>
      </c>
      <c r="G59" s="3342"/>
      <c r="H59" s="3341">
        <v>28</v>
      </c>
      <c r="I59" s="3341">
        <v>8</v>
      </c>
      <c r="J59" s="3342"/>
      <c r="K59" s="3342"/>
      <c r="L59" s="3347">
        <v>3</v>
      </c>
      <c r="M59" s="3344">
        <v>713</v>
      </c>
      <c r="N59" s="3345">
        <v>759</v>
      </c>
    </row>
    <row r="60" spans="2:14" ht="12" customHeight="1" thickBot="1">
      <c r="B60" s="3346"/>
      <c r="C60" s="3351" t="s">
        <v>246</v>
      </c>
      <c r="D60" s="3352">
        <v>129</v>
      </c>
      <c r="E60" s="3353">
        <v>144</v>
      </c>
      <c r="F60" s="3354">
        <v>15</v>
      </c>
      <c r="G60" s="3355">
        <v>5</v>
      </c>
      <c r="H60" s="3355">
        <v>4</v>
      </c>
      <c r="I60" s="3355">
        <v>10</v>
      </c>
      <c r="J60" s="3356"/>
      <c r="K60" s="3356"/>
      <c r="L60" s="3357" t="s">
        <v>5886</v>
      </c>
      <c r="M60" s="3358">
        <v>146</v>
      </c>
      <c r="N60" s="3359">
        <v>149</v>
      </c>
    </row>
    <row r="61" spans="2:14" ht="12" customHeight="1" thickBot="1">
      <c r="B61" s="3360"/>
      <c r="C61" s="3361" t="s">
        <v>400</v>
      </c>
      <c r="D61" s="3362">
        <v>3779</v>
      </c>
      <c r="E61" s="3363">
        <v>4196</v>
      </c>
      <c r="F61" s="3364">
        <v>417</v>
      </c>
      <c r="G61" s="3365">
        <v>171</v>
      </c>
      <c r="H61" s="3365">
        <v>83</v>
      </c>
      <c r="I61" s="3365">
        <v>94</v>
      </c>
      <c r="J61" s="3365">
        <v>83</v>
      </c>
      <c r="K61" s="3366" t="s">
        <v>5883</v>
      </c>
      <c r="L61" s="3367">
        <v>13</v>
      </c>
      <c r="M61" s="3368">
        <v>4311</v>
      </c>
      <c r="N61" s="3369">
        <v>4453</v>
      </c>
    </row>
    <row r="62" spans="2:14" ht="12" customHeight="1" thickBot="1"/>
    <row r="63" spans="2:14" ht="16.5" customHeight="1" thickTop="1">
      <c r="B63" s="5494" t="s">
        <v>5857</v>
      </c>
      <c r="C63" s="5497" t="s">
        <v>5360</v>
      </c>
      <c r="D63" s="5525">
        <v>2022</v>
      </c>
      <c r="E63" s="5526"/>
      <c r="F63" s="5527"/>
      <c r="G63" s="5488">
        <v>2023</v>
      </c>
      <c r="H63" s="5491">
        <v>2024</v>
      </c>
    </row>
    <row r="64" spans="2:14" ht="63" customHeight="1">
      <c r="B64" s="5495"/>
      <c r="C64" s="5498"/>
      <c r="D64" s="3370" t="s">
        <v>5858</v>
      </c>
      <c r="E64" s="5595" t="s">
        <v>5859</v>
      </c>
      <c r="F64" s="5597" t="s">
        <v>5874</v>
      </c>
      <c r="G64" s="5489"/>
      <c r="H64" s="5492"/>
    </row>
    <row r="65" spans="2:8" ht="12" customHeight="1" thickBot="1">
      <c r="B65" s="5496"/>
      <c r="C65" s="5499"/>
      <c r="D65" s="3371" t="s">
        <v>1461</v>
      </c>
      <c r="E65" s="5596"/>
      <c r="F65" s="5598"/>
      <c r="G65" s="5490"/>
      <c r="H65" s="5493"/>
    </row>
    <row r="66" spans="2:8" ht="12" customHeight="1">
      <c r="B66" s="3372" t="s">
        <v>5875</v>
      </c>
      <c r="C66" s="3373">
        <v>288</v>
      </c>
      <c r="D66" s="3374">
        <v>279</v>
      </c>
      <c r="E66" s="3375" t="s">
        <v>5887</v>
      </c>
      <c r="F66" s="3376" t="s">
        <v>5888</v>
      </c>
      <c r="G66" s="3377">
        <v>288</v>
      </c>
      <c r="H66" s="3378">
        <v>294</v>
      </c>
    </row>
    <row r="67" spans="2:8" ht="12" customHeight="1">
      <c r="B67" s="3379" t="s">
        <v>1398</v>
      </c>
      <c r="C67" s="3380">
        <v>14</v>
      </c>
      <c r="D67" s="3381">
        <v>16</v>
      </c>
      <c r="E67" s="3382">
        <v>2</v>
      </c>
      <c r="F67" s="3383" t="s">
        <v>5889</v>
      </c>
      <c r="G67" s="3384">
        <v>14</v>
      </c>
      <c r="H67" s="3385">
        <v>14</v>
      </c>
    </row>
    <row r="68" spans="2:8" ht="12" customHeight="1">
      <c r="B68" s="5585" t="s">
        <v>5872</v>
      </c>
      <c r="C68" s="5587">
        <v>21</v>
      </c>
      <c r="D68" s="5589">
        <v>31</v>
      </c>
      <c r="E68" s="5591">
        <v>10</v>
      </c>
      <c r="F68" s="3386" t="s">
        <v>5890</v>
      </c>
      <c r="G68" s="5593">
        <v>28</v>
      </c>
      <c r="H68" s="5583">
        <v>29</v>
      </c>
    </row>
    <row r="69" spans="2:8" ht="12" customHeight="1">
      <c r="B69" s="5585"/>
      <c r="C69" s="5587"/>
      <c r="D69" s="5589"/>
      <c r="E69" s="5591"/>
      <c r="F69" s="3387" t="s">
        <v>5891</v>
      </c>
      <c r="G69" s="5593"/>
      <c r="H69" s="5583"/>
    </row>
    <row r="70" spans="2:8" ht="21" customHeight="1">
      <c r="B70" s="5585" t="s">
        <v>5876</v>
      </c>
      <c r="C70" s="5587">
        <v>320</v>
      </c>
      <c r="D70" s="5589">
        <v>403</v>
      </c>
      <c r="E70" s="5591">
        <v>83</v>
      </c>
      <c r="F70" s="3387" t="s">
        <v>5892</v>
      </c>
      <c r="G70" s="5593">
        <v>394</v>
      </c>
      <c r="H70" s="5583">
        <v>369</v>
      </c>
    </row>
    <row r="71" spans="2:8" ht="12" customHeight="1">
      <c r="B71" s="5585"/>
      <c r="C71" s="5587"/>
      <c r="D71" s="5589"/>
      <c r="E71" s="5591"/>
      <c r="F71" s="3387" t="s">
        <v>5893</v>
      </c>
      <c r="G71" s="5593"/>
      <c r="H71" s="5583"/>
    </row>
    <row r="72" spans="2:8" ht="12" customHeight="1">
      <c r="B72" s="3379" t="s">
        <v>3576</v>
      </c>
      <c r="C72" s="3380">
        <v>258</v>
      </c>
      <c r="D72" s="3381">
        <v>251</v>
      </c>
      <c r="E72" s="3388" t="s">
        <v>5894</v>
      </c>
      <c r="F72" s="3387" t="s">
        <v>5895</v>
      </c>
      <c r="G72" s="3384">
        <v>244</v>
      </c>
      <c r="H72" s="3385">
        <v>243</v>
      </c>
    </row>
    <row r="73" spans="2:8" ht="12" customHeight="1">
      <c r="B73" s="3379" t="s">
        <v>2371</v>
      </c>
      <c r="C73" s="3380">
        <v>2</v>
      </c>
      <c r="D73" s="3381">
        <v>2</v>
      </c>
      <c r="E73" s="3382" t="s">
        <v>5877</v>
      </c>
      <c r="F73" s="3389"/>
      <c r="G73" s="3384">
        <v>2</v>
      </c>
      <c r="H73" s="3385">
        <v>1</v>
      </c>
    </row>
    <row r="74" spans="2:8" ht="12" customHeight="1">
      <c r="B74" s="3390" t="s">
        <v>5896</v>
      </c>
      <c r="C74" s="3380">
        <v>17</v>
      </c>
      <c r="D74" s="3381">
        <v>16</v>
      </c>
      <c r="E74" s="3382" t="s">
        <v>125</v>
      </c>
      <c r="F74" s="3389"/>
      <c r="G74" s="3384">
        <v>17</v>
      </c>
      <c r="H74" s="3385">
        <v>18</v>
      </c>
    </row>
    <row r="75" spans="2:8" ht="12" customHeight="1">
      <c r="B75" s="3379" t="s">
        <v>1403</v>
      </c>
      <c r="C75" s="3380">
        <v>15</v>
      </c>
      <c r="D75" s="3381">
        <v>17</v>
      </c>
      <c r="E75" s="3382">
        <v>2</v>
      </c>
      <c r="F75" s="3391" t="s">
        <v>5897</v>
      </c>
      <c r="G75" s="3384">
        <v>17</v>
      </c>
      <c r="H75" s="3385">
        <v>18</v>
      </c>
    </row>
    <row r="76" spans="2:8" ht="12" customHeight="1">
      <c r="B76" s="3379" t="s">
        <v>1389</v>
      </c>
      <c r="C76" s="3380">
        <v>5</v>
      </c>
      <c r="D76" s="3381">
        <v>10</v>
      </c>
      <c r="E76" s="3382">
        <v>5</v>
      </c>
      <c r="F76" s="3391" t="s">
        <v>5898</v>
      </c>
      <c r="G76" s="3384">
        <v>10</v>
      </c>
      <c r="H76" s="3385">
        <v>10</v>
      </c>
    </row>
    <row r="77" spans="2:8" ht="12" customHeight="1">
      <c r="B77" s="3379" t="s">
        <v>1381</v>
      </c>
      <c r="C77" s="3380">
        <v>20</v>
      </c>
      <c r="D77" s="3381">
        <v>22</v>
      </c>
      <c r="E77" s="3382">
        <v>2</v>
      </c>
      <c r="F77" s="3389"/>
      <c r="G77" s="3384">
        <v>25</v>
      </c>
      <c r="H77" s="3385">
        <v>16</v>
      </c>
    </row>
    <row r="78" spans="2:8" ht="12" customHeight="1">
      <c r="B78" s="3379" t="s">
        <v>1394</v>
      </c>
      <c r="C78" s="3380">
        <v>6</v>
      </c>
      <c r="D78" s="3381">
        <v>7</v>
      </c>
      <c r="E78" s="3382">
        <v>1</v>
      </c>
      <c r="F78" s="3389"/>
      <c r="G78" s="3384">
        <v>7</v>
      </c>
      <c r="H78" s="3385">
        <v>7</v>
      </c>
    </row>
    <row r="79" spans="2:8" ht="12" customHeight="1">
      <c r="B79" s="3379" t="s">
        <v>1395</v>
      </c>
      <c r="C79" s="3380">
        <v>2</v>
      </c>
      <c r="D79" s="3381">
        <v>2</v>
      </c>
      <c r="E79" s="3382" t="s">
        <v>125</v>
      </c>
      <c r="F79" s="3389"/>
      <c r="G79" s="3384">
        <v>2</v>
      </c>
      <c r="H79" s="3385">
        <v>2</v>
      </c>
    </row>
    <row r="80" spans="2:8" ht="12" customHeight="1">
      <c r="B80" s="5585" t="s">
        <v>246</v>
      </c>
      <c r="C80" s="5587">
        <v>34</v>
      </c>
      <c r="D80" s="5589">
        <v>39</v>
      </c>
      <c r="E80" s="5591">
        <v>5</v>
      </c>
      <c r="F80" s="3387" t="s">
        <v>5899</v>
      </c>
      <c r="G80" s="5593">
        <v>40</v>
      </c>
      <c r="H80" s="5583">
        <v>40</v>
      </c>
    </row>
    <row r="81" spans="2:8" ht="12" customHeight="1">
      <c r="B81" s="5586"/>
      <c r="C81" s="5588"/>
      <c r="D81" s="5590"/>
      <c r="E81" s="5592"/>
      <c r="F81" s="3392" t="s">
        <v>5900</v>
      </c>
      <c r="G81" s="5594"/>
      <c r="H81" s="5584"/>
    </row>
    <row r="82" spans="2:8" ht="12" customHeight="1">
      <c r="B82" s="3393" t="s">
        <v>5878</v>
      </c>
      <c r="C82" s="3394">
        <v>1001</v>
      </c>
      <c r="D82" s="3395">
        <v>1095</v>
      </c>
      <c r="E82" s="3396">
        <v>94</v>
      </c>
      <c r="F82" s="3397"/>
      <c r="G82" s="3398">
        <v>1088</v>
      </c>
      <c r="H82" s="3399">
        <v>1064</v>
      </c>
    </row>
    <row r="83" spans="2:8" ht="12" customHeight="1" thickBot="1">
      <c r="B83" s="3400" t="s">
        <v>5879</v>
      </c>
      <c r="C83" s="3401">
        <v>93</v>
      </c>
      <c r="D83" s="3402">
        <v>89</v>
      </c>
      <c r="E83" s="3403" t="s">
        <v>5901</v>
      </c>
      <c r="F83" s="3404"/>
      <c r="G83" s="3405">
        <v>90</v>
      </c>
      <c r="H83" s="3406">
        <v>91</v>
      </c>
    </row>
    <row r="84" spans="2:8" ht="12" customHeight="1" thickBot="1">
      <c r="B84" s="3407" t="s">
        <v>5702</v>
      </c>
      <c r="C84" s="3408">
        <v>1094</v>
      </c>
      <c r="D84" s="3409">
        <v>1184</v>
      </c>
      <c r="E84" s="3410">
        <v>90</v>
      </c>
      <c r="F84" s="3411"/>
      <c r="G84" s="3412">
        <v>1178</v>
      </c>
      <c r="H84" s="3413">
        <v>1155</v>
      </c>
    </row>
  </sheetData>
  <mergeCells count="98">
    <mergeCell ref="AD3:AD5"/>
    <mergeCell ref="AJ3:AJ5"/>
    <mergeCell ref="AD6:AD8"/>
    <mergeCell ref="AJ6:AJ8"/>
    <mergeCell ref="AD9:AD11"/>
    <mergeCell ref="AJ9:AJ11"/>
    <mergeCell ref="B21:E21"/>
    <mergeCell ref="AD12:AD14"/>
    <mergeCell ref="AJ12:AJ14"/>
    <mergeCell ref="AD15:AD17"/>
    <mergeCell ref="AJ15:AJ17"/>
    <mergeCell ref="AD18:AD20"/>
    <mergeCell ref="AJ18:AJ20"/>
    <mergeCell ref="B15:E15"/>
    <mergeCell ref="C16:E16"/>
    <mergeCell ref="C17:E17"/>
    <mergeCell ref="C18:E18"/>
    <mergeCell ref="C19:E19"/>
    <mergeCell ref="C20:E20"/>
    <mergeCell ref="D6:E6"/>
    <mergeCell ref="D7:E7"/>
    <mergeCell ref="D8:E8"/>
    <mergeCell ref="C9:E9"/>
    <mergeCell ref="B10:B14"/>
    <mergeCell ref="C10:E10"/>
    <mergeCell ref="D11:E11"/>
    <mergeCell ref="C12:C14"/>
    <mergeCell ref="D12:E12"/>
    <mergeCell ref="D13:D14"/>
    <mergeCell ref="C5:E5"/>
    <mergeCell ref="B2:E3"/>
    <mergeCell ref="F2:F3"/>
    <mergeCell ref="G2:H2"/>
    <mergeCell ref="I2:L2"/>
    <mergeCell ref="B4:E4"/>
    <mergeCell ref="B25:E26"/>
    <mergeCell ref="F25:F26"/>
    <mergeCell ref="G25:H25"/>
    <mergeCell ref="I25:L25"/>
    <mergeCell ref="B27:E27"/>
    <mergeCell ref="C28:E28"/>
    <mergeCell ref="D29:E29"/>
    <mergeCell ref="D30:E30"/>
    <mergeCell ref="D31:E31"/>
    <mergeCell ref="C32:E32"/>
    <mergeCell ref="K34:K35"/>
    <mergeCell ref="L34:L35"/>
    <mergeCell ref="C35:C38"/>
    <mergeCell ref="D37:D38"/>
    <mergeCell ref="B39:E39"/>
    <mergeCell ref="F34:F35"/>
    <mergeCell ref="G34:G35"/>
    <mergeCell ref="H34:H35"/>
    <mergeCell ref="I34:I35"/>
    <mergeCell ref="J34:J35"/>
    <mergeCell ref="B33:B38"/>
    <mergeCell ref="C33:E33"/>
    <mergeCell ref="D34:E34"/>
    <mergeCell ref="D35:E35"/>
    <mergeCell ref="D36:E36"/>
    <mergeCell ref="C40:E40"/>
    <mergeCell ref="C41:E41"/>
    <mergeCell ref="C42:E42"/>
    <mergeCell ref="C43:E43"/>
    <mergeCell ref="C44:E44"/>
    <mergeCell ref="B46:C50"/>
    <mergeCell ref="D46:D50"/>
    <mergeCell ref="E46:L46"/>
    <mergeCell ref="M46:M50"/>
    <mergeCell ref="N46:N50"/>
    <mergeCell ref="G47:L47"/>
    <mergeCell ref="I48:J49"/>
    <mergeCell ref="L48:L50"/>
    <mergeCell ref="B63:B65"/>
    <mergeCell ref="C63:C65"/>
    <mergeCell ref="D63:F63"/>
    <mergeCell ref="G63:G65"/>
    <mergeCell ref="H63:H65"/>
    <mergeCell ref="E64:E65"/>
    <mergeCell ref="F64:F65"/>
    <mergeCell ref="H68:H69"/>
    <mergeCell ref="B70:B71"/>
    <mergeCell ref="C70:C71"/>
    <mergeCell ref="D70:D71"/>
    <mergeCell ref="E70:E71"/>
    <mergeCell ref="G70:G71"/>
    <mergeCell ref="H70:H71"/>
    <mergeCell ref="B68:B69"/>
    <mergeCell ref="C68:C69"/>
    <mergeCell ref="D68:D69"/>
    <mergeCell ref="E68:E69"/>
    <mergeCell ref="G68:G69"/>
    <mergeCell ref="H80:H81"/>
    <mergeCell ref="B80:B81"/>
    <mergeCell ref="C80:C81"/>
    <mergeCell ref="D80:D81"/>
    <mergeCell ref="E80:E81"/>
    <mergeCell ref="G80:G81"/>
  </mergeCells>
  <phoneticPr fontId="1" type="noConversion"/>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K190"/>
  <sheetViews>
    <sheetView workbookViewId="0"/>
  </sheetViews>
  <sheetFormatPr defaultColWidth="9" defaultRowHeight="12"/>
  <cols>
    <col min="1" max="1" width="4.625" style="3" customWidth="1"/>
    <col min="2" max="5" width="1.625" style="3" customWidth="1"/>
    <col min="6" max="6" width="27" style="3" customWidth="1"/>
    <col min="7" max="11" width="14" style="3" bestFit="1" customWidth="1"/>
    <col min="12" max="12" width="13.875" style="3" bestFit="1" customWidth="1"/>
    <col min="13" max="13" width="13.875" style="3" customWidth="1"/>
    <col min="14" max="14" width="13.875" style="3" bestFit="1" customWidth="1"/>
    <col min="15" max="16" width="1.625" style="3" customWidth="1"/>
    <col min="17" max="17" width="15.75" style="3" customWidth="1"/>
    <col min="18" max="19" width="13.5" style="3" bestFit="1" customWidth="1"/>
    <col min="20" max="22" width="14" style="3" bestFit="1" customWidth="1"/>
    <col min="23" max="24" width="9" style="3"/>
    <col min="25" max="37" width="11.875" style="3" customWidth="1"/>
    <col min="38" max="16384" width="9" style="3"/>
  </cols>
  <sheetData>
    <row r="1" spans="1:22" s="553" customFormat="1"/>
    <row r="3" spans="1:22" s="555" customFormat="1">
      <c r="A3" s="554" t="s">
        <v>21</v>
      </c>
      <c r="B3" s="555" t="s">
        <v>1605</v>
      </c>
    </row>
    <row r="5" spans="1:22">
      <c r="B5" s="556" t="s">
        <v>1606</v>
      </c>
      <c r="C5" s="557"/>
      <c r="D5" s="557"/>
      <c r="E5" s="557"/>
      <c r="F5" s="557"/>
      <c r="G5" s="557"/>
      <c r="H5" s="557"/>
      <c r="I5" s="557"/>
      <c r="J5" s="557"/>
      <c r="K5" s="557"/>
      <c r="L5" s="558"/>
      <c r="M5" s="559"/>
      <c r="O5" s="560" t="s">
        <v>1607</v>
      </c>
      <c r="P5" s="561"/>
      <c r="Q5" s="561"/>
      <c r="R5" s="561"/>
      <c r="S5" s="561"/>
      <c r="T5" s="561"/>
      <c r="U5" s="561"/>
      <c r="V5" s="561"/>
    </row>
    <row r="6" spans="1:22" ht="13.5">
      <c r="B6" s="562"/>
      <c r="C6" s="563"/>
      <c r="D6" s="564"/>
      <c r="E6" s="564"/>
      <c r="F6" s="564"/>
      <c r="G6" s="563"/>
      <c r="H6" s="563"/>
      <c r="I6" s="563"/>
      <c r="J6" s="563"/>
      <c r="K6" s="563"/>
      <c r="L6" s="565"/>
      <c r="M6" s="563"/>
      <c r="O6" s="566"/>
      <c r="P6" s="567"/>
      <c r="Q6" s="567"/>
      <c r="R6" s="567"/>
      <c r="S6" s="567"/>
      <c r="T6" s="567"/>
      <c r="U6" s="1121"/>
      <c r="V6" s="567"/>
    </row>
    <row r="7" spans="1:22">
      <c r="B7" s="568"/>
      <c r="C7" s="569"/>
      <c r="D7" s="569"/>
      <c r="E7" s="569"/>
      <c r="F7" s="569"/>
      <c r="G7" s="569"/>
      <c r="H7" s="569"/>
      <c r="I7" s="569"/>
      <c r="J7" s="569"/>
      <c r="K7" s="569"/>
      <c r="L7" s="570"/>
      <c r="M7" s="569"/>
      <c r="O7" s="566"/>
      <c r="P7" s="567"/>
      <c r="Q7" s="567"/>
      <c r="R7" s="567"/>
      <c r="S7" s="567"/>
      <c r="T7" s="567"/>
      <c r="U7" s="567"/>
      <c r="V7" s="567"/>
    </row>
    <row r="8" spans="1:22">
      <c r="B8" s="571" t="s">
        <v>1608</v>
      </c>
      <c r="C8" s="572"/>
      <c r="D8" s="362"/>
      <c r="E8" s="362"/>
      <c r="F8" s="362"/>
      <c r="G8" s="573"/>
      <c r="H8" s="574"/>
      <c r="I8" s="575"/>
      <c r="J8" s="574"/>
      <c r="K8" s="574" t="s">
        <v>1609</v>
      </c>
      <c r="L8" s="807" t="s">
        <v>1889</v>
      </c>
      <c r="M8" s="567"/>
      <c r="O8" s="576" t="s">
        <v>1608</v>
      </c>
      <c r="P8" s="574"/>
      <c r="Q8" s="577"/>
      <c r="R8" s="574"/>
      <c r="S8" s="574"/>
      <c r="T8" s="574"/>
      <c r="U8" s="574"/>
      <c r="V8" s="574"/>
    </row>
    <row r="9" spans="1:22">
      <c r="B9" s="578"/>
      <c r="C9" s="579" t="s">
        <v>1610</v>
      </c>
      <c r="D9" s="579"/>
      <c r="E9" s="579"/>
      <c r="F9" s="580"/>
      <c r="G9" s="581" t="s">
        <v>1611</v>
      </c>
      <c r="H9" s="581" t="s">
        <v>1612</v>
      </c>
      <c r="I9" s="581" t="s">
        <v>1613</v>
      </c>
      <c r="J9" s="581" t="s">
        <v>1614</v>
      </c>
      <c r="K9" s="581" t="s">
        <v>1615</v>
      </c>
      <c r="L9" s="582" t="s">
        <v>1890</v>
      </c>
      <c r="M9" s="567"/>
      <c r="O9" s="578" t="s">
        <v>1616</v>
      </c>
      <c r="P9" s="579"/>
      <c r="Q9" s="580"/>
      <c r="R9" s="581" t="s">
        <v>1617</v>
      </c>
      <c r="S9" s="581" t="s">
        <v>136</v>
      </c>
      <c r="T9" s="581" t="s">
        <v>1613</v>
      </c>
      <c r="U9" s="581" t="s">
        <v>1614</v>
      </c>
      <c r="V9" s="582" t="s">
        <v>1618</v>
      </c>
    </row>
    <row r="10" spans="1:22">
      <c r="B10" s="583"/>
      <c r="C10" s="584" t="s">
        <v>1619</v>
      </c>
      <c r="D10" s="584" t="s">
        <v>1620</v>
      </c>
      <c r="E10" s="584"/>
      <c r="F10" s="585"/>
      <c r="G10" s="586">
        <v>209827117295</v>
      </c>
      <c r="H10" s="586">
        <v>222054437474</v>
      </c>
      <c r="I10" s="586">
        <v>224839088866</v>
      </c>
      <c r="J10" s="586">
        <v>231687932258</v>
      </c>
      <c r="K10" s="586">
        <v>233251014812</v>
      </c>
      <c r="L10" s="586">
        <v>308139407885</v>
      </c>
      <c r="M10" s="587"/>
      <c r="O10" s="588" t="s">
        <v>1621</v>
      </c>
      <c r="P10" s="589" t="s">
        <v>1622</v>
      </c>
      <c r="Q10" s="590"/>
      <c r="R10" s="591">
        <v>204310496876</v>
      </c>
      <c r="S10" s="591">
        <v>196278837369.72043</v>
      </c>
      <c r="T10" s="591">
        <v>212743877691</v>
      </c>
      <c r="U10" s="592">
        <v>223606369763</v>
      </c>
      <c r="V10" s="592">
        <v>219807281826.83499</v>
      </c>
    </row>
    <row r="11" spans="1:22">
      <c r="B11" s="566"/>
      <c r="C11" s="567"/>
      <c r="D11" s="567" t="s">
        <v>1623</v>
      </c>
      <c r="E11" s="567" t="s">
        <v>1624</v>
      </c>
      <c r="F11" s="593"/>
      <c r="G11" s="594">
        <v>209018961157</v>
      </c>
      <c r="H11" s="594">
        <v>221557465166</v>
      </c>
      <c r="I11" s="594">
        <v>224350389540</v>
      </c>
      <c r="J11" s="594">
        <v>230788409035</v>
      </c>
      <c r="K11" s="594">
        <v>232551917697</v>
      </c>
      <c r="L11" s="595"/>
      <c r="M11" s="596"/>
      <c r="O11" s="597"/>
      <c r="P11" s="598" t="s">
        <v>1623</v>
      </c>
      <c r="Q11" s="599" t="s">
        <v>1891</v>
      </c>
      <c r="R11" s="593">
        <v>987922238</v>
      </c>
      <c r="S11" s="600">
        <v>655744975</v>
      </c>
      <c r="T11" s="593">
        <v>2161974508</v>
      </c>
      <c r="U11" s="601">
        <v>2648741526</v>
      </c>
      <c r="V11" s="602">
        <v>845282548</v>
      </c>
    </row>
    <row r="12" spans="1:22">
      <c r="B12" s="566"/>
      <c r="C12" s="567"/>
      <c r="D12" s="603" t="s">
        <v>1625</v>
      </c>
      <c r="E12" s="567" t="s">
        <v>1626</v>
      </c>
      <c r="F12" s="593"/>
      <c r="G12" s="594">
        <v>18981300</v>
      </c>
      <c r="H12" s="594">
        <v>51266000</v>
      </c>
      <c r="I12" s="594">
        <v>50745774</v>
      </c>
      <c r="J12" s="594">
        <v>48662000</v>
      </c>
      <c r="K12" s="594">
        <v>0</v>
      </c>
      <c r="L12" s="595"/>
      <c r="M12" s="596"/>
      <c r="O12" s="597"/>
      <c r="P12" s="598" t="s">
        <v>1627</v>
      </c>
      <c r="Q12" s="599" t="s">
        <v>1892</v>
      </c>
      <c r="R12" s="593">
        <v>203920322763</v>
      </c>
      <c r="S12" s="604">
        <v>197785066903</v>
      </c>
      <c r="T12" s="593">
        <v>213230644709</v>
      </c>
      <c r="U12" s="601">
        <v>221802910785</v>
      </c>
      <c r="V12" s="605">
        <v>219268903951</v>
      </c>
    </row>
    <row r="13" spans="1:22">
      <c r="B13" s="566"/>
      <c r="C13" s="567"/>
      <c r="D13" s="603" t="s">
        <v>1625</v>
      </c>
      <c r="E13" s="567" t="s">
        <v>1628</v>
      </c>
      <c r="F13" s="593"/>
      <c r="G13" s="594">
        <v>789174838</v>
      </c>
      <c r="H13" s="594">
        <v>445706308</v>
      </c>
      <c r="I13" s="594">
        <v>437953552</v>
      </c>
      <c r="J13" s="594">
        <v>850861223</v>
      </c>
      <c r="K13" s="594">
        <v>699097115</v>
      </c>
      <c r="L13" s="595"/>
      <c r="M13" s="596"/>
      <c r="O13" s="597"/>
      <c r="P13" s="598" t="s">
        <v>1629</v>
      </c>
      <c r="Q13" s="599" t="s">
        <v>1630</v>
      </c>
      <c r="R13" s="606">
        <v>57996850</v>
      </c>
      <c r="S13" s="607">
        <v>0</v>
      </c>
      <c r="T13" s="606">
        <v>0</v>
      </c>
      <c r="U13" s="608">
        <v>0</v>
      </c>
      <c r="V13" s="609">
        <v>0</v>
      </c>
    </row>
    <row r="14" spans="1:22">
      <c r="B14" s="566"/>
      <c r="C14" s="567"/>
      <c r="D14" s="603"/>
      <c r="E14" s="610"/>
      <c r="F14" s="610"/>
      <c r="G14" s="594"/>
      <c r="H14" s="594"/>
      <c r="I14" s="594"/>
      <c r="J14" s="594"/>
      <c r="K14" s="594"/>
      <c r="L14" s="595"/>
      <c r="M14" s="596"/>
      <c r="O14" s="611"/>
      <c r="P14" s="362"/>
      <c r="Q14" s="599" t="s">
        <v>1893</v>
      </c>
      <c r="R14" s="612">
        <v>204966241851</v>
      </c>
      <c r="S14" s="612">
        <v>198440811878</v>
      </c>
      <c r="T14" s="612">
        <v>215392619217</v>
      </c>
      <c r="U14" s="613">
        <v>224451652311</v>
      </c>
      <c r="V14" s="613">
        <v>220114186499</v>
      </c>
    </row>
    <row r="15" spans="1:22">
      <c r="B15" s="583"/>
      <c r="C15" s="584" t="s">
        <v>1631</v>
      </c>
      <c r="D15" s="584" t="s">
        <v>1632</v>
      </c>
      <c r="E15" s="584"/>
      <c r="F15" s="584"/>
      <c r="G15" s="614">
        <v>203759863474</v>
      </c>
      <c r="H15" s="614">
        <v>215947994942.79694</v>
      </c>
      <c r="I15" s="614">
        <v>218323519928</v>
      </c>
      <c r="J15" s="614">
        <v>221412739751.71762</v>
      </c>
      <c r="K15" s="614">
        <v>225673278012.46646</v>
      </c>
      <c r="L15" s="614">
        <v>298381611076</v>
      </c>
      <c r="M15" s="615"/>
      <c r="O15" s="597"/>
      <c r="P15" s="598" t="s">
        <v>1633</v>
      </c>
      <c r="Q15" s="599" t="s">
        <v>1634</v>
      </c>
      <c r="R15" s="593">
        <v>0</v>
      </c>
      <c r="S15" s="604">
        <v>0</v>
      </c>
      <c r="T15" s="593">
        <v>0</v>
      </c>
      <c r="U15" s="601">
        <v>0</v>
      </c>
      <c r="V15" s="605">
        <v>0</v>
      </c>
    </row>
    <row r="16" spans="1:22">
      <c r="B16" s="566"/>
      <c r="C16" s="567"/>
      <c r="D16" s="616" t="s">
        <v>1623</v>
      </c>
      <c r="E16" s="567" t="s">
        <v>1635</v>
      </c>
      <c r="F16" s="593"/>
      <c r="G16" s="617">
        <v>203744747674</v>
      </c>
      <c r="H16" s="617">
        <v>215908844942.79694</v>
      </c>
      <c r="I16" s="617">
        <v>218284090928</v>
      </c>
      <c r="J16" s="617">
        <v>221373440251.71762</v>
      </c>
      <c r="K16" s="617">
        <v>225673278012.46646</v>
      </c>
      <c r="L16" s="618"/>
      <c r="M16" s="619"/>
      <c r="O16" s="597"/>
      <c r="P16" s="598" t="s">
        <v>1636</v>
      </c>
      <c r="Q16" s="599" t="s">
        <v>1637</v>
      </c>
      <c r="R16" s="593">
        <v>-23175483</v>
      </c>
      <c r="S16" s="605">
        <v>-37237078</v>
      </c>
      <c r="T16" s="593">
        <v>-30226555</v>
      </c>
      <c r="U16" s="605">
        <v>-22392754</v>
      </c>
      <c r="V16" s="605">
        <v>0</v>
      </c>
    </row>
    <row r="17" spans="2:22">
      <c r="B17" s="566"/>
      <c r="C17" s="567"/>
      <c r="D17" s="616"/>
      <c r="E17" s="567" t="s">
        <v>1638</v>
      </c>
      <c r="F17" s="610" t="s">
        <v>1639</v>
      </c>
      <c r="G17" s="620">
        <v>11809660688</v>
      </c>
      <c r="H17" s="621">
        <v>19606726352</v>
      </c>
      <c r="I17" s="620">
        <v>9525596157</v>
      </c>
      <c r="J17" s="621">
        <v>8060435208</v>
      </c>
      <c r="K17" s="621">
        <v>11080998624</v>
      </c>
      <c r="L17" s="622"/>
      <c r="M17" s="623"/>
      <c r="O17" s="597"/>
      <c r="P17" s="624" t="s">
        <v>1640</v>
      </c>
      <c r="Q17" s="599" t="s">
        <v>1894</v>
      </c>
      <c r="R17" s="593">
        <v>655744975</v>
      </c>
      <c r="S17" s="604">
        <v>2161974508.2795811</v>
      </c>
      <c r="T17" s="593">
        <v>2648741526</v>
      </c>
      <c r="U17" s="601">
        <v>845282548</v>
      </c>
      <c r="V17" s="605">
        <v>306904672.16501856</v>
      </c>
    </row>
    <row r="18" spans="2:22">
      <c r="B18" s="566"/>
      <c r="C18" s="567"/>
      <c r="D18" s="616"/>
      <c r="E18" s="567" t="s">
        <v>1641</v>
      </c>
      <c r="F18" s="610" t="s">
        <v>1642</v>
      </c>
      <c r="G18" s="620">
        <v>230966683482</v>
      </c>
      <c r="H18" s="625">
        <v>225495822074.87854</v>
      </c>
      <c r="I18" s="620">
        <v>220428922041</v>
      </c>
      <c r="J18" s="625">
        <v>221336136920.75171</v>
      </c>
      <c r="K18" s="625">
        <v>238147998644.14969</v>
      </c>
      <c r="L18" s="626"/>
      <c r="M18" s="627"/>
      <c r="O18" s="597"/>
      <c r="P18" s="598"/>
      <c r="Q18" s="599"/>
      <c r="R18" s="593"/>
      <c r="S18" s="593"/>
      <c r="T18" s="593"/>
      <c r="U18" s="601"/>
      <c r="V18" s="601"/>
    </row>
    <row r="19" spans="2:22">
      <c r="B19" s="566"/>
      <c r="C19" s="567"/>
      <c r="D19" s="616"/>
      <c r="E19" s="567" t="s">
        <v>1643</v>
      </c>
      <c r="F19" s="610" t="s">
        <v>1630</v>
      </c>
      <c r="G19" s="628">
        <v>4582032997</v>
      </c>
      <c r="H19" s="628">
        <v>4220135179.9811811</v>
      </c>
      <c r="I19" s="628">
        <v>14074644812</v>
      </c>
      <c r="J19" s="628">
        <v>12460486375.944534</v>
      </c>
      <c r="K19" s="628">
        <v>10632608272.203135</v>
      </c>
      <c r="L19" s="628"/>
      <c r="M19" s="629"/>
      <c r="O19" s="630" t="s">
        <v>1644</v>
      </c>
      <c r="P19" s="589" t="s">
        <v>1645</v>
      </c>
      <c r="Q19" s="590"/>
      <c r="R19" s="631">
        <v>2389337390</v>
      </c>
      <c r="S19" s="631">
        <v>2216938088</v>
      </c>
      <c r="T19" s="631">
        <v>2237781269</v>
      </c>
      <c r="U19" s="632">
        <v>2278091096</v>
      </c>
      <c r="V19" s="632">
        <v>1667901010</v>
      </c>
    </row>
    <row r="20" spans="2:22">
      <c r="B20" s="566"/>
      <c r="C20" s="567"/>
      <c r="D20" s="616"/>
      <c r="E20" s="567"/>
      <c r="F20" s="610" t="s">
        <v>1646</v>
      </c>
      <c r="G20" s="633">
        <v>247358377167</v>
      </c>
      <c r="H20" s="625">
        <v>249322683606.85971</v>
      </c>
      <c r="I20" s="633">
        <v>244029163010</v>
      </c>
      <c r="J20" s="625">
        <v>241857058504.69623</v>
      </c>
      <c r="K20" s="625">
        <v>259861605540.35281</v>
      </c>
      <c r="L20" s="626"/>
      <c r="M20" s="627"/>
      <c r="O20" s="634"/>
      <c r="P20" s="624" t="s">
        <v>1647</v>
      </c>
      <c r="Q20" s="599" t="s">
        <v>1648</v>
      </c>
      <c r="R20" s="593">
        <v>1720838716</v>
      </c>
      <c r="S20" s="604">
        <v>1595789380</v>
      </c>
      <c r="T20" s="593">
        <v>1781237742</v>
      </c>
      <c r="U20" s="601">
        <v>1830145499</v>
      </c>
      <c r="V20" s="605">
        <v>1374484110</v>
      </c>
    </row>
    <row r="21" spans="2:22">
      <c r="B21" s="566"/>
      <c r="C21" s="567"/>
      <c r="D21" s="616"/>
      <c r="E21" s="567" t="s">
        <v>1649</v>
      </c>
      <c r="F21" s="610" t="s">
        <v>1634</v>
      </c>
      <c r="G21" s="620">
        <v>21445734236</v>
      </c>
      <c r="H21" s="635">
        <v>17311618024.001896</v>
      </c>
      <c r="I21" s="620">
        <v>16708373026</v>
      </c>
      <c r="J21" s="635">
        <v>8891404721.1885509</v>
      </c>
      <c r="K21" s="635">
        <v>21505193612.531288</v>
      </c>
      <c r="L21" s="635"/>
      <c r="M21" s="629"/>
      <c r="O21" s="634"/>
      <c r="P21" s="624" t="s">
        <v>1650</v>
      </c>
      <c r="Q21" s="599" t="s">
        <v>1651</v>
      </c>
      <c r="R21" s="593">
        <v>408165135</v>
      </c>
      <c r="S21" s="604">
        <v>393701170</v>
      </c>
      <c r="T21" s="593">
        <v>227295600</v>
      </c>
      <c r="U21" s="601">
        <v>199550742</v>
      </c>
      <c r="V21" s="605">
        <v>106847645</v>
      </c>
    </row>
    <row r="22" spans="2:22">
      <c r="B22" s="566"/>
      <c r="C22" s="567"/>
      <c r="D22" s="616"/>
      <c r="E22" s="567" t="s">
        <v>1652</v>
      </c>
      <c r="F22" s="610" t="s">
        <v>1653</v>
      </c>
      <c r="G22" s="620">
        <v>1184569102</v>
      </c>
      <c r="H22" s="635">
        <v>1153704080</v>
      </c>
      <c r="I22" s="620">
        <v>854278026</v>
      </c>
      <c r="J22" s="635">
        <v>500936470</v>
      </c>
      <c r="K22" s="635">
        <v>1311023153</v>
      </c>
      <c r="L22" s="635"/>
      <c r="M22" s="629"/>
      <c r="O22" s="634"/>
      <c r="P22" s="624" t="s">
        <v>1654</v>
      </c>
      <c r="Q22" s="599" t="s">
        <v>1655</v>
      </c>
      <c r="R22" s="593">
        <v>236178539</v>
      </c>
      <c r="S22" s="604">
        <v>199427538</v>
      </c>
      <c r="T22" s="593">
        <v>189487927</v>
      </c>
      <c r="U22" s="601">
        <v>216454855</v>
      </c>
      <c r="V22" s="605">
        <v>137769255</v>
      </c>
    </row>
    <row r="23" spans="2:22">
      <c r="B23" s="566"/>
      <c r="C23" s="567"/>
      <c r="D23" s="616"/>
      <c r="E23" s="567" t="s">
        <v>1656</v>
      </c>
      <c r="F23" s="610" t="s">
        <v>1657</v>
      </c>
      <c r="G23" s="620">
        <v>-1376599803</v>
      </c>
      <c r="H23" s="635">
        <v>-5422920403</v>
      </c>
      <c r="I23" s="620">
        <v>-121985822</v>
      </c>
      <c r="J23" s="635">
        <v>-10278438</v>
      </c>
      <c r="K23" s="635">
        <v>-284096441</v>
      </c>
      <c r="L23" s="635"/>
      <c r="M23" s="629"/>
      <c r="O23" s="634"/>
      <c r="P23" s="624" t="s">
        <v>1658</v>
      </c>
      <c r="Q23" s="599" t="s">
        <v>1659</v>
      </c>
      <c r="R23" s="593">
        <v>24155000</v>
      </c>
      <c r="S23" s="604">
        <v>28020000</v>
      </c>
      <c r="T23" s="593">
        <v>39760000</v>
      </c>
      <c r="U23" s="601">
        <v>31940000</v>
      </c>
      <c r="V23" s="605">
        <v>48800000</v>
      </c>
    </row>
    <row r="24" spans="2:22">
      <c r="B24" s="566"/>
      <c r="C24" s="567"/>
      <c r="D24" s="616"/>
      <c r="E24" s="567" t="s">
        <v>1660</v>
      </c>
      <c r="F24" s="610" t="s">
        <v>1661</v>
      </c>
      <c r="G24" s="620">
        <v>-5635673064</v>
      </c>
      <c r="H24" s="635">
        <v>-234761431</v>
      </c>
      <c r="I24" s="620">
        <v>-183475126</v>
      </c>
      <c r="J24" s="635">
        <v>-188438944</v>
      </c>
      <c r="K24" s="635">
        <v>0</v>
      </c>
      <c r="L24" s="635"/>
      <c r="M24" s="629"/>
      <c r="O24" s="634"/>
      <c r="P24" s="624"/>
      <c r="Q24" s="599"/>
      <c r="R24" s="593"/>
      <c r="S24" s="593"/>
      <c r="T24" s="593"/>
      <c r="U24" s="601"/>
      <c r="V24" s="601"/>
    </row>
    <row r="25" spans="2:22">
      <c r="B25" s="566"/>
      <c r="C25" s="567"/>
      <c r="D25" s="616"/>
      <c r="E25" s="567" t="s">
        <v>1662</v>
      </c>
      <c r="F25" s="610" t="s">
        <v>1663</v>
      </c>
      <c r="G25" s="620">
        <v>19606726352</v>
      </c>
      <c r="H25" s="635">
        <v>9525596157.0608788</v>
      </c>
      <c r="I25" s="620">
        <v>8060435208</v>
      </c>
      <c r="J25" s="635">
        <v>11080998623.790056</v>
      </c>
      <c r="K25" s="635">
        <v>11088014321.355061</v>
      </c>
      <c r="L25" s="635"/>
      <c r="M25" s="629"/>
      <c r="O25" s="636" t="s">
        <v>1664</v>
      </c>
      <c r="P25" s="589" t="s">
        <v>1665</v>
      </c>
      <c r="Q25" s="590"/>
      <c r="R25" s="591">
        <v>5538418742</v>
      </c>
      <c r="S25" s="591">
        <v>5159267272</v>
      </c>
      <c r="T25" s="591">
        <v>4899066758</v>
      </c>
      <c r="U25" s="592">
        <v>4566814583</v>
      </c>
      <c r="V25" s="592">
        <v>3215501737</v>
      </c>
    </row>
    <row r="26" spans="2:22">
      <c r="B26" s="566"/>
      <c r="C26" s="567"/>
      <c r="D26" s="616" t="s">
        <v>1627</v>
      </c>
      <c r="E26" s="567" t="s">
        <v>1666</v>
      </c>
      <c r="F26" s="593"/>
      <c r="G26" s="617">
        <v>15115800</v>
      </c>
      <c r="H26" s="617">
        <v>39150000</v>
      </c>
      <c r="I26" s="617">
        <v>39429000</v>
      </c>
      <c r="J26" s="617">
        <v>39299500</v>
      </c>
      <c r="K26" s="617">
        <v>0</v>
      </c>
      <c r="L26" s="618"/>
      <c r="M26" s="619"/>
      <c r="O26" s="634"/>
      <c r="P26" s="624" t="s">
        <v>1647</v>
      </c>
      <c r="Q26" s="599" t="s">
        <v>1667</v>
      </c>
      <c r="R26" s="593">
        <v>595480617</v>
      </c>
      <c r="S26" s="593">
        <v>496894640</v>
      </c>
      <c r="T26" s="593">
        <v>620981307</v>
      </c>
      <c r="U26" s="601">
        <v>512926947</v>
      </c>
      <c r="V26" s="601">
        <v>363723856</v>
      </c>
    </row>
    <row r="27" spans="2:22">
      <c r="B27" s="566"/>
      <c r="C27" s="567"/>
      <c r="D27" s="616"/>
      <c r="E27" s="737" t="s">
        <v>1896</v>
      </c>
      <c r="F27" s="610" t="s">
        <v>1668</v>
      </c>
      <c r="G27" s="620">
        <v>0</v>
      </c>
      <c r="H27" s="621">
        <v>1050000</v>
      </c>
      <c r="I27" s="620">
        <v>0</v>
      </c>
      <c r="J27" s="621">
        <v>0</v>
      </c>
      <c r="K27" s="621">
        <v>0</v>
      </c>
      <c r="L27" s="622"/>
      <c r="M27" s="623"/>
      <c r="O27" s="634"/>
      <c r="P27" s="624" t="s">
        <v>1650</v>
      </c>
      <c r="Q27" s="599" t="s">
        <v>1669</v>
      </c>
      <c r="R27" s="593">
        <v>647370716</v>
      </c>
      <c r="S27" s="593">
        <v>600369564</v>
      </c>
      <c r="T27" s="593">
        <v>605693016</v>
      </c>
      <c r="U27" s="601">
        <v>554739192</v>
      </c>
      <c r="V27" s="601">
        <v>389210834</v>
      </c>
    </row>
    <row r="28" spans="2:22">
      <c r="B28" s="566"/>
      <c r="C28" s="567"/>
      <c r="D28" s="616"/>
      <c r="E28" s="737" t="s">
        <v>1897</v>
      </c>
      <c r="F28" s="610" t="s">
        <v>1670</v>
      </c>
      <c r="G28" s="620">
        <v>16165800</v>
      </c>
      <c r="H28" s="620">
        <v>38100000</v>
      </c>
      <c r="I28" s="620">
        <v>39429000</v>
      </c>
      <c r="J28" s="620">
        <v>39299500</v>
      </c>
      <c r="K28" s="620">
        <v>0</v>
      </c>
      <c r="L28" s="635"/>
      <c r="M28" s="629"/>
      <c r="O28" s="634"/>
      <c r="P28" s="624" t="s">
        <v>1654</v>
      </c>
      <c r="Q28" s="599" t="s">
        <v>1671</v>
      </c>
      <c r="R28" s="593">
        <v>177105645</v>
      </c>
      <c r="S28" s="593">
        <v>223697935</v>
      </c>
      <c r="T28" s="593">
        <v>209381455</v>
      </c>
      <c r="U28" s="601">
        <v>182514329</v>
      </c>
      <c r="V28" s="601">
        <v>134684329</v>
      </c>
    </row>
    <row r="29" spans="2:22">
      <c r="B29" s="566"/>
      <c r="C29" s="567"/>
      <c r="D29" s="616"/>
      <c r="E29" s="737" t="s">
        <v>1898</v>
      </c>
      <c r="F29" s="610" t="s">
        <v>1630</v>
      </c>
      <c r="G29" s="620">
        <v>0</v>
      </c>
      <c r="H29" s="620">
        <v>0</v>
      </c>
      <c r="I29" s="620">
        <v>0</v>
      </c>
      <c r="J29" s="620">
        <v>0</v>
      </c>
      <c r="K29" s="620">
        <v>0</v>
      </c>
      <c r="L29" s="635"/>
      <c r="M29" s="629"/>
      <c r="O29" s="634"/>
      <c r="P29" s="624" t="s">
        <v>1633</v>
      </c>
      <c r="Q29" s="599" t="s">
        <v>1672</v>
      </c>
      <c r="R29" s="593">
        <v>36532210</v>
      </c>
      <c r="S29" s="593">
        <v>49670870</v>
      </c>
      <c r="T29" s="593">
        <v>36243550</v>
      </c>
      <c r="U29" s="601">
        <v>17902840</v>
      </c>
      <c r="V29" s="601">
        <v>13804240</v>
      </c>
    </row>
    <row r="30" spans="2:22">
      <c r="B30" s="566"/>
      <c r="C30" s="567"/>
      <c r="D30" s="616"/>
      <c r="E30" s="737" t="s">
        <v>1899</v>
      </c>
      <c r="F30" s="610" t="s">
        <v>1634</v>
      </c>
      <c r="G30" s="620">
        <v>0</v>
      </c>
      <c r="H30" s="620">
        <v>0</v>
      </c>
      <c r="I30" s="620">
        <v>0</v>
      </c>
      <c r="J30" s="620">
        <v>0</v>
      </c>
      <c r="K30" s="620">
        <v>0</v>
      </c>
      <c r="L30" s="635"/>
      <c r="M30" s="629"/>
      <c r="O30" s="634"/>
      <c r="P30" s="624" t="s">
        <v>1636</v>
      </c>
      <c r="Q30" s="599" t="s">
        <v>1673</v>
      </c>
      <c r="R30" s="593">
        <v>23225003</v>
      </c>
      <c r="S30" s="593">
        <v>26050722</v>
      </c>
      <c r="T30" s="593">
        <v>27396130</v>
      </c>
      <c r="U30" s="601">
        <v>23244993</v>
      </c>
      <c r="V30" s="601">
        <v>7301228</v>
      </c>
    </row>
    <row r="31" spans="2:22">
      <c r="B31" s="566"/>
      <c r="C31" s="567"/>
      <c r="D31" s="616"/>
      <c r="E31" s="737" t="s">
        <v>1895</v>
      </c>
      <c r="F31" s="610" t="s">
        <v>1674</v>
      </c>
      <c r="G31" s="637">
        <v>1050000</v>
      </c>
      <c r="H31" s="628">
        <v>0</v>
      </c>
      <c r="I31" s="637">
        <v>0</v>
      </c>
      <c r="J31" s="628">
        <v>0</v>
      </c>
      <c r="K31" s="628">
        <v>0</v>
      </c>
      <c r="L31" s="628"/>
      <c r="M31" s="629"/>
      <c r="O31" s="634"/>
      <c r="P31" s="624" t="s">
        <v>1675</v>
      </c>
      <c r="Q31" s="599" t="s">
        <v>1676</v>
      </c>
      <c r="R31" s="593">
        <v>58508531</v>
      </c>
      <c r="S31" s="593">
        <v>49270111</v>
      </c>
      <c r="T31" s="593">
        <v>8226532</v>
      </c>
      <c r="U31" s="601">
        <v>7563430</v>
      </c>
      <c r="V31" s="601">
        <v>6480893</v>
      </c>
    </row>
    <row r="32" spans="2:22">
      <c r="B32" s="566"/>
      <c r="C32" s="567"/>
      <c r="D32" s="616"/>
      <c r="E32" s="610"/>
      <c r="F32" s="610"/>
      <c r="G32" s="620"/>
      <c r="H32" s="620"/>
      <c r="I32" s="620"/>
      <c r="J32" s="620"/>
      <c r="K32" s="620"/>
      <c r="L32" s="635"/>
      <c r="M32" s="629"/>
      <c r="O32" s="634"/>
      <c r="P32" s="624" t="s">
        <v>1677</v>
      </c>
      <c r="Q32" s="599" t="s">
        <v>1678</v>
      </c>
      <c r="R32" s="593">
        <v>16578572</v>
      </c>
      <c r="S32" s="593">
        <v>10221786</v>
      </c>
      <c r="T32" s="593">
        <v>12481660</v>
      </c>
      <c r="U32" s="601">
        <v>17449474</v>
      </c>
      <c r="V32" s="601">
        <v>12536809</v>
      </c>
    </row>
    <row r="33" spans="2:22">
      <c r="B33" s="583"/>
      <c r="C33" s="584" t="s">
        <v>1679</v>
      </c>
      <c r="D33" s="584" t="s">
        <v>1680</v>
      </c>
      <c r="E33" s="584"/>
      <c r="F33" s="584"/>
      <c r="G33" s="614">
        <v>6067253821</v>
      </c>
      <c r="H33" s="614">
        <v>6106442531.203064</v>
      </c>
      <c r="I33" s="614">
        <v>6515568938</v>
      </c>
      <c r="J33" s="614">
        <v>10275192506.282379</v>
      </c>
      <c r="K33" s="614">
        <v>7577736799.5335388</v>
      </c>
      <c r="L33" s="614">
        <v>9757796809</v>
      </c>
      <c r="M33" s="615"/>
      <c r="O33" s="634"/>
      <c r="P33" s="624" t="s">
        <v>1681</v>
      </c>
      <c r="Q33" s="599" t="s">
        <v>1682</v>
      </c>
      <c r="R33" s="593">
        <v>41199430</v>
      </c>
      <c r="S33" s="593">
        <v>41252070</v>
      </c>
      <c r="T33" s="593">
        <v>41263270</v>
      </c>
      <c r="U33" s="601">
        <v>42848550</v>
      </c>
      <c r="V33" s="601">
        <v>42265170</v>
      </c>
    </row>
    <row r="34" spans="2:22">
      <c r="B34" s="566"/>
      <c r="C34" s="567"/>
      <c r="D34" s="610"/>
      <c r="E34" s="610"/>
      <c r="F34" s="610"/>
      <c r="G34" s="620"/>
      <c r="H34" s="595"/>
      <c r="I34" s="595"/>
      <c r="J34" s="595"/>
      <c r="K34" s="595"/>
      <c r="L34" s="595"/>
      <c r="M34" s="596"/>
      <c r="O34" s="634"/>
      <c r="P34" s="624" t="s">
        <v>1683</v>
      </c>
      <c r="Q34" s="599" t="s">
        <v>1684</v>
      </c>
      <c r="R34" s="593">
        <v>33678105</v>
      </c>
      <c r="S34" s="593">
        <v>19841117</v>
      </c>
      <c r="T34" s="593">
        <v>26014353</v>
      </c>
      <c r="U34" s="601">
        <v>21272646</v>
      </c>
      <c r="V34" s="601">
        <v>14902511</v>
      </c>
    </row>
    <row r="35" spans="2:22">
      <c r="B35" s="583"/>
      <c r="C35" s="584" t="s">
        <v>1685</v>
      </c>
      <c r="D35" s="584" t="s">
        <v>1686</v>
      </c>
      <c r="E35" s="584"/>
      <c r="F35" s="584"/>
      <c r="G35" s="614">
        <v>2260366001</v>
      </c>
      <c r="H35" s="614">
        <v>2275052507</v>
      </c>
      <c r="I35" s="614">
        <v>2424553445</v>
      </c>
      <c r="J35" s="614">
        <v>2400191734</v>
      </c>
      <c r="K35" s="614">
        <v>2221029572</v>
      </c>
      <c r="L35" s="614">
        <v>3272573641</v>
      </c>
      <c r="M35" s="615"/>
      <c r="O35" s="634"/>
      <c r="P35" s="624" t="s">
        <v>1687</v>
      </c>
      <c r="Q35" s="599" t="s">
        <v>1688</v>
      </c>
      <c r="R35" s="593">
        <v>1342049691</v>
      </c>
      <c r="S35" s="593">
        <v>1290085132</v>
      </c>
      <c r="T35" s="593">
        <v>1136323923</v>
      </c>
      <c r="U35" s="601">
        <v>995717008</v>
      </c>
      <c r="V35" s="601">
        <v>773669527</v>
      </c>
    </row>
    <row r="36" spans="2:22">
      <c r="B36" s="566"/>
      <c r="C36" s="567"/>
      <c r="D36" s="616" t="s">
        <v>1623</v>
      </c>
      <c r="E36" s="567" t="s">
        <v>1689</v>
      </c>
      <c r="F36" s="593"/>
      <c r="G36" s="620">
        <v>933909658</v>
      </c>
      <c r="H36" s="620">
        <v>875350420</v>
      </c>
      <c r="I36" s="620">
        <v>1078055237</v>
      </c>
      <c r="J36" s="620">
        <v>1097278123</v>
      </c>
      <c r="K36" s="620">
        <v>931075470</v>
      </c>
      <c r="L36" s="635"/>
      <c r="M36" s="629"/>
      <c r="O36" s="634"/>
      <c r="P36" s="624" t="s">
        <v>1690</v>
      </c>
      <c r="Q36" s="638" t="s">
        <v>1691</v>
      </c>
      <c r="R36" s="593">
        <v>1658166089</v>
      </c>
      <c r="S36" s="593">
        <v>1243992205</v>
      </c>
      <c r="T36" s="593">
        <v>1139772075</v>
      </c>
      <c r="U36" s="601">
        <v>1177479608</v>
      </c>
      <c r="V36" s="601">
        <v>468168298</v>
      </c>
    </row>
    <row r="37" spans="2:22">
      <c r="B37" s="566"/>
      <c r="C37" s="567"/>
      <c r="D37" s="616" t="s">
        <v>1627</v>
      </c>
      <c r="E37" s="567" t="s">
        <v>1651</v>
      </c>
      <c r="F37" s="593"/>
      <c r="G37" s="620">
        <v>268824977</v>
      </c>
      <c r="H37" s="620">
        <v>329557864</v>
      </c>
      <c r="I37" s="620">
        <v>236102903</v>
      </c>
      <c r="J37" s="620">
        <v>328071838</v>
      </c>
      <c r="K37" s="620">
        <v>194019526</v>
      </c>
      <c r="L37" s="635"/>
      <c r="M37" s="629"/>
      <c r="O37" s="634"/>
      <c r="P37" s="624" t="s">
        <v>1692</v>
      </c>
      <c r="Q37" s="599" t="s">
        <v>1693</v>
      </c>
      <c r="R37" s="593">
        <v>283403013</v>
      </c>
      <c r="S37" s="593">
        <v>335578602</v>
      </c>
      <c r="T37" s="593">
        <v>225845418</v>
      </c>
      <c r="U37" s="601">
        <v>246468423</v>
      </c>
      <c r="V37" s="601">
        <v>217038545</v>
      </c>
    </row>
    <row r="38" spans="2:22">
      <c r="B38" s="566"/>
      <c r="C38" s="567"/>
      <c r="D38" s="639" t="s">
        <v>1629</v>
      </c>
      <c r="E38" s="603" t="s">
        <v>1694</v>
      </c>
      <c r="F38" s="640"/>
      <c r="G38" s="620">
        <v>134819372</v>
      </c>
      <c r="H38" s="620">
        <v>108080514</v>
      </c>
      <c r="I38" s="620">
        <v>131052959</v>
      </c>
      <c r="J38" s="620">
        <v>145583247</v>
      </c>
      <c r="K38" s="620">
        <v>103044906</v>
      </c>
      <c r="L38" s="635"/>
      <c r="M38" s="629"/>
      <c r="O38" s="634"/>
      <c r="P38" s="624" t="s">
        <v>1695</v>
      </c>
      <c r="Q38" s="599" t="s">
        <v>1696</v>
      </c>
      <c r="R38" s="593">
        <v>8635178</v>
      </c>
      <c r="S38" s="593">
        <v>13924513</v>
      </c>
      <c r="T38" s="593">
        <v>7043430</v>
      </c>
      <c r="U38" s="601">
        <v>8218921</v>
      </c>
      <c r="V38" s="601">
        <v>6590532</v>
      </c>
    </row>
    <row r="39" spans="2:22">
      <c r="B39" s="566"/>
      <c r="C39" s="567"/>
      <c r="D39" s="639" t="s">
        <v>1633</v>
      </c>
      <c r="E39" s="567" t="s">
        <v>1667</v>
      </c>
      <c r="F39" s="593"/>
      <c r="G39" s="620">
        <v>262489799</v>
      </c>
      <c r="H39" s="620">
        <v>229415023</v>
      </c>
      <c r="I39" s="620">
        <v>259413359</v>
      </c>
      <c r="J39" s="620">
        <v>260651051</v>
      </c>
      <c r="K39" s="620">
        <v>238627846</v>
      </c>
      <c r="L39" s="635"/>
      <c r="M39" s="629"/>
      <c r="O39" s="634"/>
      <c r="P39" s="624" t="s">
        <v>1697</v>
      </c>
      <c r="Q39" s="599" t="s">
        <v>1698</v>
      </c>
      <c r="R39" s="593">
        <v>2803201</v>
      </c>
      <c r="S39" s="593">
        <v>4157412</v>
      </c>
      <c r="T39" s="593">
        <v>4815197</v>
      </c>
      <c r="U39" s="601">
        <v>9165961</v>
      </c>
      <c r="V39" s="601">
        <v>7564248</v>
      </c>
    </row>
    <row r="40" spans="2:22">
      <c r="B40" s="566"/>
      <c r="C40" s="567"/>
      <c r="D40" s="639" t="s">
        <v>1636</v>
      </c>
      <c r="E40" s="567" t="s">
        <v>1673</v>
      </c>
      <c r="F40" s="593"/>
      <c r="G40" s="620">
        <v>84713996</v>
      </c>
      <c r="H40" s="620">
        <v>83144099</v>
      </c>
      <c r="I40" s="620">
        <v>99632442</v>
      </c>
      <c r="J40" s="620">
        <v>78146945</v>
      </c>
      <c r="K40" s="620">
        <v>57286499</v>
      </c>
      <c r="L40" s="635"/>
      <c r="M40" s="629"/>
      <c r="O40" s="634"/>
      <c r="P40" s="624" t="s">
        <v>1699</v>
      </c>
      <c r="Q40" s="599" t="s">
        <v>1700</v>
      </c>
      <c r="R40" s="593">
        <v>50129755</v>
      </c>
      <c r="S40" s="593">
        <v>55621046</v>
      </c>
      <c r="T40" s="593">
        <v>46969203</v>
      </c>
      <c r="U40" s="601">
        <v>46563448</v>
      </c>
      <c r="V40" s="601">
        <v>31887277</v>
      </c>
    </row>
    <row r="41" spans="2:22">
      <c r="B41" s="566"/>
      <c r="C41" s="567"/>
      <c r="D41" s="639" t="s">
        <v>1675</v>
      </c>
      <c r="E41" s="567" t="s">
        <v>1676</v>
      </c>
      <c r="F41" s="593"/>
      <c r="G41" s="620">
        <v>68687768</v>
      </c>
      <c r="H41" s="620">
        <v>70068015</v>
      </c>
      <c r="I41" s="620">
        <v>107967525</v>
      </c>
      <c r="J41" s="620">
        <v>111499300</v>
      </c>
      <c r="K41" s="620">
        <v>66028899</v>
      </c>
      <c r="L41" s="635"/>
      <c r="M41" s="629"/>
      <c r="O41" s="634"/>
      <c r="P41" s="624" t="s">
        <v>1701</v>
      </c>
      <c r="Q41" s="599" t="s">
        <v>1702</v>
      </c>
      <c r="R41" s="593">
        <v>8214206</v>
      </c>
      <c r="S41" s="593">
        <v>12064850</v>
      </c>
      <c r="T41" s="593">
        <v>8000300</v>
      </c>
      <c r="U41" s="601">
        <v>5506320</v>
      </c>
      <c r="V41" s="601">
        <v>5383364</v>
      </c>
    </row>
    <row r="42" spans="2:22">
      <c r="B42" s="566"/>
      <c r="C42" s="567"/>
      <c r="D42" s="639" t="s">
        <v>1677</v>
      </c>
      <c r="E42" s="567" t="s">
        <v>1678</v>
      </c>
      <c r="F42" s="593"/>
      <c r="G42" s="620">
        <v>14262268</v>
      </c>
      <c r="H42" s="620">
        <v>14045840</v>
      </c>
      <c r="I42" s="620">
        <v>14548943</v>
      </c>
      <c r="J42" s="620">
        <v>15242491</v>
      </c>
      <c r="K42" s="620">
        <v>11788890</v>
      </c>
      <c r="L42" s="635"/>
      <c r="M42" s="629"/>
      <c r="O42" s="634"/>
      <c r="P42" s="624" t="s">
        <v>1703</v>
      </c>
      <c r="Q42" s="599" t="s">
        <v>1704</v>
      </c>
      <c r="R42" s="593">
        <v>170435400</v>
      </c>
      <c r="S42" s="593">
        <v>96367800</v>
      </c>
      <c r="T42" s="593">
        <v>94033300</v>
      </c>
      <c r="U42" s="601">
        <v>134836000</v>
      </c>
      <c r="V42" s="601">
        <v>155335400</v>
      </c>
    </row>
    <row r="43" spans="2:22">
      <c r="B43" s="566"/>
      <c r="C43" s="567"/>
      <c r="D43" s="639" t="s">
        <v>1681</v>
      </c>
      <c r="E43" s="567" t="s">
        <v>1682</v>
      </c>
      <c r="F43" s="593"/>
      <c r="G43" s="620">
        <v>525000</v>
      </c>
      <c r="H43" s="620">
        <v>5980</v>
      </c>
      <c r="I43" s="620">
        <v>525000</v>
      </c>
      <c r="J43" s="620">
        <v>350000</v>
      </c>
      <c r="K43" s="620">
        <v>350000</v>
      </c>
      <c r="L43" s="635"/>
      <c r="M43" s="629"/>
      <c r="O43" s="634"/>
      <c r="P43" s="624" t="s">
        <v>1705</v>
      </c>
      <c r="Q43" s="599" t="s">
        <v>1706</v>
      </c>
      <c r="R43" s="593">
        <v>3781100</v>
      </c>
      <c r="S43" s="593">
        <v>1559620</v>
      </c>
      <c r="T43" s="593">
        <v>1462900</v>
      </c>
      <c r="U43" s="601">
        <v>17514652</v>
      </c>
      <c r="V43" s="601">
        <v>15628378</v>
      </c>
    </row>
    <row r="44" spans="2:22">
      <c r="B44" s="566"/>
      <c r="C44" s="567"/>
      <c r="D44" s="639" t="s">
        <v>1683</v>
      </c>
      <c r="E44" s="567" t="s">
        <v>1684</v>
      </c>
      <c r="F44" s="593"/>
      <c r="G44" s="620">
        <v>61646272</v>
      </c>
      <c r="H44" s="620">
        <v>86039136</v>
      </c>
      <c r="I44" s="620">
        <v>97186539</v>
      </c>
      <c r="J44" s="620">
        <v>18801963</v>
      </c>
      <c r="K44" s="620">
        <v>3271839</v>
      </c>
      <c r="L44" s="635"/>
      <c r="M44" s="629"/>
      <c r="O44" s="634"/>
      <c r="P44" s="624" t="s">
        <v>1707</v>
      </c>
      <c r="Q44" s="599" t="s">
        <v>1708</v>
      </c>
      <c r="R44" s="593">
        <v>169852818</v>
      </c>
      <c r="S44" s="593">
        <v>295669893</v>
      </c>
      <c r="T44" s="593">
        <v>213089038</v>
      </c>
      <c r="U44" s="601">
        <v>235917863</v>
      </c>
      <c r="V44" s="601">
        <v>335046368</v>
      </c>
    </row>
    <row r="45" spans="2:22">
      <c r="B45" s="566"/>
      <c r="C45" s="567"/>
      <c r="D45" s="639" t="s">
        <v>1687</v>
      </c>
      <c r="E45" s="567" t="s">
        <v>1688</v>
      </c>
      <c r="F45" s="593"/>
      <c r="G45" s="620">
        <v>92246266</v>
      </c>
      <c r="H45" s="620">
        <v>64430871</v>
      </c>
      <c r="I45" s="620">
        <v>45491964</v>
      </c>
      <c r="J45" s="620">
        <v>12293013</v>
      </c>
      <c r="K45" s="620">
        <v>33991615</v>
      </c>
      <c r="L45" s="635"/>
      <c r="M45" s="629"/>
      <c r="O45" s="634"/>
      <c r="P45" s="624" t="s">
        <v>1709</v>
      </c>
      <c r="Q45" s="599" t="s">
        <v>1710</v>
      </c>
      <c r="R45" s="593">
        <v>85955500</v>
      </c>
      <c r="S45" s="593">
        <v>172393545</v>
      </c>
      <c r="T45" s="593">
        <v>299386387</v>
      </c>
      <c r="U45" s="601">
        <v>108010850</v>
      </c>
      <c r="V45" s="601">
        <v>55653716</v>
      </c>
    </row>
    <row r="46" spans="2:22">
      <c r="B46" s="566"/>
      <c r="C46" s="567"/>
      <c r="D46" s="639" t="s">
        <v>1690</v>
      </c>
      <c r="E46" s="641" t="s">
        <v>1691</v>
      </c>
      <c r="F46" s="593"/>
      <c r="G46" s="620">
        <v>9444071</v>
      </c>
      <c r="H46" s="620">
        <v>8325234</v>
      </c>
      <c r="I46" s="620">
        <v>10904400</v>
      </c>
      <c r="J46" s="620">
        <v>11000248</v>
      </c>
      <c r="K46" s="620">
        <v>8930143</v>
      </c>
      <c r="L46" s="635"/>
      <c r="M46" s="629"/>
      <c r="O46" s="634"/>
      <c r="P46" s="624" t="s">
        <v>1711</v>
      </c>
      <c r="Q46" s="599" t="s">
        <v>1712</v>
      </c>
      <c r="R46" s="593">
        <v>122905000</v>
      </c>
      <c r="S46" s="593">
        <v>117650000</v>
      </c>
      <c r="T46" s="593">
        <v>133304000</v>
      </c>
      <c r="U46" s="601">
        <v>170954000</v>
      </c>
      <c r="V46" s="601">
        <v>133817728</v>
      </c>
    </row>
    <row r="47" spans="2:22">
      <c r="B47" s="566"/>
      <c r="C47" s="567"/>
      <c r="D47" s="639" t="s">
        <v>1692</v>
      </c>
      <c r="E47" s="567" t="s">
        <v>1713</v>
      </c>
      <c r="F47" s="593"/>
      <c r="G47" s="620">
        <v>0</v>
      </c>
      <c r="H47" s="620">
        <v>0</v>
      </c>
      <c r="I47" s="620">
        <v>0</v>
      </c>
      <c r="J47" s="620">
        <v>0</v>
      </c>
      <c r="K47" s="620">
        <v>0</v>
      </c>
      <c r="L47" s="635"/>
      <c r="M47" s="629"/>
      <c r="O47" s="642"/>
      <c r="P47" s="624" t="s">
        <v>1714</v>
      </c>
      <c r="Q47" s="643" t="s">
        <v>1715</v>
      </c>
      <c r="R47" s="593">
        <v>2408962</v>
      </c>
      <c r="S47" s="593">
        <v>2933839</v>
      </c>
      <c r="T47" s="593">
        <v>1340314</v>
      </c>
      <c r="U47" s="601">
        <v>1776304</v>
      </c>
      <c r="V47" s="601">
        <v>2405333</v>
      </c>
    </row>
    <row r="48" spans="2:22">
      <c r="B48" s="566"/>
      <c r="C48" s="567"/>
      <c r="D48" s="639" t="s">
        <v>1695</v>
      </c>
      <c r="E48" s="567" t="s">
        <v>1698</v>
      </c>
      <c r="F48" s="593"/>
      <c r="G48" s="620">
        <v>6053364</v>
      </c>
      <c r="H48" s="620">
        <v>4223176</v>
      </c>
      <c r="I48" s="620">
        <v>3613439</v>
      </c>
      <c r="J48" s="620">
        <v>3384520</v>
      </c>
      <c r="K48" s="620">
        <v>1971440</v>
      </c>
      <c r="L48" s="635"/>
      <c r="M48" s="629"/>
      <c r="O48" s="634"/>
      <c r="P48" s="624" t="s">
        <v>1716</v>
      </c>
      <c r="Q48" s="599" t="s">
        <v>1717</v>
      </c>
      <c r="R48" s="593">
        <v>0</v>
      </c>
      <c r="S48" s="593">
        <v>0</v>
      </c>
      <c r="T48" s="593">
        <v>0</v>
      </c>
      <c r="U48" s="601">
        <v>0</v>
      </c>
      <c r="V48" s="601">
        <v>0</v>
      </c>
    </row>
    <row r="49" spans="2:22">
      <c r="B49" s="566"/>
      <c r="C49" s="567"/>
      <c r="D49" s="639" t="s">
        <v>1697</v>
      </c>
      <c r="E49" s="567" t="s">
        <v>1700</v>
      </c>
      <c r="F49" s="593"/>
      <c r="G49" s="620">
        <v>24208</v>
      </c>
      <c r="H49" s="620">
        <v>31909</v>
      </c>
      <c r="I49" s="620">
        <v>0</v>
      </c>
      <c r="J49" s="620">
        <v>0</v>
      </c>
      <c r="K49" s="620">
        <v>0</v>
      </c>
      <c r="L49" s="635"/>
      <c r="M49" s="629"/>
      <c r="O49" s="642"/>
      <c r="P49" s="624" t="s">
        <v>1718</v>
      </c>
      <c r="Q49" s="643" t="s">
        <v>1719</v>
      </c>
      <c r="R49" s="593">
        <v>0</v>
      </c>
      <c r="S49" s="593">
        <v>0</v>
      </c>
      <c r="T49" s="593">
        <v>0</v>
      </c>
      <c r="U49" s="601">
        <v>0</v>
      </c>
      <c r="V49" s="601">
        <v>0</v>
      </c>
    </row>
    <row r="50" spans="2:22">
      <c r="B50" s="566"/>
      <c r="C50" s="567"/>
      <c r="D50" s="639" t="s">
        <v>1699</v>
      </c>
      <c r="E50" s="567" t="s">
        <v>1702</v>
      </c>
      <c r="F50" s="593"/>
      <c r="G50" s="620">
        <v>117858219</v>
      </c>
      <c r="H50" s="620">
        <v>140753275</v>
      </c>
      <c r="I50" s="620">
        <v>118602102</v>
      </c>
      <c r="J50" s="620">
        <v>103611582</v>
      </c>
      <c r="K50" s="620">
        <v>119294122</v>
      </c>
      <c r="L50" s="635"/>
      <c r="M50" s="629"/>
      <c r="O50" s="634"/>
      <c r="P50" s="624" t="s">
        <v>1720</v>
      </c>
      <c r="Q50" s="638" t="s">
        <v>1721</v>
      </c>
      <c r="R50" s="593">
        <v>0</v>
      </c>
      <c r="S50" s="593">
        <v>0</v>
      </c>
      <c r="T50" s="593">
        <v>0</v>
      </c>
      <c r="U50" s="601">
        <v>28222824</v>
      </c>
      <c r="V50" s="601">
        <v>22403153</v>
      </c>
    </row>
    <row r="51" spans="2:22">
      <c r="B51" s="566"/>
      <c r="C51" s="567"/>
      <c r="D51" s="639" t="s">
        <v>1701</v>
      </c>
      <c r="E51" s="567" t="s">
        <v>1706</v>
      </c>
      <c r="F51" s="593"/>
      <c r="G51" s="620">
        <v>57429210</v>
      </c>
      <c r="H51" s="620">
        <v>67352990</v>
      </c>
      <c r="I51" s="620">
        <v>64913595</v>
      </c>
      <c r="J51" s="620">
        <v>52939173</v>
      </c>
      <c r="K51" s="620">
        <v>63686550</v>
      </c>
      <c r="L51" s="635"/>
      <c r="M51" s="629"/>
      <c r="O51" s="634"/>
      <c r="P51" s="624" t="s">
        <v>1722</v>
      </c>
      <c r="Q51" s="599" t="s">
        <v>1723</v>
      </c>
      <c r="R51" s="593">
        <v>0</v>
      </c>
      <c r="S51" s="593">
        <v>0</v>
      </c>
      <c r="T51" s="593">
        <v>0</v>
      </c>
      <c r="U51" s="601">
        <v>0</v>
      </c>
      <c r="V51" s="601">
        <v>0</v>
      </c>
    </row>
    <row r="52" spans="2:22">
      <c r="B52" s="566"/>
      <c r="C52" s="567"/>
      <c r="D52" s="639" t="s">
        <v>1703</v>
      </c>
      <c r="E52" s="567" t="s">
        <v>1708</v>
      </c>
      <c r="F52" s="593"/>
      <c r="G52" s="620">
        <v>95404690</v>
      </c>
      <c r="H52" s="620">
        <v>143649842</v>
      </c>
      <c r="I52" s="620">
        <v>106781068</v>
      </c>
      <c r="J52" s="620">
        <v>86657998</v>
      </c>
      <c r="K52" s="620">
        <v>308434538</v>
      </c>
      <c r="L52" s="635"/>
      <c r="M52" s="629"/>
      <c r="O52" s="634"/>
      <c r="P52" s="624"/>
      <c r="Q52" s="599"/>
      <c r="R52" s="593"/>
      <c r="S52" s="593"/>
      <c r="T52" s="593"/>
      <c r="U52" s="601"/>
      <c r="V52" s="601"/>
    </row>
    <row r="53" spans="2:22">
      <c r="B53" s="566"/>
      <c r="C53" s="567"/>
      <c r="D53" s="639" t="s">
        <v>1705</v>
      </c>
      <c r="E53" s="567" t="s">
        <v>1724</v>
      </c>
      <c r="F53" s="593"/>
      <c r="G53" s="620">
        <v>1653687</v>
      </c>
      <c r="H53" s="620">
        <v>8037225</v>
      </c>
      <c r="I53" s="620">
        <v>6547241</v>
      </c>
      <c r="J53" s="620">
        <v>8963140</v>
      </c>
      <c r="K53" s="620">
        <v>6303347</v>
      </c>
      <c r="L53" s="635"/>
      <c r="M53" s="629"/>
      <c r="O53" s="634" t="s">
        <v>1725</v>
      </c>
      <c r="P53" s="598" t="s">
        <v>1726</v>
      </c>
      <c r="Q53" s="644"/>
      <c r="R53" s="645">
        <v>212238253008</v>
      </c>
      <c r="S53" s="645">
        <v>203655042729.72043</v>
      </c>
      <c r="T53" s="645">
        <v>219880725718</v>
      </c>
      <c r="U53" s="646">
        <v>230451275442</v>
      </c>
      <c r="V53" s="646">
        <v>224690684573.83499</v>
      </c>
    </row>
    <row r="54" spans="2:22">
      <c r="B54" s="566"/>
      <c r="C54" s="567"/>
      <c r="D54" s="639" t="s">
        <v>1707</v>
      </c>
      <c r="E54" s="641" t="s">
        <v>1727</v>
      </c>
      <c r="F54" s="593"/>
      <c r="G54" s="620">
        <v>7781101</v>
      </c>
      <c r="H54" s="620">
        <v>10669919</v>
      </c>
      <c r="I54" s="620">
        <v>12789041</v>
      </c>
      <c r="J54" s="620">
        <v>13447740</v>
      </c>
      <c r="K54" s="620">
        <v>13321094</v>
      </c>
      <c r="L54" s="635"/>
      <c r="M54" s="629"/>
      <c r="O54" s="634" t="s">
        <v>1728</v>
      </c>
      <c r="P54" s="598" t="s">
        <v>1729</v>
      </c>
      <c r="Q54" s="644"/>
      <c r="R54" s="647">
        <v>14665444148</v>
      </c>
      <c r="S54" s="648">
        <v>12559441538</v>
      </c>
      <c r="T54" s="647">
        <v>3442412732</v>
      </c>
      <c r="U54" s="595">
        <v>5293982538</v>
      </c>
      <c r="V54" s="649">
        <v>10625181834</v>
      </c>
    </row>
    <row r="55" spans="2:22">
      <c r="B55" s="566"/>
      <c r="C55" s="567"/>
      <c r="D55" s="639" t="s">
        <v>1709</v>
      </c>
      <c r="E55" s="567" t="s">
        <v>1730</v>
      </c>
      <c r="F55" s="593"/>
      <c r="G55" s="620">
        <v>0</v>
      </c>
      <c r="H55" s="620">
        <v>0</v>
      </c>
      <c r="I55" s="620">
        <v>0</v>
      </c>
      <c r="J55" s="620">
        <v>0</v>
      </c>
      <c r="K55" s="620">
        <v>0</v>
      </c>
      <c r="L55" s="635"/>
      <c r="M55" s="629"/>
      <c r="O55" s="634" t="s">
        <v>1731</v>
      </c>
      <c r="P55" s="598" t="s">
        <v>1732</v>
      </c>
      <c r="Q55" s="644"/>
      <c r="R55" s="647">
        <v>21407560240</v>
      </c>
      <c r="S55" s="648">
        <v>19438485810.97287</v>
      </c>
      <c r="T55" s="647">
        <v>31648823385</v>
      </c>
      <c r="U55" s="595">
        <v>21957509435</v>
      </c>
      <c r="V55" s="649">
        <v>32500832037.112926</v>
      </c>
    </row>
    <row r="56" spans="2:22">
      <c r="B56" s="566"/>
      <c r="C56" s="567"/>
      <c r="D56" s="639" t="s">
        <v>1711</v>
      </c>
      <c r="E56" s="567" t="s">
        <v>1733</v>
      </c>
      <c r="F56" s="593"/>
      <c r="G56" s="620">
        <v>15443800</v>
      </c>
      <c r="H56" s="620">
        <v>8753464</v>
      </c>
      <c r="I56" s="620">
        <v>9577155</v>
      </c>
      <c r="J56" s="620">
        <v>3231545</v>
      </c>
      <c r="K56" s="620">
        <v>7255665</v>
      </c>
      <c r="L56" s="635"/>
      <c r="M56" s="629"/>
      <c r="O56" s="634" t="s">
        <v>1734</v>
      </c>
      <c r="P56" s="598" t="s">
        <v>1735</v>
      </c>
      <c r="Q56" s="644"/>
      <c r="R56" s="645">
        <v>248311257396</v>
      </c>
      <c r="S56" s="645">
        <v>235652970078.6933</v>
      </c>
      <c r="T56" s="645">
        <v>254971961835</v>
      </c>
      <c r="U56" s="646">
        <v>257702767415</v>
      </c>
      <c r="V56" s="646">
        <v>267816698444.94791</v>
      </c>
    </row>
    <row r="57" spans="2:22">
      <c r="B57" s="566"/>
      <c r="C57" s="567"/>
      <c r="D57" s="639" t="s">
        <v>1714</v>
      </c>
      <c r="E57" s="567" t="s">
        <v>1736</v>
      </c>
      <c r="F57" s="593"/>
      <c r="G57" s="620">
        <v>9489077</v>
      </c>
      <c r="H57" s="620">
        <v>15055242</v>
      </c>
      <c r="I57" s="620">
        <v>8329670</v>
      </c>
      <c r="J57" s="620">
        <v>4020797</v>
      </c>
      <c r="K57" s="620">
        <v>1088329</v>
      </c>
      <c r="L57" s="635"/>
      <c r="M57" s="629"/>
      <c r="O57" s="597" t="s">
        <v>1737</v>
      </c>
      <c r="P57" s="598" t="s">
        <v>1634</v>
      </c>
      <c r="Q57" s="644"/>
      <c r="R57" s="647">
        <v>4785132376</v>
      </c>
      <c r="S57" s="648">
        <v>6714735271.5394897</v>
      </c>
      <c r="T57" s="647">
        <v>29249057256</v>
      </c>
      <c r="U57" s="595">
        <v>25741448660</v>
      </c>
      <c r="V57" s="649">
        <v>21820384390.154137</v>
      </c>
    </row>
    <row r="58" spans="2:22">
      <c r="B58" s="566"/>
      <c r="C58" s="567"/>
      <c r="D58" s="639" t="s">
        <v>1716</v>
      </c>
      <c r="E58" s="567" t="s">
        <v>1738</v>
      </c>
      <c r="F58" s="593"/>
      <c r="G58" s="620">
        <v>0</v>
      </c>
      <c r="H58" s="620">
        <v>0</v>
      </c>
      <c r="I58" s="620">
        <v>0</v>
      </c>
      <c r="J58" s="620">
        <v>0</v>
      </c>
      <c r="K58" s="620">
        <v>0</v>
      </c>
      <c r="L58" s="635"/>
      <c r="M58" s="629"/>
      <c r="O58" s="634" t="s">
        <v>1739</v>
      </c>
      <c r="P58" s="598" t="s">
        <v>1740</v>
      </c>
      <c r="Q58" s="644"/>
      <c r="R58" s="647">
        <v>12559441538</v>
      </c>
      <c r="S58" s="648">
        <v>3442412732.2752738</v>
      </c>
      <c r="T58" s="647">
        <v>5293982538</v>
      </c>
      <c r="U58" s="595">
        <v>10625181834</v>
      </c>
      <c r="V58" s="650">
        <v>7848315410.6440706</v>
      </c>
    </row>
    <row r="59" spans="2:22">
      <c r="B59" s="566"/>
      <c r="C59" s="567"/>
      <c r="D59" s="639" t="s">
        <v>1718</v>
      </c>
      <c r="E59" s="567" t="s">
        <v>1693</v>
      </c>
      <c r="F59" s="593"/>
      <c r="G59" s="620">
        <v>9521205</v>
      </c>
      <c r="H59" s="620">
        <v>1197387</v>
      </c>
      <c r="I59" s="620">
        <v>2979259</v>
      </c>
      <c r="J59" s="620">
        <v>0</v>
      </c>
      <c r="K59" s="620">
        <v>437590</v>
      </c>
      <c r="L59" s="635"/>
      <c r="M59" s="629"/>
      <c r="O59" s="634" t="s">
        <v>1741</v>
      </c>
      <c r="P59" s="598" t="s">
        <v>1742</v>
      </c>
      <c r="Q59" s="644"/>
      <c r="R59" s="649">
        <v>-180432557</v>
      </c>
      <c r="S59" s="649">
        <v>-144362192</v>
      </c>
      <c r="T59" s="649">
        <v>-80673198</v>
      </c>
      <c r="U59" s="649">
        <v>-73264743</v>
      </c>
      <c r="V59" s="649">
        <v>0</v>
      </c>
    </row>
    <row r="60" spans="2:22">
      <c r="B60" s="566"/>
      <c r="C60" s="567"/>
      <c r="D60" s="639" t="s">
        <v>1720</v>
      </c>
      <c r="E60" s="641" t="s">
        <v>1721</v>
      </c>
      <c r="F60" s="567"/>
      <c r="G60" s="620">
        <v>0</v>
      </c>
      <c r="H60" s="620">
        <v>0</v>
      </c>
      <c r="I60" s="620">
        <v>0</v>
      </c>
      <c r="J60" s="620">
        <v>39508559</v>
      </c>
      <c r="K60" s="620">
        <v>40541807</v>
      </c>
      <c r="L60" s="635"/>
      <c r="M60" s="629"/>
      <c r="O60" s="651" t="s">
        <v>1743</v>
      </c>
      <c r="P60" s="652" t="s">
        <v>1744</v>
      </c>
      <c r="Q60" s="653"/>
      <c r="R60" s="654">
        <v>230966683482</v>
      </c>
      <c r="S60" s="654">
        <v>225495822074.87854</v>
      </c>
      <c r="T60" s="654">
        <v>220428922041</v>
      </c>
      <c r="U60" s="655">
        <v>221336136921</v>
      </c>
      <c r="V60" s="655">
        <v>238147998644.14969</v>
      </c>
    </row>
    <row r="61" spans="2:22">
      <c r="B61" s="566"/>
      <c r="C61" s="567"/>
      <c r="D61" s="639" t="s">
        <v>1722</v>
      </c>
      <c r="E61" s="567" t="s">
        <v>1745</v>
      </c>
      <c r="F61" s="593"/>
      <c r="G61" s="620">
        <v>0</v>
      </c>
      <c r="H61" s="620">
        <v>0</v>
      </c>
      <c r="I61" s="620">
        <v>0</v>
      </c>
      <c r="J61" s="620">
        <v>0</v>
      </c>
      <c r="K61" s="620">
        <v>0</v>
      </c>
      <c r="L61" s="635"/>
      <c r="M61" s="629"/>
      <c r="O61" s="362"/>
      <c r="P61" s="362"/>
      <c r="Q61" s="362"/>
      <c r="S61" s="3" t="b">
        <f>ROUND(S60,)=ROUND(Backdata_Torecom!H18,)</f>
        <v>1</v>
      </c>
      <c r="T61" s="3" t="b">
        <f>ROUND(T60,)=ROUND(Backdata_Torecom!I18,)</f>
        <v>1</v>
      </c>
      <c r="U61" s="3" t="b">
        <f>ROUND(U60,)=ROUND(Backdata_Torecom!J18,)</f>
        <v>1</v>
      </c>
      <c r="V61" s="3" t="b">
        <f>ROUND(V60,)=ROUND(Backdata_Torecom!K18,)</f>
        <v>1</v>
      </c>
    </row>
    <row r="62" spans="2:22">
      <c r="B62" s="566"/>
      <c r="C62" s="567"/>
      <c r="D62" s="639" t="s">
        <v>1746</v>
      </c>
      <c r="E62" s="567" t="s">
        <v>1747</v>
      </c>
      <c r="F62" s="593"/>
      <c r="G62" s="620">
        <v>8137993</v>
      </c>
      <c r="H62" s="620">
        <v>6865082</v>
      </c>
      <c r="I62" s="620">
        <v>9539604</v>
      </c>
      <c r="J62" s="620">
        <v>5508461</v>
      </c>
      <c r="K62" s="620">
        <v>10279457</v>
      </c>
      <c r="L62" s="635"/>
      <c r="M62" s="629"/>
      <c r="T62" s="248"/>
    </row>
    <row r="63" spans="2:22">
      <c r="B63" s="566"/>
      <c r="C63" s="567"/>
      <c r="D63" s="610"/>
      <c r="E63" s="610"/>
      <c r="F63" s="610"/>
      <c r="G63" s="620"/>
      <c r="H63" s="620"/>
      <c r="I63" s="620"/>
      <c r="J63" s="620"/>
      <c r="K63" s="620"/>
      <c r="L63" s="635"/>
      <c r="M63" s="629"/>
    </row>
    <row r="64" spans="2:22">
      <c r="B64" s="583"/>
      <c r="C64" s="584" t="s">
        <v>1748</v>
      </c>
      <c r="D64" s="584" t="s">
        <v>1749</v>
      </c>
      <c r="E64" s="584"/>
      <c r="F64" s="584"/>
      <c r="G64" s="614">
        <v>8429449171</v>
      </c>
      <c r="H64" s="614">
        <v>5374841293</v>
      </c>
      <c r="I64" s="614">
        <v>3127405576</v>
      </c>
      <c r="J64" s="614">
        <v>3623095325</v>
      </c>
      <c r="K64" s="614">
        <v>510112146</v>
      </c>
      <c r="L64" s="614"/>
      <c r="M64" s="615"/>
    </row>
    <row r="65" spans="2:19">
      <c r="B65" s="566"/>
      <c r="C65" s="567"/>
      <c r="D65" s="639" t="s">
        <v>1647</v>
      </c>
      <c r="E65" s="567" t="s">
        <v>1750</v>
      </c>
      <c r="F65" s="593"/>
      <c r="G65" s="620">
        <v>504538929</v>
      </c>
      <c r="H65" s="620">
        <v>286428720</v>
      </c>
      <c r="I65" s="620">
        <v>428851261</v>
      </c>
      <c r="J65" s="620">
        <v>572776820</v>
      </c>
      <c r="K65" s="620">
        <v>465169941</v>
      </c>
      <c r="L65" s="635"/>
      <c r="M65" s="629"/>
    </row>
    <row r="66" spans="2:19">
      <c r="B66" s="566"/>
      <c r="C66" s="567"/>
      <c r="D66" s="639" t="s">
        <v>1650</v>
      </c>
      <c r="E66" s="567" t="s">
        <v>1751</v>
      </c>
      <c r="F66" s="593"/>
      <c r="G66" s="620">
        <v>25164660</v>
      </c>
      <c r="H66" s="620">
        <v>754456</v>
      </c>
      <c r="I66" s="620">
        <v>1534673</v>
      </c>
      <c r="J66" s="620">
        <v>1460656</v>
      </c>
      <c r="K66" s="620">
        <v>14627813</v>
      </c>
      <c r="L66" s="635"/>
      <c r="M66" s="629"/>
      <c r="Q66" s="3" t="s">
        <v>3256</v>
      </c>
    </row>
    <row r="67" spans="2:19">
      <c r="B67" s="566"/>
      <c r="C67" s="567"/>
      <c r="D67" s="639" t="s">
        <v>1629</v>
      </c>
      <c r="E67" s="567" t="s">
        <v>1752</v>
      </c>
      <c r="F67" s="593"/>
      <c r="G67" s="620">
        <v>7760000</v>
      </c>
      <c r="H67" s="620">
        <v>1730000</v>
      </c>
      <c r="I67" s="620">
        <v>13810000</v>
      </c>
      <c r="J67" s="620">
        <v>5080000</v>
      </c>
      <c r="K67" s="620">
        <v>5400000</v>
      </c>
      <c r="L67" s="635"/>
      <c r="M67" s="629"/>
      <c r="Q67" s="771" t="s">
        <v>1925</v>
      </c>
      <c r="R67" s="1"/>
      <c r="S67" s="1"/>
    </row>
    <row r="68" spans="2:19">
      <c r="B68" s="566"/>
      <c r="C68" s="567"/>
      <c r="D68" s="639" t="s">
        <v>1633</v>
      </c>
      <c r="E68" s="567" t="s">
        <v>1753</v>
      </c>
      <c r="F68" s="593"/>
      <c r="G68" s="620">
        <v>6269343</v>
      </c>
      <c r="H68" s="620">
        <v>3269727</v>
      </c>
      <c r="I68" s="620">
        <v>0</v>
      </c>
      <c r="J68" s="620">
        <v>3493205</v>
      </c>
      <c r="K68" s="620">
        <v>19513409</v>
      </c>
      <c r="L68" s="635"/>
      <c r="M68" s="629"/>
      <c r="Q68" s="773" t="s">
        <v>3240</v>
      </c>
      <c r="R68" s="774">
        <v>2020</v>
      </c>
      <c r="S68" s="775">
        <v>2019</v>
      </c>
    </row>
    <row r="69" spans="2:19">
      <c r="B69" s="566"/>
      <c r="C69" s="567"/>
      <c r="D69" s="639" t="s">
        <v>1636</v>
      </c>
      <c r="E69" s="567" t="s">
        <v>1754</v>
      </c>
      <c r="F69" s="593"/>
      <c r="G69" s="620">
        <v>0</v>
      </c>
      <c r="H69" s="620">
        <v>0</v>
      </c>
      <c r="I69" s="620">
        <v>0</v>
      </c>
      <c r="J69" s="620">
        <v>0</v>
      </c>
      <c r="K69" s="620">
        <v>0</v>
      </c>
      <c r="L69" s="635"/>
      <c r="M69" s="629"/>
      <c r="Q69" s="779" t="s">
        <v>1410</v>
      </c>
      <c r="R69" s="786">
        <v>1729300</v>
      </c>
      <c r="S69" s="782" t="s">
        <v>3241</v>
      </c>
    </row>
    <row r="70" spans="2:19">
      <c r="B70" s="566"/>
      <c r="C70" s="567"/>
      <c r="D70" s="639" t="s">
        <v>1675</v>
      </c>
      <c r="E70" s="567" t="s">
        <v>1755</v>
      </c>
      <c r="F70" s="593"/>
      <c r="G70" s="620">
        <v>0</v>
      </c>
      <c r="H70" s="620">
        <v>0</v>
      </c>
      <c r="I70" s="620">
        <v>0</v>
      </c>
      <c r="J70" s="620">
        <v>14000000</v>
      </c>
      <c r="K70" s="620">
        <v>0</v>
      </c>
      <c r="L70" s="635"/>
      <c r="M70" s="629"/>
      <c r="Q70" s="779" t="s">
        <v>1378</v>
      </c>
      <c r="R70" s="786">
        <v>137393</v>
      </c>
      <c r="S70" s="782" t="s">
        <v>3242</v>
      </c>
    </row>
    <row r="71" spans="2:19">
      <c r="B71" s="566"/>
      <c r="C71" s="567"/>
      <c r="D71" s="639" t="s">
        <v>1677</v>
      </c>
      <c r="E71" s="567" t="s">
        <v>1756</v>
      </c>
      <c r="F71" s="593"/>
      <c r="G71" s="620">
        <v>0</v>
      </c>
      <c r="H71" s="620">
        <v>0</v>
      </c>
      <c r="I71" s="620">
        <v>0</v>
      </c>
      <c r="J71" s="620">
        <v>0</v>
      </c>
      <c r="K71" s="620">
        <v>0</v>
      </c>
      <c r="L71" s="635"/>
      <c r="M71" s="629"/>
      <c r="Q71" s="779" t="s">
        <v>1388</v>
      </c>
      <c r="R71" s="786">
        <v>348838</v>
      </c>
      <c r="S71" s="782" t="s">
        <v>3243</v>
      </c>
    </row>
    <row r="72" spans="2:19">
      <c r="B72" s="566"/>
      <c r="C72" s="567"/>
      <c r="D72" s="639" t="s">
        <v>1681</v>
      </c>
      <c r="E72" s="567" t="s">
        <v>1757</v>
      </c>
      <c r="F72" s="593"/>
      <c r="G72" s="620">
        <v>0</v>
      </c>
      <c r="H72" s="620">
        <v>0</v>
      </c>
      <c r="I72" s="620">
        <v>0</v>
      </c>
      <c r="J72" s="620">
        <v>0</v>
      </c>
      <c r="K72" s="620">
        <v>0</v>
      </c>
      <c r="L72" s="635"/>
      <c r="M72" s="629"/>
      <c r="Q72" s="779" t="s">
        <v>1389</v>
      </c>
      <c r="R72" s="786">
        <v>75820</v>
      </c>
      <c r="S72" s="782" t="s">
        <v>3244</v>
      </c>
    </row>
    <row r="73" spans="2:19">
      <c r="B73" s="566"/>
      <c r="C73" s="567"/>
      <c r="D73" s="639" t="s">
        <v>1683</v>
      </c>
      <c r="E73" s="567" t="s">
        <v>1758</v>
      </c>
      <c r="F73" s="593"/>
      <c r="G73" s="620">
        <v>7240825212</v>
      </c>
      <c r="H73" s="620">
        <v>4806130121</v>
      </c>
      <c r="I73" s="620">
        <v>2505764840</v>
      </c>
      <c r="J73" s="620">
        <v>2792149992</v>
      </c>
      <c r="K73" s="620">
        <v>0</v>
      </c>
      <c r="L73" s="635"/>
      <c r="M73" s="629"/>
      <c r="Q73" s="779" t="s">
        <v>1395</v>
      </c>
      <c r="R73" s="786">
        <v>95078</v>
      </c>
      <c r="S73" s="782" t="s">
        <v>3245</v>
      </c>
    </row>
    <row r="74" spans="2:19">
      <c r="B74" s="566"/>
      <c r="C74" s="567"/>
      <c r="D74" s="639" t="s">
        <v>1687</v>
      </c>
      <c r="E74" s="567" t="s">
        <v>1759</v>
      </c>
      <c r="F74" s="593"/>
      <c r="G74" s="620">
        <v>464016729</v>
      </c>
      <c r="H74" s="620">
        <v>271917135</v>
      </c>
      <c r="I74" s="620">
        <v>136421539</v>
      </c>
      <c r="J74" s="620">
        <v>227003380</v>
      </c>
      <c r="K74" s="620">
        <v>0</v>
      </c>
      <c r="L74" s="635"/>
      <c r="M74" s="629"/>
      <c r="Q74" s="779" t="s">
        <v>2371</v>
      </c>
      <c r="R74" s="786">
        <v>4180</v>
      </c>
      <c r="S74" s="782" t="s">
        <v>3246</v>
      </c>
    </row>
    <row r="75" spans="2:19">
      <c r="B75" s="566"/>
      <c r="C75" s="567"/>
      <c r="D75" s="639" t="s">
        <v>1690</v>
      </c>
      <c r="E75" s="567" t="s">
        <v>1760</v>
      </c>
      <c r="F75" s="593"/>
      <c r="G75" s="620">
        <v>180874298</v>
      </c>
      <c r="H75" s="620">
        <v>4611134</v>
      </c>
      <c r="I75" s="620">
        <v>41023263</v>
      </c>
      <c r="J75" s="620">
        <v>7131272</v>
      </c>
      <c r="K75" s="620">
        <v>5400983</v>
      </c>
      <c r="L75" s="635"/>
      <c r="M75" s="629"/>
      <c r="Q75" s="779" t="s">
        <v>1380</v>
      </c>
      <c r="R75" s="786">
        <v>79462</v>
      </c>
      <c r="S75" s="782" t="s">
        <v>3247</v>
      </c>
    </row>
    <row r="76" spans="2:19">
      <c r="B76" s="566"/>
      <c r="C76" s="567"/>
      <c r="D76" s="639"/>
      <c r="E76" s="610"/>
      <c r="F76" s="610"/>
      <c r="G76" s="620"/>
      <c r="H76" s="620"/>
      <c r="I76" s="620"/>
      <c r="J76" s="620"/>
      <c r="K76" s="620"/>
      <c r="L76" s="635"/>
      <c r="M76" s="629"/>
      <c r="Q76" s="779" t="s">
        <v>1391</v>
      </c>
      <c r="R76" s="786">
        <v>460547</v>
      </c>
      <c r="S76" s="782" t="s">
        <v>3248</v>
      </c>
    </row>
    <row r="77" spans="2:19">
      <c r="B77" s="583"/>
      <c r="C77" s="656" t="s">
        <v>1734</v>
      </c>
      <c r="D77" s="584" t="s">
        <v>1761</v>
      </c>
      <c r="E77" s="584"/>
      <c r="F77" s="584"/>
      <c r="G77" s="614">
        <v>10891728427</v>
      </c>
      <c r="H77" s="614">
        <v>6078393462</v>
      </c>
      <c r="I77" s="614">
        <v>4472058471</v>
      </c>
      <c r="J77" s="614">
        <v>9695361675</v>
      </c>
      <c r="K77" s="614">
        <v>815548356</v>
      </c>
      <c r="L77" s="614"/>
      <c r="M77" s="615"/>
      <c r="Q77" s="779" t="s">
        <v>1381</v>
      </c>
      <c r="R77" s="786">
        <v>11958</v>
      </c>
      <c r="S77" s="782" t="s">
        <v>3249</v>
      </c>
    </row>
    <row r="78" spans="2:19">
      <c r="B78" s="566"/>
      <c r="C78" s="567"/>
      <c r="D78" s="639" t="s">
        <v>1647</v>
      </c>
      <c r="E78" s="567" t="s">
        <v>1762</v>
      </c>
      <c r="F78" s="593"/>
      <c r="G78" s="594">
        <v>568093748</v>
      </c>
      <c r="H78" s="620">
        <v>503868617</v>
      </c>
      <c r="I78" s="594">
        <v>324777402</v>
      </c>
      <c r="J78" s="620">
        <v>287116361</v>
      </c>
      <c r="K78" s="620">
        <v>744514779</v>
      </c>
      <c r="L78" s="635"/>
      <c r="M78" s="629"/>
      <c r="Q78" s="779" t="s">
        <v>1401</v>
      </c>
      <c r="R78" s="786">
        <v>19143</v>
      </c>
      <c r="S78" s="782" t="s">
        <v>3250</v>
      </c>
    </row>
    <row r="79" spans="2:19">
      <c r="B79" s="566"/>
      <c r="C79" s="567"/>
      <c r="D79" s="639" t="s">
        <v>1650</v>
      </c>
      <c r="E79" s="567" t="s">
        <v>1763</v>
      </c>
      <c r="F79" s="593"/>
      <c r="G79" s="594">
        <v>0</v>
      </c>
      <c r="H79" s="620">
        <v>34355267</v>
      </c>
      <c r="I79" s="594">
        <v>22891603</v>
      </c>
      <c r="J79" s="620">
        <v>20255638</v>
      </c>
      <c r="K79" s="620">
        <v>50689671</v>
      </c>
      <c r="L79" s="635"/>
      <c r="M79" s="629"/>
      <c r="Q79" s="779" t="s">
        <v>2703</v>
      </c>
      <c r="R79" s="781">
        <v>350</v>
      </c>
      <c r="S79" s="782" t="s">
        <v>3251</v>
      </c>
    </row>
    <row r="80" spans="2:19">
      <c r="B80" s="566"/>
      <c r="C80" s="567"/>
      <c r="D80" s="639" t="s">
        <v>1629</v>
      </c>
      <c r="E80" s="567" t="s">
        <v>1764</v>
      </c>
      <c r="F80" s="593"/>
      <c r="G80" s="594">
        <v>0</v>
      </c>
      <c r="H80" s="620">
        <v>0</v>
      </c>
      <c r="I80" s="594">
        <v>0</v>
      </c>
      <c r="J80" s="620">
        <v>0</v>
      </c>
      <c r="K80" s="620">
        <v>0</v>
      </c>
      <c r="L80" s="635"/>
      <c r="M80" s="629"/>
      <c r="Q80" s="779" t="s">
        <v>1398</v>
      </c>
      <c r="R80" s="786">
        <v>9187</v>
      </c>
      <c r="S80" s="782" t="s">
        <v>3252</v>
      </c>
    </row>
    <row r="81" spans="2:19">
      <c r="B81" s="566"/>
      <c r="C81" s="567"/>
      <c r="D81" s="639" t="s">
        <v>1633</v>
      </c>
      <c r="E81" s="567" t="s">
        <v>1765</v>
      </c>
      <c r="F81" s="593"/>
      <c r="G81" s="594">
        <v>373843772</v>
      </c>
      <c r="H81" s="620">
        <v>10493213</v>
      </c>
      <c r="I81" s="594">
        <v>18819357</v>
      </c>
      <c r="J81" s="620">
        <v>32724383</v>
      </c>
      <c r="K81" s="620">
        <v>1149786</v>
      </c>
      <c r="L81" s="635"/>
      <c r="M81" s="629"/>
      <c r="Q81" s="779" t="s">
        <v>246</v>
      </c>
      <c r="R81" s="786">
        <v>301317</v>
      </c>
      <c r="S81" s="782" t="s">
        <v>3253</v>
      </c>
    </row>
    <row r="82" spans="2:19">
      <c r="B82" s="566"/>
      <c r="C82" s="567"/>
      <c r="D82" s="639" t="s">
        <v>1636</v>
      </c>
      <c r="E82" s="567" t="s">
        <v>1766</v>
      </c>
      <c r="F82" s="593"/>
      <c r="G82" s="594">
        <v>0</v>
      </c>
      <c r="H82" s="620">
        <v>0</v>
      </c>
      <c r="I82" s="594">
        <v>0</v>
      </c>
      <c r="J82" s="620">
        <v>0</v>
      </c>
      <c r="K82" s="620">
        <v>0</v>
      </c>
      <c r="L82" s="635"/>
      <c r="M82" s="629"/>
      <c r="Q82" s="1915" t="s">
        <v>3254</v>
      </c>
      <c r="R82" s="1916">
        <v>3272573</v>
      </c>
      <c r="S82" s="1046" t="s">
        <v>3255</v>
      </c>
    </row>
    <row r="83" spans="2:19">
      <c r="B83" s="566"/>
      <c r="C83" s="567"/>
      <c r="D83" s="639" t="s">
        <v>1675</v>
      </c>
      <c r="E83" s="567" t="s">
        <v>1767</v>
      </c>
      <c r="F83" s="593"/>
      <c r="G83" s="594">
        <v>3649123</v>
      </c>
      <c r="H83" s="620">
        <v>3139291</v>
      </c>
      <c r="I83" s="594">
        <v>7054408</v>
      </c>
      <c r="J83" s="620">
        <v>22508746</v>
      </c>
      <c r="K83" s="620">
        <v>10485647</v>
      </c>
      <c r="L83" s="635"/>
      <c r="M83" s="629"/>
    </row>
    <row r="84" spans="2:19">
      <c r="B84" s="566"/>
      <c r="C84" s="567"/>
      <c r="D84" s="639" t="s">
        <v>1677</v>
      </c>
      <c r="E84" s="567" t="s">
        <v>1768</v>
      </c>
      <c r="F84" s="593"/>
      <c r="G84" s="594">
        <v>0</v>
      </c>
      <c r="H84" s="620">
        <v>0</v>
      </c>
      <c r="I84" s="594">
        <v>0</v>
      </c>
      <c r="J84" s="620">
        <v>0</v>
      </c>
      <c r="K84" s="620">
        <v>0</v>
      </c>
      <c r="L84" s="635"/>
      <c r="M84" s="629"/>
    </row>
    <row r="85" spans="2:19">
      <c r="B85" s="566"/>
      <c r="C85" s="567"/>
      <c r="D85" s="639" t="s">
        <v>1681</v>
      </c>
      <c r="E85" s="567" t="s">
        <v>1769</v>
      </c>
      <c r="F85" s="593"/>
      <c r="G85" s="594">
        <v>0</v>
      </c>
      <c r="H85" s="620">
        <v>0</v>
      </c>
      <c r="I85" s="594">
        <v>30000000</v>
      </c>
      <c r="J85" s="620">
        <v>0</v>
      </c>
      <c r="K85" s="620">
        <v>0</v>
      </c>
      <c r="L85" s="635"/>
      <c r="M85" s="629"/>
    </row>
    <row r="86" spans="2:19">
      <c r="B86" s="566"/>
      <c r="C86" s="567"/>
      <c r="D86" s="639" t="s">
        <v>1683</v>
      </c>
      <c r="E86" s="567" t="s">
        <v>1770</v>
      </c>
      <c r="F86" s="593"/>
      <c r="G86" s="594">
        <v>0</v>
      </c>
      <c r="H86" s="620">
        <v>0</v>
      </c>
      <c r="I86" s="594">
        <v>0</v>
      </c>
      <c r="J86" s="620">
        <v>0</v>
      </c>
      <c r="K86" s="620">
        <v>0</v>
      </c>
      <c r="L86" s="635"/>
      <c r="M86" s="629"/>
    </row>
    <row r="87" spans="2:19">
      <c r="B87" s="566"/>
      <c r="C87" s="567"/>
      <c r="D87" s="639" t="s">
        <v>1687</v>
      </c>
      <c r="E87" s="567" t="s">
        <v>1771</v>
      </c>
      <c r="F87" s="593"/>
      <c r="G87" s="594">
        <v>0</v>
      </c>
      <c r="H87" s="620">
        <v>0</v>
      </c>
      <c r="I87" s="594">
        <v>0</v>
      </c>
      <c r="J87" s="620">
        <v>0</v>
      </c>
      <c r="K87" s="620">
        <v>0</v>
      </c>
      <c r="L87" s="635"/>
      <c r="M87" s="629"/>
    </row>
    <row r="88" spans="2:19">
      <c r="B88" s="566"/>
      <c r="C88" s="567"/>
      <c r="D88" s="639" t="s">
        <v>1690</v>
      </c>
      <c r="E88" s="567" t="s">
        <v>1772</v>
      </c>
      <c r="F88" s="593"/>
      <c r="G88" s="594">
        <v>0</v>
      </c>
      <c r="H88" s="620">
        <v>0</v>
      </c>
      <c r="I88" s="594">
        <v>0</v>
      </c>
      <c r="J88" s="620">
        <v>0</v>
      </c>
      <c r="K88" s="620">
        <v>0</v>
      </c>
      <c r="L88" s="635"/>
      <c r="M88" s="629"/>
    </row>
    <row r="89" spans="2:19">
      <c r="B89" s="566"/>
      <c r="C89" s="567"/>
      <c r="D89" s="639" t="s">
        <v>1692</v>
      </c>
      <c r="E89" s="567" t="s">
        <v>1773</v>
      </c>
      <c r="F89" s="593"/>
      <c r="G89" s="594">
        <v>0</v>
      </c>
      <c r="H89" s="620">
        <v>0</v>
      </c>
      <c r="I89" s="594">
        <v>0</v>
      </c>
      <c r="J89" s="620">
        <v>0</v>
      </c>
      <c r="K89" s="620">
        <v>0</v>
      </c>
      <c r="L89" s="635"/>
      <c r="M89" s="629"/>
    </row>
    <row r="90" spans="2:19">
      <c r="B90" s="566"/>
      <c r="C90" s="567"/>
      <c r="D90" s="639" t="s">
        <v>1695</v>
      </c>
      <c r="E90" s="567" t="s">
        <v>1774</v>
      </c>
      <c r="F90" s="593"/>
      <c r="G90" s="594">
        <v>312752542</v>
      </c>
      <c r="H90" s="620">
        <v>235093327</v>
      </c>
      <c r="I90" s="594">
        <v>0</v>
      </c>
      <c r="J90" s="620">
        <v>2371652179</v>
      </c>
      <c r="K90" s="620">
        <v>0</v>
      </c>
      <c r="L90" s="635"/>
      <c r="M90" s="629"/>
    </row>
    <row r="91" spans="2:19">
      <c r="B91" s="566"/>
      <c r="C91" s="567"/>
      <c r="D91" s="639" t="s">
        <v>1697</v>
      </c>
      <c r="E91" s="567" t="s">
        <v>1775</v>
      </c>
      <c r="F91" s="593"/>
      <c r="G91" s="594">
        <v>9052639563</v>
      </c>
      <c r="H91" s="620">
        <v>4868194479</v>
      </c>
      <c r="I91" s="594">
        <v>3399779804</v>
      </c>
      <c r="J91" s="620">
        <v>6258564658</v>
      </c>
      <c r="K91" s="620">
        <v>0</v>
      </c>
      <c r="L91" s="635"/>
      <c r="M91" s="629"/>
    </row>
    <row r="92" spans="2:19">
      <c r="B92" s="566"/>
      <c r="C92" s="567"/>
      <c r="D92" s="639" t="s">
        <v>1699</v>
      </c>
      <c r="E92" s="567" t="s">
        <v>1776</v>
      </c>
      <c r="F92" s="593"/>
      <c r="G92" s="594">
        <v>580748941</v>
      </c>
      <c r="H92" s="620">
        <v>422049047</v>
      </c>
      <c r="I92" s="594">
        <v>668472455</v>
      </c>
      <c r="J92" s="620">
        <v>699313268</v>
      </c>
      <c r="K92" s="620">
        <v>0</v>
      </c>
      <c r="L92" s="635"/>
      <c r="M92" s="629"/>
    </row>
    <row r="93" spans="2:19">
      <c r="B93" s="566"/>
      <c r="C93" s="567"/>
      <c r="D93" s="639" t="s">
        <v>1701</v>
      </c>
      <c r="E93" s="567" t="s">
        <v>1777</v>
      </c>
      <c r="F93" s="593"/>
      <c r="G93" s="594">
        <v>0</v>
      </c>
      <c r="H93" s="620">
        <v>0</v>
      </c>
      <c r="I93" s="594">
        <v>0</v>
      </c>
      <c r="J93" s="620">
        <v>0</v>
      </c>
      <c r="K93" s="620">
        <v>0</v>
      </c>
      <c r="L93" s="635"/>
      <c r="M93" s="629"/>
    </row>
    <row r="94" spans="2:19">
      <c r="B94" s="566"/>
      <c r="C94" s="567"/>
      <c r="D94" s="639" t="s">
        <v>1703</v>
      </c>
      <c r="E94" s="567" t="s">
        <v>1778</v>
      </c>
      <c r="F94" s="593"/>
      <c r="G94" s="594">
        <v>0</v>
      </c>
      <c r="H94" s="620">
        <v>0</v>
      </c>
      <c r="I94" s="594">
        <v>0</v>
      </c>
      <c r="J94" s="620">
        <v>0</v>
      </c>
      <c r="K94" s="620">
        <v>0</v>
      </c>
      <c r="L94" s="635"/>
      <c r="M94" s="629"/>
    </row>
    <row r="95" spans="2:19">
      <c r="B95" s="566"/>
      <c r="C95" s="567"/>
      <c r="D95" s="639" t="s">
        <v>1705</v>
      </c>
      <c r="E95" s="567" t="s">
        <v>1779</v>
      </c>
      <c r="F95" s="593"/>
      <c r="G95" s="594">
        <v>738</v>
      </c>
      <c r="H95" s="620">
        <v>1200221</v>
      </c>
      <c r="I95" s="594">
        <v>263442</v>
      </c>
      <c r="J95" s="620">
        <v>3226442</v>
      </c>
      <c r="K95" s="620">
        <v>8708473</v>
      </c>
      <c r="L95" s="635"/>
      <c r="M95" s="629"/>
    </row>
    <row r="96" spans="2:19">
      <c r="B96" s="566"/>
      <c r="C96" s="567"/>
      <c r="D96" s="639"/>
      <c r="E96" s="610"/>
      <c r="F96" s="610"/>
      <c r="G96" s="594"/>
      <c r="H96" s="594"/>
      <c r="I96" s="594"/>
      <c r="J96" s="594"/>
      <c r="K96" s="594"/>
      <c r="L96" s="595"/>
      <c r="M96" s="596"/>
    </row>
    <row r="97" spans="1:32">
      <c r="B97" s="566"/>
      <c r="C97" s="656" t="s">
        <v>1734</v>
      </c>
      <c r="D97" s="584" t="s">
        <v>1780</v>
      </c>
      <c r="E97" s="584"/>
      <c r="F97" s="584"/>
      <c r="G97" s="614">
        <v>1344608564</v>
      </c>
      <c r="H97" s="614">
        <v>3127837855.203064</v>
      </c>
      <c r="I97" s="614">
        <v>2746362598</v>
      </c>
      <c r="J97" s="614">
        <v>1802734422.2823792</v>
      </c>
      <c r="K97" s="614">
        <v>5051271017.5335388</v>
      </c>
      <c r="L97" s="614">
        <f>L102-L99+L100</f>
        <v>5575979425</v>
      </c>
      <c r="M97" s="615"/>
    </row>
    <row r="98" spans="1:32">
      <c r="B98" s="566"/>
      <c r="C98" s="567"/>
      <c r="D98" s="639"/>
      <c r="E98" s="610"/>
      <c r="F98" s="610"/>
      <c r="G98" s="594"/>
      <c r="H98" s="594"/>
      <c r="I98" s="594"/>
      <c r="J98" s="594"/>
      <c r="K98" s="594"/>
      <c r="L98" s="595"/>
      <c r="M98" s="596"/>
    </row>
    <row r="99" spans="1:32">
      <c r="B99" s="566"/>
      <c r="C99" s="567"/>
      <c r="D99" s="616" t="s">
        <v>1623</v>
      </c>
      <c r="E99" s="567" t="s">
        <v>1781</v>
      </c>
      <c r="F99" s="593"/>
      <c r="G99" s="594">
        <v>13865210</v>
      </c>
      <c r="H99" s="620">
        <v>19548439</v>
      </c>
      <c r="I99" s="594">
        <v>28643462</v>
      </c>
      <c r="J99" s="620">
        <v>1403370</v>
      </c>
      <c r="K99" s="620">
        <v>362292</v>
      </c>
      <c r="L99" s="635">
        <v>664762</v>
      </c>
      <c r="M99" s="629"/>
    </row>
    <row r="100" spans="1:32">
      <c r="B100" s="566"/>
      <c r="C100" s="567"/>
      <c r="D100" s="616" t="s">
        <v>1627</v>
      </c>
      <c r="E100" s="567" t="s">
        <v>1782</v>
      </c>
      <c r="F100" s="593"/>
      <c r="G100" s="620">
        <v>853416356</v>
      </c>
      <c r="H100" s="620">
        <v>722460028</v>
      </c>
      <c r="I100" s="620">
        <v>502253691</v>
      </c>
      <c r="J100" s="620">
        <v>363393602</v>
      </c>
      <c r="K100" s="620">
        <v>253808328</v>
      </c>
      <c r="L100" s="635">
        <v>308844297</v>
      </c>
      <c r="M100" s="629"/>
    </row>
    <row r="101" spans="1:32">
      <c r="B101" s="566"/>
      <c r="C101" s="567"/>
      <c r="D101" s="603"/>
      <c r="E101" s="610"/>
      <c r="F101" s="610"/>
      <c r="G101" s="620"/>
      <c r="H101" s="620"/>
      <c r="I101" s="620"/>
      <c r="J101" s="620"/>
      <c r="K101" s="620"/>
      <c r="L101" s="635"/>
      <c r="M101" s="629"/>
    </row>
    <row r="102" spans="1:32">
      <c r="B102" s="583"/>
      <c r="C102" s="584" t="s">
        <v>1783</v>
      </c>
      <c r="D102" s="584" t="s">
        <v>1784</v>
      </c>
      <c r="E102" s="657"/>
      <c r="F102" s="658"/>
      <c r="G102" s="614">
        <v>505057418</v>
      </c>
      <c r="H102" s="614">
        <v>2424926266.203064</v>
      </c>
      <c r="I102" s="614">
        <v>2272752369</v>
      </c>
      <c r="J102" s="614">
        <v>1440744190.2823792</v>
      </c>
      <c r="K102" s="614">
        <v>4797824981.5335388</v>
      </c>
      <c r="L102" s="614">
        <v>5267799890</v>
      </c>
      <c r="M102" s="615"/>
    </row>
    <row r="103" spans="1:32">
      <c r="B103" s="566"/>
      <c r="C103" s="567"/>
      <c r="D103" s="603"/>
      <c r="E103" s="603"/>
      <c r="F103" s="603"/>
      <c r="G103" s="595"/>
      <c r="H103" s="595"/>
      <c r="I103" s="595"/>
      <c r="J103" s="595"/>
      <c r="K103" s="595"/>
      <c r="L103" s="595"/>
      <c r="M103" s="596"/>
    </row>
    <row r="104" spans="1:32">
      <c r="B104" s="583"/>
      <c r="C104" s="584" t="s">
        <v>1785</v>
      </c>
      <c r="D104" s="584" t="s">
        <v>1786</v>
      </c>
      <c r="E104" s="584"/>
      <c r="F104" s="584"/>
      <c r="G104" s="614">
        <v>24617810</v>
      </c>
      <c r="H104" s="614">
        <v>129343059</v>
      </c>
      <c r="I104" s="614">
        <v>-343066391</v>
      </c>
      <c r="J104" s="614">
        <v>258380802</v>
      </c>
      <c r="K104" s="614">
        <v>1049165310</v>
      </c>
      <c r="L104" s="614">
        <v>1170415969</v>
      </c>
      <c r="M104" s="615"/>
    </row>
    <row r="105" spans="1:32">
      <c r="B105" s="566"/>
      <c r="C105" s="567"/>
      <c r="D105" s="610"/>
      <c r="E105" s="610"/>
      <c r="F105" s="610"/>
      <c r="G105" s="595"/>
      <c r="H105" s="595"/>
      <c r="I105" s="595"/>
      <c r="J105" s="595"/>
      <c r="K105" s="595"/>
      <c r="L105" s="595"/>
      <c r="M105" s="596"/>
    </row>
    <row r="106" spans="1:32">
      <c r="B106" s="659"/>
      <c r="C106" s="660" t="s">
        <v>1787</v>
      </c>
      <c r="D106" s="660" t="s">
        <v>1788</v>
      </c>
      <c r="E106" s="660"/>
      <c r="F106" s="660"/>
      <c r="G106" s="661">
        <v>480439608</v>
      </c>
      <c r="H106" s="661">
        <v>2295583207.203064</v>
      </c>
      <c r="I106" s="661">
        <v>2615818760</v>
      </c>
      <c r="J106" s="661">
        <v>1182363388.2823792</v>
      </c>
      <c r="K106" s="661">
        <v>3748659671.5335388</v>
      </c>
      <c r="L106" s="661">
        <v>4097383921</v>
      </c>
      <c r="M106" s="615"/>
    </row>
    <row r="109" spans="1:32" s="555" customFormat="1">
      <c r="A109" s="554" t="s">
        <v>68</v>
      </c>
      <c r="B109" s="555" t="s">
        <v>67</v>
      </c>
    </row>
    <row r="111" spans="1:32" s="662" customFormat="1" thickBot="1">
      <c r="F111" s="663" t="s">
        <v>1789</v>
      </c>
      <c r="H111" s="663" t="s">
        <v>1789</v>
      </c>
      <c r="U111" s="664"/>
      <c r="V111" s="664"/>
    </row>
    <row r="112" spans="1:32" s="662" customFormat="1" ht="57" thickBot="1">
      <c r="F112" s="665" t="s">
        <v>1790</v>
      </c>
      <c r="G112" s="666" t="s">
        <v>1791</v>
      </c>
      <c r="H112" s="666" t="s">
        <v>1792</v>
      </c>
      <c r="I112" s="666" t="s">
        <v>1793</v>
      </c>
      <c r="J112" s="666" t="s">
        <v>1794</v>
      </c>
      <c r="K112" s="666" t="s">
        <v>1795</v>
      </c>
      <c r="L112" s="666" t="s">
        <v>1796</v>
      </c>
      <c r="M112" s="666"/>
      <c r="N112" s="666"/>
      <c r="O112" s="666"/>
      <c r="P112" s="666" t="s">
        <v>1797</v>
      </c>
      <c r="Q112" s="666" t="s">
        <v>1798</v>
      </c>
      <c r="R112" s="666" t="s">
        <v>1799</v>
      </c>
      <c r="S112" s="666" t="s">
        <v>1800</v>
      </c>
      <c r="T112" s="667" t="s">
        <v>1801</v>
      </c>
      <c r="U112" s="667" t="s">
        <v>1802</v>
      </c>
      <c r="V112" s="667" t="s">
        <v>1803</v>
      </c>
      <c r="Y112" s="662" t="s">
        <v>2426</v>
      </c>
      <c r="AF112" s="662" t="s">
        <v>2427</v>
      </c>
    </row>
    <row r="113" spans="6:37" s="662" customFormat="1">
      <c r="F113" s="664">
        <v>40400</v>
      </c>
      <c r="G113" s="664" t="s">
        <v>1804</v>
      </c>
      <c r="H113" s="664">
        <v>5088</v>
      </c>
      <c r="I113" s="664" t="s">
        <v>1805</v>
      </c>
      <c r="J113" s="668">
        <v>3767185</v>
      </c>
      <c r="K113" s="668">
        <v>3767185</v>
      </c>
      <c r="L113" s="669" t="s">
        <v>1806</v>
      </c>
      <c r="M113" s="669"/>
      <c r="N113" s="669"/>
      <c r="O113" s="669"/>
      <c r="P113" s="1"/>
      <c r="Q113" s="664" t="s">
        <v>1807</v>
      </c>
      <c r="R113" s="664" t="s">
        <v>1807</v>
      </c>
      <c r="S113" s="664" t="s">
        <v>1808</v>
      </c>
      <c r="T113" s="662" t="s">
        <v>1809</v>
      </c>
      <c r="U113" s="664" t="s">
        <v>57</v>
      </c>
      <c r="V113" s="664" t="str">
        <f t="shared" ref="V113:V145" si="0">RIGHT(L113,3)</f>
        <v>지알엠</v>
      </c>
      <c r="Y113" s="771" t="s">
        <v>1925</v>
      </c>
      <c r="Z113" s="1"/>
      <c r="AA113" s="1"/>
      <c r="AB113" s="1"/>
      <c r="AC113" s="1"/>
      <c r="AD113" s="1"/>
      <c r="AF113" s="771" t="s">
        <v>1925</v>
      </c>
      <c r="AG113" s="1"/>
      <c r="AH113" s="1"/>
      <c r="AI113" s="1"/>
      <c r="AJ113" s="1"/>
      <c r="AK113" s="1"/>
    </row>
    <row r="114" spans="6:37" s="662" customFormat="1" ht="13.5" customHeight="1">
      <c r="F114" s="664">
        <v>40400</v>
      </c>
      <c r="G114" s="664" t="s">
        <v>1804</v>
      </c>
      <c r="H114" s="664">
        <v>5088</v>
      </c>
      <c r="I114" s="664" t="s">
        <v>1805</v>
      </c>
      <c r="J114" s="668">
        <v>9079985</v>
      </c>
      <c r="K114" s="668">
        <v>9079985</v>
      </c>
      <c r="L114" s="669" t="s">
        <v>1806</v>
      </c>
      <c r="M114" s="669"/>
      <c r="N114" s="669"/>
      <c r="O114" s="669"/>
      <c r="P114" s="1"/>
      <c r="Q114" s="664">
        <v>20200402</v>
      </c>
      <c r="R114" s="664">
        <v>20200402</v>
      </c>
      <c r="S114" s="664" t="s">
        <v>1810</v>
      </c>
      <c r="T114" s="662" t="s">
        <v>1811</v>
      </c>
      <c r="U114" s="664" t="s">
        <v>57</v>
      </c>
      <c r="V114" s="664" t="str">
        <f t="shared" si="0"/>
        <v>지알엠</v>
      </c>
      <c r="Y114" s="1031" t="s">
        <v>2022</v>
      </c>
      <c r="Z114" s="1032" t="s">
        <v>2023</v>
      </c>
      <c r="AA114" s="774" t="s">
        <v>2414</v>
      </c>
      <c r="AB114" s="1033" t="s">
        <v>2415</v>
      </c>
      <c r="AC114" s="1034"/>
      <c r="AD114" s="1035"/>
      <c r="AF114" s="1031" t="s">
        <v>2022</v>
      </c>
      <c r="AG114" s="1032" t="s">
        <v>2023</v>
      </c>
      <c r="AH114" s="774" t="s">
        <v>2414</v>
      </c>
      <c r="AI114" s="1033" t="s">
        <v>2415</v>
      </c>
      <c r="AJ114" s="1034"/>
      <c r="AK114" s="1035"/>
    </row>
    <row r="115" spans="6:37" s="662" customFormat="1">
      <c r="F115" s="664">
        <v>40400</v>
      </c>
      <c r="G115" s="664" t="s">
        <v>1804</v>
      </c>
      <c r="H115" s="664">
        <v>5088</v>
      </c>
      <c r="I115" s="664" t="s">
        <v>1805</v>
      </c>
      <c r="J115" s="668">
        <v>3131549</v>
      </c>
      <c r="K115" s="668">
        <v>3131549</v>
      </c>
      <c r="L115" s="669" t="s">
        <v>1806</v>
      </c>
      <c r="M115" s="669"/>
      <c r="N115" s="669"/>
      <c r="O115" s="669"/>
      <c r="P115" s="1"/>
      <c r="Q115" s="664">
        <v>20200423</v>
      </c>
      <c r="R115" s="664">
        <v>20200423</v>
      </c>
      <c r="S115" s="664" t="s">
        <v>1812</v>
      </c>
      <c r="T115" s="662" t="s">
        <v>1813</v>
      </c>
      <c r="U115" s="664" t="s">
        <v>57</v>
      </c>
      <c r="V115" s="664" t="str">
        <f t="shared" si="0"/>
        <v>지알엠</v>
      </c>
      <c r="Y115" s="1036"/>
      <c r="Z115" s="1037"/>
      <c r="AA115" s="1038" t="s">
        <v>140</v>
      </c>
      <c r="AB115" s="1038" t="s">
        <v>2123</v>
      </c>
      <c r="AC115" s="1038" t="s">
        <v>2416</v>
      </c>
      <c r="AD115" s="1039" t="s">
        <v>246</v>
      </c>
      <c r="AF115" s="1036"/>
      <c r="AG115" s="1037"/>
      <c r="AH115" s="1038" t="s">
        <v>140</v>
      </c>
      <c r="AI115" s="1038" t="s">
        <v>2123</v>
      </c>
      <c r="AJ115" s="1038" t="s">
        <v>2416</v>
      </c>
      <c r="AK115" s="1039" t="s">
        <v>246</v>
      </c>
    </row>
    <row r="116" spans="6:37" s="662" customFormat="1">
      <c r="F116" s="664">
        <v>40400</v>
      </c>
      <c r="G116" s="664" t="s">
        <v>1804</v>
      </c>
      <c r="H116" s="664">
        <v>5088</v>
      </c>
      <c r="I116" s="664" t="s">
        <v>1805</v>
      </c>
      <c r="J116" s="668">
        <v>9441923</v>
      </c>
      <c r="K116" s="668">
        <v>9441923</v>
      </c>
      <c r="L116" s="669" t="s">
        <v>1806</v>
      </c>
      <c r="M116" s="669"/>
      <c r="N116" s="669"/>
      <c r="O116" s="669"/>
      <c r="P116" s="1"/>
      <c r="Q116" s="664">
        <v>20200630</v>
      </c>
      <c r="R116" s="664">
        <v>20200630</v>
      </c>
      <c r="S116" s="664" t="s">
        <v>1814</v>
      </c>
      <c r="T116" s="662" t="s">
        <v>1815</v>
      </c>
      <c r="U116" s="664" t="s">
        <v>57</v>
      </c>
      <c r="V116" s="664" t="str">
        <f t="shared" si="0"/>
        <v>지알엠</v>
      </c>
      <c r="Y116" s="1040" t="s">
        <v>2417</v>
      </c>
      <c r="Z116" s="780" t="s">
        <v>2125</v>
      </c>
      <c r="AA116" s="797">
        <v>0</v>
      </c>
      <c r="AB116" s="797" t="s">
        <v>1432</v>
      </c>
      <c r="AC116" s="797" t="s">
        <v>1432</v>
      </c>
      <c r="AD116" s="798" t="s">
        <v>1432</v>
      </c>
      <c r="AF116" s="1040" t="s">
        <v>2417</v>
      </c>
      <c r="AG116" s="780" t="s">
        <v>2125</v>
      </c>
      <c r="AH116" s="797" t="s">
        <v>125</v>
      </c>
      <c r="AI116" s="797" t="s">
        <v>125</v>
      </c>
      <c r="AJ116" s="797" t="s">
        <v>125</v>
      </c>
      <c r="AK116" s="798" t="s">
        <v>125</v>
      </c>
    </row>
    <row r="117" spans="6:37" s="662" customFormat="1">
      <c r="F117" s="664">
        <v>40400</v>
      </c>
      <c r="G117" s="664" t="s">
        <v>1804</v>
      </c>
      <c r="H117" s="664">
        <v>5088</v>
      </c>
      <c r="I117" s="664" t="s">
        <v>1805</v>
      </c>
      <c r="J117" s="668">
        <v>5809456</v>
      </c>
      <c r="K117" s="668">
        <v>5809456</v>
      </c>
      <c r="L117" s="669" t="s">
        <v>1806</v>
      </c>
      <c r="M117" s="669"/>
      <c r="N117" s="669"/>
      <c r="O117" s="669"/>
      <c r="P117" s="1"/>
      <c r="Q117" s="664">
        <v>20200716</v>
      </c>
      <c r="R117" s="664">
        <v>20200716</v>
      </c>
      <c r="S117" s="664" t="s">
        <v>1816</v>
      </c>
      <c r="T117" s="662" t="s">
        <v>1817</v>
      </c>
      <c r="U117" s="664" t="s">
        <v>57</v>
      </c>
      <c r="V117" s="664" t="str">
        <f t="shared" si="0"/>
        <v>지알엠</v>
      </c>
      <c r="Y117" s="1040" t="s">
        <v>2029</v>
      </c>
      <c r="Z117" s="780" t="s">
        <v>2418</v>
      </c>
      <c r="AA117" s="797">
        <v>0</v>
      </c>
      <c r="AB117" s="800">
        <v>4511691</v>
      </c>
      <c r="AC117" s="800">
        <v>5000</v>
      </c>
      <c r="AD117" s="801">
        <v>13455</v>
      </c>
      <c r="AF117" s="1040" t="s">
        <v>2029</v>
      </c>
      <c r="AG117" s="780" t="s">
        <v>2418</v>
      </c>
      <c r="AH117" s="800">
        <v>170166</v>
      </c>
      <c r="AI117" s="800">
        <v>4617881</v>
      </c>
      <c r="AJ117" s="797" t="s">
        <v>2627</v>
      </c>
      <c r="AK117" s="801">
        <v>8781</v>
      </c>
    </row>
    <row r="118" spans="6:37" s="662" customFormat="1">
      <c r="F118" s="670">
        <v>40400</v>
      </c>
      <c r="G118" s="670" t="s">
        <v>1804</v>
      </c>
      <c r="H118" s="670">
        <v>5088</v>
      </c>
      <c r="I118" s="670" t="s">
        <v>1805</v>
      </c>
      <c r="J118" s="671">
        <v>15518033</v>
      </c>
      <c r="K118" s="671">
        <v>15518033</v>
      </c>
      <c r="L118" s="672" t="s">
        <v>1806</v>
      </c>
      <c r="M118" s="672"/>
      <c r="N118" s="672"/>
      <c r="O118" s="672"/>
      <c r="P118" s="68"/>
      <c r="Q118" s="670">
        <v>20200928</v>
      </c>
      <c r="R118" s="670">
        <v>20200928</v>
      </c>
      <c r="S118" s="670" t="s">
        <v>1818</v>
      </c>
      <c r="T118" s="673" t="s">
        <v>1819</v>
      </c>
      <c r="U118" s="664" t="s">
        <v>57</v>
      </c>
      <c r="V118" s="664" t="str">
        <f t="shared" si="0"/>
        <v>지알엠</v>
      </c>
      <c r="Y118" s="1041" t="s">
        <v>2131</v>
      </c>
      <c r="Z118" s="780" t="s">
        <v>2419</v>
      </c>
      <c r="AA118" s="800">
        <v>7457028</v>
      </c>
      <c r="AB118" s="797" t="s">
        <v>2420</v>
      </c>
      <c r="AC118" s="797" t="s">
        <v>2421</v>
      </c>
      <c r="AD118" s="798" t="s">
        <v>2421</v>
      </c>
      <c r="AF118" s="1041" t="s">
        <v>2131</v>
      </c>
      <c r="AG118" s="780" t="s">
        <v>2419</v>
      </c>
      <c r="AH118" s="800">
        <v>6432068</v>
      </c>
      <c r="AI118" s="800">
        <v>948671</v>
      </c>
      <c r="AJ118" s="797" t="s">
        <v>3382</v>
      </c>
      <c r="AK118" s="798" t="s">
        <v>3382</v>
      </c>
    </row>
    <row r="119" spans="6:37" s="662" customFormat="1">
      <c r="F119" s="674">
        <v>40400</v>
      </c>
      <c r="G119" s="674" t="s">
        <v>1804</v>
      </c>
      <c r="H119" s="674">
        <v>1719</v>
      </c>
      <c r="I119" s="674" t="s">
        <v>1805</v>
      </c>
      <c r="J119" s="675">
        <v>171420472</v>
      </c>
      <c r="K119" s="675">
        <v>171420472</v>
      </c>
      <c r="L119" s="676" t="s">
        <v>1820</v>
      </c>
      <c r="M119" s="676"/>
      <c r="N119" s="676"/>
      <c r="O119" s="676"/>
      <c r="P119" s="323"/>
      <c r="Q119" s="677" t="s">
        <v>1821</v>
      </c>
      <c r="R119" s="677" t="s">
        <v>1821</v>
      </c>
      <c r="S119" s="674">
        <v>1825</v>
      </c>
      <c r="T119" s="678" t="s">
        <v>1822</v>
      </c>
      <c r="U119" s="664" t="s">
        <v>27</v>
      </c>
      <c r="V119" s="664" t="str">
        <f t="shared" si="0"/>
        <v>동제련</v>
      </c>
      <c r="Y119" s="1042"/>
      <c r="Z119" s="780" t="s">
        <v>2422</v>
      </c>
      <c r="AA119" s="800">
        <v>65807</v>
      </c>
      <c r="AB119" s="797" t="s">
        <v>2421</v>
      </c>
      <c r="AC119" s="797" t="s">
        <v>1432</v>
      </c>
      <c r="AD119" s="798" t="s">
        <v>2421</v>
      </c>
      <c r="AF119" s="1042"/>
      <c r="AG119" s="780" t="s">
        <v>2422</v>
      </c>
      <c r="AH119" s="800">
        <v>63687</v>
      </c>
      <c r="AI119" s="797" t="s">
        <v>3382</v>
      </c>
      <c r="AJ119" s="797" t="s">
        <v>125</v>
      </c>
      <c r="AK119" s="798" t="s">
        <v>3382</v>
      </c>
    </row>
    <row r="120" spans="6:37" s="662" customFormat="1">
      <c r="F120" s="670">
        <v>40400</v>
      </c>
      <c r="G120" s="670" t="s">
        <v>1804</v>
      </c>
      <c r="H120" s="670">
        <v>1719</v>
      </c>
      <c r="I120" s="670" t="s">
        <v>1805</v>
      </c>
      <c r="J120" s="679">
        <v>-1254112</v>
      </c>
      <c r="K120" s="679">
        <v>-1254112</v>
      </c>
      <c r="L120" s="672" t="s">
        <v>1820</v>
      </c>
      <c r="M120" s="672"/>
      <c r="N120" s="672"/>
      <c r="O120" s="672"/>
      <c r="P120" s="68"/>
      <c r="Q120" s="680">
        <v>20190225</v>
      </c>
      <c r="R120" s="680">
        <v>20190225</v>
      </c>
      <c r="S120" s="670">
        <v>257</v>
      </c>
      <c r="T120" s="681" t="s">
        <v>1823</v>
      </c>
      <c r="U120" s="664" t="s">
        <v>27</v>
      </c>
      <c r="V120" s="664" t="str">
        <f t="shared" si="0"/>
        <v>동제련</v>
      </c>
      <c r="Y120" s="1042"/>
      <c r="Z120" s="780" t="s">
        <v>2132</v>
      </c>
      <c r="AA120" s="797">
        <v>0</v>
      </c>
      <c r="AB120" s="797" t="s">
        <v>2421</v>
      </c>
      <c r="AC120" s="797" t="s">
        <v>2423</v>
      </c>
      <c r="AD120" s="798" t="s">
        <v>2424</v>
      </c>
      <c r="AF120" s="1042"/>
      <c r="AG120" s="780" t="s">
        <v>2132</v>
      </c>
      <c r="AH120" s="797" t="s">
        <v>3382</v>
      </c>
      <c r="AI120" s="797" t="s">
        <v>3382</v>
      </c>
      <c r="AJ120" s="800">
        <v>23000</v>
      </c>
      <c r="AK120" s="801">
        <v>52143</v>
      </c>
    </row>
    <row r="121" spans="6:37" s="662" customFormat="1">
      <c r="F121" s="664">
        <v>40400</v>
      </c>
      <c r="G121" s="664" t="s">
        <v>1804</v>
      </c>
      <c r="H121" s="664">
        <v>5088</v>
      </c>
      <c r="I121" s="664" t="s">
        <v>1805</v>
      </c>
      <c r="J121" s="682">
        <v>15740586</v>
      </c>
      <c r="K121" s="682">
        <v>15740586</v>
      </c>
      <c r="L121" s="669" t="s">
        <v>1806</v>
      </c>
      <c r="M121" s="669"/>
      <c r="N121" s="669"/>
      <c r="O121" s="669"/>
      <c r="P121" s="1"/>
      <c r="Q121" s="683" t="s">
        <v>1824</v>
      </c>
      <c r="R121" s="683" t="s">
        <v>1824</v>
      </c>
      <c r="S121" s="664" t="s">
        <v>1825</v>
      </c>
      <c r="T121" s="684" t="s">
        <v>1826</v>
      </c>
      <c r="U121" s="664" t="s">
        <v>27</v>
      </c>
      <c r="V121" s="664" t="str">
        <f t="shared" si="0"/>
        <v>지알엠</v>
      </c>
      <c r="Y121" s="1043"/>
      <c r="Z121" s="1044" t="s">
        <v>1483</v>
      </c>
      <c r="AA121" s="1045">
        <v>0</v>
      </c>
      <c r="AB121" s="1045" t="s">
        <v>2425</v>
      </c>
      <c r="AC121" s="1045" t="s">
        <v>1432</v>
      </c>
      <c r="AD121" s="1046" t="s">
        <v>1432</v>
      </c>
      <c r="AF121" s="1043"/>
      <c r="AG121" s="1044" t="s">
        <v>1483</v>
      </c>
      <c r="AH121" s="1045" t="s">
        <v>125</v>
      </c>
      <c r="AI121" s="1916">
        <v>4334939</v>
      </c>
      <c r="AJ121" s="1045" t="s">
        <v>125</v>
      </c>
      <c r="AK121" s="1046" t="s">
        <v>125</v>
      </c>
    </row>
    <row r="122" spans="6:37" s="662" customFormat="1">
      <c r="F122" s="664">
        <v>40400</v>
      </c>
      <c r="G122" s="664" t="s">
        <v>1804</v>
      </c>
      <c r="H122" s="664">
        <v>5088</v>
      </c>
      <c r="I122" s="664" t="s">
        <v>1805</v>
      </c>
      <c r="J122" s="682">
        <v>-1372387</v>
      </c>
      <c r="K122" s="682">
        <v>-1372387</v>
      </c>
      <c r="L122" s="669" t="s">
        <v>1806</v>
      </c>
      <c r="M122" s="669"/>
      <c r="N122" s="669"/>
      <c r="O122" s="669"/>
      <c r="P122" s="1"/>
      <c r="Q122" s="683">
        <v>20190307</v>
      </c>
      <c r="R122" s="683">
        <v>20190307</v>
      </c>
      <c r="S122" s="664" t="s">
        <v>1827</v>
      </c>
      <c r="T122" s="684" t="s">
        <v>1828</v>
      </c>
      <c r="U122" s="664" t="s">
        <v>27</v>
      </c>
      <c r="V122" s="664" t="str">
        <f t="shared" si="0"/>
        <v>지알엠</v>
      </c>
    </row>
    <row r="123" spans="6:37" s="662" customFormat="1">
      <c r="F123" s="664">
        <v>40400</v>
      </c>
      <c r="G123" s="664" t="s">
        <v>1804</v>
      </c>
      <c r="H123" s="664">
        <v>5088</v>
      </c>
      <c r="I123" s="664" t="s">
        <v>1805</v>
      </c>
      <c r="J123" s="682">
        <v>18050246</v>
      </c>
      <c r="K123" s="682">
        <v>18050246</v>
      </c>
      <c r="L123" s="669" t="s">
        <v>1806</v>
      </c>
      <c r="M123" s="669"/>
      <c r="N123" s="669"/>
      <c r="O123" s="669"/>
      <c r="P123" s="1"/>
      <c r="Q123" s="683">
        <v>20190329</v>
      </c>
      <c r="R123" s="683">
        <v>20190329</v>
      </c>
      <c r="S123" s="664" t="s">
        <v>1829</v>
      </c>
      <c r="T123" s="684" t="s">
        <v>1830</v>
      </c>
      <c r="U123" s="664" t="s">
        <v>27</v>
      </c>
      <c r="V123" s="664" t="str">
        <f t="shared" si="0"/>
        <v>지알엠</v>
      </c>
      <c r="Y123" s="662" t="s">
        <v>3316</v>
      </c>
    </row>
    <row r="124" spans="6:37" s="662" customFormat="1">
      <c r="F124" s="664">
        <v>40400</v>
      </c>
      <c r="G124" s="664" t="s">
        <v>1804</v>
      </c>
      <c r="H124" s="664">
        <v>5088</v>
      </c>
      <c r="I124" s="664" t="s">
        <v>1805</v>
      </c>
      <c r="J124" s="682">
        <v>3633003</v>
      </c>
      <c r="K124" s="682">
        <v>3633003</v>
      </c>
      <c r="L124" s="669" t="s">
        <v>1806</v>
      </c>
      <c r="M124" s="669"/>
      <c r="N124" s="669"/>
      <c r="O124" s="669"/>
      <c r="Q124" s="683">
        <v>20190423</v>
      </c>
      <c r="R124" s="683">
        <v>20190423</v>
      </c>
      <c r="S124" s="664" t="s">
        <v>1831</v>
      </c>
      <c r="T124" s="684" t="s">
        <v>1832</v>
      </c>
      <c r="U124" s="664" t="s">
        <v>27</v>
      </c>
      <c r="V124" s="664" t="str">
        <f t="shared" si="0"/>
        <v>지알엠</v>
      </c>
      <c r="Y124" s="771" t="s">
        <v>1925</v>
      </c>
      <c r="Z124" s="1"/>
      <c r="AA124" s="1"/>
      <c r="AB124" s="1"/>
      <c r="AC124" s="1"/>
      <c r="AD124" s="1"/>
    </row>
    <row r="125" spans="6:37" s="662" customFormat="1" ht="13.5" customHeight="1">
      <c r="F125" s="664">
        <v>40400</v>
      </c>
      <c r="G125" s="664" t="s">
        <v>1804</v>
      </c>
      <c r="H125" s="664">
        <v>5088</v>
      </c>
      <c r="I125" s="664" t="s">
        <v>1805</v>
      </c>
      <c r="J125" s="682">
        <v>15657820</v>
      </c>
      <c r="K125" s="682">
        <v>15657820</v>
      </c>
      <c r="L125" s="669" t="s">
        <v>1806</v>
      </c>
      <c r="M125" s="669"/>
      <c r="N125" s="669"/>
      <c r="O125" s="669"/>
      <c r="Q125" s="683">
        <v>20190613</v>
      </c>
      <c r="R125" s="683">
        <v>20190613</v>
      </c>
      <c r="S125" s="664" t="s">
        <v>1833</v>
      </c>
      <c r="T125" s="684" t="s">
        <v>1834</v>
      </c>
      <c r="U125" s="664" t="s">
        <v>27</v>
      </c>
      <c r="V125" s="664" t="str">
        <f t="shared" si="0"/>
        <v>지알엠</v>
      </c>
      <c r="Y125" s="1031" t="s">
        <v>2022</v>
      </c>
      <c r="Z125" s="1032" t="s">
        <v>2023</v>
      </c>
      <c r="AA125" s="774" t="s">
        <v>2414</v>
      </c>
      <c r="AB125" s="1033" t="s">
        <v>2415</v>
      </c>
      <c r="AC125" s="1034"/>
      <c r="AD125" s="1035"/>
    </row>
    <row r="126" spans="6:37" s="662" customFormat="1" ht="11.25">
      <c r="F126" s="664">
        <v>40400</v>
      </c>
      <c r="G126" s="664" t="s">
        <v>1804</v>
      </c>
      <c r="H126" s="664">
        <v>5088</v>
      </c>
      <c r="I126" s="664" t="s">
        <v>1805</v>
      </c>
      <c r="J126" s="682">
        <v>-4508598</v>
      </c>
      <c r="K126" s="682">
        <v>-4508598</v>
      </c>
      <c r="L126" s="669" t="s">
        <v>1806</v>
      </c>
      <c r="M126" s="669"/>
      <c r="N126" s="669"/>
      <c r="O126" s="669"/>
      <c r="Q126" s="683">
        <v>20190723</v>
      </c>
      <c r="R126" s="683">
        <v>20190723</v>
      </c>
      <c r="S126" s="664" t="s">
        <v>1835</v>
      </c>
      <c r="T126" s="684" t="s">
        <v>1836</v>
      </c>
      <c r="U126" s="664" t="s">
        <v>27</v>
      </c>
      <c r="V126" s="664" t="str">
        <f t="shared" si="0"/>
        <v>지알엠</v>
      </c>
      <c r="Y126" s="1036"/>
      <c r="Z126" s="1037"/>
      <c r="AA126" s="1038" t="s">
        <v>140</v>
      </c>
      <c r="AB126" s="1038" t="s">
        <v>2123</v>
      </c>
      <c r="AC126" s="1038" t="s">
        <v>2416</v>
      </c>
      <c r="AD126" s="1039" t="s">
        <v>246</v>
      </c>
    </row>
    <row r="127" spans="6:37" s="662" customFormat="1" ht="11.25">
      <c r="F127" s="664">
        <v>40400</v>
      </c>
      <c r="G127" s="664" t="s">
        <v>1804</v>
      </c>
      <c r="H127" s="664">
        <v>5088</v>
      </c>
      <c r="I127" s="664" t="s">
        <v>1805</v>
      </c>
      <c r="J127" s="682">
        <v>9991970</v>
      </c>
      <c r="K127" s="682">
        <v>9991970</v>
      </c>
      <c r="L127" s="669" t="s">
        <v>1806</v>
      </c>
      <c r="M127" s="669"/>
      <c r="N127" s="669"/>
      <c r="O127" s="669"/>
      <c r="Q127" s="683">
        <v>20190806</v>
      </c>
      <c r="R127" s="683">
        <v>20190806</v>
      </c>
      <c r="S127" s="664" t="s">
        <v>1837</v>
      </c>
      <c r="T127" s="684" t="s">
        <v>1838</v>
      </c>
      <c r="U127" s="664" t="s">
        <v>27</v>
      </c>
      <c r="V127" s="664" t="str">
        <f t="shared" si="0"/>
        <v>지알엠</v>
      </c>
      <c r="Y127" s="1040" t="s">
        <v>2417</v>
      </c>
      <c r="Z127" s="780" t="s">
        <v>2125</v>
      </c>
      <c r="AA127" s="797" t="s">
        <v>125</v>
      </c>
      <c r="AB127" s="797" t="s">
        <v>125</v>
      </c>
      <c r="AC127" s="797" t="s">
        <v>125</v>
      </c>
      <c r="AD127" s="798">
        <v>330</v>
      </c>
    </row>
    <row r="128" spans="6:37" s="662" customFormat="1">
      <c r="F128" s="664">
        <v>40400</v>
      </c>
      <c r="G128" s="664" t="s">
        <v>1804</v>
      </c>
      <c r="H128" s="664">
        <v>5088</v>
      </c>
      <c r="I128" s="664" t="s">
        <v>1805</v>
      </c>
      <c r="J128" s="682">
        <v>-421622</v>
      </c>
      <c r="K128" s="682">
        <v>-421622</v>
      </c>
      <c r="L128" s="669" t="s">
        <v>1806</v>
      </c>
      <c r="M128" s="669"/>
      <c r="N128" s="669"/>
      <c r="O128" s="669"/>
      <c r="P128" s="1"/>
      <c r="Q128" s="683">
        <v>20190829</v>
      </c>
      <c r="R128" s="683">
        <v>20190829</v>
      </c>
      <c r="S128" s="664" t="s">
        <v>1839</v>
      </c>
      <c r="T128" s="684" t="s">
        <v>1840</v>
      </c>
      <c r="U128" s="664" t="s">
        <v>27</v>
      </c>
      <c r="V128" s="664" t="str">
        <f t="shared" si="0"/>
        <v>지알엠</v>
      </c>
      <c r="Y128" s="1040" t="s">
        <v>2029</v>
      </c>
      <c r="Z128" s="780" t="s">
        <v>2418</v>
      </c>
      <c r="AA128" s="800">
        <v>163132</v>
      </c>
      <c r="AB128" s="800">
        <v>4351055</v>
      </c>
      <c r="AC128" s="797" t="s">
        <v>125</v>
      </c>
      <c r="AD128" s="798">
        <v>39</v>
      </c>
    </row>
    <row r="129" spans="6:30" s="662" customFormat="1">
      <c r="F129" s="670">
        <v>40400</v>
      </c>
      <c r="G129" s="670" t="s">
        <v>1804</v>
      </c>
      <c r="H129" s="670">
        <v>5088</v>
      </c>
      <c r="I129" s="670" t="s">
        <v>1805</v>
      </c>
      <c r="J129" s="679">
        <v>6915790</v>
      </c>
      <c r="K129" s="679">
        <v>6915790</v>
      </c>
      <c r="L129" s="672" t="s">
        <v>1806</v>
      </c>
      <c r="M129" s="672"/>
      <c r="N129" s="672"/>
      <c r="O129" s="672"/>
      <c r="P129" s="68"/>
      <c r="Q129" s="680">
        <v>20191231</v>
      </c>
      <c r="R129" s="680">
        <v>20191231</v>
      </c>
      <c r="S129" s="670" t="s">
        <v>1841</v>
      </c>
      <c r="T129" s="681" t="s">
        <v>1842</v>
      </c>
      <c r="U129" s="664" t="s">
        <v>27</v>
      </c>
      <c r="V129" s="664" t="str">
        <f t="shared" si="0"/>
        <v>지알엠</v>
      </c>
      <c r="Y129" s="1041" t="s">
        <v>2131</v>
      </c>
      <c r="Z129" s="780" t="s">
        <v>2419</v>
      </c>
      <c r="AA129" s="800">
        <v>5537159</v>
      </c>
      <c r="AB129" s="800">
        <v>1079345</v>
      </c>
      <c r="AC129" s="797" t="s">
        <v>3381</v>
      </c>
      <c r="AD129" s="798" t="s">
        <v>3382</v>
      </c>
    </row>
    <row r="130" spans="6:30" s="662" customFormat="1">
      <c r="F130" s="674">
        <v>40400</v>
      </c>
      <c r="G130" s="674" t="s">
        <v>1804</v>
      </c>
      <c r="H130" s="674">
        <v>1719</v>
      </c>
      <c r="I130" s="674" t="s">
        <v>1805</v>
      </c>
      <c r="J130" s="685">
        <v>183282090</v>
      </c>
      <c r="K130" s="685">
        <v>183282090</v>
      </c>
      <c r="L130" s="676" t="s">
        <v>1820</v>
      </c>
      <c r="M130" s="676"/>
      <c r="N130" s="676"/>
      <c r="O130" s="676"/>
      <c r="P130" s="323"/>
      <c r="Q130" s="686">
        <v>20180214</v>
      </c>
      <c r="R130" s="686">
        <v>20180214</v>
      </c>
      <c r="S130" s="674">
        <v>1418</v>
      </c>
      <c r="T130" s="687" t="s">
        <v>1843</v>
      </c>
      <c r="U130" s="664" t="s">
        <v>69</v>
      </c>
      <c r="V130" s="664" t="str">
        <f t="shared" si="0"/>
        <v>동제련</v>
      </c>
      <c r="Y130" s="1042"/>
      <c r="Z130" s="780" t="s">
        <v>2422</v>
      </c>
      <c r="AA130" s="800">
        <v>35191</v>
      </c>
      <c r="AB130" s="797" t="s">
        <v>3382</v>
      </c>
      <c r="AC130" s="797" t="s">
        <v>125</v>
      </c>
      <c r="AD130" s="798" t="s">
        <v>3382</v>
      </c>
    </row>
    <row r="131" spans="6:30" s="662" customFormat="1">
      <c r="F131" s="670">
        <v>40400</v>
      </c>
      <c r="G131" s="670" t="s">
        <v>1804</v>
      </c>
      <c r="H131" s="670">
        <v>1719</v>
      </c>
      <c r="I131" s="670" t="s">
        <v>1805</v>
      </c>
      <c r="J131" s="688">
        <v>-20150184</v>
      </c>
      <c r="K131" s="688">
        <v>-20150184</v>
      </c>
      <c r="L131" s="672" t="s">
        <v>1820</v>
      </c>
      <c r="M131" s="672"/>
      <c r="N131" s="672"/>
      <c r="O131" s="672"/>
      <c r="P131" s="68"/>
      <c r="Q131" s="689">
        <v>20180320</v>
      </c>
      <c r="R131" s="689">
        <v>20180320</v>
      </c>
      <c r="S131" s="670">
        <v>2032</v>
      </c>
      <c r="T131" s="690" t="s">
        <v>1844</v>
      </c>
      <c r="U131" s="664" t="s">
        <v>69</v>
      </c>
      <c r="V131" s="664" t="str">
        <f t="shared" si="0"/>
        <v>동제련</v>
      </c>
      <c r="Y131" s="1042"/>
      <c r="Z131" s="780" t="s">
        <v>3315</v>
      </c>
      <c r="AA131" s="797" t="s">
        <v>3382</v>
      </c>
      <c r="AB131" s="797" t="s">
        <v>3382</v>
      </c>
      <c r="AC131" s="797" t="s">
        <v>3382</v>
      </c>
      <c r="AD131" s="798">
        <v>300</v>
      </c>
    </row>
    <row r="132" spans="6:30" s="662" customFormat="1">
      <c r="F132" s="664">
        <v>40400</v>
      </c>
      <c r="G132" s="664" t="s">
        <v>1804</v>
      </c>
      <c r="H132" s="664">
        <v>5088</v>
      </c>
      <c r="I132" s="664" t="s">
        <v>1805</v>
      </c>
      <c r="J132" s="691">
        <v>19664913</v>
      </c>
      <c r="K132" s="691">
        <v>19664913</v>
      </c>
      <c r="L132" s="669" t="s">
        <v>1806</v>
      </c>
      <c r="M132" s="669"/>
      <c r="N132" s="669"/>
      <c r="O132" s="669"/>
      <c r="P132" s="1"/>
      <c r="Q132" s="692">
        <v>20180308</v>
      </c>
      <c r="R132" s="692">
        <v>20180308</v>
      </c>
      <c r="S132" s="664" t="s">
        <v>1845</v>
      </c>
      <c r="T132" s="693" t="s">
        <v>1846</v>
      </c>
      <c r="U132" s="664" t="s">
        <v>69</v>
      </c>
      <c r="V132" s="664" t="str">
        <f t="shared" si="0"/>
        <v>지알엠</v>
      </c>
      <c r="Y132" s="1042"/>
      <c r="Z132" s="780" t="s">
        <v>2132</v>
      </c>
      <c r="AA132" s="797" t="s">
        <v>3382</v>
      </c>
      <c r="AB132" s="797" t="s">
        <v>3382</v>
      </c>
      <c r="AC132" s="800">
        <v>5221</v>
      </c>
      <c r="AD132" s="801">
        <v>45824</v>
      </c>
    </row>
    <row r="133" spans="6:30" s="662" customFormat="1">
      <c r="F133" s="664">
        <v>40400</v>
      </c>
      <c r="G133" s="664" t="s">
        <v>1804</v>
      </c>
      <c r="H133" s="664">
        <v>5088</v>
      </c>
      <c r="I133" s="664" t="s">
        <v>1805</v>
      </c>
      <c r="J133" s="691">
        <v>-5107307</v>
      </c>
      <c r="K133" s="691">
        <v>-5107307</v>
      </c>
      <c r="L133" s="669" t="s">
        <v>1806</v>
      </c>
      <c r="M133" s="669"/>
      <c r="N133" s="669"/>
      <c r="O133" s="669"/>
      <c r="P133" s="1"/>
      <c r="Q133" s="692">
        <v>20180410</v>
      </c>
      <c r="R133" s="692">
        <v>20180410</v>
      </c>
      <c r="S133" s="664">
        <v>1015</v>
      </c>
      <c r="T133" s="693" t="s">
        <v>1847</v>
      </c>
      <c r="U133" s="664" t="s">
        <v>69</v>
      </c>
      <c r="V133" s="664" t="str">
        <f t="shared" si="0"/>
        <v>지알엠</v>
      </c>
      <c r="Y133" s="1043"/>
      <c r="Z133" s="1044" t="s">
        <v>1483</v>
      </c>
      <c r="AA133" s="1045" t="s">
        <v>125</v>
      </c>
      <c r="AB133" s="1916">
        <v>1695044</v>
      </c>
      <c r="AC133" s="1045" t="s">
        <v>125</v>
      </c>
      <c r="AD133" s="1046" t="s">
        <v>125</v>
      </c>
    </row>
    <row r="134" spans="6:30" s="662" customFormat="1">
      <c r="F134" s="664">
        <v>40400</v>
      </c>
      <c r="G134" s="664" t="s">
        <v>1804</v>
      </c>
      <c r="H134" s="664">
        <v>5088</v>
      </c>
      <c r="I134" s="664" t="s">
        <v>1805</v>
      </c>
      <c r="J134" s="691">
        <v>16143894</v>
      </c>
      <c r="K134" s="691">
        <v>16143894</v>
      </c>
      <c r="L134" s="669" t="s">
        <v>1806</v>
      </c>
      <c r="M134" s="669"/>
      <c r="N134" s="669"/>
      <c r="O134" s="669"/>
      <c r="P134" s="1"/>
      <c r="Q134" s="692" t="s">
        <v>1848</v>
      </c>
      <c r="R134" s="692" t="s">
        <v>1848</v>
      </c>
      <c r="S134" s="664" t="s">
        <v>1849</v>
      </c>
      <c r="T134" s="693" t="s">
        <v>1850</v>
      </c>
      <c r="U134" s="664" t="s">
        <v>69</v>
      </c>
      <c r="V134" s="664" t="str">
        <f t="shared" si="0"/>
        <v>지알엠</v>
      </c>
    </row>
    <row r="135" spans="6:30" s="662" customFormat="1">
      <c r="F135" s="664">
        <v>40400</v>
      </c>
      <c r="G135" s="664" t="s">
        <v>1804</v>
      </c>
      <c r="H135" s="664">
        <v>5088</v>
      </c>
      <c r="I135" s="664" t="s">
        <v>1805</v>
      </c>
      <c r="J135" s="691">
        <v>15563962</v>
      </c>
      <c r="K135" s="691">
        <v>15563962</v>
      </c>
      <c r="L135" s="669" t="s">
        <v>1806</v>
      </c>
      <c r="M135" s="669"/>
      <c r="N135" s="669"/>
      <c r="O135" s="669"/>
      <c r="P135" s="1"/>
      <c r="Q135" s="692">
        <v>20180927</v>
      </c>
      <c r="R135" s="692">
        <v>20180927</v>
      </c>
      <c r="S135" s="664" t="s">
        <v>1851</v>
      </c>
      <c r="T135" s="693" t="s">
        <v>1852</v>
      </c>
      <c r="U135" s="664" t="s">
        <v>69</v>
      </c>
      <c r="V135" s="664" t="str">
        <f t="shared" si="0"/>
        <v>지알엠</v>
      </c>
    </row>
    <row r="136" spans="6:30" s="662" customFormat="1" ht="11.25">
      <c r="F136" s="664">
        <v>40400</v>
      </c>
      <c r="G136" s="664" t="s">
        <v>1804</v>
      </c>
      <c r="H136" s="664">
        <v>5088</v>
      </c>
      <c r="I136" s="664" t="s">
        <v>1805</v>
      </c>
      <c r="J136" s="691">
        <v>-6558344</v>
      </c>
      <c r="K136" s="691">
        <v>-6558344</v>
      </c>
      <c r="L136" s="669" t="s">
        <v>1806</v>
      </c>
      <c r="M136" s="669"/>
      <c r="N136" s="669"/>
      <c r="O136" s="669"/>
      <c r="Q136" s="692">
        <v>20181018</v>
      </c>
      <c r="R136" s="692">
        <v>20181018</v>
      </c>
      <c r="S136" s="664" t="s">
        <v>1853</v>
      </c>
      <c r="T136" s="693" t="s">
        <v>1854</v>
      </c>
      <c r="U136" s="664" t="s">
        <v>69</v>
      </c>
      <c r="V136" s="664" t="str">
        <f t="shared" si="0"/>
        <v>지알엠</v>
      </c>
    </row>
    <row r="137" spans="6:30" s="662" customFormat="1" ht="11.25">
      <c r="F137" s="670">
        <v>40400</v>
      </c>
      <c r="G137" s="670" t="s">
        <v>1804</v>
      </c>
      <c r="H137" s="670">
        <v>5088</v>
      </c>
      <c r="I137" s="670" t="s">
        <v>1805</v>
      </c>
      <c r="J137" s="688">
        <v>-4516257</v>
      </c>
      <c r="K137" s="688">
        <v>-4516257</v>
      </c>
      <c r="L137" s="672" t="s">
        <v>1806</v>
      </c>
      <c r="M137" s="672"/>
      <c r="N137" s="672"/>
      <c r="O137" s="672"/>
      <c r="P137" s="673"/>
      <c r="Q137" s="689">
        <v>20181023</v>
      </c>
      <c r="R137" s="689">
        <v>20181023</v>
      </c>
      <c r="S137" s="670" t="s">
        <v>1855</v>
      </c>
      <c r="T137" s="690" t="s">
        <v>1856</v>
      </c>
      <c r="U137" s="664" t="s">
        <v>69</v>
      </c>
      <c r="V137" s="664" t="str">
        <f t="shared" si="0"/>
        <v>지알엠</v>
      </c>
    </row>
    <row r="138" spans="6:30" s="662" customFormat="1">
      <c r="F138" s="664">
        <v>40400</v>
      </c>
      <c r="G138" s="664" t="s">
        <v>1804</v>
      </c>
      <c r="H138" s="664">
        <v>5088</v>
      </c>
      <c r="I138" s="674" t="s">
        <v>1805</v>
      </c>
      <c r="J138" s="685">
        <v>16972157</v>
      </c>
      <c r="K138" s="685">
        <v>16972157</v>
      </c>
      <c r="L138" s="676" t="s">
        <v>1806</v>
      </c>
      <c r="M138" s="676"/>
      <c r="N138" s="676"/>
      <c r="O138" s="676"/>
      <c r="P138" s="323"/>
      <c r="Q138" s="686">
        <v>20170222</v>
      </c>
      <c r="R138" s="686">
        <v>20170222</v>
      </c>
      <c r="S138" s="674" t="s">
        <v>1857</v>
      </c>
      <c r="T138" s="694" t="s">
        <v>1858</v>
      </c>
      <c r="U138" s="664" t="s">
        <v>240</v>
      </c>
      <c r="V138" s="664" t="str">
        <f t="shared" si="0"/>
        <v>지알엠</v>
      </c>
    </row>
    <row r="139" spans="6:30" s="662" customFormat="1">
      <c r="F139" s="664">
        <v>40400</v>
      </c>
      <c r="G139" s="664" t="s">
        <v>1804</v>
      </c>
      <c r="H139" s="664">
        <v>5088</v>
      </c>
      <c r="I139" s="664" t="s">
        <v>1805</v>
      </c>
      <c r="J139" s="691">
        <v>-1206041</v>
      </c>
      <c r="K139" s="691">
        <v>-1206041</v>
      </c>
      <c r="L139" s="669" t="s">
        <v>1806</v>
      </c>
      <c r="M139" s="669"/>
      <c r="N139" s="669"/>
      <c r="O139" s="669"/>
      <c r="P139" s="1"/>
      <c r="Q139" s="692">
        <v>20170309</v>
      </c>
      <c r="R139" s="692">
        <v>20170309</v>
      </c>
      <c r="S139" s="664" t="s">
        <v>1859</v>
      </c>
      <c r="T139" s="695" t="s">
        <v>1860</v>
      </c>
      <c r="U139" s="664" t="s">
        <v>240</v>
      </c>
      <c r="V139" s="664" t="str">
        <f t="shared" si="0"/>
        <v>지알엠</v>
      </c>
    </row>
    <row r="140" spans="6:30" s="662" customFormat="1">
      <c r="F140" s="664">
        <v>40400</v>
      </c>
      <c r="G140" s="664" t="s">
        <v>1804</v>
      </c>
      <c r="H140" s="664">
        <v>5088</v>
      </c>
      <c r="I140" s="664" t="s">
        <v>1805</v>
      </c>
      <c r="J140" s="691">
        <v>16483007</v>
      </c>
      <c r="K140" s="691">
        <v>16483007</v>
      </c>
      <c r="L140" s="669" t="s">
        <v>1806</v>
      </c>
      <c r="M140" s="669"/>
      <c r="N140" s="669"/>
      <c r="O140" s="669"/>
      <c r="P140" s="1"/>
      <c r="Q140" s="692">
        <v>20170608</v>
      </c>
      <c r="R140" s="692">
        <v>20170608</v>
      </c>
      <c r="S140" s="664" t="s">
        <v>1861</v>
      </c>
      <c r="T140" s="695" t="s">
        <v>1862</v>
      </c>
      <c r="U140" s="664" t="s">
        <v>240</v>
      </c>
      <c r="V140" s="664" t="str">
        <f t="shared" si="0"/>
        <v>지알엠</v>
      </c>
    </row>
    <row r="141" spans="6:30" s="662" customFormat="1">
      <c r="F141" s="664">
        <v>40400</v>
      </c>
      <c r="G141" s="664" t="s">
        <v>1804</v>
      </c>
      <c r="H141" s="664">
        <v>5088</v>
      </c>
      <c r="I141" s="664" t="s">
        <v>1805</v>
      </c>
      <c r="J141" s="691">
        <v>-2122705</v>
      </c>
      <c r="K141" s="691">
        <v>-2122705</v>
      </c>
      <c r="L141" s="669" t="s">
        <v>1806</v>
      </c>
      <c r="M141" s="669"/>
      <c r="N141" s="669"/>
      <c r="O141" s="669"/>
      <c r="P141" s="1"/>
      <c r="Q141" s="692">
        <v>20170706</v>
      </c>
      <c r="R141" s="692">
        <v>20170706</v>
      </c>
      <c r="S141" s="664" t="s">
        <v>1863</v>
      </c>
      <c r="T141" s="695" t="s">
        <v>1864</v>
      </c>
      <c r="U141" s="664" t="s">
        <v>240</v>
      </c>
      <c r="V141" s="664" t="str">
        <f t="shared" si="0"/>
        <v>지알엠</v>
      </c>
    </row>
    <row r="142" spans="6:30" s="662" customFormat="1">
      <c r="F142" s="664">
        <v>40400</v>
      </c>
      <c r="G142" s="664" t="s">
        <v>1804</v>
      </c>
      <c r="H142" s="664">
        <v>5088</v>
      </c>
      <c r="I142" s="664" t="s">
        <v>1805</v>
      </c>
      <c r="J142" s="691">
        <v>18464832</v>
      </c>
      <c r="K142" s="691">
        <v>18464832</v>
      </c>
      <c r="L142" s="669" t="s">
        <v>1806</v>
      </c>
      <c r="M142" s="669"/>
      <c r="N142" s="669"/>
      <c r="O142" s="669"/>
      <c r="P142" s="1"/>
      <c r="Q142" s="692">
        <v>20171107</v>
      </c>
      <c r="R142" s="692">
        <v>20171107</v>
      </c>
      <c r="S142" s="664" t="s">
        <v>1865</v>
      </c>
      <c r="T142" s="695" t="s">
        <v>1866</v>
      </c>
      <c r="U142" s="664" t="s">
        <v>240</v>
      </c>
      <c r="V142" s="664" t="str">
        <f t="shared" si="0"/>
        <v>지알엠</v>
      </c>
    </row>
    <row r="143" spans="6:30" s="662" customFormat="1">
      <c r="F143" s="670">
        <v>40400</v>
      </c>
      <c r="G143" s="670" t="s">
        <v>1804</v>
      </c>
      <c r="H143" s="670">
        <v>5088</v>
      </c>
      <c r="I143" s="670" t="s">
        <v>1805</v>
      </c>
      <c r="J143" s="688">
        <v>-3140960</v>
      </c>
      <c r="K143" s="688">
        <v>-3140960</v>
      </c>
      <c r="L143" s="672" t="s">
        <v>1806</v>
      </c>
      <c r="M143" s="672"/>
      <c r="N143" s="672"/>
      <c r="O143" s="672"/>
      <c r="P143" s="68"/>
      <c r="Q143" s="689">
        <v>20171121</v>
      </c>
      <c r="R143" s="689">
        <v>20171121</v>
      </c>
      <c r="S143" s="670" t="s">
        <v>1867</v>
      </c>
      <c r="T143" s="696" t="s">
        <v>1868</v>
      </c>
      <c r="U143" s="664" t="s">
        <v>240</v>
      </c>
      <c r="V143" s="664" t="str">
        <f t="shared" si="0"/>
        <v>지알엠</v>
      </c>
    </row>
    <row r="144" spans="6:30" s="662" customFormat="1">
      <c r="F144" s="664">
        <v>40400</v>
      </c>
      <c r="G144" s="664" t="s">
        <v>1804</v>
      </c>
      <c r="H144" s="664">
        <v>1719</v>
      </c>
      <c r="I144" s="664" t="s">
        <v>1805</v>
      </c>
      <c r="J144" s="691">
        <v>168766578</v>
      </c>
      <c r="K144" s="691">
        <v>168766578</v>
      </c>
      <c r="L144" s="669" t="s">
        <v>1820</v>
      </c>
      <c r="M144" s="669"/>
      <c r="N144" s="669"/>
      <c r="O144" s="669"/>
      <c r="P144" s="1"/>
      <c r="Q144" s="692">
        <v>20170320</v>
      </c>
      <c r="R144" s="692">
        <v>20170320</v>
      </c>
      <c r="S144" s="664">
        <v>2042</v>
      </c>
      <c r="T144" s="695" t="s">
        <v>1869</v>
      </c>
      <c r="U144" s="664" t="s">
        <v>240</v>
      </c>
      <c r="V144" s="664" t="str">
        <f t="shared" si="0"/>
        <v>동제련</v>
      </c>
    </row>
    <row r="145" spans="1:22" s="662" customFormat="1">
      <c r="F145" s="670">
        <v>40400</v>
      </c>
      <c r="G145" s="670" t="s">
        <v>1804</v>
      </c>
      <c r="H145" s="670">
        <v>1719</v>
      </c>
      <c r="I145" s="670" t="s">
        <v>1805</v>
      </c>
      <c r="J145" s="688">
        <v>-8594581</v>
      </c>
      <c r="K145" s="688">
        <v>-8594581</v>
      </c>
      <c r="L145" s="672" t="s">
        <v>1820</v>
      </c>
      <c r="M145" s="672"/>
      <c r="N145" s="672"/>
      <c r="O145" s="672"/>
      <c r="P145" s="68"/>
      <c r="Q145" s="689">
        <v>20170424</v>
      </c>
      <c r="R145" s="689">
        <v>20170424</v>
      </c>
      <c r="S145" s="670">
        <v>2417</v>
      </c>
      <c r="T145" s="673" t="s">
        <v>1870</v>
      </c>
      <c r="U145" s="664" t="s">
        <v>240</v>
      </c>
      <c r="V145" s="664" t="str">
        <f t="shared" si="0"/>
        <v>동제련</v>
      </c>
    </row>
    <row r="146" spans="1:22" s="662" customFormat="1" ht="11.25">
      <c r="U146" s="664"/>
      <c r="V146" s="664"/>
    </row>
    <row r="147" spans="1:22" s="662" customFormat="1" thickBot="1">
      <c r="F147" s="663" t="s">
        <v>1871</v>
      </c>
      <c r="U147" s="664"/>
      <c r="V147" s="664"/>
    </row>
    <row r="148" spans="1:22" s="662" customFormat="1" ht="57" thickBot="1">
      <c r="F148" s="665" t="s">
        <v>1790</v>
      </c>
      <c r="G148" s="666" t="s">
        <v>1791</v>
      </c>
      <c r="H148" s="666" t="s">
        <v>1792</v>
      </c>
      <c r="I148" s="666" t="s">
        <v>1793</v>
      </c>
      <c r="J148" s="666" t="s">
        <v>1794</v>
      </c>
      <c r="K148" s="666" t="s">
        <v>1795</v>
      </c>
      <c r="L148" s="666" t="s">
        <v>1796</v>
      </c>
      <c r="M148" s="666"/>
      <c r="N148" s="666"/>
      <c r="O148" s="666"/>
      <c r="P148" s="666" t="s">
        <v>1797</v>
      </c>
      <c r="Q148" s="666" t="s">
        <v>1798</v>
      </c>
      <c r="R148" s="666" t="s">
        <v>1799</v>
      </c>
      <c r="S148" s="666" t="s">
        <v>1800</v>
      </c>
      <c r="T148" s="667" t="s">
        <v>1801</v>
      </c>
      <c r="U148" s="664"/>
      <c r="V148" s="664"/>
    </row>
    <row r="149" spans="1:22" s="662" customFormat="1" ht="11.25">
      <c r="F149" s="664">
        <v>15300</v>
      </c>
      <c r="G149" s="664" t="s">
        <v>1804</v>
      </c>
      <c r="H149" s="664">
        <v>1719</v>
      </c>
      <c r="I149" s="664" t="s">
        <v>1805</v>
      </c>
      <c r="J149" s="697">
        <v>3277389408</v>
      </c>
      <c r="K149" s="697">
        <v>3277389408</v>
      </c>
      <c r="L149" s="662" t="s">
        <v>1820</v>
      </c>
      <c r="R149" s="664">
        <v>2020</v>
      </c>
      <c r="T149" s="662" t="s">
        <v>1872</v>
      </c>
      <c r="U149" s="664"/>
      <c r="V149" s="664"/>
    </row>
    <row r="150" spans="1:22" s="662" customFormat="1" ht="11.25">
      <c r="F150" s="664">
        <v>15300</v>
      </c>
      <c r="G150" s="664" t="s">
        <v>1804</v>
      </c>
      <c r="H150" s="664">
        <v>1719</v>
      </c>
      <c r="I150" s="664" t="s">
        <v>1805</v>
      </c>
      <c r="J150" s="697">
        <v>4617880860</v>
      </c>
      <c r="K150" s="697">
        <v>4617880860</v>
      </c>
      <c r="L150" s="662" t="s">
        <v>1820</v>
      </c>
      <c r="R150" s="664">
        <v>2019</v>
      </c>
      <c r="T150" s="662" t="s">
        <v>1873</v>
      </c>
      <c r="U150" s="664"/>
      <c r="V150" s="664"/>
    </row>
    <row r="151" spans="1:22" s="662" customFormat="1" ht="11.25">
      <c r="F151" s="664">
        <v>15300</v>
      </c>
      <c r="G151" s="664" t="s">
        <v>1804</v>
      </c>
      <c r="H151" s="664">
        <v>1719</v>
      </c>
      <c r="I151" s="664" t="s">
        <v>1805</v>
      </c>
      <c r="J151" s="697">
        <v>4351054980</v>
      </c>
      <c r="K151" s="697">
        <v>4351054980</v>
      </c>
      <c r="L151" s="662" t="s">
        <v>1820</v>
      </c>
      <c r="R151" s="664">
        <v>2018</v>
      </c>
      <c r="T151" s="662" t="s">
        <v>1873</v>
      </c>
      <c r="U151" s="664"/>
      <c r="V151" s="664"/>
    </row>
    <row r="152" spans="1:22" s="662" customFormat="1" ht="11.25">
      <c r="F152" s="670">
        <v>15300</v>
      </c>
      <c r="G152" s="670" t="s">
        <v>1804</v>
      </c>
      <c r="H152" s="670">
        <v>1719</v>
      </c>
      <c r="I152" s="670" t="s">
        <v>1805</v>
      </c>
      <c r="J152" s="698">
        <v>25767514048</v>
      </c>
      <c r="K152" s="698">
        <v>25767514048</v>
      </c>
      <c r="L152" s="673" t="s">
        <v>1820</v>
      </c>
      <c r="M152" s="673"/>
      <c r="N152" s="673"/>
      <c r="O152" s="673"/>
      <c r="P152" s="673"/>
      <c r="Q152" s="673"/>
      <c r="R152" s="670">
        <v>2017</v>
      </c>
      <c r="S152" s="673"/>
      <c r="T152" s="673" t="s">
        <v>1874</v>
      </c>
      <c r="U152" s="664"/>
      <c r="V152" s="664"/>
    </row>
    <row r="155" spans="1:22" s="555" customFormat="1">
      <c r="A155" s="554" t="s">
        <v>77</v>
      </c>
      <c r="B155" s="555" t="s">
        <v>1875</v>
      </c>
    </row>
    <row r="157" spans="1:22" ht="13.5">
      <c r="B157" s="699"/>
      <c r="C157" s="699"/>
      <c r="D157" s="699"/>
      <c r="E157" s="699"/>
      <c r="F157" s="700"/>
      <c r="G157" s="701" t="s">
        <v>136</v>
      </c>
      <c r="H157" s="701" t="s">
        <v>134</v>
      </c>
      <c r="I157" s="701" t="s">
        <v>129</v>
      </c>
      <c r="J157" s="702" t="s">
        <v>127</v>
      </c>
      <c r="K157" s="703"/>
      <c r="L157" s="703"/>
      <c r="M157" s="703"/>
    </row>
    <row r="158" spans="1:22" ht="13.5">
      <c r="B158" s="699"/>
      <c r="C158" s="699"/>
      <c r="D158" s="699"/>
      <c r="E158" s="699"/>
      <c r="F158" s="704" t="s">
        <v>1876</v>
      </c>
      <c r="G158" s="703">
        <f>K168/10^6</f>
        <v>118832.491184</v>
      </c>
      <c r="H158" s="703">
        <f>K174/10^6</f>
        <v>115497.73272299999</v>
      </c>
      <c r="I158" s="703">
        <f>K180/10^6</f>
        <v>128505.071749</v>
      </c>
      <c r="J158" s="705">
        <f>M185/10^6</f>
        <v>141775.09360308191</v>
      </c>
      <c r="K158" s="703"/>
      <c r="L158" s="703"/>
      <c r="M158" s="703"/>
    </row>
    <row r="159" spans="1:22" ht="13.5">
      <c r="B159" s="699"/>
      <c r="C159" s="699"/>
      <c r="D159" s="699"/>
      <c r="E159" s="699"/>
      <c r="F159" s="704" t="s">
        <v>1877</v>
      </c>
      <c r="G159" s="703">
        <f>K169/10^6</f>
        <v>95972.675428999995</v>
      </c>
      <c r="H159" s="703">
        <f>K175/10^6</f>
        <v>103376.621665</v>
      </c>
      <c r="I159" s="703">
        <f>K181/10^6</f>
        <v>93075.091092000002</v>
      </c>
      <c r="J159" s="705">
        <f>M186/10^6</f>
        <v>81604.849657918108</v>
      </c>
      <c r="K159" s="703"/>
      <c r="L159" s="703"/>
      <c r="M159" s="703"/>
    </row>
    <row r="160" spans="1:22" ht="13.5">
      <c r="B160" s="699"/>
      <c r="C160" s="699"/>
      <c r="D160" s="699"/>
      <c r="E160" s="699"/>
      <c r="F160" s="704" t="s">
        <v>1878</v>
      </c>
      <c r="G160" s="703">
        <v>0</v>
      </c>
      <c r="H160" s="703">
        <v>0</v>
      </c>
      <c r="I160" s="703">
        <f>K182/10^6</f>
        <v>3926.3191999999999</v>
      </c>
      <c r="J160" s="705">
        <f>M187/10^6</f>
        <v>5172.3169099999996</v>
      </c>
      <c r="K160" s="703"/>
      <c r="L160" s="703"/>
      <c r="M160" s="703"/>
    </row>
    <row r="161" spans="2:13" ht="13.5">
      <c r="B161" s="699"/>
      <c r="C161" s="699"/>
      <c r="D161" s="699"/>
      <c r="E161" s="699"/>
      <c r="F161" s="704" t="s">
        <v>250</v>
      </c>
      <c r="G161" s="703">
        <f>K171/10^6</f>
        <v>4908.4953370000003</v>
      </c>
      <c r="H161" s="703">
        <f>K177/10^6</f>
        <v>5964.7344780000003</v>
      </c>
      <c r="I161" s="703">
        <f>K183/10^6</f>
        <v>6181.4502169999996</v>
      </c>
      <c r="J161" s="705">
        <f>M188/10^6</f>
        <v>4698.7546410000004</v>
      </c>
      <c r="K161" s="703"/>
      <c r="L161" s="703"/>
      <c r="M161" s="703"/>
    </row>
    <row r="162" spans="2:13" ht="13.5">
      <c r="B162" s="699"/>
      <c r="C162" s="699"/>
      <c r="D162" s="699"/>
      <c r="E162" s="699"/>
      <c r="F162" s="704" t="s">
        <v>246</v>
      </c>
      <c r="G162" s="703">
        <f>SUM(K170,K172)/10^6</f>
        <v>2340.7755240000001</v>
      </c>
      <c r="H162" s="703">
        <f>SUM(K176,K178)/10^6</f>
        <v>0</v>
      </c>
      <c r="I162" s="703">
        <v>0</v>
      </c>
      <c r="J162" s="705">
        <f>M189/10^6</f>
        <v>0</v>
      </c>
      <c r="K162" s="703"/>
      <c r="L162" s="703"/>
      <c r="M162" s="703"/>
    </row>
    <row r="163" spans="2:13" ht="13.5">
      <c r="B163" s="699"/>
      <c r="C163" s="699"/>
      <c r="D163" s="699"/>
      <c r="E163" s="699"/>
      <c r="F163" s="706" t="s">
        <v>55</v>
      </c>
      <c r="G163" s="707">
        <f>SUM(G158:G162)</f>
        <v>222054.43747399998</v>
      </c>
      <c r="H163" s="707">
        <f>SUM(H158:H162)</f>
        <v>224839.08886599998</v>
      </c>
      <c r="I163" s="707">
        <f>SUM(I158:I162)</f>
        <v>231687.93225800002</v>
      </c>
      <c r="J163" s="708">
        <f>SUM(J158:J162)</f>
        <v>233251.01481200004</v>
      </c>
      <c r="K163" s="703"/>
      <c r="L163" s="703"/>
      <c r="M163" s="703"/>
    </row>
    <row r="164" spans="2:13" ht="13.5">
      <c r="B164" s="699"/>
      <c r="C164" s="699"/>
      <c r="D164" s="699"/>
      <c r="E164" s="699"/>
      <c r="F164" s="703"/>
      <c r="G164" s="703"/>
      <c r="H164" s="703"/>
      <c r="I164" s="703"/>
      <c r="J164" s="703"/>
      <c r="K164" s="703"/>
      <c r="L164" s="703"/>
      <c r="M164" s="703"/>
    </row>
    <row r="165" spans="2:13" ht="13.5">
      <c r="B165" s="699"/>
      <c r="C165" s="699"/>
      <c r="D165" s="699"/>
      <c r="E165" s="699"/>
      <c r="F165" s="703"/>
      <c r="G165" s="703"/>
      <c r="H165" s="703"/>
      <c r="I165" s="703"/>
      <c r="J165" s="703"/>
      <c r="K165" s="703"/>
      <c r="L165" s="703"/>
      <c r="M165" s="703"/>
    </row>
    <row r="166" spans="2:13" ht="13.5">
      <c r="B166" s="699"/>
      <c r="C166" s="699"/>
      <c r="D166" s="699"/>
      <c r="E166" s="699"/>
      <c r="F166" s="703"/>
      <c r="G166" s="703"/>
      <c r="H166" s="703"/>
      <c r="I166" s="703"/>
      <c r="J166" s="703"/>
      <c r="K166" s="703"/>
      <c r="L166" s="703"/>
      <c r="M166" s="703"/>
    </row>
    <row r="167" spans="2:13" ht="13.5">
      <c r="B167" s="709"/>
      <c r="C167" s="709"/>
      <c r="D167" s="709"/>
      <c r="E167" s="709"/>
      <c r="F167" s="710"/>
      <c r="G167" s="711"/>
      <c r="H167" s="712" t="s">
        <v>1879</v>
      </c>
      <c r="I167" s="712" t="s">
        <v>1880</v>
      </c>
      <c r="J167" s="712" t="s">
        <v>1881</v>
      </c>
      <c r="K167" s="713" t="s">
        <v>55</v>
      </c>
      <c r="L167" s="712" t="s">
        <v>1882</v>
      </c>
      <c r="M167" s="712" t="s">
        <v>1883</v>
      </c>
    </row>
    <row r="168" spans="2:13" ht="13.5">
      <c r="B168" s="699"/>
      <c r="C168" s="699"/>
      <c r="D168" s="699"/>
      <c r="E168" s="699"/>
      <c r="F168" s="5724" t="s">
        <v>136</v>
      </c>
      <c r="G168" s="714" t="s">
        <v>1884</v>
      </c>
      <c r="H168" s="715">
        <v>118776380634</v>
      </c>
      <c r="I168" s="715">
        <v>4844550</v>
      </c>
      <c r="J168" s="715">
        <v>51266000</v>
      </c>
      <c r="K168" s="716">
        <f t="shared" ref="K168:K190" si="1">SUM(H168:J168)</f>
        <v>118832491184</v>
      </c>
      <c r="L168" s="717"/>
      <c r="M168" s="717"/>
    </row>
    <row r="169" spans="2:13" ht="13.5">
      <c r="B169" s="699"/>
      <c r="C169" s="699"/>
      <c r="D169" s="699"/>
      <c r="E169" s="699"/>
      <c r="F169" s="5725"/>
      <c r="G169" s="719" t="s">
        <v>1885</v>
      </c>
      <c r="H169" s="720">
        <v>95531813671</v>
      </c>
      <c r="I169" s="720">
        <v>440861758</v>
      </c>
      <c r="J169" s="720">
        <v>0</v>
      </c>
      <c r="K169" s="721">
        <f t="shared" si="1"/>
        <v>95972675429</v>
      </c>
      <c r="L169" s="703"/>
      <c r="M169" s="703"/>
    </row>
    <row r="170" spans="2:13" ht="13.5">
      <c r="B170" s="699"/>
      <c r="C170" s="699"/>
      <c r="D170" s="699"/>
      <c r="E170" s="699"/>
      <c r="F170" s="5725"/>
      <c r="G170" s="719" t="s">
        <v>1886</v>
      </c>
      <c r="H170" s="720">
        <v>2276341172</v>
      </c>
      <c r="I170" s="720">
        <v>0</v>
      </c>
      <c r="J170" s="720">
        <v>0</v>
      </c>
      <c r="K170" s="721">
        <f t="shared" si="1"/>
        <v>2276341172</v>
      </c>
      <c r="L170" s="703"/>
      <c r="M170" s="703"/>
    </row>
    <row r="171" spans="2:13" ht="13.5">
      <c r="B171" s="699"/>
      <c r="C171" s="699"/>
      <c r="D171" s="699"/>
      <c r="E171" s="699"/>
      <c r="F171" s="5725"/>
      <c r="G171" s="719" t="s">
        <v>1887</v>
      </c>
      <c r="H171" s="720">
        <v>4908495337</v>
      </c>
      <c r="I171" s="720">
        <v>0</v>
      </c>
      <c r="J171" s="720">
        <v>0</v>
      </c>
      <c r="K171" s="721">
        <f t="shared" si="1"/>
        <v>4908495337</v>
      </c>
      <c r="L171" s="703"/>
      <c r="M171" s="703"/>
    </row>
    <row r="172" spans="2:13" ht="13.5">
      <c r="B172" s="699"/>
      <c r="C172" s="699"/>
      <c r="D172" s="699"/>
      <c r="E172" s="699"/>
      <c r="F172" s="5725"/>
      <c r="G172" s="722" t="s">
        <v>1888</v>
      </c>
      <c r="H172" s="720">
        <v>64434352</v>
      </c>
      <c r="I172" s="720">
        <v>0</v>
      </c>
      <c r="J172" s="720">
        <v>0</v>
      </c>
      <c r="K172" s="721">
        <f t="shared" si="1"/>
        <v>64434352</v>
      </c>
      <c r="L172" s="703"/>
      <c r="M172" s="703"/>
    </row>
    <row r="173" spans="2:13" ht="13.5">
      <c r="B173" s="723"/>
      <c r="C173" s="723"/>
      <c r="D173" s="723"/>
      <c r="E173" s="723"/>
      <c r="F173" s="5726"/>
      <c r="G173" s="724" t="s">
        <v>1646</v>
      </c>
      <c r="H173" s="725">
        <v>221557465166</v>
      </c>
      <c r="I173" s="725">
        <v>445706308</v>
      </c>
      <c r="J173" s="725">
        <v>51266000</v>
      </c>
      <c r="K173" s="726">
        <f t="shared" si="1"/>
        <v>222054437474</v>
      </c>
      <c r="L173" s="727"/>
      <c r="M173" s="727"/>
    </row>
    <row r="174" spans="2:13" ht="13.5">
      <c r="B174" s="699"/>
      <c r="C174" s="699"/>
      <c r="D174" s="699"/>
      <c r="E174" s="699"/>
      <c r="F174" s="5724" t="s">
        <v>134</v>
      </c>
      <c r="G174" s="719" t="s">
        <v>1884</v>
      </c>
      <c r="H174" s="720">
        <v>115359465242</v>
      </c>
      <c r="I174" s="720">
        <v>87521707</v>
      </c>
      <c r="J174" s="720">
        <v>50745774</v>
      </c>
      <c r="K174" s="721">
        <f t="shared" si="1"/>
        <v>115497732723</v>
      </c>
      <c r="L174" s="703"/>
      <c r="M174" s="703"/>
    </row>
    <row r="175" spans="2:13" ht="13.5">
      <c r="B175" s="699"/>
      <c r="C175" s="699"/>
      <c r="D175" s="699"/>
      <c r="E175" s="699"/>
      <c r="F175" s="5725"/>
      <c r="G175" s="719" t="s">
        <v>1885</v>
      </c>
      <c r="H175" s="720">
        <v>103026189820</v>
      </c>
      <c r="I175" s="720">
        <v>350431845</v>
      </c>
      <c r="J175" s="720">
        <v>0</v>
      </c>
      <c r="K175" s="721">
        <f t="shared" si="1"/>
        <v>103376621665</v>
      </c>
      <c r="L175" s="703"/>
      <c r="M175" s="703"/>
    </row>
    <row r="176" spans="2:13" ht="13.5">
      <c r="B176" s="699"/>
      <c r="C176" s="699"/>
      <c r="D176" s="699"/>
      <c r="E176" s="699"/>
      <c r="F176" s="5725"/>
      <c r="G176" s="719" t="s">
        <v>1886</v>
      </c>
      <c r="H176" s="720">
        <v>0</v>
      </c>
      <c r="I176" s="720">
        <v>0</v>
      </c>
      <c r="J176" s="720">
        <v>0</v>
      </c>
      <c r="K176" s="721">
        <f t="shared" si="1"/>
        <v>0</v>
      </c>
      <c r="L176" s="703"/>
      <c r="M176" s="703"/>
    </row>
    <row r="177" spans="2:13" ht="13.5">
      <c r="B177" s="699"/>
      <c r="C177" s="699"/>
      <c r="D177" s="699"/>
      <c r="E177" s="699"/>
      <c r="F177" s="5725"/>
      <c r="G177" s="719" t="s">
        <v>1887</v>
      </c>
      <c r="H177" s="720">
        <v>5964734478</v>
      </c>
      <c r="I177" s="720">
        <v>0</v>
      </c>
      <c r="J177" s="720">
        <v>0</v>
      </c>
      <c r="K177" s="721">
        <f t="shared" si="1"/>
        <v>5964734478</v>
      </c>
      <c r="L177" s="703"/>
      <c r="M177" s="703"/>
    </row>
    <row r="178" spans="2:13" ht="13.5">
      <c r="B178" s="699"/>
      <c r="C178" s="699"/>
      <c r="D178" s="699"/>
      <c r="E178" s="699"/>
      <c r="F178" s="5725"/>
      <c r="G178" s="722" t="s">
        <v>1888</v>
      </c>
      <c r="H178" s="720">
        <v>0</v>
      </c>
      <c r="I178" s="720">
        <v>0</v>
      </c>
      <c r="J178" s="720">
        <v>0</v>
      </c>
      <c r="K178" s="721">
        <f t="shared" si="1"/>
        <v>0</v>
      </c>
      <c r="L178" s="703"/>
      <c r="M178" s="703"/>
    </row>
    <row r="179" spans="2:13" ht="13.5">
      <c r="B179" s="723"/>
      <c r="C179" s="723"/>
      <c r="D179" s="723"/>
      <c r="E179" s="723"/>
      <c r="F179" s="5726"/>
      <c r="G179" s="728" t="s">
        <v>1646</v>
      </c>
      <c r="H179" s="729">
        <v>224350389540</v>
      </c>
      <c r="I179" s="729">
        <v>437953552</v>
      </c>
      <c r="J179" s="729">
        <v>50745774</v>
      </c>
      <c r="K179" s="730">
        <f t="shared" si="1"/>
        <v>224839088866</v>
      </c>
      <c r="L179" s="731"/>
      <c r="M179" s="731"/>
    </row>
    <row r="180" spans="2:13" ht="13.5">
      <c r="B180" s="699"/>
      <c r="C180" s="699"/>
      <c r="D180" s="699"/>
      <c r="E180" s="699"/>
      <c r="F180" s="5724" t="s">
        <v>129</v>
      </c>
      <c r="G180" s="714" t="s">
        <v>1884</v>
      </c>
      <c r="H180" s="715">
        <v>128227535481</v>
      </c>
      <c r="I180" s="715">
        <v>228874268</v>
      </c>
      <c r="J180" s="715">
        <v>48662000</v>
      </c>
      <c r="K180" s="716">
        <f t="shared" si="1"/>
        <v>128505071749</v>
      </c>
      <c r="L180" s="717"/>
      <c r="M180" s="717"/>
    </row>
    <row r="181" spans="2:13" ht="13.5">
      <c r="B181" s="699"/>
      <c r="C181" s="699"/>
      <c r="D181" s="699"/>
      <c r="E181" s="699"/>
      <c r="F181" s="5725"/>
      <c r="G181" s="719" t="s">
        <v>1885</v>
      </c>
      <c r="H181" s="720">
        <v>92874218216</v>
      </c>
      <c r="I181" s="720">
        <v>200872876</v>
      </c>
      <c r="J181" s="720">
        <v>0</v>
      </c>
      <c r="K181" s="721">
        <f t="shared" si="1"/>
        <v>93075091092</v>
      </c>
      <c r="L181" s="703"/>
      <c r="M181" s="703"/>
    </row>
    <row r="182" spans="2:13" ht="13.5">
      <c r="B182" s="699"/>
      <c r="C182" s="699"/>
      <c r="D182" s="699"/>
      <c r="E182" s="699"/>
      <c r="F182" s="5725"/>
      <c r="G182" s="719" t="s">
        <v>1878</v>
      </c>
      <c r="H182" s="720">
        <v>3505205121</v>
      </c>
      <c r="I182" s="720">
        <v>421114079</v>
      </c>
      <c r="J182" s="720">
        <v>0</v>
      </c>
      <c r="K182" s="721">
        <f t="shared" si="1"/>
        <v>3926319200</v>
      </c>
      <c r="L182" s="703"/>
      <c r="M182" s="703"/>
    </row>
    <row r="183" spans="2:13" ht="13.5">
      <c r="B183" s="699"/>
      <c r="C183" s="699"/>
      <c r="D183" s="699"/>
      <c r="E183" s="699"/>
      <c r="F183" s="5725"/>
      <c r="G183" s="719" t="s">
        <v>1887</v>
      </c>
      <c r="H183" s="720">
        <v>6181450217</v>
      </c>
      <c r="I183" s="720">
        <v>0</v>
      </c>
      <c r="J183" s="720">
        <v>0</v>
      </c>
      <c r="K183" s="721">
        <f t="shared" si="1"/>
        <v>6181450217</v>
      </c>
      <c r="L183" s="703"/>
      <c r="M183" s="703"/>
    </row>
    <row r="184" spans="2:13" ht="13.5">
      <c r="B184" s="723"/>
      <c r="C184" s="723"/>
      <c r="D184" s="723"/>
      <c r="E184" s="723"/>
      <c r="F184" s="5726"/>
      <c r="G184" s="724" t="s">
        <v>1646</v>
      </c>
      <c r="H184" s="725">
        <v>230788409035</v>
      </c>
      <c r="I184" s="725">
        <v>850861223</v>
      </c>
      <c r="J184" s="725">
        <v>48662000</v>
      </c>
      <c r="K184" s="730">
        <f t="shared" si="1"/>
        <v>231687932258</v>
      </c>
      <c r="L184" s="727"/>
      <c r="M184" s="727"/>
    </row>
    <row r="185" spans="2:13" ht="13.5">
      <c r="B185" s="699"/>
      <c r="C185" s="699"/>
      <c r="D185" s="699"/>
      <c r="E185" s="699"/>
      <c r="F185" s="5724" t="s">
        <v>127</v>
      </c>
      <c r="G185" s="719" t="s">
        <v>1884</v>
      </c>
      <c r="H185" s="732">
        <v>145062699682</v>
      </c>
      <c r="I185" s="720">
        <v>247282430</v>
      </c>
      <c r="J185" s="720"/>
      <c r="K185" s="721">
        <f t="shared" si="1"/>
        <v>145309982112</v>
      </c>
      <c r="L185" s="703">
        <f>($L$190-$L$188)*K185/SUM($K$185:$K$186)</f>
        <v>-3534888508.9181004</v>
      </c>
      <c r="M185" s="703">
        <f>SUM(K185:L185)</f>
        <v>141775093603.08191</v>
      </c>
    </row>
    <row r="186" spans="2:13" ht="13.5">
      <c r="B186" s="699"/>
      <c r="C186" s="699"/>
      <c r="D186" s="699"/>
      <c r="E186" s="699"/>
      <c r="F186" s="5725"/>
      <c r="G186" s="719" t="s">
        <v>1885</v>
      </c>
      <c r="H186" s="732">
        <v>83499564225</v>
      </c>
      <c r="I186" s="720">
        <v>139944963</v>
      </c>
      <c r="J186" s="720"/>
      <c r="K186" s="721">
        <f t="shared" si="1"/>
        <v>83639509188</v>
      </c>
      <c r="L186" s="703">
        <f>($L$190-$L$188)*K186/SUM($K$185:$K$186)</f>
        <v>-2034659530.0818994</v>
      </c>
      <c r="M186" s="703">
        <f>SUM(K186:L186)</f>
        <v>81604849657.918106</v>
      </c>
    </row>
    <row r="187" spans="2:13" ht="13.5">
      <c r="B187" s="699"/>
      <c r="C187" s="699"/>
      <c r="D187" s="699"/>
      <c r="E187" s="699"/>
      <c r="F187" s="5725"/>
      <c r="G187" s="719" t="s">
        <v>1878</v>
      </c>
      <c r="H187" s="732">
        <v>4860447188</v>
      </c>
      <c r="I187" s="720">
        <v>311869722</v>
      </c>
      <c r="J187" s="720"/>
      <c r="K187" s="721">
        <f t="shared" si="1"/>
        <v>5172316910</v>
      </c>
      <c r="L187" s="703"/>
      <c r="M187" s="703">
        <f>SUM(K187:L187)</f>
        <v>5172316910</v>
      </c>
    </row>
    <row r="188" spans="2:13" ht="13.5">
      <c r="B188" s="699"/>
      <c r="C188" s="699"/>
      <c r="D188" s="699"/>
      <c r="E188" s="699"/>
      <c r="F188" s="5725"/>
      <c r="G188" s="719" t="s">
        <v>1887</v>
      </c>
      <c r="H188" s="732">
        <v>4538373089</v>
      </c>
      <c r="I188" s="720">
        <v>0</v>
      </c>
      <c r="J188" s="720"/>
      <c r="K188" s="721">
        <f t="shared" si="1"/>
        <v>4538373089</v>
      </c>
      <c r="L188" s="703">
        <v>160381552</v>
      </c>
      <c r="M188" s="703">
        <f>SUM(K188:L188)</f>
        <v>4698754641</v>
      </c>
    </row>
    <row r="189" spans="2:13" ht="13.5">
      <c r="B189" s="699"/>
      <c r="C189" s="699"/>
      <c r="D189" s="699"/>
      <c r="E189" s="699"/>
      <c r="F189" s="5725"/>
      <c r="G189" s="719" t="s">
        <v>1888</v>
      </c>
      <c r="H189" s="732">
        <v>0</v>
      </c>
      <c r="I189" s="720">
        <v>0</v>
      </c>
      <c r="J189" s="720"/>
      <c r="K189" s="721">
        <f t="shared" si="1"/>
        <v>0</v>
      </c>
      <c r="L189" s="703"/>
      <c r="M189" s="703">
        <f>SUM(K189:L189)</f>
        <v>0</v>
      </c>
    </row>
    <row r="190" spans="2:13" ht="13.5">
      <c r="B190" s="723"/>
      <c r="C190" s="723"/>
      <c r="D190" s="723"/>
      <c r="E190" s="723"/>
      <c r="F190" s="5726"/>
      <c r="G190" s="724" t="s">
        <v>1646</v>
      </c>
      <c r="H190" s="733">
        <v>237961084184</v>
      </c>
      <c r="I190" s="725">
        <v>699097115</v>
      </c>
      <c r="J190" s="725"/>
      <c r="K190" s="726">
        <f t="shared" si="1"/>
        <v>238660181299</v>
      </c>
      <c r="L190" s="733">
        <v>-5409166487</v>
      </c>
      <c r="M190" s="734">
        <v>233251014812</v>
      </c>
    </row>
  </sheetData>
  <mergeCells count="4">
    <mergeCell ref="F168:F173"/>
    <mergeCell ref="F174:F179"/>
    <mergeCell ref="F180:F184"/>
    <mergeCell ref="F185:F190"/>
  </mergeCells>
  <phoneticPr fontId="1" type="noConversion"/>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B1:AA85"/>
  <sheetViews>
    <sheetView workbookViewId="0"/>
  </sheetViews>
  <sheetFormatPr defaultColWidth="9" defaultRowHeight="12"/>
  <cols>
    <col min="1" max="1" width="1.625" style="1" customWidth="1"/>
    <col min="2" max="2" width="25.625" style="1" customWidth="1"/>
    <col min="3" max="7" width="15.125" style="1" bestFit="1" customWidth="1"/>
    <col min="8" max="8" width="9" style="1"/>
    <col min="9" max="9" width="20" style="739" customWidth="1"/>
    <col min="10" max="11" width="15.125" style="738" bestFit="1" customWidth="1"/>
    <col min="12" max="13" width="15.125" style="739" bestFit="1" customWidth="1"/>
    <col min="14" max="14" width="9" style="1"/>
    <col min="15" max="15" width="24.5" style="1" bestFit="1" customWidth="1"/>
    <col min="16" max="16" width="23.875" style="1" bestFit="1" customWidth="1"/>
    <col min="17" max="17" width="10" style="1" bestFit="1" customWidth="1"/>
    <col min="18" max="18" width="9.75" style="1" bestFit="1" customWidth="1"/>
    <col min="19" max="19" width="14.875" style="1" bestFit="1" customWidth="1"/>
    <col min="20" max="20" width="12.875" style="1" bestFit="1" customWidth="1"/>
    <col min="21" max="21" width="11.125" style="1" bestFit="1" customWidth="1"/>
    <col min="22" max="22" width="12.375" style="1" bestFit="1" customWidth="1"/>
    <col min="23" max="23" width="16.125" style="1" bestFit="1" customWidth="1"/>
    <col min="24" max="24" width="4.5" style="1" bestFit="1" customWidth="1"/>
    <col min="25" max="27" width="14.875" style="1" bestFit="1" customWidth="1"/>
    <col min="28" max="16384" width="9" style="1"/>
  </cols>
  <sheetData>
    <row r="1" spans="2:27">
      <c r="B1" s="738"/>
      <c r="F1" s="738"/>
      <c r="G1" s="738"/>
      <c r="J1" s="740"/>
      <c r="K1" s="740"/>
      <c r="L1" s="740"/>
      <c r="M1" s="740"/>
    </row>
    <row r="2" spans="2:27">
      <c r="B2" s="738"/>
      <c r="F2" s="738"/>
      <c r="G2" s="738"/>
      <c r="J2" s="740"/>
      <c r="K2" s="740"/>
      <c r="L2" s="740"/>
      <c r="M2" s="740"/>
    </row>
    <row r="3" spans="2:27" s="742" customFormat="1" ht="16.5">
      <c r="B3" s="741" t="s">
        <v>1900</v>
      </c>
      <c r="F3" s="743"/>
      <c r="G3" s="743"/>
      <c r="I3" s="744" t="s">
        <v>1901</v>
      </c>
      <c r="J3" s="743"/>
      <c r="K3" s="743"/>
      <c r="L3" s="745"/>
      <c r="M3" s="745"/>
      <c r="O3" s="746" t="s">
        <v>1902</v>
      </c>
    </row>
    <row r="4" spans="2:27">
      <c r="B4" s="738"/>
      <c r="F4" s="738"/>
      <c r="G4" s="738"/>
      <c r="I4" s="740"/>
      <c r="J4" s="740"/>
      <c r="K4" s="740"/>
      <c r="L4" s="740"/>
      <c r="M4" s="740"/>
    </row>
    <row r="5" spans="2:27">
      <c r="B5" s="738"/>
      <c r="F5" s="738"/>
      <c r="G5" s="738"/>
      <c r="I5" s="740"/>
      <c r="J5" s="740"/>
      <c r="K5" s="740"/>
      <c r="L5" s="740"/>
      <c r="M5" s="740"/>
    </row>
    <row r="6" spans="2:27" ht="12.75" thickBot="1">
      <c r="B6" s="738"/>
      <c r="F6" s="738"/>
      <c r="G6" s="806" t="s">
        <v>1889</v>
      </c>
      <c r="I6" s="747" t="s">
        <v>1903</v>
      </c>
      <c r="M6" s="748" t="s">
        <v>1904</v>
      </c>
      <c r="O6" s="749" t="s">
        <v>1905</v>
      </c>
      <c r="P6" s="664"/>
      <c r="Q6" s="664"/>
      <c r="R6" s="664"/>
      <c r="S6" s="750"/>
      <c r="T6" s="750"/>
      <c r="U6" s="662"/>
      <c r="V6" s="662"/>
      <c r="W6" s="662"/>
      <c r="X6" s="662"/>
      <c r="Y6" s="664"/>
      <c r="Z6" s="664"/>
      <c r="AA6" s="662"/>
    </row>
    <row r="7" spans="2:27" ht="23.25" thickBot="1">
      <c r="B7" s="751" t="s">
        <v>1906</v>
      </c>
      <c r="C7" s="751" t="s">
        <v>136</v>
      </c>
      <c r="D7" s="751" t="s">
        <v>134</v>
      </c>
      <c r="E7" s="751" t="s">
        <v>129</v>
      </c>
      <c r="F7" s="751" t="s">
        <v>1618</v>
      </c>
      <c r="G7" s="751" t="s">
        <v>127</v>
      </c>
      <c r="I7" s="752" t="s">
        <v>1907</v>
      </c>
      <c r="J7" s="752" t="s">
        <v>136</v>
      </c>
      <c r="K7" s="752" t="s">
        <v>134</v>
      </c>
      <c r="L7" s="752" t="s">
        <v>129</v>
      </c>
      <c r="M7" s="752" t="s">
        <v>1618</v>
      </c>
      <c r="O7" s="665" t="s">
        <v>1790</v>
      </c>
      <c r="P7" s="666" t="s">
        <v>1791</v>
      </c>
      <c r="Q7" s="666" t="s">
        <v>1792</v>
      </c>
      <c r="R7" s="666" t="s">
        <v>1793</v>
      </c>
      <c r="S7" s="753" t="s">
        <v>1794</v>
      </c>
      <c r="T7" s="753" t="s">
        <v>1795</v>
      </c>
      <c r="U7" s="667" t="s">
        <v>1801</v>
      </c>
      <c r="V7" s="662"/>
    </row>
    <row r="8" spans="2:27">
      <c r="B8" s="754" t="s">
        <v>1908</v>
      </c>
      <c r="C8" s="755">
        <v>205758677939</v>
      </c>
      <c r="D8" s="755">
        <v>206730246326</v>
      </c>
      <c r="E8" s="755">
        <v>218428860780</v>
      </c>
      <c r="F8" s="756">
        <v>168744944247</v>
      </c>
      <c r="G8" s="756">
        <v>241137594588</v>
      </c>
      <c r="I8" s="752"/>
      <c r="J8" s="752" t="s">
        <v>1909</v>
      </c>
      <c r="K8" s="752" t="s">
        <v>1909</v>
      </c>
      <c r="L8" s="752" t="s">
        <v>1909</v>
      </c>
      <c r="M8" s="752" t="s">
        <v>1909</v>
      </c>
      <c r="O8" s="210">
        <v>41000</v>
      </c>
      <c r="P8" s="210" t="s">
        <v>1804</v>
      </c>
      <c r="Q8" s="210">
        <v>107</v>
      </c>
      <c r="R8" s="210" t="s">
        <v>1805</v>
      </c>
      <c r="S8" s="73">
        <v>168653505665</v>
      </c>
      <c r="T8" s="750">
        <v>168653505665</v>
      </c>
      <c r="U8" s="1" t="s">
        <v>1910</v>
      </c>
      <c r="V8" s="1" t="s">
        <v>1911</v>
      </c>
    </row>
    <row r="9" spans="2:27">
      <c r="B9" s="757" t="s">
        <v>1912</v>
      </c>
      <c r="C9" s="758">
        <v>205758677939</v>
      </c>
      <c r="D9" s="758">
        <v>206730246326</v>
      </c>
      <c r="E9" s="758">
        <v>218428860780</v>
      </c>
      <c r="F9" s="759">
        <v>168744944247</v>
      </c>
      <c r="G9" s="759"/>
      <c r="I9" s="754" t="s">
        <v>1913</v>
      </c>
      <c r="J9" s="760">
        <v>159940846700</v>
      </c>
      <c r="K9" s="760">
        <v>151734111685</v>
      </c>
      <c r="L9" s="760">
        <v>159694313083</v>
      </c>
      <c r="M9" s="760">
        <v>126134748231</v>
      </c>
    </row>
    <row r="10" spans="2:27" ht="12.75" thickBot="1">
      <c r="B10" s="754" t="s">
        <v>1914</v>
      </c>
      <c r="C10" s="755">
        <v>188669584402</v>
      </c>
      <c r="D10" s="755">
        <v>187441497802</v>
      </c>
      <c r="E10" s="755">
        <v>194522496609</v>
      </c>
      <c r="F10" s="756">
        <v>147188760436</v>
      </c>
      <c r="G10" s="756">
        <v>208026184597</v>
      </c>
      <c r="I10" s="757" t="s">
        <v>1915</v>
      </c>
      <c r="J10" s="761">
        <v>159940846700</v>
      </c>
      <c r="K10" s="761">
        <v>151734111685</v>
      </c>
      <c r="L10" s="761">
        <v>159694313083</v>
      </c>
      <c r="M10" s="761">
        <v>126134748231</v>
      </c>
      <c r="O10" s="749" t="s">
        <v>1871</v>
      </c>
      <c r="P10" s="664"/>
      <c r="Q10" s="664"/>
      <c r="R10" s="664"/>
      <c r="S10" s="762"/>
      <c r="T10" s="762"/>
      <c r="U10" s="662"/>
      <c r="V10" s="662"/>
      <c r="W10" s="662"/>
      <c r="X10" s="662"/>
      <c r="Y10" s="662"/>
      <c r="Z10" s="662"/>
      <c r="AA10" s="662"/>
    </row>
    <row r="11" spans="2:27" ht="23.25" thickBot="1">
      <c r="B11" s="757" t="s">
        <v>1916</v>
      </c>
      <c r="C11" s="758">
        <v>188709809440</v>
      </c>
      <c r="D11" s="758">
        <v>187820570979</v>
      </c>
      <c r="E11" s="758">
        <v>194522356304</v>
      </c>
      <c r="F11" s="759">
        <v>146370551043</v>
      </c>
      <c r="G11" s="759"/>
      <c r="I11" s="754" t="s">
        <v>1917</v>
      </c>
      <c r="J11" s="760">
        <v>4935581109</v>
      </c>
      <c r="K11" s="760">
        <v>8256744643</v>
      </c>
      <c r="L11" s="760">
        <v>5088350315</v>
      </c>
      <c r="M11" s="760">
        <v>4791980313</v>
      </c>
      <c r="O11" s="763" t="s">
        <v>1790</v>
      </c>
      <c r="P11" s="764" t="s">
        <v>1791</v>
      </c>
      <c r="Q11" s="764" t="s">
        <v>1792</v>
      </c>
      <c r="R11" s="764" t="s">
        <v>1793</v>
      </c>
      <c r="S11" s="765" t="s">
        <v>1794</v>
      </c>
      <c r="T11" s="765" t="s">
        <v>1795</v>
      </c>
      <c r="U11" s="766" t="s">
        <v>1801</v>
      </c>
      <c r="V11" s="662"/>
      <c r="W11" s="662"/>
      <c r="X11" s="662"/>
      <c r="Y11" s="662"/>
      <c r="Z11" s="662"/>
      <c r="AA11" s="662"/>
    </row>
    <row r="12" spans="2:27">
      <c r="B12" s="757" t="s">
        <v>1917</v>
      </c>
      <c r="C12" s="758">
        <v>4839967207</v>
      </c>
      <c r="D12" s="758">
        <v>6899420147</v>
      </c>
      <c r="E12" s="758">
        <v>8849147818</v>
      </c>
      <c r="F12" s="759">
        <v>8875609692</v>
      </c>
      <c r="G12" s="759"/>
      <c r="I12" s="754" t="s">
        <v>1918</v>
      </c>
      <c r="J12" s="760">
        <v>163144716032</v>
      </c>
      <c r="K12" s="760">
        <v>148565717357</v>
      </c>
      <c r="L12" s="760">
        <v>159397943081</v>
      </c>
      <c r="M12" s="760">
        <v>123679448872</v>
      </c>
      <c r="O12" s="767">
        <v>11156</v>
      </c>
      <c r="P12" s="767" t="s">
        <v>1804</v>
      </c>
      <c r="Q12" s="767" t="s">
        <v>1919</v>
      </c>
      <c r="R12" s="767" t="s">
        <v>1805</v>
      </c>
      <c r="S12" s="768">
        <v>46748131</v>
      </c>
      <c r="T12" s="768">
        <v>46748131</v>
      </c>
      <c r="U12" s="769"/>
      <c r="V12" s="1" t="s">
        <v>1505</v>
      </c>
    </row>
    <row r="13" spans="2:27">
      <c r="B13" s="757" t="s">
        <v>1918</v>
      </c>
      <c r="C13" s="758">
        <v>190769262380</v>
      </c>
      <c r="D13" s="758">
        <v>189770298650</v>
      </c>
      <c r="E13" s="758">
        <v>194548818178</v>
      </c>
      <c r="F13" s="759">
        <v>152653102437</v>
      </c>
      <c r="G13" s="759"/>
      <c r="I13" s="754" t="s">
        <v>1920</v>
      </c>
      <c r="J13" s="760">
        <v>0</v>
      </c>
      <c r="K13" s="760">
        <v>0</v>
      </c>
      <c r="L13" s="760">
        <v>0</v>
      </c>
      <c r="M13" s="760">
        <v>0</v>
      </c>
    </row>
    <row r="14" spans="2:27">
      <c r="B14" s="757" t="s">
        <v>1920</v>
      </c>
      <c r="C14" s="758">
        <v>0</v>
      </c>
      <c r="D14" s="758">
        <v>0</v>
      </c>
      <c r="E14" s="758">
        <v>0</v>
      </c>
      <c r="F14" s="759">
        <v>0</v>
      </c>
      <c r="G14" s="759"/>
      <c r="I14" s="754" t="s">
        <v>1921</v>
      </c>
      <c r="J14" s="760">
        <v>0</v>
      </c>
      <c r="K14" s="760">
        <v>0</v>
      </c>
      <c r="L14" s="760">
        <v>0</v>
      </c>
      <c r="M14" s="760">
        <v>0</v>
      </c>
      <c r="V14" s="73"/>
    </row>
    <row r="15" spans="2:27">
      <c r="B15" s="757" t="s">
        <v>1921</v>
      </c>
      <c r="C15" s="758">
        <v>0</v>
      </c>
      <c r="D15" s="758">
        <v>0</v>
      </c>
      <c r="E15" s="758">
        <v>0</v>
      </c>
      <c r="F15" s="759">
        <v>0</v>
      </c>
      <c r="G15" s="759"/>
      <c r="I15" s="754" t="s">
        <v>1922</v>
      </c>
      <c r="J15" s="760">
        <v>8139450441</v>
      </c>
      <c r="K15" s="760">
        <v>5088350315</v>
      </c>
      <c r="L15" s="760">
        <v>4791980313</v>
      </c>
      <c r="M15" s="760">
        <v>2336680954</v>
      </c>
      <c r="O15" s="770" t="s">
        <v>1923</v>
      </c>
      <c r="V15" s="73"/>
    </row>
    <row r="16" spans="2:27">
      <c r="B16" s="757" t="s">
        <v>1922</v>
      </c>
      <c r="C16" s="758">
        <v>6899420147</v>
      </c>
      <c r="D16" s="758">
        <v>8849147818</v>
      </c>
      <c r="E16" s="758">
        <v>8875609692</v>
      </c>
      <c r="F16" s="759">
        <v>14335656308</v>
      </c>
      <c r="G16" s="759"/>
      <c r="I16" s="754" t="s">
        <v>1924</v>
      </c>
      <c r="J16" s="760">
        <v>4412610875</v>
      </c>
      <c r="K16" s="760">
        <v>5110462748</v>
      </c>
      <c r="L16" s="760">
        <v>5320158326</v>
      </c>
      <c r="M16" s="760">
        <v>3820466487</v>
      </c>
      <c r="T16" s="771" t="s">
        <v>1925</v>
      </c>
      <c r="U16" s="771"/>
      <c r="W16" s="738"/>
      <c r="X16" s="738"/>
      <c r="Y16" s="738"/>
      <c r="Z16" s="738"/>
      <c r="AA16" s="772" t="s">
        <v>1926</v>
      </c>
    </row>
    <row r="17" spans="2:27">
      <c r="B17" s="757" t="s">
        <v>1927</v>
      </c>
      <c r="D17" s="758">
        <v>-380327640</v>
      </c>
      <c r="E17" s="758">
        <v>0</v>
      </c>
      <c r="F17" s="759">
        <v>822504778</v>
      </c>
      <c r="G17" s="759"/>
      <c r="I17" s="757" t="s">
        <v>1928</v>
      </c>
      <c r="J17" s="761">
        <v>4052263714</v>
      </c>
      <c r="K17" s="761">
        <v>4710831870</v>
      </c>
      <c r="L17" s="761">
        <v>4866485432</v>
      </c>
      <c r="M17" s="761">
        <v>3460467341</v>
      </c>
      <c r="O17" s="773" t="s">
        <v>1407</v>
      </c>
      <c r="P17" s="774" t="s">
        <v>1929</v>
      </c>
      <c r="Q17" s="774" t="s">
        <v>140</v>
      </c>
      <c r="R17" s="774" t="s">
        <v>1930</v>
      </c>
      <c r="S17" s="774" t="s">
        <v>146</v>
      </c>
      <c r="T17" s="775" t="s">
        <v>1931</v>
      </c>
      <c r="U17" s="776"/>
      <c r="W17" s="777" t="s">
        <v>1932</v>
      </c>
      <c r="X17" s="777"/>
      <c r="Y17" s="778" t="s">
        <v>1933</v>
      </c>
      <c r="Z17" s="778" t="s">
        <v>1934</v>
      </c>
      <c r="AA17" s="778" t="s">
        <v>1935</v>
      </c>
    </row>
    <row r="18" spans="2:27">
      <c r="B18" s="757" t="s">
        <v>1936</v>
      </c>
      <c r="C18" s="758">
        <v>-40225038</v>
      </c>
      <c r="D18" s="758">
        <v>1254463</v>
      </c>
      <c r="E18" s="758">
        <v>140305</v>
      </c>
      <c r="F18" s="759">
        <v>-4295385</v>
      </c>
      <c r="G18" s="759"/>
      <c r="I18" s="757" t="s">
        <v>1937</v>
      </c>
      <c r="J18" s="761">
        <v>360347161</v>
      </c>
      <c r="K18" s="761">
        <v>399630878</v>
      </c>
      <c r="L18" s="761">
        <v>453672894</v>
      </c>
      <c r="M18" s="761">
        <v>359999146</v>
      </c>
      <c r="O18" s="779" t="s">
        <v>1938</v>
      </c>
      <c r="P18" s="780" t="s">
        <v>1939</v>
      </c>
      <c r="Q18" s="781" t="s">
        <v>1432</v>
      </c>
      <c r="R18" s="781" t="s">
        <v>1432</v>
      </c>
      <c r="S18" s="781" t="s">
        <v>1940</v>
      </c>
      <c r="T18" s="782" t="s">
        <v>1432</v>
      </c>
      <c r="U18" s="771"/>
      <c r="W18" s="783" t="s">
        <v>1941</v>
      </c>
      <c r="X18" s="784" t="s">
        <v>1942</v>
      </c>
      <c r="Y18" s="785">
        <v>4557105000</v>
      </c>
      <c r="Z18" s="785">
        <v>4557105000</v>
      </c>
      <c r="AA18" s="785">
        <v>4557105000</v>
      </c>
    </row>
    <row r="19" spans="2:27">
      <c r="B19" s="757" t="s">
        <v>1943</v>
      </c>
      <c r="C19" s="758">
        <v>17089093537</v>
      </c>
      <c r="D19" s="758">
        <v>19288748524</v>
      </c>
      <c r="E19" s="758">
        <v>23906364171</v>
      </c>
      <c r="F19" s="759">
        <v>21556183811</v>
      </c>
      <c r="G19" s="759">
        <v>33111409991</v>
      </c>
      <c r="I19" s="754" t="s">
        <v>1944</v>
      </c>
      <c r="J19" s="760">
        <v>27668621035</v>
      </c>
      <c r="K19" s="760">
        <v>30642717354</v>
      </c>
      <c r="L19" s="760">
        <v>30943157253</v>
      </c>
      <c r="M19" s="760">
        <v>23493713489</v>
      </c>
      <c r="O19" s="779" t="s">
        <v>1945</v>
      </c>
      <c r="P19" s="780" t="s">
        <v>1946</v>
      </c>
      <c r="Q19" s="786">
        <v>217797766</v>
      </c>
      <c r="R19" s="781" t="s">
        <v>1432</v>
      </c>
      <c r="S19" s="781" t="s">
        <v>1947</v>
      </c>
      <c r="T19" s="782" t="s">
        <v>1948</v>
      </c>
      <c r="U19" s="771"/>
      <c r="W19" s="783"/>
      <c r="X19" s="787" t="s">
        <v>1949</v>
      </c>
      <c r="Y19" s="788"/>
      <c r="Z19" s="788"/>
      <c r="AA19" s="788"/>
    </row>
    <row r="20" spans="2:27">
      <c r="B20" s="754" t="s">
        <v>1950</v>
      </c>
      <c r="C20" s="755">
        <v>-14162509101</v>
      </c>
      <c r="D20" s="755">
        <v>-2162889277</v>
      </c>
      <c r="E20" s="755">
        <v>2778489520</v>
      </c>
      <c r="F20" s="756">
        <v>1965582932</v>
      </c>
      <c r="G20" s="756">
        <v>2736445326</v>
      </c>
      <c r="I20" s="757" t="s">
        <v>1951</v>
      </c>
      <c r="J20" s="761">
        <v>1512850125</v>
      </c>
      <c r="K20" s="761">
        <v>1984608463</v>
      </c>
      <c r="L20" s="761">
        <v>1641999782</v>
      </c>
      <c r="M20" s="761">
        <v>1063356751</v>
      </c>
      <c r="O20" s="789" t="s">
        <v>1952</v>
      </c>
      <c r="P20" s="780" t="s">
        <v>1953</v>
      </c>
      <c r="Q20" s="781" t="s">
        <v>1432</v>
      </c>
      <c r="R20" s="781" t="s">
        <v>1432</v>
      </c>
      <c r="S20" s="781" t="s">
        <v>1954</v>
      </c>
      <c r="T20" s="782" t="s">
        <v>1432</v>
      </c>
      <c r="U20" s="771"/>
      <c r="W20" s="783" t="s">
        <v>1955</v>
      </c>
      <c r="X20" s="784" t="s">
        <v>1942</v>
      </c>
      <c r="Y20" s="785"/>
      <c r="Z20" s="785"/>
      <c r="AA20" s="785"/>
    </row>
    <row r="21" spans="2:27">
      <c r="B21" s="757" t="s">
        <v>1956</v>
      </c>
      <c r="C21" s="758">
        <v>745614020</v>
      </c>
      <c r="D21" s="758">
        <v>894027148</v>
      </c>
      <c r="E21" s="758">
        <v>972818450</v>
      </c>
      <c r="F21" s="759">
        <v>719040430</v>
      </c>
      <c r="G21" s="759"/>
      <c r="I21" s="757" t="s">
        <v>1957</v>
      </c>
      <c r="J21" s="761">
        <v>5580641606</v>
      </c>
      <c r="K21" s="761">
        <v>5230363072</v>
      </c>
      <c r="L21" s="761">
        <v>5635328413</v>
      </c>
      <c r="M21" s="761">
        <v>3945382460</v>
      </c>
      <c r="O21" s="790"/>
      <c r="P21" s="780" t="s">
        <v>1958</v>
      </c>
      <c r="Q21" s="781" t="s">
        <v>1432</v>
      </c>
      <c r="R21" s="786">
        <v>63687</v>
      </c>
      <c r="S21" s="781" t="s">
        <v>1432</v>
      </c>
      <c r="T21" s="782" t="s">
        <v>1432</v>
      </c>
      <c r="U21" s="771"/>
      <c r="W21" s="783"/>
      <c r="X21" s="787" t="s">
        <v>1949</v>
      </c>
      <c r="Y21" s="788">
        <v>260332634862</v>
      </c>
      <c r="Z21" s="788">
        <v>249763242779</v>
      </c>
      <c r="AA21" s="788">
        <v>271119589553</v>
      </c>
    </row>
    <row r="22" spans="2:27">
      <c r="B22" s="757" t="s">
        <v>1959</v>
      </c>
      <c r="C22" s="758">
        <v>395658120</v>
      </c>
      <c r="D22" s="758">
        <v>356743230</v>
      </c>
      <c r="E22" s="758">
        <v>271234200</v>
      </c>
      <c r="F22" s="759">
        <v>205540730</v>
      </c>
      <c r="G22" s="759"/>
      <c r="I22" s="757" t="s">
        <v>1960</v>
      </c>
      <c r="J22" s="761">
        <v>3933478819</v>
      </c>
      <c r="K22" s="761">
        <v>4565419901</v>
      </c>
      <c r="L22" s="761">
        <v>4157867781</v>
      </c>
      <c r="M22" s="761">
        <v>2544333683</v>
      </c>
      <c r="O22" s="791"/>
      <c r="P22" s="780" t="s">
        <v>2450</v>
      </c>
      <c r="Q22" s="781" t="s">
        <v>1432</v>
      </c>
      <c r="R22" s="781" t="s">
        <v>1432</v>
      </c>
      <c r="S22" s="781" t="s">
        <v>1962</v>
      </c>
      <c r="T22" s="782" t="s">
        <v>1963</v>
      </c>
      <c r="U22" s="771"/>
      <c r="W22" s="783" t="s">
        <v>1964</v>
      </c>
      <c r="X22" s="784" t="s">
        <v>1942</v>
      </c>
      <c r="Y22" s="785"/>
      <c r="Z22" s="785"/>
      <c r="AA22" s="785"/>
    </row>
    <row r="23" spans="2:27">
      <c r="B23" s="757" t="s">
        <v>1965</v>
      </c>
      <c r="C23" s="758">
        <v>105818802</v>
      </c>
      <c r="D23" s="758">
        <v>114700209</v>
      </c>
      <c r="E23" s="758">
        <v>133892858</v>
      </c>
      <c r="F23" s="759">
        <v>126604485</v>
      </c>
      <c r="G23" s="759"/>
      <c r="I23" s="757" t="s">
        <v>1966</v>
      </c>
      <c r="J23" s="761">
        <v>702038710</v>
      </c>
      <c r="K23" s="761">
        <v>726337610</v>
      </c>
      <c r="L23" s="761">
        <v>897994903</v>
      </c>
      <c r="M23" s="761">
        <v>655584640</v>
      </c>
      <c r="O23" s="779" t="s">
        <v>246</v>
      </c>
      <c r="P23" s="780" t="s">
        <v>1967</v>
      </c>
      <c r="Q23" s="781" t="s">
        <v>1432</v>
      </c>
      <c r="R23" s="781" t="s">
        <v>1432</v>
      </c>
      <c r="S23" s="781" t="s">
        <v>1968</v>
      </c>
      <c r="T23" s="782" t="s">
        <v>1432</v>
      </c>
      <c r="U23" s="771"/>
      <c r="W23" s="783"/>
      <c r="X23" s="787" t="s">
        <v>1949</v>
      </c>
      <c r="Y23" s="788">
        <v>39030000000</v>
      </c>
      <c r="Z23" s="788">
        <v>38200000000</v>
      </c>
      <c r="AA23" s="788">
        <v>37680000000</v>
      </c>
    </row>
    <row r="24" spans="2:27">
      <c r="B24" s="757" t="s">
        <v>1969</v>
      </c>
      <c r="C24" s="758">
        <v>141474953</v>
      </c>
      <c r="D24" s="758">
        <v>114369447</v>
      </c>
      <c r="E24" s="758">
        <v>132046195</v>
      </c>
      <c r="F24" s="759">
        <v>64933272</v>
      </c>
      <c r="G24" s="759"/>
      <c r="I24" s="757" t="s">
        <v>1970</v>
      </c>
      <c r="J24" s="761">
        <v>1212836228</v>
      </c>
      <c r="K24" s="761">
        <v>1133114178</v>
      </c>
      <c r="L24" s="761">
        <v>1226530881</v>
      </c>
      <c r="M24" s="761">
        <v>871083374</v>
      </c>
      <c r="O24" s="792" t="s">
        <v>1971</v>
      </c>
      <c r="P24" s="793"/>
      <c r="Q24" s="794" t="s">
        <v>1972</v>
      </c>
      <c r="R24" s="794" t="s">
        <v>1973</v>
      </c>
      <c r="S24" s="794" t="s">
        <v>1974</v>
      </c>
      <c r="T24" s="795" t="s">
        <v>1975</v>
      </c>
      <c r="U24" s="771"/>
      <c r="W24" s="783" t="s">
        <v>1976</v>
      </c>
      <c r="X24" s="784" t="s">
        <v>1942</v>
      </c>
      <c r="Y24" s="785">
        <v>51523200</v>
      </c>
      <c r="Z24" s="785">
        <v>51523000</v>
      </c>
      <c r="AA24" s="785">
        <v>51523000</v>
      </c>
    </row>
    <row r="25" spans="2:27">
      <c r="B25" s="757" t="s">
        <v>1977</v>
      </c>
      <c r="C25" s="758">
        <v>69754046</v>
      </c>
      <c r="D25" s="758">
        <v>59015696</v>
      </c>
      <c r="E25" s="758">
        <v>54930337</v>
      </c>
      <c r="F25" s="759">
        <v>4531173</v>
      </c>
      <c r="G25" s="759"/>
      <c r="I25" s="757" t="s">
        <v>1978</v>
      </c>
      <c r="J25" s="761">
        <v>35039018</v>
      </c>
      <c r="K25" s="761">
        <v>20772863</v>
      </c>
      <c r="L25" s="761">
        <v>34443728</v>
      </c>
      <c r="M25" s="761">
        <v>11683440</v>
      </c>
      <c r="O25" s="796"/>
      <c r="W25" s="783"/>
      <c r="X25" s="787" t="s">
        <v>1949</v>
      </c>
      <c r="Y25" s="788">
        <v>6900000000</v>
      </c>
      <c r="Z25" s="788">
        <v>7015000000</v>
      </c>
      <c r="AA25" s="788">
        <v>6620406250</v>
      </c>
    </row>
    <row r="26" spans="2:27">
      <c r="B26" s="757" t="s">
        <v>1979</v>
      </c>
      <c r="C26" s="758">
        <v>8471654</v>
      </c>
      <c r="D26" s="758">
        <v>5649739</v>
      </c>
      <c r="E26" s="758">
        <v>8912962</v>
      </c>
      <c r="F26" s="759">
        <v>6561630</v>
      </c>
      <c r="G26" s="759"/>
      <c r="I26" s="757" t="s">
        <v>1980</v>
      </c>
      <c r="J26" s="761">
        <v>32916843</v>
      </c>
      <c r="K26" s="761">
        <v>37680584</v>
      </c>
      <c r="L26" s="761">
        <v>49080390</v>
      </c>
      <c r="M26" s="761">
        <v>37467891</v>
      </c>
      <c r="O26" s="770" t="s">
        <v>1981</v>
      </c>
    </row>
    <row r="27" spans="2:27">
      <c r="B27" s="757" t="s">
        <v>1982</v>
      </c>
      <c r="C27" s="758">
        <v>-16983350300</v>
      </c>
      <c r="D27" s="758">
        <v>-5360428460</v>
      </c>
      <c r="E27" s="758">
        <v>61890570</v>
      </c>
      <c r="F27" s="759">
        <v>10130600</v>
      </c>
      <c r="G27" s="759"/>
      <c r="I27" s="757" t="s">
        <v>1983</v>
      </c>
      <c r="J27" s="761">
        <v>363637</v>
      </c>
      <c r="K27" s="761">
        <v>863637</v>
      </c>
      <c r="L27" s="761">
        <v>409091</v>
      </c>
      <c r="M27" s="761">
        <v>445455</v>
      </c>
      <c r="T27" s="771" t="s">
        <v>1925</v>
      </c>
    </row>
    <row r="28" spans="2:27">
      <c r="B28" s="757" t="s">
        <v>1984</v>
      </c>
      <c r="C28" s="758">
        <v>74817000</v>
      </c>
      <c r="D28" s="758">
        <v>70324127</v>
      </c>
      <c r="E28" s="758">
        <v>44475000</v>
      </c>
      <c r="F28" s="759">
        <v>30802092</v>
      </c>
      <c r="G28" s="759"/>
      <c r="I28" s="757" t="s">
        <v>1985</v>
      </c>
      <c r="J28" s="761">
        <v>88263960</v>
      </c>
      <c r="K28" s="761">
        <v>112532110</v>
      </c>
      <c r="L28" s="761">
        <v>106145710</v>
      </c>
      <c r="M28" s="761">
        <v>99408520</v>
      </c>
      <c r="O28" s="773" t="s">
        <v>1407</v>
      </c>
      <c r="P28" s="774" t="s">
        <v>1929</v>
      </c>
      <c r="Q28" s="774" t="s">
        <v>140</v>
      </c>
      <c r="R28" s="774" t="s">
        <v>1930</v>
      </c>
      <c r="S28" s="774" t="s">
        <v>146</v>
      </c>
      <c r="T28" s="775" t="s">
        <v>1931</v>
      </c>
    </row>
    <row r="29" spans="2:27">
      <c r="B29" s="757" t="s">
        <v>1986</v>
      </c>
      <c r="C29" s="758">
        <v>1072951</v>
      </c>
      <c r="D29" s="758">
        <v>1043956</v>
      </c>
      <c r="E29" s="758">
        <v>1771530</v>
      </c>
      <c r="F29" s="759">
        <v>1496687</v>
      </c>
      <c r="G29" s="759"/>
      <c r="I29" s="757" t="s">
        <v>1987</v>
      </c>
      <c r="J29" s="761">
        <v>84617149</v>
      </c>
      <c r="K29" s="761">
        <v>90125266</v>
      </c>
      <c r="L29" s="761">
        <v>91378415</v>
      </c>
      <c r="M29" s="761">
        <v>72119211</v>
      </c>
      <c r="O29" s="779" t="s">
        <v>1938</v>
      </c>
      <c r="P29" s="780" t="s">
        <v>1939</v>
      </c>
      <c r="Q29" s="781" t="s">
        <v>1432</v>
      </c>
      <c r="R29" s="781" t="s">
        <v>1432</v>
      </c>
      <c r="S29" s="781" t="s">
        <v>1988</v>
      </c>
      <c r="T29" s="782" t="s">
        <v>1432</v>
      </c>
    </row>
    <row r="30" spans="2:27">
      <c r="B30" s="757" t="s">
        <v>1989</v>
      </c>
      <c r="C30" s="758">
        <v>67680124</v>
      </c>
      <c r="D30" s="758">
        <v>36259898</v>
      </c>
      <c r="E30" s="758">
        <v>6839538</v>
      </c>
      <c r="F30" s="759">
        <v>12774996</v>
      </c>
      <c r="G30" s="759"/>
      <c r="I30" s="757" t="s">
        <v>1990</v>
      </c>
      <c r="J30" s="761">
        <v>6093057942</v>
      </c>
      <c r="K30" s="761">
        <v>6085868156</v>
      </c>
      <c r="L30" s="761">
        <v>7342207949</v>
      </c>
      <c r="M30" s="761">
        <v>5709495973</v>
      </c>
      <c r="O30" s="779" t="s">
        <v>1945</v>
      </c>
      <c r="P30" s="780" t="s">
        <v>1946</v>
      </c>
      <c r="Q30" s="786">
        <v>206678920</v>
      </c>
      <c r="R30" s="781" t="s">
        <v>1432</v>
      </c>
      <c r="S30" s="781" t="s">
        <v>1991</v>
      </c>
      <c r="T30" s="782" t="s">
        <v>1432</v>
      </c>
    </row>
    <row r="31" spans="2:27">
      <c r="B31" s="757" t="s">
        <v>1992</v>
      </c>
      <c r="C31" s="758">
        <v>93636</v>
      </c>
      <c r="D31" s="758"/>
      <c r="E31" s="758"/>
      <c r="F31" s="759"/>
      <c r="G31" s="759"/>
      <c r="I31" s="757" t="s">
        <v>1993</v>
      </c>
      <c r="J31" s="761">
        <v>83418052</v>
      </c>
      <c r="K31" s="761">
        <v>59481134</v>
      </c>
      <c r="L31" s="761">
        <v>59921398</v>
      </c>
      <c r="M31" s="761">
        <v>45177414</v>
      </c>
      <c r="O31" s="789" t="s">
        <v>1952</v>
      </c>
      <c r="P31" s="780" t="s">
        <v>1953</v>
      </c>
      <c r="Q31" s="781" t="s">
        <v>1432</v>
      </c>
      <c r="R31" s="781" t="s">
        <v>1432</v>
      </c>
      <c r="S31" s="781" t="s">
        <v>1994</v>
      </c>
      <c r="T31" s="782" t="s">
        <v>1995</v>
      </c>
    </row>
    <row r="32" spans="2:27">
      <c r="B32" s="757" t="s">
        <v>1996</v>
      </c>
      <c r="C32" s="758">
        <v>5333888</v>
      </c>
      <c r="D32" s="758">
        <v>6153554</v>
      </c>
      <c r="E32" s="758">
        <v>6141296</v>
      </c>
      <c r="F32" s="759">
        <v>3843139</v>
      </c>
      <c r="G32" s="759"/>
      <c r="I32" s="757" t="s">
        <v>1997</v>
      </c>
      <c r="J32" s="761"/>
      <c r="K32" s="761"/>
      <c r="L32" s="761">
        <v>27138646</v>
      </c>
      <c r="M32" s="761">
        <v>22813763</v>
      </c>
      <c r="O32" s="790"/>
      <c r="P32" s="780" t="s">
        <v>1998</v>
      </c>
      <c r="Q32" s="797" t="s">
        <v>1432</v>
      </c>
      <c r="R32" s="797" t="s">
        <v>1432</v>
      </c>
      <c r="S32" s="797" t="s">
        <v>1999</v>
      </c>
      <c r="T32" s="798" t="s">
        <v>2000</v>
      </c>
    </row>
    <row r="33" spans="2:21">
      <c r="B33" s="757" t="s">
        <v>2001</v>
      </c>
      <c r="C33" s="758">
        <v>47773237</v>
      </c>
      <c r="D33" s="758">
        <v>46409015</v>
      </c>
      <c r="E33" s="758">
        <v>44162764</v>
      </c>
      <c r="F33" s="759">
        <v>21175580</v>
      </c>
      <c r="G33" s="759"/>
      <c r="I33" s="757" t="s">
        <v>197</v>
      </c>
      <c r="J33" s="761">
        <v>3057167008</v>
      </c>
      <c r="K33" s="761">
        <v>4111234970</v>
      </c>
      <c r="L33" s="761">
        <v>3168253599</v>
      </c>
      <c r="M33" s="761">
        <v>3028764620</v>
      </c>
      <c r="O33" s="790"/>
      <c r="P33" s="780" t="s">
        <v>1958</v>
      </c>
      <c r="Q33" s="781" t="s">
        <v>1432</v>
      </c>
      <c r="R33" s="786">
        <v>35191</v>
      </c>
      <c r="S33" s="781" t="s">
        <v>1432</v>
      </c>
      <c r="T33" s="782" t="s">
        <v>1432</v>
      </c>
    </row>
    <row r="34" spans="2:21">
      <c r="B34" s="757" t="s">
        <v>2002</v>
      </c>
      <c r="C34" s="758">
        <v>3277272</v>
      </c>
      <c r="D34" s="758">
        <v>10019007</v>
      </c>
      <c r="E34" s="758">
        <v>17508183</v>
      </c>
      <c r="F34" s="759">
        <v>10821457</v>
      </c>
      <c r="G34" s="759"/>
      <c r="I34" s="757" t="s">
        <v>2003</v>
      </c>
      <c r="J34" s="761">
        <v>74247220</v>
      </c>
      <c r="K34" s="761">
        <v>74472452</v>
      </c>
      <c r="L34" s="761">
        <v>78888848</v>
      </c>
      <c r="M34" s="761">
        <v>57112039</v>
      </c>
      <c r="O34" s="791"/>
      <c r="P34" s="780" t="s">
        <v>1961</v>
      </c>
      <c r="Q34" s="781" t="s">
        <v>1432</v>
      </c>
      <c r="R34" s="781" t="s">
        <v>1432</v>
      </c>
      <c r="S34" s="781" t="s">
        <v>2004</v>
      </c>
      <c r="T34" s="782" t="s">
        <v>2005</v>
      </c>
    </row>
    <row r="35" spans="2:21">
      <c r="B35" s="757" t="s">
        <v>2006</v>
      </c>
      <c r="C35" s="758">
        <v>714278698</v>
      </c>
      <c r="D35" s="758">
        <v>757993489</v>
      </c>
      <c r="E35" s="758">
        <v>798276973</v>
      </c>
      <c r="F35" s="759">
        <v>561256376</v>
      </c>
      <c r="G35" s="759"/>
      <c r="I35" s="757" t="s">
        <v>2007</v>
      </c>
      <c r="J35" s="761">
        <v>44540890</v>
      </c>
      <c r="K35" s="761">
        <v>62226530</v>
      </c>
      <c r="L35" s="761">
        <v>52061340</v>
      </c>
      <c r="M35" s="761">
        <v>34429220</v>
      </c>
      <c r="O35" s="779" t="s">
        <v>246</v>
      </c>
      <c r="P35" s="780" t="s">
        <v>1967</v>
      </c>
      <c r="Q35" s="781" t="s">
        <v>1432</v>
      </c>
      <c r="R35" s="781" t="s">
        <v>1432</v>
      </c>
      <c r="S35" s="781" t="s">
        <v>2008</v>
      </c>
      <c r="T35" s="782" t="s">
        <v>1432</v>
      </c>
    </row>
    <row r="36" spans="2:21">
      <c r="B36" s="757" t="s">
        <v>2009</v>
      </c>
      <c r="C36" s="758">
        <v>356046581</v>
      </c>
      <c r="D36" s="758">
        <v>663113920</v>
      </c>
      <c r="E36" s="758">
        <v>127618240</v>
      </c>
      <c r="F36" s="759">
        <v>119995068</v>
      </c>
      <c r="G36" s="759"/>
      <c r="I36" s="757"/>
      <c r="J36" s="761">
        <v>364496</v>
      </c>
      <c r="K36" s="761">
        <v>580157</v>
      </c>
      <c r="L36" s="761"/>
      <c r="M36" s="761"/>
      <c r="O36" s="792" t="s">
        <v>1971</v>
      </c>
      <c r="P36" s="793"/>
      <c r="Q36" s="794" t="s">
        <v>2010</v>
      </c>
      <c r="R36" s="794" t="s">
        <v>2011</v>
      </c>
      <c r="S36" s="794" t="s">
        <v>2012</v>
      </c>
      <c r="T36" s="795" t="s">
        <v>2013</v>
      </c>
    </row>
    <row r="37" spans="2:21">
      <c r="B37" s="757" t="s">
        <v>2014</v>
      </c>
      <c r="C37" s="758">
        <v>2791239</v>
      </c>
      <c r="D37" s="758">
        <v>3724578</v>
      </c>
      <c r="E37" s="758">
        <v>127819</v>
      </c>
      <c r="F37" s="759">
        <v>1219091</v>
      </c>
      <c r="G37" s="759"/>
      <c r="I37" s="757" t="s">
        <v>2015</v>
      </c>
      <c r="J37" s="761">
        <v>2704545</v>
      </c>
      <c r="K37" s="761">
        <v>83380000</v>
      </c>
      <c r="L37" s="761">
        <v>142000000</v>
      </c>
      <c r="M37" s="761">
        <v>107200000</v>
      </c>
    </row>
    <row r="38" spans="2:21">
      <c r="B38" s="757" t="s">
        <v>2016</v>
      </c>
      <c r="C38" s="758">
        <v>2952106</v>
      </c>
      <c r="D38" s="758">
        <v>3247674</v>
      </c>
      <c r="E38" s="758">
        <v>2267226</v>
      </c>
      <c r="F38" s="759">
        <v>2115855</v>
      </c>
      <c r="G38" s="759"/>
      <c r="I38" s="757" t="s">
        <v>2017</v>
      </c>
      <c r="J38" s="761">
        <v>1086167526</v>
      </c>
      <c r="K38" s="761">
        <v>1342011380</v>
      </c>
      <c r="L38" s="761">
        <v>1512839862</v>
      </c>
      <c r="M38" s="761">
        <v>1151496625</v>
      </c>
      <c r="O38" s="770" t="s">
        <v>2018</v>
      </c>
    </row>
    <row r="39" spans="2:21">
      <c r="B39" s="757" t="s">
        <v>2019</v>
      </c>
      <c r="C39" s="758"/>
      <c r="D39" s="758">
        <v>0</v>
      </c>
      <c r="E39" s="758"/>
      <c r="F39" s="759">
        <v>2172000</v>
      </c>
      <c r="G39" s="759"/>
      <c r="I39" s="757" t="s">
        <v>198</v>
      </c>
      <c r="J39" s="761">
        <v>1664833638</v>
      </c>
      <c r="K39" s="761">
        <v>1881258691</v>
      </c>
      <c r="L39" s="761">
        <v>1523358729</v>
      </c>
      <c r="M39" s="761">
        <v>1562532535</v>
      </c>
      <c r="U39" s="771" t="s">
        <v>1925</v>
      </c>
    </row>
    <row r="40" spans="2:21">
      <c r="B40" s="757" t="s">
        <v>2020</v>
      </c>
      <c r="C40" s="758">
        <v>67061002</v>
      </c>
      <c r="D40" s="758">
        <v>30804856</v>
      </c>
      <c r="E40" s="758">
        <v>43770738</v>
      </c>
      <c r="F40" s="759">
        <v>24146032</v>
      </c>
      <c r="G40" s="759"/>
      <c r="I40" s="757" t="s">
        <v>2021</v>
      </c>
      <c r="J40" s="761">
        <v>12556000</v>
      </c>
      <c r="K40" s="761">
        <v>13066844</v>
      </c>
      <c r="L40" s="761">
        <v>13538710</v>
      </c>
      <c r="M40" s="761">
        <v>9346640</v>
      </c>
      <c r="O40" s="773" t="s">
        <v>2022</v>
      </c>
      <c r="P40" s="774" t="s">
        <v>2023</v>
      </c>
      <c r="Q40" s="774" t="s">
        <v>140</v>
      </c>
      <c r="R40" s="774" t="s">
        <v>1930</v>
      </c>
      <c r="S40" s="774" t="s">
        <v>146</v>
      </c>
      <c r="T40" s="774" t="s">
        <v>2024</v>
      </c>
      <c r="U40" s="775" t="s">
        <v>1931</v>
      </c>
    </row>
    <row r="41" spans="2:21">
      <c r="B41" s="757" t="s">
        <v>2025</v>
      </c>
      <c r="C41" s="758">
        <v>26671870</v>
      </c>
      <c r="D41" s="758">
        <v>23939640</v>
      </c>
      <c r="E41" s="758">
        <v>21799293</v>
      </c>
      <c r="F41" s="759">
        <v>11931997</v>
      </c>
      <c r="G41" s="759"/>
      <c r="I41" s="757" t="s">
        <v>2026</v>
      </c>
      <c r="J41" s="761">
        <v>1998129249</v>
      </c>
      <c r="K41" s="761">
        <v>2508988133</v>
      </c>
      <c r="L41" s="761">
        <v>2764104518</v>
      </c>
      <c r="M41" s="761">
        <v>2225432691</v>
      </c>
      <c r="O41" s="779" t="s">
        <v>1938</v>
      </c>
      <c r="P41" s="780" t="s">
        <v>1939</v>
      </c>
      <c r="Q41" s="781" t="s">
        <v>125</v>
      </c>
      <c r="R41" s="781" t="s">
        <v>125</v>
      </c>
      <c r="S41" s="786">
        <v>4636</v>
      </c>
      <c r="T41" s="781" t="s">
        <v>125</v>
      </c>
      <c r="U41" s="782" t="s">
        <v>125</v>
      </c>
    </row>
    <row r="42" spans="2:21">
      <c r="B42" s="757" t="s">
        <v>2027</v>
      </c>
      <c r="E42" s="758">
        <v>28005348</v>
      </c>
      <c r="F42" s="759">
        <v>24490242</v>
      </c>
      <c r="G42" s="759"/>
      <c r="I42" s="757" t="s">
        <v>2028</v>
      </c>
      <c r="J42" s="761">
        <v>91580309</v>
      </c>
      <c r="K42" s="761">
        <v>189990267</v>
      </c>
      <c r="L42" s="761">
        <v>77228136</v>
      </c>
      <c r="M42" s="761">
        <v>20402303</v>
      </c>
      <c r="O42" s="779" t="s">
        <v>2029</v>
      </c>
      <c r="P42" s="780" t="s">
        <v>1946</v>
      </c>
      <c r="Q42" s="786">
        <v>205320390</v>
      </c>
      <c r="R42" s="781" t="s">
        <v>125</v>
      </c>
      <c r="S42" s="786">
        <v>185125</v>
      </c>
      <c r="T42" s="781" t="s">
        <v>125</v>
      </c>
      <c r="U42" s="782" t="s">
        <v>125</v>
      </c>
    </row>
    <row r="43" spans="2:21">
      <c r="B43" s="757" t="s">
        <v>2030</v>
      </c>
      <c r="C43" s="758">
        <v>-15800000</v>
      </c>
      <c r="D43" s="758">
        <v>0</v>
      </c>
      <c r="E43" s="758"/>
      <c r="F43" s="759"/>
      <c r="G43" s="759"/>
      <c r="I43" s="757" t="s">
        <v>2031</v>
      </c>
      <c r="J43" s="761">
        <v>276808065</v>
      </c>
      <c r="K43" s="761">
        <v>328340956</v>
      </c>
      <c r="L43" s="761">
        <v>340436424</v>
      </c>
      <c r="M43" s="761">
        <v>218644241</v>
      </c>
      <c r="O43" s="789" t="s">
        <v>2032</v>
      </c>
      <c r="P43" s="780" t="s">
        <v>1953</v>
      </c>
      <c r="Q43" s="781" t="s">
        <v>125</v>
      </c>
      <c r="R43" s="781" t="s">
        <v>125</v>
      </c>
      <c r="S43" s="786">
        <v>321731</v>
      </c>
      <c r="T43" s="781" t="s">
        <v>125</v>
      </c>
      <c r="U43" s="799">
        <v>160000</v>
      </c>
    </row>
    <row r="44" spans="2:21">
      <c r="B44" s="757" t="s">
        <v>2033</v>
      </c>
      <c r="C44" s="758">
        <v>31251602638</v>
      </c>
      <c r="D44" s="758">
        <v>21451637801</v>
      </c>
      <c r="E44" s="758">
        <v>21127874651</v>
      </c>
      <c r="F44" s="759">
        <v>19590600879</v>
      </c>
      <c r="G44" s="759">
        <v>30374964665</v>
      </c>
      <c r="I44" s="754" t="s">
        <v>2034</v>
      </c>
      <c r="J44" s="760">
        <v>192022078610</v>
      </c>
      <c r="K44" s="760">
        <v>187487291787</v>
      </c>
      <c r="L44" s="760">
        <v>195957628662</v>
      </c>
      <c r="M44" s="760">
        <v>153448928207</v>
      </c>
      <c r="O44" s="790"/>
      <c r="P44" s="780" t="s">
        <v>1998</v>
      </c>
      <c r="Q44" s="797" t="s">
        <v>125</v>
      </c>
      <c r="R44" s="797" t="s">
        <v>125</v>
      </c>
      <c r="S44" s="800">
        <v>2703</v>
      </c>
      <c r="T44" s="797" t="s">
        <v>125</v>
      </c>
      <c r="U44" s="801">
        <v>27000</v>
      </c>
    </row>
    <row r="45" spans="2:21">
      <c r="B45" s="754" t="s">
        <v>2035</v>
      </c>
      <c r="C45" s="755">
        <v>1271804177</v>
      </c>
      <c r="D45" s="755">
        <v>15760673168</v>
      </c>
      <c r="E45" s="755">
        <v>547202188</v>
      </c>
      <c r="F45" s="756">
        <v>1144622942</v>
      </c>
      <c r="G45" s="756">
        <f>G46+G49</f>
        <v>1358477595</v>
      </c>
      <c r="I45" s="754" t="s">
        <v>2036</v>
      </c>
      <c r="J45" s="760">
        <v>4096492610</v>
      </c>
      <c r="K45" s="760">
        <v>5349308840</v>
      </c>
      <c r="L45" s="760">
        <v>3066301977</v>
      </c>
      <c r="M45" s="760">
        <v>4475112461</v>
      </c>
      <c r="O45" s="790"/>
      <c r="P45" s="780" t="s">
        <v>1958</v>
      </c>
      <c r="Q45" s="781" t="s">
        <v>125</v>
      </c>
      <c r="R45" s="786">
        <v>45450</v>
      </c>
      <c r="S45" s="781" t="s">
        <v>125</v>
      </c>
      <c r="T45" s="786">
        <v>10238</v>
      </c>
      <c r="U45" s="782" t="s">
        <v>125</v>
      </c>
    </row>
    <row r="46" spans="2:21">
      <c r="B46" s="754" t="s">
        <v>2037</v>
      </c>
      <c r="C46" s="755">
        <v>3937006</v>
      </c>
      <c r="D46" s="755">
        <v>3455368</v>
      </c>
      <c r="E46" s="755">
        <v>87912610</v>
      </c>
      <c r="F46" s="756">
        <v>18284625</v>
      </c>
      <c r="G46" s="756">
        <v>50737042</v>
      </c>
      <c r="I46" s="754" t="s">
        <v>2038</v>
      </c>
      <c r="J46" s="760">
        <v>0</v>
      </c>
      <c r="K46" s="760">
        <v>0</v>
      </c>
      <c r="L46" s="760">
        <v>0</v>
      </c>
      <c r="M46" s="760">
        <v>0</v>
      </c>
      <c r="O46" s="791"/>
      <c r="P46" s="780" t="s">
        <v>1961</v>
      </c>
      <c r="Q46" s="781" t="s">
        <v>125</v>
      </c>
      <c r="R46" s="781" t="s">
        <v>125</v>
      </c>
      <c r="S46" s="786">
        <v>43727</v>
      </c>
      <c r="T46" s="781" t="s">
        <v>125</v>
      </c>
      <c r="U46" s="782" t="s">
        <v>125</v>
      </c>
    </row>
    <row r="47" spans="2:21">
      <c r="B47" s="757" t="s">
        <v>369</v>
      </c>
      <c r="C47" s="758">
        <v>3937006</v>
      </c>
      <c r="D47" s="758">
        <v>3455368</v>
      </c>
      <c r="E47" s="758">
        <v>38527610</v>
      </c>
      <c r="F47" s="759">
        <v>18284625</v>
      </c>
      <c r="G47" s="759"/>
      <c r="I47" s="754" t="s">
        <v>2039</v>
      </c>
      <c r="J47" s="760">
        <v>196118571220</v>
      </c>
      <c r="K47" s="760">
        <v>192836600627</v>
      </c>
      <c r="L47" s="760">
        <v>199023930639</v>
      </c>
      <c r="M47" s="760">
        <v>157924040668</v>
      </c>
      <c r="O47" s="779" t="s">
        <v>246</v>
      </c>
      <c r="P47" s="780" t="s">
        <v>1967</v>
      </c>
      <c r="Q47" s="781" t="s">
        <v>125</v>
      </c>
      <c r="R47" s="781" t="s">
        <v>125</v>
      </c>
      <c r="S47" s="786">
        <v>3293</v>
      </c>
      <c r="T47" s="781" t="s">
        <v>125</v>
      </c>
      <c r="U47" s="782" t="s">
        <v>125</v>
      </c>
    </row>
    <row r="48" spans="2:21">
      <c r="B48" s="757" t="s">
        <v>2040</v>
      </c>
      <c r="C48" s="758"/>
      <c r="D48" s="758"/>
      <c r="E48" s="758">
        <v>49385000</v>
      </c>
      <c r="F48" s="759"/>
      <c r="G48" s="759"/>
      <c r="I48" s="754" t="s">
        <v>2041</v>
      </c>
      <c r="J48" s="760">
        <v>5349308840</v>
      </c>
      <c r="K48" s="760">
        <v>3066301977</v>
      </c>
      <c r="L48" s="760">
        <v>4475112461</v>
      </c>
      <c r="M48" s="760">
        <v>5270938231</v>
      </c>
      <c r="O48" s="802" t="s">
        <v>2042</v>
      </c>
      <c r="P48" s="803"/>
      <c r="Q48" s="804">
        <v>205320390</v>
      </c>
      <c r="R48" s="804">
        <v>45450</v>
      </c>
      <c r="S48" s="804">
        <v>561215</v>
      </c>
      <c r="T48" s="804">
        <v>10238</v>
      </c>
      <c r="U48" s="805">
        <v>187000</v>
      </c>
    </row>
    <row r="49" spans="2:20">
      <c r="B49" s="754" t="s">
        <v>2043</v>
      </c>
      <c r="C49" s="755">
        <v>1267867171</v>
      </c>
      <c r="D49" s="755">
        <v>15757217800</v>
      </c>
      <c r="E49" s="755">
        <v>459289578</v>
      </c>
      <c r="F49" s="756">
        <v>1126338317</v>
      </c>
      <c r="G49" s="756">
        <v>1307740553</v>
      </c>
      <c r="I49" s="754" t="s">
        <v>2044</v>
      </c>
      <c r="J49" s="760">
        <v>0</v>
      </c>
      <c r="K49" s="760">
        <v>0</v>
      </c>
      <c r="L49" s="760">
        <v>0</v>
      </c>
      <c r="M49" s="760">
        <v>0</v>
      </c>
    </row>
    <row r="50" spans="2:20">
      <c r="B50" s="757" t="s">
        <v>224</v>
      </c>
      <c r="C50" s="758">
        <v>267084402</v>
      </c>
      <c r="D50" s="758">
        <v>21518335</v>
      </c>
      <c r="E50" s="758">
        <v>98003185</v>
      </c>
      <c r="F50" s="759">
        <v>203150239</v>
      </c>
      <c r="G50" s="759"/>
      <c r="I50" s="754" t="s">
        <v>2045</v>
      </c>
      <c r="J50" s="760">
        <v>190769262380</v>
      </c>
      <c r="K50" s="760">
        <v>189770298650</v>
      </c>
      <c r="L50" s="760">
        <v>194548818178</v>
      </c>
      <c r="M50" s="760">
        <v>152653102437</v>
      </c>
      <c r="O50" s="1" t="s">
        <v>2428</v>
      </c>
    </row>
    <row r="51" spans="2:20">
      <c r="B51" s="757" t="s">
        <v>225</v>
      </c>
      <c r="C51" s="758">
        <v>391244918</v>
      </c>
      <c r="D51" s="758">
        <v>2655014</v>
      </c>
      <c r="E51" s="758">
        <v>34421196</v>
      </c>
      <c r="F51" s="759">
        <v>131082843</v>
      </c>
      <c r="G51" s="759"/>
      <c r="O51" s="771" t="s">
        <v>1925</v>
      </c>
    </row>
    <row r="52" spans="2:20">
      <c r="B52" s="757" t="s">
        <v>228</v>
      </c>
      <c r="C52" s="758">
        <v>13310197</v>
      </c>
      <c r="D52" s="758">
        <v>663822</v>
      </c>
      <c r="E52" s="758">
        <v>33070400</v>
      </c>
      <c r="F52" s="759"/>
      <c r="G52" s="759"/>
      <c r="O52" s="773" t="s">
        <v>1407</v>
      </c>
      <c r="P52" s="774" t="s">
        <v>1929</v>
      </c>
      <c r="Q52" s="774" t="s">
        <v>140</v>
      </c>
      <c r="R52" s="774" t="s">
        <v>1930</v>
      </c>
      <c r="S52" s="774" t="s">
        <v>146</v>
      </c>
      <c r="T52" s="775" t="s">
        <v>1931</v>
      </c>
    </row>
    <row r="53" spans="2:20">
      <c r="B53" s="757" t="s">
        <v>229</v>
      </c>
      <c r="C53" s="758">
        <v>596227654</v>
      </c>
      <c r="D53" s="758">
        <v>517151040</v>
      </c>
      <c r="E53" s="758">
        <v>293794797</v>
      </c>
      <c r="F53" s="759">
        <v>792105235</v>
      </c>
      <c r="G53" s="759"/>
      <c r="I53" s="1116" t="s">
        <v>2636</v>
      </c>
      <c r="O53" s="779" t="s">
        <v>1938</v>
      </c>
      <c r="P53" s="780" t="s">
        <v>1939</v>
      </c>
      <c r="Q53" s="781" t="s">
        <v>1432</v>
      </c>
      <c r="R53" s="781" t="s">
        <v>1432</v>
      </c>
      <c r="S53" s="781" t="s">
        <v>2429</v>
      </c>
      <c r="T53" s="782" t="s">
        <v>1432</v>
      </c>
    </row>
    <row r="54" spans="2:20">
      <c r="B54" s="757" t="s">
        <v>2046</v>
      </c>
      <c r="C54" s="758"/>
      <c r="D54" s="758">
        <v>15215229589</v>
      </c>
      <c r="E54" s="758"/>
      <c r="F54" s="759"/>
      <c r="G54" s="759"/>
      <c r="I54" s="771" t="s">
        <v>1925</v>
      </c>
      <c r="J54" s="1"/>
      <c r="K54" s="1"/>
      <c r="O54" s="779" t="s">
        <v>1945</v>
      </c>
      <c r="P54" s="780" t="s">
        <v>1946</v>
      </c>
      <c r="Q54" s="786">
        <v>240822304</v>
      </c>
      <c r="R54" s="781" t="s">
        <v>1432</v>
      </c>
      <c r="S54" s="781" t="s">
        <v>1432</v>
      </c>
      <c r="T54" s="782" t="s">
        <v>1432</v>
      </c>
    </row>
    <row r="55" spans="2:20">
      <c r="B55" s="754" t="s">
        <v>2047</v>
      </c>
      <c r="C55" s="755">
        <v>0</v>
      </c>
      <c r="D55" s="755">
        <v>0</v>
      </c>
      <c r="E55" s="755">
        <v>0</v>
      </c>
      <c r="F55" s="756">
        <v>0</v>
      </c>
      <c r="G55" s="756"/>
      <c r="I55" s="773" t="s">
        <v>1407</v>
      </c>
      <c r="J55" s="774" t="s">
        <v>126</v>
      </c>
      <c r="K55" s="775" t="s">
        <v>128</v>
      </c>
      <c r="O55" s="789" t="s">
        <v>1952</v>
      </c>
      <c r="P55" s="780" t="s">
        <v>1953</v>
      </c>
      <c r="Q55" s="781" t="s">
        <v>1432</v>
      </c>
      <c r="R55" s="781" t="s">
        <v>1432</v>
      </c>
      <c r="S55" s="781" t="s">
        <v>2430</v>
      </c>
      <c r="T55" s="782" t="s">
        <v>2431</v>
      </c>
    </row>
    <row r="56" spans="2:20">
      <c r="B56" s="754" t="s">
        <v>2048</v>
      </c>
      <c r="C56" s="755">
        <v>1816828661</v>
      </c>
      <c r="D56" s="755">
        <v>2653778696</v>
      </c>
      <c r="E56" s="755">
        <v>1736190759</v>
      </c>
      <c r="F56" s="756">
        <v>1624861597</v>
      </c>
      <c r="G56" s="756">
        <f>G57+G60+G69</f>
        <v>1854559751</v>
      </c>
      <c r="I56" s="1112" t="s">
        <v>2628</v>
      </c>
      <c r="J56" s="1048">
        <v>-3288090</v>
      </c>
      <c r="K56" s="1049">
        <v>-1435132</v>
      </c>
      <c r="O56" s="790"/>
      <c r="P56" s="780" t="s">
        <v>1958</v>
      </c>
      <c r="Q56" s="781" t="s">
        <v>1432</v>
      </c>
      <c r="R56" s="786">
        <v>65807</v>
      </c>
      <c r="S56" s="781" t="s">
        <v>1432</v>
      </c>
      <c r="T56" s="782" t="s">
        <v>1432</v>
      </c>
    </row>
    <row r="57" spans="2:20">
      <c r="B57" s="754" t="s">
        <v>2049</v>
      </c>
      <c r="C57" s="755">
        <v>900941030</v>
      </c>
      <c r="D57" s="755">
        <v>388824831</v>
      </c>
      <c r="E57" s="755">
        <v>220871499</v>
      </c>
      <c r="F57" s="756">
        <v>7267802</v>
      </c>
      <c r="G57" s="756">
        <v>7873417</v>
      </c>
      <c r="I57" s="1112" t="s">
        <v>2629</v>
      </c>
      <c r="J57" s="1048">
        <v>173929428</v>
      </c>
      <c r="K57" s="1049">
        <v>159694313</v>
      </c>
      <c r="O57" s="790"/>
      <c r="P57" s="780" t="s">
        <v>2432</v>
      </c>
      <c r="Q57" s="781" t="s">
        <v>1432</v>
      </c>
      <c r="R57" s="781" t="s">
        <v>1432</v>
      </c>
      <c r="S57" s="781" t="s">
        <v>2433</v>
      </c>
      <c r="T57" s="782" t="s">
        <v>1432</v>
      </c>
    </row>
    <row r="58" spans="2:20">
      <c r="B58" s="757" t="s">
        <v>370</v>
      </c>
      <c r="C58" s="758">
        <v>842820185</v>
      </c>
      <c r="D58" s="758">
        <v>388824831</v>
      </c>
      <c r="E58" s="758">
        <v>220871499</v>
      </c>
      <c r="F58" s="759">
        <v>7267802</v>
      </c>
      <c r="G58" s="759"/>
      <c r="I58" s="1112" t="s">
        <v>2630</v>
      </c>
      <c r="J58" s="1048">
        <v>8504300</v>
      </c>
      <c r="K58" s="1049">
        <v>8056681</v>
      </c>
      <c r="O58" s="791"/>
      <c r="P58" s="780" t="s">
        <v>1961</v>
      </c>
      <c r="Q58" s="781" t="s">
        <v>1432</v>
      </c>
      <c r="R58" s="781" t="s">
        <v>1432</v>
      </c>
      <c r="S58" s="781" t="s">
        <v>2434</v>
      </c>
      <c r="T58" s="782" t="s">
        <v>2435</v>
      </c>
    </row>
    <row r="59" spans="2:20">
      <c r="B59" s="757" t="s">
        <v>234</v>
      </c>
      <c r="C59" s="758">
        <v>58120845</v>
      </c>
      <c r="D59" s="758"/>
      <c r="E59" s="758"/>
      <c r="F59" s="759"/>
      <c r="G59" s="759"/>
      <c r="I59" s="1112" t="s">
        <v>2631</v>
      </c>
      <c r="J59" s="1048">
        <v>7909348</v>
      </c>
      <c r="K59" s="1049">
        <v>7465883</v>
      </c>
      <c r="O59" s="779" t="s">
        <v>246</v>
      </c>
      <c r="P59" s="780" t="s">
        <v>2436</v>
      </c>
      <c r="Q59" s="781" t="s">
        <v>1432</v>
      </c>
      <c r="R59" s="781" t="s">
        <v>1432</v>
      </c>
      <c r="S59" s="781" t="s">
        <v>2437</v>
      </c>
      <c r="T59" s="782" t="s">
        <v>1432</v>
      </c>
    </row>
    <row r="60" spans="2:20">
      <c r="B60" s="754" t="s">
        <v>2050</v>
      </c>
      <c r="C60" s="755">
        <v>656037631</v>
      </c>
      <c r="D60" s="755">
        <v>2202555865</v>
      </c>
      <c r="E60" s="755">
        <v>1444545260</v>
      </c>
      <c r="F60" s="756">
        <v>1580243795</v>
      </c>
      <c r="G60" s="756">
        <v>1793813434</v>
      </c>
      <c r="I60" s="1112" t="s">
        <v>1391</v>
      </c>
      <c r="J60" s="1113" t="s">
        <v>2637</v>
      </c>
      <c r="K60" s="1049">
        <v>1640458</v>
      </c>
      <c r="O60" s="792" t="s">
        <v>1971</v>
      </c>
      <c r="P60" s="793"/>
      <c r="Q60" s="804">
        <v>240822304</v>
      </c>
      <c r="R60" s="804">
        <v>65807</v>
      </c>
      <c r="S60" s="794" t="s">
        <v>2438</v>
      </c>
      <c r="T60" s="795" t="s">
        <v>2439</v>
      </c>
    </row>
    <row r="61" spans="2:20">
      <c r="B61" s="754"/>
      <c r="C61" s="755"/>
      <c r="D61" s="755"/>
      <c r="E61" s="758">
        <v>3593852</v>
      </c>
      <c r="F61" s="756"/>
      <c r="G61" s="756"/>
      <c r="I61" s="1112" t="s">
        <v>1380</v>
      </c>
      <c r="J61" s="1113" t="s">
        <v>2638</v>
      </c>
      <c r="K61" s="1049">
        <v>940277</v>
      </c>
    </row>
    <row r="62" spans="2:20">
      <c r="B62" s="757" t="s">
        <v>232</v>
      </c>
      <c r="C62" s="758">
        <v>159365712</v>
      </c>
      <c r="D62" s="758">
        <v>361787376</v>
      </c>
      <c r="E62" s="758">
        <v>873962737</v>
      </c>
      <c r="F62" s="759">
        <v>548799375</v>
      </c>
      <c r="G62" s="759"/>
      <c r="I62" s="1112" t="s">
        <v>2632</v>
      </c>
      <c r="J62" s="1113" t="s">
        <v>2639</v>
      </c>
      <c r="K62" s="1049">
        <v>4691740</v>
      </c>
    </row>
    <row r="63" spans="2:20">
      <c r="B63" s="757" t="s">
        <v>233</v>
      </c>
      <c r="C63" s="758">
        <v>185180056</v>
      </c>
      <c r="D63" s="758">
        <v>4676841</v>
      </c>
      <c r="E63" s="758">
        <v>2353100</v>
      </c>
      <c r="F63" s="759">
        <v>129492289</v>
      </c>
      <c r="G63" s="759"/>
      <c r="I63" s="1112" t="s">
        <v>2633</v>
      </c>
      <c r="J63" s="1113" t="s">
        <v>2640</v>
      </c>
      <c r="K63" s="1049">
        <v>5635328</v>
      </c>
    </row>
    <row r="64" spans="2:20">
      <c r="B64" s="757" t="s">
        <v>236</v>
      </c>
      <c r="C64" s="758">
        <v>254261736</v>
      </c>
      <c r="D64" s="758">
        <v>1780797238</v>
      </c>
      <c r="E64" s="758">
        <v>545058015</v>
      </c>
      <c r="F64" s="759">
        <v>896338078</v>
      </c>
      <c r="G64" s="759"/>
      <c r="I64" s="1112" t="s">
        <v>1385</v>
      </c>
      <c r="J64" s="1113" t="s">
        <v>2641</v>
      </c>
      <c r="K64" s="1049">
        <v>168036</v>
      </c>
    </row>
    <row r="65" spans="2:12">
      <c r="B65" s="757" t="s">
        <v>2051</v>
      </c>
      <c r="C65" s="758">
        <v>42864667</v>
      </c>
      <c r="D65" s="758">
        <v>17847931</v>
      </c>
      <c r="E65" s="758">
        <v>-11</v>
      </c>
      <c r="F65" s="759">
        <v>-30</v>
      </c>
      <c r="G65" s="759"/>
      <c r="I65" s="1112" t="s">
        <v>2634</v>
      </c>
      <c r="J65" s="1113" t="s">
        <v>2642</v>
      </c>
      <c r="K65" s="1049">
        <v>10443402</v>
      </c>
    </row>
    <row r="66" spans="2:12">
      <c r="B66" s="757" t="s">
        <v>2052</v>
      </c>
      <c r="C66" s="758">
        <v>13947520</v>
      </c>
      <c r="D66" s="758">
        <v>23574694</v>
      </c>
      <c r="E66" s="758"/>
      <c r="F66" s="759"/>
      <c r="G66" s="759"/>
      <c r="I66" s="1114" t="s">
        <v>2635</v>
      </c>
      <c r="J66" s="1115" t="s">
        <v>2643</v>
      </c>
      <c r="K66" s="1050">
        <v>197300986</v>
      </c>
    </row>
    <row r="67" spans="2:12">
      <c r="B67" s="757" t="s">
        <v>237</v>
      </c>
      <c r="C67" s="758">
        <v>417940</v>
      </c>
      <c r="D67" s="758">
        <v>5127812</v>
      </c>
      <c r="E67" s="758">
        <v>19577567</v>
      </c>
      <c r="F67" s="759">
        <v>5614083</v>
      </c>
      <c r="G67" s="759"/>
      <c r="L67" s="1"/>
    </row>
    <row r="68" spans="2:12">
      <c r="B68" s="757"/>
      <c r="C68" s="758"/>
      <c r="D68" s="758">
        <v>8743973</v>
      </c>
      <c r="E68" s="758"/>
      <c r="F68" s="759"/>
      <c r="G68" s="759"/>
      <c r="I68" s="1116" t="s">
        <v>3284</v>
      </c>
      <c r="J68" s="770"/>
      <c r="K68" s="1"/>
    </row>
    <row r="69" spans="2:12">
      <c r="B69" s="754" t="s">
        <v>2053</v>
      </c>
      <c r="C69" s="755">
        <v>259850000</v>
      </c>
      <c r="D69" s="755">
        <v>62398000</v>
      </c>
      <c r="E69" s="755">
        <v>70774000</v>
      </c>
      <c r="F69" s="756">
        <v>37350000</v>
      </c>
      <c r="G69" s="756">
        <v>52872900</v>
      </c>
      <c r="I69" s="771" t="s">
        <v>1925</v>
      </c>
      <c r="J69" s="1"/>
      <c r="K69" s="1"/>
    </row>
    <row r="70" spans="2:12">
      <c r="B70" s="757" t="s">
        <v>371</v>
      </c>
      <c r="C70" s="758">
        <v>259850000</v>
      </c>
      <c r="D70" s="758">
        <v>62398000</v>
      </c>
      <c r="E70" s="758">
        <v>70774000</v>
      </c>
      <c r="F70" s="759">
        <v>37350000</v>
      </c>
      <c r="G70" s="759"/>
      <c r="I70" s="773" t="s">
        <v>1407</v>
      </c>
      <c r="J70" s="774" t="s">
        <v>126</v>
      </c>
      <c r="K70" s="775" t="s">
        <v>128</v>
      </c>
    </row>
    <row r="71" spans="2:12">
      <c r="B71" s="757" t="s">
        <v>2054</v>
      </c>
      <c r="C71" s="758">
        <v>30706578154</v>
      </c>
      <c r="D71" s="758">
        <v>34558532273</v>
      </c>
      <c r="E71" s="758">
        <v>19938886080</v>
      </c>
      <c r="F71" s="759">
        <v>19110362224</v>
      </c>
      <c r="G71" s="759">
        <v>29878882509</v>
      </c>
      <c r="I71" s="779" t="s">
        <v>1410</v>
      </c>
      <c r="J71" s="786">
        <v>1329489</v>
      </c>
      <c r="K71" s="782" t="s">
        <v>3257</v>
      </c>
    </row>
    <row r="72" spans="2:12">
      <c r="B72" s="754" t="s">
        <v>2055</v>
      </c>
      <c r="C72" s="755">
        <v>1319541406</v>
      </c>
      <c r="D72" s="755">
        <v>5412490862</v>
      </c>
      <c r="E72" s="755">
        <v>5603637037</v>
      </c>
      <c r="F72" s="756">
        <v>4204279688</v>
      </c>
      <c r="G72" s="756">
        <v>6520495861</v>
      </c>
      <c r="I72" s="779" t="s">
        <v>1378</v>
      </c>
      <c r="J72" s="786">
        <v>140005</v>
      </c>
      <c r="K72" s="782" t="s">
        <v>3258</v>
      </c>
    </row>
    <row r="73" spans="2:12">
      <c r="B73" s="757" t="s">
        <v>2056</v>
      </c>
      <c r="C73" s="758">
        <v>1319541406</v>
      </c>
      <c r="D73" s="758">
        <v>5412490862</v>
      </c>
      <c r="E73" s="758">
        <v>5603637037</v>
      </c>
      <c r="F73" s="759">
        <v>4204279688</v>
      </c>
      <c r="G73" s="759">
        <v>6520495861</v>
      </c>
      <c r="I73" s="779" t="s">
        <v>1388</v>
      </c>
      <c r="J73" s="786">
        <v>118022</v>
      </c>
      <c r="K73" s="782" t="s">
        <v>3259</v>
      </c>
    </row>
    <row r="74" spans="2:12">
      <c r="B74" s="757" t="s">
        <v>2057</v>
      </c>
      <c r="C74" s="758">
        <v>29387036748</v>
      </c>
      <c r="D74" s="758">
        <v>29146041411</v>
      </c>
      <c r="E74" s="758">
        <v>14335249043</v>
      </c>
      <c r="F74" s="759">
        <v>14906082536</v>
      </c>
      <c r="G74" s="759">
        <v>23358386648</v>
      </c>
      <c r="I74" s="779" t="s">
        <v>1389</v>
      </c>
      <c r="J74" s="781" t="s">
        <v>3260</v>
      </c>
      <c r="K74" s="782" t="s">
        <v>3261</v>
      </c>
    </row>
    <row r="75" spans="2:12">
      <c r="B75" s="754" t="s">
        <v>2058</v>
      </c>
      <c r="C75" s="755">
        <v>0</v>
      </c>
      <c r="D75" s="755">
        <v>0</v>
      </c>
      <c r="E75" s="755">
        <v>0</v>
      </c>
      <c r="F75" s="756">
        <v>0</v>
      </c>
      <c r="G75" s="756"/>
      <c r="I75" s="779" t="s">
        <v>1380</v>
      </c>
      <c r="J75" s="781" t="s">
        <v>3262</v>
      </c>
      <c r="K75" s="782" t="s">
        <v>3263</v>
      </c>
    </row>
    <row r="76" spans="2:12">
      <c r="B76" s="757" t="s">
        <v>2059</v>
      </c>
      <c r="C76" s="758">
        <v>0</v>
      </c>
      <c r="D76" s="758">
        <v>0</v>
      </c>
      <c r="E76" s="758">
        <v>0</v>
      </c>
      <c r="F76" s="759">
        <v>0</v>
      </c>
      <c r="G76" s="759"/>
      <c r="I76" s="779" t="s">
        <v>2371</v>
      </c>
      <c r="J76" s="781" t="s">
        <v>3264</v>
      </c>
      <c r="K76" s="782" t="s">
        <v>3265</v>
      </c>
    </row>
    <row r="77" spans="2:12">
      <c r="B77" s="757" t="s">
        <v>2060</v>
      </c>
      <c r="C77" s="758">
        <v>0</v>
      </c>
      <c r="D77" s="758">
        <v>0</v>
      </c>
      <c r="E77" s="758">
        <v>0</v>
      </c>
      <c r="F77" s="759">
        <v>0</v>
      </c>
      <c r="G77" s="759"/>
      <c r="I77" s="779" t="s">
        <v>1391</v>
      </c>
      <c r="J77" s="781" t="s">
        <v>3266</v>
      </c>
      <c r="K77" s="782" t="s">
        <v>3267</v>
      </c>
    </row>
    <row r="78" spans="2:12">
      <c r="I78" s="779" t="s">
        <v>1381</v>
      </c>
      <c r="J78" s="781" t="s">
        <v>3268</v>
      </c>
      <c r="K78" s="782" t="s">
        <v>3269</v>
      </c>
    </row>
    <row r="79" spans="2:12">
      <c r="I79" s="779" t="s">
        <v>1401</v>
      </c>
      <c r="J79" s="781" t="s">
        <v>3270</v>
      </c>
      <c r="K79" s="782" t="s">
        <v>3271</v>
      </c>
    </row>
    <row r="80" spans="2:12">
      <c r="I80" s="779" t="s">
        <v>1385</v>
      </c>
      <c r="J80" s="781" t="s">
        <v>3272</v>
      </c>
      <c r="K80" s="782" t="s">
        <v>3273</v>
      </c>
    </row>
    <row r="81" spans="9:11">
      <c r="I81" s="779" t="s">
        <v>1398</v>
      </c>
      <c r="J81" s="781" t="s">
        <v>3274</v>
      </c>
      <c r="K81" s="782" t="s">
        <v>3275</v>
      </c>
    </row>
    <row r="82" spans="9:11">
      <c r="I82" s="779" t="s">
        <v>1394</v>
      </c>
      <c r="J82" s="781" t="s">
        <v>3276</v>
      </c>
      <c r="K82" s="782" t="s">
        <v>3277</v>
      </c>
    </row>
    <row r="83" spans="9:11">
      <c r="I83" s="779" t="s">
        <v>1392</v>
      </c>
      <c r="J83" s="781" t="s">
        <v>3278</v>
      </c>
      <c r="K83" s="782" t="s">
        <v>3279</v>
      </c>
    </row>
    <row r="84" spans="9:11">
      <c r="I84" s="779" t="s">
        <v>246</v>
      </c>
      <c r="J84" s="781" t="s">
        <v>3280</v>
      </c>
      <c r="K84" s="782" t="s">
        <v>3281</v>
      </c>
    </row>
    <row r="85" spans="9:11">
      <c r="I85" s="1915" t="s">
        <v>1413</v>
      </c>
      <c r="J85" s="1045" t="s">
        <v>3282</v>
      </c>
      <c r="K85" s="1046" t="s">
        <v>3283</v>
      </c>
    </row>
  </sheetData>
  <phoneticPr fontId="1" type="noConversion"/>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AD193"/>
  <sheetViews>
    <sheetView workbookViewId="0"/>
  </sheetViews>
  <sheetFormatPr defaultColWidth="9" defaultRowHeight="13.5"/>
  <cols>
    <col min="1" max="1" width="4.625" style="699" customWidth="1"/>
    <col min="2" max="2" width="21.5" style="699" customWidth="1"/>
    <col min="3" max="5" width="13.625" style="699" bestFit="1" customWidth="1"/>
    <col min="6" max="6" width="12.375" style="699" customWidth="1"/>
    <col min="7" max="7" width="12.25" style="699" bestFit="1" customWidth="1"/>
    <col min="8" max="8" width="10.875" style="699" bestFit="1" customWidth="1"/>
    <col min="9" max="9" width="9.875" style="699" bestFit="1" customWidth="1"/>
    <col min="10" max="10" width="5.875" style="699" customWidth="1"/>
    <col min="11" max="11" width="4.625" style="995" customWidth="1"/>
    <col min="12" max="12" width="28.5" style="813" customWidth="1"/>
    <col min="13" max="13" width="13.75" style="814" bestFit="1" customWidth="1"/>
    <col min="14" max="14" width="14.625" style="815" bestFit="1" customWidth="1"/>
    <col min="15" max="15" width="13.75" style="813" bestFit="1" customWidth="1"/>
    <col min="16" max="16" width="14.875" style="813" bestFit="1" customWidth="1"/>
    <col min="17" max="17" width="13.125" style="813" bestFit="1" customWidth="1"/>
    <col min="18" max="18" width="4.625" style="813" customWidth="1"/>
    <col min="19" max="19" width="12.875" style="813" bestFit="1" customWidth="1"/>
    <col min="20" max="20" width="22.625" style="813" bestFit="1" customWidth="1"/>
    <col min="21" max="21" width="16.125" style="813" bestFit="1" customWidth="1"/>
    <col min="22" max="22" width="12.875" style="813" bestFit="1" customWidth="1"/>
    <col min="23" max="24" width="10.375" style="813" customWidth="1"/>
    <col min="25" max="25" width="9.125" style="699" bestFit="1" customWidth="1"/>
    <col min="26" max="26" width="9.625" style="699" bestFit="1" customWidth="1"/>
    <col min="27" max="27" width="9.875" style="699" bestFit="1" customWidth="1"/>
    <col min="28" max="28" width="9.125" style="699" bestFit="1" customWidth="1"/>
    <col min="29" max="29" width="9.625" style="699" bestFit="1" customWidth="1"/>
    <col min="30" max="30" width="9.875" style="699" bestFit="1" customWidth="1"/>
    <col min="31" max="32" width="9.625" style="699" bestFit="1" customWidth="1"/>
    <col min="33" max="33" width="9.875" style="699" bestFit="1" customWidth="1"/>
    <col min="34" max="35" width="9.625" style="699" bestFit="1" customWidth="1"/>
    <col min="36" max="36" width="10.5" style="699" bestFit="1" customWidth="1"/>
    <col min="37" max="16384" width="9" style="699"/>
  </cols>
  <sheetData>
    <row r="1" spans="1:24" s="811" customFormat="1">
      <c r="A1" s="2" t="str">
        <f ca="1">MID(CELL("filename",A1),FIND("]",CELL("filename",A1))+1,255)</f>
        <v>Backdata_CS,선우</v>
      </c>
      <c r="B1" s="808"/>
      <c r="C1" s="809"/>
      <c r="D1" s="810"/>
      <c r="E1" s="808"/>
      <c r="F1" s="808"/>
      <c r="G1" s="808"/>
      <c r="H1" s="808"/>
      <c r="I1" s="808"/>
      <c r="J1" s="808"/>
      <c r="K1" s="2" t="s">
        <v>2061</v>
      </c>
      <c r="L1" s="808"/>
      <c r="M1" s="809"/>
      <c r="N1" s="810"/>
      <c r="O1" s="808"/>
      <c r="P1" s="808"/>
      <c r="Q1" s="808"/>
      <c r="R1" s="808"/>
      <c r="S1" s="808"/>
      <c r="T1" s="808"/>
      <c r="U1" s="808"/>
      <c r="V1" s="808"/>
      <c r="W1" s="808"/>
      <c r="X1" s="808"/>
    </row>
    <row r="2" spans="1:24">
      <c r="K2" s="812" t="s">
        <v>2062</v>
      </c>
    </row>
    <row r="3" spans="1:24" s="820" customFormat="1">
      <c r="A3" s="816" t="s">
        <v>21</v>
      </c>
      <c r="B3" s="817" t="s">
        <v>1346</v>
      </c>
      <c r="C3" s="818"/>
      <c r="D3" s="819"/>
      <c r="E3" s="817"/>
      <c r="F3" s="817"/>
      <c r="G3" s="817"/>
      <c r="H3" s="817"/>
      <c r="I3" s="817"/>
      <c r="J3" s="817"/>
      <c r="K3" s="816" t="s">
        <v>21</v>
      </c>
      <c r="L3" s="817" t="s">
        <v>1346</v>
      </c>
      <c r="M3" s="818"/>
      <c r="N3" s="819"/>
      <c r="O3" s="817"/>
      <c r="P3" s="817"/>
      <c r="Q3" s="817"/>
      <c r="R3" s="817"/>
      <c r="S3" s="817"/>
      <c r="T3" s="817"/>
      <c r="U3" s="817"/>
      <c r="V3" s="817"/>
      <c r="W3" s="817"/>
      <c r="X3" s="817"/>
    </row>
    <row r="5" spans="1:24">
      <c r="B5" s="821" t="s">
        <v>354</v>
      </c>
      <c r="C5" s="822" t="s">
        <v>2063</v>
      </c>
      <c r="D5" s="822" t="s">
        <v>2064</v>
      </c>
      <c r="E5" s="822" t="s">
        <v>2065</v>
      </c>
      <c r="K5" s="823"/>
      <c r="L5" s="824" t="s">
        <v>2066</v>
      </c>
      <c r="M5" s="825"/>
      <c r="N5" s="826"/>
      <c r="O5" s="827"/>
      <c r="P5" s="827"/>
      <c r="Q5" s="828">
        <v>44154</v>
      </c>
      <c r="R5" s="827"/>
      <c r="S5" s="829"/>
      <c r="T5" s="827"/>
      <c r="U5" s="827"/>
      <c r="V5" s="827"/>
      <c r="W5" s="827"/>
      <c r="X5" s="827"/>
    </row>
    <row r="6" spans="1:24">
      <c r="B6" s="830" t="s">
        <v>2067</v>
      </c>
      <c r="C6" s="831">
        <v>9142500000</v>
      </c>
      <c r="D6" s="831">
        <v>9315000000</v>
      </c>
      <c r="E6" s="831">
        <v>9125106250</v>
      </c>
      <c r="K6" s="832"/>
      <c r="L6" s="833"/>
      <c r="M6" s="833"/>
      <c r="N6" s="834"/>
      <c r="O6" s="829"/>
      <c r="P6" s="827"/>
      <c r="Q6" s="835" t="s">
        <v>2068</v>
      </c>
      <c r="R6" s="827"/>
      <c r="S6" s="827"/>
      <c r="T6" s="827"/>
      <c r="U6" s="827"/>
      <c r="V6" s="827"/>
      <c r="W6" s="827"/>
      <c r="X6" s="827"/>
    </row>
    <row r="7" spans="1:24" ht="24">
      <c r="B7" s="836" t="s">
        <v>1366</v>
      </c>
      <c r="C7" s="837">
        <v>6900000000</v>
      </c>
      <c r="D7" s="837">
        <v>7015000000</v>
      </c>
      <c r="E7" s="837">
        <v>6620406250</v>
      </c>
      <c r="K7" s="838"/>
      <c r="L7" s="839" t="s">
        <v>2069</v>
      </c>
      <c r="M7" s="840" t="s">
        <v>2070</v>
      </c>
      <c r="N7" s="841" t="s">
        <v>2071</v>
      </c>
      <c r="O7" s="842" t="s">
        <v>2072</v>
      </c>
      <c r="P7" s="843" t="s">
        <v>2073</v>
      </c>
      <c r="Q7" s="843" t="s">
        <v>2074</v>
      </c>
      <c r="R7" s="838"/>
      <c r="S7" s="838"/>
      <c r="T7" s="838"/>
      <c r="U7" s="838"/>
      <c r="V7" s="838"/>
      <c r="W7" s="838"/>
      <c r="X7" s="838"/>
    </row>
    <row r="8" spans="1:24">
      <c r="B8" s="844" t="s">
        <v>2075</v>
      </c>
      <c r="C8" s="845">
        <v>2242500000</v>
      </c>
      <c r="D8" s="845">
        <v>2300000000</v>
      </c>
      <c r="E8" s="845">
        <v>2504700000</v>
      </c>
      <c r="K8" s="827"/>
      <c r="L8" s="846"/>
      <c r="M8" s="847"/>
      <c r="N8" s="848"/>
      <c r="O8" s="849"/>
      <c r="P8" s="850"/>
      <c r="Q8" s="850"/>
      <c r="R8" s="827"/>
      <c r="S8" s="827"/>
      <c r="T8" s="827"/>
      <c r="U8" s="827"/>
      <c r="V8" s="827"/>
      <c r="W8" s="827"/>
      <c r="X8" s="827"/>
    </row>
    <row r="9" spans="1:24">
      <c r="B9" s="830" t="s">
        <v>2076</v>
      </c>
      <c r="C9" s="831">
        <v>6614139900</v>
      </c>
      <c r="D9" s="831">
        <v>6730749900</v>
      </c>
      <c r="E9" s="831">
        <v>6594135650</v>
      </c>
      <c r="K9" s="826"/>
      <c r="L9" s="851" t="s">
        <v>2077</v>
      </c>
      <c r="M9" s="852">
        <v>24941208.737</v>
      </c>
      <c r="N9" s="853">
        <v>38661650.999999985</v>
      </c>
      <c r="O9" s="854">
        <v>40673200</v>
      </c>
      <c r="P9" s="855">
        <v>38843800</v>
      </c>
      <c r="Q9" s="855">
        <v>38323200</v>
      </c>
      <c r="R9" s="826"/>
      <c r="S9" s="826"/>
      <c r="T9" s="826"/>
      <c r="U9" s="826"/>
      <c r="V9" s="826"/>
      <c r="W9" s="826"/>
      <c r="X9" s="826"/>
    </row>
    <row r="10" spans="1:24">
      <c r="B10" s="830" t="s">
        <v>2078</v>
      </c>
      <c r="C10" s="831">
        <v>2131122500</v>
      </c>
      <c r="D10" s="831">
        <v>2296032500</v>
      </c>
      <c r="E10" s="831">
        <v>2159418250.0000005</v>
      </c>
      <c r="K10" s="827"/>
      <c r="L10" s="846"/>
      <c r="M10" s="856"/>
      <c r="N10" s="857"/>
      <c r="O10" s="849">
        <v>0</v>
      </c>
      <c r="P10" s="858">
        <v>0</v>
      </c>
      <c r="Q10" s="858">
        <v>0</v>
      </c>
      <c r="R10" s="827"/>
      <c r="S10" s="827"/>
      <c r="T10" s="827"/>
      <c r="U10" s="827"/>
      <c r="V10" s="827"/>
      <c r="W10" s="827"/>
      <c r="X10" s="827"/>
    </row>
    <row r="11" spans="1:24">
      <c r="B11" s="836" t="s">
        <v>2079</v>
      </c>
      <c r="C11" s="837">
        <v>471500000</v>
      </c>
      <c r="D11" s="837">
        <v>460000000</v>
      </c>
      <c r="E11" s="837">
        <v>434125000</v>
      </c>
      <c r="K11" s="859"/>
      <c r="L11" s="860" t="s">
        <v>1626</v>
      </c>
      <c r="M11" s="861">
        <v>1034436.5159999999</v>
      </c>
      <c r="N11" s="857">
        <v>1177161.0119741273</v>
      </c>
      <c r="O11" s="862">
        <v>800000</v>
      </c>
      <c r="P11" s="863">
        <v>600000</v>
      </c>
      <c r="Q11" s="863">
        <v>600000</v>
      </c>
      <c r="R11" s="859"/>
      <c r="S11" s="859"/>
      <c r="T11" s="859"/>
      <c r="U11" s="864"/>
      <c r="V11" s="859"/>
      <c r="W11" s="859"/>
      <c r="X11" s="859"/>
    </row>
    <row r="12" spans="1:24">
      <c r="B12" s="865" t="s">
        <v>2080</v>
      </c>
      <c r="C12" s="866">
        <v>1506672500</v>
      </c>
      <c r="D12" s="866">
        <v>1679632500</v>
      </c>
      <c r="E12" s="866">
        <v>1557761250</v>
      </c>
      <c r="K12" s="859"/>
      <c r="L12" s="860" t="s">
        <v>2081</v>
      </c>
      <c r="M12" s="861">
        <v>23877972.221000001</v>
      </c>
      <c r="N12" s="857">
        <v>37441289.988025859</v>
      </c>
      <c r="O12" s="862">
        <v>39830000</v>
      </c>
      <c r="P12" s="863">
        <v>38200000</v>
      </c>
      <c r="Q12" s="863">
        <v>37680000</v>
      </c>
      <c r="R12" s="859"/>
      <c r="S12" s="859"/>
      <c r="T12" s="859"/>
      <c r="U12" s="859"/>
      <c r="V12" s="859"/>
      <c r="W12" s="859"/>
      <c r="X12" s="859"/>
    </row>
    <row r="13" spans="1:24">
      <c r="B13" s="844" t="s">
        <v>2082</v>
      </c>
      <c r="C13" s="845">
        <v>152950000</v>
      </c>
      <c r="D13" s="845">
        <v>156400000</v>
      </c>
      <c r="E13" s="845">
        <v>167532000</v>
      </c>
      <c r="K13" s="859"/>
      <c r="L13" s="860" t="s">
        <v>2083</v>
      </c>
      <c r="M13" s="861">
        <v>28800</v>
      </c>
      <c r="N13" s="857">
        <v>43200</v>
      </c>
      <c r="O13" s="862">
        <v>43200</v>
      </c>
      <c r="P13" s="863">
        <v>43800</v>
      </c>
      <c r="Q13" s="863">
        <v>43200</v>
      </c>
      <c r="R13" s="859"/>
      <c r="S13" s="859"/>
      <c r="T13" s="859"/>
      <c r="U13" s="859"/>
      <c r="V13" s="859"/>
      <c r="W13" s="859"/>
      <c r="X13" s="859"/>
    </row>
    <row r="14" spans="1:24">
      <c r="B14" s="830" t="s">
        <v>2084</v>
      </c>
      <c r="C14" s="867">
        <v>4483017400</v>
      </c>
      <c r="D14" s="867">
        <v>4434717400</v>
      </c>
      <c r="E14" s="867">
        <v>4434717400</v>
      </c>
      <c r="K14" s="832"/>
      <c r="L14" s="868"/>
      <c r="M14" s="869"/>
      <c r="N14" s="857"/>
      <c r="O14" s="849">
        <v>0</v>
      </c>
      <c r="P14" s="858">
        <v>0</v>
      </c>
      <c r="Q14" s="858">
        <v>0</v>
      </c>
      <c r="R14" s="832"/>
      <c r="S14" s="832"/>
      <c r="T14" s="832"/>
      <c r="U14" s="832"/>
      <c r="V14" s="832"/>
      <c r="W14" s="832"/>
      <c r="X14" s="832"/>
    </row>
    <row r="15" spans="1:24">
      <c r="B15" s="870" t="s">
        <v>2085</v>
      </c>
      <c r="C15" s="871">
        <v>1214400000</v>
      </c>
      <c r="D15" s="871">
        <v>1214400000</v>
      </c>
      <c r="E15" s="871">
        <v>1214400000</v>
      </c>
      <c r="K15" s="827"/>
      <c r="L15" s="846" t="s">
        <v>2086</v>
      </c>
      <c r="M15" s="856">
        <v>22170814.904999997</v>
      </c>
      <c r="N15" s="872">
        <v>34922846.361640498</v>
      </c>
      <c r="O15" s="873">
        <v>36772761.941101559</v>
      </c>
      <c r="P15" s="874">
        <v>34937007.949997388</v>
      </c>
      <c r="Q15" s="874">
        <v>34377478.773798667</v>
      </c>
      <c r="R15" s="827"/>
      <c r="S15" s="827"/>
      <c r="T15" s="827"/>
      <c r="U15" s="824"/>
      <c r="V15" s="827"/>
      <c r="W15" s="827"/>
      <c r="X15" s="827"/>
    </row>
    <row r="16" spans="1:24">
      <c r="B16" s="875" t="s">
        <v>2087</v>
      </c>
      <c r="C16" s="866">
        <v>3268617400</v>
      </c>
      <c r="D16" s="866">
        <v>3220317400</v>
      </c>
      <c r="E16" s="866">
        <v>3220317400</v>
      </c>
      <c r="K16" s="827"/>
      <c r="L16" s="876"/>
      <c r="M16" s="877"/>
      <c r="N16" s="878"/>
      <c r="O16" s="879"/>
      <c r="P16" s="880"/>
      <c r="Q16" s="880"/>
      <c r="R16" s="827"/>
      <c r="S16" s="827"/>
      <c r="T16" s="827"/>
      <c r="U16" s="824"/>
      <c r="V16" s="827"/>
      <c r="W16" s="827"/>
      <c r="X16" s="827"/>
    </row>
    <row r="17" spans="2:24">
      <c r="B17" s="881" t="s">
        <v>2088</v>
      </c>
      <c r="C17" s="882">
        <v>2528360100</v>
      </c>
      <c r="D17" s="882">
        <v>2584250100</v>
      </c>
      <c r="E17" s="882">
        <v>2530970600</v>
      </c>
      <c r="F17" s="1914"/>
      <c r="K17" s="827"/>
      <c r="L17" s="883" t="s">
        <v>1666</v>
      </c>
      <c r="M17" s="869">
        <v>888842.15</v>
      </c>
      <c r="N17" s="857">
        <v>1039916.4996084125</v>
      </c>
      <c r="O17" s="884">
        <v>720000</v>
      </c>
      <c r="P17" s="885">
        <v>540000</v>
      </c>
      <c r="Q17" s="885">
        <v>540000</v>
      </c>
      <c r="R17" s="829"/>
      <c r="S17" s="829"/>
      <c r="T17" s="829"/>
      <c r="U17" s="824"/>
      <c r="V17" s="827"/>
      <c r="W17" s="827"/>
      <c r="X17" s="827"/>
    </row>
    <row r="18" spans="2:24">
      <c r="B18" s="844" t="s">
        <v>2089</v>
      </c>
      <c r="C18" s="845">
        <v>560417035.02378607</v>
      </c>
      <c r="D18" s="845">
        <v>560417035.02378607</v>
      </c>
      <c r="E18" s="845">
        <v>560417035.02378607</v>
      </c>
      <c r="K18" s="827"/>
      <c r="L18" s="883" t="s">
        <v>2090</v>
      </c>
      <c r="M18" s="869">
        <v>21267002.197000001</v>
      </c>
      <c r="N18" s="886">
        <v>33858634.662032083</v>
      </c>
      <c r="O18" s="884">
        <v>36028466.741101556</v>
      </c>
      <c r="P18" s="885">
        <v>34372562.749997392</v>
      </c>
      <c r="Q18" s="885">
        <v>33813183.573798664</v>
      </c>
      <c r="R18" s="829"/>
      <c r="S18" s="887"/>
      <c r="T18" s="887"/>
      <c r="U18" s="887"/>
      <c r="V18" s="827"/>
      <c r="W18" s="827"/>
      <c r="X18" s="827"/>
    </row>
    <row r="19" spans="2:24">
      <c r="B19" s="881" t="s">
        <v>2091</v>
      </c>
      <c r="C19" s="882">
        <v>1967943064.9762142</v>
      </c>
      <c r="D19" s="882">
        <v>2023833064.9762142</v>
      </c>
      <c r="E19" s="882">
        <v>1970553564.9762142</v>
      </c>
      <c r="K19" s="827"/>
      <c r="L19" s="883" t="s">
        <v>2092</v>
      </c>
      <c r="M19" s="869">
        <v>14970.558000000001</v>
      </c>
      <c r="N19" s="857">
        <v>24295.199999999997</v>
      </c>
      <c r="O19" s="884">
        <v>24295.199999999997</v>
      </c>
      <c r="P19" s="885">
        <v>24445.199999999997</v>
      </c>
      <c r="Q19" s="885">
        <v>24295.199999999997</v>
      </c>
      <c r="R19" s="827"/>
      <c r="S19" s="824"/>
      <c r="T19" s="827"/>
      <c r="U19" s="824"/>
      <c r="V19" s="827"/>
      <c r="W19" s="827"/>
      <c r="X19" s="827"/>
    </row>
    <row r="20" spans="2:24">
      <c r="B20" s="865" t="s">
        <v>2093</v>
      </c>
      <c r="C20" s="866">
        <v>0</v>
      </c>
      <c r="D20" s="866">
        <v>0</v>
      </c>
      <c r="E20" s="866">
        <v>0</v>
      </c>
      <c r="K20" s="827"/>
      <c r="L20" s="846"/>
      <c r="M20" s="856"/>
      <c r="N20" s="888"/>
      <c r="O20" s="873">
        <v>0</v>
      </c>
      <c r="P20" s="874">
        <v>0</v>
      </c>
      <c r="Q20" s="874">
        <v>0</v>
      </c>
      <c r="R20" s="827"/>
      <c r="S20" s="827"/>
      <c r="T20" s="827"/>
      <c r="U20" s="824"/>
      <c r="V20" s="827"/>
      <c r="W20" s="827"/>
      <c r="X20" s="827"/>
    </row>
    <row r="21" spans="2:24">
      <c r="B21" s="889" t="s">
        <v>2094</v>
      </c>
      <c r="C21" s="890">
        <v>1967943064.9762142</v>
      </c>
      <c r="D21" s="890">
        <v>2023833064.9762142</v>
      </c>
      <c r="E21" s="890">
        <v>1970553564.9762142</v>
      </c>
      <c r="K21" s="827"/>
      <c r="L21" s="891" t="s">
        <v>2095</v>
      </c>
      <c r="M21" s="892">
        <v>2770393.8320000023</v>
      </c>
      <c r="N21" s="893">
        <v>3738804.6383594871</v>
      </c>
      <c r="O21" s="894">
        <v>3900438.0588984443</v>
      </c>
      <c r="P21" s="895">
        <v>3906792.0500026108</v>
      </c>
      <c r="Q21" s="895">
        <v>3945721.2262013406</v>
      </c>
      <c r="R21" s="827"/>
      <c r="S21" s="827"/>
      <c r="T21" s="827"/>
      <c r="U21" s="827"/>
      <c r="V21" s="827"/>
      <c r="W21" s="827"/>
      <c r="X21" s="827"/>
    </row>
    <row r="22" spans="2:24">
      <c r="B22" s="889"/>
      <c r="C22" s="890">
        <v>4830000</v>
      </c>
      <c r="D22" s="890">
        <v>4830000</v>
      </c>
      <c r="E22" s="890">
        <v>4830000</v>
      </c>
      <c r="K22" s="827"/>
      <c r="L22" s="846"/>
      <c r="M22" s="856"/>
      <c r="N22" s="857"/>
      <c r="O22" s="896"/>
      <c r="P22" s="897"/>
      <c r="Q22" s="897"/>
      <c r="R22" s="827"/>
      <c r="S22" s="827"/>
      <c r="T22" s="827"/>
      <c r="U22" s="827"/>
      <c r="V22" s="827"/>
      <c r="W22" s="827"/>
      <c r="X22" s="827"/>
    </row>
    <row r="23" spans="2:24">
      <c r="B23" s="889" t="s">
        <v>2096</v>
      </c>
      <c r="C23" s="890">
        <v>1963113064.9762142</v>
      </c>
      <c r="D23" s="890">
        <v>2019003064.9762142</v>
      </c>
      <c r="E23" s="890">
        <v>1965723564.9762142</v>
      </c>
      <c r="K23" s="827"/>
      <c r="L23" s="868" t="s">
        <v>2097</v>
      </c>
      <c r="M23" s="869">
        <v>1405543.14</v>
      </c>
      <c r="N23" s="857">
        <v>2129188.7898694826</v>
      </c>
      <c r="O23" s="884">
        <v>2204909.6029680725</v>
      </c>
      <c r="P23" s="885">
        <v>2281366.1742122737</v>
      </c>
      <c r="Q23" s="885">
        <v>2347047.1472058501</v>
      </c>
      <c r="R23" s="827"/>
      <c r="S23" s="824"/>
      <c r="T23" s="827"/>
      <c r="U23" s="827"/>
      <c r="V23" s="827"/>
      <c r="W23" s="827"/>
      <c r="X23" s="827"/>
    </row>
    <row r="24" spans="2:24">
      <c r="K24" s="827"/>
      <c r="L24" s="846"/>
      <c r="M24" s="856"/>
      <c r="N24" s="888"/>
      <c r="O24" s="873">
        <v>0</v>
      </c>
      <c r="P24" s="874">
        <v>0</v>
      </c>
      <c r="Q24" s="874">
        <v>0</v>
      </c>
      <c r="R24" s="827"/>
      <c r="S24" s="824"/>
      <c r="T24" s="827"/>
      <c r="U24" s="827"/>
      <c r="V24" s="827"/>
      <c r="W24" s="827"/>
      <c r="X24" s="827"/>
    </row>
    <row r="25" spans="2:24">
      <c r="B25" s="898" t="s">
        <v>2098</v>
      </c>
      <c r="C25" s="899">
        <v>3268617400</v>
      </c>
      <c r="D25" s="899">
        <v>3220317400</v>
      </c>
      <c r="E25" s="899">
        <v>3220317400</v>
      </c>
      <c r="K25" s="827"/>
      <c r="L25" s="900" t="s">
        <v>2099</v>
      </c>
      <c r="M25" s="901">
        <v>1364850.6920000024</v>
      </c>
      <c r="N25" s="902">
        <v>1609615.8484900044</v>
      </c>
      <c r="O25" s="903">
        <v>1695528.4559303715</v>
      </c>
      <c r="P25" s="904">
        <v>1625425.8757903369</v>
      </c>
      <c r="Q25" s="904">
        <v>1598674.0789954907</v>
      </c>
      <c r="R25" s="827"/>
      <c r="S25" s="827"/>
      <c r="T25" s="827"/>
      <c r="U25" s="827"/>
      <c r="V25" s="827"/>
      <c r="W25" s="827"/>
      <c r="X25" s="827"/>
    </row>
    <row r="26" spans="2:24">
      <c r="B26" s="905" t="s">
        <v>2100</v>
      </c>
      <c r="C26" s="866">
        <v>354430000</v>
      </c>
      <c r="D26" s="866">
        <v>354430000</v>
      </c>
      <c r="E26" s="866">
        <v>354430000</v>
      </c>
      <c r="K26" s="827"/>
      <c r="L26" s="846"/>
      <c r="M26" s="856"/>
      <c r="N26" s="857"/>
      <c r="O26" s="906"/>
      <c r="P26" s="907"/>
      <c r="Q26" s="907"/>
      <c r="R26" s="827"/>
      <c r="S26" s="827"/>
      <c r="T26" s="827"/>
      <c r="U26" s="827"/>
      <c r="V26" s="827"/>
      <c r="W26" s="827"/>
      <c r="X26" s="827"/>
    </row>
    <row r="27" spans="2:24">
      <c r="B27" s="865" t="s">
        <v>2101</v>
      </c>
      <c r="C27" s="845">
        <v>55200000</v>
      </c>
      <c r="D27" s="845">
        <v>55200000</v>
      </c>
      <c r="E27" s="845">
        <v>55200000</v>
      </c>
      <c r="K27" s="827"/>
      <c r="L27" s="868" t="s">
        <v>2102</v>
      </c>
      <c r="M27" s="869">
        <v>73492.122000000003</v>
      </c>
      <c r="N27" s="857">
        <v>73492.122000000003</v>
      </c>
      <c r="O27" s="884">
        <v>54000</v>
      </c>
      <c r="P27" s="885">
        <v>54000</v>
      </c>
      <c r="Q27" s="885">
        <v>54000</v>
      </c>
      <c r="R27" s="824"/>
      <c r="S27" s="827"/>
      <c r="T27" s="827"/>
      <c r="U27" s="827"/>
      <c r="V27" s="827"/>
      <c r="W27" s="827"/>
      <c r="X27" s="827"/>
    </row>
    <row r="28" spans="2:24">
      <c r="B28" s="865" t="s">
        <v>2103</v>
      </c>
      <c r="C28" s="837">
        <v>126500000</v>
      </c>
      <c r="D28" s="837">
        <v>126500000</v>
      </c>
      <c r="E28" s="837">
        <v>126500000</v>
      </c>
      <c r="K28" s="827"/>
      <c r="L28" s="908"/>
      <c r="M28" s="909">
        <v>0</v>
      </c>
      <c r="N28" s="857"/>
      <c r="O28" s="884">
        <v>0</v>
      </c>
      <c r="P28" s="885">
        <v>0</v>
      </c>
      <c r="Q28" s="885">
        <v>0</v>
      </c>
      <c r="R28" s="827"/>
      <c r="S28" s="824"/>
      <c r="T28" s="827"/>
      <c r="U28" s="827"/>
      <c r="V28" s="827"/>
      <c r="W28" s="827"/>
      <c r="X28" s="827"/>
    </row>
    <row r="29" spans="2:24">
      <c r="B29" s="865" t="s">
        <v>2104</v>
      </c>
      <c r="C29" s="866">
        <v>126500000</v>
      </c>
      <c r="D29" s="866">
        <v>126500000</v>
      </c>
      <c r="E29" s="866">
        <v>126500000</v>
      </c>
      <c r="K29" s="827"/>
      <c r="L29" s="868" t="s">
        <v>2105</v>
      </c>
      <c r="M29" s="869">
        <v>34065.584000000003</v>
      </c>
      <c r="N29" s="857">
        <v>34065.584000000003</v>
      </c>
      <c r="O29" s="884">
        <v>2338.7879999999996</v>
      </c>
      <c r="P29" s="885">
        <v>1738.7879999999996</v>
      </c>
      <c r="Q29" s="885">
        <v>1738.7879999999996</v>
      </c>
      <c r="R29" s="827"/>
      <c r="S29" s="827"/>
      <c r="T29" s="827"/>
      <c r="U29" s="829"/>
      <c r="V29" s="829"/>
      <c r="W29" s="827"/>
      <c r="X29" s="827"/>
    </row>
    <row r="30" spans="2:24">
      <c r="B30" s="865" t="s">
        <v>2106</v>
      </c>
      <c r="C30" s="845">
        <v>46230000</v>
      </c>
      <c r="D30" s="845">
        <v>46230000</v>
      </c>
      <c r="E30" s="845">
        <v>46230000</v>
      </c>
      <c r="K30" s="827"/>
      <c r="L30" s="846"/>
      <c r="M30" s="856"/>
      <c r="N30" s="888"/>
      <c r="O30" s="873">
        <v>0</v>
      </c>
      <c r="P30" s="874">
        <v>0</v>
      </c>
      <c r="Q30" s="874">
        <v>0</v>
      </c>
      <c r="R30" s="827"/>
      <c r="S30" s="827"/>
      <c r="T30" s="827"/>
      <c r="U30" s="827"/>
      <c r="V30" s="827"/>
      <c r="W30" s="827"/>
      <c r="X30" s="827"/>
    </row>
    <row r="31" spans="2:24">
      <c r="B31" s="910" t="s">
        <v>2087</v>
      </c>
      <c r="C31" s="837">
        <v>774732000</v>
      </c>
      <c r="D31" s="837">
        <v>726432000</v>
      </c>
      <c r="E31" s="837">
        <v>726432000</v>
      </c>
      <c r="K31" s="827"/>
      <c r="L31" s="900" t="s">
        <v>2107</v>
      </c>
      <c r="M31" s="901">
        <v>1404277.2300000023</v>
      </c>
      <c r="N31" s="902">
        <v>1649042.3864900044</v>
      </c>
      <c r="O31" s="903">
        <v>1747189.6679303714</v>
      </c>
      <c r="P31" s="904">
        <v>1677687.0877903369</v>
      </c>
      <c r="Q31" s="904">
        <v>1650935.2909954907</v>
      </c>
      <c r="R31" s="827"/>
      <c r="S31" s="827"/>
      <c r="T31" s="911"/>
      <c r="U31" s="827"/>
      <c r="V31" s="827"/>
      <c r="W31" s="827"/>
      <c r="X31" s="827"/>
    </row>
    <row r="32" spans="2:24">
      <c r="B32" s="865" t="s">
        <v>2108</v>
      </c>
      <c r="C32" s="866">
        <v>71760000</v>
      </c>
      <c r="D32" s="866">
        <v>71760000</v>
      </c>
      <c r="E32" s="866">
        <v>71760000</v>
      </c>
      <c r="K32" s="832"/>
      <c r="L32" s="868"/>
      <c r="M32" s="912"/>
      <c r="N32" s="848"/>
      <c r="O32" s="906"/>
      <c r="P32" s="907"/>
      <c r="Q32" s="907"/>
      <c r="R32" s="832"/>
      <c r="S32" s="832"/>
      <c r="T32" s="832"/>
      <c r="U32" s="832"/>
      <c r="V32" s="832"/>
      <c r="W32" s="832"/>
      <c r="X32" s="832"/>
    </row>
    <row r="33" spans="1:24">
      <c r="B33" s="865" t="s">
        <v>2109</v>
      </c>
      <c r="C33" s="845">
        <v>320712000</v>
      </c>
      <c r="D33" s="845">
        <v>272412000</v>
      </c>
      <c r="E33" s="845">
        <v>272412000</v>
      </c>
      <c r="K33" s="832"/>
      <c r="L33" s="913" t="s">
        <v>2110</v>
      </c>
      <c r="M33" s="914">
        <v>5.6303495344103872E-2</v>
      </c>
      <c r="N33" s="915">
        <v>4.2653180705862895E-2</v>
      </c>
      <c r="O33" s="916">
        <v>4.2956779105906874E-2</v>
      </c>
      <c r="P33" s="917">
        <v>4.31906015320421E-2</v>
      </c>
      <c r="Q33" s="917">
        <v>4.3079265066473853E-2</v>
      </c>
      <c r="R33" s="832"/>
      <c r="S33" s="832"/>
      <c r="T33" s="832"/>
      <c r="U33" s="832"/>
      <c r="V33" s="832"/>
      <c r="W33" s="832"/>
      <c r="X33" s="832"/>
    </row>
    <row r="34" spans="1:24">
      <c r="B34" s="865" t="s">
        <v>2111</v>
      </c>
      <c r="C34" s="837">
        <v>144900000</v>
      </c>
      <c r="D34" s="837">
        <v>144900000</v>
      </c>
      <c r="E34" s="837">
        <v>144900000</v>
      </c>
      <c r="K34" s="827"/>
      <c r="L34" s="846"/>
      <c r="M34" s="918"/>
      <c r="N34" s="919"/>
      <c r="O34" s="873"/>
      <c r="P34" s="920"/>
      <c r="Q34" s="920"/>
      <c r="R34" s="827"/>
      <c r="S34" s="827"/>
      <c r="T34" s="827"/>
      <c r="U34" s="827"/>
      <c r="V34" s="827"/>
      <c r="W34" s="827"/>
      <c r="X34" s="827"/>
    </row>
    <row r="35" spans="1:24">
      <c r="B35" s="921" t="s">
        <v>2112</v>
      </c>
      <c r="C35" s="866">
        <v>237360000</v>
      </c>
      <c r="D35" s="866">
        <v>237360000</v>
      </c>
      <c r="E35" s="866">
        <v>237360000</v>
      </c>
      <c r="K35" s="827"/>
      <c r="L35" s="846" t="s">
        <v>2113</v>
      </c>
      <c r="M35" s="856">
        <v>309116.32900000003</v>
      </c>
      <c r="N35" s="872">
        <v>362789.32502780098</v>
      </c>
      <c r="O35" s="922">
        <v>384381.72694468172</v>
      </c>
      <c r="P35" s="874">
        <v>369091.15931387414</v>
      </c>
      <c r="Q35" s="923">
        <v>363205.76401900797</v>
      </c>
      <c r="R35" s="824"/>
      <c r="S35" s="824"/>
      <c r="T35" s="827"/>
      <c r="U35" s="827"/>
      <c r="V35" s="827"/>
      <c r="W35" s="827"/>
      <c r="X35" s="827"/>
    </row>
    <row r="36" spans="1:24">
      <c r="B36" s="924" t="s">
        <v>2114</v>
      </c>
      <c r="C36" s="925">
        <v>2139455400</v>
      </c>
      <c r="D36" s="925">
        <v>2139455400</v>
      </c>
      <c r="E36" s="925">
        <v>2139455400</v>
      </c>
      <c r="K36" s="832"/>
      <c r="L36" s="868"/>
      <c r="M36" s="869"/>
      <c r="N36" s="857"/>
      <c r="O36" s="884"/>
      <c r="P36" s="885"/>
      <c r="Q36" s="885"/>
      <c r="R36" s="832"/>
      <c r="S36" s="832"/>
      <c r="T36" s="832"/>
      <c r="U36" s="832"/>
      <c r="V36" s="832"/>
      <c r="W36" s="832"/>
      <c r="X36" s="832"/>
    </row>
    <row r="37" spans="1:24">
      <c r="B37" s="926"/>
      <c r="C37" s="927"/>
      <c r="D37" s="927"/>
      <c r="E37" s="927"/>
      <c r="K37" s="827"/>
      <c r="L37" s="928" t="s">
        <v>2115</v>
      </c>
      <c r="M37" s="929">
        <v>1095160.9010000024</v>
      </c>
      <c r="N37" s="930">
        <v>1286253.0614622035</v>
      </c>
      <c r="O37" s="931">
        <v>1362807.9409856896</v>
      </c>
      <c r="P37" s="932">
        <v>1308595.9284764628</v>
      </c>
      <c r="Q37" s="932">
        <v>1287729.5269764827</v>
      </c>
      <c r="R37" s="824"/>
      <c r="S37" s="824"/>
      <c r="T37" s="827"/>
      <c r="U37" s="827"/>
      <c r="V37" s="827"/>
      <c r="W37" s="827"/>
      <c r="X37" s="827"/>
    </row>
    <row r="38" spans="1:24" s="936" customFormat="1">
      <c r="A38" s="699"/>
      <c r="B38" s="926"/>
      <c r="C38" s="927"/>
      <c r="D38" s="927"/>
      <c r="E38" s="927"/>
      <c r="F38" s="699"/>
      <c r="G38" s="699"/>
      <c r="H38" s="699"/>
      <c r="I38" s="699"/>
      <c r="J38" s="699"/>
      <c r="K38" s="832"/>
      <c r="L38" s="868"/>
      <c r="M38" s="933"/>
      <c r="N38" s="848"/>
      <c r="O38" s="934"/>
      <c r="P38" s="935"/>
      <c r="Q38" s="935"/>
      <c r="R38" s="832"/>
      <c r="S38" s="832"/>
      <c r="T38" s="832"/>
      <c r="U38" s="832"/>
      <c r="V38" s="832"/>
      <c r="W38" s="832"/>
      <c r="X38" s="832"/>
    </row>
    <row r="39" spans="1:24">
      <c r="B39" s="926"/>
      <c r="C39" s="927"/>
      <c r="D39" s="927"/>
      <c r="E39" s="927"/>
      <c r="K39" s="832"/>
      <c r="L39" s="937" t="s">
        <v>2116</v>
      </c>
      <c r="M39" s="938">
        <v>0.11107696748835411</v>
      </c>
      <c r="N39" s="939">
        <v>9.6705767644519075E-2</v>
      </c>
      <c r="O39" s="940">
        <v>9.5897004880325237E-2</v>
      </c>
      <c r="P39" s="941">
        <v>0.10057697882294242</v>
      </c>
      <c r="Q39" s="941">
        <v>0.10295907508249157</v>
      </c>
      <c r="R39" s="832"/>
      <c r="S39" s="832"/>
      <c r="T39" s="832"/>
      <c r="U39" s="832"/>
      <c r="V39" s="832"/>
      <c r="W39" s="832"/>
      <c r="X39" s="832"/>
    </row>
    <row r="40" spans="1:24">
      <c r="B40" s="926"/>
      <c r="C40" s="927"/>
      <c r="D40" s="927"/>
      <c r="E40" s="927"/>
      <c r="K40" s="832"/>
      <c r="L40" s="937" t="s">
        <v>2117</v>
      </c>
      <c r="M40" s="938">
        <v>5.4722716384441379E-2</v>
      </c>
      <c r="N40" s="939">
        <v>4.163339657920985E-2</v>
      </c>
      <c r="O40" s="940">
        <v>4.1686625491241691E-2</v>
      </c>
      <c r="P40" s="941">
        <v>4.1845181876910519E-2</v>
      </c>
      <c r="Q40" s="941">
        <v>4.1715568611063028E-2</v>
      </c>
      <c r="R40" s="832"/>
      <c r="S40" s="832"/>
      <c r="T40" s="832"/>
      <c r="U40" s="832"/>
      <c r="V40" s="832"/>
      <c r="W40" s="832"/>
      <c r="X40" s="832"/>
    </row>
    <row r="41" spans="1:24">
      <c r="B41" s="926"/>
      <c r="C41" s="927"/>
      <c r="D41" s="927"/>
      <c r="E41" s="927"/>
      <c r="K41" s="832"/>
      <c r="L41" s="937" t="s">
        <v>2118</v>
      </c>
      <c r="M41" s="938">
        <v>5.6303495344103872E-2</v>
      </c>
      <c r="N41" s="939">
        <v>4.2653180705862895E-2</v>
      </c>
      <c r="O41" s="940">
        <v>4.2956779105906874E-2</v>
      </c>
      <c r="P41" s="941">
        <v>4.31906015320421E-2</v>
      </c>
      <c r="Q41" s="941">
        <v>4.3079265066473853E-2</v>
      </c>
      <c r="R41" s="832"/>
      <c r="S41" s="832"/>
      <c r="T41" s="832"/>
      <c r="U41" s="832"/>
      <c r="V41" s="832"/>
      <c r="W41" s="832"/>
      <c r="X41" s="832"/>
    </row>
    <row r="42" spans="1:24">
      <c r="B42" s="926"/>
      <c r="C42" s="927"/>
      <c r="D42" s="927"/>
      <c r="E42" s="927"/>
      <c r="K42" s="832"/>
      <c r="L42" s="942" t="s">
        <v>2119</v>
      </c>
      <c r="M42" s="943">
        <v>4.3909696300137357E-2</v>
      </c>
      <c r="N42" s="944">
        <v>3.3269480950573062E-2</v>
      </c>
      <c r="O42" s="945">
        <v>3.3506287702607357E-2</v>
      </c>
      <c r="P42" s="946">
        <v>3.3688669194992839E-2</v>
      </c>
      <c r="Q42" s="946">
        <v>3.3601826751849605E-2</v>
      </c>
      <c r="R42" s="832"/>
      <c r="S42" s="832"/>
      <c r="T42" s="832"/>
      <c r="U42" s="832"/>
      <c r="V42" s="832"/>
      <c r="W42" s="832"/>
      <c r="X42" s="832"/>
    </row>
    <row r="43" spans="1:24" ht="14.25" customHeight="1">
      <c r="B43" s="926"/>
      <c r="C43" s="927"/>
      <c r="D43" s="927"/>
      <c r="E43" s="927"/>
      <c r="K43" s="832"/>
      <c r="L43" s="947"/>
      <c r="M43" s="948"/>
      <c r="N43" s="949"/>
      <c r="O43" s="950"/>
      <c r="P43" s="950"/>
      <c r="Q43" s="950"/>
      <c r="R43" s="950"/>
      <c r="S43" s="950"/>
      <c r="T43" s="950"/>
      <c r="U43" s="950"/>
      <c r="V43" s="950"/>
      <c r="W43" s="950"/>
      <c r="X43" s="950"/>
    </row>
    <row r="44" spans="1:24">
      <c r="K44" s="832"/>
      <c r="L44" s="947"/>
      <c r="M44" s="948"/>
      <c r="N44" s="949"/>
      <c r="O44" s="950"/>
      <c r="P44" s="950"/>
      <c r="Q44" s="950"/>
      <c r="R44" s="950"/>
      <c r="S44" s="950"/>
      <c r="T44" s="950"/>
      <c r="U44" s="950"/>
      <c r="V44" s="950"/>
      <c r="W44" s="950"/>
      <c r="X44" s="950"/>
    </row>
    <row r="45" spans="1:24">
      <c r="A45" s="951" t="s">
        <v>68</v>
      </c>
      <c r="B45" s="936" t="s">
        <v>67</v>
      </c>
      <c r="C45" s="952"/>
      <c r="D45" s="953"/>
      <c r="E45" s="954"/>
      <c r="F45" s="954"/>
      <c r="G45" s="954"/>
      <c r="H45" s="954"/>
      <c r="I45" s="954"/>
      <c r="J45" s="954"/>
      <c r="K45" s="951" t="s">
        <v>68</v>
      </c>
      <c r="L45" s="936" t="s">
        <v>67</v>
      </c>
      <c r="M45" s="952"/>
      <c r="N45" s="953"/>
      <c r="O45" s="954"/>
      <c r="P45" s="954"/>
      <c r="Q45" s="954"/>
      <c r="R45" s="954"/>
      <c r="S45" s="954"/>
      <c r="T45" s="954"/>
      <c r="U45" s="954"/>
      <c r="V45" s="954"/>
      <c r="W45" s="954"/>
      <c r="X45" s="954"/>
    </row>
    <row r="46" spans="1:24">
      <c r="K46" s="832"/>
      <c r="L46" s="947"/>
      <c r="M46" s="948"/>
      <c r="N46" s="949"/>
      <c r="O46" s="950"/>
      <c r="P46" s="950"/>
      <c r="Q46" s="950"/>
      <c r="R46" s="950"/>
      <c r="S46" s="950"/>
      <c r="T46" s="950"/>
      <c r="U46" s="950"/>
      <c r="V46" s="950"/>
      <c r="W46" s="950"/>
      <c r="X46" s="950"/>
    </row>
    <row r="47" spans="1:24" ht="24">
      <c r="K47" s="832"/>
      <c r="L47" s="955" t="s">
        <v>2120</v>
      </c>
      <c r="M47" s="699"/>
      <c r="N47" s="699"/>
      <c r="O47" s="699"/>
      <c r="P47" s="699"/>
      <c r="Q47" s="699"/>
      <c r="R47" s="950"/>
      <c r="S47" s="950"/>
      <c r="T47" s="950"/>
      <c r="U47" s="950"/>
      <c r="V47" s="950"/>
      <c r="W47" s="950"/>
      <c r="X47" s="950"/>
    </row>
    <row r="48" spans="1:24">
      <c r="B48" s="955" t="s">
        <v>2121</v>
      </c>
      <c r="K48" s="832"/>
      <c r="L48" s="956"/>
      <c r="M48" s="699"/>
      <c r="N48" s="699"/>
      <c r="O48" s="699"/>
      <c r="P48" s="699"/>
      <c r="Q48" s="699"/>
      <c r="R48" s="950"/>
      <c r="S48" s="950"/>
      <c r="T48" s="950"/>
      <c r="U48" s="950"/>
      <c r="V48" s="950"/>
      <c r="W48" s="950"/>
      <c r="X48" s="950"/>
    </row>
    <row r="49" spans="1:30">
      <c r="B49" s="957" t="s">
        <v>1925</v>
      </c>
      <c r="K49" s="832"/>
      <c r="L49" s="955" t="s">
        <v>2122</v>
      </c>
      <c r="M49" s="699"/>
      <c r="N49" s="699"/>
      <c r="O49" s="699"/>
      <c r="P49" s="699"/>
      <c r="Q49" s="699"/>
      <c r="R49" s="950"/>
      <c r="S49" s="955" t="s">
        <v>2122</v>
      </c>
      <c r="T49" s="699"/>
      <c r="U49" s="699"/>
      <c r="V49" s="699"/>
      <c r="W49" s="699"/>
      <c r="X49" s="699"/>
      <c r="Z49" s="1052" t="s">
        <v>2445</v>
      </c>
    </row>
    <row r="50" spans="1:30">
      <c r="B50" s="958" t="s">
        <v>1407</v>
      </c>
      <c r="C50" s="959" t="s">
        <v>2023</v>
      </c>
      <c r="D50" s="960">
        <v>2019</v>
      </c>
      <c r="E50" s="961"/>
      <c r="F50" s="962"/>
      <c r="G50" s="960">
        <v>2018</v>
      </c>
      <c r="H50" s="961"/>
      <c r="I50" s="963"/>
      <c r="K50" s="832"/>
      <c r="L50" s="957" t="s">
        <v>1925</v>
      </c>
      <c r="M50" s="699"/>
      <c r="N50" s="699"/>
      <c r="O50" s="699"/>
      <c r="P50" s="699"/>
      <c r="Q50" s="699"/>
      <c r="R50" s="950"/>
      <c r="S50" s="957" t="s">
        <v>1925</v>
      </c>
      <c r="T50" s="699"/>
      <c r="U50" s="699"/>
      <c r="V50" s="699"/>
      <c r="W50" s="699"/>
      <c r="X50" s="699"/>
      <c r="Z50" s="771" t="s">
        <v>1925</v>
      </c>
      <c r="AA50" s="1"/>
      <c r="AB50" s="1"/>
      <c r="AC50" s="1"/>
    </row>
    <row r="51" spans="1:30" s="936" customFormat="1">
      <c r="A51" s="699"/>
      <c r="B51" s="964"/>
      <c r="C51" s="965"/>
      <c r="D51" s="966" t="s">
        <v>140</v>
      </c>
      <c r="E51" s="966" t="s">
        <v>2123</v>
      </c>
      <c r="F51" s="966" t="s">
        <v>146</v>
      </c>
      <c r="G51" s="966" t="s">
        <v>140</v>
      </c>
      <c r="H51" s="966" t="s">
        <v>2123</v>
      </c>
      <c r="I51" s="967" t="s">
        <v>146</v>
      </c>
      <c r="J51" s="699"/>
      <c r="K51" s="832"/>
      <c r="L51" s="958" t="s">
        <v>1407</v>
      </c>
      <c r="M51" s="959" t="s">
        <v>2023</v>
      </c>
      <c r="N51" s="960">
        <v>2019</v>
      </c>
      <c r="O51" s="962"/>
      <c r="P51" s="960">
        <v>2018</v>
      </c>
      <c r="Q51" s="963"/>
      <c r="R51" s="950"/>
      <c r="S51" s="958" t="s">
        <v>1407</v>
      </c>
      <c r="T51" s="959" t="s">
        <v>2023</v>
      </c>
      <c r="U51" s="960">
        <v>2018</v>
      </c>
      <c r="V51" s="962"/>
      <c r="W51" s="960">
        <v>2017</v>
      </c>
      <c r="X51" s="963"/>
      <c r="Z51" s="1031" t="s">
        <v>1407</v>
      </c>
      <c r="AA51" s="1032" t="s">
        <v>2023</v>
      </c>
      <c r="AB51" s="774">
        <v>2020</v>
      </c>
      <c r="AC51" s="775">
        <v>2019</v>
      </c>
    </row>
    <row r="52" spans="1:30">
      <c r="B52" s="968" t="s">
        <v>2124</v>
      </c>
      <c r="C52" s="969" t="s">
        <v>2125</v>
      </c>
      <c r="D52" s="970" t="s">
        <v>1432</v>
      </c>
      <c r="E52" s="970" t="s">
        <v>1432</v>
      </c>
      <c r="F52" s="970" t="s">
        <v>1432</v>
      </c>
      <c r="G52" s="970" t="s">
        <v>1432</v>
      </c>
      <c r="H52" s="970" t="s">
        <v>1432</v>
      </c>
      <c r="I52" s="971" t="s">
        <v>2126</v>
      </c>
      <c r="K52" s="832"/>
      <c r="L52" s="964"/>
      <c r="M52" s="965"/>
      <c r="N52" s="966" t="s">
        <v>2127</v>
      </c>
      <c r="O52" s="966" t="s">
        <v>145</v>
      </c>
      <c r="P52" s="966" t="s">
        <v>2127</v>
      </c>
      <c r="Q52" s="967" t="s">
        <v>145</v>
      </c>
      <c r="R52" s="950"/>
      <c r="S52" s="964"/>
      <c r="T52" s="965"/>
      <c r="U52" s="966" t="s">
        <v>2127</v>
      </c>
      <c r="V52" s="966" t="s">
        <v>145</v>
      </c>
      <c r="W52" s="966" t="s">
        <v>2127</v>
      </c>
      <c r="X52" s="967" t="s">
        <v>145</v>
      </c>
      <c r="Z52" s="1036"/>
      <c r="AA52" s="1037"/>
      <c r="AB52" s="1038" t="s">
        <v>2127</v>
      </c>
      <c r="AC52" s="1039" t="s">
        <v>2127</v>
      </c>
    </row>
    <row r="53" spans="1:30">
      <c r="B53" s="968" t="s">
        <v>2128</v>
      </c>
      <c r="C53" s="969" t="s">
        <v>2129</v>
      </c>
      <c r="D53" s="972">
        <v>6251941</v>
      </c>
      <c r="E53" s="970" t="s">
        <v>1432</v>
      </c>
      <c r="F53" s="972">
        <v>53851</v>
      </c>
      <c r="G53" s="972">
        <v>10547798</v>
      </c>
      <c r="H53" s="972">
        <v>1492</v>
      </c>
      <c r="I53" s="973">
        <v>51276</v>
      </c>
      <c r="K53" s="832"/>
      <c r="L53" s="968" t="s">
        <v>2029</v>
      </c>
      <c r="M53" s="974" t="s">
        <v>2130</v>
      </c>
      <c r="N53" s="975">
        <v>45830156</v>
      </c>
      <c r="O53" s="976" t="s">
        <v>1432</v>
      </c>
      <c r="P53" s="975">
        <v>23692270</v>
      </c>
      <c r="Q53" s="977" t="s">
        <v>1432</v>
      </c>
      <c r="R53" s="950"/>
      <c r="S53" s="968" t="s">
        <v>2029</v>
      </c>
      <c r="T53" s="974" t="s">
        <v>2130</v>
      </c>
      <c r="U53" s="975">
        <v>23692270</v>
      </c>
      <c r="V53" s="976" t="s">
        <v>125</v>
      </c>
      <c r="W53" s="975">
        <v>26141162</v>
      </c>
      <c r="X53" s="978">
        <v>1200</v>
      </c>
      <c r="Z53" s="779" t="s">
        <v>2029</v>
      </c>
      <c r="AA53" s="1047" t="s">
        <v>2130</v>
      </c>
      <c r="AB53" s="1048">
        <v>35859830</v>
      </c>
      <c r="AC53" s="1049">
        <v>45830156</v>
      </c>
    </row>
    <row r="54" spans="1:30">
      <c r="B54" s="968" t="s">
        <v>2131</v>
      </c>
      <c r="C54" s="969" t="s">
        <v>2132</v>
      </c>
      <c r="D54" s="970" t="s">
        <v>1432</v>
      </c>
      <c r="E54" s="970" t="s">
        <v>1432</v>
      </c>
      <c r="F54" s="970" t="s">
        <v>2133</v>
      </c>
      <c r="G54" s="970" t="s">
        <v>1432</v>
      </c>
      <c r="H54" s="970" t="s">
        <v>1432</v>
      </c>
      <c r="I54" s="971" t="s">
        <v>2134</v>
      </c>
      <c r="K54" s="832"/>
      <c r="L54" s="979" t="s">
        <v>246</v>
      </c>
      <c r="M54" s="974" t="s">
        <v>2135</v>
      </c>
      <c r="N54" s="975">
        <v>21500</v>
      </c>
      <c r="O54" s="976" t="s">
        <v>1432</v>
      </c>
      <c r="P54" s="975">
        <v>2644900</v>
      </c>
      <c r="Q54" s="977" t="s">
        <v>2136</v>
      </c>
      <c r="R54" s="950"/>
      <c r="S54" s="979" t="s">
        <v>246</v>
      </c>
      <c r="T54" s="974" t="s">
        <v>2135</v>
      </c>
      <c r="U54" s="975">
        <v>2644900</v>
      </c>
      <c r="V54" s="975">
        <v>1000</v>
      </c>
      <c r="W54" s="975">
        <v>498578</v>
      </c>
      <c r="X54" s="977" t="s">
        <v>125</v>
      </c>
      <c r="Z54" s="789" t="s">
        <v>246</v>
      </c>
      <c r="AA54" s="1047" t="s">
        <v>2135</v>
      </c>
      <c r="AB54" s="1048">
        <v>2544400</v>
      </c>
      <c r="AC54" s="1049">
        <v>21500</v>
      </c>
    </row>
    <row r="55" spans="1:30">
      <c r="B55" s="980" t="s">
        <v>2131</v>
      </c>
      <c r="C55" s="981" t="s">
        <v>2137</v>
      </c>
      <c r="D55" s="982" t="s">
        <v>1432</v>
      </c>
      <c r="E55" s="982" t="s">
        <v>1432</v>
      </c>
      <c r="F55" s="982" t="s">
        <v>2138</v>
      </c>
      <c r="G55" s="982" t="s">
        <v>1432</v>
      </c>
      <c r="H55" s="982" t="s">
        <v>1432</v>
      </c>
      <c r="I55" s="983" t="s">
        <v>1432</v>
      </c>
      <c r="K55" s="832"/>
      <c r="L55" s="984" t="s">
        <v>2032</v>
      </c>
      <c r="M55" s="974" t="s">
        <v>1483</v>
      </c>
      <c r="N55" s="975">
        <v>1347131</v>
      </c>
      <c r="O55" s="976" t="s">
        <v>1432</v>
      </c>
      <c r="P55" s="975">
        <v>962637</v>
      </c>
      <c r="Q55" s="977" t="s">
        <v>1432</v>
      </c>
      <c r="R55" s="950"/>
      <c r="S55" s="984" t="s">
        <v>2032</v>
      </c>
      <c r="T55" s="974" t="s">
        <v>1483</v>
      </c>
      <c r="U55" s="975">
        <v>962637</v>
      </c>
      <c r="V55" s="976" t="s">
        <v>125</v>
      </c>
      <c r="W55" s="976" t="s">
        <v>2139</v>
      </c>
      <c r="X55" s="977" t="s">
        <v>2140</v>
      </c>
      <c r="Z55" s="791" t="s">
        <v>2032</v>
      </c>
      <c r="AA55" s="1047" t="s">
        <v>1483</v>
      </c>
      <c r="AB55" s="1048">
        <v>1281148</v>
      </c>
      <c r="AC55" s="1049">
        <v>1347131</v>
      </c>
    </row>
    <row r="56" spans="1:30">
      <c r="B56" s="985"/>
      <c r="C56" s="985"/>
      <c r="D56" s="957"/>
      <c r="E56" s="957"/>
      <c r="F56" s="957"/>
      <c r="G56" s="957"/>
      <c r="H56" s="957"/>
      <c r="I56" s="957"/>
      <c r="K56" s="832"/>
      <c r="L56" s="986" t="s">
        <v>400</v>
      </c>
      <c r="M56" s="987"/>
      <c r="N56" s="988">
        <v>47198787</v>
      </c>
      <c r="O56" s="989" t="s">
        <v>1432</v>
      </c>
      <c r="P56" s="988">
        <v>27299807</v>
      </c>
      <c r="Q56" s="990" t="s">
        <v>2136</v>
      </c>
      <c r="R56" s="950"/>
      <c r="S56" s="986" t="s">
        <v>400</v>
      </c>
      <c r="T56" s="987"/>
      <c r="U56" s="988">
        <v>27299807</v>
      </c>
      <c r="V56" s="988">
        <v>1000</v>
      </c>
      <c r="W56" s="989" t="s">
        <v>2141</v>
      </c>
      <c r="X56" s="991">
        <v>1200</v>
      </c>
      <c r="Z56" s="802" t="s">
        <v>1413</v>
      </c>
      <c r="AA56" s="803"/>
      <c r="AB56" s="1051">
        <v>39685379</v>
      </c>
      <c r="AC56" s="1050">
        <v>47198787</v>
      </c>
    </row>
    <row r="57" spans="1:30">
      <c r="B57" s="955" t="s">
        <v>2142</v>
      </c>
      <c r="I57" s="957"/>
      <c r="K57" s="832"/>
      <c r="L57" s="956"/>
      <c r="M57" s="699"/>
      <c r="N57" s="699"/>
      <c r="O57" s="699"/>
      <c r="P57" s="699"/>
      <c r="Q57" s="699"/>
      <c r="R57" s="950"/>
      <c r="S57" s="956"/>
      <c r="T57" s="699"/>
      <c r="U57" s="699"/>
      <c r="V57" s="699"/>
      <c r="W57" s="699"/>
      <c r="X57" s="699"/>
    </row>
    <row r="58" spans="1:30">
      <c r="B58" s="957" t="s">
        <v>1925</v>
      </c>
      <c r="I58" s="957"/>
      <c r="K58" s="832"/>
      <c r="L58" s="955"/>
      <c r="M58" s="699"/>
      <c r="N58" s="699"/>
      <c r="O58" s="699"/>
      <c r="P58" s="699"/>
      <c r="Q58" s="699"/>
      <c r="R58" s="950"/>
      <c r="S58" s="955"/>
      <c r="T58" s="699"/>
      <c r="U58" s="699"/>
      <c r="V58" s="699"/>
      <c r="W58" s="699"/>
      <c r="X58" s="699"/>
    </row>
    <row r="59" spans="1:30">
      <c r="B59" s="958" t="s">
        <v>1407</v>
      </c>
      <c r="C59" s="959" t="s">
        <v>2023</v>
      </c>
      <c r="D59" s="960">
        <v>2018</v>
      </c>
      <c r="E59" s="961"/>
      <c r="F59" s="962"/>
      <c r="G59" s="960">
        <v>2017</v>
      </c>
      <c r="H59" s="963"/>
      <c r="I59" s="957"/>
      <c r="K59" s="832"/>
      <c r="L59" s="955" t="s">
        <v>2143</v>
      </c>
      <c r="M59" s="699"/>
      <c r="N59" s="699"/>
      <c r="O59" s="699"/>
      <c r="P59" s="699"/>
      <c r="Q59" s="699"/>
      <c r="R59" s="950"/>
      <c r="S59" s="955" t="s">
        <v>2143</v>
      </c>
      <c r="T59" s="699"/>
      <c r="U59" s="699"/>
      <c r="V59" s="699"/>
      <c r="W59" s="699"/>
      <c r="X59" s="699"/>
    </row>
    <row r="60" spans="1:30">
      <c r="B60" s="964"/>
      <c r="C60" s="965"/>
      <c r="D60" s="966" t="s">
        <v>140</v>
      </c>
      <c r="E60" s="966" t="s">
        <v>2123</v>
      </c>
      <c r="F60" s="966" t="s">
        <v>146</v>
      </c>
      <c r="G60" s="966" t="s">
        <v>140</v>
      </c>
      <c r="H60" s="967" t="s">
        <v>146</v>
      </c>
      <c r="I60" s="957"/>
      <c r="K60" s="832"/>
      <c r="L60" s="957" t="s">
        <v>1925</v>
      </c>
      <c r="M60" s="699"/>
      <c r="N60" s="699"/>
      <c r="O60" s="699"/>
      <c r="P60" s="699"/>
      <c r="Q60" s="699"/>
      <c r="R60" s="950"/>
      <c r="S60" s="957" t="s">
        <v>1925</v>
      </c>
      <c r="T60" s="699"/>
      <c r="U60" s="699"/>
      <c r="V60" s="699"/>
      <c r="W60" s="699"/>
      <c r="X60" s="699"/>
      <c r="Z60" s="957" t="s">
        <v>1925</v>
      </c>
    </row>
    <row r="61" spans="1:30" ht="13.5" customHeight="1">
      <c r="B61" s="968" t="s">
        <v>2124</v>
      </c>
      <c r="C61" s="969" t="s">
        <v>2125</v>
      </c>
      <c r="D61" s="970" t="s">
        <v>125</v>
      </c>
      <c r="E61" s="970" t="s">
        <v>125</v>
      </c>
      <c r="F61" s="970">
        <v>330</v>
      </c>
      <c r="G61" s="970" t="s">
        <v>125</v>
      </c>
      <c r="H61" s="971" t="s">
        <v>125</v>
      </c>
      <c r="I61" s="957"/>
      <c r="K61" s="832"/>
      <c r="L61" s="958" t="s">
        <v>1407</v>
      </c>
      <c r="M61" s="959" t="s">
        <v>2023</v>
      </c>
      <c r="N61" s="960">
        <v>2019</v>
      </c>
      <c r="O61" s="962"/>
      <c r="P61" s="960">
        <v>2018</v>
      </c>
      <c r="Q61" s="963"/>
      <c r="R61" s="950"/>
      <c r="S61" s="958" t="s">
        <v>1407</v>
      </c>
      <c r="T61" s="959" t="s">
        <v>2023</v>
      </c>
      <c r="U61" s="960">
        <v>2018</v>
      </c>
      <c r="V61" s="962"/>
      <c r="W61" s="960">
        <v>2017</v>
      </c>
      <c r="X61" s="963"/>
      <c r="Z61" s="958" t="s">
        <v>1407</v>
      </c>
      <c r="AA61" s="959" t="s">
        <v>2023</v>
      </c>
      <c r="AB61" s="1003">
        <v>2020</v>
      </c>
      <c r="AC61" s="960">
        <v>2019</v>
      </c>
      <c r="AD61" s="963"/>
    </row>
    <row r="62" spans="1:30">
      <c r="B62" s="968" t="s">
        <v>2128</v>
      </c>
      <c r="C62" s="969" t="s">
        <v>2129</v>
      </c>
      <c r="D62" s="972">
        <v>10547798</v>
      </c>
      <c r="E62" s="972">
        <v>1492</v>
      </c>
      <c r="F62" s="972">
        <v>51276</v>
      </c>
      <c r="G62" s="972">
        <v>8601245</v>
      </c>
      <c r="H62" s="973">
        <v>45252</v>
      </c>
      <c r="I62" s="957"/>
      <c r="K62" s="832"/>
      <c r="L62" s="964"/>
      <c r="M62" s="965"/>
      <c r="N62" s="966" t="s">
        <v>2144</v>
      </c>
      <c r="O62" s="966" t="s">
        <v>146</v>
      </c>
      <c r="P62" s="966" t="s">
        <v>2144</v>
      </c>
      <c r="Q62" s="967" t="s">
        <v>146</v>
      </c>
      <c r="R62" s="950"/>
      <c r="S62" s="964"/>
      <c r="T62" s="965"/>
      <c r="U62" s="966" t="s">
        <v>2144</v>
      </c>
      <c r="V62" s="966" t="s">
        <v>146</v>
      </c>
      <c r="W62" s="966" t="s">
        <v>2145</v>
      </c>
      <c r="X62" s="967" t="s">
        <v>146</v>
      </c>
      <c r="Z62" s="964"/>
      <c r="AA62" s="965"/>
      <c r="AB62" s="966" t="s">
        <v>146</v>
      </c>
      <c r="AC62" s="966" t="s">
        <v>2144</v>
      </c>
      <c r="AD62" s="967" t="s">
        <v>146</v>
      </c>
    </row>
    <row r="63" spans="1:30">
      <c r="B63" s="980" t="s">
        <v>2131</v>
      </c>
      <c r="C63" s="981" t="s">
        <v>2132</v>
      </c>
      <c r="D63" s="982" t="s">
        <v>125</v>
      </c>
      <c r="E63" s="982" t="s">
        <v>125</v>
      </c>
      <c r="F63" s="992">
        <v>2533</v>
      </c>
      <c r="G63" s="982" t="s">
        <v>125</v>
      </c>
      <c r="H63" s="993">
        <v>1735</v>
      </c>
      <c r="I63" s="957"/>
      <c r="K63" s="832"/>
      <c r="L63" s="968" t="s">
        <v>2029</v>
      </c>
      <c r="M63" s="974" t="s">
        <v>2130</v>
      </c>
      <c r="N63" s="976" t="s">
        <v>1432</v>
      </c>
      <c r="O63" s="976" t="s">
        <v>1432</v>
      </c>
      <c r="P63" s="976" t="s">
        <v>1432</v>
      </c>
      <c r="Q63" s="977">
        <v>50</v>
      </c>
      <c r="R63" s="950"/>
      <c r="S63" s="968" t="s">
        <v>2029</v>
      </c>
      <c r="T63" s="974" t="s">
        <v>2130</v>
      </c>
      <c r="U63" s="976" t="s">
        <v>125</v>
      </c>
      <c r="V63" s="976">
        <v>50</v>
      </c>
      <c r="W63" s="976" t="s">
        <v>125</v>
      </c>
      <c r="X63" s="978">
        <v>6165</v>
      </c>
      <c r="Z63" s="979" t="s">
        <v>246</v>
      </c>
      <c r="AA63" s="974" t="s">
        <v>2146</v>
      </c>
      <c r="AB63" s="976" t="s">
        <v>2440</v>
      </c>
      <c r="AC63" s="976" t="s">
        <v>2147</v>
      </c>
      <c r="AD63" s="977" t="s">
        <v>2148</v>
      </c>
    </row>
    <row r="64" spans="1:30">
      <c r="H64" s="957"/>
      <c r="I64" s="957"/>
      <c r="K64" s="832"/>
      <c r="L64" s="979" t="s">
        <v>246</v>
      </c>
      <c r="M64" s="974" t="s">
        <v>2146</v>
      </c>
      <c r="N64" s="976" t="s">
        <v>2147</v>
      </c>
      <c r="O64" s="976" t="s">
        <v>2148</v>
      </c>
      <c r="P64" s="976" t="s">
        <v>1432</v>
      </c>
      <c r="Q64" s="977" t="s">
        <v>2149</v>
      </c>
      <c r="R64" s="950"/>
      <c r="S64" s="979" t="s">
        <v>246</v>
      </c>
      <c r="T64" s="974" t="s">
        <v>2135</v>
      </c>
      <c r="U64" s="976" t="s">
        <v>125</v>
      </c>
      <c r="V64" s="976" t="s">
        <v>125</v>
      </c>
      <c r="W64" s="976" t="s">
        <v>125</v>
      </c>
      <c r="X64" s="977" t="s">
        <v>2150</v>
      </c>
      <c r="Z64" s="994" t="s">
        <v>2032</v>
      </c>
      <c r="AA64" s="974" t="s">
        <v>2154</v>
      </c>
      <c r="AB64" s="976" t="s">
        <v>2441</v>
      </c>
      <c r="AC64" s="976" t="s">
        <v>1432</v>
      </c>
      <c r="AD64" s="977" t="s">
        <v>2155</v>
      </c>
    </row>
    <row r="65" spans="2:30" ht="14.25" customHeight="1">
      <c r="B65" s="1052" t="s">
        <v>2445</v>
      </c>
      <c r="C65" s="957" t="s">
        <v>1925</v>
      </c>
      <c r="H65" s="957"/>
      <c r="I65" s="957"/>
      <c r="K65" s="832"/>
      <c r="L65" s="994" t="s">
        <v>2032</v>
      </c>
      <c r="M65" s="974" t="s">
        <v>2151</v>
      </c>
      <c r="N65" s="976" t="s">
        <v>1432</v>
      </c>
      <c r="O65" s="976" t="s">
        <v>1432</v>
      </c>
      <c r="P65" s="976" t="s">
        <v>1432</v>
      </c>
      <c r="Q65" s="977" t="s">
        <v>2152</v>
      </c>
      <c r="R65" s="950"/>
      <c r="S65" s="994" t="s">
        <v>2032</v>
      </c>
      <c r="T65" s="974" t="s">
        <v>1483</v>
      </c>
      <c r="U65" s="976" t="s">
        <v>125</v>
      </c>
      <c r="V65" s="976" t="s">
        <v>125</v>
      </c>
      <c r="W65" s="976" t="s">
        <v>125</v>
      </c>
      <c r="X65" s="977" t="s">
        <v>2153</v>
      </c>
      <c r="Z65" s="984"/>
      <c r="AA65" s="974" t="s">
        <v>2442</v>
      </c>
      <c r="AB65" s="976" t="s">
        <v>2443</v>
      </c>
      <c r="AC65" s="976" t="s">
        <v>1432</v>
      </c>
      <c r="AD65" s="977" t="s">
        <v>1432</v>
      </c>
    </row>
    <row r="66" spans="2:30" ht="13.5" customHeight="1">
      <c r="B66" s="958" t="s">
        <v>1407</v>
      </c>
      <c r="C66" s="959" t="s">
        <v>2023</v>
      </c>
      <c r="D66" s="960">
        <v>2020</v>
      </c>
      <c r="E66" s="962"/>
      <c r="F66" s="960">
        <v>2019</v>
      </c>
      <c r="G66" s="963"/>
      <c r="H66" s="957"/>
      <c r="I66" s="957"/>
      <c r="K66" s="832"/>
      <c r="L66" s="994"/>
      <c r="M66" s="974" t="s">
        <v>2154</v>
      </c>
      <c r="N66" s="976" t="s">
        <v>1432</v>
      </c>
      <c r="O66" s="976" t="s">
        <v>2155</v>
      </c>
      <c r="P66" s="976" t="s">
        <v>1432</v>
      </c>
      <c r="Q66" s="977" t="s">
        <v>2156</v>
      </c>
      <c r="R66" s="950"/>
      <c r="S66" s="994"/>
      <c r="T66" s="974" t="s">
        <v>2146</v>
      </c>
      <c r="U66" s="976" t="s">
        <v>125</v>
      </c>
      <c r="V66" s="975">
        <v>29106</v>
      </c>
      <c r="W66" s="976" t="s">
        <v>2157</v>
      </c>
      <c r="X66" s="978">
        <v>9953</v>
      </c>
      <c r="Z66" s="986" t="s">
        <v>1413</v>
      </c>
      <c r="AA66" s="987"/>
      <c r="AB66" s="989" t="s">
        <v>2444</v>
      </c>
      <c r="AC66" s="989" t="s">
        <v>2147</v>
      </c>
      <c r="AD66" s="990" t="s">
        <v>2160</v>
      </c>
    </row>
    <row r="67" spans="2:30">
      <c r="B67" s="964"/>
      <c r="C67" s="965"/>
      <c r="D67" s="1053" t="s">
        <v>140</v>
      </c>
      <c r="E67" s="1053" t="s">
        <v>146</v>
      </c>
      <c r="F67" s="1053" t="s">
        <v>140</v>
      </c>
      <c r="G67" s="1054" t="s">
        <v>146</v>
      </c>
      <c r="H67" s="957"/>
      <c r="I67" s="957"/>
      <c r="K67" s="832"/>
      <c r="L67" s="984"/>
      <c r="M67" s="974" t="s">
        <v>1998</v>
      </c>
      <c r="N67" s="976" t="s">
        <v>1432</v>
      </c>
      <c r="O67" s="976" t="s">
        <v>1432</v>
      </c>
      <c r="P67" s="976" t="s">
        <v>2158</v>
      </c>
      <c r="Q67" s="977" t="s">
        <v>1432</v>
      </c>
      <c r="R67" s="950"/>
      <c r="S67" s="994"/>
      <c r="T67" s="974" t="s">
        <v>2151</v>
      </c>
      <c r="U67" s="976" t="s">
        <v>125</v>
      </c>
      <c r="V67" s="975">
        <v>9704</v>
      </c>
      <c r="W67" s="976" t="s">
        <v>2159</v>
      </c>
      <c r="X67" s="977" t="s">
        <v>125</v>
      </c>
    </row>
    <row r="68" spans="2:30">
      <c r="B68" s="968" t="s">
        <v>2128</v>
      </c>
      <c r="C68" s="969" t="s">
        <v>2418</v>
      </c>
      <c r="D68" s="972">
        <v>6469478</v>
      </c>
      <c r="E68" s="972">
        <v>52099</v>
      </c>
      <c r="F68" s="972">
        <v>6251941</v>
      </c>
      <c r="G68" s="973">
        <v>53851</v>
      </c>
      <c r="H68" s="957"/>
      <c r="I68" s="957"/>
      <c r="K68" s="832"/>
      <c r="L68" s="986" t="s">
        <v>400</v>
      </c>
      <c r="M68" s="987"/>
      <c r="N68" s="989" t="s">
        <v>2147</v>
      </c>
      <c r="O68" s="989" t="s">
        <v>2160</v>
      </c>
      <c r="P68" s="989" t="s">
        <v>2158</v>
      </c>
      <c r="Q68" s="990" t="s">
        <v>2161</v>
      </c>
      <c r="R68" s="950"/>
      <c r="S68" s="994"/>
      <c r="T68" s="974" t="s">
        <v>2154</v>
      </c>
      <c r="U68" s="976" t="s">
        <v>125</v>
      </c>
      <c r="V68" s="975">
        <v>58324</v>
      </c>
      <c r="W68" s="976" t="s">
        <v>125</v>
      </c>
      <c r="X68" s="977" t="s">
        <v>2162</v>
      </c>
    </row>
    <row r="69" spans="2:30">
      <c r="B69" s="968" t="s">
        <v>2032</v>
      </c>
      <c r="C69" s="969" t="s">
        <v>2132</v>
      </c>
      <c r="D69" s="970" t="s">
        <v>1432</v>
      </c>
      <c r="E69" s="970" t="s">
        <v>2446</v>
      </c>
      <c r="F69" s="970" t="s">
        <v>1432</v>
      </c>
      <c r="G69" s="971" t="s">
        <v>2133</v>
      </c>
      <c r="H69" s="957"/>
      <c r="I69" s="957"/>
      <c r="K69" s="832"/>
      <c r="L69" s="955"/>
      <c r="M69" s="699"/>
      <c r="N69" s="699"/>
      <c r="O69" s="699"/>
      <c r="P69" s="699"/>
      <c r="Q69" s="699"/>
      <c r="R69" s="950"/>
      <c r="S69" s="984"/>
      <c r="T69" s="974" t="s">
        <v>1998</v>
      </c>
      <c r="U69" s="975">
        <v>75000</v>
      </c>
      <c r="V69" s="976" t="s">
        <v>125</v>
      </c>
      <c r="W69" s="976" t="s">
        <v>125</v>
      </c>
      <c r="X69" s="977" t="s">
        <v>125</v>
      </c>
    </row>
    <row r="70" spans="2:30">
      <c r="B70" s="980" t="s">
        <v>2131</v>
      </c>
      <c r="C70" s="981" t="s">
        <v>2137</v>
      </c>
      <c r="D70" s="982" t="s">
        <v>1432</v>
      </c>
      <c r="E70" s="982" t="s">
        <v>2447</v>
      </c>
      <c r="F70" s="982" t="s">
        <v>1432</v>
      </c>
      <c r="G70" s="983" t="s">
        <v>2138</v>
      </c>
      <c r="K70" s="832"/>
      <c r="L70" s="947"/>
      <c r="M70" s="948"/>
      <c r="N70" s="949"/>
      <c r="O70" s="950"/>
      <c r="P70" s="950"/>
      <c r="Q70" s="950"/>
      <c r="R70" s="950"/>
      <c r="S70" s="986" t="s">
        <v>400</v>
      </c>
      <c r="T70" s="987"/>
      <c r="U70" s="988">
        <v>75000</v>
      </c>
      <c r="V70" s="988">
        <v>97184</v>
      </c>
      <c r="W70" s="988">
        <v>31200</v>
      </c>
      <c r="X70" s="990" t="s">
        <v>2163</v>
      </c>
    </row>
    <row r="71" spans="2:30">
      <c r="L71" s="813">
        <v>42010010</v>
      </c>
      <c r="M71" s="814" t="s">
        <v>2165</v>
      </c>
      <c r="N71" s="996">
        <v>-2544400000</v>
      </c>
      <c r="O71" s="813" t="s">
        <v>2166</v>
      </c>
      <c r="P71" s="813" t="s">
        <v>2165</v>
      </c>
      <c r="Q71" s="997"/>
      <c r="R71" s="813" t="s">
        <v>2167</v>
      </c>
      <c r="X71" s="699"/>
    </row>
    <row r="72" spans="2:30">
      <c r="B72" s="699" t="s">
        <v>2164</v>
      </c>
      <c r="J72" s="995"/>
      <c r="K72" s="813"/>
      <c r="L72" s="814">
        <v>21101101</v>
      </c>
      <c r="M72" s="815" t="s">
        <v>2171</v>
      </c>
      <c r="N72" s="997"/>
      <c r="O72" s="813" t="s">
        <v>2172</v>
      </c>
      <c r="P72" s="813" t="s">
        <v>2171</v>
      </c>
      <c r="Q72" s="997">
        <v>-306900000</v>
      </c>
      <c r="R72" s="813" t="s">
        <v>2167</v>
      </c>
      <c r="W72" s="699"/>
      <c r="X72" s="699"/>
    </row>
    <row r="73" spans="2:30">
      <c r="B73" s="699" t="s">
        <v>2168</v>
      </c>
      <c r="C73" s="699" t="s">
        <v>2169</v>
      </c>
      <c r="D73" s="998"/>
      <c r="E73" s="699" t="s">
        <v>2168</v>
      </c>
      <c r="F73" s="699" t="s">
        <v>2169</v>
      </c>
      <c r="G73" s="998">
        <v>-39218400</v>
      </c>
      <c r="H73" s="699" t="s">
        <v>2170</v>
      </c>
      <c r="J73" s="995"/>
      <c r="K73" s="813"/>
      <c r="L73" s="814">
        <v>42010010</v>
      </c>
      <c r="M73" s="815" t="s">
        <v>2165</v>
      </c>
      <c r="N73" s="997"/>
      <c r="O73" s="813" t="s">
        <v>2166</v>
      </c>
      <c r="P73" s="813" t="s">
        <v>2165</v>
      </c>
      <c r="Q73" s="997"/>
      <c r="R73" s="813" t="s">
        <v>2167</v>
      </c>
      <c r="W73" s="699"/>
      <c r="X73" s="699"/>
    </row>
    <row r="74" spans="2:30">
      <c r="B74" s="699" t="s">
        <v>2173</v>
      </c>
      <c r="C74" s="699" t="s">
        <v>2174</v>
      </c>
      <c r="D74" s="998">
        <v>-306445320</v>
      </c>
      <c r="E74" s="699" t="s">
        <v>2173</v>
      </c>
      <c r="F74" s="699" t="s">
        <v>2174</v>
      </c>
      <c r="G74" s="998"/>
      <c r="H74" s="699" t="s">
        <v>2170</v>
      </c>
      <c r="J74" s="995"/>
      <c r="K74" s="813"/>
      <c r="L74" s="814">
        <v>42010010</v>
      </c>
      <c r="M74" s="815" t="s">
        <v>2165</v>
      </c>
      <c r="N74" s="997">
        <v>-21204530021</v>
      </c>
      <c r="O74" s="813" t="s">
        <v>2166</v>
      </c>
      <c r="P74" s="813" t="s">
        <v>2165</v>
      </c>
      <c r="Q74" s="997"/>
      <c r="R74" s="813" t="s">
        <v>2176</v>
      </c>
      <c r="W74" s="699"/>
      <c r="X74" s="699"/>
    </row>
    <row r="75" spans="2:30">
      <c r="B75" s="699" t="s">
        <v>2175</v>
      </c>
      <c r="C75" s="699" t="s">
        <v>1380</v>
      </c>
      <c r="D75" s="998">
        <v>-5752713158</v>
      </c>
      <c r="E75" s="699" t="s">
        <v>2175</v>
      </c>
      <c r="F75" s="699" t="s">
        <v>1380</v>
      </c>
      <c r="G75" s="998"/>
      <c r="H75" s="699" t="s">
        <v>2170</v>
      </c>
      <c r="J75" s="995"/>
      <c r="K75" s="813"/>
      <c r="L75" s="814">
        <v>42010010</v>
      </c>
      <c r="M75" s="815" t="s">
        <v>2165</v>
      </c>
      <c r="N75" s="997"/>
      <c r="O75" s="813" t="s">
        <v>2166</v>
      </c>
      <c r="P75" s="813" t="s">
        <v>2165</v>
      </c>
      <c r="Q75" s="997"/>
      <c r="R75" s="813" t="s">
        <v>2176</v>
      </c>
      <c r="W75" s="699"/>
      <c r="X75" s="699"/>
    </row>
    <row r="76" spans="2:30">
      <c r="B76" s="699" t="s">
        <v>2177</v>
      </c>
      <c r="C76" s="699" t="s">
        <v>2178</v>
      </c>
      <c r="D76" s="998">
        <v>-4722960</v>
      </c>
      <c r="E76" s="699" t="s">
        <v>2177</v>
      </c>
      <c r="F76" s="699" t="s">
        <v>2178</v>
      </c>
      <c r="G76" s="998"/>
      <c r="H76" s="699" t="s">
        <v>2170</v>
      </c>
      <c r="J76" s="995"/>
      <c r="K76" s="813"/>
      <c r="L76" s="814">
        <v>21101101</v>
      </c>
      <c r="M76" s="815" t="s">
        <v>2171</v>
      </c>
      <c r="N76" s="997"/>
      <c r="O76" s="813" t="s">
        <v>2172</v>
      </c>
      <c r="P76" s="813" t="s">
        <v>2171</v>
      </c>
      <c r="Q76" s="997">
        <v>-3320212499</v>
      </c>
      <c r="R76" s="813" t="s">
        <v>2176</v>
      </c>
      <c r="W76" s="699"/>
      <c r="X76" s="699"/>
    </row>
    <row r="77" spans="2:30">
      <c r="B77" s="699" t="s">
        <v>2172</v>
      </c>
      <c r="C77" s="699" t="s">
        <v>2171</v>
      </c>
      <c r="D77" s="998"/>
      <c r="E77" s="699" t="s">
        <v>2172</v>
      </c>
      <c r="F77" s="699" t="s">
        <v>2171</v>
      </c>
      <c r="G77" s="998"/>
      <c r="H77" s="699" t="s">
        <v>2170</v>
      </c>
      <c r="J77" s="995"/>
      <c r="K77" s="813"/>
      <c r="L77" s="814">
        <v>41012010</v>
      </c>
      <c r="M77" s="815" t="s">
        <v>2181</v>
      </c>
      <c r="N77" s="997"/>
      <c r="O77" s="813" t="s">
        <v>2182</v>
      </c>
      <c r="P77" s="813" t="s">
        <v>2181</v>
      </c>
      <c r="Q77" s="997">
        <v>-2544400000</v>
      </c>
      <c r="R77" s="813" t="s">
        <v>2183</v>
      </c>
      <c r="W77" s="699"/>
      <c r="X77" s="699"/>
    </row>
    <row r="78" spans="2:30">
      <c r="B78" s="699" t="s">
        <v>2179</v>
      </c>
      <c r="C78" s="699" t="s">
        <v>1386</v>
      </c>
      <c r="D78" s="998">
        <v>-39218400</v>
      </c>
      <c r="E78" s="699" t="s">
        <v>2179</v>
      </c>
      <c r="F78" s="699" t="s">
        <v>1386</v>
      </c>
      <c r="G78" s="998"/>
      <c r="H78" s="699" t="s">
        <v>2180</v>
      </c>
      <c r="J78" s="995"/>
      <c r="K78" s="813"/>
      <c r="L78" s="814">
        <v>11111003</v>
      </c>
      <c r="M78" s="815" t="s">
        <v>2186</v>
      </c>
      <c r="N78" s="997">
        <v>-306900000</v>
      </c>
      <c r="O78" s="813" t="s">
        <v>2187</v>
      </c>
      <c r="P78" s="813" t="s">
        <v>2186</v>
      </c>
      <c r="Q78" s="997"/>
      <c r="R78" s="813" t="s">
        <v>2183</v>
      </c>
      <c r="W78" s="699"/>
      <c r="X78" s="699"/>
    </row>
    <row r="79" spans="2:30">
      <c r="B79" s="699" t="s">
        <v>2184</v>
      </c>
      <c r="C79" s="699" t="s">
        <v>2185</v>
      </c>
      <c r="D79" s="998"/>
      <c r="E79" s="699" t="s">
        <v>2184</v>
      </c>
      <c r="F79" s="699" t="s">
        <v>2185</v>
      </c>
      <c r="G79" s="998"/>
      <c r="H79" s="699" t="s">
        <v>2180</v>
      </c>
      <c r="J79" s="995"/>
      <c r="K79" s="813"/>
      <c r="L79" s="814">
        <v>11111001</v>
      </c>
      <c r="M79" s="815" t="s">
        <v>2190</v>
      </c>
      <c r="N79" s="997"/>
      <c r="O79" s="813" t="s">
        <v>2191</v>
      </c>
      <c r="P79" s="813" t="s">
        <v>2190</v>
      </c>
      <c r="Q79" s="997"/>
      <c r="R79" s="813" t="s">
        <v>2183</v>
      </c>
      <c r="W79" s="699"/>
      <c r="X79" s="699"/>
    </row>
    <row r="80" spans="2:30">
      <c r="B80" s="699" t="s">
        <v>2188</v>
      </c>
      <c r="C80" s="699" t="s">
        <v>2189</v>
      </c>
      <c r="D80" s="998"/>
      <c r="E80" s="699" t="s">
        <v>2188</v>
      </c>
      <c r="F80" s="699" t="s">
        <v>2189</v>
      </c>
      <c r="G80" s="998">
        <v>-6059158478</v>
      </c>
      <c r="H80" s="699" t="s">
        <v>2180</v>
      </c>
      <c r="J80" s="995"/>
      <c r="K80" s="813"/>
      <c r="L80" s="814">
        <v>41012010</v>
      </c>
      <c r="M80" s="815" t="s">
        <v>2181</v>
      </c>
      <c r="N80" s="997"/>
      <c r="O80" s="813" t="s">
        <v>2182</v>
      </c>
      <c r="P80" s="813" t="s">
        <v>2181</v>
      </c>
      <c r="Q80" s="997">
        <v>-21204530021</v>
      </c>
      <c r="R80" s="813" t="s">
        <v>2192</v>
      </c>
      <c r="W80" s="699"/>
      <c r="X80" s="699"/>
    </row>
    <row r="81" spans="1:24">
      <c r="B81" s="699" t="s">
        <v>2172</v>
      </c>
      <c r="C81" s="699" t="s">
        <v>2171</v>
      </c>
      <c r="D81" s="998"/>
      <c r="E81" s="699" t="s">
        <v>2172</v>
      </c>
      <c r="F81" s="699" t="s">
        <v>2171</v>
      </c>
      <c r="G81" s="998">
        <v>-4722960</v>
      </c>
      <c r="H81" s="699" t="s">
        <v>2180</v>
      </c>
      <c r="J81" s="995"/>
      <c r="K81" s="813"/>
      <c r="L81" s="814">
        <v>11111003</v>
      </c>
      <c r="M81" s="815" t="s">
        <v>2186</v>
      </c>
      <c r="N81" s="997">
        <v>-648010000</v>
      </c>
      <c r="O81" s="813" t="s">
        <v>2187</v>
      </c>
      <c r="P81" s="813" t="s">
        <v>2186</v>
      </c>
      <c r="Q81" s="997"/>
      <c r="R81" s="813" t="s">
        <v>2192</v>
      </c>
      <c r="W81" s="699"/>
      <c r="X81" s="699"/>
    </row>
    <row r="82" spans="1:24">
      <c r="B82" s="699" t="s">
        <v>2193</v>
      </c>
      <c r="C82" s="699" t="s">
        <v>2194</v>
      </c>
      <c r="D82" s="998"/>
      <c r="E82" s="699" t="s">
        <v>2193</v>
      </c>
      <c r="F82" s="699" t="s">
        <v>2194</v>
      </c>
      <c r="G82" s="998"/>
      <c r="H82" s="699" t="s">
        <v>2180</v>
      </c>
      <c r="L82" s="813">
        <v>11111001</v>
      </c>
      <c r="M82" s="814" t="s">
        <v>2190</v>
      </c>
      <c r="N82" s="996">
        <v>-2672202499</v>
      </c>
      <c r="O82" s="813" t="s">
        <v>2191</v>
      </c>
      <c r="P82" s="813" t="s">
        <v>2190</v>
      </c>
      <c r="Q82" s="997"/>
      <c r="R82" s="813" t="s">
        <v>2192</v>
      </c>
      <c r="X82" s="699"/>
    </row>
    <row r="83" spans="1:24">
      <c r="K83" s="832"/>
      <c r="L83" s="947"/>
      <c r="M83" s="948"/>
      <c r="N83" s="949"/>
      <c r="O83" s="950"/>
      <c r="P83" s="950"/>
      <c r="Q83" s="950"/>
      <c r="R83" s="950"/>
      <c r="S83" s="699"/>
      <c r="T83" s="699"/>
      <c r="U83" s="699"/>
      <c r="V83" s="699"/>
      <c r="W83" s="699"/>
      <c r="X83" s="699"/>
    </row>
    <row r="84" spans="1:24">
      <c r="A84" s="951" t="s">
        <v>77</v>
      </c>
      <c r="B84" s="936" t="s">
        <v>2195</v>
      </c>
      <c r="C84" s="952"/>
      <c r="D84" s="953"/>
      <c r="E84" s="954"/>
      <c r="F84" s="954"/>
      <c r="G84" s="954"/>
      <c r="H84" s="954"/>
      <c r="I84" s="999"/>
      <c r="J84" s="1000"/>
      <c r="K84" s="951" t="s">
        <v>77</v>
      </c>
      <c r="L84" s="936" t="s">
        <v>2195</v>
      </c>
      <c r="M84" s="952"/>
      <c r="N84" s="953"/>
      <c r="O84" s="954"/>
      <c r="P84" s="954"/>
      <c r="Q84" s="954"/>
      <c r="R84" s="954"/>
      <c r="S84" s="999"/>
      <c r="T84" s="1000"/>
      <c r="U84" s="1000"/>
      <c r="V84" s="1000"/>
      <c r="W84" s="1000"/>
      <c r="X84" s="1000"/>
    </row>
    <row r="85" spans="1:24">
      <c r="K85" s="832"/>
      <c r="L85" s="947"/>
      <c r="M85" s="948"/>
      <c r="N85" s="949"/>
      <c r="O85" s="950"/>
      <c r="P85" s="950"/>
      <c r="Q85" s="950"/>
      <c r="R85" s="950"/>
      <c r="S85" s="950"/>
      <c r="T85" s="950"/>
      <c r="U85" s="950"/>
      <c r="V85" s="950"/>
      <c r="W85" s="950"/>
      <c r="X85" s="950"/>
    </row>
    <row r="86" spans="1:24">
      <c r="B86" s="985" t="s">
        <v>2196</v>
      </c>
      <c r="C86" s="985"/>
      <c r="K86" s="832"/>
      <c r="L86" s="985" t="s">
        <v>2196</v>
      </c>
      <c r="M86" s="985"/>
      <c r="N86" s="699"/>
      <c r="O86" s="699"/>
      <c r="P86" s="699"/>
      <c r="Q86" s="950"/>
      <c r="R86" s="950"/>
      <c r="S86" s="950"/>
      <c r="T86" s="950"/>
      <c r="U86" s="950"/>
      <c r="V86" s="950"/>
      <c r="W86" s="950"/>
      <c r="X86" s="832"/>
    </row>
    <row r="87" spans="1:24">
      <c r="B87" s="985" t="s">
        <v>2197</v>
      </c>
      <c r="C87" s="985"/>
      <c r="K87" s="832"/>
      <c r="L87" s="985" t="s">
        <v>2198</v>
      </c>
      <c r="M87" s="985"/>
      <c r="N87" s="699"/>
      <c r="O87" s="699"/>
      <c r="P87" s="699"/>
      <c r="Q87" s="950"/>
      <c r="R87" s="950"/>
      <c r="S87" s="950"/>
      <c r="T87" s="950"/>
      <c r="U87" s="950"/>
      <c r="V87" s="950"/>
      <c r="W87" s="950"/>
      <c r="X87" s="832"/>
    </row>
    <row r="88" spans="1:24">
      <c r="B88" s="985" t="s">
        <v>2199</v>
      </c>
      <c r="C88" s="985"/>
      <c r="K88" s="832"/>
      <c r="L88" s="985" t="s">
        <v>2200</v>
      </c>
      <c r="M88" s="985"/>
      <c r="N88" s="699"/>
      <c r="O88" s="699"/>
      <c r="P88" s="699"/>
      <c r="Q88" s="832"/>
      <c r="R88" s="832"/>
      <c r="S88" s="950"/>
      <c r="T88" s="950"/>
      <c r="U88" s="950"/>
      <c r="V88" s="950"/>
      <c r="W88" s="950"/>
      <c r="X88" s="832"/>
    </row>
    <row r="89" spans="1:24">
      <c r="B89" s="985" t="s">
        <v>2201</v>
      </c>
      <c r="C89" s="957" t="s">
        <v>2202</v>
      </c>
      <c r="K89" s="832"/>
      <c r="L89" s="985" t="s">
        <v>2203</v>
      </c>
      <c r="M89" s="957" t="s">
        <v>2202</v>
      </c>
      <c r="N89" s="699"/>
      <c r="O89" s="699"/>
      <c r="P89" s="699"/>
      <c r="Q89" s="824"/>
      <c r="R89" s="824"/>
      <c r="S89" s="832"/>
      <c r="T89" s="1001"/>
      <c r="U89" s="887"/>
      <c r="V89" s="887"/>
      <c r="W89" s="887"/>
      <c r="X89" s="832"/>
    </row>
    <row r="90" spans="1:24">
      <c r="B90" s="1002" t="s">
        <v>181</v>
      </c>
      <c r="C90" s="1003" t="s">
        <v>2204</v>
      </c>
      <c r="D90" s="1004">
        <v>2017</v>
      </c>
      <c r="E90" s="1004">
        <v>2018</v>
      </c>
      <c r="F90" s="1003">
        <v>2019</v>
      </c>
      <c r="G90" s="1003">
        <v>2020</v>
      </c>
      <c r="K90" s="832"/>
      <c r="L90" s="1002" t="s">
        <v>81</v>
      </c>
      <c r="M90" s="1004">
        <v>2017</v>
      </c>
      <c r="N90" s="1003">
        <v>2018</v>
      </c>
      <c r="O90" s="1003">
        <v>2019</v>
      </c>
      <c r="P90" s="1003">
        <v>2020</v>
      </c>
      <c r="Q90" s="832"/>
      <c r="R90" s="824"/>
      <c r="S90" s="1005"/>
      <c r="T90" s="887"/>
      <c r="U90" s="887"/>
      <c r="V90" s="887"/>
      <c r="W90" s="832"/>
      <c r="X90" s="832"/>
    </row>
    <row r="91" spans="1:24">
      <c r="B91" s="968" t="s">
        <v>140</v>
      </c>
      <c r="C91" s="1006" t="s">
        <v>2205</v>
      </c>
      <c r="D91" s="973">
        <v>14222434071</v>
      </c>
      <c r="E91" s="973">
        <v>14945153696</v>
      </c>
      <c r="F91" s="972">
        <v>10163775382</v>
      </c>
      <c r="G91" s="972">
        <v>8487572356</v>
      </c>
      <c r="K91" s="832"/>
      <c r="L91" s="968" t="s">
        <v>140</v>
      </c>
      <c r="M91" s="973">
        <v>29894306969</v>
      </c>
      <c r="N91" s="972">
        <v>27468885761</v>
      </c>
      <c r="O91" s="972">
        <v>47317186511</v>
      </c>
      <c r="P91" s="972">
        <v>39738078681</v>
      </c>
      <c r="Q91" s="832"/>
      <c r="R91" s="832"/>
      <c r="S91" s="1007"/>
      <c r="T91" s="887"/>
      <c r="U91" s="887"/>
      <c r="V91" s="887"/>
      <c r="W91" s="832"/>
      <c r="X91" s="832"/>
    </row>
    <row r="92" spans="1:24">
      <c r="B92" s="968" t="s">
        <v>141</v>
      </c>
      <c r="C92" s="1006">
        <v>25</v>
      </c>
      <c r="D92" s="973">
        <v>11808286849</v>
      </c>
      <c r="E92" s="973">
        <v>11564478491</v>
      </c>
      <c r="F92" s="972">
        <v>6733078562</v>
      </c>
      <c r="G92" s="972">
        <v>6735424971</v>
      </c>
      <c r="K92" s="832"/>
      <c r="L92" s="968" t="s">
        <v>141</v>
      </c>
      <c r="M92" s="973">
        <v>27432704106</v>
      </c>
      <c r="N92" s="972">
        <v>24975176019</v>
      </c>
      <c r="O92" s="972">
        <v>43391732210</v>
      </c>
      <c r="P92" s="972">
        <v>35791933279</v>
      </c>
      <c r="Q92" s="1008"/>
      <c r="R92" s="832"/>
      <c r="S92" s="1007"/>
      <c r="T92" s="887"/>
      <c r="U92" s="887"/>
      <c r="V92" s="887"/>
      <c r="W92" s="832"/>
      <c r="X92" s="832"/>
    </row>
    <row r="93" spans="1:24">
      <c r="B93" s="968" t="s">
        <v>142</v>
      </c>
      <c r="C93" s="1006"/>
      <c r="D93" s="973">
        <v>2414147222</v>
      </c>
      <c r="E93" s="971" t="s">
        <v>2207</v>
      </c>
      <c r="F93" s="970" t="s">
        <v>2206</v>
      </c>
      <c r="G93" s="970">
        <v>1752147385</v>
      </c>
      <c r="K93" s="832"/>
      <c r="L93" s="968" t="s">
        <v>142</v>
      </c>
      <c r="M93" s="973">
        <v>2461602863</v>
      </c>
      <c r="N93" s="972">
        <v>2493709742</v>
      </c>
      <c r="O93" s="970" t="s">
        <v>2208</v>
      </c>
      <c r="P93" s="970">
        <v>3946145402</v>
      </c>
      <c r="R93" s="1008"/>
      <c r="S93" s="1009"/>
      <c r="T93" s="1008"/>
      <c r="U93" s="1008"/>
      <c r="V93" s="823"/>
      <c r="W93" s="832"/>
      <c r="X93" s="832"/>
    </row>
    <row r="94" spans="1:24">
      <c r="B94" s="968" t="s">
        <v>143</v>
      </c>
      <c r="C94" s="1006" t="s">
        <v>2209</v>
      </c>
      <c r="D94" s="973">
        <v>542560385</v>
      </c>
      <c r="E94" s="973">
        <v>597696493</v>
      </c>
      <c r="F94" s="972">
        <v>602043724</v>
      </c>
      <c r="G94" s="970">
        <v>536693502</v>
      </c>
      <c r="L94" s="968" t="s">
        <v>143</v>
      </c>
      <c r="M94" s="973">
        <v>1829987475</v>
      </c>
      <c r="N94" s="972">
        <v>1934155838</v>
      </c>
      <c r="O94" s="972">
        <v>2070929883</v>
      </c>
      <c r="P94" s="970">
        <v>2154721165</v>
      </c>
      <c r="S94" s="1010"/>
      <c r="V94" s="1011"/>
      <c r="W94" s="995"/>
      <c r="X94" s="995"/>
    </row>
    <row r="95" spans="1:24">
      <c r="B95" s="968" t="s">
        <v>144</v>
      </c>
      <c r="C95" s="1006"/>
      <c r="D95" s="973">
        <v>1871586837</v>
      </c>
      <c r="E95" s="971" t="s">
        <v>2211</v>
      </c>
      <c r="F95" s="970" t="s">
        <v>2210</v>
      </c>
      <c r="G95" s="970">
        <v>1215453883</v>
      </c>
      <c r="L95" s="968" t="s">
        <v>144</v>
      </c>
      <c r="M95" s="973">
        <v>631615388</v>
      </c>
      <c r="N95" s="972">
        <v>559553904</v>
      </c>
      <c r="O95" s="970" t="s">
        <v>2212</v>
      </c>
      <c r="P95" s="970">
        <v>1791424237</v>
      </c>
      <c r="Q95" s="1012"/>
      <c r="V95" s="1011"/>
      <c r="W95" s="995"/>
      <c r="X95" s="995"/>
    </row>
    <row r="96" spans="1:24">
      <c r="B96" s="968" t="s">
        <v>145</v>
      </c>
      <c r="C96" s="1006">
        <v>24</v>
      </c>
      <c r="D96" s="973">
        <v>5695126</v>
      </c>
      <c r="E96" s="971" t="s">
        <v>2214</v>
      </c>
      <c r="F96" s="970" t="s">
        <v>2213</v>
      </c>
      <c r="G96" s="970">
        <v>7599876</v>
      </c>
      <c r="L96" s="968" t="s">
        <v>145</v>
      </c>
      <c r="M96" s="973">
        <v>34972139</v>
      </c>
      <c r="N96" s="972">
        <v>24326275</v>
      </c>
      <c r="O96" s="970" t="s">
        <v>2215</v>
      </c>
      <c r="P96" s="970">
        <v>38874810</v>
      </c>
      <c r="Q96" s="1012"/>
      <c r="R96" s="1012"/>
      <c r="S96" s="1012"/>
      <c r="V96" s="1011"/>
      <c r="W96" s="995"/>
      <c r="X96" s="995"/>
    </row>
    <row r="97" spans="2:24">
      <c r="B97" s="968" t="s">
        <v>146</v>
      </c>
      <c r="C97" s="1006">
        <v>24</v>
      </c>
      <c r="D97" s="973">
        <v>33385609</v>
      </c>
      <c r="E97" s="971" t="s">
        <v>2217</v>
      </c>
      <c r="F97" s="970" t="s">
        <v>2216</v>
      </c>
      <c r="G97" s="970">
        <v>31047646</v>
      </c>
      <c r="L97" s="968" t="s">
        <v>146</v>
      </c>
      <c r="M97" s="973">
        <v>6148727</v>
      </c>
      <c r="N97" s="972">
        <v>28303516</v>
      </c>
      <c r="O97" s="970" t="s">
        <v>2218</v>
      </c>
      <c r="P97" s="970">
        <v>43880697</v>
      </c>
      <c r="Q97" s="1012"/>
      <c r="R97" s="1012"/>
      <c r="S97" s="1012"/>
      <c r="V97" s="1011"/>
      <c r="W97" s="995"/>
      <c r="X97" s="995"/>
    </row>
    <row r="98" spans="2:24">
      <c r="B98" s="968" t="s">
        <v>147</v>
      </c>
      <c r="C98" s="1006">
        <v>27</v>
      </c>
      <c r="D98" s="973">
        <v>10435199</v>
      </c>
      <c r="E98" s="971" t="s">
        <v>2220</v>
      </c>
      <c r="F98" s="970" t="s">
        <v>2219</v>
      </c>
      <c r="G98" s="970">
        <v>133051</v>
      </c>
      <c r="L98" s="968" t="s">
        <v>147</v>
      </c>
      <c r="M98" s="973">
        <v>1660019</v>
      </c>
      <c r="N98" s="972">
        <v>13949944</v>
      </c>
      <c r="O98" s="970" t="s">
        <v>2221</v>
      </c>
      <c r="P98" s="970">
        <v>12970399</v>
      </c>
      <c r="Q98" s="1013"/>
      <c r="R98" s="1012"/>
      <c r="S98" s="1012"/>
      <c r="V98" s="1011"/>
      <c r="W98" s="995"/>
      <c r="X98" s="995"/>
    </row>
    <row r="99" spans="2:24">
      <c r="B99" s="968" t="s">
        <v>148</v>
      </c>
      <c r="C99" s="1006">
        <v>27</v>
      </c>
      <c r="D99" s="973">
        <v>419137998</v>
      </c>
      <c r="E99" s="971" t="s">
        <v>2223</v>
      </c>
      <c r="F99" s="970" t="s">
        <v>2222</v>
      </c>
      <c r="G99" s="970">
        <v>830838</v>
      </c>
      <c r="L99" s="968" t="s">
        <v>2224</v>
      </c>
      <c r="M99" s="973">
        <v>81304826</v>
      </c>
      <c r="N99" s="972">
        <v>117538426</v>
      </c>
      <c r="O99" s="970" t="s">
        <v>2225</v>
      </c>
      <c r="P99" s="970">
        <v>63997424</v>
      </c>
      <c r="Q99" s="1013"/>
      <c r="R99" s="1013"/>
      <c r="S99" s="1013"/>
      <c r="V99" s="1011"/>
      <c r="W99" s="995"/>
      <c r="X99" s="995"/>
    </row>
    <row r="100" spans="2:24">
      <c r="B100" s="968" t="s">
        <v>150</v>
      </c>
      <c r="C100" s="1006"/>
      <c r="D100" s="973">
        <v>948797</v>
      </c>
      <c r="E100" s="973">
        <v>-2136849</v>
      </c>
      <c r="F100" s="970" t="s">
        <v>2226</v>
      </c>
      <c r="G100" s="970">
        <v>5258161</v>
      </c>
      <c r="L100" s="968" t="s">
        <v>148</v>
      </c>
      <c r="M100" s="973">
        <v>163963589</v>
      </c>
      <c r="N100" s="972">
        <v>1997485</v>
      </c>
      <c r="O100" s="970" t="s">
        <v>2227</v>
      </c>
      <c r="P100" s="970">
        <v>19616999</v>
      </c>
      <c r="R100" s="1013"/>
      <c r="S100" s="1013"/>
      <c r="V100" s="1011"/>
      <c r="W100" s="995"/>
      <c r="X100" s="995"/>
    </row>
    <row r="101" spans="2:24">
      <c r="B101" s="968" t="s">
        <v>151</v>
      </c>
      <c r="C101" s="1006"/>
      <c r="D101" s="973">
        <v>1436142352</v>
      </c>
      <c r="E101" s="971" t="s">
        <v>2229</v>
      </c>
      <c r="F101" s="970" t="s">
        <v>2228</v>
      </c>
      <c r="G101" s="970">
        <v>1196566487</v>
      </c>
      <c r="L101" s="968" t="s">
        <v>151</v>
      </c>
      <c r="M101" s="973">
        <v>579440056</v>
      </c>
      <c r="N101" s="972">
        <v>685067548</v>
      </c>
      <c r="O101" s="970" t="s">
        <v>2230</v>
      </c>
      <c r="P101" s="970">
        <v>1843769174</v>
      </c>
      <c r="V101" s="1011"/>
      <c r="W101" s="995"/>
      <c r="X101" s="995"/>
    </row>
    <row r="102" spans="2:24">
      <c r="B102" s="968" t="s">
        <v>152</v>
      </c>
      <c r="C102" s="1006">
        <v>18</v>
      </c>
      <c r="D102" s="971" t="s">
        <v>2233</v>
      </c>
      <c r="E102" s="971" t="s">
        <v>2232</v>
      </c>
      <c r="F102" s="970" t="s">
        <v>2231</v>
      </c>
      <c r="G102" s="970">
        <v>4604118</v>
      </c>
      <c r="L102" s="968" t="s">
        <v>152</v>
      </c>
      <c r="M102" s="973">
        <v>31832474</v>
      </c>
      <c r="N102" s="972">
        <v>130785961</v>
      </c>
      <c r="O102" s="970" t="s">
        <v>2234</v>
      </c>
      <c r="P102" s="970">
        <v>367982556</v>
      </c>
      <c r="V102" s="1011"/>
      <c r="W102" s="995"/>
      <c r="X102" s="995"/>
    </row>
    <row r="103" spans="2:24">
      <c r="B103" s="968" t="s">
        <v>153</v>
      </c>
      <c r="C103" s="1006"/>
      <c r="D103" s="973">
        <v>1429212610</v>
      </c>
      <c r="E103" s="971" t="s">
        <v>2236</v>
      </c>
      <c r="F103" s="970" t="s">
        <v>2235</v>
      </c>
      <c r="G103" s="970">
        <v>1191962369</v>
      </c>
      <c r="L103" s="1014" t="s">
        <v>153</v>
      </c>
      <c r="M103" s="973">
        <v>547607582</v>
      </c>
      <c r="N103" s="972">
        <v>554281587</v>
      </c>
      <c r="O103" s="970" t="s">
        <v>2237</v>
      </c>
      <c r="P103" s="970">
        <v>1475786618</v>
      </c>
      <c r="V103" s="1011"/>
      <c r="W103" s="995"/>
      <c r="X103" s="995"/>
    </row>
    <row r="104" spans="2:24">
      <c r="B104" s="968" t="s">
        <v>154</v>
      </c>
      <c r="C104" s="1006"/>
      <c r="D104" s="971"/>
      <c r="E104" s="971"/>
      <c r="F104" s="970"/>
      <c r="G104" s="970"/>
      <c r="L104" s="1014" t="s">
        <v>2238</v>
      </c>
      <c r="M104" s="971"/>
      <c r="N104" s="970"/>
      <c r="O104" s="970"/>
      <c r="P104" s="970"/>
      <c r="V104" s="1011"/>
      <c r="W104" s="995"/>
      <c r="X104" s="995"/>
    </row>
    <row r="105" spans="2:24">
      <c r="B105" s="979" t="s">
        <v>2239</v>
      </c>
      <c r="C105" s="1015"/>
      <c r="D105" s="1016"/>
      <c r="E105" s="1016"/>
      <c r="F105" s="1015"/>
      <c r="G105" s="1015"/>
      <c r="L105" s="1014" t="s">
        <v>2240</v>
      </c>
      <c r="M105" s="971"/>
      <c r="N105" s="970"/>
      <c r="O105" s="970"/>
      <c r="P105" s="970"/>
      <c r="V105" s="1011"/>
      <c r="W105" s="995"/>
      <c r="X105" s="995"/>
    </row>
    <row r="106" spans="2:24">
      <c r="B106" s="984" t="s">
        <v>2241</v>
      </c>
      <c r="C106" s="1017"/>
      <c r="D106" s="1018"/>
      <c r="E106" s="1018"/>
      <c r="F106" s="1017"/>
      <c r="G106" s="1017"/>
      <c r="L106" s="1014" t="s">
        <v>2242</v>
      </c>
      <c r="M106" s="973">
        <v>185857579</v>
      </c>
      <c r="N106" s="972">
        <v>16227196</v>
      </c>
      <c r="O106" s="972">
        <v>-22939416</v>
      </c>
      <c r="P106" s="972">
        <v>-171764394</v>
      </c>
      <c r="V106" s="1011"/>
      <c r="W106" s="995"/>
      <c r="X106" s="995"/>
    </row>
    <row r="107" spans="2:24">
      <c r="B107" s="968" t="s">
        <v>2243</v>
      </c>
      <c r="C107" s="1006">
        <v>17</v>
      </c>
      <c r="D107" s="973">
        <v>-2478411</v>
      </c>
      <c r="E107" s="973">
        <v>-5630507</v>
      </c>
      <c r="F107" s="970" t="s">
        <v>2244</v>
      </c>
      <c r="G107" s="970">
        <v>7718629</v>
      </c>
      <c r="L107" s="1014" t="s">
        <v>2245</v>
      </c>
      <c r="M107" s="971"/>
      <c r="N107" s="970"/>
      <c r="O107" s="970"/>
      <c r="P107" s="970"/>
      <c r="V107" s="1011"/>
      <c r="W107" s="995"/>
      <c r="X107" s="995"/>
    </row>
    <row r="108" spans="2:24">
      <c r="B108" s="968" t="s">
        <v>2246</v>
      </c>
      <c r="C108" s="1006"/>
      <c r="D108" s="973">
        <v>-3378709490</v>
      </c>
      <c r="E108" s="971" t="s">
        <v>2248</v>
      </c>
      <c r="F108" s="970" t="s">
        <v>2247</v>
      </c>
      <c r="G108" s="970">
        <v>-1909919914</v>
      </c>
      <c r="L108" s="1014" t="s">
        <v>2249</v>
      </c>
      <c r="M108" s="973">
        <v>1240106</v>
      </c>
      <c r="N108" s="970" t="s">
        <v>125</v>
      </c>
      <c r="O108" s="970"/>
      <c r="P108" s="970"/>
      <c r="V108" s="1011"/>
      <c r="W108" s="995"/>
      <c r="X108" s="995"/>
    </row>
    <row r="109" spans="2:24">
      <c r="B109" s="979" t="s">
        <v>2239</v>
      </c>
      <c r="C109" s="1015"/>
      <c r="D109" s="1016"/>
      <c r="E109" s="1016"/>
      <c r="F109" s="1015"/>
      <c r="G109" s="1015"/>
      <c r="L109" s="1014" t="s">
        <v>2250</v>
      </c>
      <c r="M109" s="973">
        <v>734705267</v>
      </c>
      <c r="N109" s="972">
        <v>570508783</v>
      </c>
      <c r="O109" s="970" t="s">
        <v>2251</v>
      </c>
      <c r="P109" s="970">
        <v>1304022224</v>
      </c>
    </row>
    <row r="110" spans="2:24">
      <c r="B110" s="984" t="s">
        <v>2252</v>
      </c>
      <c r="C110" s="1017"/>
      <c r="D110" s="1018"/>
      <c r="E110" s="1018"/>
      <c r="F110" s="1017"/>
      <c r="G110" s="1017"/>
      <c r="L110" s="1014" t="s">
        <v>2253</v>
      </c>
      <c r="M110" s="971"/>
      <c r="N110" s="970"/>
      <c r="O110" s="970" t="s">
        <v>2254</v>
      </c>
      <c r="P110" s="970">
        <v>11792</v>
      </c>
    </row>
    <row r="111" spans="2:24">
      <c r="B111" s="968" t="s">
        <v>2255</v>
      </c>
      <c r="C111" s="1006"/>
      <c r="D111" s="973">
        <v>29361438</v>
      </c>
      <c r="E111" s="971"/>
      <c r="F111" s="970"/>
      <c r="G111" s="970">
        <v>83779482</v>
      </c>
      <c r="L111" s="1019" t="s">
        <v>2256</v>
      </c>
      <c r="M111" s="993">
        <v>5476</v>
      </c>
      <c r="N111" s="982" t="s">
        <v>2258</v>
      </c>
      <c r="O111" s="982" t="s">
        <v>2257</v>
      </c>
      <c r="P111" s="982">
        <v>11792</v>
      </c>
    </row>
    <row r="112" spans="2:24">
      <c r="B112" s="968" t="s">
        <v>2259</v>
      </c>
      <c r="C112" s="1006"/>
      <c r="D112" s="973">
        <v>-1922613853</v>
      </c>
      <c r="E112" s="973">
        <v>3815605283</v>
      </c>
      <c r="F112" s="970" t="s">
        <v>2260</v>
      </c>
      <c r="G112" s="970">
        <v>-626459434</v>
      </c>
      <c r="M112" s="813"/>
      <c r="N112" s="813"/>
    </row>
    <row r="113" spans="2:15">
      <c r="B113" s="968" t="s">
        <v>2261</v>
      </c>
      <c r="C113" s="1006"/>
      <c r="D113" s="971"/>
      <c r="E113" s="971"/>
      <c r="F113" s="970"/>
      <c r="G113" s="970"/>
      <c r="L113" s="955" t="s">
        <v>2262</v>
      </c>
      <c r="M113" s="699"/>
      <c r="N113" s="699"/>
      <c r="O113" s="699"/>
    </row>
    <row r="114" spans="2:15">
      <c r="B114" s="968" t="s">
        <v>165</v>
      </c>
      <c r="C114" s="1006"/>
      <c r="D114" s="973">
        <v>1429212610</v>
      </c>
      <c r="E114" s="971" t="s">
        <v>2236</v>
      </c>
      <c r="F114" s="970" t="s">
        <v>2263</v>
      </c>
      <c r="G114" s="970"/>
      <c r="L114" s="957" t="s">
        <v>1925</v>
      </c>
      <c r="M114" s="699"/>
      <c r="N114" s="699"/>
      <c r="O114" s="699"/>
    </row>
    <row r="115" spans="2:15">
      <c r="B115" s="968" t="s">
        <v>166</v>
      </c>
      <c r="C115" s="1006"/>
      <c r="D115" s="971" t="s">
        <v>125</v>
      </c>
      <c r="E115" s="971" t="s">
        <v>1432</v>
      </c>
      <c r="F115" s="970" t="s">
        <v>1432</v>
      </c>
      <c r="G115" s="970"/>
      <c r="L115" s="1002" t="s">
        <v>1407</v>
      </c>
      <c r="M115" s="1004">
        <v>2017</v>
      </c>
      <c r="N115" s="1004">
        <v>2018</v>
      </c>
      <c r="O115" s="1003">
        <v>2019</v>
      </c>
    </row>
    <row r="116" spans="2:15">
      <c r="B116" s="968" t="s">
        <v>2264</v>
      </c>
      <c r="C116" s="1006"/>
      <c r="D116" s="971"/>
      <c r="E116" s="971"/>
      <c r="F116" s="970"/>
      <c r="G116" s="970"/>
      <c r="L116" s="968" t="s">
        <v>153</v>
      </c>
      <c r="M116" s="977" t="s">
        <v>2267</v>
      </c>
      <c r="N116" s="977" t="s">
        <v>2266</v>
      </c>
      <c r="O116" s="976" t="s">
        <v>2265</v>
      </c>
    </row>
    <row r="117" spans="2:15">
      <c r="B117" s="968" t="s">
        <v>165</v>
      </c>
      <c r="C117" s="1006"/>
      <c r="D117" s="971" t="s">
        <v>2268</v>
      </c>
      <c r="E117" s="973">
        <v>3815605283</v>
      </c>
      <c r="F117" s="970" t="s">
        <v>2260</v>
      </c>
      <c r="G117" s="970"/>
      <c r="L117" s="968" t="s">
        <v>2269</v>
      </c>
      <c r="M117" s="977"/>
      <c r="N117" s="977"/>
      <c r="O117" s="976"/>
    </row>
    <row r="118" spans="2:15">
      <c r="B118" s="968" t="s">
        <v>166</v>
      </c>
      <c r="C118" s="1006"/>
      <c r="D118" s="971" t="s">
        <v>125</v>
      </c>
      <c r="E118" s="971" t="s">
        <v>1432</v>
      </c>
      <c r="F118" s="970" t="s">
        <v>1432</v>
      </c>
      <c r="G118" s="970"/>
      <c r="L118" s="968" t="s">
        <v>2270</v>
      </c>
      <c r="M118" s="978">
        <v>80342</v>
      </c>
      <c r="N118" s="978">
        <v>75216</v>
      </c>
      <c r="O118" s="975">
        <v>76895</v>
      </c>
    </row>
    <row r="119" spans="2:15">
      <c r="B119" s="968" t="s">
        <v>182</v>
      </c>
      <c r="C119" s="1006">
        <v>28</v>
      </c>
      <c r="D119" s="971"/>
      <c r="E119" s="971"/>
      <c r="F119" s="970"/>
      <c r="G119" s="970"/>
      <c r="L119" s="968" t="s">
        <v>2271</v>
      </c>
      <c r="M119" s="978">
        <v>32805</v>
      </c>
      <c r="N119" s="978">
        <v>25172</v>
      </c>
      <c r="O119" s="975">
        <v>27335</v>
      </c>
    </row>
    <row r="120" spans="2:15">
      <c r="B120" s="980" t="s">
        <v>2272</v>
      </c>
      <c r="C120" s="1020"/>
      <c r="D120" s="983">
        <v>447</v>
      </c>
      <c r="E120" s="983" t="s">
        <v>2274</v>
      </c>
      <c r="F120" s="982" t="s">
        <v>2273</v>
      </c>
      <c r="G120" s="982">
        <v>372</v>
      </c>
      <c r="L120" s="968" t="s">
        <v>2275</v>
      </c>
      <c r="M120" s="978">
        <v>3502</v>
      </c>
      <c r="N120" s="977">
        <v>0</v>
      </c>
      <c r="O120" s="975">
        <v>42845</v>
      </c>
    </row>
    <row r="121" spans="2:15">
      <c r="B121" s="1021"/>
      <c r="L121" s="968" t="s">
        <v>2276</v>
      </c>
      <c r="M121" s="978">
        <v>0</v>
      </c>
      <c r="N121" s="977" t="s">
        <v>1432</v>
      </c>
      <c r="O121" s="976" t="s">
        <v>2277</v>
      </c>
    </row>
    <row r="122" spans="2:15">
      <c r="L122" s="968" t="s">
        <v>2278</v>
      </c>
      <c r="M122" s="978">
        <v>-544</v>
      </c>
      <c r="N122" s="978">
        <v>-2962</v>
      </c>
      <c r="O122" s="975">
        <v>-6135</v>
      </c>
    </row>
    <row r="123" spans="2:15" ht="24">
      <c r="B123" s="955" t="s">
        <v>2279</v>
      </c>
      <c r="L123" s="968" t="s">
        <v>2280</v>
      </c>
      <c r="M123" s="978" t="s">
        <v>2283</v>
      </c>
      <c r="N123" s="977" t="s">
        <v>2282</v>
      </c>
      <c r="O123" s="976" t="s">
        <v>2281</v>
      </c>
    </row>
    <row r="124" spans="2:15">
      <c r="B124" s="957" t="s">
        <v>1925</v>
      </c>
      <c r="L124" s="968" t="s">
        <v>2284</v>
      </c>
      <c r="M124" s="978" t="s">
        <v>2287</v>
      </c>
      <c r="N124" s="977" t="s">
        <v>2286</v>
      </c>
      <c r="O124" s="976" t="s">
        <v>2285</v>
      </c>
    </row>
    <row r="125" spans="2:15">
      <c r="B125" s="1002" t="s">
        <v>1407</v>
      </c>
      <c r="C125" s="1004">
        <v>2017</v>
      </c>
      <c r="D125" s="1003">
        <v>2018</v>
      </c>
      <c r="E125" s="1003">
        <v>2019</v>
      </c>
      <c r="L125" s="968" t="s">
        <v>2288</v>
      </c>
      <c r="M125" s="978"/>
      <c r="N125" s="977" t="s">
        <v>1432</v>
      </c>
      <c r="O125" s="976" t="s">
        <v>2289</v>
      </c>
    </row>
    <row r="126" spans="2:15">
      <c r="B126" s="968" t="s">
        <v>2290</v>
      </c>
      <c r="C126" s="978">
        <v>1436142</v>
      </c>
      <c r="D126" s="975">
        <v>2612526</v>
      </c>
      <c r="E126" s="976" t="s">
        <v>2291</v>
      </c>
      <c r="L126" s="968" t="s">
        <v>2292</v>
      </c>
      <c r="M126" s="978">
        <v>-81305</v>
      </c>
      <c r="N126" s="978">
        <v>-117538</v>
      </c>
      <c r="O126" s="975">
        <v>-108579</v>
      </c>
    </row>
    <row r="127" spans="2:15">
      <c r="B127" s="968" t="s">
        <v>2293</v>
      </c>
      <c r="C127" s="978">
        <v>2707924</v>
      </c>
      <c r="D127" s="975">
        <v>2452629</v>
      </c>
      <c r="E127" s="976" t="s">
        <v>2294</v>
      </c>
      <c r="L127" s="968" t="s">
        <v>2295</v>
      </c>
      <c r="M127" s="977" t="s">
        <v>2297</v>
      </c>
      <c r="N127" s="977" t="s">
        <v>2296</v>
      </c>
      <c r="O127" s="975">
        <v>-1199</v>
      </c>
    </row>
    <row r="128" spans="2:15">
      <c r="B128" s="968" t="s">
        <v>2298</v>
      </c>
      <c r="C128" s="978">
        <v>6159</v>
      </c>
      <c r="D128" s="975">
        <v>2451</v>
      </c>
      <c r="E128" s="976" t="s">
        <v>2299</v>
      </c>
      <c r="L128" s="968" t="s">
        <v>2300</v>
      </c>
      <c r="M128" s="977" t="s">
        <v>1432</v>
      </c>
      <c r="N128" s="978">
        <v>-3658</v>
      </c>
      <c r="O128" s="975">
        <v>-5030</v>
      </c>
    </row>
    <row r="129" spans="2:15">
      <c r="B129" s="968" t="s">
        <v>2270</v>
      </c>
      <c r="C129" s="978">
        <v>2236856</v>
      </c>
      <c r="D129" s="975">
        <v>2226027</v>
      </c>
      <c r="E129" s="975">
        <v>2463271</v>
      </c>
      <c r="L129" s="968" t="s">
        <v>2301</v>
      </c>
      <c r="M129" s="977" t="s">
        <v>1432</v>
      </c>
      <c r="N129" s="978">
        <v>-3565</v>
      </c>
      <c r="O129" s="975">
        <v>-4273</v>
      </c>
    </row>
    <row r="130" spans="2:15">
      <c r="B130" s="968" t="s">
        <v>2271</v>
      </c>
      <c r="C130" s="978">
        <v>16385</v>
      </c>
      <c r="D130" s="975">
        <v>15942</v>
      </c>
      <c r="E130" s="975">
        <v>17194</v>
      </c>
      <c r="L130" s="968" t="s">
        <v>2302</v>
      </c>
      <c r="M130" s="978">
        <v>-18166</v>
      </c>
      <c r="N130" s="977" t="s">
        <v>2304</v>
      </c>
      <c r="O130" s="976" t="s">
        <v>2303</v>
      </c>
    </row>
    <row r="131" spans="2:15">
      <c r="B131" s="968" t="s">
        <v>2305</v>
      </c>
      <c r="C131" s="978">
        <v>7386</v>
      </c>
      <c r="D131" s="976" t="s">
        <v>125</v>
      </c>
      <c r="L131" s="1022" t="s">
        <v>2306</v>
      </c>
      <c r="M131" s="977" t="s">
        <v>2308</v>
      </c>
      <c r="N131" s="978">
        <v>-897371</v>
      </c>
      <c r="O131" s="976" t="s">
        <v>2307</v>
      </c>
    </row>
    <row r="132" spans="2:15">
      <c r="B132" s="968" t="s">
        <v>2309</v>
      </c>
      <c r="E132" s="975">
        <v>10609</v>
      </c>
      <c r="L132" s="1022" t="s">
        <v>2310</v>
      </c>
      <c r="M132" s="977" t="s">
        <v>2312</v>
      </c>
      <c r="N132" s="978">
        <v>-15924</v>
      </c>
      <c r="O132" s="976" t="s">
        <v>2311</v>
      </c>
    </row>
    <row r="133" spans="2:15">
      <c r="B133" s="968" t="s">
        <v>2288</v>
      </c>
      <c r="C133" s="978">
        <v>419138</v>
      </c>
      <c r="D133" s="975">
        <v>177996</v>
      </c>
      <c r="E133" s="976" t="s">
        <v>2313</v>
      </c>
      <c r="L133" s="1022" t="s">
        <v>2314</v>
      </c>
      <c r="M133" s="977" t="s">
        <v>2316</v>
      </c>
      <c r="N133" s="978">
        <v>-116366</v>
      </c>
      <c r="O133" s="976" t="s">
        <v>2315</v>
      </c>
    </row>
    <row r="134" spans="2:15">
      <c r="B134" s="968" t="s">
        <v>2280</v>
      </c>
      <c r="C134" s="978">
        <v>22000</v>
      </c>
      <c r="D134" s="975">
        <v>26058</v>
      </c>
      <c r="E134" s="976" t="s">
        <v>2317</v>
      </c>
      <c r="L134" s="1022" t="s">
        <v>2318</v>
      </c>
      <c r="M134" s="977" t="s">
        <v>2319</v>
      </c>
      <c r="N134" s="978">
        <v>-3758821</v>
      </c>
      <c r="O134" s="975">
        <v>-2243314</v>
      </c>
    </row>
    <row r="135" spans="2:15">
      <c r="B135" s="968" t="s">
        <v>2320</v>
      </c>
      <c r="C135" s="977" t="s">
        <v>125</v>
      </c>
      <c r="D135" s="975">
        <v>4155</v>
      </c>
      <c r="E135" s="976" t="s">
        <v>1432</v>
      </c>
      <c r="L135" s="1022" t="s">
        <v>2321</v>
      </c>
      <c r="M135" s="977" t="s">
        <v>2323</v>
      </c>
      <c r="N135" s="977">
        <v>-800</v>
      </c>
      <c r="O135" s="976" t="s">
        <v>2322</v>
      </c>
    </row>
    <row r="136" spans="2:15">
      <c r="B136" s="968" t="s">
        <v>2324</v>
      </c>
      <c r="C136" s="978">
        <v>-11384</v>
      </c>
      <c r="D136" s="975">
        <v>-5167</v>
      </c>
      <c r="E136" s="975">
        <v>-13510</v>
      </c>
      <c r="L136" s="1022" t="s">
        <v>2325</v>
      </c>
      <c r="M136" s="977" t="s">
        <v>1432</v>
      </c>
      <c r="N136" s="978">
        <v>-146673</v>
      </c>
      <c r="O136" s="975">
        <v>-282750</v>
      </c>
    </row>
    <row r="137" spans="2:15">
      <c r="B137" s="968" t="s">
        <v>2326</v>
      </c>
      <c r="C137" s="977">
        <v>-949</v>
      </c>
      <c r="D137" s="975">
        <v>-1324</v>
      </c>
      <c r="E137" s="975">
        <v>-1727</v>
      </c>
      <c r="L137" s="1022" t="s">
        <v>2327</v>
      </c>
      <c r="M137" s="978">
        <v>-5484980</v>
      </c>
      <c r="N137" s="977" t="s">
        <v>2329</v>
      </c>
      <c r="O137" s="976" t="s">
        <v>2328</v>
      </c>
    </row>
    <row r="138" spans="2:15">
      <c r="B138" s="1022" t="s">
        <v>2292</v>
      </c>
      <c r="C138" s="978">
        <v>-10435</v>
      </c>
      <c r="D138" s="975">
        <v>-3843</v>
      </c>
      <c r="E138" s="975">
        <v>-11783</v>
      </c>
      <c r="L138" s="1022" t="s">
        <v>2330</v>
      </c>
      <c r="M138" s="978">
        <v>-1129806</v>
      </c>
      <c r="N138" s="978">
        <v>-67330</v>
      </c>
      <c r="O138" s="975">
        <v>-1185</v>
      </c>
    </row>
    <row r="139" spans="2:15">
      <c r="B139" s="1022" t="s">
        <v>2331</v>
      </c>
      <c r="C139" s="978">
        <v>-1001390</v>
      </c>
      <c r="D139" s="975">
        <v>30032</v>
      </c>
      <c r="E139" s="975">
        <v>-10163</v>
      </c>
      <c r="L139" s="1022" t="s">
        <v>2332</v>
      </c>
      <c r="M139" s="978">
        <v>-7210</v>
      </c>
      <c r="N139" s="977" t="s">
        <v>2334</v>
      </c>
      <c r="O139" s="976" t="s">
        <v>2333</v>
      </c>
    </row>
    <row r="140" spans="2:15">
      <c r="B140" s="1022" t="s">
        <v>2335</v>
      </c>
      <c r="C140" s="978">
        <v>-176920</v>
      </c>
      <c r="D140" s="975">
        <v>274494</v>
      </c>
      <c r="E140" s="976" t="s">
        <v>2336</v>
      </c>
      <c r="L140" s="1022" t="s">
        <v>2337</v>
      </c>
      <c r="M140" s="978">
        <v>-126567</v>
      </c>
      <c r="N140" s="977" t="s">
        <v>2339</v>
      </c>
      <c r="O140" s="976" t="s">
        <v>2338</v>
      </c>
    </row>
    <row r="141" spans="2:15">
      <c r="B141" s="1022" t="s">
        <v>2321</v>
      </c>
      <c r="C141" s="978">
        <v>18670</v>
      </c>
      <c r="D141" s="975">
        <v>-105522</v>
      </c>
      <c r="E141" s="976" t="s">
        <v>2340</v>
      </c>
      <c r="L141" s="1022" t="s">
        <v>2341</v>
      </c>
      <c r="M141" s="978">
        <v>-30590</v>
      </c>
      <c r="N141" s="977" t="s">
        <v>2343</v>
      </c>
      <c r="O141" s="976" t="s">
        <v>2342</v>
      </c>
    </row>
    <row r="142" spans="2:15">
      <c r="B142" s="1022" t="s">
        <v>2344</v>
      </c>
      <c r="C142" s="978">
        <v>557377</v>
      </c>
      <c r="D142" s="975">
        <v>-484658</v>
      </c>
      <c r="E142" s="975">
        <v>-97538</v>
      </c>
      <c r="L142" s="1022" t="s">
        <v>2345</v>
      </c>
      <c r="M142" s="977" t="s">
        <v>1432</v>
      </c>
      <c r="N142" s="977" t="s">
        <v>2346</v>
      </c>
      <c r="O142" s="976" t="s">
        <v>2285</v>
      </c>
    </row>
    <row r="143" spans="2:15">
      <c r="B143" s="1022" t="s">
        <v>2314</v>
      </c>
      <c r="C143" s="978">
        <v>-10543</v>
      </c>
      <c r="D143" s="975">
        <v>10258</v>
      </c>
      <c r="E143" s="975">
        <v>-20522</v>
      </c>
      <c r="L143" s="1022" t="s">
        <v>2347</v>
      </c>
      <c r="M143" s="978">
        <v>-330214</v>
      </c>
      <c r="N143" s="977" t="s">
        <v>2348</v>
      </c>
      <c r="O143" s="975">
        <v>-138368</v>
      </c>
    </row>
    <row r="144" spans="2:15">
      <c r="B144" s="1022" t="s">
        <v>2349</v>
      </c>
      <c r="C144" s="978">
        <v>54215</v>
      </c>
      <c r="D144" s="975">
        <v>274279</v>
      </c>
      <c r="E144" s="976" t="s">
        <v>2350</v>
      </c>
      <c r="L144" s="1022" t="s">
        <v>2351</v>
      </c>
      <c r="M144" s="978">
        <v>-399558</v>
      </c>
      <c r="N144" s="978">
        <v>-471152</v>
      </c>
      <c r="O144" s="975">
        <v>-340862</v>
      </c>
    </row>
    <row r="145" spans="2:15">
      <c r="B145" s="1022" t="s">
        <v>2352</v>
      </c>
      <c r="C145" s="978">
        <v>-1596</v>
      </c>
      <c r="D145" s="975">
        <v>1443</v>
      </c>
      <c r="E145" s="976">
        <v>-135</v>
      </c>
      <c r="L145" s="1023" t="s">
        <v>2353</v>
      </c>
      <c r="M145" s="991">
        <v>5290471</v>
      </c>
      <c r="N145" s="990" t="s">
        <v>2355</v>
      </c>
      <c r="O145" s="989" t="s">
        <v>2354</v>
      </c>
    </row>
    <row r="146" spans="2:15">
      <c r="B146" s="1022" t="s">
        <v>2356</v>
      </c>
      <c r="C146" s="978">
        <v>-842979</v>
      </c>
      <c r="D146" s="975">
        <v>119520</v>
      </c>
      <c r="E146" s="975">
        <v>-187148</v>
      </c>
    </row>
    <row r="147" spans="2:15">
      <c r="B147" s="1022" t="s">
        <v>2337</v>
      </c>
      <c r="C147" s="977" t="s">
        <v>125</v>
      </c>
      <c r="D147" s="975">
        <v>6765</v>
      </c>
      <c r="E147" s="976" t="s">
        <v>2357</v>
      </c>
      <c r="L147" s="1024" t="s">
        <v>2358</v>
      </c>
      <c r="M147" s="699"/>
      <c r="N147" s="699"/>
      <c r="O147" s="699"/>
    </row>
    <row r="148" spans="2:15">
      <c r="B148" s="1022" t="s">
        <v>2359</v>
      </c>
      <c r="C148" s="978">
        <v>-621004</v>
      </c>
      <c r="D148" s="975">
        <v>-24061</v>
      </c>
      <c r="E148" s="976" t="s">
        <v>2360</v>
      </c>
      <c r="L148" s="957" t="s">
        <v>1925</v>
      </c>
      <c r="M148" s="699"/>
      <c r="N148" s="699"/>
      <c r="O148" s="699"/>
    </row>
    <row r="149" spans="2:15">
      <c r="B149" s="1022" t="s">
        <v>2361</v>
      </c>
      <c r="C149" s="978">
        <v>28888</v>
      </c>
      <c r="D149" s="976" t="s">
        <v>125</v>
      </c>
      <c r="L149" s="1002" t="s">
        <v>1407</v>
      </c>
      <c r="M149" s="1004">
        <v>2017</v>
      </c>
      <c r="N149" s="1004">
        <v>2018</v>
      </c>
      <c r="O149" s="1003">
        <v>2019</v>
      </c>
    </row>
    <row r="150" spans="2:15">
      <c r="B150" s="1022" t="s">
        <v>2362</v>
      </c>
      <c r="C150" s="978">
        <v>-7498</v>
      </c>
      <c r="D150" s="975">
        <v>-42486</v>
      </c>
      <c r="E150" s="976" t="s">
        <v>1432</v>
      </c>
      <c r="L150" s="968" t="s">
        <v>1410</v>
      </c>
      <c r="M150" s="971" t="s">
        <v>2363</v>
      </c>
      <c r="N150" s="973">
        <v>1213286</v>
      </c>
      <c r="O150" s="972">
        <v>1279582</v>
      </c>
    </row>
    <row r="151" spans="2:15">
      <c r="B151" s="1025" t="s">
        <v>2364</v>
      </c>
      <c r="C151" s="991">
        <v>3131292</v>
      </c>
      <c r="D151" s="988">
        <v>5090020</v>
      </c>
      <c r="E151" s="988">
        <v>5330461</v>
      </c>
      <c r="L151" s="968" t="s">
        <v>1378</v>
      </c>
      <c r="M151" s="971" t="s">
        <v>2365</v>
      </c>
      <c r="N151" s="973">
        <v>119070</v>
      </c>
      <c r="O151" s="972">
        <v>92729</v>
      </c>
    </row>
    <row r="152" spans="2:15">
      <c r="G152" s="1026"/>
      <c r="H152" s="1026"/>
      <c r="L152" s="968" t="s">
        <v>1388</v>
      </c>
      <c r="M152" s="971" t="s">
        <v>2366</v>
      </c>
      <c r="N152" s="973">
        <v>256425</v>
      </c>
      <c r="O152" s="972">
        <v>311207</v>
      </c>
    </row>
    <row r="153" spans="2:15">
      <c r="B153" s="955" t="s">
        <v>2367</v>
      </c>
      <c r="L153" s="968" t="s">
        <v>1389</v>
      </c>
      <c r="M153" s="971" t="s">
        <v>2370</v>
      </c>
      <c r="N153" s="971" t="s">
        <v>2369</v>
      </c>
      <c r="O153" s="972">
        <v>18224</v>
      </c>
    </row>
    <row r="154" spans="2:15">
      <c r="B154" s="957" t="s">
        <v>1925</v>
      </c>
      <c r="L154" s="968" t="s">
        <v>2371</v>
      </c>
      <c r="M154" s="971" t="s">
        <v>2374</v>
      </c>
      <c r="N154" s="971" t="s">
        <v>2373</v>
      </c>
      <c r="O154" s="970" t="s">
        <v>2372</v>
      </c>
    </row>
    <row r="155" spans="2:15">
      <c r="B155" s="1002" t="s">
        <v>1407</v>
      </c>
      <c r="C155" s="1004">
        <v>2017</v>
      </c>
      <c r="D155" s="1004">
        <v>2018</v>
      </c>
      <c r="E155" s="1003">
        <v>2019</v>
      </c>
      <c r="L155" s="968" t="s">
        <v>1391</v>
      </c>
      <c r="M155" s="971" t="s">
        <v>2377</v>
      </c>
      <c r="N155" s="971" t="s">
        <v>2376</v>
      </c>
      <c r="O155" s="970" t="s">
        <v>2375</v>
      </c>
    </row>
    <row r="156" spans="2:15">
      <c r="B156" s="968" t="s">
        <v>1376</v>
      </c>
      <c r="C156" s="973">
        <v>159210</v>
      </c>
      <c r="D156" s="973">
        <v>217668</v>
      </c>
      <c r="E156" s="972">
        <v>170062</v>
      </c>
      <c r="L156" s="968" t="s">
        <v>1381</v>
      </c>
      <c r="M156" s="973">
        <v>16109</v>
      </c>
      <c r="N156" s="973">
        <v>21636</v>
      </c>
      <c r="O156" s="972">
        <v>27388</v>
      </c>
    </row>
    <row r="157" spans="2:15">
      <c r="B157" s="968" t="s">
        <v>1377</v>
      </c>
      <c r="C157" s="973">
        <v>111315</v>
      </c>
      <c r="D157" s="973">
        <v>98427</v>
      </c>
      <c r="E157" s="972">
        <v>174635</v>
      </c>
      <c r="L157" s="968" t="s">
        <v>1401</v>
      </c>
      <c r="M157" s="973">
        <v>32805</v>
      </c>
      <c r="N157" s="973">
        <v>25172</v>
      </c>
      <c r="O157" s="972">
        <v>27335</v>
      </c>
    </row>
    <row r="158" spans="2:15">
      <c r="B158" s="968" t="s">
        <v>1378</v>
      </c>
      <c r="C158" s="973">
        <v>22000</v>
      </c>
      <c r="D158" s="973">
        <v>26058</v>
      </c>
      <c r="E158" s="972">
        <v>26204</v>
      </c>
      <c r="L158" s="968" t="s">
        <v>1411</v>
      </c>
      <c r="M158" s="971"/>
      <c r="N158" s="971">
        <v>0</v>
      </c>
      <c r="O158" s="972">
        <v>25641</v>
      </c>
    </row>
    <row r="159" spans="2:15">
      <c r="B159" s="968" t="s">
        <v>1384</v>
      </c>
      <c r="C159" s="973">
        <v>4496</v>
      </c>
      <c r="D159" s="971" t="s">
        <v>2379</v>
      </c>
      <c r="E159" s="970" t="s">
        <v>2378</v>
      </c>
      <c r="L159" s="968" t="s">
        <v>1385</v>
      </c>
      <c r="M159" s="971" t="s">
        <v>2382</v>
      </c>
      <c r="N159" s="971" t="s">
        <v>2381</v>
      </c>
      <c r="O159" s="970" t="s">
        <v>2380</v>
      </c>
    </row>
    <row r="160" spans="2:15">
      <c r="B160" s="968" t="s">
        <v>1385</v>
      </c>
      <c r="C160" s="973">
        <v>14087</v>
      </c>
      <c r="D160" s="971" t="s">
        <v>2384</v>
      </c>
      <c r="E160" s="970" t="s">
        <v>2383</v>
      </c>
      <c r="L160" s="968" t="s">
        <v>1392</v>
      </c>
      <c r="M160" s="971" t="s">
        <v>2387</v>
      </c>
      <c r="N160" s="971" t="s">
        <v>2386</v>
      </c>
      <c r="O160" s="970" t="s">
        <v>2385</v>
      </c>
    </row>
    <row r="161" spans="2:17">
      <c r="B161" s="968" t="s">
        <v>1386</v>
      </c>
      <c r="C161" s="973">
        <v>50721</v>
      </c>
      <c r="D161" s="971" t="s">
        <v>2389</v>
      </c>
      <c r="E161" s="970" t="s">
        <v>2388</v>
      </c>
      <c r="L161" s="968" t="s">
        <v>1387</v>
      </c>
      <c r="M161" s="971" t="s">
        <v>2392</v>
      </c>
      <c r="N161" s="971" t="s">
        <v>2391</v>
      </c>
      <c r="O161" s="970" t="s">
        <v>2390</v>
      </c>
    </row>
    <row r="162" spans="2:17">
      <c r="B162" s="968" t="s">
        <v>1388</v>
      </c>
      <c r="C162" s="973">
        <v>52980</v>
      </c>
      <c r="D162" s="973">
        <v>54088</v>
      </c>
      <c r="E162" s="972">
        <v>45318</v>
      </c>
      <c r="L162" s="968" t="s">
        <v>246</v>
      </c>
      <c r="M162" s="971" t="s">
        <v>2395</v>
      </c>
      <c r="N162" s="971" t="s">
        <v>2394</v>
      </c>
      <c r="O162" s="970" t="s">
        <v>2393</v>
      </c>
    </row>
    <row r="163" spans="2:17">
      <c r="B163" s="968" t="s">
        <v>1389</v>
      </c>
      <c r="C163" s="973">
        <v>19703</v>
      </c>
      <c r="D163" s="971" t="s">
        <v>2397</v>
      </c>
      <c r="E163" s="970" t="s">
        <v>2396</v>
      </c>
      <c r="L163" s="1027" t="s">
        <v>400</v>
      </c>
      <c r="M163" s="1030">
        <v>1829987</v>
      </c>
      <c r="N163" s="1029" t="s">
        <v>2399</v>
      </c>
      <c r="O163" s="1028" t="s">
        <v>2398</v>
      </c>
    </row>
    <row r="164" spans="2:17">
      <c r="B164" s="968" t="s">
        <v>1390</v>
      </c>
      <c r="C164" s="973">
        <v>2136</v>
      </c>
      <c r="D164" s="971" t="s">
        <v>2401</v>
      </c>
      <c r="E164" s="970" t="s">
        <v>2400</v>
      </c>
      <c r="L164" s="1917" t="s">
        <v>3300</v>
      </c>
    </row>
    <row r="165" spans="2:17">
      <c r="B165" s="968" t="s">
        <v>1391</v>
      </c>
      <c r="C165" s="973">
        <v>62785</v>
      </c>
      <c r="D165" s="971" t="s">
        <v>2403</v>
      </c>
      <c r="E165" s="970" t="s">
        <v>2402</v>
      </c>
      <c r="L165" s="957" t="s">
        <v>1925</v>
      </c>
      <c r="M165" s="699"/>
      <c r="N165" s="699"/>
    </row>
    <row r="166" spans="2:17">
      <c r="B166" s="968" t="s">
        <v>1392</v>
      </c>
      <c r="C166" s="973">
        <v>16671</v>
      </c>
      <c r="D166" s="971" t="s">
        <v>2405</v>
      </c>
      <c r="E166" s="970" t="s">
        <v>2404</v>
      </c>
      <c r="L166" s="1002" t="s">
        <v>1407</v>
      </c>
      <c r="M166" s="1003">
        <v>2020</v>
      </c>
      <c r="N166" s="1004">
        <v>2019</v>
      </c>
    </row>
    <row r="167" spans="2:17">
      <c r="B167" s="968" t="s">
        <v>1393</v>
      </c>
      <c r="C167" s="971">
        <v>603</v>
      </c>
      <c r="D167" s="971" t="s">
        <v>2407</v>
      </c>
      <c r="E167" s="970" t="s">
        <v>2406</v>
      </c>
      <c r="L167" s="968" t="s">
        <v>1410</v>
      </c>
      <c r="M167" s="972">
        <v>1358049</v>
      </c>
      <c r="N167" s="971" t="s">
        <v>3285</v>
      </c>
    </row>
    <row r="168" spans="2:17">
      <c r="B168" s="968" t="s">
        <v>1395</v>
      </c>
      <c r="C168" s="973">
        <v>7555</v>
      </c>
      <c r="D168" s="971" t="s">
        <v>2409</v>
      </c>
      <c r="E168" s="970" t="s">
        <v>2408</v>
      </c>
      <c r="L168" s="968" t="s">
        <v>1378</v>
      </c>
      <c r="M168" s="972">
        <v>82744</v>
      </c>
      <c r="N168" s="973">
        <v>92729</v>
      </c>
    </row>
    <row r="169" spans="2:17">
      <c r="B169" s="968" t="s">
        <v>1398</v>
      </c>
      <c r="C169" s="971">
        <v>497</v>
      </c>
      <c r="D169" s="971" t="s">
        <v>2410</v>
      </c>
      <c r="E169" s="970" t="s">
        <v>1432</v>
      </c>
      <c r="L169" s="968" t="s">
        <v>1388</v>
      </c>
      <c r="M169" s="972">
        <v>339089</v>
      </c>
      <c r="N169" s="973">
        <v>311207</v>
      </c>
    </row>
    <row r="170" spans="2:17">
      <c r="B170" s="968" t="s">
        <v>1411</v>
      </c>
      <c r="C170" s="971">
        <v>0</v>
      </c>
      <c r="D170" s="971">
        <v>0</v>
      </c>
      <c r="E170" s="972">
        <v>10609</v>
      </c>
      <c r="L170" s="968" t="s">
        <v>1389</v>
      </c>
      <c r="M170" s="970" t="s">
        <v>3286</v>
      </c>
      <c r="N170" s="971" t="s">
        <v>2368</v>
      </c>
    </row>
    <row r="171" spans="2:17">
      <c r="B171" s="968" t="s">
        <v>1401</v>
      </c>
      <c r="C171" s="973">
        <v>16385</v>
      </c>
      <c r="D171" s="973">
        <v>15942</v>
      </c>
      <c r="E171" s="972">
        <v>17194</v>
      </c>
      <c r="L171" s="968" t="s">
        <v>2371</v>
      </c>
      <c r="M171" s="970" t="s">
        <v>3287</v>
      </c>
      <c r="N171" s="971" t="s">
        <v>2372</v>
      </c>
    </row>
    <row r="172" spans="2:17">
      <c r="B172" s="968" t="s">
        <v>246</v>
      </c>
      <c r="C172" s="973">
        <v>1416</v>
      </c>
      <c r="D172" s="971" t="s">
        <v>2412</v>
      </c>
      <c r="E172" s="970" t="s">
        <v>2411</v>
      </c>
      <c r="L172" s="968" t="s">
        <v>1391</v>
      </c>
      <c r="M172" s="970" t="s">
        <v>3288</v>
      </c>
      <c r="N172" s="971" t="s">
        <v>2375</v>
      </c>
    </row>
    <row r="173" spans="2:17">
      <c r="B173" s="1027" t="s">
        <v>1413</v>
      </c>
      <c r="C173" s="1030">
        <v>542560</v>
      </c>
      <c r="D173" s="1030">
        <v>597696</v>
      </c>
      <c r="E173" s="1028" t="s">
        <v>2413</v>
      </c>
      <c r="L173" s="968" t="s">
        <v>1381</v>
      </c>
      <c r="M173" s="970" t="s">
        <v>3289</v>
      </c>
      <c r="N173" s="971" t="s">
        <v>3290</v>
      </c>
    </row>
    <row r="174" spans="2:17">
      <c r="B174" s="1917" t="s">
        <v>3300</v>
      </c>
      <c r="L174" s="968" t="s">
        <v>1401</v>
      </c>
      <c r="M174" s="970" t="s">
        <v>3291</v>
      </c>
      <c r="N174" s="971" t="s">
        <v>3292</v>
      </c>
    </row>
    <row r="175" spans="2:17">
      <c r="B175" s="957" t="s">
        <v>1925</v>
      </c>
      <c r="L175" s="968" t="s">
        <v>1411</v>
      </c>
      <c r="M175" s="970" t="s">
        <v>3293</v>
      </c>
      <c r="N175" s="971" t="s">
        <v>3294</v>
      </c>
      <c r="Q175" s="997"/>
    </row>
    <row r="176" spans="2:17">
      <c r="B176" s="1002" t="s">
        <v>1407</v>
      </c>
      <c r="C176" s="1003">
        <v>2020</v>
      </c>
      <c r="D176" s="1004">
        <v>2019</v>
      </c>
      <c r="L176" s="968" t="s">
        <v>1385</v>
      </c>
      <c r="M176" s="970" t="s">
        <v>3295</v>
      </c>
      <c r="N176" s="971" t="s">
        <v>2380</v>
      </c>
      <c r="Q176" s="997"/>
    </row>
    <row r="177" spans="2:14">
      <c r="B177" s="968" t="s">
        <v>1376</v>
      </c>
      <c r="C177" s="972">
        <v>155124</v>
      </c>
      <c r="D177" s="973">
        <v>170062</v>
      </c>
      <c r="L177" s="968" t="s">
        <v>1392</v>
      </c>
      <c r="M177" s="970" t="s">
        <v>3296</v>
      </c>
      <c r="N177" s="971" t="s">
        <v>2385</v>
      </c>
    </row>
    <row r="178" spans="2:14">
      <c r="B178" s="968" t="s">
        <v>1377</v>
      </c>
      <c r="C178" s="972">
        <v>134432</v>
      </c>
      <c r="D178" s="973">
        <v>174635</v>
      </c>
      <c r="L178" s="968" t="s">
        <v>1387</v>
      </c>
      <c r="M178" s="970" t="s">
        <v>3297</v>
      </c>
      <c r="N178" s="971" t="s">
        <v>2390</v>
      </c>
    </row>
    <row r="179" spans="2:14">
      <c r="B179" s="968" t="s">
        <v>1378</v>
      </c>
      <c r="C179" s="972">
        <v>27488</v>
      </c>
      <c r="D179" s="973">
        <v>26204</v>
      </c>
      <c r="L179" s="968" t="s">
        <v>246</v>
      </c>
      <c r="M179" s="970" t="s">
        <v>3298</v>
      </c>
      <c r="N179" s="971" t="s">
        <v>2393</v>
      </c>
    </row>
    <row r="180" spans="2:14">
      <c r="B180" s="968" t="s">
        <v>1384</v>
      </c>
      <c r="C180" s="972">
        <v>2026</v>
      </c>
      <c r="D180" s="971" t="s">
        <v>2378</v>
      </c>
      <c r="L180" s="1027" t="s">
        <v>1413</v>
      </c>
      <c r="M180" s="1028" t="s">
        <v>3299</v>
      </c>
      <c r="N180" s="1029" t="s">
        <v>2398</v>
      </c>
    </row>
    <row r="181" spans="2:14">
      <c r="B181" s="968" t="s">
        <v>1385</v>
      </c>
      <c r="C181" s="970" t="s">
        <v>3301</v>
      </c>
      <c r="D181" s="971" t="s">
        <v>2383</v>
      </c>
    </row>
    <row r="182" spans="2:14">
      <c r="B182" s="968" t="s">
        <v>1386</v>
      </c>
      <c r="C182" s="970" t="s">
        <v>3302</v>
      </c>
      <c r="D182" s="971" t="s">
        <v>2388</v>
      </c>
    </row>
    <row r="183" spans="2:14">
      <c r="B183" s="968" t="s">
        <v>1388</v>
      </c>
      <c r="C183" s="972">
        <v>51527</v>
      </c>
      <c r="D183" s="973">
        <v>45318</v>
      </c>
    </row>
    <row r="184" spans="2:14">
      <c r="B184" s="968" t="s">
        <v>1389</v>
      </c>
      <c r="C184" s="970" t="s">
        <v>3303</v>
      </c>
      <c r="D184" s="971" t="s">
        <v>2396</v>
      </c>
    </row>
    <row r="185" spans="2:14">
      <c r="B185" s="968" t="s">
        <v>1390</v>
      </c>
      <c r="C185" s="970" t="s">
        <v>3304</v>
      </c>
      <c r="D185" s="971" t="s">
        <v>2400</v>
      </c>
    </row>
    <row r="186" spans="2:14">
      <c r="B186" s="968" t="s">
        <v>1391</v>
      </c>
      <c r="C186" s="970" t="s">
        <v>3305</v>
      </c>
      <c r="D186" s="971" t="s">
        <v>2402</v>
      </c>
    </row>
    <row r="187" spans="2:14">
      <c r="B187" s="968" t="s">
        <v>1392</v>
      </c>
      <c r="C187" s="970" t="s">
        <v>3306</v>
      </c>
      <c r="D187" s="971" t="s">
        <v>2404</v>
      </c>
    </row>
    <row r="188" spans="2:14">
      <c r="B188" s="968" t="s">
        <v>1393</v>
      </c>
      <c r="C188" s="970" t="s">
        <v>3307</v>
      </c>
      <c r="D188" s="971" t="s">
        <v>2406</v>
      </c>
    </row>
    <row r="189" spans="2:14">
      <c r="B189" s="968" t="s">
        <v>1395</v>
      </c>
      <c r="C189" s="970" t="s">
        <v>3308</v>
      </c>
      <c r="D189" s="971" t="s">
        <v>2408</v>
      </c>
    </row>
    <row r="190" spans="2:14">
      <c r="B190" s="968" t="s">
        <v>1411</v>
      </c>
      <c r="C190" s="970" t="s">
        <v>3309</v>
      </c>
      <c r="D190" s="971" t="s">
        <v>3310</v>
      </c>
    </row>
    <row r="191" spans="2:14">
      <c r="B191" s="968" t="s">
        <v>1401</v>
      </c>
      <c r="C191" s="970" t="s">
        <v>3311</v>
      </c>
      <c r="D191" s="971" t="s">
        <v>3312</v>
      </c>
    </row>
    <row r="192" spans="2:14">
      <c r="B192" s="968" t="s">
        <v>246</v>
      </c>
      <c r="C192" s="970" t="s">
        <v>3313</v>
      </c>
      <c r="D192" s="971" t="s">
        <v>2411</v>
      </c>
    </row>
    <row r="193" spans="2:4">
      <c r="B193" s="1027" t="s">
        <v>1413</v>
      </c>
      <c r="C193" s="1028" t="s">
        <v>3314</v>
      </c>
      <c r="D193" s="1029" t="s">
        <v>2413</v>
      </c>
    </row>
  </sheetData>
  <phoneticPr fontId="1" type="noConversion"/>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AP235"/>
  <sheetViews>
    <sheetView workbookViewId="0"/>
  </sheetViews>
  <sheetFormatPr defaultColWidth="10" defaultRowHeight="16.5"/>
  <cols>
    <col min="1" max="1" width="2" style="1124" customWidth="1"/>
    <col min="2" max="2" width="9.875" style="1124" customWidth="1"/>
    <col min="3" max="15" width="11" style="1124" customWidth="1"/>
    <col min="16" max="18" width="12.125" style="1124" customWidth="1"/>
    <col min="19" max="19" width="10" style="1124"/>
    <col min="20" max="20" width="15.5" customWidth="1"/>
    <col min="21" max="22" width="11.875" customWidth="1"/>
    <col min="23" max="23" width="11.875" style="1125" customWidth="1"/>
    <col min="24" max="24" width="11.875" customWidth="1"/>
    <col min="25" max="25" width="10" style="1124"/>
    <col min="26" max="26" width="13.125" style="1124" customWidth="1"/>
    <col min="27" max="16384" width="10" style="1124"/>
  </cols>
  <sheetData>
    <row r="1" spans="1:42" ht="14.25" customHeight="1">
      <c r="A1" s="1123"/>
      <c r="B1" s="1123"/>
      <c r="C1" s="1123"/>
      <c r="D1" s="1123"/>
    </row>
    <row r="2" spans="1:42" s="1126" customFormat="1" ht="24.75" customHeight="1">
      <c r="B2" s="1127" t="s">
        <v>2644</v>
      </c>
      <c r="M2" s="1128"/>
      <c r="N2" s="1128"/>
      <c r="O2" s="1128"/>
      <c r="T2" s="1127" t="s">
        <v>2645</v>
      </c>
      <c r="Z2" s="1129" t="s">
        <v>2646</v>
      </c>
      <c r="AA2" s="1130"/>
      <c r="AB2" s="1130"/>
      <c r="AC2" s="1130"/>
      <c r="AD2" s="1130"/>
      <c r="AE2" s="1130"/>
      <c r="AF2" s="1129" t="s">
        <v>2647</v>
      </c>
      <c r="AG2" s="1130"/>
      <c r="AH2" s="1130"/>
      <c r="AI2" s="1130"/>
      <c r="AJ2" s="1130"/>
      <c r="AK2" s="1130"/>
      <c r="AL2" s="1130"/>
      <c r="AM2" s="1130"/>
      <c r="AN2" s="1130"/>
      <c r="AO2" s="1130"/>
      <c r="AP2" s="1130"/>
    </row>
    <row r="3" spans="1:42" ht="14.25" customHeight="1">
      <c r="A3" s="1123"/>
      <c r="B3" s="1123"/>
      <c r="C3" s="1123"/>
      <c r="D3" s="1123"/>
      <c r="G3" s="1126"/>
      <c r="H3" s="1126"/>
      <c r="I3" s="1126"/>
      <c r="J3" s="1126"/>
      <c r="K3" s="1126"/>
      <c r="T3" s="1131"/>
      <c r="U3" s="1132"/>
      <c r="V3" s="1132"/>
      <c r="W3" s="1132"/>
      <c r="X3" s="1132" t="s">
        <v>2648</v>
      </c>
      <c r="AD3" s="1133" t="s">
        <v>2649</v>
      </c>
      <c r="AJ3" s="1133" t="s">
        <v>2649</v>
      </c>
    </row>
    <row r="4" spans="1:42" ht="21" customHeight="1" thickBot="1">
      <c r="B4" s="1134" t="s">
        <v>2650</v>
      </c>
      <c r="H4" s="1135"/>
      <c r="T4" s="1136" t="s">
        <v>2651</v>
      </c>
      <c r="U4" s="1137" t="s">
        <v>2652</v>
      </c>
      <c r="V4" s="1138" t="s">
        <v>1933</v>
      </c>
      <c r="W4" s="1138" t="s">
        <v>1934</v>
      </c>
      <c r="X4" s="1139" t="s">
        <v>1935</v>
      </c>
      <c r="Z4" s="1140" t="s">
        <v>2653</v>
      </c>
      <c r="AA4" s="1141" t="s">
        <v>126</v>
      </c>
      <c r="AB4" s="1142" t="s">
        <v>1933</v>
      </c>
      <c r="AC4" s="1143" t="s">
        <v>1934</v>
      </c>
      <c r="AD4" s="1141" t="s">
        <v>1935</v>
      </c>
      <c r="AF4" s="1140" t="s">
        <v>2653</v>
      </c>
      <c r="AG4" s="1141" t="s">
        <v>126</v>
      </c>
      <c r="AH4" s="1142" t="s">
        <v>1933</v>
      </c>
      <c r="AI4" s="1143" t="s">
        <v>1934</v>
      </c>
      <c r="AJ4" s="1141" t="s">
        <v>1935</v>
      </c>
    </row>
    <row r="5" spans="1:42" s="1063" customFormat="1" ht="14.25" customHeight="1">
      <c r="B5" s="5730" t="s">
        <v>2069</v>
      </c>
      <c r="C5" s="5731"/>
      <c r="D5" s="5734" t="s">
        <v>2654</v>
      </c>
      <c r="E5" s="5735"/>
      <c r="F5" s="5735"/>
      <c r="G5" s="5735"/>
      <c r="H5" s="5736"/>
      <c r="I5" s="5735" t="s">
        <v>2655</v>
      </c>
      <c r="J5" s="5735"/>
      <c r="K5" s="5735"/>
      <c r="L5" s="5735"/>
      <c r="M5" s="5735"/>
      <c r="N5" s="5737" t="s">
        <v>2656</v>
      </c>
      <c r="O5" s="1102"/>
      <c r="P5" s="1102"/>
      <c r="Q5" s="1102"/>
      <c r="R5" s="1102"/>
      <c r="T5" s="1144" t="s">
        <v>2657</v>
      </c>
      <c r="U5" s="1145">
        <v>307362.14916685969</v>
      </c>
      <c r="V5" s="1145">
        <v>314467.55103598954</v>
      </c>
      <c r="W5" s="1145">
        <v>324952.53540986334</v>
      </c>
      <c r="X5" s="1145">
        <v>332390.52010149549</v>
      </c>
      <c r="Z5" s="1146" t="s">
        <v>2658</v>
      </c>
      <c r="AA5" s="1147">
        <v>1887073.590183876</v>
      </c>
      <c r="AB5" s="1147">
        <v>2028367.56</v>
      </c>
      <c r="AC5" s="1147">
        <v>2100683.3966000001</v>
      </c>
      <c r="AD5" s="1147">
        <v>2227742.5874650003</v>
      </c>
      <c r="AF5" s="1146" t="s">
        <v>2658</v>
      </c>
      <c r="AG5" s="1147">
        <v>1252085.9894712279</v>
      </c>
      <c r="AH5" s="1147">
        <v>1300639.09776</v>
      </c>
      <c r="AI5" s="1147">
        <v>1366828.675876</v>
      </c>
      <c r="AJ5" s="1147">
        <v>1443105.9742208999</v>
      </c>
    </row>
    <row r="6" spans="1:42" s="1063" customFormat="1" ht="14.25" customHeight="1" thickBot="1">
      <c r="B6" s="5732"/>
      <c r="C6" s="5733"/>
      <c r="D6" s="1148" t="s">
        <v>2659</v>
      </c>
      <c r="E6" s="1137" t="s">
        <v>2660</v>
      </c>
      <c r="F6" s="1149" t="s">
        <v>2661</v>
      </c>
      <c r="G6" s="1150" t="s">
        <v>2662</v>
      </c>
      <c r="H6" s="1151" t="s">
        <v>2663</v>
      </c>
      <c r="I6" s="1152" t="s">
        <v>2659</v>
      </c>
      <c r="J6" s="1137" t="s">
        <v>2652</v>
      </c>
      <c r="K6" s="1153" t="s">
        <v>1933</v>
      </c>
      <c r="L6" s="1150" t="s">
        <v>1934</v>
      </c>
      <c r="M6" s="1154" t="s">
        <v>1935</v>
      </c>
      <c r="N6" s="5738"/>
      <c r="O6" s="1065"/>
      <c r="P6" s="1065" t="s">
        <v>2664</v>
      </c>
      <c r="Q6" s="1065"/>
      <c r="R6" s="1065"/>
      <c r="T6" s="1155" t="s">
        <v>2665</v>
      </c>
      <c r="U6" s="1156">
        <v>180927.44223325243</v>
      </c>
      <c r="V6" s="1156">
        <v>175422.43433969095</v>
      </c>
      <c r="W6" s="1157">
        <v>179084.50759761347</v>
      </c>
      <c r="X6" s="1156">
        <v>182789.01735083407</v>
      </c>
      <c r="Z6" s="1146" t="s">
        <v>2666</v>
      </c>
      <c r="AA6" s="1147">
        <v>136618.61738759771</v>
      </c>
      <c r="AB6" s="1147">
        <v>118608</v>
      </c>
      <c r="AC6" s="1147">
        <v>145831.20000000001</v>
      </c>
      <c r="AD6" s="1147">
        <v>152666.86800000002</v>
      </c>
      <c r="AF6" s="1146" t="s">
        <v>2666</v>
      </c>
      <c r="AG6" s="1147">
        <v>259927.78754379629</v>
      </c>
      <c r="AH6" s="1147">
        <v>205006.2224</v>
      </c>
      <c r="AI6" s="1147">
        <v>275112.07955200004</v>
      </c>
      <c r="AJ6" s="1147">
        <v>286494.26273407997</v>
      </c>
    </row>
    <row r="7" spans="1:42" s="1063" customFormat="1" ht="14.25" customHeight="1">
      <c r="B7" s="5739" t="s">
        <v>2667</v>
      </c>
      <c r="C7" s="1158" t="s">
        <v>2668</v>
      </c>
      <c r="D7" s="1159" t="s">
        <v>2669</v>
      </c>
      <c r="E7" s="1160">
        <v>1774.3832758093356</v>
      </c>
      <c r="F7" s="1160">
        <v>1900</v>
      </c>
      <c r="G7" s="1160">
        <v>1900</v>
      </c>
      <c r="H7" s="1161">
        <v>1900</v>
      </c>
      <c r="I7" s="1162" t="s">
        <v>2670</v>
      </c>
      <c r="J7" s="1163">
        <f t="shared" ref="J7:M11" si="0">E7/31.1035*E$15</f>
        <v>68204.224587827659</v>
      </c>
      <c r="K7" s="1163">
        <f t="shared" si="0"/>
        <v>70249.328853665982</v>
      </c>
      <c r="L7" s="1163">
        <f t="shared" si="0"/>
        <v>70249.328853665982</v>
      </c>
      <c r="M7" s="1164">
        <f t="shared" si="0"/>
        <v>70249.328853665982</v>
      </c>
      <c r="N7" s="1165"/>
      <c r="O7" s="1065"/>
      <c r="P7" s="1065">
        <v>1400</v>
      </c>
      <c r="Q7" s="1166">
        <f>K7/J7</f>
        <v>1.0299850086735436</v>
      </c>
      <c r="R7" s="1065"/>
      <c r="T7" s="1155" t="s">
        <v>2671</v>
      </c>
      <c r="U7" s="1156">
        <v>113873.03324359741</v>
      </c>
      <c r="V7" s="1156">
        <v>124826.94337580659</v>
      </c>
      <c r="W7" s="1157">
        <v>131630.59675528991</v>
      </c>
      <c r="X7" s="1156">
        <v>135331.97546625146</v>
      </c>
      <c r="Z7" s="1146" t="s">
        <v>2672</v>
      </c>
      <c r="AA7" s="1147">
        <v>55370.420295115589</v>
      </c>
      <c r="AB7" s="1147">
        <v>43680</v>
      </c>
      <c r="AC7" s="1147">
        <v>44341.047729918508</v>
      </c>
      <c r="AD7" s="1147">
        <v>45012.099674608791</v>
      </c>
      <c r="AF7" s="1146" t="s">
        <v>2672</v>
      </c>
      <c r="AG7" s="1147">
        <v>0</v>
      </c>
      <c r="AH7" s="1147">
        <v>0</v>
      </c>
      <c r="AI7" s="1147">
        <v>0</v>
      </c>
      <c r="AJ7" s="1147">
        <v>0</v>
      </c>
    </row>
    <row r="8" spans="1:42" s="1063" customFormat="1" ht="14.25" customHeight="1">
      <c r="B8" s="5740"/>
      <c r="C8" s="1167" t="s">
        <v>2673</v>
      </c>
      <c r="D8" s="1168" t="s">
        <v>2674</v>
      </c>
      <c r="E8" s="1169">
        <v>21.091733225108225</v>
      </c>
      <c r="F8" s="1169">
        <v>20</v>
      </c>
      <c r="G8" s="1169">
        <v>20</v>
      </c>
      <c r="H8" s="1170">
        <v>20</v>
      </c>
      <c r="I8" s="1171" t="s">
        <v>2675</v>
      </c>
      <c r="J8" s="1172">
        <f t="shared" si="0"/>
        <v>810.72975013004191</v>
      </c>
      <c r="K8" s="1172">
        <f t="shared" si="0"/>
        <v>739.46661951227361</v>
      </c>
      <c r="L8" s="1172">
        <f t="shared" si="0"/>
        <v>739.46661951227361</v>
      </c>
      <c r="M8" s="1173">
        <f t="shared" si="0"/>
        <v>739.46661951227361</v>
      </c>
      <c r="N8" s="1174"/>
      <c r="O8" s="1065"/>
      <c r="P8" s="1065">
        <v>16.5</v>
      </c>
      <c r="Q8" s="1065"/>
      <c r="R8" s="1065"/>
      <c r="T8" s="1155" t="s">
        <v>2676</v>
      </c>
      <c r="U8" s="1156">
        <v>6378.1278260098543</v>
      </c>
      <c r="V8" s="1156">
        <v>7689.8006571620244</v>
      </c>
      <c r="W8" s="1157">
        <v>7689.8006571599308</v>
      </c>
      <c r="X8" s="1156">
        <v>7689.8006571599308</v>
      </c>
      <c r="Z8" s="1146" t="s">
        <v>2677</v>
      </c>
      <c r="AA8" s="1147">
        <v>188067.0474574971</v>
      </c>
      <c r="AB8" s="1147">
        <v>189255.25966666671</v>
      </c>
      <c r="AC8" s="1147">
        <v>201280.14468833338</v>
      </c>
      <c r="AD8" s="1147">
        <v>213504.33608429169</v>
      </c>
      <c r="AF8" s="1146" t="s">
        <v>2677</v>
      </c>
      <c r="AG8" s="1147">
        <v>145332.13076030574</v>
      </c>
      <c r="AH8" s="1147">
        <v>160305.86669466668</v>
      </c>
      <c r="AI8" s="1147">
        <v>168090.20364863338</v>
      </c>
      <c r="AJ8" s="1147">
        <v>177023.25938128922</v>
      </c>
    </row>
    <row r="9" spans="1:42" s="1063" customFormat="1" ht="14.25" customHeight="1">
      <c r="B9" s="5740"/>
      <c r="C9" s="1167" t="s">
        <v>2678</v>
      </c>
      <c r="D9" s="1168" t="s">
        <v>2674</v>
      </c>
      <c r="E9" s="1169">
        <v>872.78599347512375</v>
      </c>
      <c r="F9" s="1169">
        <v>900</v>
      </c>
      <c r="G9" s="1169">
        <v>900</v>
      </c>
      <c r="H9" s="1170">
        <v>900</v>
      </c>
      <c r="I9" s="1171" t="s">
        <v>2675</v>
      </c>
      <c r="J9" s="1172">
        <f t="shared" si="0"/>
        <v>33548.384234480407</v>
      </c>
      <c r="K9" s="1172">
        <f t="shared" si="0"/>
        <v>33275.997878052309</v>
      </c>
      <c r="L9" s="1172">
        <f t="shared" si="0"/>
        <v>33275.997878052309</v>
      </c>
      <c r="M9" s="1173">
        <f t="shared" si="0"/>
        <v>33275.997878052309</v>
      </c>
      <c r="N9" s="1174"/>
      <c r="O9" s="1065"/>
      <c r="P9" s="1065">
        <v>850</v>
      </c>
      <c r="Q9" s="1065"/>
      <c r="R9" s="1065"/>
      <c r="T9" s="1155" t="s">
        <v>2679</v>
      </c>
      <c r="U9" s="1156">
        <v>6183.5458639999997</v>
      </c>
      <c r="V9" s="1156">
        <v>6528.3726633299993</v>
      </c>
      <c r="W9" s="1157">
        <v>6547.6303998000003</v>
      </c>
      <c r="X9" s="1156">
        <v>6579.7266272500001</v>
      </c>
      <c r="Z9" s="1175" t="s">
        <v>2680</v>
      </c>
      <c r="AA9" s="1176">
        <v>2267129.6753240861</v>
      </c>
      <c r="AB9" s="1176">
        <v>2379910.8196666669</v>
      </c>
      <c r="AC9" s="1176">
        <v>2492135.7890182524</v>
      </c>
      <c r="AD9" s="1176">
        <v>2638925.8912239005</v>
      </c>
      <c r="AF9" s="1175" t="s">
        <v>2680</v>
      </c>
      <c r="AG9" s="1176">
        <v>1657345.9077753299</v>
      </c>
      <c r="AH9" s="1176">
        <v>1665951.1868546668</v>
      </c>
      <c r="AI9" s="1176">
        <v>1810030.9590766332</v>
      </c>
      <c r="AJ9" s="1176">
        <v>1906623.496336269</v>
      </c>
    </row>
    <row r="10" spans="1:42" s="1063" customFormat="1" ht="14.25" customHeight="1">
      <c r="B10" s="5740"/>
      <c r="C10" s="1167" t="s">
        <v>2681</v>
      </c>
      <c r="D10" s="1168" t="s">
        <v>2674</v>
      </c>
      <c r="E10" s="1169">
        <v>2081.989210427254</v>
      </c>
      <c r="F10" s="1169">
        <v>2000</v>
      </c>
      <c r="G10" s="1169">
        <v>2000</v>
      </c>
      <c r="H10" s="1170">
        <v>2000</v>
      </c>
      <c r="I10" s="1171" t="s">
        <v>2675</v>
      </c>
      <c r="J10" s="1172">
        <f t="shared" si="0"/>
        <v>80028.064755425978</v>
      </c>
      <c r="K10" s="1172">
        <f t="shared" si="0"/>
        <v>73946.661951227346</v>
      </c>
      <c r="L10" s="1172">
        <f t="shared" si="0"/>
        <v>73946.661951227346</v>
      </c>
      <c r="M10" s="1173">
        <f t="shared" si="0"/>
        <v>73946.661951227346</v>
      </c>
      <c r="N10" s="1174"/>
      <c r="O10" s="1065"/>
      <c r="P10" s="1065">
        <v>1400</v>
      </c>
      <c r="Q10" s="1065"/>
      <c r="R10" s="1065"/>
      <c r="T10" s="1155" t="s">
        <v>2682</v>
      </c>
      <c r="U10" s="1156"/>
      <c r="V10" s="1156">
        <v>0</v>
      </c>
      <c r="W10" s="1157">
        <v>0</v>
      </c>
      <c r="X10" s="1156">
        <v>0</v>
      </c>
      <c r="Z10" s="1177" t="s">
        <v>2683</v>
      </c>
      <c r="AA10" s="1178">
        <v>570503.95490583789</v>
      </c>
      <c r="AB10" s="1178">
        <v>595772.38891878817</v>
      </c>
      <c r="AC10" s="1178">
        <v>586082.71542983339</v>
      </c>
      <c r="AD10" s="1178">
        <v>599131.40643558837</v>
      </c>
      <c r="AF10" s="1177" t="s">
        <v>2683</v>
      </c>
      <c r="AG10" s="1178">
        <v>321446.05861035362</v>
      </c>
      <c r="AH10" s="1178">
        <v>344445.45366856368</v>
      </c>
      <c r="AI10" s="1178">
        <v>355981.71065749822</v>
      </c>
      <c r="AJ10" s="1178">
        <v>365258.58307807148</v>
      </c>
    </row>
    <row r="11" spans="1:42" s="1063" customFormat="1" ht="14.25" customHeight="1">
      <c r="B11" s="5740"/>
      <c r="C11" s="1167" t="s">
        <v>2684</v>
      </c>
      <c r="D11" s="1168" t="s">
        <v>2674</v>
      </c>
      <c r="E11" s="1169">
        <v>1774.3832758093356</v>
      </c>
      <c r="F11" s="1169">
        <v>1900</v>
      </c>
      <c r="G11" s="1169">
        <v>1900</v>
      </c>
      <c r="H11" s="1170">
        <v>1900</v>
      </c>
      <c r="I11" s="1171" t="s">
        <v>2675</v>
      </c>
      <c r="J11" s="1172">
        <f t="shared" si="0"/>
        <v>68204.224587827659</v>
      </c>
      <c r="K11" s="1172">
        <f t="shared" si="0"/>
        <v>70249.328853665982</v>
      </c>
      <c r="L11" s="1172">
        <f t="shared" si="0"/>
        <v>70249.328853665982</v>
      </c>
      <c r="M11" s="1173">
        <f t="shared" si="0"/>
        <v>70249.328853665982</v>
      </c>
      <c r="N11" s="1174"/>
      <c r="O11" s="1065"/>
      <c r="P11" s="1065">
        <v>1400</v>
      </c>
      <c r="Q11" s="1065"/>
      <c r="R11" s="1065"/>
      <c r="T11" s="1155"/>
      <c r="U11" s="1156"/>
      <c r="V11" s="1156"/>
      <c r="W11" s="1157"/>
      <c r="X11" s="1156"/>
      <c r="Z11" s="1179" t="s">
        <v>2685</v>
      </c>
      <c r="AA11" s="1147">
        <v>15330.938367497991</v>
      </c>
      <c r="AB11" s="1147">
        <v>15279.691764705885</v>
      </c>
      <c r="AC11" s="1147">
        <v>15449.074117647062</v>
      </c>
      <c r="AD11" s="1147">
        <v>15553.989567474049</v>
      </c>
      <c r="AF11" s="1179" t="s">
        <v>2685</v>
      </c>
      <c r="AG11" s="1147">
        <v>75900.306143258611</v>
      </c>
      <c r="AH11" s="1147">
        <v>73476.668235294113</v>
      </c>
      <c r="AI11" s="1147">
        <v>74129.75647058824</v>
      </c>
      <c r="AJ11" s="1147">
        <v>74843.786626297573</v>
      </c>
    </row>
    <row r="12" spans="1:42" s="1063" customFormat="1" ht="14.25" customHeight="1">
      <c r="B12" s="5740"/>
      <c r="C12" s="1167" t="s">
        <v>2686</v>
      </c>
      <c r="D12" s="1168" t="s">
        <v>2687</v>
      </c>
      <c r="E12" s="1169">
        <v>5.9825164090438498</v>
      </c>
      <c r="F12" s="1169">
        <v>6.6</v>
      </c>
      <c r="G12" s="1169">
        <v>6.6</v>
      </c>
      <c r="H12" s="1170">
        <v>6.6</v>
      </c>
      <c r="I12" s="1171" t="s">
        <v>2688</v>
      </c>
      <c r="J12" s="1172">
        <f t="shared" ref="J12:M14" si="1">E12*E$15</f>
        <v>7152.4857414239923</v>
      </c>
      <c r="K12" s="1172">
        <f t="shared" si="1"/>
        <v>7590</v>
      </c>
      <c r="L12" s="1172">
        <f t="shared" si="1"/>
        <v>7590</v>
      </c>
      <c r="M12" s="1173">
        <f t="shared" si="1"/>
        <v>7590</v>
      </c>
      <c r="N12" s="1174"/>
      <c r="O12" s="1065"/>
      <c r="P12" s="1065">
        <v>6.2</v>
      </c>
      <c r="Q12" s="1065"/>
      <c r="R12" s="1065"/>
      <c r="T12" s="1180" t="s">
        <v>2689</v>
      </c>
      <c r="U12" s="1181">
        <v>297957.9542143374</v>
      </c>
      <c r="V12" s="1181">
        <v>306279.42816804559</v>
      </c>
      <c r="W12" s="1182">
        <v>316439.73788259248</v>
      </c>
      <c r="X12" s="1181">
        <v>323583.82006732654</v>
      </c>
      <c r="Z12" s="1179" t="s">
        <v>2690</v>
      </c>
      <c r="AA12" s="1147">
        <v>7062.1963716958053</v>
      </c>
      <c r="AB12" s="1147">
        <v>8200</v>
      </c>
      <c r="AC12" s="1147">
        <v>8200</v>
      </c>
      <c r="AD12" s="1147">
        <v>8200</v>
      </c>
      <c r="AF12" s="1179" t="s">
        <v>2690</v>
      </c>
      <c r="AG12" s="1147">
        <v>131807.38265833215</v>
      </c>
      <c r="AH12" s="1147">
        <v>127800</v>
      </c>
      <c r="AI12" s="1147">
        <v>127800</v>
      </c>
      <c r="AJ12" s="1147">
        <v>127800</v>
      </c>
    </row>
    <row r="13" spans="1:42" s="1063" customFormat="1" ht="14.25" customHeight="1">
      <c r="B13" s="5740"/>
      <c r="C13" s="1167" t="s">
        <v>2691</v>
      </c>
      <c r="D13" s="1168" t="s">
        <v>2687</v>
      </c>
      <c r="E13" s="1169"/>
      <c r="F13" s="1169"/>
      <c r="G13" s="1169"/>
      <c r="H13" s="1170"/>
      <c r="I13" s="1171" t="s">
        <v>2688</v>
      </c>
      <c r="J13" s="1172">
        <f t="shared" si="1"/>
        <v>0</v>
      </c>
      <c r="K13" s="1172">
        <f t="shared" si="1"/>
        <v>0</v>
      </c>
      <c r="L13" s="1172">
        <f t="shared" si="1"/>
        <v>0</v>
      </c>
      <c r="M13" s="1173">
        <f t="shared" si="1"/>
        <v>0</v>
      </c>
      <c r="N13" s="1174"/>
      <c r="O13" s="1065"/>
      <c r="P13" s="1065"/>
      <c r="Q13" s="1065"/>
      <c r="R13" s="1065"/>
      <c r="T13" s="1155" t="s">
        <v>2692</v>
      </c>
      <c r="U13" s="1156">
        <v>291554.23070749507</v>
      </c>
      <c r="V13" s="1156">
        <v>299366.66229801206</v>
      </c>
      <c r="W13" s="1157">
        <v>309201.68055007636</v>
      </c>
      <c r="X13" s="1156">
        <v>316065.88314526167</v>
      </c>
      <c r="Z13" s="1179" t="s">
        <v>2693</v>
      </c>
      <c r="AA13" s="1183">
        <v>17131.366174381525</v>
      </c>
      <c r="AB13" s="1147">
        <v>53874</v>
      </c>
      <c r="AC13" s="1147">
        <v>53874</v>
      </c>
      <c r="AD13" s="1147">
        <v>53874</v>
      </c>
      <c r="AF13" s="1179" t="s">
        <v>2693</v>
      </c>
      <c r="AG13" s="1183">
        <v>16260.309160107639</v>
      </c>
      <c r="AH13" s="1147">
        <v>15730.000000000005</v>
      </c>
      <c r="AI13" s="1147">
        <v>15730</v>
      </c>
      <c r="AJ13" s="1147">
        <v>15730</v>
      </c>
    </row>
    <row r="14" spans="1:42" s="1063" customFormat="1" ht="14.25" customHeight="1">
      <c r="B14" s="5741"/>
      <c r="C14" s="1184" t="s">
        <v>2694</v>
      </c>
      <c r="D14" s="1185" t="s">
        <v>2687</v>
      </c>
      <c r="E14" s="1186">
        <v>13.221521228043899</v>
      </c>
      <c r="F14" s="1186">
        <v>14</v>
      </c>
      <c r="G14" s="1186">
        <v>14</v>
      </c>
      <c r="H14" s="1187">
        <v>14</v>
      </c>
      <c r="I14" s="1188" t="s">
        <v>2688</v>
      </c>
      <c r="J14" s="1189">
        <f t="shared" si="1"/>
        <v>15807.184735935001</v>
      </c>
      <c r="K14" s="1189">
        <f t="shared" si="1"/>
        <v>16100</v>
      </c>
      <c r="L14" s="1189">
        <f t="shared" si="1"/>
        <v>16100</v>
      </c>
      <c r="M14" s="1190">
        <f t="shared" si="1"/>
        <v>16100</v>
      </c>
      <c r="N14" s="1191"/>
      <c r="O14" s="1065"/>
      <c r="P14" s="1065">
        <v>14</v>
      </c>
      <c r="Q14" s="1065"/>
      <c r="R14" s="1065"/>
      <c r="T14" s="1155" t="s">
        <v>2695</v>
      </c>
      <c r="U14" s="1156">
        <v>6618.2414668423326</v>
      </c>
      <c r="V14" s="1156">
        <v>7122.3008700335267</v>
      </c>
      <c r="W14" s="1157">
        <v>7447.5923325161184</v>
      </c>
      <c r="X14" s="1156">
        <v>7727.4719220648276</v>
      </c>
      <c r="Z14" s="1179" t="s">
        <v>2696</v>
      </c>
      <c r="AA14" s="1183">
        <v>17229.109262657243</v>
      </c>
      <c r="AB14" s="1147">
        <v>19238.001204876135</v>
      </c>
      <c r="AC14" s="1147">
        <v>19953.241584519292</v>
      </c>
      <c r="AD14" s="1147">
        <v>20696.603663745256</v>
      </c>
      <c r="AF14" s="1179" t="s">
        <v>2696</v>
      </c>
      <c r="AG14" s="1183">
        <v>0</v>
      </c>
      <c r="AH14" s="1147">
        <v>0</v>
      </c>
      <c r="AI14" s="1147">
        <v>0</v>
      </c>
      <c r="AJ14" s="1147">
        <v>0</v>
      </c>
    </row>
    <row r="15" spans="1:42" ht="14.25" customHeight="1">
      <c r="B15" s="5742" t="s">
        <v>2697</v>
      </c>
      <c r="C15" s="5743"/>
      <c r="D15" s="1192" t="s">
        <v>2698</v>
      </c>
      <c r="E15" s="1193">
        <v>1195.564751082251</v>
      </c>
      <c r="F15" s="1193">
        <v>1150</v>
      </c>
      <c r="G15" s="1193">
        <v>1150</v>
      </c>
      <c r="H15" s="1194">
        <v>1150</v>
      </c>
      <c r="I15" s="1195"/>
      <c r="J15" s="1196"/>
      <c r="K15" s="1197"/>
      <c r="L15" s="1197"/>
      <c r="M15" s="1198"/>
      <c r="N15" s="1199"/>
      <c r="P15" s="1124">
        <v>1170</v>
      </c>
      <c r="T15" s="1155" t="s">
        <v>2699</v>
      </c>
      <c r="U15" s="1156">
        <v>-214.51796000000002</v>
      </c>
      <c r="V15" s="1156">
        <v>-209.535</v>
      </c>
      <c r="W15" s="1157">
        <v>-209.535</v>
      </c>
      <c r="X15" s="1156">
        <v>-209.535</v>
      </c>
      <c r="Z15" s="1179" t="s">
        <v>2700</v>
      </c>
      <c r="AA15" s="1183">
        <v>515728.83875889797</v>
      </c>
      <c r="AB15" s="1147">
        <v>570957.82004078222</v>
      </c>
      <c r="AC15" s="1147">
        <v>598311.08151787345</v>
      </c>
      <c r="AD15" s="1147">
        <v>598311.08151787345</v>
      </c>
      <c r="AF15" s="1179" t="s">
        <v>2700</v>
      </c>
      <c r="AG15" s="1183">
        <v>0</v>
      </c>
      <c r="AH15" s="1147">
        <v>0</v>
      </c>
      <c r="AI15" s="1147">
        <v>0</v>
      </c>
      <c r="AJ15" s="1147">
        <v>0</v>
      </c>
    </row>
    <row r="16" spans="1:42" ht="14.25" customHeight="1" thickBot="1">
      <c r="B16" s="5744" t="s">
        <v>2701</v>
      </c>
      <c r="C16" s="5745"/>
      <c r="D16" s="1200" t="s">
        <v>2702</v>
      </c>
      <c r="E16" s="1201">
        <v>2.3300000000000001E-2</v>
      </c>
      <c r="F16" s="1201">
        <v>1.9E-2</v>
      </c>
      <c r="G16" s="1201">
        <f>F16+0%</f>
        <v>1.9E-2</v>
      </c>
      <c r="H16" s="1202">
        <f>G16+0%</f>
        <v>1.9E-2</v>
      </c>
      <c r="I16" s="1203"/>
      <c r="J16" s="1204"/>
      <c r="K16" s="1205"/>
      <c r="L16" s="1205"/>
      <c r="M16" s="1206"/>
      <c r="N16" s="1207"/>
      <c r="T16" s="1155"/>
      <c r="U16" s="1156"/>
      <c r="V16" s="1156"/>
      <c r="W16" s="1157"/>
      <c r="X16" s="1156"/>
      <c r="Z16" s="1179" t="s">
        <v>2703</v>
      </c>
      <c r="AA16" s="1183">
        <v>45152.559926290422</v>
      </c>
      <c r="AB16" s="1147">
        <v>43924.906868451704</v>
      </c>
      <c r="AC16" s="1147">
        <v>46500.584074505241</v>
      </c>
      <c r="AD16" s="1147">
        <v>47151.211596740395</v>
      </c>
      <c r="AF16" s="1179" t="s">
        <v>2703</v>
      </c>
      <c r="AG16" s="1183">
        <v>350</v>
      </c>
      <c r="AH16" s="1147">
        <v>350</v>
      </c>
      <c r="AI16" s="1147">
        <v>350</v>
      </c>
      <c r="AJ16" s="1147">
        <v>350</v>
      </c>
    </row>
    <row r="17" spans="2:36" ht="14.25" customHeight="1">
      <c r="T17" s="1208" t="s">
        <v>2704</v>
      </c>
      <c r="U17" s="1209">
        <v>173386.47744360613</v>
      </c>
      <c r="V17" s="1209">
        <v>169311.72424619994</v>
      </c>
      <c r="W17" s="1210">
        <v>172844.87123652839</v>
      </c>
      <c r="X17" s="1209">
        <v>176416.21484770314</v>
      </c>
      <c r="Z17" s="1179" t="s">
        <v>2705</v>
      </c>
      <c r="AA17" s="1183">
        <v>638747.54047520098</v>
      </c>
      <c r="AB17" s="1147">
        <v>710703.83899999992</v>
      </c>
      <c r="AC17" s="1147">
        <v>819249.67699999991</v>
      </c>
      <c r="AD17" s="1147">
        <v>842333.68799999997</v>
      </c>
      <c r="AF17" s="1179" t="s">
        <v>2705</v>
      </c>
      <c r="AG17" s="1183">
        <v>11532.611694877165</v>
      </c>
      <c r="AH17" s="1147">
        <v>9255.7919999999995</v>
      </c>
      <c r="AI17" s="1147">
        <v>7604.1679999999997</v>
      </c>
      <c r="AJ17" s="1147">
        <v>3499.6679999999997</v>
      </c>
    </row>
    <row r="18" spans="2:36" ht="21" customHeight="1" thickBot="1">
      <c r="B18" s="1134" t="s">
        <v>2706</v>
      </c>
      <c r="C18" s="1063"/>
      <c r="D18" s="1063"/>
      <c r="E18" s="1063"/>
      <c r="F18" s="1063"/>
      <c r="G18" s="1063"/>
      <c r="H18" s="1063"/>
      <c r="I18" s="1063"/>
      <c r="J18" s="1063"/>
      <c r="K18" s="1063"/>
      <c r="L18" s="1063"/>
      <c r="M18" s="1063"/>
      <c r="N18" s="1063"/>
      <c r="O18" s="1063"/>
      <c r="P18" s="1106"/>
      <c r="Q18" s="1106"/>
      <c r="R18" s="1211" t="s">
        <v>2707</v>
      </c>
      <c r="T18" s="1208" t="s">
        <v>2708</v>
      </c>
      <c r="U18" s="1209">
        <v>170884.83663047911</v>
      </c>
      <c r="V18" s="1209">
        <v>166569.63868245861</v>
      </c>
      <c r="W18" s="1210">
        <v>169927.13917837237</v>
      </c>
      <c r="X18" s="1209">
        <v>173363.55875138263</v>
      </c>
      <c r="Z18" s="1179" t="s">
        <v>2709</v>
      </c>
      <c r="AA18" s="1183">
        <v>29381.389616061191</v>
      </c>
      <c r="AB18" s="1147">
        <v>14004.831999999997</v>
      </c>
      <c r="AC18" s="1147">
        <v>14004.832</v>
      </c>
      <c r="AD18" s="1147">
        <v>14004.832</v>
      </c>
      <c r="AF18" s="1179" t="s">
        <v>2709</v>
      </c>
      <c r="AG18" s="1183">
        <v>4314.3948768800883</v>
      </c>
      <c r="AH18" s="1147">
        <v>3742.0000000000005</v>
      </c>
      <c r="AI18" s="1147">
        <v>3742</v>
      </c>
      <c r="AJ18" s="1147">
        <v>3742</v>
      </c>
    </row>
    <row r="19" spans="2:36" s="1063" customFormat="1" ht="14.25" customHeight="1">
      <c r="B19" s="5746" t="s">
        <v>2069</v>
      </c>
      <c r="C19" s="5747"/>
      <c r="D19" s="1212" t="s">
        <v>2710</v>
      </c>
      <c r="E19" s="1213" t="s">
        <v>2711</v>
      </c>
      <c r="F19" s="1213" t="s">
        <v>2712</v>
      </c>
      <c r="G19" s="1213" t="s">
        <v>2713</v>
      </c>
      <c r="H19" s="1213" t="s">
        <v>2714</v>
      </c>
      <c r="I19" s="1213" t="s">
        <v>2715</v>
      </c>
      <c r="J19" s="1213" t="s">
        <v>2716</v>
      </c>
      <c r="K19" s="1213" t="s">
        <v>2717</v>
      </c>
      <c r="L19" s="1213" t="s">
        <v>2718</v>
      </c>
      <c r="M19" s="1213" t="s">
        <v>2719</v>
      </c>
      <c r="N19" s="1213" t="s">
        <v>2720</v>
      </c>
      <c r="O19" s="1214" t="s">
        <v>2721</v>
      </c>
      <c r="P19" s="1215" t="s">
        <v>2722</v>
      </c>
      <c r="Q19" s="1215" t="s">
        <v>2662</v>
      </c>
      <c r="R19" s="1215" t="s">
        <v>2723</v>
      </c>
      <c r="T19" s="1208" t="s">
        <v>2724</v>
      </c>
      <c r="U19" s="1209">
        <v>2668.3578231270158</v>
      </c>
      <c r="V19" s="1209">
        <v>2910.0855637413479</v>
      </c>
      <c r="W19" s="1210">
        <v>3085.7320581560293</v>
      </c>
      <c r="X19" s="1209">
        <v>3220.6560963204997</v>
      </c>
      <c r="Z19" s="1179" t="s">
        <v>2725</v>
      </c>
      <c r="AA19" s="1183">
        <v>253085.29169310018</v>
      </c>
      <c r="AB19" s="1147">
        <v>200200</v>
      </c>
      <c r="AC19" s="1147">
        <v>209700</v>
      </c>
      <c r="AD19" s="1147">
        <v>219600</v>
      </c>
      <c r="AF19" s="1179" t="s">
        <v>2725</v>
      </c>
      <c r="AG19" s="1183">
        <v>1315.7826745934665</v>
      </c>
      <c r="AH19" s="1147">
        <v>2400</v>
      </c>
      <c r="AI19" s="1147">
        <v>2560</v>
      </c>
      <c r="AJ19" s="1147">
        <v>2720</v>
      </c>
    </row>
    <row r="20" spans="2:36" s="1060" customFormat="1" ht="14.25" customHeight="1">
      <c r="B20" s="5748" t="s">
        <v>2668</v>
      </c>
      <c r="C20" s="1216" t="s">
        <v>2726</v>
      </c>
      <c r="D20" s="1217">
        <v>151.29203422015678</v>
      </c>
      <c r="E20" s="1218">
        <v>173.37102584926964</v>
      </c>
      <c r="F20" s="1218">
        <v>156.56328810534515</v>
      </c>
      <c r="G20" s="1218">
        <v>178.88503437002169</v>
      </c>
      <c r="H20" s="1218">
        <v>159.60907397003166</v>
      </c>
      <c r="I20" s="1218">
        <v>187.88106386977154</v>
      </c>
      <c r="J20" s="1218">
        <v>160.38791520846769</v>
      </c>
      <c r="K20" s="1218">
        <v>151.95141560845769</v>
      </c>
      <c r="L20" s="1218">
        <v>187.01711488833971</v>
      </c>
      <c r="M20" s="1218">
        <v>157.78101544839373</v>
      </c>
      <c r="N20" s="1218">
        <v>175.35791520846772</v>
      </c>
      <c r="O20" s="1219">
        <v>154.1180454483937</v>
      </c>
      <c r="P20" s="1220">
        <f t="shared" ref="P20:P61" si="2">SUM(D20:O20)</f>
        <v>1994.2149421951167</v>
      </c>
      <c r="Q20" s="1220">
        <v>2039.2690475427025</v>
      </c>
      <c r="R20" s="1220">
        <v>2080.369454558464</v>
      </c>
      <c r="T20" s="1208" t="s">
        <v>2727</v>
      </c>
      <c r="U20" s="1209">
        <v>-166.71701000000002</v>
      </c>
      <c r="V20" s="1209">
        <v>-168</v>
      </c>
      <c r="W20" s="1210">
        <v>-168</v>
      </c>
      <c r="X20" s="1209">
        <v>-168</v>
      </c>
      <c r="Z20" s="1179" t="s">
        <v>2728</v>
      </c>
      <c r="AA20" s="1183">
        <v>42095.197868796997</v>
      </c>
      <c r="AB20" s="1147">
        <v>43138.957999999991</v>
      </c>
      <c r="AC20" s="1147">
        <v>43138.957999999999</v>
      </c>
      <c r="AD20" s="1147">
        <v>43138.957999999999</v>
      </c>
      <c r="AF20" s="1179" t="s">
        <v>2728</v>
      </c>
      <c r="AG20" s="1183">
        <v>0</v>
      </c>
      <c r="AH20" s="1147">
        <v>0</v>
      </c>
      <c r="AI20" s="1147">
        <v>0</v>
      </c>
      <c r="AJ20" s="1147">
        <v>0</v>
      </c>
    </row>
    <row r="21" spans="2:36" s="1060" customFormat="1" ht="14.25" customHeight="1">
      <c r="B21" s="5749"/>
      <c r="C21" s="1221" t="s">
        <v>1877</v>
      </c>
      <c r="D21" s="1222">
        <f>SUM(D22:D27)</f>
        <v>148.52000000000001</v>
      </c>
      <c r="E21" s="1223">
        <f t="shared" ref="E21:O21" si="3">SUM(E22:E27)</f>
        <v>142.00800000000001</v>
      </c>
      <c r="F21" s="1223">
        <f t="shared" si="3"/>
        <v>158.77600000000001</v>
      </c>
      <c r="G21" s="1223">
        <f t="shared" si="3"/>
        <v>166.32</v>
      </c>
      <c r="H21" s="1223">
        <f t="shared" si="3"/>
        <v>156.32000000000002</v>
      </c>
      <c r="I21" s="1223">
        <f t="shared" si="3"/>
        <v>168.32</v>
      </c>
      <c r="J21" s="1223">
        <f t="shared" si="3"/>
        <v>166.512</v>
      </c>
      <c r="K21" s="1223">
        <f t="shared" si="3"/>
        <v>176.512</v>
      </c>
      <c r="L21" s="1223">
        <f t="shared" si="3"/>
        <v>161.71199999999999</v>
      </c>
      <c r="M21" s="1223">
        <f t="shared" si="3"/>
        <v>177.512</v>
      </c>
      <c r="N21" s="1223">
        <f t="shared" si="3"/>
        <v>166.512</v>
      </c>
      <c r="O21" s="1224">
        <f t="shared" si="3"/>
        <v>163.91200000000001</v>
      </c>
      <c r="P21" s="1225">
        <f t="shared" si="2"/>
        <v>1952.9359999999999</v>
      </c>
      <c r="Q21" s="1225">
        <f>SUM(Q22:Q27)</f>
        <v>2054.7328000000002</v>
      </c>
      <c r="R21" s="1225">
        <f>SUM(R22:R27)</f>
        <v>2114.3312400000004</v>
      </c>
      <c r="T21" s="1208"/>
      <c r="U21" s="1209"/>
      <c r="V21" s="1209"/>
      <c r="W21" s="1210"/>
      <c r="X21" s="1209"/>
      <c r="Z21" s="1179" t="s">
        <v>2729</v>
      </c>
      <c r="AA21" s="1183">
        <v>8368.1567703023393</v>
      </c>
      <c r="AB21" s="1147">
        <v>15606.071999999995</v>
      </c>
      <c r="AC21" s="1147">
        <v>15606.072</v>
      </c>
      <c r="AD21" s="1147">
        <v>15606.072</v>
      </c>
      <c r="AF21" s="1179" t="s">
        <v>2729</v>
      </c>
      <c r="AG21" s="1183">
        <v>106252.08290073478</v>
      </c>
      <c r="AH21" s="1147">
        <v>113747.25599999998</v>
      </c>
      <c r="AI21" s="1147">
        <v>113747.25599999999</v>
      </c>
      <c r="AJ21" s="1147">
        <v>113747.25599999999</v>
      </c>
    </row>
    <row r="22" spans="2:36" s="1063" customFormat="1" ht="14.25" customHeight="1">
      <c r="B22" s="5749"/>
      <c r="C22" s="1226" t="s">
        <v>2730</v>
      </c>
      <c r="D22" s="1227">
        <v>17.920000000000005</v>
      </c>
      <c r="E22" s="1228">
        <v>25.008000000000003</v>
      </c>
      <c r="F22" s="1228">
        <v>19.376000000000001</v>
      </c>
      <c r="G22" s="1228">
        <v>27.920000000000005</v>
      </c>
      <c r="H22" s="1228">
        <v>17.920000000000005</v>
      </c>
      <c r="I22" s="1228">
        <v>27.920000000000005</v>
      </c>
      <c r="J22" s="1228">
        <v>28.112000000000002</v>
      </c>
      <c r="K22" s="1228">
        <v>38.112000000000002</v>
      </c>
      <c r="L22" s="1228">
        <v>28.112000000000002</v>
      </c>
      <c r="M22" s="1228">
        <v>38.112000000000002</v>
      </c>
      <c r="N22" s="1228">
        <v>28.112000000000002</v>
      </c>
      <c r="O22" s="1229">
        <v>38.112000000000002</v>
      </c>
      <c r="P22" s="1220">
        <f t="shared" si="2"/>
        <v>334.73600000000005</v>
      </c>
      <c r="Q22" s="1220">
        <v>354.47280000000001</v>
      </c>
      <c r="R22" s="1220">
        <v>375.49644000000006</v>
      </c>
      <c r="T22" s="1208" t="s">
        <v>2731</v>
      </c>
      <c r="U22" s="1209">
        <v>111556.16799063298</v>
      </c>
      <c r="V22" s="1209">
        <v>122360.88267009247</v>
      </c>
      <c r="W22" s="1210">
        <v>128910.21283228723</v>
      </c>
      <c r="X22" s="1209">
        <v>132387.17480062015</v>
      </c>
      <c r="Z22" s="1179" t="s">
        <v>2732</v>
      </c>
      <c r="AA22" s="1183">
        <v>0</v>
      </c>
      <c r="AB22" s="1147">
        <v>0</v>
      </c>
      <c r="AC22" s="1147">
        <v>0</v>
      </c>
      <c r="AD22" s="1147">
        <v>0</v>
      </c>
      <c r="AF22" s="1179" t="s">
        <v>2732</v>
      </c>
      <c r="AG22" s="1183">
        <v>0</v>
      </c>
      <c r="AH22" s="1147">
        <v>0</v>
      </c>
      <c r="AI22" s="1147">
        <v>0</v>
      </c>
      <c r="AJ22" s="1147">
        <v>0</v>
      </c>
    </row>
    <row r="23" spans="2:36" s="1063" customFormat="1" ht="14.25" customHeight="1">
      <c r="B23" s="5749"/>
      <c r="C23" s="1226" t="s">
        <v>2733</v>
      </c>
      <c r="D23" s="1227">
        <v>5</v>
      </c>
      <c r="E23" s="1228">
        <v>5</v>
      </c>
      <c r="F23" s="1228">
        <v>7</v>
      </c>
      <c r="G23" s="1228">
        <v>6</v>
      </c>
      <c r="H23" s="1228">
        <v>6</v>
      </c>
      <c r="I23" s="1228">
        <v>8</v>
      </c>
      <c r="J23" s="1228">
        <v>6</v>
      </c>
      <c r="K23" s="1228">
        <v>6</v>
      </c>
      <c r="L23" s="1228">
        <v>8</v>
      </c>
      <c r="M23" s="1228">
        <v>7</v>
      </c>
      <c r="N23" s="1228">
        <v>6</v>
      </c>
      <c r="O23" s="1229">
        <v>7</v>
      </c>
      <c r="P23" s="1220">
        <f t="shared" si="2"/>
        <v>77</v>
      </c>
      <c r="Q23" s="1220">
        <v>82</v>
      </c>
      <c r="R23" s="1220">
        <v>87</v>
      </c>
      <c r="T23" s="1208" t="s">
        <v>2708</v>
      </c>
      <c r="U23" s="1209">
        <v>110151.81038179663</v>
      </c>
      <c r="V23" s="1209">
        <v>120816.82226710397</v>
      </c>
      <c r="W23" s="1210">
        <v>127294.34002325441</v>
      </c>
      <c r="X23" s="1209">
        <v>130722.12304542949</v>
      </c>
      <c r="Z23" s="1179" t="s">
        <v>2734</v>
      </c>
      <c r="AA23" s="1183">
        <v>18325.0022145806</v>
      </c>
      <c r="AB23" s="1147">
        <v>15825.164571428575</v>
      </c>
      <c r="AC23" s="1147">
        <v>15825.164571428573</v>
      </c>
      <c r="AD23" s="1147">
        <v>15825.164571428573</v>
      </c>
      <c r="AF23" s="1179" t="s">
        <v>2734</v>
      </c>
      <c r="AG23" s="1183">
        <v>84766.691870770926</v>
      </c>
      <c r="AH23" s="1147">
        <v>83657.142857142841</v>
      </c>
      <c r="AI23" s="1147">
        <v>83657.142857142855</v>
      </c>
      <c r="AJ23" s="1147">
        <v>83657.142857142855</v>
      </c>
    </row>
    <row r="24" spans="2:36" s="1063" customFormat="1" ht="14.25" customHeight="1">
      <c r="B24" s="5749"/>
      <c r="C24" s="1226" t="s">
        <v>2735</v>
      </c>
      <c r="D24" s="1227">
        <v>122.4</v>
      </c>
      <c r="E24" s="1228">
        <v>108.80000000000001</v>
      </c>
      <c r="F24" s="1228">
        <v>129.20000000000002</v>
      </c>
      <c r="G24" s="1228">
        <v>129.20000000000002</v>
      </c>
      <c r="H24" s="1228">
        <v>129.20000000000002</v>
      </c>
      <c r="I24" s="1228">
        <v>129.20000000000002</v>
      </c>
      <c r="J24" s="1228">
        <v>129.20000000000002</v>
      </c>
      <c r="K24" s="1228">
        <v>129.20000000000002</v>
      </c>
      <c r="L24" s="1228">
        <v>122.4</v>
      </c>
      <c r="M24" s="1228">
        <v>129.20000000000002</v>
      </c>
      <c r="N24" s="1228">
        <v>129.20000000000002</v>
      </c>
      <c r="O24" s="1229">
        <v>115.60000000000001</v>
      </c>
      <c r="P24" s="1220">
        <f t="shared" si="2"/>
        <v>1502.8000000000002</v>
      </c>
      <c r="Q24" s="1220">
        <v>1577.94</v>
      </c>
      <c r="R24" s="1220">
        <v>1609.4988000000001</v>
      </c>
      <c r="T24" s="1208" t="s">
        <v>2724</v>
      </c>
      <c r="U24" s="1209">
        <v>1404.3576088363468</v>
      </c>
      <c r="V24" s="1209">
        <v>1544.0604029884964</v>
      </c>
      <c r="W24" s="1210">
        <v>1615.8728090328273</v>
      </c>
      <c r="X24" s="1209">
        <v>1665.0517551906564</v>
      </c>
      <c r="Z24" s="1179" t="s">
        <v>2736</v>
      </c>
      <c r="AA24" s="1183">
        <v>31017.252500758514</v>
      </c>
      <c r="AB24" s="1147">
        <v>34518.000000000007</v>
      </c>
      <c r="AC24" s="1147">
        <v>36258</v>
      </c>
      <c r="AD24" s="1147">
        <v>34458</v>
      </c>
      <c r="AF24" s="1179" t="s">
        <v>2736</v>
      </c>
      <c r="AG24" s="1183">
        <v>13753.559839996089</v>
      </c>
      <c r="AH24" s="1147">
        <v>42200</v>
      </c>
      <c r="AI24" s="1147">
        <v>15700</v>
      </c>
      <c r="AJ24" s="1147">
        <v>14500</v>
      </c>
    </row>
    <row r="25" spans="2:36" s="1063" customFormat="1" ht="14.25" customHeight="1">
      <c r="B25" s="5749"/>
      <c r="C25" s="1230" t="s">
        <v>2737</v>
      </c>
      <c r="D25" s="1227">
        <v>0</v>
      </c>
      <c r="E25" s="1228">
        <v>0</v>
      </c>
      <c r="F25" s="1228">
        <v>0</v>
      </c>
      <c r="G25" s="1228">
        <v>0</v>
      </c>
      <c r="H25" s="1228">
        <v>0</v>
      </c>
      <c r="I25" s="1228">
        <v>0</v>
      </c>
      <c r="J25" s="1228">
        <v>0</v>
      </c>
      <c r="K25" s="1228">
        <v>0</v>
      </c>
      <c r="L25" s="1228">
        <v>0</v>
      </c>
      <c r="M25" s="1228">
        <v>0</v>
      </c>
      <c r="N25" s="1228">
        <v>0</v>
      </c>
      <c r="O25" s="1229">
        <v>0</v>
      </c>
      <c r="P25" s="1220">
        <f>SUM(D25:O25)</f>
        <v>0</v>
      </c>
      <c r="Q25" s="1220">
        <v>0</v>
      </c>
      <c r="R25" s="1220">
        <v>0</v>
      </c>
      <c r="T25" s="1208" t="s">
        <v>2727</v>
      </c>
      <c r="U25" s="1209">
        <v>0</v>
      </c>
      <c r="V25" s="1209">
        <v>0</v>
      </c>
      <c r="W25" s="1210"/>
      <c r="X25" s="1209"/>
      <c r="Z25" s="1179" t="s">
        <v>2738</v>
      </c>
      <c r="AA25" s="1183">
        <v>10613.596214174919</v>
      </c>
      <c r="AB25" s="1147">
        <v>13417.529411764701</v>
      </c>
      <c r="AC25" s="1147">
        <v>13323.529411764706</v>
      </c>
      <c r="AD25" s="1147">
        <v>13323.529411764706</v>
      </c>
      <c r="AF25" s="1179" t="s">
        <v>2738</v>
      </c>
      <c r="AG25" s="1183">
        <v>3579.3589663201956</v>
      </c>
      <c r="AH25" s="1147">
        <v>3756.4705882352941</v>
      </c>
      <c r="AI25" s="1147">
        <v>3756.4705882352937</v>
      </c>
      <c r="AJ25" s="1147">
        <v>3756.4705882352937</v>
      </c>
    </row>
    <row r="26" spans="2:36" s="1063" customFormat="1" ht="14.25" customHeight="1">
      <c r="B26" s="5749"/>
      <c r="C26" s="1230" t="s">
        <v>2739</v>
      </c>
      <c r="D26" s="1227">
        <v>0</v>
      </c>
      <c r="E26" s="1228">
        <v>0</v>
      </c>
      <c r="F26" s="1228">
        <v>0</v>
      </c>
      <c r="G26" s="1228">
        <v>0</v>
      </c>
      <c r="H26" s="1228">
        <v>0</v>
      </c>
      <c r="I26" s="1228">
        <v>0</v>
      </c>
      <c r="J26" s="1228">
        <v>0</v>
      </c>
      <c r="K26" s="1228">
        <v>0</v>
      </c>
      <c r="L26" s="1228">
        <v>0</v>
      </c>
      <c r="M26" s="1228">
        <v>0</v>
      </c>
      <c r="N26" s="1228">
        <v>0</v>
      </c>
      <c r="O26" s="1229">
        <v>0</v>
      </c>
      <c r="P26" s="1220">
        <f>SUM(D26:O26)</f>
        <v>0</v>
      </c>
      <c r="Q26" s="1220">
        <v>0</v>
      </c>
      <c r="R26" s="1220">
        <v>0</v>
      </c>
      <c r="T26" s="1208"/>
      <c r="U26" s="1209"/>
      <c r="V26" s="1209"/>
      <c r="W26" s="1210"/>
      <c r="X26" s="1209"/>
      <c r="Z26" s="1179" t="s">
        <v>2740</v>
      </c>
      <c r="AA26" s="1183">
        <v>1006020.9797607454</v>
      </c>
      <c r="AB26" s="1147">
        <v>1104825.220805143</v>
      </c>
      <c r="AC26" s="1147">
        <v>1137963.4640762853</v>
      </c>
      <c r="AD26" s="1147">
        <v>1177743.5805533193</v>
      </c>
      <c r="AF26" s="1179" t="s">
        <v>2740</v>
      </c>
      <c r="AG26" s="1183">
        <v>36294.214217507462</v>
      </c>
      <c r="AH26" s="1147">
        <v>22860.000000000004</v>
      </c>
      <c r="AI26" s="1147">
        <v>23730</v>
      </c>
      <c r="AJ26" s="1147">
        <v>24640</v>
      </c>
    </row>
    <row r="27" spans="2:36" s="1063" customFormat="1" ht="14.25" customHeight="1">
      <c r="B27" s="5749"/>
      <c r="C27" s="1226" t="s">
        <v>2741</v>
      </c>
      <c r="D27" s="1227">
        <v>3.2</v>
      </c>
      <c r="E27" s="1228">
        <v>3.2</v>
      </c>
      <c r="F27" s="1228">
        <v>3.2</v>
      </c>
      <c r="G27" s="1228">
        <v>3.2</v>
      </c>
      <c r="H27" s="1228">
        <v>3.2</v>
      </c>
      <c r="I27" s="1228">
        <v>3.2</v>
      </c>
      <c r="J27" s="1228">
        <v>3.2</v>
      </c>
      <c r="K27" s="1228">
        <v>3.2</v>
      </c>
      <c r="L27" s="1228">
        <v>3.2</v>
      </c>
      <c r="M27" s="1228">
        <v>3.2</v>
      </c>
      <c r="N27" s="1228">
        <v>3.2</v>
      </c>
      <c r="O27" s="1229">
        <v>3.2</v>
      </c>
      <c r="P27" s="1220">
        <f t="shared" si="2"/>
        <v>38.4</v>
      </c>
      <c r="Q27" s="1220">
        <v>40.320000000000007</v>
      </c>
      <c r="R27" s="1220">
        <v>42.336000000000013</v>
      </c>
      <c r="T27" s="1208" t="s">
        <v>2742</v>
      </c>
      <c r="U27" s="1209">
        <v>6190.037771001048</v>
      </c>
      <c r="V27" s="1209">
        <v>7455.2295883598999</v>
      </c>
      <c r="W27" s="1210">
        <v>7461.5966174654332</v>
      </c>
      <c r="X27" s="1209">
        <v>7474.0863909924374</v>
      </c>
      <c r="Z27" s="1179" t="s">
        <v>2743</v>
      </c>
      <c r="AA27" s="1183">
        <v>458579.98763686541</v>
      </c>
      <c r="AB27" s="1147">
        <v>458848.16857142869</v>
      </c>
      <c r="AC27" s="1147">
        <v>466682.59857142851</v>
      </c>
      <c r="AD27" s="1147">
        <v>467546.83207142859</v>
      </c>
      <c r="AF27" s="1179" t="s">
        <v>2743</v>
      </c>
      <c r="AG27" s="1183">
        <v>340414.91771147988</v>
      </c>
      <c r="AH27" s="1147">
        <v>105011.18914285718</v>
      </c>
      <c r="AI27" s="1147">
        <v>106600.32574285715</v>
      </c>
      <c r="AJ27" s="1147">
        <v>107743.91917285716</v>
      </c>
    </row>
    <row r="28" spans="2:36" s="1236" customFormat="1" ht="14.25" customHeight="1">
      <c r="B28" s="5729"/>
      <c r="C28" s="1231" t="s">
        <v>2744</v>
      </c>
      <c r="D28" s="1232">
        <f>SUM(D20:D21)</f>
        <v>299.81203422015676</v>
      </c>
      <c r="E28" s="1233">
        <f t="shared" ref="E28:O28" si="4">SUM(E20:E21)</f>
        <v>315.37902584926962</v>
      </c>
      <c r="F28" s="1233">
        <f t="shared" si="4"/>
        <v>315.33928810534519</v>
      </c>
      <c r="G28" s="1233">
        <f t="shared" si="4"/>
        <v>345.20503437002168</v>
      </c>
      <c r="H28" s="1233">
        <f t="shared" si="4"/>
        <v>315.92907397003171</v>
      </c>
      <c r="I28" s="1233">
        <f t="shared" si="4"/>
        <v>356.20106386977153</v>
      </c>
      <c r="J28" s="1233">
        <f t="shared" si="4"/>
        <v>326.89991520846769</v>
      </c>
      <c r="K28" s="1233">
        <f t="shared" si="4"/>
        <v>328.46341560845769</v>
      </c>
      <c r="L28" s="1233">
        <f t="shared" si="4"/>
        <v>348.72911488833972</v>
      </c>
      <c r="M28" s="1233">
        <f t="shared" si="4"/>
        <v>335.2930154483937</v>
      </c>
      <c r="N28" s="1233">
        <f t="shared" si="4"/>
        <v>341.86991520846772</v>
      </c>
      <c r="O28" s="1234">
        <f t="shared" si="4"/>
        <v>318.03004544839371</v>
      </c>
      <c r="P28" s="1235">
        <f t="shared" si="2"/>
        <v>3947.1509421951164</v>
      </c>
      <c r="Q28" s="1235">
        <f>SUM(Q20:Q21)</f>
        <v>4094.0018475427028</v>
      </c>
      <c r="R28" s="1235">
        <f>SUM(R20:R21)</f>
        <v>4194.7006945584644</v>
      </c>
      <c r="T28" s="1208" t="s">
        <v>2708</v>
      </c>
      <c r="U28" s="1209">
        <v>5814.3665983219353</v>
      </c>
      <c r="V28" s="1209">
        <v>7081.1323484495324</v>
      </c>
      <c r="W28" s="1210">
        <v>7081.1323484495306</v>
      </c>
      <c r="X28" s="1209">
        <v>7081.1323484495306</v>
      </c>
      <c r="Z28" s="1179" t="s">
        <v>2745</v>
      </c>
      <c r="AA28" s="1183">
        <v>174862.85184420788</v>
      </c>
      <c r="AB28" s="1147">
        <v>177958</v>
      </c>
      <c r="AC28" s="1147">
        <v>181311.76</v>
      </c>
      <c r="AD28" s="1147">
        <v>202732.59520000001</v>
      </c>
      <c r="AF28" s="1179" t="s">
        <v>2745</v>
      </c>
      <c r="AG28" s="1183">
        <v>0</v>
      </c>
      <c r="AH28" s="1147">
        <v>0</v>
      </c>
      <c r="AI28" s="1147">
        <v>0</v>
      </c>
      <c r="AJ28" s="1147">
        <v>0</v>
      </c>
    </row>
    <row r="29" spans="2:36" s="1060" customFormat="1" ht="14.25" customHeight="1">
      <c r="B29" s="5748" t="s">
        <v>2673</v>
      </c>
      <c r="C29" s="1216" t="s">
        <v>2746</v>
      </c>
      <c r="D29" s="1217">
        <v>1019.3566275173503</v>
      </c>
      <c r="E29" s="1218">
        <v>2218.15662751735</v>
      </c>
      <c r="F29" s="1218">
        <v>1543.6318275173501</v>
      </c>
      <c r="G29" s="1218">
        <v>2168.1416230159994</v>
      </c>
      <c r="H29" s="1218">
        <v>1019.3566275173503</v>
      </c>
      <c r="I29" s="1218">
        <v>1493.6168230159997</v>
      </c>
      <c r="J29" s="1218">
        <v>1011.9928911437129</v>
      </c>
      <c r="K29" s="1218">
        <v>903.67678664236246</v>
      </c>
      <c r="L29" s="1218">
        <v>1478.9670911537139</v>
      </c>
      <c r="M29" s="1218">
        <v>903.67678664236246</v>
      </c>
      <c r="N29" s="1218">
        <v>953.69179114371275</v>
      </c>
      <c r="O29" s="1219">
        <v>1478.9670911537137</v>
      </c>
      <c r="P29" s="1220">
        <f t="shared" si="2"/>
        <v>16193.232593980978</v>
      </c>
      <c r="Q29" s="1220">
        <v>16224.660355849383</v>
      </c>
      <c r="R29" s="1220">
        <v>16154.489995746069</v>
      </c>
      <c r="T29" s="1208" t="s">
        <v>2724</v>
      </c>
      <c r="U29" s="1209">
        <v>376.60955767911287</v>
      </c>
      <c r="V29" s="1209">
        <v>374.09723991036759</v>
      </c>
      <c r="W29" s="1210">
        <v>380.46426901590303</v>
      </c>
      <c r="X29" s="1209">
        <v>392.95404254290725</v>
      </c>
      <c r="Z29" s="1179" t="s">
        <v>2747</v>
      </c>
      <c r="AA29" s="1183">
        <v>179196.82007990062</v>
      </c>
      <c r="AB29" s="1147">
        <v>190109.57035234908</v>
      </c>
      <c r="AC29" s="1147">
        <v>201687.24318680717</v>
      </c>
      <c r="AD29" s="1147">
        <v>213969.99629688374</v>
      </c>
      <c r="AF29" s="1179" t="s">
        <v>2747</v>
      </c>
      <c r="AG29" s="1183">
        <v>0</v>
      </c>
      <c r="AH29" s="1147">
        <v>0</v>
      </c>
      <c r="AI29" s="1147">
        <v>0</v>
      </c>
      <c r="AJ29" s="1147">
        <v>0</v>
      </c>
    </row>
    <row r="30" spans="2:36" s="1060" customFormat="1" ht="14.25" customHeight="1">
      <c r="B30" s="5749"/>
      <c r="C30" s="1221" t="s">
        <v>1877</v>
      </c>
      <c r="D30" s="1222">
        <f>SUM(D31:D36)</f>
        <v>833.7</v>
      </c>
      <c r="E30" s="1223">
        <f t="shared" ref="E30:O30" si="5">SUM(E31:E36)</f>
        <v>790.5</v>
      </c>
      <c r="F30" s="1223">
        <f t="shared" si="5"/>
        <v>833.7</v>
      </c>
      <c r="G30" s="1223">
        <f t="shared" si="5"/>
        <v>926.90000000000009</v>
      </c>
      <c r="H30" s="1223">
        <f t="shared" si="5"/>
        <v>833.7</v>
      </c>
      <c r="I30" s="1223">
        <f t="shared" si="5"/>
        <v>883.7</v>
      </c>
      <c r="J30" s="1223">
        <f t="shared" si="5"/>
        <v>841</v>
      </c>
      <c r="K30" s="1223">
        <f t="shared" si="5"/>
        <v>847.8</v>
      </c>
      <c r="L30" s="1223">
        <f t="shared" si="5"/>
        <v>883.2</v>
      </c>
      <c r="M30" s="1223">
        <f t="shared" si="5"/>
        <v>934.2</v>
      </c>
      <c r="N30" s="1223">
        <f t="shared" si="5"/>
        <v>841</v>
      </c>
      <c r="O30" s="1224">
        <f t="shared" si="5"/>
        <v>840</v>
      </c>
      <c r="P30" s="1225">
        <f t="shared" si="2"/>
        <v>10289.4</v>
      </c>
      <c r="Q30" s="1225">
        <f>SUM(Q31:Q36)</f>
        <v>10864.47</v>
      </c>
      <c r="R30" s="1225">
        <f>SUM(R31:R36)</f>
        <v>11504.693499999999</v>
      </c>
      <c r="T30" s="1208" t="s">
        <v>2727</v>
      </c>
      <c r="U30" s="1209">
        <v>-0.93838500000000002</v>
      </c>
      <c r="V30" s="1209">
        <v>0</v>
      </c>
      <c r="W30" s="1210">
        <v>0</v>
      </c>
      <c r="X30" s="1209">
        <v>0</v>
      </c>
      <c r="Z30" s="1179" t="s">
        <v>2748</v>
      </c>
      <c r="AA30" s="1183">
        <v>0</v>
      </c>
      <c r="AB30" s="1147">
        <v>0</v>
      </c>
      <c r="AC30" s="1147">
        <v>0</v>
      </c>
      <c r="AD30" s="1147">
        <v>0</v>
      </c>
      <c r="AF30" s="1179" t="s">
        <v>2748</v>
      </c>
      <c r="AG30" s="1183">
        <v>27708.313121646486</v>
      </c>
      <c r="AH30" s="1147">
        <v>29104.668666666672</v>
      </c>
      <c r="AI30" s="1147">
        <v>38538.002</v>
      </c>
      <c r="AJ30" s="1147">
        <v>52913.962</v>
      </c>
    </row>
    <row r="31" spans="2:36" s="1063" customFormat="1" ht="14.25" customHeight="1">
      <c r="B31" s="5749"/>
      <c r="C31" s="1226" t="s">
        <v>2730</v>
      </c>
      <c r="D31" s="1227">
        <v>2</v>
      </c>
      <c r="E31" s="1228">
        <v>2</v>
      </c>
      <c r="F31" s="1228">
        <v>2</v>
      </c>
      <c r="G31" s="1228">
        <v>2</v>
      </c>
      <c r="H31" s="1228">
        <v>2</v>
      </c>
      <c r="I31" s="1228">
        <v>2</v>
      </c>
      <c r="J31" s="1228">
        <v>3</v>
      </c>
      <c r="K31" s="1228">
        <v>3</v>
      </c>
      <c r="L31" s="1228">
        <v>2</v>
      </c>
      <c r="M31" s="1228">
        <v>3</v>
      </c>
      <c r="N31" s="1228">
        <v>3</v>
      </c>
      <c r="O31" s="1229">
        <v>2</v>
      </c>
      <c r="P31" s="1220">
        <f t="shared" si="2"/>
        <v>28</v>
      </c>
      <c r="Q31" s="1220">
        <v>30</v>
      </c>
      <c r="R31" s="1220">
        <v>31</v>
      </c>
      <c r="T31" s="1208"/>
      <c r="U31" s="1209"/>
      <c r="V31" s="1209"/>
      <c r="W31" s="1210"/>
      <c r="X31" s="1209"/>
      <c r="Z31" s="1179" t="s">
        <v>2749</v>
      </c>
      <c r="AA31" s="1183">
        <v>10423.745897425179</v>
      </c>
      <c r="AB31" s="1147">
        <v>9336</v>
      </c>
      <c r="AC31" s="1147">
        <v>9336</v>
      </c>
      <c r="AD31" s="1147">
        <v>9336</v>
      </c>
      <c r="AF31" s="1179" t="s">
        <v>2749</v>
      </c>
      <c r="AG31" s="1183">
        <v>9632.1254151294252</v>
      </c>
      <c r="AH31" s="1147">
        <v>12768</v>
      </c>
      <c r="AI31" s="1147">
        <v>12768</v>
      </c>
      <c r="AJ31" s="1147">
        <v>12768</v>
      </c>
    </row>
    <row r="32" spans="2:36" s="1063" customFormat="1" ht="14.25" customHeight="1">
      <c r="B32" s="5749"/>
      <c r="C32" s="1226" t="s">
        <v>2733</v>
      </c>
      <c r="D32" s="1227">
        <v>300</v>
      </c>
      <c r="E32" s="1228">
        <v>300</v>
      </c>
      <c r="F32" s="1228">
        <v>300</v>
      </c>
      <c r="G32" s="1228">
        <v>350</v>
      </c>
      <c r="H32" s="1228">
        <v>300</v>
      </c>
      <c r="I32" s="1228">
        <v>350</v>
      </c>
      <c r="J32" s="1228">
        <v>300</v>
      </c>
      <c r="K32" s="1228">
        <v>350</v>
      </c>
      <c r="L32" s="1228">
        <v>300</v>
      </c>
      <c r="M32" s="1228">
        <v>350</v>
      </c>
      <c r="N32" s="1228">
        <v>300</v>
      </c>
      <c r="O32" s="1229">
        <v>300</v>
      </c>
      <c r="P32" s="1220">
        <f t="shared" si="2"/>
        <v>3800</v>
      </c>
      <c r="Q32" s="1220">
        <v>4050</v>
      </c>
      <c r="R32" s="1220">
        <v>4350</v>
      </c>
      <c r="T32" s="1208" t="s">
        <v>2750</v>
      </c>
      <c r="U32" s="1209">
        <v>6825.2710090972168</v>
      </c>
      <c r="V32" s="1209">
        <v>7151.5916633933157</v>
      </c>
      <c r="W32" s="1210">
        <v>7223.057196311358</v>
      </c>
      <c r="X32" s="1209">
        <v>7306.3440280107643</v>
      </c>
      <c r="Z32" s="1179" t="s">
        <v>2751</v>
      </c>
      <c r="AA32" s="1183">
        <v>0</v>
      </c>
      <c r="AB32" s="1147">
        <v>0</v>
      </c>
      <c r="AC32" s="1147">
        <v>0</v>
      </c>
      <c r="AD32" s="1147">
        <v>0</v>
      </c>
      <c r="AF32" s="1179" t="s">
        <v>2751</v>
      </c>
      <c r="AG32" s="1183">
        <v>0</v>
      </c>
      <c r="AH32" s="1147">
        <v>0</v>
      </c>
      <c r="AI32" s="1147">
        <v>0</v>
      </c>
      <c r="AJ32" s="1147">
        <v>0</v>
      </c>
    </row>
    <row r="33" spans="2:36" s="1063" customFormat="1" ht="14.25" customHeight="1">
      <c r="B33" s="5749"/>
      <c r="C33" s="1226" t="s">
        <v>2752</v>
      </c>
      <c r="D33" s="1227">
        <v>421.20000000000005</v>
      </c>
      <c r="E33" s="1228">
        <v>378</v>
      </c>
      <c r="F33" s="1228">
        <v>421.20000000000005</v>
      </c>
      <c r="G33" s="1228">
        <v>464.40000000000003</v>
      </c>
      <c r="H33" s="1228">
        <v>421.20000000000005</v>
      </c>
      <c r="I33" s="1228">
        <v>421.20000000000005</v>
      </c>
      <c r="J33" s="1228">
        <v>421.20000000000005</v>
      </c>
      <c r="K33" s="1228">
        <v>378</v>
      </c>
      <c r="L33" s="1228">
        <v>464.40000000000003</v>
      </c>
      <c r="M33" s="1228">
        <v>464.40000000000003</v>
      </c>
      <c r="N33" s="1228">
        <v>421.20000000000005</v>
      </c>
      <c r="O33" s="1229">
        <v>421.20000000000005</v>
      </c>
      <c r="P33" s="1220">
        <f t="shared" si="2"/>
        <v>5097.5999999999995</v>
      </c>
      <c r="Q33" s="1220">
        <v>5352.4800000000005</v>
      </c>
      <c r="R33" s="1220">
        <v>5620.1040000000003</v>
      </c>
      <c r="T33" s="1208" t="s">
        <v>2708</v>
      </c>
      <c r="U33" s="1209">
        <v>4703.2170968973605</v>
      </c>
      <c r="V33" s="1209">
        <v>4899.0689999999995</v>
      </c>
      <c r="W33" s="1210">
        <v>4899.0689999999995</v>
      </c>
      <c r="X33" s="1209">
        <v>4899.0689999999995</v>
      </c>
      <c r="Z33" s="1179" t="s">
        <v>2753</v>
      </c>
      <c r="AA33" s="1183">
        <v>0</v>
      </c>
      <c r="AB33" s="1147">
        <v>0</v>
      </c>
      <c r="AC33" s="1147">
        <v>0</v>
      </c>
      <c r="AD33" s="1147">
        <v>0</v>
      </c>
      <c r="AF33" s="1179" t="s">
        <v>2753</v>
      </c>
      <c r="AG33" s="1183">
        <v>11975.950625939884</v>
      </c>
      <c r="AH33" s="1147">
        <v>10300</v>
      </c>
      <c r="AI33" s="1147">
        <v>15300</v>
      </c>
      <c r="AJ33" s="1147">
        <v>10300</v>
      </c>
    </row>
    <row r="34" spans="2:36" s="1063" customFormat="1" ht="14.25" customHeight="1">
      <c r="B34" s="5749"/>
      <c r="C34" s="1226" t="s">
        <v>2754</v>
      </c>
      <c r="D34" s="1227">
        <v>16</v>
      </c>
      <c r="E34" s="1228">
        <v>16</v>
      </c>
      <c r="F34" s="1228">
        <v>16</v>
      </c>
      <c r="G34" s="1228">
        <v>16</v>
      </c>
      <c r="H34" s="1228">
        <v>16</v>
      </c>
      <c r="I34" s="1228">
        <v>16</v>
      </c>
      <c r="J34" s="1228">
        <v>16</v>
      </c>
      <c r="K34" s="1228">
        <v>16</v>
      </c>
      <c r="L34" s="1228">
        <v>16</v>
      </c>
      <c r="M34" s="1228">
        <v>16</v>
      </c>
      <c r="N34" s="1228">
        <v>16</v>
      </c>
      <c r="O34" s="1229">
        <v>16</v>
      </c>
      <c r="P34" s="1220">
        <f t="shared" si="2"/>
        <v>192</v>
      </c>
      <c r="Q34" s="1220">
        <v>201.60000000000002</v>
      </c>
      <c r="R34" s="1220">
        <v>211.68000000000004</v>
      </c>
      <c r="T34" s="1208" t="s">
        <v>2724</v>
      </c>
      <c r="U34" s="1209">
        <v>2168.9164771998567</v>
      </c>
      <c r="V34" s="1209">
        <v>2294.0576633933156</v>
      </c>
      <c r="W34" s="1210">
        <v>2365.5231963113588</v>
      </c>
      <c r="X34" s="1209">
        <v>2448.8100280107651</v>
      </c>
      <c r="Z34" s="1179" t="s">
        <v>2755</v>
      </c>
      <c r="AA34" s="1183">
        <v>198398.09432820394</v>
      </c>
      <c r="AB34" s="1147">
        <v>323591.90000000002</v>
      </c>
      <c r="AC34" s="1147">
        <v>335401.56109863013</v>
      </c>
      <c r="AD34" s="1147">
        <v>343576.50309753965</v>
      </c>
      <c r="AF34" s="1179" t="s">
        <v>2755</v>
      </c>
      <c r="AG34" s="1183">
        <v>0</v>
      </c>
      <c r="AH34" s="1147">
        <v>0</v>
      </c>
      <c r="AI34" s="1147">
        <v>0</v>
      </c>
      <c r="AJ34" s="1147">
        <v>0</v>
      </c>
    </row>
    <row r="35" spans="2:36" s="1063" customFormat="1" ht="14.25" customHeight="1">
      <c r="B35" s="5749"/>
      <c r="C35" s="1226" t="s">
        <v>2756</v>
      </c>
      <c r="D35" s="1227">
        <v>94.5</v>
      </c>
      <c r="E35" s="1228">
        <v>94.5</v>
      </c>
      <c r="F35" s="1228">
        <v>94.5</v>
      </c>
      <c r="G35" s="1228">
        <v>94.5</v>
      </c>
      <c r="H35" s="1228">
        <v>94.5</v>
      </c>
      <c r="I35" s="1228">
        <v>94.5</v>
      </c>
      <c r="J35" s="1228">
        <v>100.8</v>
      </c>
      <c r="K35" s="1228">
        <v>100.8</v>
      </c>
      <c r="L35" s="1228">
        <v>100.8</v>
      </c>
      <c r="M35" s="1228">
        <v>100.8</v>
      </c>
      <c r="N35" s="1228">
        <v>100.8</v>
      </c>
      <c r="O35" s="1229">
        <v>100.8</v>
      </c>
      <c r="P35" s="1220">
        <f t="shared" si="2"/>
        <v>1171.7999999999997</v>
      </c>
      <c r="Q35" s="1220">
        <v>1230.3900000000001</v>
      </c>
      <c r="R35" s="1220">
        <v>1291.9095</v>
      </c>
      <c r="T35" s="1208" t="s">
        <v>2727</v>
      </c>
      <c r="U35" s="1209">
        <v>-46.862565000000004</v>
      </c>
      <c r="V35" s="1209">
        <v>-41.535000000000004</v>
      </c>
      <c r="W35" s="1210">
        <v>-41.534999999999997</v>
      </c>
      <c r="X35" s="1209">
        <v>-41.534999999999997</v>
      </c>
      <c r="Z35" s="1179" t="s">
        <v>2757</v>
      </c>
      <c r="AA35" s="1183">
        <v>74341.320341770595</v>
      </c>
      <c r="AB35" s="1147">
        <v>102080.74285714283</v>
      </c>
      <c r="AC35" s="1147">
        <v>106617.74285714286</v>
      </c>
      <c r="AD35" s="1147">
        <v>111452.74285714286</v>
      </c>
      <c r="AF35" s="1179" t="s">
        <v>2757</v>
      </c>
      <c r="AG35" s="1183">
        <v>0</v>
      </c>
      <c r="AH35" s="1147">
        <v>0</v>
      </c>
      <c r="AI35" s="1147">
        <v>0</v>
      </c>
      <c r="AJ35" s="1147">
        <v>0</v>
      </c>
    </row>
    <row r="36" spans="2:36" s="1063" customFormat="1" ht="14.25" customHeight="1">
      <c r="B36" s="5749"/>
      <c r="C36" s="1226" t="s">
        <v>2758</v>
      </c>
      <c r="D36" s="1237">
        <v>0</v>
      </c>
      <c r="E36" s="1238">
        <v>0</v>
      </c>
      <c r="F36" s="1238">
        <v>0</v>
      </c>
      <c r="G36" s="1238">
        <v>0</v>
      </c>
      <c r="H36" s="1238">
        <v>0</v>
      </c>
      <c r="I36" s="1238">
        <v>0</v>
      </c>
      <c r="J36" s="1238">
        <v>0</v>
      </c>
      <c r="K36" s="1238">
        <v>0</v>
      </c>
      <c r="L36" s="1238">
        <v>0</v>
      </c>
      <c r="M36" s="1238">
        <v>0</v>
      </c>
      <c r="N36" s="1238">
        <v>0</v>
      </c>
      <c r="O36" s="1239">
        <v>0</v>
      </c>
      <c r="P36" s="1240">
        <f t="shared" si="2"/>
        <v>0</v>
      </c>
      <c r="Q36" s="1240">
        <v>0</v>
      </c>
      <c r="R36" s="1240">
        <v>0</v>
      </c>
      <c r="T36" s="1208"/>
      <c r="U36" s="1209"/>
      <c r="V36" s="1209"/>
      <c r="W36" s="1210"/>
      <c r="X36" s="1209"/>
      <c r="Z36" s="1179" t="s">
        <v>1382</v>
      </c>
      <c r="AA36" s="1183">
        <v>29515.600666560123</v>
      </c>
      <c r="AB36" s="1147">
        <v>20979.244000000002</v>
      </c>
      <c r="AC36" s="1147">
        <v>20979.244000000002</v>
      </c>
      <c r="AD36" s="1147">
        <v>20979.244000000002</v>
      </c>
      <c r="AF36" s="1179" t="s">
        <v>1382</v>
      </c>
      <c r="AG36" s="1183">
        <v>53557.632260959428</v>
      </c>
      <c r="AH36" s="1147">
        <v>59726.642999999989</v>
      </c>
      <c r="AI36" s="1147">
        <v>59242.248</v>
      </c>
      <c r="AJ36" s="1147">
        <v>59017.595999999998</v>
      </c>
    </row>
    <row r="37" spans="2:36" s="1236" customFormat="1" ht="14.25" customHeight="1">
      <c r="B37" s="5729"/>
      <c r="C37" s="1231" t="s">
        <v>2744</v>
      </c>
      <c r="D37" s="1232">
        <f>SUM(D29:D30)</f>
        <v>1853.0566275173503</v>
      </c>
      <c r="E37" s="1233">
        <f t="shared" ref="E37:O37" si="6">SUM(E29:E30)</f>
        <v>3008.65662751735</v>
      </c>
      <c r="F37" s="1233">
        <f t="shared" si="6"/>
        <v>2377.3318275173501</v>
      </c>
      <c r="G37" s="1233">
        <f t="shared" si="6"/>
        <v>3095.0416230159994</v>
      </c>
      <c r="H37" s="1233">
        <f t="shared" si="6"/>
        <v>1853.0566275173503</v>
      </c>
      <c r="I37" s="1233">
        <f t="shared" si="6"/>
        <v>2377.3168230159999</v>
      </c>
      <c r="J37" s="1233">
        <f t="shared" si="6"/>
        <v>1852.9928911437128</v>
      </c>
      <c r="K37" s="1233">
        <f t="shared" si="6"/>
        <v>1751.4767866423624</v>
      </c>
      <c r="L37" s="1233">
        <f t="shared" si="6"/>
        <v>2362.167091153714</v>
      </c>
      <c r="M37" s="1233">
        <f t="shared" si="6"/>
        <v>1837.8767866423625</v>
      </c>
      <c r="N37" s="1233">
        <f t="shared" si="6"/>
        <v>1794.6917911437126</v>
      </c>
      <c r="O37" s="1234">
        <f t="shared" si="6"/>
        <v>2318.9670911537137</v>
      </c>
      <c r="P37" s="1235">
        <f t="shared" si="2"/>
        <v>26482.632593980976</v>
      </c>
      <c r="Q37" s="1235">
        <f>SUM(Q29:Q30)</f>
        <v>27089.130355849382</v>
      </c>
      <c r="R37" s="1235">
        <f>SUM(R29:R30)</f>
        <v>27659.183495746067</v>
      </c>
      <c r="T37" s="1208" t="s">
        <v>2759</v>
      </c>
      <c r="U37" s="1209"/>
      <c r="V37" s="1209">
        <v>0</v>
      </c>
      <c r="W37" s="1210">
        <v>0</v>
      </c>
      <c r="X37" s="1209">
        <v>0</v>
      </c>
      <c r="Z37" s="1179" t="s">
        <v>2760</v>
      </c>
      <c r="AA37" s="1183">
        <v>0</v>
      </c>
      <c r="AB37" s="1147">
        <v>0</v>
      </c>
      <c r="AC37" s="1147">
        <v>0</v>
      </c>
      <c r="AD37" s="1147">
        <v>0</v>
      </c>
      <c r="AF37" s="1179" t="s">
        <v>2760</v>
      </c>
      <c r="AG37" s="1183">
        <v>13106.498475783341</v>
      </c>
      <c r="AH37" s="1147">
        <v>11884.910399999999</v>
      </c>
      <c r="AI37" s="1147">
        <v>11884.910399999999</v>
      </c>
      <c r="AJ37" s="1147">
        <v>11884.910399999999</v>
      </c>
    </row>
    <row r="38" spans="2:36" s="1060" customFormat="1" ht="14.25" customHeight="1">
      <c r="B38" s="5727" t="s">
        <v>2678</v>
      </c>
      <c r="C38" s="1216" t="s">
        <v>2746</v>
      </c>
      <c r="D38" s="1241">
        <v>8.8868319899989974</v>
      </c>
      <c r="E38" s="1218">
        <v>14.021174979997999</v>
      </c>
      <c r="F38" s="1218">
        <v>11.444991989998998</v>
      </c>
      <c r="G38" s="1218">
        <v>15.021274989998997</v>
      </c>
      <c r="H38" s="1218">
        <v>8.8868319899989974</v>
      </c>
      <c r="I38" s="1218">
        <v>14.785162972797279</v>
      </c>
      <c r="J38" s="1218">
        <v>11.841981989998999</v>
      </c>
      <c r="K38" s="1218">
        <v>16.106324989998999</v>
      </c>
      <c r="L38" s="1218">
        <v>10.459941989998999</v>
      </c>
      <c r="M38" s="1218">
        <v>20.816524979997997</v>
      </c>
      <c r="N38" s="1218">
        <v>17.653776989999002</v>
      </c>
      <c r="O38" s="1219">
        <v>16.13961298279828</v>
      </c>
      <c r="P38" s="1220">
        <f t="shared" si="2"/>
        <v>166.06443283558355</v>
      </c>
      <c r="Q38" s="1220">
        <v>168.95192128485948</v>
      </c>
      <c r="R38" s="1220">
        <v>176.33774412810044</v>
      </c>
      <c r="T38" s="1208" t="s">
        <v>2708</v>
      </c>
      <c r="U38" s="1209"/>
      <c r="V38" s="1209">
        <v>0</v>
      </c>
      <c r="W38" s="1210">
        <v>0</v>
      </c>
      <c r="X38" s="1209">
        <v>0</v>
      </c>
      <c r="Z38" s="1175" t="s">
        <v>2761</v>
      </c>
      <c r="AA38" s="1176">
        <v>4351111.7916759141</v>
      </c>
      <c r="AB38" s="1176">
        <v>4742390.0503668627</v>
      </c>
      <c r="AC38" s="1176">
        <v>4955456.543497867</v>
      </c>
      <c r="AD38" s="1176">
        <v>5088546.0308409296</v>
      </c>
      <c r="AF38" s="1175" t="s">
        <v>2761</v>
      </c>
      <c r="AG38" s="1176">
        <v>1263968.1912246703</v>
      </c>
      <c r="AH38" s="1176">
        <v>1072216.1945587597</v>
      </c>
      <c r="AI38" s="1176">
        <v>1072821.9907163216</v>
      </c>
      <c r="AJ38" s="1176">
        <v>1088873.2947226041</v>
      </c>
    </row>
    <row r="39" spans="2:36" s="1060" customFormat="1" ht="14.25" customHeight="1">
      <c r="B39" s="5728"/>
      <c r="C39" s="1221" t="s">
        <v>1877</v>
      </c>
      <c r="D39" s="1242">
        <f>SUM(D40:D41)</f>
        <v>1</v>
      </c>
      <c r="E39" s="1223">
        <f t="shared" ref="E39:O39" si="7">SUM(E40:E41)</f>
        <v>2</v>
      </c>
      <c r="F39" s="1223">
        <f t="shared" si="7"/>
        <v>1</v>
      </c>
      <c r="G39" s="1223">
        <f t="shared" si="7"/>
        <v>1</v>
      </c>
      <c r="H39" s="1223">
        <f t="shared" si="7"/>
        <v>1</v>
      </c>
      <c r="I39" s="1223">
        <f t="shared" si="7"/>
        <v>2.72</v>
      </c>
      <c r="J39" s="1223">
        <f t="shared" si="7"/>
        <v>1</v>
      </c>
      <c r="K39" s="1223">
        <f t="shared" si="7"/>
        <v>1</v>
      </c>
      <c r="L39" s="1223">
        <f t="shared" si="7"/>
        <v>1</v>
      </c>
      <c r="M39" s="1223">
        <f t="shared" si="7"/>
        <v>2</v>
      </c>
      <c r="N39" s="1223">
        <f t="shared" si="7"/>
        <v>1</v>
      </c>
      <c r="O39" s="1224">
        <f t="shared" si="7"/>
        <v>1.7200000000000002</v>
      </c>
      <c r="P39" s="1225">
        <f t="shared" si="2"/>
        <v>16.440000000000001</v>
      </c>
      <c r="Q39" s="1225">
        <f>SUM(Q40:Q41)</f>
        <v>20.512</v>
      </c>
      <c r="R39" s="1225">
        <f>SUM(R40:R41)</f>
        <v>23.587600000000002</v>
      </c>
      <c r="T39" s="1208" t="s">
        <v>2724</v>
      </c>
      <c r="U39" s="1209"/>
      <c r="V39" s="1209">
        <v>0</v>
      </c>
      <c r="W39" s="1210">
        <v>0</v>
      </c>
      <c r="X39" s="1209">
        <v>0</v>
      </c>
      <c r="Z39" s="1243" t="s">
        <v>2762</v>
      </c>
      <c r="AA39" s="1244">
        <v>6618241.4670000002</v>
      </c>
      <c r="AB39" s="1244">
        <v>7122300.8700335296</v>
      </c>
      <c r="AC39" s="1244">
        <v>7447592.3325161189</v>
      </c>
      <c r="AD39" s="1244">
        <v>7727471.9220648296</v>
      </c>
      <c r="AF39" s="1243" t="s">
        <v>2762</v>
      </c>
      <c r="AG39" s="1244">
        <v>2921314.0990000004</v>
      </c>
      <c r="AH39" s="1244">
        <v>2738167.3814134263</v>
      </c>
      <c r="AI39" s="1244">
        <v>2882852.9497929551</v>
      </c>
      <c r="AJ39" s="1244">
        <v>2995496.7910588728</v>
      </c>
    </row>
    <row r="40" spans="2:36" s="1063" customFormat="1" ht="14.25" customHeight="1">
      <c r="B40" s="5728"/>
      <c r="C40" s="1226" t="s">
        <v>2730</v>
      </c>
      <c r="D40" s="1245">
        <v>1</v>
      </c>
      <c r="E40" s="1228">
        <v>2</v>
      </c>
      <c r="F40" s="1228">
        <v>1</v>
      </c>
      <c r="G40" s="1228">
        <v>1</v>
      </c>
      <c r="H40" s="1228">
        <v>1</v>
      </c>
      <c r="I40" s="1228">
        <v>2.72</v>
      </c>
      <c r="J40" s="1228">
        <v>1</v>
      </c>
      <c r="K40" s="1228">
        <v>1</v>
      </c>
      <c r="L40" s="1228">
        <v>1</v>
      </c>
      <c r="M40" s="1228">
        <v>2</v>
      </c>
      <c r="N40" s="1228">
        <v>1</v>
      </c>
      <c r="O40" s="1229">
        <v>1.7200000000000002</v>
      </c>
      <c r="P40" s="1220">
        <f t="shared" si="2"/>
        <v>16.440000000000001</v>
      </c>
      <c r="Q40" s="1220">
        <v>20.512</v>
      </c>
      <c r="R40" s="1220">
        <v>23.587600000000002</v>
      </c>
      <c r="T40" s="1208" t="s">
        <v>2727</v>
      </c>
      <c r="U40" s="1209"/>
      <c r="V40" s="1209">
        <v>0</v>
      </c>
      <c r="W40" s="1210"/>
      <c r="X40" s="1209"/>
    </row>
    <row r="41" spans="2:36" s="1063" customFormat="1" ht="14.25" customHeight="1">
      <c r="B41" s="5728"/>
      <c r="C41" s="1226" t="s">
        <v>2733</v>
      </c>
      <c r="D41" s="1245">
        <v>0</v>
      </c>
      <c r="E41" s="1228">
        <v>0</v>
      </c>
      <c r="F41" s="1228">
        <v>0</v>
      </c>
      <c r="G41" s="1228">
        <v>0</v>
      </c>
      <c r="H41" s="1228">
        <v>0</v>
      </c>
      <c r="I41" s="1228">
        <v>0</v>
      </c>
      <c r="J41" s="1228">
        <v>0</v>
      </c>
      <c r="K41" s="1228">
        <v>0</v>
      </c>
      <c r="L41" s="1228">
        <v>0</v>
      </c>
      <c r="M41" s="1228">
        <v>0</v>
      </c>
      <c r="N41" s="1228">
        <v>0</v>
      </c>
      <c r="O41" s="1229">
        <v>0</v>
      </c>
      <c r="P41" s="1220">
        <f t="shared" si="2"/>
        <v>0</v>
      </c>
      <c r="Q41" s="1220">
        <v>0</v>
      </c>
      <c r="R41" s="1220">
        <v>0</v>
      </c>
      <c r="T41" s="1155"/>
      <c r="U41" s="1156"/>
      <c r="V41" s="1156"/>
      <c r="W41" s="1157"/>
      <c r="X41" s="1156"/>
    </row>
    <row r="42" spans="2:36" s="1236" customFormat="1" ht="14.25" customHeight="1">
      <c r="B42" s="5729"/>
      <c r="C42" s="1231" t="s">
        <v>2744</v>
      </c>
      <c r="D42" s="1232">
        <f>SUM(D38:D39)</f>
        <v>9.8868319899989974</v>
      </c>
      <c r="E42" s="1233">
        <f t="shared" ref="E42:O42" si="8">SUM(E38:E39)</f>
        <v>16.021174979998001</v>
      </c>
      <c r="F42" s="1233">
        <f t="shared" si="8"/>
        <v>12.444991989998998</v>
      </c>
      <c r="G42" s="1233">
        <f t="shared" si="8"/>
        <v>16.021274989998997</v>
      </c>
      <c r="H42" s="1233">
        <f t="shared" si="8"/>
        <v>9.8868319899989974</v>
      </c>
      <c r="I42" s="1233">
        <f t="shared" si="8"/>
        <v>17.50516297279728</v>
      </c>
      <c r="J42" s="1233">
        <f t="shared" si="8"/>
        <v>12.841981989998999</v>
      </c>
      <c r="K42" s="1233">
        <f t="shared" si="8"/>
        <v>17.106324989998999</v>
      </c>
      <c r="L42" s="1233">
        <f t="shared" si="8"/>
        <v>11.459941989998999</v>
      </c>
      <c r="M42" s="1233">
        <f t="shared" si="8"/>
        <v>22.816524979997997</v>
      </c>
      <c r="N42" s="1233">
        <f t="shared" si="8"/>
        <v>18.653776989999002</v>
      </c>
      <c r="O42" s="1234">
        <f t="shared" si="8"/>
        <v>17.859612982798279</v>
      </c>
      <c r="P42" s="1235">
        <f t="shared" si="2"/>
        <v>182.50443283558351</v>
      </c>
      <c r="Q42" s="1235">
        <f>SUM(Q38:Q39)</f>
        <v>189.46392128485948</v>
      </c>
      <c r="R42" s="1235">
        <f>SUM(R38:R39)</f>
        <v>199.92534412810045</v>
      </c>
      <c r="T42" s="1144" t="s">
        <v>2763</v>
      </c>
      <c r="U42" s="1246">
        <v>9404.1949525223208</v>
      </c>
      <c r="V42" s="1246">
        <v>8188.1228679439373</v>
      </c>
      <c r="W42" s="1246">
        <v>8512.7975272709009</v>
      </c>
      <c r="X42" s="1247">
        <v>8806.70003416896</v>
      </c>
    </row>
    <row r="43" spans="2:36" s="1060" customFormat="1" ht="14.25" customHeight="1">
      <c r="B43" s="5727" t="s">
        <v>2681</v>
      </c>
      <c r="C43" s="1216" t="s">
        <v>2746</v>
      </c>
      <c r="D43" s="1217">
        <v>14.33132</v>
      </c>
      <c r="E43" s="1218">
        <v>21.453209999999999</v>
      </c>
      <c r="F43" s="1218">
        <v>34.381169999999997</v>
      </c>
      <c r="G43" s="1218">
        <v>36.027235000000005</v>
      </c>
      <c r="H43" s="1218">
        <v>14.481170000000001</v>
      </c>
      <c r="I43" s="1218">
        <v>31.293249998999897</v>
      </c>
      <c r="J43" s="1218">
        <v>14.481170000000001</v>
      </c>
      <c r="K43" s="1218">
        <v>28.023345000000003</v>
      </c>
      <c r="L43" s="1218">
        <v>36.227339999999998</v>
      </c>
      <c r="M43" s="1218">
        <v>39.115259999999999</v>
      </c>
      <c r="N43" s="1218">
        <v>18.465199999999999</v>
      </c>
      <c r="O43" s="1219">
        <v>25.491174998999902</v>
      </c>
      <c r="P43" s="1220">
        <f t="shared" si="2"/>
        <v>313.77084499799975</v>
      </c>
      <c r="Q43" s="1220">
        <v>324.21321309799987</v>
      </c>
      <c r="R43" s="1220">
        <v>339.35599762049986</v>
      </c>
      <c r="T43" s="1155" t="s">
        <v>2665</v>
      </c>
      <c r="U43" s="1156">
        <v>7540.9647896462993</v>
      </c>
      <c r="V43" s="1156">
        <v>6110.7100934910122</v>
      </c>
      <c r="W43" s="1157">
        <v>6239.6363610850822</v>
      </c>
      <c r="X43" s="1156">
        <v>6372.8025031309226</v>
      </c>
    </row>
    <row r="44" spans="2:36" s="1060" customFormat="1" ht="14.25" customHeight="1">
      <c r="B44" s="5728"/>
      <c r="C44" s="1221" t="s">
        <v>1877</v>
      </c>
      <c r="D44" s="1242">
        <f>SUM(D45:D47)</f>
        <v>0</v>
      </c>
      <c r="E44" s="1223">
        <f t="shared" ref="E44:O44" si="9">SUM(E45:E47)</f>
        <v>0</v>
      </c>
      <c r="F44" s="1223">
        <f t="shared" si="9"/>
        <v>0</v>
      </c>
      <c r="G44" s="1223">
        <f t="shared" si="9"/>
        <v>0</v>
      </c>
      <c r="H44" s="1223">
        <f t="shared" si="9"/>
        <v>0</v>
      </c>
      <c r="I44" s="1223">
        <f t="shared" si="9"/>
        <v>0.1</v>
      </c>
      <c r="J44" s="1223">
        <f t="shared" si="9"/>
        <v>0</v>
      </c>
      <c r="K44" s="1223">
        <f t="shared" si="9"/>
        <v>0</v>
      </c>
      <c r="L44" s="1223">
        <f t="shared" si="9"/>
        <v>0</v>
      </c>
      <c r="M44" s="1223">
        <f t="shared" si="9"/>
        <v>0</v>
      </c>
      <c r="N44" s="1223">
        <f t="shared" si="9"/>
        <v>0</v>
      </c>
      <c r="O44" s="1224">
        <f t="shared" si="9"/>
        <v>0.1</v>
      </c>
      <c r="P44" s="1225">
        <f t="shared" si="2"/>
        <v>0.2</v>
      </c>
      <c r="Q44" s="1225">
        <f>SUM(Q45:Q47)</f>
        <v>0.2</v>
      </c>
      <c r="R44" s="1225">
        <f>SUM(R45:R47)</f>
        <v>0.2</v>
      </c>
      <c r="T44" s="1155" t="s">
        <v>2671</v>
      </c>
      <c r="U44" s="1156">
        <v>2316.8652529644314</v>
      </c>
      <c r="V44" s="1156">
        <v>2466.0607057141169</v>
      </c>
      <c r="W44" s="1157">
        <v>2720.3839230026788</v>
      </c>
      <c r="X44" s="1156">
        <v>2944.8006656313082</v>
      </c>
    </row>
    <row r="45" spans="2:36" s="1063" customFormat="1" ht="14.25" customHeight="1">
      <c r="B45" s="5728"/>
      <c r="C45" s="1226" t="s">
        <v>2730</v>
      </c>
      <c r="D45" s="1245">
        <v>0</v>
      </c>
      <c r="E45" s="1228">
        <v>0</v>
      </c>
      <c r="F45" s="1228">
        <v>0</v>
      </c>
      <c r="G45" s="1228">
        <v>0</v>
      </c>
      <c r="H45" s="1228">
        <v>0</v>
      </c>
      <c r="I45" s="1228">
        <v>0.1</v>
      </c>
      <c r="J45" s="1228">
        <v>0</v>
      </c>
      <c r="K45" s="1228">
        <v>0</v>
      </c>
      <c r="L45" s="1228">
        <v>0</v>
      </c>
      <c r="M45" s="1228">
        <v>0</v>
      </c>
      <c r="N45" s="1228">
        <v>0</v>
      </c>
      <c r="O45" s="1229">
        <v>0.1</v>
      </c>
      <c r="P45" s="1220">
        <f t="shared" si="2"/>
        <v>0.2</v>
      </c>
      <c r="Q45" s="1220">
        <v>0.2</v>
      </c>
      <c r="R45" s="1220">
        <v>0.2</v>
      </c>
      <c r="T45" s="1155" t="s">
        <v>2676</v>
      </c>
      <c r="U45" s="1156">
        <v>188.0900550088063</v>
      </c>
      <c r="V45" s="1156">
        <v>234.5710688021245</v>
      </c>
      <c r="W45" s="1157">
        <v>228.20403969449762</v>
      </c>
      <c r="X45" s="1156">
        <v>215.71426616749341</v>
      </c>
    </row>
    <row r="46" spans="2:36" s="1063" customFormat="1" ht="14.25" customHeight="1">
      <c r="B46" s="5728"/>
      <c r="C46" s="1226" t="s">
        <v>2733</v>
      </c>
      <c r="D46" s="1245">
        <v>0</v>
      </c>
      <c r="E46" s="1228">
        <v>0</v>
      </c>
      <c r="F46" s="1228">
        <v>0</v>
      </c>
      <c r="G46" s="1228">
        <v>0</v>
      </c>
      <c r="H46" s="1228">
        <v>0</v>
      </c>
      <c r="I46" s="1228">
        <v>0</v>
      </c>
      <c r="J46" s="1228">
        <v>0</v>
      </c>
      <c r="K46" s="1228">
        <v>0</v>
      </c>
      <c r="L46" s="1228">
        <v>0</v>
      </c>
      <c r="M46" s="1228">
        <v>0</v>
      </c>
      <c r="N46" s="1228">
        <v>0</v>
      </c>
      <c r="O46" s="1229">
        <v>0</v>
      </c>
      <c r="P46" s="1220">
        <f t="shared" si="2"/>
        <v>0</v>
      </c>
      <c r="Q46" s="1220">
        <v>0</v>
      </c>
      <c r="R46" s="1220">
        <v>0</v>
      </c>
      <c r="T46" s="1155" t="s">
        <v>2679</v>
      </c>
      <c r="U46" s="1156">
        <v>-641.72514509721714</v>
      </c>
      <c r="V46" s="1156">
        <v>-623.21900006331634</v>
      </c>
      <c r="W46" s="1157">
        <v>-675.42679651135768</v>
      </c>
      <c r="X46" s="1156">
        <v>-726.61740076076421</v>
      </c>
    </row>
    <row r="47" spans="2:36" s="1063" customFormat="1" ht="14.25" customHeight="1">
      <c r="B47" s="5728"/>
      <c r="C47" s="1226" t="s">
        <v>2764</v>
      </c>
      <c r="D47" s="1245">
        <v>0</v>
      </c>
      <c r="E47" s="1228">
        <v>0</v>
      </c>
      <c r="F47" s="1228">
        <v>0</v>
      </c>
      <c r="G47" s="1228">
        <v>0</v>
      </c>
      <c r="H47" s="1228">
        <v>0</v>
      </c>
      <c r="I47" s="1228">
        <v>0</v>
      </c>
      <c r="J47" s="1228">
        <v>0</v>
      </c>
      <c r="K47" s="1228">
        <v>0</v>
      </c>
      <c r="L47" s="1228">
        <v>0</v>
      </c>
      <c r="M47" s="1228">
        <v>0</v>
      </c>
      <c r="N47" s="1228">
        <v>0</v>
      </c>
      <c r="O47" s="1229">
        <v>0</v>
      </c>
      <c r="P47" s="1220">
        <f t="shared" si="2"/>
        <v>0</v>
      </c>
      <c r="Q47" s="1220">
        <v>0</v>
      </c>
      <c r="R47" s="1220">
        <v>0</v>
      </c>
      <c r="T47" s="1155" t="s">
        <v>2682</v>
      </c>
      <c r="U47" s="1156">
        <v>0</v>
      </c>
      <c r="V47" s="1156">
        <v>0</v>
      </c>
      <c r="W47" s="1157">
        <v>0</v>
      </c>
      <c r="X47" s="1156">
        <v>0</v>
      </c>
    </row>
    <row r="48" spans="2:36" s="1236" customFormat="1" ht="14.25" customHeight="1">
      <c r="B48" s="5729"/>
      <c r="C48" s="1231" t="s">
        <v>2744</v>
      </c>
      <c r="D48" s="1232">
        <f>SUM(D43:D44)</f>
        <v>14.33132</v>
      </c>
      <c r="E48" s="1233">
        <f t="shared" ref="E48:O48" si="10">SUM(E43:E44)</f>
        <v>21.453209999999999</v>
      </c>
      <c r="F48" s="1233">
        <f t="shared" si="10"/>
        <v>34.381169999999997</v>
      </c>
      <c r="G48" s="1233">
        <f t="shared" si="10"/>
        <v>36.027235000000005</v>
      </c>
      <c r="H48" s="1233">
        <f t="shared" si="10"/>
        <v>14.481170000000001</v>
      </c>
      <c r="I48" s="1233">
        <f t="shared" si="10"/>
        <v>31.393249998999899</v>
      </c>
      <c r="J48" s="1233">
        <f t="shared" si="10"/>
        <v>14.481170000000001</v>
      </c>
      <c r="K48" s="1233">
        <f t="shared" si="10"/>
        <v>28.023345000000003</v>
      </c>
      <c r="L48" s="1233">
        <f t="shared" si="10"/>
        <v>36.227339999999998</v>
      </c>
      <c r="M48" s="1233">
        <f t="shared" si="10"/>
        <v>39.115259999999999</v>
      </c>
      <c r="N48" s="1233">
        <f t="shared" si="10"/>
        <v>18.465199999999999</v>
      </c>
      <c r="O48" s="1234">
        <f t="shared" si="10"/>
        <v>25.591174998999904</v>
      </c>
      <c r="P48" s="1235">
        <f t="shared" si="2"/>
        <v>313.97084499799979</v>
      </c>
      <c r="Q48" s="1235">
        <f>SUM(Q43:Q44)</f>
        <v>324.41321309799986</v>
      </c>
      <c r="R48" s="1235">
        <f>SUM(R43:R44)</f>
        <v>339.55599762049985</v>
      </c>
      <c r="T48" s="1155"/>
      <c r="U48" s="1156"/>
      <c r="V48" s="1156"/>
      <c r="W48" s="1157"/>
      <c r="X48" s="1156"/>
    </row>
    <row r="49" spans="2:24" s="1060" customFormat="1" ht="14.25" customHeight="1">
      <c r="B49" s="5748" t="s">
        <v>2684</v>
      </c>
      <c r="C49" s="1248" t="s">
        <v>2765</v>
      </c>
      <c r="D49" s="1249">
        <v>8.4000000000014552</v>
      </c>
      <c r="E49" s="1250">
        <v>8.4000000000014552</v>
      </c>
      <c r="F49" s="1250">
        <v>8.4000000000014552</v>
      </c>
      <c r="G49" s="1250">
        <v>8.4000000000014552</v>
      </c>
      <c r="H49" s="1250">
        <v>8.4000000000014552</v>
      </c>
      <c r="I49" s="1250">
        <v>8.4000000000014552</v>
      </c>
      <c r="J49" s="1250">
        <v>8.4000000000014552</v>
      </c>
      <c r="K49" s="1250">
        <v>8.4000000000014552</v>
      </c>
      <c r="L49" s="1250">
        <v>8.4000000000014552</v>
      </c>
      <c r="M49" s="1250">
        <v>8.4000000000014552</v>
      </c>
      <c r="N49" s="1250">
        <v>8.4000000000014552</v>
      </c>
      <c r="O49" s="1251">
        <v>8.4000000000014552</v>
      </c>
      <c r="P49" s="1252">
        <f t="shared" si="2"/>
        <v>100.80000000001746</v>
      </c>
      <c r="Q49" s="1252">
        <v>100.79999999998836</v>
      </c>
      <c r="R49" s="1252">
        <v>100.79999999998836</v>
      </c>
      <c r="T49" s="1253" t="s">
        <v>2766</v>
      </c>
      <c r="U49" s="1254">
        <v>2921.3140989999997</v>
      </c>
      <c r="V49" s="1254">
        <v>2738.1673814134269</v>
      </c>
      <c r="W49" s="1255">
        <v>2882.8529497929549</v>
      </c>
      <c r="X49" s="1254">
        <v>2995.496791058873</v>
      </c>
    </row>
    <row r="50" spans="2:24" s="1060" customFormat="1" ht="14.25" customHeight="1">
      <c r="B50" s="5749"/>
      <c r="C50" s="1256" t="s">
        <v>2767</v>
      </c>
      <c r="D50" s="1257">
        <v>16500</v>
      </c>
      <c r="E50" s="1258">
        <v>16500</v>
      </c>
      <c r="F50" s="1258">
        <v>16500</v>
      </c>
      <c r="G50" s="1258">
        <v>16500</v>
      </c>
      <c r="H50" s="1258">
        <v>16500</v>
      </c>
      <c r="I50" s="1258">
        <v>16500</v>
      </c>
      <c r="J50" s="1258">
        <v>16500</v>
      </c>
      <c r="K50" s="1258">
        <v>16500</v>
      </c>
      <c r="L50" s="1258">
        <v>16500</v>
      </c>
      <c r="M50" s="1258">
        <v>16500</v>
      </c>
      <c r="N50" s="1258">
        <v>16500</v>
      </c>
      <c r="O50" s="1259">
        <v>16500</v>
      </c>
      <c r="P50" s="1260">
        <f t="shared" si="2"/>
        <v>198000</v>
      </c>
      <c r="Q50" s="1260">
        <v>198000</v>
      </c>
      <c r="R50" s="1260">
        <v>198000</v>
      </c>
      <c r="T50" s="1155" t="s">
        <v>2665</v>
      </c>
      <c r="U50" s="1156">
        <v>1714.2820478732183</v>
      </c>
      <c r="V50" s="1156">
        <v>1559.951143782288</v>
      </c>
      <c r="W50" s="1157">
        <v>1621.3591072199638</v>
      </c>
      <c r="X50" s="1156">
        <v>1679.8061613769833</v>
      </c>
    </row>
    <row r="51" spans="2:24" s="1236" customFormat="1" ht="14.25" customHeight="1">
      <c r="B51" s="5729"/>
      <c r="C51" s="1231" t="s">
        <v>2744</v>
      </c>
      <c r="D51" s="1232">
        <f>SUM(D49:D50)</f>
        <v>16508.400000000001</v>
      </c>
      <c r="E51" s="1233">
        <f t="shared" ref="E51:O51" si="11">SUM(E49:E50)</f>
        <v>16508.400000000001</v>
      </c>
      <c r="F51" s="1233">
        <f t="shared" si="11"/>
        <v>16508.400000000001</v>
      </c>
      <c r="G51" s="1233">
        <f t="shared" si="11"/>
        <v>16508.400000000001</v>
      </c>
      <c r="H51" s="1233">
        <f t="shared" si="11"/>
        <v>16508.400000000001</v>
      </c>
      <c r="I51" s="1233">
        <f t="shared" si="11"/>
        <v>16508.400000000001</v>
      </c>
      <c r="J51" s="1233">
        <f t="shared" si="11"/>
        <v>16508.400000000001</v>
      </c>
      <c r="K51" s="1233">
        <f t="shared" si="11"/>
        <v>16508.400000000001</v>
      </c>
      <c r="L51" s="1233">
        <f t="shared" si="11"/>
        <v>16508.400000000001</v>
      </c>
      <c r="M51" s="1233">
        <f t="shared" si="11"/>
        <v>16508.400000000001</v>
      </c>
      <c r="N51" s="1233">
        <f t="shared" si="11"/>
        <v>16508.400000000001</v>
      </c>
      <c r="O51" s="1234">
        <f t="shared" si="11"/>
        <v>16508.400000000001</v>
      </c>
      <c r="P51" s="1235">
        <f t="shared" si="2"/>
        <v>198100.79999999996</v>
      </c>
      <c r="Q51" s="1235">
        <f>SUM(Q49:Q50)</f>
        <v>198100.8</v>
      </c>
      <c r="R51" s="1235">
        <f>SUM(R49:R50)</f>
        <v>198100.8</v>
      </c>
      <c r="T51" s="1155" t="s">
        <v>2671</v>
      </c>
      <c r="U51" s="1156">
        <v>972.81496253925059</v>
      </c>
      <c r="V51" s="1156">
        <v>969.43097479836479</v>
      </c>
      <c r="W51" s="1157">
        <v>1041.6763051512785</v>
      </c>
      <c r="X51" s="1156">
        <v>1087.283999363651</v>
      </c>
    </row>
    <row r="52" spans="2:24" s="1060" customFormat="1" ht="14.25" customHeight="1">
      <c r="B52" s="5748" t="s">
        <v>2694</v>
      </c>
      <c r="C52" s="1216" t="s">
        <v>2768</v>
      </c>
      <c r="D52" s="1217">
        <v>37373</v>
      </c>
      <c r="E52" s="1218">
        <v>32455.5</v>
      </c>
      <c r="F52" s="1218">
        <v>37373</v>
      </c>
      <c r="G52" s="1218">
        <v>32455.5</v>
      </c>
      <c r="H52" s="1218">
        <v>37373</v>
      </c>
      <c r="I52" s="1218">
        <v>32455.5</v>
      </c>
      <c r="J52" s="1218">
        <v>37373</v>
      </c>
      <c r="K52" s="1218">
        <v>32455.5</v>
      </c>
      <c r="L52" s="1218">
        <v>37373</v>
      </c>
      <c r="M52" s="1218">
        <v>12195.4</v>
      </c>
      <c r="N52" s="1218">
        <v>32455.5</v>
      </c>
      <c r="O52" s="1219">
        <v>37373</v>
      </c>
      <c r="P52" s="1220">
        <f t="shared" si="2"/>
        <v>398710.9</v>
      </c>
      <c r="Q52" s="1220">
        <v>398710.9</v>
      </c>
      <c r="R52" s="1220">
        <v>398710.9</v>
      </c>
      <c r="T52" s="1155" t="s">
        <v>2676</v>
      </c>
      <c r="U52" s="1156">
        <v>103.81656668058645</v>
      </c>
      <c r="V52" s="1156">
        <v>88.990439895936362</v>
      </c>
      <c r="W52" s="1157">
        <v>93.692720868271053</v>
      </c>
      <c r="X52" s="1156">
        <v>97.353645709413399</v>
      </c>
    </row>
    <row r="53" spans="2:24" s="1060" customFormat="1" ht="14.25" customHeight="1">
      <c r="B53" s="5749"/>
      <c r="C53" s="1216" t="s">
        <v>1885</v>
      </c>
      <c r="D53" s="1217">
        <v>0</v>
      </c>
      <c r="E53" s="1218">
        <v>0</v>
      </c>
      <c r="F53" s="1218">
        <v>0</v>
      </c>
      <c r="G53" s="1218">
        <v>0</v>
      </c>
      <c r="H53" s="1218">
        <v>0</v>
      </c>
      <c r="I53" s="1218">
        <v>0</v>
      </c>
      <c r="J53" s="1218">
        <v>0</v>
      </c>
      <c r="K53" s="1218">
        <v>0</v>
      </c>
      <c r="L53" s="1218">
        <v>0</v>
      </c>
      <c r="M53" s="1218">
        <v>0</v>
      </c>
      <c r="N53" s="1218">
        <v>0</v>
      </c>
      <c r="O53" s="1219">
        <v>0</v>
      </c>
      <c r="P53" s="1220">
        <f t="shared" si="2"/>
        <v>0</v>
      </c>
      <c r="Q53" s="1220">
        <v>0</v>
      </c>
      <c r="R53" s="1220">
        <v>0</v>
      </c>
      <c r="T53" s="1155" t="s">
        <v>2679</v>
      </c>
      <c r="U53" s="1156">
        <v>130.40052190694445</v>
      </c>
      <c r="V53" s="1156">
        <v>119.79482293683742</v>
      </c>
      <c r="W53" s="1157">
        <v>126.12481655344178</v>
      </c>
      <c r="X53" s="1156">
        <v>131.05298460882571</v>
      </c>
    </row>
    <row r="54" spans="2:24" s="1236" customFormat="1" ht="14.25" customHeight="1">
      <c r="B54" s="5729"/>
      <c r="C54" s="1231" t="s">
        <v>2744</v>
      </c>
      <c r="D54" s="1232">
        <f>SUM(D52:D53)</f>
        <v>37373</v>
      </c>
      <c r="E54" s="1233">
        <f t="shared" ref="E54:O54" si="12">SUM(E52:E53)</f>
        <v>32455.5</v>
      </c>
      <c r="F54" s="1233">
        <f t="shared" si="12"/>
        <v>37373</v>
      </c>
      <c r="G54" s="1233">
        <f t="shared" si="12"/>
        <v>32455.5</v>
      </c>
      <c r="H54" s="1233">
        <f t="shared" si="12"/>
        <v>37373</v>
      </c>
      <c r="I54" s="1233">
        <f t="shared" si="12"/>
        <v>32455.5</v>
      </c>
      <c r="J54" s="1233">
        <f t="shared" si="12"/>
        <v>37373</v>
      </c>
      <c r="K54" s="1233">
        <f t="shared" si="12"/>
        <v>32455.5</v>
      </c>
      <c r="L54" s="1233">
        <f t="shared" si="12"/>
        <v>37373</v>
      </c>
      <c r="M54" s="1233">
        <f t="shared" si="12"/>
        <v>12195.4</v>
      </c>
      <c r="N54" s="1233">
        <f t="shared" si="12"/>
        <v>32455.5</v>
      </c>
      <c r="O54" s="1234">
        <f t="shared" si="12"/>
        <v>37373</v>
      </c>
      <c r="P54" s="1235">
        <f t="shared" si="2"/>
        <v>398710.9</v>
      </c>
      <c r="Q54" s="1235">
        <f>SUM(Q52:Q53)</f>
        <v>398710.9</v>
      </c>
      <c r="R54" s="1235">
        <f>SUM(R52:R53)</f>
        <v>398710.9</v>
      </c>
      <c r="T54" s="1155" t="s">
        <v>2682</v>
      </c>
      <c r="U54" s="1156"/>
      <c r="V54" s="1156">
        <v>0</v>
      </c>
      <c r="W54" s="1157">
        <v>0</v>
      </c>
      <c r="X54" s="1156">
        <v>0</v>
      </c>
    </row>
    <row r="55" spans="2:24" s="1060" customFormat="1" ht="14.25" hidden="1" customHeight="1">
      <c r="B55" s="5751" t="s">
        <v>2769</v>
      </c>
      <c r="C55" s="1261" t="s">
        <v>2770</v>
      </c>
      <c r="D55" s="1262">
        <v>0</v>
      </c>
      <c r="E55" s="1263">
        <v>0</v>
      </c>
      <c r="F55" s="1263">
        <v>0</v>
      </c>
      <c r="G55" s="1263">
        <v>0</v>
      </c>
      <c r="H55" s="1263">
        <v>0</v>
      </c>
      <c r="I55" s="1263">
        <v>0</v>
      </c>
      <c r="J55" s="1263">
        <v>0</v>
      </c>
      <c r="K55" s="1263">
        <v>0</v>
      </c>
      <c r="L55" s="1263">
        <v>0</v>
      </c>
      <c r="M55" s="1263">
        <v>0</v>
      </c>
      <c r="N55" s="1263">
        <v>0</v>
      </c>
      <c r="O55" s="1264">
        <v>0</v>
      </c>
      <c r="P55" s="1265">
        <f t="shared" si="2"/>
        <v>0</v>
      </c>
      <c r="Q55" s="1265">
        <v>0</v>
      </c>
      <c r="R55" s="1265">
        <v>0</v>
      </c>
      <c r="T55" s="1155"/>
      <c r="U55" s="1156"/>
      <c r="V55" s="1156"/>
      <c r="W55" s="1157"/>
      <c r="X55" s="1156"/>
    </row>
    <row r="56" spans="2:24" s="1060" customFormat="1" ht="14.25" hidden="1" customHeight="1">
      <c r="B56" s="5752"/>
      <c r="C56" s="1266" t="s">
        <v>2771</v>
      </c>
      <c r="D56" s="1267">
        <f>D55*78.77%</f>
        <v>0</v>
      </c>
      <c r="E56" s="1268">
        <f t="shared" ref="E56:O56" si="13">E55*78.77%</f>
        <v>0</v>
      </c>
      <c r="F56" s="1268">
        <f t="shared" si="13"/>
        <v>0</v>
      </c>
      <c r="G56" s="1268">
        <f t="shared" si="13"/>
        <v>0</v>
      </c>
      <c r="H56" s="1268">
        <f t="shared" si="13"/>
        <v>0</v>
      </c>
      <c r="I56" s="1268">
        <f t="shared" si="13"/>
        <v>0</v>
      </c>
      <c r="J56" s="1268">
        <f t="shared" si="13"/>
        <v>0</v>
      </c>
      <c r="K56" s="1268">
        <f t="shared" si="13"/>
        <v>0</v>
      </c>
      <c r="L56" s="1268">
        <f t="shared" si="13"/>
        <v>0</v>
      </c>
      <c r="M56" s="1268">
        <f t="shared" si="13"/>
        <v>0</v>
      </c>
      <c r="N56" s="1268">
        <f t="shared" si="13"/>
        <v>0</v>
      </c>
      <c r="O56" s="1269">
        <f t="shared" si="13"/>
        <v>0</v>
      </c>
      <c r="P56" s="1270">
        <f t="shared" si="2"/>
        <v>0</v>
      </c>
      <c r="Q56" s="1270">
        <f>Q55*78.77%</f>
        <v>0</v>
      </c>
      <c r="R56" s="1270">
        <f>R55*78.77%</f>
        <v>0</v>
      </c>
      <c r="T56" s="1144" t="s">
        <v>2772</v>
      </c>
      <c r="U56" s="1247">
        <v>6482.8808535223197</v>
      </c>
      <c r="V56" s="1247">
        <v>5449.9554865305117</v>
      </c>
      <c r="W56" s="1247">
        <v>5629.944577477946</v>
      </c>
      <c r="X56" s="1247">
        <v>5811.203243110087</v>
      </c>
    </row>
    <row r="57" spans="2:24" s="1063" customFormat="1" ht="14.25" customHeight="1">
      <c r="B57" s="1271" t="s">
        <v>2686</v>
      </c>
      <c r="C57" s="1272" t="s">
        <v>2746</v>
      </c>
      <c r="D57" s="1273">
        <v>3682.8</v>
      </c>
      <c r="E57" s="1274">
        <v>3682.8</v>
      </c>
      <c r="F57" s="1274">
        <v>3682.8</v>
      </c>
      <c r="G57" s="1274">
        <v>3682.8</v>
      </c>
      <c r="H57" s="1274">
        <v>3682.8</v>
      </c>
      <c r="I57" s="1274">
        <v>3683.94</v>
      </c>
      <c r="J57" s="1274">
        <v>3682.8</v>
      </c>
      <c r="K57" s="1274">
        <v>3682.8</v>
      </c>
      <c r="L57" s="1274">
        <v>3682.8</v>
      </c>
      <c r="M57" s="1274">
        <v>3682.8</v>
      </c>
      <c r="N57" s="1274">
        <v>3682.8</v>
      </c>
      <c r="O57" s="1275">
        <v>3683.94</v>
      </c>
      <c r="P57" s="1276">
        <f t="shared" si="2"/>
        <v>44195.880000000005</v>
      </c>
      <c r="Q57" s="1276">
        <v>46405.673999999999</v>
      </c>
      <c r="R57" s="1276">
        <v>46405.793700000002</v>
      </c>
      <c r="T57" s="1155" t="s">
        <v>2665</v>
      </c>
      <c r="U57" s="1156">
        <v>5826.682741773081</v>
      </c>
      <c r="V57" s="1156">
        <v>4550.7589497087247</v>
      </c>
      <c r="W57" s="1157">
        <v>4618.2772538651188</v>
      </c>
      <c r="X57" s="1156">
        <v>4692.9963417539393</v>
      </c>
    </row>
    <row r="58" spans="2:24" s="1063" customFormat="1" ht="14.25" customHeight="1">
      <c r="B58" s="5751" t="s">
        <v>2773</v>
      </c>
      <c r="C58" s="1079" t="s">
        <v>2774</v>
      </c>
      <c r="D58" s="1227">
        <v>13</v>
      </c>
      <c r="E58" s="1228">
        <v>13</v>
      </c>
      <c r="F58" s="1228">
        <v>13</v>
      </c>
      <c r="G58" s="1228">
        <v>13</v>
      </c>
      <c r="H58" s="1228">
        <v>13</v>
      </c>
      <c r="I58" s="1228">
        <v>13</v>
      </c>
      <c r="J58" s="1228">
        <v>13</v>
      </c>
      <c r="K58" s="1228">
        <v>13</v>
      </c>
      <c r="L58" s="1228">
        <v>13</v>
      </c>
      <c r="M58" s="1228">
        <v>13</v>
      </c>
      <c r="N58" s="1228">
        <v>13</v>
      </c>
      <c r="O58" s="1229">
        <v>13</v>
      </c>
      <c r="P58" s="1220">
        <f t="shared" si="2"/>
        <v>156</v>
      </c>
      <c r="Q58" s="1220">
        <v>156</v>
      </c>
      <c r="R58" s="1220">
        <v>156</v>
      </c>
      <c r="T58" s="1155" t="s">
        <v>2671</v>
      </c>
      <c r="U58" s="1156">
        <v>1344.0502904251807</v>
      </c>
      <c r="V58" s="1156">
        <v>1496.6297309157521</v>
      </c>
      <c r="W58" s="1157">
        <v>1678.7076178514003</v>
      </c>
      <c r="X58" s="1156">
        <v>1857.5166662676572</v>
      </c>
    </row>
    <row r="59" spans="2:24" s="1063" customFormat="1" ht="14.25" customHeight="1">
      <c r="B59" s="5753"/>
      <c r="C59" s="1079" t="s">
        <v>2775</v>
      </c>
      <c r="D59" s="1227">
        <v>1</v>
      </c>
      <c r="E59" s="1228">
        <v>1</v>
      </c>
      <c r="F59" s="1228">
        <v>1</v>
      </c>
      <c r="G59" s="1228">
        <v>1</v>
      </c>
      <c r="H59" s="1228">
        <v>1</v>
      </c>
      <c r="I59" s="1228">
        <v>1</v>
      </c>
      <c r="J59" s="1228">
        <v>1</v>
      </c>
      <c r="K59" s="1228">
        <v>1</v>
      </c>
      <c r="L59" s="1228">
        <v>1</v>
      </c>
      <c r="M59" s="1228">
        <v>1</v>
      </c>
      <c r="N59" s="1228">
        <v>1</v>
      </c>
      <c r="O59" s="1229">
        <v>1</v>
      </c>
      <c r="P59" s="1220">
        <f t="shared" si="2"/>
        <v>12</v>
      </c>
      <c r="Q59" s="1220">
        <v>12</v>
      </c>
      <c r="R59" s="1220">
        <v>12</v>
      </c>
      <c r="T59" s="1155" t="s">
        <v>2676</v>
      </c>
      <c r="U59" s="1156">
        <v>84.273488328219855</v>
      </c>
      <c r="V59" s="1156">
        <v>145.58062890618814</v>
      </c>
      <c r="W59" s="1157">
        <v>134.51131882622656</v>
      </c>
      <c r="X59" s="1156">
        <v>118.36062045808001</v>
      </c>
    </row>
    <row r="60" spans="2:24" s="1063" customFormat="1" ht="14.25" customHeight="1">
      <c r="B60" s="5753"/>
      <c r="C60" s="1079" t="s">
        <v>2776</v>
      </c>
      <c r="D60" s="1227">
        <v>0</v>
      </c>
      <c r="E60" s="1228">
        <v>0</v>
      </c>
      <c r="F60" s="1228">
        <v>0</v>
      </c>
      <c r="G60" s="1228">
        <v>0</v>
      </c>
      <c r="H60" s="1228">
        <v>0</v>
      </c>
      <c r="I60" s="1228">
        <v>0</v>
      </c>
      <c r="J60" s="1228">
        <v>0</v>
      </c>
      <c r="K60" s="1228">
        <v>0</v>
      </c>
      <c r="L60" s="1228">
        <v>0</v>
      </c>
      <c r="M60" s="1228">
        <v>0</v>
      </c>
      <c r="N60" s="1228">
        <v>0</v>
      </c>
      <c r="O60" s="1229">
        <v>0</v>
      </c>
      <c r="P60" s="1220">
        <f>SUM(D60:O60)</f>
        <v>0</v>
      </c>
      <c r="Q60" s="1220">
        <v>0</v>
      </c>
      <c r="R60" s="1220">
        <v>0</v>
      </c>
      <c r="T60" s="1155" t="s">
        <v>2679</v>
      </c>
      <c r="U60" s="1156">
        <v>-772.12566700416164</v>
      </c>
      <c r="V60" s="1156">
        <v>-743.01382300015371</v>
      </c>
      <c r="W60" s="1157">
        <v>-801.55161306479943</v>
      </c>
      <c r="X60" s="1156">
        <v>-857.67038536958989</v>
      </c>
    </row>
    <row r="61" spans="2:24" s="1063" customFormat="1" ht="14.25" customHeight="1" thickBot="1">
      <c r="B61" s="5752"/>
      <c r="C61" s="1277" t="s">
        <v>2777</v>
      </c>
      <c r="D61" s="1237">
        <v>3.8610000000000002</v>
      </c>
      <c r="E61" s="1238">
        <v>3.3929999999999998</v>
      </c>
      <c r="F61" s="1238">
        <v>3.8610000000000002</v>
      </c>
      <c r="G61" s="1238">
        <v>3.3929999999999998</v>
      </c>
      <c r="H61" s="1238">
        <v>3.8610000000000002</v>
      </c>
      <c r="I61" s="1238">
        <v>3.3929999999999998</v>
      </c>
      <c r="J61" s="1238">
        <v>3.8610000000000002</v>
      </c>
      <c r="K61" s="1238">
        <v>3.3929999999999998</v>
      </c>
      <c r="L61" s="1238">
        <v>3.8610000000000002</v>
      </c>
      <c r="M61" s="1238">
        <v>1.4039999999999999</v>
      </c>
      <c r="N61" s="1238">
        <v>3.3929999999999998</v>
      </c>
      <c r="O61" s="1239">
        <v>3.8610000000000002</v>
      </c>
      <c r="P61" s="1278">
        <f t="shared" si="2"/>
        <v>41.535000000000004</v>
      </c>
      <c r="Q61" s="1278">
        <v>41.534999999999997</v>
      </c>
      <c r="R61" s="1278">
        <v>41.534999999999997</v>
      </c>
      <c r="T61" s="1155" t="s">
        <v>2682</v>
      </c>
      <c r="U61" s="1156">
        <v>0</v>
      </c>
      <c r="V61" s="1156">
        <v>0</v>
      </c>
      <c r="W61" s="1157">
        <v>0</v>
      </c>
      <c r="X61" s="1156">
        <v>0</v>
      </c>
    </row>
    <row r="62" spans="2:24" ht="14.25" customHeight="1">
      <c r="T62" s="1155"/>
      <c r="U62" s="1156"/>
      <c r="V62" s="1156"/>
      <c r="W62" s="1157"/>
      <c r="X62" s="1156"/>
    </row>
    <row r="63" spans="2:24" ht="21" customHeight="1" thickBot="1">
      <c r="B63" s="1134" t="s">
        <v>2778</v>
      </c>
      <c r="C63" s="1063"/>
      <c r="D63" s="1063"/>
      <c r="E63" s="1063"/>
      <c r="F63" s="1063"/>
      <c r="G63" s="1063"/>
      <c r="H63" s="1063"/>
      <c r="I63" s="1063"/>
      <c r="J63" s="1063"/>
      <c r="K63" s="1063"/>
      <c r="L63" s="1063"/>
      <c r="M63" s="1063"/>
      <c r="N63" s="1063"/>
      <c r="O63" s="1063"/>
      <c r="P63" s="1106"/>
      <c r="Q63" s="1106"/>
      <c r="R63" s="1211" t="s">
        <v>2779</v>
      </c>
      <c r="T63" s="1253" t="s">
        <v>2780</v>
      </c>
      <c r="U63" s="1254">
        <v>-278.02558299999987</v>
      </c>
      <c r="V63" s="1254">
        <v>-5.0885000000000016</v>
      </c>
      <c r="W63" s="1255">
        <v>-5.0884999999999998</v>
      </c>
      <c r="X63" s="1254">
        <v>-5.0884999999999998</v>
      </c>
    </row>
    <row r="64" spans="2:24" s="1063" customFormat="1" ht="14.25" customHeight="1">
      <c r="B64" s="5746" t="s">
        <v>2069</v>
      </c>
      <c r="C64" s="5747"/>
      <c r="D64" s="1279" t="s">
        <v>2710</v>
      </c>
      <c r="E64" s="1280" t="s">
        <v>2711</v>
      </c>
      <c r="F64" s="1280" t="s">
        <v>2712</v>
      </c>
      <c r="G64" s="1280" t="s">
        <v>2713</v>
      </c>
      <c r="H64" s="1280" t="s">
        <v>2714</v>
      </c>
      <c r="I64" s="1280" t="s">
        <v>2715</v>
      </c>
      <c r="J64" s="1280" t="s">
        <v>2716</v>
      </c>
      <c r="K64" s="1280" t="s">
        <v>2717</v>
      </c>
      <c r="L64" s="1280" t="s">
        <v>2718</v>
      </c>
      <c r="M64" s="1280" t="s">
        <v>2719</v>
      </c>
      <c r="N64" s="1280" t="s">
        <v>2720</v>
      </c>
      <c r="O64" s="1281" t="s">
        <v>2721</v>
      </c>
      <c r="P64" s="1215" t="s">
        <v>1933</v>
      </c>
      <c r="Q64" s="1215" t="s">
        <v>1934</v>
      </c>
      <c r="R64" s="1215" t="s">
        <v>1935</v>
      </c>
      <c r="T64" s="1155" t="s">
        <v>2665</v>
      </c>
      <c r="U64" s="1156">
        <v>-176.54190862331711</v>
      </c>
      <c r="V64" s="1156">
        <v>-2.7136315896499537</v>
      </c>
      <c r="W64" s="1157">
        <v>-2.9328201434181129</v>
      </c>
      <c r="X64" s="1156">
        <v>-2.9237992329683324</v>
      </c>
    </row>
    <row r="65" spans="2:24" s="1063" customFormat="1" ht="14.25" customHeight="1">
      <c r="B65" s="5754" t="s">
        <v>1620</v>
      </c>
      <c r="C65" s="5754"/>
      <c r="D65" s="1282">
        <f t="shared" ref="D65:O65" si="14">SUM(D66:D70)</f>
        <v>23245.72239922205</v>
      </c>
      <c r="E65" s="1283">
        <f t="shared" si="14"/>
        <v>26058.294393636952</v>
      </c>
      <c r="F65" s="1283">
        <f t="shared" si="14"/>
        <v>26210.129911894732</v>
      </c>
      <c r="G65" s="1283">
        <f t="shared" si="14"/>
        <v>29115.972236061007</v>
      </c>
      <c r="H65" s="1283">
        <f t="shared" si="14"/>
        <v>24393.852968288989</v>
      </c>
      <c r="I65" s="1283">
        <f t="shared" si="14"/>
        <v>29046.923735075732</v>
      </c>
      <c r="J65" s="1283">
        <f t="shared" si="14"/>
        <v>24553.073262311034</v>
      </c>
      <c r="K65" s="1283">
        <f t="shared" si="14"/>
        <v>25672.681754507623</v>
      </c>
      <c r="L65" s="1283">
        <f t="shared" si="14"/>
        <v>28033.68099239776</v>
      </c>
      <c r="M65" s="1283">
        <f t="shared" si="14"/>
        <v>26906.96015060303</v>
      </c>
      <c r="N65" s="1283">
        <f t="shared" si="14"/>
        <v>25970.874361250255</v>
      </c>
      <c r="O65" s="1284">
        <f t="shared" si="14"/>
        <v>25259.384870740407</v>
      </c>
      <c r="P65" s="1285">
        <f t="shared" ref="P65:P71" si="15">SUM(D65:O65)</f>
        <v>314467.55103598954</v>
      </c>
      <c r="Q65" s="1285">
        <f>SUM(Q66:Q70)</f>
        <v>324952.53540986334</v>
      </c>
      <c r="R65" s="1285">
        <f>SUM(R66:R70)</f>
        <v>332390.52010149549</v>
      </c>
      <c r="T65" s="1155" t="s">
        <v>2671</v>
      </c>
      <c r="U65" s="1156">
        <v>-101.48367437668277</v>
      </c>
      <c r="V65" s="1156">
        <v>-2.3748684103500475</v>
      </c>
      <c r="W65" s="1157">
        <v>-2.1556798565818864</v>
      </c>
      <c r="X65" s="1156">
        <v>-2.1647007670316669</v>
      </c>
    </row>
    <row r="66" spans="2:24" s="1063" customFormat="1" ht="14.25" customHeight="1">
      <c r="B66" s="1286"/>
      <c r="C66" s="1287" t="s">
        <v>2781</v>
      </c>
      <c r="D66" s="1288">
        <v>12231.476362115982</v>
      </c>
      <c r="E66" s="1289">
        <v>15371.997899311253</v>
      </c>
      <c r="F66" s="1289">
        <v>14567.212426514358</v>
      </c>
      <c r="G66" s="1289">
        <v>16909.106096107</v>
      </c>
      <c r="H66" s="1289">
        <v>12896.131494977993</v>
      </c>
      <c r="I66" s="1289">
        <v>16679.893591778051</v>
      </c>
      <c r="J66" s="1289">
        <v>13044.134442727112</v>
      </c>
      <c r="K66" s="1289">
        <v>13521.048184206553</v>
      </c>
      <c r="L66" s="1289">
        <v>16830.852945556453</v>
      </c>
      <c r="M66" s="1289">
        <v>14912.632547964913</v>
      </c>
      <c r="N66" s="1289">
        <v>14542.453211416328</v>
      </c>
      <c r="O66" s="1290">
        <v>13915.495137014987</v>
      </c>
      <c r="P66" s="1291">
        <f t="shared" si="15"/>
        <v>175422.43433969095</v>
      </c>
      <c r="Q66" s="1291">
        <v>179084.50759761347</v>
      </c>
      <c r="R66" s="1291">
        <v>182789.01735083407</v>
      </c>
      <c r="T66" s="1155" t="s">
        <v>2676</v>
      </c>
      <c r="U66" s="1156">
        <v>0</v>
      </c>
      <c r="V66" s="1156">
        <v>0</v>
      </c>
      <c r="W66" s="1157">
        <v>0</v>
      </c>
      <c r="X66" s="1156">
        <v>0</v>
      </c>
    </row>
    <row r="67" spans="2:24" s="1063" customFormat="1" ht="14.25" customHeight="1">
      <c r="B67" s="1286"/>
      <c r="C67" s="1287" t="s">
        <v>2782</v>
      </c>
      <c r="D67" s="1288">
        <v>9761.4950255758995</v>
      </c>
      <c r="E67" s="1289">
        <v>9514.0631525455337</v>
      </c>
      <c r="F67" s="1289">
        <v>10390.16647385021</v>
      </c>
      <c r="G67" s="1289">
        <v>11034.63279817384</v>
      </c>
      <c r="H67" s="1289">
        <v>10244.970461780829</v>
      </c>
      <c r="I67" s="1289">
        <v>11194.796801517514</v>
      </c>
      <c r="J67" s="1289">
        <v>10256.187808053757</v>
      </c>
      <c r="K67" s="1289">
        <v>10979.400228520904</v>
      </c>
      <c r="L67" s="1289">
        <v>9950.0770353111384</v>
      </c>
      <c r="M67" s="1289">
        <v>11153.827060227948</v>
      </c>
      <c r="N67" s="1289">
        <v>10256.187808053757</v>
      </c>
      <c r="O67" s="1290">
        <v>10091.138722195252</v>
      </c>
      <c r="P67" s="1291">
        <f t="shared" si="15"/>
        <v>124826.94337580659</v>
      </c>
      <c r="Q67" s="1291">
        <v>131630.59675528991</v>
      </c>
      <c r="R67" s="1291">
        <v>135331.97546625146</v>
      </c>
      <c r="T67" s="1155" t="s">
        <v>2679</v>
      </c>
      <c r="U67" s="1156">
        <v>0</v>
      </c>
      <c r="V67" s="1156">
        <v>0</v>
      </c>
      <c r="W67" s="1157">
        <v>0</v>
      </c>
      <c r="X67" s="1156">
        <v>0</v>
      </c>
    </row>
    <row r="68" spans="2:24" s="1063" customFormat="1" ht="14.25" customHeight="1">
      <c r="B68" s="1286"/>
      <c r="C68" s="1287" t="s">
        <v>2783</v>
      </c>
      <c r="D68" s="1227">
        <v>640.81672143016885</v>
      </c>
      <c r="E68" s="1228">
        <v>640.81672143016885</v>
      </c>
      <c r="F68" s="1228">
        <v>640.81672143016885</v>
      </c>
      <c r="G68" s="1228">
        <v>640.81672143016885</v>
      </c>
      <c r="H68" s="1228">
        <v>640.81672143016885</v>
      </c>
      <c r="I68" s="1228">
        <v>640.81672143016885</v>
      </c>
      <c r="J68" s="1228">
        <v>640.81672143016885</v>
      </c>
      <c r="K68" s="1228">
        <v>640.81672143016885</v>
      </c>
      <c r="L68" s="1228">
        <v>640.81672143016885</v>
      </c>
      <c r="M68" s="1228">
        <v>640.81672143016885</v>
      </c>
      <c r="N68" s="1228">
        <v>640.81672143016885</v>
      </c>
      <c r="O68" s="1229">
        <v>640.81672143016885</v>
      </c>
      <c r="P68" s="1292">
        <f t="shared" si="15"/>
        <v>7689.8006571620244</v>
      </c>
      <c r="Q68" s="1292">
        <v>7689.8006571599308</v>
      </c>
      <c r="R68" s="1292">
        <v>7689.8006571599308</v>
      </c>
      <c r="T68" s="1155" t="s">
        <v>2682</v>
      </c>
      <c r="U68" s="1156"/>
      <c r="V68" s="1156">
        <v>0</v>
      </c>
      <c r="W68" s="1157">
        <v>0</v>
      </c>
      <c r="X68" s="1156">
        <v>0</v>
      </c>
    </row>
    <row r="69" spans="2:24" s="1063" customFormat="1" ht="14.25" customHeight="1">
      <c r="B69" s="1286"/>
      <c r="C69" s="1287" t="s">
        <v>2784</v>
      </c>
      <c r="D69" s="1288">
        <v>611.93429009999988</v>
      </c>
      <c r="E69" s="1289">
        <v>531.4166203499999</v>
      </c>
      <c r="F69" s="1289">
        <v>611.93429009999988</v>
      </c>
      <c r="G69" s="1289">
        <v>531.4166203499999</v>
      </c>
      <c r="H69" s="1289">
        <v>611.93429009999988</v>
      </c>
      <c r="I69" s="1289">
        <v>531.4166203499999</v>
      </c>
      <c r="J69" s="1289">
        <v>611.93429009999988</v>
      </c>
      <c r="K69" s="1289">
        <v>531.4166203499999</v>
      </c>
      <c r="L69" s="1289">
        <v>611.93429009999988</v>
      </c>
      <c r="M69" s="1289">
        <v>199.68382098000001</v>
      </c>
      <c r="N69" s="1289">
        <v>531.4166203499999</v>
      </c>
      <c r="O69" s="1290">
        <v>611.93429009999988</v>
      </c>
      <c r="P69" s="1291">
        <f t="shared" si="15"/>
        <v>6528.3726633299993</v>
      </c>
      <c r="Q69" s="1291">
        <v>6547.6303998000003</v>
      </c>
      <c r="R69" s="1291">
        <v>6579.7266272500001</v>
      </c>
      <c r="T69" s="1155"/>
      <c r="U69" s="1156"/>
      <c r="V69" s="1156"/>
      <c r="W69" s="1157"/>
      <c r="X69" s="1156"/>
    </row>
    <row r="70" spans="2:24" s="1063" customFormat="1" ht="14.25" customHeight="1">
      <c r="B70" s="1286"/>
      <c r="C70" s="1287" t="s">
        <v>2785</v>
      </c>
      <c r="D70" s="1227">
        <v>0</v>
      </c>
      <c r="E70" s="1228">
        <v>0</v>
      </c>
      <c r="F70" s="1228">
        <v>0</v>
      </c>
      <c r="G70" s="1228">
        <v>0</v>
      </c>
      <c r="H70" s="1228">
        <v>0</v>
      </c>
      <c r="I70" s="1228">
        <v>0</v>
      </c>
      <c r="J70" s="1228">
        <v>0</v>
      </c>
      <c r="K70" s="1228">
        <v>0</v>
      </c>
      <c r="L70" s="1228">
        <v>0</v>
      </c>
      <c r="M70" s="1228">
        <v>0</v>
      </c>
      <c r="N70" s="1228">
        <v>0</v>
      </c>
      <c r="O70" s="1229">
        <v>0</v>
      </c>
      <c r="P70" s="1292">
        <f t="shared" si="15"/>
        <v>0</v>
      </c>
      <c r="Q70" s="1292">
        <v>0</v>
      </c>
      <c r="R70" s="1292">
        <v>0</v>
      </c>
      <c r="T70" s="1208" t="s">
        <v>2786</v>
      </c>
      <c r="U70" s="1209">
        <v>364.87893800000001</v>
      </c>
      <c r="V70" s="1210"/>
      <c r="W70" s="1210"/>
      <c r="X70" s="1209"/>
    </row>
    <row r="71" spans="2:24" s="1063" customFormat="1" ht="14.25" customHeight="1">
      <c r="B71" s="5755" t="s">
        <v>2552</v>
      </c>
      <c r="C71" s="5755"/>
      <c r="D71" s="1293">
        <f t="shared" ref="D71:O71" si="16">SUM(D73:D77)</f>
        <v>366.30475949447481</v>
      </c>
      <c r="E71" s="1294">
        <f t="shared" si="16"/>
        <v>437.51673292253236</v>
      </c>
      <c r="F71" s="1294">
        <f t="shared" si="16"/>
        <v>433.39842105697858</v>
      </c>
      <c r="G71" s="1294">
        <f t="shared" si="16"/>
        <v>484.74174534366864</v>
      </c>
      <c r="H71" s="1294">
        <f t="shared" si="16"/>
        <v>431.87394584498082</v>
      </c>
      <c r="I71" s="1294">
        <f t="shared" si="16"/>
        <v>495.46255547145438</v>
      </c>
      <c r="J71" s="1294">
        <f t="shared" si="16"/>
        <v>427.76608382146139</v>
      </c>
      <c r="K71" s="1294">
        <f t="shared" si="16"/>
        <v>453.94724690850501</v>
      </c>
      <c r="L71" s="1294">
        <f t="shared" si="16"/>
        <v>492.3471582475986</v>
      </c>
      <c r="M71" s="1294">
        <f t="shared" si="16"/>
        <v>480.90938722094074</v>
      </c>
      <c r="N71" s="1294">
        <f t="shared" si="16"/>
        <v>477.46969964623793</v>
      </c>
      <c r="O71" s="1295">
        <f t="shared" si="16"/>
        <v>463.12925055167045</v>
      </c>
      <c r="P71" s="1296">
        <f t="shared" si="15"/>
        <v>5444.8669865305037</v>
      </c>
      <c r="Q71" s="1296">
        <f>SUM(Q73:Q77)</f>
        <v>5624.8560774779462</v>
      </c>
      <c r="R71" s="1296">
        <f>SUM(R73:R77)</f>
        <v>5806.1147431100871</v>
      </c>
      <c r="T71" s="1208" t="s">
        <v>2787</v>
      </c>
      <c r="U71" s="1209">
        <v>0</v>
      </c>
      <c r="V71" s="1209"/>
      <c r="W71" s="1210"/>
      <c r="X71" s="1209"/>
    </row>
    <row r="72" spans="2:24" s="1063" customFormat="1" ht="14.25" customHeight="1">
      <c r="B72" s="1286"/>
      <c r="C72" s="1297"/>
      <c r="D72" s="1298">
        <f t="shared" ref="D72:R72" si="17">D71/D65</f>
        <v>1.5757942609980306E-2</v>
      </c>
      <c r="E72" s="1299">
        <f t="shared" si="17"/>
        <v>1.6789922099788981E-2</v>
      </c>
      <c r="F72" s="1299">
        <f t="shared" si="17"/>
        <v>1.6535531205447894E-2</v>
      </c>
      <c r="G72" s="1299">
        <f t="shared" si="17"/>
        <v>1.664865392141367E-2</v>
      </c>
      <c r="H72" s="1299">
        <f t="shared" si="17"/>
        <v>1.7704212057291616E-2</v>
      </c>
      <c r="I72" s="1299">
        <f t="shared" si="17"/>
        <v>1.7057315948165504E-2</v>
      </c>
      <c r="J72" s="1299">
        <f t="shared" si="17"/>
        <v>1.7422099435433294E-2</v>
      </c>
      <c r="K72" s="1299">
        <f t="shared" si="17"/>
        <v>1.7682112497998021E-2</v>
      </c>
      <c r="L72" s="1299">
        <f t="shared" si="17"/>
        <v>1.7562701037409766E-2</v>
      </c>
      <c r="M72" s="1299">
        <f t="shared" si="17"/>
        <v>1.7873047885350317E-2</v>
      </c>
      <c r="N72" s="1299">
        <f t="shared" si="17"/>
        <v>1.8384814196269219E-2</v>
      </c>
      <c r="O72" s="1300">
        <f t="shared" si="17"/>
        <v>1.8334937803182343E-2</v>
      </c>
      <c r="P72" s="1301">
        <f t="shared" si="17"/>
        <v>1.7314559065292435E-2</v>
      </c>
      <c r="Q72" s="1301">
        <f t="shared" si="17"/>
        <v>1.7309777473757216E-2</v>
      </c>
      <c r="R72" s="1301">
        <f t="shared" si="17"/>
        <v>1.7467750708826439E-2</v>
      </c>
      <c r="T72" s="1208" t="s">
        <v>2788</v>
      </c>
      <c r="U72" s="1209">
        <v>-642.90452099999993</v>
      </c>
      <c r="V72" s="1209">
        <v>-5.0885000000000042</v>
      </c>
      <c r="W72" s="1209">
        <v>-5.0884999999999989</v>
      </c>
      <c r="X72" s="1209">
        <v>-5.0884999999999989</v>
      </c>
    </row>
    <row r="73" spans="2:24" s="1063" customFormat="1" ht="14.25" customHeight="1">
      <c r="B73" s="1286"/>
      <c r="C73" s="1287" t="s">
        <v>2781</v>
      </c>
      <c r="D73" s="1288">
        <v>336.69792166571733</v>
      </c>
      <c r="E73" s="1289">
        <v>384.38084014436345</v>
      </c>
      <c r="F73" s="1289">
        <v>378.22182885223651</v>
      </c>
      <c r="G73" s="1289">
        <v>397.69579807143685</v>
      </c>
      <c r="H73" s="1289">
        <v>387.08436705804843</v>
      </c>
      <c r="I73" s="1289">
        <v>413.91677038502166</v>
      </c>
      <c r="J73" s="1289">
        <v>341.00539380990398</v>
      </c>
      <c r="K73" s="1289">
        <v>358.44040170125163</v>
      </c>
      <c r="L73" s="1289">
        <v>386.1599448761458</v>
      </c>
      <c r="M73" s="1289">
        <v>377.7289753147989</v>
      </c>
      <c r="N73" s="1289">
        <v>416.22176258645527</v>
      </c>
      <c r="O73" s="1290">
        <v>370.49131365370704</v>
      </c>
      <c r="P73" s="1291">
        <f t="shared" ref="P73:P78" si="18">SUM(D73:O73)</f>
        <v>4548.0453181190869</v>
      </c>
      <c r="Q73" s="1291">
        <v>4615.3444337217006</v>
      </c>
      <c r="R73" s="1291">
        <v>4690.0725425209712</v>
      </c>
      <c r="T73" s="1302" t="s">
        <v>2789</v>
      </c>
      <c r="U73" s="1303">
        <v>-14.145737999999893</v>
      </c>
      <c r="V73" s="1303">
        <v>-12.868500000000004</v>
      </c>
      <c r="W73" s="1303">
        <v>-12.868499999999999</v>
      </c>
      <c r="X73" s="1303">
        <v>-12.868499999999999</v>
      </c>
    </row>
    <row r="74" spans="2:24" s="1063" customFormat="1" ht="14.25" customHeight="1">
      <c r="B74" s="1286"/>
      <c r="C74" s="1287" t="s">
        <v>2782</v>
      </c>
      <c r="D74" s="1288">
        <v>62.894340205879693</v>
      </c>
      <c r="E74" s="1289">
        <v>96.508656905330128</v>
      </c>
      <c r="F74" s="1289">
        <v>86.760883369211243</v>
      </c>
      <c r="G74" s="1289">
        <v>124.3618570367577</v>
      </c>
      <c r="H74" s="1289">
        <v>72.803579200881288</v>
      </c>
      <c r="I74" s="1289">
        <v>145.9109717364318</v>
      </c>
      <c r="J74" s="1289">
        <v>126.71131814339336</v>
      </c>
      <c r="K74" s="1289">
        <v>162.105922412783</v>
      </c>
      <c r="L74" s="1289">
        <v>137.43555175537247</v>
      </c>
      <c r="M74" s="1289">
        <v>184.00263779643493</v>
      </c>
      <c r="N74" s="1289">
        <v>135.07272184084957</v>
      </c>
      <c r="O74" s="1290">
        <v>159.68642210205499</v>
      </c>
      <c r="P74" s="1291">
        <f t="shared" si="18"/>
        <v>1494.2548625053801</v>
      </c>
      <c r="Q74" s="1291">
        <v>1676.5519379948184</v>
      </c>
      <c r="R74" s="1291">
        <v>1855.3519655006255</v>
      </c>
      <c r="T74" s="1302" t="s">
        <v>2790</v>
      </c>
      <c r="U74" s="1303">
        <v>-628.75878299999999</v>
      </c>
      <c r="V74" s="1303">
        <v>7.78</v>
      </c>
      <c r="W74" s="1303">
        <v>7.78</v>
      </c>
      <c r="X74" s="1303">
        <v>7.78</v>
      </c>
    </row>
    <row r="75" spans="2:24" s="1063" customFormat="1" ht="14.25" customHeight="1">
      <c r="B75" s="1286"/>
      <c r="C75" s="1287" t="s">
        <v>2783</v>
      </c>
      <c r="D75" s="1227">
        <v>15.080045951773599</v>
      </c>
      <c r="E75" s="1228">
        <v>11.545092902564726</v>
      </c>
      <c r="F75" s="1228">
        <v>13.766100189093123</v>
      </c>
      <c r="G75" s="1228">
        <v>13.763759617992456</v>
      </c>
      <c r="H75" s="1228">
        <v>14.049516093564495</v>
      </c>
      <c r="I75" s="1228">
        <v>4.6441328134792244</v>
      </c>
      <c r="J75" s="1228">
        <v>15.989097111623213</v>
      </c>
      <c r="K75" s="1228">
        <v>9.6275858277420951</v>
      </c>
      <c r="L75" s="1228">
        <v>14.694564160030431</v>
      </c>
      <c r="M75" s="1228">
        <v>13.217627351105618</v>
      </c>
      <c r="N75" s="1228">
        <v>14.626527057912979</v>
      </c>
      <c r="O75" s="1229">
        <v>4.576579829309817</v>
      </c>
      <c r="P75" s="1292">
        <f t="shared" si="18"/>
        <v>145.58062890619175</v>
      </c>
      <c r="Q75" s="1292">
        <v>134.51131882622656</v>
      </c>
      <c r="R75" s="1292">
        <v>118.36062045808001</v>
      </c>
      <c r="T75" s="1155"/>
      <c r="U75" s="1156"/>
      <c r="V75" s="1156"/>
      <c r="W75" s="1157"/>
      <c r="X75" s="1156"/>
    </row>
    <row r="76" spans="2:24" s="1063" customFormat="1" ht="14.25" customHeight="1">
      <c r="B76" s="1286"/>
      <c r="C76" s="1287" t="s">
        <v>2791</v>
      </c>
      <c r="D76" s="1288">
        <v>-48.367548328895801</v>
      </c>
      <c r="E76" s="1289">
        <v>-54.917857029725866</v>
      </c>
      <c r="F76" s="1289">
        <v>-45.350391353562273</v>
      </c>
      <c r="G76" s="1289">
        <v>-51.079669382518425</v>
      </c>
      <c r="H76" s="1289">
        <v>-42.06351650751337</v>
      </c>
      <c r="I76" s="1289">
        <v>-69.009319463478292</v>
      </c>
      <c r="J76" s="1289">
        <v>-55.939725243459158</v>
      </c>
      <c r="K76" s="1289">
        <v>-76.226663033271734</v>
      </c>
      <c r="L76" s="1289">
        <v>-45.942902543950041</v>
      </c>
      <c r="M76" s="1289">
        <v>-94.039853241398731</v>
      </c>
      <c r="N76" s="1289">
        <v>-88.451311838979876</v>
      </c>
      <c r="O76" s="1290">
        <v>-71.625065033401398</v>
      </c>
      <c r="P76" s="1291">
        <f t="shared" si="18"/>
        <v>-743.01382300015496</v>
      </c>
      <c r="Q76" s="1291">
        <v>-801.55161306479943</v>
      </c>
      <c r="R76" s="1291">
        <v>-857.67038536958989</v>
      </c>
      <c r="T76" s="1144" t="s">
        <v>2792</v>
      </c>
      <c r="U76" s="1247">
        <v>6204.855270522321</v>
      </c>
      <c r="V76" s="1247">
        <v>5444.8669865305119</v>
      </c>
      <c r="W76" s="1247">
        <v>5624.8560774779462</v>
      </c>
      <c r="X76" s="1247">
        <v>5806.1147431100871</v>
      </c>
    </row>
    <row r="77" spans="2:24" s="1063" customFormat="1" ht="14.25" customHeight="1">
      <c r="B77" s="1286"/>
      <c r="C77" s="1287" t="s">
        <v>2785</v>
      </c>
      <c r="D77" s="1227">
        <v>0</v>
      </c>
      <c r="E77" s="1228">
        <v>0</v>
      </c>
      <c r="F77" s="1228">
        <v>0</v>
      </c>
      <c r="G77" s="1228">
        <v>0</v>
      </c>
      <c r="H77" s="1228">
        <v>0</v>
      </c>
      <c r="I77" s="1228">
        <v>0</v>
      </c>
      <c r="J77" s="1228">
        <v>0</v>
      </c>
      <c r="K77" s="1228">
        <v>0</v>
      </c>
      <c r="L77" s="1228">
        <v>0</v>
      </c>
      <c r="M77" s="1228">
        <v>0</v>
      </c>
      <c r="N77" s="1228">
        <v>0</v>
      </c>
      <c r="O77" s="1229">
        <v>0</v>
      </c>
      <c r="P77" s="1292">
        <f t="shared" si="18"/>
        <v>0</v>
      </c>
      <c r="Q77" s="1292">
        <v>0</v>
      </c>
      <c r="R77" s="1292">
        <v>0</v>
      </c>
      <c r="T77" s="1155" t="s">
        <v>2665</v>
      </c>
      <c r="U77" s="1156">
        <v>5650.1408331497641</v>
      </c>
      <c r="V77" s="1156">
        <v>4548.0453181190751</v>
      </c>
      <c r="W77" s="1156">
        <v>4615.3444337217006</v>
      </c>
      <c r="X77" s="1156">
        <v>4690.0725425209712</v>
      </c>
    </row>
    <row r="78" spans="2:24" s="1063" customFormat="1" ht="14.25" customHeight="1">
      <c r="B78" s="5756" t="s">
        <v>2793</v>
      </c>
      <c r="C78" s="5756"/>
      <c r="D78" s="1304">
        <f t="shared" ref="D78:O78" si="19">SUM(D80:D84)</f>
        <v>338.27229298297971</v>
      </c>
      <c r="E78" s="1305">
        <f t="shared" si="19"/>
        <v>411.64566205103006</v>
      </c>
      <c r="F78" s="1305">
        <f t="shared" si="19"/>
        <v>404.25455486924199</v>
      </c>
      <c r="G78" s="1305">
        <f t="shared" si="19"/>
        <v>457.57733606625175</v>
      </c>
      <c r="H78" s="1305">
        <f t="shared" si="19"/>
        <v>402.70190736414258</v>
      </c>
      <c r="I78" s="1305">
        <f t="shared" si="19"/>
        <v>468.10311147905639</v>
      </c>
      <c r="J78" s="1305">
        <f t="shared" si="19"/>
        <v>399.07623721587186</v>
      </c>
      <c r="K78" s="1305">
        <f t="shared" si="19"/>
        <v>425.06385131976327</v>
      </c>
      <c r="L78" s="1305">
        <f t="shared" si="19"/>
        <v>467.40667387660193</v>
      </c>
      <c r="M78" s="1305">
        <f t="shared" si="19"/>
        <v>451.25811721634841</v>
      </c>
      <c r="N78" s="1305">
        <f t="shared" si="19"/>
        <v>451.25375705167028</v>
      </c>
      <c r="O78" s="1306">
        <f t="shared" si="19"/>
        <v>434.620721780194</v>
      </c>
      <c r="P78" s="1307">
        <f t="shared" si="18"/>
        <v>5111.2342232731526</v>
      </c>
      <c r="Q78" s="1307">
        <f>SUM(Q80:Q84)</f>
        <v>5310.80968684252</v>
      </c>
      <c r="R78" s="1307">
        <f>SUM(R80:R84)</f>
        <v>5511.6276869548028</v>
      </c>
      <c r="T78" s="1155" t="s">
        <v>2671</v>
      </c>
      <c r="U78" s="1156">
        <v>1242.566616048498</v>
      </c>
      <c r="V78" s="1156">
        <v>1494.2548625054021</v>
      </c>
      <c r="W78" s="1156">
        <v>1676.5519379948184</v>
      </c>
      <c r="X78" s="1156">
        <v>1855.3519655006255</v>
      </c>
    </row>
    <row r="79" spans="2:24" s="1063" customFormat="1" ht="14.25" customHeight="1">
      <c r="B79" s="1286"/>
      <c r="C79" s="1297"/>
      <c r="D79" s="1298">
        <f t="shared" ref="D79:R79" si="20">D78/D65</f>
        <v>1.4552023257160658E-2</v>
      </c>
      <c r="E79" s="1299">
        <f t="shared" si="20"/>
        <v>1.5797106895512999E-2</v>
      </c>
      <c r="F79" s="1299">
        <f t="shared" si="20"/>
        <v>1.5423599815344005E-2</v>
      </c>
      <c r="G79" s="1299">
        <f t="shared" si="20"/>
        <v>1.5715681151101266E-2</v>
      </c>
      <c r="H79" s="1299">
        <f t="shared" si="20"/>
        <v>1.6508335435473788E-2</v>
      </c>
      <c r="I79" s="1299">
        <f t="shared" si="20"/>
        <v>1.6115410903695684E-2</v>
      </c>
      <c r="J79" s="1299">
        <f t="shared" si="20"/>
        <v>1.6253616520928719E-2</v>
      </c>
      <c r="K79" s="1299">
        <f t="shared" si="20"/>
        <v>1.6557049060335519E-2</v>
      </c>
      <c r="L79" s="1299">
        <f t="shared" si="20"/>
        <v>1.6673039619854217E-2</v>
      </c>
      <c r="M79" s="1299">
        <f t="shared" si="20"/>
        <v>1.6771055321395528E-2</v>
      </c>
      <c r="N79" s="1299">
        <f t="shared" si="20"/>
        <v>1.73753779243167E-2</v>
      </c>
      <c r="O79" s="1300">
        <f t="shared" si="20"/>
        <v>1.7206306646194047E-2</v>
      </c>
      <c r="P79" s="1301">
        <f t="shared" si="20"/>
        <v>1.6253614105603515E-2</v>
      </c>
      <c r="Q79" s="1301">
        <f t="shared" si="20"/>
        <v>1.6343339743892085E-2</v>
      </c>
      <c r="R79" s="1301">
        <f t="shared" si="20"/>
        <v>1.6581783635922668E-2</v>
      </c>
      <c r="T79" s="1155" t="s">
        <v>2676</v>
      </c>
      <c r="U79" s="1156">
        <v>84.273488328219855</v>
      </c>
      <c r="V79" s="1156">
        <v>145.58062890618814</v>
      </c>
      <c r="W79" s="1156">
        <v>134.51131882622656</v>
      </c>
      <c r="X79" s="1156">
        <v>118.36062045808001</v>
      </c>
    </row>
    <row r="80" spans="2:24" s="1063" customFormat="1" ht="14.25" customHeight="1">
      <c r="B80" s="1286"/>
      <c r="C80" s="1287" t="s">
        <v>2781</v>
      </c>
      <c r="D80" s="1288">
        <v>321.59187399627518</v>
      </c>
      <c r="E80" s="1289">
        <v>368.93831598924635</v>
      </c>
      <c r="F80" s="1289">
        <v>361.71932363419472</v>
      </c>
      <c r="G80" s="1289">
        <v>381.78522622682414</v>
      </c>
      <c r="H80" s="1289">
        <v>371.31260028002026</v>
      </c>
      <c r="I80" s="1289">
        <v>398.06629093741833</v>
      </c>
      <c r="J80" s="1289">
        <v>325.4315770497019</v>
      </c>
      <c r="K80" s="1289">
        <v>342.9811252978979</v>
      </c>
      <c r="L80" s="1289">
        <v>371.03303340013707</v>
      </c>
      <c r="M80" s="1289">
        <v>361.26367534312334</v>
      </c>
      <c r="N80" s="1289">
        <v>401.35884871628173</v>
      </c>
      <c r="O80" s="1290">
        <v>354.47106613698861</v>
      </c>
      <c r="P80" s="1291">
        <f>SUM(D80:O80)</f>
        <v>4359.9529570081086</v>
      </c>
      <c r="Q80" s="1291">
        <v>4440.3628851465583</v>
      </c>
      <c r="R80" s="1291">
        <v>4526.8678010605399</v>
      </c>
      <c r="T80" s="1155" t="s">
        <v>2679</v>
      </c>
      <c r="U80" s="1156">
        <v>-772.12566700416164</v>
      </c>
      <c r="V80" s="1156">
        <v>-743.01382300015371</v>
      </c>
      <c r="W80" s="1156">
        <v>-801.55161306479943</v>
      </c>
      <c r="X80" s="1156">
        <v>-857.67038536958989</v>
      </c>
    </row>
    <row r="81" spans="2:24" s="1063" customFormat="1" ht="14.25" customHeight="1">
      <c r="B81" s="1286"/>
      <c r="C81" s="1287" t="s">
        <v>2782</v>
      </c>
      <c r="D81" s="1288">
        <v>50.83875469716007</v>
      </c>
      <c r="E81" s="1289">
        <v>86.950943522278166</v>
      </c>
      <c r="F81" s="1289">
        <v>74.990355732849721</v>
      </c>
      <c r="G81" s="1289">
        <v>113.97885293728694</v>
      </c>
      <c r="H81" s="1289">
        <v>60.274140831404544</v>
      </c>
      <c r="I81" s="1289">
        <v>135.27284052497043</v>
      </c>
      <c r="J81" s="1289">
        <v>114.46612163133918</v>
      </c>
      <c r="K81" s="1289">
        <v>149.5526365607283</v>
      </c>
      <c r="L81" s="1289">
        <v>128.49281219371784</v>
      </c>
      <c r="M81" s="1289">
        <v>171.68750109685146</v>
      </c>
      <c r="N81" s="1289">
        <v>124.59052644978868</v>
      </c>
      <c r="O81" s="1290">
        <v>148.06897418063033</v>
      </c>
      <c r="P81" s="1291">
        <f>SUM(D81:O81)</f>
        <v>1359.1644603590057</v>
      </c>
      <c r="Q81" s="1291">
        <v>1547.9370959345345</v>
      </c>
      <c r="R81" s="1291">
        <v>1734.519650805772</v>
      </c>
      <c r="T81" s="1155" t="s">
        <v>2682</v>
      </c>
      <c r="U81" s="1156">
        <v>0</v>
      </c>
      <c r="V81" s="1156">
        <v>0</v>
      </c>
      <c r="W81" s="1156">
        <v>0</v>
      </c>
      <c r="X81" s="1156">
        <v>0</v>
      </c>
    </row>
    <row r="82" spans="2:24" s="1063" customFormat="1" ht="14.25" customHeight="1">
      <c r="B82" s="1286"/>
      <c r="C82" s="1287" t="s">
        <v>2783</v>
      </c>
      <c r="D82" s="1227">
        <v>15.080045951773599</v>
      </c>
      <c r="E82" s="1228">
        <v>11.545092902564726</v>
      </c>
      <c r="F82" s="1228">
        <v>13.766100189093123</v>
      </c>
      <c r="G82" s="1228">
        <v>13.763759617992456</v>
      </c>
      <c r="H82" s="1228">
        <v>14.049516093564495</v>
      </c>
      <c r="I82" s="1228">
        <v>4.6441328134792244</v>
      </c>
      <c r="J82" s="1228">
        <v>15.989097111623213</v>
      </c>
      <c r="K82" s="1228">
        <v>9.6275858277420951</v>
      </c>
      <c r="L82" s="1228">
        <v>14.694564160030431</v>
      </c>
      <c r="M82" s="1228">
        <v>13.217627351105618</v>
      </c>
      <c r="N82" s="1228">
        <v>14.626527057912979</v>
      </c>
      <c r="O82" s="1229">
        <v>4.576579829309817</v>
      </c>
      <c r="P82" s="1292">
        <f>SUM(D82:O82)</f>
        <v>145.58062890619175</v>
      </c>
      <c r="Q82" s="1292">
        <v>134.51131882622656</v>
      </c>
      <c r="R82" s="1292">
        <v>118.36062045808001</v>
      </c>
      <c r="T82" s="1155"/>
      <c r="U82" s="1156"/>
      <c r="V82" s="1156"/>
      <c r="W82" s="1157"/>
      <c r="X82" s="1156"/>
    </row>
    <row r="83" spans="2:24" s="1063" customFormat="1" ht="14.25" customHeight="1">
      <c r="B83" s="1286"/>
      <c r="C83" s="1287" t="s">
        <v>2791</v>
      </c>
      <c r="D83" s="1288">
        <v>-49.238381662229131</v>
      </c>
      <c r="E83" s="1289">
        <v>-55.788690363059196</v>
      </c>
      <c r="F83" s="1289">
        <v>-46.221224686895603</v>
      </c>
      <c r="G83" s="1289">
        <v>-51.950502715851755</v>
      </c>
      <c r="H83" s="1289">
        <v>-42.9343498408467</v>
      </c>
      <c r="I83" s="1289">
        <v>-69.880152796811629</v>
      </c>
      <c r="J83" s="1289">
        <v>-56.810558576792488</v>
      </c>
      <c r="K83" s="1289">
        <v>-77.097496366605071</v>
      </c>
      <c r="L83" s="1289">
        <v>-46.813735877283371</v>
      </c>
      <c r="M83" s="1289">
        <v>-94.910686574732068</v>
      </c>
      <c r="N83" s="1289">
        <v>-89.322145172313213</v>
      </c>
      <c r="O83" s="1290">
        <v>-72.495898366734735</v>
      </c>
      <c r="P83" s="1291">
        <f>SUM(D83:O83)</f>
        <v>-753.46382300015489</v>
      </c>
      <c r="Q83" s="1291">
        <v>-812.00161306479947</v>
      </c>
      <c r="R83" s="1291">
        <v>-868.12038536958994</v>
      </c>
      <c r="T83" s="1253" t="s">
        <v>2794</v>
      </c>
      <c r="U83" s="1254">
        <v>-346.84325580000012</v>
      </c>
      <c r="V83" s="1254">
        <v>-333.63276325735177</v>
      </c>
      <c r="W83" s="1255">
        <v>-314.04639063542669</v>
      </c>
      <c r="X83" s="1254">
        <v>-294.48705615528473</v>
      </c>
    </row>
    <row r="84" spans="2:24" s="1063" customFormat="1" ht="14.25" customHeight="1">
      <c r="B84" s="1286"/>
      <c r="C84" s="1287" t="s">
        <v>2785</v>
      </c>
      <c r="D84" s="1227">
        <v>0</v>
      </c>
      <c r="E84" s="1228">
        <v>0</v>
      </c>
      <c r="F84" s="1228">
        <v>0</v>
      </c>
      <c r="G84" s="1228">
        <v>0</v>
      </c>
      <c r="H84" s="1228">
        <v>0</v>
      </c>
      <c r="I84" s="1228">
        <v>0</v>
      </c>
      <c r="J84" s="1228">
        <v>0</v>
      </c>
      <c r="K84" s="1228">
        <v>0</v>
      </c>
      <c r="L84" s="1228">
        <v>0</v>
      </c>
      <c r="M84" s="1228">
        <v>0</v>
      </c>
      <c r="N84" s="1228">
        <v>0</v>
      </c>
      <c r="O84" s="1229">
        <v>0</v>
      </c>
      <c r="P84" s="1292">
        <f>SUM(D84:O84)</f>
        <v>0</v>
      </c>
      <c r="Q84" s="1292">
        <v>0</v>
      </c>
      <c r="R84" s="1292">
        <v>0</v>
      </c>
      <c r="T84" s="1155" t="s">
        <v>2665</v>
      </c>
      <c r="U84" s="1156">
        <v>-212.83196128072498</v>
      </c>
      <c r="V84" s="1156">
        <v>-188.09236111097735</v>
      </c>
      <c r="W84" s="1156">
        <v>-174.98154857514274</v>
      </c>
      <c r="X84" s="1156">
        <v>-163.20474146043131</v>
      </c>
    </row>
    <row r="85" spans="2:24" s="1063" customFormat="1" ht="14.25" customHeight="1">
      <c r="B85" s="5756" t="s">
        <v>2795</v>
      </c>
      <c r="C85" s="5756"/>
      <c r="D85" s="1304">
        <v>263.85238852672416</v>
      </c>
      <c r="E85" s="1305">
        <v>321.08361639980342</v>
      </c>
      <c r="F85" s="1305">
        <v>315.31855279800874</v>
      </c>
      <c r="G85" s="1305">
        <v>356.91032213167637</v>
      </c>
      <c r="H85" s="1305">
        <v>314.10748774403123</v>
      </c>
      <c r="I85" s="1305">
        <v>365.12042695366398</v>
      </c>
      <c r="J85" s="1305">
        <v>311.27946502838006</v>
      </c>
      <c r="K85" s="1305">
        <v>331.54980402941533</v>
      </c>
      <c r="L85" s="1305">
        <v>364.57720562374948</v>
      </c>
      <c r="M85" s="1305">
        <v>351.98133142875179</v>
      </c>
      <c r="N85" s="1305">
        <v>351.97793050030282</v>
      </c>
      <c r="O85" s="1306">
        <v>339.00416298855134</v>
      </c>
      <c r="P85" s="1307">
        <v>3986.7626941530643</v>
      </c>
      <c r="Q85" s="1307">
        <v>4142.4315557371656</v>
      </c>
      <c r="R85" s="1307">
        <v>4299.0695958247461</v>
      </c>
      <c r="T85" s="1155" t="s">
        <v>2671</v>
      </c>
      <c r="U85" s="1156">
        <v>-122.34471477052514</v>
      </c>
      <c r="V85" s="1156">
        <v>-135.09040214637446</v>
      </c>
      <c r="W85" s="1156">
        <v>-128.61484206028399</v>
      </c>
      <c r="X85" s="1156">
        <v>-120.83231469485341</v>
      </c>
    </row>
    <row r="86" spans="2:24" s="1063" customFormat="1" ht="14.25" customHeight="1">
      <c r="B86" s="1308"/>
      <c r="C86" s="1309"/>
      <c r="D86" s="1310"/>
      <c r="E86" s="1311"/>
      <c r="F86" s="1311"/>
      <c r="G86" s="1311"/>
      <c r="H86" s="1311"/>
      <c r="I86" s="1311"/>
      <c r="J86" s="1311"/>
      <c r="K86" s="1311"/>
      <c r="L86" s="1311"/>
      <c r="M86" s="1311"/>
      <c r="N86" s="1311"/>
      <c r="O86" s="1312"/>
      <c r="P86" s="1313">
        <f>P85/P65</f>
        <v>1.2677819002370758E-2</v>
      </c>
      <c r="Q86" s="1313">
        <f>Q85/Q65</f>
        <v>1.2747805000235828E-2</v>
      </c>
      <c r="R86" s="1313">
        <f>R85/R65</f>
        <v>1.2933791236019681E-2</v>
      </c>
      <c r="T86" s="1155" t="s">
        <v>2676</v>
      </c>
      <c r="U86" s="1156">
        <v>0</v>
      </c>
      <c r="V86" s="1156">
        <v>0</v>
      </c>
      <c r="W86" s="1156">
        <v>0</v>
      </c>
      <c r="X86" s="1156">
        <v>0</v>
      </c>
    </row>
    <row r="87" spans="2:24" s="1063" customFormat="1" ht="14.25" customHeight="1">
      <c r="B87" s="1102"/>
      <c r="C87" s="1314"/>
      <c r="D87" s="1315"/>
      <c r="E87" s="1315"/>
      <c r="F87" s="1315"/>
      <c r="G87" s="1315"/>
      <c r="H87" s="1315"/>
      <c r="I87" s="1315"/>
      <c r="J87" s="1315"/>
      <c r="K87" s="1315"/>
      <c r="L87" s="1315"/>
      <c r="M87" s="1315"/>
      <c r="N87" s="1315"/>
      <c r="O87" s="1315"/>
      <c r="P87" s="1315"/>
      <c r="Q87" s="1315"/>
      <c r="R87" s="1315"/>
      <c r="T87" s="1155" t="s">
        <v>2679</v>
      </c>
      <c r="U87" s="1156">
        <v>-11.666579748749998</v>
      </c>
      <c r="V87" s="1156">
        <v>-10.450000000000001</v>
      </c>
      <c r="W87" s="1156">
        <v>-10.45</v>
      </c>
      <c r="X87" s="1156">
        <v>-10.45</v>
      </c>
    </row>
    <row r="88" spans="2:24" ht="21" customHeight="1" thickBot="1">
      <c r="B88" s="1134" t="s">
        <v>2796</v>
      </c>
      <c r="C88" s="1063"/>
      <c r="D88" s="1316"/>
      <c r="E88" s="1063"/>
      <c r="F88" s="1063"/>
      <c r="G88" s="1063"/>
      <c r="H88" s="1063"/>
      <c r="I88" s="1063"/>
      <c r="J88" s="1063"/>
      <c r="K88" s="1063"/>
      <c r="L88" s="1063"/>
      <c r="M88" s="1063"/>
      <c r="N88" s="1063"/>
      <c r="O88" s="1063"/>
      <c r="P88" s="1106"/>
      <c r="Q88" s="1106"/>
      <c r="R88" s="1211" t="s">
        <v>2779</v>
      </c>
      <c r="T88" s="1155" t="s">
        <v>2682</v>
      </c>
      <c r="U88" s="1156"/>
      <c r="V88" s="1156">
        <v>0</v>
      </c>
      <c r="W88" s="1156">
        <v>0</v>
      </c>
      <c r="X88" s="1156">
        <v>0</v>
      </c>
    </row>
    <row r="89" spans="2:24" s="1063" customFormat="1" ht="14.25" customHeight="1">
      <c r="B89" s="5746" t="s">
        <v>2069</v>
      </c>
      <c r="C89" s="5747"/>
      <c r="D89" s="1279" t="s">
        <v>2710</v>
      </c>
      <c r="E89" s="1280" t="s">
        <v>2711</v>
      </c>
      <c r="F89" s="1280" t="s">
        <v>2712</v>
      </c>
      <c r="G89" s="1280" t="s">
        <v>2713</v>
      </c>
      <c r="H89" s="1280" t="s">
        <v>2714</v>
      </c>
      <c r="I89" s="1280" t="s">
        <v>2715</v>
      </c>
      <c r="J89" s="1280" t="s">
        <v>2716</v>
      </c>
      <c r="K89" s="1280" t="s">
        <v>2717</v>
      </c>
      <c r="L89" s="1280" t="s">
        <v>2718</v>
      </c>
      <c r="M89" s="1280" t="s">
        <v>2719</v>
      </c>
      <c r="N89" s="1280" t="s">
        <v>2720</v>
      </c>
      <c r="O89" s="1281" t="s">
        <v>2721</v>
      </c>
      <c r="P89" s="1215" t="s">
        <v>1933</v>
      </c>
      <c r="Q89" s="1215" t="s">
        <v>1934</v>
      </c>
      <c r="R89" s="1215" t="s">
        <v>1935</v>
      </c>
      <c r="T89" s="1155"/>
      <c r="U89" s="1156"/>
      <c r="V89" s="1156"/>
      <c r="W89" s="1157"/>
      <c r="X89" s="1156"/>
    </row>
    <row r="90" spans="2:24" s="1063" customFormat="1" ht="14.25" customHeight="1">
      <c r="B90" s="5754" t="s">
        <v>1620</v>
      </c>
      <c r="C90" s="5754"/>
      <c r="D90" s="1282">
        <f>SUM(D91:D92)</f>
        <v>23245.722399222046</v>
      </c>
      <c r="E90" s="1283">
        <f t="shared" ref="E90:O90" si="21">SUM(E91:E92)</f>
        <v>26058.294393636952</v>
      </c>
      <c r="F90" s="1283">
        <f t="shared" si="21"/>
        <v>26210.129911894732</v>
      </c>
      <c r="G90" s="1283">
        <f t="shared" si="21"/>
        <v>29115.972236061007</v>
      </c>
      <c r="H90" s="1283">
        <f t="shared" si="21"/>
        <v>24393.852968288986</v>
      </c>
      <c r="I90" s="1283">
        <f t="shared" si="21"/>
        <v>29046.923735075732</v>
      </c>
      <c r="J90" s="1283">
        <f t="shared" si="21"/>
        <v>24553.073262311031</v>
      </c>
      <c r="K90" s="1283">
        <f t="shared" si="21"/>
        <v>25672.681754507619</v>
      </c>
      <c r="L90" s="1283">
        <f t="shared" si="21"/>
        <v>28033.680992397756</v>
      </c>
      <c r="M90" s="1283">
        <f t="shared" si="21"/>
        <v>26906.960150603027</v>
      </c>
      <c r="N90" s="1283">
        <f t="shared" si="21"/>
        <v>25970.874361250251</v>
      </c>
      <c r="O90" s="1284">
        <f t="shared" si="21"/>
        <v>25259.384870740403</v>
      </c>
      <c r="P90" s="1285">
        <f>SUM(D90:O90)</f>
        <v>314467.55103598954</v>
      </c>
      <c r="Q90" s="1285">
        <f>SUM(Q91:Q92)</f>
        <v>324952.53540986334</v>
      </c>
      <c r="R90" s="1285">
        <f>SUM(R91:R92)</f>
        <v>332390.52010149549</v>
      </c>
      <c r="T90" s="1208" t="s">
        <v>2797</v>
      </c>
      <c r="U90" s="1209">
        <v>0.35885400000000001</v>
      </c>
      <c r="V90" s="1209">
        <v>0</v>
      </c>
      <c r="W90" s="1210">
        <v>0</v>
      </c>
      <c r="X90" s="1209">
        <v>0</v>
      </c>
    </row>
    <row r="91" spans="2:24" s="1063" customFormat="1" ht="14.25" customHeight="1">
      <c r="B91" s="1286"/>
      <c r="C91" s="1317" t="s">
        <v>2798</v>
      </c>
      <c r="D91" s="1288">
        <v>63.409680000000002</v>
      </c>
      <c r="E91" s="1289">
        <v>62.608879999999999</v>
      </c>
      <c r="F91" s="1289">
        <v>63.810079999999999</v>
      </c>
      <c r="G91" s="1289">
        <v>63.409680000000002</v>
      </c>
      <c r="H91" s="1289">
        <v>63.409680000000002</v>
      </c>
      <c r="I91" s="1289">
        <v>68.197680000000005</v>
      </c>
      <c r="J91" s="1289">
        <v>66.212479999999999</v>
      </c>
      <c r="K91" s="1289">
        <v>66.212479999999999</v>
      </c>
      <c r="L91" s="1289">
        <v>66.212479999999999</v>
      </c>
      <c r="M91" s="1289">
        <v>66.212479999999999</v>
      </c>
      <c r="N91" s="1289">
        <v>66.212479999999999</v>
      </c>
      <c r="O91" s="1290">
        <v>71.00048000000001</v>
      </c>
      <c r="P91" s="1291">
        <f>SUM(D91:O91)</f>
        <v>786.90856000000019</v>
      </c>
      <c r="Q91" s="1291">
        <v>871.23270000000014</v>
      </c>
      <c r="R91" s="1291">
        <v>892.50804900000014</v>
      </c>
      <c r="T91" s="1208" t="s">
        <v>2799</v>
      </c>
      <c r="U91" s="1209">
        <v>-347.20210980000013</v>
      </c>
      <c r="V91" s="1209">
        <v>-333.63276325735183</v>
      </c>
      <c r="W91" s="1210">
        <v>-314.04639063542669</v>
      </c>
      <c r="X91" s="1209">
        <v>-294.48705615528468</v>
      </c>
    </row>
    <row r="92" spans="2:24" s="1063" customFormat="1" ht="14.25" customHeight="1">
      <c r="B92" s="1286"/>
      <c r="C92" s="1317" t="s">
        <v>2800</v>
      </c>
      <c r="D92" s="1288">
        <v>23182.312719222045</v>
      </c>
      <c r="E92" s="1289">
        <v>25995.685513636952</v>
      </c>
      <c r="F92" s="1289">
        <v>26146.319831894732</v>
      </c>
      <c r="G92" s="1289">
        <v>29052.562556061006</v>
      </c>
      <c r="H92" s="1289">
        <v>24330.443288288985</v>
      </c>
      <c r="I92" s="1289">
        <v>28978.726055075731</v>
      </c>
      <c r="J92" s="1289">
        <v>24486.860782311032</v>
      </c>
      <c r="K92" s="1289">
        <v>25606.469274507621</v>
      </c>
      <c r="L92" s="1289">
        <v>27967.468512397758</v>
      </c>
      <c r="M92" s="1289">
        <v>26840.747670603028</v>
      </c>
      <c r="N92" s="1289">
        <v>25904.661881250253</v>
      </c>
      <c r="O92" s="1290">
        <v>25188.384390740404</v>
      </c>
      <c r="P92" s="1291">
        <f>SUM(D92:O92)</f>
        <v>313680.64247598959</v>
      </c>
      <c r="Q92" s="1291">
        <v>324081.30270986335</v>
      </c>
      <c r="R92" s="1291">
        <v>331498.0120524955</v>
      </c>
      <c r="T92" s="1155"/>
      <c r="U92" s="1156"/>
      <c r="V92" s="1156"/>
      <c r="W92" s="1157"/>
      <c r="X92" s="1156"/>
    </row>
    <row r="93" spans="2:24" s="1063" customFormat="1" ht="14.25" customHeight="1">
      <c r="B93" s="5750" t="s">
        <v>2801</v>
      </c>
      <c r="C93" s="5750"/>
      <c r="D93" s="1318">
        <f>SUM(D94,D96,-D97)</f>
        <v>22907.45010623907</v>
      </c>
      <c r="E93" s="1319">
        <f t="shared" ref="E93:O93" si="22">SUM(E94,E96,-E97)</f>
        <v>25646.648731585923</v>
      </c>
      <c r="F93" s="1319">
        <f t="shared" si="22"/>
        <v>25805.875357025492</v>
      </c>
      <c r="G93" s="1319">
        <f t="shared" si="22"/>
        <v>28658.394899994757</v>
      </c>
      <c r="H93" s="1319">
        <f t="shared" si="22"/>
        <v>23991.151060924847</v>
      </c>
      <c r="I93" s="1319">
        <f t="shared" si="22"/>
        <v>28578.820623596675</v>
      </c>
      <c r="J93" s="1319">
        <f t="shared" si="22"/>
        <v>24153.997025095163</v>
      </c>
      <c r="K93" s="1319">
        <f t="shared" si="22"/>
        <v>25247.617903187864</v>
      </c>
      <c r="L93" s="1319">
        <f t="shared" si="22"/>
        <v>27566.274318521155</v>
      </c>
      <c r="M93" s="1319">
        <f t="shared" si="22"/>
        <v>26455.702033386682</v>
      </c>
      <c r="N93" s="1319">
        <f t="shared" si="22"/>
        <v>25519.620604198586</v>
      </c>
      <c r="O93" s="1320">
        <f t="shared" si="22"/>
        <v>24824.76414896021</v>
      </c>
      <c r="P93" s="1321">
        <f>SUM(D93:O93)</f>
        <v>309356.31681271642</v>
      </c>
      <c r="Q93" s="1321">
        <f>SUM(Q94,Q96,-Q97)</f>
        <v>319641.72572302091</v>
      </c>
      <c r="R93" s="1321">
        <f>SUM(R94,R96,-R97)</f>
        <v>326878.89241454069</v>
      </c>
      <c r="T93" s="1144" t="s">
        <v>2802</v>
      </c>
      <c r="U93" s="1247">
        <v>5858.0120147223197</v>
      </c>
      <c r="V93" s="1247">
        <v>5111.2342232731598</v>
      </c>
      <c r="W93" s="1246">
        <v>5310.80968684252</v>
      </c>
      <c r="X93" s="1247">
        <v>5511.6276869548028</v>
      </c>
    </row>
    <row r="94" spans="2:24" s="1063" customFormat="1" ht="14.25" customHeight="1">
      <c r="B94" s="1322"/>
      <c r="C94" s="1323" t="s">
        <v>2803</v>
      </c>
      <c r="D94" s="1324">
        <v>22053.179673885148</v>
      </c>
      <c r="E94" s="1325">
        <v>24808.83248534429</v>
      </c>
      <c r="F94" s="1325">
        <v>24942.84150037526</v>
      </c>
      <c r="G94" s="1325">
        <v>27840.997196416232</v>
      </c>
      <c r="H94" s="1325">
        <v>23148.114596219471</v>
      </c>
      <c r="I94" s="1325">
        <v>27730.756823708401</v>
      </c>
      <c r="J94" s="1325">
        <v>23314.247582633245</v>
      </c>
      <c r="K94" s="1325">
        <v>24365.513998444636</v>
      </c>
      <c r="L94" s="1325">
        <v>26717.898618765037</v>
      </c>
      <c r="M94" s="1325">
        <v>25662.009580151538</v>
      </c>
      <c r="N94" s="1325">
        <v>24658.720479791122</v>
      </c>
      <c r="O94" s="1326">
        <v>23914.014762277726</v>
      </c>
      <c r="P94" s="1327">
        <f>SUM(D94:O94)</f>
        <v>299157.12729801208</v>
      </c>
      <c r="Q94" s="1327">
        <v>308992.14555007638</v>
      </c>
      <c r="R94" s="1327">
        <v>315856.3481452617</v>
      </c>
      <c r="T94" s="1155" t="s">
        <v>2665</v>
      </c>
      <c r="U94" s="1156">
        <v>5437.3088718690387</v>
      </c>
      <c r="V94" s="1156">
        <v>4359.9529570080977</v>
      </c>
      <c r="W94" s="1156">
        <v>4440.3628851465583</v>
      </c>
      <c r="X94" s="1156">
        <v>4526.8678010605399</v>
      </c>
    </row>
    <row r="95" spans="2:24" s="1063" customFormat="1" ht="14.25" customHeight="1">
      <c r="B95" s="1322"/>
      <c r="C95" s="1328" t="s">
        <v>2804</v>
      </c>
      <c r="D95" s="1329">
        <f t="shared" ref="D95:R95" si="23">IF(ISERROR(D94/D90),"",D94/D90)</f>
        <v>0.94869840115716053</v>
      </c>
      <c r="E95" s="1330">
        <f t="shared" si="23"/>
        <v>0.95205127820653668</v>
      </c>
      <c r="F95" s="1330">
        <f t="shared" si="23"/>
        <v>0.95164890766358434</v>
      </c>
      <c r="G95" s="1330">
        <f t="shared" si="23"/>
        <v>0.95621045969862273</v>
      </c>
      <c r="H95" s="1330">
        <f t="shared" si="23"/>
        <v>0.94893228332199409</v>
      </c>
      <c r="I95" s="1330">
        <f t="shared" si="23"/>
        <v>0.95468825121133261</v>
      </c>
      <c r="J95" s="1330">
        <f t="shared" si="23"/>
        <v>0.94954498500277829</v>
      </c>
      <c r="K95" s="1330">
        <f t="shared" si="23"/>
        <v>0.94908331865900719</v>
      </c>
      <c r="L95" s="1330">
        <f t="shared" si="23"/>
        <v>0.95306423105872051</v>
      </c>
      <c r="M95" s="1330">
        <f t="shared" si="23"/>
        <v>0.95373128129364004</v>
      </c>
      <c r="N95" s="1330">
        <f t="shared" si="23"/>
        <v>0.94947594512193534</v>
      </c>
      <c r="O95" s="1331">
        <f t="shared" si="23"/>
        <v>0.94673781189259654</v>
      </c>
      <c r="P95" s="1332">
        <f t="shared" si="23"/>
        <v>0.95131318418215671</v>
      </c>
      <c r="Q95" s="1332">
        <f t="shared" si="23"/>
        <v>0.95088393497328438</v>
      </c>
      <c r="R95" s="1332">
        <f t="shared" si="23"/>
        <v>0.95025678845718864</v>
      </c>
      <c r="T95" s="1155" t="s">
        <v>2671</v>
      </c>
      <c r="U95" s="1156">
        <v>1120.2219012779728</v>
      </c>
      <c r="V95" s="1156">
        <v>1359.1644603590275</v>
      </c>
      <c r="W95" s="1156">
        <v>1547.9370959345345</v>
      </c>
      <c r="X95" s="1156">
        <v>1734.519650805772</v>
      </c>
    </row>
    <row r="96" spans="2:24" s="1063" customFormat="1" ht="14.25" customHeight="1">
      <c r="B96" s="1286"/>
      <c r="C96" s="1317" t="s">
        <v>2805</v>
      </c>
      <c r="D96" s="1288">
        <v>825.16559084242567</v>
      </c>
      <c r="E96" s="1289">
        <v>812.62280037012954</v>
      </c>
      <c r="F96" s="1289">
        <v>832.81761546249504</v>
      </c>
      <c r="G96" s="1289">
        <v>789.16091930110599</v>
      </c>
      <c r="H96" s="1289">
        <v>812.79205122453516</v>
      </c>
      <c r="I96" s="1289">
        <v>822.33198089587586</v>
      </c>
      <c r="J96" s="1289">
        <v>809.98722085632903</v>
      </c>
      <c r="K96" s="1289">
        <v>852.14813415448407</v>
      </c>
      <c r="L96" s="1289">
        <v>825.69284038512069</v>
      </c>
      <c r="M96" s="1289">
        <v>762.96880823055074</v>
      </c>
      <c r="N96" s="1289">
        <v>833.61180681289443</v>
      </c>
      <c r="O96" s="1290">
        <v>881.16848291100848</v>
      </c>
      <c r="P96" s="1291">
        <f>SUM(D96:O96)</f>
        <v>9860.4682514469569</v>
      </c>
      <c r="Q96" s="1291">
        <v>10330.445282309072</v>
      </c>
      <c r="R96" s="1291">
        <v>10722.968713123701</v>
      </c>
      <c r="T96" s="1155" t="s">
        <v>2676</v>
      </c>
      <c r="U96" s="1156">
        <v>84.273488328219855</v>
      </c>
      <c r="V96" s="1333">
        <v>145.58062890618814</v>
      </c>
      <c r="W96" s="1333">
        <v>134.51131882622656</v>
      </c>
      <c r="X96" s="1333">
        <v>118.36062045808001</v>
      </c>
    </row>
    <row r="97" spans="2:24" s="1063" customFormat="1" ht="14.25" customHeight="1">
      <c r="B97" s="1286"/>
      <c r="C97" s="1317" t="s">
        <v>2806</v>
      </c>
      <c r="D97" s="1288">
        <v>-29.104841511495124</v>
      </c>
      <c r="E97" s="1289">
        <v>-25.193445871502377</v>
      </c>
      <c r="F97" s="1289">
        <v>-30.216241187736664</v>
      </c>
      <c r="G97" s="1289">
        <v>-28.23678427741681</v>
      </c>
      <c r="H97" s="1289">
        <v>-30.244413480838244</v>
      </c>
      <c r="I97" s="1289">
        <v>-25.731818992398047</v>
      </c>
      <c r="J97" s="1289">
        <v>-29.762221605589605</v>
      </c>
      <c r="K97" s="1289">
        <v>-29.955770588741775</v>
      </c>
      <c r="L97" s="1289">
        <v>-22.682859370996709</v>
      </c>
      <c r="M97" s="1289">
        <v>-30.723645004592342</v>
      </c>
      <c r="N97" s="1289">
        <v>-27.28831759456774</v>
      </c>
      <c r="O97" s="1290">
        <v>-29.580903771476418</v>
      </c>
      <c r="P97" s="1291">
        <f>SUM(D97:O97)</f>
        <v>-338.72126325735184</v>
      </c>
      <c r="Q97" s="1291">
        <v>-319.1348906354267</v>
      </c>
      <c r="R97" s="1291">
        <v>-299.57555615528474</v>
      </c>
      <c r="T97" s="1155" t="s">
        <v>2679</v>
      </c>
      <c r="U97" s="1156">
        <v>-783.79224675291164</v>
      </c>
      <c r="V97" s="1156">
        <v>-753.46382300015375</v>
      </c>
      <c r="W97" s="1156">
        <v>-812.00161306479947</v>
      </c>
      <c r="X97" s="1156">
        <v>-868.12038536958994</v>
      </c>
    </row>
    <row r="98" spans="2:24" s="1063" customFormat="1" ht="14.25" customHeight="1">
      <c r="B98" s="5756" t="s">
        <v>2793</v>
      </c>
      <c r="C98" s="5756"/>
      <c r="D98" s="1304">
        <f>D90-D93</f>
        <v>338.27229298297607</v>
      </c>
      <c r="E98" s="1305">
        <f t="shared" ref="E98:O98" si="24">E90-E93</f>
        <v>411.64566205102892</v>
      </c>
      <c r="F98" s="1305">
        <f t="shared" si="24"/>
        <v>404.25455486923966</v>
      </c>
      <c r="G98" s="1305">
        <f t="shared" si="24"/>
        <v>457.5773360662497</v>
      </c>
      <c r="H98" s="1305">
        <f t="shared" si="24"/>
        <v>402.70190736413861</v>
      </c>
      <c r="I98" s="1305">
        <f t="shared" si="24"/>
        <v>468.10311147905668</v>
      </c>
      <c r="J98" s="1305">
        <f t="shared" si="24"/>
        <v>399.07623721586788</v>
      </c>
      <c r="K98" s="1305">
        <f t="shared" si="24"/>
        <v>425.06385131975549</v>
      </c>
      <c r="L98" s="1305">
        <f t="shared" si="24"/>
        <v>467.40667387660142</v>
      </c>
      <c r="M98" s="1305">
        <f t="shared" si="24"/>
        <v>451.25811721634454</v>
      </c>
      <c r="N98" s="1305">
        <f t="shared" si="24"/>
        <v>451.25375705166516</v>
      </c>
      <c r="O98" s="1306">
        <f t="shared" si="24"/>
        <v>434.62072178019298</v>
      </c>
      <c r="P98" s="1307">
        <f>SUM(D98:O98)</f>
        <v>5111.2342232731171</v>
      </c>
      <c r="Q98" s="1307">
        <f>Q90-Q93</f>
        <v>5310.8096868424327</v>
      </c>
      <c r="R98" s="1307">
        <f>R90-R93</f>
        <v>5511.6276869548019</v>
      </c>
      <c r="T98" s="1155" t="s">
        <v>2682</v>
      </c>
      <c r="U98" s="1156">
        <v>0</v>
      </c>
      <c r="V98" s="1333">
        <v>0</v>
      </c>
      <c r="W98" s="1333">
        <v>0</v>
      </c>
      <c r="X98" s="1333">
        <v>0</v>
      </c>
    </row>
    <row r="99" spans="2:24" s="1063" customFormat="1" ht="14.25" customHeight="1">
      <c r="B99" s="5757" t="s">
        <v>2804</v>
      </c>
      <c r="C99" s="5758"/>
      <c r="D99" s="1298">
        <f t="shared" ref="D99:R99" si="25">IF(ISERROR(D98/D90),"",D98/D90)</f>
        <v>1.4552023257160504E-2</v>
      </c>
      <c r="E99" s="1299">
        <f t="shared" si="25"/>
        <v>1.5797106895512957E-2</v>
      </c>
      <c r="F99" s="1299">
        <f t="shared" si="25"/>
        <v>1.5423599815343917E-2</v>
      </c>
      <c r="G99" s="1299">
        <f t="shared" si="25"/>
        <v>1.5715681151101196E-2</v>
      </c>
      <c r="H99" s="1299">
        <f t="shared" si="25"/>
        <v>1.6508335435473628E-2</v>
      </c>
      <c r="I99" s="1299">
        <f t="shared" si="25"/>
        <v>1.6115410903695691E-2</v>
      </c>
      <c r="J99" s="1299">
        <f t="shared" si="25"/>
        <v>1.6253616520928559E-2</v>
      </c>
      <c r="K99" s="1299">
        <f t="shared" si="25"/>
        <v>1.655704906033522E-2</v>
      </c>
      <c r="L99" s="1299">
        <f t="shared" si="25"/>
        <v>1.66730396198542E-2</v>
      </c>
      <c r="M99" s="1299">
        <f t="shared" si="25"/>
        <v>1.6771055321395389E-2</v>
      </c>
      <c r="N99" s="1299">
        <f t="shared" si="25"/>
        <v>1.7375377924316506E-2</v>
      </c>
      <c r="O99" s="1300">
        <f t="shared" si="25"/>
        <v>1.7206306646194009E-2</v>
      </c>
      <c r="P99" s="1301">
        <f t="shared" si="25"/>
        <v>1.6253614105603401E-2</v>
      </c>
      <c r="Q99" s="1301">
        <f t="shared" si="25"/>
        <v>1.6343339743891818E-2</v>
      </c>
      <c r="R99" s="1301">
        <f t="shared" si="25"/>
        <v>1.6581783635922664E-2</v>
      </c>
      <c r="T99" s="1155"/>
      <c r="U99" s="1334"/>
      <c r="V99" s="1334"/>
      <c r="W99" s="1157"/>
      <c r="X99" s="1156"/>
    </row>
    <row r="100" spans="2:24" s="1063" customFormat="1" ht="14.25" customHeight="1">
      <c r="B100" s="5759" t="s">
        <v>2807</v>
      </c>
      <c r="C100" s="5759"/>
      <c r="D100" s="1335">
        <v>1192.5427253368969</v>
      </c>
      <c r="E100" s="1336">
        <v>1251.2119082926608</v>
      </c>
      <c r="F100" s="1336">
        <v>1267.2884115194713</v>
      </c>
      <c r="G100" s="1336">
        <v>1274.9750396447726</v>
      </c>
      <c r="H100" s="1336">
        <v>1245.738372069512</v>
      </c>
      <c r="I100" s="1336">
        <v>1318.8669113673304</v>
      </c>
      <c r="J100" s="1336">
        <v>1238.8256796777864</v>
      </c>
      <c r="K100" s="1336">
        <v>1307.1677560629814</v>
      </c>
      <c r="L100" s="1336">
        <v>1319.1123736327188</v>
      </c>
      <c r="M100" s="1336">
        <v>1244.9505704514877</v>
      </c>
      <c r="N100" s="1336">
        <v>1312.1538814591272</v>
      </c>
      <c r="O100" s="1337">
        <v>1345.3701084626778</v>
      </c>
      <c r="P100" s="1338">
        <f>SUM(D100:O100)</f>
        <v>15318.203737977425</v>
      </c>
      <c r="Q100" s="1338">
        <v>15968.169859786933</v>
      </c>
      <c r="R100" s="1338">
        <v>16541.951956233788</v>
      </c>
      <c r="T100" s="1339" t="s">
        <v>2808</v>
      </c>
      <c r="U100" s="1340">
        <v>1.905898963356787E-2</v>
      </c>
      <c r="V100" s="1340">
        <v>1.6253614105603536E-2</v>
      </c>
      <c r="W100" s="1341">
        <v>1.6343339743892085E-2</v>
      </c>
      <c r="X100" s="1340">
        <v>1.6581783635922668E-2</v>
      </c>
    </row>
    <row r="101" spans="2:24" s="1063" customFormat="1" ht="14.25" customHeight="1" thickBot="1">
      <c r="B101" s="5760" t="s">
        <v>2804</v>
      </c>
      <c r="C101" s="5761"/>
      <c r="D101" s="1342">
        <f t="shared" ref="D101:R101" si="26">IF(ISERROR(D100/D90),"",D100/D90)</f>
        <v>5.1301598842839455E-2</v>
      </c>
      <c r="E101" s="1343">
        <f t="shared" si="26"/>
        <v>4.801587891332551E-2</v>
      </c>
      <c r="F101" s="1343">
        <f t="shared" si="26"/>
        <v>4.8351092336415623E-2</v>
      </c>
      <c r="G101" s="1343">
        <f t="shared" si="26"/>
        <v>4.3789540301377182E-2</v>
      </c>
      <c r="H101" s="1343">
        <f t="shared" si="26"/>
        <v>5.1067716678005769E-2</v>
      </c>
      <c r="I101" s="1343">
        <f t="shared" si="26"/>
        <v>4.5404701833355501E-2</v>
      </c>
      <c r="J101" s="1343">
        <f t="shared" si="26"/>
        <v>5.0455014997221707E-2</v>
      </c>
      <c r="K101" s="1343">
        <f t="shared" si="26"/>
        <v>5.0916681340992684E-2</v>
      </c>
      <c r="L101" s="1343">
        <f t="shared" si="26"/>
        <v>4.7054554626288249E-2</v>
      </c>
      <c r="M101" s="1343">
        <f t="shared" si="26"/>
        <v>4.6268718706359936E-2</v>
      </c>
      <c r="N101" s="1343">
        <f t="shared" si="26"/>
        <v>5.0524054878064543E-2</v>
      </c>
      <c r="O101" s="1344">
        <f t="shared" si="26"/>
        <v>5.3262188107403512E-2</v>
      </c>
      <c r="P101" s="1345">
        <f t="shared" si="26"/>
        <v>4.8711556049305445E-2</v>
      </c>
      <c r="Q101" s="1345">
        <f t="shared" si="26"/>
        <v>4.9140006984854712E-2</v>
      </c>
      <c r="R101" s="1345">
        <f t="shared" si="26"/>
        <v>4.9766617745845163E-2</v>
      </c>
      <c r="T101" s="1155"/>
      <c r="U101" s="1334"/>
      <c r="V101" s="1334"/>
      <c r="W101" s="1334"/>
      <c r="X101" s="1334"/>
    </row>
    <row r="102" spans="2:24" s="1063" customFormat="1" ht="14.25" customHeight="1">
      <c r="T102" s="1253" t="s">
        <v>2809</v>
      </c>
      <c r="U102" s="1254">
        <v>1288.7626432389104</v>
      </c>
      <c r="V102" s="1254">
        <v>1124.4715291200953</v>
      </c>
      <c r="W102" s="1254">
        <v>1168.3781311053544</v>
      </c>
      <c r="X102" s="1254">
        <v>1212.5580911300567</v>
      </c>
    </row>
    <row r="103" spans="2:24" s="1063" customFormat="1" ht="14.25" hidden="1" customHeight="1">
      <c r="B103" s="5746" t="s">
        <v>1884</v>
      </c>
      <c r="C103" s="5747"/>
      <c r="D103" s="1279" t="s">
        <v>2710</v>
      </c>
      <c r="E103" s="1280" t="s">
        <v>2711</v>
      </c>
      <c r="F103" s="1280" t="s">
        <v>2712</v>
      </c>
      <c r="G103" s="1280" t="s">
        <v>2713</v>
      </c>
      <c r="H103" s="1280" t="s">
        <v>2714</v>
      </c>
      <c r="I103" s="1280" t="s">
        <v>2715</v>
      </c>
      <c r="J103" s="1280" t="s">
        <v>2716</v>
      </c>
      <c r="K103" s="1280" t="s">
        <v>2717</v>
      </c>
      <c r="L103" s="1280" t="s">
        <v>2718</v>
      </c>
      <c r="M103" s="1280" t="s">
        <v>2719</v>
      </c>
      <c r="N103" s="1280" t="s">
        <v>2720</v>
      </c>
      <c r="O103" s="1281" t="s">
        <v>2721</v>
      </c>
      <c r="P103" s="1215" t="s">
        <v>1933</v>
      </c>
      <c r="Q103" s="1215" t="s">
        <v>1934</v>
      </c>
      <c r="R103" s="1215" t="s">
        <v>1935</v>
      </c>
      <c r="T103" s="1155"/>
      <c r="U103" s="1334"/>
      <c r="V103" s="1334"/>
      <c r="W103" s="1334"/>
      <c r="X103" s="1334"/>
    </row>
    <row r="104" spans="2:24" s="1063" customFormat="1" ht="14.25" hidden="1" customHeight="1">
      <c r="B104" s="5754" t="s">
        <v>1620</v>
      </c>
      <c r="C104" s="5754"/>
      <c r="D104" s="1282">
        <f>SUM(D105:D106)</f>
        <v>12231.476362115982</v>
      </c>
      <c r="E104" s="1283">
        <f t="shared" ref="E104:O104" si="27">SUM(E105:E106)</f>
        <v>15371.997899311253</v>
      </c>
      <c r="F104" s="1283">
        <f t="shared" si="27"/>
        <v>14567.212426514358</v>
      </c>
      <c r="G104" s="1283">
        <f t="shared" si="27"/>
        <v>16909.106096107</v>
      </c>
      <c r="H104" s="1283">
        <f t="shared" si="27"/>
        <v>12896.131494977993</v>
      </c>
      <c r="I104" s="1283">
        <f t="shared" si="27"/>
        <v>16679.893591778051</v>
      </c>
      <c r="J104" s="1283">
        <f t="shared" si="27"/>
        <v>13044.134442727112</v>
      </c>
      <c r="K104" s="1283">
        <f t="shared" si="27"/>
        <v>13521.048184206553</v>
      </c>
      <c r="L104" s="1283">
        <f t="shared" si="27"/>
        <v>16830.852945556453</v>
      </c>
      <c r="M104" s="1283">
        <f t="shared" si="27"/>
        <v>14912.632547964913</v>
      </c>
      <c r="N104" s="1283">
        <f t="shared" si="27"/>
        <v>14542.453211416328</v>
      </c>
      <c r="O104" s="1284">
        <f t="shared" si="27"/>
        <v>13915.495137014987</v>
      </c>
      <c r="P104" s="1285">
        <f>SUM(D104:O104)</f>
        <v>175422.43433969095</v>
      </c>
      <c r="Q104" s="1285">
        <f>SUM(Q105:Q106)</f>
        <v>179084.50759761347</v>
      </c>
      <c r="R104" s="1285">
        <f>SUM(R105:R106)</f>
        <v>182789.01735083407</v>
      </c>
      <c r="T104" s="1144" t="s">
        <v>2810</v>
      </c>
      <c r="U104" s="1247">
        <v>4569.249371483409</v>
      </c>
      <c r="V104" s="1247">
        <v>3986.7626941530643</v>
      </c>
      <c r="W104" s="1247">
        <v>4142.4315557371656</v>
      </c>
      <c r="X104" s="1247">
        <v>4299.0695958247461</v>
      </c>
    </row>
    <row r="105" spans="2:24" s="1063" customFormat="1" ht="14.25" hidden="1" customHeight="1">
      <c r="B105" s="1286"/>
      <c r="C105" s="1317" t="s">
        <v>2798</v>
      </c>
      <c r="D105" s="1227">
        <v>20.791679999999999</v>
      </c>
      <c r="E105" s="1228">
        <v>20.791679999999999</v>
      </c>
      <c r="F105" s="1228">
        <v>20.791679999999999</v>
      </c>
      <c r="G105" s="1228">
        <v>20.311680000000003</v>
      </c>
      <c r="H105" s="1228">
        <v>20.311680000000003</v>
      </c>
      <c r="I105" s="1228">
        <v>20.311680000000003</v>
      </c>
      <c r="J105" s="1228">
        <v>20.311680000000003</v>
      </c>
      <c r="K105" s="1228">
        <v>20.311680000000003</v>
      </c>
      <c r="L105" s="1228">
        <v>20.311680000000003</v>
      </c>
      <c r="M105" s="1228">
        <v>20.311680000000003</v>
      </c>
      <c r="N105" s="1228">
        <v>20.311680000000003</v>
      </c>
      <c r="O105" s="1229">
        <v>20.311680000000003</v>
      </c>
      <c r="P105" s="1292">
        <f>SUM(D105:O105)</f>
        <v>245.18015999999997</v>
      </c>
      <c r="Q105" s="1292">
        <v>259.06943999999999</v>
      </c>
      <c r="R105" s="1292">
        <v>274.45632000000001</v>
      </c>
      <c r="T105" s="1155"/>
      <c r="U105" s="1334"/>
      <c r="V105" s="1334"/>
      <c r="W105" s="1334"/>
      <c r="X105" s="1334"/>
    </row>
    <row r="106" spans="2:24" s="1063" customFormat="1" ht="14.25" hidden="1" customHeight="1">
      <c r="B106" s="1286"/>
      <c r="C106" s="1317" t="s">
        <v>2800</v>
      </c>
      <c r="D106" s="1288">
        <v>12210.684682115982</v>
      </c>
      <c r="E106" s="1289">
        <v>15351.206219311252</v>
      </c>
      <c r="F106" s="1289">
        <v>14546.420746514357</v>
      </c>
      <c r="G106" s="1289">
        <v>16888.794416107001</v>
      </c>
      <c r="H106" s="1289">
        <v>12875.819814977993</v>
      </c>
      <c r="I106" s="1289">
        <v>16659.581911778052</v>
      </c>
      <c r="J106" s="1289">
        <v>13023.822762727112</v>
      </c>
      <c r="K106" s="1289">
        <v>13500.736504206552</v>
      </c>
      <c r="L106" s="1289">
        <v>16810.541265556454</v>
      </c>
      <c r="M106" s="1289">
        <v>14892.320867964912</v>
      </c>
      <c r="N106" s="1289">
        <v>14522.141531416328</v>
      </c>
      <c r="O106" s="1290">
        <v>13895.183457014986</v>
      </c>
      <c r="P106" s="1291">
        <f>SUM(D106:O106)</f>
        <v>175177.25417969099</v>
      </c>
      <c r="Q106" s="1291">
        <v>178825.43815761348</v>
      </c>
      <c r="R106" s="1291">
        <v>182514.56103083407</v>
      </c>
      <c r="T106" s="1339" t="s">
        <v>2808</v>
      </c>
      <c r="U106" s="1340">
        <v>1.4866011914182936E-2</v>
      </c>
      <c r="V106" s="1340">
        <v>1.2677819002370758E-2</v>
      </c>
      <c r="W106" s="1340">
        <v>1.2747805000235828E-2</v>
      </c>
      <c r="X106" s="1340">
        <v>1.2933791236019681E-2</v>
      </c>
    </row>
    <row r="107" spans="2:24" s="1063" customFormat="1" ht="14.25" hidden="1" customHeight="1">
      <c r="B107" s="5750" t="s">
        <v>2801</v>
      </c>
      <c r="C107" s="5750"/>
      <c r="D107" s="1318">
        <f>SUM(D108,D110,-D111)</f>
        <v>11909.884488119707</v>
      </c>
      <c r="E107" s="1319">
        <f t="shared" ref="E107:O107" si="28">SUM(E108,E110,-E111)</f>
        <v>15003.059583322005</v>
      </c>
      <c r="F107" s="1319">
        <f t="shared" si="28"/>
        <v>14205.493102880162</v>
      </c>
      <c r="G107" s="1319">
        <f t="shared" si="28"/>
        <v>16527.320869880175</v>
      </c>
      <c r="H107" s="1319">
        <f t="shared" si="28"/>
        <v>12524.818894697974</v>
      </c>
      <c r="I107" s="1319">
        <f t="shared" si="28"/>
        <v>16281.827300840632</v>
      </c>
      <c r="J107" s="1319">
        <f t="shared" si="28"/>
        <v>12718.702865677411</v>
      </c>
      <c r="K107" s="1319">
        <f t="shared" si="28"/>
        <v>13178.067058908657</v>
      </c>
      <c r="L107" s="1319">
        <f t="shared" si="28"/>
        <v>16459.819912156316</v>
      </c>
      <c r="M107" s="1319">
        <f t="shared" si="28"/>
        <v>14551.36887262179</v>
      </c>
      <c r="N107" s="1319">
        <f t="shared" si="28"/>
        <v>14141.094362700045</v>
      </c>
      <c r="O107" s="1320">
        <f t="shared" si="28"/>
        <v>13561.024070877997</v>
      </c>
      <c r="P107" s="1321">
        <f>SUM(D107:O107)</f>
        <v>171062.48138268286</v>
      </c>
      <c r="Q107" s="1321">
        <f>SUM(Q108,Q110,-Q111)</f>
        <v>174644.14471246692</v>
      </c>
      <c r="R107" s="1321">
        <f>SUM(R108,R110,-R111)</f>
        <v>178262.14954977352</v>
      </c>
      <c r="T107" s="1131"/>
      <c r="U107" s="1346"/>
      <c r="V107" s="1347"/>
      <c r="W107" s="1348"/>
      <c r="X107" s="1347"/>
    </row>
    <row r="108" spans="2:24" s="1063" customFormat="1" ht="14.25" hidden="1" customHeight="1">
      <c r="B108" s="1322"/>
      <c r="C108" s="1323" t="s">
        <v>2803</v>
      </c>
      <c r="D108" s="1324">
        <v>11517.411180524059</v>
      </c>
      <c r="E108" s="1325">
        <v>14606.946772411695</v>
      </c>
      <c r="F108" s="1325">
        <v>13802.349236510538</v>
      </c>
      <c r="G108" s="1325">
        <v>16144.424893304851</v>
      </c>
      <c r="H108" s="1325">
        <v>12133.770345915826</v>
      </c>
      <c r="I108" s="1325">
        <v>15899.265175779345</v>
      </c>
      <c r="J108" s="1325">
        <v>12349.243483982011</v>
      </c>
      <c r="K108" s="1325">
        <v>12790.279867244766</v>
      </c>
      <c r="L108" s="1325">
        <v>16065.646474912883</v>
      </c>
      <c r="M108" s="1325">
        <v>14171.421269880251</v>
      </c>
      <c r="N108" s="1325">
        <v>13756.270802706547</v>
      </c>
      <c r="O108" s="1326">
        <v>13164.609179285839</v>
      </c>
      <c r="P108" s="1327">
        <f>SUM(D108:O108)</f>
        <v>166401.63868245861</v>
      </c>
      <c r="Q108" s="1327">
        <v>169759.13917837237</v>
      </c>
      <c r="R108" s="1327">
        <v>173195.55875138263</v>
      </c>
      <c r="T108" s="1349" t="s">
        <v>2811</v>
      </c>
      <c r="U108" s="1350">
        <v>15758.915428364653</v>
      </c>
      <c r="V108" s="1350">
        <v>15318.203737977467</v>
      </c>
      <c r="W108" s="1350">
        <v>15968.16985978702</v>
      </c>
      <c r="X108" s="1350">
        <v>16541.951956233788</v>
      </c>
    </row>
    <row r="109" spans="2:24" s="1063" customFormat="1" ht="14.25" hidden="1" customHeight="1">
      <c r="B109" s="1322"/>
      <c r="C109" s="1328" t="s">
        <v>2804</v>
      </c>
      <c r="D109" s="1329">
        <f t="shared" ref="D109:R109" si="29">IF(ISERROR(D108/D104),"",D108/D104)</f>
        <v>0.94162068744182303</v>
      </c>
      <c r="E109" s="1330">
        <f t="shared" si="29"/>
        <v>0.95023085926040651</v>
      </c>
      <c r="F109" s="1330">
        <f t="shared" si="29"/>
        <v>0.94749419672004909</v>
      </c>
      <c r="G109" s="1330">
        <f t="shared" si="29"/>
        <v>0.95477695873123647</v>
      </c>
      <c r="H109" s="1330">
        <f t="shared" si="29"/>
        <v>0.94088450871030227</v>
      </c>
      <c r="I109" s="1330">
        <f t="shared" si="29"/>
        <v>0.95319943669283969</v>
      </c>
      <c r="J109" s="1330">
        <f t="shared" si="29"/>
        <v>0.94672770648016857</v>
      </c>
      <c r="K109" s="1330">
        <f t="shared" si="29"/>
        <v>0.94595327913886362</v>
      </c>
      <c r="L109" s="1330">
        <f t="shared" si="29"/>
        <v>0.9545354906778154</v>
      </c>
      <c r="M109" s="1330">
        <f t="shared" si="29"/>
        <v>0.95029641643079221</v>
      </c>
      <c r="N109" s="1330">
        <f t="shared" si="29"/>
        <v>0.94593880432136435</v>
      </c>
      <c r="O109" s="1331">
        <f t="shared" si="29"/>
        <v>0.94603958031419211</v>
      </c>
      <c r="P109" s="1332">
        <f t="shared" si="29"/>
        <v>0.9485767274226492</v>
      </c>
      <c r="Q109" s="1332">
        <f t="shared" si="29"/>
        <v>0.94792755362069425</v>
      </c>
      <c r="R109" s="1332">
        <f t="shared" si="29"/>
        <v>0.94751621985560364</v>
      </c>
      <c r="T109" s="1349" t="s">
        <v>2812</v>
      </c>
      <c r="U109" s="1350">
        <v>9900.9034136423325</v>
      </c>
      <c r="V109" s="1350">
        <v>10206.969514704306</v>
      </c>
      <c r="W109" s="1350">
        <v>10657.3601729445</v>
      </c>
      <c r="X109" s="1350">
        <v>11030.324269278985</v>
      </c>
    </row>
    <row r="110" spans="2:24" s="1063" customFormat="1" ht="14.25" hidden="1" customHeight="1">
      <c r="B110" s="1286"/>
      <c r="C110" s="1317" t="s">
        <v>2805</v>
      </c>
      <c r="D110" s="1288">
        <v>376.77085440952538</v>
      </c>
      <c r="E110" s="1289">
        <v>381.08885239540587</v>
      </c>
      <c r="F110" s="1289">
        <v>386.01543346549693</v>
      </c>
      <c r="G110" s="1289">
        <v>366.33649719838746</v>
      </c>
      <c r="H110" s="1289">
        <v>374.67916616725267</v>
      </c>
      <c r="I110" s="1289">
        <v>367.68559766209279</v>
      </c>
      <c r="J110" s="1289">
        <v>353.28522114928455</v>
      </c>
      <c r="K110" s="1289">
        <v>371.73610429437383</v>
      </c>
      <c r="L110" s="1289">
        <v>380.46536202174315</v>
      </c>
      <c r="M110" s="1289">
        <v>362.86879657957064</v>
      </c>
      <c r="N110" s="1289">
        <v>369.33178249929273</v>
      </c>
      <c r="O110" s="1290">
        <v>379.77303968121015</v>
      </c>
      <c r="P110" s="1291">
        <f>SUM(D110:O110)</f>
        <v>4470.0367075236363</v>
      </c>
      <c r="Q110" s="1291">
        <v>4707.0911653759931</v>
      </c>
      <c r="R110" s="1291">
        <v>4900.4622576974834</v>
      </c>
      <c r="T110" s="1351" t="s">
        <v>2813</v>
      </c>
      <c r="U110" s="1352">
        <v>6618.2414668423326</v>
      </c>
      <c r="V110" s="1352">
        <v>7122.3008700335267</v>
      </c>
      <c r="W110" s="1352">
        <v>7447.5923325161184</v>
      </c>
      <c r="X110" s="1352">
        <v>7727.4719220648276</v>
      </c>
    </row>
    <row r="111" spans="2:24" s="1063" customFormat="1" ht="14.25" hidden="1" customHeight="1">
      <c r="B111" s="1286"/>
      <c r="C111" s="1317" t="s">
        <v>2806</v>
      </c>
      <c r="D111" s="1288">
        <v>-15.702453186123039</v>
      </c>
      <c r="E111" s="1289">
        <v>-15.023958514905265</v>
      </c>
      <c r="F111" s="1289">
        <v>-17.128432904128076</v>
      </c>
      <c r="G111" s="1289">
        <v>-16.559479376937396</v>
      </c>
      <c r="H111" s="1289">
        <v>-16.36938261489577</v>
      </c>
      <c r="I111" s="1289">
        <v>-14.876527399194297</v>
      </c>
      <c r="J111" s="1289">
        <v>-16.174160546114777</v>
      </c>
      <c r="K111" s="1289">
        <v>-16.051087369515749</v>
      </c>
      <c r="L111" s="1289">
        <v>-13.708075221690551</v>
      </c>
      <c r="M111" s="1289">
        <v>-17.078806161967606</v>
      </c>
      <c r="N111" s="1289">
        <v>-15.491777494206328</v>
      </c>
      <c r="O111" s="1290">
        <v>-16.641851910948454</v>
      </c>
      <c r="P111" s="1291">
        <f>SUM(D111:O111)</f>
        <v>-190.80599270062731</v>
      </c>
      <c r="Q111" s="1291">
        <v>-177.91436871856087</v>
      </c>
      <c r="R111" s="1291">
        <v>-166.12854069339963</v>
      </c>
      <c r="T111" s="1351" t="s">
        <v>2814</v>
      </c>
      <c r="U111" s="1352">
        <v>2921.3140989999997</v>
      </c>
      <c r="V111" s="1352">
        <v>2738.1673814134269</v>
      </c>
      <c r="W111" s="1352">
        <v>2882.8529497929549</v>
      </c>
      <c r="X111" s="1352">
        <v>2995.496791058873</v>
      </c>
    </row>
    <row r="112" spans="2:24" s="1063" customFormat="1" ht="14.25" hidden="1" customHeight="1">
      <c r="B112" s="5756" t="s">
        <v>2793</v>
      </c>
      <c r="C112" s="5756"/>
      <c r="D112" s="1304">
        <f>D104-D107</f>
        <v>321.59187399627444</v>
      </c>
      <c r="E112" s="1305">
        <f t="shared" ref="E112:O112" si="30">E104-E107</f>
        <v>368.93831598924771</v>
      </c>
      <c r="F112" s="1305">
        <f t="shared" si="30"/>
        <v>361.71932363419546</v>
      </c>
      <c r="G112" s="1305">
        <f t="shared" si="30"/>
        <v>381.78522622682431</v>
      </c>
      <c r="H112" s="1305">
        <f t="shared" si="30"/>
        <v>371.31260028001998</v>
      </c>
      <c r="I112" s="1305">
        <f t="shared" si="30"/>
        <v>398.06629093741867</v>
      </c>
      <c r="J112" s="1305">
        <f t="shared" si="30"/>
        <v>325.43157704970145</v>
      </c>
      <c r="K112" s="1305">
        <f t="shared" si="30"/>
        <v>342.98112529789614</v>
      </c>
      <c r="L112" s="1305">
        <f t="shared" si="30"/>
        <v>371.03303340013736</v>
      </c>
      <c r="M112" s="1305">
        <f t="shared" si="30"/>
        <v>361.2636753431234</v>
      </c>
      <c r="N112" s="1305">
        <f t="shared" si="30"/>
        <v>401.35884871628332</v>
      </c>
      <c r="O112" s="1306">
        <f t="shared" si="30"/>
        <v>354.47106613698998</v>
      </c>
      <c r="P112" s="1307">
        <f>SUM(D112:O112)</f>
        <v>4359.9529570081122</v>
      </c>
      <c r="Q112" s="1307">
        <f>Q104-Q107</f>
        <v>4440.3628851465473</v>
      </c>
      <c r="R112" s="1307">
        <f>R104-R107</f>
        <v>4526.8678010605508</v>
      </c>
      <c r="T112" s="1351" t="s">
        <v>2815</v>
      </c>
      <c r="U112" s="1352">
        <v>361.34784780000001</v>
      </c>
      <c r="V112" s="1352">
        <v>346.50126325735181</v>
      </c>
      <c r="W112" s="1352">
        <v>326.91489063542667</v>
      </c>
      <c r="X112" s="1352">
        <v>307.35555615528466</v>
      </c>
    </row>
    <row r="113" spans="2:24" s="1063" customFormat="1" ht="14.25" hidden="1" customHeight="1">
      <c r="B113" s="5757" t="s">
        <v>2804</v>
      </c>
      <c r="C113" s="5758"/>
      <c r="D113" s="1298">
        <f t="shared" ref="D113:R113" si="31">IF(ISERROR(D112/D104),"",D112/D104)</f>
        <v>2.6292155131193068E-2</v>
      </c>
      <c r="E113" s="1299">
        <f t="shared" si="31"/>
        <v>2.4000674369450577E-2</v>
      </c>
      <c r="F113" s="1299">
        <f t="shared" si="31"/>
        <v>2.483105985163063E-2</v>
      </c>
      <c r="G113" s="1299">
        <f t="shared" si="31"/>
        <v>2.2578675895511893E-2</v>
      </c>
      <c r="H113" s="1299">
        <f t="shared" si="31"/>
        <v>2.8792556932644212E-2</v>
      </c>
      <c r="I113" s="1299">
        <f t="shared" si="31"/>
        <v>2.3865037792185663E-2</v>
      </c>
      <c r="J113" s="1299">
        <f t="shared" si="31"/>
        <v>2.4948499149450968E-2</v>
      </c>
      <c r="K113" s="1299">
        <f t="shared" si="31"/>
        <v>2.5366459805869192E-2</v>
      </c>
      <c r="L113" s="1299">
        <f t="shared" si="31"/>
        <v>2.2044814638945229E-2</v>
      </c>
      <c r="M113" s="1299">
        <f t="shared" si="31"/>
        <v>2.4225345470101058E-2</v>
      </c>
      <c r="N113" s="1299">
        <f t="shared" si="31"/>
        <v>2.7599115698113626E-2</v>
      </c>
      <c r="O113" s="1300">
        <f t="shared" si="31"/>
        <v>2.5473119184534283E-2</v>
      </c>
      <c r="P113" s="1301">
        <f t="shared" si="31"/>
        <v>2.4854021513379673E-2</v>
      </c>
      <c r="Q113" s="1301">
        <f t="shared" si="31"/>
        <v>2.4794790709220013E-2</v>
      </c>
      <c r="R113" s="1301">
        <f t="shared" si="31"/>
        <v>2.4765534968503922E-2</v>
      </c>
      <c r="T113" s="1349" t="s">
        <v>373</v>
      </c>
      <c r="U113" s="1353">
        <v>5858.0120147223197</v>
      </c>
      <c r="V113" s="1353">
        <v>5111.2342232731598</v>
      </c>
      <c r="W113" s="1353">
        <v>5310.80968684252</v>
      </c>
      <c r="X113" s="1353">
        <v>5511.6276869548028</v>
      </c>
    </row>
    <row r="114" spans="2:24" s="1063" customFormat="1" ht="14.25" hidden="1" customHeight="1">
      <c r="B114" s="5759" t="s">
        <v>2807</v>
      </c>
      <c r="C114" s="5759"/>
      <c r="D114" s="1335">
        <v>714.06518159192285</v>
      </c>
      <c r="E114" s="1336">
        <v>766.13209331958569</v>
      </c>
      <c r="F114" s="1336">
        <v>764.86319000382036</v>
      </c>
      <c r="G114" s="1336">
        <v>764.68120280214919</v>
      </c>
      <c r="H114" s="1336">
        <v>762.36114906216835</v>
      </c>
      <c r="I114" s="1336">
        <v>782.24406489246462</v>
      </c>
      <c r="J114" s="1336">
        <v>694.89095874510076</v>
      </c>
      <c r="K114" s="1336">
        <v>730.76831696178579</v>
      </c>
      <c r="L114" s="1336">
        <v>767.29925608264068</v>
      </c>
      <c r="M114" s="1336">
        <v>741.21127808466167</v>
      </c>
      <c r="N114" s="1336">
        <v>786.18240870978241</v>
      </c>
      <c r="O114" s="1337">
        <v>750.88595772914857</v>
      </c>
      <c r="P114" s="1338">
        <f>SUM(D114:O114)</f>
        <v>9025.5850579852304</v>
      </c>
      <c r="Q114" s="1338">
        <v>9329.8525188216845</v>
      </c>
      <c r="R114" s="1338">
        <v>9597.9289066210295</v>
      </c>
      <c r="T114"/>
      <c r="U114"/>
      <c r="V114"/>
      <c r="W114" s="1125"/>
      <c r="X114"/>
    </row>
    <row r="115" spans="2:24" s="1063" customFormat="1" ht="14.25" hidden="1" customHeight="1" thickBot="1">
      <c r="B115" s="5760" t="s">
        <v>2804</v>
      </c>
      <c r="C115" s="5761"/>
      <c r="D115" s="1342">
        <f t="shared" ref="D115:R115" si="32">IF(ISERROR(D114/D104),"",D114/D104)</f>
        <v>5.8379312558177014E-2</v>
      </c>
      <c r="E115" s="1343">
        <f t="shared" si="32"/>
        <v>4.9839461229298797E-2</v>
      </c>
      <c r="F115" s="1343">
        <f t="shared" si="32"/>
        <v>5.250580327995099E-2</v>
      </c>
      <c r="G115" s="1343">
        <f t="shared" si="32"/>
        <v>4.5223041268763607E-2</v>
      </c>
      <c r="H115" s="1343">
        <f t="shared" si="32"/>
        <v>5.9115491289697744E-2</v>
      </c>
      <c r="I115" s="1343">
        <f t="shared" si="32"/>
        <v>4.6897425369551091E-2</v>
      </c>
      <c r="J115" s="1343">
        <f t="shared" si="32"/>
        <v>5.3272293519831371E-2</v>
      </c>
      <c r="K115" s="1343">
        <f t="shared" si="32"/>
        <v>5.4046720861136328E-2</v>
      </c>
      <c r="L115" s="1343">
        <f t="shared" si="32"/>
        <v>4.5588851531449981E-2</v>
      </c>
      <c r="M115" s="1343">
        <f t="shared" si="32"/>
        <v>4.970358356920776E-2</v>
      </c>
      <c r="N115" s="1343">
        <f t="shared" si="32"/>
        <v>5.406119567863571E-2</v>
      </c>
      <c r="O115" s="1344">
        <f t="shared" si="32"/>
        <v>5.3960419685807968E-2</v>
      </c>
      <c r="P115" s="1345">
        <f t="shared" si="32"/>
        <v>5.1450574676828023E-2</v>
      </c>
      <c r="Q115" s="1345">
        <f t="shared" si="32"/>
        <v>5.2097485393795266E-2</v>
      </c>
      <c r="R115" s="1345">
        <f t="shared" si="32"/>
        <v>5.2508236248129454E-2</v>
      </c>
      <c r="T115" s="1354" t="s">
        <v>2816</v>
      </c>
      <c r="U115" s="1355">
        <v>5.1271490230924657E-2</v>
      </c>
      <c r="V115" s="1355">
        <v>4.8711556049305577E-2</v>
      </c>
      <c r="W115" s="1355">
        <v>4.9140006984854982E-2</v>
      </c>
      <c r="X115" s="1355">
        <v>4.9766617745845163E-2</v>
      </c>
    </row>
    <row r="116" spans="2:24" s="1063" customFormat="1" ht="14.25" hidden="1" customHeight="1" thickBot="1">
      <c r="T116" s="1354" t="s">
        <v>2817</v>
      </c>
      <c r="U116" s="1355">
        <v>3.221250059735678E-2</v>
      </c>
      <c r="V116" s="1355">
        <v>3.2457941943702037E-2</v>
      </c>
      <c r="W116" s="1355">
        <v>3.2796667240962897E-2</v>
      </c>
      <c r="X116" s="1355">
        <v>3.3184834109922491E-2</v>
      </c>
    </row>
    <row r="117" spans="2:24" s="1063" customFormat="1" ht="14.25" hidden="1" customHeight="1">
      <c r="B117" s="5746" t="s">
        <v>1885</v>
      </c>
      <c r="C117" s="5747"/>
      <c r="D117" s="1279" t="s">
        <v>2710</v>
      </c>
      <c r="E117" s="1280" t="s">
        <v>2711</v>
      </c>
      <c r="F117" s="1280" t="s">
        <v>2712</v>
      </c>
      <c r="G117" s="1280" t="s">
        <v>2713</v>
      </c>
      <c r="H117" s="1280" t="s">
        <v>2714</v>
      </c>
      <c r="I117" s="1280" t="s">
        <v>2715</v>
      </c>
      <c r="J117" s="1280" t="s">
        <v>2716</v>
      </c>
      <c r="K117" s="1280" t="s">
        <v>2717</v>
      </c>
      <c r="L117" s="1280" t="s">
        <v>2718</v>
      </c>
      <c r="M117" s="1280" t="s">
        <v>2719</v>
      </c>
      <c r="N117" s="1280" t="s">
        <v>2720</v>
      </c>
      <c r="O117" s="1281" t="s">
        <v>2721</v>
      </c>
      <c r="P117" s="1215" t="s">
        <v>1933</v>
      </c>
      <c r="Q117" s="1215" t="s">
        <v>1934</v>
      </c>
      <c r="R117" s="1215" t="s">
        <v>1935</v>
      </c>
      <c r="T117" s="1354" t="s">
        <v>2818</v>
      </c>
      <c r="U117" s="1355">
        <v>1.905898963356787E-2</v>
      </c>
      <c r="V117" s="1355">
        <v>1.6253614105603536E-2</v>
      </c>
      <c r="W117" s="1355">
        <v>1.6343339743892085E-2</v>
      </c>
      <c r="X117" s="1355">
        <v>1.6581783635922668E-2</v>
      </c>
    </row>
    <row r="118" spans="2:24" s="1063" customFormat="1" ht="14.25" hidden="1" customHeight="1">
      <c r="B118" s="5754" t="s">
        <v>1620</v>
      </c>
      <c r="C118" s="5754"/>
      <c r="D118" s="1282">
        <f>SUM(D119:D120)</f>
        <v>9761.4950255758995</v>
      </c>
      <c r="E118" s="1283">
        <f t="shared" ref="E118:O118" si="33">SUM(E119:E120)</f>
        <v>9514.0631525455337</v>
      </c>
      <c r="F118" s="1283">
        <f t="shared" si="33"/>
        <v>10390.16647385021</v>
      </c>
      <c r="G118" s="1283">
        <f t="shared" si="33"/>
        <v>11034.63279817384</v>
      </c>
      <c r="H118" s="1283">
        <f t="shared" si="33"/>
        <v>10244.970461780829</v>
      </c>
      <c r="I118" s="1283">
        <f t="shared" si="33"/>
        <v>11194.796801517514</v>
      </c>
      <c r="J118" s="1283">
        <f t="shared" si="33"/>
        <v>10256.187808053757</v>
      </c>
      <c r="K118" s="1283">
        <f t="shared" si="33"/>
        <v>10979.400228520904</v>
      </c>
      <c r="L118" s="1283">
        <f t="shared" si="33"/>
        <v>9950.0770353111384</v>
      </c>
      <c r="M118" s="1283">
        <f t="shared" si="33"/>
        <v>11153.827060227948</v>
      </c>
      <c r="N118" s="1283">
        <f t="shared" si="33"/>
        <v>10256.187808053757</v>
      </c>
      <c r="O118" s="1284">
        <f t="shared" si="33"/>
        <v>10091.138722195252</v>
      </c>
      <c r="P118" s="1285">
        <f>SUM(D118:O118)</f>
        <v>124826.94337580659</v>
      </c>
      <c r="Q118" s="1285">
        <f>SUM(Q119:Q120)</f>
        <v>131630.59675528988</v>
      </c>
      <c r="R118" s="1285">
        <f>SUM(R119:R120)</f>
        <v>135331.97546625146</v>
      </c>
      <c r="T118" s="1354" t="s">
        <v>2819</v>
      </c>
      <c r="U118" s="1355">
        <v>1.4866011914182936E-2</v>
      </c>
      <c r="V118" s="1355">
        <v>1.2677819002370758E-2</v>
      </c>
      <c r="W118" s="1355">
        <v>1.2747805000235828E-2</v>
      </c>
      <c r="X118" s="1355">
        <v>1.2933791236019681E-2</v>
      </c>
    </row>
    <row r="119" spans="2:24" s="1063" customFormat="1" ht="14.25" hidden="1" customHeight="1">
      <c r="B119" s="1286"/>
      <c r="C119" s="1317" t="s">
        <v>2798</v>
      </c>
      <c r="D119" s="1227">
        <v>6.6480000000000015</v>
      </c>
      <c r="E119" s="1228">
        <v>5.8471999999999991</v>
      </c>
      <c r="F119" s="1228">
        <v>7.0483999999999991</v>
      </c>
      <c r="G119" s="1228">
        <v>7.128000000000001</v>
      </c>
      <c r="H119" s="1228">
        <v>7.128000000000001</v>
      </c>
      <c r="I119" s="1228">
        <v>11.916000000000002</v>
      </c>
      <c r="J119" s="1228">
        <v>9.9308000000000014</v>
      </c>
      <c r="K119" s="1228">
        <v>9.9308000000000014</v>
      </c>
      <c r="L119" s="1228">
        <v>9.9308000000000014</v>
      </c>
      <c r="M119" s="1228">
        <v>9.9308000000000014</v>
      </c>
      <c r="N119" s="1228">
        <v>9.9308000000000014</v>
      </c>
      <c r="O119" s="1229">
        <v>14.718800000000003</v>
      </c>
      <c r="P119" s="1292">
        <f>SUM(D119:O119)</f>
        <v>110.08840000000002</v>
      </c>
      <c r="Q119" s="1292">
        <v>180.52326000000002</v>
      </c>
      <c r="R119" s="1292">
        <v>186.41172900000007</v>
      </c>
      <c r="T119"/>
      <c r="U119"/>
      <c r="V119"/>
      <c r="W119" s="1125"/>
      <c r="X119"/>
    </row>
    <row r="120" spans="2:24" s="1063" customFormat="1" ht="14.25" hidden="1" customHeight="1">
      <c r="B120" s="1286"/>
      <c r="C120" s="1317" t="s">
        <v>2800</v>
      </c>
      <c r="D120" s="1288">
        <v>9754.8470255759003</v>
      </c>
      <c r="E120" s="1289">
        <v>9508.2159525455336</v>
      </c>
      <c r="F120" s="1289">
        <v>10383.11807385021</v>
      </c>
      <c r="G120" s="1289">
        <v>11027.504798173839</v>
      </c>
      <c r="H120" s="1289">
        <v>10237.842461780829</v>
      </c>
      <c r="I120" s="1289">
        <v>11182.880801517515</v>
      </c>
      <c r="J120" s="1289">
        <v>10246.257008053757</v>
      </c>
      <c r="K120" s="1289">
        <v>10969.469428520904</v>
      </c>
      <c r="L120" s="1289">
        <v>9940.1462353111383</v>
      </c>
      <c r="M120" s="1289">
        <v>11143.896260227948</v>
      </c>
      <c r="N120" s="1289">
        <v>10246.257008053757</v>
      </c>
      <c r="O120" s="1290">
        <v>10076.419922195251</v>
      </c>
      <c r="P120" s="1291">
        <f>SUM(D120:O120)</f>
        <v>124716.85497580658</v>
      </c>
      <c r="Q120" s="1291">
        <v>131450.07349528989</v>
      </c>
      <c r="R120" s="1291">
        <v>135145.56373725145</v>
      </c>
      <c r="T120"/>
      <c r="U120"/>
      <c r="V120"/>
      <c r="W120" s="1346">
        <v>4440.3628851465664</v>
      </c>
      <c r="X120" s="1346">
        <v>4526.8678010605463</v>
      </c>
    </row>
    <row r="121" spans="2:24" s="1063" customFormat="1" ht="14.25" hidden="1" customHeight="1">
      <c r="B121" s="5750" t="s">
        <v>2801</v>
      </c>
      <c r="C121" s="5750"/>
      <c r="D121" s="1318">
        <f>SUM(D122,D124,-D125)</f>
        <v>9710.6562708787387</v>
      </c>
      <c r="E121" s="1319">
        <f t="shared" ref="E121:O121" si="34">SUM(E122,E124,-E125)</f>
        <v>9427.1122090232548</v>
      </c>
      <c r="F121" s="1319">
        <f t="shared" si="34"/>
        <v>10315.176118117361</v>
      </c>
      <c r="G121" s="1319">
        <f t="shared" si="34"/>
        <v>10920.653945236554</v>
      </c>
      <c r="H121" s="1319">
        <f t="shared" si="34"/>
        <v>10184.696320949424</v>
      </c>
      <c r="I121" s="1319">
        <f t="shared" si="34"/>
        <v>11059.523960992543</v>
      </c>
      <c r="J121" s="1319">
        <f t="shared" si="34"/>
        <v>10141.721686422417</v>
      </c>
      <c r="K121" s="1319">
        <f t="shared" si="34"/>
        <v>10829.847591960177</v>
      </c>
      <c r="L121" s="1319">
        <f t="shared" si="34"/>
        <v>9821.5842231174192</v>
      </c>
      <c r="M121" s="1319">
        <f t="shared" si="34"/>
        <v>10982.139559131097</v>
      </c>
      <c r="N121" s="1319">
        <f t="shared" si="34"/>
        <v>10131.597281603968</v>
      </c>
      <c r="O121" s="1320">
        <f t="shared" si="34"/>
        <v>9943.0697480146227</v>
      </c>
      <c r="P121" s="1321">
        <f>SUM(D121:O121)</f>
        <v>123467.77891544758</v>
      </c>
      <c r="Q121" s="1321">
        <f>SUM(Q122,Q124,-Q125)</f>
        <v>130082.65965935538</v>
      </c>
      <c r="R121" s="1321">
        <f>SUM(R122,R124,-R125)</f>
        <v>133597.45581544566</v>
      </c>
      <c r="T121"/>
      <c r="U121"/>
      <c r="V121"/>
      <c r="W121" s="1346">
        <v>1547.9370959345315</v>
      </c>
      <c r="X121" s="1346">
        <v>1734.5196508057861</v>
      </c>
    </row>
    <row r="122" spans="2:24" s="1063" customFormat="1" ht="14.25" hidden="1" customHeight="1">
      <c r="B122" s="1322"/>
      <c r="C122" s="1323" t="s">
        <v>2803</v>
      </c>
      <c r="D122" s="1324">
        <v>9489.4776309902973</v>
      </c>
      <c r="E122" s="1325">
        <v>9216.7093505618031</v>
      </c>
      <c r="F122" s="1325">
        <v>10094.20140149393</v>
      </c>
      <c r="G122" s="1325">
        <v>10711.395940740589</v>
      </c>
      <c r="H122" s="1325">
        <v>9968.0533879328559</v>
      </c>
      <c r="I122" s="1325">
        <v>10846.315285558263</v>
      </c>
      <c r="J122" s="1325">
        <v>9918.7132362804423</v>
      </c>
      <c r="K122" s="1325">
        <v>10590.057768829078</v>
      </c>
      <c r="L122" s="1325">
        <v>9605.9612814813645</v>
      </c>
      <c r="M122" s="1325">
        <v>10755.548947900494</v>
      </c>
      <c r="N122" s="1325">
        <v>9917.2733147137806</v>
      </c>
      <c r="O122" s="1326">
        <v>9703.1147206210953</v>
      </c>
      <c r="P122" s="1327">
        <f>SUM(D122:O122)</f>
        <v>120816.82226710397</v>
      </c>
      <c r="Q122" s="1327">
        <v>127294.34002325441</v>
      </c>
      <c r="R122" s="1327">
        <v>130722.12304542949</v>
      </c>
      <c r="T122"/>
      <c r="U122"/>
      <c r="V122"/>
      <c r="W122" s="1131"/>
      <c r="X122" s="1131"/>
    </row>
    <row r="123" spans="2:24" s="1063" customFormat="1" ht="14.25" hidden="1" customHeight="1">
      <c r="B123" s="1322"/>
      <c r="C123" s="1328" t="s">
        <v>2804</v>
      </c>
      <c r="D123" s="1329">
        <f t="shared" ref="D123:R123" si="35">IF(ISERROR(D122/D118),"",D122/D118)</f>
        <v>0.97213363384677298</v>
      </c>
      <c r="E123" s="1330">
        <f t="shared" si="35"/>
        <v>0.96874586628067816</v>
      </c>
      <c r="F123" s="1330">
        <f t="shared" si="35"/>
        <v>0.97151488639752226</v>
      </c>
      <c r="G123" s="1330">
        <f t="shared" si="35"/>
        <v>0.9707070581010413</v>
      </c>
      <c r="H123" s="1330">
        <f t="shared" si="35"/>
        <v>0.97297043706655661</v>
      </c>
      <c r="I123" s="1330">
        <f t="shared" si="35"/>
        <v>0.96887111734694353</v>
      </c>
      <c r="J123" s="1330">
        <f t="shared" si="35"/>
        <v>0.96709551559612528</v>
      </c>
      <c r="K123" s="1330">
        <f t="shared" si="35"/>
        <v>0.96453882255968393</v>
      </c>
      <c r="L123" s="1330">
        <f t="shared" si="35"/>
        <v>0.96541576988715105</v>
      </c>
      <c r="M123" s="1330">
        <f t="shared" si="35"/>
        <v>0.96429224604462216</v>
      </c>
      <c r="N123" s="1330">
        <f t="shared" si="35"/>
        <v>0.96695512019838004</v>
      </c>
      <c r="O123" s="1331">
        <f t="shared" si="35"/>
        <v>0.96154804603758881</v>
      </c>
      <c r="P123" s="1332">
        <f t="shared" si="35"/>
        <v>0.96787455496182695</v>
      </c>
      <c r="Q123" s="1332">
        <f t="shared" si="35"/>
        <v>0.96705737997908747</v>
      </c>
      <c r="R123" s="1332">
        <f t="shared" si="35"/>
        <v>0.9659367093036223</v>
      </c>
      <c r="T123"/>
      <c r="U123"/>
      <c r="V123"/>
      <c r="W123" s="1356">
        <v>-8.1854523159563541E-12</v>
      </c>
      <c r="X123" s="1356">
        <v>0</v>
      </c>
    </row>
    <row r="124" spans="2:24" s="1063" customFormat="1" ht="14.25" hidden="1" customHeight="1">
      <c r="B124" s="1286"/>
      <c r="C124" s="1317" t="s">
        <v>2805</v>
      </c>
      <c r="D124" s="1288">
        <v>208.64708489640361</v>
      </c>
      <c r="E124" s="1289">
        <v>201.10420443818799</v>
      </c>
      <c r="F124" s="1289">
        <v>208.75774167315458</v>
      </c>
      <c r="G124" s="1289">
        <v>198.45153292881804</v>
      </c>
      <c r="H124" s="1289">
        <v>203.63873548395918</v>
      </c>
      <c r="I124" s="1289">
        <v>203.22421717440949</v>
      </c>
      <c r="J124" s="1289">
        <v>210.29122241583411</v>
      </c>
      <c r="K124" s="1289">
        <v>226.75597324520595</v>
      </c>
      <c r="L124" s="1289">
        <v>207.51899082008333</v>
      </c>
      <c r="M124" s="1289">
        <v>213.81660572131236</v>
      </c>
      <c r="N124" s="1289">
        <v>203.39826012316021</v>
      </c>
      <c r="O124" s="1290">
        <v>227.8868088663323</v>
      </c>
      <c r="P124" s="1291">
        <f>SUM(D124:O124)</f>
        <v>2513.491377786861</v>
      </c>
      <c r="Q124" s="1291">
        <v>2657.5491141841057</v>
      </c>
      <c r="R124" s="1291">
        <v>2752.3357545543076</v>
      </c>
      <c r="T124"/>
      <c r="U124"/>
      <c r="V124"/>
      <c r="W124" s="1356">
        <v>2.9558577807620168E-12</v>
      </c>
      <c r="X124" s="1356">
        <v>-1.4097167877480388E-11</v>
      </c>
    </row>
    <row r="125" spans="2:24" s="1063" customFormat="1" ht="14.25" hidden="1" customHeight="1">
      <c r="B125" s="1286"/>
      <c r="C125" s="1317" t="s">
        <v>2806</v>
      </c>
      <c r="D125" s="1288">
        <v>-12.53155499203875</v>
      </c>
      <c r="E125" s="1289">
        <v>-9.2986540232637758</v>
      </c>
      <c r="F125" s="1289">
        <v>-12.216974950275254</v>
      </c>
      <c r="G125" s="1289">
        <v>-10.806471567146078</v>
      </c>
      <c r="H125" s="1289">
        <v>-13.004197532609137</v>
      </c>
      <c r="I125" s="1289">
        <v>-9.9844582598704132</v>
      </c>
      <c r="J125" s="1289">
        <v>-12.717227726141495</v>
      </c>
      <c r="K125" s="1289">
        <v>-13.033849885892693</v>
      </c>
      <c r="L125" s="1289">
        <v>-8.1039508159728229</v>
      </c>
      <c r="M125" s="1289">
        <v>-12.774005509291403</v>
      </c>
      <c r="N125" s="1289">
        <v>-10.925706767028075</v>
      </c>
      <c r="O125" s="1290">
        <v>-12.068218527194629</v>
      </c>
      <c r="P125" s="1291">
        <f>SUM(D125:O125)</f>
        <v>-137.46527055672451</v>
      </c>
      <c r="Q125" s="1291">
        <v>-130.77052191686587</v>
      </c>
      <c r="R125" s="1291">
        <v>-122.99701546188507</v>
      </c>
      <c r="T125"/>
      <c r="U125"/>
      <c r="V125"/>
      <c r="W125" s="1131"/>
      <c r="X125" s="1131"/>
    </row>
    <row r="126" spans="2:24" s="1063" customFormat="1" ht="14.25" hidden="1" customHeight="1">
      <c r="B126" s="5756" t="s">
        <v>2793</v>
      </c>
      <c r="C126" s="5756"/>
      <c r="D126" s="1304">
        <f>D118-D121</f>
        <v>50.838754697160766</v>
      </c>
      <c r="E126" s="1305">
        <f t="shared" ref="E126:O126" si="36">E118-E121</f>
        <v>86.950943522278976</v>
      </c>
      <c r="F126" s="1305">
        <f t="shared" si="36"/>
        <v>74.990355732848911</v>
      </c>
      <c r="G126" s="1305">
        <f t="shared" si="36"/>
        <v>113.97885293728541</v>
      </c>
      <c r="H126" s="1305">
        <f t="shared" si="36"/>
        <v>60.27414083140502</v>
      </c>
      <c r="I126" s="1305">
        <f t="shared" si="36"/>
        <v>135.27284052497089</v>
      </c>
      <c r="J126" s="1305">
        <f t="shared" si="36"/>
        <v>114.46612163133977</v>
      </c>
      <c r="K126" s="1305">
        <f t="shared" si="36"/>
        <v>149.55263656072748</v>
      </c>
      <c r="L126" s="1305">
        <f t="shared" si="36"/>
        <v>128.49281219371915</v>
      </c>
      <c r="M126" s="1305">
        <f t="shared" si="36"/>
        <v>171.68750109685061</v>
      </c>
      <c r="N126" s="1305">
        <f t="shared" si="36"/>
        <v>124.59052644978874</v>
      </c>
      <c r="O126" s="1306">
        <f t="shared" si="36"/>
        <v>148.06897418062908</v>
      </c>
      <c r="P126" s="1307">
        <f>SUM(D126:O126)</f>
        <v>1359.1644603590048</v>
      </c>
      <c r="Q126" s="1307">
        <f>Q118-Q121</f>
        <v>1547.937095934496</v>
      </c>
      <c r="R126" s="1307">
        <f>R118-R121</f>
        <v>1734.5196508057998</v>
      </c>
      <c r="T126"/>
      <c r="U126"/>
      <c r="V126"/>
      <c r="W126" s="1357">
        <v>632.37285042858912</v>
      </c>
      <c r="X126" s="1357">
        <v>681.98191953583682</v>
      </c>
    </row>
    <row r="127" spans="2:24" s="1063" customFormat="1" ht="14.25" hidden="1" customHeight="1">
      <c r="B127" s="5757" t="s">
        <v>2804</v>
      </c>
      <c r="C127" s="5758"/>
      <c r="D127" s="1298">
        <f t="shared" ref="D127:R127" si="37">IF(ISERROR(D126/D118),"",D126/D118)</f>
        <v>5.2080910315437491E-3</v>
      </c>
      <c r="E127" s="1299">
        <f t="shared" si="37"/>
        <v>9.1392018455348206E-3</v>
      </c>
      <c r="F127" s="1299">
        <f t="shared" si="37"/>
        <v>7.2174354397095885E-3</v>
      </c>
      <c r="G127" s="1299">
        <f t="shared" si="37"/>
        <v>1.0329193097947779E-2</v>
      </c>
      <c r="H127" s="1299">
        <f t="shared" si="37"/>
        <v>5.8832908358554589E-3</v>
      </c>
      <c r="I127" s="1299">
        <f t="shared" si="37"/>
        <v>1.2083545858253893E-2</v>
      </c>
      <c r="J127" s="1299">
        <f t="shared" si="37"/>
        <v>1.1160688920054125E-2</v>
      </c>
      <c r="K127" s="1299">
        <f t="shared" si="37"/>
        <v>1.3621202747690939E-2</v>
      </c>
      <c r="L127" s="1299">
        <f t="shared" si="37"/>
        <v>1.291375049034494E-2</v>
      </c>
      <c r="M127" s="1299">
        <f t="shared" si="37"/>
        <v>1.5392698861994179E-2</v>
      </c>
      <c r="N127" s="1299">
        <f t="shared" si="37"/>
        <v>1.2147839799886756E-2</v>
      </c>
      <c r="O127" s="1300">
        <f t="shared" si="37"/>
        <v>1.4673168039495327E-2</v>
      </c>
      <c r="P127" s="1301">
        <f t="shared" si="37"/>
        <v>1.0888390147206248E-2</v>
      </c>
      <c r="Q127" s="1301">
        <f t="shared" si="37"/>
        <v>1.1759705828973906E-2</v>
      </c>
      <c r="R127" s="1301">
        <f t="shared" si="37"/>
        <v>1.2816776263185097E-2</v>
      </c>
      <c r="T127"/>
      <c r="U127"/>
      <c r="V127"/>
      <c r="W127" s="1357">
        <v>-632.3728504286089</v>
      </c>
      <c r="X127" s="1357">
        <v>-681.98191953579908</v>
      </c>
    </row>
    <row r="128" spans="2:24" s="1063" customFormat="1" ht="14.25" hidden="1" customHeight="1">
      <c r="B128" s="5759" t="s">
        <v>2807</v>
      </c>
      <c r="C128" s="5759"/>
      <c r="D128" s="1335">
        <v>272.01739458560314</v>
      </c>
      <c r="E128" s="1336">
        <v>298.02283556370389</v>
      </c>
      <c r="F128" s="1336">
        <v>295.96507235627871</v>
      </c>
      <c r="G128" s="1336">
        <v>323.2368574332495</v>
      </c>
      <c r="H128" s="1336">
        <v>276.91707384797337</v>
      </c>
      <c r="I128" s="1336">
        <v>349.56586706549183</v>
      </c>
      <c r="J128" s="1336">
        <v>337.47457177331535</v>
      </c>
      <c r="K128" s="1336">
        <v>389.34245969182609</v>
      </c>
      <c r="L128" s="1336">
        <v>345.35296839070566</v>
      </c>
      <c r="M128" s="1336">
        <v>398.27811232745438</v>
      </c>
      <c r="N128" s="1336">
        <v>338.91449333997707</v>
      </c>
      <c r="O128" s="1337">
        <v>388.02400157415605</v>
      </c>
      <c r="P128" s="1338">
        <f>SUM(D128:O128)</f>
        <v>4013.1117079497353</v>
      </c>
      <c r="Q128" s="1338">
        <v>4339.5526324548855</v>
      </c>
      <c r="R128" s="1338">
        <v>4613.1621136523954</v>
      </c>
      <c r="T128"/>
      <c r="U128"/>
      <c r="V128"/>
      <c r="W128" s="1125"/>
      <c r="X128"/>
    </row>
    <row r="129" spans="2:24" s="1063" customFormat="1" ht="14.25" hidden="1" customHeight="1" thickBot="1">
      <c r="B129" s="5760" t="s">
        <v>2804</v>
      </c>
      <c r="C129" s="5761"/>
      <c r="D129" s="1342">
        <f t="shared" ref="D129:R129" si="38">IF(ISERROR(D128/D118),"",D128/D118)</f>
        <v>2.7866366153227119E-2</v>
      </c>
      <c r="E129" s="1343">
        <f t="shared" si="38"/>
        <v>3.1324454209027026E-2</v>
      </c>
      <c r="F129" s="1343">
        <f t="shared" si="38"/>
        <v>2.8485113602477734E-2</v>
      </c>
      <c r="G129" s="1343">
        <f t="shared" si="38"/>
        <v>2.9292941898958622E-2</v>
      </c>
      <c r="H129" s="1343">
        <f t="shared" si="38"/>
        <v>2.7029562933443375E-2</v>
      </c>
      <c r="I129" s="1343">
        <f t="shared" si="38"/>
        <v>3.1225744715447298E-2</v>
      </c>
      <c r="J129" s="1343">
        <f t="shared" si="38"/>
        <v>3.2904484403874765E-2</v>
      </c>
      <c r="K129" s="1343">
        <f t="shared" si="38"/>
        <v>3.5461177440316023E-2</v>
      </c>
      <c r="L129" s="1343">
        <f t="shared" si="38"/>
        <v>3.4708572322114335E-2</v>
      </c>
      <c r="M129" s="1343">
        <f t="shared" si="38"/>
        <v>3.5707753955377793E-2</v>
      </c>
      <c r="N129" s="1343">
        <f t="shared" si="38"/>
        <v>3.304487980162002E-2</v>
      </c>
      <c r="O129" s="1344">
        <f t="shared" si="38"/>
        <v>3.8451953962411127E-2</v>
      </c>
      <c r="P129" s="1345">
        <f t="shared" si="38"/>
        <v>3.2149403000823133E-2</v>
      </c>
      <c r="Q129" s="1345">
        <f t="shared" si="38"/>
        <v>3.2967659035401969E-2</v>
      </c>
      <c r="R129" s="1345">
        <f t="shared" si="38"/>
        <v>3.4087746800110869E-2</v>
      </c>
      <c r="T129"/>
      <c r="U129"/>
      <c r="V129"/>
      <c r="W129" s="1125"/>
      <c r="X129" s="1358"/>
    </row>
    <row r="130" spans="2:24" s="1063" customFormat="1" ht="14.25" hidden="1" customHeight="1" thickBot="1">
      <c r="T130"/>
      <c r="U130"/>
      <c r="V130"/>
      <c r="W130" s="1125"/>
      <c r="X130"/>
    </row>
    <row r="131" spans="2:24" s="1063" customFormat="1" ht="14.25" hidden="1" customHeight="1">
      <c r="B131" s="5746" t="s">
        <v>2684</v>
      </c>
      <c r="C131" s="5747"/>
      <c r="D131" s="1279" t="s">
        <v>2710</v>
      </c>
      <c r="E131" s="1280" t="s">
        <v>2711</v>
      </c>
      <c r="F131" s="1280" t="s">
        <v>2712</v>
      </c>
      <c r="G131" s="1280" t="s">
        <v>2713</v>
      </c>
      <c r="H131" s="1280" t="s">
        <v>2714</v>
      </c>
      <c r="I131" s="1280" t="s">
        <v>2715</v>
      </c>
      <c r="J131" s="1280" t="s">
        <v>2716</v>
      </c>
      <c r="K131" s="1280" t="s">
        <v>2717</v>
      </c>
      <c r="L131" s="1280" t="s">
        <v>2718</v>
      </c>
      <c r="M131" s="1280" t="s">
        <v>2719</v>
      </c>
      <c r="N131" s="1280" t="s">
        <v>2720</v>
      </c>
      <c r="O131" s="1281" t="s">
        <v>2721</v>
      </c>
      <c r="P131" s="1215" t="s">
        <v>1933</v>
      </c>
      <c r="Q131" s="1215" t="s">
        <v>1934</v>
      </c>
      <c r="R131" s="1215" t="s">
        <v>1935</v>
      </c>
      <c r="T131"/>
      <c r="U131"/>
      <c r="V131"/>
      <c r="W131" s="1125"/>
      <c r="X131"/>
    </row>
    <row r="132" spans="2:24" s="1063" customFormat="1" ht="14.25" hidden="1" customHeight="1">
      <c r="B132" s="5754" t="s">
        <v>1620</v>
      </c>
      <c r="C132" s="5754"/>
      <c r="D132" s="1359">
        <f>SUM(D133:D134)</f>
        <v>640.81672143016885</v>
      </c>
      <c r="E132" s="1360">
        <f t="shared" ref="E132:O132" si="39">SUM(E133:E134)</f>
        <v>640.81672143016885</v>
      </c>
      <c r="F132" s="1360">
        <f t="shared" si="39"/>
        <v>640.81672143016885</v>
      </c>
      <c r="G132" s="1360">
        <f t="shared" si="39"/>
        <v>640.81672143016885</v>
      </c>
      <c r="H132" s="1360">
        <f t="shared" si="39"/>
        <v>640.81672143016885</v>
      </c>
      <c r="I132" s="1360">
        <f t="shared" si="39"/>
        <v>640.81672143016885</v>
      </c>
      <c r="J132" s="1360">
        <f t="shared" si="39"/>
        <v>640.81672143016885</v>
      </c>
      <c r="K132" s="1360">
        <f t="shared" si="39"/>
        <v>640.81672143016885</v>
      </c>
      <c r="L132" s="1360">
        <f t="shared" si="39"/>
        <v>640.81672143016885</v>
      </c>
      <c r="M132" s="1360">
        <f t="shared" si="39"/>
        <v>640.81672143016885</v>
      </c>
      <c r="N132" s="1360">
        <f t="shared" si="39"/>
        <v>640.81672143016885</v>
      </c>
      <c r="O132" s="1361">
        <f t="shared" si="39"/>
        <v>640.81672143016885</v>
      </c>
      <c r="P132" s="1362">
        <f>SUM(D132:O132)</f>
        <v>7689.8006571620244</v>
      </c>
      <c r="Q132" s="1362">
        <f>SUM(Q133:Q134)</f>
        <v>7689.8006571599308</v>
      </c>
      <c r="R132" s="1362">
        <f>SUM(R133:R134)</f>
        <v>7689.8006571599308</v>
      </c>
      <c r="T132"/>
      <c r="U132"/>
      <c r="V132"/>
      <c r="W132" s="1125"/>
      <c r="X132"/>
    </row>
    <row r="133" spans="2:24" s="1063" customFormat="1" ht="14.25" hidden="1" customHeight="1">
      <c r="B133" s="1286"/>
      <c r="C133" s="1317" t="s">
        <v>2798</v>
      </c>
      <c r="D133" s="1227">
        <v>35.97</v>
      </c>
      <c r="E133" s="1228">
        <v>35.97</v>
      </c>
      <c r="F133" s="1228">
        <v>35.97</v>
      </c>
      <c r="G133" s="1228">
        <v>35.97</v>
      </c>
      <c r="H133" s="1228">
        <v>35.97</v>
      </c>
      <c r="I133" s="1228">
        <v>35.97</v>
      </c>
      <c r="J133" s="1228">
        <v>35.97</v>
      </c>
      <c r="K133" s="1228">
        <v>35.97</v>
      </c>
      <c r="L133" s="1228">
        <v>35.97</v>
      </c>
      <c r="M133" s="1228">
        <v>35.97</v>
      </c>
      <c r="N133" s="1228">
        <v>35.97</v>
      </c>
      <c r="O133" s="1229">
        <v>35.97</v>
      </c>
      <c r="P133" s="1292">
        <f>SUM(D133:O133)</f>
        <v>431.6400000000001</v>
      </c>
      <c r="Q133" s="1292">
        <v>431.6400000000001</v>
      </c>
      <c r="R133" s="1292">
        <v>431.6400000000001</v>
      </c>
      <c r="T133"/>
      <c r="U133"/>
      <c r="V133"/>
      <c r="W133" s="1125"/>
      <c r="X133"/>
    </row>
    <row r="134" spans="2:24" s="1063" customFormat="1" ht="14.25" hidden="1" customHeight="1">
      <c r="B134" s="1286"/>
      <c r="C134" s="1317" t="s">
        <v>2800</v>
      </c>
      <c r="D134" s="1227">
        <v>604.84672143016883</v>
      </c>
      <c r="E134" s="1228">
        <v>604.84672143016883</v>
      </c>
      <c r="F134" s="1228">
        <v>604.84672143016883</v>
      </c>
      <c r="G134" s="1228">
        <v>604.84672143016883</v>
      </c>
      <c r="H134" s="1228">
        <v>604.84672143016883</v>
      </c>
      <c r="I134" s="1228">
        <v>604.84672143016883</v>
      </c>
      <c r="J134" s="1228">
        <v>604.84672143016883</v>
      </c>
      <c r="K134" s="1228">
        <v>604.84672143016883</v>
      </c>
      <c r="L134" s="1228">
        <v>604.84672143016883</v>
      </c>
      <c r="M134" s="1228">
        <v>604.84672143016883</v>
      </c>
      <c r="N134" s="1228">
        <v>604.84672143016883</v>
      </c>
      <c r="O134" s="1229">
        <v>604.84672143016883</v>
      </c>
      <c r="P134" s="1292">
        <f>SUM(D134:O134)</f>
        <v>7258.1606571620277</v>
      </c>
      <c r="Q134" s="1292">
        <v>7258.1606571599305</v>
      </c>
      <c r="R134" s="1292">
        <v>7258.1606571599305</v>
      </c>
      <c r="T134"/>
      <c r="U134"/>
      <c r="V134"/>
      <c r="W134" s="1125"/>
      <c r="X134"/>
    </row>
    <row r="135" spans="2:24" s="1063" customFormat="1" ht="14.25" hidden="1" customHeight="1">
      <c r="B135" s="5750" t="s">
        <v>2801</v>
      </c>
      <c r="C135" s="5750"/>
      <c r="D135" s="1363">
        <f>SUM(D136,D138,-D139)</f>
        <v>625.73667547839523</v>
      </c>
      <c r="E135" s="1364">
        <f t="shared" ref="E135:O135" si="40">SUM(E136,E138,-E139)</f>
        <v>629.27162852760409</v>
      </c>
      <c r="F135" s="1364">
        <f t="shared" si="40"/>
        <v>627.05062124107565</v>
      </c>
      <c r="G135" s="1364">
        <f t="shared" si="40"/>
        <v>627.05296181217648</v>
      </c>
      <c r="H135" s="1364">
        <f t="shared" si="40"/>
        <v>626.76720533660432</v>
      </c>
      <c r="I135" s="1364">
        <f t="shared" si="40"/>
        <v>636.17258861668961</v>
      </c>
      <c r="J135" s="1364">
        <f t="shared" si="40"/>
        <v>624.82762431854565</v>
      </c>
      <c r="K135" s="1364">
        <f t="shared" si="40"/>
        <v>631.18913560242686</v>
      </c>
      <c r="L135" s="1364">
        <f t="shared" si="40"/>
        <v>626.12215727013847</v>
      </c>
      <c r="M135" s="1364">
        <f t="shared" si="40"/>
        <v>627.59909407906332</v>
      </c>
      <c r="N135" s="1364">
        <f t="shared" si="40"/>
        <v>626.19019437225586</v>
      </c>
      <c r="O135" s="1365">
        <f t="shared" si="40"/>
        <v>636.24014160085903</v>
      </c>
      <c r="P135" s="1366">
        <f>SUM(D135:O135)</f>
        <v>7544.2200282558351</v>
      </c>
      <c r="Q135" s="1366">
        <f>SUM(Q136,Q138,-Q139)</f>
        <v>7555.289338333705</v>
      </c>
      <c r="R135" s="1366">
        <f>SUM(R136,R138,-R139)</f>
        <v>7571.4400367018516</v>
      </c>
      <c r="T135"/>
      <c r="U135"/>
      <c r="V135"/>
      <c r="W135" s="1125"/>
      <c r="X135"/>
    </row>
    <row r="136" spans="2:24" s="1063" customFormat="1" ht="14.25" hidden="1" customHeight="1">
      <c r="B136" s="1322"/>
      <c r="C136" s="1323" t="s">
        <v>2803</v>
      </c>
      <c r="D136" s="1367">
        <v>590.09436237079422</v>
      </c>
      <c r="E136" s="1368">
        <v>590.09436237079422</v>
      </c>
      <c r="F136" s="1368">
        <v>590.09436237079422</v>
      </c>
      <c r="G136" s="1368">
        <v>590.09436237079422</v>
      </c>
      <c r="H136" s="1368">
        <v>590.09436237079422</v>
      </c>
      <c r="I136" s="1368">
        <v>590.09436237079422</v>
      </c>
      <c r="J136" s="1368">
        <v>590.09436237079422</v>
      </c>
      <c r="K136" s="1368">
        <v>590.09436237079422</v>
      </c>
      <c r="L136" s="1368">
        <v>590.09436237079422</v>
      </c>
      <c r="M136" s="1368">
        <v>590.09436237079422</v>
      </c>
      <c r="N136" s="1368">
        <v>590.09436237079422</v>
      </c>
      <c r="O136" s="1369">
        <v>590.09436237079422</v>
      </c>
      <c r="P136" s="1370">
        <f>SUM(D136:O136)</f>
        <v>7081.1323484495324</v>
      </c>
      <c r="Q136" s="1370">
        <v>7081.1323484495306</v>
      </c>
      <c r="R136" s="1370">
        <v>7081.1323484495306</v>
      </c>
      <c r="T136"/>
      <c r="U136"/>
      <c r="V136"/>
      <c r="W136" s="1125"/>
      <c r="X136"/>
    </row>
    <row r="137" spans="2:24" s="1063" customFormat="1" ht="14.25" hidden="1" customHeight="1">
      <c r="B137" s="1322"/>
      <c r="C137" s="1328" t="s">
        <v>2804</v>
      </c>
      <c r="D137" s="1329">
        <f t="shared" ref="D137:R137" si="41">IF(ISERROR(D136/D132),"",D136/D132)</f>
        <v>0.92084732285672422</v>
      </c>
      <c r="E137" s="1330">
        <f t="shared" si="41"/>
        <v>0.92084732285672422</v>
      </c>
      <c r="F137" s="1330">
        <f t="shared" si="41"/>
        <v>0.92084732285672422</v>
      </c>
      <c r="G137" s="1330">
        <f t="shared" si="41"/>
        <v>0.92084732285672422</v>
      </c>
      <c r="H137" s="1330">
        <f t="shared" si="41"/>
        <v>0.92084732285672422</v>
      </c>
      <c r="I137" s="1330">
        <f t="shared" si="41"/>
        <v>0.92084732285672422</v>
      </c>
      <c r="J137" s="1330">
        <f t="shared" si="41"/>
        <v>0.92084732285672422</v>
      </c>
      <c r="K137" s="1330">
        <f t="shared" si="41"/>
        <v>0.92084732285672422</v>
      </c>
      <c r="L137" s="1330">
        <f t="shared" si="41"/>
        <v>0.92084732285672422</v>
      </c>
      <c r="M137" s="1330">
        <f t="shared" si="41"/>
        <v>0.92084732285672422</v>
      </c>
      <c r="N137" s="1330">
        <f t="shared" si="41"/>
        <v>0.92084732285672422</v>
      </c>
      <c r="O137" s="1331">
        <f t="shared" si="41"/>
        <v>0.92084732285672422</v>
      </c>
      <c r="P137" s="1332">
        <f t="shared" si="41"/>
        <v>0.92084732285672466</v>
      </c>
      <c r="Q137" s="1332">
        <f t="shared" si="41"/>
        <v>0.92084732285697513</v>
      </c>
      <c r="R137" s="1332">
        <f t="shared" si="41"/>
        <v>0.92084732285697513</v>
      </c>
      <c r="T137"/>
      <c r="U137"/>
      <c r="V137"/>
      <c r="W137" s="1125"/>
      <c r="X137"/>
    </row>
    <row r="138" spans="2:24" s="1063" customFormat="1" ht="14.25" hidden="1" customHeight="1">
      <c r="B138" s="1286"/>
      <c r="C138" s="1317" t="s">
        <v>2805</v>
      </c>
      <c r="D138" s="1227">
        <v>35.642313107601041</v>
      </c>
      <c r="E138" s="1228">
        <v>39.177266156809864</v>
      </c>
      <c r="F138" s="1228">
        <v>36.956258870281481</v>
      </c>
      <c r="G138" s="1228">
        <v>36.958599441382219</v>
      </c>
      <c r="H138" s="1228">
        <v>36.67284296581014</v>
      </c>
      <c r="I138" s="1228">
        <v>46.07822624589538</v>
      </c>
      <c r="J138" s="1228">
        <v>34.73326194775143</v>
      </c>
      <c r="K138" s="1228">
        <v>41.094773231632587</v>
      </c>
      <c r="L138" s="1228">
        <v>36.027794899344258</v>
      </c>
      <c r="M138" s="1228">
        <v>37.50473170826907</v>
      </c>
      <c r="N138" s="1228">
        <v>36.09583200146168</v>
      </c>
      <c r="O138" s="1229">
        <v>46.145779230064811</v>
      </c>
      <c r="P138" s="1292">
        <f>SUM(D138:O138)</f>
        <v>463.08767980630392</v>
      </c>
      <c r="Q138" s="1292">
        <v>474.1569898841741</v>
      </c>
      <c r="R138" s="1292">
        <v>490.30768825232065</v>
      </c>
      <c r="T138"/>
      <c r="U138"/>
      <c r="V138"/>
      <c r="W138" s="1125"/>
      <c r="X138"/>
    </row>
    <row r="139" spans="2:24" s="1063" customFormat="1" ht="14.25" hidden="1" customHeight="1">
      <c r="B139" s="1286"/>
      <c r="C139" s="1317" t="s">
        <v>2806</v>
      </c>
      <c r="D139" s="1227">
        <v>0</v>
      </c>
      <c r="E139" s="1228">
        <v>0</v>
      </c>
      <c r="F139" s="1228">
        <v>0</v>
      </c>
      <c r="G139" s="1228">
        <v>0</v>
      </c>
      <c r="H139" s="1228">
        <v>0</v>
      </c>
      <c r="I139" s="1228">
        <v>0</v>
      </c>
      <c r="J139" s="1228">
        <v>0</v>
      </c>
      <c r="K139" s="1228">
        <v>0</v>
      </c>
      <c r="L139" s="1228">
        <v>0</v>
      </c>
      <c r="M139" s="1228">
        <v>0</v>
      </c>
      <c r="N139" s="1228">
        <v>0</v>
      </c>
      <c r="O139" s="1229">
        <v>0</v>
      </c>
      <c r="P139" s="1292">
        <f>SUM(D139:O139)</f>
        <v>0</v>
      </c>
      <c r="Q139" s="1292">
        <v>0</v>
      </c>
      <c r="R139" s="1292">
        <v>0</v>
      </c>
      <c r="T139"/>
      <c r="U139"/>
      <c r="V139"/>
      <c r="W139" s="1125"/>
      <c r="X139"/>
    </row>
    <row r="140" spans="2:24" s="1063" customFormat="1" ht="14.25" hidden="1" customHeight="1">
      <c r="B140" s="5756" t="s">
        <v>2793</v>
      </c>
      <c r="C140" s="5756"/>
      <c r="D140" s="1371">
        <f>D132-D135</f>
        <v>15.080045951773627</v>
      </c>
      <c r="E140" s="1372">
        <f t="shared" ref="E140:O140" si="42">E132-E135</f>
        <v>11.545092902564761</v>
      </c>
      <c r="F140" s="1372">
        <f t="shared" si="42"/>
        <v>13.766100189093208</v>
      </c>
      <c r="G140" s="1372">
        <f t="shared" si="42"/>
        <v>13.763759617992378</v>
      </c>
      <c r="H140" s="1372">
        <f t="shared" si="42"/>
        <v>14.049516093564534</v>
      </c>
      <c r="I140" s="1372">
        <f t="shared" si="42"/>
        <v>4.6441328134792457</v>
      </c>
      <c r="J140" s="1372">
        <f t="shared" si="42"/>
        <v>15.989097111623209</v>
      </c>
      <c r="K140" s="1372">
        <f t="shared" si="42"/>
        <v>9.6275858277419957</v>
      </c>
      <c r="L140" s="1372">
        <f t="shared" si="42"/>
        <v>14.694564160030382</v>
      </c>
      <c r="M140" s="1372">
        <f t="shared" si="42"/>
        <v>13.217627351105534</v>
      </c>
      <c r="N140" s="1372">
        <f t="shared" si="42"/>
        <v>14.626527057912995</v>
      </c>
      <c r="O140" s="1373">
        <f t="shared" si="42"/>
        <v>4.5765798293098214</v>
      </c>
      <c r="P140" s="1374">
        <f>SUM(D140:O140)</f>
        <v>145.58062890619169</v>
      </c>
      <c r="Q140" s="1374">
        <f>Q132-Q135</f>
        <v>134.51131882622576</v>
      </c>
      <c r="R140" s="1374">
        <f>R132-R135</f>
        <v>118.36062045807921</v>
      </c>
      <c r="T140"/>
      <c r="U140"/>
      <c r="V140"/>
      <c r="W140" s="1125"/>
      <c r="X140"/>
    </row>
    <row r="141" spans="2:24" s="1063" customFormat="1" ht="14.25" hidden="1" customHeight="1">
      <c r="B141" s="5757" t="s">
        <v>2804</v>
      </c>
      <c r="C141" s="5758"/>
      <c r="D141" s="1298">
        <f t="shared" ref="D141:R141" si="43">IF(ISERROR(D140/D132),"",D140/D132)</f>
        <v>2.3532541282815029E-2</v>
      </c>
      <c r="E141" s="1299">
        <f t="shared" si="43"/>
        <v>1.8016216675492688E-2</v>
      </c>
      <c r="F141" s="1299">
        <f t="shared" si="43"/>
        <v>2.1482117630092661E-2</v>
      </c>
      <c r="G141" s="1299">
        <f t="shared" si="43"/>
        <v>2.1478465148778492E-2</v>
      </c>
      <c r="H141" s="1299">
        <f t="shared" si="43"/>
        <v>2.1924390584267144E-2</v>
      </c>
      <c r="I141" s="1299">
        <f t="shared" si="43"/>
        <v>7.2472091600770229E-3</v>
      </c>
      <c r="J141" s="1299">
        <f t="shared" si="43"/>
        <v>2.4951123428768977E-2</v>
      </c>
      <c r="K141" s="1299">
        <f t="shared" si="43"/>
        <v>1.5023930409080523E-2</v>
      </c>
      <c r="L141" s="1299">
        <f t="shared" si="43"/>
        <v>2.2930993634553087E-2</v>
      </c>
      <c r="M141" s="1299">
        <f t="shared" si="43"/>
        <v>2.0626221053668129E-2</v>
      </c>
      <c r="N141" s="1299">
        <f t="shared" si="43"/>
        <v>2.2824821152091109E-2</v>
      </c>
      <c r="O141" s="1300">
        <f t="shared" si="43"/>
        <v>7.1417921478326169E-3</v>
      </c>
      <c r="P141" s="1301">
        <f t="shared" si="43"/>
        <v>1.8931651858959796E-2</v>
      </c>
      <c r="Q141" s="1301">
        <f t="shared" si="43"/>
        <v>1.7492172401242029E-2</v>
      </c>
      <c r="R141" s="1301">
        <f t="shared" si="43"/>
        <v>1.5391897103063951E-2</v>
      </c>
      <c r="T141"/>
      <c r="U141"/>
      <c r="V141"/>
      <c r="W141" s="1125"/>
      <c r="X141"/>
    </row>
    <row r="142" spans="2:24" s="1063" customFormat="1" ht="14.25" hidden="1" customHeight="1">
      <c r="B142" s="5759" t="s">
        <v>2807</v>
      </c>
      <c r="C142" s="5759"/>
      <c r="D142" s="1375">
        <v>50.722359059374668</v>
      </c>
      <c r="E142" s="1376">
        <v>50.722359059374625</v>
      </c>
      <c r="F142" s="1376">
        <v>50.722359059374689</v>
      </c>
      <c r="G142" s="1376">
        <v>50.722359059374597</v>
      </c>
      <c r="H142" s="1376">
        <v>50.722359059374675</v>
      </c>
      <c r="I142" s="1376">
        <v>50.722359059374625</v>
      </c>
      <c r="J142" s="1376">
        <v>50.722359059374639</v>
      </c>
      <c r="K142" s="1376">
        <v>50.722359059374583</v>
      </c>
      <c r="L142" s="1376">
        <v>50.722359059374639</v>
      </c>
      <c r="M142" s="1376">
        <v>50.722359059374604</v>
      </c>
      <c r="N142" s="1376">
        <v>50.722359059374675</v>
      </c>
      <c r="O142" s="1377">
        <v>50.722359059374632</v>
      </c>
      <c r="P142" s="1378">
        <f>SUM(D142:O142)</f>
        <v>608.66830871249556</v>
      </c>
      <c r="Q142" s="1379">
        <v>608.66830871039986</v>
      </c>
      <c r="R142" s="1379">
        <v>608.66830871039986</v>
      </c>
      <c r="T142"/>
      <c r="U142"/>
      <c r="V142"/>
      <c r="W142" s="1125"/>
      <c r="X142"/>
    </row>
    <row r="143" spans="2:24" s="1063" customFormat="1" ht="14.25" hidden="1" customHeight="1" thickBot="1">
      <c r="B143" s="5760" t="s">
        <v>2804</v>
      </c>
      <c r="C143" s="5761"/>
      <c r="D143" s="1342">
        <f t="shared" ref="D143:R143" si="44">IF(ISERROR(D142/D132),"",D142/D132)</f>
        <v>7.9152677143275812E-2</v>
      </c>
      <c r="E143" s="1343">
        <f t="shared" si="44"/>
        <v>7.9152677143275743E-2</v>
      </c>
      <c r="F143" s="1343">
        <f t="shared" si="44"/>
        <v>7.915267714327584E-2</v>
      </c>
      <c r="G143" s="1343">
        <f t="shared" si="44"/>
        <v>7.9152677143275701E-2</v>
      </c>
      <c r="H143" s="1343">
        <f t="shared" si="44"/>
        <v>7.9152677143275826E-2</v>
      </c>
      <c r="I143" s="1343">
        <f t="shared" si="44"/>
        <v>7.9152677143275743E-2</v>
      </c>
      <c r="J143" s="1343">
        <f t="shared" si="44"/>
        <v>7.9152677143275771E-2</v>
      </c>
      <c r="K143" s="1343">
        <f t="shared" si="44"/>
        <v>7.9152677143275674E-2</v>
      </c>
      <c r="L143" s="1343">
        <f t="shared" si="44"/>
        <v>7.9152677143275771E-2</v>
      </c>
      <c r="M143" s="1343">
        <f t="shared" si="44"/>
        <v>7.9152677143275715E-2</v>
      </c>
      <c r="N143" s="1343">
        <f t="shared" si="44"/>
        <v>7.9152677143275826E-2</v>
      </c>
      <c r="O143" s="1344">
        <f t="shared" si="44"/>
        <v>7.9152677143275757E-2</v>
      </c>
      <c r="P143" s="1345">
        <f t="shared" si="44"/>
        <v>7.9152677143275771E-2</v>
      </c>
      <c r="Q143" s="1345">
        <f t="shared" si="44"/>
        <v>7.9152677143024791E-2</v>
      </c>
      <c r="R143" s="1345">
        <f t="shared" si="44"/>
        <v>7.9152677143024791E-2</v>
      </c>
      <c r="T143"/>
      <c r="U143"/>
      <c r="V143"/>
      <c r="W143" s="1125"/>
      <c r="X143"/>
    </row>
    <row r="144" spans="2:24" s="1063" customFormat="1" ht="13.5" hidden="1" customHeight="1" thickBot="1">
      <c r="T144"/>
      <c r="U144"/>
      <c r="V144"/>
      <c r="W144" s="1125"/>
      <c r="X144"/>
    </row>
    <row r="145" spans="2:24" s="1063" customFormat="1" ht="14.25" hidden="1" customHeight="1">
      <c r="B145" s="5746" t="s">
        <v>2820</v>
      </c>
      <c r="C145" s="5747"/>
      <c r="D145" s="1279" t="s">
        <v>2710</v>
      </c>
      <c r="E145" s="1280" t="s">
        <v>2711</v>
      </c>
      <c r="F145" s="1280" t="s">
        <v>2712</v>
      </c>
      <c r="G145" s="1280" t="s">
        <v>2713</v>
      </c>
      <c r="H145" s="1280" t="s">
        <v>2714</v>
      </c>
      <c r="I145" s="1280" t="s">
        <v>2715</v>
      </c>
      <c r="J145" s="1280" t="s">
        <v>2716</v>
      </c>
      <c r="K145" s="1280" t="s">
        <v>2717</v>
      </c>
      <c r="L145" s="1280" t="s">
        <v>2718</v>
      </c>
      <c r="M145" s="1280" t="s">
        <v>2719</v>
      </c>
      <c r="N145" s="1280" t="s">
        <v>2720</v>
      </c>
      <c r="O145" s="1281" t="s">
        <v>2721</v>
      </c>
      <c r="P145" s="1215" t="s">
        <v>1933</v>
      </c>
      <c r="Q145" s="1215" t="s">
        <v>1934</v>
      </c>
      <c r="R145" s="1215" t="s">
        <v>1935</v>
      </c>
      <c r="T145"/>
      <c r="U145"/>
      <c r="V145"/>
      <c r="W145" s="1125"/>
      <c r="X145"/>
    </row>
    <row r="146" spans="2:24" s="1063" customFormat="1" ht="14.25" hidden="1" customHeight="1">
      <c r="B146" s="5754" t="s">
        <v>1620</v>
      </c>
      <c r="C146" s="5754"/>
      <c r="D146" s="1359">
        <f>SUM(D147:D148)</f>
        <v>611.93429009999988</v>
      </c>
      <c r="E146" s="1360">
        <f t="shared" ref="E146:O146" si="45">SUM(E147:E148)</f>
        <v>531.4166203499999</v>
      </c>
      <c r="F146" s="1360">
        <f t="shared" si="45"/>
        <v>611.93429009999988</v>
      </c>
      <c r="G146" s="1360">
        <f t="shared" si="45"/>
        <v>531.4166203499999</v>
      </c>
      <c r="H146" s="1360">
        <f t="shared" si="45"/>
        <v>611.93429009999988</v>
      </c>
      <c r="I146" s="1360">
        <f t="shared" si="45"/>
        <v>531.4166203499999</v>
      </c>
      <c r="J146" s="1360">
        <f t="shared" si="45"/>
        <v>611.93429009999988</v>
      </c>
      <c r="K146" s="1360">
        <f t="shared" si="45"/>
        <v>531.4166203499999</v>
      </c>
      <c r="L146" s="1360">
        <f t="shared" si="45"/>
        <v>611.93429009999988</v>
      </c>
      <c r="M146" s="1360">
        <f t="shared" si="45"/>
        <v>199.68382098000001</v>
      </c>
      <c r="N146" s="1360">
        <f t="shared" si="45"/>
        <v>531.4166203499999</v>
      </c>
      <c r="O146" s="1361">
        <f t="shared" si="45"/>
        <v>611.93429009999988</v>
      </c>
      <c r="P146" s="1362">
        <f>SUM(D146:O146)</f>
        <v>6528.3726633299993</v>
      </c>
      <c r="Q146" s="1362">
        <f>SUM(Q147:Q148)</f>
        <v>6547.6303998000003</v>
      </c>
      <c r="R146" s="1362">
        <f>SUM(R147:R148)</f>
        <v>6579.7266272500001</v>
      </c>
      <c r="T146"/>
      <c r="U146"/>
      <c r="V146"/>
      <c r="W146" s="1125"/>
      <c r="X146"/>
    </row>
    <row r="147" spans="2:24" s="1063" customFormat="1" ht="14.25" hidden="1" customHeight="1">
      <c r="B147" s="1286"/>
      <c r="C147" s="1317" t="s">
        <v>2798</v>
      </c>
      <c r="D147" s="1227">
        <v>0</v>
      </c>
      <c r="E147" s="1228">
        <v>0</v>
      </c>
      <c r="F147" s="1228">
        <v>0</v>
      </c>
      <c r="G147" s="1228">
        <v>0</v>
      </c>
      <c r="H147" s="1228">
        <v>0</v>
      </c>
      <c r="I147" s="1228">
        <v>0</v>
      </c>
      <c r="J147" s="1228">
        <v>0</v>
      </c>
      <c r="K147" s="1228">
        <v>0</v>
      </c>
      <c r="L147" s="1228">
        <v>0</v>
      </c>
      <c r="M147" s="1228">
        <v>0</v>
      </c>
      <c r="N147" s="1228">
        <v>0</v>
      </c>
      <c r="O147" s="1229">
        <v>0</v>
      </c>
      <c r="P147" s="1292">
        <f>SUM(D147:O147)</f>
        <v>0</v>
      </c>
      <c r="Q147" s="1292">
        <v>0</v>
      </c>
      <c r="R147" s="1292">
        <v>0</v>
      </c>
      <c r="T147"/>
      <c r="U147"/>
      <c r="V147"/>
      <c r="W147" s="1125"/>
      <c r="X147"/>
    </row>
    <row r="148" spans="2:24" s="1063" customFormat="1" ht="14.25" hidden="1" customHeight="1">
      <c r="B148" s="1286"/>
      <c r="C148" s="1317" t="s">
        <v>2800</v>
      </c>
      <c r="D148" s="1227">
        <v>611.93429009999988</v>
      </c>
      <c r="E148" s="1228">
        <v>531.4166203499999</v>
      </c>
      <c r="F148" s="1228">
        <v>611.93429009999988</v>
      </c>
      <c r="G148" s="1228">
        <v>531.4166203499999</v>
      </c>
      <c r="H148" s="1228">
        <v>611.93429009999988</v>
      </c>
      <c r="I148" s="1228">
        <v>531.4166203499999</v>
      </c>
      <c r="J148" s="1228">
        <v>611.93429009999988</v>
      </c>
      <c r="K148" s="1228">
        <v>531.4166203499999</v>
      </c>
      <c r="L148" s="1228">
        <v>611.93429009999988</v>
      </c>
      <c r="M148" s="1228">
        <v>199.68382098000001</v>
      </c>
      <c r="N148" s="1228">
        <v>531.4166203499999</v>
      </c>
      <c r="O148" s="1229">
        <v>611.93429009999988</v>
      </c>
      <c r="P148" s="1292">
        <f>SUM(D148:O148)</f>
        <v>6528.3726633299993</v>
      </c>
      <c r="Q148" s="1292">
        <v>6547.6303998000003</v>
      </c>
      <c r="R148" s="1292">
        <v>6579.7266272500001</v>
      </c>
      <c r="T148"/>
      <c r="U148"/>
      <c r="V148"/>
      <c r="W148" s="1125"/>
      <c r="X148"/>
    </row>
    <row r="149" spans="2:24" s="1063" customFormat="1" ht="14.25" hidden="1" customHeight="1">
      <c r="B149" s="5750" t="s">
        <v>2801</v>
      </c>
      <c r="C149" s="5750"/>
      <c r="D149" s="1363">
        <f>SUM(D150,D152,-D153)</f>
        <v>661.1726717622289</v>
      </c>
      <c r="E149" s="1364">
        <f t="shared" ref="E149:O149" si="46">SUM(E150,E152,-E153)</f>
        <v>587.20531071305902</v>
      </c>
      <c r="F149" s="1364">
        <f t="shared" si="46"/>
        <v>658.15551478689542</v>
      </c>
      <c r="G149" s="1364">
        <f t="shared" si="46"/>
        <v>583.36712306585162</v>
      </c>
      <c r="H149" s="1364">
        <f t="shared" si="46"/>
        <v>654.86863994084649</v>
      </c>
      <c r="I149" s="1364">
        <f t="shared" si="46"/>
        <v>601.29677314681146</v>
      </c>
      <c r="J149" s="1364">
        <f t="shared" si="46"/>
        <v>668.74484867679223</v>
      </c>
      <c r="K149" s="1364">
        <f t="shared" si="46"/>
        <v>608.51411671660503</v>
      </c>
      <c r="L149" s="1364">
        <f t="shared" si="46"/>
        <v>658.74802597728319</v>
      </c>
      <c r="M149" s="1364">
        <f t="shared" si="46"/>
        <v>294.59450755473205</v>
      </c>
      <c r="N149" s="1364">
        <f t="shared" si="46"/>
        <v>620.73876552231309</v>
      </c>
      <c r="O149" s="1365">
        <f t="shared" si="46"/>
        <v>684.43018846673453</v>
      </c>
      <c r="P149" s="1366">
        <f>SUM(D149:O149)</f>
        <v>7281.8364863301531</v>
      </c>
      <c r="Q149" s="1366">
        <f>SUM(Q150,Q152,-Q153)</f>
        <v>7359.6320128647994</v>
      </c>
      <c r="R149" s="1366">
        <f>SUM(R150,R152,-R153)</f>
        <v>7447.8470126195907</v>
      </c>
      <c r="T149"/>
      <c r="U149"/>
      <c r="V149"/>
      <c r="W149" s="1125"/>
      <c r="X149"/>
    </row>
    <row r="150" spans="2:24" s="1063" customFormat="1" ht="14.25" hidden="1" customHeight="1">
      <c r="B150" s="1322"/>
      <c r="C150" s="1323" t="s">
        <v>2803</v>
      </c>
      <c r="D150" s="1367">
        <v>456.19650000000007</v>
      </c>
      <c r="E150" s="1368">
        <v>395.08200000000005</v>
      </c>
      <c r="F150" s="1368">
        <v>456.19650000000007</v>
      </c>
      <c r="G150" s="1368">
        <v>395.08200000000005</v>
      </c>
      <c r="H150" s="1368">
        <v>456.19650000000007</v>
      </c>
      <c r="I150" s="1368">
        <v>395.08200000000005</v>
      </c>
      <c r="J150" s="1368">
        <v>456.19650000000007</v>
      </c>
      <c r="K150" s="1368">
        <v>395.08200000000005</v>
      </c>
      <c r="L150" s="1368">
        <v>456.19650000000007</v>
      </c>
      <c r="M150" s="1368">
        <v>144.94500000000002</v>
      </c>
      <c r="N150" s="1368">
        <v>395.08200000000005</v>
      </c>
      <c r="O150" s="1369">
        <v>456.19650000000007</v>
      </c>
      <c r="P150" s="1370">
        <f>SUM(D150:O150)</f>
        <v>4857.5340000000006</v>
      </c>
      <c r="Q150" s="1370">
        <v>4857.5339999999997</v>
      </c>
      <c r="R150" s="1370">
        <v>4857.5339999999997</v>
      </c>
      <c r="T150"/>
      <c r="U150"/>
      <c r="V150"/>
      <c r="W150" s="1125"/>
      <c r="X150"/>
    </row>
    <row r="151" spans="2:24" s="1063" customFormat="1" ht="14.25" hidden="1" customHeight="1">
      <c r="B151" s="1322"/>
      <c r="C151" s="1328" t="s">
        <v>2804</v>
      </c>
      <c r="D151" s="1329">
        <f t="shared" ref="D151:R151" si="47">IF(ISERROR(D150/D146),"",D150/D146)</f>
        <v>0.74549916123420745</v>
      </c>
      <c r="E151" s="1330">
        <f t="shared" si="47"/>
        <v>0.74345059012228942</v>
      </c>
      <c r="F151" s="1330">
        <f t="shared" si="47"/>
        <v>0.74549916123420745</v>
      </c>
      <c r="G151" s="1330">
        <f t="shared" si="47"/>
        <v>0.74345059012228942</v>
      </c>
      <c r="H151" s="1330">
        <f t="shared" si="47"/>
        <v>0.74549916123420745</v>
      </c>
      <c r="I151" s="1330">
        <f t="shared" si="47"/>
        <v>0.74345059012228942</v>
      </c>
      <c r="J151" s="1330">
        <f t="shared" si="47"/>
        <v>0.74549916123420745</v>
      </c>
      <c r="K151" s="1330">
        <f t="shared" si="47"/>
        <v>0.74345059012228942</v>
      </c>
      <c r="L151" s="1330">
        <f t="shared" si="47"/>
        <v>0.74549916123420745</v>
      </c>
      <c r="M151" s="1330">
        <f t="shared" si="47"/>
        <v>0.72587252832325089</v>
      </c>
      <c r="N151" s="1330">
        <f t="shared" si="47"/>
        <v>0.74345059012228942</v>
      </c>
      <c r="O151" s="1331">
        <f t="shared" si="47"/>
        <v>0.74549916123420745</v>
      </c>
      <c r="P151" s="1332">
        <f t="shared" si="47"/>
        <v>0.74406506039167564</v>
      </c>
      <c r="Q151" s="1332">
        <f t="shared" si="47"/>
        <v>0.74187663374346458</v>
      </c>
      <c r="R151" s="1332">
        <f t="shared" si="47"/>
        <v>0.73825772333495998</v>
      </c>
      <c r="T151"/>
      <c r="U151"/>
      <c r="V151"/>
      <c r="W151" s="1125"/>
      <c r="X151"/>
    </row>
    <row r="152" spans="2:24" s="1063" customFormat="1" ht="14.25" hidden="1" customHeight="1">
      <c r="B152" s="1286"/>
      <c r="C152" s="1317" t="s">
        <v>2805</v>
      </c>
      <c r="D152" s="1288">
        <v>204.10533842889558</v>
      </c>
      <c r="E152" s="1289">
        <v>191.25247737972572</v>
      </c>
      <c r="F152" s="1289">
        <v>201.08818145356207</v>
      </c>
      <c r="G152" s="1289">
        <v>187.41428973251831</v>
      </c>
      <c r="H152" s="1289">
        <v>197.8013066075132</v>
      </c>
      <c r="I152" s="1289">
        <v>205.34393981347819</v>
      </c>
      <c r="J152" s="1289">
        <v>211.67751534345891</v>
      </c>
      <c r="K152" s="1289">
        <v>212.56128338327167</v>
      </c>
      <c r="L152" s="1289">
        <v>201.68069264394984</v>
      </c>
      <c r="M152" s="1289">
        <v>148.77867422139869</v>
      </c>
      <c r="N152" s="1289">
        <v>224.78593218897979</v>
      </c>
      <c r="O152" s="1290">
        <v>227.36285513340121</v>
      </c>
      <c r="P152" s="1291">
        <f>SUM(D152:O152)</f>
        <v>2413.8524863301536</v>
      </c>
      <c r="Q152" s="1291">
        <v>2491.6480128648004</v>
      </c>
      <c r="R152" s="1291">
        <v>2579.8630126195908</v>
      </c>
      <c r="T152"/>
      <c r="U152"/>
      <c r="V152"/>
      <c r="W152" s="1125"/>
      <c r="X152"/>
    </row>
    <row r="153" spans="2:24" s="1063" customFormat="1" ht="14.25" hidden="1" customHeight="1">
      <c r="B153" s="1286"/>
      <c r="C153" s="1317" t="s">
        <v>2806</v>
      </c>
      <c r="D153" s="1288">
        <v>-0.87083333333333324</v>
      </c>
      <c r="E153" s="1289">
        <v>-0.87083333333333324</v>
      </c>
      <c r="F153" s="1289">
        <v>-0.87083333333333324</v>
      </c>
      <c r="G153" s="1289">
        <v>-0.87083333333333324</v>
      </c>
      <c r="H153" s="1289">
        <v>-0.87083333333333324</v>
      </c>
      <c r="I153" s="1289">
        <v>-0.87083333333333324</v>
      </c>
      <c r="J153" s="1289">
        <v>-0.87083333333333324</v>
      </c>
      <c r="K153" s="1289">
        <v>-0.87083333333333324</v>
      </c>
      <c r="L153" s="1289">
        <v>-0.87083333333333324</v>
      </c>
      <c r="M153" s="1289">
        <v>-0.87083333333333324</v>
      </c>
      <c r="N153" s="1289">
        <v>-0.87083333333333324</v>
      </c>
      <c r="O153" s="1290">
        <v>-0.87083333333333324</v>
      </c>
      <c r="P153" s="1291">
        <f>SUM(D153:O153)</f>
        <v>-10.450000000000001</v>
      </c>
      <c r="Q153" s="1291">
        <v>-10.45</v>
      </c>
      <c r="R153" s="1291">
        <v>-10.45</v>
      </c>
      <c r="T153"/>
      <c r="U153"/>
      <c r="V153"/>
      <c r="W153" s="1125"/>
      <c r="X153"/>
    </row>
    <row r="154" spans="2:24" s="1063" customFormat="1" ht="14.25" hidden="1" customHeight="1">
      <c r="B154" s="5756" t="s">
        <v>2793</v>
      </c>
      <c r="C154" s="5756"/>
      <c r="D154" s="1304">
        <f>D146-D149</f>
        <v>-49.238381662229017</v>
      </c>
      <c r="E154" s="1305">
        <f t="shared" ref="E154:O154" si="48">E146-E149</f>
        <v>-55.788690363059118</v>
      </c>
      <c r="F154" s="1305">
        <f t="shared" si="48"/>
        <v>-46.221224686895539</v>
      </c>
      <c r="G154" s="1305">
        <f t="shared" si="48"/>
        <v>-51.950502715851712</v>
      </c>
      <c r="H154" s="1305">
        <f t="shared" si="48"/>
        <v>-42.934349840846608</v>
      </c>
      <c r="I154" s="1305">
        <f t="shared" si="48"/>
        <v>-69.880152796811558</v>
      </c>
      <c r="J154" s="1305">
        <f t="shared" si="48"/>
        <v>-56.810558576792346</v>
      </c>
      <c r="K154" s="1305">
        <f t="shared" si="48"/>
        <v>-77.097496366605128</v>
      </c>
      <c r="L154" s="1305">
        <f t="shared" si="48"/>
        <v>-46.813735877283307</v>
      </c>
      <c r="M154" s="1305">
        <f t="shared" si="48"/>
        <v>-94.91068657473204</v>
      </c>
      <c r="N154" s="1305">
        <f t="shared" si="48"/>
        <v>-89.322145172313185</v>
      </c>
      <c r="O154" s="1306">
        <f t="shared" si="48"/>
        <v>-72.49589836673465</v>
      </c>
      <c r="P154" s="1307">
        <f>SUM(D154:O154)</f>
        <v>-753.46382300015421</v>
      </c>
      <c r="Q154" s="1307">
        <f>Q146-Q149</f>
        <v>-812.00161306479913</v>
      </c>
      <c r="R154" s="1307">
        <f>R146-R149</f>
        <v>-868.12038536959062</v>
      </c>
      <c r="T154"/>
      <c r="U154"/>
      <c r="V154"/>
      <c r="W154" s="1125"/>
      <c r="X154"/>
    </row>
    <row r="155" spans="2:24" s="1063" customFormat="1" ht="14.25" hidden="1" customHeight="1">
      <c r="B155" s="5757" t="s">
        <v>2804</v>
      </c>
      <c r="C155" s="5758"/>
      <c r="D155" s="1298">
        <f t="shared" ref="D155:R155" si="49">IF(ISERROR(D154/D146),"",D154/D146)</f>
        <v>-8.0463511293316595E-2</v>
      </c>
      <c r="E155" s="1299">
        <f t="shared" si="49"/>
        <v>-0.10498107930142597</v>
      </c>
      <c r="F155" s="1299">
        <f t="shared" si="49"/>
        <v>-7.5532986849523087E-2</v>
      </c>
      <c r="G155" s="1299">
        <f t="shared" si="49"/>
        <v>-9.7758520765941118E-2</v>
      </c>
      <c r="H155" s="1299">
        <f t="shared" si="49"/>
        <v>-7.0161699606391473E-2</v>
      </c>
      <c r="I155" s="1299">
        <f t="shared" si="49"/>
        <v>-0.13149786837827412</v>
      </c>
      <c r="J155" s="1299">
        <f t="shared" si="49"/>
        <v>-9.2837677992368417E-2</v>
      </c>
      <c r="K155" s="1299">
        <f t="shared" si="49"/>
        <v>-0.14507919664956551</v>
      </c>
      <c r="L155" s="1299">
        <f t="shared" si="49"/>
        <v>-7.6501246350540661E-2</v>
      </c>
      <c r="M155" s="1299">
        <f t="shared" si="49"/>
        <v>-0.47530483996616896</v>
      </c>
      <c r="N155" s="1299">
        <f t="shared" si="49"/>
        <v>-0.1680830853831484</v>
      </c>
      <c r="O155" s="1300">
        <f t="shared" si="49"/>
        <v>-0.11847007029935788</v>
      </c>
      <c r="P155" s="1301">
        <f t="shared" si="49"/>
        <v>-0.11541372741056521</v>
      </c>
      <c r="Q155" s="1301">
        <f t="shared" si="49"/>
        <v>-0.12401457679859297</v>
      </c>
      <c r="R155" s="1301">
        <f t="shared" si="49"/>
        <v>-0.13193867079131552</v>
      </c>
      <c r="T155"/>
      <c r="U155"/>
      <c r="V155"/>
      <c r="W155" s="1125"/>
      <c r="X155"/>
    </row>
    <row r="156" spans="2:24" s="1063" customFormat="1" ht="14.25" hidden="1" customHeight="1">
      <c r="B156" s="5759" t="s">
        <v>2807</v>
      </c>
      <c r="C156" s="5759"/>
      <c r="D156" s="1335">
        <v>155.7377900999999</v>
      </c>
      <c r="E156" s="1336">
        <v>136.33462034999994</v>
      </c>
      <c r="F156" s="1336">
        <v>155.73779009999987</v>
      </c>
      <c r="G156" s="1336">
        <v>136.33462034999994</v>
      </c>
      <c r="H156" s="1336">
        <v>155.73779009999993</v>
      </c>
      <c r="I156" s="1336">
        <v>136.33462034999997</v>
      </c>
      <c r="J156" s="1336">
        <v>155.7377900999999</v>
      </c>
      <c r="K156" s="1336">
        <v>136.33462034999988</v>
      </c>
      <c r="L156" s="1336">
        <v>155.73779009999987</v>
      </c>
      <c r="M156" s="1336">
        <v>54.738820979999986</v>
      </c>
      <c r="N156" s="1336">
        <v>136.33462034999994</v>
      </c>
      <c r="O156" s="1337">
        <v>155.7377900999999</v>
      </c>
      <c r="P156" s="1338">
        <f>SUM(D156:O156)</f>
        <v>1670.838663329999</v>
      </c>
      <c r="Q156" s="1338">
        <v>1690.0963998000011</v>
      </c>
      <c r="R156" s="1338">
        <v>1722.19262725</v>
      </c>
      <c r="T156"/>
      <c r="U156"/>
      <c r="V156"/>
      <c r="W156" s="1125"/>
      <c r="X156"/>
    </row>
    <row r="157" spans="2:24" s="1063" customFormat="1" ht="14.25" hidden="1" customHeight="1" thickBot="1">
      <c r="B157" s="5760" t="s">
        <v>2804</v>
      </c>
      <c r="C157" s="5761"/>
      <c r="D157" s="1342">
        <f t="shared" ref="D157:R157" si="50">IF(ISERROR(D156/D146),"",D156/D146)</f>
        <v>0.25450083876579271</v>
      </c>
      <c r="E157" s="1343">
        <f t="shared" si="50"/>
        <v>0.25654940987771074</v>
      </c>
      <c r="F157" s="1343">
        <f t="shared" si="50"/>
        <v>0.25450083876579266</v>
      </c>
      <c r="G157" s="1343">
        <f t="shared" si="50"/>
        <v>0.25654940987771074</v>
      </c>
      <c r="H157" s="1343">
        <f t="shared" si="50"/>
        <v>0.25450083876579277</v>
      </c>
      <c r="I157" s="1343">
        <f t="shared" si="50"/>
        <v>0.2565494098777108</v>
      </c>
      <c r="J157" s="1343">
        <f t="shared" si="50"/>
        <v>0.25450083876579271</v>
      </c>
      <c r="K157" s="1343">
        <f t="shared" si="50"/>
        <v>0.25654940987771063</v>
      </c>
      <c r="L157" s="1343">
        <f t="shared" si="50"/>
        <v>0.25450083876579266</v>
      </c>
      <c r="M157" s="1343">
        <f t="shared" si="50"/>
        <v>0.27412747167674906</v>
      </c>
      <c r="N157" s="1343">
        <f t="shared" si="50"/>
        <v>0.25654940987771074</v>
      </c>
      <c r="O157" s="1344">
        <f t="shared" si="50"/>
        <v>0.25450083876579271</v>
      </c>
      <c r="P157" s="1345">
        <f t="shared" si="50"/>
        <v>0.25593493960832436</v>
      </c>
      <c r="Q157" s="1345">
        <f t="shared" si="50"/>
        <v>0.25812336625653542</v>
      </c>
      <c r="R157" s="1345">
        <f t="shared" si="50"/>
        <v>0.26174227666504002</v>
      </c>
      <c r="T157"/>
      <c r="U157"/>
      <c r="V157"/>
      <c r="W157" s="1125"/>
      <c r="X157"/>
    </row>
    <row r="158" spans="2:24" s="1063" customFormat="1" ht="13.5" hidden="1" customHeight="1" thickBot="1">
      <c r="T158"/>
      <c r="U158"/>
      <c r="V158"/>
      <c r="W158" s="1125"/>
      <c r="X158"/>
    </row>
    <row r="159" spans="2:24" s="1063" customFormat="1" ht="14.25" hidden="1" customHeight="1">
      <c r="B159" s="5746" t="s">
        <v>2821</v>
      </c>
      <c r="C159" s="5747"/>
      <c r="D159" s="1279" t="s">
        <v>2710</v>
      </c>
      <c r="E159" s="1280" t="s">
        <v>2711</v>
      </c>
      <c r="F159" s="1280" t="s">
        <v>2712</v>
      </c>
      <c r="G159" s="1280" t="s">
        <v>2713</v>
      </c>
      <c r="H159" s="1280" t="s">
        <v>2714</v>
      </c>
      <c r="I159" s="1280" t="s">
        <v>2715</v>
      </c>
      <c r="J159" s="1280" t="s">
        <v>2716</v>
      </c>
      <c r="K159" s="1280" t="s">
        <v>2717</v>
      </c>
      <c r="L159" s="1280" t="s">
        <v>2718</v>
      </c>
      <c r="M159" s="1280" t="s">
        <v>2719</v>
      </c>
      <c r="N159" s="1280" t="s">
        <v>2720</v>
      </c>
      <c r="O159" s="1281" t="s">
        <v>2721</v>
      </c>
      <c r="P159" s="1215" t="s">
        <v>1933</v>
      </c>
      <c r="Q159" s="1215" t="s">
        <v>1934</v>
      </c>
      <c r="R159" s="1215" t="s">
        <v>1935</v>
      </c>
      <c r="T159"/>
      <c r="U159"/>
      <c r="V159"/>
      <c r="W159" s="1125"/>
      <c r="X159"/>
    </row>
    <row r="160" spans="2:24" s="1063" customFormat="1" ht="14.25" hidden="1" customHeight="1">
      <c r="B160" s="5754" t="s">
        <v>1620</v>
      </c>
      <c r="C160" s="5754"/>
      <c r="D160" s="1359">
        <f>SUM(D161:D162)</f>
        <v>0</v>
      </c>
      <c r="E160" s="1360">
        <f t="shared" ref="E160:O160" si="51">SUM(E161:E162)</f>
        <v>0</v>
      </c>
      <c r="F160" s="1360">
        <f t="shared" si="51"/>
        <v>0</v>
      </c>
      <c r="G160" s="1360">
        <f t="shared" si="51"/>
        <v>0</v>
      </c>
      <c r="H160" s="1360">
        <f t="shared" si="51"/>
        <v>0</v>
      </c>
      <c r="I160" s="1360">
        <f t="shared" si="51"/>
        <v>0</v>
      </c>
      <c r="J160" s="1360">
        <f t="shared" si="51"/>
        <v>0</v>
      </c>
      <c r="K160" s="1360">
        <f t="shared" si="51"/>
        <v>0</v>
      </c>
      <c r="L160" s="1360">
        <f t="shared" si="51"/>
        <v>0</v>
      </c>
      <c r="M160" s="1360">
        <f t="shared" si="51"/>
        <v>0</v>
      </c>
      <c r="N160" s="1360">
        <f t="shared" si="51"/>
        <v>0</v>
      </c>
      <c r="O160" s="1361">
        <f t="shared" si="51"/>
        <v>0</v>
      </c>
      <c r="P160" s="1362">
        <f>SUM(D160:O160)</f>
        <v>0</v>
      </c>
      <c r="Q160" s="1362">
        <f>SUM(Q161:Q162)</f>
        <v>0</v>
      </c>
      <c r="R160" s="1362">
        <f>SUM(R161:R162)</f>
        <v>0</v>
      </c>
      <c r="T160"/>
      <c r="U160"/>
      <c r="V160"/>
      <c r="W160" s="1125"/>
      <c r="X160"/>
    </row>
    <row r="161" spans="2:24" s="1063" customFormat="1" ht="14.25" hidden="1" customHeight="1">
      <c r="B161" s="1286"/>
      <c r="C161" s="1317" t="s">
        <v>2798</v>
      </c>
      <c r="D161" s="1227"/>
      <c r="E161" s="1228"/>
      <c r="F161" s="1228"/>
      <c r="G161" s="1228"/>
      <c r="H161" s="1228"/>
      <c r="I161" s="1228"/>
      <c r="J161" s="1228"/>
      <c r="K161" s="1228"/>
      <c r="L161" s="1228"/>
      <c r="M161" s="1228"/>
      <c r="N161" s="1228"/>
      <c r="O161" s="1229"/>
      <c r="P161" s="1292">
        <f>SUM(D161:O161)</f>
        <v>0</v>
      </c>
      <c r="Q161" s="1292"/>
      <c r="R161" s="1292"/>
      <c r="T161"/>
      <c r="U161"/>
      <c r="V161"/>
      <c r="W161" s="1125"/>
      <c r="X161"/>
    </row>
    <row r="162" spans="2:24" s="1063" customFormat="1" ht="14.25" hidden="1" customHeight="1">
      <c r="B162" s="1286"/>
      <c r="C162" s="1317" t="s">
        <v>2800</v>
      </c>
      <c r="D162" s="1227">
        <v>0</v>
      </c>
      <c r="E162" s="1228">
        <v>0</v>
      </c>
      <c r="F162" s="1228">
        <v>0</v>
      </c>
      <c r="G162" s="1228">
        <v>0</v>
      </c>
      <c r="H162" s="1228">
        <v>0</v>
      </c>
      <c r="I162" s="1228">
        <v>0</v>
      </c>
      <c r="J162" s="1228">
        <v>0</v>
      </c>
      <c r="K162" s="1228">
        <v>0</v>
      </c>
      <c r="L162" s="1228">
        <v>0</v>
      </c>
      <c r="M162" s="1228">
        <v>0</v>
      </c>
      <c r="N162" s="1228">
        <v>0</v>
      </c>
      <c r="O162" s="1229">
        <v>0</v>
      </c>
      <c r="P162" s="1292">
        <f>SUM(D162:O162)</f>
        <v>0</v>
      </c>
      <c r="Q162" s="1292">
        <v>0</v>
      </c>
      <c r="R162" s="1292">
        <v>0</v>
      </c>
      <c r="T162"/>
      <c r="U162"/>
      <c r="V162"/>
      <c r="W162" s="1125"/>
      <c r="X162"/>
    </row>
    <row r="163" spans="2:24" s="1063" customFormat="1" ht="14.25" hidden="1" customHeight="1">
      <c r="B163" s="5750" t="s">
        <v>2801</v>
      </c>
      <c r="C163" s="5750"/>
      <c r="D163" s="1363">
        <f>SUM(D164,D166,-D167)</f>
        <v>0</v>
      </c>
      <c r="E163" s="1364">
        <f t="shared" ref="E163:O163" si="52">SUM(E164,E166,-E167)</f>
        <v>0</v>
      </c>
      <c r="F163" s="1364">
        <f t="shared" si="52"/>
        <v>0</v>
      </c>
      <c r="G163" s="1364">
        <f t="shared" si="52"/>
        <v>0</v>
      </c>
      <c r="H163" s="1364">
        <f t="shared" si="52"/>
        <v>0</v>
      </c>
      <c r="I163" s="1364">
        <f t="shared" si="52"/>
        <v>0</v>
      </c>
      <c r="J163" s="1364">
        <f t="shared" si="52"/>
        <v>0</v>
      </c>
      <c r="K163" s="1364">
        <f t="shared" si="52"/>
        <v>0</v>
      </c>
      <c r="L163" s="1364">
        <f t="shared" si="52"/>
        <v>0</v>
      </c>
      <c r="M163" s="1364">
        <f t="shared" si="52"/>
        <v>0</v>
      </c>
      <c r="N163" s="1364">
        <f t="shared" si="52"/>
        <v>0</v>
      </c>
      <c r="O163" s="1365">
        <f t="shared" si="52"/>
        <v>0</v>
      </c>
      <c r="P163" s="1366">
        <f>SUM(D163:O163)</f>
        <v>0</v>
      </c>
      <c r="Q163" s="1366">
        <f>SUM(Q164,Q166,-Q167)</f>
        <v>0</v>
      </c>
      <c r="R163" s="1366">
        <f>SUM(R164,R166,-R167)</f>
        <v>0</v>
      </c>
      <c r="T163"/>
      <c r="U163"/>
      <c r="V163"/>
      <c r="W163" s="1125"/>
      <c r="X163"/>
    </row>
    <row r="164" spans="2:24" s="1063" customFormat="1" ht="14.25" hidden="1" customHeight="1">
      <c r="B164" s="1322"/>
      <c r="C164" s="1323" t="s">
        <v>2803</v>
      </c>
      <c r="D164" s="1367">
        <v>0</v>
      </c>
      <c r="E164" s="1368">
        <v>0</v>
      </c>
      <c r="F164" s="1368">
        <v>0</v>
      </c>
      <c r="G164" s="1368">
        <v>0</v>
      </c>
      <c r="H164" s="1368">
        <v>0</v>
      </c>
      <c r="I164" s="1368">
        <v>0</v>
      </c>
      <c r="J164" s="1368">
        <v>0</v>
      </c>
      <c r="K164" s="1368">
        <v>0</v>
      </c>
      <c r="L164" s="1368">
        <v>0</v>
      </c>
      <c r="M164" s="1368">
        <v>0</v>
      </c>
      <c r="N164" s="1368">
        <v>0</v>
      </c>
      <c r="O164" s="1369">
        <v>0</v>
      </c>
      <c r="P164" s="1370">
        <f>SUM(D164:O164)</f>
        <v>0</v>
      </c>
      <c r="Q164" s="1370">
        <v>0</v>
      </c>
      <c r="R164" s="1370">
        <v>0</v>
      </c>
      <c r="T164"/>
      <c r="U164"/>
      <c r="V164"/>
      <c r="W164" s="1125"/>
      <c r="X164"/>
    </row>
    <row r="165" spans="2:24" s="1063" customFormat="1" ht="14.25" hidden="1" customHeight="1">
      <c r="B165" s="1322"/>
      <c r="C165" s="1328" t="s">
        <v>2804</v>
      </c>
      <c r="D165" s="1329" t="str">
        <f>IF(ISERROR(D164/D160),"",D164/D160)</f>
        <v/>
      </c>
      <c r="E165" s="1330" t="str">
        <f t="shared" ref="E165:R165" si="53">IF(ISERROR(E164/E160),"",E164/E160)</f>
        <v/>
      </c>
      <c r="F165" s="1330" t="str">
        <f t="shared" si="53"/>
        <v/>
      </c>
      <c r="G165" s="1330" t="str">
        <f t="shared" si="53"/>
        <v/>
      </c>
      <c r="H165" s="1330" t="str">
        <f t="shared" si="53"/>
        <v/>
      </c>
      <c r="I165" s="1330" t="str">
        <f t="shared" si="53"/>
        <v/>
      </c>
      <c r="J165" s="1330" t="str">
        <f t="shared" si="53"/>
        <v/>
      </c>
      <c r="K165" s="1330" t="str">
        <f t="shared" si="53"/>
        <v/>
      </c>
      <c r="L165" s="1330" t="str">
        <f t="shared" si="53"/>
        <v/>
      </c>
      <c r="M165" s="1330" t="str">
        <f t="shared" si="53"/>
        <v/>
      </c>
      <c r="N165" s="1330" t="str">
        <f t="shared" si="53"/>
        <v/>
      </c>
      <c r="O165" s="1331" t="str">
        <f t="shared" si="53"/>
        <v/>
      </c>
      <c r="P165" s="1332" t="str">
        <f t="shared" si="53"/>
        <v/>
      </c>
      <c r="Q165" s="1332" t="str">
        <f t="shared" si="53"/>
        <v/>
      </c>
      <c r="R165" s="1332" t="str">
        <f t="shared" si="53"/>
        <v/>
      </c>
      <c r="T165"/>
      <c r="U165"/>
      <c r="V165"/>
      <c r="W165" s="1125"/>
      <c r="X165"/>
    </row>
    <row r="166" spans="2:24" s="1063" customFormat="1" ht="14.25" hidden="1" customHeight="1">
      <c r="B166" s="1286"/>
      <c r="C166" s="1317" t="s">
        <v>2805</v>
      </c>
      <c r="D166" s="1227">
        <v>0</v>
      </c>
      <c r="E166" s="1228">
        <v>0</v>
      </c>
      <c r="F166" s="1228">
        <v>0</v>
      </c>
      <c r="G166" s="1228">
        <v>0</v>
      </c>
      <c r="H166" s="1228">
        <v>0</v>
      </c>
      <c r="I166" s="1228">
        <v>0</v>
      </c>
      <c r="J166" s="1228">
        <v>0</v>
      </c>
      <c r="K166" s="1228">
        <v>0</v>
      </c>
      <c r="L166" s="1228">
        <v>0</v>
      </c>
      <c r="M166" s="1228">
        <v>0</v>
      </c>
      <c r="N166" s="1228">
        <v>0</v>
      </c>
      <c r="O166" s="1229">
        <v>0</v>
      </c>
      <c r="P166" s="1292">
        <f>SUM(D166:O166)</f>
        <v>0</v>
      </c>
      <c r="Q166" s="1292">
        <v>0</v>
      </c>
      <c r="R166" s="1292">
        <v>0</v>
      </c>
      <c r="T166"/>
      <c r="U166"/>
      <c r="V166"/>
      <c r="W166" s="1125"/>
      <c r="X166"/>
    </row>
    <row r="167" spans="2:24" s="1063" customFormat="1" ht="14.25" hidden="1" customHeight="1">
      <c r="B167" s="1286"/>
      <c r="C167" s="1317" t="s">
        <v>2806</v>
      </c>
      <c r="D167" s="1227">
        <v>0</v>
      </c>
      <c r="E167" s="1228">
        <v>0</v>
      </c>
      <c r="F167" s="1228">
        <v>0</v>
      </c>
      <c r="G167" s="1228">
        <v>0</v>
      </c>
      <c r="H167" s="1228">
        <v>0</v>
      </c>
      <c r="I167" s="1228">
        <v>0</v>
      </c>
      <c r="J167" s="1228">
        <v>0</v>
      </c>
      <c r="K167" s="1228">
        <v>0</v>
      </c>
      <c r="L167" s="1228">
        <v>0</v>
      </c>
      <c r="M167" s="1228">
        <v>0</v>
      </c>
      <c r="N167" s="1228">
        <v>0</v>
      </c>
      <c r="O167" s="1229">
        <v>0</v>
      </c>
      <c r="P167" s="1292">
        <f>SUM(D167:O167)</f>
        <v>0</v>
      </c>
      <c r="Q167" s="1292">
        <v>0</v>
      </c>
      <c r="R167" s="1292">
        <v>0</v>
      </c>
      <c r="T167"/>
      <c r="U167"/>
      <c r="V167"/>
      <c r="W167" s="1125"/>
      <c r="X167"/>
    </row>
    <row r="168" spans="2:24" s="1063" customFormat="1" ht="14.25" hidden="1" customHeight="1">
      <c r="B168" s="5756" t="s">
        <v>2793</v>
      </c>
      <c r="C168" s="5756"/>
      <c r="D168" s="1371">
        <f>D160-D163</f>
        <v>0</v>
      </c>
      <c r="E168" s="1372">
        <f t="shared" ref="E168:O168" si="54">E160-E163</f>
        <v>0</v>
      </c>
      <c r="F168" s="1372">
        <f t="shared" si="54"/>
        <v>0</v>
      </c>
      <c r="G168" s="1372">
        <f t="shared" si="54"/>
        <v>0</v>
      </c>
      <c r="H168" s="1372">
        <f t="shared" si="54"/>
        <v>0</v>
      </c>
      <c r="I168" s="1372">
        <f t="shared" si="54"/>
        <v>0</v>
      </c>
      <c r="J168" s="1372">
        <f t="shared" si="54"/>
        <v>0</v>
      </c>
      <c r="K168" s="1372">
        <f t="shared" si="54"/>
        <v>0</v>
      </c>
      <c r="L168" s="1372">
        <f t="shared" si="54"/>
        <v>0</v>
      </c>
      <c r="M168" s="1372">
        <f t="shared" si="54"/>
        <v>0</v>
      </c>
      <c r="N168" s="1372">
        <f t="shared" si="54"/>
        <v>0</v>
      </c>
      <c r="O168" s="1373">
        <f t="shared" si="54"/>
        <v>0</v>
      </c>
      <c r="P168" s="1374">
        <f>SUM(D168:O168)</f>
        <v>0</v>
      </c>
      <c r="Q168" s="1374">
        <f>Q160-Q163</f>
        <v>0</v>
      </c>
      <c r="R168" s="1374">
        <f>R160-R163</f>
        <v>0</v>
      </c>
      <c r="T168"/>
      <c r="U168"/>
      <c r="V168"/>
      <c r="W168" s="1125"/>
      <c r="X168"/>
    </row>
    <row r="169" spans="2:24" s="1063" customFormat="1" ht="14.25" hidden="1" customHeight="1">
      <c r="B169" s="5757" t="s">
        <v>2804</v>
      </c>
      <c r="C169" s="5758"/>
      <c r="D169" s="1298" t="str">
        <f>IF(ISERROR(D168/D160),"",D168/D160)</f>
        <v/>
      </c>
      <c r="E169" s="1299" t="str">
        <f t="shared" ref="E169:R169" si="55">IF(ISERROR(E168/E160),"",E168/E160)</f>
        <v/>
      </c>
      <c r="F169" s="1299" t="str">
        <f t="shared" si="55"/>
        <v/>
      </c>
      <c r="G169" s="1299" t="str">
        <f t="shared" si="55"/>
        <v/>
      </c>
      <c r="H169" s="1299" t="str">
        <f t="shared" si="55"/>
        <v/>
      </c>
      <c r="I169" s="1299" t="str">
        <f t="shared" si="55"/>
        <v/>
      </c>
      <c r="J169" s="1299" t="str">
        <f t="shared" si="55"/>
        <v/>
      </c>
      <c r="K169" s="1299" t="str">
        <f t="shared" si="55"/>
        <v/>
      </c>
      <c r="L169" s="1299" t="str">
        <f t="shared" si="55"/>
        <v/>
      </c>
      <c r="M169" s="1299" t="str">
        <f t="shared" si="55"/>
        <v/>
      </c>
      <c r="N169" s="1299" t="str">
        <f t="shared" si="55"/>
        <v/>
      </c>
      <c r="O169" s="1300" t="str">
        <f t="shared" si="55"/>
        <v/>
      </c>
      <c r="P169" s="1301" t="str">
        <f t="shared" si="55"/>
        <v/>
      </c>
      <c r="Q169" s="1301" t="str">
        <f t="shared" si="55"/>
        <v/>
      </c>
      <c r="R169" s="1301" t="str">
        <f t="shared" si="55"/>
        <v/>
      </c>
      <c r="T169"/>
      <c r="U169"/>
      <c r="V169"/>
      <c r="W169" s="1125"/>
      <c r="X169"/>
    </row>
    <row r="170" spans="2:24" s="1063" customFormat="1" ht="14.25" hidden="1" customHeight="1">
      <c r="B170" s="5759" t="s">
        <v>2807</v>
      </c>
      <c r="C170" s="5759"/>
      <c r="D170" s="1375">
        <v>0</v>
      </c>
      <c r="E170" s="1376">
        <v>0</v>
      </c>
      <c r="F170" s="1376">
        <v>0</v>
      </c>
      <c r="G170" s="1376">
        <v>0</v>
      </c>
      <c r="H170" s="1376">
        <v>0</v>
      </c>
      <c r="I170" s="1376">
        <v>0</v>
      </c>
      <c r="J170" s="1376">
        <v>0</v>
      </c>
      <c r="K170" s="1376">
        <v>0</v>
      </c>
      <c r="L170" s="1376">
        <v>0</v>
      </c>
      <c r="M170" s="1376">
        <v>0</v>
      </c>
      <c r="N170" s="1376">
        <v>0</v>
      </c>
      <c r="O170" s="1377">
        <v>0</v>
      </c>
      <c r="P170" s="1378">
        <f>SUM(D170:O170)</f>
        <v>0</v>
      </c>
      <c r="Q170" s="1378">
        <v>0</v>
      </c>
      <c r="R170" s="1378">
        <v>0</v>
      </c>
      <c r="T170"/>
      <c r="U170"/>
      <c r="V170"/>
      <c r="W170" s="1125"/>
      <c r="X170"/>
    </row>
    <row r="171" spans="2:24" s="1063" customFormat="1" ht="14.25" hidden="1" customHeight="1" thickBot="1">
      <c r="B171" s="5760" t="s">
        <v>2804</v>
      </c>
      <c r="C171" s="5761"/>
      <c r="D171" s="1342" t="str">
        <f>IF(ISERROR(D170/D160),"",D170/D160)</f>
        <v/>
      </c>
      <c r="E171" s="1343" t="str">
        <f t="shared" ref="E171:R171" si="56">IF(ISERROR(E170/E160),"",E170/E160)</f>
        <v/>
      </c>
      <c r="F171" s="1343" t="str">
        <f t="shared" si="56"/>
        <v/>
      </c>
      <c r="G171" s="1343" t="str">
        <f t="shared" si="56"/>
        <v/>
      </c>
      <c r="H171" s="1343" t="str">
        <f t="shared" si="56"/>
        <v/>
      </c>
      <c r="I171" s="1343" t="str">
        <f t="shared" si="56"/>
        <v/>
      </c>
      <c r="J171" s="1343" t="str">
        <f t="shared" si="56"/>
        <v/>
      </c>
      <c r="K171" s="1343" t="str">
        <f t="shared" si="56"/>
        <v/>
      </c>
      <c r="L171" s="1343" t="str">
        <f t="shared" si="56"/>
        <v/>
      </c>
      <c r="M171" s="1343" t="str">
        <f t="shared" si="56"/>
        <v/>
      </c>
      <c r="N171" s="1343" t="str">
        <f t="shared" si="56"/>
        <v/>
      </c>
      <c r="O171" s="1344" t="str">
        <f t="shared" si="56"/>
        <v/>
      </c>
      <c r="P171" s="1345" t="str">
        <f t="shared" si="56"/>
        <v/>
      </c>
      <c r="Q171" s="1345" t="str">
        <f t="shared" si="56"/>
        <v/>
      </c>
      <c r="R171" s="1345" t="str">
        <f t="shared" si="56"/>
        <v/>
      </c>
      <c r="T171"/>
      <c r="U171"/>
      <c r="V171"/>
      <c r="W171" s="1125"/>
      <c r="X171"/>
    </row>
    <row r="172" spans="2:24" s="1063" customFormat="1" ht="14.25" hidden="1" customHeight="1">
      <c r="D172" s="1380"/>
      <c r="E172" s="1380"/>
      <c r="F172" s="1380"/>
      <c r="G172" s="1380"/>
      <c r="H172" s="1380"/>
      <c r="I172" s="1380"/>
      <c r="J172" s="1380"/>
      <c r="K172" s="1380"/>
      <c r="L172" s="1380"/>
      <c r="M172" s="1380"/>
      <c r="N172" s="1380"/>
      <c r="O172" s="1380"/>
      <c r="P172" s="1380"/>
      <c r="Q172" s="1380"/>
      <c r="R172" s="1380"/>
      <c r="T172"/>
      <c r="U172"/>
      <c r="V172"/>
      <c r="W172" s="1125"/>
      <c r="X172"/>
    </row>
    <row r="173" spans="2:24" ht="13.5" customHeight="1">
      <c r="D173" s="1381"/>
      <c r="E173" s="1381"/>
      <c r="F173" s="1381"/>
      <c r="G173" s="1381"/>
      <c r="H173" s="1381"/>
      <c r="I173" s="1381"/>
      <c r="J173" s="1381"/>
      <c r="K173" s="1381"/>
      <c r="L173" s="1381"/>
      <c r="M173" s="1381"/>
      <c r="N173" s="1381"/>
      <c r="O173" s="1381"/>
    </row>
    <row r="174" spans="2:24" ht="14.25" customHeight="1" thickBot="1">
      <c r="B174" s="1134" t="s">
        <v>2822</v>
      </c>
      <c r="C174" s="1063"/>
      <c r="D174" s="1063"/>
      <c r="E174" s="1063"/>
      <c r="F174" s="1063"/>
      <c r="G174" s="1063"/>
      <c r="H174" s="1063"/>
      <c r="I174" s="1063"/>
      <c r="J174" s="1063"/>
      <c r="K174" s="1063"/>
      <c r="L174" s="1063"/>
      <c r="M174" s="1063"/>
      <c r="N174" s="1063"/>
      <c r="O174" s="1063"/>
      <c r="P174" s="1063"/>
      <c r="Q174" s="1063"/>
      <c r="R174" s="1211" t="s">
        <v>2823</v>
      </c>
    </row>
    <row r="175" spans="2:24" s="1063" customFormat="1" ht="13.5" customHeight="1" thickBot="1">
      <c r="B175" s="5762" t="s">
        <v>2069</v>
      </c>
      <c r="C175" s="5763"/>
      <c r="D175" s="5766" t="s">
        <v>2824</v>
      </c>
      <c r="E175" s="5774" t="s">
        <v>2722</v>
      </c>
      <c r="F175" s="5775"/>
      <c r="G175" s="5775"/>
      <c r="H175" s="5775"/>
      <c r="I175" s="5775"/>
      <c r="J175" s="5775"/>
      <c r="K175" s="5775"/>
      <c r="L175" s="5775"/>
      <c r="M175" s="5775"/>
      <c r="N175" s="5775"/>
      <c r="O175" s="5775"/>
      <c r="P175" s="5776"/>
      <c r="Q175" s="5770" t="s">
        <v>2825</v>
      </c>
      <c r="R175" s="5770" t="s">
        <v>2663</v>
      </c>
      <c r="T175"/>
      <c r="U175"/>
      <c r="V175"/>
      <c r="W175" s="1125"/>
      <c r="X175"/>
    </row>
    <row r="176" spans="2:24" s="1063" customFormat="1" ht="13.5" customHeight="1">
      <c r="B176" s="5764"/>
      <c r="C176" s="5765"/>
      <c r="D176" s="5767"/>
      <c r="E176" s="1382" t="s">
        <v>2710</v>
      </c>
      <c r="F176" s="1383" t="s">
        <v>2711</v>
      </c>
      <c r="G176" s="1383" t="s">
        <v>2712</v>
      </c>
      <c r="H176" s="1383" t="s">
        <v>2713</v>
      </c>
      <c r="I176" s="1383" t="s">
        <v>2714</v>
      </c>
      <c r="J176" s="1383" t="s">
        <v>2715</v>
      </c>
      <c r="K176" s="1383" t="s">
        <v>2716</v>
      </c>
      <c r="L176" s="1383" t="s">
        <v>2717</v>
      </c>
      <c r="M176" s="1383" t="s">
        <v>2718</v>
      </c>
      <c r="N176" s="1383" t="s">
        <v>2719</v>
      </c>
      <c r="O176" s="1384" t="s">
        <v>2720</v>
      </c>
      <c r="P176" s="1215" t="s">
        <v>2826</v>
      </c>
      <c r="Q176" s="5771"/>
      <c r="R176" s="5771"/>
      <c r="T176"/>
      <c r="U176"/>
      <c r="V176"/>
      <c r="W176" s="1125"/>
      <c r="X176"/>
    </row>
    <row r="177" spans="2:24" s="1063" customFormat="1" ht="13.5" customHeight="1">
      <c r="B177" s="5772" t="s">
        <v>1884</v>
      </c>
      <c r="C177" s="5773"/>
      <c r="D177" s="1385">
        <v>11</v>
      </c>
      <c r="E177" s="1386">
        <v>11</v>
      </c>
      <c r="F177" s="1387">
        <v>11</v>
      </c>
      <c r="G177" s="1387">
        <v>11</v>
      </c>
      <c r="H177" s="1387">
        <v>11</v>
      </c>
      <c r="I177" s="1387">
        <v>11</v>
      </c>
      <c r="J177" s="1387">
        <v>11</v>
      </c>
      <c r="K177" s="1387">
        <v>11</v>
      </c>
      <c r="L177" s="1387">
        <v>11</v>
      </c>
      <c r="M177" s="1387">
        <v>11</v>
      </c>
      <c r="N177" s="1387">
        <v>11</v>
      </c>
      <c r="O177" s="1388">
        <v>11</v>
      </c>
      <c r="P177" s="1389">
        <v>11</v>
      </c>
      <c r="Q177" s="1389">
        <v>12</v>
      </c>
      <c r="R177" s="1389">
        <v>12</v>
      </c>
      <c r="T177"/>
      <c r="U177"/>
      <c r="V177"/>
      <c r="W177" s="1125"/>
      <c r="X177"/>
    </row>
    <row r="178" spans="2:24" s="1063" customFormat="1" ht="13.5" customHeight="1">
      <c r="B178" s="5768" t="s">
        <v>1885</v>
      </c>
      <c r="C178" s="5769"/>
      <c r="D178" s="1390">
        <v>4</v>
      </c>
      <c r="E178" s="1391">
        <v>4</v>
      </c>
      <c r="F178" s="1392">
        <v>4</v>
      </c>
      <c r="G178" s="1392">
        <v>4</v>
      </c>
      <c r="H178" s="1392">
        <v>4</v>
      </c>
      <c r="I178" s="1392">
        <v>4</v>
      </c>
      <c r="J178" s="1392">
        <v>4</v>
      </c>
      <c r="K178" s="1392">
        <v>4</v>
      </c>
      <c r="L178" s="1392">
        <v>4</v>
      </c>
      <c r="M178" s="1392">
        <v>4</v>
      </c>
      <c r="N178" s="1392">
        <v>4</v>
      </c>
      <c r="O178" s="1393">
        <v>4</v>
      </c>
      <c r="P178" s="1394">
        <v>4</v>
      </c>
      <c r="Q178" s="1394">
        <v>4</v>
      </c>
      <c r="R178" s="1394">
        <v>4</v>
      </c>
      <c r="T178"/>
      <c r="U178"/>
      <c r="V178"/>
      <c r="W178" s="1125"/>
      <c r="X178"/>
    </row>
    <row r="179" spans="2:24" s="1063" customFormat="1" ht="13.5" customHeight="1">
      <c r="B179" s="5768" t="s">
        <v>2684</v>
      </c>
      <c r="C179" s="5769"/>
      <c r="D179" s="1390">
        <v>0</v>
      </c>
      <c r="E179" s="1391">
        <v>0</v>
      </c>
      <c r="F179" s="1392">
        <v>0</v>
      </c>
      <c r="G179" s="1392">
        <v>0</v>
      </c>
      <c r="H179" s="1392">
        <v>0</v>
      </c>
      <c r="I179" s="1392">
        <v>0</v>
      </c>
      <c r="J179" s="1392">
        <v>0</v>
      </c>
      <c r="K179" s="1392">
        <v>0</v>
      </c>
      <c r="L179" s="1392">
        <v>0</v>
      </c>
      <c r="M179" s="1392">
        <v>0</v>
      </c>
      <c r="N179" s="1392">
        <v>0</v>
      </c>
      <c r="O179" s="1393">
        <v>0</v>
      </c>
      <c r="P179" s="1394">
        <v>0</v>
      </c>
      <c r="Q179" s="1394">
        <v>0</v>
      </c>
      <c r="R179" s="1394">
        <v>0</v>
      </c>
      <c r="T179"/>
      <c r="U179"/>
      <c r="V179"/>
      <c r="W179" s="1125"/>
      <c r="X179"/>
    </row>
    <row r="180" spans="2:24" s="1063" customFormat="1" ht="13.5" customHeight="1">
      <c r="B180" s="5768" t="s">
        <v>2820</v>
      </c>
      <c r="C180" s="5769"/>
      <c r="D180" s="1395">
        <v>9</v>
      </c>
      <c r="E180" s="1391">
        <v>9</v>
      </c>
      <c r="F180" s="1392">
        <v>9</v>
      </c>
      <c r="G180" s="1392">
        <v>9</v>
      </c>
      <c r="H180" s="1392">
        <v>9</v>
      </c>
      <c r="I180" s="1392">
        <v>9</v>
      </c>
      <c r="J180" s="1392">
        <v>9</v>
      </c>
      <c r="K180" s="1392">
        <v>9</v>
      </c>
      <c r="L180" s="1392">
        <v>9</v>
      </c>
      <c r="M180" s="1392">
        <v>9</v>
      </c>
      <c r="N180" s="1392">
        <v>9</v>
      </c>
      <c r="O180" s="1393">
        <v>9</v>
      </c>
      <c r="P180" s="1394">
        <v>9</v>
      </c>
      <c r="Q180" s="1394">
        <v>9</v>
      </c>
      <c r="R180" s="1394">
        <v>9</v>
      </c>
      <c r="T180"/>
      <c r="U180"/>
      <c r="V180"/>
      <c r="W180" s="1125"/>
      <c r="X180"/>
    </row>
    <row r="181" spans="2:24" s="1063" customFormat="1" ht="13.5" customHeight="1">
      <c r="B181" s="5768" t="s">
        <v>2827</v>
      </c>
      <c r="C181" s="5769"/>
      <c r="D181" s="1395">
        <v>6</v>
      </c>
      <c r="E181" s="1391">
        <v>6</v>
      </c>
      <c r="F181" s="1392">
        <v>6</v>
      </c>
      <c r="G181" s="1392">
        <v>6</v>
      </c>
      <c r="H181" s="1392">
        <v>6</v>
      </c>
      <c r="I181" s="1392">
        <v>6</v>
      </c>
      <c r="J181" s="1392">
        <v>6</v>
      </c>
      <c r="K181" s="1392">
        <v>6</v>
      </c>
      <c r="L181" s="1392">
        <v>6</v>
      </c>
      <c r="M181" s="1392">
        <v>6</v>
      </c>
      <c r="N181" s="1392">
        <v>6</v>
      </c>
      <c r="O181" s="1393">
        <v>6</v>
      </c>
      <c r="P181" s="1394">
        <v>6</v>
      </c>
      <c r="Q181" s="1394">
        <v>6</v>
      </c>
      <c r="R181" s="1394">
        <v>6</v>
      </c>
      <c r="T181"/>
      <c r="U181"/>
      <c r="V181"/>
      <c r="W181" s="1125"/>
      <c r="X181"/>
    </row>
    <row r="182" spans="2:24" s="1063" customFormat="1" ht="13.5" customHeight="1">
      <c r="B182" s="5768" t="s">
        <v>2828</v>
      </c>
      <c r="C182" s="5769"/>
      <c r="D182" s="1390">
        <v>6</v>
      </c>
      <c r="E182" s="1391">
        <v>6</v>
      </c>
      <c r="F182" s="1392">
        <v>6</v>
      </c>
      <c r="G182" s="1392">
        <v>6</v>
      </c>
      <c r="H182" s="1392">
        <v>6</v>
      </c>
      <c r="I182" s="1392">
        <v>6</v>
      </c>
      <c r="J182" s="1392">
        <v>6</v>
      </c>
      <c r="K182" s="1392">
        <v>6</v>
      </c>
      <c r="L182" s="1392">
        <v>6</v>
      </c>
      <c r="M182" s="1392">
        <v>6</v>
      </c>
      <c r="N182" s="1392">
        <v>6</v>
      </c>
      <c r="O182" s="1393">
        <v>6</v>
      </c>
      <c r="P182" s="1394">
        <v>6</v>
      </c>
      <c r="Q182" s="1394">
        <v>6</v>
      </c>
      <c r="R182" s="1394">
        <v>6</v>
      </c>
      <c r="T182"/>
      <c r="U182"/>
      <c r="V182"/>
      <c r="W182" s="1125"/>
      <c r="X182"/>
    </row>
    <row r="183" spans="2:24" s="1063" customFormat="1" ht="13.5" customHeight="1">
      <c r="B183" s="5768" t="s">
        <v>2829</v>
      </c>
      <c r="C183" s="5769"/>
      <c r="D183" s="1390">
        <v>4</v>
      </c>
      <c r="E183" s="1391">
        <v>4</v>
      </c>
      <c r="F183" s="1392">
        <v>4</v>
      </c>
      <c r="G183" s="1392">
        <v>4</v>
      </c>
      <c r="H183" s="1392">
        <v>4</v>
      </c>
      <c r="I183" s="1392">
        <v>4</v>
      </c>
      <c r="J183" s="1392">
        <v>4</v>
      </c>
      <c r="K183" s="1392">
        <v>4</v>
      </c>
      <c r="L183" s="1392">
        <v>4</v>
      </c>
      <c r="M183" s="1392">
        <v>4</v>
      </c>
      <c r="N183" s="1392">
        <v>4</v>
      </c>
      <c r="O183" s="1393">
        <v>4</v>
      </c>
      <c r="P183" s="1394">
        <v>4</v>
      </c>
      <c r="Q183" s="1394">
        <v>4</v>
      </c>
      <c r="R183" s="1394">
        <v>4</v>
      </c>
      <c r="T183"/>
      <c r="U183"/>
      <c r="V183"/>
      <c r="W183" s="1125"/>
      <c r="X183"/>
    </row>
    <row r="184" spans="2:24" s="1063" customFormat="1" ht="13.5" customHeight="1">
      <c r="B184" s="5768" t="s">
        <v>2830</v>
      </c>
      <c r="C184" s="5769"/>
      <c r="D184" s="1390">
        <v>8</v>
      </c>
      <c r="E184" s="1391">
        <v>8</v>
      </c>
      <c r="F184" s="1392">
        <v>8</v>
      </c>
      <c r="G184" s="1392">
        <v>8</v>
      </c>
      <c r="H184" s="1392">
        <v>8</v>
      </c>
      <c r="I184" s="1392">
        <v>8</v>
      </c>
      <c r="J184" s="1392">
        <v>8</v>
      </c>
      <c r="K184" s="1392">
        <v>8</v>
      </c>
      <c r="L184" s="1392">
        <v>8</v>
      </c>
      <c r="M184" s="1392">
        <v>8</v>
      </c>
      <c r="N184" s="1392">
        <v>8</v>
      </c>
      <c r="O184" s="1393">
        <v>8</v>
      </c>
      <c r="P184" s="1394">
        <v>8</v>
      </c>
      <c r="Q184" s="1394">
        <v>8</v>
      </c>
      <c r="R184" s="1394">
        <v>8</v>
      </c>
      <c r="T184"/>
      <c r="U184"/>
      <c r="V184"/>
      <c r="W184" s="1125"/>
      <c r="X184"/>
    </row>
    <row r="185" spans="2:24" s="1063" customFormat="1" ht="13.5" customHeight="1">
      <c r="B185" s="5768" t="s">
        <v>2831</v>
      </c>
      <c r="C185" s="5769"/>
      <c r="D185" s="1390">
        <v>8</v>
      </c>
      <c r="E185" s="1391">
        <v>8</v>
      </c>
      <c r="F185" s="1392">
        <v>8</v>
      </c>
      <c r="G185" s="1392">
        <v>8</v>
      </c>
      <c r="H185" s="1392">
        <v>8</v>
      </c>
      <c r="I185" s="1392">
        <v>8</v>
      </c>
      <c r="J185" s="1392">
        <v>8</v>
      </c>
      <c r="K185" s="1392">
        <v>8</v>
      </c>
      <c r="L185" s="1392">
        <v>8</v>
      </c>
      <c r="M185" s="1392">
        <v>8</v>
      </c>
      <c r="N185" s="1392">
        <v>8</v>
      </c>
      <c r="O185" s="1393">
        <v>8</v>
      </c>
      <c r="P185" s="1394">
        <v>8</v>
      </c>
      <c r="Q185" s="1394">
        <v>8</v>
      </c>
      <c r="R185" s="1394">
        <v>8</v>
      </c>
      <c r="T185"/>
      <c r="U185"/>
      <c r="V185"/>
      <c r="W185" s="1125"/>
      <c r="X185"/>
    </row>
    <row r="186" spans="2:24" s="1063" customFormat="1" ht="13.5" customHeight="1">
      <c r="B186" s="5768" t="s">
        <v>2832</v>
      </c>
      <c r="C186" s="5769"/>
      <c r="D186" s="1390">
        <v>8</v>
      </c>
      <c r="E186" s="1391">
        <v>8</v>
      </c>
      <c r="F186" s="1392">
        <v>8</v>
      </c>
      <c r="G186" s="1392">
        <v>8</v>
      </c>
      <c r="H186" s="1392">
        <v>8</v>
      </c>
      <c r="I186" s="1392">
        <v>8</v>
      </c>
      <c r="J186" s="1392">
        <v>8</v>
      </c>
      <c r="K186" s="1392">
        <v>8</v>
      </c>
      <c r="L186" s="1392">
        <v>8</v>
      </c>
      <c r="M186" s="1392">
        <v>8</v>
      </c>
      <c r="N186" s="1392">
        <v>8</v>
      </c>
      <c r="O186" s="1393">
        <v>8</v>
      </c>
      <c r="P186" s="1394">
        <v>8</v>
      </c>
      <c r="Q186" s="1394">
        <v>8</v>
      </c>
      <c r="R186" s="1394">
        <v>8</v>
      </c>
      <c r="T186"/>
      <c r="U186"/>
      <c r="V186"/>
      <c r="W186" s="1125"/>
      <c r="X186"/>
    </row>
    <row r="187" spans="2:24" s="1063" customFormat="1" ht="13.5" customHeight="1">
      <c r="B187" s="5781" t="s">
        <v>2833</v>
      </c>
      <c r="C187" s="5782"/>
      <c r="D187" s="1396">
        <v>4</v>
      </c>
      <c r="E187" s="1397">
        <v>4</v>
      </c>
      <c r="F187" s="1398">
        <v>4</v>
      </c>
      <c r="G187" s="1398">
        <v>4</v>
      </c>
      <c r="H187" s="1398">
        <v>4</v>
      </c>
      <c r="I187" s="1398">
        <v>4</v>
      </c>
      <c r="J187" s="1398">
        <v>4</v>
      </c>
      <c r="K187" s="1398">
        <v>4</v>
      </c>
      <c r="L187" s="1398">
        <v>4</v>
      </c>
      <c r="M187" s="1398">
        <v>4</v>
      </c>
      <c r="N187" s="1398">
        <v>4</v>
      </c>
      <c r="O187" s="1399">
        <v>4</v>
      </c>
      <c r="P187" s="1400">
        <v>4</v>
      </c>
      <c r="Q187" s="1400">
        <v>4</v>
      </c>
      <c r="R187" s="1400">
        <v>4</v>
      </c>
      <c r="T187"/>
      <c r="U187"/>
      <c r="V187"/>
      <c r="W187" s="1125"/>
      <c r="X187"/>
    </row>
    <row r="188" spans="2:24" s="1406" customFormat="1" ht="13.5" customHeight="1" thickBot="1">
      <c r="B188" s="5783" t="s">
        <v>1646</v>
      </c>
      <c r="C188" s="5784"/>
      <c r="D188" s="1401">
        <f t="shared" ref="D188:R188" si="57">SUM(D177:D187)</f>
        <v>68</v>
      </c>
      <c r="E188" s="1402">
        <f t="shared" si="57"/>
        <v>68</v>
      </c>
      <c r="F188" s="1403">
        <f t="shared" si="57"/>
        <v>68</v>
      </c>
      <c r="G188" s="1403">
        <f t="shared" si="57"/>
        <v>68</v>
      </c>
      <c r="H188" s="1403">
        <f t="shared" si="57"/>
        <v>68</v>
      </c>
      <c r="I188" s="1403">
        <f t="shared" si="57"/>
        <v>68</v>
      </c>
      <c r="J188" s="1403">
        <f t="shared" si="57"/>
        <v>68</v>
      </c>
      <c r="K188" s="1403">
        <f t="shared" si="57"/>
        <v>68</v>
      </c>
      <c r="L188" s="1403">
        <f t="shared" si="57"/>
        <v>68</v>
      </c>
      <c r="M188" s="1403">
        <f t="shared" si="57"/>
        <v>68</v>
      </c>
      <c r="N188" s="1403">
        <f t="shared" si="57"/>
        <v>68</v>
      </c>
      <c r="O188" s="1404">
        <f t="shared" si="57"/>
        <v>68</v>
      </c>
      <c r="P188" s="1405">
        <f t="shared" si="57"/>
        <v>68</v>
      </c>
      <c r="Q188" s="1405">
        <f t="shared" si="57"/>
        <v>69</v>
      </c>
      <c r="R188" s="1405">
        <f t="shared" si="57"/>
        <v>69</v>
      </c>
      <c r="T188"/>
      <c r="U188"/>
      <c r="V188"/>
      <c r="W188" s="1125"/>
      <c r="X188"/>
    </row>
    <row r="189" spans="2:24" ht="13.5" customHeight="1"/>
    <row r="190" spans="2:24" s="1125" customFormat="1" ht="14.25" customHeight="1" thickBot="1">
      <c r="B190" s="1134" t="s">
        <v>2834</v>
      </c>
      <c r="C190" s="1407"/>
      <c r="D190" s="1407"/>
      <c r="E190" s="1407"/>
      <c r="F190" s="1407"/>
      <c r="G190" s="1407"/>
      <c r="H190" s="1407"/>
      <c r="I190" s="1407"/>
      <c r="J190" s="1407"/>
      <c r="K190" s="1407"/>
      <c r="L190" s="1407"/>
      <c r="M190" s="1407"/>
      <c r="N190" s="1407"/>
      <c r="O190" s="1407"/>
      <c r="P190" s="1407"/>
      <c r="Q190" s="1407"/>
      <c r="R190" s="1211" t="s">
        <v>2779</v>
      </c>
      <c r="T190"/>
      <c r="U190"/>
      <c r="V190"/>
      <c r="X190"/>
    </row>
    <row r="191" spans="2:24" s="1410" customFormat="1" ht="13.5" customHeight="1">
      <c r="B191" s="5785" t="s">
        <v>2069</v>
      </c>
      <c r="C191" s="5786"/>
      <c r="D191" s="1408" t="s">
        <v>2710</v>
      </c>
      <c r="E191" s="1213" t="s">
        <v>2711</v>
      </c>
      <c r="F191" s="1213" t="s">
        <v>2712</v>
      </c>
      <c r="G191" s="1213" t="s">
        <v>2713</v>
      </c>
      <c r="H191" s="1213" t="s">
        <v>2714</v>
      </c>
      <c r="I191" s="1213" t="s">
        <v>2715</v>
      </c>
      <c r="J191" s="1213" t="s">
        <v>2716</v>
      </c>
      <c r="K191" s="1213" t="s">
        <v>2717</v>
      </c>
      <c r="L191" s="1213" t="s">
        <v>2718</v>
      </c>
      <c r="M191" s="1213" t="s">
        <v>2719</v>
      </c>
      <c r="N191" s="1213" t="s">
        <v>2720</v>
      </c>
      <c r="O191" s="1409" t="s">
        <v>2721</v>
      </c>
      <c r="P191" s="1215" t="s">
        <v>1933</v>
      </c>
      <c r="Q191" s="1215" t="s">
        <v>1934</v>
      </c>
      <c r="R191" s="1215" t="s">
        <v>1935</v>
      </c>
      <c r="T191"/>
      <c r="U191"/>
      <c r="V191"/>
      <c r="W191" s="1125"/>
      <c r="X191"/>
    </row>
    <row r="192" spans="2:24" s="1415" customFormat="1" ht="13.5" customHeight="1">
      <c r="B192" s="1411" t="s">
        <v>2835</v>
      </c>
      <c r="C192" s="1412"/>
      <c r="D192" s="1318">
        <f t="shared" ref="D192:R192" si="58">SUM(D193:D196)</f>
        <v>323.47260817696508</v>
      </c>
      <c r="E192" s="1319">
        <f t="shared" si="58"/>
        <v>320.33064979030127</v>
      </c>
      <c r="F192" s="1319">
        <f t="shared" si="58"/>
        <v>320.33881953682464</v>
      </c>
      <c r="G192" s="1319">
        <f t="shared" si="58"/>
        <v>317.07973539339758</v>
      </c>
      <c r="H192" s="1319">
        <f t="shared" si="58"/>
        <v>322.96264138762672</v>
      </c>
      <c r="I192" s="1319">
        <f t="shared" si="58"/>
        <v>345.31042862712195</v>
      </c>
      <c r="J192" s="1319">
        <f t="shared" si="58"/>
        <v>344.23707779426888</v>
      </c>
      <c r="K192" s="1319">
        <f t="shared" si="58"/>
        <v>350.37598464393096</v>
      </c>
      <c r="L192" s="1319">
        <f t="shared" si="58"/>
        <v>330.88858035840997</v>
      </c>
      <c r="M192" s="1319">
        <f t="shared" si="58"/>
        <v>284.30934381743793</v>
      </c>
      <c r="N192" s="1319">
        <f t="shared" si="58"/>
        <v>354.7712769209586</v>
      </c>
      <c r="O192" s="1413">
        <f t="shared" si="58"/>
        <v>341.65410354433493</v>
      </c>
      <c r="P192" s="1414">
        <f t="shared" si="58"/>
        <v>3955.7312499915788</v>
      </c>
      <c r="Q192" s="1414">
        <f t="shared" si="58"/>
        <v>4177.3059097680807</v>
      </c>
      <c r="R192" s="1414">
        <f t="shared" si="58"/>
        <v>4335.6593570128825</v>
      </c>
      <c r="T192"/>
      <c r="U192"/>
      <c r="V192"/>
      <c r="W192" s="1125"/>
      <c r="X192"/>
    </row>
    <row r="193" spans="2:24" s="1422" customFormat="1" ht="13.5" customHeight="1">
      <c r="B193" s="1416"/>
      <c r="C193" s="1417" t="s">
        <v>2781</v>
      </c>
      <c r="D193" s="1418">
        <v>151.13376909939075</v>
      </c>
      <c r="E193" s="1419">
        <v>156.14261845132214</v>
      </c>
      <c r="F193" s="1419">
        <v>151.0247121991917</v>
      </c>
      <c r="G193" s="1419">
        <v>157.60617884769113</v>
      </c>
      <c r="H193" s="1419">
        <v>156.23184030309986</v>
      </c>
      <c r="I193" s="1419">
        <v>158.70074214874828</v>
      </c>
      <c r="J193" s="1419">
        <v>163.99469413184192</v>
      </c>
      <c r="K193" s="1419">
        <v>169.97894062559683</v>
      </c>
      <c r="L193" s="1419">
        <v>159.89634502618821</v>
      </c>
      <c r="M193" s="1419">
        <v>162.01623283339543</v>
      </c>
      <c r="N193" s="1419">
        <v>159.85206727007963</v>
      </c>
      <c r="O193" s="1420">
        <v>163.47947787186828</v>
      </c>
      <c r="P193" s="1421">
        <f t="shared" ref="P193:P199" si="59">SUM(D193:O193)</f>
        <v>1910.0576188084142</v>
      </c>
      <c r="Q193" s="1421">
        <v>2048.0394441682829</v>
      </c>
      <c r="R193" s="1421">
        <v>2139.6815881861871</v>
      </c>
      <c r="T193"/>
      <c r="U193"/>
      <c r="V193"/>
      <c r="W193" s="1125"/>
      <c r="X193"/>
    </row>
    <row r="194" spans="2:24" s="1422" customFormat="1" ht="13.5" customHeight="1">
      <c r="B194" s="1416"/>
      <c r="C194" s="1417" t="s">
        <v>2836</v>
      </c>
      <c r="D194" s="1423">
        <v>11.132750254251274</v>
      </c>
      <c r="E194" s="1424">
        <v>15.282750254251274</v>
      </c>
      <c r="F194" s="1424">
        <v>12.289172754620372</v>
      </c>
      <c r="G194" s="1424">
        <v>13.939172754620373</v>
      </c>
      <c r="H194" s="1424">
        <v>12.389172754620374</v>
      </c>
      <c r="I194" s="1424">
        <v>23.026781556540467</v>
      </c>
      <c r="J194" s="1424">
        <v>11.176781556540469</v>
      </c>
      <c r="K194" s="1424">
        <v>15.326781556540469</v>
      </c>
      <c r="L194" s="1424">
        <v>12.289172754620372</v>
      </c>
      <c r="M194" s="1424">
        <v>13.939172754620373</v>
      </c>
      <c r="N194" s="1424">
        <v>12.432750254251275</v>
      </c>
      <c r="O194" s="1425">
        <v>13.982750254251274</v>
      </c>
      <c r="P194" s="1426">
        <f t="shared" si="59"/>
        <v>167.20720945972838</v>
      </c>
      <c r="Q194" s="1426">
        <v>171.26148101691479</v>
      </c>
      <c r="R194" s="1426">
        <v>175.03629515120909</v>
      </c>
      <c r="T194"/>
      <c r="U194"/>
      <c r="V194"/>
      <c r="W194" s="1125"/>
      <c r="X194"/>
    </row>
    <row r="195" spans="2:24" s="1422" customFormat="1" ht="13.5" customHeight="1">
      <c r="B195" s="1416"/>
      <c r="C195" s="1417" t="s">
        <v>2837</v>
      </c>
      <c r="D195" s="1418">
        <v>161.20608882332309</v>
      </c>
      <c r="E195" s="1419">
        <v>148.90528108472785</v>
      </c>
      <c r="F195" s="1419">
        <v>157.02493458301259</v>
      </c>
      <c r="G195" s="1419">
        <v>145.5343837910861</v>
      </c>
      <c r="H195" s="1419">
        <v>154.34162832990646</v>
      </c>
      <c r="I195" s="1419">
        <v>163.58290492183318</v>
      </c>
      <c r="J195" s="1419">
        <v>169.06560210588651</v>
      </c>
      <c r="K195" s="1419">
        <v>165.07026246179365</v>
      </c>
      <c r="L195" s="1419">
        <v>158.7030625776014</v>
      </c>
      <c r="M195" s="1419">
        <v>108.35393822942214</v>
      </c>
      <c r="N195" s="1419">
        <v>182.48645939662768</v>
      </c>
      <c r="O195" s="1420">
        <v>164.19187541821535</v>
      </c>
      <c r="P195" s="1421">
        <f t="shared" si="59"/>
        <v>1878.466421723436</v>
      </c>
      <c r="Q195" s="1421">
        <v>1958.0049845828828</v>
      </c>
      <c r="R195" s="1421">
        <v>2020.9414736754866</v>
      </c>
      <c r="T195"/>
      <c r="U195"/>
      <c r="V195"/>
      <c r="W195" s="1125"/>
      <c r="X195"/>
    </row>
    <row r="196" spans="2:24" s="1422" customFormat="1" ht="13.5" customHeight="1">
      <c r="B196" s="1416"/>
      <c r="C196" s="1417" t="s">
        <v>2838</v>
      </c>
      <c r="D196" s="1423">
        <v>0</v>
      </c>
      <c r="E196" s="1424">
        <v>0</v>
      </c>
      <c r="F196" s="1424">
        <v>0</v>
      </c>
      <c r="G196" s="1424">
        <v>0</v>
      </c>
      <c r="H196" s="1424">
        <v>0</v>
      </c>
      <c r="I196" s="1424">
        <v>0</v>
      </c>
      <c r="J196" s="1424">
        <v>0</v>
      </c>
      <c r="K196" s="1424">
        <v>0</v>
      </c>
      <c r="L196" s="1424">
        <v>0</v>
      </c>
      <c r="M196" s="1424">
        <v>0</v>
      </c>
      <c r="N196" s="1424">
        <v>0</v>
      </c>
      <c r="O196" s="1425">
        <v>0</v>
      </c>
      <c r="P196" s="1426">
        <f>SUM(D196:O196)</f>
        <v>0</v>
      </c>
      <c r="Q196" s="1426">
        <v>0</v>
      </c>
      <c r="R196" s="1426">
        <v>0</v>
      </c>
      <c r="T196"/>
      <c r="U196"/>
      <c r="V196"/>
      <c r="W196" s="1125"/>
      <c r="X196"/>
    </row>
    <row r="197" spans="2:24" s="1415" customFormat="1" ht="13.5" customHeight="1">
      <c r="B197" s="1411" t="s">
        <v>2839</v>
      </c>
      <c r="C197" s="1412"/>
      <c r="D197" s="1318">
        <v>280.30999709164035</v>
      </c>
      <c r="E197" s="1319">
        <v>256.75641062535584</v>
      </c>
      <c r="F197" s="1319">
        <v>252.07767878808303</v>
      </c>
      <c r="G197" s="1319">
        <v>256.27642272777211</v>
      </c>
      <c r="H197" s="1319">
        <v>257.750963822009</v>
      </c>
      <c r="I197" s="1319">
        <v>266.41767420987651</v>
      </c>
      <c r="J197" s="1319">
        <v>255.24092099578124</v>
      </c>
      <c r="K197" s="1319">
        <v>257.48783794077042</v>
      </c>
      <c r="L197" s="1319">
        <v>271.35120564886319</v>
      </c>
      <c r="M197" s="1319">
        <v>251.22446427848911</v>
      </c>
      <c r="N197" s="1319">
        <v>256.90512383521678</v>
      </c>
      <c r="O197" s="1413">
        <v>304.77092007809176</v>
      </c>
      <c r="P197" s="1414">
        <f t="shared" si="59"/>
        <v>3166.5696200419488</v>
      </c>
      <c r="Q197" s="1414">
        <v>3270.2864227480377</v>
      </c>
      <c r="R197" s="1414">
        <v>3391.8125650519469</v>
      </c>
      <c r="T197"/>
      <c r="U197"/>
      <c r="V197"/>
      <c r="W197" s="1125"/>
      <c r="X197"/>
    </row>
    <row r="198" spans="2:24" s="1415" customFormat="1" ht="13.5" customHeight="1">
      <c r="B198" s="1411" t="s">
        <v>2840</v>
      </c>
      <c r="C198" s="1412"/>
      <c r="D198" s="1318">
        <v>221.38298557382015</v>
      </c>
      <c r="E198" s="1319">
        <v>235.5357399544724</v>
      </c>
      <c r="F198" s="1319">
        <v>260.40111713758733</v>
      </c>
      <c r="G198" s="1319">
        <v>215.80476117993635</v>
      </c>
      <c r="H198" s="1319">
        <v>232.07844601489953</v>
      </c>
      <c r="I198" s="1319">
        <v>210.60387805887743</v>
      </c>
      <c r="J198" s="1319">
        <v>210.50922206627885</v>
      </c>
      <c r="K198" s="1319">
        <v>244.28431156978263</v>
      </c>
      <c r="L198" s="1319">
        <v>223.45305437784742</v>
      </c>
      <c r="M198" s="1319">
        <v>227.43500013462369</v>
      </c>
      <c r="N198" s="1319">
        <v>221.93540605671893</v>
      </c>
      <c r="O198" s="1413">
        <v>234.74345928858187</v>
      </c>
      <c r="P198" s="1414">
        <f t="shared" si="59"/>
        <v>2738.1673814134269</v>
      </c>
      <c r="Q198" s="1414">
        <v>2882.8529497929549</v>
      </c>
      <c r="R198" s="1414">
        <v>2995.496791058873</v>
      </c>
      <c r="T198"/>
      <c r="U198"/>
      <c r="V198"/>
      <c r="W198" s="1125"/>
      <c r="X198"/>
    </row>
    <row r="199" spans="2:24" s="1415" customFormat="1" ht="13.5" customHeight="1">
      <c r="B199" s="1427" t="s">
        <v>2841</v>
      </c>
      <c r="C199" s="1428"/>
      <c r="D199" s="1429">
        <v>29.10484151149512</v>
      </c>
      <c r="E199" s="1430">
        <v>26.94344587150238</v>
      </c>
      <c r="F199" s="1430">
        <v>30.216241187736664</v>
      </c>
      <c r="G199" s="1430">
        <v>28.236784277416806</v>
      </c>
      <c r="H199" s="1430">
        <v>30.24441348083824</v>
      </c>
      <c r="I199" s="1430">
        <v>28.431818992398043</v>
      </c>
      <c r="J199" s="1430">
        <v>29.762221605589605</v>
      </c>
      <c r="K199" s="1430">
        <v>29.955770588741775</v>
      </c>
      <c r="L199" s="1430">
        <v>26.012859370996704</v>
      </c>
      <c r="M199" s="1430">
        <v>30.723645004592342</v>
      </c>
      <c r="N199" s="1430">
        <v>27.288317594567737</v>
      </c>
      <c r="O199" s="1431">
        <v>29.580903771476418</v>
      </c>
      <c r="P199" s="1432">
        <f t="shared" si="59"/>
        <v>346.50126325735187</v>
      </c>
      <c r="Q199" s="1432">
        <v>326.91489063542673</v>
      </c>
      <c r="R199" s="1432">
        <v>307.35555615528472</v>
      </c>
      <c r="T199"/>
      <c r="U199"/>
      <c r="V199"/>
      <c r="W199" s="1125"/>
      <c r="X199"/>
    </row>
    <row r="200" spans="2:24" s="1437" customFormat="1" ht="13.5" customHeight="1" thickBot="1">
      <c r="B200" s="5787" t="s">
        <v>2842</v>
      </c>
      <c r="C200" s="5788"/>
      <c r="D200" s="1433">
        <f>SUM(D192,D197,D198,D199)</f>
        <v>854.2704323539208</v>
      </c>
      <c r="E200" s="1434">
        <f t="shared" ref="E200:R200" si="60">SUM(E192,E197,E198,E199)</f>
        <v>839.56624624163192</v>
      </c>
      <c r="F200" s="1434">
        <f t="shared" si="60"/>
        <v>863.03385665023166</v>
      </c>
      <c r="G200" s="1434">
        <f t="shared" si="60"/>
        <v>817.39770357852296</v>
      </c>
      <c r="H200" s="1434">
        <f t="shared" si="60"/>
        <v>843.03646470537353</v>
      </c>
      <c r="I200" s="1434">
        <f t="shared" si="60"/>
        <v>850.76379988827387</v>
      </c>
      <c r="J200" s="1434">
        <f t="shared" si="60"/>
        <v>839.74944246191865</v>
      </c>
      <c r="K200" s="1434">
        <f t="shared" si="60"/>
        <v>882.10390474322583</v>
      </c>
      <c r="L200" s="1434">
        <f t="shared" si="60"/>
        <v>851.70569975611716</v>
      </c>
      <c r="M200" s="1434">
        <f t="shared" si="60"/>
        <v>793.69245323514303</v>
      </c>
      <c r="N200" s="1434">
        <f t="shared" si="60"/>
        <v>860.90012440746193</v>
      </c>
      <c r="O200" s="1435">
        <f t="shared" si="60"/>
        <v>910.74938668248501</v>
      </c>
      <c r="P200" s="1436">
        <f t="shared" si="60"/>
        <v>10206.969514704308</v>
      </c>
      <c r="Q200" s="1436">
        <f t="shared" si="60"/>
        <v>10657.3601729445</v>
      </c>
      <c r="R200" s="1436">
        <f t="shared" si="60"/>
        <v>11030.324269278986</v>
      </c>
      <c r="T200"/>
      <c r="U200"/>
      <c r="V200"/>
      <c r="W200" s="1125"/>
      <c r="X200"/>
    </row>
    <row r="201" spans="2:24" s="1063" customFormat="1" ht="13.5" customHeight="1" thickBot="1">
      <c r="R201" s="1211"/>
      <c r="T201"/>
      <c r="U201"/>
      <c r="V201"/>
      <c r="W201" s="1125"/>
      <c r="X201"/>
    </row>
    <row r="202" spans="2:24" s="1410" customFormat="1" ht="13.5" customHeight="1">
      <c r="B202" s="5785" t="s">
        <v>2069</v>
      </c>
      <c r="C202" s="5786"/>
      <c r="D202" s="1408" t="s">
        <v>2710</v>
      </c>
      <c r="E202" s="1213" t="s">
        <v>2711</v>
      </c>
      <c r="F202" s="1213" t="s">
        <v>2712</v>
      </c>
      <c r="G202" s="1213" t="s">
        <v>2713</v>
      </c>
      <c r="H202" s="1213" t="s">
        <v>2714</v>
      </c>
      <c r="I202" s="1213" t="s">
        <v>2715</v>
      </c>
      <c r="J202" s="1213" t="s">
        <v>2716</v>
      </c>
      <c r="K202" s="1213" t="s">
        <v>2717</v>
      </c>
      <c r="L202" s="1213" t="s">
        <v>2718</v>
      </c>
      <c r="M202" s="1213" t="s">
        <v>2719</v>
      </c>
      <c r="N202" s="1213" t="s">
        <v>2720</v>
      </c>
      <c r="O202" s="1409" t="s">
        <v>2721</v>
      </c>
      <c r="P202" s="1215" t="s">
        <v>1933</v>
      </c>
      <c r="Q202" s="1215" t="s">
        <v>1934</v>
      </c>
      <c r="R202" s="1215" t="s">
        <v>1935</v>
      </c>
      <c r="T202"/>
      <c r="U202"/>
      <c r="V202"/>
      <c r="W202" s="1125"/>
      <c r="X202"/>
    </row>
    <row r="203" spans="2:24" s="1415" customFormat="1" ht="13.5" customHeight="1">
      <c r="B203" s="1411" t="s">
        <v>2843</v>
      </c>
      <c r="C203" s="1412"/>
      <c r="D203" s="1318">
        <v>320.70757336074234</v>
      </c>
      <c r="E203" s="1319">
        <v>323.49872290753609</v>
      </c>
      <c r="F203" s="1319">
        <v>327.64897202776871</v>
      </c>
      <c r="G203" s="1319">
        <v>328.94552943678508</v>
      </c>
      <c r="H203" s="1319">
        <v>328.03421724535787</v>
      </c>
      <c r="I203" s="1319">
        <v>327.80965536629719</v>
      </c>
      <c r="J203" s="1319">
        <v>330.60346070706771</v>
      </c>
      <c r="K203" s="1319">
        <v>373.76038352703642</v>
      </c>
      <c r="L203" s="1319">
        <v>331.48528595588118</v>
      </c>
      <c r="M203" s="1319">
        <v>329.92930345368262</v>
      </c>
      <c r="N203" s="1319">
        <v>330.77308640611119</v>
      </c>
      <c r="O203" s="1413">
        <v>392.66581612706767</v>
      </c>
      <c r="P203" s="1414">
        <f>SUM(D203:O203)</f>
        <v>4045.8620065213345</v>
      </c>
      <c r="Q203" s="1414">
        <v>4302.1667480948854</v>
      </c>
      <c r="R203" s="1414">
        <v>4545.5493875601705</v>
      </c>
      <c r="T203"/>
      <c r="U203"/>
      <c r="V203"/>
      <c r="W203" s="1125"/>
      <c r="X203"/>
    </row>
    <row r="204" spans="2:24" s="1415" customFormat="1" ht="13.5" customHeight="1">
      <c r="B204" s="1411" t="s">
        <v>2844</v>
      </c>
      <c r="C204" s="1412"/>
      <c r="D204" s="1318">
        <v>504.45801748168321</v>
      </c>
      <c r="E204" s="1319">
        <v>489.12407746259345</v>
      </c>
      <c r="F204" s="1319">
        <v>505.16864343472633</v>
      </c>
      <c r="G204" s="1319">
        <v>460.2153898643208</v>
      </c>
      <c r="H204" s="1319">
        <v>484.75783397917735</v>
      </c>
      <c r="I204" s="1319">
        <v>494.52232552957872</v>
      </c>
      <c r="J204" s="1319">
        <v>479.38376014926126</v>
      </c>
      <c r="K204" s="1319">
        <v>478.38775062744747</v>
      </c>
      <c r="L204" s="1319">
        <v>494.20755442923939</v>
      </c>
      <c r="M204" s="1319">
        <v>433.03950477686811</v>
      </c>
      <c r="N204" s="1319">
        <v>502.83872040678312</v>
      </c>
      <c r="O204" s="1413">
        <v>488.50266678394092</v>
      </c>
      <c r="P204" s="1414">
        <f>SUM(D204:O204)</f>
        <v>5814.6062449256206</v>
      </c>
      <c r="Q204" s="1414">
        <v>6028.2785342141888</v>
      </c>
      <c r="R204" s="1414">
        <v>6177.4193255635346</v>
      </c>
      <c r="T204"/>
      <c r="U204"/>
      <c r="V204"/>
      <c r="W204" s="1125"/>
      <c r="X204"/>
    </row>
    <row r="205" spans="2:24" s="1415" customFormat="1" ht="13.5" customHeight="1">
      <c r="B205" s="1427" t="s">
        <v>2841</v>
      </c>
      <c r="C205" s="1428"/>
      <c r="D205" s="1429">
        <f>D199</f>
        <v>29.10484151149512</v>
      </c>
      <c r="E205" s="1430">
        <f t="shared" ref="E205:O205" si="61">E199</f>
        <v>26.94344587150238</v>
      </c>
      <c r="F205" s="1430">
        <f t="shared" si="61"/>
        <v>30.216241187736664</v>
      </c>
      <c r="G205" s="1430">
        <f t="shared" si="61"/>
        <v>28.236784277416806</v>
      </c>
      <c r="H205" s="1430">
        <f t="shared" si="61"/>
        <v>30.24441348083824</v>
      </c>
      <c r="I205" s="1430">
        <f t="shared" si="61"/>
        <v>28.431818992398043</v>
      </c>
      <c r="J205" s="1430">
        <f t="shared" si="61"/>
        <v>29.762221605589605</v>
      </c>
      <c r="K205" s="1430">
        <f t="shared" si="61"/>
        <v>29.955770588741775</v>
      </c>
      <c r="L205" s="1430">
        <f t="shared" si="61"/>
        <v>26.012859370996704</v>
      </c>
      <c r="M205" s="1430">
        <f t="shared" si="61"/>
        <v>30.723645004592342</v>
      </c>
      <c r="N205" s="1430">
        <f t="shared" si="61"/>
        <v>27.288317594567737</v>
      </c>
      <c r="O205" s="1431">
        <f t="shared" si="61"/>
        <v>29.580903771476418</v>
      </c>
      <c r="P205" s="1432">
        <f>SUM(D205:O205)</f>
        <v>346.50126325735187</v>
      </c>
      <c r="Q205" s="1432">
        <f>Q199</f>
        <v>326.91489063542673</v>
      </c>
      <c r="R205" s="1432">
        <f>R199</f>
        <v>307.35555615528472</v>
      </c>
      <c r="T205"/>
      <c r="U205"/>
      <c r="V205"/>
      <c r="W205" s="1125"/>
      <c r="X205"/>
    </row>
    <row r="206" spans="2:24" s="1437" customFormat="1" ht="13.5" customHeight="1" thickBot="1">
      <c r="B206" s="5787" t="s">
        <v>2842</v>
      </c>
      <c r="C206" s="5788"/>
      <c r="D206" s="1433">
        <f>SUM(D203:D205)</f>
        <v>854.27043235392068</v>
      </c>
      <c r="E206" s="1434">
        <f t="shared" ref="E206:O206" si="62">SUM(E203:E205)</f>
        <v>839.56624624163192</v>
      </c>
      <c r="F206" s="1434">
        <f t="shared" si="62"/>
        <v>863.03385665023166</v>
      </c>
      <c r="G206" s="1434">
        <f t="shared" si="62"/>
        <v>817.39770357852274</v>
      </c>
      <c r="H206" s="1434">
        <f t="shared" si="62"/>
        <v>843.03646470537353</v>
      </c>
      <c r="I206" s="1434">
        <f t="shared" si="62"/>
        <v>850.76379988827387</v>
      </c>
      <c r="J206" s="1434">
        <f t="shared" si="62"/>
        <v>839.74944246191865</v>
      </c>
      <c r="K206" s="1434">
        <f t="shared" si="62"/>
        <v>882.1039047432256</v>
      </c>
      <c r="L206" s="1434">
        <f t="shared" si="62"/>
        <v>851.70569975611727</v>
      </c>
      <c r="M206" s="1434">
        <f t="shared" si="62"/>
        <v>793.69245323514303</v>
      </c>
      <c r="N206" s="1434">
        <f t="shared" si="62"/>
        <v>860.90012440746204</v>
      </c>
      <c r="O206" s="1435">
        <f t="shared" si="62"/>
        <v>910.74938668248501</v>
      </c>
      <c r="P206" s="1436">
        <f>SUM(P203:P205)</f>
        <v>10206.969514704308</v>
      </c>
      <c r="Q206" s="1436">
        <f>SUM(Q203:Q205)</f>
        <v>10657.360172944502</v>
      </c>
      <c r="R206" s="1436">
        <f>SUM(R203:R205)</f>
        <v>11030.324269278988</v>
      </c>
      <c r="T206"/>
      <c r="U206"/>
      <c r="V206"/>
      <c r="W206" s="1125"/>
      <c r="X206"/>
    </row>
    <row r="207" spans="2:24" s="1415" customFormat="1" ht="13.5" customHeight="1">
      <c r="B207" s="1069"/>
      <c r="C207" s="1069"/>
      <c r="D207" s="1438"/>
      <c r="E207" s="1438"/>
      <c r="F207" s="1438"/>
      <c r="G207" s="1438"/>
      <c r="H207" s="1438"/>
      <c r="I207" s="1438"/>
      <c r="J207" s="1438"/>
      <c r="K207" s="1438"/>
      <c r="L207" s="1438"/>
      <c r="M207" s="1438"/>
      <c r="N207" s="1438"/>
      <c r="O207" s="1438"/>
      <c r="P207" s="1438"/>
      <c r="Q207" s="1439"/>
      <c r="R207" s="1439"/>
      <c r="T207"/>
      <c r="U207"/>
      <c r="V207"/>
      <c r="W207" s="1125"/>
      <c r="X207"/>
    </row>
    <row r="208" spans="2:24" s="1063" customFormat="1" ht="13.5" customHeight="1" thickBot="1">
      <c r="B208" s="1440" t="s">
        <v>2845</v>
      </c>
      <c r="C208" s="1441"/>
      <c r="D208" s="1441"/>
      <c r="E208" s="1441"/>
      <c r="F208" s="1441"/>
      <c r="G208" s="1441"/>
      <c r="H208" s="1441"/>
      <c r="I208" s="1441"/>
      <c r="J208" s="1441"/>
      <c r="K208" s="1441"/>
      <c r="L208" s="1441"/>
      <c r="M208" s="1441"/>
      <c r="N208" s="1441"/>
      <c r="O208" s="1441"/>
      <c r="P208" s="1441"/>
      <c r="Q208" s="1441"/>
      <c r="R208" s="1442"/>
      <c r="T208"/>
      <c r="U208"/>
      <c r="V208"/>
      <c r="W208" s="1125"/>
      <c r="X208"/>
    </row>
    <row r="209" spans="2:24" s="1410" customFormat="1" ht="13.5" customHeight="1">
      <c r="B209" s="5777" t="s">
        <v>2069</v>
      </c>
      <c r="C209" s="5778"/>
      <c r="D209" s="1443" t="s">
        <v>2710</v>
      </c>
      <c r="E209" s="1443" t="s">
        <v>2711</v>
      </c>
      <c r="F209" s="1443" t="s">
        <v>2712</v>
      </c>
      <c r="G209" s="1443" t="s">
        <v>2713</v>
      </c>
      <c r="H209" s="1443" t="s">
        <v>2714</v>
      </c>
      <c r="I209" s="1443" t="s">
        <v>2715</v>
      </c>
      <c r="J209" s="1443" t="s">
        <v>2716</v>
      </c>
      <c r="K209" s="1443" t="s">
        <v>2717</v>
      </c>
      <c r="L209" s="1443" t="s">
        <v>2718</v>
      </c>
      <c r="M209" s="1443" t="s">
        <v>2719</v>
      </c>
      <c r="N209" s="1443" t="s">
        <v>2720</v>
      </c>
      <c r="O209" s="1444" t="s">
        <v>2721</v>
      </c>
      <c r="P209" s="1445" t="s">
        <v>1933</v>
      </c>
      <c r="Q209" s="1445" t="s">
        <v>1934</v>
      </c>
      <c r="R209" s="1445" t="s">
        <v>1935</v>
      </c>
      <c r="T209"/>
      <c r="U209"/>
      <c r="V209"/>
      <c r="W209" s="1125"/>
      <c r="X209"/>
    </row>
    <row r="210" spans="2:24" s="1415" customFormat="1" ht="13.5" customHeight="1">
      <c r="B210" s="1446" t="s">
        <v>2846</v>
      </c>
      <c r="C210" s="1447"/>
      <c r="D210" s="1448">
        <v>-28.032466511495127</v>
      </c>
      <c r="E210" s="1448">
        <v>-25.871070871502372</v>
      </c>
      <c r="F210" s="1448">
        <v>-29.143866187736659</v>
      </c>
      <c r="G210" s="1448">
        <v>-27.164409277416809</v>
      </c>
      <c r="H210" s="1448">
        <v>-29.172038480838239</v>
      </c>
      <c r="I210" s="1448">
        <v>-27.359443992398045</v>
      </c>
      <c r="J210" s="1448">
        <v>-28.689846605589604</v>
      </c>
      <c r="K210" s="1448">
        <v>-28.883395588741774</v>
      </c>
      <c r="L210" s="1448">
        <v>-24.94048437099671</v>
      </c>
      <c r="M210" s="1448">
        <v>-29.651270004592341</v>
      </c>
      <c r="N210" s="1448">
        <v>-26.215942594567739</v>
      </c>
      <c r="O210" s="1449">
        <v>-28.508528771476421</v>
      </c>
      <c r="P210" s="1450">
        <f>SUM(D210:O210)</f>
        <v>-333.63276325735183</v>
      </c>
      <c r="Q210" s="1450">
        <v>-314.04639063542669</v>
      </c>
      <c r="R210" s="1450">
        <v>-294.48705615528468</v>
      </c>
      <c r="T210"/>
      <c r="U210"/>
      <c r="V210"/>
      <c r="W210" s="1125"/>
      <c r="X210"/>
    </row>
    <row r="211" spans="2:24" s="1415" customFormat="1" ht="13.5" customHeight="1">
      <c r="B211" s="1446" t="s">
        <v>2847</v>
      </c>
      <c r="C211" s="1447"/>
      <c r="D211" s="1451">
        <v>0</v>
      </c>
      <c r="E211" s="1451">
        <v>0</v>
      </c>
      <c r="F211" s="1451">
        <v>0</v>
      </c>
      <c r="G211" s="1451">
        <v>0</v>
      </c>
      <c r="H211" s="1451">
        <v>0</v>
      </c>
      <c r="I211" s="1451">
        <v>0</v>
      </c>
      <c r="J211" s="1451">
        <v>0</v>
      </c>
      <c r="K211" s="1451">
        <v>0</v>
      </c>
      <c r="L211" s="1451">
        <v>0</v>
      </c>
      <c r="M211" s="1451">
        <v>0</v>
      </c>
      <c r="N211" s="1451">
        <v>0</v>
      </c>
      <c r="O211" s="1452">
        <v>0</v>
      </c>
      <c r="P211" s="1220">
        <f>SUM(D211:O211)</f>
        <v>0</v>
      </c>
      <c r="Q211" s="1220">
        <v>0</v>
      </c>
      <c r="R211" s="1220">
        <v>0</v>
      </c>
      <c r="T211"/>
      <c r="U211"/>
      <c r="V211"/>
      <c r="W211" s="1125"/>
      <c r="X211"/>
    </row>
    <row r="212" spans="2:24" s="1415" customFormat="1" ht="13.5" customHeight="1">
      <c r="B212" s="1446" t="s">
        <v>2848</v>
      </c>
      <c r="C212" s="1447"/>
      <c r="D212" s="1448">
        <v>-1.0723750000000001</v>
      </c>
      <c r="E212" s="1448">
        <v>-1.0723750000000001</v>
      </c>
      <c r="F212" s="1448">
        <v>-1.0723750000000001</v>
      </c>
      <c r="G212" s="1448">
        <v>-1.0723750000000001</v>
      </c>
      <c r="H212" s="1448">
        <v>-1.0723750000000001</v>
      </c>
      <c r="I212" s="1448">
        <v>-1.0723750000000001</v>
      </c>
      <c r="J212" s="1448">
        <v>-1.0723750000000001</v>
      </c>
      <c r="K212" s="1448">
        <v>-1.0723750000000001</v>
      </c>
      <c r="L212" s="1448">
        <v>-1.0723750000000001</v>
      </c>
      <c r="M212" s="1448">
        <v>-1.0723750000000001</v>
      </c>
      <c r="N212" s="1448">
        <v>-1.0723750000000001</v>
      </c>
      <c r="O212" s="1449">
        <v>-1.0723750000000001</v>
      </c>
      <c r="P212" s="1450">
        <f>SUM(D212:O212)</f>
        <v>-12.868500000000004</v>
      </c>
      <c r="Q212" s="1450">
        <v>-12.868499999999999</v>
      </c>
      <c r="R212" s="1450">
        <v>-12.868499999999999</v>
      </c>
      <c r="T212"/>
      <c r="U212"/>
      <c r="V212"/>
      <c r="W212" s="1125"/>
      <c r="X212"/>
    </row>
    <row r="213" spans="2:24" s="1063" customFormat="1" ht="13.5" customHeight="1">
      <c r="B213" s="1446" t="s">
        <v>2517</v>
      </c>
      <c r="C213" s="1447"/>
      <c r="D213" s="1451">
        <v>0</v>
      </c>
      <c r="E213" s="1451">
        <v>1.75</v>
      </c>
      <c r="F213" s="1451">
        <v>0</v>
      </c>
      <c r="G213" s="1451">
        <v>0</v>
      </c>
      <c r="H213" s="1451">
        <v>0</v>
      </c>
      <c r="I213" s="1451">
        <v>2.7</v>
      </c>
      <c r="J213" s="1451">
        <v>0</v>
      </c>
      <c r="K213" s="1451">
        <v>0</v>
      </c>
      <c r="L213" s="1451">
        <v>3.33</v>
      </c>
      <c r="M213" s="1451">
        <v>0</v>
      </c>
      <c r="N213" s="1451">
        <v>0</v>
      </c>
      <c r="O213" s="1452">
        <v>0</v>
      </c>
      <c r="P213" s="1220">
        <f>SUM(D213:O213)</f>
        <v>7.78</v>
      </c>
      <c r="Q213" s="1220">
        <v>7.78</v>
      </c>
      <c r="R213" s="1220">
        <v>7.78</v>
      </c>
      <c r="T213"/>
      <c r="U213"/>
      <c r="V213"/>
      <c r="W213" s="1125"/>
      <c r="X213"/>
    </row>
    <row r="214" spans="2:24" s="1236" customFormat="1" ht="13.5" customHeight="1" thickBot="1">
      <c r="B214" s="5779" t="s">
        <v>2842</v>
      </c>
      <c r="C214" s="5780"/>
      <c r="D214" s="1453">
        <f t="shared" ref="D214:O214" si="63">SUM(D210:D213)</f>
        <v>-29.104841511495128</v>
      </c>
      <c r="E214" s="1453">
        <f t="shared" si="63"/>
        <v>-25.193445871502373</v>
      </c>
      <c r="F214" s="1453">
        <f t="shared" si="63"/>
        <v>-30.21624118773666</v>
      </c>
      <c r="G214" s="1453">
        <f t="shared" si="63"/>
        <v>-28.23678427741681</v>
      </c>
      <c r="H214" s="1453">
        <f t="shared" si="63"/>
        <v>-30.24441348083824</v>
      </c>
      <c r="I214" s="1453">
        <f t="shared" si="63"/>
        <v>-25.731818992398047</v>
      </c>
      <c r="J214" s="1453">
        <f t="shared" si="63"/>
        <v>-29.762221605589605</v>
      </c>
      <c r="K214" s="1453">
        <f t="shared" si="63"/>
        <v>-29.955770588741775</v>
      </c>
      <c r="L214" s="1453">
        <f t="shared" si="63"/>
        <v>-22.682859370996709</v>
      </c>
      <c r="M214" s="1453">
        <f t="shared" si="63"/>
        <v>-30.723645004592342</v>
      </c>
      <c r="N214" s="1453">
        <f t="shared" si="63"/>
        <v>-27.28831759456774</v>
      </c>
      <c r="O214" s="1454">
        <f t="shared" si="63"/>
        <v>-29.580903771476422</v>
      </c>
      <c r="P214" s="1455">
        <f>SUM(D214:O214)</f>
        <v>-338.72126325735184</v>
      </c>
      <c r="Q214" s="1455">
        <f>SUM(Q210:Q213)</f>
        <v>-319.1348906354267</v>
      </c>
      <c r="R214" s="1455">
        <f>SUM(R210:R213)</f>
        <v>-299.57555615528469</v>
      </c>
      <c r="T214"/>
      <c r="U214"/>
      <c r="V214"/>
      <c r="W214" s="1125"/>
      <c r="X214"/>
    </row>
    <row r="215" spans="2:24" ht="13.5" customHeight="1"/>
    <row r="216" spans="2:24" s="1458" customFormat="1" ht="13.5" customHeight="1">
      <c r="B216" s="1134" t="s">
        <v>2849</v>
      </c>
      <c r="C216" s="1456"/>
      <c r="D216" s="1456"/>
      <c r="E216" s="1456"/>
      <c r="F216" s="1456"/>
      <c r="G216" s="1456"/>
      <c r="H216" s="1315"/>
      <c r="I216" s="1211" t="s">
        <v>2779</v>
      </c>
      <c r="J216" s="1106"/>
      <c r="K216" s="1106"/>
      <c r="L216" s="1457"/>
      <c r="M216" s="1457"/>
      <c r="N216" s="1457"/>
      <c r="O216" s="1457"/>
      <c r="P216" s="1457"/>
      <c r="Q216" s="1457"/>
      <c r="R216" s="1123"/>
      <c r="T216"/>
      <c r="U216"/>
      <c r="V216"/>
      <c r="W216" s="1125"/>
      <c r="X216"/>
    </row>
    <row r="217" spans="2:24" s="1065" customFormat="1" ht="13.5" customHeight="1">
      <c r="B217" s="1459" t="s">
        <v>2653</v>
      </c>
      <c r="C217" s="1408" t="s">
        <v>2850</v>
      </c>
      <c r="D217" s="1213" t="s">
        <v>2661</v>
      </c>
      <c r="E217" s="1213" t="s">
        <v>2662</v>
      </c>
      <c r="F217" s="1460" t="s">
        <v>2723</v>
      </c>
      <c r="G217" s="1461" t="s">
        <v>2851</v>
      </c>
      <c r="H217" s="1462" t="s">
        <v>2852</v>
      </c>
      <c r="I217" s="1463" t="s">
        <v>2853</v>
      </c>
      <c r="L217" s="1063"/>
      <c r="T217"/>
      <c r="U217"/>
      <c r="V217"/>
      <c r="W217" s="1125"/>
      <c r="X217"/>
    </row>
    <row r="218" spans="2:24" s="1065" customFormat="1" ht="13.5" customHeight="1">
      <c r="B218" s="1464" t="s">
        <v>1876</v>
      </c>
      <c r="C218" s="1465">
        <v>370</v>
      </c>
      <c r="D218" s="1466">
        <v>565</v>
      </c>
      <c r="E218" s="1466">
        <v>250</v>
      </c>
      <c r="F218" s="1467">
        <v>280</v>
      </c>
      <c r="G218" s="1468">
        <f>SUM(D218:F218)</f>
        <v>1095</v>
      </c>
      <c r="H218" s="1469">
        <f t="shared" ref="H218:H224" si="64">SUM(C218:F218)</f>
        <v>1465</v>
      </c>
      <c r="I218" s="1470"/>
      <c r="L218" s="1063"/>
      <c r="T218"/>
      <c r="U218"/>
      <c r="V218"/>
      <c r="W218" s="1125"/>
      <c r="X218"/>
    </row>
    <row r="219" spans="2:24" s="1065" customFormat="1" ht="13.5" customHeight="1">
      <c r="B219" s="1471" t="s">
        <v>1877</v>
      </c>
      <c r="C219" s="1472">
        <v>10</v>
      </c>
      <c r="D219" s="1473">
        <v>30</v>
      </c>
      <c r="E219" s="1473">
        <v>0</v>
      </c>
      <c r="F219" s="1474">
        <v>0</v>
      </c>
      <c r="G219" s="1475">
        <f t="shared" ref="G219:G224" si="65">SUM(D219:F219)</f>
        <v>30</v>
      </c>
      <c r="H219" s="1476">
        <f t="shared" si="64"/>
        <v>40</v>
      </c>
      <c r="I219" s="1477"/>
      <c r="L219" s="1063"/>
      <c r="T219"/>
      <c r="U219"/>
      <c r="V219"/>
      <c r="W219" s="1125"/>
      <c r="X219"/>
    </row>
    <row r="220" spans="2:24" s="1478" customFormat="1" ht="13.5" customHeight="1">
      <c r="B220" s="1471" t="s">
        <v>250</v>
      </c>
      <c r="C220" s="1472">
        <v>120</v>
      </c>
      <c r="D220" s="1473">
        <v>50</v>
      </c>
      <c r="E220" s="1473">
        <v>0</v>
      </c>
      <c r="F220" s="1474">
        <v>50</v>
      </c>
      <c r="G220" s="1475">
        <f t="shared" si="65"/>
        <v>100</v>
      </c>
      <c r="H220" s="1476">
        <f t="shared" si="64"/>
        <v>220</v>
      </c>
      <c r="I220" s="1477"/>
      <c r="L220" s="1063"/>
      <c r="T220"/>
      <c r="U220"/>
      <c r="V220"/>
      <c r="W220" s="1125"/>
      <c r="X220"/>
    </row>
    <row r="221" spans="2:24" s="1478" customFormat="1" ht="13.5" customHeight="1">
      <c r="B221" s="1471" t="s">
        <v>2854</v>
      </c>
      <c r="C221" s="1472">
        <v>110</v>
      </c>
      <c r="D221" s="1473">
        <v>188</v>
      </c>
      <c r="E221" s="1473">
        <v>465</v>
      </c>
      <c r="F221" s="1474">
        <v>60</v>
      </c>
      <c r="G221" s="1475">
        <f t="shared" si="65"/>
        <v>713</v>
      </c>
      <c r="H221" s="1476">
        <f t="shared" si="64"/>
        <v>823</v>
      </c>
      <c r="I221" s="1477"/>
      <c r="L221" s="1063"/>
      <c r="T221"/>
      <c r="U221"/>
      <c r="V221"/>
      <c r="W221" s="1125"/>
      <c r="X221"/>
    </row>
    <row r="222" spans="2:24" s="1478" customFormat="1" ht="13.5" customHeight="1">
      <c r="B222" s="1471" t="s">
        <v>2855</v>
      </c>
      <c r="C222" s="1472">
        <v>44</v>
      </c>
      <c r="D222" s="1473">
        <v>235</v>
      </c>
      <c r="E222" s="1473">
        <v>0</v>
      </c>
      <c r="F222" s="1474">
        <v>125</v>
      </c>
      <c r="G222" s="1475">
        <f t="shared" si="65"/>
        <v>360</v>
      </c>
      <c r="H222" s="1476">
        <f t="shared" si="64"/>
        <v>404</v>
      </c>
      <c r="I222" s="1477"/>
      <c r="L222" s="1063"/>
      <c r="T222"/>
      <c r="U222"/>
      <c r="V222"/>
      <c r="W222" s="1125"/>
      <c r="X222"/>
    </row>
    <row r="223" spans="2:24" s="1478" customFormat="1" ht="13.5" customHeight="1">
      <c r="B223" s="1471" t="s">
        <v>2856</v>
      </c>
      <c r="C223" s="1472">
        <v>390</v>
      </c>
      <c r="D223" s="1473">
        <v>345</v>
      </c>
      <c r="E223" s="1473">
        <v>180</v>
      </c>
      <c r="F223" s="1474">
        <v>291</v>
      </c>
      <c r="G223" s="1475">
        <f t="shared" si="65"/>
        <v>816</v>
      </c>
      <c r="H223" s="1476">
        <f t="shared" si="64"/>
        <v>1206</v>
      </c>
      <c r="I223" s="1477"/>
      <c r="L223" s="1063"/>
      <c r="T223"/>
      <c r="U223"/>
      <c r="V223"/>
      <c r="W223" s="1125"/>
      <c r="X223"/>
    </row>
    <row r="224" spans="2:24" s="1478" customFormat="1" ht="13.5" customHeight="1">
      <c r="B224" s="1471" t="s">
        <v>2857</v>
      </c>
      <c r="C224" s="1472">
        <v>0</v>
      </c>
      <c r="D224" s="1473">
        <v>0</v>
      </c>
      <c r="E224" s="1473">
        <v>0</v>
      </c>
      <c r="F224" s="1474">
        <v>0</v>
      </c>
      <c r="G224" s="1475">
        <f t="shared" si="65"/>
        <v>0</v>
      </c>
      <c r="H224" s="1476">
        <f t="shared" si="64"/>
        <v>0</v>
      </c>
      <c r="I224" s="1477"/>
      <c r="L224" s="1063"/>
      <c r="T224"/>
      <c r="U224"/>
      <c r="V224"/>
      <c r="W224" s="1125"/>
      <c r="X224"/>
    </row>
    <row r="225" spans="2:37" s="1478" customFormat="1" ht="13.5" customHeight="1">
      <c r="B225" s="1471" t="s">
        <v>2858</v>
      </c>
      <c r="C225" s="1472"/>
      <c r="D225" s="1473"/>
      <c r="E225" s="1473"/>
      <c r="F225" s="1474"/>
      <c r="G225" s="1475"/>
      <c r="H225" s="1476"/>
      <c r="I225" s="1477"/>
      <c r="L225" s="1063"/>
      <c r="T225"/>
      <c r="U225"/>
      <c r="V225"/>
      <c r="W225" s="1125"/>
      <c r="X225"/>
    </row>
    <row r="226" spans="2:37" s="1065" customFormat="1" ht="13.5" customHeight="1">
      <c r="B226" s="1471" t="s">
        <v>2859</v>
      </c>
      <c r="C226" s="1472"/>
      <c r="D226" s="1473"/>
      <c r="E226" s="1473"/>
      <c r="F226" s="1474"/>
      <c r="G226" s="1475"/>
      <c r="H226" s="1476"/>
      <c r="I226" s="1477"/>
      <c r="L226" s="1063"/>
      <c r="T226"/>
      <c r="U226"/>
      <c r="V226"/>
      <c r="W226" s="1125"/>
      <c r="X226"/>
    </row>
    <row r="227" spans="2:37" s="1478" customFormat="1" ht="13.5" customHeight="1">
      <c r="B227" s="1479" t="s">
        <v>2860</v>
      </c>
      <c r="C227" s="1480"/>
      <c r="D227" s="1481"/>
      <c r="E227" s="1481"/>
      <c r="F227" s="1482"/>
      <c r="G227" s="1483"/>
      <c r="H227" s="1484"/>
      <c r="I227" s="1485"/>
      <c r="L227" s="1063"/>
      <c r="T227"/>
      <c r="U227"/>
      <c r="V227"/>
      <c r="W227" s="1125"/>
      <c r="X227"/>
    </row>
    <row r="228" spans="2:37" s="1478" customFormat="1" ht="13.5" customHeight="1">
      <c r="B228" s="1486" t="s">
        <v>2744</v>
      </c>
      <c r="C228" s="1487">
        <f t="shared" ref="C228:H228" si="66">SUM(C218:C227)</f>
        <v>1044</v>
      </c>
      <c r="D228" s="1488">
        <f t="shared" si="66"/>
        <v>1413</v>
      </c>
      <c r="E228" s="1488">
        <f t="shared" si="66"/>
        <v>895</v>
      </c>
      <c r="F228" s="1489">
        <f t="shared" si="66"/>
        <v>806</v>
      </c>
      <c r="G228" s="1490">
        <f t="shared" si="66"/>
        <v>3114</v>
      </c>
      <c r="H228" s="1490">
        <f t="shared" si="66"/>
        <v>4158</v>
      </c>
      <c r="I228" s="1491"/>
      <c r="L228" s="1063"/>
      <c r="T228"/>
      <c r="U228"/>
      <c r="V228"/>
      <c r="W228" s="1125"/>
      <c r="X228"/>
    </row>
    <row r="229" spans="2:37" s="1478" customFormat="1" ht="13.5" customHeight="1">
      <c r="B229" s="1102"/>
      <c r="C229" s="1102"/>
      <c r="D229" s="1492"/>
      <c r="E229" s="1492"/>
      <c r="F229" s="1492"/>
      <c r="G229" s="1492"/>
      <c r="H229" s="1492"/>
      <c r="I229" s="1102"/>
      <c r="J229" s="1102"/>
      <c r="K229" s="1102"/>
      <c r="L229" s="1063"/>
      <c r="T229"/>
      <c r="U229"/>
      <c r="V229"/>
      <c r="W229" s="1125"/>
      <c r="X229"/>
    </row>
    <row r="231" spans="2:37" ht="14.25" customHeight="1">
      <c r="B231" s="2650"/>
      <c r="C231" s="2650"/>
      <c r="D231" s="2650"/>
      <c r="E231" s="2650"/>
      <c r="F231" s="2650"/>
      <c r="G231" s="2650"/>
      <c r="H231" s="2650"/>
      <c r="I231" s="2650"/>
      <c r="J231" s="2650"/>
      <c r="K231" s="2650"/>
      <c r="L231" s="2650"/>
      <c r="M231" s="2650"/>
      <c r="N231" s="2650"/>
      <c r="O231" s="2650"/>
      <c r="P231" s="2650"/>
      <c r="Q231" s="2650"/>
      <c r="R231" s="2650"/>
      <c r="S231" s="2650"/>
      <c r="T231" s="2651"/>
      <c r="U231" s="2651"/>
      <c r="V231" s="2651"/>
      <c r="W231" s="2652"/>
      <c r="X231" s="2651"/>
      <c r="Y231" s="2650"/>
      <c r="Z231" s="2650"/>
      <c r="AA231" s="2650"/>
      <c r="AB231" s="2650"/>
      <c r="AC231" s="2650"/>
      <c r="AD231" s="2650"/>
      <c r="AE231" s="2650"/>
      <c r="AF231" s="2650"/>
      <c r="AG231" s="2650"/>
      <c r="AH231" s="2650"/>
      <c r="AI231" s="2650"/>
      <c r="AJ231" s="2650"/>
      <c r="AK231" s="2650"/>
    </row>
    <row r="232" spans="2:37" ht="14.25" customHeight="1"/>
    <row r="233" spans="2:37" ht="16.5" customHeight="1"/>
    <row r="234" spans="2:37" ht="14.25" customHeight="1"/>
    <row r="235" spans="2:37" ht="14.25" customHeight="1"/>
  </sheetData>
  <mergeCells count="86">
    <mergeCell ref="B209:C209"/>
    <mergeCell ref="B214:C214"/>
    <mergeCell ref="B187:C187"/>
    <mergeCell ref="B188:C188"/>
    <mergeCell ref="B191:C191"/>
    <mergeCell ref="B200:C200"/>
    <mergeCell ref="B202:C202"/>
    <mergeCell ref="B206:C206"/>
    <mergeCell ref="B186:C186"/>
    <mergeCell ref="Q175:Q176"/>
    <mergeCell ref="R175:R176"/>
    <mergeCell ref="B177:C177"/>
    <mergeCell ref="B178:C178"/>
    <mergeCell ref="B179:C179"/>
    <mergeCell ref="B180:C180"/>
    <mergeCell ref="E175:P175"/>
    <mergeCell ref="B181:C181"/>
    <mergeCell ref="B182:C182"/>
    <mergeCell ref="B183:C183"/>
    <mergeCell ref="B184:C184"/>
    <mergeCell ref="B185:C185"/>
    <mergeCell ref="B169:C169"/>
    <mergeCell ref="B170:C170"/>
    <mergeCell ref="B171:C171"/>
    <mergeCell ref="B175:C176"/>
    <mergeCell ref="D175:D176"/>
    <mergeCell ref="B168:C168"/>
    <mergeCell ref="B143:C143"/>
    <mergeCell ref="B145:C145"/>
    <mergeCell ref="B146:C146"/>
    <mergeCell ref="B149:C149"/>
    <mergeCell ref="B154:C154"/>
    <mergeCell ref="B155:C155"/>
    <mergeCell ref="B156:C156"/>
    <mergeCell ref="B157:C157"/>
    <mergeCell ref="B159:C159"/>
    <mergeCell ref="B160:C160"/>
    <mergeCell ref="B163:C163"/>
    <mergeCell ref="B142:C142"/>
    <mergeCell ref="B118:C118"/>
    <mergeCell ref="B121:C121"/>
    <mergeCell ref="B126:C126"/>
    <mergeCell ref="B127:C127"/>
    <mergeCell ref="B128:C128"/>
    <mergeCell ref="B129:C129"/>
    <mergeCell ref="B131:C131"/>
    <mergeCell ref="B132:C132"/>
    <mergeCell ref="B135:C135"/>
    <mergeCell ref="B140:C140"/>
    <mergeCell ref="B141:C141"/>
    <mergeCell ref="B117:C117"/>
    <mergeCell ref="B98:C98"/>
    <mergeCell ref="B99:C99"/>
    <mergeCell ref="B100:C100"/>
    <mergeCell ref="B101:C101"/>
    <mergeCell ref="B103:C103"/>
    <mergeCell ref="B104:C104"/>
    <mergeCell ref="B107:C107"/>
    <mergeCell ref="B112:C112"/>
    <mergeCell ref="B113:C113"/>
    <mergeCell ref="B114:C114"/>
    <mergeCell ref="B115:C115"/>
    <mergeCell ref="B93:C93"/>
    <mergeCell ref="B49:B51"/>
    <mergeCell ref="B52:B54"/>
    <mergeCell ref="B55:B56"/>
    <mergeCell ref="B58:B61"/>
    <mergeCell ref="B64:C64"/>
    <mergeCell ref="B65:C65"/>
    <mergeCell ref="B71:C71"/>
    <mergeCell ref="B78:C78"/>
    <mergeCell ref="B85:C85"/>
    <mergeCell ref="B89:C89"/>
    <mergeCell ref="B90:C90"/>
    <mergeCell ref="B43:B48"/>
    <mergeCell ref="B5:C6"/>
    <mergeCell ref="D5:H5"/>
    <mergeCell ref="I5:M5"/>
    <mergeCell ref="N5:N6"/>
    <mergeCell ref="B7:B14"/>
    <mergeCell ref="B15:C15"/>
    <mergeCell ref="B16:C16"/>
    <mergeCell ref="B19:C19"/>
    <mergeCell ref="B20:B28"/>
    <mergeCell ref="B29:B37"/>
    <mergeCell ref="B38:B42"/>
  </mergeCells>
  <phoneticPr fontId="1" type="noConversion"/>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070BA-DD09-4044-9DBC-5A69529F4DC5}">
  <sheetPr codeName="Sheet46"/>
  <dimension ref="B2:G15"/>
  <sheetViews>
    <sheetView workbookViewId="0"/>
  </sheetViews>
  <sheetFormatPr defaultColWidth="9" defaultRowHeight="12"/>
  <cols>
    <col min="1" max="1" width="5.5" style="1" customWidth="1"/>
    <col min="2" max="2" width="9" style="1"/>
    <col min="3" max="3" width="8.625" style="1" bestFit="1" customWidth="1"/>
    <col min="4" max="16384" width="9" style="1"/>
  </cols>
  <sheetData>
    <row r="2" spans="2:7" ht="12.75" thickBot="1">
      <c r="B2" s="662"/>
      <c r="C2" s="662"/>
      <c r="D2" s="662"/>
      <c r="E2" s="662"/>
      <c r="F2" s="662"/>
      <c r="G2" s="662" t="s">
        <v>5368</v>
      </c>
    </row>
    <row r="3" spans="2:7" ht="13.5" thickTop="1" thickBot="1">
      <c r="B3" s="5789" t="s">
        <v>3836</v>
      </c>
      <c r="C3" s="5790"/>
      <c r="D3" s="2653" t="s">
        <v>5360</v>
      </c>
      <c r="E3" s="2654">
        <v>2022</v>
      </c>
      <c r="F3" s="2655">
        <v>2023</v>
      </c>
      <c r="G3" s="2656">
        <v>2024</v>
      </c>
    </row>
    <row r="4" spans="2:7">
      <c r="B4" s="2657" t="s">
        <v>5361</v>
      </c>
      <c r="C4" s="2658" t="s">
        <v>3238</v>
      </c>
      <c r="D4" s="2659">
        <v>3204</v>
      </c>
      <c r="E4" s="2660">
        <v>3022</v>
      </c>
      <c r="F4" s="2661">
        <v>3232</v>
      </c>
      <c r="G4" s="2662">
        <v>3049</v>
      </c>
    </row>
    <row r="5" spans="2:7">
      <c r="B5" s="2663" t="s">
        <v>5362</v>
      </c>
      <c r="C5" s="2658" t="s">
        <v>5364</v>
      </c>
      <c r="D5" s="2659">
        <v>2875</v>
      </c>
      <c r="E5" s="2660">
        <v>2740</v>
      </c>
      <c r="F5" s="2661">
        <v>3042</v>
      </c>
      <c r="G5" s="2662">
        <v>3172</v>
      </c>
    </row>
    <row r="6" spans="2:7">
      <c r="B6" s="2663" t="s">
        <v>5363</v>
      </c>
      <c r="C6" s="2664" t="s">
        <v>1481</v>
      </c>
      <c r="D6" s="2665">
        <v>668</v>
      </c>
      <c r="E6" s="2666">
        <v>509</v>
      </c>
      <c r="F6" s="2667">
        <v>410</v>
      </c>
      <c r="G6" s="2668">
        <v>419</v>
      </c>
    </row>
    <row r="7" spans="2:7">
      <c r="B7" s="2669"/>
      <c r="C7" s="2658" t="s">
        <v>1482</v>
      </c>
      <c r="D7" s="2665">
        <v>105</v>
      </c>
      <c r="E7" s="2666">
        <v>147</v>
      </c>
      <c r="F7" s="2667">
        <v>138</v>
      </c>
      <c r="G7" s="2668">
        <v>144</v>
      </c>
    </row>
    <row r="8" spans="2:7">
      <c r="B8" s="2669"/>
      <c r="C8" s="2670" t="s">
        <v>1483</v>
      </c>
      <c r="D8" s="2671">
        <v>480</v>
      </c>
      <c r="E8" s="2672">
        <v>439</v>
      </c>
      <c r="F8" s="2673">
        <v>442</v>
      </c>
      <c r="G8" s="2674">
        <v>452</v>
      </c>
    </row>
    <row r="9" spans="2:7">
      <c r="B9" s="2675"/>
      <c r="C9" s="2676" t="s">
        <v>400</v>
      </c>
      <c r="D9" s="2677">
        <v>7333</v>
      </c>
      <c r="E9" s="2678">
        <v>6856</v>
      </c>
      <c r="F9" s="2679">
        <v>7264</v>
      </c>
      <c r="G9" s="2680">
        <v>7236</v>
      </c>
    </row>
    <row r="10" spans="2:7">
      <c r="B10" s="2681" t="s">
        <v>5365</v>
      </c>
      <c r="C10" s="2658" t="s">
        <v>3238</v>
      </c>
      <c r="D10" s="2665">
        <v>220</v>
      </c>
      <c r="E10" s="2666">
        <v>161</v>
      </c>
      <c r="F10" s="2667">
        <v>201</v>
      </c>
      <c r="G10" s="2668">
        <v>206</v>
      </c>
    </row>
    <row r="11" spans="2:7">
      <c r="B11" s="2663" t="s">
        <v>5366</v>
      </c>
      <c r="C11" s="2658" t="s">
        <v>5364</v>
      </c>
      <c r="D11" s="2665">
        <v>43</v>
      </c>
      <c r="E11" s="2666">
        <v>31</v>
      </c>
      <c r="F11" s="2667">
        <v>55</v>
      </c>
      <c r="G11" s="2668">
        <v>73</v>
      </c>
    </row>
    <row r="12" spans="2:7">
      <c r="B12" s="2669"/>
      <c r="C12" s="2664" t="s">
        <v>1481</v>
      </c>
      <c r="D12" s="2665">
        <v>24</v>
      </c>
      <c r="E12" s="2666">
        <v>19</v>
      </c>
      <c r="F12" s="2667">
        <v>17</v>
      </c>
      <c r="G12" s="2668">
        <v>17</v>
      </c>
    </row>
    <row r="13" spans="2:7">
      <c r="B13" s="2669"/>
      <c r="C13" s="2658" t="s">
        <v>1482</v>
      </c>
      <c r="D13" s="2665">
        <v>38</v>
      </c>
      <c r="E13" s="2666">
        <v>35</v>
      </c>
      <c r="F13" s="2667">
        <v>32</v>
      </c>
      <c r="G13" s="2668">
        <v>33</v>
      </c>
    </row>
    <row r="14" spans="2:7">
      <c r="B14" s="2669"/>
      <c r="C14" s="2682" t="s">
        <v>5367</v>
      </c>
      <c r="D14" s="2683">
        <v>65</v>
      </c>
      <c r="E14" s="2684">
        <v>51</v>
      </c>
      <c r="F14" s="2685">
        <v>49</v>
      </c>
      <c r="G14" s="2686">
        <v>58</v>
      </c>
    </row>
    <row r="15" spans="2:7" ht="12.75" thickBot="1">
      <c r="B15" s="2687"/>
      <c r="C15" s="2688" t="s">
        <v>400</v>
      </c>
      <c r="D15" s="2689">
        <v>390</v>
      </c>
      <c r="E15" s="2690">
        <v>297</v>
      </c>
      <c r="F15" s="2691">
        <v>354</v>
      </c>
      <c r="G15" s="2692">
        <v>387</v>
      </c>
    </row>
  </sheetData>
  <mergeCells count="1">
    <mergeCell ref="B3:C3"/>
  </mergeCells>
  <phoneticPr fontId="1" type="noConversion"/>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2:IV134"/>
  <sheetViews>
    <sheetView workbookViewId="0"/>
  </sheetViews>
  <sheetFormatPr defaultColWidth="9" defaultRowHeight="13.5" outlineLevelRow="1" outlineLevelCol="1"/>
  <cols>
    <col min="1" max="1" width="2" style="1493" customWidth="1"/>
    <col min="2" max="2" width="3.625" style="1493" customWidth="1"/>
    <col min="3" max="3" width="11.625" style="1493" customWidth="1"/>
    <col min="4" max="4" width="7.375" style="1494" customWidth="1"/>
    <col min="5" max="5" width="9.625" style="1495" hidden="1" customWidth="1" outlineLevel="1"/>
    <col min="6" max="11" width="9.625" style="699" hidden="1" customWidth="1" outlineLevel="1"/>
    <col min="12" max="12" width="9.625" style="699" customWidth="1" collapsed="1"/>
    <col min="13" max="17" width="9.625" style="1493" customWidth="1"/>
    <col min="18" max="18" width="9.625" style="1494" hidden="1" customWidth="1" outlineLevel="1"/>
    <col min="19" max="29" width="9.625" style="1493" hidden="1" customWidth="1" outlineLevel="1"/>
    <col min="30" max="30" width="9.625" style="1493" customWidth="1" collapsed="1"/>
    <col min="31" max="31" width="9.625" style="1494" hidden="1" customWidth="1" outlineLevel="1"/>
    <col min="32" max="42" width="9.625" style="1493" hidden="1" customWidth="1" outlineLevel="1"/>
    <col min="43" max="43" width="9.625" style="1493" customWidth="1" collapsed="1"/>
    <col min="44" max="44" width="9.625" style="1494" hidden="1" customWidth="1" outlineLevel="1"/>
    <col min="45" max="55" width="9.625" style="1493" hidden="1" customWidth="1" outlineLevel="1"/>
    <col min="56" max="56" width="9.625" style="1493" customWidth="1" collapsed="1"/>
    <col min="57" max="57" width="3.625" style="1493" customWidth="1"/>
    <col min="58" max="58" width="9.625" style="699" hidden="1" customWidth="1" collapsed="1"/>
    <col min="59" max="59" width="9" style="1497" hidden="1" customWidth="1"/>
    <col min="60" max="61" width="9" style="1498" hidden="1" customWidth="1"/>
    <col min="62" max="62" width="9" style="1499" hidden="1" customWidth="1"/>
    <col min="63" max="63" width="9" style="1498" hidden="1" customWidth="1"/>
    <col min="64" max="64" width="9" style="1493" hidden="1" customWidth="1"/>
    <col min="65" max="65" width="9" style="1498" hidden="1" customWidth="1"/>
    <col min="66" max="66" width="9" style="1493" hidden="1" customWidth="1"/>
    <col min="67" max="67" width="9" style="1500" hidden="1" customWidth="1"/>
    <col min="68" max="70" width="15.625" style="699" hidden="1" customWidth="1"/>
    <col min="71" max="71" width="6.125" style="699" hidden="1" customWidth="1"/>
    <col min="72" max="72" width="9.625" style="815" hidden="1" customWidth="1"/>
    <col min="73" max="75" width="9" style="815" hidden="1" customWidth="1"/>
    <col min="76" max="76" width="0" style="815" hidden="1" customWidth="1"/>
    <col min="77" max="78" width="8.625" style="815" hidden="1" customWidth="1" collapsed="1"/>
    <col min="79" max="79" width="1.625" style="815" hidden="1" customWidth="1"/>
    <col min="80" max="80" width="15.625" style="815" hidden="1" customWidth="1"/>
    <col min="81" max="81" width="6.125" style="815" hidden="1" customWidth="1"/>
    <col min="82" max="82" width="6.125" style="699" hidden="1" customWidth="1"/>
    <col min="83" max="83" width="8.625" style="699" hidden="1" customWidth="1" collapsed="1"/>
    <col min="84" max="84" width="1.625" style="699" customWidth="1" collapsed="1"/>
    <col min="85" max="85" width="0.875" style="1501" customWidth="1"/>
    <col min="86" max="86" width="15.375" style="1501" customWidth="1"/>
    <col min="87" max="95" width="10.625" style="1502" hidden="1" customWidth="1" outlineLevel="1"/>
    <col min="96" max="96" width="10.625" style="1502" customWidth="1" collapsed="1"/>
    <col min="97" max="98" width="10.625" style="1502" customWidth="1"/>
    <col min="99" max="99" width="10.625" style="1503" customWidth="1"/>
    <col min="100" max="111" width="10.625" style="1502" hidden="1" customWidth="1" outlineLevel="1"/>
    <col min="112" max="112" width="10.625" style="1503" customWidth="1" collapsed="1"/>
    <col min="113" max="124" width="10.625" style="1502" hidden="1" customWidth="1" outlineLevel="1"/>
    <col min="125" max="125" width="10.625" style="1503" customWidth="1" collapsed="1"/>
    <col min="126" max="137" width="10.625" style="1502" hidden="1" customWidth="1" outlineLevel="1"/>
    <col min="138" max="138" width="10.625" style="1503" customWidth="1" collapsed="1"/>
    <col min="139" max="139" width="4.625" style="1493" customWidth="1"/>
    <col min="140" max="140" width="24" style="1493" customWidth="1"/>
    <col min="141" max="149" width="9" style="1493" hidden="1" customWidth="1" outlineLevel="1"/>
    <col min="150" max="150" width="9" style="1493" customWidth="1" collapsed="1"/>
    <col min="151" max="152" width="9" style="1493" customWidth="1"/>
    <col min="153" max="153" width="10" style="1493" bestFit="1" customWidth="1"/>
    <col min="154" max="165" width="0" style="1493" hidden="1" customWidth="1" outlineLevel="1"/>
    <col min="166" max="166" width="10" style="1493" bestFit="1" customWidth="1" collapsed="1"/>
    <col min="167" max="178" width="0" style="1493" hidden="1" customWidth="1" outlineLevel="1"/>
    <col min="179" max="179" width="10" style="1493" bestFit="1" customWidth="1" collapsed="1"/>
    <col min="180" max="191" width="0" style="1493" hidden="1" customWidth="1" outlineLevel="1"/>
    <col min="192" max="192" width="10" style="1493" bestFit="1" customWidth="1" collapsed="1"/>
    <col min="193" max="193" width="9" style="1493"/>
    <col min="194" max="194" width="2.375" style="1493" customWidth="1"/>
    <col min="195" max="195" width="4.5" style="1493" customWidth="1"/>
    <col min="196" max="196" width="29.25" style="1493" customWidth="1"/>
    <col min="197" max="197" width="10.5" style="1493" customWidth="1"/>
    <col min="198" max="198" width="15.125" style="1493" customWidth="1"/>
    <col min="199" max="199" width="9.25" style="1493" customWidth="1"/>
    <col min="200" max="200" width="10.625" style="1493" customWidth="1"/>
    <col min="201" max="201" width="7.625" style="1493" customWidth="1"/>
    <col min="202" max="202" width="11.625" style="1493" customWidth="1"/>
    <col min="203" max="211" width="9" style="1493" hidden="1" customWidth="1"/>
    <col min="212" max="212" width="10.5" style="1493" bestFit="1" customWidth="1"/>
    <col min="213" max="214" width="9" style="1493" customWidth="1"/>
    <col min="215" max="215" width="11.625" style="1493" customWidth="1"/>
    <col min="216" max="227" width="0" style="1493" hidden="1" customWidth="1"/>
    <col min="228" max="228" width="11.625" style="1493" customWidth="1"/>
    <col min="229" max="240" width="0" style="1493" hidden="1" customWidth="1"/>
    <col min="241" max="241" width="11.625" style="1493" customWidth="1"/>
    <col min="242" max="253" width="0" style="1493" hidden="1" customWidth="1"/>
    <col min="254" max="255" width="12.625" style="1493" customWidth="1"/>
    <col min="256" max="256" width="11.625" style="1493" customWidth="1"/>
    <col min="257" max="16384" width="9" style="1493"/>
  </cols>
  <sheetData>
    <row r="2" spans="1:256">
      <c r="L2" s="1496" t="s">
        <v>2861</v>
      </c>
      <c r="M2" s="1496" t="s">
        <v>2862</v>
      </c>
      <c r="N2" s="1496" t="s">
        <v>5</v>
      </c>
      <c r="O2" s="1496" t="s">
        <v>6</v>
      </c>
      <c r="P2" s="1496" t="s">
        <v>7</v>
      </c>
      <c r="Q2" s="1494"/>
      <c r="R2" s="1493"/>
      <c r="AD2" s="1494"/>
      <c r="AE2" s="1493"/>
      <c r="AR2" s="699"/>
      <c r="AS2" s="1497"/>
      <c r="AT2" s="1498"/>
      <c r="AU2" s="1498"/>
      <c r="AV2" s="1499"/>
      <c r="AW2" s="1498"/>
      <c r="AY2" s="1498"/>
      <c r="BA2" s="1500"/>
      <c r="BB2" s="699"/>
      <c r="BC2" s="699"/>
      <c r="BD2" s="699"/>
      <c r="BE2" s="699"/>
      <c r="BF2" s="815"/>
      <c r="BG2" s="815"/>
      <c r="BH2" s="815"/>
      <c r="BI2" s="815"/>
      <c r="BJ2" s="815"/>
      <c r="BK2" s="815"/>
      <c r="BL2" s="815"/>
      <c r="BM2" s="815"/>
      <c r="BN2" s="815"/>
      <c r="BO2" s="815"/>
      <c r="BS2" s="1501"/>
      <c r="BT2" s="1501"/>
      <c r="BU2" s="1502"/>
      <c r="BV2" s="1502"/>
      <c r="BW2" s="1502"/>
      <c r="BX2" s="1502"/>
      <c r="BY2" s="1502"/>
      <c r="BZ2" s="1502"/>
      <c r="CA2" s="1502"/>
      <c r="CB2" s="1502"/>
      <c r="CC2" s="1502"/>
      <c r="CD2" s="1502"/>
      <c r="CE2" s="1502"/>
      <c r="CF2" s="1502"/>
      <c r="CG2" s="1503"/>
      <c r="CH2" s="1502"/>
      <c r="CT2" s="1503"/>
      <c r="CU2" s="1502"/>
      <c r="DG2" s="1503"/>
      <c r="DH2" s="1502"/>
      <c r="DT2" s="1503"/>
      <c r="DU2" s="1493"/>
      <c r="DV2" s="1493"/>
      <c r="DW2" s="1493"/>
      <c r="DX2" s="1493"/>
      <c r="DY2" s="1493"/>
      <c r="DZ2" s="1493"/>
      <c r="EA2" s="1493"/>
      <c r="EB2" s="1493"/>
      <c r="EC2" s="1493"/>
      <c r="ED2" s="1493"/>
      <c r="EE2" s="1493"/>
      <c r="EF2" s="1493"/>
      <c r="EG2" s="1493"/>
      <c r="EH2" s="1493"/>
    </row>
    <row r="3" spans="1:256" s="1504" customFormat="1">
      <c r="B3" s="709" t="s">
        <v>1289</v>
      </c>
      <c r="C3" s="709"/>
      <c r="D3" s="32"/>
      <c r="E3" s="718"/>
      <c r="F3" s="709"/>
      <c r="G3" s="709"/>
      <c r="H3" s="709"/>
      <c r="I3" s="709"/>
      <c r="J3" s="709"/>
      <c r="K3" s="709"/>
      <c r="L3" s="1505">
        <f>SUM(L4:L5)</f>
        <v>1449.913938628207</v>
      </c>
      <c r="M3" s="1506">
        <f>SUM(M4:M5)</f>
        <v>0</v>
      </c>
      <c r="N3" s="1506">
        <f>SUM(N4:N5)</f>
        <v>5680.248406977983</v>
      </c>
      <c r="O3" s="1506">
        <f>SUM(O4:O5)</f>
        <v>5816.4728650496309</v>
      </c>
      <c r="P3" s="1506">
        <f>SUM(P4:P5)</f>
        <v>6238.965344933993</v>
      </c>
      <c r="R3" s="1507"/>
      <c r="AE3" s="1507"/>
      <c r="AR3" s="1507"/>
      <c r="BF3" s="709"/>
      <c r="BG3" s="1508"/>
      <c r="BJ3" s="1509"/>
      <c r="BO3" s="1510"/>
      <c r="BP3" s="709"/>
      <c r="BQ3" s="709"/>
      <c r="BR3" s="709"/>
      <c r="BS3" s="709"/>
      <c r="BT3" s="709"/>
      <c r="BU3" s="709"/>
      <c r="BV3" s="709"/>
      <c r="BW3" s="709"/>
      <c r="BX3" s="709"/>
      <c r="BY3" s="709"/>
      <c r="BZ3" s="709"/>
      <c r="CA3" s="709"/>
      <c r="CB3" s="709"/>
      <c r="CC3" s="709"/>
      <c r="CD3" s="709"/>
      <c r="CE3" s="709"/>
      <c r="CF3" s="709"/>
      <c r="CG3" s="1511"/>
      <c r="CH3" s="1511"/>
      <c r="CI3" s="1503"/>
      <c r="CJ3" s="1503"/>
      <c r="CK3" s="1503"/>
      <c r="CL3" s="1503"/>
      <c r="CM3" s="1503"/>
      <c r="CN3" s="1503"/>
      <c r="CO3" s="1503"/>
      <c r="CP3" s="1503"/>
      <c r="CQ3" s="1503"/>
      <c r="CR3" s="1503"/>
      <c r="CS3" s="1503"/>
      <c r="CT3" s="1503"/>
      <c r="CU3" s="1503"/>
      <c r="CV3" s="1503"/>
      <c r="CW3" s="1503"/>
      <c r="CX3" s="1503"/>
      <c r="CY3" s="1503"/>
      <c r="CZ3" s="1503"/>
      <c r="DA3" s="1503"/>
      <c r="DB3" s="1503"/>
      <c r="DC3" s="1503"/>
      <c r="DD3" s="1503"/>
      <c r="DE3" s="1503"/>
      <c r="DF3" s="1503"/>
      <c r="DG3" s="1503"/>
      <c r="DH3" s="1503"/>
      <c r="DI3" s="1503"/>
      <c r="DJ3" s="1503"/>
      <c r="DK3" s="1503"/>
      <c r="DL3" s="1503"/>
      <c r="DM3" s="1503"/>
      <c r="DN3" s="1503"/>
      <c r="DO3" s="1503"/>
      <c r="DP3" s="1503"/>
      <c r="DQ3" s="1503"/>
      <c r="DR3" s="1503"/>
      <c r="DS3" s="1503"/>
      <c r="DT3" s="1503"/>
      <c r="DU3" s="1503"/>
      <c r="DV3" s="1503"/>
      <c r="DW3" s="1503"/>
      <c r="DX3" s="1503"/>
      <c r="DY3" s="1503"/>
      <c r="DZ3" s="1503"/>
      <c r="EA3" s="1503"/>
      <c r="EB3" s="1503"/>
      <c r="EC3" s="1503"/>
      <c r="ED3" s="1503"/>
      <c r="EE3" s="1503"/>
      <c r="EF3" s="1503"/>
      <c r="EG3" s="1503"/>
      <c r="EH3" s="1503"/>
    </row>
    <row r="4" spans="1:256" ht="16.5" customHeight="1">
      <c r="B4" s="815"/>
      <c r="C4" s="815" t="s">
        <v>1287</v>
      </c>
      <c r="D4" s="3"/>
      <c r="L4" s="703">
        <f>SUM($N$30:$P$30)*CT53</f>
        <v>1280.592804928207</v>
      </c>
      <c r="M4" s="1512"/>
      <c r="N4" s="1512">
        <f>AD30*DH53</f>
        <v>5051.8443471809833</v>
      </c>
      <c r="O4" s="1512">
        <f>AQ30*DU53</f>
        <v>5162.6764753736306</v>
      </c>
      <c r="P4" s="1512">
        <f>BD30*EH53</f>
        <v>5555.8960981539931</v>
      </c>
    </row>
    <row r="5" spans="1:256">
      <c r="B5" s="1513"/>
      <c r="C5" s="815" t="s">
        <v>2863</v>
      </c>
      <c r="D5" s="3"/>
      <c r="L5" s="703">
        <f>SUM($N$31:$P$31)*CT112</f>
        <v>169.32113369999996</v>
      </c>
      <c r="M5" s="1512"/>
      <c r="N5" s="1512">
        <f>AD31*DH112</f>
        <v>628.40405979699983</v>
      </c>
      <c r="O5" s="1512">
        <f>AQ31*DU112</f>
        <v>653.79638967599999</v>
      </c>
      <c r="P5" s="1512">
        <f>BD31*EH112</f>
        <v>683.06924677999973</v>
      </c>
    </row>
    <row r="6" spans="1:256" s="1504" customFormat="1">
      <c r="B6" s="709" t="s">
        <v>2449</v>
      </c>
      <c r="C6" s="709"/>
      <c r="D6" s="32"/>
      <c r="E6" s="718"/>
      <c r="F6" s="709"/>
      <c r="G6" s="709"/>
      <c r="H6" s="709"/>
      <c r="I6" s="709"/>
      <c r="J6" s="709"/>
      <c r="K6" s="709"/>
      <c r="L6" s="1505">
        <f>SUM(L7:L10)</f>
        <v>9825.7043629866712</v>
      </c>
      <c r="M6" s="1506">
        <f>SUM(M7:M10)</f>
        <v>0</v>
      </c>
      <c r="N6" s="1506">
        <f>SUM(N7:N10)</f>
        <v>35327.42736705079</v>
      </c>
      <c r="O6" s="1506">
        <f>SUM(O7:O10)</f>
        <v>36751.898501775686</v>
      </c>
      <c r="P6" s="1506">
        <f>SUM(P7:P10)</f>
        <v>37591.303416713199</v>
      </c>
      <c r="R6" s="1507"/>
      <c r="AE6" s="1507"/>
      <c r="AR6" s="1507"/>
      <c r="BF6" s="709"/>
      <c r="BG6" s="1508"/>
      <c r="BJ6" s="1509"/>
      <c r="BO6" s="1510"/>
      <c r="BP6" s="709"/>
      <c r="BQ6" s="709"/>
      <c r="BR6" s="709"/>
      <c r="BS6" s="709"/>
      <c r="BT6" s="709"/>
      <c r="BU6" s="709"/>
      <c r="BV6" s="709"/>
      <c r="BW6" s="709"/>
      <c r="BX6" s="709"/>
      <c r="BY6" s="709"/>
      <c r="BZ6" s="709"/>
      <c r="CA6" s="709"/>
      <c r="CB6" s="709"/>
      <c r="CC6" s="709"/>
      <c r="CD6" s="709"/>
      <c r="CE6" s="709"/>
      <c r="CF6" s="709"/>
      <c r="CG6" s="1511"/>
      <c r="CH6" s="1511"/>
      <c r="CI6" s="1503"/>
      <c r="CJ6" s="1503"/>
      <c r="CK6" s="1503"/>
      <c r="CL6" s="1503"/>
      <c r="CM6" s="1503"/>
      <c r="CN6" s="1503"/>
      <c r="CO6" s="1503"/>
      <c r="CP6" s="1503"/>
      <c r="CQ6" s="1503"/>
      <c r="CR6" s="1503"/>
      <c r="CS6" s="1503"/>
      <c r="CT6" s="1503"/>
      <c r="CU6" s="1503"/>
      <c r="CV6" s="1503"/>
      <c r="CW6" s="1503"/>
      <c r="CX6" s="1503"/>
      <c r="CY6" s="1503"/>
      <c r="CZ6" s="1503"/>
      <c r="DA6" s="1503"/>
      <c r="DB6" s="1503"/>
      <c r="DC6" s="1503"/>
      <c r="DD6" s="1503"/>
      <c r="DE6" s="1503"/>
      <c r="DF6" s="1503"/>
      <c r="DG6" s="1503"/>
      <c r="DH6" s="1503"/>
      <c r="DI6" s="1503"/>
      <c r="DJ6" s="1503"/>
      <c r="DK6" s="1503"/>
      <c r="DL6" s="1503"/>
      <c r="DM6" s="1503"/>
      <c r="DN6" s="1503"/>
      <c r="DO6" s="1503"/>
      <c r="DP6" s="1503"/>
      <c r="DQ6" s="1503"/>
      <c r="DR6" s="1503"/>
      <c r="DS6" s="1503"/>
      <c r="DT6" s="1503"/>
      <c r="DU6" s="1503"/>
      <c r="DV6" s="1503"/>
      <c r="DW6" s="1503"/>
      <c r="DX6" s="1503"/>
      <c r="DY6" s="1503"/>
      <c r="DZ6" s="1503"/>
      <c r="EA6" s="1503"/>
      <c r="EB6" s="1503"/>
      <c r="EC6" s="1503"/>
      <c r="ED6" s="1503"/>
      <c r="EE6" s="1503"/>
      <c r="EF6" s="1503"/>
      <c r="EG6" s="1503"/>
      <c r="EH6" s="1503"/>
    </row>
    <row r="7" spans="1:256">
      <c r="B7" s="815"/>
      <c r="C7" s="815" t="s">
        <v>2864</v>
      </c>
      <c r="D7" s="3"/>
      <c r="L7" s="703">
        <f>SUM(N29:P29)</f>
        <v>599.32743930000004</v>
      </c>
      <c r="M7" s="1512"/>
      <c r="N7" s="1512">
        <f>AD29</f>
        <v>2088.8323999999998</v>
      </c>
      <c r="O7" s="1512">
        <f>AQ29</f>
        <v>2034.3291999999999</v>
      </c>
      <c r="P7" s="1512">
        <f>BD29</f>
        <v>2201.55872</v>
      </c>
    </row>
    <row r="8" spans="1:256">
      <c r="B8" s="815"/>
      <c r="C8" s="815" t="s">
        <v>1287</v>
      </c>
      <c r="D8" s="3"/>
      <c r="L8" s="703">
        <f>SUM($N$30:$P$30)*CT54</f>
        <v>8857.1757188686515</v>
      </c>
      <c r="M8" s="1512"/>
      <c r="N8" s="1512">
        <f>AD30*DH54</f>
        <v>33168.484677310509</v>
      </c>
      <c r="O8" s="1512">
        <f>AQ30*DU54</f>
        <v>33752.965437775689</v>
      </c>
      <c r="P8" s="1512">
        <f>BD30*EH54</f>
        <v>34360.741829046528</v>
      </c>
    </row>
    <row r="9" spans="1:256">
      <c r="B9" s="815"/>
      <c r="C9" s="815" t="s">
        <v>2863</v>
      </c>
      <c r="D9" s="3"/>
      <c r="L9" s="703">
        <f>SUM($N$31:$P$31)*CT113</f>
        <v>226.13653699999998</v>
      </c>
      <c r="M9" s="1512"/>
      <c r="N9" s="1512">
        <f>AD31*DH113</f>
        <v>921.43416366666679</v>
      </c>
      <c r="O9" s="1512">
        <f>AQ31*DU113</f>
        <v>964.60386400000027</v>
      </c>
      <c r="P9" s="1512">
        <f>BD31*EH113</f>
        <v>1029.0028676666668</v>
      </c>
    </row>
    <row r="10" spans="1:256">
      <c r="B10" s="1513"/>
      <c r="C10" s="815" t="s">
        <v>320</v>
      </c>
      <c r="D10" s="3"/>
      <c r="L10" s="703">
        <f>SUM(N33:P33)</f>
        <v>143.06466781802055</v>
      </c>
      <c r="M10" s="1512"/>
      <c r="N10" s="1512">
        <f>AD33</f>
        <v>-851.32387392638282</v>
      </c>
      <c r="O10" s="1512">
        <f>AE33</f>
        <v>0</v>
      </c>
      <c r="P10" s="1512">
        <f>AF33</f>
        <v>0</v>
      </c>
    </row>
    <row r="13" spans="1:256" s="1529" customFormat="1" ht="39" thickBot="1">
      <c r="A13" s="1514" t="s">
        <v>2865</v>
      </c>
      <c r="B13" s="1515"/>
      <c r="C13" s="1515"/>
      <c r="D13" s="1516"/>
      <c r="E13" s="1517"/>
      <c r="F13" s="1517"/>
      <c r="G13" s="1517"/>
      <c r="H13" s="1517"/>
      <c r="I13" s="1517"/>
      <c r="J13" s="1518"/>
      <c r="K13" s="1518"/>
      <c r="L13" s="1519"/>
      <c r="M13" s="1520"/>
      <c r="N13" s="1516"/>
      <c r="O13" s="1516"/>
      <c r="P13" s="1516"/>
      <c r="Q13" s="1521"/>
      <c r="R13" s="1521"/>
      <c r="S13" s="1521"/>
      <c r="T13" s="1516"/>
      <c r="U13" s="1516"/>
      <c r="V13" s="1516"/>
      <c r="W13" s="1516"/>
      <c r="X13" s="1516"/>
      <c r="Y13" s="1516"/>
      <c r="Z13" s="1516"/>
      <c r="AA13" s="1516"/>
      <c r="AB13" s="1516"/>
      <c r="AC13" s="1521"/>
      <c r="AD13" s="1521"/>
      <c r="AE13" s="1516"/>
      <c r="AF13" s="1516"/>
      <c r="AG13" s="1516"/>
      <c r="AH13" s="1516"/>
      <c r="AI13" s="1516"/>
      <c r="AJ13" s="1516"/>
      <c r="AK13" s="1516"/>
      <c r="AL13" s="1516"/>
      <c r="AM13" s="1516"/>
      <c r="AN13" s="1516"/>
      <c r="AO13" s="1516"/>
      <c r="AP13" s="1516"/>
      <c r="AQ13" s="1516"/>
      <c r="AR13" s="1516"/>
      <c r="AS13" s="1516"/>
      <c r="AT13" s="1516"/>
      <c r="AU13" s="1516"/>
      <c r="AV13" s="1516"/>
      <c r="AW13" s="1516"/>
      <c r="AX13" s="1516"/>
      <c r="AY13" s="1516"/>
      <c r="AZ13" s="1516"/>
      <c r="BA13" s="1516"/>
      <c r="BB13" s="1516"/>
      <c r="BC13" s="1516"/>
      <c r="BD13" s="1516"/>
      <c r="BE13" s="1522"/>
      <c r="BF13" s="1523"/>
      <c r="BG13" s="1524"/>
      <c r="BH13" s="1498"/>
      <c r="BI13" s="1498"/>
      <c r="BJ13" s="1499"/>
      <c r="BK13" s="1525"/>
      <c r="BL13" s="1525"/>
      <c r="BM13" s="1525"/>
      <c r="BN13" s="1525"/>
      <c r="BO13" s="1526"/>
      <c r="BP13" s="1055"/>
      <c r="BQ13" s="1055"/>
      <c r="BR13" s="1055"/>
      <c r="BS13" s="1055"/>
      <c r="BT13" s="1055"/>
      <c r="BU13" s="1055"/>
      <c r="BV13" s="1055"/>
      <c r="BW13" s="1055"/>
      <c r="BX13" s="1055"/>
      <c r="BY13" s="1527"/>
      <c r="BZ13" s="1527"/>
      <c r="CA13" s="1055"/>
      <c r="CB13" s="1055"/>
      <c r="CC13" s="1055"/>
      <c r="CD13" s="1055"/>
      <c r="CE13" s="1527"/>
      <c r="CF13" s="1528"/>
      <c r="CH13" s="1530" t="s">
        <v>2866</v>
      </c>
      <c r="CI13" s="1531"/>
      <c r="CJ13" s="1531"/>
      <c r="CK13" s="1532"/>
      <c r="CL13" s="1533"/>
      <c r="CM13" s="1533"/>
      <c r="CN13" s="1533"/>
      <c r="CO13" s="1533"/>
      <c r="CP13" s="1533"/>
      <c r="CQ13" s="1533"/>
      <c r="CR13" s="1533"/>
      <c r="CS13" s="1533"/>
      <c r="CT13" s="1533"/>
      <c r="CU13" s="1533"/>
      <c r="CV13" s="1533"/>
      <c r="CW13" s="1533"/>
      <c r="CX13" s="1533"/>
      <c r="CY13" s="1534"/>
      <c r="CZ13" s="1533"/>
      <c r="DA13" s="1533"/>
      <c r="DB13" s="1533"/>
      <c r="DC13" s="1533"/>
      <c r="DD13" s="1534"/>
      <c r="DE13" s="1533"/>
      <c r="DF13" s="1533"/>
      <c r="DG13" s="1533"/>
      <c r="DH13" s="1533"/>
      <c r="DI13" s="1533"/>
      <c r="DJ13" s="1533"/>
      <c r="DK13" s="1533"/>
      <c r="DL13" s="1533"/>
      <c r="DM13" s="1534"/>
      <c r="DN13" s="1533"/>
      <c r="DO13" s="1533"/>
      <c r="DP13" s="1533"/>
      <c r="DQ13" s="1533"/>
      <c r="DR13" s="1534"/>
      <c r="DS13" s="1533"/>
      <c r="DT13" s="1533"/>
      <c r="DU13" s="1533"/>
      <c r="DV13" s="1533"/>
      <c r="DW13" s="1534"/>
      <c r="DX13" s="1533"/>
      <c r="DY13" s="1533"/>
      <c r="DZ13" s="1533"/>
      <c r="EA13" s="1533"/>
      <c r="EB13" s="1534"/>
      <c r="EC13" s="1533"/>
      <c r="ED13" s="1533"/>
      <c r="EE13" s="1533"/>
      <c r="EF13" s="1533"/>
      <c r="EG13" s="1534"/>
      <c r="EH13" s="1533"/>
      <c r="EI13" s="1493"/>
      <c r="EJ13" s="1530" t="s">
        <v>2867</v>
      </c>
      <c r="EK13" s="1531"/>
      <c r="EL13" s="1531"/>
      <c r="EM13" s="1532"/>
      <c r="EN13" s="1533"/>
      <c r="EO13" s="1533"/>
      <c r="EP13" s="1533"/>
      <c r="EQ13" s="1533"/>
      <c r="ER13" s="1533"/>
      <c r="ES13" s="1533"/>
      <c r="ET13" s="1533"/>
      <c r="EU13" s="1533"/>
      <c r="EV13" s="1533"/>
      <c r="EW13" s="1533"/>
      <c r="EX13" s="1533"/>
      <c r="EY13" s="1533"/>
      <c r="EZ13" s="1533"/>
      <c r="FA13" s="1534"/>
      <c r="FB13" s="1533"/>
      <c r="FC13" s="1533"/>
      <c r="FD13" s="1533"/>
      <c r="FE13" s="1533"/>
      <c r="FF13" s="1534"/>
      <c r="FG13" s="1533"/>
      <c r="FH13" s="1533"/>
      <c r="FI13" s="1533"/>
      <c r="FJ13" s="1533"/>
      <c r="FK13" s="1533"/>
      <c r="FL13" s="1533"/>
      <c r="FM13" s="1533"/>
      <c r="FN13" s="1533"/>
      <c r="FO13" s="1534"/>
      <c r="FP13" s="1533"/>
      <c r="FQ13" s="1533"/>
      <c r="FR13" s="1533"/>
      <c r="FS13" s="1533"/>
      <c r="FT13" s="1534"/>
      <c r="FU13" s="1533"/>
      <c r="FV13" s="1533"/>
      <c r="FW13" s="1533"/>
      <c r="FX13" s="1533"/>
      <c r="FY13" s="1534"/>
      <c r="FZ13" s="1533"/>
      <c r="GA13" s="1533"/>
      <c r="GB13" s="1533"/>
      <c r="GC13" s="1533"/>
      <c r="GD13" s="1534"/>
      <c r="GE13" s="1533"/>
      <c r="GF13" s="1533"/>
      <c r="GG13" s="1533"/>
      <c r="GH13" s="1533"/>
      <c r="GI13" s="1534"/>
      <c r="GJ13" s="1533"/>
      <c r="GL13" s="1535" t="s">
        <v>2868</v>
      </c>
      <c r="GM13" s="1536"/>
      <c r="GN13" s="1537"/>
      <c r="GO13" s="377"/>
      <c r="GP13" s="377"/>
      <c r="GQ13" s="1538"/>
      <c r="GR13" s="377"/>
      <c r="GS13" s="1539"/>
      <c r="GT13" s="377"/>
      <c r="GU13" s="377"/>
      <c r="GV13" s="377"/>
      <c r="GW13" s="377"/>
      <c r="GX13" s="377"/>
      <c r="GY13" s="377"/>
      <c r="GZ13" s="377"/>
      <c r="HA13" s="377"/>
      <c r="HB13" s="377"/>
      <c r="HC13" s="377"/>
      <c r="HD13" s="377"/>
      <c r="HE13" s="377"/>
      <c r="HF13" s="377"/>
      <c r="HG13" s="377"/>
      <c r="HH13" s="377"/>
      <c r="HI13" s="377"/>
      <c r="HJ13" s="377"/>
      <c r="HK13" s="377"/>
      <c r="HL13" s="377"/>
      <c r="HM13" s="377"/>
      <c r="HN13" s="377"/>
      <c r="HO13" s="377"/>
      <c r="HP13" s="377"/>
      <c r="HQ13" s="377"/>
      <c r="HR13" s="377"/>
      <c r="HS13" s="377"/>
      <c r="HT13" s="377"/>
      <c r="HU13" s="377"/>
      <c r="HV13" s="377"/>
      <c r="HW13" s="377"/>
      <c r="HX13" s="377"/>
      <c r="HY13" s="377"/>
      <c r="HZ13" s="377"/>
      <c r="IA13" s="377"/>
      <c r="IB13" s="377"/>
      <c r="IC13" s="377"/>
      <c r="ID13" s="377"/>
      <c r="IE13" s="377"/>
      <c r="IF13" s="377"/>
      <c r="IG13" s="377"/>
      <c r="IH13" s="377"/>
      <c r="II13" s="377"/>
      <c r="IJ13" s="377"/>
      <c r="IK13" s="377"/>
      <c r="IL13" s="377"/>
      <c r="IM13" s="377"/>
      <c r="IN13" s="377"/>
      <c r="IO13" s="377"/>
      <c r="IP13" s="377"/>
      <c r="IQ13" s="377"/>
      <c r="IR13" s="377"/>
      <c r="IS13" s="377"/>
      <c r="IT13" s="377"/>
      <c r="IU13" s="377"/>
      <c r="IV13" s="814"/>
    </row>
    <row r="14" spans="1:256" ht="13.5" customHeight="1" thickTop="1" thickBot="1">
      <c r="A14" s="1540"/>
      <c r="B14" s="1540"/>
      <c r="C14" s="1540"/>
      <c r="D14" s="1541"/>
      <c r="E14" s="1542"/>
      <c r="R14" s="1541"/>
      <c r="AE14" s="1541"/>
      <c r="AR14" s="1541"/>
      <c r="BD14" s="1543" t="s">
        <v>2869</v>
      </c>
      <c r="BF14" s="1544"/>
      <c r="BL14" s="1498"/>
      <c r="BN14" s="1498"/>
      <c r="BO14" s="1545"/>
      <c r="BP14" s="815"/>
      <c r="BQ14" s="815"/>
      <c r="BR14" s="815"/>
      <c r="BS14" s="815"/>
      <c r="CD14" s="815"/>
      <c r="CE14" s="815"/>
      <c r="CH14" s="1546" t="s">
        <v>2870</v>
      </c>
      <c r="CI14" s="1547"/>
      <c r="CJ14" s="1547"/>
      <c r="CK14" s="1547"/>
      <c r="CL14" s="1547"/>
      <c r="CM14" s="1547"/>
      <c r="CN14" s="1547"/>
      <c r="CO14" s="1547"/>
      <c r="CP14" s="1547"/>
      <c r="CQ14" s="1547"/>
      <c r="CR14" s="1547"/>
      <c r="CS14" s="1547"/>
      <c r="CT14" s="1547"/>
      <c r="CU14" s="1546"/>
      <c r="CV14" s="1547"/>
      <c r="CW14" s="1547"/>
      <c r="CX14" s="1548"/>
      <c r="CY14" s="1548"/>
      <c r="CZ14" s="1548"/>
      <c r="DA14" s="1548"/>
      <c r="DB14" s="1548"/>
      <c r="DC14" s="1548"/>
      <c r="DD14" s="1548"/>
      <c r="DE14" s="1548"/>
      <c r="DF14" s="1548"/>
      <c r="DG14" s="1548"/>
      <c r="DH14" s="1549"/>
      <c r="DI14" s="1548"/>
      <c r="DJ14" s="1548"/>
      <c r="DK14" s="1548"/>
      <c r="DL14" s="1548"/>
      <c r="DM14" s="1548"/>
      <c r="DN14" s="1548"/>
      <c r="DO14" s="1548"/>
      <c r="DP14" s="1548"/>
      <c r="DQ14" s="1548"/>
      <c r="DR14" s="1548"/>
      <c r="DS14" s="1548"/>
      <c r="DT14" s="1548"/>
      <c r="DU14" s="1550"/>
      <c r="DV14" s="1548"/>
      <c r="DW14" s="1548"/>
      <c r="DX14" s="1548"/>
      <c r="DY14" s="1548"/>
      <c r="DZ14" s="1548"/>
      <c r="EA14" s="1548"/>
      <c r="EB14" s="1548"/>
      <c r="EC14" s="1548"/>
      <c r="ED14" s="1548"/>
      <c r="EE14" s="1548"/>
      <c r="EF14" s="1548"/>
      <c r="EG14" s="1548"/>
      <c r="EH14" s="1551" t="s">
        <v>2871</v>
      </c>
      <c r="EJ14" s="1546"/>
      <c r="EK14" s="1547"/>
      <c r="EL14" s="1547"/>
      <c r="EM14" s="1547"/>
      <c r="EN14" s="1547"/>
      <c r="EO14" s="1547"/>
      <c r="EP14" s="1547"/>
      <c r="EQ14" s="1547"/>
      <c r="ER14" s="1547"/>
      <c r="ES14" s="1547"/>
      <c r="ET14" s="1547"/>
      <c r="EU14" s="1547"/>
      <c r="EV14" s="1547"/>
      <c r="EW14" s="1546"/>
      <c r="EX14" s="1547"/>
      <c r="EY14" s="1547"/>
      <c r="EZ14" s="1548"/>
      <c r="FA14" s="1548"/>
      <c r="FB14" s="1548"/>
      <c r="FC14" s="1548"/>
      <c r="FD14" s="1548"/>
      <c r="FE14" s="1548"/>
      <c r="FF14" s="1548"/>
      <c r="FG14" s="1548"/>
      <c r="FH14" s="1548"/>
      <c r="FI14" s="1548"/>
      <c r="FJ14" s="1549"/>
      <c r="FK14" s="1548"/>
      <c r="FL14" s="1548"/>
      <c r="FM14" s="1548"/>
      <c r="FN14" s="1548"/>
      <c r="FO14" s="1548"/>
      <c r="FP14" s="1548"/>
      <c r="FQ14" s="1548"/>
      <c r="FR14" s="1548"/>
      <c r="FS14" s="1548"/>
      <c r="FT14" s="1548"/>
      <c r="FU14" s="1548"/>
      <c r="FV14" s="1548"/>
      <c r="FW14" s="1550"/>
      <c r="FX14" s="1548"/>
      <c r="FY14" s="1548"/>
      <c r="FZ14" s="1548"/>
      <c r="GA14" s="1548"/>
      <c r="GB14" s="1548"/>
      <c r="GC14" s="1548"/>
      <c r="GD14" s="1548"/>
      <c r="GE14" s="1548"/>
      <c r="GF14" s="1548"/>
      <c r="GG14" s="1548"/>
      <c r="GH14" s="1548"/>
      <c r="GI14" s="1548"/>
      <c r="GJ14" s="1551" t="s">
        <v>2871</v>
      </c>
      <c r="GL14" s="377"/>
      <c r="GM14" s="1552"/>
      <c r="GN14" s="1537"/>
      <c r="GO14" s="377"/>
      <c r="GP14" s="377"/>
      <c r="GQ14" s="1538"/>
      <c r="GR14" s="377"/>
      <c r="GS14" s="1553"/>
      <c r="GT14" s="377"/>
      <c r="GU14" s="377"/>
      <c r="GV14" s="377"/>
      <c r="GW14" s="377"/>
      <c r="GX14" s="377"/>
      <c r="GY14" s="377"/>
      <c r="GZ14" s="377"/>
      <c r="HA14" s="377"/>
      <c r="HB14" s="377"/>
      <c r="HC14" s="377"/>
      <c r="HD14" s="377"/>
      <c r="HE14" s="377"/>
      <c r="HF14" s="377"/>
      <c r="HG14" s="377"/>
      <c r="HH14" s="377"/>
      <c r="HI14" s="377"/>
      <c r="HJ14" s="377"/>
      <c r="HK14" s="377"/>
      <c r="HL14" s="377"/>
      <c r="HM14" s="377"/>
      <c r="HN14" s="377"/>
      <c r="HO14" s="377"/>
      <c r="HP14" s="377"/>
      <c r="HQ14" s="377"/>
      <c r="HR14" s="377"/>
      <c r="HS14" s="377"/>
      <c r="HT14" s="377"/>
      <c r="HU14" s="377"/>
      <c r="HV14" s="377"/>
      <c r="HW14" s="377"/>
      <c r="HX14" s="377"/>
      <c r="HY14" s="377"/>
      <c r="HZ14" s="377"/>
      <c r="IA14" s="377"/>
      <c r="IB14" s="377"/>
      <c r="IC14" s="377"/>
      <c r="ID14" s="377"/>
      <c r="IE14" s="377"/>
      <c r="IF14" s="377"/>
      <c r="IG14" s="1554"/>
      <c r="IH14" s="377"/>
      <c r="II14" s="377"/>
      <c r="IJ14" s="377"/>
      <c r="IK14" s="377"/>
      <c r="IL14" s="377"/>
      <c r="IM14" s="377"/>
      <c r="IN14" s="377"/>
      <c r="IO14" s="377"/>
      <c r="IP14" s="377"/>
      <c r="IQ14" s="377"/>
      <c r="IR14" s="377"/>
      <c r="IS14" s="377"/>
      <c r="IT14" s="377"/>
      <c r="IU14" s="377"/>
      <c r="IV14" s="1555" t="s">
        <v>2872</v>
      </c>
    </row>
    <row r="15" spans="1:256" ht="16.5" customHeight="1" thickBot="1">
      <c r="B15" s="1556" t="s">
        <v>2873</v>
      </c>
      <c r="C15" s="1556"/>
      <c r="D15" s="1557"/>
      <c r="E15" s="5793">
        <v>2020</v>
      </c>
      <c r="F15" s="5794"/>
      <c r="G15" s="5794"/>
      <c r="H15" s="5794"/>
      <c r="I15" s="5794"/>
      <c r="J15" s="5794"/>
      <c r="K15" s="5794"/>
      <c r="L15" s="5794"/>
      <c r="M15" s="5794"/>
      <c r="N15" s="5794"/>
      <c r="O15" s="5794"/>
      <c r="P15" s="5794"/>
      <c r="Q15" s="5795"/>
      <c r="R15" s="5793">
        <v>2021</v>
      </c>
      <c r="S15" s="5794"/>
      <c r="T15" s="5794"/>
      <c r="U15" s="5794"/>
      <c r="V15" s="5794"/>
      <c r="W15" s="5794"/>
      <c r="X15" s="5794"/>
      <c r="Y15" s="5794"/>
      <c r="Z15" s="5794"/>
      <c r="AA15" s="5794"/>
      <c r="AB15" s="5794"/>
      <c r="AC15" s="5794"/>
      <c r="AD15" s="5795"/>
      <c r="AE15" s="5793">
        <v>2022</v>
      </c>
      <c r="AF15" s="5794"/>
      <c r="AG15" s="5794"/>
      <c r="AH15" s="5794"/>
      <c r="AI15" s="5794"/>
      <c r="AJ15" s="5794"/>
      <c r="AK15" s="5794"/>
      <c r="AL15" s="5794"/>
      <c r="AM15" s="5794"/>
      <c r="AN15" s="5794"/>
      <c r="AO15" s="5794"/>
      <c r="AP15" s="5794"/>
      <c r="AQ15" s="5795"/>
      <c r="AR15" s="5793">
        <v>2023</v>
      </c>
      <c r="AS15" s="5794"/>
      <c r="AT15" s="5794"/>
      <c r="AU15" s="5794"/>
      <c r="AV15" s="5794"/>
      <c r="AW15" s="5794"/>
      <c r="AX15" s="5794"/>
      <c r="AY15" s="5794"/>
      <c r="AZ15" s="5794"/>
      <c r="BA15" s="5794"/>
      <c r="BB15" s="5794"/>
      <c r="BC15" s="5794"/>
      <c r="BD15" s="5794"/>
      <c r="BF15" s="1495" t="s">
        <v>2874</v>
      </c>
      <c r="BL15" s="1498"/>
      <c r="BN15" s="1498"/>
      <c r="BO15" s="1545"/>
      <c r="BP15" s="1558"/>
      <c r="BQ15" s="815"/>
      <c r="BR15" s="815"/>
      <c r="BS15" s="815"/>
      <c r="BY15" s="1558"/>
      <c r="CD15" s="815"/>
      <c r="CE15" s="1558"/>
      <c r="CG15" s="1559"/>
      <c r="CH15" s="5796" t="s">
        <v>2875</v>
      </c>
      <c r="CI15" s="1560" t="s">
        <v>2824</v>
      </c>
      <c r="CJ15" s="1560"/>
      <c r="CK15" s="1560"/>
      <c r="CL15" s="1560"/>
      <c r="CM15" s="1560"/>
      <c r="CN15" s="1560"/>
      <c r="CO15" s="1560"/>
      <c r="CP15" s="1560"/>
      <c r="CQ15" s="1560"/>
      <c r="CR15" s="1560" t="s">
        <v>2824</v>
      </c>
      <c r="CS15" s="1560"/>
      <c r="CT15" s="1561"/>
      <c r="CU15" s="5791" t="s">
        <v>2876</v>
      </c>
      <c r="CV15" s="5798" t="s">
        <v>2722</v>
      </c>
      <c r="CW15" s="5798"/>
      <c r="CX15" s="5798"/>
      <c r="CY15" s="5798"/>
      <c r="CZ15" s="5798"/>
      <c r="DA15" s="5798"/>
      <c r="DB15" s="5798"/>
      <c r="DC15" s="5798"/>
      <c r="DD15" s="5798"/>
      <c r="DE15" s="5798"/>
      <c r="DF15" s="5798"/>
      <c r="DG15" s="5799"/>
      <c r="DH15" s="5791" t="s">
        <v>2877</v>
      </c>
      <c r="DI15" s="5798" t="s">
        <v>2825</v>
      </c>
      <c r="DJ15" s="5798"/>
      <c r="DK15" s="5798"/>
      <c r="DL15" s="5798"/>
      <c r="DM15" s="5798"/>
      <c r="DN15" s="5798"/>
      <c r="DO15" s="5798"/>
      <c r="DP15" s="5798"/>
      <c r="DQ15" s="5798"/>
      <c r="DR15" s="5798"/>
      <c r="DS15" s="5798"/>
      <c r="DT15" s="5799"/>
      <c r="DU15" s="5791" t="s">
        <v>2878</v>
      </c>
      <c r="DV15" s="5798" t="s">
        <v>2663</v>
      </c>
      <c r="DW15" s="5798"/>
      <c r="DX15" s="5798"/>
      <c r="DY15" s="5798"/>
      <c r="DZ15" s="5798"/>
      <c r="EA15" s="5798"/>
      <c r="EB15" s="5798"/>
      <c r="EC15" s="5798"/>
      <c r="ED15" s="5798"/>
      <c r="EE15" s="5798"/>
      <c r="EF15" s="5798"/>
      <c r="EG15" s="5799"/>
      <c r="EH15" s="5791" t="s">
        <v>2879</v>
      </c>
      <c r="EJ15" s="5796" t="s">
        <v>2875</v>
      </c>
      <c r="EK15" s="1560" t="s">
        <v>2824</v>
      </c>
      <c r="EL15" s="1560"/>
      <c r="EM15" s="1560"/>
      <c r="EN15" s="1560"/>
      <c r="EO15" s="1560"/>
      <c r="EP15" s="1560"/>
      <c r="EQ15" s="1560"/>
      <c r="ER15" s="1560"/>
      <c r="ES15" s="1560"/>
      <c r="ET15" s="1560"/>
      <c r="EU15" s="1560"/>
      <c r="EV15" s="1561"/>
      <c r="EW15" s="5791" t="s">
        <v>2876</v>
      </c>
      <c r="EX15" s="5798" t="s">
        <v>2722</v>
      </c>
      <c r="EY15" s="5798"/>
      <c r="EZ15" s="5798"/>
      <c r="FA15" s="5798"/>
      <c r="FB15" s="5798"/>
      <c r="FC15" s="5798"/>
      <c r="FD15" s="5798"/>
      <c r="FE15" s="5798"/>
      <c r="FF15" s="5798"/>
      <c r="FG15" s="5798"/>
      <c r="FH15" s="5798"/>
      <c r="FI15" s="5799"/>
      <c r="FJ15" s="5791" t="s">
        <v>2877</v>
      </c>
      <c r="FK15" s="5798" t="s">
        <v>2825</v>
      </c>
      <c r="FL15" s="5798"/>
      <c r="FM15" s="5798"/>
      <c r="FN15" s="5798"/>
      <c r="FO15" s="5798"/>
      <c r="FP15" s="5798"/>
      <c r="FQ15" s="5798"/>
      <c r="FR15" s="5798"/>
      <c r="FS15" s="5798"/>
      <c r="FT15" s="5798"/>
      <c r="FU15" s="5798"/>
      <c r="FV15" s="5799"/>
      <c r="FW15" s="5791" t="s">
        <v>2878</v>
      </c>
      <c r="FX15" s="5798" t="s">
        <v>2663</v>
      </c>
      <c r="FY15" s="5798"/>
      <c r="FZ15" s="5798"/>
      <c r="GA15" s="5798"/>
      <c r="GB15" s="5798"/>
      <c r="GC15" s="5798"/>
      <c r="GD15" s="5798"/>
      <c r="GE15" s="5798"/>
      <c r="GF15" s="5798"/>
      <c r="GG15" s="5798"/>
      <c r="GH15" s="5798"/>
      <c r="GI15" s="5799"/>
      <c r="GJ15" s="5791" t="s">
        <v>2879</v>
      </c>
      <c r="GL15" s="5802" t="s">
        <v>2880</v>
      </c>
      <c r="GM15" s="5803"/>
      <c r="GN15" s="5804"/>
      <c r="GO15" s="5800" t="s">
        <v>2881</v>
      </c>
      <c r="GP15" s="5800" t="s">
        <v>2882</v>
      </c>
      <c r="GQ15" s="5800" t="s">
        <v>2883</v>
      </c>
      <c r="GR15" s="5800" t="s">
        <v>2884</v>
      </c>
      <c r="GS15" s="5800" t="s">
        <v>2885</v>
      </c>
      <c r="GT15" s="1562">
        <v>2020</v>
      </c>
      <c r="GU15" s="1563"/>
      <c r="GV15" s="1563"/>
      <c r="GW15" s="1563"/>
      <c r="GX15" s="1563"/>
      <c r="GY15" s="1563"/>
      <c r="GZ15" s="1563"/>
      <c r="HA15" s="1563"/>
      <c r="HB15" s="1563"/>
      <c r="HC15" s="1563"/>
      <c r="HD15" s="1562"/>
      <c r="HE15" s="1563"/>
      <c r="HF15" s="1564"/>
      <c r="HG15" s="5814">
        <v>2021</v>
      </c>
      <c r="HH15" s="5815"/>
      <c r="HI15" s="5815"/>
      <c r="HJ15" s="5815"/>
      <c r="HK15" s="5815"/>
      <c r="HL15" s="5815"/>
      <c r="HM15" s="5815"/>
      <c r="HN15" s="5815"/>
      <c r="HO15" s="5815"/>
      <c r="HP15" s="5815"/>
      <c r="HQ15" s="5815"/>
      <c r="HR15" s="5815"/>
      <c r="HS15" s="5816"/>
      <c r="HT15" s="5814">
        <v>2022</v>
      </c>
      <c r="HU15" s="5815"/>
      <c r="HV15" s="5815"/>
      <c r="HW15" s="5815"/>
      <c r="HX15" s="5815"/>
      <c r="HY15" s="5815"/>
      <c r="HZ15" s="5815"/>
      <c r="IA15" s="5815"/>
      <c r="IB15" s="5815"/>
      <c r="IC15" s="5815"/>
      <c r="ID15" s="5815"/>
      <c r="IE15" s="5815"/>
      <c r="IF15" s="5816"/>
      <c r="IG15" s="5814">
        <v>2023</v>
      </c>
      <c r="IH15" s="5815"/>
      <c r="II15" s="5815"/>
      <c r="IJ15" s="5815"/>
      <c r="IK15" s="5815"/>
      <c r="IL15" s="5815"/>
      <c r="IM15" s="5815"/>
      <c r="IN15" s="5815"/>
      <c r="IO15" s="5815"/>
      <c r="IP15" s="5815"/>
      <c r="IQ15" s="5815"/>
      <c r="IR15" s="5815"/>
      <c r="IS15" s="5816"/>
      <c r="IT15" s="5808" t="s">
        <v>2886</v>
      </c>
      <c r="IU15" s="5808" t="s">
        <v>2887</v>
      </c>
      <c r="IV15" s="5810" t="s">
        <v>2888</v>
      </c>
    </row>
    <row r="16" spans="1:256" ht="17.25" thickBot="1">
      <c r="B16" s="1565"/>
      <c r="C16" s="1565"/>
      <c r="D16" s="1566" t="s">
        <v>2889</v>
      </c>
      <c r="E16" s="1567">
        <v>1</v>
      </c>
      <c r="F16" s="1568">
        <v>2</v>
      </c>
      <c r="G16" s="1569">
        <v>3</v>
      </c>
      <c r="H16" s="1568">
        <v>4</v>
      </c>
      <c r="I16" s="1568">
        <v>5</v>
      </c>
      <c r="J16" s="1569">
        <v>6</v>
      </c>
      <c r="K16" s="1568">
        <v>7</v>
      </c>
      <c r="L16" s="1568">
        <v>8</v>
      </c>
      <c r="M16" s="1570">
        <v>9</v>
      </c>
      <c r="N16" s="1571">
        <v>10</v>
      </c>
      <c r="O16" s="1571">
        <v>11</v>
      </c>
      <c r="P16" s="1571">
        <v>12</v>
      </c>
      <c r="Q16" s="1572" t="s">
        <v>2890</v>
      </c>
      <c r="R16" s="1573">
        <v>1</v>
      </c>
      <c r="S16" s="1571">
        <v>2</v>
      </c>
      <c r="T16" s="1570">
        <v>3</v>
      </c>
      <c r="U16" s="1571">
        <v>4</v>
      </c>
      <c r="V16" s="1571">
        <v>5</v>
      </c>
      <c r="W16" s="1570">
        <v>6</v>
      </c>
      <c r="X16" s="1571">
        <v>7</v>
      </c>
      <c r="Y16" s="1571">
        <v>8</v>
      </c>
      <c r="Z16" s="1570">
        <v>9</v>
      </c>
      <c r="AA16" s="1571">
        <v>10</v>
      </c>
      <c r="AB16" s="1571">
        <v>11</v>
      </c>
      <c r="AC16" s="1571">
        <v>12</v>
      </c>
      <c r="AD16" s="1572" t="s">
        <v>2890</v>
      </c>
      <c r="AE16" s="1573">
        <v>1</v>
      </c>
      <c r="AF16" s="1571">
        <v>2</v>
      </c>
      <c r="AG16" s="1570">
        <v>3</v>
      </c>
      <c r="AH16" s="1571">
        <v>4</v>
      </c>
      <c r="AI16" s="1571">
        <v>5</v>
      </c>
      <c r="AJ16" s="1570">
        <v>6</v>
      </c>
      <c r="AK16" s="1571">
        <v>7</v>
      </c>
      <c r="AL16" s="1571">
        <v>8</v>
      </c>
      <c r="AM16" s="1570">
        <v>9</v>
      </c>
      <c r="AN16" s="1571">
        <v>10</v>
      </c>
      <c r="AO16" s="1571">
        <v>11</v>
      </c>
      <c r="AP16" s="1571">
        <v>12</v>
      </c>
      <c r="AQ16" s="1572" t="s">
        <v>2890</v>
      </c>
      <c r="AR16" s="1573">
        <v>1</v>
      </c>
      <c r="AS16" s="1571">
        <v>2</v>
      </c>
      <c r="AT16" s="1570">
        <v>3</v>
      </c>
      <c r="AU16" s="1571">
        <v>4</v>
      </c>
      <c r="AV16" s="1571">
        <v>5</v>
      </c>
      <c r="AW16" s="1570">
        <v>6</v>
      </c>
      <c r="AX16" s="1571">
        <v>7</v>
      </c>
      <c r="AY16" s="1571">
        <v>8</v>
      </c>
      <c r="AZ16" s="1570">
        <v>9</v>
      </c>
      <c r="BA16" s="1571">
        <v>10</v>
      </c>
      <c r="BB16" s="1571">
        <v>11</v>
      </c>
      <c r="BC16" s="1571">
        <v>12</v>
      </c>
      <c r="BD16" s="1573" t="s">
        <v>2890</v>
      </c>
      <c r="BF16" s="1574" t="s">
        <v>2891</v>
      </c>
      <c r="BL16" s="1498"/>
      <c r="BN16" s="1498"/>
      <c r="BO16" s="1545"/>
      <c r="BP16" s="815"/>
      <c r="BQ16" s="815"/>
      <c r="BR16" s="815"/>
      <c r="BS16" s="815"/>
      <c r="BY16" s="1575"/>
      <c r="BZ16" s="1575"/>
      <c r="CD16" s="815"/>
      <c r="CE16" s="1575"/>
      <c r="CF16" s="1574"/>
      <c r="CG16" s="1559"/>
      <c r="CH16" s="5797"/>
      <c r="CI16" s="1576" t="s">
        <v>2892</v>
      </c>
      <c r="CJ16" s="1577" t="s">
        <v>2893</v>
      </c>
      <c r="CK16" s="1578" t="s">
        <v>2894</v>
      </c>
      <c r="CL16" s="1579" t="s">
        <v>2895</v>
      </c>
      <c r="CM16" s="1577" t="s">
        <v>2896</v>
      </c>
      <c r="CN16" s="1578" t="s">
        <v>2897</v>
      </c>
      <c r="CO16" s="1579" t="s">
        <v>2898</v>
      </c>
      <c r="CP16" s="1577" t="s">
        <v>2717</v>
      </c>
      <c r="CQ16" s="1578" t="s">
        <v>2718</v>
      </c>
      <c r="CR16" s="1579" t="s">
        <v>2719</v>
      </c>
      <c r="CS16" s="1577" t="s">
        <v>2720</v>
      </c>
      <c r="CT16" s="1577" t="s">
        <v>2721</v>
      </c>
      <c r="CU16" s="5792"/>
      <c r="CV16" s="1576" t="s">
        <v>2892</v>
      </c>
      <c r="CW16" s="1577" t="s">
        <v>2893</v>
      </c>
      <c r="CX16" s="1578" t="s">
        <v>2894</v>
      </c>
      <c r="CY16" s="1579" t="s">
        <v>2895</v>
      </c>
      <c r="CZ16" s="1577" t="s">
        <v>2896</v>
      </c>
      <c r="DA16" s="1578" t="s">
        <v>2897</v>
      </c>
      <c r="DB16" s="1579" t="s">
        <v>2898</v>
      </c>
      <c r="DC16" s="1577" t="s">
        <v>2717</v>
      </c>
      <c r="DD16" s="1578" t="s">
        <v>2718</v>
      </c>
      <c r="DE16" s="1579" t="s">
        <v>2719</v>
      </c>
      <c r="DF16" s="1577" t="s">
        <v>2720</v>
      </c>
      <c r="DG16" s="1577" t="s">
        <v>2721</v>
      </c>
      <c r="DH16" s="5792"/>
      <c r="DI16" s="1576" t="s">
        <v>2892</v>
      </c>
      <c r="DJ16" s="1577" t="s">
        <v>2893</v>
      </c>
      <c r="DK16" s="1578" t="s">
        <v>2894</v>
      </c>
      <c r="DL16" s="1579" t="s">
        <v>2895</v>
      </c>
      <c r="DM16" s="1577" t="s">
        <v>2896</v>
      </c>
      <c r="DN16" s="1578" t="s">
        <v>2897</v>
      </c>
      <c r="DO16" s="1579" t="s">
        <v>2898</v>
      </c>
      <c r="DP16" s="1577" t="s">
        <v>2717</v>
      </c>
      <c r="DQ16" s="1578" t="s">
        <v>2718</v>
      </c>
      <c r="DR16" s="1579" t="s">
        <v>2719</v>
      </c>
      <c r="DS16" s="1577" t="s">
        <v>2720</v>
      </c>
      <c r="DT16" s="1577" t="s">
        <v>2721</v>
      </c>
      <c r="DU16" s="5792"/>
      <c r="DV16" s="1576" t="s">
        <v>2892</v>
      </c>
      <c r="DW16" s="1577" t="s">
        <v>2893</v>
      </c>
      <c r="DX16" s="1578" t="s">
        <v>2894</v>
      </c>
      <c r="DY16" s="1579" t="s">
        <v>2895</v>
      </c>
      <c r="DZ16" s="1577" t="s">
        <v>2896</v>
      </c>
      <c r="EA16" s="1578" t="s">
        <v>2897</v>
      </c>
      <c r="EB16" s="1579" t="s">
        <v>2898</v>
      </c>
      <c r="EC16" s="1577" t="s">
        <v>2717</v>
      </c>
      <c r="ED16" s="1578" t="s">
        <v>2718</v>
      </c>
      <c r="EE16" s="1579" t="s">
        <v>2719</v>
      </c>
      <c r="EF16" s="1577" t="s">
        <v>2720</v>
      </c>
      <c r="EG16" s="1577" t="s">
        <v>2721</v>
      </c>
      <c r="EH16" s="5792"/>
      <c r="EJ16" s="5797"/>
      <c r="EK16" s="1576" t="s">
        <v>2892</v>
      </c>
      <c r="EL16" s="1577" t="s">
        <v>2893</v>
      </c>
      <c r="EM16" s="1578" t="s">
        <v>2894</v>
      </c>
      <c r="EN16" s="1579" t="s">
        <v>2895</v>
      </c>
      <c r="EO16" s="1577" t="s">
        <v>2896</v>
      </c>
      <c r="EP16" s="1578" t="s">
        <v>2897</v>
      </c>
      <c r="EQ16" s="1579" t="s">
        <v>2898</v>
      </c>
      <c r="ER16" s="1577" t="s">
        <v>2717</v>
      </c>
      <c r="ES16" s="1578" t="s">
        <v>2718</v>
      </c>
      <c r="ET16" s="1579" t="s">
        <v>2719</v>
      </c>
      <c r="EU16" s="1577" t="s">
        <v>2720</v>
      </c>
      <c r="EV16" s="1577" t="s">
        <v>2721</v>
      </c>
      <c r="EW16" s="5792"/>
      <c r="EX16" s="1576" t="s">
        <v>2892</v>
      </c>
      <c r="EY16" s="1577" t="s">
        <v>2893</v>
      </c>
      <c r="EZ16" s="1578" t="s">
        <v>2894</v>
      </c>
      <c r="FA16" s="1579" t="s">
        <v>2895</v>
      </c>
      <c r="FB16" s="1577" t="s">
        <v>2896</v>
      </c>
      <c r="FC16" s="1578" t="s">
        <v>2897</v>
      </c>
      <c r="FD16" s="1579" t="s">
        <v>2898</v>
      </c>
      <c r="FE16" s="1577" t="s">
        <v>2717</v>
      </c>
      <c r="FF16" s="1578" t="s">
        <v>2718</v>
      </c>
      <c r="FG16" s="1579" t="s">
        <v>2719</v>
      </c>
      <c r="FH16" s="1577" t="s">
        <v>2720</v>
      </c>
      <c r="FI16" s="1577" t="s">
        <v>2721</v>
      </c>
      <c r="FJ16" s="5792"/>
      <c r="FK16" s="1576" t="s">
        <v>2892</v>
      </c>
      <c r="FL16" s="1577" t="s">
        <v>2893</v>
      </c>
      <c r="FM16" s="1578" t="s">
        <v>2894</v>
      </c>
      <c r="FN16" s="1579" t="s">
        <v>2895</v>
      </c>
      <c r="FO16" s="1577" t="s">
        <v>2896</v>
      </c>
      <c r="FP16" s="1578" t="s">
        <v>2897</v>
      </c>
      <c r="FQ16" s="1579" t="s">
        <v>2898</v>
      </c>
      <c r="FR16" s="1577" t="s">
        <v>2717</v>
      </c>
      <c r="FS16" s="1578" t="s">
        <v>2718</v>
      </c>
      <c r="FT16" s="1579" t="s">
        <v>2719</v>
      </c>
      <c r="FU16" s="1577" t="s">
        <v>2720</v>
      </c>
      <c r="FV16" s="1577" t="s">
        <v>2721</v>
      </c>
      <c r="FW16" s="5792"/>
      <c r="FX16" s="1576" t="s">
        <v>2892</v>
      </c>
      <c r="FY16" s="1577" t="s">
        <v>2893</v>
      </c>
      <c r="FZ16" s="1578" t="s">
        <v>2894</v>
      </c>
      <c r="GA16" s="1579" t="s">
        <v>2895</v>
      </c>
      <c r="GB16" s="1577" t="s">
        <v>2896</v>
      </c>
      <c r="GC16" s="1578" t="s">
        <v>2897</v>
      </c>
      <c r="GD16" s="1579" t="s">
        <v>2898</v>
      </c>
      <c r="GE16" s="1577" t="s">
        <v>2717</v>
      </c>
      <c r="GF16" s="1578" t="s">
        <v>2718</v>
      </c>
      <c r="GG16" s="1579" t="s">
        <v>2719</v>
      </c>
      <c r="GH16" s="1577" t="s">
        <v>2720</v>
      </c>
      <c r="GI16" s="1577" t="s">
        <v>2721</v>
      </c>
      <c r="GJ16" s="5792"/>
      <c r="GL16" s="5805"/>
      <c r="GM16" s="5806"/>
      <c r="GN16" s="5807"/>
      <c r="GO16" s="5801"/>
      <c r="GP16" s="5801"/>
      <c r="GQ16" s="5801"/>
      <c r="GR16" s="5801"/>
      <c r="GS16" s="5801"/>
      <c r="GT16" s="1580" t="s">
        <v>1893</v>
      </c>
      <c r="GU16" s="1580" t="s">
        <v>2899</v>
      </c>
      <c r="GV16" s="1580" t="s">
        <v>2900</v>
      </c>
      <c r="GW16" s="1580" t="s">
        <v>2901</v>
      </c>
      <c r="GX16" s="1580" t="s">
        <v>2902</v>
      </c>
      <c r="GY16" s="1580" t="s">
        <v>2903</v>
      </c>
      <c r="GZ16" s="1580" t="s">
        <v>2904</v>
      </c>
      <c r="HA16" s="1580" t="s">
        <v>2905</v>
      </c>
      <c r="HB16" s="1580" t="s">
        <v>2906</v>
      </c>
      <c r="HC16" s="1580" t="s">
        <v>2907</v>
      </c>
      <c r="HD16" s="1580" t="s">
        <v>2908</v>
      </c>
      <c r="HE16" s="1580" t="s">
        <v>2909</v>
      </c>
      <c r="HF16" s="1580" t="s">
        <v>2910</v>
      </c>
      <c r="HG16" s="1580" t="s">
        <v>1893</v>
      </c>
      <c r="HH16" s="1580" t="s">
        <v>2899</v>
      </c>
      <c r="HI16" s="1580" t="s">
        <v>2900</v>
      </c>
      <c r="HJ16" s="1580" t="s">
        <v>2901</v>
      </c>
      <c r="HK16" s="1580" t="s">
        <v>2902</v>
      </c>
      <c r="HL16" s="1580" t="s">
        <v>2903</v>
      </c>
      <c r="HM16" s="1580" t="s">
        <v>2904</v>
      </c>
      <c r="HN16" s="1580" t="s">
        <v>2905</v>
      </c>
      <c r="HO16" s="1580" t="s">
        <v>2906</v>
      </c>
      <c r="HP16" s="1580" t="s">
        <v>2907</v>
      </c>
      <c r="HQ16" s="1580" t="s">
        <v>2908</v>
      </c>
      <c r="HR16" s="1580" t="s">
        <v>2909</v>
      </c>
      <c r="HS16" s="1580" t="s">
        <v>2910</v>
      </c>
      <c r="HT16" s="1580" t="s">
        <v>1893</v>
      </c>
      <c r="HU16" s="1580" t="s">
        <v>2899</v>
      </c>
      <c r="HV16" s="1580" t="s">
        <v>2900</v>
      </c>
      <c r="HW16" s="1580" t="s">
        <v>2901</v>
      </c>
      <c r="HX16" s="1580" t="s">
        <v>2902</v>
      </c>
      <c r="HY16" s="1580" t="s">
        <v>2903</v>
      </c>
      <c r="HZ16" s="1580" t="s">
        <v>2904</v>
      </c>
      <c r="IA16" s="1580" t="s">
        <v>2905</v>
      </c>
      <c r="IB16" s="1580" t="s">
        <v>2906</v>
      </c>
      <c r="IC16" s="1580" t="s">
        <v>2907</v>
      </c>
      <c r="ID16" s="1580" t="s">
        <v>2908</v>
      </c>
      <c r="IE16" s="1580" t="s">
        <v>2909</v>
      </c>
      <c r="IF16" s="1580" t="s">
        <v>2910</v>
      </c>
      <c r="IG16" s="1580" t="s">
        <v>1893</v>
      </c>
      <c r="IH16" s="1580" t="s">
        <v>2899</v>
      </c>
      <c r="II16" s="1580" t="s">
        <v>2900</v>
      </c>
      <c r="IJ16" s="1580" t="s">
        <v>2901</v>
      </c>
      <c r="IK16" s="1580" t="s">
        <v>2902</v>
      </c>
      <c r="IL16" s="1580" t="s">
        <v>2903</v>
      </c>
      <c r="IM16" s="1580" t="s">
        <v>2904</v>
      </c>
      <c r="IN16" s="1580" t="s">
        <v>2905</v>
      </c>
      <c r="IO16" s="1580" t="s">
        <v>2906</v>
      </c>
      <c r="IP16" s="1580" t="s">
        <v>2907</v>
      </c>
      <c r="IQ16" s="1580" t="s">
        <v>2908</v>
      </c>
      <c r="IR16" s="1580" t="s">
        <v>2909</v>
      </c>
      <c r="IS16" s="1580" t="s">
        <v>2910</v>
      </c>
      <c r="IT16" s="5817"/>
      <c r="IU16" s="5809"/>
      <c r="IV16" s="5809"/>
    </row>
    <row r="17" spans="2:256" ht="16.5">
      <c r="B17" s="1504" t="s">
        <v>2911</v>
      </c>
      <c r="D17" s="1581" t="s">
        <v>360</v>
      </c>
      <c r="E17" s="1582">
        <f t="shared" ref="E17:BD17" si="0">(E28+E29+E33)/E20</f>
        <v>0.74317918818650064</v>
      </c>
      <c r="F17" s="1583">
        <f t="shared" si="0"/>
        <v>0.74417999643177146</v>
      </c>
      <c r="G17" s="1584">
        <f t="shared" si="0"/>
        <v>0.75203040640089758</v>
      </c>
      <c r="H17" s="1583">
        <f t="shared" si="0"/>
        <v>0.72665832308669454</v>
      </c>
      <c r="I17" s="1583">
        <f t="shared" si="0"/>
        <v>0.75386516625950528</v>
      </c>
      <c r="J17" s="1584">
        <f t="shared" si="0"/>
        <v>0.67393830987424275</v>
      </c>
      <c r="K17" s="1583">
        <f t="shared" si="0"/>
        <v>0.61176640354538825</v>
      </c>
      <c r="L17" s="1583">
        <f t="shared" si="0"/>
        <v>0.70838469673472937</v>
      </c>
      <c r="M17" s="1585">
        <f t="shared" si="0"/>
        <v>0.75945915160137611</v>
      </c>
      <c r="N17" s="1586">
        <f t="shared" si="0"/>
        <v>0.79430870722575897</v>
      </c>
      <c r="O17" s="1586">
        <f t="shared" si="0"/>
        <v>0.75088111814001313</v>
      </c>
      <c r="P17" s="1586">
        <f t="shared" si="0"/>
        <v>0.75374983693005049</v>
      </c>
      <c r="Q17" s="1587">
        <f t="shared" si="0"/>
        <v>0.73659847384488453</v>
      </c>
      <c r="R17" s="1588">
        <f t="shared" si="0"/>
        <v>0.73316893817905182</v>
      </c>
      <c r="S17" s="1586">
        <f t="shared" si="0"/>
        <v>0.7499355766328244</v>
      </c>
      <c r="T17" s="1585">
        <f t="shared" si="0"/>
        <v>0.7550779139219338</v>
      </c>
      <c r="U17" s="1586">
        <f t="shared" si="0"/>
        <v>0.74346394060771182</v>
      </c>
      <c r="V17" s="1586">
        <f t="shared" si="0"/>
        <v>0.74339179437764058</v>
      </c>
      <c r="W17" s="1585">
        <f t="shared" si="0"/>
        <v>0.74401822434798615</v>
      </c>
      <c r="X17" s="1586">
        <f t="shared" si="0"/>
        <v>0.74364724404985583</v>
      </c>
      <c r="Y17" s="1586">
        <f t="shared" si="0"/>
        <v>0.74632428338773105</v>
      </c>
      <c r="Z17" s="1585">
        <f t="shared" si="0"/>
        <v>0.74719402703264592</v>
      </c>
      <c r="AA17" s="1586">
        <f t="shared" si="0"/>
        <v>0.74948044070624631</v>
      </c>
      <c r="AB17" s="1586">
        <f t="shared" si="0"/>
        <v>0.74738175846543164</v>
      </c>
      <c r="AC17" s="1586">
        <f t="shared" si="0"/>
        <v>0.74867894200372653</v>
      </c>
      <c r="AD17" s="1587">
        <f t="shared" si="0"/>
        <v>0.74547641863458913</v>
      </c>
      <c r="AE17" s="1588">
        <f t="shared" si="0"/>
        <v>0.74413446191525212</v>
      </c>
      <c r="AF17" s="1586">
        <f t="shared" si="0"/>
        <v>0.7403790819831062</v>
      </c>
      <c r="AG17" s="1585">
        <f t="shared" si="0"/>
        <v>0.74475062863585029</v>
      </c>
      <c r="AH17" s="1586">
        <f t="shared" si="0"/>
        <v>0.74630378448408086</v>
      </c>
      <c r="AI17" s="1586">
        <f t="shared" si="0"/>
        <v>0.74216250235420778</v>
      </c>
      <c r="AJ17" s="1585">
        <f t="shared" si="0"/>
        <v>0.75704857098942746</v>
      </c>
      <c r="AK17" s="1586">
        <f t="shared" si="0"/>
        <v>0.73919199576638539</v>
      </c>
      <c r="AL17" s="1586">
        <f t="shared" si="0"/>
        <v>0.74575240437934343</v>
      </c>
      <c r="AM17" s="1585">
        <f t="shared" si="0"/>
        <v>0.74156594734195791</v>
      </c>
      <c r="AN17" s="1586">
        <f t="shared" si="0"/>
        <v>0.74346170527207267</v>
      </c>
      <c r="AO17" s="1586">
        <f t="shared" si="0"/>
        <v>0.74316121048570205</v>
      </c>
      <c r="AP17" s="1586">
        <f t="shared" si="0"/>
        <v>0.74473198196182122</v>
      </c>
      <c r="AQ17" s="1587">
        <f t="shared" si="0"/>
        <v>0.74363065062183875</v>
      </c>
      <c r="AR17" s="1588">
        <f t="shared" si="0"/>
        <v>0.74603168503584949</v>
      </c>
      <c r="AS17" s="1586">
        <f t="shared" si="0"/>
        <v>0.74549588661576527</v>
      </c>
      <c r="AT17" s="1585">
        <f t="shared" si="0"/>
        <v>0.74636301503578417</v>
      </c>
      <c r="AU17" s="1586">
        <f t="shared" si="0"/>
        <v>0.74646488072061645</v>
      </c>
      <c r="AV17" s="1586">
        <f t="shared" si="0"/>
        <v>0.74462588141961139</v>
      </c>
      <c r="AW17" s="1585">
        <f t="shared" si="0"/>
        <v>0.74331016178102471</v>
      </c>
      <c r="AX17" s="1586">
        <f t="shared" si="0"/>
        <v>0.74410895953882095</v>
      </c>
      <c r="AY17" s="1586">
        <f t="shared" si="0"/>
        <v>0.74438393531982483</v>
      </c>
      <c r="AZ17" s="1585">
        <f t="shared" si="0"/>
        <v>0.74983177404633383</v>
      </c>
      <c r="BA17" s="1586">
        <f t="shared" si="0"/>
        <v>0.75057445206170093</v>
      </c>
      <c r="BB17" s="1586">
        <f t="shared" si="0"/>
        <v>0.74400520891782318</v>
      </c>
      <c r="BC17" s="1586">
        <f t="shared" si="0"/>
        <v>0.74680792842029864</v>
      </c>
      <c r="BD17" s="1588">
        <f t="shared" si="0"/>
        <v>0.74601185929817715</v>
      </c>
      <c r="BE17" s="1589"/>
      <c r="BF17" s="1590"/>
      <c r="BL17" s="1498"/>
      <c r="BN17" s="1498"/>
      <c r="BO17" s="1545"/>
      <c r="BP17" s="815"/>
      <c r="BQ17" s="815"/>
      <c r="BR17" s="815"/>
      <c r="BS17" s="815"/>
      <c r="BY17" s="1591"/>
      <c r="BZ17" s="1591"/>
      <c r="CD17" s="815"/>
      <c r="CE17" s="1591"/>
      <c r="CF17" s="1590"/>
      <c r="CG17" s="1559"/>
      <c r="CH17" s="1592" t="s">
        <v>1410</v>
      </c>
      <c r="CI17" s="1593">
        <v>256724335</v>
      </c>
      <c r="CJ17" s="1593">
        <v>234953450</v>
      </c>
      <c r="CK17" s="1593">
        <v>257931430</v>
      </c>
      <c r="CL17" s="1594">
        <v>255186670</v>
      </c>
      <c r="CM17" s="1593">
        <v>241022970</v>
      </c>
      <c r="CN17" s="1595">
        <v>250755180</v>
      </c>
      <c r="CO17" s="1594">
        <v>260832980</v>
      </c>
      <c r="CP17" s="1593">
        <v>264822960</v>
      </c>
      <c r="CQ17" s="1595">
        <v>357128000</v>
      </c>
      <c r="CR17" s="1593">
        <v>272914000</v>
      </c>
      <c r="CS17" s="1593">
        <v>272914000</v>
      </c>
      <c r="CT17" s="1593">
        <v>272914000</v>
      </c>
      <c r="CU17" s="1596">
        <f>SUM(CI17:CT17)</f>
        <v>3198099975</v>
      </c>
      <c r="CV17" s="1593">
        <v>276426240</v>
      </c>
      <c r="CW17" s="1593">
        <v>276426240</v>
      </c>
      <c r="CX17" s="1593">
        <v>276426240</v>
      </c>
      <c r="CY17" s="1594">
        <v>276426240</v>
      </c>
      <c r="CZ17" s="1593">
        <v>276426240</v>
      </c>
      <c r="DA17" s="1595">
        <v>276426240</v>
      </c>
      <c r="DB17" s="1594">
        <v>276426240</v>
      </c>
      <c r="DC17" s="1593">
        <v>276426240</v>
      </c>
      <c r="DD17" s="1595">
        <v>378164000</v>
      </c>
      <c r="DE17" s="1593">
        <v>287944000</v>
      </c>
      <c r="DF17" s="1593">
        <v>287944000</v>
      </c>
      <c r="DG17" s="1593">
        <v>287944000</v>
      </c>
      <c r="DH17" s="1596">
        <f>SUM(CV17:DG17)</f>
        <v>3453405920</v>
      </c>
      <c r="DI17" s="1593">
        <v>278199360</v>
      </c>
      <c r="DJ17" s="1593">
        <v>278199360</v>
      </c>
      <c r="DK17" s="1593">
        <v>278199360</v>
      </c>
      <c r="DL17" s="1594">
        <v>278199360</v>
      </c>
      <c r="DM17" s="1593">
        <v>278199360</v>
      </c>
      <c r="DN17" s="1595">
        <v>278199360</v>
      </c>
      <c r="DO17" s="1594">
        <v>278199360</v>
      </c>
      <c r="DP17" s="1593">
        <v>278199360</v>
      </c>
      <c r="DQ17" s="1595">
        <v>372547000</v>
      </c>
      <c r="DR17" s="1593">
        <v>289791000</v>
      </c>
      <c r="DS17" s="1593">
        <v>289791000</v>
      </c>
      <c r="DT17" s="1593">
        <v>289791000</v>
      </c>
      <c r="DU17" s="1596">
        <f>SUM(DI17:DT17)</f>
        <v>3467514880</v>
      </c>
      <c r="DV17" s="1593">
        <v>300298200</v>
      </c>
      <c r="DW17" s="1593">
        <v>300298200</v>
      </c>
      <c r="DX17" s="1593">
        <v>300298200</v>
      </c>
      <c r="DY17" s="1594">
        <v>300298200</v>
      </c>
      <c r="DZ17" s="1593">
        <v>300298200</v>
      </c>
      <c r="EA17" s="1595">
        <v>300298200</v>
      </c>
      <c r="EB17" s="1594">
        <v>300298200</v>
      </c>
      <c r="EC17" s="1593">
        <v>300298200</v>
      </c>
      <c r="ED17" s="1595">
        <v>393079000</v>
      </c>
      <c r="EE17" s="1593">
        <v>308680000</v>
      </c>
      <c r="EF17" s="1593">
        <v>308680000</v>
      </c>
      <c r="EG17" s="1593">
        <v>308680000</v>
      </c>
      <c r="EH17" s="1596">
        <f>SUM(DV17:EG17)</f>
        <v>3721504600</v>
      </c>
      <c r="EJ17" s="1592" t="s">
        <v>1410</v>
      </c>
      <c r="EK17" s="1593">
        <v>92233525</v>
      </c>
      <c r="EL17" s="1593">
        <v>91222920</v>
      </c>
      <c r="EM17" s="1593">
        <v>89853190</v>
      </c>
      <c r="EN17" s="1594">
        <v>77602720</v>
      </c>
      <c r="EO17" s="1593">
        <v>75128480</v>
      </c>
      <c r="EP17" s="1595">
        <v>74838700</v>
      </c>
      <c r="EQ17" s="1594">
        <v>67304010</v>
      </c>
      <c r="ER17" s="1593">
        <v>68449660</v>
      </c>
      <c r="ES17" s="1595">
        <v>87674000</v>
      </c>
      <c r="ET17" s="1593">
        <v>74056000</v>
      </c>
      <c r="EU17" s="1593">
        <v>74056000</v>
      </c>
      <c r="EV17" s="1593">
        <v>74056000</v>
      </c>
      <c r="EW17" s="1596">
        <v>946475205</v>
      </c>
      <c r="EX17" s="1593">
        <v>74252160</v>
      </c>
      <c r="EY17" s="1593">
        <v>74252160</v>
      </c>
      <c r="EZ17" s="1593">
        <v>74252160</v>
      </c>
      <c r="FA17" s="1593">
        <v>74252160</v>
      </c>
      <c r="FB17" s="1593">
        <v>74252160</v>
      </c>
      <c r="FC17" s="1593">
        <v>74252160</v>
      </c>
      <c r="FD17" s="1593">
        <v>74252160</v>
      </c>
      <c r="FE17" s="1593">
        <v>74252160</v>
      </c>
      <c r="FF17" s="1593">
        <v>91748000</v>
      </c>
      <c r="FG17" s="1593">
        <v>77346000</v>
      </c>
      <c r="FH17" s="1593">
        <v>77346000</v>
      </c>
      <c r="FI17" s="1593">
        <v>77346000</v>
      </c>
      <c r="FJ17" s="1596">
        <v>917803280</v>
      </c>
      <c r="FK17" s="1593">
        <v>77756980</v>
      </c>
      <c r="FL17" s="1593">
        <v>77756980</v>
      </c>
      <c r="FM17" s="1593">
        <v>77756980</v>
      </c>
      <c r="FN17" s="1594">
        <v>77756980</v>
      </c>
      <c r="FO17" s="1593">
        <v>77756980</v>
      </c>
      <c r="FP17" s="1595">
        <v>77756980</v>
      </c>
      <c r="FQ17" s="1594">
        <v>77756980</v>
      </c>
      <c r="FR17" s="1593">
        <v>77756980</v>
      </c>
      <c r="FS17" s="1595">
        <v>94445000</v>
      </c>
      <c r="FT17" s="1593">
        <v>80142000</v>
      </c>
      <c r="FU17" s="1593">
        <v>80142000</v>
      </c>
      <c r="FV17" s="1593">
        <v>80142000</v>
      </c>
      <c r="FW17" s="1596">
        <v>956926840</v>
      </c>
      <c r="FX17" s="1593">
        <v>80924160</v>
      </c>
      <c r="FY17" s="1593">
        <v>80924160</v>
      </c>
      <c r="FZ17" s="1593">
        <v>80924160</v>
      </c>
      <c r="GA17" s="1594">
        <v>80924160</v>
      </c>
      <c r="GB17" s="1593">
        <v>80924160</v>
      </c>
      <c r="GC17" s="1595">
        <v>80924160</v>
      </c>
      <c r="GD17" s="1594">
        <v>80924160</v>
      </c>
      <c r="GE17" s="1593">
        <v>80924160</v>
      </c>
      <c r="GF17" s="1595">
        <v>98507000</v>
      </c>
      <c r="GG17" s="1593">
        <v>83409000</v>
      </c>
      <c r="GH17" s="1593">
        <v>83409000</v>
      </c>
      <c r="GI17" s="1593">
        <v>83409000</v>
      </c>
      <c r="GJ17" s="1596">
        <v>996127280</v>
      </c>
      <c r="GL17" s="1597" t="s">
        <v>2912</v>
      </c>
      <c r="GM17" s="1598"/>
      <c r="GN17" s="1599"/>
      <c r="GO17" s="1600"/>
      <c r="GP17" s="1600"/>
      <c r="GQ17" s="1601"/>
      <c r="GR17" s="1602"/>
      <c r="GS17" s="1603"/>
      <c r="GT17" s="1604">
        <v>0</v>
      </c>
      <c r="GU17" s="1605">
        <v>0</v>
      </c>
      <c r="GV17" s="1605">
        <v>0</v>
      </c>
      <c r="GW17" s="1605">
        <v>0</v>
      </c>
      <c r="GX17" s="1605">
        <v>0</v>
      </c>
      <c r="GY17" s="1605">
        <v>0</v>
      </c>
      <c r="GZ17" s="1605">
        <v>0</v>
      </c>
      <c r="HA17" s="1605">
        <v>0</v>
      </c>
      <c r="HB17" s="1605">
        <v>0</v>
      </c>
      <c r="HC17" s="1605">
        <v>0</v>
      </c>
      <c r="HD17" s="1605">
        <v>0</v>
      </c>
      <c r="HE17" s="1605">
        <v>0</v>
      </c>
      <c r="HF17" s="1605">
        <v>0</v>
      </c>
      <c r="HG17" s="1604">
        <v>0</v>
      </c>
      <c r="HH17" s="1605">
        <v>0</v>
      </c>
      <c r="HI17" s="1605">
        <v>0</v>
      </c>
      <c r="HJ17" s="1605">
        <v>0</v>
      </c>
      <c r="HK17" s="1605">
        <v>0</v>
      </c>
      <c r="HL17" s="1605">
        <v>0</v>
      </c>
      <c r="HM17" s="1605">
        <v>0</v>
      </c>
      <c r="HN17" s="1605">
        <v>0</v>
      </c>
      <c r="HO17" s="1605">
        <v>0</v>
      </c>
      <c r="HP17" s="1605">
        <v>0</v>
      </c>
      <c r="HQ17" s="1605">
        <v>0</v>
      </c>
      <c r="HR17" s="1605">
        <v>0</v>
      </c>
      <c r="HS17" s="1605">
        <v>0</v>
      </c>
      <c r="HT17" s="1604">
        <v>0</v>
      </c>
      <c r="HU17" s="1605">
        <v>0</v>
      </c>
      <c r="HV17" s="1605">
        <v>0</v>
      </c>
      <c r="HW17" s="1605">
        <v>0</v>
      </c>
      <c r="HX17" s="1605">
        <v>0</v>
      </c>
      <c r="HY17" s="1605">
        <v>0</v>
      </c>
      <c r="HZ17" s="1605">
        <v>0</v>
      </c>
      <c r="IA17" s="1605">
        <v>0</v>
      </c>
      <c r="IB17" s="1605">
        <v>0</v>
      </c>
      <c r="IC17" s="1605">
        <v>0</v>
      </c>
      <c r="ID17" s="1605">
        <v>0</v>
      </c>
      <c r="IE17" s="1605">
        <v>0</v>
      </c>
      <c r="IF17" s="1605">
        <v>0</v>
      </c>
      <c r="IG17" s="1604">
        <v>0</v>
      </c>
      <c r="IH17" s="1605">
        <v>0</v>
      </c>
      <c r="II17" s="1605">
        <v>0</v>
      </c>
      <c r="IJ17" s="1605">
        <v>0</v>
      </c>
      <c r="IK17" s="1605">
        <v>0</v>
      </c>
      <c r="IL17" s="1605">
        <v>0</v>
      </c>
      <c r="IM17" s="1605">
        <v>0</v>
      </c>
      <c r="IN17" s="1605">
        <v>0</v>
      </c>
      <c r="IO17" s="1605">
        <v>0</v>
      </c>
      <c r="IP17" s="1605">
        <v>0</v>
      </c>
      <c r="IQ17" s="1605">
        <v>0</v>
      </c>
      <c r="IR17" s="1605">
        <v>0</v>
      </c>
      <c r="IS17" s="1605">
        <v>0</v>
      </c>
      <c r="IT17" s="1604">
        <v>0</v>
      </c>
      <c r="IU17" s="1604">
        <v>0</v>
      </c>
      <c r="IV17" s="1606"/>
    </row>
    <row r="18" spans="2:256" ht="16.5">
      <c r="B18" s="1504" t="s">
        <v>2913</v>
      </c>
      <c r="D18" s="1607" t="s">
        <v>2914</v>
      </c>
      <c r="E18" s="1608">
        <v>7200.9529999999995</v>
      </c>
      <c r="F18" s="1609">
        <v>7133</v>
      </c>
      <c r="G18" s="1610">
        <v>7628.35</v>
      </c>
      <c r="H18" s="1609">
        <v>7670.826</v>
      </c>
      <c r="I18" s="1609">
        <v>5912.0039999999999</v>
      </c>
      <c r="J18" s="1610">
        <v>2409.7310000000002</v>
      </c>
      <c r="K18" s="1609">
        <v>7895.8499999999995</v>
      </c>
      <c r="L18" s="1609">
        <v>7672.6229999999996</v>
      </c>
      <c r="M18" s="1611">
        <v>7400</v>
      </c>
      <c r="N18" s="1589">
        <v>7600</v>
      </c>
      <c r="O18" s="1589">
        <v>7400</v>
      </c>
      <c r="P18" s="1589">
        <v>7600</v>
      </c>
      <c r="Q18" s="1612">
        <f>IFERROR(SUM(E18:P18),0)</f>
        <v>83523.337</v>
      </c>
      <c r="R18" s="1613">
        <v>7700</v>
      </c>
      <c r="S18" s="1589">
        <v>6900</v>
      </c>
      <c r="T18" s="1611">
        <v>7000</v>
      </c>
      <c r="U18" s="1589">
        <v>7400</v>
      </c>
      <c r="V18" s="1589">
        <v>7700</v>
      </c>
      <c r="W18" s="1611">
        <v>7400</v>
      </c>
      <c r="X18" s="1589">
        <v>7700</v>
      </c>
      <c r="Y18" s="1589">
        <v>7700</v>
      </c>
      <c r="Z18" s="1611">
        <v>7400</v>
      </c>
      <c r="AA18" s="1589">
        <v>7700</v>
      </c>
      <c r="AB18" s="1589">
        <v>6700</v>
      </c>
      <c r="AC18" s="1589">
        <v>7700</v>
      </c>
      <c r="AD18" s="1612">
        <f>IFERROR(SUM(R18:AC18),0)</f>
        <v>89000</v>
      </c>
      <c r="AE18" s="1613">
        <v>7900</v>
      </c>
      <c r="AF18" s="1589">
        <v>7000</v>
      </c>
      <c r="AG18" s="1611">
        <v>7900</v>
      </c>
      <c r="AH18" s="1589">
        <v>7600</v>
      </c>
      <c r="AI18" s="1589">
        <v>5700</v>
      </c>
      <c r="AJ18" s="1611">
        <v>2600</v>
      </c>
      <c r="AK18" s="1589">
        <v>7900</v>
      </c>
      <c r="AL18" s="1589">
        <v>7900</v>
      </c>
      <c r="AM18" s="1611">
        <v>7600</v>
      </c>
      <c r="AN18" s="1589">
        <v>7900</v>
      </c>
      <c r="AO18" s="1589">
        <v>7600</v>
      </c>
      <c r="AP18" s="1589">
        <v>7900</v>
      </c>
      <c r="AQ18" s="1612">
        <f>IFERROR(SUM(AE18:AP18),0)</f>
        <v>85500</v>
      </c>
      <c r="AR18" s="1613">
        <v>8100</v>
      </c>
      <c r="AS18" s="1589">
        <v>7200</v>
      </c>
      <c r="AT18" s="1611">
        <v>7300</v>
      </c>
      <c r="AU18" s="1589">
        <v>7800</v>
      </c>
      <c r="AV18" s="1589">
        <v>8000</v>
      </c>
      <c r="AW18" s="1611">
        <v>7800</v>
      </c>
      <c r="AX18" s="1589">
        <v>8000</v>
      </c>
      <c r="AY18" s="1589">
        <v>8000</v>
      </c>
      <c r="AZ18" s="1611">
        <v>7800</v>
      </c>
      <c r="BA18" s="1589">
        <v>8000</v>
      </c>
      <c r="BB18" s="1589">
        <v>7000</v>
      </c>
      <c r="BC18" s="1589">
        <v>8000</v>
      </c>
      <c r="BD18" s="1614">
        <f>IFERROR(SUM(AR18:BC18),0)</f>
        <v>93000</v>
      </c>
      <c r="BE18" s="1589"/>
      <c r="BF18" s="1615">
        <f>AD18-Q18</f>
        <v>5476.6630000000005</v>
      </c>
      <c r="BJ18" s="1498"/>
      <c r="BL18" s="1498"/>
      <c r="BN18" s="1498"/>
      <c r="BO18" s="1616" t="s">
        <v>2915</v>
      </c>
      <c r="BP18" s="1545"/>
      <c r="BQ18" s="815"/>
      <c r="BR18" s="815"/>
      <c r="BS18" s="815"/>
      <c r="BY18" s="1617"/>
      <c r="BZ18" s="1617"/>
      <c r="CD18" s="815"/>
      <c r="CE18" s="1617"/>
      <c r="CF18" s="1615"/>
      <c r="CG18" s="1559"/>
      <c r="CH18" s="1618" t="s">
        <v>2916</v>
      </c>
      <c r="CI18" s="1619">
        <v>71345320</v>
      </c>
      <c r="CJ18" s="1619">
        <v>77255730</v>
      </c>
      <c r="CK18" s="1619">
        <v>63369250</v>
      </c>
      <c r="CL18" s="1620">
        <v>70023650</v>
      </c>
      <c r="CM18" s="1619">
        <v>85819120</v>
      </c>
      <c r="CN18" s="1621">
        <v>57489480</v>
      </c>
      <c r="CO18" s="1620">
        <v>59602100</v>
      </c>
      <c r="CP18" s="1619">
        <v>64165990</v>
      </c>
      <c r="CQ18" s="1621">
        <v>77324000</v>
      </c>
      <c r="CR18" s="1619">
        <v>77324000</v>
      </c>
      <c r="CS18" s="1619">
        <v>77324000</v>
      </c>
      <c r="CT18" s="1619">
        <v>77324000</v>
      </c>
      <c r="CU18" s="1622">
        <f t="shared" ref="CU18:CU51" si="1">SUM(CI18:CT18)</f>
        <v>858366640</v>
      </c>
      <c r="CV18" s="1619">
        <v>78095040</v>
      </c>
      <c r="CW18" s="1619">
        <v>78095040</v>
      </c>
      <c r="CX18" s="1619">
        <v>78095040</v>
      </c>
      <c r="CY18" s="1620">
        <v>78095040</v>
      </c>
      <c r="CZ18" s="1619">
        <v>78095040</v>
      </c>
      <c r="DA18" s="1621">
        <v>78095040</v>
      </c>
      <c r="DB18" s="1620">
        <v>78095040</v>
      </c>
      <c r="DC18" s="1619">
        <v>78095040</v>
      </c>
      <c r="DD18" s="1621">
        <v>81349000</v>
      </c>
      <c r="DE18" s="1619">
        <v>81349000</v>
      </c>
      <c r="DF18" s="1619">
        <v>81349000</v>
      </c>
      <c r="DG18" s="1619">
        <v>81349000</v>
      </c>
      <c r="DH18" s="1622">
        <f t="shared" ref="DH18:DH51" si="2">SUM(CV18:DG18)</f>
        <v>950156320</v>
      </c>
      <c r="DI18" s="1619">
        <v>81155520</v>
      </c>
      <c r="DJ18" s="1619">
        <v>81155520</v>
      </c>
      <c r="DK18" s="1619">
        <v>81155520</v>
      </c>
      <c r="DL18" s="1620">
        <v>81155520</v>
      </c>
      <c r="DM18" s="1619">
        <v>81155520</v>
      </c>
      <c r="DN18" s="1621">
        <v>81155520</v>
      </c>
      <c r="DO18" s="1620">
        <v>81155520</v>
      </c>
      <c r="DP18" s="1619">
        <v>81155520</v>
      </c>
      <c r="DQ18" s="1621">
        <v>84537000</v>
      </c>
      <c r="DR18" s="1619">
        <v>84537000</v>
      </c>
      <c r="DS18" s="1619">
        <v>84537000</v>
      </c>
      <c r="DT18" s="1619">
        <v>84537000</v>
      </c>
      <c r="DU18" s="1622">
        <f t="shared" ref="DU18:DU51" si="3">SUM(DI18:DT18)</f>
        <v>987392160</v>
      </c>
      <c r="DV18" s="1619">
        <v>84345600</v>
      </c>
      <c r="DW18" s="1619">
        <v>84345600</v>
      </c>
      <c r="DX18" s="1619">
        <v>84345600</v>
      </c>
      <c r="DY18" s="1620">
        <v>84345600</v>
      </c>
      <c r="DZ18" s="1619">
        <v>84345600</v>
      </c>
      <c r="EA18" s="1621">
        <v>84345600</v>
      </c>
      <c r="EB18" s="1620">
        <v>84345600</v>
      </c>
      <c r="EC18" s="1619">
        <v>84345600</v>
      </c>
      <c r="ED18" s="1621">
        <v>87860000</v>
      </c>
      <c r="EE18" s="1619">
        <v>87860000</v>
      </c>
      <c r="EF18" s="1619">
        <v>87860000</v>
      </c>
      <c r="EG18" s="1619">
        <v>87860000</v>
      </c>
      <c r="EH18" s="1622">
        <f t="shared" ref="EH18:EH51" si="4">SUM(DV18:EG18)</f>
        <v>1026204800</v>
      </c>
      <c r="EJ18" s="1618" t="s">
        <v>2916</v>
      </c>
      <c r="EK18" s="1619">
        <v>5160140</v>
      </c>
      <c r="EL18" s="1619">
        <v>3756779</v>
      </c>
      <c r="EM18" s="1619">
        <v>2153130</v>
      </c>
      <c r="EN18" s="1620">
        <v>2300180</v>
      </c>
      <c r="EO18" s="1619">
        <v>1056010</v>
      </c>
      <c r="EP18" s="1621">
        <v>915950</v>
      </c>
      <c r="EQ18" s="1620">
        <v>1122090</v>
      </c>
      <c r="ER18" s="1619">
        <v>683990</v>
      </c>
      <c r="ES18" s="1621">
        <v>1984000</v>
      </c>
      <c r="ET18" s="1619">
        <v>1984000</v>
      </c>
      <c r="EU18" s="1619">
        <v>1984000</v>
      </c>
      <c r="EV18" s="1619">
        <v>1984000</v>
      </c>
      <c r="EW18" s="1622">
        <v>25084269</v>
      </c>
      <c r="EX18" s="1619">
        <v>1739520</v>
      </c>
      <c r="EY18" s="1619">
        <v>1739520</v>
      </c>
      <c r="EZ18" s="1619">
        <v>1739520</v>
      </c>
      <c r="FA18" s="1619">
        <v>1739520</v>
      </c>
      <c r="FB18" s="1619">
        <v>1739520</v>
      </c>
      <c r="FC18" s="1619">
        <v>1739520</v>
      </c>
      <c r="FD18" s="1619">
        <v>1739520</v>
      </c>
      <c r="FE18" s="1619">
        <v>1739520</v>
      </c>
      <c r="FF18" s="1619">
        <v>1812000</v>
      </c>
      <c r="FG18" s="1619">
        <v>1812000</v>
      </c>
      <c r="FH18" s="1619">
        <v>1812000</v>
      </c>
      <c r="FI18" s="1619">
        <v>1812000</v>
      </c>
      <c r="FJ18" s="1622">
        <v>21164160</v>
      </c>
      <c r="FK18" s="1619">
        <v>1847040</v>
      </c>
      <c r="FL18" s="1619">
        <v>1847040</v>
      </c>
      <c r="FM18" s="1619">
        <v>1847040</v>
      </c>
      <c r="FN18" s="1620">
        <v>1847040</v>
      </c>
      <c r="FO18" s="1619">
        <v>1847040</v>
      </c>
      <c r="FP18" s="1621">
        <v>1847040</v>
      </c>
      <c r="FQ18" s="1620">
        <v>1847040</v>
      </c>
      <c r="FR18" s="1619">
        <v>1847040</v>
      </c>
      <c r="FS18" s="1621">
        <v>1924000</v>
      </c>
      <c r="FT18" s="1619">
        <v>1924000</v>
      </c>
      <c r="FU18" s="1619">
        <v>1924000</v>
      </c>
      <c r="FV18" s="1619">
        <v>1924000</v>
      </c>
      <c r="FW18" s="1622">
        <v>22472320</v>
      </c>
      <c r="FX18" s="1619">
        <v>1673280</v>
      </c>
      <c r="FY18" s="1619">
        <v>1673280</v>
      </c>
      <c r="FZ18" s="1619">
        <v>1673280</v>
      </c>
      <c r="GA18" s="1620">
        <v>1673280</v>
      </c>
      <c r="GB18" s="1619">
        <v>1673280</v>
      </c>
      <c r="GC18" s="1621">
        <v>1673280</v>
      </c>
      <c r="GD18" s="1620">
        <v>1673280</v>
      </c>
      <c r="GE18" s="1619">
        <v>1673280</v>
      </c>
      <c r="GF18" s="1621">
        <v>1743000</v>
      </c>
      <c r="GG18" s="1619">
        <v>1743000</v>
      </c>
      <c r="GH18" s="1619">
        <v>1743000</v>
      </c>
      <c r="GI18" s="1619">
        <v>1743000</v>
      </c>
      <c r="GJ18" s="1622">
        <v>20358240</v>
      </c>
      <c r="GL18" s="1623"/>
      <c r="GM18" s="1624">
        <v>1.1000000000000001</v>
      </c>
      <c r="GN18" s="1625" t="s">
        <v>2917</v>
      </c>
      <c r="GO18" s="1626" t="s">
        <v>2918</v>
      </c>
      <c r="GP18" s="1626" t="s">
        <v>2919</v>
      </c>
      <c r="GQ18" s="1627">
        <v>12</v>
      </c>
      <c r="GR18" s="1628" t="s">
        <v>2920</v>
      </c>
      <c r="GS18" s="1629">
        <v>23</v>
      </c>
      <c r="GT18" s="1630">
        <v>0</v>
      </c>
      <c r="GU18" s="1630"/>
      <c r="GV18" s="1630"/>
      <c r="GW18" s="1630"/>
      <c r="GX18" s="1630"/>
      <c r="GY18" s="1630"/>
      <c r="GZ18" s="1631"/>
      <c r="HA18" s="1630"/>
      <c r="HB18" s="1630"/>
      <c r="HC18" s="1630"/>
      <c r="HD18" s="1630"/>
      <c r="HE18" s="1630"/>
      <c r="HF18" s="1630"/>
      <c r="HG18" s="1630">
        <v>0</v>
      </c>
      <c r="HH18" s="1630"/>
      <c r="HI18" s="1630"/>
      <c r="HJ18" s="1630"/>
      <c r="HK18" s="1630"/>
      <c r="HL18" s="1630"/>
      <c r="HM18" s="1631"/>
      <c r="HN18" s="1630"/>
      <c r="HO18" s="1630"/>
      <c r="HP18" s="1630"/>
      <c r="HQ18" s="1630"/>
      <c r="HR18" s="1630"/>
      <c r="HS18" s="1630"/>
      <c r="HT18" s="1630">
        <v>0</v>
      </c>
      <c r="HU18" s="1632"/>
      <c r="HV18" s="1632"/>
      <c r="HW18" s="1632"/>
      <c r="HX18" s="1632"/>
      <c r="HY18" s="1632"/>
      <c r="HZ18" s="1632"/>
      <c r="IA18" s="1632"/>
      <c r="IB18" s="1632"/>
      <c r="IC18" s="1632"/>
      <c r="ID18" s="1632"/>
      <c r="IE18" s="1632"/>
      <c r="IF18" s="1632"/>
      <c r="IG18" s="1633">
        <v>0</v>
      </c>
      <c r="IH18" s="1630"/>
      <c r="II18" s="1630"/>
      <c r="IJ18" s="1630"/>
      <c r="IK18" s="1630"/>
      <c r="IL18" s="1630"/>
      <c r="IM18" s="1631"/>
      <c r="IN18" s="1630"/>
      <c r="IO18" s="1630"/>
      <c r="IP18" s="1630"/>
      <c r="IQ18" s="1630"/>
      <c r="IR18" s="1630"/>
      <c r="IS18" s="1630"/>
      <c r="IT18" s="1633">
        <v>0</v>
      </c>
      <c r="IU18" s="1633">
        <v>0</v>
      </c>
      <c r="IV18" s="1634"/>
    </row>
    <row r="19" spans="2:256" ht="16.5">
      <c r="B19" s="1635" t="s">
        <v>2921</v>
      </c>
      <c r="C19" s="1565"/>
      <c r="D19" s="1636" t="s">
        <v>2914</v>
      </c>
      <c r="E19" s="1637">
        <v>2365.5</v>
      </c>
      <c r="F19" s="1638">
        <v>2342.1</v>
      </c>
      <c r="G19" s="1639">
        <v>2023.7320000000002</v>
      </c>
      <c r="H19" s="1638">
        <v>2310.9019999999996</v>
      </c>
      <c r="I19" s="1638">
        <v>2476.2960000000003</v>
      </c>
      <c r="J19" s="1639">
        <v>1028.213</v>
      </c>
      <c r="K19" s="1638">
        <v>2016.1329999999998</v>
      </c>
      <c r="L19" s="1638">
        <v>1688.1289999999999</v>
      </c>
      <c r="M19" s="1640">
        <v>2550.6954605016631</v>
      </c>
      <c r="N19" s="1641">
        <v>2665.1295048488573</v>
      </c>
      <c r="O19" s="1641">
        <v>2319.4372556324279</v>
      </c>
      <c r="P19" s="1641">
        <v>2407.130935760913</v>
      </c>
      <c r="Q19" s="1642">
        <f>IFERROR(SUM(E19:P19),0)</f>
        <v>26193.39815674386</v>
      </c>
      <c r="R19" s="1643">
        <v>2427.5080378158768</v>
      </c>
      <c r="S19" s="1641">
        <v>2192.6143185849073</v>
      </c>
      <c r="T19" s="1640">
        <v>970.18076353795732</v>
      </c>
      <c r="U19" s="1641">
        <v>2356.6368620253602</v>
      </c>
      <c r="V19" s="1641">
        <v>2429.7532303843504</v>
      </c>
      <c r="W19" s="1640">
        <v>2349.9691785371538</v>
      </c>
      <c r="X19" s="1641">
        <v>2448.9210734392354</v>
      </c>
      <c r="Y19" s="1641">
        <v>2447.1033715512162</v>
      </c>
      <c r="Z19" s="1640">
        <v>2373.3728548293884</v>
      </c>
      <c r="AA19" s="1641">
        <v>2454.0119117482827</v>
      </c>
      <c r="AB19" s="1641">
        <v>2145.9718078329365</v>
      </c>
      <c r="AC19" s="1641">
        <v>2457.9353221818506</v>
      </c>
      <c r="AD19" s="1642">
        <f>IFERROR(SUM(R19:AC19),0)</f>
        <v>27053.978732468513</v>
      </c>
      <c r="AE19" s="1643">
        <v>2378.0713790802238</v>
      </c>
      <c r="AF19" s="1641">
        <v>2119.0534817269527</v>
      </c>
      <c r="AG19" s="1640">
        <v>2400.5506507502096</v>
      </c>
      <c r="AH19" s="1641">
        <v>2313.1852835874056</v>
      </c>
      <c r="AI19" s="1641">
        <v>1702.1116632937935</v>
      </c>
      <c r="AJ19" s="1640">
        <v>633.36363100384426</v>
      </c>
      <c r="AK19" s="1641">
        <v>2420.1798512249529</v>
      </c>
      <c r="AL19" s="1641">
        <v>2376.7484095386631</v>
      </c>
      <c r="AM19" s="1640">
        <v>2297.8859381644784</v>
      </c>
      <c r="AN19" s="1641">
        <v>2393.2590982529669</v>
      </c>
      <c r="AO19" s="1641">
        <v>2305.8009193343128</v>
      </c>
      <c r="AP19" s="1641">
        <v>2406.3718856443397</v>
      </c>
      <c r="AQ19" s="1642">
        <f>IFERROR(SUM(AE19:AP19),0)</f>
        <v>25746.582191602145</v>
      </c>
      <c r="AR19" s="1643">
        <v>2466.5450282846068</v>
      </c>
      <c r="AS19" s="1641">
        <v>2190.0629599717513</v>
      </c>
      <c r="AT19" s="1640">
        <v>2218.9375244440125</v>
      </c>
      <c r="AU19" s="1641">
        <v>2373.5913523369795</v>
      </c>
      <c r="AV19" s="1641">
        <v>2414.9121895679968</v>
      </c>
      <c r="AW19" s="1640">
        <v>2367.648202460316</v>
      </c>
      <c r="AX19" s="1641">
        <v>2415.9235643119073</v>
      </c>
      <c r="AY19" s="1641">
        <v>2448.8499881374078</v>
      </c>
      <c r="AZ19" s="1640">
        <v>2412.5440134988617</v>
      </c>
      <c r="BA19" s="1641">
        <v>2424.9854801602301</v>
      </c>
      <c r="BB19" s="1641">
        <v>2124.8665231654854</v>
      </c>
      <c r="BC19" s="1641">
        <v>2440.3575154633618</v>
      </c>
      <c r="BD19" s="1644">
        <f>IFERROR(SUM(AR19:BC19),0)</f>
        <v>28299.224341802914</v>
      </c>
      <c r="BE19" s="1589"/>
      <c r="BF19" s="1615">
        <f>AD19-Q19</f>
        <v>860.58057572465259</v>
      </c>
      <c r="BH19" s="1616"/>
      <c r="BI19" s="1616"/>
      <c r="BJ19" s="1645"/>
      <c r="BL19" s="1646"/>
      <c r="BN19" s="1498"/>
      <c r="BO19" s="1498"/>
      <c r="BP19" s="1545"/>
      <c r="BQ19" s="815"/>
      <c r="BR19" s="815"/>
      <c r="BS19" s="815"/>
      <c r="BY19" s="1617"/>
      <c r="BZ19" s="1617"/>
      <c r="CD19" s="815"/>
      <c r="CE19" s="1617"/>
      <c r="CF19" s="1615"/>
      <c r="CG19" s="1559"/>
      <c r="CH19" s="1647" t="s">
        <v>1377</v>
      </c>
      <c r="CI19" s="1648">
        <v>31175570</v>
      </c>
      <c r="CJ19" s="1648">
        <v>15606770</v>
      </c>
      <c r="CK19" s="1648">
        <v>18501610</v>
      </c>
      <c r="CL19" s="1649">
        <v>15421970</v>
      </c>
      <c r="CM19" s="1648">
        <v>15450230</v>
      </c>
      <c r="CN19" s="1650">
        <v>18506750</v>
      </c>
      <c r="CO19" s="1649">
        <v>18375220</v>
      </c>
      <c r="CP19" s="1648">
        <v>17335920</v>
      </c>
      <c r="CQ19" s="1650">
        <v>19486000</v>
      </c>
      <c r="CR19" s="1648">
        <v>16486000</v>
      </c>
      <c r="CS19" s="1648">
        <v>16486000</v>
      </c>
      <c r="CT19" s="1648">
        <v>19486000</v>
      </c>
      <c r="CU19" s="1651">
        <f t="shared" si="1"/>
        <v>222318040</v>
      </c>
      <c r="CV19" s="1648">
        <v>16951666.666666668</v>
      </c>
      <c r="CW19" s="1648">
        <v>16951666.666666668</v>
      </c>
      <c r="CX19" s="1648">
        <v>19951666.666666668</v>
      </c>
      <c r="CY19" s="1649">
        <v>16951666.666666668</v>
      </c>
      <c r="CZ19" s="1648">
        <v>16951666.666666668</v>
      </c>
      <c r="DA19" s="1650">
        <v>19951666.666666668</v>
      </c>
      <c r="DB19" s="1649">
        <v>16951666.666666668</v>
      </c>
      <c r="DC19" s="1648">
        <v>16951666.666666668</v>
      </c>
      <c r="DD19" s="1650">
        <v>19951666.666666668</v>
      </c>
      <c r="DE19" s="1648">
        <v>16951666.666666668</v>
      </c>
      <c r="DF19" s="1648">
        <v>16951666.666666668</v>
      </c>
      <c r="DG19" s="1648">
        <v>19951666.666666668</v>
      </c>
      <c r="DH19" s="1651">
        <f t="shared" si="2"/>
        <v>215419999.99999997</v>
      </c>
      <c r="DI19" s="1648">
        <v>26622166.666666668</v>
      </c>
      <c r="DJ19" s="1648">
        <v>17622166.666666668</v>
      </c>
      <c r="DK19" s="1648">
        <v>20622166.666666668</v>
      </c>
      <c r="DL19" s="1649">
        <v>17622166.666666668</v>
      </c>
      <c r="DM19" s="1648">
        <v>17622166.666666668</v>
      </c>
      <c r="DN19" s="1650">
        <v>20622166.666666668</v>
      </c>
      <c r="DO19" s="1649">
        <v>17622166.666666668</v>
      </c>
      <c r="DP19" s="1648">
        <v>17622166.666666668</v>
      </c>
      <c r="DQ19" s="1650">
        <v>20622166.666666668</v>
      </c>
      <c r="DR19" s="1648">
        <v>17622166.666666668</v>
      </c>
      <c r="DS19" s="1648">
        <v>17622166.666666668</v>
      </c>
      <c r="DT19" s="1648">
        <v>20622166.666666668</v>
      </c>
      <c r="DU19" s="1651">
        <f t="shared" si="3"/>
        <v>232465999.99999997</v>
      </c>
      <c r="DV19" s="1648">
        <v>27253666.666666668</v>
      </c>
      <c r="DW19" s="1648">
        <v>18253666.666666668</v>
      </c>
      <c r="DX19" s="1648">
        <v>21253666.666666668</v>
      </c>
      <c r="DY19" s="1649">
        <v>18253666.666666668</v>
      </c>
      <c r="DZ19" s="1648">
        <v>18253666.666666668</v>
      </c>
      <c r="EA19" s="1650">
        <v>21253666.666666668</v>
      </c>
      <c r="EB19" s="1649">
        <v>18253666.666666668</v>
      </c>
      <c r="EC19" s="1648">
        <v>18253666.666666668</v>
      </c>
      <c r="ED19" s="1650">
        <v>21253666.666666668</v>
      </c>
      <c r="EE19" s="1648">
        <v>18253666.666666668</v>
      </c>
      <c r="EF19" s="1648">
        <v>18253666.666666668</v>
      </c>
      <c r="EG19" s="1648">
        <v>21253666.666666668</v>
      </c>
      <c r="EH19" s="1651">
        <f t="shared" si="4"/>
        <v>240043999.99999997</v>
      </c>
      <c r="EJ19" s="1647" t="s">
        <v>1377</v>
      </c>
      <c r="EK19" s="1648">
        <v>57143680</v>
      </c>
      <c r="EL19" s="1648">
        <v>5121780</v>
      </c>
      <c r="EM19" s="1648">
        <v>59007290</v>
      </c>
      <c r="EN19" s="1649">
        <v>4713270</v>
      </c>
      <c r="EO19" s="1648">
        <v>3884180</v>
      </c>
      <c r="EP19" s="1650">
        <v>33329660</v>
      </c>
      <c r="EQ19" s="1649">
        <v>1814790</v>
      </c>
      <c r="ER19" s="1648">
        <v>4313250</v>
      </c>
      <c r="ES19" s="1650">
        <v>33395000</v>
      </c>
      <c r="ET19" s="1648">
        <v>4795000</v>
      </c>
      <c r="EU19" s="1648">
        <v>4795000</v>
      </c>
      <c r="EV19" s="1648">
        <v>33395000</v>
      </c>
      <c r="EW19" s="1651">
        <v>245707900</v>
      </c>
      <c r="EX19" s="1648">
        <v>3387666.6666666665</v>
      </c>
      <c r="EY19" s="1648">
        <v>3387666.6666666665</v>
      </c>
      <c r="EZ19" s="1648">
        <v>31987666.666666668</v>
      </c>
      <c r="FA19" s="1648">
        <v>3387666.6666666665</v>
      </c>
      <c r="FB19" s="1648">
        <v>3387666.6666666665</v>
      </c>
      <c r="FC19" s="1648">
        <v>31987666.666666668</v>
      </c>
      <c r="FD19" s="1648">
        <v>3387666.6666666665</v>
      </c>
      <c r="FE19" s="1648">
        <v>3387666.6666666665</v>
      </c>
      <c r="FF19" s="1648">
        <v>31987666.666666668</v>
      </c>
      <c r="FG19" s="1648">
        <v>3387666.6666666665</v>
      </c>
      <c r="FH19" s="1648">
        <v>3387666.6666666665</v>
      </c>
      <c r="FI19" s="1648">
        <v>31987666.666666668</v>
      </c>
      <c r="FJ19" s="1651">
        <v>155052000.00000003</v>
      </c>
      <c r="FK19" s="1648">
        <v>22793083.333333332</v>
      </c>
      <c r="FL19" s="1648">
        <v>3553083.3333333335</v>
      </c>
      <c r="FM19" s="1648">
        <v>32153083.333333332</v>
      </c>
      <c r="FN19" s="1649">
        <v>3553083.3333333335</v>
      </c>
      <c r="FO19" s="1648">
        <v>3553083.3333333335</v>
      </c>
      <c r="FP19" s="1650">
        <v>32153083.333333332</v>
      </c>
      <c r="FQ19" s="1649">
        <v>3553083.3333333335</v>
      </c>
      <c r="FR19" s="1648">
        <v>3553083.3333333335</v>
      </c>
      <c r="FS19" s="1650">
        <v>32153083.333333332</v>
      </c>
      <c r="FT19" s="1648">
        <v>3553083.3333333335</v>
      </c>
      <c r="FU19" s="1648">
        <v>3553083.3333333335</v>
      </c>
      <c r="FV19" s="1648">
        <v>32153083.333333332</v>
      </c>
      <c r="FW19" s="1651">
        <v>176277000.00000003</v>
      </c>
      <c r="FX19" s="1648">
        <v>22986750</v>
      </c>
      <c r="FY19" s="1648">
        <v>3746750</v>
      </c>
      <c r="FZ19" s="1648">
        <v>32346750</v>
      </c>
      <c r="GA19" s="1649">
        <v>3746750</v>
      </c>
      <c r="GB19" s="1648">
        <v>3746750</v>
      </c>
      <c r="GC19" s="1650">
        <v>32346750</v>
      </c>
      <c r="GD19" s="1649">
        <v>3746750</v>
      </c>
      <c r="GE19" s="1648">
        <v>3746750</v>
      </c>
      <c r="GF19" s="1650">
        <v>32346750</v>
      </c>
      <c r="GG19" s="1648">
        <v>3746750</v>
      </c>
      <c r="GH19" s="1648">
        <v>3746750</v>
      </c>
      <c r="GI19" s="1648">
        <v>32346750</v>
      </c>
      <c r="GJ19" s="1651">
        <v>178601000</v>
      </c>
      <c r="GL19" s="1652"/>
      <c r="GM19" s="1653"/>
      <c r="GN19" s="1654"/>
      <c r="GO19" s="1655"/>
      <c r="GP19" s="1655"/>
      <c r="GQ19" s="1656"/>
      <c r="GR19" s="1657"/>
      <c r="GS19" s="1658"/>
      <c r="GT19" s="1659">
        <v>0</v>
      </c>
      <c r="GU19" s="1659"/>
      <c r="GV19" s="1659"/>
      <c r="GW19" s="1659"/>
      <c r="GX19" s="1659"/>
      <c r="GY19" s="1659"/>
      <c r="GZ19" s="1660"/>
      <c r="HA19" s="1659"/>
      <c r="HB19" s="1659"/>
      <c r="HC19" s="1659"/>
      <c r="HD19" s="1659"/>
      <c r="HE19" s="1659"/>
      <c r="HF19" s="1659"/>
      <c r="HG19" s="1659">
        <v>0</v>
      </c>
      <c r="HH19" s="1659"/>
      <c r="HI19" s="1659"/>
      <c r="HJ19" s="1659"/>
      <c r="HK19" s="1659"/>
      <c r="HL19" s="1659"/>
      <c r="HM19" s="1660"/>
      <c r="HN19" s="1659"/>
      <c r="HO19" s="1659"/>
      <c r="HP19" s="1659"/>
      <c r="HQ19" s="1659"/>
      <c r="HR19" s="1659"/>
      <c r="HS19" s="1659"/>
      <c r="HT19" s="1659">
        <v>0</v>
      </c>
      <c r="HU19" s="1661"/>
      <c r="HV19" s="1661"/>
      <c r="HW19" s="1661"/>
      <c r="HX19" s="1661"/>
      <c r="HY19" s="1661"/>
      <c r="HZ19" s="1661"/>
      <c r="IA19" s="1661"/>
      <c r="IB19" s="1661"/>
      <c r="IC19" s="1661"/>
      <c r="ID19" s="1661"/>
      <c r="IE19" s="1661"/>
      <c r="IF19" s="1661"/>
      <c r="IG19" s="1662">
        <v>0</v>
      </c>
      <c r="IH19" s="1659"/>
      <c r="II19" s="1659"/>
      <c r="IJ19" s="1659"/>
      <c r="IK19" s="1659"/>
      <c r="IL19" s="1659"/>
      <c r="IM19" s="1660"/>
      <c r="IN19" s="1659"/>
      <c r="IO19" s="1659"/>
      <c r="IP19" s="1659"/>
      <c r="IQ19" s="1659"/>
      <c r="IR19" s="1659"/>
      <c r="IS19" s="1659"/>
      <c r="IT19" s="1662">
        <v>0</v>
      </c>
      <c r="IU19" s="1662">
        <v>0</v>
      </c>
      <c r="IV19" s="1663"/>
    </row>
    <row r="20" spans="2:256" ht="16.5" outlineLevel="1">
      <c r="B20" s="1664" t="s">
        <v>1597</v>
      </c>
      <c r="C20" s="1664"/>
      <c r="D20" s="1665"/>
      <c r="E20" s="1666">
        <f>IFERROR(SUM(E21:E26),"")</f>
        <v>20033.906217</v>
      </c>
      <c r="F20" s="1667">
        <f t="shared" ref="F20:BD20" si="5">IFERROR(SUM(F21:F26),"")</f>
        <v>19237.263336000004</v>
      </c>
      <c r="G20" s="1668">
        <f t="shared" si="5"/>
        <v>17345.839666</v>
      </c>
      <c r="H20" s="1667">
        <f t="shared" si="5"/>
        <v>18703.833794999999</v>
      </c>
      <c r="I20" s="1667">
        <f t="shared" si="5"/>
        <v>20414.248359000001</v>
      </c>
      <c r="J20" s="1668">
        <f t="shared" si="5"/>
        <v>10262.721258</v>
      </c>
      <c r="K20" s="1667">
        <f t="shared" si="5"/>
        <v>18567.112046999999</v>
      </c>
      <c r="L20" s="1667">
        <f t="shared" si="5"/>
        <v>17878.127979999997</v>
      </c>
      <c r="M20" s="1669">
        <f t="shared" si="5"/>
        <v>25096.685872151589</v>
      </c>
      <c r="N20" s="1670">
        <f t="shared" si="5"/>
        <v>25475.987229503749</v>
      </c>
      <c r="O20" s="1670">
        <f t="shared" si="5"/>
        <v>22193.067973866793</v>
      </c>
      <c r="P20" s="1670">
        <f t="shared" si="5"/>
        <v>22877.693652627702</v>
      </c>
      <c r="Q20" s="1671">
        <f t="shared" si="5"/>
        <v>238086.48738614985</v>
      </c>
      <c r="R20" s="1672">
        <f t="shared" si="5"/>
        <v>23050.965322673364</v>
      </c>
      <c r="S20" s="1670">
        <f t="shared" si="5"/>
        <v>21349.586885057332</v>
      </c>
      <c r="T20" s="1669">
        <f t="shared" si="5"/>
        <v>9575.4561924022109</v>
      </c>
      <c r="U20" s="1670">
        <f t="shared" si="5"/>
        <v>22712.534621307379</v>
      </c>
      <c r="V20" s="1670">
        <f t="shared" si="5"/>
        <v>23445.431604404661</v>
      </c>
      <c r="W20" s="1669">
        <f t="shared" si="5"/>
        <v>22857.623781108923</v>
      </c>
      <c r="X20" s="1670">
        <f t="shared" si="5"/>
        <v>23653.550879300594</v>
      </c>
      <c r="Y20" s="1670">
        <f t="shared" si="5"/>
        <v>23556.63312492253</v>
      </c>
      <c r="Z20" s="1669">
        <f t="shared" si="5"/>
        <v>22764.353074261966</v>
      </c>
      <c r="AA20" s="1670">
        <f t="shared" si="5"/>
        <v>23427.138343936116</v>
      </c>
      <c r="AB20" s="1670">
        <f t="shared" si="5"/>
        <v>20604.614652552733</v>
      </c>
      <c r="AC20" s="1670">
        <f t="shared" si="5"/>
        <v>23608.10077308616</v>
      </c>
      <c r="AD20" s="1671">
        <f t="shared" si="5"/>
        <v>260605.98925501402</v>
      </c>
      <c r="AE20" s="1672">
        <f t="shared" si="5"/>
        <v>23100.855270501059</v>
      </c>
      <c r="AF20" s="1670">
        <f t="shared" si="5"/>
        <v>20690.071488874957</v>
      </c>
      <c r="AG20" s="1669">
        <f t="shared" si="5"/>
        <v>23207.44179434632</v>
      </c>
      <c r="AH20" s="1670">
        <f t="shared" si="5"/>
        <v>22267.925047695531</v>
      </c>
      <c r="AI20" s="1670">
        <f t="shared" si="5"/>
        <v>16596.900399173501</v>
      </c>
      <c r="AJ20" s="1669">
        <f t="shared" si="5"/>
        <v>6370.794252713481</v>
      </c>
      <c r="AK20" s="1670">
        <f t="shared" si="5"/>
        <v>23584.856162247925</v>
      </c>
      <c r="AL20" s="1670">
        <f t="shared" si="5"/>
        <v>23005.555548425131</v>
      </c>
      <c r="AM20" s="1669">
        <f t="shared" si="5"/>
        <v>22411.050929256617</v>
      </c>
      <c r="AN20" s="1670">
        <f t="shared" si="5"/>
        <v>23231.97915994671</v>
      </c>
      <c r="AO20" s="1670">
        <f t="shared" si="5"/>
        <v>22353.377885657632</v>
      </c>
      <c r="AP20" s="1670">
        <f t="shared" si="5"/>
        <v>23214.846239780785</v>
      </c>
      <c r="AQ20" s="1671">
        <f t="shared" si="5"/>
        <v>250035.65417861965</v>
      </c>
      <c r="AR20" s="1672">
        <f t="shared" si="5"/>
        <v>23677.838147882281</v>
      </c>
      <c r="AS20" s="1670">
        <f t="shared" si="5"/>
        <v>21001.348568880294</v>
      </c>
      <c r="AT20" s="1669">
        <f t="shared" si="5"/>
        <v>21288.884422009636</v>
      </c>
      <c r="AU20" s="1670">
        <f t="shared" si="5"/>
        <v>22769.882211223008</v>
      </c>
      <c r="AV20" s="1670">
        <f t="shared" si="5"/>
        <v>23278.466574604532</v>
      </c>
      <c r="AW20" s="1669">
        <f t="shared" si="5"/>
        <v>22887.557859813613</v>
      </c>
      <c r="AX20" s="1670">
        <f t="shared" si="5"/>
        <v>23336.041979816411</v>
      </c>
      <c r="AY20" s="1670">
        <f t="shared" si="5"/>
        <v>23521.523253340478</v>
      </c>
      <c r="AZ20" s="1669">
        <f t="shared" si="5"/>
        <v>22744.068080429253</v>
      </c>
      <c r="BA20" s="1670">
        <f t="shared" si="5"/>
        <v>22999.299223103739</v>
      </c>
      <c r="BB20" s="1670">
        <f t="shared" si="5"/>
        <v>20474.311710055099</v>
      </c>
      <c r="BC20" s="1670">
        <f t="shared" si="5"/>
        <v>23414.775321702251</v>
      </c>
      <c r="BD20" s="1673">
        <f t="shared" si="5"/>
        <v>271393.99735286058</v>
      </c>
      <c r="BE20" s="1589"/>
      <c r="BF20" s="1615" t="e">
        <f>#REF!-#REF!</f>
        <v>#REF!</v>
      </c>
      <c r="BL20" s="1498"/>
      <c r="BN20" s="1498"/>
      <c r="BO20" s="1498"/>
      <c r="BP20" s="1545"/>
      <c r="BQ20" s="815"/>
      <c r="BR20" s="815"/>
      <c r="BS20" s="815"/>
      <c r="BY20" s="1617"/>
      <c r="BZ20" s="1617"/>
      <c r="CD20" s="815"/>
      <c r="CE20" s="1617"/>
      <c r="CF20" s="1615"/>
      <c r="CG20" s="1559"/>
      <c r="CH20" s="1647" t="s">
        <v>2922</v>
      </c>
      <c r="CI20" s="1648">
        <v>-51947337</v>
      </c>
      <c r="CJ20" s="1648">
        <v>6856483</v>
      </c>
      <c r="CK20" s="1648">
        <v>3001093</v>
      </c>
      <c r="CL20" s="1649">
        <v>6418248</v>
      </c>
      <c r="CM20" s="1648">
        <v>3091546</v>
      </c>
      <c r="CN20" s="1650">
        <v>4743997</v>
      </c>
      <c r="CO20" s="1649">
        <v>7212689</v>
      </c>
      <c r="CP20" s="1648">
        <v>1354603</v>
      </c>
      <c r="CQ20" s="1650">
        <v>12814340</v>
      </c>
      <c r="CR20" s="1648">
        <v>12814340</v>
      </c>
      <c r="CS20" s="1648">
        <v>12814340</v>
      </c>
      <c r="CT20" s="1648">
        <v>12814340</v>
      </c>
      <c r="CU20" s="1651">
        <f t="shared" si="1"/>
        <v>31988682</v>
      </c>
      <c r="CV20" s="1648">
        <v>-37378333.333333328</v>
      </c>
      <c r="CW20" s="1648">
        <v>8387166.666666666</v>
      </c>
      <c r="CX20" s="1648">
        <v>8387166.666666666</v>
      </c>
      <c r="CY20" s="1649">
        <v>8387166.666666666</v>
      </c>
      <c r="CZ20" s="1648">
        <v>8387166.666666666</v>
      </c>
      <c r="DA20" s="1650">
        <v>8387166.666666666</v>
      </c>
      <c r="DB20" s="1649">
        <v>8387166.666666666</v>
      </c>
      <c r="DC20" s="1648">
        <v>8387166.666666666</v>
      </c>
      <c r="DD20" s="1650">
        <v>8387166.666666666</v>
      </c>
      <c r="DE20" s="1648">
        <v>8387166.666666666</v>
      </c>
      <c r="DF20" s="1648">
        <v>8387166.666666666</v>
      </c>
      <c r="DG20" s="1648">
        <v>8387166.666666666</v>
      </c>
      <c r="DH20" s="1651">
        <f t="shared" si="2"/>
        <v>54880499.999999985</v>
      </c>
      <c r="DI20" s="1648">
        <v>9347975</v>
      </c>
      <c r="DJ20" s="1648">
        <v>9347975</v>
      </c>
      <c r="DK20" s="1648">
        <v>9347975</v>
      </c>
      <c r="DL20" s="1649">
        <v>9347975</v>
      </c>
      <c r="DM20" s="1648">
        <v>9347975</v>
      </c>
      <c r="DN20" s="1650">
        <v>9347975</v>
      </c>
      <c r="DO20" s="1649">
        <v>9347975</v>
      </c>
      <c r="DP20" s="1648">
        <v>9347975</v>
      </c>
      <c r="DQ20" s="1650">
        <v>9347975</v>
      </c>
      <c r="DR20" s="1648">
        <v>9347975</v>
      </c>
      <c r="DS20" s="1648">
        <v>9347975</v>
      </c>
      <c r="DT20" s="1648">
        <v>9347975</v>
      </c>
      <c r="DU20" s="1651">
        <f t="shared" si="3"/>
        <v>112175700</v>
      </c>
      <c r="DV20" s="1648">
        <v>10173391.666666666</v>
      </c>
      <c r="DW20" s="1648">
        <v>10173391.666666666</v>
      </c>
      <c r="DX20" s="1648">
        <v>10173391.666666666</v>
      </c>
      <c r="DY20" s="1649">
        <v>10173391.666666666</v>
      </c>
      <c r="DZ20" s="1648">
        <v>10173391.666666666</v>
      </c>
      <c r="EA20" s="1650">
        <v>10173391.666666666</v>
      </c>
      <c r="EB20" s="1649">
        <v>10173391.666666666</v>
      </c>
      <c r="EC20" s="1648">
        <v>10173391.666666666</v>
      </c>
      <c r="ED20" s="1650">
        <v>10173391.666666666</v>
      </c>
      <c r="EE20" s="1648">
        <v>10173391.666666666</v>
      </c>
      <c r="EF20" s="1648">
        <v>10173391.666666666</v>
      </c>
      <c r="EG20" s="1648">
        <v>10173391.666666666</v>
      </c>
      <c r="EH20" s="1651">
        <f t="shared" si="4"/>
        <v>122080700.00000001</v>
      </c>
      <c r="EJ20" s="1647" t="s">
        <v>2922</v>
      </c>
      <c r="EK20" s="1648">
        <v>-1013196</v>
      </c>
      <c r="EL20" s="1648">
        <v>-625401</v>
      </c>
      <c r="EM20" s="1648">
        <v>239709</v>
      </c>
      <c r="EN20" s="1649">
        <v>95519</v>
      </c>
      <c r="EO20" s="1648">
        <v>239709</v>
      </c>
      <c r="EP20" s="1650">
        <v>95529</v>
      </c>
      <c r="EQ20" s="1649">
        <v>-2880113</v>
      </c>
      <c r="ER20" s="1648">
        <v>0</v>
      </c>
      <c r="ES20" s="1650">
        <v>200000</v>
      </c>
      <c r="ET20" s="1648">
        <v>200000</v>
      </c>
      <c r="EU20" s="1648">
        <v>200000</v>
      </c>
      <c r="EV20" s="1648">
        <v>200000</v>
      </c>
      <c r="EW20" s="1651">
        <v>-3048244</v>
      </c>
      <c r="EX20" s="1648">
        <v>250000</v>
      </c>
      <c r="EY20" s="1648">
        <v>250000</v>
      </c>
      <c r="EZ20" s="1648">
        <v>250000</v>
      </c>
      <c r="FA20" s="1648">
        <v>250000</v>
      </c>
      <c r="FB20" s="1648">
        <v>250000</v>
      </c>
      <c r="FC20" s="1648">
        <v>250000</v>
      </c>
      <c r="FD20" s="1648">
        <v>250000</v>
      </c>
      <c r="FE20" s="1648">
        <v>250000</v>
      </c>
      <c r="FF20" s="1648">
        <v>250000</v>
      </c>
      <c r="FG20" s="1648">
        <v>250000</v>
      </c>
      <c r="FH20" s="1648">
        <v>250000</v>
      </c>
      <c r="FI20" s="1648">
        <v>250000</v>
      </c>
      <c r="FJ20" s="1651">
        <v>3000000</v>
      </c>
      <c r="FK20" s="1648">
        <v>250000</v>
      </c>
      <c r="FL20" s="1648">
        <v>250000</v>
      </c>
      <c r="FM20" s="1648">
        <v>250000</v>
      </c>
      <c r="FN20" s="1649">
        <v>250000</v>
      </c>
      <c r="FO20" s="1648">
        <v>250000</v>
      </c>
      <c r="FP20" s="1650">
        <v>250000</v>
      </c>
      <c r="FQ20" s="1649">
        <v>250000</v>
      </c>
      <c r="FR20" s="1648">
        <v>250000</v>
      </c>
      <c r="FS20" s="1650">
        <v>250000</v>
      </c>
      <c r="FT20" s="1648">
        <v>250000</v>
      </c>
      <c r="FU20" s="1648">
        <v>250000</v>
      </c>
      <c r="FV20" s="1648">
        <v>250000</v>
      </c>
      <c r="FW20" s="1651">
        <v>3000000</v>
      </c>
      <c r="FX20" s="1648">
        <v>250000</v>
      </c>
      <c r="FY20" s="1648">
        <v>250000</v>
      </c>
      <c r="FZ20" s="1648">
        <v>250000</v>
      </c>
      <c r="GA20" s="1649">
        <v>250000</v>
      </c>
      <c r="GB20" s="1648">
        <v>250000</v>
      </c>
      <c r="GC20" s="1650">
        <v>250000</v>
      </c>
      <c r="GD20" s="1649">
        <v>250000</v>
      </c>
      <c r="GE20" s="1648">
        <v>250000</v>
      </c>
      <c r="GF20" s="1650">
        <v>250000</v>
      </c>
      <c r="GG20" s="1648">
        <v>250000</v>
      </c>
      <c r="GH20" s="1648">
        <v>250000</v>
      </c>
      <c r="GI20" s="1648">
        <v>250000</v>
      </c>
      <c r="GJ20" s="1651">
        <v>3000000</v>
      </c>
      <c r="GL20" s="1623"/>
      <c r="GM20" s="1624"/>
      <c r="GN20" s="1625"/>
      <c r="GO20" s="1626"/>
      <c r="GP20" s="1626"/>
      <c r="GQ20" s="1627"/>
      <c r="GR20" s="1628"/>
      <c r="GS20" s="1629"/>
      <c r="GT20" s="1630">
        <v>0</v>
      </c>
      <c r="GU20" s="1630"/>
      <c r="GV20" s="1630"/>
      <c r="GW20" s="1630"/>
      <c r="GX20" s="1630"/>
      <c r="GY20" s="1630"/>
      <c r="GZ20" s="1630"/>
      <c r="HA20" s="1630"/>
      <c r="HB20" s="1630"/>
      <c r="HC20" s="1630"/>
      <c r="HD20" s="1630"/>
      <c r="HE20" s="1630"/>
      <c r="HF20" s="1630"/>
      <c r="HG20" s="1630">
        <v>0</v>
      </c>
      <c r="HH20" s="1630"/>
      <c r="HI20" s="1630"/>
      <c r="HJ20" s="1630"/>
      <c r="HK20" s="1630"/>
      <c r="HL20" s="1630"/>
      <c r="HM20" s="1630"/>
      <c r="HN20" s="1630"/>
      <c r="HO20" s="1630"/>
      <c r="HP20" s="1630"/>
      <c r="HQ20" s="1630"/>
      <c r="HR20" s="1630"/>
      <c r="HS20" s="1630"/>
      <c r="HT20" s="1630">
        <v>0</v>
      </c>
      <c r="HU20" s="1632"/>
      <c r="HV20" s="1632"/>
      <c r="HW20" s="1632"/>
      <c r="HX20" s="1632"/>
      <c r="HY20" s="1632"/>
      <c r="HZ20" s="1632"/>
      <c r="IA20" s="1632"/>
      <c r="IB20" s="1632"/>
      <c r="IC20" s="1632"/>
      <c r="ID20" s="1632"/>
      <c r="IE20" s="1632"/>
      <c r="IF20" s="1632"/>
      <c r="IG20" s="1633">
        <v>0</v>
      </c>
      <c r="IH20" s="1630"/>
      <c r="II20" s="1630"/>
      <c r="IJ20" s="1630"/>
      <c r="IK20" s="1630"/>
      <c r="IL20" s="1630"/>
      <c r="IM20" s="1630"/>
      <c r="IN20" s="1630"/>
      <c r="IO20" s="1630"/>
      <c r="IP20" s="1630"/>
      <c r="IQ20" s="1630"/>
      <c r="IR20" s="1630"/>
      <c r="IS20" s="1630"/>
      <c r="IT20" s="1633">
        <v>0</v>
      </c>
      <c r="IU20" s="1633">
        <v>0</v>
      </c>
      <c r="IV20" s="1634"/>
    </row>
    <row r="21" spans="2:256" ht="16.5" outlineLevel="1">
      <c r="C21" s="1493" t="s">
        <v>2923</v>
      </c>
      <c r="D21" s="1607"/>
      <c r="E21" s="1608">
        <v>19957.338951999998</v>
      </c>
      <c r="F21" s="1609">
        <v>19185.630152000002</v>
      </c>
      <c r="G21" s="1610">
        <v>17235.630162000001</v>
      </c>
      <c r="H21" s="1609">
        <v>18641.715856999999</v>
      </c>
      <c r="I21" s="1609">
        <v>20347.041584999999</v>
      </c>
      <c r="J21" s="1610">
        <v>10217.193810000001</v>
      </c>
      <c r="K21" s="1609">
        <v>18499.942086999999</v>
      </c>
      <c r="L21" s="1609">
        <v>17777.491237999999</v>
      </c>
      <c r="M21" s="1611">
        <v>25802.846953997425</v>
      </c>
      <c r="N21" s="1589">
        <v>25155.215536610616</v>
      </c>
      <c r="O21" s="1589">
        <v>21992.79985527934</v>
      </c>
      <c r="P21" s="1589">
        <v>22686.409263773705</v>
      </c>
      <c r="Q21" s="1612">
        <f t="shared" ref="Q21:Q58" si="6">IFERROR(SUM(E21:P21),0)</f>
        <v>237499.25545266108</v>
      </c>
      <c r="R21" s="1613">
        <v>22634.568630348847</v>
      </c>
      <c r="S21" s="1589">
        <v>20983.004805237146</v>
      </c>
      <c r="T21" s="1611">
        <v>9257.5313180016783</v>
      </c>
      <c r="U21" s="1589">
        <v>22325.398203610861</v>
      </c>
      <c r="V21" s="1589">
        <v>23037.092604695659</v>
      </c>
      <c r="W21" s="1611">
        <v>22467.757993036441</v>
      </c>
      <c r="X21" s="1589">
        <v>23251.392118184111</v>
      </c>
      <c r="Y21" s="1589">
        <v>23154.891548789103</v>
      </c>
      <c r="Z21" s="1611">
        <v>22384.762271653166</v>
      </c>
      <c r="AA21" s="1589">
        <v>23027.267119204735</v>
      </c>
      <c r="AB21" s="1589">
        <v>20251.359712187492</v>
      </c>
      <c r="AC21" s="1589">
        <v>23203.640268721243</v>
      </c>
      <c r="AD21" s="1612">
        <f t="shared" ref="AD21:AD34" si="7">IFERROR(SUM(R21:AC21),0)</f>
        <v>255978.6665936705</v>
      </c>
      <c r="AE21" s="1613">
        <v>22647.601599728278</v>
      </c>
      <c r="AF21" s="1589">
        <v>20297.264829611497</v>
      </c>
      <c r="AG21" s="1611">
        <v>22773.8886769977</v>
      </c>
      <c r="AH21" s="1589">
        <v>21850.343286285603</v>
      </c>
      <c r="AI21" s="1589">
        <v>16255.608023442912</v>
      </c>
      <c r="AJ21" s="1611">
        <v>6209.4135471339387</v>
      </c>
      <c r="AK21" s="1589">
        <v>23152.815725645029</v>
      </c>
      <c r="AL21" s="1589">
        <v>22560.694953376282</v>
      </c>
      <c r="AM21" s="1611">
        <v>21987.74791401832</v>
      </c>
      <c r="AN21" s="1589">
        <v>22788.142522866041</v>
      </c>
      <c r="AO21" s="1589">
        <v>21928.856609686482</v>
      </c>
      <c r="AP21" s="1589">
        <v>22777.712544381826</v>
      </c>
      <c r="AQ21" s="1612">
        <f t="shared" ref="AQ21:AQ34" si="8">IFERROR(SUM(AE21:AP21),0)</f>
        <v>245230.09023317389</v>
      </c>
      <c r="AR21" s="1613">
        <v>23268.426548572395</v>
      </c>
      <c r="AS21" s="1589">
        <v>20636.626658963934</v>
      </c>
      <c r="AT21" s="1611">
        <v>20919.681307783947</v>
      </c>
      <c r="AU21" s="1589">
        <v>22376.174273503799</v>
      </c>
      <c r="AV21" s="1589">
        <v>22868.976588194048</v>
      </c>
      <c r="AW21" s="1611">
        <v>22491.396809967631</v>
      </c>
      <c r="AX21" s="1589">
        <v>22925.191069032306</v>
      </c>
      <c r="AY21" s="1589">
        <v>23124.543087380418</v>
      </c>
      <c r="AZ21" s="1611">
        <v>22366.606608326507</v>
      </c>
      <c r="BA21" s="1589">
        <v>22592.301802037804</v>
      </c>
      <c r="BB21" s="1589">
        <v>20117.826626069571</v>
      </c>
      <c r="BC21" s="1589">
        <v>23009.200624251589</v>
      </c>
      <c r="BD21" s="1614">
        <f t="shared" ref="BD21:BD34" si="9">IFERROR(SUM(AR21:BC21),0)</f>
        <v>266696.95200408396</v>
      </c>
      <c r="BE21" s="1589"/>
      <c r="BF21" s="1615" t="e">
        <f>#REF!-#REF!</f>
        <v>#REF!</v>
      </c>
      <c r="BL21" s="1498"/>
      <c r="BN21" s="1498"/>
      <c r="BO21" s="1498"/>
      <c r="BP21" s="1545"/>
      <c r="BQ21" s="815"/>
      <c r="BR21" s="815"/>
      <c r="BS21" s="815"/>
      <c r="BY21" s="1617"/>
      <c r="BZ21" s="1617"/>
      <c r="CD21" s="815"/>
      <c r="CE21" s="1617"/>
      <c r="CF21" s="1615"/>
      <c r="CG21" s="1559"/>
      <c r="CH21" s="1674" t="s">
        <v>1378</v>
      </c>
      <c r="CI21" s="1675">
        <v>30101819</v>
      </c>
      <c r="CJ21" s="1675">
        <v>30101820</v>
      </c>
      <c r="CK21" s="1675">
        <v>45601770</v>
      </c>
      <c r="CL21" s="1676">
        <v>35268470</v>
      </c>
      <c r="CM21" s="1675">
        <v>35268470</v>
      </c>
      <c r="CN21" s="1677">
        <v>35268470</v>
      </c>
      <c r="CO21" s="1676">
        <v>36416472</v>
      </c>
      <c r="CP21" s="1675">
        <v>36416472</v>
      </c>
      <c r="CQ21" s="1677">
        <v>37813035.399999999</v>
      </c>
      <c r="CR21" s="1675">
        <v>30548109.199999999</v>
      </c>
      <c r="CS21" s="1675">
        <v>30548109.199999999</v>
      </c>
      <c r="CT21" s="1675">
        <v>30798009.199999999</v>
      </c>
      <c r="CU21" s="1678">
        <f t="shared" si="1"/>
        <v>414151025.99999994</v>
      </c>
      <c r="CV21" s="1675">
        <v>31006171.457333334</v>
      </c>
      <c r="CW21" s="1675">
        <v>31006171.457333334</v>
      </c>
      <c r="CX21" s="1675">
        <v>31256071.457333334</v>
      </c>
      <c r="CY21" s="1676">
        <v>31006171.457333334</v>
      </c>
      <c r="CZ21" s="1675">
        <v>31006171.457333334</v>
      </c>
      <c r="DA21" s="1677">
        <v>31256071.457333334</v>
      </c>
      <c r="DB21" s="1676">
        <v>31006171.457333334</v>
      </c>
      <c r="DC21" s="1675">
        <v>31006171.457333334</v>
      </c>
      <c r="DD21" s="1677">
        <v>40001881.733333334</v>
      </c>
      <c r="DE21" s="1675">
        <v>32236655.733333334</v>
      </c>
      <c r="DF21" s="1675">
        <v>32236655.733333334</v>
      </c>
      <c r="DG21" s="1675">
        <v>32486555.733333334</v>
      </c>
      <c r="DH21" s="1678">
        <f t="shared" si="2"/>
        <v>385510920.59200001</v>
      </c>
      <c r="DI21" s="1675">
        <v>32151887.987333335</v>
      </c>
      <c r="DJ21" s="1675">
        <v>31402187.987333335</v>
      </c>
      <c r="DK21" s="1675">
        <v>31652087.987333335</v>
      </c>
      <c r="DL21" s="1676">
        <v>31402187.987333335</v>
      </c>
      <c r="DM21" s="1675">
        <v>31402187.987333335</v>
      </c>
      <c r="DN21" s="1677">
        <v>31652087.987333335</v>
      </c>
      <c r="DO21" s="1676">
        <v>31402187.987333335</v>
      </c>
      <c r="DP21" s="1675">
        <v>31402187.987333335</v>
      </c>
      <c r="DQ21" s="1677">
        <v>39792923.683333337</v>
      </c>
      <c r="DR21" s="1675">
        <v>32649448.883333333</v>
      </c>
      <c r="DS21" s="1675">
        <v>32649448.883333333</v>
      </c>
      <c r="DT21" s="1675">
        <v>32899348.883333333</v>
      </c>
      <c r="DU21" s="1678">
        <f t="shared" si="3"/>
        <v>390458174.23199999</v>
      </c>
      <c r="DV21" s="1675">
        <v>34311058.973333336</v>
      </c>
      <c r="DW21" s="1675">
        <v>33561358.973333336</v>
      </c>
      <c r="DX21" s="1675">
        <v>33811258.973333336</v>
      </c>
      <c r="DY21" s="1676">
        <v>33561358.973333336</v>
      </c>
      <c r="DZ21" s="1675">
        <v>33561358.973333336</v>
      </c>
      <c r="EA21" s="1677">
        <v>33811258.973333336</v>
      </c>
      <c r="EB21" s="1676">
        <v>33561358.973333336</v>
      </c>
      <c r="EC21" s="1675">
        <v>33561358.973333336</v>
      </c>
      <c r="ED21" s="1677">
        <v>41832649.133333333</v>
      </c>
      <c r="EE21" s="1675">
        <v>34552312.433333337</v>
      </c>
      <c r="EF21" s="1675">
        <v>34552312.433333337</v>
      </c>
      <c r="EG21" s="1675">
        <v>34802212.433333337</v>
      </c>
      <c r="EH21" s="1678">
        <f t="shared" si="4"/>
        <v>415479858.22000003</v>
      </c>
      <c r="EJ21" s="1674" t="s">
        <v>1378</v>
      </c>
      <c r="EK21" s="1675">
        <v>12163704</v>
      </c>
      <c r="EL21" s="1675">
        <v>12163704</v>
      </c>
      <c r="EM21" s="1675">
        <v>19022088</v>
      </c>
      <c r="EN21" s="1676">
        <v>14449832</v>
      </c>
      <c r="EO21" s="1675">
        <v>14449832</v>
      </c>
      <c r="EP21" s="1677">
        <v>14449832</v>
      </c>
      <c r="EQ21" s="1676">
        <v>13301831</v>
      </c>
      <c r="ER21" s="1675">
        <v>13301831</v>
      </c>
      <c r="ES21" s="1677">
        <v>10250314.9</v>
      </c>
      <c r="ET21" s="1675">
        <v>6733555.5</v>
      </c>
      <c r="EU21" s="1675">
        <v>6733555.5</v>
      </c>
      <c r="EV21" s="1675">
        <v>9115935.5</v>
      </c>
      <c r="EW21" s="1678">
        <v>146136015.40000001</v>
      </c>
      <c r="EX21" s="1675">
        <v>6745857.2439999999</v>
      </c>
      <c r="EY21" s="1675">
        <v>6745857.2439999999</v>
      </c>
      <c r="EZ21" s="1675">
        <v>9128237.243999999</v>
      </c>
      <c r="FA21" s="1675">
        <v>6745857.2439999999</v>
      </c>
      <c r="FB21" s="1675">
        <v>6745857.2439999999</v>
      </c>
      <c r="FC21" s="1675">
        <v>9128237.243999999</v>
      </c>
      <c r="FD21" s="1675">
        <v>6745857.2439999999</v>
      </c>
      <c r="FE21" s="1675">
        <v>6745857.2439999999</v>
      </c>
      <c r="FF21" s="1675">
        <v>10591678.300000001</v>
      </c>
      <c r="FG21" s="1675">
        <v>7009611.7000000002</v>
      </c>
      <c r="FH21" s="1675">
        <v>7009611.7000000002</v>
      </c>
      <c r="FI21" s="1675">
        <v>9391991.6999999993</v>
      </c>
      <c r="FJ21" s="1678">
        <v>92734511.352000013</v>
      </c>
      <c r="FK21" s="1675">
        <v>7060544.3743333332</v>
      </c>
      <c r="FL21" s="1675">
        <v>7060544.3743333332</v>
      </c>
      <c r="FM21" s="1675">
        <v>9442924.3743333332</v>
      </c>
      <c r="FN21" s="1676">
        <v>7060544.3743333332</v>
      </c>
      <c r="FO21" s="1675">
        <v>7060544.3743333332</v>
      </c>
      <c r="FP21" s="1677">
        <v>9442924.3743333332</v>
      </c>
      <c r="FQ21" s="1676">
        <v>7060544.3743333332</v>
      </c>
      <c r="FR21" s="1675">
        <v>7060544.3743333332</v>
      </c>
      <c r="FS21" s="1677">
        <v>10839447.208333332</v>
      </c>
      <c r="FT21" s="1675">
        <v>7265627.3083333336</v>
      </c>
      <c r="FU21" s="1675">
        <v>7265627.3083333336</v>
      </c>
      <c r="FV21" s="1675">
        <v>9648007.3083333317</v>
      </c>
      <c r="FW21" s="1678">
        <v>96267824.128000021</v>
      </c>
      <c r="FX21" s="1675">
        <v>7326028.6936666658</v>
      </c>
      <c r="FY21" s="1675">
        <v>7326028.6936666658</v>
      </c>
      <c r="FZ21" s="1675">
        <v>9708408.6936666667</v>
      </c>
      <c r="GA21" s="1676">
        <v>7326028.6936666658</v>
      </c>
      <c r="GB21" s="1675">
        <v>7326028.6936666658</v>
      </c>
      <c r="GC21" s="1677">
        <v>9708408.6936666667</v>
      </c>
      <c r="GD21" s="1676">
        <v>7326028.6936666658</v>
      </c>
      <c r="GE21" s="1675">
        <v>7326028.6936666658</v>
      </c>
      <c r="GF21" s="1677">
        <v>11178866.941666668</v>
      </c>
      <c r="GG21" s="1675">
        <v>7538823.541666666</v>
      </c>
      <c r="GH21" s="1675">
        <v>7538823.541666666</v>
      </c>
      <c r="GI21" s="1675">
        <v>9921203.5416666679</v>
      </c>
      <c r="GJ21" s="1678">
        <v>99550707.116000012</v>
      </c>
      <c r="GL21" s="1679" t="s">
        <v>2924</v>
      </c>
      <c r="GM21" s="1680"/>
      <c r="GN21" s="1681"/>
      <c r="GO21" s="1682"/>
      <c r="GP21" s="1682"/>
      <c r="GQ21" s="1683"/>
      <c r="GR21" s="1684"/>
      <c r="GS21" s="1685"/>
      <c r="GT21" s="1686">
        <v>7263456.9819999998</v>
      </c>
      <c r="GU21" s="1686">
        <v>79456.982000000004</v>
      </c>
      <c r="GV21" s="1686">
        <v>433000</v>
      </c>
      <c r="GW21" s="1686">
        <v>561400</v>
      </c>
      <c r="GX21" s="1686">
        <v>305900</v>
      </c>
      <c r="GY21" s="1686">
        <v>383600</v>
      </c>
      <c r="GZ21" s="1686">
        <v>3001166</v>
      </c>
      <c r="HA21" s="1686">
        <v>853020</v>
      </c>
      <c r="HB21" s="1686">
        <v>110550</v>
      </c>
      <c r="HC21" s="1686">
        <v>1398764</v>
      </c>
      <c r="HD21" s="1686">
        <v>101600</v>
      </c>
      <c r="HE21" s="1686">
        <v>0</v>
      </c>
      <c r="HF21" s="1686">
        <v>35000</v>
      </c>
      <c r="HG21" s="1686">
        <v>3008000</v>
      </c>
      <c r="HH21" s="1686">
        <v>119000</v>
      </c>
      <c r="HI21" s="1686">
        <v>28000</v>
      </c>
      <c r="HJ21" s="1686">
        <v>411000</v>
      </c>
      <c r="HK21" s="1686">
        <v>741000</v>
      </c>
      <c r="HL21" s="1686">
        <v>70000</v>
      </c>
      <c r="HM21" s="1686">
        <v>259000</v>
      </c>
      <c r="HN21" s="1686">
        <v>200000</v>
      </c>
      <c r="HO21" s="1686">
        <v>0</v>
      </c>
      <c r="HP21" s="1686">
        <v>90000</v>
      </c>
      <c r="HQ21" s="1686">
        <v>160000</v>
      </c>
      <c r="HR21" s="1686">
        <v>195000</v>
      </c>
      <c r="HS21" s="1686">
        <v>735000</v>
      </c>
      <c r="HT21" s="1686">
        <v>8925000</v>
      </c>
      <c r="HU21" s="1686">
        <v>0</v>
      </c>
      <c r="HV21" s="1686">
        <v>0</v>
      </c>
      <c r="HW21" s="1686">
        <v>930000</v>
      </c>
      <c r="HX21" s="1686">
        <v>0</v>
      </c>
      <c r="HY21" s="1686">
        <v>380000</v>
      </c>
      <c r="HZ21" s="1686">
        <v>6955000</v>
      </c>
      <c r="IA21" s="1686">
        <v>0</v>
      </c>
      <c r="IB21" s="1686">
        <v>0</v>
      </c>
      <c r="IC21" s="1686">
        <v>0</v>
      </c>
      <c r="ID21" s="1686">
        <v>0</v>
      </c>
      <c r="IE21" s="1686">
        <v>608000</v>
      </c>
      <c r="IF21" s="1686">
        <v>52000</v>
      </c>
      <c r="IG21" s="1686">
        <v>1358000</v>
      </c>
      <c r="IH21" s="1686">
        <v>0</v>
      </c>
      <c r="II21" s="1686">
        <v>0</v>
      </c>
      <c r="IJ21" s="1686">
        <v>115000</v>
      </c>
      <c r="IK21" s="1686">
        <v>0</v>
      </c>
      <c r="IL21" s="1686">
        <v>0</v>
      </c>
      <c r="IM21" s="1686">
        <v>1100000</v>
      </c>
      <c r="IN21" s="1686">
        <v>0</v>
      </c>
      <c r="IO21" s="1686">
        <v>0</v>
      </c>
      <c r="IP21" s="1686">
        <v>0</v>
      </c>
      <c r="IQ21" s="1686">
        <v>0</v>
      </c>
      <c r="IR21" s="1686">
        <v>90000</v>
      </c>
      <c r="IS21" s="1686">
        <v>53000</v>
      </c>
      <c r="IT21" s="1686">
        <v>19196456.982000001</v>
      </c>
      <c r="IU21" s="1686">
        <v>13291000</v>
      </c>
      <c r="IV21" s="1687"/>
    </row>
    <row r="22" spans="2:256" ht="16.5" outlineLevel="1">
      <c r="C22" s="1493" t="s">
        <v>2925</v>
      </c>
      <c r="D22" s="1607"/>
      <c r="E22" s="1608">
        <v>74.187387000000001</v>
      </c>
      <c r="F22" s="1609">
        <v>48.675499000000002</v>
      </c>
      <c r="G22" s="1610">
        <v>81.318061999999998</v>
      </c>
      <c r="H22" s="1609">
        <v>32.976089000000002</v>
      </c>
      <c r="I22" s="1609">
        <v>48.463732</v>
      </c>
      <c r="J22" s="1610">
        <v>44.319479000000001</v>
      </c>
      <c r="K22" s="1609">
        <v>35.038997000000002</v>
      </c>
      <c r="L22" s="1609">
        <v>66.589022</v>
      </c>
      <c r="M22" s="1611">
        <v>94.26312436322435</v>
      </c>
      <c r="N22" s="1589">
        <v>109.04105710205558</v>
      </c>
      <c r="O22" s="1589">
        <v>106.1715555993699</v>
      </c>
      <c r="P22" s="1589">
        <v>97.132625865910043</v>
      </c>
      <c r="Q22" s="1612">
        <f t="shared" si="6"/>
        <v>838.1766299305599</v>
      </c>
      <c r="R22" s="1613">
        <v>94.460537089332504</v>
      </c>
      <c r="S22" s="1589">
        <v>85.060252556029582</v>
      </c>
      <c r="T22" s="1611">
        <v>37.472045586562139</v>
      </c>
      <c r="U22" s="1589">
        <v>90.904624213438893</v>
      </c>
      <c r="V22" s="1589">
        <v>94.448801403273478</v>
      </c>
      <c r="W22" s="1611">
        <v>90.916359899497934</v>
      </c>
      <c r="X22" s="1589">
        <v>94.42533003115534</v>
      </c>
      <c r="Y22" s="1589">
        <v>94.42533003115534</v>
      </c>
      <c r="Z22" s="1611">
        <v>90.869417155261729</v>
      </c>
      <c r="AA22" s="1589">
        <v>94.4135943450963</v>
      </c>
      <c r="AB22" s="1589">
        <v>82.677908286041458</v>
      </c>
      <c r="AC22" s="1589">
        <v>94.401858659037231</v>
      </c>
      <c r="AD22" s="1612">
        <f t="shared" si="7"/>
        <v>1044.4760592558819</v>
      </c>
      <c r="AE22" s="1613">
        <v>96.507144656391432</v>
      </c>
      <c r="AF22" s="1589">
        <v>85.512659822118977</v>
      </c>
      <c r="AG22" s="1611">
        <v>96.507144656391432</v>
      </c>
      <c r="AH22" s="1589">
        <v>92.842316378300609</v>
      </c>
      <c r="AI22" s="1589">
        <v>69.631737283725442</v>
      </c>
      <c r="AJ22" s="1611">
        <v>31.761845076787051</v>
      </c>
      <c r="AK22" s="1589">
        <v>96.507144656391432</v>
      </c>
      <c r="AL22" s="1589">
        <v>96.507144656391432</v>
      </c>
      <c r="AM22" s="1611">
        <v>92.842316378300609</v>
      </c>
      <c r="AN22" s="1589">
        <v>96.507144656391432</v>
      </c>
      <c r="AO22" s="1589">
        <v>92.842316378300609</v>
      </c>
      <c r="AP22" s="1589">
        <v>96.507144656391432</v>
      </c>
      <c r="AQ22" s="1612">
        <f t="shared" si="8"/>
        <v>1044.4760592558819</v>
      </c>
      <c r="AR22" s="1613">
        <v>90.970495483576826</v>
      </c>
      <c r="AS22" s="1589">
        <v>80.862662652068281</v>
      </c>
      <c r="AT22" s="1611">
        <v>81.985755188902559</v>
      </c>
      <c r="AU22" s="1589">
        <v>87.601217873073978</v>
      </c>
      <c r="AV22" s="1589">
        <v>89.847402946742534</v>
      </c>
      <c r="AW22" s="1611">
        <v>87.601217873073978</v>
      </c>
      <c r="AX22" s="1589">
        <v>89.847402946742534</v>
      </c>
      <c r="AY22" s="1589">
        <v>89.847402946742534</v>
      </c>
      <c r="AZ22" s="1611">
        <v>87.601217873073978</v>
      </c>
      <c r="BA22" s="1589">
        <v>89.847402946742534</v>
      </c>
      <c r="BB22" s="1589">
        <v>78.616477578399738</v>
      </c>
      <c r="BC22" s="1589">
        <v>89.847402946742534</v>
      </c>
      <c r="BD22" s="1614">
        <f t="shared" si="9"/>
        <v>1044.4760592558821</v>
      </c>
      <c r="BE22" s="1589"/>
      <c r="BF22" s="1615" t="e">
        <f>#REF!-#REF!</f>
        <v>#REF!</v>
      </c>
      <c r="BL22" s="1498"/>
      <c r="BN22" s="1498"/>
      <c r="BO22" s="1498"/>
      <c r="BP22" s="1545"/>
      <c r="BQ22" s="815"/>
      <c r="BR22" s="815"/>
      <c r="BS22" s="815"/>
      <c r="BY22" s="1617"/>
      <c r="BZ22" s="1617"/>
      <c r="CD22" s="815"/>
      <c r="CE22" s="1617"/>
      <c r="CF22" s="1615"/>
      <c r="CG22" s="1559"/>
      <c r="CH22" s="1688" t="s">
        <v>2926</v>
      </c>
      <c r="CI22" s="1689">
        <f>SUM(CI17:CI21)</f>
        <v>337399707</v>
      </c>
      <c r="CJ22" s="1689">
        <f t="shared" ref="CJ22:DG22" si="10">SUM(CJ17:CJ21)</f>
        <v>364774253</v>
      </c>
      <c r="CK22" s="1689">
        <f t="shared" si="10"/>
        <v>388405153</v>
      </c>
      <c r="CL22" s="1690">
        <f t="shared" si="10"/>
        <v>382319008</v>
      </c>
      <c r="CM22" s="1689">
        <f t="shared" si="10"/>
        <v>380652336</v>
      </c>
      <c r="CN22" s="1691">
        <f t="shared" si="10"/>
        <v>366763877</v>
      </c>
      <c r="CO22" s="1690">
        <f t="shared" si="10"/>
        <v>382439461</v>
      </c>
      <c r="CP22" s="1689">
        <f t="shared" si="10"/>
        <v>384095945</v>
      </c>
      <c r="CQ22" s="1691">
        <f t="shared" si="10"/>
        <v>504565375.39999998</v>
      </c>
      <c r="CR22" s="1689">
        <f t="shared" si="10"/>
        <v>410086449.19999999</v>
      </c>
      <c r="CS22" s="1689">
        <f t="shared" si="10"/>
        <v>410086449.19999999</v>
      </c>
      <c r="CT22" s="1689">
        <f t="shared" si="10"/>
        <v>413336349.19999999</v>
      </c>
      <c r="CU22" s="1692">
        <f t="shared" si="1"/>
        <v>4724924363</v>
      </c>
      <c r="CV22" s="1689">
        <f t="shared" si="10"/>
        <v>365100784.7906667</v>
      </c>
      <c r="CW22" s="1689">
        <f t="shared" si="10"/>
        <v>410866284.7906667</v>
      </c>
      <c r="CX22" s="1689">
        <f t="shared" si="10"/>
        <v>414116184.7906667</v>
      </c>
      <c r="CY22" s="1690">
        <f t="shared" si="10"/>
        <v>410866284.7906667</v>
      </c>
      <c r="CZ22" s="1689">
        <f t="shared" si="10"/>
        <v>410866284.7906667</v>
      </c>
      <c r="DA22" s="1691">
        <f t="shared" si="10"/>
        <v>414116184.7906667</v>
      </c>
      <c r="DB22" s="1690">
        <f t="shared" si="10"/>
        <v>410866284.7906667</v>
      </c>
      <c r="DC22" s="1689">
        <f t="shared" si="10"/>
        <v>410866284.7906667</v>
      </c>
      <c r="DD22" s="1691">
        <f t="shared" si="10"/>
        <v>527853715.06666672</v>
      </c>
      <c r="DE22" s="1689">
        <f t="shared" si="10"/>
        <v>426868489.06666672</v>
      </c>
      <c r="DF22" s="1689">
        <f t="shared" si="10"/>
        <v>426868489.06666672</v>
      </c>
      <c r="DG22" s="1689">
        <f t="shared" si="10"/>
        <v>430118389.06666672</v>
      </c>
      <c r="DH22" s="1692">
        <f t="shared" si="2"/>
        <v>5059373660.592</v>
      </c>
      <c r="DI22" s="1689">
        <f t="shared" ref="DI22:DT22" si="11">SUM(DI17:DI21)</f>
        <v>427476909.65400004</v>
      </c>
      <c r="DJ22" s="1689">
        <f t="shared" si="11"/>
        <v>417727209.65400004</v>
      </c>
      <c r="DK22" s="1689">
        <f t="shared" si="11"/>
        <v>420977109.65400004</v>
      </c>
      <c r="DL22" s="1690">
        <f t="shared" si="11"/>
        <v>417727209.65400004</v>
      </c>
      <c r="DM22" s="1689">
        <f t="shared" si="11"/>
        <v>417727209.65400004</v>
      </c>
      <c r="DN22" s="1691">
        <f t="shared" si="11"/>
        <v>420977109.65400004</v>
      </c>
      <c r="DO22" s="1690">
        <f t="shared" si="11"/>
        <v>417727209.65400004</v>
      </c>
      <c r="DP22" s="1689">
        <f t="shared" si="11"/>
        <v>417727209.65400004</v>
      </c>
      <c r="DQ22" s="1691">
        <f t="shared" si="11"/>
        <v>526847065.35000002</v>
      </c>
      <c r="DR22" s="1689">
        <f t="shared" si="11"/>
        <v>433947590.55000001</v>
      </c>
      <c r="DS22" s="1689">
        <f t="shared" si="11"/>
        <v>433947590.55000001</v>
      </c>
      <c r="DT22" s="1689">
        <f t="shared" si="11"/>
        <v>437197490.55000001</v>
      </c>
      <c r="DU22" s="1692">
        <f t="shared" si="3"/>
        <v>5190006914.2320004</v>
      </c>
      <c r="DV22" s="1689">
        <f t="shared" ref="DV22:EG22" si="12">SUM(DV17:DV21)</f>
        <v>456381917.30666673</v>
      </c>
      <c r="DW22" s="1689">
        <f t="shared" si="12"/>
        <v>446632217.30666673</v>
      </c>
      <c r="DX22" s="1689">
        <f t="shared" si="12"/>
        <v>449882117.30666673</v>
      </c>
      <c r="DY22" s="1690">
        <f t="shared" si="12"/>
        <v>446632217.30666673</v>
      </c>
      <c r="DZ22" s="1689">
        <f t="shared" si="12"/>
        <v>446632217.30666673</v>
      </c>
      <c r="EA22" s="1691">
        <f t="shared" si="12"/>
        <v>449882117.30666673</v>
      </c>
      <c r="EB22" s="1690">
        <f t="shared" si="12"/>
        <v>446632217.30666673</v>
      </c>
      <c r="EC22" s="1689">
        <f t="shared" si="12"/>
        <v>446632217.30666673</v>
      </c>
      <c r="ED22" s="1691">
        <f t="shared" si="12"/>
        <v>554198707.4666667</v>
      </c>
      <c r="EE22" s="1689">
        <f t="shared" si="12"/>
        <v>459519370.76666671</v>
      </c>
      <c r="EF22" s="1689">
        <f t="shared" si="12"/>
        <v>459519370.76666671</v>
      </c>
      <c r="EG22" s="1689">
        <f t="shared" si="12"/>
        <v>462769270.76666671</v>
      </c>
      <c r="EH22" s="1692">
        <f t="shared" si="4"/>
        <v>5525313958.2200003</v>
      </c>
      <c r="EJ22" s="1688" t="s">
        <v>2926</v>
      </c>
      <c r="EK22" s="1689">
        <v>165687853</v>
      </c>
      <c r="EL22" s="1689">
        <v>111639782</v>
      </c>
      <c r="EM22" s="1689">
        <v>170275407</v>
      </c>
      <c r="EN22" s="1689">
        <v>99161521</v>
      </c>
      <c r="EO22" s="1689">
        <v>94758211</v>
      </c>
      <c r="EP22" s="1689">
        <v>123629671</v>
      </c>
      <c r="EQ22" s="1689">
        <v>80662608</v>
      </c>
      <c r="ER22" s="1689">
        <v>86748731</v>
      </c>
      <c r="ES22" s="1689">
        <v>133503314.90000001</v>
      </c>
      <c r="ET22" s="1689">
        <v>87768555.5</v>
      </c>
      <c r="EU22" s="1689">
        <v>87768555.5</v>
      </c>
      <c r="EV22" s="1689">
        <v>118750935.5</v>
      </c>
      <c r="EW22" s="1692">
        <v>1360355145.4000001</v>
      </c>
      <c r="EX22" s="1689">
        <v>86375203.910666674</v>
      </c>
      <c r="EY22" s="1689">
        <v>86375203.910666674</v>
      </c>
      <c r="EZ22" s="1689">
        <v>117357583.91066667</v>
      </c>
      <c r="FA22" s="1689">
        <v>86375203.910666674</v>
      </c>
      <c r="FB22" s="1689">
        <v>86375203.910666674</v>
      </c>
      <c r="FC22" s="1689">
        <v>117357583.91066667</v>
      </c>
      <c r="FD22" s="1689">
        <v>86375203.910666674</v>
      </c>
      <c r="FE22" s="1689">
        <v>86375203.910666674</v>
      </c>
      <c r="FF22" s="1689">
        <v>136389344.96666667</v>
      </c>
      <c r="FG22" s="1689">
        <v>89805278.366666675</v>
      </c>
      <c r="FH22" s="1689">
        <v>89805278.366666675</v>
      </c>
      <c r="FI22" s="1689">
        <v>120787658.36666667</v>
      </c>
      <c r="FJ22" s="1692">
        <v>1189753951.3520002</v>
      </c>
      <c r="FK22" s="1689">
        <v>109707647.70766667</v>
      </c>
      <c r="FL22" s="1689">
        <v>90467647.707666665</v>
      </c>
      <c r="FM22" s="1689">
        <v>121450027.70766667</v>
      </c>
      <c r="FN22" s="1690">
        <v>90467647.707666665</v>
      </c>
      <c r="FO22" s="1689">
        <v>90467647.707666665</v>
      </c>
      <c r="FP22" s="1691">
        <v>121450027.70766667</v>
      </c>
      <c r="FQ22" s="1690">
        <v>90467647.707666665</v>
      </c>
      <c r="FR22" s="1689">
        <v>90467647.707666665</v>
      </c>
      <c r="FS22" s="1691">
        <v>139611530.54166666</v>
      </c>
      <c r="FT22" s="1689">
        <v>93134710.641666666</v>
      </c>
      <c r="FU22" s="1689">
        <v>93134710.641666666</v>
      </c>
      <c r="FV22" s="1689">
        <v>124117090.64166667</v>
      </c>
      <c r="FW22" s="1692">
        <v>1254943984.1279998</v>
      </c>
      <c r="FX22" s="1689">
        <v>113160218.69366667</v>
      </c>
      <c r="FY22" s="1689">
        <v>93920218.693666667</v>
      </c>
      <c r="FZ22" s="1689">
        <v>124902598.69366667</v>
      </c>
      <c r="GA22" s="1690">
        <v>93920218.693666667</v>
      </c>
      <c r="GB22" s="1689">
        <v>93920218.693666667</v>
      </c>
      <c r="GC22" s="1691">
        <v>124902598.69366667</v>
      </c>
      <c r="GD22" s="1690">
        <v>93920218.693666667</v>
      </c>
      <c r="GE22" s="1689">
        <v>93920218.693666667</v>
      </c>
      <c r="GF22" s="1691">
        <v>144025616.94166666</v>
      </c>
      <c r="GG22" s="1689">
        <v>96687573.541666672</v>
      </c>
      <c r="GH22" s="1689">
        <v>96687573.541666672</v>
      </c>
      <c r="GI22" s="1689">
        <v>127669953.54166667</v>
      </c>
      <c r="GJ22" s="1692">
        <v>1297637227.1160002</v>
      </c>
      <c r="GL22" s="5811" t="s">
        <v>2927</v>
      </c>
      <c r="GM22" s="5812" t="s">
        <v>2928</v>
      </c>
      <c r="GN22" s="5813"/>
      <c r="GO22" s="1693"/>
      <c r="GP22" s="1693"/>
      <c r="GQ22" s="1694"/>
      <c r="GR22" s="1693"/>
      <c r="GS22" s="1695"/>
      <c r="GT22" s="1696">
        <v>370000</v>
      </c>
      <c r="GU22" s="1696">
        <v>39000</v>
      </c>
      <c r="GV22" s="1696">
        <v>0</v>
      </c>
      <c r="GW22" s="1696">
        <v>0</v>
      </c>
      <c r="GX22" s="1696">
        <v>48000</v>
      </c>
      <c r="GY22" s="1696">
        <v>7100</v>
      </c>
      <c r="GZ22" s="1696">
        <v>94000</v>
      </c>
      <c r="HA22" s="1696">
        <v>0</v>
      </c>
      <c r="HB22" s="1696">
        <v>0</v>
      </c>
      <c r="HC22" s="1696">
        <v>143300</v>
      </c>
      <c r="HD22" s="1696">
        <v>38600</v>
      </c>
      <c r="HE22" s="1696">
        <v>0</v>
      </c>
      <c r="HF22" s="1696">
        <v>0</v>
      </c>
      <c r="HG22" s="1696">
        <v>90000</v>
      </c>
      <c r="HH22" s="1696">
        <v>0</v>
      </c>
      <c r="HI22" s="1696">
        <v>0</v>
      </c>
      <c r="HJ22" s="1696">
        <v>0</v>
      </c>
      <c r="HK22" s="1696">
        <v>90000</v>
      </c>
      <c r="HL22" s="1696">
        <v>0</v>
      </c>
      <c r="HM22" s="1696">
        <v>0</v>
      </c>
      <c r="HN22" s="1696">
        <v>0</v>
      </c>
      <c r="HO22" s="1696">
        <v>0</v>
      </c>
      <c r="HP22" s="1696">
        <v>0</v>
      </c>
      <c r="HQ22" s="1696">
        <v>0</v>
      </c>
      <c r="HR22" s="1696">
        <v>0</v>
      </c>
      <c r="HS22" s="1696">
        <v>0</v>
      </c>
      <c r="HT22" s="1696">
        <v>300000</v>
      </c>
      <c r="HU22" s="1696">
        <v>0</v>
      </c>
      <c r="HV22" s="1696">
        <v>0</v>
      </c>
      <c r="HW22" s="1696">
        <v>90000</v>
      </c>
      <c r="HX22" s="1696">
        <v>0</v>
      </c>
      <c r="HY22" s="1696">
        <v>210000</v>
      </c>
      <c r="HZ22" s="1696">
        <v>0</v>
      </c>
      <c r="IA22" s="1696">
        <v>0</v>
      </c>
      <c r="IB22" s="1696">
        <v>0</v>
      </c>
      <c r="IC22" s="1696">
        <v>0</v>
      </c>
      <c r="ID22" s="1696">
        <v>0</v>
      </c>
      <c r="IE22" s="1696">
        <v>0</v>
      </c>
      <c r="IF22" s="1696">
        <v>0</v>
      </c>
      <c r="IG22" s="1696">
        <v>0</v>
      </c>
      <c r="IH22" s="1696">
        <v>0</v>
      </c>
      <c r="II22" s="1696">
        <v>0</v>
      </c>
      <c r="IJ22" s="1696">
        <v>0</v>
      </c>
      <c r="IK22" s="1696">
        <v>0</v>
      </c>
      <c r="IL22" s="1696">
        <v>0</v>
      </c>
      <c r="IM22" s="1696">
        <v>0</v>
      </c>
      <c r="IN22" s="1696">
        <v>0</v>
      </c>
      <c r="IO22" s="1696">
        <v>0</v>
      </c>
      <c r="IP22" s="1696">
        <v>0</v>
      </c>
      <c r="IQ22" s="1696">
        <v>0</v>
      </c>
      <c r="IR22" s="1696">
        <v>0</v>
      </c>
      <c r="IS22" s="1696">
        <v>0</v>
      </c>
      <c r="IT22" s="1696">
        <v>760000</v>
      </c>
      <c r="IU22" s="1696">
        <v>390000</v>
      </c>
      <c r="IV22" s="1697"/>
    </row>
    <row r="23" spans="2:256" ht="16.5" outlineLevel="1">
      <c r="C23" s="1493" t="s">
        <v>2929</v>
      </c>
      <c r="D23" s="1607"/>
      <c r="E23" s="1608">
        <v>2.3798780000000002</v>
      </c>
      <c r="F23" s="1609">
        <v>2.9576850000000001</v>
      </c>
      <c r="G23" s="1610">
        <v>2.9534419999999999</v>
      </c>
      <c r="H23" s="1609">
        <v>3.8420489999999998</v>
      </c>
      <c r="I23" s="1609">
        <v>2.594042</v>
      </c>
      <c r="J23" s="1610">
        <v>1.2079690000000001</v>
      </c>
      <c r="K23" s="1609">
        <v>4.1379630000000001</v>
      </c>
      <c r="L23" s="1609">
        <v>2.38212</v>
      </c>
      <c r="M23" s="1611">
        <v>1.9733999999999998</v>
      </c>
      <c r="N23" s="1589">
        <v>2.0286</v>
      </c>
      <c r="O23" s="1589">
        <v>1.9733999999999998</v>
      </c>
      <c r="P23" s="1589">
        <v>2.0286</v>
      </c>
      <c r="Q23" s="1612">
        <f t="shared" si="6"/>
        <v>30.459148000000003</v>
      </c>
      <c r="R23" s="1613">
        <v>2.0562</v>
      </c>
      <c r="S23" s="1589">
        <v>1.84</v>
      </c>
      <c r="T23" s="1611">
        <v>1.8676000000000001</v>
      </c>
      <c r="U23" s="1589">
        <v>1.9733999999999998</v>
      </c>
      <c r="V23" s="1589">
        <v>2.0562</v>
      </c>
      <c r="W23" s="1611">
        <v>1.9733999999999998</v>
      </c>
      <c r="X23" s="1589">
        <v>2.0562</v>
      </c>
      <c r="Y23" s="1589">
        <v>2.0562</v>
      </c>
      <c r="Z23" s="1611">
        <v>1.9733999999999998</v>
      </c>
      <c r="AA23" s="1589">
        <v>2.0562</v>
      </c>
      <c r="AB23" s="1589">
        <v>1.7894000000000001</v>
      </c>
      <c r="AC23" s="1589">
        <v>2.0562</v>
      </c>
      <c r="AD23" s="1612">
        <f t="shared" si="7"/>
        <v>23.754400000000004</v>
      </c>
      <c r="AE23" s="1613">
        <v>2.1068000000000002</v>
      </c>
      <c r="AF23" s="1589">
        <v>1.8676000000000001</v>
      </c>
      <c r="AG23" s="1611">
        <v>2.1068000000000002</v>
      </c>
      <c r="AH23" s="1589">
        <v>2.0286</v>
      </c>
      <c r="AI23" s="1589">
        <v>1.5226</v>
      </c>
      <c r="AJ23" s="1611">
        <v>0.6946</v>
      </c>
      <c r="AK23" s="1589">
        <v>2.1068000000000002</v>
      </c>
      <c r="AL23" s="1589">
        <v>2.1068000000000002</v>
      </c>
      <c r="AM23" s="1611">
        <v>2.0286</v>
      </c>
      <c r="AN23" s="1589">
        <v>2.1068000000000002</v>
      </c>
      <c r="AO23" s="1589">
        <v>2.0286</v>
      </c>
      <c r="AP23" s="1589">
        <v>2.1068000000000002</v>
      </c>
      <c r="AQ23" s="1612">
        <f t="shared" si="8"/>
        <v>22.811399999999999</v>
      </c>
      <c r="AR23" s="1613">
        <v>2.1619999999999999</v>
      </c>
      <c r="AS23" s="1589">
        <v>1.9228000000000001</v>
      </c>
      <c r="AT23" s="1611">
        <v>1.9458</v>
      </c>
      <c r="AU23" s="1589">
        <v>2.0792000000000002</v>
      </c>
      <c r="AV23" s="1589">
        <v>2.1344000000000003</v>
      </c>
      <c r="AW23" s="1611">
        <v>2.0792000000000002</v>
      </c>
      <c r="AX23" s="1589">
        <v>2.1344000000000003</v>
      </c>
      <c r="AY23" s="1589">
        <v>2.1344000000000003</v>
      </c>
      <c r="AZ23" s="1611">
        <v>2.0792000000000002</v>
      </c>
      <c r="BA23" s="1589">
        <v>2.1344000000000003</v>
      </c>
      <c r="BB23" s="1589">
        <v>1.8676000000000001</v>
      </c>
      <c r="BC23" s="1589">
        <v>2.1344000000000003</v>
      </c>
      <c r="BD23" s="1614">
        <f t="shared" si="9"/>
        <v>24.807799999999997</v>
      </c>
      <c r="BE23" s="1589"/>
      <c r="BF23" s="1615" t="e">
        <f>#REF!-#REF!</f>
        <v>#REF!</v>
      </c>
      <c r="BL23" s="1498"/>
      <c r="BN23" s="1498"/>
      <c r="BO23" s="1498"/>
      <c r="BP23" s="1545"/>
      <c r="BQ23" s="815"/>
      <c r="BR23" s="815"/>
      <c r="BS23" s="815"/>
      <c r="BY23" s="1617"/>
      <c r="BZ23" s="1617"/>
      <c r="CD23" s="815"/>
      <c r="CE23" s="1617"/>
      <c r="CF23" s="1615"/>
      <c r="CG23" s="1698"/>
      <c r="CH23" s="1699" t="s">
        <v>2930</v>
      </c>
      <c r="CI23" s="1700">
        <v>120067243</v>
      </c>
      <c r="CJ23" s="1700">
        <v>114800111</v>
      </c>
      <c r="CK23" s="1700">
        <v>118783482</v>
      </c>
      <c r="CL23" s="1701">
        <v>119504610</v>
      </c>
      <c r="CM23" s="1700">
        <v>118416933</v>
      </c>
      <c r="CN23" s="1702">
        <v>109479834</v>
      </c>
      <c r="CO23" s="1701">
        <v>122859942</v>
      </c>
      <c r="CP23" s="1700">
        <v>120857638</v>
      </c>
      <c r="CQ23" s="1702">
        <v>120551474.54780488</v>
      </c>
      <c r="CR23" s="1700">
        <v>121106919.80585365</v>
      </c>
      <c r="CS23" s="1700">
        <v>120383474.54780488</v>
      </c>
      <c r="CT23" s="1700">
        <v>121082919.80585365</v>
      </c>
      <c r="CU23" s="1703">
        <f t="shared" si="1"/>
        <v>1427894581.7073169</v>
      </c>
      <c r="CV23" s="1700">
        <v>117683358.9076923</v>
      </c>
      <c r="CW23" s="1700">
        <v>116009914.96923077</v>
      </c>
      <c r="CX23" s="1700">
        <v>116219095.46153846</v>
      </c>
      <c r="CY23" s="1701">
        <v>117055817.43076923</v>
      </c>
      <c r="CZ23" s="1700">
        <v>119714888.1276923</v>
      </c>
      <c r="DA23" s="1702">
        <v>119087346.65076923</v>
      </c>
      <c r="DB23" s="1701">
        <v>119714888.1276923</v>
      </c>
      <c r="DC23" s="1700">
        <v>119714888.1276923</v>
      </c>
      <c r="DD23" s="1702">
        <v>119087346.65076923</v>
      </c>
      <c r="DE23" s="1700">
        <v>119714888.1276923</v>
      </c>
      <c r="DF23" s="1700">
        <v>117623083.20461538</v>
      </c>
      <c r="DG23" s="1700">
        <v>119714888.1276923</v>
      </c>
      <c r="DH23" s="1703">
        <f t="shared" si="2"/>
        <v>1421340403.913846</v>
      </c>
      <c r="DI23" s="1700">
        <v>120133249.1123077</v>
      </c>
      <c r="DJ23" s="1700">
        <v>118250624.68153846</v>
      </c>
      <c r="DK23" s="1700">
        <v>120133249.1123077</v>
      </c>
      <c r="DL23" s="1701">
        <v>119505707.6353846</v>
      </c>
      <c r="DM23" s="1700">
        <v>118698932.48593846</v>
      </c>
      <c r="DN23" s="1702">
        <v>111618542.0244</v>
      </c>
      <c r="DO23" s="1701">
        <v>122205408.91670769</v>
      </c>
      <c r="DP23" s="1700">
        <v>122205408.91670769</v>
      </c>
      <c r="DQ23" s="1702">
        <v>121577867.4397846</v>
      </c>
      <c r="DR23" s="1700">
        <v>122205408.91670769</v>
      </c>
      <c r="DS23" s="1700">
        <v>121577867.4397846</v>
      </c>
      <c r="DT23" s="1700">
        <v>122205408.91670769</v>
      </c>
      <c r="DU23" s="1703">
        <f t="shared" si="3"/>
        <v>1440317675.5982769</v>
      </c>
      <c r="DV23" s="1700">
        <v>122623769.90132307</v>
      </c>
      <c r="DW23" s="1700">
        <v>120741145.47055383</v>
      </c>
      <c r="DX23" s="1700">
        <v>120950325.96286154</v>
      </c>
      <c r="DY23" s="1701">
        <v>121996228.4244</v>
      </c>
      <c r="DZ23" s="1700">
        <v>124528192.40950339</v>
      </c>
      <c r="EA23" s="1702">
        <v>124109831.42488798</v>
      </c>
      <c r="EB23" s="1701">
        <v>124528192.40950339</v>
      </c>
      <c r="EC23" s="1700">
        <v>124528192.40950339</v>
      </c>
      <c r="ED23" s="1702">
        <v>124109831.42488798</v>
      </c>
      <c r="EE23" s="1700">
        <v>124528192.40950339</v>
      </c>
      <c r="EF23" s="1700">
        <v>122436387.48642646</v>
      </c>
      <c r="EG23" s="1700">
        <v>124528192.40950339</v>
      </c>
      <c r="EH23" s="1703">
        <f t="shared" si="4"/>
        <v>1479608482.1428578</v>
      </c>
      <c r="EJ23" s="1699" t="s">
        <v>2930</v>
      </c>
      <c r="EK23" s="1700">
        <v>0</v>
      </c>
      <c r="EL23" s="1700">
        <v>0</v>
      </c>
      <c r="EM23" s="1700">
        <v>0</v>
      </c>
      <c r="EN23" s="1701">
        <v>0</v>
      </c>
      <c r="EO23" s="1700">
        <v>0</v>
      </c>
      <c r="EP23" s="1702">
        <v>0</v>
      </c>
      <c r="EQ23" s="1701">
        <v>0</v>
      </c>
      <c r="ER23" s="1700">
        <v>0</v>
      </c>
      <c r="ES23" s="1702">
        <v>0</v>
      </c>
      <c r="ET23" s="1700">
        <v>0</v>
      </c>
      <c r="EU23" s="1700">
        <v>0</v>
      </c>
      <c r="EV23" s="1700">
        <v>0</v>
      </c>
      <c r="EW23" s="1703">
        <v>0</v>
      </c>
      <c r="EX23" s="1700">
        <v>0</v>
      </c>
      <c r="EY23" s="1700">
        <v>0</v>
      </c>
      <c r="EZ23" s="1700">
        <v>0</v>
      </c>
      <c r="FA23" s="1700">
        <v>0</v>
      </c>
      <c r="FB23" s="1700">
        <v>0</v>
      </c>
      <c r="FC23" s="1700">
        <v>0</v>
      </c>
      <c r="FD23" s="1700">
        <v>0</v>
      </c>
      <c r="FE23" s="1700">
        <v>0</v>
      </c>
      <c r="FF23" s="1700">
        <v>0</v>
      </c>
      <c r="FG23" s="1700">
        <v>0</v>
      </c>
      <c r="FH23" s="1700">
        <v>0</v>
      </c>
      <c r="FI23" s="1700">
        <v>0</v>
      </c>
      <c r="FJ23" s="1703">
        <v>0</v>
      </c>
      <c r="FK23" s="1700">
        <v>0</v>
      </c>
      <c r="FL23" s="1700">
        <v>0</v>
      </c>
      <c r="FM23" s="1700">
        <v>0</v>
      </c>
      <c r="FN23" s="1701">
        <v>0</v>
      </c>
      <c r="FO23" s="1700">
        <v>0</v>
      </c>
      <c r="FP23" s="1702">
        <v>0</v>
      </c>
      <c r="FQ23" s="1701">
        <v>0</v>
      </c>
      <c r="FR23" s="1700">
        <v>0</v>
      </c>
      <c r="FS23" s="1702">
        <v>0</v>
      </c>
      <c r="FT23" s="1700">
        <v>0</v>
      </c>
      <c r="FU23" s="1700">
        <v>0</v>
      </c>
      <c r="FV23" s="1700">
        <v>0</v>
      </c>
      <c r="FW23" s="1703">
        <v>0</v>
      </c>
      <c r="FX23" s="1700">
        <v>0</v>
      </c>
      <c r="FY23" s="1700">
        <v>0</v>
      </c>
      <c r="FZ23" s="1700">
        <v>0</v>
      </c>
      <c r="GA23" s="1701">
        <v>0</v>
      </c>
      <c r="GB23" s="1700">
        <v>0</v>
      </c>
      <c r="GC23" s="1702">
        <v>0</v>
      </c>
      <c r="GD23" s="1701">
        <v>0</v>
      </c>
      <c r="GE23" s="1700">
        <v>0</v>
      </c>
      <c r="GF23" s="1702">
        <v>0</v>
      </c>
      <c r="GG23" s="1700">
        <v>0</v>
      </c>
      <c r="GH23" s="1700">
        <v>0</v>
      </c>
      <c r="GI23" s="1700">
        <v>0</v>
      </c>
      <c r="GJ23" s="1703">
        <v>0</v>
      </c>
      <c r="GL23" s="1623"/>
      <c r="GM23" s="1552">
        <v>1.1000000000000001</v>
      </c>
      <c r="GN23" s="1704" t="s">
        <v>2931</v>
      </c>
      <c r="GO23" s="1626" t="s">
        <v>2918</v>
      </c>
      <c r="GP23" s="1626" t="s">
        <v>2932</v>
      </c>
      <c r="GQ23" s="1627">
        <v>12</v>
      </c>
      <c r="GR23" s="1705" t="s">
        <v>2933</v>
      </c>
      <c r="GS23" s="1706">
        <v>20</v>
      </c>
      <c r="GT23" s="1633">
        <v>220000</v>
      </c>
      <c r="GU23" s="1632">
        <v>39000</v>
      </c>
      <c r="GV23" s="1632"/>
      <c r="GW23" s="1632"/>
      <c r="GX23" s="1632">
        <v>27000</v>
      </c>
      <c r="GY23" s="1632">
        <v>7100</v>
      </c>
      <c r="GZ23" s="1632">
        <v>94000</v>
      </c>
      <c r="HA23" s="1632"/>
      <c r="HB23" s="1632"/>
      <c r="HC23" s="1632">
        <v>52900</v>
      </c>
      <c r="HD23" s="1632"/>
      <c r="HE23" s="1632"/>
      <c r="HF23" s="1632"/>
      <c r="HG23" s="1633">
        <v>0</v>
      </c>
      <c r="HH23" s="1632"/>
      <c r="HI23" s="1632"/>
      <c r="HJ23" s="1632"/>
      <c r="HK23" s="1632"/>
      <c r="HL23" s="1632"/>
      <c r="HM23" s="1632"/>
      <c r="HN23" s="1632"/>
      <c r="HO23" s="1632"/>
      <c r="HP23" s="1632"/>
      <c r="HQ23" s="1632"/>
      <c r="HR23" s="1632"/>
      <c r="HS23" s="1632"/>
      <c r="HT23" s="1633">
        <v>0</v>
      </c>
      <c r="HU23" s="1632"/>
      <c r="HV23" s="1632"/>
      <c r="HW23" s="1632"/>
      <c r="HX23" s="1632"/>
      <c r="HY23" s="1632"/>
      <c r="HZ23" s="1632"/>
      <c r="IA23" s="1632"/>
      <c r="IB23" s="1632"/>
      <c r="IC23" s="1632"/>
      <c r="ID23" s="1632"/>
      <c r="IE23" s="1632"/>
      <c r="IF23" s="1632"/>
      <c r="IG23" s="1633">
        <v>0</v>
      </c>
      <c r="IH23" s="1632"/>
      <c r="II23" s="1632"/>
      <c r="IJ23" s="1632"/>
      <c r="IK23" s="1632"/>
      <c r="IL23" s="1632"/>
      <c r="IM23" s="1632"/>
      <c r="IN23" s="1632"/>
      <c r="IO23" s="1632"/>
      <c r="IP23" s="1632"/>
      <c r="IQ23" s="1632"/>
      <c r="IR23" s="1632"/>
      <c r="IS23" s="1632"/>
      <c r="IT23" s="1633">
        <v>220000</v>
      </c>
      <c r="IU23" s="1633">
        <v>0</v>
      </c>
      <c r="IV23" s="1707"/>
    </row>
    <row r="24" spans="2:256" ht="16.5" outlineLevel="1">
      <c r="C24" s="1493" t="s">
        <v>2934</v>
      </c>
      <c r="D24" s="1607"/>
      <c r="E24" s="1608"/>
      <c r="F24" s="1609"/>
      <c r="G24" s="1610"/>
      <c r="H24" s="1609"/>
      <c r="I24" s="1609"/>
      <c r="J24" s="1610"/>
      <c r="K24" s="1609"/>
      <c r="L24" s="1609"/>
      <c r="M24" s="1611">
        <v>71.323162988088171</v>
      </c>
      <c r="N24" s="1589">
        <v>71.323162988088171</v>
      </c>
      <c r="O24" s="1589">
        <v>71.323162988088171</v>
      </c>
      <c r="P24" s="1589">
        <v>71.323162988088171</v>
      </c>
      <c r="Q24" s="1612">
        <f t="shared" si="6"/>
        <v>285.29265195235268</v>
      </c>
      <c r="R24" s="1708">
        <v>299.07995523518622</v>
      </c>
      <c r="S24" s="1589">
        <v>258.88182726416011</v>
      </c>
      <c r="T24" s="1611">
        <v>257.78522881397072</v>
      </c>
      <c r="U24" s="1589">
        <v>273.45839348307931</v>
      </c>
      <c r="V24" s="1589">
        <v>291.03399830573204</v>
      </c>
      <c r="W24" s="1611">
        <v>276.17602817298649</v>
      </c>
      <c r="X24" s="1589">
        <v>284.87723108532987</v>
      </c>
      <c r="Y24" s="1589">
        <v>284.46004610227567</v>
      </c>
      <c r="Z24" s="1611">
        <v>265.94798545353905</v>
      </c>
      <c r="AA24" s="1589">
        <v>282.60143038628746</v>
      </c>
      <c r="AB24" s="1589">
        <v>247.98763207919953</v>
      </c>
      <c r="AC24" s="1589">
        <v>287.20244570588159</v>
      </c>
      <c r="AD24" s="1612">
        <f t="shared" si="7"/>
        <v>3309.4922020876279</v>
      </c>
      <c r="AE24" s="1613">
        <v>333.83972611638904</v>
      </c>
      <c r="AF24" s="1589">
        <v>284.6263994413427</v>
      </c>
      <c r="AG24" s="1611">
        <v>314.13917269222804</v>
      </c>
      <c r="AH24" s="1589">
        <v>301.9108450316262</v>
      </c>
      <c r="AI24" s="1589">
        <v>249.33803844686284</v>
      </c>
      <c r="AJ24" s="1611">
        <v>108.12426050275589</v>
      </c>
      <c r="AK24" s="1589">
        <v>312.62649194650419</v>
      </c>
      <c r="AL24" s="1589">
        <v>325.44665039245496</v>
      </c>
      <c r="AM24" s="1611">
        <v>307.63209885999498</v>
      </c>
      <c r="AN24" s="1589">
        <v>324.42269242427631</v>
      </c>
      <c r="AO24" s="1589">
        <v>308.85035959284943</v>
      </c>
      <c r="AP24" s="1589">
        <v>317.71975074256517</v>
      </c>
      <c r="AQ24" s="1612">
        <f t="shared" si="8"/>
        <v>3488.67648618985</v>
      </c>
      <c r="AR24" s="1613">
        <v>295.47910382630846</v>
      </c>
      <c r="AS24" s="1589">
        <v>261.1364472642922</v>
      </c>
      <c r="AT24" s="1611">
        <v>264.47155903678635</v>
      </c>
      <c r="AU24" s="1589">
        <v>283.22751984613507</v>
      </c>
      <c r="AV24" s="1589">
        <v>296.70818346374261</v>
      </c>
      <c r="AW24" s="1611">
        <v>285.68063197290735</v>
      </c>
      <c r="AX24" s="1589">
        <v>298.06910783736367</v>
      </c>
      <c r="AY24" s="1589">
        <v>284.1983630133185</v>
      </c>
      <c r="AZ24" s="1611">
        <v>266.98105422967438</v>
      </c>
      <c r="BA24" s="1589">
        <v>294.2156181191915</v>
      </c>
      <c r="BB24" s="1589">
        <v>255.20100640712749</v>
      </c>
      <c r="BC24" s="1589">
        <v>292.79289450392014</v>
      </c>
      <c r="BD24" s="1614">
        <f t="shared" si="9"/>
        <v>3378.1614895207676</v>
      </c>
      <c r="BE24" s="1589"/>
      <c r="BF24" s="1615" t="e">
        <f>#REF!-#REF!</f>
        <v>#REF!</v>
      </c>
      <c r="BL24" s="1498"/>
      <c r="BN24" s="1498"/>
      <c r="BO24" s="1498"/>
      <c r="BP24" s="1545"/>
      <c r="BQ24" s="815"/>
      <c r="BR24" s="815"/>
      <c r="BS24" s="815"/>
      <c r="BY24" s="1617"/>
      <c r="BZ24" s="1617"/>
      <c r="CD24" s="815"/>
      <c r="CE24" s="1617"/>
      <c r="CF24" s="1615"/>
      <c r="CG24" s="1698"/>
      <c r="CH24" s="1618" t="s">
        <v>1957</v>
      </c>
      <c r="CI24" s="1619">
        <v>514554123</v>
      </c>
      <c r="CJ24" s="1619">
        <v>491579993</v>
      </c>
      <c r="CK24" s="1619">
        <v>407570727</v>
      </c>
      <c r="CL24" s="1620">
        <v>388371239</v>
      </c>
      <c r="CM24" s="1619">
        <v>351229221</v>
      </c>
      <c r="CN24" s="1621">
        <v>294234702</v>
      </c>
      <c r="CO24" s="1620">
        <v>545875165</v>
      </c>
      <c r="CP24" s="1619">
        <v>518600920</v>
      </c>
      <c r="CQ24" s="1621">
        <v>398315000</v>
      </c>
      <c r="CR24" s="1619">
        <v>413574000</v>
      </c>
      <c r="CS24" s="1619">
        <v>527477000</v>
      </c>
      <c r="CT24" s="1619">
        <v>534505000</v>
      </c>
      <c r="CU24" s="1622">
        <f t="shared" si="1"/>
        <v>5385887090</v>
      </c>
      <c r="CV24" s="1619">
        <v>527192400</v>
      </c>
      <c r="CW24" s="1619">
        <v>511949200</v>
      </c>
      <c r="CX24" s="1619">
        <v>410913800</v>
      </c>
      <c r="CY24" s="1620">
        <v>402637400</v>
      </c>
      <c r="CZ24" s="1619">
        <v>416208000</v>
      </c>
      <c r="DA24" s="1621">
        <v>522741400</v>
      </c>
      <c r="DB24" s="1620">
        <v>551718000</v>
      </c>
      <c r="DC24" s="1619">
        <v>546244000</v>
      </c>
      <c r="DD24" s="1621">
        <v>402789000</v>
      </c>
      <c r="DE24" s="1619">
        <v>415944400</v>
      </c>
      <c r="DF24" s="1619">
        <v>506086200</v>
      </c>
      <c r="DG24" s="1619">
        <v>535703000</v>
      </c>
      <c r="DH24" s="1622">
        <f t="shared" si="2"/>
        <v>5750126800</v>
      </c>
      <c r="DI24" s="1619">
        <v>525192400</v>
      </c>
      <c r="DJ24" s="1619">
        <v>509949200</v>
      </c>
      <c r="DK24" s="1619">
        <v>419913800</v>
      </c>
      <c r="DL24" s="1620">
        <v>401637400</v>
      </c>
      <c r="DM24" s="1619">
        <v>341208000</v>
      </c>
      <c r="DN24" s="1621">
        <v>295741400</v>
      </c>
      <c r="DO24" s="1620">
        <v>549718000</v>
      </c>
      <c r="DP24" s="1619">
        <v>545244000</v>
      </c>
      <c r="DQ24" s="1621">
        <v>401789000</v>
      </c>
      <c r="DR24" s="1619">
        <v>414944400</v>
      </c>
      <c r="DS24" s="1619">
        <v>521086200</v>
      </c>
      <c r="DT24" s="1619">
        <v>536703000</v>
      </c>
      <c r="DU24" s="1622">
        <f t="shared" si="3"/>
        <v>5463126800</v>
      </c>
      <c r="DV24" s="1619">
        <v>526192400</v>
      </c>
      <c r="DW24" s="1619">
        <v>510949200</v>
      </c>
      <c r="DX24" s="1619">
        <v>409913800</v>
      </c>
      <c r="DY24" s="1620">
        <v>401637400</v>
      </c>
      <c r="DZ24" s="1619">
        <v>415208000</v>
      </c>
      <c r="EA24" s="1621">
        <v>521741400</v>
      </c>
      <c r="EB24" s="1620">
        <v>557718000</v>
      </c>
      <c r="EC24" s="1619">
        <v>553244000</v>
      </c>
      <c r="ED24" s="1621">
        <v>407789000</v>
      </c>
      <c r="EE24" s="1619">
        <v>420944400</v>
      </c>
      <c r="EF24" s="1619">
        <v>514086200</v>
      </c>
      <c r="EG24" s="1619">
        <v>543703000</v>
      </c>
      <c r="EH24" s="1622">
        <f t="shared" si="4"/>
        <v>5783126800</v>
      </c>
      <c r="EJ24" s="1618" t="s">
        <v>1957</v>
      </c>
      <c r="EK24" s="1619">
        <v>0</v>
      </c>
      <c r="EL24" s="1619">
        <v>0</v>
      </c>
      <c r="EM24" s="1619">
        <v>0</v>
      </c>
      <c r="EN24" s="1620">
        <v>0</v>
      </c>
      <c r="EO24" s="1619">
        <v>0</v>
      </c>
      <c r="EP24" s="1621">
        <v>0</v>
      </c>
      <c r="EQ24" s="1620">
        <v>0</v>
      </c>
      <c r="ER24" s="1619">
        <v>0</v>
      </c>
      <c r="ES24" s="1621">
        <v>0</v>
      </c>
      <c r="ET24" s="1619">
        <v>0</v>
      </c>
      <c r="EU24" s="1619">
        <v>0</v>
      </c>
      <c r="EV24" s="1619">
        <v>0</v>
      </c>
      <c r="EW24" s="1622">
        <v>0</v>
      </c>
      <c r="EX24" s="1619">
        <v>0</v>
      </c>
      <c r="EY24" s="1619">
        <v>0</v>
      </c>
      <c r="EZ24" s="1619">
        <v>0</v>
      </c>
      <c r="FA24" s="1619">
        <v>0</v>
      </c>
      <c r="FB24" s="1619">
        <v>0</v>
      </c>
      <c r="FC24" s="1619">
        <v>0</v>
      </c>
      <c r="FD24" s="1619">
        <v>0</v>
      </c>
      <c r="FE24" s="1619">
        <v>0</v>
      </c>
      <c r="FF24" s="1619">
        <v>0</v>
      </c>
      <c r="FG24" s="1619">
        <v>0</v>
      </c>
      <c r="FH24" s="1619">
        <v>0</v>
      </c>
      <c r="FI24" s="1619">
        <v>0</v>
      </c>
      <c r="FJ24" s="1622">
        <v>0</v>
      </c>
      <c r="FK24" s="1619">
        <v>0</v>
      </c>
      <c r="FL24" s="1619">
        <v>0</v>
      </c>
      <c r="FM24" s="1619">
        <v>0</v>
      </c>
      <c r="FN24" s="1620">
        <v>0</v>
      </c>
      <c r="FO24" s="1619">
        <v>0</v>
      </c>
      <c r="FP24" s="1621">
        <v>0</v>
      </c>
      <c r="FQ24" s="1620">
        <v>0</v>
      </c>
      <c r="FR24" s="1619">
        <v>0</v>
      </c>
      <c r="FS24" s="1621">
        <v>0</v>
      </c>
      <c r="FT24" s="1619">
        <v>0</v>
      </c>
      <c r="FU24" s="1619">
        <v>0</v>
      </c>
      <c r="FV24" s="1619">
        <v>0</v>
      </c>
      <c r="FW24" s="1622">
        <v>0</v>
      </c>
      <c r="FX24" s="1619">
        <v>0</v>
      </c>
      <c r="FY24" s="1619">
        <v>0</v>
      </c>
      <c r="FZ24" s="1619">
        <v>0</v>
      </c>
      <c r="GA24" s="1620">
        <v>0</v>
      </c>
      <c r="GB24" s="1619">
        <v>0</v>
      </c>
      <c r="GC24" s="1621">
        <v>0</v>
      </c>
      <c r="GD24" s="1620">
        <v>0</v>
      </c>
      <c r="GE24" s="1619">
        <v>0</v>
      </c>
      <c r="GF24" s="1621">
        <v>0</v>
      </c>
      <c r="GG24" s="1619">
        <v>0</v>
      </c>
      <c r="GH24" s="1619">
        <v>0</v>
      </c>
      <c r="GI24" s="1619">
        <v>0</v>
      </c>
      <c r="GJ24" s="1622">
        <v>0</v>
      </c>
      <c r="GL24" s="1652"/>
      <c r="GM24" s="1709">
        <v>1.2</v>
      </c>
      <c r="GN24" s="1710" t="s">
        <v>2935</v>
      </c>
      <c r="GO24" s="1655" t="s">
        <v>2936</v>
      </c>
      <c r="GP24" s="1655" t="s">
        <v>2932</v>
      </c>
      <c r="GQ24" s="1656">
        <v>12</v>
      </c>
      <c r="GR24" s="1711" t="s">
        <v>2920</v>
      </c>
      <c r="GS24" s="1712">
        <v>20</v>
      </c>
      <c r="GT24" s="1662">
        <v>80000</v>
      </c>
      <c r="GU24" s="1661"/>
      <c r="GV24" s="1661"/>
      <c r="GW24" s="1661"/>
      <c r="GX24" s="1661">
        <v>21000</v>
      </c>
      <c r="GY24" s="1661"/>
      <c r="GZ24" s="1661"/>
      <c r="HA24" s="1661"/>
      <c r="HB24" s="1661"/>
      <c r="HC24" s="1661">
        <v>53700</v>
      </c>
      <c r="HD24" s="1661">
        <v>5300</v>
      </c>
      <c r="HE24" s="1661"/>
      <c r="HF24" s="1661"/>
      <c r="HG24" s="1662">
        <v>0</v>
      </c>
      <c r="HH24" s="1661"/>
      <c r="HI24" s="1661"/>
      <c r="HJ24" s="1661"/>
      <c r="HK24" s="1661"/>
      <c r="HL24" s="1661"/>
      <c r="HM24" s="1661"/>
      <c r="HN24" s="1661"/>
      <c r="HO24" s="1661"/>
      <c r="HP24" s="1661"/>
      <c r="HQ24" s="1661"/>
      <c r="HR24" s="1661"/>
      <c r="HS24" s="1661"/>
      <c r="HT24" s="1662">
        <v>0</v>
      </c>
      <c r="HU24" s="1661"/>
      <c r="HV24" s="1661"/>
      <c r="HW24" s="1661"/>
      <c r="HX24" s="1661"/>
      <c r="HY24" s="1661"/>
      <c r="HZ24" s="1661"/>
      <c r="IA24" s="1661"/>
      <c r="IB24" s="1661"/>
      <c r="IC24" s="1661"/>
      <c r="ID24" s="1661"/>
      <c r="IE24" s="1661"/>
      <c r="IF24" s="1661"/>
      <c r="IG24" s="1662">
        <v>0</v>
      </c>
      <c r="IH24" s="1661"/>
      <c r="II24" s="1661"/>
      <c r="IJ24" s="1661"/>
      <c r="IK24" s="1661"/>
      <c r="IL24" s="1661"/>
      <c r="IM24" s="1661"/>
      <c r="IN24" s="1661"/>
      <c r="IO24" s="1661"/>
      <c r="IP24" s="1661"/>
      <c r="IQ24" s="1661"/>
      <c r="IR24" s="1661"/>
      <c r="IS24" s="1661"/>
      <c r="IT24" s="1662">
        <v>80000</v>
      </c>
      <c r="IU24" s="1662">
        <v>0</v>
      </c>
      <c r="IV24" s="1713"/>
    </row>
    <row r="25" spans="2:256" ht="16.5" outlineLevel="1">
      <c r="C25" s="1493" t="s">
        <v>2937</v>
      </c>
      <c r="D25" s="1607"/>
      <c r="E25" s="1608"/>
      <c r="F25" s="1609"/>
      <c r="G25" s="1610"/>
      <c r="H25" s="1609"/>
      <c r="I25" s="1609"/>
      <c r="J25" s="1610"/>
      <c r="K25" s="1609"/>
      <c r="L25" s="1609"/>
      <c r="M25" s="1611">
        <v>-894.52076919714295</v>
      </c>
      <c r="N25" s="1589">
        <v>117.57887280299138</v>
      </c>
      <c r="O25" s="1589">
        <v>0</v>
      </c>
      <c r="P25" s="1589"/>
      <c r="Q25" s="1612">
        <f t="shared" si="6"/>
        <v>-776.94189639415163</v>
      </c>
      <c r="R25" s="1708"/>
      <c r="S25" s="1589"/>
      <c r="T25" s="1611"/>
      <c r="U25" s="1589"/>
      <c r="V25" s="1589"/>
      <c r="W25" s="1611"/>
      <c r="X25" s="1589"/>
      <c r="Y25" s="1589"/>
      <c r="Z25" s="1611"/>
      <c r="AA25" s="1589"/>
      <c r="AB25" s="1589"/>
      <c r="AC25" s="1589"/>
      <c r="AD25" s="1612">
        <f t="shared" si="7"/>
        <v>0</v>
      </c>
      <c r="AE25" s="1613"/>
      <c r="AF25" s="1589"/>
      <c r="AG25" s="1611"/>
      <c r="AH25" s="1589"/>
      <c r="AI25" s="1589"/>
      <c r="AJ25" s="1611"/>
      <c r="AK25" s="1589"/>
      <c r="AL25" s="1589"/>
      <c r="AM25" s="1611"/>
      <c r="AN25" s="1589"/>
      <c r="AO25" s="1589"/>
      <c r="AP25" s="1589"/>
      <c r="AQ25" s="1612">
        <f t="shared" si="8"/>
        <v>0</v>
      </c>
      <c r="AR25" s="1613"/>
      <c r="AS25" s="1589"/>
      <c r="AT25" s="1611"/>
      <c r="AU25" s="1589"/>
      <c r="AV25" s="1589"/>
      <c r="AW25" s="1611"/>
      <c r="AX25" s="1589"/>
      <c r="AY25" s="1589"/>
      <c r="AZ25" s="1611"/>
      <c r="BA25" s="1589"/>
      <c r="BB25" s="1589"/>
      <c r="BC25" s="1589"/>
      <c r="BD25" s="1614">
        <f t="shared" si="9"/>
        <v>0</v>
      </c>
      <c r="BE25" s="1589"/>
      <c r="BF25" s="1615" t="e">
        <f>#REF!-#REF!</f>
        <v>#REF!</v>
      </c>
      <c r="BL25" s="1498"/>
      <c r="BN25" s="1498"/>
      <c r="BO25" s="1498"/>
      <c r="BP25" s="1545"/>
      <c r="BQ25" s="815"/>
      <c r="BR25" s="815"/>
      <c r="BS25" s="815"/>
      <c r="BY25" s="1617"/>
      <c r="BZ25" s="1617"/>
      <c r="CD25" s="815"/>
      <c r="CE25" s="1617"/>
      <c r="CF25" s="1615"/>
      <c r="CG25" s="1698"/>
      <c r="CH25" s="1618" t="s">
        <v>1960</v>
      </c>
      <c r="CI25" s="1619">
        <v>333101843</v>
      </c>
      <c r="CJ25" s="1619">
        <v>307141299</v>
      </c>
      <c r="CK25" s="1619">
        <v>318223591</v>
      </c>
      <c r="CL25" s="1620">
        <v>352722653</v>
      </c>
      <c r="CM25" s="1619">
        <v>196124721</v>
      </c>
      <c r="CN25" s="1621">
        <v>139394359</v>
      </c>
      <c r="CO25" s="1620">
        <v>306259025</v>
      </c>
      <c r="CP25" s="1619">
        <v>302300797</v>
      </c>
      <c r="CQ25" s="1621">
        <v>358702069.12000006</v>
      </c>
      <c r="CR25" s="1619">
        <v>413096117.42000002</v>
      </c>
      <c r="CS25" s="1619">
        <v>401941652.93000007</v>
      </c>
      <c r="CT25" s="1619">
        <v>412820462.59000009</v>
      </c>
      <c r="CU25" s="1622">
        <f t="shared" si="1"/>
        <v>3841828590.0600004</v>
      </c>
      <c r="CV25" s="1619">
        <v>318906928.33271432</v>
      </c>
      <c r="CW25" s="1619">
        <v>287327779.03899509</v>
      </c>
      <c r="CX25" s="1619">
        <v>290696022.70071</v>
      </c>
      <c r="CY25" s="1620">
        <v>302624597.34756958</v>
      </c>
      <c r="CZ25" s="1619">
        <v>313753978.33271432</v>
      </c>
      <c r="DA25" s="1621">
        <v>302624597.34756958</v>
      </c>
      <c r="DB25" s="1620">
        <v>314466778.33271432</v>
      </c>
      <c r="DC25" s="1619">
        <v>314466778.33271432</v>
      </c>
      <c r="DD25" s="1621">
        <v>302624597.34756958</v>
      </c>
      <c r="DE25" s="1619">
        <v>314466778.33271432</v>
      </c>
      <c r="DF25" s="1619">
        <v>289664641.7155652</v>
      </c>
      <c r="DG25" s="1619">
        <v>318906928.33271432</v>
      </c>
      <c r="DH25" s="1622">
        <f t="shared" si="2"/>
        <v>3670530405.4942656</v>
      </c>
      <c r="DI25" s="1619">
        <v>326149689.01807743</v>
      </c>
      <c r="DJ25" s="1619">
        <v>290659596.06264335</v>
      </c>
      <c r="DK25" s="1619">
        <v>321723189.01807743</v>
      </c>
      <c r="DL25" s="1620">
        <v>309893158.03293282</v>
      </c>
      <c r="DM25" s="1619">
        <v>232321708.58904955</v>
      </c>
      <c r="DN25" s="1621">
        <v>165440367.96592087</v>
      </c>
      <c r="DO25" s="1620">
        <v>321723189.01807743</v>
      </c>
      <c r="DP25" s="1619">
        <v>321723189.01807743</v>
      </c>
      <c r="DQ25" s="1621">
        <v>309893158.03293282</v>
      </c>
      <c r="DR25" s="1619">
        <v>321723189.01807743</v>
      </c>
      <c r="DS25" s="1619">
        <v>314319658.03293282</v>
      </c>
      <c r="DT25" s="1619">
        <v>326149689.01807743</v>
      </c>
      <c r="DU25" s="1622">
        <f t="shared" si="3"/>
        <v>3561719780.8248768</v>
      </c>
      <c r="DV25" s="1619">
        <v>335225252.97957391</v>
      </c>
      <c r="DW25" s="1619">
        <v>299698710.02413976</v>
      </c>
      <c r="DX25" s="1619">
        <v>302628203.68585473</v>
      </c>
      <c r="DY25" s="1620">
        <v>318684171.99442923</v>
      </c>
      <c r="DZ25" s="1619">
        <v>326578959.31785893</v>
      </c>
      <c r="EA25" s="1621">
        <v>318279171.99442923</v>
      </c>
      <c r="EB25" s="1620">
        <v>326578959.31785893</v>
      </c>
      <c r="EC25" s="1619">
        <v>326578959.31785893</v>
      </c>
      <c r="ED25" s="1621">
        <v>318279171.99442923</v>
      </c>
      <c r="EE25" s="1619">
        <v>326578959.31785893</v>
      </c>
      <c r="EF25" s="1619">
        <v>295889922.70071</v>
      </c>
      <c r="EG25" s="1619">
        <v>330872859.31785893</v>
      </c>
      <c r="EH25" s="1622">
        <f t="shared" si="4"/>
        <v>3825873301.9628611</v>
      </c>
      <c r="EJ25" s="1618" t="s">
        <v>1960</v>
      </c>
      <c r="EK25" s="1619">
        <v>0</v>
      </c>
      <c r="EL25" s="1619">
        <v>0</v>
      </c>
      <c r="EM25" s="1619">
        <v>0</v>
      </c>
      <c r="EN25" s="1620">
        <v>0</v>
      </c>
      <c r="EO25" s="1619">
        <v>0</v>
      </c>
      <c r="EP25" s="1621">
        <v>0</v>
      </c>
      <c r="EQ25" s="1620">
        <v>0</v>
      </c>
      <c r="ER25" s="1619">
        <v>0</v>
      </c>
      <c r="ES25" s="1621">
        <v>0</v>
      </c>
      <c r="ET25" s="1619">
        <v>0</v>
      </c>
      <c r="EU25" s="1619">
        <v>0</v>
      </c>
      <c r="EV25" s="1619">
        <v>0</v>
      </c>
      <c r="EW25" s="1622">
        <v>0</v>
      </c>
      <c r="EX25" s="1619">
        <v>0</v>
      </c>
      <c r="EY25" s="1619">
        <v>0</v>
      </c>
      <c r="EZ25" s="1619">
        <v>0</v>
      </c>
      <c r="FA25" s="1619">
        <v>0</v>
      </c>
      <c r="FB25" s="1619">
        <v>0</v>
      </c>
      <c r="FC25" s="1619">
        <v>0</v>
      </c>
      <c r="FD25" s="1619">
        <v>0</v>
      </c>
      <c r="FE25" s="1619">
        <v>0</v>
      </c>
      <c r="FF25" s="1619">
        <v>0</v>
      </c>
      <c r="FG25" s="1619">
        <v>0</v>
      </c>
      <c r="FH25" s="1619">
        <v>0</v>
      </c>
      <c r="FI25" s="1619">
        <v>0</v>
      </c>
      <c r="FJ25" s="1622">
        <v>0</v>
      </c>
      <c r="FK25" s="1619">
        <v>0</v>
      </c>
      <c r="FL25" s="1619">
        <v>0</v>
      </c>
      <c r="FM25" s="1619">
        <v>0</v>
      </c>
      <c r="FN25" s="1620">
        <v>0</v>
      </c>
      <c r="FO25" s="1619">
        <v>0</v>
      </c>
      <c r="FP25" s="1621">
        <v>0</v>
      </c>
      <c r="FQ25" s="1620">
        <v>0</v>
      </c>
      <c r="FR25" s="1619">
        <v>0</v>
      </c>
      <c r="FS25" s="1621">
        <v>0</v>
      </c>
      <c r="FT25" s="1619">
        <v>0</v>
      </c>
      <c r="FU25" s="1619">
        <v>0</v>
      </c>
      <c r="FV25" s="1619">
        <v>0</v>
      </c>
      <c r="FW25" s="1622">
        <v>0</v>
      </c>
      <c r="FX25" s="1619">
        <v>0</v>
      </c>
      <c r="FY25" s="1619">
        <v>0</v>
      </c>
      <c r="FZ25" s="1619">
        <v>0</v>
      </c>
      <c r="GA25" s="1620">
        <v>0</v>
      </c>
      <c r="GB25" s="1619">
        <v>0</v>
      </c>
      <c r="GC25" s="1621">
        <v>0</v>
      </c>
      <c r="GD25" s="1620">
        <v>0</v>
      </c>
      <c r="GE25" s="1619">
        <v>0</v>
      </c>
      <c r="GF25" s="1621">
        <v>0</v>
      </c>
      <c r="GG25" s="1619">
        <v>0</v>
      </c>
      <c r="GH25" s="1619">
        <v>0</v>
      </c>
      <c r="GI25" s="1619">
        <v>0</v>
      </c>
      <c r="GJ25" s="1622">
        <v>0</v>
      </c>
      <c r="GL25" s="1623"/>
      <c r="GM25" s="1552">
        <v>1.3</v>
      </c>
      <c r="GN25" s="1704" t="s">
        <v>2938</v>
      </c>
      <c r="GO25" s="1626" t="s">
        <v>2939</v>
      </c>
      <c r="GP25" s="1626" t="s">
        <v>2932</v>
      </c>
      <c r="GQ25" s="1627">
        <v>12</v>
      </c>
      <c r="GR25" s="1705" t="s">
        <v>2920</v>
      </c>
      <c r="GS25" s="1706">
        <v>20</v>
      </c>
      <c r="GT25" s="1633">
        <v>50000</v>
      </c>
      <c r="GU25" s="1632"/>
      <c r="GV25" s="1632"/>
      <c r="GW25" s="1632"/>
      <c r="GX25" s="1632"/>
      <c r="GY25" s="1632"/>
      <c r="GZ25" s="1632"/>
      <c r="HA25" s="1632"/>
      <c r="HB25" s="1632"/>
      <c r="HC25" s="1632">
        <v>16700</v>
      </c>
      <c r="HD25" s="1632">
        <v>33300</v>
      </c>
      <c r="HE25" s="1632"/>
      <c r="HF25" s="1632"/>
      <c r="HG25" s="1633">
        <v>0</v>
      </c>
      <c r="HH25" s="1632"/>
      <c r="HI25" s="1632"/>
      <c r="HJ25" s="1632"/>
      <c r="HK25" s="1632"/>
      <c r="HL25" s="1632"/>
      <c r="HM25" s="1632"/>
      <c r="HN25" s="1632"/>
      <c r="HO25" s="1632"/>
      <c r="HP25" s="1632"/>
      <c r="HQ25" s="1632"/>
      <c r="HR25" s="1632"/>
      <c r="HS25" s="1632"/>
      <c r="HT25" s="1633">
        <v>0</v>
      </c>
      <c r="HU25" s="1632"/>
      <c r="HV25" s="1632"/>
      <c r="HW25" s="1632"/>
      <c r="HX25" s="1632"/>
      <c r="HY25" s="1632"/>
      <c r="HZ25" s="1632"/>
      <c r="IA25" s="1632"/>
      <c r="IB25" s="1632"/>
      <c r="IC25" s="1632"/>
      <c r="ID25" s="1632"/>
      <c r="IE25" s="1632"/>
      <c r="IF25" s="1632"/>
      <c r="IG25" s="1633">
        <v>0</v>
      </c>
      <c r="IH25" s="1632"/>
      <c r="II25" s="1632"/>
      <c r="IJ25" s="1632"/>
      <c r="IK25" s="1632"/>
      <c r="IL25" s="1632"/>
      <c r="IM25" s="1632"/>
      <c r="IN25" s="1632"/>
      <c r="IO25" s="1632"/>
      <c r="IP25" s="1632"/>
      <c r="IQ25" s="1632"/>
      <c r="IR25" s="1632"/>
      <c r="IS25" s="1632"/>
      <c r="IT25" s="1633">
        <v>50000</v>
      </c>
      <c r="IU25" s="1633">
        <v>0</v>
      </c>
      <c r="IV25" s="1707"/>
    </row>
    <row r="26" spans="2:256" ht="16.5" outlineLevel="1">
      <c r="B26" s="1565"/>
      <c r="C26" s="1565" t="s">
        <v>2940</v>
      </c>
      <c r="D26" s="1636"/>
      <c r="E26" s="1637"/>
      <c r="F26" s="1638"/>
      <c r="G26" s="1639">
        <v>25.937999999999999</v>
      </c>
      <c r="H26" s="1638">
        <v>25.299800000000001</v>
      </c>
      <c r="I26" s="1638">
        <v>16.149000000000001</v>
      </c>
      <c r="J26" s="1639"/>
      <c r="K26" s="1638">
        <v>27.992999999999999</v>
      </c>
      <c r="L26" s="1638">
        <v>31.665600000000001</v>
      </c>
      <c r="M26" s="1640">
        <v>20.8</v>
      </c>
      <c r="N26" s="1641">
        <v>20.8</v>
      </c>
      <c r="O26" s="1641">
        <v>20.8</v>
      </c>
      <c r="P26" s="1641">
        <v>20.8</v>
      </c>
      <c r="Q26" s="1642">
        <f t="shared" si="6"/>
        <v>210.24540000000002</v>
      </c>
      <c r="R26" s="1643">
        <v>20.8</v>
      </c>
      <c r="S26" s="1641">
        <v>20.8</v>
      </c>
      <c r="T26" s="1640">
        <v>20.8</v>
      </c>
      <c r="U26" s="1641">
        <v>20.8</v>
      </c>
      <c r="V26" s="1641">
        <v>20.8</v>
      </c>
      <c r="W26" s="1640">
        <v>20.8</v>
      </c>
      <c r="X26" s="1641">
        <v>20.8</v>
      </c>
      <c r="Y26" s="1641">
        <v>20.8</v>
      </c>
      <c r="Z26" s="1640">
        <v>20.8</v>
      </c>
      <c r="AA26" s="1641">
        <v>20.8</v>
      </c>
      <c r="AB26" s="1641">
        <v>20.8</v>
      </c>
      <c r="AC26" s="1641">
        <v>20.8</v>
      </c>
      <c r="AD26" s="1642">
        <f t="shared" si="7"/>
        <v>249.60000000000005</v>
      </c>
      <c r="AE26" s="1643">
        <v>20.8</v>
      </c>
      <c r="AF26" s="1641">
        <v>20.8</v>
      </c>
      <c r="AG26" s="1640">
        <v>20.8</v>
      </c>
      <c r="AH26" s="1641">
        <v>20.8</v>
      </c>
      <c r="AI26" s="1641">
        <v>20.8</v>
      </c>
      <c r="AJ26" s="1640">
        <v>20.8</v>
      </c>
      <c r="AK26" s="1641">
        <v>20.8</v>
      </c>
      <c r="AL26" s="1641">
        <v>20.8</v>
      </c>
      <c r="AM26" s="1640">
        <v>20.8</v>
      </c>
      <c r="AN26" s="1641">
        <v>20.8</v>
      </c>
      <c r="AO26" s="1641">
        <v>20.8</v>
      </c>
      <c r="AP26" s="1641">
        <v>20.8</v>
      </c>
      <c r="AQ26" s="1642">
        <f t="shared" si="8"/>
        <v>249.60000000000005</v>
      </c>
      <c r="AR26" s="1643">
        <v>20.8</v>
      </c>
      <c r="AS26" s="1641">
        <v>20.8</v>
      </c>
      <c r="AT26" s="1640">
        <v>20.8</v>
      </c>
      <c r="AU26" s="1641">
        <v>20.8</v>
      </c>
      <c r="AV26" s="1641">
        <v>20.8</v>
      </c>
      <c r="AW26" s="1640">
        <v>20.8</v>
      </c>
      <c r="AX26" s="1641">
        <v>20.8</v>
      </c>
      <c r="AY26" s="1641">
        <v>20.8</v>
      </c>
      <c r="AZ26" s="1640">
        <v>20.8</v>
      </c>
      <c r="BA26" s="1641">
        <v>20.8</v>
      </c>
      <c r="BB26" s="1641">
        <v>20.8</v>
      </c>
      <c r="BC26" s="1641">
        <v>20.8</v>
      </c>
      <c r="BD26" s="1644">
        <f t="shared" si="9"/>
        <v>249.60000000000005</v>
      </c>
      <c r="BE26" s="1589"/>
      <c r="BF26" s="1615" t="e">
        <f>#REF!-#REF!</f>
        <v>#REF!</v>
      </c>
      <c r="BL26" s="1498"/>
      <c r="BN26" s="1498"/>
      <c r="BO26" s="1498"/>
      <c r="BP26" s="1545"/>
      <c r="BQ26" s="815"/>
      <c r="BR26" s="815"/>
      <c r="BS26" s="815"/>
      <c r="BY26" s="1617"/>
      <c r="BZ26" s="1617"/>
      <c r="CD26" s="815"/>
      <c r="CE26" s="1617"/>
      <c r="CF26" s="1615"/>
      <c r="CG26" s="1698"/>
      <c r="CH26" s="1618" t="s">
        <v>1966</v>
      </c>
      <c r="CI26" s="1619">
        <v>76059860</v>
      </c>
      <c r="CJ26" s="1619">
        <v>79699305</v>
      </c>
      <c r="CK26" s="1619">
        <v>75207165</v>
      </c>
      <c r="CL26" s="1620">
        <v>51830820</v>
      </c>
      <c r="CM26" s="1619">
        <v>57089540</v>
      </c>
      <c r="CN26" s="1621">
        <v>50691600</v>
      </c>
      <c r="CO26" s="1620">
        <v>68545760</v>
      </c>
      <c r="CP26" s="1619">
        <v>96023780</v>
      </c>
      <c r="CQ26" s="1621">
        <v>91845952.620423898</v>
      </c>
      <c r="CR26" s="1619">
        <v>94324984.772327259</v>
      </c>
      <c r="CS26" s="1619">
        <v>91845952.620423898</v>
      </c>
      <c r="CT26" s="1619">
        <v>94324984.772327259</v>
      </c>
      <c r="CU26" s="1622">
        <f t="shared" si="1"/>
        <v>927489704.78550243</v>
      </c>
      <c r="CV26" s="1619">
        <v>95564204</v>
      </c>
      <c r="CW26" s="1619">
        <v>85649948</v>
      </c>
      <c r="CX26" s="1619">
        <v>86889230</v>
      </c>
      <c r="CY26" s="1620">
        <v>91846358</v>
      </c>
      <c r="CZ26" s="1619">
        <v>95564204</v>
      </c>
      <c r="DA26" s="1621">
        <v>91846358</v>
      </c>
      <c r="DB26" s="1620">
        <v>95564204</v>
      </c>
      <c r="DC26" s="1619">
        <v>95585127.499999985</v>
      </c>
      <c r="DD26" s="1621">
        <v>91866745.024999991</v>
      </c>
      <c r="DE26" s="1619">
        <v>95584591.024999991</v>
      </c>
      <c r="DF26" s="1619">
        <v>83191771.024999991</v>
      </c>
      <c r="DG26" s="1619">
        <v>95584591.024999991</v>
      </c>
      <c r="DH26" s="1622">
        <f t="shared" si="2"/>
        <v>1104737331.5999999</v>
      </c>
      <c r="DI26" s="1619">
        <v>96579772.024999991</v>
      </c>
      <c r="DJ26" s="1619">
        <v>85595227.024999991</v>
      </c>
      <c r="DK26" s="1619">
        <v>96579772.024999991</v>
      </c>
      <c r="DL26" s="1620">
        <v>92918257.024999991</v>
      </c>
      <c r="DM26" s="1619">
        <v>69728662.024999991</v>
      </c>
      <c r="DN26" s="1621">
        <v>58744117.024999999</v>
      </c>
      <c r="DO26" s="1620">
        <v>96579772.024999991</v>
      </c>
      <c r="DP26" s="1619">
        <v>96603753.578749999</v>
      </c>
      <c r="DQ26" s="1621">
        <v>92942238.578749999</v>
      </c>
      <c r="DR26" s="1619">
        <v>96603753.578749999</v>
      </c>
      <c r="DS26" s="1619">
        <v>92942238.578749999</v>
      </c>
      <c r="DT26" s="1619">
        <v>96603753.578749999</v>
      </c>
      <c r="DU26" s="1622">
        <f t="shared" si="3"/>
        <v>1072421317.06875</v>
      </c>
      <c r="DV26" s="1619">
        <v>100261513.17874999</v>
      </c>
      <c r="DW26" s="1619">
        <v>89141773.778750002</v>
      </c>
      <c r="DX26" s="1619">
        <v>90377300.378750011</v>
      </c>
      <c r="DY26" s="1620">
        <v>96554933.378750011</v>
      </c>
      <c r="DZ26" s="1619">
        <v>99025986.578749999</v>
      </c>
      <c r="EA26" s="1621">
        <v>96554933.378750011</v>
      </c>
      <c r="EB26" s="1620">
        <v>99025986.578749999</v>
      </c>
      <c r="EC26" s="1619">
        <v>99025986.578749999</v>
      </c>
      <c r="ED26" s="1621">
        <v>96554933.378750011</v>
      </c>
      <c r="EE26" s="1619">
        <v>99025986.578749999</v>
      </c>
      <c r="EF26" s="1619">
        <v>86670720.578749999</v>
      </c>
      <c r="EG26" s="1619">
        <v>99025986.578749999</v>
      </c>
      <c r="EH26" s="1622">
        <f t="shared" si="4"/>
        <v>1151246040.9449999</v>
      </c>
      <c r="EJ26" s="1618" t="s">
        <v>1966</v>
      </c>
      <c r="EK26" s="1619">
        <v>0</v>
      </c>
      <c r="EL26" s="1619">
        <v>0</v>
      </c>
      <c r="EM26" s="1619">
        <v>0</v>
      </c>
      <c r="EN26" s="1620">
        <v>0</v>
      </c>
      <c r="EO26" s="1619">
        <v>0</v>
      </c>
      <c r="EP26" s="1621">
        <v>0</v>
      </c>
      <c r="EQ26" s="1620">
        <v>0</v>
      </c>
      <c r="ER26" s="1619">
        <v>0</v>
      </c>
      <c r="ES26" s="1621">
        <v>0</v>
      </c>
      <c r="ET26" s="1619">
        <v>0</v>
      </c>
      <c r="EU26" s="1619">
        <v>0</v>
      </c>
      <c r="EV26" s="1619">
        <v>0</v>
      </c>
      <c r="EW26" s="1622">
        <v>0</v>
      </c>
      <c r="EX26" s="1619">
        <v>0</v>
      </c>
      <c r="EY26" s="1619">
        <v>0</v>
      </c>
      <c r="EZ26" s="1619">
        <v>0</v>
      </c>
      <c r="FA26" s="1619">
        <v>0</v>
      </c>
      <c r="FB26" s="1619">
        <v>0</v>
      </c>
      <c r="FC26" s="1619">
        <v>0</v>
      </c>
      <c r="FD26" s="1619">
        <v>0</v>
      </c>
      <c r="FE26" s="1619">
        <v>0</v>
      </c>
      <c r="FF26" s="1619">
        <v>0</v>
      </c>
      <c r="FG26" s="1619">
        <v>0</v>
      </c>
      <c r="FH26" s="1619">
        <v>0</v>
      </c>
      <c r="FI26" s="1619">
        <v>0</v>
      </c>
      <c r="FJ26" s="1622">
        <v>0</v>
      </c>
      <c r="FK26" s="1619">
        <v>0</v>
      </c>
      <c r="FL26" s="1619">
        <v>0</v>
      </c>
      <c r="FM26" s="1619">
        <v>0</v>
      </c>
      <c r="FN26" s="1620">
        <v>0</v>
      </c>
      <c r="FO26" s="1619">
        <v>0</v>
      </c>
      <c r="FP26" s="1621">
        <v>0</v>
      </c>
      <c r="FQ26" s="1620">
        <v>0</v>
      </c>
      <c r="FR26" s="1619">
        <v>0</v>
      </c>
      <c r="FS26" s="1621">
        <v>0</v>
      </c>
      <c r="FT26" s="1619">
        <v>0</v>
      </c>
      <c r="FU26" s="1619">
        <v>0</v>
      </c>
      <c r="FV26" s="1619">
        <v>0</v>
      </c>
      <c r="FW26" s="1622">
        <v>0</v>
      </c>
      <c r="FX26" s="1619">
        <v>0</v>
      </c>
      <c r="FY26" s="1619">
        <v>0</v>
      </c>
      <c r="FZ26" s="1619">
        <v>0</v>
      </c>
      <c r="GA26" s="1620">
        <v>0</v>
      </c>
      <c r="GB26" s="1619">
        <v>0</v>
      </c>
      <c r="GC26" s="1621">
        <v>0</v>
      </c>
      <c r="GD26" s="1620">
        <v>0</v>
      </c>
      <c r="GE26" s="1619">
        <v>0</v>
      </c>
      <c r="GF26" s="1621">
        <v>0</v>
      </c>
      <c r="GG26" s="1619">
        <v>0</v>
      </c>
      <c r="GH26" s="1619">
        <v>0</v>
      </c>
      <c r="GI26" s="1619">
        <v>0</v>
      </c>
      <c r="GJ26" s="1622">
        <v>0</v>
      </c>
      <c r="GL26" s="1652"/>
      <c r="GM26" s="1709">
        <v>1.4</v>
      </c>
      <c r="GN26" s="1714" t="s">
        <v>2941</v>
      </c>
      <c r="GO26" s="1655" t="s">
        <v>2942</v>
      </c>
      <c r="GP26" s="1655" t="s">
        <v>2932</v>
      </c>
      <c r="GQ26" s="1656">
        <v>10</v>
      </c>
      <c r="GR26" s="1711" t="s">
        <v>2942</v>
      </c>
      <c r="GS26" s="1712">
        <v>20</v>
      </c>
      <c r="GT26" s="1662">
        <v>20000</v>
      </c>
      <c r="GU26" s="1661"/>
      <c r="GV26" s="1661"/>
      <c r="GW26" s="1661"/>
      <c r="GX26" s="1661"/>
      <c r="GY26" s="1661"/>
      <c r="GZ26" s="1661"/>
      <c r="HA26" s="1661"/>
      <c r="HB26" s="1661"/>
      <c r="HC26" s="1661">
        <v>20000</v>
      </c>
      <c r="HD26" s="1661"/>
      <c r="HE26" s="1661"/>
      <c r="HF26" s="1661"/>
      <c r="HG26" s="1662">
        <v>0</v>
      </c>
      <c r="HH26" s="1661"/>
      <c r="HI26" s="1661"/>
      <c r="HJ26" s="1661"/>
      <c r="HK26" s="1661"/>
      <c r="HL26" s="1661"/>
      <c r="HM26" s="1661"/>
      <c r="HN26" s="1661"/>
      <c r="HO26" s="1661"/>
      <c r="HP26" s="1661"/>
      <c r="HQ26" s="1661"/>
      <c r="HR26" s="1661"/>
      <c r="HS26" s="1661"/>
      <c r="HT26" s="1662">
        <v>0</v>
      </c>
      <c r="HU26" s="1661"/>
      <c r="HV26" s="1661"/>
      <c r="HW26" s="1661"/>
      <c r="HX26" s="1661"/>
      <c r="HY26" s="1661"/>
      <c r="HZ26" s="1661"/>
      <c r="IA26" s="1661"/>
      <c r="IB26" s="1661"/>
      <c r="IC26" s="1661"/>
      <c r="ID26" s="1661"/>
      <c r="IE26" s="1661"/>
      <c r="IF26" s="1661"/>
      <c r="IG26" s="1662">
        <v>0</v>
      </c>
      <c r="IH26" s="1661"/>
      <c r="II26" s="1661"/>
      <c r="IJ26" s="1661"/>
      <c r="IK26" s="1661"/>
      <c r="IL26" s="1661"/>
      <c r="IM26" s="1661"/>
      <c r="IN26" s="1661"/>
      <c r="IO26" s="1661"/>
      <c r="IP26" s="1661"/>
      <c r="IQ26" s="1661"/>
      <c r="IR26" s="1661"/>
      <c r="IS26" s="1661"/>
      <c r="IT26" s="1662">
        <v>20000</v>
      </c>
      <c r="IU26" s="1662">
        <v>0</v>
      </c>
      <c r="IV26" s="1713"/>
    </row>
    <row r="27" spans="2:256" ht="16.5" outlineLevel="1">
      <c r="B27" s="1664" t="s">
        <v>1298</v>
      </c>
      <c r="C27" s="1664"/>
      <c r="D27" s="1665"/>
      <c r="E27" s="1666">
        <f t="shared" ref="E27:P27" si="13">IFERROR(SUM(E28:E33),"")</f>
        <v>18245.736858</v>
      </c>
      <c r="F27" s="1667">
        <f t="shared" si="13"/>
        <v>17477.940835000001</v>
      </c>
      <c r="G27" s="1668">
        <f t="shared" si="13"/>
        <v>15497.758995000002</v>
      </c>
      <c r="H27" s="1667">
        <f t="shared" si="13"/>
        <v>16493.229061000002</v>
      </c>
      <c r="I27" s="1667">
        <f t="shared" si="13"/>
        <v>18334.657423000001</v>
      </c>
      <c r="J27" s="1668">
        <f t="shared" si="13"/>
        <v>8939.7323950000009</v>
      </c>
      <c r="K27" s="1667">
        <f t="shared" si="13"/>
        <v>16091.653242999999</v>
      </c>
      <c r="L27" s="1667">
        <f t="shared" si="13"/>
        <v>15008.038804</v>
      </c>
      <c r="M27" s="1669">
        <f t="shared" si="13"/>
        <v>22314.666216886588</v>
      </c>
      <c r="N27" s="1670">
        <f t="shared" si="13"/>
        <v>23984.271749522042</v>
      </c>
      <c r="O27" s="1670">
        <f t="shared" si="13"/>
        <v>19872.154174143583</v>
      </c>
      <c r="P27" s="1670">
        <f t="shared" si="13"/>
        <v>20821.012307576493</v>
      </c>
      <c r="Q27" s="1671">
        <f t="shared" si="6"/>
        <v>213080.85206212872</v>
      </c>
      <c r="R27" s="1672">
        <f t="shared" ref="R27:AC27" si="14">IFERROR(SUM(R28:R33),"")</f>
        <v>20374.24933414756</v>
      </c>
      <c r="S27" s="1670">
        <f t="shared" si="14"/>
        <v>19178.172779524339</v>
      </c>
      <c r="T27" s="1669">
        <f t="shared" si="14"/>
        <v>8780.7163720565713</v>
      </c>
      <c r="U27" s="1670">
        <f t="shared" si="14"/>
        <v>20546.966987897344</v>
      </c>
      <c r="V27" s="1670">
        <f t="shared" si="14"/>
        <v>20817.587303828164</v>
      </c>
      <c r="W27" s="1669">
        <f t="shared" si="14"/>
        <v>20476.24368514715</v>
      </c>
      <c r="X27" s="1670">
        <f t="shared" si="14"/>
        <v>21275.746933252271</v>
      </c>
      <c r="Y27" s="1670">
        <f t="shared" si="14"/>
        <v>21055.211374065657</v>
      </c>
      <c r="Z27" s="1669">
        <f t="shared" si="14"/>
        <v>20358.536547069347</v>
      </c>
      <c r="AA27" s="1670">
        <f t="shared" si="14"/>
        <v>21120.756204698686</v>
      </c>
      <c r="AB27" s="1670">
        <f t="shared" si="14"/>
        <v>18324.718168982956</v>
      </c>
      <c r="AC27" s="1670">
        <f t="shared" si="14"/>
        <v>21736.881101837153</v>
      </c>
      <c r="AD27" s="1671">
        <f t="shared" si="7"/>
        <v>234045.78679250716</v>
      </c>
      <c r="AE27" s="1672">
        <f t="shared" ref="AE27:AP27" si="15">IFERROR(SUM(AE28:AE33),"")</f>
        <v>20659.193108952179</v>
      </c>
      <c r="AF27" s="1670">
        <f t="shared" si="15"/>
        <v>18345.130720575595</v>
      </c>
      <c r="AG27" s="1669">
        <f t="shared" si="15"/>
        <v>20820.219049218555</v>
      </c>
      <c r="AH27" s="1670">
        <f t="shared" si="15"/>
        <v>19826.930986393141</v>
      </c>
      <c r="AI27" s="1670">
        <f t="shared" si="15"/>
        <v>14621.024230449799</v>
      </c>
      <c r="AJ27" s="1669">
        <f t="shared" si="15"/>
        <v>6176.6362724940964</v>
      </c>
      <c r="AK27" s="1670">
        <f t="shared" si="15"/>
        <v>23841.45049756845</v>
      </c>
      <c r="AL27" s="1670">
        <f t="shared" si="15"/>
        <v>20882.330424669777</v>
      </c>
      <c r="AM27" s="1669">
        <f t="shared" si="15"/>
        <v>19891.302542778929</v>
      </c>
      <c r="AN27" s="1670">
        <f t="shared" si="15"/>
        <v>20722.340065398621</v>
      </c>
      <c r="AO27" s="1670">
        <f t="shared" si="15"/>
        <v>19771.789671285835</v>
      </c>
      <c r="AP27" s="1670">
        <f t="shared" si="15"/>
        <v>20909.87079254433</v>
      </c>
      <c r="AQ27" s="1671">
        <f t="shared" si="8"/>
        <v>226468.21836232932</v>
      </c>
      <c r="AR27" s="1672">
        <f t="shared" ref="AR27:BC27" si="16">IFERROR(SUM(AR28:AR33),"")</f>
        <v>21272.292089365306</v>
      </c>
      <c r="AS27" s="1670">
        <f t="shared" si="16"/>
        <v>18848.129822193911</v>
      </c>
      <c r="AT27" s="1669">
        <f t="shared" si="16"/>
        <v>19374.495214799939</v>
      </c>
      <c r="AU27" s="1670">
        <f t="shared" si="16"/>
        <v>20703.794682480097</v>
      </c>
      <c r="AV27" s="1670">
        <f t="shared" si="16"/>
        <v>20730.708098995234</v>
      </c>
      <c r="AW27" s="1669">
        <f t="shared" si="16"/>
        <v>20546.683554401949</v>
      </c>
      <c r="AX27" s="1670">
        <f t="shared" si="16"/>
        <v>21086.956804336663</v>
      </c>
      <c r="AY27" s="1670">
        <f t="shared" si="16"/>
        <v>21078.369042775939</v>
      </c>
      <c r="AZ27" s="1669">
        <f t="shared" si="16"/>
        <v>20537.510214329337</v>
      </c>
      <c r="BA27" s="1670">
        <f t="shared" si="16"/>
        <v>20712.979089437969</v>
      </c>
      <c r="BB27" s="1670">
        <f t="shared" si="16"/>
        <v>17998.171524369227</v>
      </c>
      <c r="BC27" s="1670">
        <f t="shared" si="16"/>
        <v>21201.760471733731</v>
      </c>
      <c r="BD27" s="1715">
        <f t="shared" si="9"/>
        <v>244091.85060921931</v>
      </c>
      <c r="BE27" s="1589"/>
      <c r="BF27" s="1615" t="e">
        <f>#REF!-#REF!</f>
        <v>#REF!</v>
      </c>
      <c r="BL27" s="1498"/>
      <c r="BN27" s="1498"/>
      <c r="BO27" s="1498"/>
      <c r="BP27" s="1545"/>
      <c r="BQ27" s="815"/>
      <c r="BR27" s="815"/>
      <c r="BS27" s="815"/>
      <c r="BY27" s="1617"/>
      <c r="BZ27" s="1617"/>
      <c r="CD27" s="815"/>
      <c r="CE27" s="1617"/>
      <c r="CF27" s="1615"/>
      <c r="CG27" s="1559"/>
      <c r="CH27" s="1716" t="s">
        <v>1970</v>
      </c>
      <c r="CI27" s="1648">
        <v>99676385</v>
      </c>
      <c r="CJ27" s="1648">
        <v>89785360</v>
      </c>
      <c r="CK27" s="1648">
        <v>72487987</v>
      </c>
      <c r="CL27" s="1649">
        <v>78879380</v>
      </c>
      <c r="CM27" s="1648">
        <v>75938466</v>
      </c>
      <c r="CN27" s="1650">
        <v>78671069</v>
      </c>
      <c r="CO27" s="1649">
        <v>90382894</v>
      </c>
      <c r="CP27" s="1648">
        <v>99197502</v>
      </c>
      <c r="CQ27" s="1650">
        <v>135589547</v>
      </c>
      <c r="CR27" s="1648">
        <v>92813547</v>
      </c>
      <c r="CS27" s="1648">
        <v>99046160</v>
      </c>
      <c r="CT27" s="1648">
        <v>145923002</v>
      </c>
      <c r="CU27" s="1651">
        <f t="shared" si="1"/>
        <v>1158391299</v>
      </c>
      <c r="CV27" s="1648">
        <v>116250562</v>
      </c>
      <c r="CW27" s="1648">
        <v>92092562</v>
      </c>
      <c r="CX27" s="1648">
        <v>94702562</v>
      </c>
      <c r="CY27" s="1649">
        <v>103577788.7</v>
      </c>
      <c r="CZ27" s="1648">
        <v>105675788.7</v>
      </c>
      <c r="DA27" s="1650">
        <v>99609788.700000003</v>
      </c>
      <c r="DB27" s="1649">
        <v>92226788.700000003</v>
      </c>
      <c r="DC27" s="1648">
        <v>110377788.7</v>
      </c>
      <c r="DD27" s="1650">
        <v>112684788.7</v>
      </c>
      <c r="DE27" s="1648">
        <v>101566788.7</v>
      </c>
      <c r="DF27" s="1648">
        <v>104465788.7</v>
      </c>
      <c r="DG27" s="1648">
        <v>167479788.69999999</v>
      </c>
      <c r="DH27" s="1651">
        <f t="shared" si="2"/>
        <v>1300710784.3000002</v>
      </c>
      <c r="DI27" s="1648">
        <v>121692068.7</v>
      </c>
      <c r="DJ27" s="1648">
        <v>96486788.700000003</v>
      </c>
      <c r="DK27" s="1648">
        <v>99120788.700000003</v>
      </c>
      <c r="DL27" s="1649">
        <v>109009769.8</v>
      </c>
      <c r="DM27" s="1648">
        <v>111057769.8</v>
      </c>
      <c r="DN27" s="1650">
        <v>105591769.8</v>
      </c>
      <c r="DO27" s="1649">
        <v>99258769.799999997</v>
      </c>
      <c r="DP27" s="1648">
        <v>114794769.8</v>
      </c>
      <c r="DQ27" s="1650">
        <v>117066769.8</v>
      </c>
      <c r="DR27" s="1648">
        <v>98798769.799999997</v>
      </c>
      <c r="DS27" s="1648">
        <v>102967769.8</v>
      </c>
      <c r="DT27" s="1648">
        <v>174811769.80000001</v>
      </c>
      <c r="DU27" s="1651">
        <f t="shared" si="3"/>
        <v>1350657574.2999997</v>
      </c>
      <c r="DV27" s="1648">
        <v>130075221</v>
      </c>
      <c r="DW27" s="1648">
        <v>100178769.8</v>
      </c>
      <c r="DX27" s="1648">
        <v>103862769.8</v>
      </c>
      <c r="DY27" s="1649">
        <v>123439385.62121212</v>
      </c>
      <c r="DZ27" s="1648">
        <v>117117385.62121212</v>
      </c>
      <c r="EA27" s="1650">
        <v>111725385.62121212</v>
      </c>
      <c r="EB27" s="1649">
        <v>103818385.62121212</v>
      </c>
      <c r="EC27" s="1648">
        <v>119914385.62121212</v>
      </c>
      <c r="ED27" s="1650">
        <v>120750385.62121212</v>
      </c>
      <c r="EE27" s="1648">
        <v>108158385.62121212</v>
      </c>
      <c r="EF27" s="1648">
        <v>109577385.62121212</v>
      </c>
      <c r="EG27" s="1648">
        <v>181395385.62121212</v>
      </c>
      <c r="EH27" s="1651">
        <f t="shared" si="4"/>
        <v>1430013231.1909089</v>
      </c>
      <c r="EI27" s="1529"/>
      <c r="EJ27" s="1716" t="s">
        <v>1970</v>
      </c>
      <c r="EK27" s="1648">
        <v>7980415</v>
      </c>
      <c r="EL27" s="1648">
        <v>13537430</v>
      </c>
      <c r="EM27" s="1648">
        <v>3590360</v>
      </c>
      <c r="EN27" s="1649">
        <v>3518501</v>
      </c>
      <c r="EO27" s="1648">
        <v>5456554</v>
      </c>
      <c r="EP27" s="1650">
        <v>4243577</v>
      </c>
      <c r="EQ27" s="1649">
        <v>14132637</v>
      </c>
      <c r="ER27" s="1648">
        <v>6106835</v>
      </c>
      <c r="ES27" s="1650">
        <v>14008865.730240552</v>
      </c>
      <c r="ET27" s="1648">
        <v>18798865.73024055</v>
      </c>
      <c r="EU27" s="1648">
        <v>7898865.7302405499</v>
      </c>
      <c r="EV27" s="1648">
        <v>14171865.730240552</v>
      </c>
      <c r="EW27" s="1651">
        <v>113444771.92096221</v>
      </c>
      <c r="EX27" s="1648">
        <v>6992727.2727272725</v>
      </c>
      <c r="EY27" s="1648">
        <v>6217727.2727272725</v>
      </c>
      <c r="EZ27" s="1648">
        <v>9569727.2727272734</v>
      </c>
      <c r="FA27" s="1648">
        <v>6167727.2727272725</v>
      </c>
      <c r="FB27" s="1648">
        <v>7012727.2727272725</v>
      </c>
      <c r="FC27" s="1648">
        <v>6314727.2727272725</v>
      </c>
      <c r="FD27" s="1648">
        <v>5362727.2727272725</v>
      </c>
      <c r="FE27" s="1648">
        <v>5827727.2727272725</v>
      </c>
      <c r="FF27" s="1648">
        <v>9548060.2727272734</v>
      </c>
      <c r="FG27" s="1648">
        <v>6801060.2727272725</v>
      </c>
      <c r="FH27" s="1648">
        <v>7651060.2727272725</v>
      </c>
      <c r="FI27" s="1648">
        <v>26114727.272727273</v>
      </c>
      <c r="FJ27" s="1651">
        <v>103580726.27272728</v>
      </c>
      <c r="FK27" s="1648">
        <v>6892727.2727272725</v>
      </c>
      <c r="FL27" s="1648">
        <v>6217727.2727272725</v>
      </c>
      <c r="FM27" s="1648">
        <v>9619727.2727272734</v>
      </c>
      <c r="FN27" s="1649">
        <v>6217727.2727272725</v>
      </c>
      <c r="FO27" s="1648">
        <v>7012727.2727272725</v>
      </c>
      <c r="FP27" s="1650">
        <v>6414727.2727272725</v>
      </c>
      <c r="FQ27" s="1649">
        <v>5412727.2727272725</v>
      </c>
      <c r="FR27" s="1648">
        <v>7627727.2727272725</v>
      </c>
      <c r="FS27" s="1650">
        <v>9448060.2727272734</v>
      </c>
      <c r="FT27" s="1648">
        <v>9851060.2727272734</v>
      </c>
      <c r="FU27" s="1648">
        <v>7651060.2727272725</v>
      </c>
      <c r="FV27" s="1648">
        <v>25064727.272727273</v>
      </c>
      <c r="FW27" s="1651">
        <v>107430726.27272728</v>
      </c>
      <c r="FX27" s="1648">
        <v>6942727.2727272725</v>
      </c>
      <c r="FY27" s="1648">
        <v>6167727.2727272725</v>
      </c>
      <c r="FZ27" s="1648">
        <v>9167727.2727272734</v>
      </c>
      <c r="GA27" s="1649">
        <v>6267727.2727272725</v>
      </c>
      <c r="GB27" s="1648">
        <v>6962727.2727272725</v>
      </c>
      <c r="GC27" s="1650">
        <v>5862727.2727272725</v>
      </c>
      <c r="GD27" s="1649">
        <v>5412727.2727272725</v>
      </c>
      <c r="GE27" s="1648">
        <v>5777727.2727272725</v>
      </c>
      <c r="GF27" s="1650">
        <v>9046060.2727272734</v>
      </c>
      <c r="GG27" s="1648">
        <v>6851060.2727272725</v>
      </c>
      <c r="GH27" s="1648">
        <v>7601060.2727272725</v>
      </c>
      <c r="GI27" s="1648">
        <v>26512727.272727273</v>
      </c>
      <c r="GJ27" s="1651">
        <v>102572726.27272728</v>
      </c>
      <c r="GL27" s="1623"/>
      <c r="GM27" s="1552">
        <v>1.5</v>
      </c>
      <c r="GN27" s="1704" t="s">
        <v>2943</v>
      </c>
      <c r="GO27" s="1626" t="s">
        <v>1878</v>
      </c>
      <c r="GP27" s="1626" t="s">
        <v>2932</v>
      </c>
      <c r="GQ27" s="1627">
        <v>12</v>
      </c>
      <c r="GR27" s="1705" t="s">
        <v>2944</v>
      </c>
      <c r="GS27" s="1706">
        <v>21</v>
      </c>
      <c r="GT27" s="1633">
        <v>0</v>
      </c>
      <c r="GU27" s="1632"/>
      <c r="GV27" s="1632"/>
      <c r="GW27" s="1632"/>
      <c r="GX27" s="1632"/>
      <c r="GY27" s="1632"/>
      <c r="GZ27" s="1632"/>
      <c r="HA27" s="1632"/>
      <c r="HB27" s="1632"/>
      <c r="HC27" s="1632"/>
      <c r="HD27" s="1632"/>
      <c r="HE27" s="1632"/>
      <c r="HF27" s="1632"/>
      <c r="HG27" s="1633">
        <v>90000</v>
      </c>
      <c r="HH27" s="1632"/>
      <c r="HI27" s="1632"/>
      <c r="HJ27" s="1632"/>
      <c r="HK27" s="1632">
        <v>90000</v>
      </c>
      <c r="HL27" s="1632"/>
      <c r="HM27" s="1632"/>
      <c r="HN27" s="1632"/>
      <c r="HO27" s="1632"/>
      <c r="HP27" s="1632"/>
      <c r="HQ27" s="1632"/>
      <c r="HR27" s="1632"/>
      <c r="HS27" s="1632"/>
      <c r="HT27" s="1633">
        <v>0</v>
      </c>
      <c r="HU27" s="1632"/>
      <c r="HV27" s="1632"/>
      <c r="HW27" s="1632"/>
      <c r="HX27" s="1632"/>
      <c r="HY27" s="1632"/>
      <c r="HZ27" s="1632"/>
      <c r="IA27" s="1632"/>
      <c r="IB27" s="1632"/>
      <c r="IC27" s="1632"/>
      <c r="ID27" s="1632"/>
      <c r="IE27" s="1632"/>
      <c r="IF27" s="1632"/>
      <c r="IG27" s="1633">
        <v>0</v>
      </c>
      <c r="IH27" s="1632"/>
      <c r="II27" s="1632"/>
      <c r="IJ27" s="1632"/>
      <c r="IK27" s="1632"/>
      <c r="IL27" s="1632"/>
      <c r="IM27" s="1632"/>
      <c r="IN27" s="1632"/>
      <c r="IO27" s="1632"/>
      <c r="IP27" s="1632"/>
      <c r="IQ27" s="1632"/>
      <c r="IR27" s="1632"/>
      <c r="IS27" s="1632"/>
      <c r="IT27" s="1633">
        <v>90000</v>
      </c>
      <c r="IU27" s="1633">
        <v>90000</v>
      </c>
      <c r="IV27" s="1707"/>
    </row>
    <row r="28" spans="2:256" ht="16.5" outlineLevel="1">
      <c r="B28" s="1498"/>
      <c r="C28" s="1498" t="s">
        <v>2448</v>
      </c>
      <c r="D28" s="1717"/>
      <c r="E28" s="1718">
        <v>14778.688749554549</v>
      </c>
      <c r="F28" s="1719">
        <v>14155.654950741531</v>
      </c>
      <c r="G28" s="1719">
        <v>12880.698828386789</v>
      </c>
      <c r="H28" s="1720">
        <v>13344.923979766945</v>
      </c>
      <c r="I28" s="1719">
        <v>15313.10330122037</v>
      </c>
      <c r="J28" s="1721">
        <v>6764.9898593269827</v>
      </c>
      <c r="K28" s="1719">
        <v>11159.778246217442</v>
      </c>
      <c r="L28" s="1719">
        <v>12593.049628296978</v>
      </c>
      <c r="M28" s="1722">
        <v>18617.087740332514</v>
      </c>
      <c r="N28" s="1499">
        <v>19879.835638149048</v>
      </c>
      <c r="O28" s="1499">
        <v>16478.556162074416</v>
      </c>
      <c r="P28" s="1499">
        <v>17043.428129403779</v>
      </c>
      <c r="Q28" s="1723">
        <f t="shared" si="6"/>
        <v>173009.79521347134</v>
      </c>
      <c r="R28" s="1724">
        <v>17588.075393552957</v>
      </c>
      <c r="S28" s="1499">
        <v>15836.901631518056</v>
      </c>
      <c r="T28" s="1499">
        <v>7056.3023666099243</v>
      </c>
      <c r="U28" s="1725">
        <v>16705.621310746268</v>
      </c>
      <c r="V28" s="1499">
        <v>17262.804600356627</v>
      </c>
      <c r="W28" s="1722">
        <v>16829.781488434961</v>
      </c>
      <c r="X28" s="1499">
        <v>17417.144993384933</v>
      </c>
      <c r="Y28" s="1499">
        <v>17414.550465985496</v>
      </c>
      <c r="Z28" s="1499">
        <v>16835.47552635079</v>
      </c>
      <c r="AA28" s="1726">
        <v>17385.429040499443</v>
      </c>
      <c r="AB28" s="1499">
        <v>15225.600011527462</v>
      </c>
      <c r="AC28" s="1499">
        <v>17480.424189511505</v>
      </c>
      <c r="AD28" s="1723">
        <f t="shared" si="7"/>
        <v>193038.11101847843</v>
      </c>
      <c r="AE28" s="1724">
        <v>17004.415226496421</v>
      </c>
      <c r="AF28" s="1499">
        <v>15144.58301509808</v>
      </c>
      <c r="AG28" s="1499">
        <v>17109.843745369326</v>
      </c>
      <c r="AH28" s="1725">
        <v>16417.756955703033</v>
      </c>
      <c r="AI28" s="1499">
        <v>12180.427561574155</v>
      </c>
      <c r="AJ28" s="1722">
        <v>4693.1472950843981</v>
      </c>
      <c r="AK28" s="1499">
        <v>17260.983966435178</v>
      </c>
      <c r="AL28" s="1499">
        <v>16990.111494320587</v>
      </c>
      <c r="AM28" s="1499">
        <v>16445.359093283048</v>
      </c>
      <c r="AN28" s="1499">
        <v>17099.333913099235</v>
      </c>
      <c r="AO28" s="1499">
        <v>16438.250247949647</v>
      </c>
      <c r="AP28" s="1499">
        <v>17115.634481090878</v>
      </c>
      <c r="AQ28" s="1723">
        <f t="shared" si="8"/>
        <v>183899.84699550399</v>
      </c>
      <c r="AR28" s="1724">
        <v>17493.728211470738</v>
      </c>
      <c r="AS28" s="1499">
        <v>15476.993251484149</v>
      </c>
      <c r="AT28" s="1499">
        <v>15709.81024395945</v>
      </c>
      <c r="AU28" s="1725">
        <v>16811.07562882307</v>
      </c>
      <c r="AV28" s="1499">
        <v>17161.899221211861</v>
      </c>
      <c r="AW28" s="1722">
        <v>16830.33456555062</v>
      </c>
      <c r="AX28" s="1725">
        <v>17186.292387355435</v>
      </c>
      <c r="AY28" s="1499">
        <v>17322.042074038352</v>
      </c>
      <c r="AZ28" s="1722">
        <v>16859.646697778862</v>
      </c>
      <c r="BA28" s="1499">
        <v>17069.268382184193</v>
      </c>
      <c r="BB28" s="1499">
        <v>15053.568841288179</v>
      </c>
      <c r="BC28" s="1499">
        <v>17286.922342427191</v>
      </c>
      <c r="BD28" s="1727">
        <f t="shared" si="9"/>
        <v>200261.58184757209</v>
      </c>
      <c r="BE28" s="1589"/>
      <c r="BF28" s="1615" t="e">
        <f>#REF!-#REF!</f>
        <v>#REF!</v>
      </c>
      <c r="BL28" s="1498"/>
      <c r="BN28" s="1498"/>
      <c r="BO28" s="1498"/>
      <c r="BP28" s="1545"/>
      <c r="BQ28" s="815"/>
      <c r="BR28" s="815"/>
      <c r="BS28" s="815"/>
      <c r="BY28" s="1617"/>
      <c r="BZ28" s="1617"/>
      <c r="CD28" s="815"/>
      <c r="CE28" s="1617"/>
      <c r="CF28" s="1615"/>
      <c r="CG28" s="1559"/>
      <c r="CH28" s="1716" t="s">
        <v>1978</v>
      </c>
      <c r="CI28" s="1648">
        <v>1222157</v>
      </c>
      <c r="CJ28" s="1648">
        <v>1555652</v>
      </c>
      <c r="CK28" s="1648">
        <v>680765</v>
      </c>
      <c r="CL28" s="1649">
        <v>922581</v>
      </c>
      <c r="CM28" s="1648">
        <v>571843</v>
      </c>
      <c r="CN28" s="1650">
        <v>686908</v>
      </c>
      <c r="CO28" s="1649">
        <v>1148387</v>
      </c>
      <c r="CP28" s="1648">
        <v>1127955</v>
      </c>
      <c r="CQ28" s="1650">
        <v>7230000</v>
      </c>
      <c r="CR28" s="1648">
        <v>1580000</v>
      </c>
      <c r="CS28" s="1648">
        <v>1480000</v>
      </c>
      <c r="CT28" s="1648">
        <v>2595000</v>
      </c>
      <c r="CU28" s="1651">
        <f t="shared" si="1"/>
        <v>20801248</v>
      </c>
      <c r="CV28" s="1648">
        <v>1345001</v>
      </c>
      <c r="CW28" s="1648">
        <v>4545000</v>
      </c>
      <c r="CX28" s="1648">
        <v>1595000</v>
      </c>
      <c r="CY28" s="1649">
        <v>1845000</v>
      </c>
      <c r="CZ28" s="1648">
        <v>1345000</v>
      </c>
      <c r="DA28" s="1650">
        <v>2195000</v>
      </c>
      <c r="DB28" s="1649">
        <v>1345000</v>
      </c>
      <c r="DC28" s="1648">
        <v>2095000</v>
      </c>
      <c r="DD28" s="1650">
        <v>9345000</v>
      </c>
      <c r="DE28" s="1648">
        <v>2095000</v>
      </c>
      <c r="DF28" s="1648">
        <v>1695000</v>
      </c>
      <c r="DG28" s="1648">
        <v>2095000</v>
      </c>
      <c r="DH28" s="1651">
        <f t="shared" si="2"/>
        <v>31540001</v>
      </c>
      <c r="DI28" s="1648">
        <v>1345001</v>
      </c>
      <c r="DJ28" s="1648">
        <v>4745000</v>
      </c>
      <c r="DK28" s="1648">
        <v>1795000</v>
      </c>
      <c r="DL28" s="1649">
        <v>2045000</v>
      </c>
      <c r="DM28" s="1648">
        <v>1345000</v>
      </c>
      <c r="DN28" s="1650">
        <v>2195000</v>
      </c>
      <c r="DO28" s="1649">
        <v>1345000</v>
      </c>
      <c r="DP28" s="1648">
        <v>2095000</v>
      </c>
      <c r="DQ28" s="1650">
        <v>9345000</v>
      </c>
      <c r="DR28" s="1648">
        <v>2095000</v>
      </c>
      <c r="DS28" s="1648">
        <v>1695000</v>
      </c>
      <c r="DT28" s="1648">
        <v>2095000</v>
      </c>
      <c r="DU28" s="1651">
        <f t="shared" si="3"/>
        <v>32140001</v>
      </c>
      <c r="DV28" s="1648">
        <v>1345001</v>
      </c>
      <c r="DW28" s="1648">
        <v>4545000</v>
      </c>
      <c r="DX28" s="1648">
        <v>1595000</v>
      </c>
      <c r="DY28" s="1649">
        <v>1845000</v>
      </c>
      <c r="DZ28" s="1648">
        <v>1345000</v>
      </c>
      <c r="EA28" s="1650">
        <v>2195000</v>
      </c>
      <c r="EB28" s="1649">
        <v>1345000</v>
      </c>
      <c r="EC28" s="1648">
        <v>2095000</v>
      </c>
      <c r="ED28" s="1650">
        <v>9345000</v>
      </c>
      <c r="EE28" s="1648">
        <v>2095000</v>
      </c>
      <c r="EF28" s="1648">
        <v>1695000</v>
      </c>
      <c r="EG28" s="1648">
        <v>2095000</v>
      </c>
      <c r="EH28" s="1651">
        <f t="shared" si="4"/>
        <v>31540001</v>
      </c>
      <c r="EJ28" s="1716" t="s">
        <v>1978</v>
      </c>
      <c r="EK28" s="1648">
        <v>657945</v>
      </c>
      <c r="EL28" s="1648">
        <v>827602</v>
      </c>
      <c r="EM28" s="1648">
        <v>164930</v>
      </c>
      <c r="EN28" s="1649">
        <v>0</v>
      </c>
      <c r="EO28" s="1648">
        <v>290910</v>
      </c>
      <c r="EP28" s="1650">
        <v>913881</v>
      </c>
      <c r="EQ28" s="1649">
        <v>827534</v>
      </c>
      <c r="ER28" s="1648">
        <v>365502</v>
      </c>
      <c r="ES28" s="1650">
        <v>1002875.5333333333</v>
      </c>
      <c r="ET28" s="1648">
        <v>1002875.5333333333</v>
      </c>
      <c r="EU28" s="1648">
        <v>4642875.5333333332</v>
      </c>
      <c r="EV28" s="1648">
        <v>2242875.5333333332</v>
      </c>
      <c r="EW28" s="1651">
        <v>12939806.133333333</v>
      </c>
      <c r="EX28" s="1648">
        <v>2780000</v>
      </c>
      <c r="EY28" s="1648">
        <v>3260000</v>
      </c>
      <c r="EZ28" s="1648">
        <v>5340000</v>
      </c>
      <c r="FA28" s="1648">
        <v>5340000</v>
      </c>
      <c r="FB28" s="1648">
        <v>3260000</v>
      </c>
      <c r="FC28" s="1648">
        <v>2780000</v>
      </c>
      <c r="FD28" s="1648">
        <v>3740000</v>
      </c>
      <c r="FE28" s="1648">
        <v>5500000</v>
      </c>
      <c r="FF28" s="1648">
        <v>6140000</v>
      </c>
      <c r="FG28" s="1648">
        <v>3260000</v>
      </c>
      <c r="FH28" s="1648">
        <v>2780000</v>
      </c>
      <c r="FI28" s="1648">
        <v>8373000</v>
      </c>
      <c r="FJ28" s="1651">
        <v>52553000</v>
      </c>
      <c r="FK28" s="1648">
        <v>4340000</v>
      </c>
      <c r="FL28" s="1648">
        <v>4940000</v>
      </c>
      <c r="FM28" s="1648">
        <v>7540000</v>
      </c>
      <c r="FN28" s="1649">
        <v>7540000</v>
      </c>
      <c r="FO28" s="1648">
        <v>4940000</v>
      </c>
      <c r="FP28" s="1650">
        <v>4340000</v>
      </c>
      <c r="FQ28" s="1649">
        <v>5540000</v>
      </c>
      <c r="FR28" s="1648">
        <v>7740000</v>
      </c>
      <c r="FS28" s="1650">
        <v>8540000</v>
      </c>
      <c r="FT28" s="1648">
        <v>4940000</v>
      </c>
      <c r="FU28" s="1648">
        <v>4340000</v>
      </c>
      <c r="FV28" s="1648">
        <v>9933000</v>
      </c>
      <c r="FW28" s="1651">
        <v>74673000</v>
      </c>
      <c r="FX28" s="1648">
        <v>2780000</v>
      </c>
      <c r="FY28" s="1648">
        <v>3260000</v>
      </c>
      <c r="FZ28" s="1648">
        <v>5340000</v>
      </c>
      <c r="GA28" s="1649">
        <v>5340000</v>
      </c>
      <c r="GB28" s="1648">
        <v>3260000</v>
      </c>
      <c r="GC28" s="1650">
        <v>2780000</v>
      </c>
      <c r="GD28" s="1649">
        <v>3740000</v>
      </c>
      <c r="GE28" s="1648">
        <v>5500000</v>
      </c>
      <c r="GF28" s="1650">
        <v>6140000</v>
      </c>
      <c r="GG28" s="1648">
        <v>3260000</v>
      </c>
      <c r="GH28" s="1648">
        <v>2780000</v>
      </c>
      <c r="GI28" s="1648">
        <v>8373000</v>
      </c>
      <c r="GJ28" s="1651">
        <v>52553000</v>
      </c>
      <c r="GL28" s="1652"/>
      <c r="GM28" s="1709">
        <v>1.6</v>
      </c>
      <c r="GN28" s="1714" t="s">
        <v>2945</v>
      </c>
      <c r="GO28" s="1655" t="s">
        <v>2946</v>
      </c>
      <c r="GP28" s="1655" t="s">
        <v>2932</v>
      </c>
      <c r="GQ28" s="1656">
        <v>12</v>
      </c>
      <c r="GR28" s="1711" t="s">
        <v>2947</v>
      </c>
      <c r="GS28" s="1712">
        <v>22</v>
      </c>
      <c r="GT28" s="1662">
        <v>0</v>
      </c>
      <c r="GU28" s="1661"/>
      <c r="GV28" s="1661"/>
      <c r="GW28" s="1661"/>
      <c r="GX28" s="1661"/>
      <c r="GY28" s="1661"/>
      <c r="GZ28" s="1661"/>
      <c r="HA28" s="1661"/>
      <c r="HB28" s="1661"/>
      <c r="HC28" s="1661"/>
      <c r="HD28" s="1661"/>
      <c r="HE28" s="1661"/>
      <c r="HF28" s="1661"/>
      <c r="HG28" s="1662">
        <v>0</v>
      </c>
      <c r="HH28" s="1661"/>
      <c r="HI28" s="1661"/>
      <c r="HJ28" s="1661"/>
      <c r="HK28" s="1661"/>
      <c r="HL28" s="1661"/>
      <c r="HM28" s="1661"/>
      <c r="HN28" s="1661"/>
      <c r="HO28" s="1661"/>
      <c r="HP28" s="1661"/>
      <c r="HQ28" s="1661"/>
      <c r="HR28" s="1661"/>
      <c r="HS28" s="1661"/>
      <c r="HT28" s="1662">
        <v>300000</v>
      </c>
      <c r="HU28" s="1661"/>
      <c r="HV28" s="1661"/>
      <c r="HW28" s="1661">
        <v>90000</v>
      </c>
      <c r="HX28" s="1661"/>
      <c r="HY28" s="1661">
        <v>210000</v>
      </c>
      <c r="HZ28" s="1661"/>
      <c r="IA28" s="1661"/>
      <c r="IB28" s="1661"/>
      <c r="IC28" s="1661"/>
      <c r="ID28" s="1661"/>
      <c r="IE28" s="1661"/>
      <c r="IF28" s="1661"/>
      <c r="IG28" s="1662">
        <v>0</v>
      </c>
      <c r="IH28" s="1661"/>
      <c r="II28" s="1661"/>
      <c r="IJ28" s="1661"/>
      <c r="IK28" s="1661"/>
      <c r="IL28" s="1661"/>
      <c r="IM28" s="1661"/>
      <c r="IN28" s="1661"/>
      <c r="IO28" s="1661"/>
      <c r="IP28" s="1661"/>
      <c r="IQ28" s="1661"/>
      <c r="IR28" s="1661"/>
      <c r="IS28" s="1661"/>
      <c r="IT28" s="1662">
        <v>300000</v>
      </c>
      <c r="IU28" s="1662">
        <v>300000</v>
      </c>
      <c r="IV28" s="1713"/>
    </row>
    <row r="29" spans="2:256" ht="16.5" outlineLevel="1">
      <c r="C29" s="1493" t="s">
        <v>2864</v>
      </c>
      <c r="D29" s="1607"/>
      <c r="E29" s="1608">
        <v>110.09340899999999</v>
      </c>
      <c r="F29" s="1609">
        <v>160.33161000000001</v>
      </c>
      <c r="G29" s="1610">
        <v>163.900025</v>
      </c>
      <c r="H29" s="1609">
        <v>246.37252100000001</v>
      </c>
      <c r="I29" s="1609">
        <v>76.487431999999998</v>
      </c>
      <c r="J29" s="1610">
        <v>151.45115999999999</v>
      </c>
      <c r="K29" s="1609">
        <v>198.95711499999999</v>
      </c>
      <c r="L29" s="1609">
        <v>71.542638999999994</v>
      </c>
      <c r="M29" s="1611">
        <v>169.71589800000001</v>
      </c>
      <c r="N29" s="1589">
        <v>212.8981756</v>
      </c>
      <c r="O29" s="1589">
        <v>185.79953309999999</v>
      </c>
      <c r="P29" s="1589">
        <v>200.62973059999999</v>
      </c>
      <c r="Q29" s="1612">
        <f t="shared" si="6"/>
        <v>1948.1792482999999</v>
      </c>
      <c r="R29" s="1613">
        <v>163.50024999999999</v>
      </c>
      <c r="S29" s="1589">
        <v>173.91311999999999</v>
      </c>
      <c r="T29" s="1611">
        <v>173.91311999999999</v>
      </c>
      <c r="U29" s="1589">
        <v>180.32918000000001</v>
      </c>
      <c r="V29" s="1589">
        <v>166.33687</v>
      </c>
      <c r="W29" s="1611">
        <v>176.70716999999999</v>
      </c>
      <c r="X29" s="1589">
        <v>172.75292999999999</v>
      </c>
      <c r="Y29" s="1589">
        <v>166.33687</v>
      </c>
      <c r="Z29" s="1611">
        <v>173.91311999999999</v>
      </c>
      <c r="AA29" s="1589">
        <v>172.75292999999999</v>
      </c>
      <c r="AB29" s="1589">
        <v>173.91311999999999</v>
      </c>
      <c r="AC29" s="1589">
        <v>194.46372</v>
      </c>
      <c r="AD29" s="1612">
        <f t="shared" si="7"/>
        <v>2088.8323999999998</v>
      </c>
      <c r="AE29" s="1613">
        <v>185.72728000000001</v>
      </c>
      <c r="AF29" s="1589">
        <v>173.91311999999999</v>
      </c>
      <c r="AG29" s="1611">
        <v>173.91311999999999</v>
      </c>
      <c r="AH29" s="1589">
        <v>200.87978000000001</v>
      </c>
      <c r="AI29" s="1589">
        <v>137.16956999999999</v>
      </c>
      <c r="AJ29" s="1611">
        <v>129.85338999999999</v>
      </c>
      <c r="AK29" s="1589">
        <v>172.75292999999999</v>
      </c>
      <c r="AL29" s="1589">
        <v>166.33687</v>
      </c>
      <c r="AM29" s="1611">
        <v>173.91311999999999</v>
      </c>
      <c r="AN29" s="1589">
        <v>172.75292999999999</v>
      </c>
      <c r="AO29" s="1589">
        <v>173.91311999999999</v>
      </c>
      <c r="AP29" s="1589">
        <v>173.20397</v>
      </c>
      <c r="AQ29" s="1612">
        <f t="shared" si="8"/>
        <v>2034.3291999999999</v>
      </c>
      <c r="AR29" s="1613">
        <v>170.68928</v>
      </c>
      <c r="AS29" s="1589">
        <v>179.42572000000001</v>
      </c>
      <c r="AT29" s="1611">
        <v>179.42572000000001</v>
      </c>
      <c r="AU29" s="1589">
        <v>185.84178</v>
      </c>
      <c r="AV29" s="1589">
        <v>171.84947</v>
      </c>
      <c r="AW29" s="1611">
        <v>182.21977000000001</v>
      </c>
      <c r="AX29" s="1589">
        <v>178.26553000000001</v>
      </c>
      <c r="AY29" s="1589">
        <v>187.00197</v>
      </c>
      <c r="AZ29" s="1611">
        <v>194.57821999999999</v>
      </c>
      <c r="BA29" s="1589">
        <v>193.41802999999999</v>
      </c>
      <c r="BB29" s="1589">
        <v>179.42572000000001</v>
      </c>
      <c r="BC29" s="1589">
        <v>199.41750999999999</v>
      </c>
      <c r="BD29" s="1614">
        <f t="shared" si="9"/>
        <v>2201.55872</v>
      </c>
      <c r="BE29" s="1589"/>
      <c r="BF29" s="1615" t="e">
        <f>#REF!-#REF!</f>
        <v>#REF!</v>
      </c>
      <c r="BL29" s="1498"/>
      <c r="BN29" s="1498"/>
      <c r="BO29" s="1498"/>
      <c r="BP29" s="1545"/>
      <c r="BQ29" s="815"/>
      <c r="BR29" s="815"/>
      <c r="BS29" s="815"/>
      <c r="BY29" s="1617"/>
      <c r="BZ29" s="1617"/>
      <c r="CD29" s="815"/>
      <c r="CE29" s="1617"/>
      <c r="CF29" s="1615"/>
      <c r="CG29" s="1559"/>
      <c r="CH29" s="1716" t="s">
        <v>1980</v>
      </c>
      <c r="CI29" s="1648">
        <v>4199050</v>
      </c>
      <c r="CJ29" s="1648">
        <v>3694011</v>
      </c>
      <c r="CK29" s="1648">
        <v>3083742</v>
      </c>
      <c r="CL29" s="1649">
        <v>3810906</v>
      </c>
      <c r="CM29" s="1648">
        <v>3570921</v>
      </c>
      <c r="CN29" s="1650">
        <v>3329174</v>
      </c>
      <c r="CO29" s="1649">
        <v>4254361</v>
      </c>
      <c r="CP29" s="1648">
        <v>3815375</v>
      </c>
      <c r="CQ29" s="1650">
        <v>3752000</v>
      </c>
      <c r="CR29" s="1648">
        <v>3452000</v>
      </c>
      <c r="CS29" s="1648">
        <v>3452000</v>
      </c>
      <c r="CT29" s="1648">
        <v>3952000</v>
      </c>
      <c r="CU29" s="1651">
        <f t="shared" si="1"/>
        <v>44365540</v>
      </c>
      <c r="CV29" s="1648">
        <v>6248000</v>
      </c>
      <c r="CW29" s="1648">
        <v>5848000</v>
      </c>
      <c r="CX29" s="1648">
        <v>5848000</v>
      </c>
      <c r="CY29" s="1649">
        <v>5848000</v>
      </c>
      <c r="CZ29" s="1648">
        <v>5848000</v>
      </c>
      <c r="DA29" s="1650">
        <v>5848000</v>
      </c>
      <c r="DB29" s="1649">
        <v>6448000</v>
      </c>
      <c r="DC29" s="1648">
        <v>5848000</v>
      </c>
      <c r="DD29" s="1650">
        <v>6248000</v>
      </c>
      <c r="DE29" s="1648">
        <v>5848000</v>
      </c>
      <c r="DF29" s="1648">
        <v>5848000</v>
      </c>
      <c r="DG29" s="1648">
        <v>6348000</v>
      </c>
      <c r="DH29" s="1651">
        <f t="shared" si="2"/>
        <v>72076000</v>
      </c>
      <c r="DI29" s="1648">
        <v>6248000</v>
      </c>
      <c r="DJ29" s="1648">
        <v>5848000</v>
      </c>
      <c r="DK29" s="1648">
        <v>5848000</v>
      </c>
      <c r="DL29" s="1649">
        <v>5848000</v>
      </c>
      <c r="DM29" s="1648">
        <v>5848000</v>
      </c>
      <c r="DN29" s="1650">
        <v>5848000</v>
      </c>
      <c r="DO29" s="1649">
        <v>6448000</v>
      </c>
      <c r="DP29" s="1648">
        <v>5848000</v>
      </c>
      <c r="DQ29" s="1650">
        <v>6248000</v>
      </c>
      <c r="DR29" s="1648">
        <v>5848000</v>
      </c>
      <c r="DS29" s="1648">
        <v>5848000</v>
      </c>
      <c r="DT29" s="1648">
        <v>6348000</v>
      </c>
      <c r="DU29" s="1651">
        <f t="shared" si="3"/>
        <v>72076000</v>
      </c>
      <c r="DV29" s="1648">
        <v>6308000</v>
      </c>
      <c r="DW29" s="1648">
        <v>5908000</v>
      </c>
      <c r="DX29" s="1648">
        <v>5908000</v>
      </c>
      <c r="DY29" s="1649">
        <v>5908000</v>
      </c>
      <c r="DZ29" s="1648">
        <v>5908000</v>
      </c>
      <c r="EA29" s="1650">
        <v>5908000</v>
      </c>
      <c r="EB29" s="1649">
        <v>6508000</v>
      </c>
      <c r="EC29" s="1648">
        <v>5908000</v>
      </c>
      <c r="ED29" s="1650">
        <v>6308000</v>
      </c>
      <c r="EE29" s="1648">
        <v>5908000</v>
      </c>
      <c r="EF29" s="1648">
        <v>5908000</v>
      </c>
      <c r="EG29" s="1648">
        <v>6408000</v>
      </c>
      <c r="EH29" s="1651">
        <f t="shared" si="4"/>
        <v>72796000</v>
      </c>
      <c r="EJ29" s="1716" t="s">
        <v>1980</v>
      </c>
      <c r="EK29" s="1648">
        <v>670750</v>
      </c>
      <c r="EL29" s="1648">
        <v>844850</v>
      </c>
      <c r="EM29" s="1648">
        <v>796510</v>
      </c>
      <c r="EN29" s="1649">
        <v>784780</v>
      </c>
      <c r="EO29" s="1648">
        <v>729370</v>
      </c>
      <c r="EP29" s="1650">
        <v>738710</v>
      </c>
      <c r="EQ29" s="1649">
        <v>661630</v>
      </c>
      <c r="ER29" s="1648">
        <v>669100</v>
      </c>
      <c r="ES29" s="1650">
        <v>657000</v>
      </c>
      <c r="ET29" s="1648">
        <v>657000</v>
      </c>
      <c r="EU29" s="1648">
        <v>657000</v>
      </c>
      <c r="EV29" s="1648">
        <v>657000</v>
      </c>
      <c r="EW29" s="1651">
        <v>8523700</v>
      </c>
      <c r="EX29" s="1648">
        <v>867000</v>
      </c>
      <c r="EY29" s="1648">
        <v>867000</v>
      </c>
      <c r="EZ29" s="1648">
        <v>867000</v>
      </c>
      <c r="FA29" s="1648">
        <v>867000</v>
      </c>
      <c r="FB29" s="1648">
        <v>867000</v>
      </c>
      <c r="FC29" s="1648">
        <v>867000</v>
      </c>
      <c r="FD29" s="1648">
        <v>867000</v>
      </c>
      <c r="FE29" s="1648">
        <v>867000</v>
      </c>
      <c r="FF29" s="1648">
        <v>867000</v>
      </c>
      <c r="FG29" s="1648">
        <v>867000</v>
      </c>
      <c r="FH29" s="1648">
        <v>867000</v>
      </c>
      <c r="FI29" s="1648">
        <v>867000</v>
      </c>
      <c r="FJ29" s="1651">
        <v>10404000</v>
      </c>
      <c r="FK29" s="1648">
        <v>747000</v>
      </c>
      <c r="FL29" s="1648">
        <v>747000</v>
      </c>
      <c r="FM29" s="1648">
        <v>747000</v>
      </c>
      <c r="FN29" s="1649">
        <v>747000</v>
      </c>
      <c r="FO29" s="1648">
        <v>747000</v>
      </c>
      <c r="FP29" s="1650">
        <v>747000</v>
      </c>
      <c r="FQ29" s="1649">
        <v>747000</v>
      </c>
      <c r="FR29" s="1648">
        <v>747000</v>
      </c>
      <c r="FS29" s="1650">
        <v>747000</v>
      </c>
      <c r="FT29" s="1648">
        <v>747000</v>
      </c>
      <c r="FU29" s="1648">
        <v>747000</v>
      </c>
      <c r="FV29" s="1648">
        <v>747000</v>
      </c>
      <c r="FW29" s="1651">
        <v>8964000</v>
      </c>
      <c r="FX29" s="1648">
        <v>927000</v>
      </c>
      <c r="FY29" s="1648">
        <v>927000</v>
      </c>
      <c r="FZ29" s="1648">
        <v>927000</v>
      </c>
      <c r="GA29" s="1649">
        <v>927000</v>
      </c>
      <c r="GB29" s="1648">
        <v>927000</v>
      </c>
      <c r="GC29" s="1650">
        <v>927000</v>
      </c>
      <c r="GD29" s="1649">
        <v>927000</v>
      </c>
      <c r="GE29" s="1648">
        <v>927000</v>
      </c>
      <c r="GF29" s="1650">
        <v>927000</v>
      </c>
      <c r="GG29" s="1648">
        <v>927000</v>
      </c>
      <c r="GH29" s="1648">
        <v>927000</v>
      </c>
      <c r="GI29" s="1648">
        <v>927000</v>
      </c>
      <c r="GJ29" s="1651">
        <v>11124000</v>
      </c>
      <c r="GL29" s="1623"/>
      <c r="GM29" s="1552"/>
      <c r="GN29" s="1728"/>
      <c r="GO29" s="1626"/>
      <c r="GP29" s="1626"/>
      <c r="GQ29" s="1627"/>
      <c r="GR29" s="1705"/>
      <c r="GS29" s="1706"/>
      <c r="GT29" s="1633">
        <v>0</v>
      </c>
      <c r="GU29" s="1632"/>
      <c r="GV29" s="1632"/>
      <c r="GW29" s="1632"/>
      <c r="GX29" s="1632"/>
      <c r="GY29" s="1632"/>
      <c r="GZ29" s="1632"/>
      <c r="HA29" s="1632"/>
      <c r="HB29" s="1632"/>
      <c r="HC29" s="1632"/>
      <c r="HD29" s="1632"/>
      <c r="HE29" s="1632"/>
      <c r="HF29" s="1632"/>
      <c r="HG29" s="1633">
        <v>0</v>
      </c>
      <c r="HH29" s="1632"/>
      <c r="HI29" s="1632"/>
      <c r="HJ29" s="1632"/>
      <c r="HK29" s="1632"/>
      <c r="HL29" s="1632"/>
      <c r="HM29" s="1632"/>
      <c r="HN29" s="1632"/>
      <c r="HO29" s="1632"/>
      <c r="HP29" s="1632"/>
      <c r="HQ29" s="1632"/>
      <c r="HR29" s="1632"/>
      <c r="HS29" s="1632"/>
      <c r="HT29" s="1633">
        <v>0</v>
      </c>
      <c r="HU29" s="1632"/>
      <c r="HV29" s="1632"/>
      <c r="HW29" s="1632"/>
      <c r="HX29" s="1632"/>
      <c r="HY29" s="1632"/>
      <c r="HZ29" s="1632"/>
      <c r="IA29" s="1632"/>
      <c r="IB29" s="1632"/>
      <c r="IC29" s="1632"/>
      <c r="ID29" s="1632"/>
      <c r="IE29" s="1632"/>
      <c r="IF29" s="1632"/>
      <c r="IG29" s="1633">
        <v>0</v>
      </c>
      <c r="IH29" s="1632"/>
      <c r="II29" s="1632"/>
      <c r="IJ29" s="1632"/>
      <c r="IK29" s="1632"/>
      <c r="IL29" s="1632"/>
      <c r="IM29" s="1632"/>
      <c r="IN29" s="1632"/>
      <c r="IO29" s="1632"/>
      <c r="IP29" s="1632"/>
      <c r="IQ29" s="1632"/>
      <c r="IR29" s="1632"/>
      <c r="IS29" s="1632"/>
      <c r="IT29" s="1633">
        <v>0</v>
      </c>
      <c r="IU29" s="1633">
        <v>0</v>
      </c>
      <c r="IV29" s="1707"/>
    </row>
    <row r="30" spans="2:256" ht="16.5" outlineLevel="1">
      <c r="B30" s="1498"/>
      <c r="C30" s="1498" t="s">
        <v>1287</v>
      </c>
      <c r="D30" s="1717"/>
      <c r="E30" s="1718">
        <v>3247.8356024454501</v>
      </c>
      <c r="F30" s="1719">
        <v>3016.25880625847</v>
      </c>
      <c r="G30" s="1721">
        <v>2344.3153766132123</v>
      </c>
      <c r="H30" s="1719">
        <v>2777.4729642330572</v>
      </c>
      <c r="I30" s="1719">
        <v>2865.1720527796297</v>
      </c>
      <c r="J30" s="1721">
        <v>1848.2475026730181</v>
      </c>
      <c r="K30" s="1719">
        <v>4626.6971897825579</v>
      </c>
      <c r="L30" s="1719">
        <v>2204.3641867030224</v>
      </c>
      <c r="M30" s="1722">
        <v>3100.0698425160981</v>
      </c>
      <c r="N30" s="1499">
        <v>3614.1801290549756</v>
      </c>
      <c r="O30" s="1499">
        <v>3078.5306660691685</v>
      </c>
      <c r="P30" s="1499">
        <v>3445.0577286727125</v>
      </c>
      <c r="Q30" s="1723">
        <f t="shared" si="6"/>
        <v>36168.202047801373</v>
      </c>
      <c r="R30" s="1724">
        <v>3365.4802625209845</v>
      </c>
      <c r="S30" s="1499">
        <v>3029.3628340062855</v>
      </c>
      <c r="T30" s="1722">
        <v>1434.1405514466458</v>
      </c>
      <c r="U30" s="1499">
        <v>3545.317098151073</v>
      </c>
      <c r="V30" s="1499">
        <v>3286.89961647154</v>
      </c>
      <c r="W30" s="1722">
        <v>3292.4386607121878</v>
      </c>
      <c r="X30" s="1499">
        <v>3570.3478448673382</v>
      </c>
      <c r="Y30" s="1499">
        <v>3349.2559652498257</v>
      </c>
      <c r="Z30" s="1722">
        <v>3188.0801863602219</v>
      </c>
      <c r="AA30" s="1499">
        <v>3410.2904024409095</v>
      </c>
      <c r="AB30" s="1499">
        <v>2807.8511676971621</v>
      </c>
      <c r="AC30" s="1499">
        <v>3940.8644345673147</v>
      </c>
      <c r="AD30" s="1723">
        <f t="shared" si="7"/>
        <v>38220.32902449149</v>
      </c>
      <c r="AE30" s="1724">
        <v>3351.3505563504264</v>
      </c>
      <c r="AF30" s="1499">
        <v>2898.5669783721814</v>
      </c>
      <c r="AG30" s="1722">
        <v>3413.9469947438938</v>
      </c>
      <c r="AH30" s="1499">
        <v>3089.9013025847762</v>
      </c>
      <c r="AI30" s="1499">
        <v>2187.24145977031</v>
      </c>
      <c r="AJ30" s="1722">
        <v>1228.512547304364</v>
      </c>
      <c r="AK30" s="1499">
        <v>6250.1956950279382</v>
      </c>
      <c r="AL30" s="1499">
        <v>3567.5823492438576</v>
      </c>
      <c r="AM30" s="1722">
        <v>3095.835369862546</v>
      </c>
      <c r="AN30" s="1499">
        <v>3302.9405045660533</v>
      </c>
      <c r="AO30" s="1499">
        <v>3035.2435466028542</v>
      </c>
      <c r="AP30" s="1499">
        <v>3494.3246087201205</v>
      </c>
      <c r="AQ30" s="1723">
        <f t="shared" si="8"/>
        <v>38915.641913149317</v>
      </c>
      <c r="AR30" s="1724">
        <v>3482.9770689095717</v>
      </c>
      <c r="AS30" s="1499">
        <v>3057.8457607247606</v>
      </c>
      <c r="AT30" s="1722">
        <v>3359.0760788554903</v>
      </c>
      <c r="AU30" s="1499">
        <v>3585.0993406720295</v>
      </c>
      <c r="AV30" s="1499">
        <v>3277.409618798371</v>
      </c>
      <c r="AW30" s="1722">
        <v>3394.5193621996614</v>
      </c>
      <c r="AX30" s="1499">
        <v>3502.3501643295594</v>
      </c>
      <c r="AY30" s="1499">
        <v>3428.8944710859173</v>
      </c>
      <c r="AZ30" s="1722">
        <v>3323.6899295588091</v>
      </c>
      <c r="BA30" s="1499">
        <v>3292.3596190621088</v>
      </c>
      <c r="BB30" s="1499">
        <v>2632.1738668893804</v>
      </c>
      <c r="BC30" s="1499">
        <v>3580.2426461148739</v>
      </c>
      <c r="BD30" s="1727">
        <f t="shared" si="9"/>
        <v>39916.637927200536</v>
      </c>
      <c r="BE30" s="1589"/>
      <c r="BF30" s="1615" t="e">
        <f>#REF!-#REF!</f>
        <v>#REF!</v>
      </c>
      <c r="BL30" s="1498"/>
      <c r="BN30" s="1498"/>
      <c r="BO30" s="1498"/>
      <c r="BP30" s="1545"/>
      <c r="BQ30" s="815"/>
      <c r="BR30" s="815"/>
      <c r="BS30" s="815"/>
      <c r="BY30" s="1617"/>
      <c r="BZ30" s="1617"/>
      <c r="CD30" s="815"/>
      <c r="CE30" s="1617"/>
      <c r="CF30" s="1615"/>
      <c r="CG30" s="1729"/>
      <c r="CH30" s="1716" t="s">
        <v>1985</v>
      </c>
      <c r="CI30" s="1648">
        <v>5169130</v>
      </c>
      <c r="CJ30" s="1648">
        <v>4732100</v>
      </c>
      <c r="CK30" s="1648">
        <v>2696400</v>
      </c>
      <c r="CL30" s="1649">
        <v>2495580</v>
      </c>
      <c r="CM30" s="1648">
        <v>6654720</v>
      </c>
      <c r="CN30" s="1650">
        <v>50259230</v>
      </c>
      <c r="CO30" s="1649">
        <v>2190400</v>
      </c>
      <c r="CP30" s="1648">
        <v>2180170</v>
      </c>
      <c r="CQ30" s="1650">
        <v>10753776.699999999</v>
      </c>
      <c r="CR30" s="1648">
        <v>2309866.7000000002</v>
      </c>
      <c r="CS30" s="1648">
        <v>2327366.7000000002</v>
      </c>
      <c r="CT30" s="1648">
        <v>4080366.7</v>
      </c>
      <c r="CU30" s="1651">
        <f t="shared" si="1"/>
        <v>95849106.800000012</v>
      </c>
      <c r="CV30" s="1648">
        <v>2610719.8000000003</v>
      </c>
      <c r="CW30" s="1648">
        <v>7881447.3000000007</v>
      </c>
      <c r="CX30" s="1648">
        <v>3483707.3000000003</v>
      </c>
      <c r="CY30" s="1649">
        <v>2341947.3000000003</v>
      </c>
      <c r="CZ30" s="1648">
        <v>8780447.3000000007</v>
      </c>
      <c r="DA30" s="1650">
        <v>51353277.299999997</v>
      </c>
      <c r="DB30" s="1649">
        <v>2300447.3000000003</v>
      </c>
      <c r="DC30" s="1648">
        <v>5945947.3000000007</v>
      </c>
      <c r="DD30" s="1650">
        <v>10768007.5</v>
      </c>
      <c r="DE30" s="1648">
        <v>2423637.5000000005</v>
      </c>
      <c r="DF30" s="1648">
        <v>2398137.5000000005</v>
      </c>
      <c r="DG30" s="1648">
        <v>3646897.5000000005</v>
      </c>
      <c r="DH30" s="1651">
        <f t="shared" si="2"/>
        <v>103934620.89999999</v>
      </c>
      <c r="DI30" s="1648">
        <v>3024460.625</v>
      </c>
      <c r="DJ30" s="1648">
        <v>7725160.625</v>
      </c>
      <c r="DK30" s="1648">
        <v>38727420.625</v>
      </c>
      <c r="DL30" s="1649">
        <v>2393160.625</v>
      </c>
      <c r="DM30" s="1648">
        <v>8050660.625</v>
      </c>
      <c r="DN30" s="1650">
        <v>53831990.625</v>
      </c>
      <c r="DO30" s="1649">
        <v>2359160.625</v>
      </c>
      <c r="DP30" s="1648">
        <v>5998660.625</v>
      </c>
      <c r="DQ30" s="1650">
        <v>11142891.125</v>
      </c>
      <c r="DR30" s="1648">
        <v>2452336.125</v>
      </c>
      <c r="DS30" s="1648">
        <v>2444336.125</v>
      </c>
      <c r="DT30" s="1648">
        <v>3629096.125</v>
      </c>
      <c r="DU30" s="1651">
        <f t="shared" si="3"/>
        <v>141779334.5</v>
      </c>
      <c r="DV30" s="1648">
        <v>3184125.2416666667</v>
      </c>
      <c r="DW30" s="1648">
        <v>8067325.2416666672</v>
      </c>
      <c r="DX30" s="1648">
        <v>73672325.24166666</v>
      </c>
      <c r="DY30" s="1649">
        <v>2540325.2416666667</v>
      </c>
      <c r="DZ30" s="1648">
        <v>10221825.241666667</v>
      </c>
      <c r="EA30" s="1650">
        <v>56527895.241666667</v>
      </c>
      <c r="EB30" s="1649">
        <v>2503825.2416666667</v>
      </c>
      <c r="EC30" s="1648">
        <v>6134325.2416666672</v>
      </c>
      <c r="ED30" s="1650">
        <v>11664564.041666668</v>
      </c>
      <c r="EE30" s="1648">
        <v>2584579.041666667</v>
      </c>
      <c r="EF30" s="1648">
        <v>2584079.041666667</v>
      </c>
      <c r="EG30" s="1648">
        <v>3829079.041666667</v>
      </c>
      <c r="EH30" s="1651">
        <f t="shared" si="4"/>
        <v>183514273.09999996</v>
      </c>
      <c r="EJ30" s="1716" t="s">
        <v>1985</v>
      </c>
      <c r="EK30" s="1648">
        <v>246920</v>
      </c>
      <c r="EL30" s="1648">
        <v>0</v>
      </c>
      <c r="EM30" s="1648">
        <v>0</v>
      </c>
      <c r="EN30" s="1649">
        <v>0</v>
      </c>
      <c r="EO30" s="1648">
        <v>0</v>
      </c>
      <c r="EP30" s="1650">
        <v>0</v>
      </c>
      <c r="EQ30" s="1649">
        <v>9883680</v>
      </c>
      <c r="ER30" s="1648">
        <v>0</v>
      </c>
      <c r="ES30" s="1650">
        <v>0</v>
      </c>
      <c r="ET30" s="1648">
        <v>0</v>
      </c>
      <c r="EU30" s="1648">
        <v>0</v>
      </c>
      <c r="EV30" s="1648">
        <v>0</v>
      </c>
      <c r="EW30" s="1651">
        <v>10130600</v>
      </c>
      <c r="EX30" s="1648">
        <v>0</v>
      </c>
      <c r="EY30" s="1648">
        <v>2000000</v>
      </c>
      <c r="EZ30" s="1648">
        <v>1450000</v>
      </c>
      <c r="FA30" s="1648">
        <v>0</v>
      </c>
      <c r="FB30" s="1648">
        <v>3000000</v>
      </c>
      <c r="FC30" s="1648">
        <v>0</v>
      </c>
      <c r="FD30" s="1648">
        <v>0</v>
      </c>
      <c r="FE30" s="1648">
        <v>0</v>
      </c>
      <c r="FF30" s="1648">
        <v>0</v>
      </c>
      <c r="FG30" s="1648">
        <v>0</v>
      </c>
      <c r="FH30" s="1648">
        <v>0</v>
      </c>
      <c r="FI30" s="1648">
        <v>7000000</v>
      </c>
      <c r="FJ30" s="1651">
        <v>13450000</v>
      </c>
      <c r="FK30" s="1648">
        <v>0</v>
      </c>
      <c r="FL30" s="1648">
        <v>2000000</v>
      </c>
      <c r="FM30" s="1648">
        <v>1450000</v>
      </c>
      <c r="FN30" s="1649">
        <v>0</v>
      </c>
      <c r="FO30" s="1648">
        <v>3000000</v>
      </c>
      <c r="FP30" s="1650">
        <v>0</v>
      </c>
      <c r="FQ30" s="1649">
        <v>0</v>
      </c>
      <c r="FR30" s="1648">
        <v>0</v>
      </c>
      <c r="FS30" s="1650">
        <v>0</v>
      </c>
      <c r="FT30" s="1648">
        <v>0</v>
      </c>
      <c r="FU30" s="1648">
        <v>0</v>
      </c>
      <c r="FV30" s="1648">
        <v>7000000</v>
      </c>
      <c r="FW30" s="1651">
        <v>13450000</v>
      </c>
      <c r="FX30" s="1648">
        <v>0</v>
      </c>
      <c r="FY30" s="1648">
        <v>2000000</v>
      </c>
      <c r="FZ30" s="1648">
        <v>1450000</v>
      </c>
      <c r="GA30" s="1649">
        <v>0</v>
      </c>
      <c r="GB30" s="1648">
        <v>3000000</v>
      </c>
      <c r="GC30" s="1650">
        <v>0</v>
      </c>
      <c r="GD30" s="1649">
        <v>0</v>
      </c>
      <c r="GE30" s="1648">
        <v>0</v>
      </c>
      <c r="GF30" s="1650">
        <v>0</v>
      </c>
      <c r="GG30" s="1648">
        <v>0</v>
      </c>
      <c r="GH30" s="1648">
        <v>0</v>
      </c>
      <c r="GI30" s="1648">
        <v>7000000</v>
      </c>
      <c r="GJ30" s="1651">
        <v>13450000</v>
      </c>
      <c r="GL30" s="1652"/>
      <c r="GM30" s="1709"/>
      <c r="GN30" s="1714"/>
      <c r="GO30" s="1655"/>
      <c r="GP30" s="1655"/>
      <c r="GQ30" s="1656"/>
      <c r="GR30" s="1711"/>
      <c r="GS30" s="1712"/>
      <c r="GT30" s="1662">
        <v>0</v>
      </c>
      <c r="GU30" s="1661"/>
      <c r="GV30" s="1661"/>
      <c r="GW30" s="1661"/>
      <c r="GX30" s="1661"/>
      <c r="GY30" s="1661"/>
      <c r="GZ30" s="1661"/>
      <c r="HA30" s="1661"/>
      <c r="HB30" s="1661"/>
      <c r="HC30" s="1661"/>
      <c r="HD30" s="1661"/>
      <c r="HE30" s="1661"/>
      <c r="HF30" s="1661"/>
      <c r="HG30" s="1662">
        <v>0</v>
      </c>
      <c r="HH30" s="1661"/>
      <c r="HI30" s="1661"/>
      <c r="HJ30" s="1661"/>
      <c r="HK30" s="1661"/>
      <c r="HL30" s="1661"/>
      <c r="HM30" s="1661"/>
      <c r="HN30" s="1661"/>
      <c r="HO30" s="1661"/>
      <c r="HP30" s="1661"/>
      <c r="HQ30" s="1661"/>
      <c r="HR30" s="1661"/>
      <c r="HS30" s="1661"/>
      <c r="HT30" s="1662">
        <v>0</v>
      </c>
      <c r="HU30" s="1661"/>
      <c r="HV30" s="1661"/>
      <c r="HW30" s="1661"/>
      <c r="HX30" s="1661"/>
      <c r="HY30" s="1661"/>
      <c r="HZ30" s="1661"/>
      <c r="IA30" s="1661"/>
      <c r="IB30" s="1661"/>
      <c r="IC30" s="1661"/>
      <c r="ID30" s="1661"/>
      <c r="IE30" s="1661"/>
      <c r="IF30" s="1661"/>
      <c r="IG30" s="1662">
        <v>0</v>
      </c>
      <c r="IH30" s="1661"/>
      <c r="II30" s="1661"/>
      <c r="IJ30" s="1661"/>
      <c r="IK30" s="1661"/>
      <c r="IL30" s="1661"/>
      <c r="IM30" s="1661"/>
      <c r="IN30" s="1661"/>
      <c r="IO30" s="1661"/>
      <c r="IP30" s="1661"/>
      <c r="IQ30" s="1661"/>
      <c r="IR30" s="1661"/>
      <c r="IS30" s="1661"/>
      <c r="IT30" s="1662">
        <v>0</v>
      </c>
      <c r="IU30" s="1662">
        <v>0</v>
      </c>
      <c r="IV30" s="1713"/>
    </row>
    <row r="31" spans="2:256" ht="16.5" outlineLevel="1">
      <c r="B31" s="1498"/>
      <c r="C31" s="1498" t="s">
        <v>2863</v>
      </c>
      <c r="D31" s="1717"/>
      <c r="E31" s="1718">
        <v>104.43212</v>
      </c>
      <c r="F31" s="1719">
        <v>143.77238800000001</v>
      </c>
      <c r="G31" s="1721">
        <v>109.57906500000001</v>
      </c>
      <c r="H31" s="1719">
        <v>112.32805100000002</v>
      </c>
      <c r="I31" s="1719">
        <v>100.77181400000001</v>
      </c>
      <c r="J31" s="1721">
        <v>174.18263300000001</v>
      </c>
      <c r="K31" s="1719">
        <v>111.656402</v>
      </c>
      <c r="L31" s="1719">
        <f>47.945375+84.392353</f>
        <v>132.337728</v>
      </c>
      <c r="M31" s="1722">
        <v>154.68861390000001</v>
      </c>
      <c r="N31" s="1499">
        <v>134.2931389</v>
      </c>
      <c r="O31" s="1499">
        <v>129.2678129</v>
      </c>
      <c r="P31" s="1499">
        <v>131.8967189</v>
      </c>
      <c r="Q31" s="1723">
        <f t="shared" si="6"/>
        <v>1539.2064856000002</v>
      </c>
      <c r="R31" s="1724">
        <v>108.517302</v>
      </c>
      <c r="S31" s="1499">
        <v>137.995194</v>
      </c>
      <c r="T31" s="1722">
        <v>116.36033399999999</v>
      </c>
      <c r="U31" s="1499">
        <v>115.699399</v>
      </c>
      <c r="V31" s="1499">
        <v>101.546217</v>
      </c>
      <c r="W31" s="1722">
        <v>177.31636599999999</v>
      </c>
      <c r="X31" s="1499">
        <v>115.501165</v>
      </c>
      <c r="Y31" s="1499">
        <v>125.06807283033335</v>
      </c>
      <c r="Z31" s="1722">
        <v>161.06771435833335</v>
      </c>
      <c r="AA31" s="1499">
        <v>152.28383175833332</v>
      </c>
      <c r="AB31" s="1499">
        <v>117.35386975833333</v>
      </c>
      <c r="AC31" s="1499">
        <v>121.12875775833334</v>
      </c>
      <c r="AD31" s="1723">
        <f t="shared" si="7"/>
        <v>1549.8382234636665</v>
      </c>
      <c r="AE31" s="1724">
        <v>117.70004610533333</v>
      </c>
      <c r="AF31" s="1499">
        <v>128.06760710533334</v>
      </c>
      <c r="AG31" s="1722">
        <v>122.51518910533335</v>
      </c>
      <c r="AH31" s="1499">
        <v>118.39294810533333</v>
      </c>
      <c r="AI31" s="1499">
        <v>116.18563910533332</v>
      </c>
      <c r="AJ31" s="1722">
        <v>125.12304010533335</v>
      </c>
      <c r="AK31" s="1499">
        <v>157.51790610533334</v>
      </c>
      <c r="AL31" s="1499">
        <v>158.29971110533333</v>
      </c>
      <c r="AM31" s="1722">
        <v>176.19495963333333</v>
      </c>
      <c r="AN31" s="1499">
        <v>147.31271773333336</v>
      </c>
      <c r="AO31" s="1499">
        <v>124.38275673333335</v>
      </c>
      <c r="AP31" s="1499">
        <v>126.70773273333334</v>
      </c>
      <c r="AQ31" s="1723">
        <f t="shared" si="8"/>
        <v>1618.4002536759999</v>
      </c>
      <c r="AR31" s="1724">
        <v>124.89752898500001</v>
      </c>
      <c r="AS31" s="1499">
        <v>133.86508998500003</v>
      </c>
      <c r="AT31" s="1722">
        <v>126.18317198500002</v>
      </c>
      <c r="AU31" s="1499">
        <v>121.77793298499999</v>
      </c>
      <c r="AV31" s="1499">
        <v>119.54978898500001</v>
      </c>
      <c r="AW31" s="1722">
        <v>139.60985665166666</v>
      </c>
      <c r="AX31" s="1499">
        <v>220.04872265166668</v>
      </c>
      <c r="AY31" s="1499">
        <v>140.43052765166667</v>
      </c>
      <c r="AZ31" s="1722">
        <v>159.59536699166668</v>
      </c>
      <c r="BA31" s="1499">
        <v>157.93305819166667</v>
      </c>
      <c r="BB31" s="1499">
        <v>133.00309619166666</v>
      </c>
      <c r="BC31" s="1499">
        <v>135.17797319166667</v>
      </c>
      <c r="BD31" s="1727">
        <f t="shared" si="9"/>
        <v>1712.0721144466668</v>
      </c>
      <c r="BE31" s="1589"/>
      <c r="BF31" s="1615" t="e">
        <f>#REF!-#REF!</f>
        <v>#REF!</v>
      </c>
      <c r="BL31" s="1498"/>
      <c r="BN31" s="1498"/>
      <c r="BO31" s="1498"/>
      <c r="BP31" s="1545"/>
      <c r="BQ31" s="815"/>
      <c r="BR31" s="815"/>
      <c r="BS31" s="815"/>
      <c r="BY31" s="1617"/>
      <c r="BZ31" s="1617"/>
      <c r="CD31" s="815"/>
      <c r="CE31" s="1617"/>
      <c r="CF31" s="1615"/>
      <c r="CG31" s="1698"/>
      <c r="CH31" s="1618" t="s">
        <v>1987</v>
      </c>
      <c r="CI31" s="1619">
        <v>6701524</v>
      </c>
      <c r="CJ31" s="1619">
        <v>6513805</v>
      </c>
      <c r="CK31" s="1619">
        <v>6777946</v>
      </c>
      <c r="CL31" s="1620">
        <v>6731700</v>
      </c>
      <c r="CM31" s="1619">
        <v>7592367</v>
      </c>
      <c r="CN31" s="1621">
        <v>6458936</v>
      </c>
      <c r="CO31" s="1620">
        <v>6677117</v>
      </c>
      <c r="CP31" s="1619">
        <v>6495062</v>
      </c>
      <c r="CQ31" s="1621">
        <v>8318534.666666666</v>
      </c>
      <c r="CR31" s="1619">
        <v>8318534.666666666</v>
      </c>
      <c r="CS31" s="1619">
        <v>8318534.666666666</v>
      </c>
      <c r="CT31" s="1619">
        <v>8318534.666666666</v>
      </c>
      <c r="CU31" s="1622">
        <f t="shared" si="1"/>
        <v>87222595.666666672</v>
      </c>
      <c r="CV31" s="1619">
        <v>8698143.666666666</v>
      </c>
      <c r="CW31" s="1619">
        <v>8698416.666666666</v>
      </c>
      <c r="CX31" s="1619">
        <v>8698416.666666666</v>
      </c>
      <c r="CY31" s="1620">
        <v>8698416.666666666</v>
      </c>
      <c r="CZ31" s="1619">
        <v>8768416.666666666</v>
      </c>
      <c r="DA31" s="1621">
        <v>8768416.666666666</v>
      </c>
      <c r="DB31" s="1620">
        <v>8768416.666666666</v>
      </c>
      <c r="DC31" s="1619">
        <v>8768416.666666666</v>
      </c>
      <c r="DD31" s="1621">
        <v>8768416.666666666</v>
      </c>
      <c r="DE31" s="1619">
        <v>8768416.666666666</v>
      </c>
      <c r="DF31" s="1619">
        <v>8768416.666666666</v>
      </c>
      <c r="DG31" s="1619">
        <v>8768416.666666666</v>
      </c>
      <c r="DH31" s="1622">
        <f t="shared" si="2"/>
        <v>104940727.00000001</v>
      </c>
      <c r="DI31" s="1619">
        <v>8768143.666666666</v>
      </c>
      <c r="DJ31" s="1619">
        <v>8768416.666666666</v>
      </c>
      <c r="DK31" s="1619">
        <v>8768416.666666666</v>
      </c>
      <c r="DL31" s="1620">
        <v>8768416.666666666</v>
      </c>
      <c r="DM31" s="1619">
        <v>8768416.666666666</v>
      </c>
      <c r="DN31" s="1621">
        <v>8768416.666666666</v>
      </c>
      <c r="DO31" s="1620">
        <v>8768416.666666666</v>
      </c>
      <c r="DP31" s="1619">
        <v>8768416.666666666</v>
      </c>
      <c r="DQ31" s="1621">
        <v>8768416.666666666</v>
      </c>
      <c r="DR31" s="1619">
        <v>8768416.666666666</v>
      </c>
      <c r="DS31" s="1619">
        <v>8768416.666666666</v>
      </c>
      <c r="DT31" s="1619">
        <v>8768416.666666666</v>
      </c>
      <c r="DU31" s="1622">
        <f t="shared" si="3"/>
        <v>105220727.00000001</v>
      </c>
      <c r="DV31" s="1619">
        <v>8768143.666666666</v>
      </c>
      <c r="DW31" s="1619">
        <v>8768416.666666666</v>
      </c>
      <c r="DX31" s="1619">
        <v>8768416.666666666</v>
      </c>
      <c r="DY31" s="1620">
        <v>8768416.666666666</v>
      </c>
      <c r="DZ31" s="1619">
        <v>8768416.666666666</v>
      </c>
      <c r="EA31" s="1621">
        <v>8768416.666666666</v>
      </c>
      <c r="EB31" s="1620">
        <v>8768416.666666666</v>
      </c>
      <c r="EC31" s="1619">
        <v>8768416.666666666</v>
      </c>
      <c r="ED31" s="1621">
        <v>8768416.666666666</v>
      </c>
      <c r="EE31" s="1619">
        <v>8768416.666666666</v>
      </c>
      <c r="EF31" s="1619">
        <v>8768416.666666666</v>
      </c>
      <c r="EG31" s="1619">
        <v>8768416.666666666</v>
      </c>
      <c r="EH31" s="1622">
        <f t="shared" si="4"/>
        <v>105220727.00000001</v>
      </c>
      <c r="EJ31" s="1618" t="s">
        <v>1987</v>
      </c>
      <c r="EK31" s="1619">
        <v>4674000</v>
      </c>
      <c r="EL31" s="1619">
        <v>2564910</v>
      </c>
      <c r="EM31" s="1619">
        <v>4444728</v>
      </c>
      <c r="EN31" s="1620">
        <v>3970909</v>
      </c>
      <c r="EO31" s="1619">
        <v>3533909</v>
      </c>
      <c r="EP31" s="1621">
        <v>3183909</v>
      </c>
      <c r="EQ31" s="1620">
        <v>2861909</v>
      </c>
      <c r="ER31" s="1619">
        <v>2783909</v>
      </c>
      <c r="ES31" s="1621">
        <v>5993417</v>
      </c>
      <c r="ET31" s="1619">
        <v>5993417</v>
      </c>
      <c r="EU31" s="1619">
        <v>5993417</v>
      </c>
      <c r="EV31" s="1619">
        <v>5993417</v>
      </c>
      <c r="EW31" s="1622">
        <v>51991851</v>
      </c>
      <c r="EX31" s="1619">
        <v>5415000</v>
      </c>
      <c r="EY31" s="1619">
        <v>5415000</v>
      </c>
      <c r="EZ31" s="1619">
        <v>5415000</v>
      </c>
      <c r="FA31" s="1619">
        <v>5495000</v>
      </c>
      <c r="FB31" s="1619">
        <v>5495000</v>
      </c>
      <c r="FC31" s="1619">
        <v>5495000</v>
      </c>
      <c r="FD31" s="1619">
        <v>5495000</v>
      </c>
      <c r="FE31" s="1619">
        <v>5495000</v>
      </c>
      <c r="FF31" s="1619">
        <v>5495000</v>
      </c>
      <c r="FG31" s="1619">
        <v>5495000</v>
      </c>
      <c r="FH31" s="1619">
        <v>5495000</v>
      </c>
      <c r="FI31" s="1619">
        <v>5495000</v>
      </c>
      <c r="FJ31" s="1622">
        <v>65700000</v>
      </c>
      <c r="FK31" s="1619">
        <v>5495000</v>
      </c>
      <c r="FL31" s="1619">
        <v>5495000</v>
      </c>
      <c r="FM31" s="1619">
        <v>5495000</v>
      </c>
      <c r="FN31" s="1620">
        <v>5495000</v>
      </c>
      <c r="FO31" s="1619">
        <v>5495000</v>
      </c>
      <c r="FP31" s="1621">
        <v>5495000</v>
      </c>
      <c r="FQ31" s="1620">
        <v>5495000</v>
      </c>
      <c r="FR31" s="1619">
        <v>5495000</v>
      </c>
      <c r="FS31" s="1621">
        <v>5495000</v>
      </c>
      <c r="FT31" s="1619">
        <v>5495000</v>
      </c>
      <c r="FU31" s="1619">
        <v>5495000</v>
      </c>
      <c r="FV31" s="1619">
        <v>5495000</v>
      </c>
      <c r="FW31" s="1622">
        <v>65940000</v>
      </c>
      <c r="FX31" s="1619">
        <v>5535000</v>
      </c>
      <c r="FY31" s="1619">
        <v>5535000</v>
      </c>
      <c r="FZ31" s="1619">
        <v>5535000</v>
      </c>
      <c r="GA31" s="1620">
        <v>5535000</v>
      </c>
      <c r="GB31" s="1619">
        <v>5581000</v>
      </c>
      <c r="GC31" s="1621">
        <v>5581000</v>
      </c>
      <c r="GD31" s="1620">
        <v>5581000</v>
      </c>
      <c r="GE31" s="1619">
        <v>5581000</v>
      </c>
      <c r="GF31" s="1621">
        <v>5581000</v>
      </c>
      <c r="GG31" s="1619">
        <v>5581000</v>
      </c>
      <c r="GH31" s="1619">
        <v>5581000</v>
      </c>
      <c r="GI31" s="1619">
        <v>5581000</v>
      </c>
      <c r="GJ31" s="1622">
        <v>66788000</v>
      </c>
      <c r="GL31" s="1730"/>
      <c r="GM31" s="1731"/>
      <c r="GN31" s="1732"/>
      <c r="GO31" s="1733"/>
      <c r="GP31" s="1733"/>
      <c r="GQ31" s="1734"/>
      <c r="GR31" s="1735"/>
      <c r="GS31" s="1736"/>
      <c r="GT31" s="1737">
        <v>0</v>
      </c>
      <c r="GU31" s="1738"/>
      <c r="GV31" s="1738"/>
      <c r="GW31" s="1738"/>
      <c r="GX31" s="1738"/>
      <c r="GY31" s="1738"/>
      <c r="GZ31" s="1738"/>
      <c r="HA31" s="1738"/>
      <c r="HB31" s="1738"/>
      <c r="HC31" s="1738"/>
      <c r="HD31" s="1738"/>
      <c r="HE31" s="1738"/>
      <c r="HF31" s="1738"/>
      <c r="HG31" s="1737">
        <v>0</v>
      </c>
      <c r="HH31" s="1738"/>
      <c r="HI31" s="1738"/>
      <c r="HJ31" s="1738"/>
      <c r="HK31" s="1738"/>
      <c r="HL31" s="1738"/>
      <c r="HM31" s="1738"/>
      <c r="HN31" s="1738"/>
      <c r="HO31" s="1738"/>
      <c r="HP31" s="1738"/>
      <c r="HQ31" s="1738"/>
      <c r="HR31" s="1738"/>
      <c r="HS31" s="1738"/>
      <c r="HT31" s="1737">
        <v>0</v>
      </c>
      <c r="HU31" s="1738"/>
      <c r="HV31" s="1738"/>
      <c r="HW31" s="1738"/>
      <c r="HX31" s="1738"/>
      <c r="HY31" s="1738"/>
      <c r="HZ31" s="1738"/>
      <c r="IA31" s="1738"/>
      <c r="IB31" s="1738"/>
      <c r="IC31" s="1738"/>
      <c r="ID31" s="1738"/>
      <c r="IE31" s="1738"/>
      <c r="IF31" s="1738"/>
      <c r="IG31" s="1737">
        <v>0</v>
      </c>
      <c r="IH31" s="1738"/>
      <c r="II31" s="1738"/>
      <c r="IJ31" s="1738"/>
      <c r="IK31" s="1738"/>
      <c r="IL31" s="1738"/>
      <c r="IM31" s="1738"/>
      <c r="IN31" s="1738"/>
      <c r="IO31" s="1738"/>
      <c r="IP31" s="1738"/>
      <c r="IQ31" s="1738"/>
      <c r="IR31" s="1738"/>
      <c r="IS31" s="1738"/>
      <c r="IT31" s="1737">
        <v>0</v>
      </c>
      <c r="IU31" s="1737">
        <v>0</v>
      </c>
      <c r="IV31" s="1739"/>
    </row>
    <row r="32" spans="2:256" ht="16.5" outlineLevel="1">
      <c r="B32" s="1498"/>
      <c r="C32" s="815" t="s">
        <v>2948</v>
      </c>
      <c r="D32" s="1740"/>
      <c r="E32" s="1718">
        <v>4.6869769999999997</v>
      </c>
      <c r="F32" s="1719">
        <v>1.9230799999999999</v>
      </c>
      <c r="G32" s="1721">
        <v>-0.73429999999999995</v>
      </c>
      <c r="H32" s="1719">
        <v>12.131544999999999</v>
      </c>
      <c r="I32" s="1719">
        <v>-20.877177</v>
      </c>
      <c r="J32" s="1721">
        <v>0.86124000000000001</v>
      </c>
      <c r="K32" s="1719">
        <v>-5.4357100000000003</v>
      </c>
      <c r="L32" s="1719">
        <v>6.7446219999999997</v>
      </c>
      <c r="M32" s="1741"/>
      <c r="N32" s="1617"/>
      <c r="O32" s="1617"/>
      <c r="P32" s="1617"/>
      <c r="Q32" s="1742">
        <f t="shared" si="6"/>
        <v>-0.69972300000000054</v>
      </c>
      <c r="R32" s="1743"/>
      <c r="S32" s="1617"/>
      <c r="T32" s="1741"/>
      <c r="U32" s="1617"/>
      <c r="V32" s="1617"/>
      <c r="W32" s="1741"/>
      <c r="X32" s="1617"/>
      <c r="Y32" s="1617"/>
      <c r="Z32" s="1741"/>
      <c r="AA32" s="1617"/>
      <c r="AB32" s="1617"/>
      <c r="AC32" s="1617"/>
      <c r="AD32" s="1742">
        <f t="shared" si="7"/>
        <v>0</v>
      </c>
      <c r="AE32" s="1743"/>
      <c r="AF32" s="1617"/>
      <c r="AG32" s="1741"/>
      <c r="AH32" s="1617"/>
      <c r="AI32" s="1617"/>
      <c r="AJ32" s="1741"/>
      <c r="AK32" s="1617"/>
      <c r="AL32" s="1617"/>
      <c r="AM32" s="1741"/>
      <c r="AN32" s="1617"/>
      <c r="AO32" s="1617"/>
      <c r="AP32" s="1617"/>
      <c r="AQ32" s="1742">
        <f t="shared" si="8"/>
        <v>0</v>
      </c>
      <c r="AR32" s="1744"/>
      <c r="AS32" s="1617"/>
      <c r="AT32" s="1741"/>
      <c r="AU32" s="1617"/>
      <c r="AV32" s="1617"/>
      <c r="AW32" s="1741"/>
      <c r="AX32" s="1617"/>
      <c r="AY32" s="1617"/>
      <c r="AZ32" s="1741"/>
      <c r="BA32" s="1617"/>
      <c r="BB32" s="1617"/>
      <c r="BC32" s="1617"/>
      <c r="BD32" s="1745">
        <f t="shared" si="9"/>
        <v>0</v>
      </c>
      <c r="BE32" s="1589"/>
      <c r="BF32" s="1615" t="e">
        <f>#REF!-#REF!</f>
        <v>#REF!</v>
      </c>
      <c r="BL32" s="1498"/>
      <c r="BN32" s="1498"/>
      <c r="BO32" s="1498"/>
      <c r="BP32" s="1545"/>
      <c r="BQ32" s="815"/>
      <c r="BR32" s="815"/>
      <c r="BS32" s="815"/>
      <c r="BY32" s="1617"/>
      <c r="BZ32" s="1617"/>
      <c r="CD32" s="815"/>
      <c r="CE32" s="1617"/>
      <c r="CF32" s="1615"/>
      <c r="CG32" s="1698"/>
      <c r="CH32" s="1618" t="s">
        <v>2949</v>
      </c>
      <c r="CI32" s="1619">
        <v>605791351</v>
      </c>
      <c r="CJ32" s="1619">
        <v>608882324</v>
      </c>
      <c r="CK32" s="1619">
        <v>608805722</v>
      </c>
      <c r="CL32" s="1620">
        <v>608805722</v>
      </c>
      <c r="CM32" s="1619">
        <v>613931922</v>
      </c>
      <c r="CN32" s="1621">
        <v>622986686</v>
      </c>
      <c r="CO32" s="1620">
        <v>624468460</v>
      </c>
      <c r="CP32" s="1619">
        <v>626192973</v>
      </c>
      <c r="CQ32" s="1621">
        <v>642556938.66666663</v>
      </c>
      <c r="CR32" s="1619">
        <v>642527571.66666663</v>
      </c>
      <c r="CS32" s="1619">
        <v>642480937.66666663</v>
      </c>
      <c r="CT32" s="1619">
        <v>642722899.44444442</v>
      </c>
      <c r="CU32" s="1622">
        <f t="shared" si="1"/>
        <v>7490153507.4444456</v>
      </c>
      <c r="CV32" s="1619">
        <v>642423239.44444442</v>
      </c>
      <c r="CW32" s="1619">
        <v>642423241.44444442</v>
      </c>
      <c r="CX32" s="1619">
        <v>644300643.55555558</v>
      </c>
      <c r="CY32" s="1620">
        <v>645957419.22222221</v>
      </c>
      <c r="CZ32" s="1619">
        <v>645543526.22222221</v>
      </c>
      <c r="DA32" s="1621">
        <v>649208109.5555557</v>
      </c>
      <c r="DB32" s="1620">
        <v>653208113.55555558</v>
      </c>
      <c r="DC32" s="1619">
        <v>649477006.55555558</v>
      </c>
      <c r="DD32" s="1621">
        <v>649477006.55555558</v>
      </c>
      <c r="DE32" s="1619">
        <v>650032571.11111116</v>
      </c>
      <c r="DF32" s="1619">
        <v>650627443</v>
      </c>
      <c r="DG32" s="1619">
        <v>646129626.77777779</v>
      </c>
      <c r="DH32" s="1622">
        <f t="shared" si="2"/>
        <v>7768807946.999999</v>
      </c>
      <c r="DI32" s="1619">
        <v>646122347.77777779</v>
      </c>
      <c r="DJ32" s="1619">
        <v>646122348.77777779</v>
      </c>
      <c r="DK32" s="1619">
        <v>652331868.77777779</v>
      </c>
      <c r="DL32" s="1620">
        <v>652331868.77777779</v>
      </c>
      <c r="DM32" s="1619">
        <v>653790205.11111116</v>
      </c>
      <c r="DN32" s="1621">
        <v>695458831.72222233</v>
      </c>
      <c r="DO32" s="1620">
        <v>695458831.72222233</v>
      </c>
      <c r="DP32" s="1619">
        <v>695458834.72222233</v>
      </c>
      <c r="DQ32" s="1621">
        <v>695067253.72222233</v>
      </c>
      <c r="DR32" s="1619">
        <v>693645031.50000012</v>
      </c>
      <c r="DS32" s="1619">
        <v>698729523.61111116</v>
      </c>
      <c r="DT32" s="1619">
        <v>699319954.83333337</v>
      </c>
      <c r="DU32" s="1622">
        <f t="shared" si="3"/>
        <v>8123836901.0555563</v>
      </c>
      <c r="DV32" s="1619">
        <v>698688797.83333337</v>
      </c>
      <c r="DW32" s="1619">
        <v>698622423.83333337</v>
      </c>
      <c r="DX32" s="1619">
        <v>698622423.83333337</v>
      </c>
      <c r="DY32" s="1620">
        <v>698622426.83333337</v>
      </c>
      <c r="DZ32" s="1619">
        <v>698592071.83333337</v>
      </c>
      <c r="EA32" s="1621">
        <v>698592082.83333337</v>
      </c>
      <c r="EB32" s="1620">
        <v>697809877.83333337</v>
      </c>
      <c r="EC32" s="1619">
        <v>697782764.83333337</v>
      </c>
      <c r="ED32" s="1621">
        <v>697740758.83333337</v>
      </c>
      <c r="EE32" s="1619">
        <v>350165110.83333331</v>
      </c>
      <c r="EF32" s="1619">
        <v>351415110.83333331</v>
      </c>
      <c r="EG32" s="1619">
        <v>351875943.16666669</v>
      </c>
      <c r="EH32" s="1622">
        <f t="shared" si="4"/>
        <v>7338529793.333333</v>
      </c>
      <c r="EJ32" s="1618" t="s">
        <v>2949</v>
      </c>
      <c r="EK32" s="1619">
        <v>203848</v>
      </c>
      <c r="EL32" s="1619">
        <v>203849</v>
      </c>
      <c r="EM32" s="1619">
        <v>155570</v>
      </c>
      <c r="EN32" s="1620">
        <v>155570</v>
      </c>
      <c r="EO32" s="1619">
        <v>155570</v>
      </c>
      <c r="EP32" s="1621">
        <v>155570</v>
      </c>
      <c r="EQ32" s="1620">
        <v>155570</v>
      </c>
      <c r="ER32" s="1619">
        <v>155570</v>
      </c>
      <c r="ES32" s="1621">
        <v>155570</v>
      </c>
      <c r="ET32" s="1619">
        <v>155570</v>
      </c>
      <c r="EU32" s="1619">
        <v>155570</v>
      </c>
      <c r="EV32" s="1619">
        <v>155590</v>
      </c>
      <c r="EW32" s="1622">
        <v>1963417</v>
      </c>
      <c r="EX32" s="1619">
        <v>155570</v>
      </c>
      <c r="EY32" s="1619">
        <v>155570</v>
      </c>
      <c r="EZ32" s="1619">
        <v>155570</v>
      </c>
      <c r="FA32" s="1619">
        <v>155570</v>
      </c>
      <c r="FB32" s="1619">
        <v>155570</v>
      </c>
      <c r="FC32" s="1619">
        <v>155570</v>
      </c>
      <c r="FD32" s="1619">
        <v>155570</v>
      </c>
      <c r="FE32" s="1619">
        <v>155570</v>
      </c>
      <c r="FF32" s="1619">
        <v>155570</v>
      </c>
      <c r="FG32" s="1619">
        <v>155570</v>
      </c>
      <c r="FH32" s="1619">
        <v>155570</v>
      </c>
      <c r="FI32" s="1619">
        <v>155591</v>
      </c>
      <c r="FJ32" s="1622">
        <v>1866861</v>
      </c>
      <c r="FK32" s="1619">
        <v>155570</v>
      </c>
      <c r="FL32" s="1619">
        <v>155570</v>
      </c>
      <c r="FM32" s="1619">
        <v>155570</v>
      </c>
      <c r="FN32" s="1620">
        <v>155570</v>
      </c>
      <c r="FO32" s="1619">
        <v>155570</v>
      </c>
      <c r="FP32" s="1621">
        <v>155570</v>
      </c>
      <c r="FQ32" s="1620">
        <v>155570</v>
      </c>
      <c r="FR32" s="1619">
        <v>155570</v>
      </c>
      <c r="FS32" s="1621">
        <v>155570</v>
      </c>
      <c r="FT32" s="1619">
        <v>155570</v>
      </c>
      <c r="FU32" s="1619">
        <v>155570</v>
      </c>
      <c r="FV32" s="1619">
        <v>155591</v>
      </c>
      <c r="FW32" s="1622">
        <v>1866861</v>
      </c>
      <c r="FX32" s="1619">
        <v>155570</v>
      </c>
      <c r="FY32" s="1619">
        <v>155570</v>
      </c>
      <c r="FZ32" s="1619">
        <v>155570</v>
      </c>
      <c r="GA32" s="1620">
        <v>155570</v>
      </c>
      <c r="GB32" s="1619">
        <v>155570</v>
      </c>
      <c r="GC32" s="1621">
        <v>155570</v>
      </c>
      <c r="GD32" s="1620">
        <v>155570</v>
      </c>
      <c r="GE32" s="1619">
        <v>155570</v>
      </c>
      <c r="GF32" s="1621">
        <v>155570</v>
      </c>
      <c r="GG32" s="1619">
        <v>155570</v>
      </c>
      <c r="GH32" s="1619">
        <v>155570</v>
      </c>
      <c r="GI32" s="1619">
        <v>155591</v>
      </c>
      <c r="GJ32" s="1622">
        <v>1866861</v>
      </c>
      <c r="GL32" s="5811" t="s">
        <v>2950</v>
      </c>
      <c r="GM32" s="5812"/>
      <c r="GN32" s="5813"/>
      <c r="GO32" s="1693"/>
      <c r="GP32" s="1693"/>
      <c r="GQ32" s="1694"/>
      <c r="GR32" s="1693"/>
      <c r="GS32" s="1695"/>
      <c r="GT32" s="1696">
        <v>6089000</v>
      </c>
      <c r="GU32" s="1696">
        <v>15000</v>
      </c>
      <c r="GV32" s="1696">
        <v>433000</v>
      </c>
      <c r="GW32" s="1696">
        <v>519400</v>
      </c>
      <c r="GX32" s="1696">
        <v>257900</v>
      </c>
      <c r="GY32" s="1696">
        <v>264500</v>
      </c>
      <c r="GZ32" s="1696">
        <v>2815516</v>
      </c>
      <c r="HA32" s="1696">
        <v>853020</v>
      </c>
      <c r="HB32" s="1696">
        <v>110550</v>
      </c>
      <c r="HC32" s="1696">
        <v>806114</v>
      </c>
      <c r="HD32" s="1696">
        <v>14000</v>
      </c>
      <c r="HE32" s="1696">
        <v>0</v>
      </c>
      <c r="HF32" s="1696">
        <v>0</v>
      </c>
      <c r="HG32" s="1696">
        <v>1290000</v>
      </c>
      <c r="HH32" s="1696">
        <v>0</v>
      </c>
      <c r="HI32" s="1696">
        <v>0</v>
      </c>
      <c r="HJ32" s="1696">
        <v>310000</v>
      </c>
      <c r="HK32" s="1696">
        <v>330000</v>
      </c>
      <c r="HL32" s="1696">
        <v>70000</v>
      </c>
      <c r="HM32" s="1696">
        <v>205000</v>
      </c>
      <c r="HN32" s="1696">
        <v>200000</v>
      </c>
      <c r="HO32" s="1696">
        <v>0</v>
      </c>
      <c r="HP32" s="1696">
        <v>0</v>
      </c>
      <c r="HQ32" s="1696">
        <v>0</v>
      </c>
      <c r="HR32" s="1696">
        <v>165000</v>
      </c>
      <c r="HS32" s="1696">
        <v>10000</v>
      </c>
      <c r="HT32" s="1696">
        <v>4505000</v>
      </c>
      <c r="HU32" s="1696">
        <v>0</v>
      </c>
      <c r="HV32" s="1696">
        <v>0</v>
      </c>
      <c r="HW32" s="1696">
        <v>840000</v>
      </c>
      <c r="HX32" s="1696">
        <v>0</v>
      </c>
      <c r="HY32" s="1696">
        <v>0</v>
      </c>
      <c r="HZ32" s="1696">
        <v>3415000</v>
      </c>
      <c r="IA32" s="1696">
        <v>0</v>
      </c>
      <c r="IB32" s="1696">
        <v>0</v>
      </c>
      <c r="IC32" s="1696">
        <v>0</v>
      </c>
      <c r="ID32" s="1696">
        <v>0</v>
      </c>
      <c r="IE32" s="1696">
        <v>240000</v>
      </c>
      <c r="IF32" s="1696">
        <v>10000</v>
      </c>
      <c r="IG32" s="1696">
        <v>1110000</v>
      </c>
      <c r="IH32" s="1696">
        <v>0</v>
      </c>
      <c r="II32" s="1696">
        <v>0</v>
      </c>
      <c r="IJ32" s="1696">
        <v>60000</v>
      </c>
      <c r="IK32" s="1696">
        <v>0</v>
      </c>
      <c r="IL32" s="1696">
        <v>0</v>
      </c>
      <c r="IM32" s="1696">
        <v>950000</v>
      </c>
      <c r="IN32" s="1696">
        <v>0</v>
      </c>
      <c r="IO32" s="1696">
        <v>0</v>
      </c>
      <c r="IP32" s="1696">
        <v>0</v>
      </c>
      <c r="IQ32" s="1696">
        <v>0</v>
      </c>
      <c r="IR32" s="1696">
        <v>90000</v>
      </c>
      <c r="IS32" s="1696">
        <v>10000</v>
      </c>
      <c r="IT32" s="1696">
        <v>11884000</v>
      </c>
      <c r="IU32" s="1696">
        <v>6905000</v>
      </c>
      <c r="IV32" s="1697"/>
    </row>
    <row r="33" spans="2:256" ht="16.5" outlineLevel="1">
      <c r="B33" s="1565"/>
      <c r="C33" s="1565" t="s">
        <v>2951</v>
      </c>
      <c r="D33" s="1636"/>
      <c r="E33" s="1637"/>
      <c r="F33" s="1638"/>
      <c r="G33" s="1639"/>
      <c r="H33" s="1638"/>
      <c r="I33" s="1638"/>
      <c r="J33" s="1639"/>
      <c r="K33" s="1638"/>
      <c r="L33" s="1638"/>
      <c r="M33" s="1640">
        <v>273.10412213797571</v>
      </c>
      <c r="N33" s="1641">
        <v>143.06466781802055</v>
      </c>
      <c r="O33" s="1641"/>
      <c r="P33" s="1641"/>
      <c r="Q33" s="1642">
        <f t="shared" si="6"/>
        <v>416.16878995599626</v>
      </c>
      <c r="R33" s="1643">
        <v>-851.32387392638282</v>
      </c>
      <c r="S33" s="1641"/>
      <c r="T33" s="1640"/>
      <c r="U33" s="1641"/>
      <c r="V33" s="1641"/>
      <c r="W33" s="1640"/>
      <c r="X33" s="1641"/>
      <c r="Y33" s="1641"/>
      <c r="Z33" s="1640"/>
      <c r="AA33" s="1641"/>
      <c r="AB33" s="1641"/>
      <c r="AC33" s="1641"/>
      <c r="AD33" s="1642">
        <f t="shared" si="7"/>
        <v>-851.32387392638282</v>
      </c>
      <c r="AE33" s="1643"/>
      <c r="AF33" s="1641"/>
      <c r="AG33" s="1640"/>
      <c r="AH33" s="1641"/>
      <c r="AI33" s="1641"/>
      <c r="AJ33" s="1640"/>
      <c r="AK33" s="1641"/>
      <c r="AL33" s="1641"/>
      <c r="AM33" s="1640"/>
      <c r="AN33" s="1641"/>
      <c r="AO33" s="1641"/>
      <c r="AP33" s="1641"/>
      <c r="AQ33" s="1642">
        <f t="shared" si="8"/>
        <v>0</v>
      </c>
      <c r="AR33" s="1643"/>
      <c r="AS33" s="1641"/>
      <c r="AT33" s="1640"/>
      <c r="AU33" s="1641"/>
      <c r="AV33" s="1641"/>
      <c r="AW33" s="1640"/>
      <c r="AX33" s="1641"/>
      <c r="AY33" s="1641"/>
      <c r="AZ33" s="1640"/>
      <c r="BA33" s="1641"/>
      <c r="BB33" s="1641"/>
      <c r="BC33" s="1641"/>
      <c r="BD33" s="1644">
        <f t="shared" si="9"/>
        <v>0</v>
      </c>
      <c r="BE33" s="1589"/>
      <c r="BF33" s="1615" t="e">
        <f>#REF!-#REF!</f>
        <v>#REF!</v>
      </c>
      <c r="BL33" s="1498"/>
      <c r="BN33" s="1498"/>
      <c r="BO33" s="1498"/>
      <c r="BP33" s="1545"/>
      <c r="BQ33" s="815"/>
      <c r="BR33" s="815"/>
      <c r="BS33" s="815"/>
      <c r="BY33" s="1617"/>
      <c r="BZ33" s="1617"/>
      <c r="CD33" s="815"/>
      <c r="CE33" s="1617"/>
      <c r="CF33" s="1615"/>
      <c r="CG33" s="1698"/>
      <c r="CH33" s="1618" t="s">
        <v>2952</v>
      </c>
      <c r="CI33" s="1619">
        <v>4993446</v>
      </c>
      <c r="CJ33" s="1619">
        <v>4993446</v>
      </c>
      <c r="CK33" s="1619">
        <v>4993446</v>
      </c>
      <c r="CL33" s="1620">
        <v>5032846</v>
      </c>
      <c r="CM33" s="1619">
        <v>5032846</v>
      </c>
      <c r="CN33" s="1621">
        <v>5032846</v>
      </c>
      <c r="CO33" s="1620">
        <v>5032846</v>
      </c>
      <c r="CP33" s="1619">
        <v>5032846</v>
      </c>
      <c r="CQ33" s="1621">
        <v>5032846</v>
      </c>
      <c r="CR33" s="1619">
        <v>5032846</v>
      </c>
      <c r="CS33" s="1619">
        <v>5032846</v>
      </c>
      <c r="CT33" s="1619">
        <v>5032895</v>
      </c>
      <c r="CU33" s="1622">
        <f t="shared" si="1"/>
        <v>60276001</v>
      </c>
      <c r="CV33" s="1619">
        <v>5117925.222222222</v>
      </c>
      <c r="CW33" s="1619">
        <v>5117925.222222222</v>
      </c>
      <c r="CX33" s="1619">
        <v>5673481.777777778</v>
      </c>
      <c r="CY33" s="1620">
        <v>5946406.777777778</v>
      </c>
      <c r="CZ33" s="1619">
        <v>5946406.777777778</v>
      </c>
      <c r="DA33" s="1621">
        <v>5946409.777777778</v>
      </c>
      <c r="DB33" s="1620">
        <v>5346009.777777778</v>
      </c>
      <c r="DC33" s="1619">
        <v>5346009.777777778</v>
      </c>
      <c r="DD33" s="1621">
        <v>5346009.777777778</v>
      </c>
      <c r="DE33" s="1619">
        <v>7012676.444444444</v>
      </c>
      <c r="DF33" s="1619">
        <v>7429343.111111111</v>
      </c>
      <c r="DG33" s="1619">
        <v>17359945.666666664</v>
      </c>
      <c r="DH33" s="1622">
        <f t="shared" si="2"/>
        <v>81588550.111111104</v>
      </c>
      <c r="DI33" s="1619">
        <v>17348871.666666664</v>
      </c>
      <c r="DJ33" s="1619">
        <v>17348871.666666664</v>
      </c>
      <c r="DK33" s="1619">
        <v>17348871.666666664</v>
      </c>
      <c r="DL33" s="1620">
        <v>17348871.666666664</v>
      </c>
      <c r="DM33" s="1619">
        <v>19709982.777777776</v>
      </c>
      <c r="DN33" s="1621">
        <v>19709982.777777776</v>
      </c>
      <c r="DO33" s="1620">
        <v>19709982.777777776</v>
      </c>
      <c r="DP33" s="1619">
        <v>19709982.777777776</v>
      </c>
      <c r="DQ33" s="1621">
        <v>19709982.777777776</v>
      </c>
      <c r="DR33" s="1619">
        <v>19709982.777777776</v>
      </c>
      <c r="DS33" s="1619">
        <v>19709982.777777776</v>
      </c>
      <c r="DT33" s="1619">
        <v>18735828.777777776</v>
      </c>
      <c r="DU33" s="1622">
        <f t="shared" si="3"/>
        <v>226101194.8888889</v>
      </c>
      <c r="DV33" s="1619">
        <v>18728864.777777776</v>
      </c>
      <c r="DW33" s="1619">
        <v>18728864.777777776</v>
      </c>
      <c r="DX33" s="1619">
        <v>19492753.666666668</v>
      </c>
      <c r="DY33" s="1620">
        <v>19492753.666666668</v>
      </c>
      <c r="DZ33" s="1619">
        <v>19492753.666666668</v>
      </c>
      <c r="EA33" s="1621">
        <v>21576089</v>
      </c>
      <c r="EB33" s="1620">
        <v>19907365</v>
      </c>
      <c r="EC33" s="1619">
        <v>19907367</v>
      </c>
      <c r="ED33" s="1621">
        <v>19785010</v>
      </c>
      <c r="EE33" s="1619">
        <v>19785010</v>
      </c>
      <c r="EF33" s="1619">
        <v>19785010</v>
      </c>
      <c r="EG33" s="1619">
        <v>20062818.777777776</v>
      </c>
      <c r="EH33" s="1622">
        <f t="shared" si="4"/>
        <v>236744660.33333337</v>
      </c>
      <c r="EJ33" s="1618" t="s">
        <v>2952</v>
      </c>
      <c r="EK33" s="1619">
        <v>1419444</v>
      </c>
      <c r="EL33" s="1619">
        <v>1419444</v>
      </c>
      <c r="EM33" s="1619">
        <v>1419444</v>
      </c>
      <c r="EN33" s="1620">
        <v>1419444</v>
      </c>
      <c r="EO33" s="1619">
        <v>1419444</v>
      </c>
      <c r="EP33" s="1621">
        <v>1419444</v>
      </c>
      <c r="EQ33" s="1620">
        <v>1419444</v>
      </c>
      <c r="ER33" s="1619">
        <v>1419444</v>
      </c>
      <c r="ES33" s="1621">
        <v>1419444</v>
      </c>
      <c r="ET33" s="1619">
        <v>1419444</v>
      </c>
      <c r="EU33" s="1619">
        <v>2113888.4444444445</v>
      </c>
      <c r="EV33" s="1619">
        <v>2113893.4444444445</v>
      </c>
      <c r="EW33" s="1622">
        <v>18422221.888888888</v>
      </c>
      <c r="EX33" s="1619">
        <v>2113797.4444444445</v>
      </c>
      <c r="EY33" s="1619">
        <v>2113797.4444444445</v>
      </c>
      <c r="EZ33" s="1619">
        <v>2113797.4444444445</v>
      </c>
      <c r="FA33" s="1619">
        <v>2113797.4444444445</v>
      </c>
      <c r="FB33" s="1619">
        <v>2113797.4444444445</v>
      </c>
      <c r="FC33" s="1619">
        <v>2113797.4444444445</v>
      </c>
      <c r="FD33" s="1619">
        <v>2113797.4444444445</v>
      </c>
      <c r="FE33" s="1619">
        <v>2113797.4444444445</v>
      </c>
      <c r="FF33" s="1619">
        <v>3363797.444444444</v>
      </c>
      <c r="FG33" s="1619">
        <v>3363797.444444444</v>
      </c>
      <c r="FH33" s="1619">
        <v>3363798.444444444</v>
      </c>
      <c r="FI33" s="1619">
        <v>3263893.444444444</v>
      </c>
      <c r="FJ33" s="1622">
        <v>30265666.333333332</v>
      </c>
      <c r="FK33" s="1619">
        <v>3263888.444444444</v>
      </c>
      <c r="FL33" s="1619">
        <v>3263888.444444444</v>
      </c>
      <c r="FM33" s="1619">
        <v>3263888.444444444</v>
      </c>
      <c r="FN33" s="1620">
        <v>3263888.444444444</v>
      </c>
      <c r="FO33" s="1619">
        <v>3263888.444444444</v>
      </c>
      <c r="FP33" s="1621">
        <v>3263888.444444444</v>
      </c>
      <c r="FQ33" s="1620">
        <v>3263888.444444444</v>
      </c>
      <c r="FR33" s="1619">
        <v>3263888.444444444</v>
      </c>
      <c r="FS33" s="1621">
        <v>3263888.444444444</v>
      </c>
      <c r="FT33" s="1619">
        <v>3263888.444444444</v>
      </c>
      <c r="FU33" s="1619">
        <v>3263888.444444444</v>
      </c>
      <c r="FV33" s="1619">
        <v>3263893.444444444</v>
      </c>
      <c r="FW33" s="1622">
        <v>39166666.333333328</v>
      </c>
      <c r="FX33" s="1619">
        <v>1944444.4444444443</v>
      </c>
      <c r="FY33" s="1619">
        <v>1944444.4444444443</v>
      </c>
      <c r="FZ33" s="1619">
        <v>1944444.4444444443</v>
      </c>
      <c r="GA33" s="1620">
        <v>1944444.4444444443</v>
      </c>
      <c r="GB33" s="1619">
        <v>1944444.4444444443</v>
      </c>
      <c r="GC33" s="1621">
        <v>1944444.4444444443</v>
      </c>
      <c r="GD33" s="1620">
        <v>1944444.4444444443</v>
      </c>
      <c r="GE33" s="1619">
        <v>1944444.4444444443</v>
      </c>
      <c r="GF33" s="1621">
        <v>1944444.4444444443</v>
      </c>
      <c r="GG33" s="1619">
        <v>1944444.4444444443</v>
      </c>
      <c r="GH33" s="1619">
        <v>1944444.4444444443</v>
      </c>
      <c r="GI33" s="1619">
        <v>1944444.4444444443</v>
      </c>
      <c r="GJ33" s="1622">
        <v>23333333.333333332</v>
      </c>
      <c r="GL33" s="1623"/>
      <c r="GM33" s="1746">
        <v>2.1</v>
      </c>
      <c r="GN33" s="1728" t="s">
        <v>2953</v>
      </c>
      <c r="GO33" s="1705" t="s">
        <v>2954</v>
      </c>
      <c r="GP33" s="1705" t="s">
        <v>2955</v>
      </c>
      <c r="GQ33" s="1747">
        <v>50</v>
      </c>
      <c r="GR33" s="1705" t="s">
        <v>2944</v>
      </c>
      <c r="GS33" s="1706" t="s">
        <v>2956</v>
      </c>
      <c r="GT33" s="1633">
        <v>150000</v>
      </c>
      <c r="GU33" s="1632"/>
      <c r="GV33" s="1632"/>
      <c r="GW33" s="1632"/>
      <c r="GX33" s="1632"/>
      <c r="GY33" s="1632">
        <v>23000</v>
      </c>
      <c r="GZ33" s="1632">
        <v>97000</v>
      </c>
      <c r="HA33" s="1632">
        <v>30000</v>
      </c>
      <c r="HB33" s="1632"/>
      <c r="HC33" s="1632"/>
      <c r="HD33" s="1632"/>
      <c r="HE33" s="1632"/>
      <c r="HF33" s="1632"/>
      <c r="HG33" s="1633">
        <v>50000</v>
      </c>
      <c r="HH33" s="1632"/>
      <c r="HI33" s="1632"/>
      <c r="HJ33" s="1632"/>
      <c r="HK33" s="1632"/>
      <c r="HL33" s="1632"/>
      <c r="HM33" s="1632"/>
      <c r="HN33" s="1632">
        <v>50000</v>
      </c>
      <c r="HO33" s="1632"/>
      <c r="HP33" s="1632"/>
      <c r="HQ33" s="1632"/>
      <c r="HR33" s="1632"/>
      <c r="HS33" s="1632"/>
      <c r="HT33" s="1633">
        <v>0</v>
      </c>
      <c r="HU33" s="1632"/>
      <c r="HV33" s="1632"/>
      <c r="HW33" s="1632"/>
      <c r="HX33" s="1632"/>
      <c r="HY33" s="1632"/>
      <c r="HZ33" s="1632"/>
      <c r="IA33" s="1632"/>
      <c r="IB33" s="1632"/>
      <c r="IC33" s="1632"/>
      <c r="ID33" s="1632"/>
      <c r="IE33" s="1632"/>
      <c r="IF33" s="1632"/>
      <c r="IG33" s="1633">
        <v>0</v>
      </c>
      <c r="IH33" s="1632"/>
      <c r="II33" s="1632"/>
      <c r="IJ33" s="1632"/>
      <c r="IK33" s="1632"/>
      <c r="IL33" s="1632"/>
      <c r="IM33" s="1632"/>
      <c r="IN33" s="1632"/>
      <c r="IO33" s="1632"/>
      <c r="IP33" s="1632"/>
      <c r="IQ33" s="1632"/>
      <c r="IR33" s="1632"/>
      <c r="IS33" s="1632"/>
      <c r="IT33" s="1633">
        <v>200000</v>
      </c>
      <c r="IU33" s="1633">
        <v>50000</v>
      </c>
      <c r="IV33" s="1707"/>
    </row>
    <row r="34" spans="2:256" ht="16.5" outlineLevel="1">
      <c r="B34" s="1664" t="s">
        <v>2957</v>
      </c>
      <c r="C34" s="1664"/>
      <c r="D34" s="1665"/>
      <c r="E34" s="1666">
        <f t="shared" ref="E34:P34" si="17">IFERROR(E20-E27,"")</f>
        <v>1788.1693589999995</v>
      </c>
      <c r="F34" s="1667">
        <f t="shared" si="17"/>
        <v>1759.3225010000024</v>
      </c>
      <c r="G34" s="1668">
        <f t="shared" si="17"/>
        <v>1848.0806709999979</v>
      </c>
      <c r="H34" s="1667">
        <f t="shared" si="17"/>
        <v>2210.6047339999968</v>
      </c>
      <c r="I34" s="1667">
        <f t="shared" si="17"/>
        <v>2079.5909360000005</v>
      </c>
      <c r="J34" s="1668">
        <f t="shared" si="17"/>
        <v>1322.9888629999987</v>
      </c>
      <c r="K34" s="1667">
        <f t="shared" si="17"/>
        <v>2475.4588039999999</v>
      </c>
      <c r="L34" s="1667">
        <f t="shared" si="17"/>
        <v>2870.0891759999977</v>
      </c>
      <c r="M34" s="1669">
        <f t="shared" si="17"/>
        <v>2782.0196552650013</v>
      </c>
      <c r="N34" s="1670">
        <f t="shared" si="17"/>
        <v>1491.7154799817072</v>
      </c>
      <c r="O34" s="1670">
        <f t="shared" si="17"/>
        <v>2320.9137997232101</v>
      </c>
      <c r="P34" s="1670">
        <f t="shared" si="17"/>
        <v>2056.6813450512091</v>
      </c>
      <c r="Q34" s="1671">
        <f t="shared" si="6"/>
        <v>25005.635324021121</v>
      </c>
      <c r="R34" s="1672">
        <f t="shared" ref="R34:AC34" si="18">IFERROR(R20-R27,"")</f>
        <v>2676.7159885258043</v>
      </c>
      <c r="S34" s="1670">
        <f t="shared" si="18"/>
        <v>2171.4141055329928</v>
      </c>
      <c r="T34" s="1669">
        <f t="shared" si="18"/>
        <v>794.7398203456396</v>
      </c>
      <c r="U34" s="1670">
        <f t="shared" si="18"/>
        <v>2165.5676334100353</v>
      </c>
      <c r="V34" s="1670">
        <f t="shared" si="18"/>
        <v>2627.8443005764966</v>
      </c>
      <c r="W34" s="1669">
        <f t="shared" si="18"/>
        <v>2381.3800959617729</v>
      </c>
      <c r="X34" s="1670">
        <f t="shared" si="18"/>
        <v>2377.8039460483233</v>
      </c>
      <c r="Y34" s="1670">
        <f t="shared" si="18"/>
        <v>2501.4217508568727</v>
      </c>
      <c r="Z34" s="1669">
        <f t="shared" si="18"/>
        <v>2405.8165271926191</v>
      </c>
      <c r="AA34" s="1670">
        <f t="shared" si="18"/>
        <v>2306.3821392374302</v>
      </c>
      <c r="AB34" s="1670">
        <f t="shared" si="18"/>
        <v>2279.896483569777</v>
      </c>
      <c r="AC34" s="1670">
        <f t="shared" si="18"/>
        <v>1871.2196712490077</v>
      </c>
      <c r="AD34" s="1671">
        <f t="shared" si="7"/>
        <v>26560.202462506772</v>
      </c>
      <c r="AE34" s="1672">
        <f t="shared" ref="AE34:AP34" si="19">IFERROR(AE20-AE27,"")</f>
        <v>2441.6621615488802</v>
      </c>
      <c r="AF34" s="1670">
        <f t="shared" si="19"/>
        <v>2344.9407682993624</v>
      </c>
      <c r="AG34" s="1669">
        <f t="shared" si="19"/>
        <v>2387.2227451277649</v>
      </c>
      <c r="AH34" s="1670">
        <f t="shared" si="19"/>
        <v>2440.99406130239</v>
      </c>
      <c r="AI34" s="1670">
        <f t="shared" si="19"/>
        <v>1975.876168723702</v>
      </c>
      <c r="AJ34" s="1669">
        <f t="shared" si="19"/>
        <v>194.15798021938463</v>
      </c>
      <c r="AK34" s="1670">
        <f t="shared" si="19"/>
        <v>-256.59433532052572</v>
      </c>
      <c r="AL34" s="1670">
        <f t="shared" si="19"/>
        <v>2123.2251237553537</v>
      </c>
      <c r="AM34" s="1669">
        <f t="shared" si="19"/>
        <v>2519.7483864776877</v>
      </c>
      <c r="AN34" s="1670">
        <f t="shared" si="19"/>
        <v>2509.6390945480889</v>
      </c>
      <c r="AO34" s="1670">
        <f t="shared" si="19"/>
        <v>2581.5882143717972</v>
      </c>
      <c r="AP34" s="1670">
        <f t="shared" si="19"/>
        <v>2304.9754472364548</v>
      </c>
      <c r="AQ34" s="1671">
        <f t="shared" si="8"/>
        <v>23567.435816290341</v>
      </c>
      <c r="AR34" s="1672">
        <f t="shared" ref="AR34:BC34" si="20">IFERROR(AR20-AR27,"")</f>
        <v>2405.5460585169749</v>
      </c>
      <c r="AS34" s="1670">
        <f t="shared" si="20"/>
        <v>2153.2187466863834</v>
      </c>
      <c r="AT34" s="1669">
        <f t="shared" si="20"/>
        <v>1914.3892072096969</v>
      </c>
      <c r="AU34" s="1670">
        <f t="shared" si="20"/>
        <v>2066.0875287429117</v>
      </c>
      <c r="AV34" s="1670">
        <f t="shared" si="20"/>
        <v>2547.7584756092983</v>
      </c>
      <c r="AW34" s="1669">
        <f t="shared" si="20"/>
        <v>2340.874305411664</v>
      </c>
      <c r="AX34" s="1670">
        <f t="shared" si="20"/>
        <v>2249.0851754797477</v>
      </c>
      <c r="AY34" s="1670">
        <f t="shared" si="20"/>
        <v>2443.1542105645385</v>
      </c>
      <c r="AZ34" s="1669">
        <f t="shared" si="20"/>
        <v>2206.5578660999163</v>
      </c>
      <c r="BA34" s="1670">
        <f t="shared" si="20"/>
        <v>2286.3201336657694</v>
      </c>
      <c r="BB34" s="1670">
        <f t="shared" si="20"/>
        <v>2476.140185685872</v>
      </c>
      <c r="BC34" s="1670">
        <f t="shared" si="20"/>
        <v>2213.0148499685201</v>
      </c>
      <c r="BD34" s="1715">
        <f t="shared" si="9"/>
        <v>27302.146743641293</v>
      </c>
      <c r="BE34" s="1589"/>
      <c r="BF34" s="1615" t="e">
        <f>#REF!-#REF!</f>
        <v>#REF!</v>
      </c>
      <c r="BL34" s="1498"/>
      <c r="BN34" s="1498"/>
      <c r="BO34" s="1498"/>
      <c r="BP34" s="1545"/>
      <c r="BQ34" s="815"/>
      <c r="BR34" s="815"/>
      <c r="BS34" s="815"/>
      <c r="BY34" s="1617"/>
      <c r="BZ34" s="1617"/>
      <c r="CD34" s="815"/>
      <c r="CE34" s="1617"/>
      <c r="CF34" s="1615"/>
      <c r="CG34" s="1698"/>
      <c r="CH34" s="1618" t="s">
        <v>197</v>
      </c>
      <c r="CI34" s="1619">
        <v>231263491</v>
      </c>
      <c r="CJ34" s="1619">
        <v>151198538</v>
      </c>
      <c r="CK34" s="1619">
        <v>234622976</v>
      </c>
      <c r="CL34" s="1620">
        <v>198378368</v>
      </c>
      <c r="CM34" s="1619">
        <v>451694709</v>
      </c>
      <c r="CN34" s="1621">
        <v>1003053116</v>
      </c>
      <c r="CO34" s="1620">
        <v>208686297</v>
      </c>
      <c r="CP34" s="1619">
        <v>144800203</v>
      </c>
      <c r="CQ34" s="1621">
        <v>231260100</v>
      </c>
      <c r="CR34" s="1619">
        <v>249670100</v>
      </c>
      <c r="CS34" s="1619">
        <v>425593100</v>
      </c>
      <c r="CT34" s="1619">
        <v>304538100</v>
      </c>
      <c r="CU34" s="1622">
        <f t="shared" si="1"/>
        <v>3834759098</v>
      </c>
      <c r="CV34" s="1619">
        <v>204914000</v>
      </c>
      <c r="CW34" s="1619">
        <v>213714000</v>
      </c>
      <c r="CX34" s="1619">
        <v>439334000</v>
      </c>
      <c r="CY34" s="1620">
        <v>189584000</v>
      </c>
      <c r="CZ34" s="1619">
        <v>446194000</v>
      </c>
      <c r="DA34" s="1621">
        <v>304812000</v>
      </c>
      <c r="DB34" s="1620">
        <v>262664000</v>
      </c>
      <c r="DC34" s="1619">
        <v>191714000</v>
      </c>
      <c r="DD34" s="1621">
        <v>239734000</v>
      </c>
      <c r="DE34" s="1619">
        <v>185114000</v>
      </c>
      <c r="DF34" s="1619">
        <v>493944000</v>
      </c>
      <c r="DG34" s="1619">
        <v>270312000</v>
      </c>
      <c r="DH34" s="1622">
        <f t="shared" si="2"/>
        <v>3442034000</v>
      </c>
      <c r="DI34" s="1619">
        <v>181992000</v>
      </c>
      <c r="DJ34" s="1619">
        <v>202292000</v>
      </c>
      <c r="DK34" s="1619">
        <v>261362000</v>
      </c>
      <c r="DL34" s="1620">
        <v>158592000</v>
      </c>
      <c r="DM34" s="1619">
        <v>600322000</v>
      </c>
      <c r="DN34" s="1621">
        <v>740012000</v>
      </c>
      <c r="DO34" s="1620">
        <v>665442000</v>
      </c>
      <c r="DP34" s="1619">
        <v>132192000</v>
      </c>
      <c r="DQ34" s="1621">
        <v>184812000</v>
      </c>
      <c r="DR34" s="1619">
        <v>166892000</v>
      </c>
      <c r="DS34" s="1619">
        <v>343692000</v>
      </c>
      <c r="DT34" s="1619">
        <v>194412000</v>
      </c>
      <c r="DU34" s="1622">
        <f t="shared" si="3"/>
        <v>3832014000</v>
      </c>
      <c r="DV34" s="1619">
        <v>199538988.75</v>
      </c>
      <c r="DW34" s="1619">
        <v>277338988.75</v>
      </c>
      <c r="DX34" s="1619">
        <v>355508988.75</v>
      </c>
      <c r="DY34" s="1620">
        <v>178638988.75</v>
      </c>
      <c r="DZ34" s="1619">
        <v>398468988.75</v>
      </c>
      <c r="EA34" s="1621">
        <v>254286988.75</v>
      </c>
      <c r="EB34" s="1620">
        <v>225788988.75</v>
      </c>
      <c r="EC34" s="1619">
        <v>195338988.75</v>
      </c>
      <c r="ED34" s="1621">
        <v>198258988.75</v>
      </c>
      <c r="EE34" s="1619">
        <v>252338988.75</v>
      </c>
      <c r="EF34" s="1619">
        <v>487538988.75</v>
      </c>
      <c r="EG34" s="1619">
        <v>208186988.75</v>
      </c>
      <c r="EH34" s="1622">
        <f t="shared" si="4"/>
        <v>3231233865</v>
      </c>
      <c r="EJ34" s="1618" t="s">
        <v>197</v>
      </c>
      <c r="EK34" s="1619">
        <v>0</v>
      </c>
      <c r="EL34" s="1619">
        <v>0</v>
      </c>
      <c r="EM34" s="1619">
        <v>0</v>
      </c>
      <c r="EN34" s="1620">
        <v>0</v>
      </c>
      <c r="EO34" s="1619">
        <v>0</v>
      </c>
      <c r="EP34" s="1621">
        <v>0</v>
      </c>
      <c r="EQ34" s="1620">
        <v>0</v>
      </c>
      <c r="ER34" s="1619">
        <v>0</v>
      </c>
      <c r="ES34" s="1621">
        <v>0</v>
      </c>
      <c r="ET34" s="1619">
        <v>0</v>
      </c>
      <c r="EU34" s="1619">
        <v>0</v>
      </c>
      <c r="EV34" s="1619">
        <v>0</v>
      </c>
      <c r="EW34" s="1622">
        <v>0</v>
      </c>
      <c r="EX34" s="1619">
        <v>0</v>
      </c>
      <c r="EY34" s="1619">
        <v>0</v>
      </c>
      <c r="EZ34" s="1619">
        <v>0</v>
      </c>
      <c r="FA34" s="1619">
        <v>0</v>
      </c>
      <c r="FB34" s="1619">
        <v>0</v>
      </c>
      <c r="FC34" s="1619">
        <v>0</v>
      </c>
      <c r="FD34" s="1619">
        <v>0</v>
      </c>
      <c r="FE34" s="1619">
        <v>0</v>
      </c>
      <c r="FF34" s="1619">
        <v>0</v>
      </c>
      <c r="FG34" s="1619">
        <v>0</v>
      </c>
      <c r="FH34" s="1619">
        <v>0</v>
      </c>
      <c r="FI34" s="1619">
        <v>0</v>
      </c>
      <c r="FJ34" s="1622">
        <v>0</v>
      </c>
      <c r="FK34" s="1619">
        <v>0</v>
      </c>
      <c r="FL34" s="1619">
        <v>0</v>
      </c>
      <c r="FM34" s="1619">
        <v>0</v>
      </c>
      <c r="FN34" s="1620">
        <v>0</v>
      </c>
      <c r="FO34" s="1619">
        <v>0</v>
      </c>
      <c r="FP34" s="1621">
        <v>0</v>
      </c>
      <c r="FQ34" s="1620">
        <v>0</v>
      </c>
      <c r="FR34" s="1619">
        <v>0</v>
      </c>
      <c r="FS34" s="1621">
        <v>0</v>
      </c>
      <c r="FT34" s="1619">
        <v>0</v>
      </c>
      <c r="FU34" s="1619">
        <v>0</v>
      </c>
      <c r="FV34" s="1619">
        <v>0</v>
      </c>
      <c r="FW34" s="1622">
        <v>0</v>
      </c>
      <c r="FX34" s="1619">
        <v>0</v>
      </c>
      <c r="FY34" s="1619">
        <v>0</v>
      </c>
      <c r="FZ34" s="1619">
        <v>0</v>
      </c>
      <c r="GA34" s="1620">
        <v>0</v>
      </c>
      <c r="GB34" s="1619">
        <v>0</v>
      </c>
      <c r="GC34" s="1621">
        <v>0</v>
      </c>
      <c r="GD34" s="1620">
        <v>0</v>
      </c>
      <c r="GE34" s="1619">
        <v>0</v>
      </c>
      <c r="GF34" s="1621">
        <v>0</v>
      </c>
      <c r="GG34" s="1619">
        <v>0</v>
      </c>
      <c r="GH34" s="1619">
        <v>0</v>
      </c>
      <c r="GI34" s="1619">
        <v>0</v>
      </c>
      <c r="GJ34" s="1622">
        <v>0</v>
      </c>
      <c r="GL34" s="1652"/>
      <c r="GM34" s="1748">
        <v>2.2000000000000002</v>
      </c>
      <c r="GN34" s="1710" t="s">
        <v>2958</v>
      </c>
      <c r="GO34" s="1711" t="s">
        <v>2946</v>
      </c>
      <c r="GP34" s="1711" t="s">
        <v>2959</v>
      </c>
      <c r="GQ34" s="1749">
        <v>25</v>
      </c>
      <c r="GR34" s="1711" t="s">
        <v>2944</v>
      </c>
      <c r="GS34" s="1712" t="s">
        <v>2956</v>
      </c>
      <c r="GT34" s="1662">
        <v>80000</v>
      </c>
      <c r="GU34" s="1661"/>
      <c r="GV34" s="1661"/>
      <c r="GW34" s="1661"/>
      <c r="GX34" s="1661"/>
      <c r="GY34" s="1661"/>
      <c r="GZ34" s="1661"/>
      <c r="HA34" s="1661">
        <v>76000</v>
      </c>
      <c r="HB34" s="1661">
        <v>4000</v>
      </c>
      <c r="HC34" s="1661"/>
      <c r="HD34" s="1661"/>
      <c r="HE34" s="1661"/>
      <c r="HF34" s="1661"/>
      <c r="HG34" s="1662">
        <v>50000</v>
      </c>
      <c r="HH34" s="1661"/>
      <c r="HI34" s="1661"/>
      <c r="HJ34" s="1661"/>
      <c r="HK34" s="1661"/>
      <c r="HL34" s="1661"/>
      <c r="HM34" s="1661"/>
      <c r="HN34" s="1661">
        <v>50000</v>
      </c>
      <c r="HO34" s="1661"/>
      <c r="HP34" s="1661"/>
      <c r="HQ34" s="1661"/>
      <c r="HR34" s="1661"/>
      <c r="HS34" s="1661"/>
      <c r="HT34" s="1662">
        <v>0</v>
      </c>
      <c r="HU34" s="1661"/>
      <c r="HV34" s="1661"/>
      <c r="HW34" s="1661"/>
      <c r="HX34" s="1661"/>
      <c r="HY34" s="1661"/>
      <c r="HZ34" s="1661"/>
      <c r="IA34" s="1661"/>
      <c r="IB34" s="1661"/>
      <c r="IC34" s="1661"/>
      <c r="ID34" s="1661"/>
      <c r="IE34" s="1661"/>
      <c r="IF34" s="1661"/>
      <c r="IG34" s="1662">
        <v>0</v>
      </c>
      <c r="IH34" s="1661"/>
      <c r="II34" s="1661"/>
      <c r="IJ34" s="1661"/>
      <c r="IK34" s="1661"/>
      <c r="IL34" s="1661"/>
      <c r="IM34" s="1661"/>
      <c r="IN34" s="1661"/>
      <c r="IO34" s="1661"/>
      <c r="IP34" s="1661"/>
      <c r="IQ34" s="1661"/>
      <c r="IR34" s="1661"/>
      <c r="IS34" s="1661"/>
      <c r="IT34" s="1662">
        <v>130000</v>
      </c>
      <c r="IU34" s="1662">
        <v>50000</v>
      </c>
      <c r="IV34" s="1713"/>
    </row>
    <row r="35" spans="2:256" s="1504" customFormat="1" ht="16.5">
      <c r="B35" s="1750"/>
      <c r="C35" s="1750"/>
      <c r="D35" s="1751" t="s">
        <v>360</v>
      </c>
      <c r="E35" s="1752">
        <f t="shared" ref="E35:BD35" si="21">IFERROR(E34/E20*100,"")</f>
        <v>8.9257149336290098</v>
      </c>
      <c r="F35" s="1753">
        <f t="shared" si="21"/>
        <v>9.145388667148211</v>
      </c>
      <c r="G35" s="1754">
        <f t="shared" si="21"/>
        <v>10.654316577262417</v>
      </c>
      <c r="H35" s="1753">
        <f t="shared" si="21"/>
        <v>11.818992609905177</v>
      </c>
      <c r="I35" s="1753">
        <f t="shared" si="21"/>
        <v>10.186958145256298</v>
      </c>
      <c r="J35" s="1754">
        <f t="shared" si="21"/>
        <v>12.891209161202754</v>
      </c>
      <c r="K35" s="1753">
        <f t="shared" si="21"/>
        <v>13.332492407724631</v>
      </c>
      <c r="L35" s="1753">
        <f t="shared" si="21"/>
        <v>16.053633686987389</v>
      </c>
      <c r="M35" s="1755">
        <f t="shared" si="21"/>
        <v>11.085207303614759</v>
      </c>
      <c r="N35" s="1756">
        <f t="shared" si="21"/>
        <v>5.8553785042494884</v>
      </c>
      <c r="O35" s="1756">
        <f t="shared" si="21"/>
        <v>10.457832159375968</v>
      </c>
      <c r="P35" s="1756">
        <f t="shared" si="21"/>
        <v>8.9898980914755864</v>
      </c>
      <c r="Q35" s="1757">
        <f t="shared" si="21"/>
        <v>10.502752843534861</v>
      </c>
      <c r="R35" s="1758">
        <f t="shared" si="21"/>
        <v>11.612164397700672</v>
      </c>
      <c r="S35" s="1756">
        <f t="shared" si="21"/>
        <v>10.170754671851636</v>
      </c>
      <c r="T35" s="1755">
        <f t="shared" si="21"/>
        <v>8.2997593469879565</v>
      </c>
      <c r="U35" s="1756">
        <f t="shared" si="21"/>
        <v>9.5346806048605632</v>
      </c>
      <c r="V35" s="1756">
        <f t="shared" si="21"/>
        <v>11.208342609836224</v>
      </c>
      <c r="W35" s="1755">
        <f t="shared" si="21"/>
        <v>10.418318713994696</v>
      </c>
      <c r="X35" s="1756">
        <f t="shared" si="21"/>
        <v>10.052629975861924</v>
      </c>
      <c r="Y35" s="1756">
        <f t="shared" si="21"/>
        <v>10.618757517645463</v>
      </c>
      <c r="Z35" s="1755">
        <f t="shared" si="21"/>
        <v>10.568350083766292</v>
      </c>
      <c r="AA35" s="1756">
        <f t="shared" si="21"/>
        <v>9.8449162052027344</v>
      </c>
      <c r="AB35" s="1756">
        <f t="shared" si="21"/>
        <v>11.064979966938219</v>
      </c>
      <c r="AC35" s="1756">
        <f t="shared" si="21"/>
        <v>7.9261762275356178</v>
      </c>
      <c r="AD35" s="1757">
        <f t="shared" si="21"/>
        <v>10.191708386454804</v>
      </c>
      <c r="AE35" s="1758">
        <f t="shared" si="21"/>
        <v>10.569574732009135</v>
      </c>
      <c r="AF35" s="1756">
        <f t="shared" si="21"/>
        <v>11.333652324788902</v>
      </c>
      <c r="AG35" s="1755">
        <f t="shared" si="21"/>
        <v>10.286453656901246</v>
      </c>
      <c r="AH35" s="1756">
        <f t="shared" si="21"/>
        <v>10.961928675770373</v>
      </c>
      <c r="AI35" s="1756">
        <f t="shared" si="21"/>
        <v>11.905091439978138</v>
      </c>
      <c r="AJ35" s="1755">
        <f t="shared" si="21"/>
        <v>3.0476259712309477</v>
      </c>
      <c r="AK35" s="1756">
        <f t="shared" si="21"/>
        <v>-1.0879622650879426</v>
      </c>
      <c r="AL35" s="1756">
        <f t="shared" si="21"/>
        <v>9.2291843128330857</v>
      </c>
      <c r="AM35" s="1755">
        <f t="shared" si="21"/>
        <v>11.243329884134393</v>
      </c>
      <c r="AN35" s="1756">
        <f t="shared" si="21"/>
        <v>10.802519566971949</v>
      </c>
      <c r="AO35" s="1756">
        <f t="shared" si="21"/>
        <v>11.548984800315996</v>
      </c>
      <c r="AP35" s="1756">
        <f t="shared" si="21"/>
        <v>9.9288852634598381</v>
      </c>
      <c r="AQ35" s="1757">
        <f t="shared" si="21"/>
        <v>9.4256300741230739</v>
      </c>
      <c r="AR35" s="1758">
        <f t="shared" si="21"/>
        <v>10.159483494620154</v>
      </c>
      <c r="AS35" s="1756">
        <f t="shared" si="21"/>
        <v>10.252764195709858</v>
      </c>
      <c r="AT35" s="1755">
        <f t="shared" si="21"/>
        <v>8.9924355323686882</v>
      </c>
      <c r="AU35" s="1756">
        <f t="shared" si="21"/>
        <v>9.0737734590676169</v>
      </c>
      <c r="AV35" s="1756">
        <f t="shared" si="21"/>
        <v>10.944700620395487</v>
      </c>
      <c r="AW35" s="1755">
        <f t="shared" si="21"/>
        <v>10.227715511412484</v>
      </c>
      <c r="AX35" s="1756">
        <f t="shared" si="21"/>
        <v>9.6378176617311766</v>
      </c>
      <c r="AY35" s="1756">
        <f t="shared" si="21"/>
        <v>10.386887720877375</v>
      </c>
      <c r="AZ35" s="1755">
        <f t="shared" si="21"/>
        <v>9.7016851088245222</v>
      </c>
      <c r="BA35" s="1756">
        <f t="shared" si="21"/>
        <v>9.9408252029221273</v>
      </c>
      <c r="BB35" s="1756">
        <f t="shared" si="21"/>
        <v>12.09388730987142</v>
      </c>
      <c r="BC35" s="1756">
        <f t="shared" si="21"/>
        <v>9.451360602710384</v>
      </c>
      <c r="BD35" s="1758">
        <f t="shared" si="21"/>
        <v>10.059967062625793</v>
      </c>
      <c r="BE35" s="1509"/>
      <c r="BF35" s="1759">
        <f>AD20-Q20</f>
        <v>22519.501868864172</v>
      </c>
      <c r="BG35" s="1497"/>
      <c r="BH35" s="1760"/>
      <c r="BI35" s="1760"/>
      <c r="BJ35" s="1760"/>
      <c r="BK35" s="1498"/>
      <c r="BL35" s="1646"/>
      <c r="BM35" s="1498"/>
      <c r="BN35" s="1498"/>
      <c r="BO35" s="1761"/>
      <c r="BP35" s="1762" t="s">
        <v>2960</v>
      </c>
      <c r="BQ35" s="815"/>
      <c r="BR35" s="1763"/>
      <c r="BS35" s="1763"/>
      <c r="BT35" s="1617"/>
      <c r="BU35" s="815"/>
      <c r="BV35" s="815"/>
      <c r="BW35" s="815"/>
      <c r="BX35" s="815"/>
      <c r="BY35" s="1617"/>
      <c r="BZ35" s="1617"/>
      <c r="CA35" s="815"/>
      <c r="CB35" s="815"/>
      <c r="CC35" s="815"/>
      <c r="CD35" s="815"/>
      <c r="CE35" s="1617"/>
      <c r="CF35" s="1759"/>
      <c r="CG35" s="1559"/>
      <c r="CH35" s="1716" t="s">
        <v>2003</v>
      </c>
      <c r="CI35" s="1648">
        <v>5751863</v>
      </c>
      <c r="CJ35" s="1648">
        <v>5429500</v>
      </c>
      <c r="CK35" s="1648">
        <v>5752607</v>
      </c>
      <c r="CL35" s="1649">
        <v>5604686</v>
      </c>
      <c r="CM35" s="1648">
        <v>5767169</v>
      </c>
      <c r="CN35" s="1650">
        <v>5605725</v>
      </c>
      <c r="CO35" s="1649">
        <v>5879280</v>
      </c>
      <c r="CP35" s="1648">
        <v>6266913</v>
      </c>
      <c r="CQ35" s="1650">
        <v>6203919.333333333</v>
      </c>
      <c r="CR35" s="1648">
        <v>6203919.333333333</v>
      </c>
      <c r="CS35" s="1648">
        <v>6203919.333333333</v>
      </c>
      <c r="CT35" s="1648">
        <v>7507919.3333333302</v>
      </c>
      <c r="CU35" s="1651">
        <f t="shared" si="1"/>
        <v>72177420.333333343</v>
      </c>
      <c r="CV35" s="1648">
        <v>6226777</v>
      </c>
      <c r="CW35" s="1648">
        <v>6226777</v>
      </c>
      <c r="CX35" s="1648">
        <v>6226777</v>
      </c>
      <c r="CY35" s="1649">
        <v>6226777</v>
      </c>
      <c r="CZ35" s="1648">
        <v>6226777</v>
      </c>
      <c r="DA35" s="1650">
        <v>6226777</v>
      </c>
      <c r="DB35" s="1649">
        <v>6226777</v>
      </c>
      <c r="DC35" s="1648">
        <v>6226777</v>
      </c>
      <c r="DD35" s="1650">
        <v>6226777</v>
      </c>
      <c r="DE35" s="1648">
        <v>6226777</v>
      </c>
      <c r="DF35" s="1648">
        <v>6226777</v>
      </c>
      <c r="DG35" s="1648">
        <v>6226777</v>
      </c>
      <c r="DH35" s="1651">
        <f t="shared" si="2"/>
        <v>74721324</v>
      </c>
      <c r="DI35" s="1648">
        <v>6231693.666666666</v>
      </c>
      <c r="DJ35" s="1648">
        <v>6231693.666666666</v>
      </c>
      <c r="DK35" s="1648">
        <v>6231693.666666666</v>
      </c>
      <c r="DL35" s="1649">
        <v>6231693.666666666</v>
      </c>
      <c r="DM35" s="1648">
        <v>6231693.666666666</v>
      </c>
      <c r="DN35" s="1650">
        <v>6231693.666666666</v>
      </c>
      <c r="DO35" s="1649">
        <v>6231693.666666666</v>
      </c>
      <c r="DP35" s="1648">
        <v>6231693.666666666</v>
      </c>
      <c r="DQ35" s="1650">
        <v>6231693.666666666</v>
      </c>
      <c r="DR35" s="1648">
        <v>6231693.666666666</v>
      </c>
      <c r="DS35" s="1648">
        <v>6231693.666666666</v>
      </c>
      <c r="DT35" s="1648">
        <v>6231693.666666666</v>
      </c>
      <c r="DU35" s="1651">
        <f t="shared" si="3"/>
        <v>74780323.999999985</v>
      </c>
      <c r="DV35" s="1648">
        <v>6231693.666666666</v>
      </c>
      <c r="DW35" s="1648">
        <v>6231693.666666666</v>
      </c>
      <c r="DX35" s="1648">
        <v>6231693.666666666</v>
      </c>
      <c r="DY35" s="1649">
        <v>6231693.666666666</v>
      </c>
      <c r="DZ35" s="1648">
        <v>6231693.666666666</v>
      </c>
      <c r="EA35" s="1650">
        <v>6231693.666666666</v>
      </c>
      <c r="EB35" s="1649">
        <v>6231693.666666666</v>
      </c>
      <c r="EC35" s="1648">
        <v>6231693.666666666</v>
      </c>
      <c r="ED35" s="1650">
        <v>6231693.666666666</v>
      </c>
      <c r="EE35" s="1648">
        <v>6231693.666666666</v>
      </c>
      <c r="EF35" s="1648">
        <v>6231693.666666666</v>
      </c>
      <c r="EG35" s="1648">
        <v>6231693.666666666</v>
      </c>
      <c r="EH35" s="1651">
        <f t="shared" si="4"/>
        <v>74780323.999999985</v>
      </c>
      <c r="EI35" s="1493"/>
      <c r="EJ35" s="1716" t="s">
        <v>2003</v>
      </c>
      <c r="EK35" s="1648">
        <v>510041</v>
      </c>
      <c r="EL35" s="1648">
        <v>493285</v>
      </c>
      <c r="EM35" s="1648">
        <v>501187</v>
      </c>
      <c r="EN35" s="1649">
        <v>392097</v>
      </c>
      <c r="EO35" s="1648">
        <v>399437</v>
      </c>
      <c r="EP35" s="1650">
        <v>392293</v>
      </c>
      <c r="EQ35" s="1649">
        <v>399437</v>
      </c>
      <c r="ER35" s="1648">
        <v>381253</v>
      </c>
      <c r="ES35" s="1650">
        <v>525106</v>
      </c>
      <c r="ET35" s="1648">
        <v>525106</v>
      </c>
      <c r="EU35" s="1648">
        <v>525106</v>
      </c>
      <c r="EV35" s="1648">
        <v>525106</v>
      </c>
      <c r="EW35" s="1651">
        <v>5569454</v>
      </c>
      <c r="EX35" s="1648">
        <v>366376.25</v>
      </c>
      <c r="EY35" s="1648">
        <v>366376.25</v>
      </c>
      <c r="EZ35" s="1648">
        <v>366376.25</v>
      </c>
      <c r="FA35" s="1648">
        <v>366376.25</v>
      </c>
      <c r="FB35" s="1648">
        <v>366376.25</v>
      </c>
      <c r="FC35" s="1648">
        <v>366376.25</v>
      </c>
      <c r="FD35" s="1648">
        <v>366376.25</v>
      </c>
      <c r="FE35" s="1648">
        <v>366376.25</v>
      </c>
      <c r="FF35" s="1648">
        <v>366376.25</v>
      </c>
      <c r="FG35" s="1648">
        <v>366376.25</v>
      </c>
      <c r="FH35" s="1648">
        <v>366376.25</v>
      </c>
      <c r="FI35" s="1648">
        <v>366376.25</v>
      </c>
      <c r="FJ35" s="1651">
        <v>4396515</v>
      </c>
      <c r="FK35" s="1648">
        <v>438432.25</v>
      </c>
      <c r="FL35" s="1648">
        <v>438432.25</v>
      </c>
      <c r="FM35" s="1648">
        <v>438432.25</v>
      </c>
      <c r="FN35" s="1649">
        <v>438432.25</v>
      </c>
      <c r="FO35" s="1648">
        <v>438432.25</v>
      </c>
      <c r="FP35" s="1650">
        <v>438432.25</v>
      </c>
      <c r="FQ35" s="1649">
        <v>438432.25</v>
      </c>
      <c r="FR35" s="1648">
        <v>438432.25</v>
      </c>
      <c r="FS35" s="1650">
        <v>438432.25</v>
      </c>
      <c r="FT35" s="1648">
        <v>438432.25</v>
      </c>
      <c r="FU35" s="1648">
        <v>438432.25</v>
      </c>
      <c r="FV35" s="1648">
        <v>438432.25</v>
      </c>
      <c r="FW35" s="1651">
        <v>5261187</v>
      </c>
      <c r="FX35" s="1648">
        <v>438432.25</v>
      </c>
      <c r="FY35" s="1648">
        <v>438432.25</v>
      </c>
      <c r="FZ35" s="1648">
        <v>438432.25</v>
      </c>
      <c r="GA35" s="1649">
        <v>438432.25</v>
      </c>
      <c r="GB35" s="1648">
        <v>438432.25</v>
      </c>
      <c r="GC35" s="1650">
        <v>438432.25</v>
      </c>
      <c r="GD35" s="1649">
        <v>438432.25</v>
      </c>
      <c r="GE35" s="1648">
        <v>438432.25</v>
      </c>
      <c r="GF35" s="1650">
        <v>438432.25</v>
      </c>
      <c r="GG35" s="1648">
        <v>438432.25</v>
      </c>
      <c r="GH35" s="1648">
        <v>438432.25</v>
      </c>
      <c r="GI35" s="1648">
        <v>438432.25</v>
      </c>
      <c r="GJ35" s="1651">
        <v>5261187</v>
      </c>
      <c r="GL35" s="1623"/>
      <c r="GM35" s="1746">
        <v>2.2999999999999998</v>
      </c>
      <c r="GN35" s="1704" t="s">
        <v>2961</v>
      </c>
      <c r="GO35" s="1705" t="s">
        <v>2954</v>
      </c>
      <c r="GP35" s="1626" t="s">
        <v>2932</v>
      </c>
      <c r="GQ35" s="1747">
        <v>2</v>
      </c>
      <c r="GR35" s="1705" t="s">
        <v>2947</v>
      </c>
      <c r="GS35" s="1706" t="s">
        <v>2962</v>
      </c>
      <c r="GT35" s="1631">
        <v>495000</v>
      </c>
      <c r="GU35" s="1631"/>
      <c r="GV35" s="1631"/>
      <c r="GW35" s="1631"/>
      <c r="GX35" s="1631"/>
      <c r="GY35" s="1631"/>
      <c r="GZ35" s="1631">
        <v>495000</v>
      </c>
      <c r="HA35" s="1631"/>
      <c r="HB35" s="1631"/>
      <c r="HC35" s="1631"/>
      <c r="HD35" s="1631"/>
      <c r="HE35" s="1631"/>
      <c r="HF35" s="1631"/>
      <c r="HG35" s="1631">
        <v>0</v>
      </c>
      <c r="HH35" s="1631"/>
      <c r="HI35" s="1631"/>
      <c r="HJ35" s="1631"/>
      <c r="HK35" s="1631"/>
      <c r="HL35" s="1631"/>
      <c r="HM35" s="1631"/>
      <c r="HN35" s="1631"/>
      <c r="HO35" s="1631"/>
      <c r="HP35" s="1631"/>
      <c r="HQ35" s="1631"/>
      <c r="HR35" s="1631"/>
      <c r="HS35" s="1631"/>
      <c r="HT35" s="1631">
        <v>540000</v>
      </c>
      <c r="HU35" s="1631"/>
      <c r="HV35" s="1631"/>
      <c r="HW35" s="1631"/>
      <c r="HX35" s="1631"/>
      <c r="HY35" s="1631"/>
      <c r="HZ35" s="1631">
        <v>540000</v>
      </c>
      <c r="IA35" s="1631"/>
      <c r="IB35" s="1631"/>
      <c r="IC35" s="1631"/>
      <c r="ID35" s="1631"/>
      <c r="IE35" s="1631"/>
      <c r="IF35" s="1631"/>
      <c r="IG35" s="1631">
        <v>0</v>
      </c>
      <c r="IH35" s="1631"/>
      <c r="II35" s="1631"/>
      <c r="IJ35" s="1631"/>
      <c r="IK35" s="1631"/>
      <c r="IL35" s="1631"/>
      <c r="IM35" s="1631"/>
      <c r="IN35" s="1631"/>
      <c r="IO35" s="1631"/>
      <c r="IP35" s="1631"/>
      <c r="IQ35" s="1631"/>
      <c r="IR35" s="1631"/>
      <c r="IS35" s="1631"/>
      <c r="IT35" s="1633">
        <v>1035000</v>
      </c>
      <c r="IU35" s="1633">
        <v>540000</v>
      </c>
      <c r="IV35" s="1707"/>
    </row>
    <row r="36" spans="2:256" ht="16.5">
      <c r="B36" s="1764" t="s">
        <v>2963</v>
      </c>
      <c r="C36" s="1764"/>
      <c r="D36" s="1765"/>
      <c r="E36" s="1766">
        <v>279.223164</v>
      </c>
      <c r="F36" s="1767">
        <v>213.51764</v>
      </c>
      <c r="G36" s="1768">
        <v>287.67639300000002</v>
      </c>
      <c r="H36" s="1767">
        <v>190.25737100000001</v>
      </c>
      <c r="I36" s="1767">
        <v>199.81086400000001</v>
      </c>
      <c r="J36" s="1768">
        <v>176.91936000000001</v>
      </c>
      <c r="K36" s="1767">
        <v>194.63544899999999</v>
      </c>
      <c r="L36" s="1767">
        <v>198.60359199999999</v>
      </c>
      <c r="M36" s="1769">
        <v>242.17677210941929</v>
      </c>
      <c r="N36" s="1770">
        <v>206.74250329070591</v>
      </c>
      <c r="O36" s="1770">
        <v>212.28251607812695</v>
      </c>
      <c r="P36" s="1770">
        <v>231.82329269055819</v>
      </c>
      <c r="Q36" s="1771">
        <f t="shared" si="6"/>
        <v>2633.6689171688099</v>
      </c>
      <c r="R36" s="1772">
        <v>213.287205782596</v>
      </c>
      <c r="S36" s="1770">
        <v>192.91441201861031</v>
      </c>
      <c r="T36" s="1769">
        <v>259.75993164300132</v>
      </c>
      <c r="U36" s="1770">
        <v>199.60632840039449</v>
      </c>
      <c r="V36" s="1770">
        <v>164.2732157677045</v>
      </c>
      <c r="W36" s="1769">
        <v>223.063294741687</v>
      </c>
      <c r="X36" s="1770">
        <v>199.5316826816786</v>
      </c>
      <c r="Y36" s="1770">
        <v>219.38684472900451</v>
      </c>
      <c r="Z36" s="1769">
        <v>251.1256622043006</v>
      </c>
      <c r="AA36" s="1770">
        <v>203.11945099896968</v>
      </c>
      <c r="AB36" s="1770">
        <v>218.815693741638</v>
      </c>
      <c r="AC36" s="1770">
        <v>347.1365925838391</v>
      </c>
      <c r="AD36" s="1771">
        <f>IFERROR(SUM(R36:AC36),0)</f>
        <v>2692.0203152934241</v>
      </c>
      <c r="AE36" s="1772">
        <v>243.08369187090796</v>
      </c>
      <c r="AF36" s="1770">
        <v>201.15325952184844</v>
      </c>
      <c r="AG36" s="1769">
        <v>284.03826228769645</v>
      </c>
      <c r="AH36" s="1770">
        <v>212.66968980201437</v>
      </c>
      <c r="AI36" s="1770">
        <v>210.34687380756293</v>
      </c>
      <c r="AJ36" s="1769">
        <v>212.80768665320534</v>
      </c>
      <c r="AK36" s="1770">
        <v>207.9505992889361</v>
      </c>
      <c r="AL36" s="1770">
        <v>229.50304854986075</v>
      </c>
      <c r="AM36" s="1769">
        <v>257.70450005599554</v>
      </c>
      <c r="AN36" s="1770">
        <v>213.02867347149416</v>
      </c>
      <c r="AO36" s="1770">
        <v>224.24165657619406</v>
      </c>
      <c r="AP36" s="1770">
        <v>270.83579731472474</v>
      </c>
      <c r="AQ36" s="1771">
        <f>IFERROR(SUM(AE36:AP36),0)</f>
        <v>2767.3637392004407</v>
      </c>
      <c r="AR36" s="1772">
        <v>248.27084188936533</v>
      </c>
      <c r="AS36" s="1770">
        <v>205.18104261492442</v>
      </c>
      <c r="AT36" s="1769">
        <v>289.16041172095265</v>
      </c>
      <c r="AU36" s="1770">
        <v>216.84403220819604</v>
      </c>
      <c r="AV36" s="1770">
        <v>173.68887925712698</v>
      </c>
      <c r="AW36" s="1769">
        <v>236.23490861502975</v>
      </c>
      <c r="AX36" s="1770">
        <v>212.79727345076651</v>
      </c>
      <c r="AY36" s="1770">
        <v>232.9626086566488</v>
      </c>
      <c r="AZ36" s="1769">
        <v>263.8758553028386</v>
      </c>
      <c r="BA36" s="1770">
        <v>215.72111301652342</v>
      </c>
      <c r="BB36" s="1770">
        <v>231.01919818614067</v>
      </c>
      <c r="BC36" s="1770">
        <v>276.92294611076181</v>
      </c>
      <c r="BD36" s="1773">
        <f>IFERROR(SUM(AR36:BC36),0)</f>
        <v>2802.6791110292752</v>
      </c>
      <c r="BE36" s="1589"/>
      <c r="BF36" s="1615">
        <f>AD21-Q21</f>
        <v>18479.411141009419</v>
      </c>
      <c r="BH36" s="1760"/>
      <c r="BI36" s="1760"/>
      <c r="BL36" s="1646"/>
      <c r="BN36" s="1498"/>
      <c r="BO36" s="1499"/>
      <c r="BP36" s="1762"/>
      <c r="BQ36" s="815"/>
      <c r="BR36" s="1774"/>
      <c r="BS36" s="815"/>
      <c r="BY36" s="1617"/>
      <c r="BZ36" s="1617"/>
      <c r="CD36" s="815"/>
      <c r="CE36" s="1617"/>
      <c r="CF36" s="1615"/>
      <c r="CG36" s="1559"/>
      <c r="CH36" s="1716" t="s">
        <v>2007</v>
      </c>
      <c r="CI36" s="1648">
        <v>9437300</v>
      </c>
      <c r="CJ36" s="1648">
        <v>1310720</v>
      </c>
      <c r="CK36" s="1648">
        <v>767950</v>
      </c>
      <c r="CL36" s="1649">
        <v>1195800</v>
      </c>
      <c r="CM36" s="1648">
        <v>1524800</v>
      </c>
      <c r="CN36" s="1650">
        <v>1983950</v>
      </c>
      <c r="CO36" s="1649">
        <v>6291900</v>
      </c>
      <c r="CP36" s="1648">
        <v>1277300</v>
      </c>
      <c r="CQ36" s="1650">
        <v>4394177.7501553763</v>
      </c>
      <c r="CR36" s="1648">
        <v>4394177.7501553763</v>
      </c>
      <c r="CS36" s="1648">
        <v>4394177.7501553763</v>
      </c>
      <c r="CT36" s="1648">
        <v>4394177.7501553763</v>
      </c>
      <c r="CU36" s="1651">
        <f t="shared" si="1"/>
        <v>41366431.000621498</v>
      </c>
      <c r="CV36" s="1648">
        <v>3698000</v>
      </c>
      <c r="CW36" s="1648">
        <v>3698000</v>
      </c>
      <c r="CX36" s="1648">
        <v>3698000</v>
      </c>
      <c r="CY36" s="1649">
        <v>3698000</v>
      </c>
      <c r="CZ36" s="1648">
        <v>3698000</v>
      </c>
      <c r="DA36" s="1650">
        <v>3698000</v>
      </c>
      <c r="DB36" s="1649">
        <v>3698000</v>
      </c>
      <c r="DC36" s="1648">
        <v>3698000</v>
      </c>
      <c r="DD36" s="1650">
        <v>3698000</v>
      </c>
      <c r="DE36" s="1648">
        <v>3698000</v>
      </c>
      <c r="DF36" s="1648">
        <v>3698000</v>
      </c>
      <c r="DG36" s="1648">
        <v>3698000</v>
      </c>
      <c r="DH36" s="1651">
        <f t="shared" si="2"/>
        <v>44376000</v>
      </c>
      <c r="DI36" s="1648">
        <v>3698000</v>
      </c>
      <c r="DJ36" s="1648">
        <v>3698000</v>
      </c>
      <c r="DK36" s="1648">
        <v>3698000</v>
      </c>
      <c r="DL36" s="1649">
        <v>3698000</v>
      </c>
      <c r="DM36" s="1648">
        <v>3698000</v>
      </c>
      <c r="DN36" s="1650">
        <v>3698000</v>
      </c>
      <c r="DO36" s="1649">
        <v>3698000</v>
      </c>
      <c r="DP36" s="1648">
        <v>3698000</v>
      </c>
      <c r="DQ36" s="1650">
        <v>3698000</v>
      </c>
      <c r="DR36" s="1648">
        <v>3698000</v>
      </c>
      <c r="DS36" s="1648">
        <v>3698000</v>
      </c>
      <c r="DT36" s="1648">
        <v>3698000</v>
      </c>
      <c r="DU36" s="1651">
        <f t="shared" si="3"/>
        <v>44376000</v>
      </c>
      <c r="DV36" s="1648">
        <v>3698000</v>
      </c>
      <c r="DW36" s="1648">
        <v>3698000</v>
      </c>
      <c r="DX36" s="1648">
        <v>3698000</v>
      </c>
      <c r="DY36" s="1649">
        <v>3698000</v>
      </c>
      <c r="DZ36" s="1648">
        <v>3698000</v>
      </c>
      <c r="EA36" s="1650">
        <v>3698000</v>
      </c>
      <c r="EB36" s="1649">
        <v>3698000</v>
      </c>
      <c r="EC36" s="1648">
        <v>3698000</v>
      </c>
      <c r="ED36" s="1650">
        <v>3698000</v>
      </c>
      <c r="EE36" s="1648">
        <v>3698000</v>
      </c>
      <c r="EF36" s="1648">
        <v>3698000</v>
      </c>
      <c r="EG36" s="1648">
        <v>3698000</v>
      </c>
      <c r="EH36" s="1651">
        <f t="shared" si="4"/>
        <v>44376000</v>
      </c>
      <c r="EJ36" s="1716" t="s">
        <v>2007</v>
      </c>
      <c r="EK36" s="1648">
        <v>4473970</v>
      </c>
      <c r="EL36" s="1648">
        <v>1565090</v>
      </c>
      <c r="EM36" s="1648">
        <v>109000</v>
      </c>
      <c r="EN36" s="1649">
        <v>635000</v>
      </c>
      <c r="EO36" s="1648">
        <v>1942400</v>
      </c>
      <c r="EP36" s="1650">
        <v>3637380</v>
      </c>
      <c r="EQ36" s="1649">
        <v>3007840</v>
      </c>
      <c r="ER36" s="1648">
        <v>3998100</v>
      </c>
      <c r="ES36" s="1650">
        <v>3603822.2498446242</v>
      </c>
      <c r="ET36" s="1648">
        <v>3603822.2498446242</v>
      </c>
      <c r="EU36" s="1648">
        <v>3603822.2498446242</v>
      </c>
      <c r="EV36" s="1648">
        <v>3603822.2498446242</v>
      </c>
      <c r="EW36" s="1651">
        <v>33784068.999378502</v>
      </c>
      <c r="EX36" s="1648">
        <v>3100000</v>
      </c>
      <c r="EY36" s="1648">
        <v>3100000</v>
      </c>
      <c r="EZ36" s="1648">
        <v>3100000</v>
      </c>
      <c r="FA36" s="1648">
        <v>3100000</v>
      </c>
      <c r="FB36" s="1648">
        <v>3100000</v>
      </c>
      <c r="FC36" s="1648">
        <v>3100000</v>
      </c>
      <c r="FD36" s="1648">
        <v>3100000</v>
      </c>
      <c r="FE36" s="1648">
        <v>3100000</v>
      </c>
      <c r="FF36" s="1648">
        <v>3100000</v>
      </c>
      <c r="FG36" s="1648">
        <v>3100000</v>
      </c>
      <c r="FH36" s="1648">
        <v>3100000</v>
      </c>
      <c r="FI36" s="1648">
        <v>3100000</v>
      </c>
      <c r="FJ36" s="1651">
        <v>37200000</v>
      </c>
      <c r="FK36" s="1648">
        <v>3100000</v>
      </c>
      <c r="FL36" s="1648">
        <v>3100000</v>
      </c>
      <c r="FM36" s="1648">
        <v>3100000</v>
      </c>
      <c r="FN36" s="1649">
        <v>3100000</v>
      </c>
      <c r="FO36" s="1648">
        <v>3100000</v>
      </c>
      <c r="FP36" s="1650">
        <v>3100000</v>
      </c>
      <c r="FQ36" s="1649">
        <v>3100000</v>
      </c>
      <c r="FR36" s="1648">
        <v>3100000</v>
      </c>
      <c r="FS36" s="1650">
        <v>3100000</v>
      </c>
      <c r="FT36" s="1648">
        <v>3100000</v>
      </c>
      <c r="FU36" s="1648">
        <v>3100000</v>
      </c>
      <c r="FV36" s="1648">
        <v>3100000</v>
      </c>
      <c r="FW36" s="1651">
        <v>37200000</v>
      </c>
      <c r="FX36" s="1648">
        <v>3100000</v>
      </c>
      <c r="FY36" s="1648">
        <v>3100000</v>
      </c>
      <c r="FZ36" s="1648">
        <v>3100000</v>
      </c>
      <c r="GA36" s="1649">
        <v>3100000</v>
      </c>
      <c r="GB36" s="1648">
        <v>3100000</v>
      </c>
      <c r="GC36" s="1650">
        <v>3100000</v>
      </c>
      <c r="GD36" s="1649">
        <v>3100000</v>
      </c>
      <c r="GE36" s="1648">
        <v>3100000</v>
      </c>
      <c r="GF36" s="1650">
        <v>3100000</v>
      </c>
      <c r="GG36" s="1648">
        <v>3100000</v>
      </c>
      <c r="GH36" s="1648">
        <v>3100000</v>
      </c>
      <c r="GI36" s="1648">
        <v>3100000</v>
      </c>
      <c r="GJ36" s="1651">
        <v>37200000</v>
      </c>
      <c r="GL36" s="1652"/>
      <c r="GM36" s="1748">
        <v>2.4</v>
      </c>
      <c r="GN36" s="1714" t="s">
        <v>2964</v>
      </c>
      <c r="GO36" s="1711" t="s">
        <v>2954</v>
      </c>
      <c r="GP36" s="1711" t="s">
        <v>2932</v>
      </c>
      <c r="GQ36" s="1749">
        <v>12</v>
      </c>
      <c r="GR36" s="1711" t="s">
        <v>2944</v>
      </c>
      <c r="GS36" s="1712" t="s">
        <v>2962</v>
      </c>
      <c r="GT36" s="1660">
        <v>1340000</v>
      </c>
      <c r="GU36" s="1660"/>
      <c r="GV36" s="1660"/>
      <c r="GW36" s="1660">
        <v>312800</v>
      </c>
      <c r="GX36" s="1660">
        <v>175000</v>
      </c>
      <c r="GY36" s="1660">
        <v>17700</v>
      </c>
      <c r="GZ36" s="1660">
        <v>656900</v>
      </c>
      <c r="HA36" s="1660"/>
      <c r="HB36" s="1660"/>
      <c r="HC36" s="1660">
        <v>177600</v>
      </c>
      <c r="HD36" s="1660"/>
      <c r="HE36" s="1660"/>
      <c r="HF36" s="1660"/>
      <c r="HG36" s="1660">
        <v>0</v>
      </c>
      <c r="HH36" s="1660"/>
      <c r="HI36" s="1660"/>
      <c r="HJ36" s="1660"/>
      <c r="HK36" s="1660"/>
      <c r="HL36" s="1660"/>
      <c r="HM36" s="1660"/>
      <c r="HN36" s="1660"/>
      <c r="HO36" s="1660"/>
      <c r="HP36" s="1660"/>
      <c r="HQ36" s="1660"/>
      <c r="HR36" s="1660"/>
      <c r="HS36" s="1660"/>
      <c r="HT36" s="1660">
        <v>2100000</v>
      </c>
      <c r="HU36" s="1660"/>
      <c r="HV36" s="1660"/>
      <c r="HW36" s="1660">
        <v>630000</v>
      </c>
      <c r="HX36" s="1660"/>
      <c r="HY36" s="1660"/>
      <c r="HZ36" s="1660">
        <v>1470000</v>
      </c>
      <c r="IA36" s="1660"/>
      <c r="IB36" s="1660"/>
      <c r="IC36" s="1660"/>
      <c r="ID36" s="1660"/>
      <c r="IE36" s="1660"/>
      <c r="IF36" s="1660"/>
      <c r="IG36" s="1660">
        <v>0</v>
      </c>
      <c r="IH36" s="1660"/>
      <c r="II36" s="1660"/>
      <c r="IJ36" s="1660"/>
      <c r="IK36" s="1660"/>
      <c r="IL36" s="1660"/>
      <c r="IM36" s="1660"/>
      <c r="IN36" s="1660"/>
      <c r="IO36" s="1660"/>
      <c r="IP36" s="1660"/>
      <c r="IQ36" s="1660"/>
      <c r="IR36" s="1660"/>
      <c r="IS36" s="1660"/>
      <c r="IT36" s="1662">
        <v>3440000</v>
      </c>
      <c r="IU36" s="1662">
        <v>2100000</v>
      </c>
      <c r="IV36" s="1713"/>
    </row>
    <row r="37" spans="2:256" ht="16.5">
      <c r="B37" s="1664" t="s">
        <v>2091</v>
      </c>
      <c r="C37" s="1664"/>
      <c r="D37" s="1665"/>
      <c r="E37" s="1666">
        <f>IFERROR(E34-E36,"")</f>
        <v>1508.9461949999995</v>
      </c>
      <c r="F37" s="1667">
        <f t="shared" ref="F37:P37" si="22">IFERROR(F34-F36,"")</f>
        <v>1545.8048610000023</v>
      </c>
      <c r="G37" s="1668">
        <f t="shared" si="22"/>
        <v>1560.4042779999979</v>
      </c>
      <c r="H37" s="1667">
        <f t="shared" si="22"/>
        <v>2020.3473629999969</v>
      </c>
      <c r="I37" s="1667">
        <f t="shared" si="22"/>
        <v>1879.7800720000005</v>
      </c>
      <c r="J37" s="1668">
        <f t="shared" si="22"/>
        <v>1146.0695029999986</v>
      </c>
      <c r="K37" s="1667">
        <f t="shared" si="22"/>
        <v>2280.823355</v>
      </c>
      <c r="L37" s="1667">
        <f t="shared" si="22"/>
        <v>2671.4855839999977</v>
      </c>
      <c r="M37" s="1669">
        <f t="shared" si="22"/>
        <v>2539.8428831555821</v>
      </c>
      <c r="N37" s="1670">
        <f t="shared" si="22"/>
        <v>1284.9729766910013</v>
      </c>
      <c r="O37" s="1670">
        <f t="shared" si="22"/>
        <v>2108.6312836450834</v>
      </c>
      <c r="P37" s="1670">
        <f t="shared" si="22"/>
        <v>1824.8580523606508</v>
      </c>
      <c r="Q37" s="1671">
        <f t="shared" si="6"/>
        <v>22371.966406852313</v>
      </c>
      <c r="R37" s="1672">
        <f t="shared" ref="R37:AC37" si="23">IFERROR(R34-R36,"")</f>
        <v>2463.4287827432081</v>
      </c>
      <c r="S37" s="1670">
        <f t="shared" si="23"/>
        <v>1978.4996935143824</v>
      </c>
      <c r="T37" s="1669">
        <f t="shared" si="23"/>
        <v>534.97988870263828</v>
      </c>
      <c r="U37" s="1670">
        <f t="shared" si="23"/>
        <v>1965.9613050096409</v>
      </c>
      <c r="V37" s="1670">
        <f t="shared" si="23"/>
        <v>2463.571084808792</v>
      </c>
      <c r="W37" s="1669">
        <f t="shared" si="23"/>
        <v>2158.3168012200858</v>
      </c>
      <c r="X37" s="1670">
        <f t="shared" si="23"/>
        <v>2178.2722633666444</v>
      </c>
      <c r="Y37" s="1670">
        <f t="shared" si="23"/>
        <v>2282.034906127868</v>
      </c>
      <c r="Z37" s="1669">
        <f t="shared" si="23"/>
        <v>2154.6908649883185</v>
      </c>
      <c r="AA37" s="1670">
        <f t="shared" si="23"/>
        <v>2103.2626882384607</v>
      </c>
      <c r="AB37" s="1670">
        <f t="shared" si="23"/>
        <v>2061.0807898281391</v>
      </c>
      <c r="AC37" s="1670">
        <f t="shared" si="23"/>
        <v>1524.0830786651686</v>
      </c>
      <c r="AD37" s="1671">
        <f>IFERROR(SUM(R37:AC37),0)</f>
        <v>23868.182147213345</v>
      </c>
      <c r="AE37" s="1672">
        <f t="shared" ref="AE37:AP37" si="24">IFERROR(AE34-AE36,"")</f>
        <v>2198.5784696779724</v>
      </c>
      <c r="AF37" s="1670">
        <f t="shared" si="24"/>
        <v>2143.7875087775137</v>
      </c>
      <c r="AG37" s="1669">
        <f t="shared" si="24"/>
        <v>2103.1844828400685</v>
      </c>
      <c r="AH37" s="1670">
        <f t="shared" si="24"/>
        <v>2228.3243715003755</v>
      </c>
      <c r="AI37" s="1670">
        <f t="shared" si="24"/>
        <v>1765.529294916139</v>
      </c>
      <c r="AJ37" s="1669">
        <f t="shared" si="24"/>
        <v>-18.649706433820711</v>
      </c>
      <c r="AK37" s="1670">
        <f t="shared" si="24"/>
        <v>-464.54493460946185</v>
      </c>
      <c r="AL37" s="1670">
        <f t="shared" si="24"/>
        <v>1893.722075205493</v>
      </c>
      <c r="AM37" s="1669">
        <f t="shared" si="24"/>
        <v>2262.0438864216922</v>
      </c>
      <c r="AN37" s="1670">
        <f t="shared" si="24"/>
        <v>2296.6104210765948</v>
      </c>
      <c r="AO37" s="1670">
        <f t="shared" si="24"/>
        <v>2357.3465577956031</v>
      </c>
      <c r="AP37" s="1670">
        <f t="shared" si="24"/>
        <v>2034.1396499217301</v>
      </c>
      <c r="AQ37" s="1671">
        <f>IFERROR(SUM(AE37:AP37),0)</f>
        <v>20800.072077089899</v>
      </c>
      <c r="AR37" s="1672">
        <f t="shared" ref="AR37:BC37" si="25">IFERROR(AR34-AR36,"")</f>
        <v>2157.2752166276096</v>
      </c>
      <c r="AS37" s="1670">
        <f t="shared" si="25"/>
        <v>1948.0377040714588</v>
      </c>
      <c r="AT37" s="1669">
        <f t="shared" si="25"/>
        <v>1625.2287954887443</v>
      </c>
      <c r="AU37" s="1670">
        <f t="shared" si="25"/>
        <v>1849.2434965347156</v>
      </c>
      <c r="AV37" s="1670">
        <f t="shared" si="25"/>
        <v>2374.0695963521712</v>
      </c>
      <c r="AW37" s="1669">
        <f t="shared" si="25"/>
        <v>2104.6393967966342</v>
      </c>
      <c r="AX37" s="1670">
        <f t="shared" si="25"/>
        <v>2036.2879020289811</v>
      </c>
      <c r="AY37" s="1670">
        <f t="shared" si="25"/>
        <v>2210.1916019078899</v>
      </c>
      <c r="AZ37" s="1669">
        <f t="shared" si="25"/>
        <v>1942.6820107970777</v>
      </c>
      <c r="BA37" s="1670">
        <f t="shared" si="25"/>
        <v>2070.5990206492461</v>
      </c>
      <c r="BB37" s="1670">
        <f t="shared" si="25"/>
        <v>2245.1209874997312</v>
      </c>
      <c r="BC37" s="1670">
        <f t="shared" si="25"/>
        <v>1936.0919038577583</v>
      </c>
      <c r="BD37" s="1673">
        <f>IFERROR(SUM(AR37:BC37),0)</f>
        <v>24499.467632612021</v>
      </c>
      <c r="BE37" s="1589"/>
      <c r="BF37" s="1615">
        <f>AD22-Q22</f>
        <v>206.29942932532197</v>
      </c>
      <c r="BH37" s="1760"/>
      <c r="BI37" s="1499"/>
      <c r="BL37" s="1498"/>
      <c r="BN37" s="1498"/>
      <c r="BO37" s="1499"/>
      <c r="BP37" s="1762"/>
      <c r="BQ37" s="815"/>
      <c r="BR37" s="1774"/>
      <c r="BS37" s="815"/>
      <c r="BY37" s="1617"/>
      <c r="BZ37" s="1617"/>
      <c r="CD37" s="815"/>
      <c r="CE37" s="1617"/>
      <c r="CF37" s="1493"/>
      <c r="CG37" s="1559"/>
      <c r="CH37" s="1716" t="s">
        <v>1398</v>
      </c>
      <c r="CI37" s="1648">
        <v>0</v>
      </c>
      <c r="CJ37" s="1648">
        <v>0</v>
      </c>
      <c r="CK37" s="1648">
        <v>0</v>
      </c>
      <c r="CL37" s="1649">
        <v>0</v>
      </c>
      <c r="CM37" s="1648">
        <v>0</v>
      </c>
      <c r="CN37" s="1650">
        <v>0</v>
      </c>
      <c r="CO37" s="1649">
        <v>0</v>
      </c>
      <c r="CP37" s="1648">
        <v>0</v>
      </c>
      <c r="CQ37" s="1650">
        <v>0</v>
      </c>
      <c r="CR37" s="1648">
        <v>0</v>
      </c>
      <c r="CS37" s="1648">
        <v>0</v>
      </c>
      <c r="CT37" s="1648">
        <v>0</v>
      </c>
      <c r="CU37" s="1651">
        <f t="shared" si="1"/>
        <v>0</v>
      </c>
      <c r="CV37" s="1648">
        <v>0</v>
      </c>
      <c r="CW37" s="1648">
        <v>0</v>
      </c>
      <c r="CX37" s="1648">
        <v>0</v>
      </c>
      <c r="CY37" s="1649">
        <v>0</v>
      </c>
      <c r="CZ37" s="1648">
        <v>0</v>
      </c>
      <c r="DA37" s="1650">
        <v>0</v>
      </c>
      <c r="DB37" s="1649">
        <v>0</v>
      </c>
      <c r="DC37" s="1648">
        <v>0</v>
      </c>
      <c r="DD37" s="1650">
        <v>0</v>
      </c>
      <c r="DE37" s="1648">
        <v>0</v>
      </c>
      <c r="DF37" s="1648">
        <v>0</v>
      </c>
      <c r="DG37" s="1648">
        <v>0</v>
      </c>
      <c r="DH37" s="1651">
        <f t="shared" si="2"/>
        <v>0</v>
      </c>
      <c r="DI37" s="1648">
        <v>0</v>
      </c>
      <c r="DJ37" s="1648">
        <v>0</v>
      </c>
      <c r="DK37" s="1648">
        <v>0</v>
      </c>
      <c r="DL37" s="1649">
        <v>0</v>
      </c>
      <c r="DM37" s="1648">
        <v>0</v>
      </c>
      <c r="DN37" s="1650">
        <v>0</v>
      </c>
      <c r="DO37" s="1649">
        <v>0</v>
      </c>
      <c r="DP37" s="1648">
        <v>0</v>
      </c>
      <c r="DQ37" s="1650">
        <v>0</v>
      </c>
      <c r="DR37" s="1648">
        <v>0</v>
      </c>
      <c r="DS37" s="1648">
        <v>0</v>
      </c>
      <c r="DT37" s="1648">
        <v>0</v>
      </c>
      <c r="DU37" s="1651">
        <f t="shared" si="3"/>
        <v>0</v>
      </c>
      <c r="DV37" s="1648">
        <v>0</v>
      </c>
      <c r="DW37" s="1648">
        <v>0</v>
      </c>
      <c r="DX37" s="1648">
        <v>0</v>
      </c>
      <c r="DY37" s="1649">
        <v>0</v>
      </c>
      <c r="DZ37" s="1648">
        <v>0</v>
      </c>
      <c r="EA37" s="1650">
        <v>0</v>
      </c>
      <c r="EB37" s="1649">
        <v>0</v>
      </c>
      <c r="EC37" s="1648">
        <v>0</v>
      </c>
      <c r="ED37" s="1650">
        <v>0</v>
      </c>
      <c r="EE37" s="1648">
        <v>0</v>
      </c>
      <c r="EF37" s="1648">
        <v>0</v>
      </c>
      <c r="EG37" s="1648">
        <v>0</v>
      </c>
      <c r="EH37" s="1651">
        <f t="shared" si="4"/>
        <v>0</v>
      </c>
      <c r="EJ37" s="1716" t="s">
        <v>1398</v>
      </c>
      <c r="EK37" s="1648">
        <v>0</v>
      </c>
      <c r="EL37" s="1648">
        <v>1076364</v>
      </c>
      <c r="EM37" s="1648">
        <v>2000000</v>
      </c>
      <c r="EN37" s="1649">
        <v>2089092</v>
      </c>
      <c r="EO37" s="1648">
        <v>218182</v>
      </c>
      <c r="EP37" s="1650">
        <v>182182</v>
      </c>
      <c r="EQ37" s="1649">
        <v>705455</v>
      </c>
      <c r="ER37" s="1648">
        <v>4397000</v>
      </c>
      <c r="ES37" s="1650">
        <v>2000000</v>
      </c>
      <c r="ET37" s="1648">
        <v>3000000</v>
      </c>
      <c r="EU37" s="1648">
        <v>1684000</v>
      </c>
      <c r="EV37" s="1648">
        <v>1000000</v>
      </c>
      <c r="EW37" s="1651">
        <v>18352275</v>
      </c>
      <c r="EX37" s="1648">
        <v>1000000</v>
      </c>
      <c r="EY37" s="1648">
        <v>2000000</v>
      </c>
      <c r="EZ37" s="1648">
        <v>1000000</v>
      </c>
      <c r="FA37" s="1648">
        <v>2000000</v>
      </c>
      <c r="FB37" s="1648">
        <v>2250000</v>
      </c>
      <c r="FC37" s="1648">
        <v>1000000</v>
      </c>
      <c r="FD37" s="1648">
        <v>3500000</v>
      </c>
      <c r="FE37" s="1648">
        <v>2000000</v>
      </c>
      <c r="FF37" s="1648">
        <v>2000000</v>
      </c>
      <c r="FG37" s="1648">
        <v>3000000</v>
      </c>
      <c r="FH37" s="1648">
        <v>1000000</v>
      </c>
      <c r="FI37" s="1648">
        <v>81250000</v>
      </c>
      <c r="FJ37" s="1651">
        <v>102000000</v>
      </c>
      <c r="FK37" s="1648">
        <v>1000000</v>
      </c>
      <c r="FL37" s="1648">
        <v>2000000</v>
      </c>
      <c r="FM37" s="1648">
        <v>1000000</v>
      </c>
      <c r="FN37" s="1649">
        <v>2000000</v>
      </c>
      <c r="FO37" s="1648">
        <v>2250000</v>
      </c>
      <c r="FP37" s="1650">
        <v>1000000</v>
      </c>
      <c r="FQ37" s="1649">
        <v>3500000</v>
      </c>
      <c r="FR37" s="1648">
        <v>2000000</v>
      </c>
      <c r="FS37" s="1650">
        <v>2000000</v>
      </c>
      <c r="FT37" s="1648">
        <v>3000000</v>
      </c>
      <c r="FU37" s="1648">
        <v>1000000</v>
      </c>
      <c r="FV37" s="1648">
        <v>1250000</v>
      </c>
      <c r="FW37" s="1651">
        <v>22000000</v>
      </c>
      <c r="FX37" s="1648">
        <v>2000000</v>
      </c>
      <c r="FY37" s="1648">
        <v>3000000</v>
      </c>
      <c r="FZ37" s="1648">
        <v>2000000</v>
      </c>
      <c r="GA37" s="1649">
        <v>3000000</v>
      </c>
      <c r="GB37" s="1648">
        <v>3250000</v>
      </c>
      <c r="GC37" s="1650">
        <v>2000000</v>
      </c>
      <c r="GD37" s="1649">
        <v>5500000</v>
      </c>
      <c r="GE37" s="1648">
        <v>4000000</v>
      </c>
      <c r="GF37" s="1650">
        <v>4000000</v>
      </c>
      <c r="GG37" s="1648">
        <v>5000000</v>
      </c>
      <c r="GH37" s="1648">
        <v>2000000</v>
      </c>
      <c r="GI37" s="1648">
        <v>2250000</v>
      </c>
      <c r="GJ37" s="1651">
        <v>38000000</v>
      </c>
      <c r="GL37" s="1623"/>
      <c r="GM37" s="1746">
        <v>2.5</v>
      </c>
      <c r="GN37" s="1728" t="s">
        <v>2965</v>
      </c>
      <c r="GO37" s="1705" t="s">
        <v>2954</v>
      </c>
      <c r="GP37" s="1705" t="s">
        <v>2932</v>
      </c>
      <c r="GQ37" s="1747">
        <v>12</v>
      </c>
      <c r="GR37" s="1705" t="s">
        <v>2944</v>
      </c>
      <c r="GS37" s="1706">
        <v>20</v>
      </c>
      <c r="GT37" s="1631">
        <v>200000</v>
      </c>
      <c r="GU37" s="1631"/>
      <c r="GV37" s="1631"/>
      <c r="GW37" s="1631"/>
      <c r="GX37" s="1631"/>
      <c r="GY37" s="1631"/>
      <c r="GZ37" s="1631">
        <v>167130</v>
      </c>
      <c r="HA37" s="1631">
        <v>18570</v>
      </c>
      <c r="HB37" s="1631"/>
      <c r="HC37" s="1631">
        <v>14300</v>
      </c>
      <c r="HD37" s="1631"/>
      <c r="HE37" s="1631"/>
      <c r="HF37" s="1631"/>
      <c r="HG37" s="1631">
        <v>0</v>
      </c>
      <c r="HH37" s="1631"/>
      <c r="HI37" s="1631"/>
      <c r="HJ37" s="1631"/>
      <c r="HK37" s="1631"/>
      <c r="HL37" s="1631"/>
      <c r="HM37" s="1631"/>
      <c r="HN37" s="1631"/>
      <c r="HO37" s="1631"/>
      <c r="HP37" s="1631"/>
      <c r="HQ37" s="1631"/>
      <c r="HR37" s="1631"/>
      <c r="HS37" s="1631"/>
      <c r="HT37" s="1631">
        <v>0</v>
      </c>
      <c r="HU37" s="1631"/>
      <c r="HV37" s="1631"/>
      <c r="HW37" s="1631"/>
      <c r="HX37" s="1631"/>
      <c r="HY37" s="1631"/>
      <c r="HZ37" s="1631"/>
      <c r="IA37" s="1631"/>
      <c r="IB37" s="1631"/>
      <c r="IC37" s="1631"/>
      <c r="ID37" s="1631"/>
      <c r="IE37" s="1631"/>
      <c r="IF37" s="1631"/>
      <c r="IG37" s="1631">
        <v>0</v>
      </c>
      <c r="IH37" s="1631"/>
      <c r="II37" s="1631"/>
      <c r="IJ37" s="1631"/>
      <c r="IK37" s="1631"/>
      <c r="IL37" s="1631"/>
      <c r="IM37" s="1631"/>
      <c r="IN37" s="1631"/>
      <c r="IO37" s="1631"/>
      <c r="IP37" s="1631"/>
      <c r="IQ37" s="1631"/>
      <c r="IR37" s="1631"/>
      <c r="IS37" s="1631"/>
      <c r="IT37" s="1633">
        <v>200000</v>
      </c>
      <c r="IU37" s="1633">
        <v>0</v>
      </c>
      <c r="IV37" s="1707"/>
    </row>
    <row r="38" spans="2:256" ht="16.5">
      <c r="B38" s="1750"/>
      <c r="C38" s="1750"/>
      <c r="D38" s="1751" t="s">
        <v>360</v>
      </c>
      <c r="E38" s="1752">
        <f t="shared" ref="E38:BD38" si="26">IFERROR(E37/E20*100,"")</f>
        <v>7.5319619581705242</v>
      </c>
      <c r="F38" s="1753">
        <f t="shared" si="26"/>
        <v>8.0354717508453106</v>
      </c>
      <c r="G38" s="1754">
        <f t="shared" si="26"/>
        <v>8.9958417006389393</v>
      </c>
      <c r="H38" s="1753">
        <f t="shared" si="26"/>
        <v>10.801782057858567</v>
      </c>
      <c r="I38" s="1753">
        <f t="shared" si="26"/>
        <v>9.2081767545032562</v>
      </c>
      <c r="J38" s="1754">
        <f t="shared" si="26"/>
        <v>11.167306157775785</v>
      </c>
      <c r="K38" s="1753">
        <f t="shared" si="26"/>
        <v>12.284211724615119</v>
      </c>
      <c r="L38" s="1753">
        <f t="shared" si="26"/>
        <v>14.942759034886372</v>
      </c>
      <c r="M38" s="1755">
        <f t="shared" si="26"/>
        <v>10.120232193581806</v>
      </c>
      <c r="N38" s="1756">
        <f t="shared" si="26"/>
        <v>5.0438594002860615</v>
      </c>
      <c r="O38" s="1756">
        <f t="shared" si="26"/>
        <v>9.5013059308793135</v>
      </c>
      <c r="P38" s="1756">
        <f t="shared" si="26"/>
        <v>7.9765822554890713</v>
      </c>
      <c r="Q38" s="1757">
        <f t="shared" si="26"/>
        <v>9.3965712428557389</v>
      </c>
      <c r="R38" s="1758">
        <f t="shared" si="26"/>
        <v>10.686879045018271</v>
      </c>
      <c r="S38" s="1756">
        <f t="shared" si="26"/>
        <v>9.2671568033906215</v>
      </c>
      <c r="T38" s="1755">
        <f t="shared" si="26"/>
        <v>5.58699113601633</v>
      </c>
      <c r="U38" s="1756">
        <f t="shared" si="26"/>
        <v>8.6558428541273749</v>
      </c>
      <c r="V38" s="1756">
        <f t="shared" si="26"/>
        <v>10.507680670489188</v>
      </c>
      <c r="W38" s="1755">
        <f t="shared" si="26"/>
        <v>9.4424373324573825</v>
      </c>
      <c r="X38" s="1756">
        <f t="shared" si="26"/>
        <v>9.2090708683949316</v>
      </c>
      <c r="Y38" s="1756">
        <f t="shared" si="26"/>
        <v>9.6874408750438654</v>
      </c>
      <c r="Z38" s="1755">
        <f t="shared" si="26"/>
        <v>9.4651970032237553</v>
      </c>
      <c r="AA38" s="1756">
        <f t="shared" si="26"/>
        <v>8.9778899042651084</v>
      </c>
      <c r="AB38" s="1756">
        <f t="shared" si="26"/>
        <v>10.003005756639032</v>
      </c>
      <c r="AC38" s="1756">
        <f t="shared" si="26"/>
        <v>6.4557631861799845</v>
      </c>
      <c r="AD38" s="1757">
        <f t="shared" si="26"/>
        <v>9.1587235640456885</v>
      </c>
      <c r="AE38" s="1758">
        <f t="shared" si="26"/>
        <v>9.5173033376191754</v>
      </c>
      <c r="AF38" s="1756">
        <f t="shared" si="26"/>
        <v>10.361431133431449</v>
      </c>
      <c r="AG38" s="1755">
        <f t="shared" si="26"/>
        <v>9.062543392233934</v>
      </c>
      <c r="AH38" s="1756">
        <f t="shared" si="26"/>
        <v>10.006879252231816</v>
      </c>
      <c r="AI38" s="1756">
        <f t="shared" si="26"/>
        <v>10.637704947630217</v>
      </c>
      <c r="AJ38" s="1755">
        <f t="shared" si="26"/>
        <v>-0.29273754094126231</v>
      </c>
      <c r="AK38" s="1756">
        <f t="shared" si="26"/>
        <v>-1.9696746565410685</v>
      </c>
      <c r="AL38" s="1756">
        <f t="shared" si="26"/>
        <v>8.2315859367939925</v>
      </c>
      <c r="AM38" s="1755">
        <f t="shared" si="26"/>
        <v>10.093430663122968</v>
      </c>
      <c r="AN38" s="1756">
        <f t="shared" si="26"/>
        <v>9.8855564791315125</v>
      </c>
      <c r="AO38" s="1756">
        <f t="shared" si="26"/>
        <v>10.545818040807706</v>
      </c>
      <c r="AP38" s="1756">
        <f t="shared" si="26"/>
        <v>8.7622361522948342</v>
      </c>
      <c r="AQ38" s="1757">
        <f t="shared" si="26"/>
        <v>8.3188424248610602</v>
      </c>
      <c r="AR38" s="1758">
        <f t="shared" si="26"/>
        <v>9.1109467137756983</v>
      </c>
      <c r="AS38" s="1756">
        <f t="shared" si="26"/>
        <v>9.2757743517387858</v>
      </c>
      <c r="AT38" s="1755">
        <f t="shared" si="26"/>
        <v>7.6341660900206305</v>
      </c>
      <c r="AU38" s="1756">
        <f t="shared" si="26"/>
        <v>8.1214451589180605</v>
      </c>
      <c r="AV38" s="1756">
        <f t="shared" si="26"/>
        <v>10.198565222256283</v>
      </c>
      <c r="AW38" s="1755">
        <f t="shared" si="26"/>
        <v>9.1955612288893338</v>
      </c>
      <c r="AX38" s="1756">
        <f t="shared" si="26"/>
        <v>8.7259352026799917</v>
      </c>
      <c r="AY38" s="1756">
        <f t="shared" si="26"/>
        <v>9.396464583109017</v>
      </c>
      <c r="AZ38" s="1755">
        <f t="shared" si="26"/>
        <v>8.5414887254435836</v>
      </c>
      <c r="BA38" s="1756">
        <f t="shared" si="26"/>
        <v>9.0028787423629169</v>
      </c>
      <c r="BB38" s="1756">
        <f t="shared" si="26"/>
        <v>10.965550487331569</v>
      </c>
      <c r="BC38" s="1756">
        <f t="shared" si="26"/>
        <v>8.268675984532166</v>
      </c>
      <c r="BD38" s="1758">
        <f t="shared" si="26"/>
        <v>9.0272695312263469</v>
      </c>
      <c r="BE38" s="1589"/>
      <c r="BF38" s="1615">
        <f>AD23-Q23</f>
        <v>-6.7047479999999986</v>
      </c>
      <c r="BH38" s="1760"/>
      <c r="BI38" s="1499"/>
      <c r="BL38" s="1498"/>
      <c r="BN38" s="1498"/>
      <c r="BO38" s="1761">
        <f>BH38*BI35</f>
        <v>0</v>
      </c>
      <c r="BP38" s="1762" t="s">
        <v>2966</v>
      </c>
      <c r="BQ38" s="815"/>
      <c r="BR38" s="1774"/>
      <c r="BS38" s="815"/>
      <c r="BT38" s="1617"/>
      <c r="BY38" s="1617"/>
      <c r="BZ38" s="1617"/>
      <c r="CD38" s="815"/>
      <c r="CE38" s="1617"/>
      <c r="CF38" s="1493"/>
      <c r="CG38" s="1559"/>
      <c r="CH38" s="1716" t="s">
        <v>2967</v>
      </c>
      <c r="CI38" s="1648">
        <v>0</v>
      </c>
      <c r="CJ38" s="1648">
        <v>0</v>
      </c>
      <c r="CK38" s="1648">
        <v>0</v>
      </c>
      <c r="CL38" s="1649">
        <v>0</v>
      </c>
      <c r="CM38" s="1648">
        <v>0</v>
      </c>
      <c r="CN38" s="1650">
        <v>0</v>
      </c>
      <c r="CO38" s="1649">
        <v>0</v>
      </c>
      <c r="CP38" s="1648">
        <v>0</v>
      </c>
      <c r="CQ38" s="1650">
        <v>0</v>
      </c>
      <c r="CR38" s="1648">
        <v>0</v>
      </c>
      <c r="CS38" s="1648">
        <v>0</v>
      </c>
      <c r="CT38" s="1648">
        <v>0</v>
      </c>
      <c r="CU38" s="1651">
        <f t="shared" si="1"/>
        <v>0</v>
      </c>
      <c r="CV38" s="1648">
        <v>0</v>
      </c>
      <c r="CW38" s="1648">
        <v>0</v>
      </c>
      <c r="CX38" s="1648">
        <v>0</v>
      </c>
      <c r="CY38" s="1649">
        <v>0</v>
      </c>
      <c r="CZ38" s="1648">
        <v>0</v>
      </c>
      <c r="DA38" s="1650">
        <v>0</v>
      </c>
      <c r="DB38" s="1649">
        <v>0</v>
      </c>
      <c r="DC38" s="1648">
        <v>0</v>
      </c>
      <c r="DD38" s="1650">
        <v>0</v>
      </c>
      <c r="DE38" s="1648">
        <v>0</v>
      </c>
      <c r="DF38" s="1648">
        <v>0</v>
      </c>
      <c r="DG38" s="1648">
        <v>0</v>
      </c>
      <c r="DH38" s="1651">
        <f t="shared" si="2"/>
        <v>0</v>
      </c>
      <c r="DI38" s="1648">
        <v>0</v>
      </c>
      <c r="DJ38" s="1648">
        <v>0</v>
      </c>
      <c r="DK38" s="1648">
        <v>0</v>
      </c>
      <c r="DL38" s="1649">
        <v>0</v>
      </c>
      <c r="DM38" s="1648">
        <v>0</v>
      </c>
      <c r="DN38" s="1650">
        <v>0</v>
      </c>
      <c r="DO38" s="1649">
        <v>0</v>
      </c>
      <c r="DP38" s="1648">
        <v>0</v>
      </c>
      <c r="DQ38" s="1650">
        <v>0</v>
      </c>
      <c r="DR38" s="1648">
        <v>0</v>
      </c>
      <c r="DS38" s="1648">
        <v>0</v>
      </c>
      <c r="DT38" s="1648">
        <v>0</v>
      </c>
      <c r="DU38" s="1651">
        <f t="shared" si="3"/>
        <v>0</v>
      </c>
      <c r="DV38" s="1648">
        <v>0</v>
      </c>
      <c r="DW38" s="1648">
        <v>0</v>
      </c>
      <c r="DX38" s="1648">
        <v>0</v>
      </c>
      <c r="DY38" s="1649">
        <v>0</v>
      </c>
      <c r="DZ38" s="1648">
        <v>0</v>
      </c>
      <c r="EA38" s="1650">
        <v>0</v>
      </c>
      <c r="EB38" s="1649">
        <v>0</v>
      </c>
      <c r="EC38" s="1648">
        <v>0</v>
      </c>
      <c r="ED38" s="1650">
        <v>0</v>
      </c>
      <c r="EE38" s="1648">
        <v>0</v>
      </c>
      <c r="EF38" s="1648">
        <v>0</v>
      </c>
      <c r="EG38" s="1648">
        <v>0</v>
      </c>
      <c r="EH38" s="1651">
        <f t="shared" si="4"/>
        <v>0</v>
      </c>
      <c r="EJ38" s="1716" t="s">
        <v>2967</v>
      </c>
      <c r="EK38" s="1648">
        <v>65764735</v>
      </c>
      <c r="EL38" s="1648">
        <v>69384077</v>
      </c>
      <c r="EM38" s="1648">
        <v>63663663</v>
      </c>
      <c r="EN38" s="1649">
        <v>72888421</v>
      </c>
      <c r="EO38" s="1648">
        <v>60114434</v>
      </c>
      <c r="EP38" s="1650">
        <v>28415619</v>
      </c>
      <c r="EQ38" s="1649">
        <v>69726089</v>
      </c>
      <c r="ER38" s="1648">
        <v>62380993</v>
      </c>
      <c r="ES38" s="1650">
        <v>72398483.362667456</v>
      </c>
      <c r="ET38" s="1648">
        <v>75962973.94395408</v>
      </c>
      <c r="EU38" s="1648">
        <v>69690542.28693065</v>
      </c>
      <c r="EV38" s="1648">
        <v>76199913.899361894</v>
      </c>
      <c r="EW38" s="1651">
        <v>786589944.49291408</v>
      </c>
      <c r="EX38" s="1648">
        <v>73188420.238090932</v>
      </c>
      <c r="EY38" s="1648">
        <v>65082626.474105246</v>
      </c>
      <c r="EZ38" s="1648">
        <v>56481766.098496288</v>
      </c>
      <c r="FA38" s="1648">
        <v>70135542.855889469</v>
      </c>
      <c r="FB38" s="1648">
        <v>28902430.223199435</v>
      </c>
      <c r="FC38" s="1648">
        <v>68960129.19718197</v>
      </c>
      <c r="FD38" s="1648">
        <v>73433897.137173548</v>
      </c>
      <c r="FE38" s="1648">
        <v>73413059.184499472</v>
      </c>
      <c r="FF38" s="1648">
        <v>70327402.603795558</v>
      </c>
      <c r="FG38" s="1648">
        <v>73492257.998464644</v>
      </c>
      <c r="FH38" s="1648">
        <v>67720499.741132945</v>
      </c>
      <c r="FI38" s="1648">
        <v>73537235.583334014</v>
      </c>
      <c r="FJ38" s="1651">
        <v>794675267.33536339</v>
      </c>
      <c r="FK38" s="1648">
        <v>74272815.529402941</v>
      </c>
      <c r="FL38" s="1648">
        <v>66329383.180343412</v>
      </c>
      <c r="FM38" s="1648">
        <v>70268005.94619146</v>
      </c>
      <c r="FN38" s="1649">
        <v>71675313.460509345</v>
      </c>
      <c r="FO38" s="1648">
        <v>66279997.466057874</v>
      </c>
      <c r="FP38" s="1650">
        <v>51812430.311700284</v>
      </c>
      <c r="FQ38" s="1649">
        <v>74770722.947431073</v>
      </c>
      <c r="FR38" s="1648">
        <v>74257172.20835571</v>
      </c>
      <c r="FS38" s="1650">
        <v>71494407.880490482</v>
      </c>
      <c r="FT38" s="1648">
        <v>74452401.195989132</v>
      </c>
      <c r="FU38" s="1648">
        <v>67317384.300689012</v>
      </c>
      <c r="FV38" s="1648">
        <v>74607452.039219677</v>
      </c>
      <c r="FW38" s="1651">
        <v>837537486.46638036</v>
      </c>
      <c r="FX38" s="1648">
        <v>77616838.561860263</v>
      </c>
      <c r="FY38" s="1648">
        <v>68734039.287419394</v>
      </c>
      <c r="FZ38" s="1648">
        <v>74689028.393447548</v>
      </c>
      <c r="GA38" s="1649">
        <v>74646528.880691022</v>
      </c>
      <c r="GB38" s="1648">
        <v>29602875.929621942</v>
      </c>
      <c r="GC38" s="1650">
        <v>73952525.2875247</v>
      </c>
      <c r="GD38" s="1649">
        <v>77018270.123261482</v>
      </c>
      <c r="GE38" s="1648">
        <v>77407605.329143733</v>
      </c>
      <c r="GF38" s="1650">
        <v>75107120.72733359</v>
      </c>
      <c r="GG38" s="1648">
        <v>77125421.841018394</v>
      </c>
      <c r="GH38" s="1648">
        <v>71705507.010635614</v>
      </c>
      <c r="GI38" s="1648">
        <v>77307186.935256734</v>
      </c>
      <c r="GJ38" s="1651">
        <v>854912948.30721438</v>
      </c>
      <c r="GL38" s="1652"/>
      <c r="GM38" s="1748">
        <v>2.6</v>
      </c>
      <c r="GN38" s="1714" t="s">
        <v>2968</v>
      </c>
      <c r="GO38" s="1711" t="s">
        <v>2954</v>
      </c>
      <c r="GP38" s="1711" t="s">
        <v>2932</v>
      </c>
      <c r="GQ38" s="1749">
        <v>12</v>
      </c>
      <c r="GR38" s="1711" t="s">
        <v>2944</v>
      </c>
      <c r="GS38" s="1712">
        <v>20</v>
      </c>
      <c r="GT38" s="1660">
        <v>330000</v>
      </c>
      <c r="GU38" s="1660"/>
      <c r="GV38" s="1660">
        <v>100000</v>
      </c>
      <c r="GW38" s="1660"/>
      <c r="GX38" s="1660"/>
      <c r="GY38" s="1660">
        <v>99000</v>
      </c>
      <c r="GZ38" s="1660"/>
      <c r="HA38" s="1660">
        <v>131000</v>
      </c>
      <c r="HB38" s="1660"/>
      <c r="HC38" s="1660"/>
      <c r="HD38" s="1660"/>
      <c r="HE38" s="1660"/>
      <c r="HF38" s="1660"/>
      <c r="HG38" s="1660">
        <v>0</v>
      </c>
      <c r="HH38" s="1660"/>
      <c r="HI38" s="1660"/>
      <c r="HJ38" s="1660"/>
      <c r="HK38" s="1660"/>
      <c r="HL38" s="1660"/>
      <c r="HM38" s="1660"/>
      <c r="HN38" s="1660"/>
      <c r="HO38" s="1660"/>
      <c r="HP38" s="1660"/>
      <c r="HQ38" s="1660"/>
      <c r="HR38" s="1660"/>
      <c r="HS38" s="1660"/>
      <c r="HT38" s="1660">
        <v>0</v>
      </c>
      <c r="HU38" s="1660"/>
      <c r="HV38" s="1660"/>
      <c r="HW38" s="1660"/>
      <c r="HX38" s="1660"/>
      <c r="HY38" s="1660"/>
      <c r="HZ38" s="1660"/>
      <c r="IA38" s="1660"/>
      <c r="IB38" s="1660"/>
      <c r="IC38" s="1660"/>
      <c r="ID38" s="1660"/>
      <c r="IE38" s="1660"/>
      <c r="IF38" s="1660"/>
      <c r="IG38" s="1660">
        <v>0</v>
      </c>
      <c r="IH38" s="1660"/>
      <c r="II38" s="1660"/>
      <c r="IJ38" s="1660"/>
      <c r="IK38" s="1660"/>
      <c r="IL38" s="1660"/>
      <c r="IM38" s="1660"/>
      <c r="IN38" s="1660"/>
      <c r="IO38" s="1660"/>
      <c r="IP38" s="1660"/>
      <c r="IQ38" s="1660"/>
      <c r="IR38" s="1660"/>
      <c r="IS38" s="1660"/>
      <c r="IT38" s="1662">
        <v>330000</v>
      </c>
      <c r="IU38" s="1662">
        <v>0</v>
      </c>
      <c r="IV38" s="1713"/>
    </row>
    <row r="39" spans="2:256" ht="16.5">
      <c r="B39" s="1664" t="s">
        <v>2969</v>
      </c>
      <c r="C39" s="1664"/>
      <c r="D39" s="1665"/>
      <c r="E39" s="1666">
        <f>SUM(E40:E45)</f>
        <v>38.723528999999999</v>
      </c>
      <c r="F39" s="1667">
        <f t="shared" ref="F39:P39" si="27">SUM(F40:F45)</f>
        <v>292.51459699999998</v>
      </c>
      <c r="G39" s="1668">
        <f t="shared" si="27"/>
        <v>257.57937200000003</v>
      </c>
      <c r="H39" s="1667">
        <f t="shared" si="27"/>
        <v>175.517135</v>
      </c>
      <c r="I39" s="1667">
        <f t="shared" si="27"/>
        <v>175.356874</v>
      </c>
      <c r="J39" s="1668">
        <f t="shared" si="27"/>
        <v>119.776715</v>
      </c>
      <c r="K39" s="1667">
        <f t="shared" si="27"/>
        <v>17.072424000000002</v>
      </c>
      <c r="L39" s="1667">
        <f t="shared" si="27"/>
        <v>10.013680000000001</v>
      </c>
      <c r="M39" s="1669">
        <f t="shared" si="27"/>
        <v>10.353615968602739</v>
      </c>
      <c r="N39" s="1670">
        <f t="shared" si="27"/>
        <v>2.0005687371452052</v>
      </c>
      <c r="O39" s="1670">
        <f t="shared" si="27"/>
        <v>2.8555850233972602</v>
      </c>
      <c r="P39" s="1670">
        <f t="shared" si="27"/>
        <v>3.1895482576931498</v>
      </c>
      <c r="Q39" s="1671">
        <f t="shared" si="6"/>
        <v>1104.9536439868382</v>
      </c>
      <c r="R39" s="1672">
        <f t="shared" ref="R39:AC39" si="28">SUM(R40:R45)</f>
        <v>7.1147781107671237</v>
      </c>
      <c r="S39" s="1670">
        <f t="shared" si="28"/>
        <v>8.3890297173698638</v>
      </c>
      <c r="T39" s="1669">
        <f t="shared" si="28"/>
        <v>6.7869520915890398</v>
      </c>
      <c r="U39" s="1670">
        <f t="shared" si="28"/>
        <v>4.3760790024657528</v>
      </c>
      <c r="V39" s="1670">
        <f t="shared" si="28"/>
        <v>6.2678711902191777</v>
      </c>
      <c r="W39" s="1669">
        <f t="shared" si="28"/>
        <v>8.1202861257534238</v>
      </c>
      <c r="X39" s="1670">
        <f t="shared" si="28"/>
        <v>10.408311450493152</v>
      </c>
      <c r="Y39" s="1670">
        <f t="shared" si="28"/>
        <v>12.444147442273971</v>
      </c>
      <c r="Z39" s="1669">
        <f t="shared" si="28"/>
        <v>13.489650865479453</v>
      </c>
      <c r="AA39" s="1670">
        <f t="shared" si="28"/>
        <v>15.587588973780823</v>
      </c>
      <c r="AB39" s="1670">
        <f t="shared" si="28"/>
        <v>16.41172771479452</v>
      </c>
      <c r="AC39" s="1670">
        <f t="shared" si="28"/>
        <v>17.902196924465752</v>
      </c>
      <c r="AD39" s="1671">
        <f t="shared" ref="AD39:AD54" si="29">IFERROR(SUM(R39:AC39),0)</f>
        <v>127.29861960945206</v>
      </c>
      <c r="AE39" s="1672">
        <f t="shared" ref="AE39:AP39" si="30">SUM(AE40:AE45)</f>
        <v>19.988089847753425</v>
      </c>
      <c r="AF39" s="1670">
        <f t="shared" si="30"/>
        <v>19.393568237917808</v>
      </c>
      <c r="AG39" s="1669">
        <f t="shared" si="30"/>
        <v>21.927623192958904</v>
      </c>
      <c r="AH39" s="1670">
        <f t="shared" si="30"/>
        <v>21.911663961369861</v>
      </c>
      <c r="AI39" s="1670">
        <f t="shared" si="30"/>
        <v>23.425342839534242</v>
      </c>
      <c r="AJ39" s="1669">
        <f t="shared" si="30"/>
        <v>19.180310920273971</v>
      </c>
      <c r="AK39" s="1670">
        <f t="shared" si="30"/>
        <v>17.011927288849314</v>
      </c>
      <c r="AL39" s="1670">
        <f t="shared" si="30"/>
        <v>19.010400976520543</v>
      </c>
      <c r="AM39" s="1669">
        <f t="shared" si="30"/>
        <v>19.597837194246576</v>
      </c>
      <c r="AN39" s="1670">
        <f t="shared" si="30"/>
        <v>21.947481113506846</v>
      </c>
      <c r="AO39" s="1670">
        <f t="shared" si="30"/>
        <v>23.038980290136983</v>
      </c>
      <c r="AP39" s="1670">
        <f t="shared" si="30"/>
        <v>25.356781362821916</v>
      </c>
      <c r="AQ39" s="1671">
        <f t="shared" ref="AQ39:AQ55" si="31">IFERROR(SUM(AE39:AP39),0)</f>
        <v>251.79000722589038</v>
      </c>
      <c r="AR39" s="1672">
        <f t="shared" ref="AR39:BC39" si="32">SUM(AR40:AR45)</f>
        <v>27.636821850493146</v>
      </c>
      <c r="AS39" s="1670">
        <f t="shared" si="32"/>
        <v>26.21106899408219</v>
      </c>
      <c r="AT39" s="1669">
        <f t="shared" si="32"/>
        <v>29.056143261452057</v>
      </c>
      <c r="AU39" s="1670">
        <f t="shared" si="32"/>
        <v>28.695925112054791</v>
      </c>
      <c r="AV39" s="1670">
        <f t="shared" si="32"/>
        <v>31.216139349123289</v>
      </c>
      <c r="AW39" s="1669">
        <f t="shared" si="32"/>
        <v>31.589526701095888</v>
      </c>
      <c r="AX39" s="1670">
        <f t="shared" si="32"/>
        <v>34.029465532684931</v>
      </c>
      <c r="AY39" s="1670">
        <f t="shared" si="32"/>
        <v>35.637464834054789</v>
      </c>
      <c r="AZ39" s="1669">
        <f t="shared" si="32"/>
        <v>35.320828070958903</v>
      </c>
      <c r="BA39" s="1670">
        <f t="shared" si="32"/>
        <v>37.638547108027396</v>
      </c>
      <c r="BB39" s="1670">
        <f t="shared" si="32"/>
        <v>37.454841988767122</v>
      </c>
      <c r="BC39" s="1670">
        <f t="shared" si="32"/>
        <v>39.560873160082195</v>
      </c>
      <c r="BD39" s="1673">
        <f t="shared" ref="BD39:BD55" si="33">IFERROR(SUM(AR39:BC39),0)</f>
        <v>394.04764596287669</v>
      </c>
      <c r="BE39" s="1589"/>
      <c r="BF39" s="1615">
        <f>AD24-Q24</f>
        <v>3024.1995501352753</v>
      </c>
      <c r="BL39" s="1498"/>
      <c r="BN39" s="1498"/>
      <c r="BO39" s="1545"/>
      <c r="BP39" s="1617"/>
      <c r="BQ39" s="815"/>
      <c r="BR39" s="1617"/>
      <c r="BS39" s="1617"/>
      <c r="BT39" s="1617"/>
      <c r="BU39" s="1558"/>
      <c r="BV39" s="1558"/>
      <c r="BW39" s="1558"/>
      <c r="BY39" s="1617"/>
      <c r="BZ39" s="1617"/>
      <c r="CD39" s="815"/>
      <c r="CE39" s="1617"/>
      <c r="CF39" s="1493"/>
      <c r="CG39" s="1698"/>
      <c r="CH39" s="1618" t="s">
        <v>2017</v>
      </c>
      <c r="CI39" s="1619">
        <v>116050687.99953665</v>
      </c>
      <c r="CJ39" s="1619">
        <v>113605848</v>
      </c>
      <c r="CK39" s="1619">
        <v>152888140</v>
      </c>
      <c r="CL39" s="1620">
        <v>158375340</v>
      </c>
      <c r="CM39" s="1619">
        <v>124477770.99999999</v>
      </c>
      <c r="CN39" s="1621">
        <v>73091619</v>
      </c>
      <c r="CO39" s="1620">
        <v>158269945</v>
      </c>
      <c r="CP39" s="1619">
        <v>111008889.99999999</v>
      </c>
      <c r="CQ39" s="1621">
        <v>132897672.14885403</v>
      </c>
      <c r="CR39" s="1619">
        <v>131884025.76699121</v>
      </c>
      <c r="CS39" s="1619">
        <v>130280672.14885402</v>
      </c>
      <c r="CT39" s="1619">
        <v>172739025.7669912</v>
      </c>
      <c r="CU39" s="1622">
        <f t="shared" si="1"/>
        <v>1575569636.8312271</v>
      </c>
      <c r="CV39" s="1619">
        <v>219926751.18160564</v>
      </c>
      <c r="CW39" s="1619">
        <v>181195760.16402394</v>
      </c>
      <c r="CX39" s="1619">
        <v>217001321.54122168</v>
      </c>
      <c r="CY39" s="1620">
        <v>196406067.05001247</v>
      </c>
      <c r="CZ39" s="1619">
        <v>195644751.18160564</v>
      </c>
      <c r="DA39" s="1621">
        <v>212722027.05001247</v>
      </c>
      <c r="DB39" s="1620">
        <v>197186751.18160564</v>
      </c>
      <c r="DC39" s="1619">
        <v>196185251.18160564</v>
      </c>
      <c r="DD39" s="1621">
        <v>198757567.05001247</v>
      </c>
      <c r="DE39" s="1619">
        <v>201377251.18160564</v>
      </c>
      <c r="DF39" s="1619">
        <v>177760137.40962851</v>
      </c>
      <c r="DG39" s="1619">
        <v>245499491.18160564</v>
      </c>
      <c r="DH39" s="1622">
        <f t="shared" si="2"/>
        <v>2439663127.3545456</v>
      </c>
      <c r="DI39" s="1619">
        <v>214095315.55380777</v>
      </c>
      <c r="DJ39" s="1619">
        <v>197039822.95907018</v>
      </c>
      <c r="DK39" s="1619">
        <v>246028315.55380777</v>
      </c>
      <c r="DL39" s="1620">
        <v>210532301.35556191</v>
      </c>
      <c r="DM39" s="1619">
        <v>247110144.76667148</v>
      </c>
      <c r="DN39" s="1621">
        <v>124800506.23655163</v>
      </c>
      <c r="DO39" s="1620">
        <v>215585315.55380777</v>
      </c>
      <c r="DP39" s="1619">
        <v>214517690.55380777</v>
      </c>
      <c r="DQ39" s="1621">
        <v>218682926.35556191</v>
      </c>
      <c r="DR39" s="1619">
        <v>220249690.55380777</v>
      </c>
      <c r="DS39" s="1619">
        <v>209022926.35556191</v>
      </c>
      <c r="DT39" s="1619">
        <v>268535820.55380774</v>
      </c>
      <c r="DU39" s="1622">
        <f t="shared" si="3"/>
        <v>2586200776.3518252</v>
      </c>
      <c r="DV39" s="1619">
        <v>274163022.44497108</v>
      </c>
      <c r="DW39" s="1619">
        <v>251890502.58997431</v>
      </c>
      <c r="DX39" s="1619">
        <v>289824908.40719616</v>
      </c>
      <c r="DY39" s="1620">
        <v>276252069.9933055</v>
      </c>
      <c r="DZ39" s="1619">
        <v>270796385.3777492</v>
      </c>
      <c r="EA39" s="1621">
        <v>297209453.9933055</v>
      </c>
      <c r="EB39" s="1620">
        <v>272568385.3777492</v>
      </c>
      <c r="EC39" s="1619">
        <v>271689216.6277492</v>
      </c>
      <c r="ED39" s="1621">
        <v>279583838.74330556</v>
      </c>
      <c r="EE39" s="1619">
        <v>277381216.6277492</v>
      </c>
      <c r="EF39" s="1619">
        <v>246998524.70553058</v>
      </c>
      <c r="EG39" s="1619">
        <v>334926716.1277492</v>
      </c>
      <c r="EH39" s="1622">
        <f t="shared" si="4"/>
        <v>3343284241.0163345</v>
      </c>
      <c r="EJ39" s="1618" t="s">
        <v>2017</v>
      </c>
      <c r="EK39" s="1619">
        <v>22239824</v>
      </c>
      <c r="EL39" s="1619">
        <v>4111825</v>
      </c>
      <c r="EM39" s="1619">
        <v>37067884</v>
      </c>
      <c r="EN39" s="1620">
        <v>2444804</v>
      </c>
      <c r="EO39" s="1619">
        <v>24559800</v>
      </c>
      <c r="EP39" s="1621">
        <v>3614424</v>
      </c>
      <c r="EQ39" s="1620">
        <v>3941493</v>
      </c>
      <c r="ER39" s="1619">
        <v>23266481</v>
      </c>
      <c r="ES39" s="1621">
        <v>2601833.333333333</v>
      </c>
      <c r="ET39" s="1619">
        <v>3601833.333333333</v>
      </c>
      <c r="EU39" s="1619">
        <v>22431833.333333332</v>
      </c>
      <c r="EV39" s="1619">
        <v>2601833.333333333</v>
      </c>
      <c r="EW39" s="1622">
        <v>152483868.33333334</v>
      </c>
      <c r="EX39" s="1619">
        <v>20412833.333333332</v>
      </c>
      <c r="EY39" s="1619">
        <v>4242833.333333334</v>
      </c>
      <c r="EZ39" s="1619">
        <v>40162833.333333336</v>
      </c>
      <c r="FA39" s="1619">
        <v>2412833.3333333335</v>
      </c>
      <c r="FB39" s="1619">
        <v>4242833.333333334</v>
      </c>
      <c r="FC39" s="1619">
        <v>3262833.3333333335</v>
      </c>
      <c r="FD39" s="1619">
        <v>2412833.3333333335</v>
      </c>
      <c r="FE39" s="1619">
        <v>24242833.333333332</v>
      </c>
      <c r="FF39" s="1619">
        <v>2412833.3333333335</v>
      </c>
      <c r="FG39" s="1619">
        <v>3412833.3333333335</v>
      </c>
      <c r="FH39" s="1619">
        <v>24242833.333333332</v>
      </c>
      <c r="FI39" s="1619">
        <v>2412833.3333333335</v>
      </c>
      <c r="FJ39" s="1622">
        <v>133873999.99999996</v>
      </c>
      <c r="FK39" s="1619">
        <v>23112833.333333332</v>
      </c>
      <c r="FL39" s="1619">
        <v>4242833.333333334</v>
      </c>
      <c r="FM39" s="1619">
        <v>43162833.333333336</v>
      </c>
      <c r="FN39" s="1620">
        <v>6454333.333333334</v>
      </c>
      <c r="FO39" s="1619">
        <v>6026833.333333334</v>
      </c>
      <c r="FP39" s="1621">
        <v>3262833.3333333335</v>
      </c>
      <c r="FQ39" s="1620">
        <v>2412833.3333333335</v>
      </c>
      <c r="FR39" s="1619">
        <v>24242833.333333332</v>
      </c>
      <c r="FS39" s="1621">
        <v>2412833.3333333335</v>
      </c>
      <c r="FT39" s="1619">
        <v>4412833.333333334</v>
      </c>
      <c r="FU39" s="1619">
        <v>25292833.333333332</v>
      </c>
      <c r="FV39" s="1619">
        <v>2412833.3333333335</v>
      </c>
      <c r="FW39" s="1622">
        <v>147449499.99999997</v>
      </c>
      <c r="FX39" s="1619">
        <v>23112833.333333332</v>
      </c>
      <c r="FY39" s="1619">
        <v>4242833.333333334</v>
      </c>
      <c r="FZ39" s="1619">
        <v>43162833.333333336</v>
      </c>
      <c r="GA39" s="1620">
        <v>6454333.333333334</v>
      </c>
      <c r="GB39" s="1619">
        <v>6026833.333333334</v>
      </c>
      <c r="GC39" s="1621">
        <v>3262833.3333333335</v>
      </c>
      <c r="GD39" s="1620">
        <v>2412833.3333333335</v>
      </c>
      <c r="GE39" s="1619">
        <v>24242833.333333332</v>
      </c>
      <c r="GF39" s="1621">
        <v>2412833.3333333335</v>
      </c>
      <c r="GG39" s="1619">
        <v>4412833.333333334</v>
      </c>
      <c r="GH39" s="1619">
        <v>25292833.333333332</v>
      </c>
      <c r="GI39" s="1619">
        <v>2412833.3333333335</v>
      </c>
      <c r="GJ39" s="1622">
        <v>147449499.99999997</v>
      </c>
      <c r="GL39" s="1623"/>
      <c r="GM39" s="1746">
        <v>2.7</v>
      </c>
      <c r="GN39" s="1704" t="s">
        <v>2970</v>
      </c>
      <c r="GO39" s="1705" t="s">
        <v>2954</v>
      </c>
      <c r="GP39" s="1705" t="s">
        <v>2932</v>
      </c>
      <c r="GQ39" s="1747">
        <v>12</v>
      </c>
      <c r="GR39" s="1705" t="s">
        <v>2947</v>
      </c>
      <c r="GS39" s="1706">
        <v>20</v>
      </c>
      <c r="GT39" s="1631">
        <v>327000</v>
      </c>
      <c r="GU39" s="1631"/>
      <c r="GV39" s="1631"/>
      <c r="GW39" s="1631"/>
      <c r="GX39" s="1631"/>
      <c r="GY39" s="1631"/>
      <c r="GZ39" s="1631">
        <v>327000</v>
      </c>
      <c r="HA39" s="1631"/>
      <c r="HB39" s="1631"/>
      <c r="HC39" s="1631"/>
      <c r="HD39" s="1631"/>
      <c r="HE39" s="1631"/>
      <c r="HF39" s="1631"/>
      <c r="HG39" s="1631">
        <v>0</v>
      </c>
      <c r="HH39" s="1631"/>
      <c r="HI39" s="1631"/>
      <c r="HJ39" s="1631"/>
      <c r="HK39" s="1631"/>
      <c r="HL39" s="1631"/>
      <c r="HM39" s="1631"/>
      <c r="HN39" s="1631"/>
      <c r="HO39" s="1631"/>
      <c r="HP39" s="1631"/>
      <c r="HQ39" s="1631"/>
      <c r="HR39" s="1631"/>
      <c r="HS39" s="1631"/>
      <c r="HT39" s="1631">
        <v>0</v>
      </c>
      <c r="HU39" s="1631"/>
      <c r="HV39" s="1631"/>
      <c r="HW39" s="1631"/>
      <c r="HX39" s="1631"/>
      <c r="HY39" s="1631"/>
      <c r="HZ39" s="1631"/>
      <c r="IA39" s="1631"/>
      <c r="IB39" s="1631"/>
      <c r="IC39" s="1631"/>
      <c r="ID39" s="1631"/>
      <c r="IE39" s="1631"/>
      <c r="IF39" s="1631"/>
      <c r="IG39" s="1631">
        <v>0</v>
      </c>
      <c r="IH39" s="1631"/>
      <c r="II39" s="1631"/>
      <c r="IJ39" s="1631"/>
      <c r="IK39" s="1631"/>
      <c r="IL39" s="1631"/>
      <c r="IM39" s="1631"/>
      <c r="IN39" s="1631"/>
      <c r="IO39" s="1631"/>
      <c r="IP39" s="1631"/>
      <c r="IQ39" s="1631"/>
      <c r="IR39" s="1631"/>
      <c r="IS39" s="1631"/>
      <c r="IT39" s="1633">
        <v>327000</v>
      </c>
      <c r="IU39" s="1633">
        <v>0</v>
      </c>
      <c r="IV39" s="1707"/>
    </row>
    <row r="40" spans="2:256" ht="16.5">
      <c r="C40" s="1493" t="s">
        <v>2971</v>
      </c>
      <c r="D40" s="1607"/>
      <c r="E40" s="1608">
        <v>0.61525300000000005</v>
      </c>
      <c r="F40" s="1609">
        <v>2.5034149999999999</v>
      </c>
      <c r="G40" s="1610">
        <v>6.4883550000000003</v>
      </c>
      <c r="H40" s="1609">
        <v>3.6529069999999999</v>
      </c>
      <c r="I40" s="1609">
        <v>-3.8279260000000002</v>
      </c>
      <c r="J40" s="1610">
        <v>2.447997</v>
      </c>
      <c r="K40" s="1609">
        <v>1.1196790000000001</v>
      </c>
      <c r="L40" s="1609">
        <v>1.5023089999999999</v>
      </c>
      <c r="M40" s="1775">
        <v>1.2627869686027393</v>
      </c>
      <c r="N40" s="1615">
        <v>2.0005687371452052</v>
      </c>
      <c r="O40" s="1615">
        <v>2.8555850233972602</v>
      </c>
      <c r="P40" s="1615">
        <v>3.1895482576931498</v>
      </c>
      <c r="Q40" s="1612">
        <f t="shared" si="6"/>
        <v>23.810477986838357</v>
      </c>
      <c r="R40" s="1613">
        <v>7.1147781107671237</v>
      </c>
      <c r="S40" s="1589">
        <v>8.3890297173698638</v>
      </c>
      <c r="T40" s="1611">
        <v>6.7869520915890398</v>
      </c>
      <c r="U40" s="1589">
        <v>4.3760790024657528</v>
      </c>
      <c r="V40" s="1589">
        <v>6.2678711902191777</v>
      </c>
      <c r="W40" s="1611">
        <v>8.1202861257534238</v>
      </c>
      <c r="X40" s="1589">
        <v>10.408311450493152</v>
      </c>
      <c r="Y40" s="1589">
        <v>12.444147442273971</v>
      </c>
      <c r="Z40" s="1611">
        <v>13.489650865479453</v>
      </c>
      <c r="AA40" s="1589">
        <v>15.587588973780823</v>
      </c>
      <c r="AB40" s="1589">
        <v>16.41172771479452</v>
      </c>
      <c r="AC40" s="1589">
        <v>17.902196924465752</v>
      </c>
      <c r="AD40" s="1612">
        <f t="shared" si="29"/>
        <v>127.29861960945206</v>
      </c>
      <c r="AE40" s="1613">
        <v>19.988089847753425</v>
      </c>
      <c r="AF40" s="1589">
        <v>19.393568237917808</v>
      </c>
      <c r="AG40" s="1611">
        <v>21.927623192958904</v>
      </c>
      <c r="AH40" s="1589">
        <v>21.911663961369861</v>
      </c>
      <c r="AI40" s="1589">
        <v>23.425342839534242</v>
      </c>
      <c r="AJ40" s="1611">
        <v>19.180310920273971</v>
      </c>
      <c r="AK40" s="1589">
        <v>17.011927288849314</v>
      </c>
      <c r="AL40" s="1589">
        <v>19.010400976520543</v>
      </c>
      <c r="AM40" s="1611">
        <v>19.597837194246576</v>
      </c>
      <c r="AN40" s="1589">
        <v>21.947481113506846</v>
      </c>
      <c r="AO40" s="1589">
        <v>23.038980290136983</v>
      </c>
      <c r="AP40" s="1589">
        <v>25.356781362821916</v>
      </c>
      <c r="AQ40" s="1612">
        <f t="shared" si="31"/>
        <v>251.79000722589038</v>
      </c>
      <c r="AR40" s="1613">
        <v>27.636821850493146</v>
      </c>
      <c r="AS40" s="1589">
        <v>26.21106899408219</v>
      </c>
      <c r="AT40" s="1611">
        <v>29.056143261452057</v>
      </c>
      <c r="AU40" s="1589">
        <v>28.695925112054791</v>
      </c>
      <c r="AV40" s="1589">
        <v>31.216139349123289</v>
      </c>
      <c r="AW40" s="1611">
        <v>31.589526701095888</v>
      </c>
      <c r="AX40" s="1589">
        <v>34.029465532684931</v>
      </c>
      <c r="AY40" s="1589">
        <v>35.637464834054789</v>
      </c>
      <c r="AZ40" s="1611">
        <v>35.320828070958903</v>
      </c>
      <c r="BA40" s="1589">
        <v>37.638547108027396</v>
      </c>
      <c r="BB40" s="1589">
        <v>37.454841988767122</v>
      </c>
      <c r="BC40" s="1589">
        <v>39.560873160082195</v>
      </c>
      <c r="BD40" s="1614">
        <f t="shared" si="33"/>
        <v>394.04764596287669</v>
      </c>
      <c r="BE40" s="1589"/>
      <c r="BF40" s="1615"/>
      <c r="BL40" s="1498"/>
      <c r="BN40" s="1498"/>
      <c r="BO40" s="1545"/>
      <c r="BP40" s="1617"/>
      <c r="BQ40" s="815"/>
      <c r="BR40" s="1617"/>
      <c r="BS40" s="1617"/>
      <c r="BT40" s="1617"/>
      <c r="BU40" s="1558"/>
      <c r="BV40" s="1558"/>
      <c r="BW40" s="1558"/>
      <c r="BY40" s="1617"/>
      <c r="BZ40" s="1617"/>
      <c r="CD40" s="815"/>
      <c r="CE40" s="1617"/>
      <c r="CF40" s="1493"/>
      <c r="CG40" s="1698"/>
      <c r="CH40" s="1618" t="s">
        <v>198</v>
      </c>
      <c r="CI40" s="1619">
        <v>166257401</v>
      </c>
      <c r="CJ40" s="1619">
        <v>228605128</v>
      </c>
      <c r="CK40" s="1619">
        <v>157714600</v>
      </c>
      <c r="CL40" s="1620">
        <v>161579480</v>
      </c>
      <c r="CM40" s="1619">
        <v>152217061</v>
      </c>
      <c r="CN40" s="1621">
        <v>192951365</v>
      </c>
      <c r="CO40" s="1620">
        <v>179914349</v>
      </c>
      <c r="CP40" s="1619">
        <v>149029848</v>
      </c>
      <c r="CQ40" s="1621">
        <v>172913561.28787878</v>
      </c>
      <c r="CR40" s="1619">
        <v>159493457.65151516</v>
      </c>
      <c r="CS40" s="1619">
        <v>168813561.28787878</v>
      </c>
      <c r="CT40" s="1619">
        <v>152486457.65151516</v>
      </c>
      <c r="CU40" s="1622">
        <f t="shared" si="1"/>
        <v>2041976269.878788</v>
      </c>
      <c r="CV40" s="1619">
        <v>196603907.70000002</v>
      </c>
      <c r="CW40" s="1619">
        <v>176191478.09999999</v>
      </c>
      <c r="CX40" s="1619">
        <v>205347391.19999999</v>
      </c>
      <c r="CY40" s="1620">
        <v>182271419.5</v>
      </c>
      <c r="CZ40" s="1619">
        <v>196353907.70000002</v>
      </c>
      <c r="DA40" s="1621">
        <v>187900419.5</v>
      </c>
      <c r="DB40" s="1620">
        <v>196603907.70000002</v>
      </c>
      <c r="DC40" s="1619">
        <v>183063907.70000002</v>
      </c>
      <c r="DD40" s="1621">
        <v>209700419.5</v>
      </c>
      <c r="DE40" s="1619">
        <v>186363907.70000002</v>
      </c>
      <c r="DF40" s="1619">
        <v>187245903.00000003</v>
      </c>
      <c r="DG40" s="1619">
        <v>193702907.70000005</v>
      </c>
      <c r="DH40" s="1622">
        <f t="shared" si="2"/>
        <v>2301349477</v>
      </c>
      <c r="DI40" s="1619">
        <v>202686648.90000004</v>
      </c>
      <c r="DJ40" s="1619">
        <v>175770038.69999999</v>
      </c>
      <c r="DK40" s="1619">
        <v>228535648.90000004</v>
      </c>
      <c r="DL40" s="1620">
        <v>180764445.5</v>
      </c>
      <c r="DM40" s="1619">
        <v>204085542.65000004</v>
      </c>
      <c r="DN40" s="1621">
        <v>141106422.16666669</v>
      </c>
      <c r="DO40" s="1620">
        <v>197086648.90000001</v>
      </c>
      <c r="DP40" s="1619">
        <v>185096648.90000001</v>
      </c>
      <c r="DQ40" s="1621">
        <v>201943445.5</v>
      </c>
      <c r="DR40" s="1619">
        <v>188396648.90000001</v>
      </c>
      <c r="DS40" s="1619">
        <v>193844445.5</v>
      </c>
      <c r="DT40" s="1619">
        <v>195735648.90000004</v>
      </c>
      <c r="DU40" s="1622">
        <f t="shared" si="3"/>
        <v>2295052233.416667</v>
      </c>
      <c r="DV40" s="1619">
        <v>205861804.5</v>
      </c>
      <c r="DW40" s="1619">
        <v>180025621.5</v>
      </c>
      <c r="DX40" s="1619">
        <v>208232503</v>
      </c>
      <c r="DY40" s="1620">
        <v>188059743.5</v>
      </c>
      <c r="DZ40" s="1619">
        <v>202344019.5</v>
      </c>
      <c r="EA40" s="1621">
        <v>191243743.5</v>
      </c>
      <c r="EB40" s="1620">
        <v>205684019.5</v>
      </c>
      <c r="EC40" s="1619">
        <v>189144019.5</v>
      </c>
      <c r="ED40" s="1621">
        <v>209203743.5</v>
      </c>
      <c r="EE40" s="1619">
        <v>195444019.5</v>
      </c>
      <c r="EF40" s="1619">
        <v>193016441.99999997</v>
      </c>
      <c r="EG40" s="1619">
        <v>196838019.5</v>
      </c>
      <c r="EH40" s="1622">
        <f t="shared" si="4"/>
        <v>2365097699</v>
      </c>
      <c r="EJ40" s="1618" t="s">
        <v>198</v>
      </c>
      <c r="EK40" s="1619">
        <v>0</v>
      </c>
      <c r="EL40" s="1619">
        <v>0</v>
      </c>
      <c r="EM40" s="1619">
        <v>0</v>
      </c>
      <c r="EN40" s="1620">
        <v>0</v>
      </c>
      <c r="EO40" s="1619">
        <v>60000</v>
      </c>
      <c r="EP40" s="1621">
        <v>0</v>
      </c>
      <c r="EQ40" s="1620">
        <v>1129091</v>
      </c>
      <c r="ER40" s="1619">
        <v>30000</v>
      </c>
      <c r="ES40" s="1621">
        <v>50000</v>
      </c>
      <c r="ET40" s="1619">
        <v>50000</v>
      </c>
      <c r="EU40" s="1619">
        <v>20000</v>
      </c>
      <c r="EV40" s="1619">
        <v>50000</v>
      </c>
      <c r="EW40" s="1622">
        <v>1389091</v>
      </c>
      <c r="EX40" s="1619">
        <v>30000</v>
      </c>
      <c r="EY40" s="1619">
        <v>0</v>
      </c>
      <c r="EZ40" s="1619">
        <v>30000</v>
      </c>
      <c r="FA40" s="1619">
        <v>30000</v>
      </c>
      <c r="FB40" s="1619">
        <v>0</v>
      </c>
      <c r="FC40" s="1619">
        <v>60000</v>
      </c>
      <c r="FD40" s="1619">
        <v>30000</v>
      </c>
      <c r="FE40" s="1619">
        <v>0</v>
      </c>
      <c r="FF40" s="1619">
        <v>30000</v>
      </c>
      <c r="FG40" s="1619">
        <v>30000</v>
      </c>
      <c r="FH40" s="1619">
        <v>0</v>
      </c>
      <c r="FI40" s="1619">
        <v>60000</v>
      </c>
      <c r="FJ40" s="1622">
        <v>300000</v>
      </c>
      <c r="FK40" s="1619">
        <v>30000</v>
      </c>
      <c r="FL40" s="1619">
        <v>0</v>
      </c>
      <c r="FM40" s="1619">
        <v>30000</v>
      </c>
      <c r="FN40" s="1620">
        <v>30000</v>
      </c>
      <c r="FO40" s="1619">
        <v>0</v>
      </c>
      <c r="FP40" s="1621">
        <v>60000</v>
      </c>
      <c r="FQ40" s="1620">
        <v>30000</v>
      </c>
      <c r="FR40" s="1619">
        <v>0</v>
      </c>
      <c r="FS40" s="1621">
        <v>30000</v>
      </c>
      <c r="FT40" s="1619">
        <v>30000</v>
      </c>
      <c r="FU40" s="1619">
        <v>0</v>
      </c>
      <c r="FV40" s="1619">
        <v>60000</v>
      </c>
      <c r="FW40" s="1622">
        <v>300000</v>
      </c>
      <c r="FX40" s="1619">
        <v>30000</v>
      </c>
      <c r="FY40" s="1619">
        <v>0</v>
      </c>
      <c r="FZ40" s="1619">
        <v>30000</v>
      </c>
      <c r="GA40" s="1620">
        <v>30000</v>
      </c>
      <c r="GB40" s="1619">
        <v>0</v>
      </c>
      <c r="GC40" s="1621">
        <v>60000</v>
      </c>
      <c r="GD40" s="1620">
        <v>30000</v>
      </c>
      <c r="GE40" s="1619">
        <v>0</v>
      </c>
      <c r="GF40" s="1621">
        <v>30000</v>
      </c>
      <c r="GG40" s="1619">
        <v>30000</v>
      </c>
      <c r="GH40" s="1619">
        <v>0</v>
      </c>
      <c r="GI40" s="1619">
        <v>60000</v>
      </c>
      <c r="GJ40" s="1622">
        <v>300000</v>
      </c>
      <c r="GL40" s="1652"/>
      <c r="GM40" s="1748">
        <v>2.8</v>
      </c>
      <c r="GN40" s="1714" t="s">
        <v>2972</v>
      </c>
      <c r="GO40" s="1711" t="s">
        <v>2946</v>
      </c>
      <c r="GP40" s="1711" t="s">
        <v>2932</v>
      </c>
      <c r="GQ40" s="1749">
        <v>12</v>
      </c>
      <c r="GR40" s="1711" t="s">
        <v>2944</v>
      </c>
      <c r="GS40" s="1712">
        <v>20</v>
      </c>
      <c r="GT40" s="1660">
        <v>1350000</v>
      </c>
      <c r="GU40" s="1660">
        <v>15000</v>
      </c>
      <c r="GV40" s="1661">
        <v>291000</v>
      </c>
      <c r="GW40" s="1660">
        <v>6500</v>
      </c>
      <c r="GX40" s="1660">
        <v>7000</v>
      </c>
      <c r="GY40" s="1660">
        <v>30200</v>
      </c>
      <c r="GZ40" s="1661">
        <v>621086</v>
      </c>
      <c r="HA40" s="1661">
        <v>52000</v>
      </c>
      <c r="HB40" s="1661"/>
      <c r="HC40" s="1660">
        <v>327214</v>
      </c>
      <c r="HD40" s="1660"/>
      <c r="HE40" s="1660"/>
      <c r="HF40" s="1660"/>
      <c r="HG40" s="1660">
        <v>0</v>
      </c>
      <c r="HH40" s="1660"/>
      <c r="HI40" s="1660"/>
      <c r="HJ40" s="1660"/>
      <c r="HK40" s="1660"/>
      <c r="HL40" s="1660"/>
      <c r="HM40" s="1660"/>
      <c r="HN40" s="1660"/>
      <c r="HO40" s="1660"/>
      <c r="HP40" s="1660"/>
      <c r="HQ40" s="1660"/>
      <c r="HR40" s="1660"/>
      <c r="HS40" s="1660"/>
      <c r="HT40" s="1660">
        <v>0</v>
      </c>
      <c r="HU40" s="1660"/>
      <c r="HV40" s="1660"/>
      <c r="HW40" s="1660"/>
      <c r="HX40" s="1660"/>
      <c r="HY40" s="1660"/>
      <c r="HZ40" s="1660"/>
      <c r="IA40" s="1660"/>
      <c r="IB40" s="1660"/>
      <c r="IC40" s="1660"/>
      <c r="ID40" s="1660"/>
      <c r="IE40" s="1660"/>
      <c r="IF40" s="1660"/>
      <c r="IG40" s="1660">
        <v>0</v>
      </c>
      <c r="IH40" s="1660"/>
      <c r="II40" s="1660"/>
      <c r="IJ40" s="1660"/>
      <c r="IK40" s="1660"/>
      <c r="IL40" s="1660"/>
      <c r="IM40" s="1660"/>
      <c r="IN40" s="1660"/>
      <c r="IO40" s="1660"/>
      <c r="IP40" s="1660"/>
      <c r="IQ40" s="1660"/>
      <c r="IR40" s="1660"/>
      <c r="IS40" s="1660"/>
      <c r="IT40" s="1662">
        <v>1350000</v>
      </c>
      <c r="IU40" s="1662">
        <v>0</v>
      </c>
      <c r="IV40" s="1713"/>
    </row>
    <row r="41" spans="2:256" ht="16.5">
      <c r="C41" s="1493" t="s">
        <v>2973</v>
      </c>
      <c r="D41" s="1607"/>
      <c r="E41" s="1608">
        <v>11.696294</v>
      </c>
      <c r="F41" s="1609">
        <v>3.3076590000000001</v>
      </c>
      <c r="G41" s="1610">
        <v>69.893234000000007</v>
      </c>
      <c r="H41" s="1609">
        <v>34.383307000000002</v>
      </c>
      <c r="I41" s="1609">
        <v>16.439471000000001</v>
      </c>
      <c r="J41" s="1610">
        <v>11.009893999999999</v>
      </c>
      <c r="K41" s="1609">
        <v>23.006345</v>
      </c>
      <c r="L41" s="1609">
        <v>13.539277999999999</v>
      </c>
      <c r="M41" s="1775"/>
      <c r="N41" s="1615"/>
      <c r="O41" s="1615"/>
      <c r="P41" s="1615"/>
      <c r="Q41" s="1612">
        <f t="shared" si="6"/>
        <v>183.27548200000001</v>
      </c>
      <c r="R41" s="1613"/>
      <c r="S41" s="1589"/>
      <c r="T41" s="1611"/>
      <c r="U41" s="1589"/>
      <c r="V41" s="1589"/>
      <c r="W41" s="1611"/>
      <c r="X41" s="1589"/>
      <c r="Y41" s="1589"/>
      <c r="Z41" s="1611"/>
      <c r="AA41" s="1589"/>
      <c r="AB41" s="1589"/>
      <c r="AC41" s="1589"/>
      <c r="AD41" s="1612">
        <f t="shared" si="29"/>
        <v>0</v>
      </c>
      <c r="AE41" s="1613"/>
      <c r="AF41" s="1589"/>
      <c r="AG41" s="1611"/>
      <c r="AH41" s="1589"/>
      <c r="AI41" s="1589"/>
      <c r="AJ41" s="1611"/>
      <c r="AK41" s="1589"/>
      <c r="AL41" s="1589"/>
      <c r="AM41" s="1611"/>
      <c r="AN41" s="1589"/>
      <c r="AO41" s="1589"/>
      <c r="AP41" s="1589"/>
      <c r="AQ41" s="1612">
        <f t="shared" si="31"/>
        <v>0</v>
      </c>
      <c r="AR41" s="1613"/>
      <c r="AS41" s="1589"/>
      <c r="AT41" s="1611"/>
      <c r="AU41" s="1589"/>
      <c r="AV41" s="1589"/>
      <c r="AW41" s="1611"/>
      <c r="AX41" s="1589"/>
      <c r="AY41" s="1589"/>
      <c r="AZ41" s="1611"/>
      <c r="BA41" s="1589"/>
      <c r="BB41" s="1589"/>
      <c r="BC41" s="1589"/>
      <c r="BD41" s="1614">
        <f t="shared" si="33"/>
        <v>0</v>
      </c>
      <c r="BE41" s="1589"/>
      <c r="BF41" s="1615">
        <f t="shared" ref="BF41:BF49" si="34">AD26-Q26</f>
        <v>39.354600000000033</v>
      </c>
      <c r="BH41" s="1499" t="s">
        <v>2974</v>
      </c>
      <c r="BI41" s="1499"/>
      <c r="BJ41" s="1499" t="s">
        <v>2975</v>
      </c>
      <c r="BK41" s="1616" t="s">
        <v>2976</v>
      </c>
      <c r="BL41" s="1616" t="s">
        <v>2874</v>
      </c>
      <c r="BM41" s="1616" t="s">
        <v>2977</v>
      </c>
      <c r="BN41" s="1616" t="s">
        <v>2978</v>
      </c>
      <c r="BO41" s="1545"/>
      <c r="BP41" s="1617"/>
      <c r="BQ41" s="815"/>
      <c r="BR41" s="815"/>
      <c r="BS41" s="815"/>
      <c r="BT41" s="1776"/>
      <c r="BU41" s="1617"/>
      <c r="BV41" s="1617"/>
      <c r="BW41" s="1763"/>
      <c r="BY41" s="1617"/>
      <c r="BZ41" s="1617"/>
      <c r="CD41" s="815"/>
      <c r="CE41" s="1617"/>
      <c r="CF41" s="1493"/>
      <c r="CG41" s="1698"/>
      <c r="CH41" s="1618" t="s">
        <v>2021</v>
      </c>
      <c r="CI41" s="1619">
        <v>983640</v>
      </c>
      <c r="CJ41" s="1619">
        <v>844000</v>
      </c>
      <c r="CK41" s="1619">
        <v>980000</v>
      </c>
      <c r="CL41" s="1620">
        <v>883000</v>
      </c>
      <c r="CM41" s="1619">
        <v>684000</v>
      </c>
      <c r="CN41" s="1621">
        <v>1704000</v>
      </c>
      <c r="CO41" s="1620">
        <v>1044000</v>
      </c>
      <c r="CP41" s="1619">
        <v>1030000</v>
      </c>
      <c r="CQ41" s="1621">
        <v>1609000</v>
      </c>
      <c r="CR41" s="1619">
        <v>1479000</v>
      </c>
      <c r="CS41" s="1619">
        <v>1989000</v>
      </c>
      <c r="CT41" s="1619">
        <v>2989000</v>
      </c>
      <c r="CU41" s="1622">
        <f t="shared" si="1"/>
        <v>16218640</v>
      </c>
      <c r="CV41" s="1619">
        <v>849000</v>
      </c>
      <c r="CW41" s="1619">
        <v>849000</v>
      </c>
      <c r="CX41" s="1619">
        <v>1869000</v>
      </c>
      <c r="CY41" s="1620">
        <v>849000</v>
      </c>
      <c r="CZ41" s="1619">
        <v>999000</v>
      </c>
      <c r="DA41" s="1621">
        <v>2269000</v>
      </c>
      <c r="DB41" s="1620">
        <v>1499000</v>
      </c>
      <c r="DC41" s="1619">
        <v>849000</v>
      </c>
      <c r="DD41" s="1621">
        <v>2169000</v>
      </c>
      <c r="DE41" s="1619">
        <v>1349000</v>
      </c>
      <c r="DF41" s="1619">
        <v>1959000</v>
      </c>
      <c r="DG41" s="1619">
        <v>7599000</v>
      </c>
      <c r="DH41" s="1622">
        <f t="shared" si="2"/>
        <v>23108000</v>
      </c>
      <c r="DI41" s="1619">
        <v>849000</v>
      </c>
      <c r="DJ41" s="1619">
        <v>849000</v>
      </c>
      <c r="DK41" s="1619">
        <v>1869000</v>
      </c>
      <c r="DL41" s="1620">
        <v>849000</v>
      </c>
      <c r="DM41" s="1619">
        <v>999000</v>
      </c>
      <c r="DN41" s="1621">
        <v>2269000</v>
      </c>
      <c r="DO41" s="1620">
        <v>1499000</v>
      </c>
      <c r="DP41" s="1619">
        <v>849000</v>
      </c>
      <c r="DQ41" s="1621">
        <v>2169000</v>
      </c>
      <c r="DR41" s="1619">
        <v>1349000</v>
      </c>
      <c r="DS41" s="1619">
        <v>1959000</v>
      </c>
      <c r="DT41" s="1619">
        <v>7599000</v>
      </c>
      <c r="DU41" s="1622">
        <f t="shared" si="3"/>
        <v>23108000</v>
      </c>
      <c r="DV41" s="1619">
        <v>849000</v>
      </c>
      <c r="DW41" s="1619">
        <v>849000</v>
      </c>
      <c r="DX41" s="1619">
        <v>1869000</v>
      </c>
      <c r="DY41" s="1620">
        <v>849000</v>
      </c>
      <c r="DZ41" s="1619">
        <v>999000</v>
      </c>
      <c r="EA41" s="1621">
        <v>2269000</v>
      </c>
      <c r="EB41" s="1620">
        <v>1499000</v>
      </c>
      <c r="EC41" s="1619">
        <v>849000</v>
      </c>
      <c r="ED41" s="1621">
        <v>2169000</v>
      </c>
      <c r="EE41" s="1619">
        <v>849000</v>
      </c>
      <c r="EF41" s="1619">
        <v>1959000</v>
      </c>
      <c r="EG41" s="1619">
        <v>8099000</v>
      </c>
      <c r="EH41" s="1622">
        <f t="shared" si="4"/>
        <v>23108000</v>
      </c>
      <c r="EJ41" s="1618" t="s">
        <v>2021</v>
      </c>
      <c r="EK41" s="1619">
        <v>14400</v>
      </c>
      <c r="EL41" s="1619">
        <v>216000</v>
      </c>
      <c r="EM41" s="1619">
        <v>75455</v>
      </c>
      <c r="EN41" s="1620">
        <v>0</v>
      </c>
      <c r="EO41" s="1619">
        <v>1650000</v>
      </c>
      <c r="EP41" s="1621">
        <v>0</v>
      </c>
      <c r="EQ41" s="1620">
        <v>0</v>
      </c>
      <c r="ER41" s="1619">
        <v>0</v>
      </c>
      <c r="ES41" s="1621">
        <v>160000</v>
      </c>
      <c r="ET41" s="1619">
        <v>450000</v>
      </c>
      <c r="EU41" s="1619">
        <v>1500000</v>
      </c>
      <c r="EV41" s="1619">
        <v>0</v>
      </c>
      <c r="EW41" s="1622">
        <v>4065855</v>
      </c>
      <c r="EX41" s="1619">
        <v>120000</v>
      </c>
      <c r="EY41" s="1619">
        <v>0</v>
      </c>
      <c r="EZ41" s="1619">
        <v>480000</v>
      </c>
      <c r="FA41" s="1619">
        <v>0</v>
      </c>
      <c r="FB41" s="1619">
        <v>1650000</v>
      </c>
      <c r="FC41" s="1619">
        <v>760000</v>
      </c>
      <c r="FD41" s="1619">
        <v>0</v>
      </c>
      <c r="FE41" s="1619">
        <v>0</v>
      </c>
      <c r="FF41" s="1619">
        <v>460000</v>
      </c>
      <c r="FG41" s="1619">
        <v>0</v>
      </c>
      <c r="FH41" s="1619">
        <v>1000000</v>
      </c>
      <c r="FI41" s="1619">
        <v>300000</v>
      </c>
      <c r="FJ41" s="1622">
        <v>4770000</v>
      </c>
      <c r="FK41" s="1619">
        <v>120000</v>
      </c>
      <c r="FL41" s="1619">
        <v>0</v>
      </c>
      <c r="FM41" s="1619">
        <v>480000</v>
      </c>
      <c r="FN41" s="1620">
        <v>0</v>
      </c>
      <c r="FO41" s="1619">
        <v>1650000</v>
      </c>
      <c r="FP41" s="1621">
        <v>760000</v>
      </c>
      <c r="FQ41" s="1620">
        <v>0</v>
      </c>
      <c r="FR41" s="1619">
        <v>0</v>
      </c>
      <c r="FS41" s="1621">
        <v>460000</v>
      </c>
      <c r="FT41" s="1619">
        <v>0</v>
      </c>
      <c r="FU41" s="1619">
        <v>1000000</v>
      </c>
      <c r="FV41" s="1619">
        <v>300000</v>
      </c>
      <c r="FW41" s="1622">
        <v>4770000</v>
      </c>
      <c r="FX41" s="1619">
        <v>120000</v>
      </c>
      <c r="FY41" s="1619">
        <v>0</v>
      </c>
      <c r="FZ41" s="1619">
        <v>480000</v>
      </c>
      <c r="GA41" s="1620">
        <v>0</v>
      </c>
      <c r="GB41" s="1619">
        <v>0</v>
      </c>
      <c r="GC41" s="1621">
        <v>760000</v>
      </c>
      <c r="GD41" s="1620">
        <v>0</v>
      </c>
      <c r="GE41" s="1619">
        <v>0</v>
      </c>
      <c r="GF41" s="1621">
        <v>460000</v>
      </c>
      <c r="GG41" s="1619">
        <v>200000</v>
      </c>
      <c r="GH41" s="1619">
        <v>1500000</v>
      </c>
      <c r="GI41" s="1619">
        <v>300000</v>
      </c>
      <c r="GJ41" s="1622">
        <v>3820000</v>
      </c>
      <c r="GL41" s="1623"/>
      <c r="GM41" s="1746">
        <v>2.9</v>
      </c>
      <c r="GN41" s="1728" t="s">
        <v>2979</v>
      </c>
      <c r="GO41" s="1705" t="s">
        <v>2946</v>
      </c>
      <c r="GP41" s="1705" t="s">
        <v>2932</v>
      </c>
      <c r="GQ41" s="1747">
        <v>12</v>
      </c>
      <c r="GR41" s="1705" t="s">
        <v>2944</v>
      </c>
      <c r="GS41" s="1706">
        <v>20</v>
      </c>
      <c r="GT41" s="1631">
        <v>400000</v>
      </c>
      <c r="GU41" s="1631"/>
      <c r="GV41" s="1631"/>
      <c r="GW41" s="1631">
        <v>120000</v>
      </c>
      <c r="GX41" s="1631"/>
      <c r="GY41" s="1631"/>
      <c r="GZ41" s="1631"/>
      <c r="HA41" s="1631">
        <v>280000</v>
      </c>
      <c r="HB41" s="1631"/>
      <c r="HC41" s="1631"/>
      <c r="HD41" s="1631"/>
      <c r="HE41" s="1631"/>
      <c r="HF41" s="1631"/>
      <c r="HG41" s="1631">
        <v>0</v>
      </c>
      <c r="HH41" s="1631"/>
      <c r="HI41" s="1631"/>
      <c r="HJ41" s="1631"/>
      <c r="HK41" s="1631"/>
      <c r="HL41" s="1631" t="s">
        <v>2980</v>
      </c>
      <c r="HM41" s="1631"/>
      <c r="HN41" s="1631"/>
      <c r="HO41" s="1631"/>
      <c r="HP41" s="1631"/>
      <c r="HQ41" s="1631"/>
      <c r="HR41" s="1631"/>
      <c r="HS41" s="1631"/>
      <c r="HT41" s="1631">
        <v>0</v>
      </c>
      <c r="HU41" s="1631"/>
      <c r="HV41" s="1631"/>
      <c r="HW41" s="1631"/>
      <c r="HX41" s="1631"/>
      <c r="HY41" s="1631"/>
      <c r="HZ41" s="1631"/>
      <c r="IA41" s="1631"/>
      <c r="IB41" s="1631"/>
      <c r="IC41" s="1631"/>
      <c r="ID41" s="1631"/>
      <c r="IE41" s="1631"/>
      <c r="IF41" s="1631"/>
      <c r="IG41" s="1631">
        <v>0</v>
      </c>
      <c r="IH41" s="1631"/>
      <c r="II41" s="1631"/>
      <c r="IJ41" s="1631"/>
      <c r="IK41" s="1631"/>
      <c r="IL41" s="1631" t="s">
        <v>2980</v>
      </c>
      <c r="IM41" s="1631"/>
      <c r="IN41" s="1631"/>
      <c r="IO41" s="1631"/>
      <c r="IP41" s="1631"/>
      <c r="IQ41" s="1631"/>
      <c r="IR41" s="1631"/>
      <c r="IS41" s="1631"/>
      <c r="IT41" s="1633">
        <v>400000</v>
      </c>
      <c r="IU41" s="1633">
        <v>0</v>
      </c>
      <c r="IV41" s="1707"/>
    </row>
    <row r="42" spans="2:256" s="1504" customFormat="1" ht="16.5" collapsed="1">
      <c r="B42" s="1493"/>
      <c r="C42" s="1493" t="s">
        <v>2981</v>
      </c>
      <c r="D42" s="1607"/>
      <c r="E42" s="1608">
        <v>24.689181999999999</v>
      </c>
      <c r="F42" s="1609">
        <v>127.09457</v>
      </c>
      <c r="G42" s="1610">
        <v>21.142509</v>
      </c>
      <c r="H42" s="1609">
        <v>-24.499741</v>
      </c>
      <c r="I42" s="1609">
        <v>17.576471999999999</v>
      </c>
      <c r="J42" s="1610">
        <v>-42.831279000000002</v>
      </c>
      <c r="K42" s="1609">
        <v>-8.6749229999999997</v>
      </c>
      <c r="L42" s="1609">
        <v>-6.5473480000000004</v>
      </c>
      <c r="M42" s="1775">
        <v>9.0908289999999994</v>
      </c>
      <c r="N42" s="1615"/>
      <c r="O42" s="1615"/>
      <c r="P42" s="1615"/>
      <c r="Q42" s="1612">
        <f t="shared" si="6"/>
        <v>117.04027099999998</v>
      </c>
      <c r="R42" s="1613"/>
      <c r="S42" s="1589"/>
      <c r="T42" s="1611"/>
      <c r="U42" s="1589"/>
      <c r="V42" s="1589"/>
      <c r="W42" s="1611"/>
      <c r="X42" s="1589"/>
      <c r="Y42" s="1589"/>
      <c r="Z42" s="1611"/>
      <c r="AA42" s="1589"/>
      <c r="AB42" s="1589"/>
      <c r="AC42" s="1589"/>
      <c r="AD42" s="1612">
        <f t="shared" si="29"/>
        <v>0</v>
      </c>
      <c r="AE42" s="1613"/>
      <c r="AF42" s="1589"/>
      <c r="AG42" s="1611"/>
      <c r="AH42" s="1589"/>
      <c r="AI42" s="1589"/>
      <c r="AJ42" s="1611"/>
      <c r="AK42" s="1589"/>
      <c r="AL42" s="1589"/>
      <c r="AM42" s="1611"/>
      <c r="AN42" s="1589"/>
      <c r="AO42" s="1589"/>
      <c r="AP42" s="1589"/>
      <c r="AQ42" s="1612">
        <f t="shared" si="31"/>
        <v>0</v>
      </c>
      <c r="AR42" s="1613"/>
      <c r="AS42" s="1589"/>
      <c r="AT42" s="1611"/>
      <c r="AU42" s="1589"/>
      <c r="AV42" s="1589"/>
      <c r="AW42" s="1611"/>
      <c r="AX42" s="1589"/>
      <c r="AY42" s="1589"/>
      <c r="AZ42" s="1611"/>
      <c r="BA42" s="1589"/>
      <c r="BB42" s="1589"/>
      <c r="BC42" s="1589"/>
      <c r="BD42" s="1614">
        <f t="shared" si="33"/>
        <v>0</v>
      </c>
      <c r="BE42" s="1509"/>
      <c r="BF42" s="1759">
        <f t="shared" si="34"/>
        <v>20964.934730378445</v>
      </c>
      <c r="BG42" s="1497" t="s">
        <v>355</v>
      </c>
      <c r="BH42" s="1499">
        <v>6600</v>
      </c>
      <c r="BI42" s="1499">
        <v>100</v>
      </c>
      <c r="BJ42" s="1646">
        <v>3.6711545013243163</v>
      </c>
      <c r="BK42" s="1499">
        <v>5982.4374500000004</v>
      </c>
      <c r="BL42" s="1499">
        <f>BH42-BK42</f>
        <v>617.56254999999965</v>
      </c>
      <c r="BM42" s="1777">
        <f>BJ42/BI42*BL42</f>
        <v>22.671675352818216</v>
      </c>
      <c r="BN42" s="1778">
        <v>1.510927757870681</v>
      </c>
      <c r="BO42" s="1545"/>
      <c r="BP42" s="1617"/>
      <c r="BQ42" s="815"/>
      <c r="BR42" s="815"/>
      <c r="BS42" s="815"/>
      <c r="BT42" s="1776"/>
      <c r="BU42" s="1617"/>
      <c r="BV42" s="1617"/>
      <c r="BW42" s="1763"/>
      <c r="BX42" s="815"/>
      <c r="BY42" s="1617"/>
      <c r="BZ42" s="1617"/>
      <c r="CA42" s="815"/>
      <c r="CB42" s="815"/>
      <c r="CC42" s="815"/>
      <c r="CD42" s="815"/>
      <c r="CE42" s="1617"/>
      <c r="CG42" s="1698"/>
      <c r="CH42" s="1618" t="s">
        <v>2026</v>
      </c>
      <c r="CI42" s="1619">
        <v>259763252</v>
      </c>
      <c r="CJ42" s="1619">
        <v>231775544</v>
      </c>
      <c r="CK42" s="1619">
        <v>238940810</v>
      </c>
      <c r="CL42" s="1620">
        <v>237422349</v>
      </c>
      <c r="CM42" s="1619">
        <v>247887705</v>
      </c>
      <c r="CN42" s="1621">
        <v>245886908</v>
      </c>
      <c r="CO42" s="1620">
        <v>228882375</v>
      </c>
      <c r="CP42" s="1619">
        <v>266879518</v>
      </c>
      <c r="CQ42" s="1621">
        <v>243068883.33333334</v>
      </c>
      <c r="CR42" s="1619">
        <v>277443883.33333337</v>
      </c>
      <c r="CS42" s="1619">
        <v>276179883.33333337</v>
      </c>
      <c r="CT42" s="1619">
        <v>284131883.33333337</v>
      </c>
      <c r="CU42" s="1622">
        <f t="shared" si="1"/>
        <v>3038262994.333334</v>
      </c>
      <c r="CV42" s="1619">
        <v>295241900</v>
      </c>
      <c r="CW42" s="1619">
        <v>251221900</v>
      </c>
      <c r="CX42" s="1619">
        <v>267431900</v>
      </c>
      <c r="CY42" s="1620">
        <v>291101900</v>
      </c>
      <c r="CZ42" s="1619">
        <v>256201900</v>
      </c>
      <c r="DA42" s="1621">
        <v>274651900</v>
      </c>
      <c r="DB42" s="1620">
        <v>254401900</v>
      </c>
      <c r="DC42" s="1619">
        <v>250619900</v>
      </c>
      <c r="DD42" s="1621">
        <v>259151900</v>
      </c>
      <c r="DE42" s="1619">
        <v>242501900</v>
      </c>
      <c r="DF42" s="1619">
        <v>273978900</v>
      </c>
      <c r="DG42" s="1619">
        <v>247751900</v>
      </c>
      <c r="DH42" s="1622">
        <f t="shared" si="2"/>
        <v>3164257800</v>
      </c>
      <c r="DI42" s="1619">
        <v>289214480</v>
      </c>
      <c r="DJ42" s="1619">
        <v>245182480</v>
      </c>
      <c r="DK42" s="1619">
        <v>264692480</v>
      </c>
      <c r="DL42" s="1620">
        <v>255966480</v>
      </c>
      <c r="DM42" s="1619">
        <v>275666480</v>
      </c>
      <c r="DN42" s="1621">
        <v>276816480</v>
      </c>
      <c r="DO42" s="1620">
        <v>267666480</v>
      </c>
      <c r="DP42" s="1619">
        <v>251384480</v>
      </c>
      <c r="DQ42" s="1621">
        <v>259916480</v>
      </c>
      <c r="DR42" s="1619">
        <v>243266480</v>
      </c>
      <c r="DS42" s="1619">
        <v>256343480</v>
      </c>
      <c r="DT42" s="1619">
        <v>281516480</v>
      </c>
      <c r="DU42" s="1622">
        <f t="shared" si="3"/>
        <v>3167632760</v>
      </c>
      <c r="DV42" s="1619">
        <v>290185440</v>
      </c>
      <c r="DW42" s="1619">
        <v>246170440</v>
      </c>
      <c r="DX42" s="1619">
        <v>262380440</v>
      </c>
      <c r="DY42" s="1620">
        <v>250257440</v>
      </c>
      <c r="DZ42" s="1619">
        <v>263457440</v>
      </c>
      <c r="EA42" s="1621">
        <v>258007440</v>
      </c>
      <c r="EB42" s="1620">
        <v>263157440</v>
      </c>
      <c r="EC42" s="1619">
        <v>259375440</v>
      </c>
      <c r="ED42" s="1621">
        <v>267907440</v>
      </c>
      <c r="EE42" s="1619">
        <v>244257440</v>
      </c>
      <c r="EF42" s="1619">
        <v>260734440</v>
      </c>
      <c r="EG42" s="1619">
        <v>264507440</v>
      </c>
      <c r="EH42" s="1622">
        <f t="shared" si="4"/>
        <v>3130398280</v>
      </c>
      <c r="EI42" s="1493"/>
      <c r="EJ42" s="1618" t="s">
        <v>2026</v>
      </c>
      <c r="EK42" s="1619">
        <v>0</v>
      </c>
      <c r="EL42" s="1619">
        <v>0</v>
      </c>
      <c r="EM42" s="1619">
        <v>0</v>
      </c>
      <c r="EN42" s="1620">
        <v>0</v>
      </c>
      <c r="EO42" s="1619">
        <v>0</v>
      </c>
      <c r="EP42" s="1621">
        <v>0</v>
      </c>
      <c r="EQ42" s="1620">
        <v>0</v>
      </c>
      <c r="ER42" s="1619">
        <v>2172000</v>
      </c>
      <c r="ES42" s="1621">
        <v>0</v>
      </c>
      <c r="ET42" s="1619">
        <v>0</v>
      </c>
      <c r="EU42" s="1619">
        <v>0</v>
      </c>
      <c r="EV42" s="1619">
        <v>0</v>
      </c>
      <c r="EW42" s="1622">
        <v>2172000</v>
      </c>
      <c r="EX42" s="1619">
        <v>0</v>
      </c>
      <c r="EY42" s="1619">
        <v>0</v>
      </c>
      <c r="EZ42" s="1619">
        <v>0</v>
      </c>
      <c r="FA42" s="1619">
        <v>0</v>
      </c>
      <c r="FB42" s="1619">
        <v>0</v>
      </c>
      <c r="FC42" s="1619">
        <v>0</v>
      </c>
      <c r="FD42" s="1619">
        <v>0</v>
      </c>
      <c r="FE42" s="1619">
        <v>0</v>
      </c>
      <c r="FF42" s="1619">
        <v>0</v>
      </c>
      <c r="FG42" s="1619">
        <v>0</v>
      </c>
      <c r="FH42" s="1619">
        <v>0</v>
      </c>
      <c r="FI42" s="1619">
        <v>0</v>
      </c>
      <c r="FJ42" s="1622">
        <v>0</v>
      </c>
      <c r="FK42" s="1619">
        <v>0</v>
      </c>
      <c r="FL42" s="1619">
        <v>0</v>
      </c>
      <c r="FM42" s="1619">
        <v>0</v>
      </c>
      <c r="FN42" s="1620">
        <v>0</v>
      </c>
      <c r="FO42" s="1619">
        <v>0</v>
      </c>
      <c r="FP42" s="1621">
        <v>0</v>
      </c>
      <c r="FQ42" s="1620">
        <v>0</v>
      </c>
      <c r="FR42" s="1619">
        <v>0</v>
      </c>
      <c r="FS42" s="1621">
        <v>0</v>
      </c>
      <c r="FT42" s="1619">
        <v>0</v>
      </c>
      <c r="FU42" s="1619">
        <v>0</v>
      </c>
      <c r="FV42" s="1619">
        <v>0</v>
      </c>
      <c r="FW42" s="1622">
        <v>0</v>
      </c>
      <c r="FX42" s="1619">
        <v>0</v>
      </c>
      <c r="FY42" s="1619">
        <v>0</v>
      </c>
      <c r="FZ42" s="1619">
        <v>0</v>
      </c>
      <c r="GA42" s="1620">
        <v>0</v>
      </c>
      <c r="GB42" s="1619">
        <v>0</v>
      </c>
      <c r="GC42" s="1621">
        <v>0</v>
      </c>
      <c r="GD42" s="1620">
        <v>0</v>
      </c>
      <c r="GE42" s="1619">
        <v>0</v>
      </c>
      <c r="GF42" s="1621">
        <v>0</v>
      </c>
      <c r="GG42" s="1619">
        <v>0</v>
      </c>
      <c r="GH42" s="1619">
        <v>0</v>
      </c>
      <c r="GI42" s="1619">
        <v>0</v>
      </c>
      <c r="GJ42" s="1622">
        <v>0</v>
      </c>
      <c r="GL42" s="1652"/>
      <c r="GM42" s="1748" t="s">
        <v>2982</v>
      </c>
      <c r="GN42" s="1714" t="s">
        <v>2983</v>
      </c>
      <c r="GO42" s="1711" t="s">
        <v>2946</v>
      </c>
      <c r="GP42" s="1711" t="s">
        <v>2932</v>
      </c>
      <c r="GQ42" s="1749">
        <v>12</v>
      </c>
      <c r="GR42" s="1711" t="s">
        <v>2944</v>
      </c>
      <c r="GS42" s="1712" t="s">
        <v>2984</v>
      </c>
      <c r="GT42" s="1660">
        <v>250000</v>
      </c>
      <c r="GU42" s="1660"/>
      <c r="GV42" s="1660"/>
      <c r="GW42" s="1660"/>
      <c r="GX42" s="1661"/>
      <c r="GY42" s="1660">
        <v>94600</v>
      </c>
      <c r="GZ42" s="1661">
        <v>155400</v>
      </c>
      <c r="HA42" s="1661"/>
      <c r="HB42" s="1661"/>
      <c r="HC42" s="1660"/>
      <c r="HD42" s="1660"/>
      <c r="HE42" s="1660"/>
      <c r="HF42" s="1660"/>
      <c r="HG42" s="1660">
        <v>370000</v>
      </c>
      <c r="HH42" s="1660"/>
      <c r="HI42" s="1660"/>
      <c r="HJ42" s="1660"/>
      <c r="HK42" s="1660">
        <v>270000</v>
      </c>
      <c r="HL42" s="1660"/>
      <c r="HM42" s="1660"/>
      <c r="HN42" s="1660">
        <v>100000</v>
      </c>
      <c r="HO42" s="1660"/>
      <c r="HP42" s="1660"/>
      <c r="HQ42" s="1660"/>
      <c r="HR42" s="1660"/>
      <c r="HS42" s="1660"/>
      <c r="HT42" s="1660">
        <v>0</v>
      </c>
      <c r="HU42" s="1660"/>
      <c r="HV42" s="1660"/>
      <c r="HW42" s="1660"/>
      <c r="HX42" s="1660"/>
      <c r="HY42" s="1660"/>
      <c r="HZ42" s="1660"/>
      <c r="IA42" s="1660"/>
      <c r="IB42" s="1660"/>
      <c r="IC42" s="1660"/>
      <c r="ID42" s="1660"/>
      <c r="IE42" s="1660"/>
      <c r="IF42" s="1660"/>
      <c r="IG42" s="1660">
        <v>0</v>
      </c>
      <c r="IH42" s="1660"/>
      <c r="II42" s="1660"/>
      <c r="IJ42" s="1660"/>
      <c r="IK42" s="1660"/>
      <c r="IL42" s="1660"/>
      <c r="IM42" s="1660"/>
      <c r="IN42" s="1660"/>
      <c r="IO42" s="1660"/>
      <c r="IP42" s="1660"/>
      <c r="IQ42" s="1660"/>
      <c r="IR42" s="1660"/>
      <c r="IS42" s="1660"/>
      <c r="IT42" s="1662">
        <v>620000</v>
      </c>
      <c r="IU42" s="1662">
        <v>370000</v>
      </c>
      <c r="IV42" s="1713"/>
    </row>
    <row r="43" spans="2:256" s="1498" customFormat="1" ht="16.5">
      <c r="B43" s="1493"/>
      <c r="C43" s="1493" t="s">
        <v>2985</v>
      </c>
      <c r="D43" s="1607"/>
      <c r="E43" s="1608"/>
      <c r="F43" s="1609"/>
      <c r="G43" s="1610"/>
      <c r="H43" s="1609"/>
      <c r="I43" s="1609"/>
      <c r="J43" s="1610"/>
      <c r="K43" s="1609"/>
      <c r="L43" s="1609"/>
      <c r="M43" s="1775"/>
      <c r="N43" s="1615"/>
      <c r="O43" s="1615"/>
      <c r="P43" s="1615"/>
      <c r="Q43" s="1612">
        <f t="shared" si="6"/>
        <v>0</v>
      </c>
      <c r="R43" s="1613"/>
      <c r="S43" s="1589"/>
      <c r="T43" s="1611"/>
      <c r="U43" s="1589"/>
      <c r="V43" s="1589"/>
      <c r="W43" s="1611"/>
      <c r="X43" s="1589"/>
      <c r="Y43" s="1589"/>
      <c r="Z43" s="1611"/>
      <c r="AA43" s="1589"/>
      <c r="AB43" s="1589"/>
      <c r="AC43" s="1589"/>
      <c r="AD43" s="1612">
        <f t="shared" si="29"/>
        <v>0</v>
      </c>
      <c r="AE43" s="1613"/>
      <c r="AF43" s="1589"/>
      <c r="AG43" s="1611"/>
      <c r="AH43" s="1589"/>
      <c r="AI43" s="1589"/>
      <c r="AJ43" s="1611"/>
      <c r="AK43" s="1589"/>
      <c r="AL43" s="1589"/>
      <c r="AM43" s="1611"/>
      <c r="AN43" s="1589"/>
      <c r="AO43" s="1589"/>
      <c r="AP43" s="1589"/>
      <c r="AQ43" s="1612">
        <f t="shared" si="31"/>
        <v>0</v>
      </c>
      <c r="AR43" s="1613"/>
      <c r="AS43" s="1589"/>
      <c r="AT43" s="1611"/>
      <c r="AU43" s="1589"/>
      <c r="AV43" s="1589"/>
      <c r="AW43" s="1611"/>
      <c r="AX43" s="1589"/>
      <c r="AY43" s="1589"/>
      <c r="AZ43" s="1611"/>
      <c r="BA43" s="1589"/>
      <c r="BB43" s="1589"/>
      <c r="BC43" s="1589"/>
      <c r="BD43" s="1614">
        <f t="shared" si="33"/>
        <v>0</v>
      </c>
      <c r="BE43" s="1499"/>
      <c r="BF43" s="1617">
        <f t="shared" si="34"/>
        <v>20028.315805007092</v>
      </c>
      <c r="BG43" s="1497" t="s">
        <v>359</v>
      </c>
      <c r="BH43" s="1499">
        <v>1900</v>
      </c>
      <c r="BI43" s="1499">
        <v>100</v>
      </c>
      <c r="BJ43" s="1646">
        <v>7.9165303688475595</v>
      </c>
      <c r="BK43" s="1499">
        <v>1774.5039833333333</v>
      </c>
      <c r="BL43" s="1499">
        <f>BH43-BK43</f>
        <v>125.49601666666672</v>
      </c>
      <c r="BM43" s="1777">
        <f>BJ43/BI43*BL43</f>
        <v>9.9349302711106642</v>
      </c>
      <c r="BN43" s="1778">
        <v>1.2665472637871003</v>
      </c>
      <c r="BO43" s="1545"/>
      <c r="BP43" s="1617"/>
      <c r="BQ43" s="815"/>
      <c r="BR43" s="815"/>
      <c r="BS43" s="815"/>
      <c r="BT43" s="1776"/>
      <c r="BU43" s="1617" t="s">
        <v>2986</v>
      </c>
      <c r="BV43" s="1617" t="s">
        <v>2987</v>
      </c>
      <c r="BW43" s="1763"/>
      <c r="BX43" s="815"/>
      <c r="BY43" s="1617"/>
      <c r="BZ43" s="1617"/>
      <c r="CA43" s="815"/>
      <c r="CB43" s="815"/>
      <c r="CC43" s="815"/>
      <c r="CD43" s="815"/>
      <c r="CE43" s="1617"/>
      <c r="CG43" s="1559"/>
      <c r="CH43" s="1716" t="s">
        <v>2028</v>
      </c>
      <c r="CI43" s="1648">
        <v>866061</v>
      </c>
      <c r="CJ43" s="1648">
        <v>1567345</v>
      </c>
      <c r="CK43" s="1648">
        <v>1153700</v>
      </c>
      <c r="CL43" s="1649">
        <v>399492</v>
      </c>
      <c r="CM43" s="1648">
        <v>600527</v>
      </c>
      <c r="CN43" s="1650">
        <v>3375423</v>
      </c>
      <c r="CO43" s="1649">
        <v>5708809</v>
      </c>
      <c r="CP43" s="1648">
        <v>1977178</v>
      </c>
      <c r="CQ43" s="1650">
        <v>8700000</v>
      </c>
      <c r="CR43" s="1648">
        <v>10130000</v>
      </c>
      <c r="CS43" s="1648">
        <v>9200000</v>
      </c>
      <c r="CT43" s="1648">
        <v>10145708</v>
      </c>
      <c r="CU43" s="1651">
        <f t="shared" si="1"/>
        <v>53824243</v>
      </c>
      <c r="CV43" s="1648">
        <v>2000000</v>
      </c>
      <c r="CW43" s="1648">
        <v>4673000</v>
      </c>
      <c r="CX43" s="1648">
        <v>8933000</v>
      </c>
      <c r="CY43" s="1649">
        <v>6395000</v>
      </c>
      <c r="CZ43" s="1648">
        <v>9850000</v>
      </c>
      <c r="DA43" s="1650">
        <v>9813000</v>
      </c>
      <c r="DB43" s="1649">
        <v>8650000</v>
      </c>
      <c r="DC43" s="1648">
        <v>6428000</v>
      </c>
      <c r="DD43" s="1650">
        <v>10220000</v>
      </c>
      <c r="DE43" s="1648">
        <v>8578000</v>
      </c>
      <c r="DF43" s="1648">
        <v>9743000</v>
      </c>
      <c r="DG43" s="1648">
        <v>16644000</v>
      </c>
      <c r="DH43" s="1651">
        <f t="shared" si="2"/>
        <v>101927000</v>
      </c>
      <c r="DI43" s="1648">
        <v>2000000</v>
      </c>
      <c r="DJ43" s="1648">
        <v>4752200</v>
      </c>
      <c r="DK43" s="1648">
        <v>9267200</v>
      </c>
      <c r="DL43" s="1649">
        <v>7046600</v>
      </c>
      <c r="DM43" s="1648">
        <v>4929200</v>
      </c>
      <c r="DN43" s="1650">
        <v>9972200</v>
      </c>
      <c r="DO43" s="1649">
        <v>8350000</v>
      </c>
      <c r="DP43" s="1648">
        <v>6507200</v>
      </c>
      <c r="DQ43" s="1650">
        <v>10379200</v>
      </c>
      <c r="DR43" s="1648">
        <v>8678000</v>
      </c>
      <c r="DS43" s="1648">
        <v>9822200</v>
      </c>
      <c r="DT43" s="1648">
        <v>9603200</v>
      </c>
      <c r="DU43" s="1651">
        <f t="shared" si="3"/>
        <v>91307200</v>
      </c>
      <c r="DV43" s="1648">
        <v>2000000</v>
      </c>
      <c r="DW43" s="1648">
        <v>4474600</v>
      </c>
      <c r="DX43" s="1648">
        <v>8917200</v>
      </c>
      <c r="DY43" s="1649">
        <v>7008600</v>
      </c>
      <c r="DZ43" s="1648">
        <v>9350000</v>
      </c>
      <c r="EA43" s="1650">
        <v>10044600</v>
      </c>
      <c r="EB43" s="1649">
        <v>8350000</v>
      </c>
      <c r="EC43" s="1648">
        <v>5928000</v>
      </c>
      <c r="ED43" s="1650">
        <v>9800000</v>
      </c>
      <c r="EE43" s="1648">
        <v>8891600</v>
      </c>
      <c r="EF43" s="1648">
        <v>9544600</v>
      </c>
      <c r="EG43" s="1648">
        <v>9024000</v>
      </c>
      <c r="EH43" s="1651">
        <f t="shared" si="4"/>
        <v>93333200</v>
      </c>
      <c r="EI43" s="1493"/>
      <c r="EJ43" s="1716" t="s">
        <v>2028</v>
      </c>
      <c r="EK43" s="1648">
        <v>126364</v>
      </c>
      <c r="EL43" s="1648">
        <v>-570220</v>
      </c>
      <c r="EM43" s="1648">
        <v>-50890</v>
      </c>
      <c r="EN43" s="1649">
        <v>-136440</v>
      </c>
      <c r="EO43" s="1648">
        <v>467514</v>
      </c>
      <c r="EP43" s="1650">
        <v>2440276</v>
      </c>
      <c r="EQ43" s="1649">
        <v>976418</v>
      </c>
      <c r="ER43" s="1648">
        <v>50000</v>
      </c>
      <c r="ES43" s="1650">
        <v>2509140</v>
      </c>
      <c r="ET43" s="1648">
        <v>1885140</v>
      </c>
      <c r="EU43" s="1648">
        <v>2009140</v>
      </c>
      <c r="EV43" s="1648">
        <v>2169140</v>
      </c>
      <c r="EW43" s="1651">
        <v>11875582</v>
      </c>
      <c r="EX43" s="1648">
        <v>400000</v>
      </c>
      <c r="EY43" s="1648">
        <v>1788000</v>
      </c>
      <c r="EZ43" s="1648">
        <v>5830000</v>
      </c>
      <c r="FA43" s="1648">
        <v>5077000</v>
      </c>
      <c r="FB43" s="1648">
        <v>5552000</v>
      </c>
      <c r="FC43" s="1648">
        <v>500000</v>
      </c>
      <c r="FD43" s="1648">
        <v>2609000</v>
      </c>
      <c r="FE43" s="1648">
        <v>0</v>
      </c>
      <c r="FF43" s="1648">
        <v>500000</v>
      </c>
      <c r="FG43" s="1648">
        <v>0</v>
      </c>
      <c r="FH43" s="1648">
        <v>1338000</v>
      </c>
      <c r="FI43" s="1648">
        <v>4083000</v>
      </c>
      <c r="FJ43" s="1651">
        <v>27677000</v>
      </c>
      <c r="FK43" s="1648">
        <v>400000</v>
      </c>
      <c r="FL43" s="1648">
        <v>1788000</v>
      </c>
      <c r="FM43" s="1648">
        <v>5830000</v>
      </c>
      <c r="FN43" s="1649">
        <v>5077000</v>
      </c>
      <c r="FO43" s="1648">
        <v>5552000</v>
      </c>
      <c r="FP43" s="1650">
        <v>500000</v>
      </c>
      <c r="FQ43" s="1649">
        <v>2609000</v>
      </c>
      <c r="FR43" s="1648">
        <v>0</v>
      </c>
      <c r="FS43" s="1650">
        <v>500000</v>
      </c>
      <c r="FT43" s="1648">
        <v>0</v>
      </c>
      <c r="FU43" s="1648">
        <v>1338000</v>
      </c>
      <c r="FV43" s="1648">
        <v>2883000</v>
      </c>
      <c r="FW43" s="1651">
        <v>26477000</v>
      </c>
      <c r="FX43" s="1648">
        <v>400000</v>
      </c>
      <c r="FY43" s="1648">
        <v>1788000</v>
      </c>
      <c r="FZ43" s="1648">
        <v>5830000</v>
      </c>
      <c r="GA43" s="1649">
        <v>5077000</v>
      </c>
      <c r="GB43" s="1648">
        <v>5552000</v>
      </c>
      <c r="GC43" s="1650">
        <v>500000</v>
      </c>
      <c r="GD43" s="1649">
        <v>2609000</v>
      </c>
      <c r="GE43" s="1648">
        <v>0</v>
      </c>
      <c r="GF43" s="1650">
        <v>500000</v>
      </c>
      <c r="GG43" s="1648">
        <v>0</v>
      </c>
      <c r="GH43" s="1648">
        <v>1338000</v>
      </c>
      <c r="GI43" s="1648">
        <v>2883000</v>
      </c>
      <c r="GJ43" s="1651">
        <v>26477000</v>
      </c>
      <c r="GL43" s="1623"/>
      <c r="GM43" s="1746" t="s">
        <v>2988</v>
      </c>
      <c r="GN43" s="1728" t="s">
        <v>2989</v>
      </c>
      <c r="GO43" s="1705" t="s">
        <v>2990</v>
      </c>
      <c r="GP43" s="1705" t="s">
        <v>2932</v>
      </c>
      <c r="GQ43" s="1747">
        <v>2</v>
      </c>
      <c r="GR43" s="1705" t="s">
        <v>2947</v>
      </c>
      <c r="GS43" s="1706" t="s">
        <v>2962</v>
      </c>
      <c r="GT43" s="1631">
        <v>120000</v>
      </c>
      <c r="GU43" s="1632"/>
      <c r="GV43" s="1631"/>
      <c r="GW43" s="1631"/>
      <c r="GX43" s="1631"/>
      <c r="GY43" s="1631"/>
      <c r="GZ43" s="1631"/>
      <c r="HA43" s="1631"/>
      <c r="HB43" s="1631"/>
      <c r="HC43" s="1631">
        <v>120000</v>
      </c>
      <c r="HD43" s="1631"/>
      <c r="HE43" s="1631"/>
      <c r="HF43" s="1631"/>
      <c r="HG43" s="1631">
        <v>0</v>
      </c>
      <c r="HH43" s="1631"/>
      <c r="HI43" s="1631"/>
      <c r="HJ43" s="1631"/>
      <c r="HK43" s="1631"/>
      <c r="HL43" s="1631"/>
      <c r="HM43" s="1631"/>
      <c r="HN43" s="1631"/>
      <c r="HO43" s="1631"/>
      <c r="HP43" s="1631"/>
      <c r="HQ43" s="1631"/>
      <c r="HR43" s="1631"/>
      <c r="HS43" s="1631"/>
      <c r="HT43" s="1631">
        <v>120000</v>
      </c>
      <c r="HU43" s="1631"/>
      <c r="HV43" s="1631"/>
      <c r="HW43" s="1631">
        <v>120000</v>
      </c>
      <c r="HX43" s="1631"/>
      <c r="HY43" s="1631"/>
      <c r="HZ43" s="1631"/>
      <c r="IA43" s="1631"/>
      <c r="IB43" s="1631"/>
      <c r="IC43" s="1631"/>
      <c r="ID43" s="1631"/>
      <c r="IE43" s="1631"/>
      <c r="IF43" s="1631"/>
      <c r="IG43" s="1631">
        <v>0</v>
      </c>
      <c r="IH43" s="1631"/>
      <c r="II43" s="1631"/>
      <c r="IJ43" s="1631"/>
      <c r="IK43" s="1631"/>
      <c r="IL43" s="1631"/>
      <c r="IM43" s="1631"/>
      <c r="IN43" s="1631"/>
      <c r="IO43" s="1631"/>
      <c r="IP43" s="1631"/>
      <c r="IQ43" s="1631"/>
      <c r="IR43" s="1631"/>
      <c r="IS43" s="1631"/>
      <c r="IT43" s="1633">
        <v>240000</v>
      </c>
      <c r="IU43" s="1633">
        <v>120000</v>
      </c>
      <c r="IV43" s="1707"/>
    </row>
    <row r="44" spans="2:256" ht="16.5">
      <c r="C44" s="1493" t="s">
        <v>2991</v>
      </c>
      <c r="D44" s="1607"/>
      <c r="E44" s="1608"/>
      <c r="F44" s="1609"/>
      <c r="G44" s="1610"/>
      <c r="H44" s="1609"/>
      <c r="I44" s="1609"/>
      <c r="J44" s="1610"/>
      <c r="K44" s="1609"/>
      <c r="L44" s="1609"/>
      <c r="M44" s="1775"/>
      <c r="N44" s="1615"/>
      <c r="O44" s="1615"/>
      <c r="P44" s="1615"/>
      <c r="Q44" s="1612">
        <f t="shared" si="6"/>
        <v>0</v>
      </c>
      <c r="R44" s="1613"/>
      <c r="S44" s="1589"/>
      <c r="T44" s="1611"/>
      <c r="U44" s="1589"/>
      <c r="V44" s="1589"/>
      <c r="W44" s="1611"/>
      <c r="X44" s="1589"/>
      <c r="Y44" s="1589"/>
      <c r="Z44" s="1611"/>
      <c r="AA44" s="1589"/>
      <c r="AB44" s="1589"/>
      <c r="AC44" s="1589"/>
      <c r="AD44" s="1612">
        <f t="shared" si="29"/>
        <v>0</v>
      </c>
      <c r="AE44" s="1613"/>
      <c r="AF44" s="1589"/>
      <c r="AG44" s="1611"/>
      <c r="AH44" s="1589"/>
      <c r="AI44" s="1589"/>
      <c r="AJ44" s="1611"/>
      <c r="AK44" s="1589"/>
      <c r="AL44" s="1589"/>
      <c r="AM44" s="1611"/>
      <c r="AN44" s="1589"/>
      <c r="AO44" s="1589"/>
      <c r="AP44" s="1589"/>
      <c r="AQ44" s="1612">
        <f t="shared" si="31"/>
        <v>0</v>
      </c>
      <c r="AR44" s="1613"/>
      <c r="AS44" s="1589"/>
      <c r="AT44" s="1611"/>
      <c r="AU44" s="1589"/>
      <c r="AV44" s="1589"/>
      <c r="AW44" s="1611"/>
      <c r="AX44" s="1589"/>
      <c r="AY44" s="1589"/>
      <c r="AZ44" s="1611"/>
      <c r="BA44" s="1589"/>
      <c r="BB44" s="1589"/>
      <c r="BC44" s="1589"/>
      <c r="BD44" s="1614">
        <f t="shared" si="33"/>
        <v>0</v>
      </c>
      <c r="BE44" s="1589"/>
      <c r="BF44" s="1615">
        <f t="shared" si="34"/>
        <v>140.65315169999985</v>
      </c>
      <c r="BG44" s="1497" t="s">
        <v>361</v>
      </c>
      <c r="BH44" s="1646">
        <v>20</v>
      </c>
      <c r="BI44" s="1499">
        <v>1</v>
      </c>
      <c r="BJ44" s="1646">
        <v>2.4843330680637457</v>
      </c>
      <c r="BK44" s="1646">
        <v>21.090783333333334</v>
      </c>
      <c r="BL44" s="1646">
        <f>BH44-BK44</f>
        <v>-1.0907833333333343</v>
      </c>
      <c r="BM44" s="1777">
        <f>BJ44/BI44*BL44</f>
        <v>-2.7098691050928019</v>
      </c>
      <c r="BN44" s="1778">
        <v>5.735763717606047</v>
      </c>
      <c r="BO44" s="1545"/>
      <c r="BP44" s="1617"/>
      <c r="BQ44" s="815"/>
      <c r="BR44" s="815"/>
      <c r="BS44" s="815"/>
      <c r="BT44" s="1776" t="s">
        <v>2992</v>
      </c>
      <c r="BU44" s="1617">
        <v>50160.513818181818</v>
      </c>
      <c r="BV44" s="1617">
        <f>BK50</f>
        <v>50950.739000000001</v>
      </c>
      <c r="BW44" s="1763"/>
      <c r="BY44" s="1617"/>
      <c r="BZ44" s="1617"/>
      <c r="CD44" s="815"/>
      <c r="CE44" s="1617"/>
      <c r="CF44" s="1493"/>
      <c r="CG44" s="1559"/>
      <c r="CH44" s="1716" t="s">
        <v>2031</v>
      </c>
      <c r="CI44" s="1648">
        <v>17558633</v>
      </c>
      <c r="CJ44" s="1648">
        <v>18719225</v>
      </c>
      <c r="CK44" s="1648">
        <v>15709217</v>
      </c>
      <c r="CL44" s="1649">
        <v>12667879</v>
      </c>
      <c r="CM44" s="1648">
        <v>9612911</v>
      </c>
      <c r="CN44" s="1650">
        <v>9987032</v>
      </c>
      <c r="CO44" s="1649">
        <v>14161771</v>
      </c>
      <c r="CP44" s="1648">
        <v>14007583</v>
      </c>
      <c r="CQ44" s="1650">
        <v>16869466.666666668</v>
      </c>
      <c r="CR44" s="1648">
        <v>17219466.666666668</v>
      </c>
      <c r="CS44" s="1648">
        <v>16869466.666666668</v>
      </c>
      <c r="CT44" s="1648">
        <v>17869466.666666668</v>
      </c>
      <c r="CU44" s="1651">
        <f t="shared" si="1"/>
        <v>181252117.66666666</v>
      </c>
      <c r="CV44" s="1648">
        <v>18006581.666666668</v>
      </c>
      <c r="CW44" s="1648">
        <v>17936581.666666668</v>
      </c>
      <c r="CX44" s="1648">
        <v>18216581.666666668</v>
      </c>
      <c r="CY44" s="1649">
        <v>18006581.666666668</v>
      </c>
      <c r="CZ44" s="1648">
        <v>17936581.666666668</v>
      </c>
      <c r="DA44" s="1650">
        <v>18006581.666666668</v>
      </c>
      <c r="DB44" s="1649">
        <v>18006581.666666668</v>
      </c>
      <c r="DC44" s="1648">
        <v>17936581.666666668</v>
      </c>
      <c r="DD44" s="1650">
        <v>18006581.666666668</v>
      </c>
      <c r="DE44" s="1648">
        <v>18146581.666666668</v>
      </c>
      <c r="DF44" s="1648">
        <v>17936581.666666668</v>
      </c>
      <c r="DG44" s="1648">
        <v>18006581.666666668</v>
      </c>
      <c r="DH44" s="1651">
        <f t="shared" si="2"/>
        <v>216148979.99999997</v>
      </c>
      <c r="DI44" s="1648">
        <v>18981666.666666668</v>
      </c>
      <c r="DJ44" s="1648">
        <v>18911666.666666668</v>
      </c>
      <c r="DK44" s="1648">
        <v>19121666.666666668</v>
      </c>
      <c r="DL44" s="1649">
        <v>18981666.666666668</v>
      </c>
      <c r="DM44" s="1648">
        <v>18911666.666666668</v>
      </c>
      <c r="DN44" s="1650">
        <v>18981666.666666668</v>
      </c>
      <c r="DO44" s="1649">
        <v>18981666.666666668</v>
      </c>
      <c r="DP44" s="1648">
        <v>18911666.666666668</v>
      </c>
      <c r="DQ44" s="1650">
        <v>18981666.666666668</v>
      </c>
      <c r="DR44" s="1648">
        <v>19121666.666666668</v>
      </c>
      <c r="DS44" s="1648">
        <v>18911666.666666668</v>
      </c>
      <c r="DT44" s="1648">
        <v>18981666.666666668</v>
      </c>
      <c r="DU44" s="1651">
        <f t="shared" si="3"/>
        <v>227779999.99999997</v>
      </c>
      <c r="DV44" s="1648">
        <v>18981666.666666668</v>
      </c>
      <c r="DW44" s="1648">
        <v>18911666.666666668</v>
      </c>
      <c r="DX44" s="1648">
        <v>19121666.666666668</v>
      </c>
      <c r="DY44" s="1649">
        <v>18981666.666666668</v>
      </c>
      <c r="DZ44" s="1648">
        <v>18911666.666666668</v>
      </c>
      <c r="EA44" s="1650">
        <v>18981666.666666668</v>
      </c>
      <c r="EB44" s="1649">
        <v>18981666.666666668</v>
      </c>
      <c r="EC44" s="1648">
        <v>18911666.666666668</v>
      </c>
      <c r="ED44" s="1650">
        <v>18981666.666666668</v>
      </c>
      <c r="EE44" s="1648">
        <v>19121666.666666668</v>
      </c>
      <c r="EF44" s="1648">
        <v>18911666.666666668</v>
      </c>
      <c r="EG44" s="1648">
        <v>18981666.666666668</v>
      </c>
      <c r="EH44" s="1651">
        <f t="shared" si="4"/>
        <v>227779999.99999997</v>
      </c>
      <c r="EJ44" s="1716" t="s">
        <v>2031</v>
      </c>
      <c r="EK44" s="1648">
        <v>2218876</v>
      </c>
      <c r="EL44" s="1648">
        <v>1903803</v>
      </c>
      <c r="EM44" s="1648">
        <v>1057100</v>
      </c>
      <c r="EN44" s="1649">
        <v>890550</v>
      </c>
      <c r="EO44" s="1648">
        <v>796238</v>
      </c>
      <c r="EP44" s="1650">
        <v>1415210</v>
      </c>
      <c r="EQ44" s="1649">
        <v>1341400</v>
      </c>
      <c r="ER44" s="1648">
        <v>1141460</v>
      </c>
      <c r="ES44" s="1650">
        <v>1587900</v>
      </c>
      <c r="ET44" s="1648">
        <v>1867900</v>
      </c>
      <c r="EU44" s="1648">
        <v>1587900</v>
      </c>
      <c r="EV44" s="1648">
        <v>1587900</v>
      </c>
      <c r="EW44" s="1651">
        <v>17396237</v>
      </c>
      <c r="EX44" s="1648">
        <v>1636944</v>
      </c>
      <c r="EY44" s="1648">
        <v>1596944</v>
      </c>
      <c r="EZ44" s="1648">
        <v>1706944</v>
      </c>
      <c r="FA44" s="1648">
        <v>1636944</v>
      </c>
      <c r="FB44" s="1648">
        <v>1596944</v>
      </c>
      <c r="FC44" s="1648">
        <v>1636944</v>
      </c>
      <c r="FD44" s="1648">
        <v>1636944</v>
      </c>
      <c r="FE44" s="1648">
        <v>1596944</v>
      </c>
      <c r="FF44" s="1648">
        <v>1636944</v>
      </c>
      <c r="FG44" s="1648">
        <v>1636944</v>
      </c>
      <c r="FH44" s="1648">
        <v>1596944</v>
      </c>
      <c r="FI44" s="1648">
        <v>1636944</v>
      </c>
      <c r="FJ44" s="1651">
        <v>19553328</v>
      </c>
      <c r="FK44" s="1648">
        <v>1674444</v>
      </c>
      <c r="FL44" s="1648">
        <v>1634444</v>
      </c>
      <c r="FM44" s="1648">
        <v>1674444</v>
      </c>
      <c r="FN44" s="1649">
        <v>1674444</v>
      </c>
      <c r="FO44" s="1648">
        <v>1634444</v>
      </c>
      <c r="FP44" s="1650">
        <v>1674444</v>
      </c>
      <c r="FQ44" s="1649">
        <v>1674444</v>
      </c>
      <c r="FR44" s="1648">
        <v>1634444</v>
      </c>
      <c r="FS44" s="1650">
        <v>1674444</v>
      </c>
      <c r="FT44" s="1648">
        <v>1674444</v>
      </c>
      <c r="FU44" s="1648">
        <v>1634444</v>
      </c>
      <c r="FV44" s="1648">
        <v>1674444</v>
      </c>
      <c r="FW44" s="1651">
        <v>19933328</v>
      </c>
      <c r="FX44" s="1648">
        <v>1674444</v>
      </c>
      <c r="FY44" s="1648">
        <v>1634444</v>
      </c>
      <c r="FZ44" s="1648">
        <v>1674444</v>
      </c>
      <c r="GA44" s="1649">
        <v>1674444</v>
      </c>
      <c r="GB44" s="1648">
        <v>1634444</v>
      </c>
      <c r="GC44" s="1650">
        <v>1674444</v>
      </c>
      <c r="GD44" s="1649">
        <v>1674444</v>
      </c>
      <c r="GE44" s="1648">
        <v>1634444</v>
      </c>
      <c r="GF44" s="1650">
        <v>1674444</v>
      </c>
      <c r="GG44" s="1648">
        <v>1674444</v>
      </c>
      <c r="GH44" s="1648">
        <v>1634444</v>
      </c>
      <c r="GI44" s="1648">
        <v>1674444</v>
      </c>
      <c r="GJ44" s="1651">
        <v>19933328</v>
      </c>
      <c r="GL44" s="1652"/>
      <c r="GM44" s="1748" t="s">
        <v>2993</v>
      </c>
      <c r="GN44" s="1714" t="s">
        <v>2994</v>
      </c>
      <c r="GO44" s="1711" t="s">
        <v>1878</v>
      </c>
      <c r="GP44" s="1711" t="s">
        <v>2932</v>
      </c>
      <c r="GQ44" s="1749">
        <v>12</v>
      </c>
      <c r="GR44" s="1711" t="s">
        <v>2944</v>
      </c>
      <c r="GS44" s="1712">
        <v>20</v>
      </c>
      <c r="GT44" s="1660">
        <v>150000</v>
      </c>
      <c r="GU44" s="1660"/>
      <c r="GV44" s="1660">
        <v>42000</v>
      </c>
      <c r="GW44" s="1660"/>
      <c r="GX44" s="1660"/>
      <c r="GY44" s="1660"/>
      <c r="GZ44" s="1660">
        <v>84000</v>
      </c>
      <c r="HA44" s="1660">
        <v>14000</v>
      </c>
      <c r="HB44" s="1660"/>
      <c r="HC44" s="1660">
        <v>10000</v>
      </c>
      <c r="HD44" s="1660"/>
      <c r="HE44" s="1660"/>
      <c r="HF44" s="1660"/>
      <c r="HG44" s="1660">
        <v>0</v>
      </c>
      <c r="HH44" s="1660"/>
      <c r="HI44" s="1660"/>
      <c r="HJ44" s="1660"/>
      <c r="HK44" s="1660"/>
      <c r="HL44" s="1660"/>
      <c r="HM44" s="1660"/>
      <c r="HN44" s="1660"/>
      <c r="HO44" s="1660"/>
      <c r="HP44" s="1660"/>
      <c r="HQ44" s="1660"/>
      <c r="HR44" s="1660"/>
      <c r="HS44" s="1660"/>
      <c r="HT44" s="1660">
        <v>0</v>
      </c>
      <c r="HU44" s="1660"/>
      <c r="HV44" s="1660"/>
      <c r="HW44" s="1660"/>
      <c r="HX44" s="1660"/>
      <c r="HY44" s="1660"/>
      <c r="HZ44" s="1660"/>
      <c r="IA44" s="1660"/>
      <c r="IB44" s="1660"/>
      <c r="IC44" s="1660"/>
      <c r="ID44" s="1660"/>
      <c r="IE44" s="1660"/>
      <c r="IF44" s="1660"/>
      <c r="IG44" s="1660">
        <v>0</v>
      </c>
      <c r="IH44" s="1660"/>
      <c r="II44" s="1660"/>
      <c r="IJ44" s="1660"/>
      <c r="IK44" s="1660"/>
      <c r="IL44" s="1660"/>
      <c r="IM44" s="1660"/>
      <c r="IN44" s="1660"/>
      <c r="IO44" s="1660"/>
      <c r="IP44" s="1660"/>
      <c r="IQ44" s="1660"/>
      <c r="IR44" s="1660"/>
      <c r="IS44" s="1660"/>
      <c r="IT44" s="1662">
        <v>150000</v>
      </c>
      <c r="IU44" s="1662">
        <v>0</v>
      </c>
      <c r="IV44" s="1713"/>
    </row>
    <row r="45" spans="2:256" s="1498" customFormat="1" ht="16.5">
      <c r="B45" s="1565"/>
      <c r="C45" s="1565" t="s">
        <v>2995</v>
      </c>
      <c r="D45" s="1779"/>
      <c r="E45" s="1637">
        <v>1.7228000000000001</v>
      </c>
      <c r="F45" s="1638">
        <v>159.60895300000001</v>
      </c>
      <c r="G45" s="1639">
        <v>160.055274</v>
      </c>
      <c r="H45" s="1638">
        <v>161.980662</v>
      </c>
      <c r="I45" s="1638">
        <v>145.168857</v>
      </c>
      <c r="J45" s="1639">
        <v>149.150103</v>
      </c>
      <c r="K45" s="1638">
        <v>1.6213230000000001</v>
      </c>
      <c r="L45" s="1638">
        <v>1.519441</v>
      </c>
      <c r="M45" s="1780"/>
      <c r="N45" s="1781"/>
      <c r="O45" s="1781"/>
      <c r="P45" s="1781"/>
      <c r="Q45" s="1642">
        <f t="shared" si="6"/>
        <v>780.82741299999998</v>
      </c>
      <c r="R45" s="1643"/>
      <c r="S45" s="1641"/>
      <c r="T45" s="1640"/>
      <c r="U45" s="1641"/>
      <c r="V45" s="1781"/>
      <c r="W45" s="1640"/>
      <c r="X45" s="1641"/>
      <c r="Y45" s="1641"/>
      <c r="Z45" s="1640"/>
      <c r="AA45" s="1641"/>
      <c r="AB45" s="1641"/>
      <c r="AC45" s="1641"/>
      <c r="AD45" s="1642">
        <f t="shared" si="29"/>
        <v>0</v>
      </c>
      <c r="AE45" s="1643"/>
      <c r="AF45" s="1641"/>
      <c r="AG45" s="1640"/>
      <c r="AH45" s="1641"/>
      <c r="AI45" s="1641"/>
      <c r="AJ45" s="1640"/>
      <c r="AK45" s="1641"/>
      <c r="AL45" s="1641"/>
      <c r="AM45" s="1640"/>
      <c r="AN45" s="1641"/>
      <c r="AO45" s="1641"/>
      <c r="AP45" s="1641"/>
      <c r="AQ45" s="1642">
        <f t="shared" si="31"/>
        <v>0</v>
      </c>
      <c r="AR45" s="1643"/>
      <c r="AS45" s="1641"/>
      <c r="AT45" s="1640"/>
      <c r="AU45" s="1641"/>
      <c r="AV45" s="1641"/>
      <c r="AW45" s="1640"/>
      <c r="AX45" s="1641"/>
      <c r="AY45" s="1641"/>
      <c r="AZ45" s="1640"/>
      <c r="BA45" s="1641"/>
      <c r="BB45" s="1641"/>
      <c r="BC45" s="1641"/>
      <c r="BD45" s="1644">
        <f t="shared" si="33"/>
        <v>0</v>
      </c>
      <c r="BE45" s="1499"/>
      <c r="BF45" s="1617">
        <f t="shared" si="34"/>
        <v>2052.1269766901169</v>
      </c>
      <c r="BG45" s="1497" t="s">
        <v>2996</v>
      </c>
      <c r="BH45" s="1499">
        <v>2000</v>
      </c>
      <c r="BI45" s="1499">
        <v>100</v>
      </c>
      <c r="BJ45" s="1646">
        <v>8.5753946396947001</v>
      </c>
      <c r="BK45" s="1499">
        <v>2085.3147083333333</v>
      </c>
      <c r="BL45" s="1499">
        <f>BH45-BK45</f>
        <v>-85.314708333333328</v>
      </c>
      <c r="BM45" s="1777">
        <f>BJ45/BI45*BL45</f>
        <v>-7.316072925287834</v>
      </c>
      <c r="BN45" s="1778"/>
      <c r="BO45" s="1545"/>
      <c r="BP45" s="1617"/>
      <c r="BQ45" s="815"/>
      <c r="BR45" s="815"/>
      <c r="BS45" s="815"/>
      <c r="BT45" s="1776" t="s">
        <v>2997</v>
      </c>
      <c r="BU45" s="1617">
        <v>18852.622545454546</v>
      </c>
      <c r="BV45" s="1617">
        <f>BK51</f>
        <v>18325.267</v>
      </c>
      <c r="BW45" s="1763"/>
      <c r="BX45" s="815"/>
      <c r="BY45" s="1617"/>
      <c r="BZ45" s="1617"/>
      <c r="CA45" s="815"/>
      <c r="CB45" s="815"/>
      <c r="CC45" s="815"/>
      <c r="CD45" s="815"/>
      <c r="CE45" s="1617"/>
      <c r="CF45" s="1617"/>
      <c r="CG45" s="1559"/>
      <c r="CH45" s="1716" t="s">
        <v>1379</v>
      </c>
      <c r="CI45" s="1648">
        <v>0</v>
      </c>
      <c r="CJ45" s="1648">
        <v>0</v>
      </c>
      <c r="CK45" s="1648">
        <v>0</v>
      </c>
      <c r="CL45" s="1649">
        <v>0</v>
      </c>
      <c r="CM45" s="1648">
        <v>0</v>
      </c>
      <c r="CN45" s="1650">
        <v>0</v>
      </c>
      <c r="CO45" s="1649">
        <v>0</v>
      </c>
      <c r="CP45" s="1648">
        <v>0</v>
      </c>
      <c r="CQ45" s="1650">
        <v>0</v>
      </c>
      <c r="CR45" s="1648">
        <v>0</v>
      </c>
      <c r="CS45" s="1648">
        <v>0</v>
      </c>
      <c r="CT45" s="1648">
        <v>0</v>
      </c>
      <c r="CU45" s="1651">
        <f t="shared" si="1"/>
        <v>0</v>
      </c>
      <c r="CV45" s="1648">
        <v>0</v>
      </c>
      <c r="CW45" s="1648">
        <v>0</v>
      </c>
      <c r="CX45" s="1648">
        <v>0</v>
      </c>
      <c r="CY45" s="1649">
        <v>0</v>
      </c>
      <c r="CZ45" s="1648">
        <v>0</v>
      </c>
      <c r="DA45" s="1650">
        <v>0</v>
      </c>
      <c r="DB45" s="1649">
        <v>0</v>
      </c>
      <c r="DC45" s="1648">
        <v>0</v>
      </c>
      <c r="DD45" s="1650">
        <v>0</v>
      </c>
      <c r="DE45" s="1648">
        <v>0</v>
      </c>
      <c r="DF45" s="1648">
        <v>0</v>
      </c>
      <c r="DG45" s="1648">
        <v>0</v>
      </c>
      <c r="DH45" s="1651">
        <f t="shared" si="2"/>
        <v>0</v>
      </c>
      <c r="DI45" s="1648">
        <v>0</v>
      </c>
      <c r="DJ45" s="1648">
        <v>0</v>
      </c>
      <c r="DK45" s="1648">
        <v>0</v>
      </c>
      <c r="DL45" s="1649">
        <v>0</v>
      </c>
      <c r="DM45" s="1648">
        <v>0</v>
      </c>
      <c r="DN45" s="1650">
        <v>0</v>
      </c>
      <c r="DO45" s="1649">
        <v>0</v>
      </c>
      <c r="DP45" s="1648">
        <v>0</v>
      </c>
      <c r="DQ45" s="1650">
        <v>0</v>
      </c>
      <c r="DR45" s="1648">
        <v>0</v>
      </c>
      <c r="DS45" s="1648">
        <v>0</v>
      </c>
      <c r="DT45" s="1648">
        <v>0</v>
      </c>
      <c r="DU45" s="1651">
        <f t="shared" si="3"/>
        <v>0</v>
      </c>
      <c r="DV45" s="1648">
        <v>0</v>
      </c>
      <c r="DW45" s="1648">
        <v>0</v>
      </c>
      <c r="DX45" s="1648">
        <v>0</v>
      </c>
      <c r="DY45" s="1649">
        <v>0</v>
      </c>
      <c r="DZ45" s="1648">
        <v>0</v>
      </c>
      <c r="EA45" s="1650">
        <v>0</v>
      </c>
      <c r="EB45" s="1649">
        <v>0</v>
      </c>
      <c r="EC45" s="1648">
        <v>0</v>
      </c>
      <c r="ED45" s="1650">
        <v>0</v>
      </c>
      <c r="EE45" s="1648">
        <v>0</v>
      </c>
      <c r="EF45" s="1648">
        <v>0</v>
      </c>
      <c r="EG45" s="1648">
        <v>0</v>
      </c>
      <c r="EH45" s="1651">
        <f t="shared" si="4"/>
        <v>0</v>
      </c>
      <c r="EI45" s="1493"/>
      <c r="EJ45" s="1716" t="s">
        <v>1379</v>
      </c>
      <c r="EK45" s="1648">
        <v>0</v>
      </c>
      <c r="EL45" s="1648">
        <v>0</v>
      </c>
      <c r="EM45" s="1648">
        <v>0</v>
      </c>
      <c r="EN45" s="1649">
        <v>0</v>
      </c>
      <c r="EO45" s="1648">
        <v>0</v>
      </c>
      <c r="EP45" s="1650">
        <v>0</v>
      </c>
      <c r="EQ45" s="1649">
        <v>0</v>
      </c>
      <c r="ER45" s="1648">
        <v>0</v>
      </c>
      <c r="ES45" s="1650">
        <v>0</v>
      </c>
      <c r="ET45" s="1648">
        <v>0</v>
      </c>
      <c r="EU45" s="1648">
        <v>0</v>
      </c>
      <c r="EV45" s="1648">
        <v>0</v>
      </c>
      <c r="EW45" s="1651">
        <v>0</v>
      </c>
      <c r="EX45" s="1648">
        <v>0</v>
      </c>
      <c r="EY45" s="1648">
        <v>0</v>
      </c>
      <c r="EZ45" s="1648">
        <v>0</v>
      </c>
      <c r="FA45" s="1648">
        <v>0</v>
      </c>
      <c r="FB45" s="1648">
        <v>0</v>
      </c>
      <c r="FC45" s="1648">
        <v>0</v>
      </c>
      <c r="FD45" s="1648">
        <v>0</v>
      </c>
      <c r="FE45" s="1648">
        <v>0</v>
      </c>
      <c r="FF45" s="1648">
        <v>0</v>
      </c>
      <c r="FG45" s="1648">
        <v>0</v>
      </c>
      <c r="FH45" s="1648">
        <v>0</v>
      </c>
      <c r="FI45" s="1648">
        <v>0</v>
      </c>
      <c r="FJ45" s="1651">
        <v>0</v>
      </c>
      <c r="FK45" s="1648">
        <v>0</v>
      </c>
      <c r="FL45" s="1648">
        <v>0</v>
      </c>
      <c r="FM45" s="1648">
        <v>0</v>
      </c>
      <c r="FN45" s="1649">
        <v>0</v>
      </c>
      <c r="FO45" s="1648">
        <v>0</v>
      </c>
      <c r="FP45" s="1650">
        <v>0</v>
      </c>
      <c r="FQ45" s="1649">
        <v>0</v>
      </c>
      <c r="FR45" s="1648">
        <v>0</v>
      </c>
      <c r="FS45" s="1650">
        <v>0</v>
      </c>
      <c r="FT45" s="1648">
        <v>0</v>
      </c>
      <c r="FU45" s="1648">
        <v>0</v>
      </c>
      <c r="FV45" s="1648">
        <v>0</v>
      </c>
      <c r="FW45" s="1651">
        <v>0</v>
      </c>
      <c r="FX45" s="1648">
        <v>0</v>
      </c>
      <c r="FY45" s="1648">
        <v>0</v>
      </c>
      <c r="FZ45" s="1648">
        <v>0</v>
      </c>
      <c r="GA45" s="1649">
        <v>0</v>
      </c>
      <c r="GB45" s="1648">
        <v>0</v>
      </c>
      <c r="GC45" s="1650">
        <v>0</v>
      </c>
      <c r="GD45" s="1649">
        <v>0</v>
      </c>
      <c r="GE45" s="1648">
        <v>0</v>
      </c>
      <c r="GF45" s="1650">
        <v>0</v>
      </c>
      <c r="GG45" s="1648">
        <v>0</v>
      </c>
      <c r="GH45" s="1648">
        <v>0</v>
      </c>
      <c r="GI45" s="1648">
        <v>0</v>
      </c>
      <c r="GJ45" s="1651">
        <v>0</v>
      </c>
      <c r="GL45" s="1623"/>
      <c r="GM45" s="1746" t="s">
        <v>2998</v>
      </c>
      <c r="GN45" s="1728" t="s">
        <v>2999</v>
      </c>
      <c r="GO45" s="1705" t="s">
        <v>2954</v>
      </c>
      <c r="GP45" s="1705" t="s">
        <v>2932</v>
      </c>
      <c r="GQ45" s="1747">
        <v>12</v>
      </c>
      <c r="GR45" s="1705" t="s">
        <v>2944</v>
      </c>
      <c r="GS45" s="1706">
        <v>20</v>
      </c>
      <c r="GT45" s="1631">
        <v>120000</v>
      </c>
      <c r="GU45" s="1631"/>
      <c r="GV45" s="1631"/>
      <c r="GW45" s="1631">
        <v>1500</v>
      </c>
      <c r="GX45" s="1631">
        <v>34500</v>
      </c>
      <c r="GY45" s="1631"/>
      <c r="GZ45" s="1631">
        <v>72000</v>
      </c>
      <c r="HA45" s="1631">
        <v>12000</v>
      </c>
      <c r="HB45" s="1631"/>
      <c r="HC45" s="1631"/>
      <c r="HD45" s="1631"/>
      <c r="HE45" s="1631"/>
      <c r="HF45" s="1631"/>
      <c r="HG45" s="1631">
        <v>0</v>
      </c>
      <c r="HH45" s="1631"/>
      <c r="HI45" s="1631"/>
      <c r="HJ45" s="1631"/>
      <c r="HK45" s="1631"/>
      <c r="HL45" s="1631"/>
      <c r="HM45" s="1631"/>
      <c r="HN45" s="1631"/>
      <c r="HO45" s="1631"/>
      <c r="HP45" s="1631"/>
      <c r="HQ45" s="1631"/>
      <c r="HR45" s="1631"/>
      <c r="HS45" s="1631"/>
      <c r="HT45" s="1631">
        <v>0</v>
      </c>
      <c r="HU45" s="1631"/>
      <c r="HV45" s="1631"/>
      <c r="HW45" s="1631"/>
      <c r="HX45" s="1631"/>
      <c r="HY45" s="1631"/>
      <c r="HZ45" s="1631"/>
      <c r="IA45" s="1631"/>
      <c r="IB45" s="1631"/>
      <c r="IC45" s="1631"/>
      <c r="ID45" s="1631"/>
      <c r="IE45" s="1631"/>
      <c r="IF45" s="1631"/>
      <c r="IG45" s="1631">
        <v>0</v>
      </c>
      <c r="IH45" s="1631"/>
      <c r="II45" s="1631"/>
      <c r="IJ45" s="1631"/>
      <c r="IK45" s="1631"/>
      <c r="IL45" s="1631"/>
      <c r="IM45" s="1631"/>
      <c r="IN45" s="1631"/>
      <c r="IO45" s="1631"/>
      <c r="IP45" s="1631"/>
      <c r="IQ45" s="1631"/>
      <c r="IR45" s="1631"/>
      <c r="IS45" s="1631"/>
      <c r="IT45" s="1633">
        <v>120000</v>
      </c>
      <c r="IU45" s="1633">
        <v>0</v>
      </c>
      <c r="IV45" s="1707"/>
    </row>
    <row r="46" spans="2:256" s="1498" customFormat="1" ht="16.5">
      <c r="B46" s="1664" t="s">
        <v>3000</v>
      </c>
      <c r="C46" s="1664"/>
      <c r="D46" s="1665"/>
      <c r="E46" s="1666">
        <f t="shared" ref="E46:P46" si="35">SUM(E47:E53)</f>
        <v>135.213877</v>
      </c>
      <c r="F46" s="1667">
        <f t="shared" si="35"/>
        <v>333.44498099999998</v>
      </c>
      <c r="G46" s="1668">
        <f t="shared" si="35"/>
        <v>111.87896699999999</v>
      </c>
      <c r="H46" s="1667">
        <f t="shared" si="35"/>
        <v>-8.609665000000005</v>
      </c>
      <c r="I46" s="1667">
        <f t="shared" si="35"/>
        <v>87.327727999999993</v>
      </c>
      <c r="J46" s="1668">
        <f t="shared" si="35"/>
        <v>45.451773000000003</v>
      </c>
      <c r="K46" s="1667">
        <f t="shared" si="35"/>
        <v>253.69242600000004</v>
      </c>
      <c r="L46" s="1667">
        <f t="shared" si="35"/>
        <v>610.74480300000005</v>
      </c>
      <c r="M46" s="1669">
        <f t="shared" si="35"/>
        <v>11.886320000000001</v>
      </c>
      <c r="N46" s="1670">
        <f t="shared" si="35"/>
        <v>5.6</v>
      </c>
      <c r="O46" s="1670">
        <f t="shared" si="35"/>
        <v>42.35</v>
      </c>
      <c r="P46" s="1670">
        <f t="shared" si="35"/>
        <v>10.55</v>
      </c>
      <c r="Q46" s="1671">
        <f t="shared" si="6"/>
        <v>1639.5312099999999</v>
      </c>
      <c r="R46" s="1672">
        <f t="shared" ref="R46:AC46" si="36">SUM(R47:R53)</f>
        <v>1.9</v>
      </c>
      <c r="S46" s="1670">
        <f t="shared" si="36"/>
        <v>0.8</v>
      </c>
      <c r="T46" s="1669">
        <f t="shared" si="36"/>
        <v>90.65</v>
      </c>
      <c r="U46" s="1670">
        <f t="shared" si="36"/>
        <v>6.1</v>
      </c>
      <c r="V46" s="1670">
        <f t="shared" si="36"/>
        <v>36.1</v>
      </c>
      <c r="W46" s="1669">
        <f t="shared" si="36"/>
        <v>31.450000000000003</v>
      </c>
      <c r="X46" s="1670">
        <f t="shared" si="36"/>
        <v>2.4</v>
      </c>
      <c r="Y46" s="1670">
        <f t="shared" si="36"/>
        <v>0.4</v>
      </c>
      <c r="Z46" s="1669">
        <f t="shared" si="36"/>
        <v>5</v>
      </c>
      <c r="AA46" s="1670">
        <f t="shared" si="36"/>
        <v>5.6</v>
      </c>
      <c r="AB46" s="1670">
        <f t="shared" si="36"/>
        <v>15.45</v>
      </c>
      <c r="AC46" s="1670">
        <f t="shared" si="36"/>
        <v>10.55</v>
      </c>
      <c r="AD46" s="1671">
        <f t="shared" si="29"/>
        <v>206.4</v>
      </c>
      <c r="AE46" s="1672">
        <f t="shared" ref="AE46:AP46" si="37">SUM(AE47:AE53)</f>
        <v>1.9</v>
      </c>
      <c r="AF46" s="1670">
        <f t="shared" si="37"/>
        <v>0.8</v>
      </c>
      <c r="AG46" s="1669">
        <f t="shared" si="37"/>
        <v>14.95</v>
      </c>
      <c r="AH46" s="1670">
        <f t="shared" si="37"/>
        <v>6.1</v>
      </c>
      <c r="AI46" s="1670">
        <f t="shared" si="37"/>
        <v>36.1</v>
      </c>
      <c r="AJ46" s="1669">
        <f t="shared" si="37"/>
        <v>406.25</v>
      </c>
      <c r="AK46" s="1670">
        <f t="shared" si="37"/>
        <v>2.4</v>
      </c>
      <c r="AL46" s="1670">
        <f t="shared" si="37"/>
        <v>0.4</v>
      </c>
      <c r="AM46" s="1669">
        <f t="shared" si="37"/>
        <v>5</v>
      </c>
      <c r="AN46" s="1670">
        <f t="shared" si="37"/>
        <v>107.19999999999999</v>
      </c>
      <c r="AO46" s="1670">
        <f t="shared" si="37"/>
        <v>2.35</v>
      </c>
      <c r="AP46" s="1670">
        <f t="shared" si="37"/>
        <v>10.55</v>
      </c>
      <c r="AQ46" s="1671">
        <f t="shared" si="31"/>
        <v>593.99999999999989</v>
      </c>
      <c r="AR46" s="1672">
        <f t="shared" ref="AR46:BC46" si="38">SUM(AR47:AR53)</f>
        <v>1.9</v>
      </c>
      <c r="AS46" s="1670">
        <f t="shared" si="38"/>
        <v>0.8</v>
      </c>
      <c r="AT46" s="1669">
        <f t="shared" si="38"/>
        <v>14.95</v>
      </c>
      <c r="AU46" s="1670">
        <f t="shared" si="38"/>
        <v>6.1</v>
      </c>
      <c r="AV46" s="1670">
        <f t="shared" si="38"/>
        <v>36.1</v>
      </c>
      <c r="AW46" s="1669">
        <f t="shared" si="38"/>
        <v>7.35</v>
      </c>
      <c r="AX46" s="1670">
        <f t="shared" si="38"/>
        <v>2.4</v>
      </c>
      <c r="AY46" s="1670">
        <f t="shared" si="38"/>
        <v>0.4</v>
      </c>
      <c r="AZ46" s="1669">
        <f t="shared" si="38"/>
        <v>5</v>
      </c>
      <c r="BA46" s="1670">
        <f t="shared" si="38"/>
        <v>5.6</v>
      </c>
      <c r="BB46" s="1670">
        <f t="shared" si="38"/>
        <v>2.35</v>
      </c>
      <c r="BC46" s="1670">
        <f t="shared" si="38"/>
        <v>10.55</v>
      </c>
      <c r="BD46" s="1673">
        <f t="shared" si="33"/>
        <v>93.5</v>
      </c>
      <c r="BE46" s="1499"/>
      <c r="BF46" s="1617">
        <f t="shared" si="34"/>
        <v>10.631737863666331</v>
      </c>
      <c r="BG46" s="1497" t="s">
        <v>3001</v>
      </c>
      <c r="BH46" s="1499">
        <v>1150</v>
      </c>
      <c r="BI46" s="1499">
        <v>10</v>
      </c>
      <c r="BJ46" s="1646">
        <v>5.2253380880764837</v>
      </c>
      <c r="BK46" s="1499">
        <v>1195.6516666666666</v>
      </c>
      <c r="BL46" s="1499">
        <f>BH46-BK46</f>
        <v>-45.651666666666642</v>
      </c>
      <c r="BM46" s="1777">
        <f>BJ46/BI46*BL46</f>
        <v>-23.854539261750478</v>
      </c>
      <c r="BN46" s="1778"/>
      <c r="BO46" s="1545"/>
      <c r="BP46" s="1617"/>
      <c r="BQ46" s="815"/>
      <c r="BR46" s="815"/>
      <c r="BS46" s="815"/>
      <c r="BT46" s="815" t="s">
        <v>3002</v>
      </c>
      <c r="BU46" s="1617">
        <v>14510.531636363638</v>
      </c>
      <c r="BV46" s="1617">
        <f>BK52</f>
        <v>14430.919000000002</v>
      </c>
      <c r="BW46" s="815"/>
      <c r="BX46" s="815"/>
      <c r="BY46" s="1617"/>
      <c r="BZ46" s="1617"/>
      <c r="CA46" s="815"/>
      <c r="CB46" s="815"/>
      <c r="CC46" s="815"/>
      <c r="CD46" s="815"/>
      <c r="CE46" s="1617"/>
      <c r="CF46" s="1617"/>
      <c r="CG46" s="1729"/>
      <c r="CH46" s="1716" t="s">
        <v>1411</v>
      </c>
      <c r="CI46" s="1648">
        <v>1773955</v>
      </c>
      <c r="CJ46" s="1648">
        <v>1773955</v>
      </c>
      <c r="CK46" s="1648">
        <v>1773955</v>
      </c>
      <c r="CL46" s="1649">
        <v>1813310</v>
      </c>
      <c r="CM46" s="1648">
        <v>2757652</v>
      </c>
      <c r="CN46" s="1650">
        <v>1931314</v>
      </c>
      <c r="CO46" s="1649">
        <v>1913588</v>
      </c>
      <c r="CP46" s="1648">
        <v>1985641</v>
      </c>
      <c r="CQ46" s="1650">
        <v>0</v>
      </c>
      <c r="CR46" s="1648">
        <v>0</v>
      </c>
      <c r="CS46" s="1648">
        <v>0</v>
      </c>
      <c r="CT46" s="1648">
        <v>0</v>
      </c>
      <c r="CU46" s="1651">
        <f t="shared" si="1"/>
        <v>15723370</v>
      </c>
      <c r="CV46" s="1648">
        <v>0</v>
      </c>
      <c r="CW46" s="1648">
        <v>0</v>
      </c>
      <c r="CX46" s="1648">
        <v>0</v>
      </c>
      <c r="CY46" s="1649">
        <v>0</v>
      </c>
      <c r="CZ46" s="1648">
        <v>0</v>
      </c>
      <c r="DA46" s="1650">
        <v>0</v>
      </c>
      <c r="DB46" s="1649">
        <v>0</v>
      </c>
      <c r="DC46" s="1648">
        <v>0</v>
      </c>
      <c r="DD46" s="1650">
        <v>0</v>
      </c>
      <c r="DE46" s="1648">
        <v>0</v>
      </c>
      <c r="DF46" s="1648">
        <v>0</v>
      </c>
      <c r="DG46" s="1648">
        <v>0</v>
      </c>
      <c r="DH46" s="1651">
        <f t="shared" si="2"/>
        <v>0</v>
      </c>
      <c r="DI46" s="1648">
        <v>0</v>
      </c>
      <c r="DJ46" s="1648">
        <v>0</v>
      </c>
      <c r="DK46" s="1648">
        <v>0</v>
      </c>
      <c r="DL46" s="1649">
        <v>0</v>
      </c>
      <c r="DM46" s="1648">
        <v>0</v>
      </c>
      <c r="DN46" s="1650">
        <v>0</v>
      </c>
      <c r="DO46" s="1649">
        <v>0</v>
      </c>
      <c r="DP46" s="1648">
        <v>0</v>
      </c>
      <c r="DQ46" s="1650">
        <v>0</v>
      </c>
      <c r="DR46" s="1648">
        <v>0</v>
      </c>
      <c r="DS46" s="1648">
        <v>0</v>
      </c>
      <c r="DT46" s="1648">
        <v>0</v>
      </c>
      <c r="DU46" s="1651">
        <f t="shared" si="3"/>
        <v>0</v>
      </c>
      <c r="DV46" s="1648">
        <v>0</v>
      </c>
      <c r="DW46" s="1648">
        <v>0</v>
      </c>
      <c r="DX46" s="1648">
        <v>0</v>
      </c>
      <c r="DY46" s="1649">
        <v>0</v>
      </c>
      <c r="DZ46" s="1648">
        <v>0</v>
      </c>
      <c r="EA46" s="1650">
        <v>0</v>
      </c>
      <c r="EB46" s="1649">
        <v>0</v>
      </c>
      <c r="EC46" s="1648">
        <v>0</v>
      </c>
      <c r="ED46" s="1650">
        <v>0</v>
      </c>
      <c r="EE46" s="1648">
        <v>0</v>
      </c>
      <c r="EF46" s="1648">
        <v>0</v>
      </c>
      <c r="EG46" s="1648">
        <v>0</v>
      </c>
      <c r="EH46" s="1651">
        <f t="shared" si="4"/>
        <v>0</v>
      </c>
      <c r="EI46" s="1493"/>
      <c r="EJ46" s="1716" t="s">
        <v>1411</v>
      </c>
      <c r="EK46" s="1648">
        <v>2333779</v>
      </c>
      <c r="EL46" s="1648">
        <v>4299549</v>
      </c>
      <c r="EM46" s="1648">
        <v>2406045</v>
      </c>
      <c r="EN46" s="1649">
        <v>2043122</v>
      </c>
      <c r="EO46" s="1648">
        <v>3258891</v>
      </c>
      <c r="EP46" s="1650">
        <v>2537214</v>
      </c>
      <c r="EQ46" s="1649">
        <v>2537214</v>
      </c>
      <c r="ER46" s="1648">
        <v>2537214</v>
      </c>
      <c r="ES46" s="1650">
        <v>0</v>
      </c>
      <c r="ET46" s="1648">
        <v>0</v>
      </c>
      <c r="EU46" s="1648">
        <v>0</v>
      </c>
      <c r="EV46" s="1648">
        <v>0</v>
      </c>
      <c r="EW46" s="1651">
        <v>21953028</v>
      </c>
      <c r="EX46" s="1648">
        <v>8333333.333333333</v>
      </c>
      <c r="EY46" s="1648">
        <v>8333333.333333333</v>
      </c>
      <c r="EZ46" s="1648">
        <v>8333333.333333333</v>
      </c>
      <c r="FA46" s="1648">
        <v>8333333.333333333</v>
      </c>
      <c r="FB46" s="1648">
        <v>8333333.333333333</v>
      </c>
      <c r="FC46" s="1648">
        <v>8333333.333333333</v>
      </c>
      <c r="FD46" s="1648">
        <v>8333333.333333333</v>
      </c>
      <c r="FE46" s="1648">
        <v>8333333.333333333</v>
      </c>
      <c r="FF46" s="1648">
        <v>8333333.333333333</v>
      </c>
      <c r="FG46" s="1648">
        <v>8333333.333333333</v>
      </c>
      <c r="FH46" s="1648">
        <v>8333333.333333333</v>
      </c>
      <c r="FI46" s="1648">
        <v>8333333.333333333</v>
      </c>
      <c r="FJ46" s="1651">
        <v>99999999.999999985</v>
      </c>
      <c r="FK46" s="1648">
        <v>8333333.333333333</v>
      </c>
      <c r="FL46" s="1648">
        <v>8333333.333333333</v>
      </c>
      <c r="FM46" s="1648">
        <v>8333333.333333333</v>
      </c>
      <c r="FN46" s="1649">
        <v>8333333.333333333</v>
      </c>
      <c r="FO46" s="1648">
        <v>8333333.333333333</v>
      </c>
      <c r="FP46" s="1650">
        <v>8333333.333333333</v>
      </c>
      <c r="FQ46" s="1649">
        <v>8333333.333333333</v>
      </c>
      <c r="FR46" s="1648">
        <v>8333333.333333333</v>
      </c>
      <c r="FS46" s="1650">
        <v>8333333.333333333</v>
      </c>
      <c r="FT46" s="1648">
        <v>8333333.333333333</v>
      </c>
      <c r="FU46" s="1648">
        <v>8333333.333333333</v>
      </c>
      <c r="FV46" s="1648">
        <v>8333333.333333333</v>
      </c>
      <c r="FW46" s="1651">
        <v>99999999.999999985</v>
      </c>
      <c r="FX46" s="1648">
        <v>8333333.333333333</v>
      </c>
      <c r="FY46" s="1648">
        <v>8333333.333333333</v>
      </c>
      <c r="FZ46" s="1648">
        <v>8333333.333333333</v>
      </c>
      <c r="GA46" s="1649">
        <v>8333333.333333333</v>
      </c>
      <c r="GB46" s="1648">
        <v>8333333.333333333</v>
      </c>
      <c r="GC46" s="1650">
        <v>8333333.333333333</v>
      </c>
      <c r="GD46" s="1649">
        <v>8333333.333333333</v>
      </c>
      <c r="GE46" s="1648">
        <v>8333333.333333333</v>
      </c>
      <c r="GF46" s="1650">
        <v>8333333.333333333</v>
      </c>
      <c r="GG46" s="1648">
        <v>8333333.333333333</v>
      </c>
      <c r="GH46" s="1648">
        <v>8333333.333333333</v>
      </c>
      <c r="GI46" s="1648">
        <v>8333333.333333333</v>
      </c>
      <c r="GJ46" s="1651">
        <v>99999999.999999985</v>
      </c>
      <c r="GL46" s="1652"/>
      <c r="GM46" s="1748" t="s">
        <v>3003</v>
      </c>
      <c r="GN46" s="1714" t="s">
        <v>3004</v>
      </c>
      <c r="GO46" s="1711" t="s">
        <v>2939</v>
      </c>
      <c r="GP46" s="1711" t="s">
        <v>3005</v>
      </c>
      <c r="GQ46" s="1749">
        <v>25</v>
      </c>
      <c r="GR46" s="1711" t="s">
        <v>2944</v>
      </c>
      <c r="GS46" s="1712">
        <v>20</v>
      </c>
      <c r="GT46" s="1660">
        <v>90000</v>
      </c>
      <c r="GU46" s="1660"/>
      <c r="GV46" s="1660"/>
      <c r="GW46" s="1660">
        <v>37000</v>
      </c>
      <c r="GX46" s="1660"/>
      <c r="GY46" s="1660"/>
      <c r="GZ46" s="1660">
        <v>53000</v>
      </c>
      <c r="HA46" s="1660"/>
      <c r="HB46" s="1660"/>
      <c r="HC46" s="1660"/>
      <c r="HD46" s="1660"/>
      <c r="HE46" s="1660"/>
      <c r="HF46" s="1660"/>
      <c r="HG46" s="1660">
        <v>0</v>
      </c>
      <c r="HH46" s="1660"/>
      <c r="HI46" s="1660"/>
      <c r="HJ46" s="1660"/>
      <c r="HK46" s="1660"/>
      <c r="HL46" s="1660"/>
      <c r="HM46" s="1660"/>
      <c r="HN46" s="1660"/>
      <c r="HO46" s="1660"/>
      <c r="HP46" s="1660"/>
      <c r="HQ46" s="1660"/>
      <c r="HR46" s="1660"/>
      <c r="HS46" s="1660"/>
      <c r="HT46" s="1660">
        <v>0</v>
      </c>
      <c r="HU46" s="1660"/>
      <c r="HV46" s="1660"/>
      <c r="HW46" s="1660"/>
      <c r="HX46" s="1660"/>
      <c r="HY46" s="1660"/>
      <c r="HZ46" s="1660"/>
      <c r="IA46" s="1660"/>
      <c r="IB46" s="1660"/>
      <c r="IC46" s="1660"/>
      <c r="ID46" s="1660"/>
      <c r="IE46" s="1660"/>
      <c r="IF46" s="1660"/>
      <c r="IG46" s="1660">
        <v>0</v>
      </c>
      <c r="IH46" s="1660"/>
      <c r="II46" s="1660"/>
      <c r="IJ46" s="1660"/>
      <c r="IK46" s="1660"/>
      <c r="IL46" s="1660"/>
      <c r="IM46" s="1660"/>
      <c r="IN46" s="1660"/>
      <c r="IO46" s="1660"/>
      <c r="IP46" s="1660"/>
      <c r="IQ46" s="1660"/>
      <c r="IR46" s="1660"/>
      <c r="IS46" s="1660"/>
      <c r="IT46" s="1662">
        <v>90000</v>
      </c>
      <c r="IU46" s="1662">
        <v>0</v>
      </c>
      <c r="IV46" s="1713"/>
    </row>
    <row r="47" spans="2:256" s="1498" customFormat="1" ht="16.5">
      <c r="B47" s="1493"/>
      <c r="C47" s="1493" t="s">
        <v>2093</v>
      </c>
      <c r="D47" s="1494"/>
      <c r="E47" s="1608">
        <v>2.0689920000000002</v>
      </c>
      <c r="F47" s="1609">
        <v>1.334522</v>
      </c>
      <c r="G47" s="1610">
        <v>0.19096199999999999</v>
      </c>
      <c r="H47" s="1609">
        <v>1.731158</v>
      </c>
      <c r="I47" s="1609">
        <v>1.0821700000000001</v>
      </c>
      <c r="J47" s="1610">
        <v>0.194323</v>
      </c>
      <c r="K47" s="1609">
        <v>0.21208299999999999</v>
      </c>
      <c r="L47" s="1609">
        <v>0.23178099999999999</v>
      </c>
      <c r="M47" s="1775">
        <v>0</v>
      </c>
      <c r="N47" s="1615">
        <v>0</v>
      </c>
      <c r="O47" s="1615">
        <v>0</v>
      </c>
      <c r="P47" s="1615">
        <v>0</v>
      </c>
      <c r="Q47" s="1612">
        <f t="shared" si="6"/>
        <v>7.0459909999999999</v>
      </c>
      <c r="R47" s="1613">
        <v>0</v>
      </c>
      <c r="S47" s="1589">
        <v>0</v>
      </c>
      <c r="T47" s="1611">
        <v>0</v>
      </c>
      <c r="U47" s="1589">
        <v>0</v>
      </c>
      <c r="V47" s="1589">
        <v>0</v>
      </c>
      <c r="W47" s="1611">
        <v>0</v>
      </c>
      <c r="X47" s="1589">
        <v>0</v>
      </c>
      <c r="Y47" s="1589">
        <v>0</v>
      </c>
      <c r="Z47" s="1611">
        <v>0</v>
      </c>
      <c r="AA47" s="1589">
        <v>0</v>
      </c>
      <c r="AB47" s="1589">
        <v>0</v>
      </c>
      <c r="AC47" s="1589">
        <v>0</v>
      </c>
      <c r="AD47" s="1612">
        <f t="shared" si="29"/>
        <v>0</v>
      </c>
      <c r="AE47" s="1613">
        <v>0</v>
      </c>
      <c r="AF47" s="1589">
        <v>0</v>
      </c>
      <c r="AG47" s="1611">
        <v>0</v>
      </c>
      <c r="AH47" s="1589">
        <v>0</v>
      </c>
      <c r="AI47" s="1589">
        <v>0</v>
      </c>
      <c r="AJ47" s="1611">
        <v>0</v>
      </c>
      <c r="AK47" s="1589">
        <v>0</v>
      </c>
      <c r="AL47" s="1589">
        <v>0</v>
      </c>
      <c r="AM47" s="1611">
        <v>0</v>
      </c>
      <c r="AN47" s="1589">
        <v>0</v>
      </c>
      <c r="AO47" s="1589">
        <v>0</v>
      </c>
      <c r="AP47" s="1589">
        <v>0</v>
      </c>
      <c r="AQ47" s="1612">
        <f t="shared" si="31"/>
        <v>0</v>
      </c>
      <c r="AR47" s="1613">
        <v>0</v>
      </c>
      <c r="AS47" s="1589">
        <v>0</v>
      </c>
      <c r="AT47" s="1611">
        <v>0</v>
      </c>
      <c r="AU47" s="1589">
        <v>0</v>
      </c>
      <c r="AV47" s="1589">
        <v>0</v>
      </c>
      <c r="AW47" s="1611">
        <v>0</v>
      </c>
      <c r="AX47" s="1589">
        <v>0</v>
      </c>
      <c r="AY47" s="1589">
        <v>0</v>
      </c>
      <c r="AZ47" s="1611">
        <v>0</v>
      </c>
      <c r="BA47" s="1589">
        <v>0</v>
      </c>
      <c r="BB47" s="1589">
        <v>0</v>
      </c>
      <c r="BC47" s="1589">
        <v>0</v>
      </c>
      <c r="BD47" s="1614">
        <f t="shared" si="33"/>
        <v>0</v>
      </c>
      <c r="BE47" s="1617"/>
      <c r="BF47" s="1782">
        <f t="shared" si="34"/>
        <v>0.69972300000000054</v>
      </c>
      <c r="BG47" s="1497"/>
      <c r="BH47" s="1499"/>
      <c r="BI47" s="1499"/>
      <c r="BJ47" s="1499"/>
      <c r="BO47" s="1783">
        <f>SUM(BM42:BM46)</f>
        <v>-1.273875668202237</v>
      </c>
      <c r="BP47" s="1545" t="s">
        <v>3006</v>
      </c>
      <c r="BQ47" s="815"/>
      <c r="BR47" s="815"/>
      <c r="BS47" s="815"/>
      <c r="BT47" s="815"/>
      <c r="BU47" s="1617">
        <f>SUM(BU44:BU46)</f>
        <v>83523.668000000005</v>
      </c>
      <c r="BV47" s="1617">
        <f>SUM(BV44:BV46)</f>
        <v>83706.924999999988</v>
      </c>
      <c r="BW47" s="815"/>
      <c r="BX47" s="815"/>
      <c r="BY47" s="1617"/>
      <c r="BZ47" s="1617"/>
      <c r="CA47" s="815"/>
      <c r="CB47" s="815"/>
      <c r="CC47" s="815"/>
      <c r="CD47" s="815"/>
      <c r="CE47" s="1617"/>
      <c r="CF47" s="1617"/>
      <c r="CG47" s="1729"/>
      <c r="CH47" s="1716"/>
      <c r="CI47" s="1648"/>
      <c r="CJ47" s="1648"/>
      <c r="CK47" s="1648"/>
      <c r="CL47" s="1649"/>
      <c r="CM47" s="1648"/>
      <c r="CN47" s="1650"/>
      <c r="CO47" s="1649"/>
      <c r="CP47" s="1648"/>
      <c r="CQ47" s="1650"/>
      <c r="CR47" s="1648"/>
      <c r="CS47" s="1648"/>
      <c r="CT47" s="1648"/>
      <c r="CU47" s="1651">
        <f t="shared" si="1"/>
        <v>0</v>
      </c>
      <c r="CV47" s="1648"/>
      <c r="CW47" s="1648"/>
      <c r="CX47" s="1648"/>
      <c r="CY47" s="1649"/>
      <c r="CZ47" s="1648"/>
      <c r="DA47" s="1650"/>
      <c r="DB47" s="1649"/>
      <c r="DC47" s="1648"/>
      <c r="DD47" s="1650"/>
      <c r="DE47" s="1648"/>
      <c r="DF47" s="1648"/>
      <c r="DG47" s="1648"/>
      <c r="DH47" s="1651">
        <f t="shared" si="2"/>
        <v>0</v>
      </c>
      <c r="DI47" s="1648"/>
      <c r="DJ47" s="1648"/>
      <c r="DK47" s="1648"/>
      <c r="DL47" s="1649"/>
      <c r="DM47" s="1648"/>
      <c r="DN47" s="1650"/>
      <c r="DO47" s="1649"/>
      <c r="DP47" s="1648"/>
      <c r="DQ47" s="1650"/>
      <c r="DR47" s="1648"/>
      <c r="DS47" s="1648"/>
      <c r="DT47" s="1648"/>
      <c r="DU47" s="1651">
        <f t="shared" si="3"/>
        <v>0</v>
      </c>
      <c r="DV47" s="1648"/>
      <c r="DW47" s="1648"/>
      <c r="DX47" s="1648"/>
      <c r="DY47" s="1649"/>
      <c r="DZ47" s="1648"/>
      <c r="EA47" s="1650"/>
      <c r="EB47" s="1649"/>
      <c r="EC47" s="1648"/>
      <c r="ED47" s="1650"/>
      <c r="EE47" s="1648"/>
      <c r="EF47" s="1648"/>
      <c r="EG47" s="1648"/>
      <c r="EH47" s="1651">
        <f t="shared" si="4"/>
        <v>0</v>
      </c>
      <c r="EI47" s="1493"/>
      <c r="EJ47" s="1716"/>
      <c r="EK47" s="1648"/>
      <c r="EL47" s="1648"/>
      <c r="EM47" s="1648"/>
      <c r="EN47" s="1649"/>
      <c r="EO47" s="1648"/>
      <c r="EP47" s="1650"/>
      <c r="EQ47" s="1649"/>
      <c r="ER47" s="1648"/>
      <c r="ES47" s="1650"/>
      <c r="ET47" s="1648"/>
      <c r="EU47" s="1648"/>
      <c r="EV47" s="1648"/>
      <c r="EW47" s="1651">
        <v>0</v>
      </c>
      <c r="EX47" s="1648"/>
      <c r="EY47" s="1648"/>
      <c r="EZ47" s="1648"/>
      <c r="FA47" s="1648"/>
      <c r="FB47" s="1648"/>
      <c r="FC47" s="1648"/>
      <c r="FD47" s="1648"/>
      <c r="FE47" s="1648"/>
      <c r="FF47" s="1648"/>
      <c r="FG47" s="1648"/>
      <c r="FH47" s="1648"/>
      <c r="FI47" s="1648"/>
      <c r="FJ47" s="1651">
        <v>0</v>
      </c>
      <c r="FK47" s="1648"/>
      <c r="FL47" s="1648"/>
      <c r="FM47" s="1648"/>
      <c r="FN47" s="1649"/>
      <c r="FO47" s="1648"/>
      <c r="FP47" s="1650"/>
      <c r="FQ47" s="1649"/>
      <c r="FR47" s="1648"/>
      <c r="FS47" s="1650"/>
      <c r="FT47" s="1648"/>
      <c r="FU47" s="1648"/>
      <c r="FV47" s="1648"/>
      <c r="FW47" s="1651">
        <v>0</v>
      </c>
      <c r="FX47" s="1648"/>
      <c r="FY47" s="1648"/>
      <c r="FZ47" s="1648"/>
      <c r="GA47" s="1649"/>
      <c r="GB47" s="1648"/>
      <c r="GC47" s="1650"/>
      <c r="GD47" s="1649"/>
      <c r="GE47" s="1648"/>
      <c r="GF47" s="1650"/>
      <c r="GG47" s="1648"/>
      <c r="GH47" s="1648"/>
      <c r="GI47" s="1648"/>
      <c r="GJ47" s="1651">
        <v>0</v>
      </c>
      <c r="GL47" s="1623"/>
      <c r="GM47" s="1746" t="s">
        <v>3007</v>
      </c>
      <c r="GN47" s="1728" t="s">
        <v>3008</v>
      </c>
      <c r="GO47" s="1705" t="s">
        <v>2918</v>
      </c>
      <c r="GP47" s="1705" t="s">
        <v>2932</v>
      </c>
      <c r="GQ47" s="1747">
        <v>12</v>
      </c>
      <c r="GR47" s="1705" t="s">
        <v>2944</v>
      </c>
      <c r="GS47" s="1706">
        <v>20</v>
      </c>
      <c r="GT47" s="1631">
        <v>90000</v>
      </c>
      <c r="GU47" s="1631"/>
      <c r="GV47" s="1631"/>
      <c r="GW47" s="1631">
        <v>27000</v>
      </c>
      <c r="GX47" s="1631"/>
      <c r="GY47" s="1631"/>
      <c r="GZ47" s="1631"/>
      <c r="HA47" s="1631">
        <v>62999.999999999993</v>
      </c>
      <c r="HB47" s="1631"/>
      <c r="HC47" s="1631"/>
      <c r="HD47" s="1631"/>
      <c r="HE47" s="1631"/>
      <c r="HF47" s="1631"/>
      <c r="HG47" s="1631">
        <v>0</v>
      </c>
      <c r="HH47" s="1631"/>
      <c r="HI47" s="1631"/>
      <c r="HJ47" s="1631"/>
      <c r="HK47" s="1631"/>
      <c r="HL47" s="1631"/>
      <c r="HM47" s="1631"/>
      <c r="HN47" s="1631"/>
      <c r="HO47" s="1631"/>
      <c r="HP47" s="1631"/>
      <c r="HQ47" s="1631"/>
      <c r="HR47" s="1631"/>
      <c r="HS47" s="1631"/>
      <c r="HT47" s="1631">
        <v>0</v>
      </c>
      <c r="HU47" s="1631"/>
      <c r="HV47" s="1631"/>
      <c r="HW47" s="1631"/>
      <c r="HX47" s="1631"/>
      <c r="HY47" s="1631"/>
      <c r="HZ47" s="1631"/>
      <c r="IA47" s="1632"/>
      <c r="IB47" s="1631"/>
      <c r="IC47" s="1631"/>
      <c r="ID47" s="1631"/>
      <c r="IE47" s="1631"/>
      <c r="IF47" s="1631"/>
      <c r="IG47" s="1631">
        <v>0</v>
      </c>
      <c r="IH47" s="1631"/>
      <c r="II47" s="1631"/>
      <c r="IJ47" s="1631"/>
      <c r="IK47" s="1631"/>
      <c r="IL47" s="1631"/>
      <c r="IM47" s="1631"/>
      <c r="IN47" s="1631"/>
      <c r="IO47" s="1631"/>
      <c r="IP47" s="1631"/>
      <c r="IQ47" s="1631"/>
      <c r="IR47" s="1631"/>
      <c r="IS47" s="1631"/>
      <c r="IT47" s="1633">
        <v>90000</v>
      </c>
      <c r="IU47" s="1633">
        <v>0</v>
      </c>
      <c r="IV47" s="1707"/>
    </row>
    <row r="48" spans="2:256" ht="16.5">
      <c r="C48" s="1493" t="s">
        <v>3009</v>
      </c>
      <c r="E48" s="1608">
        <v>1.3</v>
      </c>
      <c r="F48" s="1609">
        <v>0.4</v>
      </c>
      <c r="G48" s="1610">
        <v>19.899999999999999</v>
      </c>
      <c r="H48" s="1609">
        <v>0.4</v>
      </c>
      <c r="I48" s="1609">
        <v>0.6</v>
      </c>
      <c r="J48" s="1784">
        <v>5.75</v>
      </c>
      <c r="K48" s="1785">
        <v>0.4</v>
      </c>
      <c r="L48" s="1785">
        <v>3.7</v>
      </c>
      <c r="M48" s="1786">
        <v>5.4</v>
      </c>
      <c r="N48" s="1787">
        <v>5.6</v>
      </c>
      <c r="O48" s="1787">
        <v>42.35</v>
      </c>
      <c r="P48" s="1787">
        <v>10.55</v>
      </c>
      <c r="Q48" s="1612">
        <f t="shared" si="6"/>
        <v>96.35</v>
      </c>
      <c r="R48" s="1708">
        <v>1.9</v>
      </c>
      <c r="S48" s="1788">
        <v>0.8</v>
      </c>
      <c r="T48" s="1789">
        <v>14.95</v>
      </c>
      <c r="U48" s="1788">
        <v>6.1</v>
      </c>
      <c r="V48" s="1788">
        <v>36.1</v>
      </c>
      <c r="W48" s="1789">
        <v>7.35</v>
      </c>
      <c r="X48" s="1788">
        <v>2.4</v>
      </c>
      <c r="Y48" s="1788">
        <v>0.4</v>
      </c>
      <c r="Z48" s="1789">
        <v>5</v>
      </c>
      <c r="AA48" s="1788">
        <v>5.6</v>
      </c>
      <c r="AB48" s="1788">
        <v>2.35</v>
      </c>
      <c r="AC48" s="1788">
        <v>10.55</v>
      </c>
      <c r="AD48" s="1612">
        <f t="shared" si="29"/>
        <v>93.5</v>
      </c>
      <c r="AE48" s="1708">
        <v>1.9</v>
      </c>
      <c r="AF48" s="1788">
        <v>0.8</v>
      </c>
      <c r="AG48" s="1789">
        <v>14.95</v>
      </c>
      <c r="AH48" s="1788">
        <v>6.1</v>
      </c>
      <c r="AI48" s="1788">
        <v>36.1</v>
      </c>
      <c r="AJ48" s="1789">
        <v>7.35</v>
      </c>
      <c r="AK48" s="1788">
        <v>2.4</v>
      </c>
      <c r="AL48" s="1788">
        <v>0.4</v>
      </c>
      <c r="AM48" s="1789">
        <v>5</v>
      </c>
      <c r="AN48" s="1788">
        <v>5.6</v>
      </c>
      <c r="AO48" s="1788">
        <v>2.35</v>
      </c>
      <c r="AP48" s="1788">
        <v>10.55</v>
      </c>
      <c r="AQ48" s="1612">
        <f t="shared" si="31"/>
        <v>93.5</v>
      </c>
      <c r="AR48" s="1790">
        <v>1.9</v>
      </c>
      <c r="AS48" s="1589">
        <v>0.8</v>
      </c>
      <c r="AT48" s="1611">
        <v>14.95</v>
      </c>
      <c r="AU48" s="1589">
        <v>6.1</v>
      </c>
      <c r="AV48" s="1589">
        <v>36.1</v>
      </c>
      <c r="AW48" s="1611">
        <v>7.35</v>
      </c>
      <c r="AX48" s="1589">
        <v>2.4</v>
      </c>
      <c r="AY48" s="1589">
        <v>0.4</v>
      </c>
      <c r="AZ48" s="1611">
        <v>5</v>
      </c>
      <c r="BA48" s="1589">
        <v>5.6</v>
      </c>
      <c r="BB48" s="1589">
        <v>2.35</v>
      </c>
      <c r="BC48" s="1589">
        <v>10.55</v>
      </c>
      <c r="BD48" s="1614">
        <f t="shared" si="33"/>
        <v>93.5</v>
      </c>
      <c r="BE48" s="1589"/>
      <c r="BF48" s="1615">
        <f t="shared" si="34"/>
        <v>-1267.492663882379</v>
      </c>
      <c r="BG48" s="1791"/>
      <c r="BH48" s="1617"/>
      <c r="BI48" s="815"/>
      <c r="BJ48" s="1558" t="s">
        <v>3010</v>
      </c>
      <c r="BK48" s="815"/>
      <c r="BL48" s="815"/>
      <c r="BM48" s="1558" t="s">
        <v>3011</v>
      </c>
      <c r="BN48" s="1497" t="s">
        <v>1297</v>
      </c>
      <c r="BO48" s="1792"/>
      <c r="BP48" s="1499" t="s">
        <v>3012</v>
      </c>
      <c r="BQ48" s="1498"/>
      <c r="BR48" s="1497" t="s">
        <v>3013</v>
      </c>
      <c r="BS48" s="1498"/>
      <c r="BT48" s="1616" t="s">
        <v>3014</v>
      </c>
      <c r="BU48" s="1545"/>
      <c r="BX48" s="1545" t="s">
        <v>3015</v>
      </c>
      <c r="BY48" s="1558"/>
      <c r="BZ48" s="1558"/>
      <c r="CD48" s="815"/>
      <c r="CE48" s="1617"/>
      <c r="CF48" s="1615"/>
      <c r="CG48" s="1559"/>
      <c r="CH48" s="1647"/>
      <c r="CI48" s="1648" t="e">
        <v>#REF!</v>
      </c>
      <c r="CJ48" s="1648" t="e">
        <v>#REF!</v>
      </c>
      <c r="CK48" s="1648" t="e">
        <v>#REF!</v>
      </c>
      <c r="CL48" s="1649" t="e">
        <v>#REF!</v>
      </c>
      <c r="CM48" s="1648" t="e">
        <v>#REF!</v>
      </c>
      <c r="CN48" s="1650" t="e">
        <v>#REF!</v>
      </c>
      <c r="CO48" s="1649" t="e">
        <v>#REF!</v>
      </c>
      <c r="CP48" s="1648" t="e">
        <v>#REF!</v>
      </c>
      <c r="CQ48" s="1650" t="e">
        <v>#REF!</v>
      </c>
      <c r="CR48" s="1648" t="e">
        <v>#REF!</v>
      </c>
      <c r="CS48" s="1648" t="e">
        <v>#REF!</v>
      </c>
      <c r="CT48" s="1648" t="e">
        <v>#REF!</v>
      </c>
      <c r="CU48" s="1651" t="e">
        <f t="shared" si="1"/>
        <v>#REF!</v>
      </c>
      <c r="CV48" s="1648" t="e">
        <v>#REF!</v>
      </c>
      <c r="CW48" s="1648" t="e">
        <v>#REF!</v>
      </c>
      <c r="CX48" s="1648" t="e">
        <v>#REF!</v>
      </c>
      <c r="CY48" s="1649" t="e">
        <v>#REF!</v>
      </c>
      <c r="CZ48" s="1648" t="e">
        <v>#REF!</v>
      </c>
      <c r="DA48" s="1650" t="e">
        <v>#REF!</v>
      </c>
      <c r="DB48" s="1649" t="e">
        <v>#REF!</v>
      </c>
      <c r="DC48" s="1648" t="e">
        <v>#REF!</v>
      </c>
      <c r="DD48" s="1650" t="e">
        <v>#REF!</v>
      </c>
      <c r="DE48" s="1648" t="e">
        <v>#REF!</v>
      </c>
      <c r="DF48" s="1648" t="e">
        <v>#REF!</v>
      </c>
      <c r="DG48" s="1648" t="e">
        <v>#REF!</v>
      </c>
      <c r="DH48" s="1651" t="e">
        <f t="shared" si="2"/>
        <v>#REF!</v>
      </c>
      <c r="DI48" s="1648" t="e">
        <v>#REF!</v>
      </c>
      <c r="DJ48" s="1648" t="e">
        <v>#REF!</v>
      </c>
      <c r="DK48" s="1648" t="e">
        <v>#REF!</v>
      </c>
      <c r="DL48" s="1649" t="e">
        <v>#REF!</v>
      </c>
      <c r="DM48" s="1648" t="e">
        <v>#REF!</v>
      </c>
      <c r="DN48" s="1650" t="e">
        <v>#REF!</v>
      </c>
      <c r="DO48" s="1649" t="e">
        <v>#REF!</v>
      </c>
      <c r="DP48" s="1648" t="e">
        <v>#REF!</v>
      </c>
      <c r="DQ48" s="1650" t="e">
        <v>#REF!</v>
      </c>
      <c r="DR48" s="1648" t="e">
        <v>#REF!</v>
      </c>
      <c r="DS48" s="1648" t="e">
        <v>#REF!</v>
      </c>
      <c r="DT48" s="1648" t="e">
        <v>#REF!</v>
      </c>
      <c r="DU48" s="1651" t="e">
        <f t="shared" si="3"/>
        <v>#REF!</v>
      </c>
      <c r="DV48" s="1648" t="e">
        <v>#REF!</v>
      </c>
      <c r="DW48" s="1648" t="e">
        <v>#REF!</v>
      </c>
      <c r="DX48" s="1648" t="e">
        <v>#REF!</v>
      </c>
      <c r="DY48" s="1649" t="e">
        <v>#REF!</v>
      </c>
      <c r="DZ48" s="1648" t="e">
        <v>#REF!</v>
      </c>
      <c r="EA48" s="1650" t="e">
        <v>#REF!</v>
      </c>
      <c r="EB48" s="1649" t="e">
        <v>#REF!</v>
      </c>
      <c r="EC48" s="1648" t="e">
        <v>#REF!</v>
      </c>
      <c r="ED48" s="1650" t="e">
        <v>#REF!</v>
      </c>
      <c r="EE48" s="1648" t="e">
        <v>#REF!</v>
      </c>
      <c r="EF48" s="1648" t="e">
        <v>#REF!</v>
      </c>
      <c r="EG48" s="1648" t="e">
        <v>#REF!</v>
      </c>
      <c r="EH48" s="1651" t="e">
        <f t="shared" si="4"/>
        <v>#REF!</v>
      </c>
      <c r="EJ48" s="1647"/>
      <c r="EK48" s="1648"/>
      <c r="EL48" s="1648"/>
      <c r="EM48" s="1648"/>
      <c r="EN48" s="1649"/>
      <c r="EO48" s="1648"/>
      <c r="EP48" s="1650"/>
      <c r="EQ48" s="1649"/>
      <c r="ER48" s="1648"/>
      <c r="ES48" s="1650"/>
      <c r="ET48" s="1648"/>
      <c r="EU48" s="1648"/>
      <c r="EV48" s="1648"/>
      <c r="EW48" s="1651">
        <v>0</v>
      </c>
      <c r="EX48" s="1648"/>
      <c r="EY48" s="1648"/>
      <c r="EZ48" s="1648"/>
      <c r="FA48" s="1648"/>
      <c r="FB48" s="1648"/>
      <c r="FC48" s="1648"/>
      <c r="FD48" s="1648"/>
      <c r="FE48" s="1648"/>
      <c r="FF48" s="1648"/>
      <c r="FG48" s="1648"/>
      <c r="FH48" s="1648"/>
      <c r="FI48" s="1648"/>
      <c r="FJ48" s="1651">
        <v>0</v>
      </c>
      <c r="FK48" s="1648"/>
      <c r="FL48" s="1648"/>
      <c r="FM48" s="1648"/>
      <c r="FN48" s="1649"/>
      <c r="FO48" s="1648"/>
      <c r="FP48" s="1650"/>
      <c r="FQ48" s="1649"/>
      <c r="FR48" s="1648"/>
      <c r="FS48" s="1650"/>
      <c r="FT48" s="1648"/>
      <c r="FU48" s="1648"/>
      <c r="FV48" s="1648"/>
      <c r="FW48" s="1651">
        <v>0</v>
      </c>
      <c r="FX48" s="1648"/>
      <c r="FY48" s="1648"/>
      <c r="FZ48" s="1648"/>
      <c r="GA48" s="1649"/>
      <c r="GB48" s="1648"/>
      <c r="GC48" s="1650"/>
      <c r="GD48" s="1649"/>
      <c r="GE48" s="1648"/>
      <c r="GF48" s="1650"/>
      <c r="GG48" s="1648"/>
      <c r="GH48" s="1648"/>
      <c r="GI48" s="1648"/>
      <c r="GJ48" s="1651">
        <v>0</v>
      </c>
      <c r="GL48" s="1652"/>
      <c r="GM48" s="1748" t="s">
        <v>3016</v>
      </c>
      <c r="GN48" s="1714" t="s">
        <v>3017</v>
      </c>
      <c r="GO48" s="1711" t="s">
        <v>3018</v>
      </c>
      <c r="GP48" s="1711" t="s">
        <v>3019</v>
      </c>
      <c r="GQ48" s="1749">
        <v>6</v>
      </c>
      <c r="GR48" s="1711" t="s">
        <v>2944</v>
      </c>
      <c r="GS48" s="1712">
        <v>20</v>
      </c>
      <c r="GT48" s="1660">
        <v>25000</v>
      </c>
      <c r="GU48" s="1660"/>
      <c r="GV48" s="1660"/>
      <c r="GW48" s="1660"/>
      <c r="GX48" s="1660"/>
      <c r="GY48" s="1660"/>
      <c r="GZ48" s="1660"/>
      <c r="HA48" s="1660"/>
      <c r="HB48" s="1660"/>
      <c r="HC48" s="1660">
        <v>25000</v>
      </c>
      <c r="HD48" s="1660"/>
      <c r="HE48" s="1660"/>
      <c r="HF48" s="1660"/>
      <c r="HG48" s="1660">
        <v>0</v>
      </c>
      <c r="HH48" s="1660"/>
      <c r="HI48" s="1660"/>
      <c r="HJ48" s="1660"/>
      <c r="HK48" s="1660"/>
      <c r="HL48" s="1660"/>
      <c r="HM48" s="1660"/>
      <c r="HN48" s="1660"/>
      <c r="HO48" s="1660"/>
      <c r="HP48" s="1660"/>
      <c r="HQ48" s="1660"/>
      <c r="HR48" s="1660"/>
      <c r="HS48" s="1660"/>
      <c r="HT48" s="1660">
        <v>0</v>
      </c>
      <c r="HU48" s="1660"/>
      <c r="HV48" s="1660"/>
      <c r="HW48" s="1660"/>
      <c r="HX48" s="1660"/>
      <c r="HY48" s="1660"/>
      <c r="HZ48" s="1660"/>
      <c r="IA48" s="1660"/>
      <c r="IB48" s="1660"/>
      <c r="IC48" s="1660"/>
      <c r="ID48" s="1660"/>
      <c r="IE48" s="1660"/>
      <c r="IF48" s="1660"/>
      <c r="IG48" s="1660">
        <v>0</v>
      </c>
      <c r="IH48" s="1660"/>
      <c r="II48" s="1660"/>
      <c r="IJ48" s="1660"/>
      <c r="IK48" s="1660"/>
      <c r="IL48" s="1660"/>
      <c r="IM48" s="1660"/>
      <c r="IN48" s="1660"/>
      <c r="IO48" s="1660"/>
      <c r="IP48" s="1660"/>
      <c r="IQ48" s="1660"/>
      <c r="IR48" s="1660"/>
      <c r="IS48" s="1660"/>
      <c r="IT48" s="1662">
        <v>25000</v>
      </c>
      <c r="IU48" s="1662">
        <v>0</v>
      </c>
      <c r="IV48" s="1713"/>
    </row>
    <row r="49" spans="2:256" s="1504" customFormat="1" ht="16.5" collapsed="1">
      <c r="B49" s="1493"/>
      <c r="C49" s="1493" t="s">
        <v>3020</v>
      </c>
      <c r="D49" s="1494"/>
      <c r="E49" s="1608"/>
      <c r="F49" s="1609"/>
      <c r="G49" s="1610"/>
      <c r="H49" s="1609"/>
      <c r="I49" s="1609"/>
      <c r="J49" s="1610"/>
      <c r="K49" s="1609"/>
      <c r="L49" s="1609"/>
      <c r="M49" s="1775"/>
      <c r="N49" s="1615"/>
      <c r="O49" s="1615"/>
      <c r="P49" s="1615"/>
      <c r="Q49" s="1612">
        <f t="shared" si="6"/>
        <v>0</v>
      </c>
      <c r="R49" s="1613"/>
      <c r="S49" s="1589"/>
      <c r="T49" s="1611"/>
      <c r="U49" s="1589"/>
      <c r="V49" s="1589"/>
      <c r="W49" s="1611"/>
      <c r="X49" s="1589"/>
      <c r="Y49" s="1589"/>
      <c r="Z49" s="1611"/>
      <c r="AA49" s="1589"/>
      <c r="AB49" s="1589"/>
      <c r="AC49" s="1589"/>
      <c r="AD49" s="1612">
        <f t="shared" si="29"/>
        <v>0</v>
      </c>
      <c r="AE49" s="1613"/>
      <c r="AF49" s="1589"/>
      <c r="AG49" s="1611"/>
      <c r="AH49" s="1589"/>
      <c r="AI49" s="1589"/>
      <c r="AJ49" s="1611"/>
      <c r="AK49" s="1589"/>
      <c r="AL49" s="1589"/>
      <c r="AM49" s="1611"/>
      <c r="AN49" s="1589"/>
      <c r="AO49" s="1589"/>
      <c r="AP49" s="1589"/>
      <c r="AQ49" s="1612">
        <f t="shared" si="31"/>
        <v>0</v>
      </c>
      <c r="AR49" s="1613"/>
      <c r="AS49" s="1589"/>
      <c r="AT49" s="1611"/>
      <c r="AU49" s="1589"/>
      <c r="AV49" s="1589"/>
      <c r="AW49" s="1611"/>
      <c r="AX49" s="1589"/>
      <c r="AY49" s="1589"/>
      <c r="AZ49" s="1611"/>
      <c r="BA49" s="1589"/>
      <c r="BB49" s="1589"/>
      <c r="BC49" s="1589"/>
      <c r="BD49" s="1614">
        <f t="shared" si="33"/>
        <v>0</v>
      </c>
      <c r="BE49" s="1509"/>
      <c r="BF49" s="1759">
        <f t="shared" si="34"/>
        <v>1554.5671384856505</v>
      </c>
      <c r="BG49" s="1791" t="s">
        <v>3021</v>
      </c>
      <c r="BH49" s="1617" t="s">
        <v>2974</v>
      </c>
      <c r="BI49" s="1558" t="s">
        <v>3022</v>
      </c>
      <c r="BJ49" s="1558" t="s">
        <v>3022</v>
      </c>
      <c r="BK49" s="1616" t="s">
        <v>2976</v>
      </c>
      <c r="BL49" s="1558" t="s">
        <v>3022</v>
      </c>
      <c r="BM49" s="1616" t="s">
        <v>3023</v>
      </c>
      <c r="BN49" s="1498"/>
      <c r="BO49" s="1498"/>
      <c r="BP49" s="1645" t="s">
        <v>3024</v>
      </c>
      <c r="BQ49" s="1616" t="s">
        <v>2976</v>
      </c>
      <c r="BR49" s="1616" t="s">
        <v>2874</v>
      </c>
      <c r="BS49" s="1498"/>
      <c r="BT49" s="1616" t="s">
        <v>3024</v>
      </c>
      <c r="BU49" s="1558" t="s">
        <v>3025</v>
      </c>
      <c r="BV49" s="1558" t="s">
        <v>2874</v>
      </c>
      <c r="BW49" s="1498"/>
      <c r="BX49" s="1616" t="s">
        <v>3024</v>
      </c>
      <c r="BY49" s="1558" t="s">
        <v>3025</v>
      </c>
      <c r="BZ49" s="1558" t="s">
        <v>2874</v>
      </c>
      <c r="CA49" s="815"/>
      <c r="CB49" s="1558" t="s">
        <v>3026</v>
      </c>
      <c r="CC49" s="1617"/>
      <c r="CD49" s="815"/>
      <c r="CE49" s="1617"/>
      <c r="CF49" s="1759"/>
      <c r="CG49" s="1559"/>
      <c r="CH49" s="1647"/>
      <c r="CI49" s="1648" t="e">
        <v>#REF!</v>
      </c>
      <c r="CJ49" s="1648" t="e">
        <v>#REF!</v>
      </c>
      <c r="CK49" s="1648" t="e">
        <v>#REF!</v>
      </c>
      <c r="CL49" s="1649" t="e">
        <v>#REF!</v>
      </c>
      <c r="CM49" s="1648" t="e">
        <v>#REF!</v>
      </c>
      <c r="CN49" s="1650" t="e">
        <v>#REF!</v>
      </c>
      <c r="CO49" s="1649" t="e">
        <v>#REF!</v>
      </c>
      <c r="CP49" s="1648" t="e">
        <v>#REF!</v>
      </c>
      <c r="CQ49" s="1650" t="e">
        <v>#REF!</v>
      </c>
      <c r="CR49" s="1648" t="e">
        <v>#REF!</v>
      </c>
      <c r="CS49" s="1648" t="e">
        <v>#REF!</v>
      </c>
      <c r="CT49" s="1648" t="e">
        <v>#REF!</v>
      </c>
      <c r="CU49" s="1678" t="e">
        <f t="shared" si="1"/>
        <v>#REF!</v>
      </c>
      <c r="CV49" s="1648" t="e">
        <v>#REF!</v>
      </c>
      <c r="CW49" s="1648" t="e">
        <v>#REF!</v>
      </c>
      <c r="CX49" s="1648" t="e">
        <v>#REF!</v>
      </c>
      <c r="CY49" s="1649" t="e">
        <v>#REF!</v>
      </c>
      <c r="CZ49" s="1648" t="e">
        <v>#REF!</v>
      </c>
      <c r="DA49" s="1650" t="e">
        <v>#REF!</v>
      </c>
      <c r="DB49" s="1649" t="e">
        <v>#REF!</v>
      </c>
      <c r="DC49" s="1648" t="e">
        <v>#REF!</v>
      </c>
      <c r="DD49" s="1650" t="e">
        <v>#REF!</v>
      </c>
      <c r="DE49" s="1648" t="e">
        <v>#REF!</v>
      </c>
      <c r="DF49" s="1648" t="e">
        <v>#REF!</v>
      </c>
      <c r="DG49" s="1648" t="e">
        <v>#REF!</v>
      </c>
      <c r="DH49" s="1678" t="e">
        <f t="shared" si="2"/>
        <v>#REF!</v>
      </c>
      <c r="DI49" s="1648" t="e">
        <v>#REF!</v>
      </c>
      <c r="DJ49" s="1648" t="e">
        <v>#REF!</v>
      </c>
      <c r="DK49" s="1648" t="e">
        <v>#REF!</v>
      </c>
      <c r="DL49" s="1649" t="e">
        <v>#REF!</v>
      </c>
      <c r="DM49" s="1648" t="e">
        <v>#REF!</v>
      </c>
      <c r="DN49" s="1650" t="e">
        <v>#REF!</v>
      </c>
      <c r="DO49" s="1649" t="e">
        <v>#REF!</v>
      </c>
      <c r="DP49" s="1648" t="e">
        <v>#REF!</v>
      </c>
      <c r="DQ49" s="1650" t="e">
        <v>#REF!</v>
      </c>
      <c r="DR49" s="1648" t="e">
        <v>#REF!</v>
      </c>
      <c r="DS49" s="1648" t="e">
        <v>#REF!</v>
      </c>
      <c r="DT49" s="1648" t="e">
        <v>#REF!</v>
      </c>
      <c r="DU49" s="1678" t="e">
        <f t="shared" si="3"/>
        <v>#REF!</v>
      </c>
      <c r="DV49" s="1648" t="e">
        <v>#REF!</v>
      </c>
      <c r="DW49" s="1648" t="e">
        <v>#REF!</v>
      </c>
      <c r="DX49" s="1648" t="e">
        <v>#REF!</v>
      </c>
      <c r="DY49" s="1649" t="e">
        <v>#REF!</v>
      </c>
      <c r="DZ49" s="1648" t="e">
        <v>#REF!</v>
      </c>
      <c r="EA49" s="1650" t="e">
        <v>#REF!</v>
      </c>
      <c r="EB49" s="1649" t="e">
        <v>#REF!</v>
      </c>
      <c r="EC49" s="1648" t="e">
        <v>#REF!</v>
      </c>
      <c r="ED49" s="1650" t="e">
        <v>#REF!</v>
      </c>
      <c r="EE49" s="1648" t="e">
        <v>#REF!</v>
      </c>
      <c r="EF49" s="1648" t="e">
        <v>#REF!</v>
      </c>
      <c r="EG49" s="1648" t="e">
        <v>#REF!</v>
      </c>
      <c r="EH49" s="1678" t="e">
        <f t="shared" si="4"/>
        <v>#REF!</v>
      </c>
      <c r="EJ49" s="1647"/>
      <c r="EK49" s="1648"/>
      <c r="EL49" s="1648"/>
      <c r="EM49" s="1648"/>
      <c r="EN49" s="1649"/>
      <c r="EO49" s="1648"/>
      <c r="EP49" s="1650"/>
      <c r="EQ49" s="1649"/>
      <c r="ER49" s="1648"/>
      <c r="ES49" s="1650"/>
      <c r="ET49" s="1648"/>
      <c r="EU49" s="1648"/>
      <c r="EV49" s="1648"/>
      <c r="EW49" s="1678">
        <v>0</v>
      </c>
      <c r="EX49" s="1648"/>
      <c r="EY49" s="1648"/>
      <c r="EZ49" s="1648"/>
      <c r="FA49" s="1648"/>
      <c r="FB49" s="1648"/>
      <c r="FC49" s="1648"/>
      <c r="FD49" s="1648"/>
      <c r="FE49" s="1648"/>
      <c r="FF49" s="1648"/>
      <c r="FG49" s="1648"/>
      <c r="FH49" s="1648"/>
      <c r="FI49" s="1648"/>
      <c r="FJ49" s="1678">
        <v>0</v>
      </c>
      <c r="FK49" s="1648"/>
      <c r="FL49" s="1648"/>
      <c r="FM49" s="1648"/>
      <c r="FN49" s="1649"/>
      <c r="FO49" s="1648"/>
      <c r="FP49" s="1650"/>
      <c r="FQ49" s="1649"/>
      <c r="FR49" s="1648"/>
      <c r="FS49" s="1650"/>
      <c r="FT49" s="1648"/>
      <c r="FU49" s="1648"/>
      <c r="FV49" s="1648"/>
      <c r="FW49" s="1678">
        <v>0</v>
      </c>
      <c r="FX49" s="1648"/>
      <c r="FY49" s="1648"/>
      <c r="FZ49" s="1648"/>
      <c r="GA49" s="1649"/>
      <c r="GB49" s="1648"/>
      <c r="GC49" s="1650"/>
      <c r="GD49" s="1649"/>
      <c r="GE49" s="1648"/>
      <c r="GF49" s="1650"/>
      <c r="GG49" s="1648"/>
      <c r="GH49" s="1648"/>
      <c r="GI49" s="1648"/>
      <c r="GJ49" s="1678">
        <v>0</v>
      </c>
      <c r="GL49" s="1623"/>
      <c r="GM49" s="1746" t="s">
        <v>3027</v>
      </c>
      <c r="GN49" s="1728" t="s">
        <v>3028</v>
      </c>
      <c r="GO49" s="1705" t="s">
        <v>3029</v>
      </c>
      <c r="GP49" s="1705" t="s">
        <v>3030</v>
      </c>
      <c r="GQ49" s="1747">
        <v>6</v>
      </c>
      <c r="GR49" s="1705" t="s">
        <v>3031</v>
      </c>
      <c r="GS49" s="1706">
        <v>20</v>
      </c>
      <c r="GT49" s="1631">
        <v>77000</v>
      </c>
      <c r="GU49" s="1631"/>
      <c r="GV49" s="1631"/>
      <c r="GW49" s="1631"/>
      <c r="GX49" s="1631"/>
      <c r="GY49" s="1631"/>
      <c r="GZ49" s="1631"/>
      <c r="HA49" s="1631"/>
      <c r="HB49" s="1631"/>
      <c r="HC49" s="1631">
        <v>63000</v>
      </c>
      <c r="HD49" s="1631">
        <v>14000</v>
      </c>
      <c r="HE49" s="1631"/>
      <c r="HF49" s="1631"/>
      <c r="HG49" s="1631">
        <v>0</v>
      </c>
      <c r="HH49" s="1631"/>
      <c r="HI49" s="1631"/>
      <c r="HJ49" s="1631"/>
      <c r="HK49" s="1631"/>
      <c r="HL49" s="1631"/>
      <c r="HM49" s="1631"/>
      <c r="HN49" s="1631"/>
      <c r="HO49" s="1631"/>
      <c r="HP49" s="1631"/>
      <c r="HQ49" s="1631"/>
      <c r="HR49" s="1631"/>
      <c r="HS49" s="1631"/>
      <c r="HT49" s="1631">
        <v>0</v>
      </c>
      <c r="HU49" s="1631"/>
      <c r="HV49" s="1631"/>
      <c r="HW49" s="1631"/>
      <c r="HX49" s="1631"/>
      <c r="HY49" s="1631"/>
      <c r="HZ49" s="1631"/>
      <c r="IA49" s="1631"/>
      <c r="IB49" s="1631"/>
      <c r="IC49" s="1631"/>
      <c r="ID49" s="1631"/>
      <c r="IE49" s="1631"/>
      <c r="IF49" s="1631"/>
      <c r="IG49" s="1631">
        <v>0</v>
      </c>
      <c r="IH49" s="1631"/>
      <c r="II49" s="1631"/>
      <c r="IJ49" s="1631"/>
      <c r="IK49" s="1631"/>
      <c r="IL49" s="1631"/>
      <c r="IM49" s="1631"/>
      <c r="IN49" s="1631"/>
      <c r="IO49" s="1631"/>
      <c r="IP49" s="1631"/>
      <c r="IQ49" s="1631"/>
      <c r="IR49" s="1631"/>
      <c r="IS49" s="1631"/>
      <c r="IT49" s="1633">
        <v>77000</v>
      </c>
      <c r="IU49" s="1633">
        <v>0</v>
      </c>
      <c r="IV49" s="1707"/>
    </row>
    <row r="50" spans="2:256" s="1543" customFormat="1" ht="16.5">
      <c r="B50" s="1493"/>
      <c r="C50" s="1493" t="s">
        <v>3032</v>
      </c>
      <c r="D50" s="1494"/>
      <c r="E50" s="1608">
        <v>-0.30421900000000002</v>
      </c>
      <c r="F50" s="1609"/>
      <c r="G50" s="1610"/>
      <c r="H50" s="1609"/>
      <c r="I50" s="1609">
        <v>16.151</v>
      </c>
      <c r="J50" s="1610">
        <v>71.056790000000007</v>
      </c>
      <c r="K50" s="1609">
        <v>211.10950700000001</v>
      </c>
      <c r="L50" s="1785">
        <v>598.32500000000005</v>
      </c>
      <c r="M50" s="1786">
        <v>0</v>
      </c>
      <c r="N50" s="1787">
        <v>0</v>
      </c>
      <c r="O50" s="1787">
        <v>0</v>
      </c>
      <c r="P50" s="1787">
        <v>0</v>
      </c>
      <c r="Q50" s="1612">
        <f t="shared" si="6"/>
        <v>896.338078</v>
      </c>
      <c r="R50" s="1613">
        <v>0</v>
      </c>
      <c r="S50" s="1589">
        <v>0</v>
      </c>
      <c r="T50" s="1611">
        <v>75.7</v>
      </c>
      <c r="U50" s="1589">
        <v>0</v>
      </c>
      <c r="V50" s="1589">
        <v>0</v>
      </c>
      <c r="W50" s="1611">
        <v>24.1</v>
      </c>
      <c r="X50" s="1589">
        <v>0</v>
      </c>
      <c r="Y50" s="1589">
        <v>0</v>
      </c>
      <c r="Z50" s="1611">
        <v>0</v>
      </c>
      <c r="AA50" s="1589">
        <v>0</v>
      </c>
      <c r="AB50" s="1589">
        <v>13.1</v>
      </c>
      <c r="AC50" s="1589">
        <v>0</v>
      </c>
      <c r="AD50" s="1612">
        <f t="shared" si="29"/>
        <v>112.9</v>
      </c>
      <c r="AE50" s="1613">
        <v>0</v>
      </c>
      <c r="AF50" s="1589">
        <v>0</v>
      </c>
      <c r="AG50" s="1611">
        <v>0</v>
      </c>
      <c r="AH50" s="1589">
        <v>0</v>
      </c>
      <c r="AI50" s="1589">
        <v>0</v>
      </c>
      <c r="AJ50" s="1611">
        <v>398.9</v>
      </c>
      <c r="AK50" s="1589">
        <v>0</v>
      </c>
      <c r="AL50" s="1589">
        <v>0</v>
      </c>
      <c r="AM50" s="1611">
        <v>0</v>
      </c>
      <c r="AN50" s="1589">
        <v>101.6</v>
      </c>
      <c r="AO50" s="1589">
        <v>0</v>
      </c>
      <c r="AP50" s="1589">
        <v>0</v>
      </c>
      <c r="AQ50" s="1612">
        <f t="shared" si="31"/>
        <v>500.5</v>
      </c>
      <c r="AR50" s="1613">
        <v>0</v>
      </c>
      <c r="AS50" s="1589">
        <v>0</v>
      </c>
      <c r="AT50" s="1611">
        <v>0</v>
      </c>
      <c r="AU50" s="1589">
        <v>0</v>
      </c>
      <c r="AV50" s="1589">
        <v>0</v>
      </c>
      <c r="AW50" s="1611">
        <v>0</v>
      </c>
      <c r="AX50" s="1589">
        <v>0</v>
      </c>
      <c r="AY50" s="1589">
        <v>0</v>
      </c>
      <c r="AZ50" s="1611">
        <v>0</v>
      </c>
      <c r="BA50" s="1589">
        <v>0</v>
      </c>
      <c r="BB50" s="1589">
        <v>0</v>
      </c>
      <c r="BC50" s="1589">
        <v>0</v>
      </c>
      <c r="BD50" s="1614">
        <f t="shared" si="33"/>
        <v>0</v>
      </c>
      <c r="BE50" s="1793"/>
      <c r="BF50" s="1794"/>
      <c r="BG50" s="1497" t="s">
        <v>2992</v>
      </c>
      <c r="BH50" s="1499">
        <v>54000</v>
      </c>
      <c r="BI50" s="1646">
        <v>809.58852635133837</v>
      </c>
      <c r="BJ50" s="1795">
        <v>786.83597182382232</v>
      </c>
      <c r="BK50" s="1499">
        <v>50950.739000000001</v>
      </c>
      <c r="BL50" s="1646">
        <v>791.15852140605307</v>
      </c>
      <c r="BM50" s="1777">
        <f>BJ50-BL50</f>
        <v>-4.3225495822307494</v>
      </c>
      <c r="BN50" s="1796"/>
      <c r="BO50" s="1797"/>
      <c r="BP50" s="1760">
        <f>BJ50*BH50*$BK$46</f>
        <v>50802214019.639732</v>
      </c>
      <c r="BQ50" s="1760">
        <f>BK50*BL50*$BK$46</f>
        <v>48196851797.368484</v>
      </c>
      <c r="BR50" s="1499">
        <f>BP50-BQ50</f>
        <v>2605362222.2712479</v>
      </c>
      <c r="BS50" s="1498"/>
      <c r="BT50" s="1798">
        <f>BH50/$BH$53</f>
        <v>0.6067415730337079</v>
      </c>
      <c r="BU50" s="1799">
        <f>BU44/$BU$47</f>
        <v>0.60055448975471015</v>
      </c>
      <c r="BV50" s="1591">
        <f>BT50-BU50</f>
        <v>6.1870832789977515E-3</v>
      </c>
      <c r="BW50" s="1800"/>
      <c r="BX50" s="1801">
        <f t="shared" ref="BX50:BY52" si="39">$BH$53*BT50</f>
        <v>54000</v>
      </c>
      <c r="BY50" s="1801">
        <f t="shared" si="39"/>
        <v>53449.349588169207</v>
      </c>
      <c r="BZ50" s="1801">
        <f>BX50-BY50</f>
        <v>550.65041183079302</v>
      </c>
      <c r="CA50" s="1791"/>
      <c r="CB50" s="1802">
        <f>BZ50*BJ50*$BK$46</f>
        <v>518041853.18205011</v>
      </c>
      <c r="CC50" s="1800"/>
      <c r="CD50" s="1791"/>
      <c r="CE50" s="1803"/>
      <c r="CF50" s="1794"/>
      <c r="CG50" s="1559"/>
      <c r="CH50" s="1688" t="s">
        <v>2926</v>
      </c>
      <c r="CI50" s="1689">
        <f>SUM(CI23:CI46)</f>
        <v>2581242395.9995365</v>
      </c>
      <c r="CJ50" s="1689">
        <f t="shared" ref="CJ50:CT50" si="40">SUM(CJ23:CJ46)</f>
        <v>2468207209</v>
      </c>
      <c r="CK50" s="1689">
        <f t="shared" si="40"/>
        <v>2429614928</v>
      </c>
      <c r="CL50" s="1690">
        <f t="shared" si="40"/>
        <v>2397427741</v>
      </c>
      <c r="CM50" s="1689">
        <f t="shared" si="40"/>
        <v>2433377805</v>
      </c>
      <c r="CN50" s="1691">
        <f t="shared" si="40"/>
        <v>2900795796</v>
      </c>
      <c r="CO50" s="1690">
        <f t="shared" si="40"/>
        <v>2588446671</v>
      </c>
      <c r="CP50" s="1689">
        <f t="shared" si="40"/>
        <v>2480088092</v>
      </c>
      <c r="CQ50" s="1691">
        <f t="shared" si="40"/>
        <v>2600564919.841784</v>
      </c>
      <c r="CR50" s="1689">
        <f t="shared" si="40"/>
        <v>2656054418.5335093</v>
      </c>
      <c r="CS50" s="1689">
        <f t="shared" si="40"/>
        <v>2943309705.6517839</v>
      </c>
      <c r="CT50" s="1689">
        <f t="shared" si="40"/>
        <v>2932159803.481287</v>
      </c>
      <c r="CU50" s="1692">
        <f t="shared" si="1"/>
        <v>31411289485.507896</v>
      </c>
      <c r="CV50" s="1689">
        <f>SUM(CV23:CV46)</f>
        <v>2789507399.9220119</v>
      </c>
      <c r="CW50" s="1689">
        <f t="shared" ref="CW50:DG50" si="41">SUM(CW23:CW46)</f>
        <v>2623249931.5722499</v>
      </c>
      <c r="CX50" s="1689">
        <f t="shared" si="41"/>
        <v>2837077930.8701363</v>
      </c>
      <c r="CY50" s="1690">
        <f t="shared" si="41"/>
        <v>2582917896.6616845</v>
      </c>
      <c r="CZ50" s="1689">
        <f t="shared" si="41"/>
        <v>2860253573.6753454</v>
      </c>
      <c r="DA50" s="1691">
        <f t="shared" si="41"/>
        <v>2879328409.2150178</v>
      </c>
      <c r="DB50" s="1690">
        <f t="shared" si="41"/>
        <v>2800043564.0086789</v>
      </c>
      <c r="DC50" s="1689">
        <f t="shared" si="41"/>
        <v>2720590380.5086784</v>
      </c>
      <c r="DD50" s="1691">
        <f t="shared" si="41"/>
        <v>2666669163.4400177</v>
      </c>
      <c r="DE50" s="1689">
        <f t="shared" si="41"/>
        <v>2576813165.4559007</v>
      </c>
      <c r="DF50" s="1689">
        <f t="shared" si="41"/>
        <v>2950290123.9992533</v>
      </c>
      <c r="DG50" s="1689">
        <f t="shared" si="41"/>
        <v>2931177740.3447909</v>
      </c>
      <c r="DH50" s="1692">
        <f t="shared" si="2"/>
        <v>33217919279.673767</v>
      </c>
      <c r="DI50" s="1689">
        <f>SUM(DI23:DI46)</f>
        <v>2792352808.3786373</v>
      </c>
      <c r="DJ50" s="1689">
        <f t="shared" ref="DJ50:DT50" si="42">SUM(DJ23:DJ46)</f>
        <v>2646226136.1976962</v>
      </c>
      <c r="DK50" s="1689">
        <f t="shared" si="42"/>
        <v>2823096381.3786378</v>
      </c>
      <c r="DL50" s="1690">
        <f t="shared" si="42"/>
        <v>2564361797.418324</v>
      </c>
      <c r="DM50" s="1689">
        <f t="shared" si="42"/>
        <v>2932481065.8305483</v>
      </c>
      <c r="DN50" s="1691">
        <f t="shared" si="42"/>
        <v>2846836387.3435388</v>
      </c>
      <c r="DO50" s="1690">
        <f t="shared" si="42"/>
        <v>3308115336.3385925</v>
      </c>
      <c r="DP50" s="1689">
        <f t="shared" si="42"/>
        <v>2757838395.892343</v>
      </c>
      <c r="DQ50" s="1691">
        <f t="shared" si="42"/>
        <v>2700364990.3320293</v>
      </c>
      <c r="DR50" s="1689">
        <f t="shared" si="42"/>
        <v>2644677468.1701207</v>
      </c>
      <c r="DS50" s="1689">
        <f t="shared" si="42"/>
        <v>2933614405.2209182</v>
      </c>
      <c r="DT50" s="1689">
        <f t="shared" si="42"/>
        <v>2981683427.5034537</v>
      </c>
      <c r="DU50" s="1692">
        <f t="shared" si="3"/>
        <v>33931648600.004833</v>
      </c>
      <c r="DV50" s="1689">
        <f>SUM(DV23:DV46)</f>
        <v>2952910705.6073956</v>
      </c>
      <c r="DW50" s="1689">
        <f t="shared" ref="DW50:EG50" si="43">SUM(DW23:DW46)</f>
        <v>2854940142.7661953</v>
      </c>
      <c r="DX50" s="1689">
        <f t="shared" si="43"/>
        <v>2991575719.7263288</v>
      </c>
      <c r="DY50" s="1690">
        <f t="shared" si="43"/>
        <v>2729466244.4037638</v>
      </c>
      <c r="DZ50" s="1689">
        <f t="shared" si="43"/>
        <v>3001043785.2967401</v>
      </c>
      <c r="EA50" s="1691">
        <f t="shared" si="43"/>
        <v>3007950792.7375846</v>
      </c>
      <c r="EB50" s="1690">
        <f t="shared" si="43"/>
        <v>2954471202.6300731</v>
      </c>
      <c r="EC50" s="1689">
        <f t="shared" si="43"/>
        <v>2915053422.8800731</v>
      </c>
      <c r="ED50" s="1691">
        <f t="shared" si="43"/>
        <v>2816929443.2875848</v>
      </c>
      <c r="EE50" s="1689">
        <f t="shared" si="43"/>
        <v>2476755665.6800733</v>
      </c>
      <c r="EF50" s="1689">
        <f t="shared" si="43"/>
        <v>2747449588.717629</v>
      </c>
      <c r="EG50" s="1689">
        <f t="shared" si="43"/>
        <v>2723058206.2911849</v>
      </c>
      <c r="EH50" s="1692">
        <f t="shared" si="4"/>
        <v>34171604920.024624</v>
      </c>
      <c r="EI50" s="1493"/>
      <c r="EJ50" s="1688" t="s">
        <v>2926</v>
      </c>
      <c r="EK50" s="1689">
        <v>113535311</v>
      </c>
      <c r="EL50" s="1689">
        <v>101877858</v>
      </c>
      <c r="EM50" s="1689">
        <v>117400986</v>
      </c>
      <c r="EN50" s="1690">
        <v>91095850</v>
      </c>
      <c r="EO50" s="1689">
        <v>105052653</v>
      </c>
      <c r="EP50" s="1691">
        <v>53289689</v>
      </c>
      <c r="EQ50" s="1690">
        <v>113706841</v>
      </c>
      <c r="ER50" s="1689">
        <v>111854861</v>
      </c>
      <c r="ES50" s="1691">
        <v>108673457.2094193</v>
      </c>
      <c r="ET50" s="1689">
        <v>118973947.79070592</v>
      </c>
      <c r="EU50" s="1689">
        <v>124513960.57812694</v>
      </c>
      <c r="EV50" s="1689">
        <v>113072357.19055818</v>
      </c>
      <c r="EW50" s="1692">
        <v>1273047771.7688103</v>
      </c>
      <c r="EX50" s="1689">
        <v>126912001.8719293</v>
      </c>
      <c r="EY50" s="1689">
        <v>106539208.10794362</v>
      </c>
      <c r="EZ50" s="1689">
        <v>142402347.73233467</v>
      </c>
      <c r="FA50" s="1689">
        <v>113231124.48972784</v>
      </c>
      <c r="FB50" s="1689">
        <v>77898011.857037827</v>
      </c>
      <c r="FC50" s="1689">
        <v>105705710.83102034</v>
      </c>
      <c r="FD50" s="1689">
        <v>113156478.77101192</v>
      </c>
      <c r="FE50" s="1689">
        <v>133011640.81833784</v>
      </c>
      <c r="FF50" s="1689">
        <v>114736317.23763393</v>
      </c>
      <c r="FG50" s="1689">
        <v>113314172.63230301</v>
      </c>
      <c r="FH50" s="1689">
        <v>129010415.37497132</v>
      </c>
      <c r="FI50" s="1689">
        <v>226348934.21717244</v>
      </c>
      <c r="FJ50" s="1692">
        <v>1502266363.9414241</v>
      </c>
      <c r="FK50" s="1689">
        <v>133376044.16324131</v>
      </c>
      <c r="FL50" s="1689">
        <v>110685611.81418179</v>
      </c>
      <c r="FM50" s="1689">
        <v>162588234.58002985</v>
      </c>
      <c r="FN50" s="1690">
        <v>122202042.09434772</v>
      </c>
      <c r="FO50" s="1689">
        <v>119879226.09989625</v>
      </c>
      <c r="FP50" s="1691">
        <v>91357658.945538655</v>
      </c>
      <c r="FQ50" s="1690">
        <v>117482951.58126944</v>
      </c>
      <c r="FR50" s="1689">
        <v>139035400.84219408</v>
      </c>
      <c r="FS50" s="1691">
        <v>118092969.51432885</v>
      </c>
      <c r="FT50" s="1689">
        <v>119893962.8298275</v>
      </c>
      <c r="FU50" s="1689">
        <v>131106945.93452738</v>
      </c>
      <c r="FV50" s="1689">
        <v>146718706.67305806</v>
      </c>
      <c r="FW50" s="1692">
        <v>1512419755.0724409</v>
      </c>
      <c r="FX50" s="1689">
        <v>135110623.19569865</v>
      </c>
      <c r="FY50" s="1689">
        <v>111260823.92125776</v>
      </c>
      <c r="FZ50" s="1689">
        <v>164257813.02728593</v>
      </c>
      <c r="GA50" s="1690">
        <v>122923813.51452939</v>
      </c>
      <c r="GB50" s="1689">
        <v>79768660.563460335</v>
      </c>
      <c r="GC50" s="1691">
        <v>111332309.92136307</v>
      </c>
      <c r="GD50" s="1690">
        <v>118877054.75709985</v>
      </c>
      <c r="GE50" s="1689">
        <v>139042389.96298212</v>
      </c>
      <c r="GF50" s="1691">
        <v>119850238.36117196</v>
      </c>
      <c r="GG50" s="1689">
        <v>119033539.47485676</v>
      </c>
      <c r="GH50" s="1689">
        <v>134331624.644474</v>
      </c>
      <c r="GI50" s="1689">
        <v>149252992.56909513</v>
      </c>
      <c r="GJ50" s="1692">
        <v>1505041883.9132752</v>
      </c>
      <c r="GL50" s="1652"/>
      <c r="GM50" s="1748" t="s">
        <v>3033</v>
      </c>
      <c r="GN50" s="1714" t="s">
        <v>3034</v>
      </c>
      <c r="GO50" s="1711" t="s">
        <v>3029</v>
      </c>
      <c r="GP50" s="1711" t="s">
        <v>3030</v>
      </c>
      <c r="GQ50" s="1749">
        <v>6</v>
      </c>
      <c r="GR50" s="1711" t="s">
        <v>3031</v>
      </c>
      <c r="GS50" s="1712">
        <v>20</v>
      </c>
      <c r="GT50" s="1660">
        <v>70000</v>
      </c>
      <c r="GU50" s="1660"/>
      <c r="GV50" s="1660"/>
      <c r="GW50" s="1660">
        <v>14600</v>
      </c>
      <c r="GX50" s="1660">
        <v>41400</v>
      </c>
      <c r="GY50" s="1660"/>
      <c r="GZ50" s="1660"/>
      <c r="HA50" s="1660"/>
      <c r="HB50" s="1660"/>
      <c r="HC50" s="1660">
        <v>14000</v>
      </c>
      <c r="HD50" s="1660"/>
      <c r="HE50" s="1660"/>
      <c r="HF50" s="1660"/>
      <c r="HG50" s="1660">
        <v>0</v>
      </c>
      <c r="HH50" s="1660"/>
      <c r="HI50" s="1660"/>
      <c r="HJ50" s="1660"/>
      <c r="HK50" s="1660"/>
      <c r="HL50" s="1660"/>
      <c r="HM50" s="1660"/>
      <c r="HN50" s="1660"/>
      <c r="HO50" s="1660"/>
      <c r="HP50" s="1660"/>
      <c r="HQ50" s="1660"/>
      <c r="HR50" s="1660"/>
      <c r="HS50" s="1660"/>
      <c r="HT50" s="1660">
        <v>0</v>
      </c>
      <c r="HU50" s="1660"/>
      <c r="HV50" s="1660"/>
      <c r="HW50" s="1660"/>
      <c r="HX50" s="1660"/>
      <c r="HY50" s="1660"/>
      <c r="HZ50" s="1660"/>
      <c r="IA50" s="1660"/>
      <c r="IB50" s="1660"/>
      <c r="IC50" s="1660"/>
      <c r="ID50" s="1660"/>
      <c r="IE50" s="1660"/>
      <c r="IF50" s="1660"/>
      <c r="IG50" s="1660">
        <v>0</v>
      </c>
      <c r="IH50" s="1660"/>
      <c r="II50" s="1660"/>
      <c r="IJ50" s="1660"/>
      <c r="IK50" s="1660"/>
      <c r="IL50" s="1660"/>
      <c r="IM50" s="1660"/>
      <c r="IN50" s="1660"/>
      <c r="IO50" s="1660"/>
      <c r="IP50" s="1660"/>
      <c r="IQ50" s="1660"/>
      <c r="IR50" s="1660"/>
      <c r="IS50" s="1660"/>
      <c r="IT50" s="1662">
        <v>70000</v>
      </c>
      <c r="IU50" s="1662">
        <v>0</v>
      </c>
      <c r="IV50" s="1713"/>
    </row>
    <row r="51" spans="2:256" s="1504" customFormat="1" ht="17.25" thickBot="1">
      <c r="B51" s="1493"/>
      <c r="C51" s="1493" t="s">
        <v>3035</v>
      </c>
      <c r="D51" s="1494"/>
      <c r="E51" s="1608">
        <v>39.054889000000003</v>
      </c>
      <c r="F51" s="1609">
        <v>106.994741</v>
      </c>
      <c r="G51" s="1610">
        <v>127.214438</v>
      </c>
      <c r="H51" s="1609">
        <v>77.004088999999993</v>
      </c>
      <c r="I51" s="1609">
        <v>40.108601999999998</v>
      </c>
      <c r="J51" s="1610">
        <v>57.412869999999998</v>
      </c>
      <c r="K51" s="1609">
        <v>40.894773999999998</v>
      </c>
      <c r="L51" s="1609">
        <v>9.7268179999999997</v>
      </c>
      <c r="M51" s="1775"/>
      <c r="N51" s="1615"/>
      <c r="O51" s="1615"/>
      <c r="P51" s="1615"/>
      <c r="Q51" s="1612">
        <f t="shared" si="6"/>
        <v>498.41122099999995</v>
      </c>
      <c r="R51" s="1613"/>
      <c r="S51" s="1589"/>
      <c r="T51" s="1611"/>
      <c r="U51" s="1589"/>
      <c r="V51" s="1589"/>
      <c r="W51" s="1611"/>
      <c r="X51" s="1589"/>
      <c r="Y51" s="1589"/>
      <c r="Z51" s="1611"/>
      <c r="AA51" s="1589"/>
      <c r="AB51" s="1589"/>
      <c r="AC51" s="1589"/>
      <c r="AD51" s="1612">
        <f t="shared" si="29"/>
        <v>0</v>
      </c>
      <c r="AE51" s="1613"/>
      <c r="AF51" s="1589"/>
      <c r="AG51" s="1611"/>
      <c r="AH51" s="1589"/>
      <c r="AI51" s="1589"/>
      <c r="AJ51" s="1611"/>
      <c r="AK51" s="1589"/>
      <c r="AL51" s="1589"/>
      <c r="AM51" s="1611"/>
      <c r="AN51" s="1589"/>
      <c r="AO51" s="1589"/>
      <c r="AP51" s="1589"/>
      <c r="AQ51" s="1612">
        <f t="shared" si="31"/>
        <v>0</v>
      </c>
      <c r="AR51" s="1613"/>
      <c r="AS51" s="1589"/>
      <c r="AT51" s="1611"/>
      <c r="AU51" s="1589"/>
      <c r="AV51" s="1589"/>
      <c r="AW51" s="1611"/>
      <c r="AX51" s="1589"/>
      <c r="AY51" s="1589"/>
      <c r="AZ51" s="1611"/>
      <c r="BA51" s="1589"/>
      <c r="BB51" s="1589"/>
      <c r="BC51" s="1589"/>
      <c r="BD51" s="1614">
        <f t="shared" si="33"/>
        <v>0</v>
      </c>
      <c r="BE51" s="1509"/>
      <c r="BF51" s="1759">
        <f>AD36-Q36</f>
        <v>58.351398124614207</v>
      </c>
      <c r="BG51" s="1497" t="s">
        <v>2997</v>
      </c>
      <c r="BH51" s="1499">
        <v>20500</v>
      </c>
      <c r="BI51" s="1646">
        <v>755.79428532910379</v>
      </c>
      <c r="BJ51" s="1795">
        <v>727.22721990045409</v>
      </c>
      <c r="BK51" s="1499">
        <v>18325.267</v>
      </c>
      <c r="BL51" s="1646">
        <v>769.15894797107239</v>
      </c>
      <c r="BM51" s="1777">
        <f>BJ51-BL51</f>
        <v>-41.931728070618306</v>
      </c>
      <c r="BN51" s="1796"/>
      <c r="BO51" s="1797"/>
      <c r="BP51" s="1760">
        <f>BJ51*BH51*$BK$46</f>
        <v>17824963969.146561</v>
      </c>
      <c r="BQ51" s="1760">
        <f>BK51*BL51*$BK$46</f>
        <v>16852761758.7208</v>
      </c>
      <c r="BR51" s="1499">
        <f>BP51-BQ51</f>
        <v>972202210.42576027</v>
      </c>
      <c r="BS51" s="1498"/>
      <c r="BT51" s="1798">
        <f>BH51/$BH$53</f>
        <v>0.2303370786516854</v>
      </c>
      <c r="BU51" s="1799">
        <f>BU45/$BU$47</f>
        <v>0.225715931745892</v>
      </c>
      <c r="BV51" s="1591">
        <f>BT51-BU51</f>
        <v>4.6211469057934051E-3</v>
      </c>
      <c r="BW51" s="1617"/>
      <c r="BX51" s="1801">
        <f t="shared" si="39"/>
        <v>20500</v>
      </c>
      <c r="BY51" s="1801">
        <f t="shared" si="39"/>
        <v>20088.717925384386</v>
      </c>
      <c r="BZ51" s="1801">
        <f>BX51-BY51</f>
        <v>411.28207461561396</v>
      </c>
      <c r="CA51" s="815"/>
      <c r="CB51" s="1802">
        <f>BZ51*BJ51*$BK$46</f>
        <v>357614056.6428861</v>
      </c>
      <c r="CC51" s="1617"/>
      <c r="CD51" s="815"/>
      <c r="CE51" s="1617"/>
      <c r="CF51" s="1759"/>
      <c r="CG51" s="1559"/>
      <c r="CH51" s="1804" t="s">
        <v>3036</v>
      </c>
      <c r="CI51" s="1805">
        <f>CI22+CI50</f>
        <v>2918642102.9995365</v>
      </c>
      <c r="CJ51" s="1805">
        <f t="shared" ref="CJ51:DG51" si="44">CJ22+CJ50</f>
        <v>2832981462</v>
      </c>
      <c r="CK51" s="1805">
        <f t="shared" si="44"/>
        <v>2818020081</v>
      </c>
      <c r="CL51" s="1806">
        <f t="shared" si="44"/>
        <v>2779746749</v>
      </c>
      <c r="CM51" s="1805">
        <f t="shared" si="44"/>
        <v>2814030141</v>
      </c>
      <c r="CN51" s="1807">
        <f t="shared" si="44"/>
        <v>3267559673</v>
      </c>
      <c r="CO51" s="1806">
        <f t="shared" si="44"/>
        <v>2970886132</v>
      </c>
      <c r="CP51" s="1805">
        <f t="shared" si="44"/>
        <v>2864184037</v>
      </c>
      <c r="CQ51" s="1807">
        <f t="shared" si="44"/>
        <v>3105130295.2417841</v>
      </c>
      <c r="CR51" s="1805">
        <f t="shared" si="44"/>
        <v>3066140867.7335091</v>
      </c>
      <c r="CS51" s="1805">
        <f t="shared" si="44"/>
        <v>3353396154.8517838</v>
      </c>
      <c r="CT51" s="1805">
        <f t="shared" si="44"/>
        <v>3345496152.6812868</v>
      </c>
      <c r="CU51" s="1808">
        <f t="shared" si="1"/>
        <v>36136213848.507896</v>
      </c>
      <c r="CV51" s="1805">
        <f t="shared" si="44"/>
        <v>3154608184.7126784</v>
      </c>
      <c r="CW51" s="1805">
        <f t="shared" si="44"/>
        <v>3034116216.3629165</v>
      </c>
      <c r="CX51" s="1805">
        <f t="shared" si="44"/>
        <v>3251194115.6608028</v>
      </c>
      <c r="CY51" s="1806">
        <f t="shared" si="44"/>
        <v>2993784181.4523511</v>
      </c>
      <c r="CZ51" s="1805">
        <f t="shared" si="44"/>
        <v>3271119858.466012</v>
      </c>
      <c r="DA51" s="1807">
        <f t="shared" si="44"/>
        <v>3293444594.0056844</v>
      </c>
      <c r="DB51" s="1806">
        <f t="shared" si="44"/>
        <v>3210909848.7993455</v>
      </c>
      <c r="DC51" s="1805">
        <f t="shared" si="44"/>
        <v>3131456665.299345</v>
      </c>
      <c r="DD51" s="1807">
        <f t="shared" si="44"/>
        <v>3194522878.5066843</v>
      </c>
      <c r="DE51" s="1805">
        <f t="shared" si="44"/>
        <v>3003681654.5225673</v>
      </c>
      <c r="DF51" s="1805">
        <f t="shared" si="44"/>
        <v>3377158613.0659199</v>
      </c>
      <c r="DG51" s="1805">
        <f t="shared" si="44"/>
        <v>3361296129.4114575</v>
      </c>
      <c r="DH51" s="1808">
        <f t="shared" si="2"/>
        <v>38277292940.265762</v>
      </c>
      <c r="DI51" s="1805">
        <f t="shared" ref="DI51:DT51" si="45">DI22+DI50</f>
        <v>3219829718.0326376</v>
      </c>
      <c r="DJ51" s="1805">
        <f t="shared" si="45"/>
        <v>3063953345.851696</v>
      </c>
      <c r="DK51" s="1805">
        <f t="shared" si="45"/>
        <v>3244073491.0326376</v>
      </c>
      <c r="DL51" s="1806">
        <f t="shared" si="45"/>
        <v>2982089007.0723238</v>
      </c>
      <c r="DM51" s="1805">
        <f t="shared" si="45"/>
        <v>3350208275.4845486</v>
      </c>
      <c r="DN51" s="1807">
        <f t="shared" si="45"/>
        <v>3267813496.9975386</v>
      </c>
      <c r="DO51" s="1806">
        <f t="shared" si="45"/>
        <v>3725842545.9925928</v>
      </c>
      <c r="DP51" s="1805">
        <f t="shared" si="45"/>
        <v>3175565605.5463428</v>
      </c>
      <c r="DQ51" s="1807">
        <f t="shared" si="45"/>
        <v>3227212055.6820292</v>
      </c>
      <c r="DR51" s="1805">
        <f t="shared" si="45"/>
        <v>3078625058.7201209</v>
      </c>
      <c r="DS51" s="1805">
        <f t="shared" si="45"/>
        <v>3367561995.7709184</v>
      </c>
      <c r="DT51" s="1805">
        <f t="shared" si="45"/>
        <v>3418880918.0534539</v>
      </c>
      <c r="DU51" s="1808">
        <f t="shared" si="3"/>
        <v>39121655514.236832</v>
      </c>
      <c r="DV51" s="1805">
        <f t="shared" ref="DV51:EG51" si="46">DV22+DV50</f>
        <v>3409292622.9140625</v>
      </c>
      <c r="DW51" s="1805">
        <f t="shared" si="46"/>
        <v>3301572360.0728621</v>
      </c>
      <c r="DX51" s="1805">
        <f t="shared" si="46"/>
        <v>3441457837.0329957</v>
      </c>
      <c r="DY51" s="1806">
        <f t="shared" si="46"/>
        <v>3176098461.7104306</v>
      </c>
      <c r="DZ51" s="1805">
        <f t="shared" si="46"/>
        <v>3447676002.6034069</v>
      </c>
      <c r="EA51" s="1807">
        <f t="shared" si="46"/>
        <v>3457832910.0442514</v>
      </c>
      <c r="EB51" s="1806">
        <f t="shared" si="46"/>
        <v>3401103419.9367399</v>
      </c>
      <c r="EC51" s="1805">
        <f t="shared" si="46"/>
        <v>3361685640.1867399</v>
      </c>
      <c r="ED51" s="1807">
        <f t="shared" si="46"/>
        <v>3371128150.7542515</v>
      </c>
      <c r="EE51" s="1805">
        <f t="shared" si="46"/>
        <v>2936275036.4467402</v>
      </c>
      <c r="EF51" s="1805">
        <f t="shared" si="46"/>
        <v>3206968959.4842958</v>
      </c>
      <c r="EG51" s="1805">
        <f t="shared" si="46"/>
        <v>3185827477.0578518</v>
      </c>
      <c r="EH51" s="1808">
        <f t="shared" si="4"/>
        <v>39696918878.244637</v>
      </c>
      <c r="EI51" s="1493"/>
      <c r="EJ51" s="1804" t="s">
        <v>3036</v>
      </c>
      <c r="EK51" s="1805">
        <v>279223164</v>
      </c>
      <c r="EL51" s="1805">
        <v>213517640</v>
      </c>
      <c r="EM51" s="1805">
        <v>287676393</v>
      </c>
      <c r="EN51" s="1806">
        <v>190257371</v>
      </c>
      <c r="EO51" s="1805">
        <v>199810864</v>
      </c>
      <c r="EP51" s="1807">
        <v>176919360</v>
      </c>
      <c r="EQ51" s="1806">
        <v>194369449</v>
      </c>
      <c r="ER51" s="1805">
        <v>198603592</v>
      </c>
      <c r="ES51" s="1807">
        <v>242176772.10941929</v>
      </c>
      <c r="ET51" s="1805">
        <v>206742503.29070592</v>
      </c>
      <c r="EU51" s="1805">
        <v>212282516.07812694</v>
      </c>
      <c r="EV51" s="1805">
        <v>231823292.6905582</v>
      </c>
      <c r="EW51" s="1808">
        <v>2633402917.1688108</v>
      </c>
      <c r="EX51" s="1805">
        <v>213287205.78259599</v>
      </c>
      <c r="EY51" s="1805">
        <v>192914412.0186103</v>
      </c>
      <c r="EZ51" s="1805">
        <v>259759931.64300135</v>
      </c>
      <c r="FA51" s="1805">
        <v>199606328.4003945</v>
      </c>
      <c r="FB51" s="1805">
        <v>164273215.76770449</v>
      </c>
      <c r="FC51" s="1805">
        <v>223063294.741687</v>
      </c>
      <c r="FD51" s="1805">
        <v>199531682.68167859</v>
      </c>
      <c r="FE51" s="1805">
        <v>219386844.7290045</v>
      </c>
      <c r="FF51" s="1805">
        <v>251125662.20430058</v>
      </c>
      <c r="FG51" s="1805">
        <v>203119450.99896967</v>
      </c>
      <c r="FH51" s="1805">
        <v>218815693.741638</v>
      </c>
      <c r="FI51" s="1805">
        <v>347136592.58383912</v>
      </c>
      <c r="FJ51" s="1808">
        <v>2692020315.2934241</v>
      </c>
      <c r="FK51" s="1805">
        <v>243083691.87090796</v>
      </c>
      <c r="FL51" s="1805">
        <v>201153259.52184844</v>
      </c>
      <c r="FM51" s="1805">
        <v>284038262.28769648</v>
      </c>
      <c r="FN51" s="1806">
        <v>212669689.80201438</v>
      </c>
      <c r="FO51" s="1805">
        <v>210346873.80756292</v>
      </c>
      <c r="FP51" s="1807">
        <v>212807686.65320534</v>
      </c>
      <c r="FQ51" s="1806">
        <v>207950599.28893611</v>
      </c>
      <c r="FR51" s="1805">
        <v>229503048.54986075</v>
      </c>
      <c r="FS51" s="1807">
        <v>257704500.05599552</v>
      </c>
      <c r="FT51" s="1805">
        <v>213028673.47149417</v>
      </c>
      <c r="FU51" s="1805">
        <v>224241656.57619405</v>
      </c>
      <c r="FV51" s="1805">
        <v>270835797.31472474</v>
      </c>
      <c r="FW51" s="1808">
        <v>2767363739.2004404</v>
      </c>
      <c r="FX51" s="1805">
        <v>248270841.88936532</v>
      </c>
      <c r="FY51" s="1805">
        <v>205181042.61492443</v>
      </c>
      <c r="FZ51" s="1805">
        <v>289160411.72095263</v>
      </c>
      <c r="GA51" s="1806">
        <v>216844032.20819604</v>
      </c>
      <c r="GB51" s="1805">
        <v>173688879.25712699</v>
      </c>
      <c r="GC51" s="1807">
        <v>236234908.61502975</v>
      </c>
      <c r="GD51" s="1806">
        <v>212797273.4507665</v>
      </c>
      <c r="GE51" s="1805">
        <v>232962608.65664878</v>
      </c>
      <c r="GF51" s="1807">
        <v>263875855.30283862</v>
      </c>
      <c r="GG51" s="1805">
        <v>215721113.01652342</v>
      </c>
      <c r="GH51" s="1805">
        <v>231019198.18614066</v>
      </c>
      <c r="GI51" s="1805">
        <v>276922946.11076182</v>
      </c>
      <c r="GJ51" s="1808">
        <v>2802679111.0292749</v>
      </c>
      <c r="GL51" s="1623"/>
      <c r="GM51" s="1746" t="s">
        <v>3037</v>
      </c>
      <c r="GN51" s="1728" t="s">
        <v>3038</v>
      </c>
      <c r="GO51" s="1705" t="s">
        <v>3029</v>
      </c>
      <c r="GP51" s="1705" t="s">
        <v>3030</v>
      </c>
      <c r="GQ51" s="1747">
        <v>6</v>
      </c>
      <c r="GR51" s="1705" t="s">
        <v>3031</v>
      </c>
      <c r="GS51" s="1706">
        <v>20</v>
      </c>
      <c r="GT51" s="1631">
        <v>25000</v>
      </c>
      <c r="GU51" s="1631"/>
      <c r="GV51" s="1631"/>
      <c r="GW51" s="1631"/>
      <c r="GX51" s="1631"/>
      <c r="GY51" s="1631"/>
      <c r="GZ51" s="1631"/>
      <c r="HA51" s="1631"/>
      <c r="HB51" s="1631"/>
      <c r="HC51" s="1631">
        <v>25000</v>
      </c>
      <c r="HD51" s="1631"/>
      <c r="HE51" s="1631"/>
      <c r="HF51" s="1631"/>
      <c r="HG51" s="1631">
        <v>0</v>
      </c>
      <c r="HH51" s="1631"/>
      <c r="HI51" s="1631"/>
      <c r="HJ51" s="1631"/>
      <c r="HK51" s="1631"/>
      <c r="HL51" s="1631"/>
      <c r="HM51" s="1631"/>
      <c r="HN51" s="1631"/>
      <c r="HO51" s="1631"/>
      <c r="HP51" s="1631"/>
      <c r="HQ51" s="1631"/>
      <c r="HR51" s="1631"/>
      <c r="HS51" s="1631"/>
      <c r="HT51" s="1631">
        <v>0</v>
      </c>
      <c r="HU51" s="1631"/>
      <c r="HV51" s="1631"/>
      <c r="HW51" s="1631"/>
      <c r="HX51" s="1631"/>
      <c r="HY51" s="1631"/>
      <c r="HZ51" s="1631"/>
      <c r="IA51" s="1631"/>
      <c r="IB51" s="1631"/>
      <c r="IC51" s="1631"/>
      <c r="ID51" s="1631"/>
      <c r="IE51" s="1631"/>
      <c r="IF51" s="1631"/>
      <c r="IG51" s="1631">
        <v>0</v>
      </c>
      <c r="IH51" s="1631"/>
      <c r="II51" s="1631"/>
      <c r="IJ51" s="1631"/>
      <c r="IK51" s="1631"/>
      <c r="IL51" s="1631"/>
      <c r="IM51" s="1631"/>
      <c r="IN51" s="1631"/>
      <c r="IO51" s="1631"/>
      <c r="IP51" s="1631"/>
      <c r="IQ51" s="1631"/>
      <c r="IR51" s="1631"/>
      <c r="IS51" s="1631"/>
      <c r="IT51" s="1633">
        <v>25000</v>
      </c>
      <c r="IU51" s="1633">
        <v>0</v>
      </c>
      <c r="IV51" s="1707"/>
    </row>
    <row r="52" spans="2:256" s="1504" customFormat="1" ht="17.25" collapsed="1" thickBot="1">
      <c r="B52" s="1493"/>
      <c r="C52" s="1493" t="s">
        <v>3039</v>
      </c>
      <c r="D52" s="1494"/>
      <c r="E52" s="1608">
        <v>92.764506999999995</v>
      </c>
      <c r="F52" s="1609">
        <v>224.715408</v>
      </c>
      <c r="G52" s="1610">
        <v>-35.430407000000002</v>
      </c>
      <c r="H52" s="1609">
        <v>-87.785798999999997</v>
      </c>
      <c r="I52" s="1609">
        <v>29.376753000000001</v>
      </c>
      <c r="J52" s="1610">
        <v>-94.192515</v>
      </c>
      <c r="K52" s="1609">
        <v>1.0760620000000001</v>
      </c>
      <c r="L52" s="1609">
        <v>-1.238796</v>
      </c>
      <c r="M52" s="1775">
        <v>6.4863200000000001</v>
      </c>
      <c r="N52" s="1615"/>
      <c r="O52" s="1615"/>
      <c r="P52" s="1615"/>
      <c r="Q52" s="1612">
        <f t="shared" si="6"/>
        <v>135.77153300000001</v>
      </c>
      <c r="R52" s="1613"/>
      <c r="S52" s="1589"/>
      <c r="T52" s="1611"/>
      <c r="U52" s="1589"/>
      <c r="V52" s="1589"/>
      <c r="W52" s="1611"/>
      <c r="X52" s="1589"/>
      <c r="Y52" s="1589"/>
      <c r="Z52" s="1611"/>
      <c r="AA52" s="1589"/>
      <c r="AB52" s="1589"/>
      <c r="AC52" s="1589"/>
      <c r="AD52" s="1612">
        <f t="shared" si="29"/>
        <v>0</v>
      </c>
      <c r="AE52" s="1613"/>
      <c r="AF52" s="1589"/>
      <c r="AG52" s="1611"/>
      <c r="AH52" s="1589"/>
      <c r="AI52" s="1589"/>
      <c r="AJ52" s="1611"/>
      <c r="AK52" s="1589"/>
      <c r="AL52" s="1589"/>
      <c r="AM52" s="1611"/>
      <c r="AN52" s="1589"/>
      <c r="AO52" s="1589"/>
      <c r="AP52" s="1589"/>
      <c r="AQ52" s="1612">
        <f t="shared" si="31"/>
        <v>0</v>
      </c>
      <c r="AR52" s="1613"/>
      <c r="AS52" s="1589"/>
      <c r="AT52" s="1611"/>
      <c r="AU52" s="1589"/>
      <c r="AV52" s="1589"/>
      <c r="AW52" s="1611"/>
      <c r="AX52" s="1589"/>
      <c r="AY52" s="1589"/>
      <c r="AZ52" s="1611"/>
      <c r="BA52" s="1589"/>
      <c r="BB52" s="1589"/>
      <c r="BC52" s="1589"/>
      <c r="BD52" s="1614">
        <f t="shared" si="33"/>
        <v>0</v>
      </c>
      <c r="BE52" s="1509"/>
      <c r="BF52" s="1759">
        <f>AD37-Q37</f>
        <v>1496.2157403610327</v>
      </c>
      <c r="BG52" s="1497" t="s">
        <v>3002</v>
      </c>
      <c r="BH52" s="1499">
        <v>14500</v>
      </c>
      <c r="BI52" s="1646">
        <v>330.5350479493132</v>
      </c>
      <c r="BJ52" s="1795">
        <v>328.72681780513693</v>
      </c>
      <c r="BK52" s="1499">
        <v>14430.919000000002</v>
      </c>
      <c r="BL52" s="1646">
        <v>368.08206296234965</v>
      </c>
      <c r="BM52" s="1777">
        <f>BJ52-BL52</f>
        <v>-39.355245157212721</v>
      </c>
      <c r="BN52" s="1796"/>
      <c r="BO52" s="1797"/>
      <c r="BP52" s="1760">
        <f>BJ52*BH52*$BK$46</f>
        <v>5699120130.0077534</v>
      </c>
      <c r="BQ52" s="1760">
        <f>BK52*BL52*$BK$46</f>
        <v>6351017609.4960384</v>
      </c>
      <c r="BR52" s="1499">
        <f>BP52-BQ52</f>
        <v>-651897479.48828506</v>
      </c>
      <c r="BS52" s="1498"/>
      <c r="BT52" s="1798">
        <f>BH52/$BH$53</f>
        <v>0.16292134831460675</v>
      </c>
      <c r="BU52" s="1799">
        <f>BU46/$BU$47</f>
        <v>0.17372957849939777</v>
      </c>
      <c r="BV52" s="1591">
        <f>BT52-BU52</f>
        <v>-1.0808230184791018E-2</v>
      </c>
      <c r="BW52" s="1617"/>
      <c r="BX52" s="1801">
        <f t="shared" si="39"/>
        <v>14500</v>
      </c>
      <c r="BY52" s="1801">
        <f t="shared" si="39"/>
        <v>15461.932486446402</v>
      </c>
      <c r="BZ52" s="1801">
        <f>BX52-BY52</f>
        <v>-961.93248644640153</v>
      </c>
      <c r="CA52" s="815"/>
      <c r="CB52" s="1802">
        <f>BZ52*BJ52*$BK$46</f>
        <v>-378080606.70448953</v>
      </c>
      <c r="CC52" s="1617"/>
      <c r="CD52" s="815"/>
      <c r="CE52" s="1617"/>
      <c r="CF52" s="1759"/>
      <c r="CG52" s="1559"/>
      <c r="CH52" s="1559"/>
      <c r="CI52" s="1809"/>
      <c r="CJ52" s="1809"/>
      <c r="CK52" s="1809"/>
      <c r="CL52" s="1809"/>
      <c r="CM52" s="1809"/>
      <c r="CN52" s="1809"/>
      <c r="CO52" s="1809"/>
      <c r="CP52" s="1809"/>
      <c r="CQ52" s="1809"/>
      <c r="CR52" s="1809"/>
      <c r="CS52" s="1809"/>
      <c r="CT52" s="1809"/>
      <c r="CU52" s="1810"/>
      <c r="CV52" s="1809"/>
      <c r="CW52" s="1809"/>
      <c r="CX52" s="1809"/>
      <c r="CY52" s="1809"/>
      <c r="CZ52" s="1809"/>
      <c r="DA52" s="1809"/>
      <c r="DB52" s="1809"/>
      <c r="DC52" s="1809"/>
      <c r="DD52" s="1809"/>
      <c r="DE52" s="1809"/>
      <c r="DF52" s="1809"/>
      <c r="DG52" s="1809"/>
      <c r="DH52" s="1810"/>
      <c r="DI52" s="1809"/>
      <c r="DJ52" s="1809"/>
      <c r="DK52" s="1809"/>
      <c r="DL52" s="1809"/>
      <c r="DM52" s="1809"/>
      <c r="DN52" s="1809"/>
      <c r="DO52" s="1809"/>
      <c r="DP52" s="1809"/>
      <c r="DQ52" s="1809"/>
      <c r="DR52" s="1809"/>
      <c r="DS52" s="1809"/>
      <c r="DT52" s="1809"/>
      <c r="DU52" s="1810"/>
      <c r="DV52" s="1809"/>
      <c r="DW52" s="1809"/>
      <c r="DX52" s="1809"/>
      <c r="DY52" s="1809"/>
      <c r="DZ52" s="1809"/>
      <c r="EA52" s="1809"/>
      <c r="EB52" s="1809"/>
      <c r="EC52" s="1809"/>
      <c r="ED52" s="1809"/>
      <c r="EE52" s="1809"/>
      <c r="EF52" s="1809"/>
      <c r="EG52" s="1809"/>
      <c r="EH52" s="1810"/>
      <c r="EI52" s="1493"/>
      <c r="EJ52" s="1559"/>
      <c r="EK52" s="1809"/>
      <c r="EL52" s="1809"/>
      <c r="EM52" s="1809"/>
      <c r="EN52" s="1809"/>
      <c r="EO52" s="1809"/>
      <c r="EP52" s="1809"/>
      <c r="EQ52" s="1809"/>
      <c r="ER52" s="1809"/>
      <c r="ES52" s="1809"/>
      <c r="ET52" s="1809"/>
      <c r="EU52" s="1809"/>
      <c r="EV52" s="1809"/>
      <c r="EW52" s="1810"/>
      <c r="EX52" s="1809"/>
      <c r="EY52" s="1809"/>
      <c r="EZ52" s="1809"/>
      <c r="FA52" s="1809"/>
      <c r="FB52" s="1809"/>
      <c r="FC52" s="1809"/>
      <c r="FD52" s="1809"/>
      <c r="FE52" s="1809"/>
      <c r="FF52" s="1809"/>
      <c r="FG52" s="1809"/>
      <c r="FH52" s="1809"/>
      <c r="FI52" s="1809"/>
      <c r="FJ52" s="1810"/>
      <c r="FK52" s="1809"/>
      <c r="FL52" s="1809"/>
      <c r="FM52" s="1809"/>
      <c r="FN52" s="1809"/>
      <c r="FO52" s="1809"/>
      <c r="FP52" s="1809"/>
      <c r="FQ52" s="1809"/>
      <c r="FR52" s="1809"/>
      <c r="FS52" s="1809"/>
      <c r="FT52" s="1809"/>
      <c r="FU52" s="1809"/>
      <c r="FV52" s="1809"/>
      <c r="FW52" s="1810"/>
      <c r="FX52" s="1809"/>
      <c r="FY52" s="1809"/>
      <c r="FZ52" s="1809"/>
      <c r="GA52" s="1809"/>
      <c r="GB52" s="1809"/>
      <c r="GC52" s="1809"/>
      <c r="GD52" s="1809"/>
      <c r="GE52" s="1809"/>
      <c r="GF52" s="1809"/>
      <c r="GG52" s="1809"/>
      <c r="GH52" s="1809"/>
      <c r="GI52" s="1809"/>
      <c r="GJ52" s="1810"/>
      <c r="GL52" s="1652"/>
      <c r="GM52" s="1748" t="s">
        <v>3040</v>
      </c>
      <c r="GN52" s="1714" t="s">
        <v>3041</v>
      </c>
      <c r="GO52" s="1711" t="s">
        <v>3042</v>
      </c>
      <c r="GP52" s="1711" t="s">
        <v>3043</v>
      </c>
      <c r="GQ52" s="1749">
        <v>5</v>
      </c>
      <c r="GR52" s="1711" t="s">
        <v>3042</v>
      </c>
      <c r="GS52" s="1712" t="s">
        <v>3044</v>
      </c>
      <c r="GT52" s="1660">
        <v>30000</v>
      </c>
      <c r="GU52" s="1660"/>
      <c r="GV52" s="1660"/>
      <c r="GW52" s="1660"/>
      <c r="GX52" s="1660"/>
      <c r="GY52" s="1660"/>
      <c r="GZ52" s="1660"/>
      <c r="HA52" s="1660"/>
      <c r="HB52" s="1660"/>
      <c r="HC52" s="1660">
        <v>30000</v>
      </c>
      <c r="HD52" s="1660"/>
      <c r="HE52" s="1660"/>
      <c r="HF52" s="1660"/>
      <c r="HG52" s="1660">
        <v>0</v>
      </c>
      <c r="HH52" s="1660"/>
      <c r="HI52" s="1660"/>
      <c r="HJ52" s="1660"/>
      <c r="HK52" s="1660"/>
      <c r="HL52" s="1660"/>
      <c r="HM52" s="1660"/>
      <c r="HN52" s="1660"/>
      <c r="HO52" s="1660"/>
      <c r="HP52" s="1660"/>
      <c r="HQ52" s="1660"/>
      <c r="HR52" s="1660"/>
      <c r="HS52" s="1660"/>
      <c r="HT52" s="1660">
        <v>0</v>
      </c>
      <c r="HU52" s="1660"/>
      <c r="HV52" s="1660"/>
      <c r="HW52" s="1660"/>
      <c r="HX52" s="1660"/>
      <c r="HY52" s="1660"/>
      <c r="HZ52" s="1660"/>
      <c r="IA52" s="1660"/>
      <c r="IB52" s="1660"/>
      <c r="IC52" s="1660"/>
      <c r="ID52" s="1660"/>
      <c r="IE52" s="1660"/>
      <c r="IF52" s="1660"/>
      <c r="IG52" s="1660">
        <v>60000</v>
      </c>
      <c r="IH52" s="1660"/>
      <c r="II52" s="1660"/>
      <c r="IJ52" s="1660">
        <v>60000</v>
      </c>
      <c r="IK52" s="1660"/>
      <c r="IL52" s="1660"/>
      <c r="IM52" s="1660"/>
      <c r="IN52" s="1660"/>
      <c r="IO52" s="1660"/>
      <c r="IP52" s="1660"/>
      <c r="IQ52" s="1660"/>
      <c r="IR52" s="1660"/>
      <c r="IS52" s="1660"/>
      <c r="IT52" s="1662">
        <v>30000</v>
      </c>
      <c r="IU52" s="1662">
        <v>60000</v>
      </c>
      <c r="IV52" s="1713"/>
    </row>
    <row r="53" spans="2:256" s="1543" customFormat="1" ht="17.25" thickBot="1">
      <c r="B53" s="1565"/>
      <c r="C53" s="1565" t="s">
        <v>3045</v>
      </c>
      <c r="D53" s="1779"/>
      <c r="E53" s="1637">
        <v>0.329708</v>
      </c>
      <c r="F53" s="1638">
        <v>3.1E-4</v>
      </c>
      <c r="G53" s="1639">
        <v>3.9740000000000001E-3</v>
      </c>
      <c r="H53" s="1638">
        <v>4.0887E-2</v>
      </c>
      <c r="I53" s="1638">
        <v>9.2029999999999994E-3</v>
      </c>
      <c r="J53" s="1639">
        <v>5.2303050000000004</v>
      </c>
      <c r="K53" s="1638"/>
      <c r="L53" s="1638"/>
      <c r="M53" s="1780"/>
      <c r="N53" s="1641"/>
      <c r="O53" s="1641"/>
      <c r="P53" s="1641"/>
      <c r="Q53" s="1642">
        <f t="shared" si="6"/>
        <v>5.6143870000000007</v>
      </c>
      <c r="R53" s="1643"/>
      <c r="S53" s="1641"/>
      <c r="T53" s="1640"/>
      <c r="U53" s="1641"/>
      <c r="V53" s="1641"/>
      <c r="W53" s="1640"/>
      <c r="X53" s="1641"/>
      <c r="Y53" s="1641"/>
      <c r="Z53" s="1640"/>
      <c r="AA53" s="1641"/>
      <c r="AB53" s="1641"/>
      <c r="AC53" s="1641"/>
      <c r="AD53" s="1642">
        <f t="shared" si="29"/>
        <v>0</v>
      </c>
      <c r="AE53" s="1643"/>
      <c r="AF53" s="1641"/>
      <c r="AG53" s="1640"/>
      <c r="AH53" s="1641"/>
      <c r="AI53" s="1641"/>
      <c r="AJ53" s="1640"/>
      <c r="AK53" s="1641"/>
      <c r="AL53" s="1641"/>
      <c r="AM53" s="1640"/>
      <c r="AN53" s="1641"/>
      <c r="AO53" s="1641"/>
      <c r="AP53" s="1641"/>
      <c r="AQ53" s="1642">
        <f t="shared" si="31"/>
        <v>0</v>
      </c>
      <c r="AR53" s="1643"/>
      <c r="AS53" s="1641"/>
      <c r="AT53" s="1640"/>
      <c r="AU53" s="1641"/>
      <c r="AV53" s="1641"/>
      <c r="AW53" s="1640"/>
      <c r="AX53" s="1641"/>
      <c r="AY53" s="1641"/>
      <c r="AZ53" s="1640"/>
      <c r="BA53" s="1641"/>
      <c r="BB53" s="1641"/>
      <c r="BC53" s="1641"/>
      <c r="BD53" s="1644">
        <f t="shared" si="33"/>
        <v>0</v>
      </c>
      <c r="BE53" s="1793"/>
      <c r="BF53" s="1794"/>
      <c r="BG53" s="1791"/>
      <c r="BH53" s="1617">
        <f>SUM(BH50:BH52)</f>
        <v>89000</v>
      </c>
      <c r="BI53" s="1646">
        <v>719.14967940993188</v>
      </c>
      <c r="BJ53" s="1795">
        <v>698.47010499573253</v>
      </c>
      <c r="BK53" s="1617">
        <f>SUM(BK50:BK52)</f>
        <v>83706.924999999988</v>
      </c>
      <c r="BL53" s="1811">
        <v>713.40473747849796</v>
      </c>
      <c r="BM53" s="1777">
        <f>BJ53-BL53</f>
        <v>-14.934632482765437</v>
      </c>
      <c r="BN53" s="1796"/>
      <c r="BO53" s="1497"/>
      <c r="BP53" s="1760">
        <f>SUM(BP50:BP52)</f>
        <v>74326298118.794052</v>
      </c>
      <c r="BQ53" s="1499">
        <f>SUM(BQ50:BQ52)</f>
        <v>71400631165.585327</v>
      </c>
      <c r="BR53" s="1812">
        <f>SUM(BR50:BR52)</f>
        <v>2925666953.2087231</v>
      </c>
      <c r="BS53" s="1498"/>
      <c r="BT53" s="1798">
        <f>BH53/$BH$53</f>
        <v>1</v>
      </c>
      <c r="BU53" s="1799">
        <f>BK53/$BK$53</f>
        <v>1</v>
      </c>
      <c r="BV53" s="1591">
        <f>BT53-BU53</f>
        <v>0</v>
      </c>
      <c r="BW53" s="1800"/>
      <c r="BX53" s="1801">
        <f>SUM(BX50:BX52)</f>
        <v>89000</v>
      </c>
      <c r="BY53" s="1801">
        <f>SUM(BY50:BY52)</f>
        <v>89000</v>
      </c>
      <c r="BZ53" s="1801">
        <f>BX53-BY53</f>
        <v>0</v>
      </c>
      <c r="CA53" s="1791"/>
      <c r="CB53" s="1813">
        <f>SUM(CB50:CB52)</f>
        <v>497575303.12044662</v>
      </c>
      <c r="CC53" s="1800"/>
      <c r="CD53" s="1791"/>
      <c r="CE53" s="1803"/>
      <c r="CF53" s="1794"/>
      <c r="CG53" s="1559"/>
      <c r="CH53" s="1814" t="s">
        <v>3046</v>
      </c>
      <c r="CI53" s="1815"/>
      <c r="CJ53" s="1815"/>
      <c r="CK53" s="1815"/>
      <c r="CL53" s="1815"/>
      <c r="CM53" s="1815"/>
      <c r="CN53" s="1815"/>
      <c r="CO53" s="1815"/>
      <c r="CP53" s="1815"/>
      <c r="CQ53" s="1815"/>
      <c r="CR53" s="1815"/>
      <c r="CS53" s="1815"/>
      <c r="CT53" s="1816">
        <f>SUM(CR22:CT22)/SUM(CR51:CT51)</f>
        <v>0.12631900224612663</v>
      </c>
      <c r="CU53" s="1816"/>
      <c r="CV53" s="1816"/>
      <c r="CW53" s="1816"/>
      <c r="CX53" s="1816"/>
      <c r="CY53" s="1816"/>
      <c r="CZ53" s="1816"/>
      <c r="DA53" s="1816"/>
      <c r="DB53" s="1816"/>
      <c r="DC53" s="1816"/>
      <c r="DD53" s="1816"/>
      <c r="DE53" s="1816"/>
      <c r="DF53" s="1816"/>
      <c r="DG53" s="1816"/>
      <c r="DH53" s="1816">
        <f>DH22/DH51</f>
        <v>0.13217689319063095</v>
      </c>
      <c r="DI53" s="1816">
        <f t="shared" ref="DI53:EH53" si="47">DI22/DI51</f>
        <v>0.13276382513644064</v>
      </c>
      <c r="DJ53" s="1816">
        <f t="shared" si="47"/>
        <v>0.13633602163674041</v>
      </c>
      <c r="DK53" s="1816">
        <f t="shared" si="47"/>
        <v>0.12976805575387773</v>
      </c>
      <c r="DL53" s="1816">
        <f t="shared" si="47"/>
        <v>0.14007871953631096</v>
      </c>
      <c r="DM53" s="1816">
        <f t="shared" si="47"/>
        <v>0.12468693743930985</v>
      </c>
      <c r="DN53" s="1816">
        <f t="shared" si="47"/>
        <v>0.12882531700196265</v>
      </c>
      <c r="DO53" s="1816">
        <f t="shared" si="47"/>
        <v>0.1121161735895939</v>
      </c>
      <c r="DP53" s="1816">
        <f t="shared" si="47"/>
        <v>0.13154419134796361</v>
      </c>
      <c r="DQ53" s="1816">
        <f t="shared" si="47"/>
        <v>0.16325145551634901</v>
      </c>
      <c r="DR53" s="1816">
        <f t="shared" si="47"/>
        <v>0.14095499850521107</v>
      </c>
      <c r="DS53" s="1816">
        <f t="shared" si="47"/>
        <v>0.12886105470217443</v>
      </c>
      <c r="DT53" s="1816">
        <f t="shared" si="47"/>
        <v>0.1278773671938592</v>
      </c>
      <c r="DU53" s="1816">
        <f t="shared" si="47"/>
        <v>0.13266327424061325</v>
      </c>
      <c r="DV53" s="1816">
        <f t="shared" si="47"/>
        <v>0.13386410841923518</v>
      </c>
      <c r="DW53" s="1816">
        <f t="shared" si="47"/>
        <v>0.13527863956821168</v>
      </c>
      <c r="DX53" s="1816">
        <f t="shared" si="47"/>
        <v>0.13072428564010136</v>
      </c>
      <c r="DY53" s="1816">
        <f t="shared" si="47"/>
        <v>0.1406229128885825</v>
      </c>
      <c r="DZ53" s="1816">
        <f t="shared" si="47"/>
        <v>0.12954587872219028</v>
      </c>
      <c r="EA53" s="1816">
        <f t="shared" si="47"/>
        <v>0.130105221683748</v>
      </c>
      <c r="EB53" s="1816">
        <f t="shared" si="47"/>
        <v>0.13131979894777032</v>
      </c>
      <c r="EC53" s="1816">
        <f t="shared" si="47"/>
        <v>0.13285960232791325</v>
      </c>
      <c r="ED53" s="1816">
        <f t="shared" si="47"/>
        <v>0.16439562149029283</v>
      </c>
      <c r="EE53" s="1816">
        <f t="shared" si="47"/>
        <v>0.15649738701683158</v>
      </c>
      <c r="EF53" s="1816">
        <f t="shared" si="47"/>
        <v>0.14328775132284435</v>
      </c>
      <c r="EG53" s="1816">
        <f t="shared" si="47"/>
        <v>0.14525873547742749</v>
      </c>
      <c r="EH53" s="1816">
        <f t="shared" si="47"/>
        <v>0.13918747636729242</v>
      </c>
      <c r="EI53" s="1493"/>
      <c r="EJ53" s="1817" t="s">
        <v>2864</v>
      </c>
      <c r="EK53" s="1818"/>
      <c r="EL53" s="1819"/>
      <c r="EM53" s="1820"/>
      <c r="EN53" s="1819"/>
      <c r="EO53" s="1819"/>
      <c r="EP53" s="1819"/>
      <c r="EQ53" s="1818"/>
      <c r="ER53" s="1819"/>
      <c r="ES53" s="1820"/>
      <c r="ET53" s="1819"/>
      <c r="EU53" s="1819"/>
      <c r="EV53" s="1819"/>
      <c r="EW53" s="1821"/>
      <c r="EX53" s="1818"/>
      <c r="EY53" s="1819"/>
      <c r="EZ53" s="1820"/>
      <c r="FA53" s="1819"/>
      <c r="FB53" s="1819"/>
      <c r="FC53" s="1819"/>
      <c r="FD53" s="1818"/>
      <c r="FE53" s="1819"/>
      <c r="FF53" s="1820"/>
      <c r="FG53" s="1819"/>
      <c r="FH53" s="1819"/>
      <c r="FI53" s="1819"/>
      <c r="FJ53" s="1821"/>
      <c r="FK53" s="1818"/>
      <c r="FL53" s="1819"/>
      <c r="FM53" s="1820"/>
      <c r="FN53" s="1819"/>
      <c r="FO53" s="1819"/>
      <c r="FP53" s="1819"/>
      <c r="FQ53" s="1818"/>
      <c r="FR53" s="1819"/>
      <c r="FS53" s="1820"/>
      <c r="FT53" s="1819"/>
      <c r="FU53" s="1819"/>
      <c r="FV53" s="1819"/>
      <c r="FW53" s="1821"/>
      <c r="FX53" s="1818"/>
      <c r="FY53" s="1819"/>
      <c r="FZ53" s="1820"/>
      <c r="GA53" s="1819"/>
      <c r="GB53" s="1819"/>
      <c r="GC53" s="1819"/>
      <c r="GD53" s="1818"/>
      <c r="GE53" s="1819"/>
      <c r="GF53" s="1820"/>
      <c r="GG53" s="1819"/>
      <c r="GH53" s="1819"/>
      <c r="GI53" s="1819"/>
      <c r="GJ53" s="1821"/>
      <c r="GL53" s="1623"/>
      <c r="GM53" s="1746" t="s">
        <v>3047</v>
      </c>
      <c r="GN53" s="1728" t="s">
        <v>3048</v>
      </c>
      <c r="GO53" s="1705" t="s">
        <v>3042</v>
      </c>
      <c r="GP53" s="1705" t="s">
        <v>2932</v>
      </c>
      <c r="GQ53" s="1747">
        <v>10</v>
      </c>
      <c r="GR53" s="1705" t="s">
        <v>3042</v>
      </c>
      <c r="GS53" s="1706">
        <v>20</v>
      </c>
      <c r="GT53" s="1631">
        <v>60000</v>
      </c>
      <c r="GU53" s="1631"/>
      <c r="GV53" s="1631"/>
      <c r="GW53" s="1631"/>
      <c r="GX53" s="1631"/>
      <c r="GY53" s="1631"/>
      <c r="GZ53" s="1631">
        <v>60000</v>
      </c>
      <c r="HA53" s="1631"/>
      <c r="HB53" s="1631"/>
      <c r="HC53" s="1631"/>
      <c r="HD53" s="1631"/>
      <c r="HE53" s="1631"/>
      <c r="HF53" s="1631"/>
      <c r="HG53" s="1631">
        <v>0</v>
      </c>
      <c r="HH53" s="1631"/>
      <c r="HI53" s="1631"/>
      <c r="HJ53" s="1631"/>
      <c r="HK53" s="1631"/>
      <c r="HL53" s="1631"/>
      <c r="HM53" s="1631"/>
      <c r="HN53" s="1631"/>
      <c r="HO53" s="1631"/>
      <c r="HP53" s="1631"/>
      <c r="HQ53" s="1631"/>
      <c r="HR53" s="1631"/>
      <c r="HS53" s="1631"/>
      <c r="HT53" s="1631">
        <v>0</v>
      </c>
      <c r="HU53" s="1631"/>
      <c r="HV53" s="1631"/>
      <c r="HW53" s="1631"/>
      <c r="HX53" s="1631"/>
      <c r="HY53" s="1631"/>
      <c r="HZ53" s="1631"/>
      <c r="IA53" s="1631"/>
      <c r="IB53" s="1631"/>
      <c r="IC53" s="1631"/>
      <c r="ID53" s="1631"/>
      <c r="IE53" s="1631"/>
      <c r="IF53" s="1631"/>
      <c r="IG53" s="1631">
        <v>0</v>
      </c>
      <c r="IH53" s="1631"/>
      <c r="II53" s="1631"/>
      <c r="IJ53" s="1631"/>
      <c r="IK53" s="1631"/>
      <c r="IL53" s="1631"/>
      <c r="IM53" s="1631"/>
      <c r="IN53" s="1631"/>
      <c r="IO53" s="1631"/>
      <c r="IP53" s="1631"/>
      <c r="IQ53" s="1631"/>
      <c r="IR53" s="1631"/>
      <c r="IS53" s="1631"/>
      <c r="IT53" s="1633">
        <v>60000</v>
      </c>
      <c r="IU53" s="1633">
        <v>0</v>
      </c>
      <c r="IV53" s="1707"/>
    </row>
    <row r="54" spans="2:256" s="1504" customFormat="1" ht="17.25" collapsed="1" thickBot="1">
      <c r="B54" s="1764" t="s">
        <v>3049</v>
      </c>
      <c r="C54" s="1822"/>
      <c r="D54" s="1823"/>
      <c r="E54" s="1824">
        <f>E37+SUM(E41:E45)-SUM(E49:E53)</f>
        <v>1415.2095859999995</v>
      </c>
      <c r="F54" s="1825">
        <f t="shared" ref="F54:P54" si="48">F37+SUM(F41:F45)-SUM(F49:F53)</f>
        <v>1504.1055840000022</v>
      </c>
      <c r="G54" s="1826">
        <f t="shared" si="48"/>
        <v>1719.707289999998</v>
      </c>
      <c r="H54" s="1825">
        <f t="shared" si="48"/>
        <v>2202.9524139999971</v>
      </c>
      <c r="I54" s="1825">
        <f t="shared" si="48"/>
        <v>1973.3193140000005</v>
      </c>
      <c r="J54" s="1826">
        <f t="shared" si="48"/>
        <v>1223.8907709999985</v>
      </c>
      <c r="K54" s="1825">
        <f t="shared" si="48"/>
        <v>2043.695757</v>
      </c>
      <c r="L54" s="1825">
        <f t="shared" si="48"/>
        <v>2073.1839329999975</v>
      </c>
      <c r="M54" s="1827">
        <f t="shared" si="48"/>
        <v>2542.4473921555823</v>
      </c>
      <c r="N54" s="1828">
        <f t="shared" si="48"/>
        <v>1284.9729766910013</v>
      </c>
      <c r="O54" s="1828">
        <f t="shared" si="48"/>
        <v>2108.6312836450834</v>
      </c>
      <c r="P54" s="1828">
        <f t="shared" si="48"/>
        <v>1824.8580523606508</v>
      </c>
      <c r="Q54" s="1829">
        <f t="shared" si="6"/>
        <v>21916.974353852311</v>
      </c>
      <c r="R54" s="1830">
        <f t="shared" ref="R54:AC54" si="49">R37+SUM(R41:R45)-SUM(R49:R53)</f>
        <v>2463.4287827432081</v>
      </c>
      <c r="S54" s="1828">
        <f t="shared" si="49"/>
        <v>1978.4996935143824</v>
      </c>
      <c r="T54" s="1827">
        <f t="shared" si="49"/>
        <v>459.27988870263829</v>
      </c>
      <c r="U54" s="1828">
        <f t="shared" si="49"/>
        <v>1965.9613050096409</v>
      </c>
      <c r="V54" s="1828">
        <f t="shared" si="49"/>
        <v>2463.571084808792</v>
      </c>
      <c r="W54" s="1827">
        <f t="shared" si="49"/>
        <v>2134.2168012200859</v>
      </c>
      <c r="X54" s="1828">
        <f t="shared" si="49"/>
        <v>2178.2722633666444</v>
      </c>
      <c r="Y54" s="1828">
        <f t="shared" si="49"/>
        <v>2282.034906127868</v>
      </c>
      <c r="Z54" s="1827">
        <f t="shared" si="49"/>
        <v>2154.6908649883185</v>
      </c>
      <c r="AA54" s="1828">
        <f t="shared" si="49"/>
        <v>2103.2626882384607</v>
      </c>
      <c r="AB54" s="1828">
        <f t="shared" si="49"/>
        <v>2047.9807898281392</v>
      </c>
      <c r="AC54" s="1828">
        <f t="shared" si="49"/>
        <v>1524.0830786651686</v>
      </c>
      <c r="AD54" s="1829">
        <f t="shared" si="29"/>
        <v>23755.282147213347</v>
      </c>
      <c r="AE54" s="1830">
        <f t="shared" ref="AE54:AP54" si="50">AE37+SUM(AE41:AE45)-SUM(AE49:AE53)</f>
        <v>2198.5784696779724</v>
      </c>
      <c r="AF54" s="1828">
        <f t="shared" si="50"/>
        <v>2143.7875087775137</v>
      </c>
      <c r="AG54" s="1827">
        <f t="shared" si="50"/>
        <v>2103.1844828400685</v>
      </c>
      <c r="AH54" s="1828">
        <f t="shared" si="50"/>
        <v>2228.3243715003755</v>
      </c>
      <c r="AI54" s="1828">
        <f t="shared" si="50"/>
        <v>1765.529294916139</v>
      </c>
      <c r="AJ54" s="1827">
        <f t="shared" si="50"/>
        <v>-417.54970643382069</v>
      </c>
      <c r="AK54" s="1828">
        <f t="shared" si="50"/>
        <v>-464.54493460946185</v>
      </c>
      <c r="AL54" s="1828">
        <f t="shared" si="50"/>
        <v>1893.722075205493</v>
      </c>
      <c r="AM54" s="1827">
        <f t="shared" si="50"/>
        <v>2262.0438864216922</v>
      </c>
      <c r="AN54" s="1828">
        <f t="shared" si="50"/>
        <v>2195.0104210765949</v>
      </c>
      <c r="AO54" s="1828">
        <f t="shared" si="50"/>
        <v>2357.3465577956031</v>
      </c>
      <c r="AP54" s="1828">
        <f t="shared" si="50"/>
        <v>2034.1396499217301</v>
      </c>
      <c r="AQ54" s="1829">
        <f t="shared" si="31"/>
        <v>20299.572077089899</v>
      </c>
      <c r="AR54" s="1830">
        <f t="shared" ref="AR54:BC54" si="51">AR37+SUM(AR41:AR45)-SUM(AR49:AR53)</f>
        <v>2157.2752166276096</v>
      </c>
      <c r="AS54" s="1828">
        <f t="shared" si="51"/>
        <v>1948.0377040714588</v>
      </c>
      <c r="AT54" s="1827">
        <f t="shared" si="51"/>
        <v>1625.2287954887443</v>
      </c>
      <c r="AU54" s="1828">
        <f t="shared" si="51"/>
        <v>1849.2434965347156</v>
      </c>
      <c r="AV54" s="1828">
        <f t="shared" si="51"/>
        <v>2374.0695963521712</v>
      </c>
      <c r="AW54" s="1827">
        <f t="shared" si="51"/>
        <v>2104.6393967966342</v>
      </c>
      <c r="AX54" s="1828">
        <f t="shared" si="51"/>
        <v>2036.2879020289811</v>
      </c>
      <c r="AY54" s="1828">
        <f t="shared" si="51"/>
        <v>2210.1916019078899</v>
      </c>
      <c r="AZ54" s="1827">
        <f t="shared" si="51"/>
        <v>1942.6820107970777</v>
      </c>
      <c r="BA54" s="1828">
        <f t="shared" si="51"/>
        <v>2070.5990206492461</v>
      </c>
      <c r="BB54" s="1828">
        <f t="shared" si="51"/>
        <v>2245.1209874997312</v>
      </c>
      <c r="BC54" s="1828">
        <f t="shared" si="51"/>
        <v>1936.0919038577583</v>
      </c>
      <c r="BD54" s="1831">
        <f t="shared" si="33"/>
        <v>24499.467632612021</v>
      </c>
      <c r="BE54" s="1509"/>
      <c r="BF54" s="1759">
        <f t="shared" ref="BF54:BF70" si="52">AD39-Q39</f>
        <v>-977.6550243773861</v>
      </c>
      <c r="BG54" s="1498"/>
      <c r="BH54" s="1498"/>
      <c r="BI54" s="1832"/>
      <c r="BJ54" s="1832"/>
      <c r="BK54" s="1833"/>
      <c r="BL54" s="1497"/>
      <c r="BM54" s="1783">
        <f>BM53*BH53*BH46/100000000</f>
        <v>-15.285596346110422</v>
      </c>
      <c r="BN54" s="1498"/>
      <c r="BO54" s="1834">
        <f>BM54-BO55-BO56</f>
        <v>-20.26134937731489</v>
      </c>
      <c r="BP54" s="1498" t="s">
        <v>3050</v>
      </c>
      <c r="BQ54" s="1497"/>
      <c r="BR54" s="1835">
        <f>BR53/100000000</f>
        <v>29.25666953208723</v>
      </c>
      <c r="BS54" s="1762" t="s">
        <v>3051</v>
      </c>
      <c r="BT54" s="1498"/>
      <c r="BU54" s="1498"/>
      <c r="BV54" s="1498"/>
      <c r="BW54" s="815"/>
      <c r="BX54" s="815"/>
      <c r="BY54" s="1617"/>
      <c r="BZ54" s="1617"/>
      <c r="CA54" s="815"/>
      <c r="CB54" s="1836">
        <f>CB53/100000000</f>
        <v>4.9757530312044667</v>
      </c>
      <c r="CC54" s="815" t="s">
        <v>3051</v>
      </c>
      <c r="CD54" s="815" t="s">
        <v>3052</v>
      </c>
      <c r="CE54" s="1617"/>
      <c r="CF54" s="1759"/>
      <c r="CG54" s="1559"/>
      <c r="CH54" s="1814" t="s">
        <v>3053</v>
      </c>
      <c r="CI54" s="1815"/>
      <c r="CJ54" s="1815"/>
      <c r="CK54" s="1815"/>
      <c r="CL54" s="1815"/>
      <c r="CM54" s="1815"/>
      <c r="CN54" s="1815"/>
      <c r="CO54" s="1815"/>
      <c r="CP54" s="1815"/>
      <c r="CQ54" s="1815"/>
      <c r="CR54" s="1815"/>
      <c r="CS54" s="1815"/>
      <c r="CT54" s="1816">
        <f>SUM(CR50:CT50)/SUM(CR51:CT51)</f>
        <v>0.87368099775387353</v>
      </c>
      <c r="CU54" s="1816"/>
      <c r="CV54" s="1816"/>
      <c r="CW54" s="1816"/>
      <c r="CX54" s="1816"/>
      <c r="CY54" s="1816"/>
      <c r="CZ54" s="1816"/>
      <c r="DA54" s="1816"/>
      <c r="DB54" s="1816"/>
      <c r="DC54" s="1816"/>
      <c r="DD54" s="1816"/>
      <c r="DE54" s="1816"/>
      <c r="DF54" s="1816"/>
      <c r="DG54" s="1816"/>
      <c r="DH54" s="1816">
        <f>DH50/DH51</f>
        <v>0.86782310680936914</v>
      </c>
      <c r="DI54" s="1816">
        <f t="shared" ref="DI54:EH54" si="53">DI50/DI51</f>
        <v>0.86723617486355931</v>
      </c>
      <c r="DJ54" s="1816">
        <f t="shared" si="53"/>
        <v>0.8636639783632597</v>
      </c>
      <c r="DK54" s="1816">
        <f t="shared" si="53"/>
        <v>0.87023194424612238</v>
      </c>
      <c r="DL54" s="1816">
        <f t="shared" si="53"/>
        <v>0.8599212804636891</v>
      </c>
      <c r="DM54" s="1816">
        <f t="shared" si="53"/>
        <v>0.87531306256069008</v>
      </c>
      <c r="DN54" s="1816">
        <f t="shared" si="53"/>
        <v>0.87117468299803746</v>
      </c>
      <c r="DO54" s="1816">
        <f t="shared" si="53"/>
        <v>0.88788382641040609</v>
      </c>
      <c r="DP54" s="1816">
        <f t="shared" si="53"/>
        <v>0.86845580865203642</v>
      </c>
      <c r="DQ54" s="1816">
        <f t="shared" si="53"/>
        <v>0.83674854448365099</v>
      </c>
      <c r="DR54" s="1816">
        <f t="shared" si="53"/>
        <v>0.85904500149478891</v>
      </c>
      <c r="DS54" s="1816">
        <f t="shared" si="53"/>
        <v>0.87113894529782554</v>
      </c>
      <c r="DT54" s="1816">
        <f t="shared" si="53"/>
        <v>0.87212263280614077</v>
      </c>
      <c r="DU54" s="1816">
        <f t="shared" si="53"/>
        <v>0.86733672575938681</v>
      </c>
      <c r="DV54" s="1816">
        <f t="shared" si="53"/>
        <v>0.86613589158076476</v>
      </c>
      <c r="DW54" s="1816">
        <f t="shared" si="53"/>
        <v>0.86472136043178827</v>
      </c>
      <c r="DX54" s="1816">
        <f t="shared" si="53"/>
        <v>0.86927571435989859</v>
      </c>
      <c r="DY54" s="1816">
        <f t="shared" si="53"/>
        <v>0.85937708711141747</v>
      </c>
      <c r="DZ54" s="1816">
        <f t="shared" si="53"/>
        <v>0.87045412127780963</v>
      </c>
      <c r="EA54" s="1816">
        <f t="shared" si="53"/>
        <v>0.86989477831625195</v>
      </c>
      <c r="EB54" s="1816">
        <f t="shared" si="53"/>
        <v>0.86868020105222965</v>
      </c>
      <c r="EC54" s="1816">
        <f t="shared" si="53"/>
        <v>0.86714039767208673</v>
      </c>
      <c r="ED54" s="1816">
        <f t="shared" si="53"/>
        <v>0.83560437850970715</v>
      </c>
      <c r="EE54" s="1816">
        <f t="shared" si="53"/>
        <v>0.84350261298316842</v>
      </c>
      <c r="EF54" s="1816">
        <f t="shared" si="53"/>
        <v>0.85671224867715556</v>
      </c>
      <c r="EG54" s="1816">
        <f t="shared" si="53"/>
        <v>0.85474126452257249</v>
      </c>
      <c r="EH54" s="1816">
        <f t="shared" si="53"/>
        <v>0.86081252363270722</v>
      </c>
      <c r="EI54" s="1493"/>
      <c r="EJ54" s="1729"/>
      <c r="EK54" s="1837"/>
      <c r="EL54" s="1837"/>
      <c r="EM54" s="1837"/>
      <c r="EN54" s="1837"/>
      <c r="EO54" s="1837"/>
      <c r="EP54" s="1837"/>
      <c r="EQ54" s="1837"/>
      <c r="ER54" s="1837"/>
      <c r="ES54" s="1837"/>
      <c r="ET54" s="1837"/>
      <c r="EU54" s="1837"/>
      <c r="EV54" s="1837"/>
      <c r="EW54" s="1838"/>
      <c r="EX54" s="1837"/>
      <c r="EY54" s="1837"/>
      <c r="EZ54" s="1837"/>
      <c r="FA54" s="1837"/>
      <c r="FB54" s="1837"/>
      <c r="FC54" s="1837"/>
      <c r="FD54" s="1837"/>
      <c r="FE54" s="1837"/>
      <c r="FF54" s="1837"/>
      <c r="FG54" s="1837"/>
      <c r="FH54" s="1837"/>
      <c r="FI54" s="1837"/>
      <c r="FJ54" s="1838"/>
      <c r="FK54" s="1837"/>
      <c r="FL54" s="1837"/>
      <c r="FM54" s="1837"/>
      <c r="FN54" s="1837"/>
      <c r="FO54" s="1837"/>
      <c r="FP54" s="1837"/>
      <c r="FQ54" s="1837"/>
      <c r="FR54" s="1837"/>
      <c r="FS54" s="1837"/>
      <c r="FT54" s="1837"/>
      <c r="FU54" s="1837"/>
      <c r="FV54" s="1837"/>
      <c r="FW54" s="1838"/>
      <c r="FX54" s="1837"/>
      <c r="FY54" s="1837"/>
      <c r="FZ54" s="1837"/>
      <c r="GA54" s="1837"/>
      <c r="GB54" s="1837"/>
      <c r="GC54" s="1837"/>
      <c r="GD54" s="1837"/>
      <c r="GE54" s="1837"/>
      <c r="GF54" s="1837"/>
      <c r="GG54" s="1837"/>
      <c r="GH54" s="1837"/>
      <c r="GI54" s="1837"/>
      <c r="GJ54" s="1838"/>
      <c r="GL54" s="1652"/>
      <c r="GM54" s="1748" t="s">
        <v>3054</v>
      </c>
      <c r="GN54" s="1714" t="s">
        <v>3055</v>
      </c>
      <c r="GO54" s="1711" t="s">
        <v>3018</v>
      </c>
      <c r="GP54" s="1711" t="s">
        <v>2932</v>
      </c>
      <c r="GQ54" s="1749">
        <v>12</v>
      </c>
      <c r="GR54" s="1711" t="s">
        <v>3056</v>
      </c>
      <c r="GS54" s="1712">
        <v>20</v>
      </c>
      <c r="GT54" s="1660">
        <v>60000</v>
      </c>
      <c r="GU54" s="1660"/>
      <c r="GV54" s="1660"/>
      <c r="GW54" s="1660"/>
      <c r="GX54" s="1660"/>
      <c r="GY54" s="1660"/>
      <c r="GZ54" s="1660">
        <v>27000</v>
      </c>
      <c r="HA54" s="1660">
        <v>26850</v>
      </c>
      <c r="HB54" s="1660">
        <v>6150</v>
      </c>
      <c r="HC54" s="1660"/>
      <c r="HD54" s="1660"/>
      <c r="HE54" s="1660"/>
      <c r="HF54" s="1660"/>
      <c r="HG54" s="1660">
        <v>0</v>
      </c>
      <c r="HH54" s="1660"/>
      <c r="HI54" s="1660"/>
      <c r="HJ54" s="1660"/>
      <c r="HK54" s="1660"/>
      <c r="HL54" s="1660"/>
      <c r="HM54" s="1660"/>
      <c r="HN54" s="1660"/>
      <c r="HO54" s="1660"/>
      <c r="HP54" s="1660"/>
      <c r="HQ54" s="1660"/>
      <c r="HR54" s="1660"/>
      <c r="HS54" s="1660"/>
      <c r="HT54" s="1660">
        <v>0</v>
      </c>
      <c r="HU54" s="1660"/>
      <c r="HV54" s="1660"/>
      <c r="HW54" s="1660"/>
      <c r="HX54" s="1660"/>
      <c r="HY54" s="1660"/>
      <c r="HZ54" s="1660"/>
      <c r="IA54" s="1660"/>
      <c r="IB54" s="1660"/>
      <c r="IC54" s="1660"/>
      <c r="ID54" s="1660"/>
      <c r="IE54" s="1660"/>
      <c r="IF54" s="1660"/>
      <c r="IG54" s="1660">
        <v>0</v>
      </c>
      <c r="IH54" s="1660"/>
      <c r="II54" s="1660"/>
      <c r="IJ54" s="1660"/>
      <c r="IK54" s="1660"/>
      <c r="IL54" s="1660"/>
      <c r="IM54" s="1660"/>
      <c r="IN54" s="1660"/>
      <c r="IO54" s="1660"/>
      <c r="IP54" s="1660"/>
      <c r="IQ54" s="1660"/>
      <c r="IR54" s="1660"/>
      <c r="IS54" s="1660"/>
      <c r="IT54" s="1662">
        <v>60000</v>
      </c>
      <c r="IU54" s="1662">
        <v>0</v>
      </c>
      <c r="IV54" s="1713"/>
    </row>
    <row r="55" spans="2:256" ht="17.25" thickBot="1">
      <c r="B55" s="1664" t="s">
        <v>2094</v>
      </c>
      <c r="C55" s="1664"/>
      <c r="D55" s="1665"/>
      <c r="E55" s="1666">
        <f>E37+E39-E46</f>
        <v>1412.4558469999997</v>
      </c>
      <c r="F55" s="1667">
        <f t="shared" ref="F55:P55" si="54">F37+F39-F46</f>
        <v>1504.8744770000021</v>
      </c>
      <c r="G55" s="1668">
        <f t="shared" si="54"/>
        <v>1706.1046829999977</v>
      </c>
      <c r="H55" s="1667">
        <f t="shared" si="54"/>
        <v>2204.4741629999967</v>
      </c>
      <c r="I55" s="1667">
        <f t="shared" si="54"/>
        <v>1967.8092180000006</v>
      </c>
      <c r="J55" s="1668">
        <f t="shared" si="54"/>
        <v>1220.3944449999985</v>
      </c>
      <c r="K55" s="1667">
        <f t="shared" si="54"/>
        <v>2044.2033529999999</v>
      </c>
      <c r="L55" s="1667">
        <f t="shared" si="54"/>
        <v>2070.7544609999977</v>
      </c>
      <c r="M55" s="1669">
        <f t="shared" si="54"/>
        <v>2538.3101791241847</v>
      </c>
      <c r="N55" s="1670">
        <f t="shared" si="54"/>
        <v>1281.3735454281466</v>
      </c>
      <c r="O55" s="1670">
        <f t="shared" si="54"/>
        <v>2069.1368686684809</v>
      </c>
      <c r="P55" s="1670">
        <f t="shared" si="54"/>
        <v>1817.497600618344</v>
      </c>
      <c r="Q55" s="1671">
        <f>Q37+Q39-Q46</f>
        <v>21837.38884083915</v>
      </c>
      <c r="R55" s="1672">
        <f>R37+R39-R46</f>
        <v>2468.643560853975</v>
      </c>
      <c r="S55" s="1670">
        <f t="shared" ref="S55:AC55" si="55">S37+S39-S46</f>
        <v>1986.0887232317523</v>
      </c>
      <c r="T55" s="1669">
        <f t="shared" si="55"/>
        <v>451.1168407942273</v>
      </c>
      <c r="U55" s="1670">
        <f t="shared" si="55"/>
        <v>1964.2373840121068</v>
      </c>
      <c r="V55" s="1670">
        <f t="shared" si="55"/>
        <v>2433.7389559990111</v>
      </c>
      <c r="W55" s="1669">
        <f t="shared" si="55"/>
        <v>2134.9870873458394</v>
      </c>
      <c r="X55" s="1670">
        <f t="shared" si="55"/>
        <v>2186.2805748171377</v>
      </c>
      <c r="Y55" s="1670">
        <f t="shared" si="55"/>
        <v>2294.0790535701417</v>
      </c>
      <c r="Z55" s="1669">
        <f t="shared" si="55"/>
        <v>2163.1805158537977</v>
      </c>
      <c r="AA55" s="1670">
        <f t="shared" si="55"/>
        <v>2113.2502772122416</v>
      </c>
      <c r="AB55" s="1670">
        <f t="shared" si="55"/>
        <v>2062.0425175429336</v>
      </c>
      <c r="AC55" s="1670">
        <f t="shared" si="55"/>
        <v>1531.4352755896343</v>
      </c>
      <c r="AD55" s="1671">
        <f>IFERROR(SUM(R55:AC55),0)</f>
        <v>23789.080766822801</v>
      </c>
      <c r="AE55" s="1672">
        <f>AE37+AE39-AE46</f>
        <v>2216.6665595257259</v>
      </c>
      <c r="AF55" s="1670">
        <f t="shared" ref="AF55:AP55" si="56">AF37+AF39-AF46</f>
        <v>2162.3810770154314</v>
      </c>
      <c r="AG55" s="1669">
        <f t="shared" si="56"/>
        <v>2110.1621060330276</v>
      </c>
      <c r="AH55" s="1670">
        <f t="shared" si="56"/>
        <v>2244.1360354617455</v>
      </c>
      <c r="AI55" s="1670">
        <f t="shared" si="56"/>
        <v>1752.8546377556734</v>
      </c>
      <c r="AJ55" s="1669">
        <f t="shared" si="56"/>
        <v>-405.71939551354671</v>
      </c>
      <c r="AK55" s="1670">
        <f t="shared" si="56"/>
        <v>-449.93300732061249</v>
      </c>
      <c r="AL55" s="1670">
        <f t="shared" si="56"/>
        <v>1912.3324761820134</v>
      </c>
      <c r="AM55" s="1669">
        <f t="shared" si="56"/>
        <v>2276.6417236159386</v>
      </c>
      <c r="AN55" s="1670">
        <f t="shared" si="56"/>
        <v>2211.3579021901019</v>
      </c>
      <c r="AO55" s="1670">
        <f t="shared" si="56"/>
        <v>2378.03553808574</v>
      </c>
      <c r="AP55" s="1670">
        <f t="shared" si="56"/>
        <v>2048.9464312845516</v>
      </c>
      <c r="AQ55" s="1671">
        <f t="shared" si="31"/>
        <v>20457.862084315791</v>
      </c>
      <c r="AR55" s="1672">
        <f>AR37+AR39-AR46</f>
        <v>2183.0120384781026</v>
      </c>
      <c r="AS55" s="1670">
        <f t="shared" ref="AS55:BC55" si="57">AS37+AS39-AS46</f>
        <v>1973.448773065541</v>
      </c>
      <c r="AT55" s="1669">
        <f t="shared" si="57"/>
        <v>1639.3349387501962</v>
      </c>
      <c r="AU55" s="1670">
        <f t="shared" si="57"/>
        <v>1871.8394216467705</v>
      </c>
      <c r="AV55" s="1670">
        <f t="shared" si="57"/>
        <v>2369.1857357012946</v>
      </c>
      <c r="AW55" s="1669">
        <f t="shared" si="57"/>
        <v>2128.8789234977303</v>
      </c>
      <c r="AX55" s="1670">
        <f t="shared" si="57"/>
        <v>2067.9173675616657</v>
      </c>
      <c r="AY55" s="1670">
        <f t="shared" si="57"/>
        <v>2245.4290667419446</v>
      </c>
      <c r="AZ55" s="1669">
        <f t="shared" si="57"/>
        <v>1973.0028388680366</v>
      </c>
      <c r="BA55" s="1670">
        <f t="shared" si="57"/>
        <v>2102.6375677572737</v>
      </c>
      <c r="BB55" s="1670">
        <f t="shared" si="57"/>
        <v>2280.2258294884982</v>
      </c>
      <c r="BC55" s="1670">
        <f t="shared" si="57"/>
        <v>1965.1027770178405</v>
      </c>
      <c r="BD55" s="1673">
        <f t="shared" si="33"/>
        <v>24800.015278574898</v>
      </c>
      <c r="BE55" s="1589"/>
      <c r="BF55" s="1615">
        <f t="shared" si="52"/>
        <v>103.48814162261371</v>
      </c>
      <c r="BH55" s="1645" t="s">
        <v>2976</v>
      </c>
      <c r="BI55" s="1645" t="s">
        <v>2974</v>
      </c>
      <c r="BJ55" s="1645" t="s">
        <v>2874</v>
      </c>
      <c r="BK55" s="1833"/>
      <c r="BL55" s="1498"/>
      <c r="BN55" s="1498"/>
      <c r="BO55" s="1839">
        <f>CB54</f>
        <v>4.9757530312044667</v>
      </c>
      <c r="BP55" s="815" t="s">
        <v>3057</v>
      </c>
      <c r="BQ55" s="815"/>
      <c r="BR55" s="1811">
        <f>BJ56*BI57/100000000</f>
        <v>44.203895552262551</v>
      </c>
      <c r="BS55" s="815" t="s">
        <v>3058</v>
      </c>
      <c r="BY55" s="1617"/>
      <c r="BZ55" s="1617"/>
      <c r="CD55" s="815"/>
      <c r="CE55" s="1617"/>
      <c r="CF55" s="1615"/>
      <c r="CG55" s="1559"/>
      <c r="CH55" s="1559"/>
      <c r="CI55" s="1809"/>
      <c r="CJ55" s="1809"/>
      <c r="CK55" s="1809"/>
      <c r="CL55" s="1809"/>
      <c r="CM55" s="1809"/>
      <c r="CN55" s="1809"/>
      <c r="CO55" s="1809"/>
      <c r="CP55" s="1809"/>
      <c r="CQ55" s="1809"/>
      <c r="CR55" s="1809"/>
      <c r="CS55" s="1809"/>
      <c r="CT55" s="1809"/>
      <c r="CU55" s="1810"/>
      <c r="CV55" s="1809"/>
      <c r="CW55" s="1809"/>
      <c r="CX55" s="1809"/>
      <c r="CY55" s="1809"/>
      <c r="CZ55" s="1809"/>
      <c r="DA55" s="1809"/>
      <c r="DB55" s="1809"/>
      <c r="DC55" s="1809"/>
      <c r="DD55" s="1809"/>
      <c r="DE55" s="1809"/>
      <c r="DF55" s="1809"/>
      <c r="DG55" s="1809"/>
      <c r="DH55" s="1810"/>
      <c r="DI55" s="1809"/>
      <c r="DJ55" s="1809"/>
      <c r="DK55" s="1809"/>
      <c r="DL55" s="1809"/>
      <c r="DM55" s="1809"/>
      <c r="DN55" s="1809"/>
      <c r="DO55" s="1809"/>
      <c r="DP55" s="1809"/>
      <c r="DQ55" s="1809"/>
      <c r="DR55" s="1809"/>
      <c r="DS55" s="1809"/>
      <c r="DT55" s="1809"/>
      <c r="DU55" s="1810"/>
      <c r="DV55" s="1809"/>
      <c r="DW55" s="1809"/>
      <c r="DX55" s="1809"/>
      <c r="DY55" s="1809"/>
      <c r="DZ55" s="1809"/>
      <c r="EA55" s="1809"/>
      <c r="EB55" s="1809"/>
      <c r="EC55" s="1809"/>
      <c r="ED55" s="1809"/>
      <c r="EE55" s="1809"/>
      <c r="EF55" s="1809"/>
      <c r="EG55" s="1809"/>
      <c r="EH55" s="1810"/>
      <c r="EJ55" s="1840" t="s">
        <v>3059</v>
      </c>
      <c r="EK55" s="1841">
        <v>7200.9529999999995</v>
      </c>
      <c r="EL55" s="1842">
        <v>7133</v>
      </c>
      <c r="EM55" s="1843">
        <v>7628.35</v>
      </c>
      <c r="EN55" s="1842">
        <v>7670.826</v>
      </c>
      <c r="EO55" s="1842">
        <v>5912.0039999999999</v>
      </c>
      <c r="EP55" s="1842">
        <v>2409.7310000000002</v>
      </c>
      <c r="EQ55" s="1841">
        <v>7895.8499999999995</v>
      </c>
      <c r="ER55" s="1842">
        <v>7672.6229999999996</v>
      </c>
      <c r="ES55" s="1843">
        <v>7400</v>
      </c>
      <c r="ET55" s="1842">
        <v>7600</v>
      </c>
      <c r="EU55" s="1842">
        <v>7400</v>
      </c>
      <c r="EV55" s="1842">
        <v>7600</v>
      </c>
      <c r="EW55" s="1844">
        <v>83523.337</v>
      </c>
      <c r="EX55" s="1841"/>
      <c r="EY55" s="1842"/>
      <c r="EZ55" s="1843"/>
      <c r="FA55" s="1842"/>
      <c r="FB55" s="1842"/>
      <c r="FC55" s="1842"/>
      <c r="FD55" s="1841"/>
      <c r="FE55" s="1842"/>
      <c r="FF55" s="1843"/>
      <c r="FG55" s="1842"/>
      <c r="FH55" s="1842"/>
      <c r="FI55" s="1842"/>
      <c r="FJ55" s="1844">
        <v>89000</v>
      </c>
      <c r="FK55" s="1841"/>
      <c r="FL55" s="1842"/>
      <c r="FM55" s="1843"/>
      <c r="FN55" s="1842"/>
      <c r="FO55" s="1842"/>
      <c r="FP55" s="1842"/>
      <c r="FQ55" s="1841"/>
      <c r="FR55" s="1842"/>
      <c r="FS55" s="1843"/>
      <c r="FT55" s="1842"/>
      <c r="FU55" s="1842"/>
      <c r="FV55" s="1842"/>
      <c r="FW55" s="1844">
        <v>85500</v>
      </c>
      <c r="FX55" s="1841"/>
      <c r="FY55" s="1842"/>
      <c r="FZ55" s="1843"/>
      <c r="GA55" s="1842"/>
      <c r="GB55" s="1842"/>
      <c r="GC55" s="1842"/>
      <c r="GD55" s="1841"/>
      <c r="GE55" s="1842"/>
      <c r="GF55" s="1843"/>
      <c r="GG55" s="1842"/>
      <c r="GH55" s="1842"/>
      <c r="GI55" s="1842"/>
      <c r="GJ55" s="1844">
        <v>93000</v>
      </c>
      <c r="GL55" s="1623"/>
      <c r="GM55" s="1746" t="s">
        <v>3060</v>
      </c>
      <c r="GN55" s="1728" t="s">
        <v>3061</v>
      </c>
      <c r="GO55" s="1705" t="s">
        <v>3042</v>
      </c>
      <c r="GP55" s="1705" t="s">
        <v>3043</v>
      </c>
      <c r="GQ55" s="1747">
        <v>5</v>
      </c>
      <c r="GR55" s="1705" t="s">
        <v>3042</v>
      </c>
      <c r="GS55" s="1706">
        <v>22</v>
      </c>
      <c r="GT55" s="1631">
        <v>0</v>
      </c>
      <c r="GU55" s="1631"/>
      <c r="GV55" s="1631"/>
      <c r="GW55" s="1631"/>
      <c r="GX55" s="1631"/>
      <c r="GY55" s="1631"/>
      <c r="GZ55" s="1631"/>
      <c r="HA55" s="1631"/>
      <c r="HB55" s="1631"/>
      <c r="HC55" s="1631"/>
      <c r="HD55" s="1631"/>
      <c r="HE55" s="1631"/>
      <c r="HF55" s="1631"/>
      <c r="HG55" s="1631">
        <v>0</v>
      </c>
      <c r="HH55" s="1631"/>
      <c r="HI55" s="1631"/>
      <c r="HJ55" s="1631"/>
      <c r="HK55" s="1631"/>
      <c r="HL55" s="1631"/>
      <c r="HM55" s="1631"/>
      <c r="HN55" s="1631"/>
      <c r="HO55" s="1631"/>
      <c r="HP55" s="1631"/>
      <c r="HQ55" s="1631"/>
      <c r="HR55" s="1631"/>
      <c r="HS55" s="1631"/>
      <c r="HT55" s="1631">
        <v>240000</v>
      </c>
      <c r="HU55" s="1631"/>
      <c r="HV55" s="1631"/>
      <c r="HW55" s="1631"/>
      <c r="HX55" s="1631"/>
      <c r="HY55" s="1631"/>
      <c r="HZ55" s="1631"/>
      <c r="IA55" s="1631"/>
      <c r="IB55" s="1631"/>
      <c r="IC55" s="1631"/>
      <c r="ID55" s="1631"/>
      <c r="IE55" s="1631">
        <v>240000</v>
      </c>
      <c r="IF55" s="1631"/>
      <c r="IG55" s="1631">
        <v>0</v>
      </c>
      <c r="IH55" s="1631"/>
      <c r="II55" s="1631"/>
      <c r="IJ55" s="1631"/>
      <c r="IK55" s="1631"/>
      <c r="IL55" s="1631"/>
      <c r="IM55" s="1631"/>
      <c r="IN55" s="1631"/>
      <c r="IO55" s="1631"/>
      <c r="IP55" s="1631"/>
      <c r="IQ55" s="1631"/>
      <c r="IR55" s="1631"/>
      <c r="IS55" s="1631"/>
      <c r="IT55" s="1633">
        <v>240000</v>
      </c>
      <c r="IU55" s="1633">
        <v>240000</v>
      </c>
      <c r="IV55" s="1707"/>
    </row>
    <row r="56" spans="2:256" ht="17.25" thickBot="1">
      <c r="B56" s="1750"/>
      <c r="C56" s="1750"/>
      <c r="D56" s="1751" t="s">
        <v>360</v>
      </c>
      <c r="E56" s="1752">
        <f>E55/E20*100</f>
        <v>7.0503267395823395</v>
      </c>
      <c r="F56" s="1753">
        <f t="shared" ref="F56:BD56" si="58">F55/F20*100</f>
        <v>7.8227056037842342</v>
      </c>
      <c r="G56" s="1754">
        <f t="shared" si="58"/>
        <v>9.8358149034674582</v>
      </c>
      <c r="H56" s="1753">
        <f t="shared" si="58"/>
        <v>11.786215527585085</v>
      </c>
      <c r="I56" s="1753">
        <f t="shared" si="58"/>
        <v>9.6393909949295544</v>
      </c>
      <c r="J56" s="1754">
        <f t="shared" si="58"/>
        <v>11.891528711731075</v>
      </c>
      <c r="K56" s="1753">
        <f t="shared" si="58"/>
        <v>11.009807814082182</v>
      </c>
      <c r="L56" s="1753">
        <f t="shared" si="58"/>
        <v>11.582613477856968</v>
      </c>
      <c r="M56" s="1755">
        <f t="shared" si="58"/>
        <v>10.114124996642715</v>
      </c>
      <c r="N56" s="1756">
        <f t="shared" si="58"/>
        <v>5.029730678873114</v>
      </c>
      <c r="O56" s="1756">
        <f t="shared" si="58"/>
        <v>9.3233475926130218</v>
      </c>
      <c r="P56" s="1756">
        <f t="shared" si="58"/>
        <v>7.9444092058186495</v>
      </c>
      <c r="Q56" s="1757">
        <f t="shared" si="58"/>
        <v>9.1720404129535211</v>
      </c>
      <c r="R56" s="1758">
        <f t="shared" si="58"/>
        <v>10.709501863792969</v>
      </c>
      <c r="S56" s="1756">
        <f t="shared" si="58"/>
        <v>9.3027032978414415</v>
      </c>
      <c r="T56" s="1755">
        <f t="shared" si="58"/>
        <v>4.7111785770809824</v>
      </c>
      <c r="U56" s="1756">
        <f t="shared" si="58"/>
        <v>8.6482526796872357</v>
      </c>
      <c r="V56" s="1756">
        <f t="shared" si="58"/>
        <v>10.380439981074128</v>
      </c>
      <c r="W56" s="1755">
        <f t="shared" si="58"/>
        <v>9.3403719817557604</v>
      </c>
      <c r="X56" s="1756">
        <f t="shared" si="58"/>
        <v>9.2429275670840987</v>
      </c>
      <c r="Y56" s="1756">
        <f t="shared" si="58"/>
        <v>9.7385693507407201</v>
      </c>
      <c r="Z56" s="1755">
        <f t="shared" si="58"/>
        <v>9.5024906211789162</v>
      </c>
      <c r="AA56" s="1756">
        <f t="shared" si="58"/>
        <v>9.0205224649609654</v>
      </c>
      <c r="AB56" s="1756">
        <f t="shared" si="58"/>
        <v>10.007673292193623</v>
      </c>
      <c r="AC56" s="1756">
        <f t="shared" si="58"/>
        <v>6.4869058731548188</v>
      </c>
      <c r="AD56" s="1757">
        <f t="shared" si="58"/>
        <v>9.1283707004692722</v>
      </c>
      <c r="AE56" s="1758">
        <f t="shared" si="58"/>
        <v>9.5956038578204819</v>
      </c>
      <c r="AF56" s="1756">
        <f t="shared" si="58"/>
        <v>10.451298238278889</v>
      </c>
      <c r="AG56" s="1755">
        <f t="shared" si="58"/>
        <v>9.0926097099900716</v>
      </c>
      <c r="AH56" s="1756">
        <f t="shared" si="58"/>
        <v>10.077885706257069</v>
      </c>
      <c r="AI56" s="1756">
        <f t="shared" si="58"/>
        <v>10.561337331655993</v>
      </c>
      <c r="AJ56" s="1755">
        <f t="shared" si="58"/>
        <v>-6.368427223038017</v>
      </c>
      <c r="AK56" s="1756">
        <f t="shared" si="58"/>
        <v>-1.9077199548107331</v>
      </c>
      <c r="AL56" s="1756">
        <f t="shared" si="58"/>
        <v>8.3124811837587806</v>
      </c>
      <c r="AM56" s="1755">
        <f t="shared" si="58"/>
        <v>10.158567444259766</v>
      </c>
      <c r="AN56" s="1756">
        <f t="shared" si="58"/>
        <v>9.5185945500614615</v>
      </c>
      <c r="AO56" s="1756">
        <f t="shared" si="58"/>
        <v>10.638372197033965</v>
      </c>
      <c r="AP56" s="1756">
        <f t="shared" si="58"/>
        <v>8.8260176704228712</v>
      </c>
      <c r="AQ56" s="1757">
        <f t="shared" si="58"/>
        <v>8.1819779469135927</v>
      </c>
      <c r="AR56" s="1758">
        <f t="shared" si="58"/>
        <v>9.219642540184136</v>
      </c>
      <c r="AS56" s="1756">
        <f t="shared" si="58"/>
        <v>9.3967716720334273</v>
      </c>
      <c r="AT56" s="1755">
        <f t="shared" si="58"/>
        <v>7.7004266933562775</v>
      </c>
      <c r="AU56" s="1756">
        <f t="shared" si="58"/>
        <v>8.2206811800026038</v>
      </c>
      <c r="AV56" s="1756">
        <f t="shared" si="58"/>
        <v>10.177585057453655</v>
      </c>
      <c r="AW56" s="1755">
        <f t="shared" si="58"/>
        <v>9.301468232378145</v>
      </c>
      <c r="AX56" s="1756">
        <f t="shared" si="58"/>
        <v>8.861474320924815</v>
      </c>
      <c r="AY56" s="1756">
        <f t="shared" si="58"/>
        <v>9.5462740340298886</v>
      </c>
      <c r="AZ56" s="1755">
        <f t="shared" si="58"/>
        <v>8.6748018511506313</v>
      </c>
      <c r="BA56" s="1756">
        <f t="shared" si="58"/>
        <v>9.1421810176072142</v>
      </c>
      <c r="BB56" s="1756">
        <f t="shared" si="58"/>
        <v>11.137008470808135</v>
      </c>
      <c r="BC56" s="1756">
        <f t="shared" si="58"/>
        <v>8.392575841615967</v>
      </c>
      <c r="BD56" s="1758">
        <f t="shared" si="58"/>
        <v>9.1380117174553632</v>
      </c>
      <c r="BE56" s="1589"/>
      <c r="BF56" s="1615">
        <f t="shared" si="52"/>
        <v>-183.27548200000001</v>
      </c>
      <c r="BG56" s="1497" t="s">
        <v>3062</v>
      </c>
      <c r="BH56" s="1796">
        <f>BK53</f>
        <v>83706.924999999988</v>
      </c>
      <c r="BI56" s="1499">
        <f>BH53</f>
        <v>89000</v>
      </c>
      <c r="BJ56" s="1499">
        <f>BI56-BH56</f>
        <v>5293.0750000000116</v>
      </c>
      <c r="BK56" s="1833"/>
      <c r="BL56" s="1498"/>
      <c r="BM56" s="1777"/>
      <c r="BN56" s="1498"/>
      <c r="BO56" s="1845">
        <f>AD71/100</f>
        <v>0</v>
      </c>
      <c r="BP56" s="815" t="s">
        <v>3063</v>
      </c>
      <c r="BQ56" s="815"/>
      <c r="BR56" s="1811">
        <f>BJ57*BH56/100000000</f>
        <v>-14.947226020175322</v>
      </c>
      <c r="BS56" s="815" t="s">
        <v>3064</v>
      </c>
      <c r="BY56" s="1617"/>
      <c r="BZ56" s="1617"/>
      <c r="CD56" s="815"/>
      <c r="CE56" s="1617"/>
      <c r="CF56" s="1615"/>
      <c r="CG56" s="1559"/>
      <c r="CH56" s="1817" t="s">
        <v>2864</v>
      </c>
      <c r="CI56" s="1818"/>
      <c r="CJ56" s="1819"/>
      <c r="CK56" s="1820"/>
      <c r="CL56" s="1819"/>
      <c r="CM56" s="1819"/>
      <c r="CN56" s="1819"/>
      <c r="CO56" s="1818"/>
      <c r="CP56" s="1819"/>
      <c r="CQ56" s="1820"/>
      <c r="CR56" s="1819"/>
      <c r="CS56" s="1819"/>
      <c r="CT56" s="1819"/>
      <c r="CU56" s="1821"/>
      <c r="CV56" s="1818"/>
      <c r="CW56" s="1819"/>
      <c r="CX56" s="1820"/>
      <c r="CY56" s="1819"/>
      <c r="CZ56" s="1819"/>
      <c r="DA56" s="1819"/>
      <c r="DB56" s="1818"/>
      <c r="DC56" s="1819"/>
      <c r="DD56" s="1820"/>
      <c r="DE56" s="1819"/>
      <c r="DF56" s="1819"/>
      <c r="DG56" s="1819"/>
      <c r="DH56" s="1821"/>
      <c r="DI56" s="1818"/>
      <c r="DJ56" s="1819"/>
      <c r="DK56" s="1820"/>
      <c r="DL56" s="1819"/>
      <c r="DM56" s="1819"/>
      <c r="DN56" s="1819"/>
      <c r="DO56" s="1818"/>
      <c r="DP56" s="1819"/>
      <c r="DQ56" s="1820"/>
      <c r="DR56" s="1819"/>
      <c r="DS56" s="1819"/>
      <c r="DT56" s="1819"/>
      <c r="DU56" s="1821"/>
      <c r="DV56" s="1818"/>
      <c r="DW56" s="1819"/>
      <c r="DX56" s="1820"/>
      <c r="DY56" s="1819"/>
      <c r="DZ56" s="1819"/>
      <c r="EA56" s="1819"/>
      <c r="EB56" s="1818"/>
      <c r="EC56" s="1819"/>
      <c r="ED56" s="1820"/>
      <c r="EE56" s="1819"/>
      <c r="EF56" s="1819"/>
      <c r="EG56" s="1819"/>
      <c r="EH56" s="1821"/>
      <c r="EJ56" s="1846" t="s">
        <v>3065</v>
      </c>
      <c r="EK56" s="1847">
        <v>38.775862583744129</v>
      </c>
      <c r="EL56" s="1848">
        <v>29.933778213935231</v>
      </c>
      <c r="EM56" s="1849">
        <v>37.711483217209484</v>
      </c>
      <c r="EN56" s="1847">
        <v>24.80272280977303</v>
      </c>
      <c r="EO56" s="1848">
        <v>33.79748457545022</v>
      </c>
      <c r="EP56" s="1848">
        <v>73.418717690895775</v>
      </c>
      <c r="EQ56" s="1847">
        <v>24.61665925771133</v>
      </c>
      <c r="ER56" s="1848">
        <v>25.884706181966713</v>
      </c>
      <c r="ES56" s="1849">
        <v>32.726590825597199</v>
      </c>
      <c r="ET56" s="1847">
        <v>27.202960959303411</v>
      </c>
      <c r="EU56" s="1848">
        <v>28.68682649704418</v>
      </c>
      <c r="EV56" s="1848">
        <v>30.503064827705025</v>
      </c>
      <c r="EW56" s="1850">
        <v>31.528947618182578</v>
      </c>
      <c r="EX56" s="1847"/>
      <c r="EY56" s="1848"/>
      <c r="EZ56" s="1849"/>
      <c r="FA56" s="1847"/>
      <c r="FB56" s="1848"/>
      <c r="FC56" s="1848"/>
      <c r="FD56" s="1847"/>
      <c r="FE56" s="1848"/>
      <c r="FF56" s="1849"/>
      <c r="FG56" s="1847"/>
      <c r="FH56" s="1848"/>
      <c r="FI56" s="1848"/>
      <c r="FJ56" s="1850">
        <v>30.247419272959821</v>
      </c>
      <c r="FK56" s="1847"/>
      <c r="FL56" s="1848"/>
      <c r="FM56" s="1849"/>
      <c r="FN56" s="1847"/>
      <c r="FO56" s="1848"/>
      <c r="FP56" s="1848"/>
      <c r="FQ56" s="1847"/>
      <c r="FR56" s="1848"/>
      <c r="FS56" s="1849"/>
      <c r="FT56" s="1847"/>
      <c r="FU56" s="1848"/>
      <c r="FV56" s="1848"/>
      <c r="FW56" s="1850">
        <v>32.366827359069475</v>
      </c>
      <c r="FX56" s="1847"/>
      <c r="FY56" s="1848"/>
      <c r="FZ56" s="1849"/>
      <c r="GA56" s="1847"/>
      <c r="GB56" s="1848"/>
      <c r="GC56" s="1848"/>
      <c r="GD56" s="1847"/>
      <c r="GE56" s="1848"/>
      <c r="GF56" s="1849"/>
      <c r="GG56" s="1847"/>
      <c r="GH56" s="1848"/>
      <c r="GI56" s="1848"/>
      <c r="GJ56" s="1850">
        <v>30.136334527196503</v>
      </c>
      <c r="GL56" s="1652"/>
      <c r="GM56" s="1748" t="s">
        <v>3066</v>
      </c>
      <c r="GN56" s="1714" t="s">
        <v>3067</v>
      </c>
      <c r="GO56" s="1711" t="s">
        <v>2918</v>
      </c>
      <c r="GP56" s="1711" t="s">
        <v>2932</v>
      </c>
      <c r="GQ56" s="1749">
        <v>12</v>
      </c>
      <c r="GR56" s="1711" t="s">
        <v>2944</v>
      </c>
      <c r="GS56" s="1712">
        <v>22</v>
      </c>
      <c r="GT56" s="1660">
        <v>0</v>
      </c>
      <c r="GU56" s="1660"/>
      <c r="GV56" s="1660"/>
      <c r="GW56" s="1660"/>
      <c r="GX56" s="1660"/>
      <c r="GY56" s="1660"/>
      <c r="GZ56" s="1660"/>
      <c r="HA56" s="1660"/>
      <c r="HB56" s="1660"/>
      <c r="HC56" s="1660"/>
      <c r="HD56" s="1660"/>
      <c r="HE56" s="1660"/>
      <c r="HF56" s="1660"/>
      <c r="HG56" s="1660">
        <v>0</v>
      </c>
      <c r="HH56" s="1660"/>
      <c r="HI56" s="1660"/>
      <c r="HJ56" s="1660"/>
      <c r="HK56" s="1660"/>
      <c r="HL56" s="1660"/>
      <c r="HM56" s="1660"/>
      <c r="HN56" s="1660"/>
      <c r="HO56" s="1660"/>
      <c r="HP56" s="1660"/>
      <c r="HQ56" s="1660"/>
      <c r="HR56" s="1660"/>
      <c r="HS56" s="1660"/>
      <c r="HT56" s="1660">
        <v>95000</v>
      </c>
      <c r="HU56" s="1660"/>
      <c r="HV56" s="1660"/>
      <c r="HW56" s="1660"/>
      <c r="HX56" s="1660"/>
      <c r="HY56" s="1660"/>
      <c r="HZ56" s="1660">
        <v>95000</v>
      </c>
      <c r="IA56" s="1660"/>
      <c r="IB56" s="1660"/>
      <c r="IC56" s="1660"/>
      <c r="ID56" s="1660"/>
      <c r="IE56" s="1660"/>
      <c r="IF56" s="1660"/>
      <c r="IG56" s="1660">
        <v>0</v>
      </c>
      <c r="IH56" s="1660"/>
      <c r="II56" s="1660"/>
      <c r="IJ56" s="1660"/>
      <c r="IK56" s="1660"/>
      <c r="IL56" s="1660"/>
      <c r="IM56" s="1660"/>
      <c r="IN56" s="1660"/>
      <c r="IO56" s="1660"/>
      <c r="IP56" s="1660"/>
      <c r="IQ56" s="1660"/>
      <c r="IR56" s="1660"/>
      <c r="IS56" s="1660"/>
      <c r="IT56" s="1662">
        <v>95000</v>
      </c>
      <c r="IU56" s="1662">
        <v>95000</v>
      </c>
      <c r="IV56" s="1713"/>
    </row>
    <row r="57" spans="2:256" ht="17.25" thickBot="1">
      <c r="B57" s="1764" t="s">
        <v>3068</v>
      </c>
      <c r="C57" s="1822"/>
      <c r="D57" s="1851"/>
      <c r="E57" s="1852">
        <f>E55*22%</f>
        <v>310.74028633999995</v>
      </c>
      <c r="F57" s="1853">
        <f t="shared" ref="F57:P57" si="59">F55*22%</f>
        <v>331.07238494000046</v>
      </c>
      <c r="G57" s="1854">
        <f t="shared" si="59"/>
        <v>375.34303025999952</v>
      </c>
      <c r="H57" s="1853">
        <f t="shared" si="59"/>
        <v>484.9843158599993</v>
      </c>
      <c r="I57" s="1853">
        <f t="shared" si="59"/>
        <v>432.91802796000013</v>
      </c>
      <c r="J57" s="1854">
        <f t="shared" si="59"/>
        <v>268.48677789999971</v>
      </c>
      <c r="K57" s="1853">
        <f t="shared" si="59"/>
        <v>449.72473765999996</v>
      </c>
      <c r="L57" s="1853">
        <f t="shared" si="59"/>
        <v>455.5659814199995</v>
      </c>
      <c r="M57" s="1855">
        <f t="shared" si="59"/>
        <v>558.42823940732069</v>
      </c>
      <c r="N57" s="1856">
        <f t="shared" si="59"/>
        <v>281.90217999419224</v>
      </c>
      <c r="O57" s="1856">
        <f t="shared" si="59"/>
        <v>455.21011110706581</v>
      </c>
      <c r="P57" s="1856">
        <f t="shared" si="59"/>
        <v>399.84947213603567</v>
      </c>
      <c r="Q57" s="1857">
        <f t="shared" si="6"/>
        <v>4804.2255449846125</v>
      </c>
      <c r="R57" s="1858">
        <f>R55*22%</f>
        <v>543.10158338787448</v>
      </c>
      <c r="S57" s="1856">
        <f t="shared" ref="S57:AC57" si="60">S55*22%</f>
        <v>436.93951911098549</v>
      </c>
      <c r="T57" s="1855">
        <f t="shared" si="60"/>
        <v>99.245704974730003</v>
      </c>
      <c r="U57" s="1856">
        <f t="shared" si="60"/>
        <v>432.1322244826635</v>
      </c>
      <c r="V57" s="1856">
        <f t="shared" si="60"/>
        <v>535.42257031978249</v>
      </c>
      <c r="W57" s="1855">
        <f t="shared" si="60"/>
        <v>469.69715921608469</v>
      </c>
      <c r="X57" s="1856">
        <f t="shared" si="60"/>
        <v>480.9817264597703</v>
      </c>
      <c r="Y57" s="1856">
        <f t="shared" si="60"/>
        <v>504.69739178543119</v>
      </c>
      <c r="Z57" s="1855">
        <f t="shared" si="60"/>
        <v>475.89971348783553</v>
      </c>
      <c r="AA57" s="1856">
        <f t="shared" si="60"/>
        <v>464.91506098669316</v>
      </c>
      <c r="AB57" s="1856">
        <f t="shared" si="60"/>
        <v>453.6493538594454</v>
      </c>
      <c r="AC57" s="1856">
        <f t="shared" si="60"/>
        <v>336.91576062971956</v>
      </c>
      <c r="AD57" s="1857">
        <f>IFERROR(SUM(R57:AC57),0)</f>
        <v>5233.5977687010154</v>
      </c>
      <c r="AE57" s="1858">
        <f>AE55*22%</f>
        <v>487.66664309565971</v>
      </c>
      <c r="AF57" s="1856">
        <f t="shared" ref="AF57:AP57" si="61">AF55*22%</f>
        <v>475.72383694339493</v>
      </c>
      <c r="AG57" s="1855">
        <f t="shared" si="61"/>
        <v>464.23566332726608</v>
      </c>
      <c r="AH57" s="1856">
        <f t="shared" si="61"/>
        <v>493.709927801584</v>
      </c>
      <c r="AI57" s="1856">
        <f t="shared" si="61"/>
        <v>385.62802030624812</v>
      </c>
      <c r="AJ57" s="1855">
        <f t="shared" si="61"/>
        <v>-89.258267012980284</v>
      </c>
      <c r="AK57" s="1856">
        <f t="shared" si="61"/>
        <v>-98.985261610534749</v>
      </c>
      <c r="AL57" s="1856">
        <f t="shared" si="61"/>
        <v>420.71314476004295</v>
      </c>
      <c r="AM57" s="1855">
        <f t="shared" si="61"/>
        <v>500.86117919550651</v>
      </c>
      <c r="AN57" s="1856">
        <f t="shared" si="61"/>
        <v>486.49873848182239</v>
      </c>
      <c r="AO57" s="1856">
        <f t="shared" si="61"/>
        <v>523.16781837886276</v>
      </c>
      <c r="AP57" s="1856">
        <f t="shared" si="61"/>
        <v>450.76821488260134</v>
      </c>
      <c r="AQ57" s="1857">
        <f>IFERROR(SUM(AE57:AP57),0)</f>
        <v>4500.7296585494732</v>
      </c>
      <c r="AR57" s="1858">
        <f>AR55*22%</f>
        <v>480.26264846518256</v>
      </c>
      <c r="AS57" s="1856">
        <f t="shared" ref="AS57:BC57" si="62">AS55*22%</f>
        <v>434.158730074419</v>
      </c>
      <c r="AT57" s="1855">
        <f t="shared" si="62"/>
        <v>360.65368652504316</v>
      </c>
      <c r="AU57" s="1856">
        <f t="shared" si="62"/>
        <v>411.8046727622895</v>
      </c>
      <c r="AV57" s="1856">
        <f t="shared" si="62"/>
        <v>521.22086185428486</v>
      </c>
      <c r="AW57" s="1855">
        <f t="shared" si="62"/>
        <v>468.35336316950065</v>
      </c>
      <c r="AX57" s="1856">
        <f t="shared" si="62"/>
        <v>454.94182086356648</v>
      </c>
      <c r="AY57" s="1856">
        <f t="shared" si="62"/>
        <v>493.99439468322782</v>
      </c>
      <c r="AZ57" s="1855">
        <f t="shared" si="62"/>
        <v>434.06062455096804</v>
      </c>
      <c r="BA57" s="1856">
        <f t="shared" si="62"/>
        <v>462.58026490660023</v>
      </c>
      <c r="BB57" s="1856">
        <f t="shared" si="62"/>
        <v>501.64968248746959</v>
      </c>
      <c r="BC57" s="1856">
        <f t="shared" si="62"/>
        <v>432.32261094392493</v>
      </c>
      <c r="BD57" s="1859">
        <f>IFERROR(SUM(AR57:BC57),0)</f>
        <v>5456.0033612864763</v>
      </c>
      <c r="BE57" s="1589"/>
      <c r="BF57" s="1615">
        <f t="shared" si="52"/>
        <v>-117.04027099999998</v>
      </c>
      <c r="BG57" s="1497" t="s">
        <v>3069</v>
      </c>
      <c r="BH57" s="1796">
        <f>BQ53/BH56</f>
        <v>852983.56337406184</v>
      </c>
      <c r="BI57" s="1499">
        <f>BP53/BI56</f>
        <v>835126.94515498937</v>
      </c>
      <c r="BJ57" s="1499">
        <f>BI57-BH57</f>
        <v>-17856.618219072465</v>
      </c>
      <c r="BK57" s="1497"/>
      <c r="BL57" s="1497"/>
      <c r="BM57" s="1777"/>
      <c r="BN57" s="1498"/>
      <c r="BO57" s="1839">
        <f>BR54</f>
        <v>29.25666953208723</v>
      </c>
      <c r="BP57" s="815" t="s">
        <v>3070</v>
      </c>
      <c r="BQ57" s="815"/>
      <c r="BR57" s="815"/>
      <c r="BS57" s="815"/>
      <c r="BY57" s="1617"/>
      <c r="BZ57" s="1617"/>
      <c r="CD57" s="815"/>
      <c r="CE57" s="1617"/>
      <c r="CF57" s="1615"/>
      <c r="CG57" s="1559"/>
      <c r="CH57" s="1729"/>
      <c r="CI57" s="1837"/>
      <c r="CJ57" s="1837"/>
      <c r="CK57" s="1837"/>
      <c r="CL57" s="1837"/>
      <c r="CM57" s="1837"/>
      <c r="CN57" s="1837"/>
      <c r="CO57" s="1837"/>
      <c r="CP57" s="1837"/>
      <c r="CQ57" s="1837"/>
      <c r="CR57" s="1837"/>
      <c r="CS57" s="1837"/>
      <c r="CT57" s="1837"/>
      <c r="CU57" s="1838"/>
      <c r="CV57" s="1837"/>
      <c r="CW57" s="1837"/>
      <c r="CX57" s="1837"/>
      <c r="CY57" s="1837"/>
      <c r="CZ57" s="1837"/>
      <c r="DA57" s="1837"/>
      <c r="DB57" s="1837"/>
      <c r="DC57" s="1837"/>
      <c r="DD57" s="1837"/>
      <c r="DE57" s="1837"/>
      <c r="DF57" s="1837"/>
      <c r="DG57" s="1837"/>
      <c r="DH57" s="1838"/>
      <c r="DI57" s="1837"/>
      <c r="DJ57" s="1837"/>
      <c r="DK57" s="1837"/>
      <c r="DL57" s="1837"/>
      <c r="DM57" s="1837"/>
      <c r="DN57" s="1837"/>
      <c r="DO57" s="1837"/>
      <c r="DP57" s="1837"/>
      <c r="DQ57" s="1837"/>
      <c r="DR57" s="1837"/>
      <c r="DS57" s="1837"/>
      <c r="DT57" s="1837"/>
      <c r="DU57" s="1838"/>
      <c r="DV57" s="1837"/>
      <c r="DW57" s="1837"/>
      <c r="DX57" s="1837"/>
      <c r="DY57" s="1837"/>
      <c r="DZ57" s="1837"/>
      <c r="EA57" s="1837"/>
      <c r="EB57" s="1837"/>
      <c r="EC57" s="1837"/>
      <c r="ED57" s="1837"/>
      <c r="EE57" s="1837"/>
      <c r="EF57" s="1837"/>
      <c r="EG57" s="1837"/>
      <c r="EH57" s="1838"/>
      <c r="EJ57" s="1729" t="s">
        <v>3071</v>
      </c>
      <c r="EK57" s="1860"/>
      <c r="EL57" s="1860"/>
      <c r="EM57" s="1860"/>
      <c r="EN57" s="1860"/>
      <c r="EO57" s="1860"/>
      <c r="EP57" s="1860"/>
      <c r="EQ57" s="1860"/>
      <c r="ER57" s="1860"/>
      <c r="ES57" s="1860"/>
      <c r="ET57" s="1860"/>
      <c r="EU57" s="1860"/>
      <c r="EV57" s="1860"/>
      <c r="EW57" s="1861"/>
      <c r="EX57" s="1860"/>
      <c r="EY57" s="1860"/>
      <c r="EZ57" s="1860"/>
      <c r="FA57" s="1860"/>
      <c r="FB57" s="1860"/>
      <c r="FC57" s="1860"/>
      <c r="FD57" s="1860"/>
      <c r="FE57" s="1860"/>
      <c r="FF57" s="1860"/>
      <c r="FG57" s="1860"/>
      <c r="FH57" s="1860"/>
      <c r="FI57" s="1860"/>
      <c r="FJ57" s="1861"/>
      <c r="FK57" s="1860"/>
      <c r="FL57" s="1860"/>
      <c r="FM57" s="1860"/>
      <c r="FN57" s="1860"/>
      <c r="FO57" s="1860"/>
      <c r="FP57" s="1860"/>
      <c r="FQ57" s="1860"/>
      <c r="FR57" s="1860"/>
      <c r="FS57" s="1860"/>
      <c r="FT57" s="1860"/>
      <c r="FU57" s="1860"/>
      <c r="FV57" s="1860"/>
      <c r="FW57" s="1861"/>
      <c r="FX57" s="1860"/>
      <c r="FY57" s="1860"/>
      <c r="FZ57" s="1860"/>
      <c r="GA57" s="1860"/>
      <c r="GB57" s="1860"/>
      <c r="GC57" s="1860"/>
      <c r="GD57" s="1860"/>
      <c r="GE57" s="1860"/>
      <c r="GF57" s="1860"/>
      <c r="GG57" s="1860"/>
      <c r="GH57" s="1860"/>
      <c r="GI57" s="1860"/>
      <c r="GJ57" s="1861"/>
      <c r="GL57" s="1623"/>
      <c r="GM57" s="1746" t="s">
        <v>3072</v>
      </c>
      <c r="GN57" s="1728" t="s">
        <v>3073</v>
      </c>
      <c r="GO57" s="1705" t="s">
        <v>3018</v>
      </c>
      <c r="GP57" s="1705" t="s">
        <v>3019</v>
      </c>
      <c r="GQ57" s="1747">
        <v>6</v>
      </c>
      <c r="GR57" s="1705" t="s">
        <v>2944</v>
      </c>
      <c r="GS57" s="1706">
        <v>21</v>
      </c>
      <c r="GT57" s="1631">
        <v>0</v>
      </c>
      <c r="GU57" s="1631"/>
      <c r="GV57" s="1631"/>
      <c r="GW57" s="1631"/>
      <c r="GX57" s="1631"/>
      <c r="GY57" s="1631"/>
      <c r="GZ57" s="1631"/>
      <c r="HA57" s="1631"/>
      <c r="HB57" s="1631"/>
      <c r="HC57" s="1631"/>
      <c r="HD57" s="1631"/>
      <c r="HE57" s="1631"/>
      <c r="HF57" s="1631"/>
      <c r="HG57" s="1631">
        <v>95000</v>
      </c>
      <c r="HH57" s="1631"/>
      <c r="HI57" s="1631"/>
      <c r="HJ57" s="1631"/>
      <c r="HK57" s="1631"/>
      <c r="HL57" s="1631"/>
      <c r="HM57" s="1631">
        <v>95000</v>
      </c>
      <c r="HN57" s="1631"/>
      <c r="HO57" s="1631"/>
      <c r="HP57" s="1631"/>
      <c r="HQ57" s="1631"/>
      <c r="HR57" s="1631"/>
      <c r="HS57" s="1631"/>
      <c r="HT57" s="1631">
        <v>0</v>
      </c>
      <c r="HU57" s="1631"/>
      <c r="HV57" s="1631"/>
      <c r="HW57" s="1631"/>
      <c r="HX57" s="1631"/>
      <c r="HY57" s="1631"/>
      <c r="HZ57" s="1631"/>
      <c r="IA57" s="1631"/>
      <c r="IB57" s="1631"/>
      <c r="IC57" s="1631"/>
      <c r="ID57" s="1631"/>
      <c r="IE57" s="1631"/>
      <c r="IF57" s="1631"/>
      <c r="IG57" s="1631">
        <v>0</v>
      </c>
      <c r="IH57" s="1631"/>
      <c r="II57" s="1631"/>
      <c r="IJ57" s="1631"/>
      <c r="IK57" s="1631"/>
      <c r="IL57" s="1631"/>
      <c r="IM57" s="1631"/>
      <c r="IN57" s="1631"/>
      <c r="IO57" s="1631"/>
      <c r="IP57" s="1631"/>
      <c r="IQ57" s="1631"/>
      <c r="IR57" s="1631"/>
      <c r="IS57" s="1631"/>
      <c r="IT57" s="1633">
        <v>95000</v>
      </c>
      <c r="IU57" s="1633">
        <v>95000</v>
      </c>
      <c r="IV57" s="1707"/>
    </row>
    <row r="58" spans="2:256" ht="16.5">
      <c r="B58" s="1664" t="s">
        <v>2096</v>
      </c>
      <c r="C58" s="1664"/>
      <c r="D58" s="1665"/>
      <c r="E58" s="1666">
        <f>E55-E57</f>
        <v>1101.7155606599997</v>
      </c>
      <c r="F58" s="1667">
        <f t="shared" ref="F58:P58" si="63">F55-F57</f>
        <v>1173.8020920600015</v>
      </c>
      <c r="G58" s="1668">
        <f t="shared" si="63"/>
        <v>1330.7616527399982</v>
      </c>
      <c r="H58" s="1667">
        <f t="shared" si="63"/>
        <v>1719.4898471399974</v>
      </c>
      <c r="I58" s="1667">
        <f t="shared" si="63"/>
        <v>1534.8911900400003</v>
      </c>
      <c r="J58" s="1668">
        <f t="shared" si="63"/>
        <v>951.90766709999889</v>
      </c>
      <c r="K58" s="1667">
        <f t="shared" si="63"/>
        <v>1594.47861534</v>
      </c>
      <c r="L58" s="1667">
        <f t="shared" si="63"/>
        <v>1615.1884795799983</v>
      </c>
      <c r="M58" s="1669">
        <f t="shared" si="63"/>
        <v>1979.8819397168641</v>
      </c>
      <c r="N58" s="1670">
        <f t="shared" si="63"/>
        <v>999.47136543395436</v>
      </c>
      <c r="O58" s="1670">
        <f t="shared" si="63"/>
        <v>1613.9267575614151</v>
      </c>
      <c r="P58" s="1670">
        <f t="shared" si="63"/>
        <v>1417.6481284823083</v>
      </c>
      <c r="Q58" s="1671">
        <f t="shared" si="6"/>
        <v>17033.163295854534</v>
      </c>
      <c r="R58" s="1672">
        <f t="shared" ref="R58:AC58" si="64">R55-R57</f>
        <v>1925.5419774661004</v>
      </c>
      <c r="S58" s="1670">
        <f t="shared" si="64"/>
        <v>1549.1492041207669</v>
      </c>
      <c r="T58" s="1669">
        <f t="shared" si="64"/>
        <v>351.87113581949728</v>
      </c>
      <c r="U58" s="1670">
        <f t="shared" si="64"/>
        <v>1532.1051595294432</v>
      </c>
      <c r="V58" s="1670">
        <f t="shared" si="64"/>
        <v>1898.3163856792285</v>
      </c>
      <c r="W58" s="1669">
        <f t="shared" si="64"/>
        <v>1665.2899281297548</v>
      </c>
      <c r="X58" s="1670">
        <f t="shared" si="64"/>
        <v>1705.2988483573674</v>
      </c>
      <c r="Y58" s="1670">
        <f t="shared" si="64"/>
        <v>1789.3816617847106</v>
      </c>
      <c r="Z58" s="1669">
        <f t="shared" si="64"/>
        <v>1687.2808023659622</v>
      </c>
      <c r="AA58" s="1670">
        <f t="shared" si="64"/>
        <v>1648.3352162255485</v>
      </c>
      <c r="AB58" s="1670">
        <f t="shared" si="64"/>
        <v>1608.3931636834882</v>
      </c>
      <c r="AC58" s="1670">
        <f t="shared" si="64"/>
        <v>1194.5195149599149</v>
      </c>
      <c r="AD58" s="1671">
        <f>IFERROR(SUM(R58:AC58),0)</f>
        <v>18555.482998121784</v>
      </c>
      <c r="AE58" s="1672">
        <f t="shared" ref="AE58:AP58" si="65">AE55-AE57</f>
        <v>1728.9999164300662</v>
      </c>
      <c r="AF58" s="1670">
        <f t="shared" si="65"/>
        <v>1686.6572400720365</v>
      </c>
      <c r="AG58" s="1669">
        <f t="shared" si="65"/>
        <v>1645.9264427057615</v>
      </c>
      <c r="AH58" s="1670">
        <f t="shared" si="65"/>
        <v>1750.4261076601615</v>
      </c>
      <c r="AI58" s="1670">
        <f t="shared" si="65"/>
        <v>1367.2266174494252</v>
      </c>
      <c r="AJ58" s="1669">
        <f t="shared" si="65"/>
        <v>-316.46112850056642</v>
      </c>
      <c r="AK58" s="1670">
        <f t="shared" si="65"/>
        <v>-350.94774571007775</v>
      </c>
      <c r="AL58" s="1670">
        <f t="shared" si="65"/>
        <v>1491.6193314219704</v>
      </c>
      <c r="AM58" s="1669">
        <f t="shared" si="65"/>
        <v>1775.7805444204321</v>
      </c>
      <c r="AN58" s="1670">
        <f t="shared" si="65"/>
        <v>1724.8591637082795</v>
      </c>
      <c r="AO58" s="1670">
        <f t="shared" si="65"/>
        <v>1854.8677197068773</v>
      </c>
      <c r="AP58" s="1670">
        <f t="shared" si="65"/>
        <v>1598.1782164019503</v>
      </c>
      <c r="AQ58" s="1671">
        <f>IFERROR(SUM(AE58:AP58),0)</f>
        <v>15957.132425766315</v>
      </c>
      <c r="AR58" s="1672">
        <f t="shared" ref="AR58:BC58" si="66">AR55-AR57</f>
        <v>1702.74939001292</v>
      </c>
      <c r="AS58" s="1670">
        <f t="shared" si="66"/>
        <v>1539.2900429911219</v>
      </c>
      <c r="AT58" s="1669">
        <f t="shared" si="66"/>
        <v>1278.681252225153</v>
      </c>
      <c r="AU58" s="1670">
        <f t="shared" si="66"/>
        <v>1460.0347488844809</v>
      </c>
      <c r="AV58" s="1670">
        <f t="shared" si="66"/>
        <v>1847.9648738470096</v>
      </c>
      <c r="AW58" s="1669">
        <f t="shared" si="66"/>
        <v>1660.5255603282296</v>
      </c>
      <c r="AX58" s="1670">
        <f t="shared" si="66"/>
        <v>1612.9755466980992</v>
      </c>
      <c r="AY58" s="1670">
        <f t="shared" si="66"/>
        <v>1751.4346720587168</v>
      </c>
      <c r="AZ58" s="1669">
        <f t="shared" si="66"/>
        <v>1538.9422143170686</v>
      </c>
      <c r="BA58" s="1670">
        <f t="shared" si="66"/>
        <v>1640.0573028506735</v>
      </c>
      <c r="BB58" s="1670">
        <f t="shared" si="66"/>
        <v>1778.5761470010286</v>
      </c>
      <c r="BC58" s="1670">
        <f t="shared" si="66"/>
        <v>1532.7801660739156</v>
      </c>
      <c r="BD58" s="1673">
        <f>IFERROR(SUM(AR58:BC58),0)</f>
        <v>19344.011917288419</v>
      </c>
      <c r="BE58" s="1589"/>
      <c r="BF58" s="1615">
        <f t="shared" si="52"/>
        <v>0</v>
      </c>
      <c r="BI58" s="1499"/>
      <c r="BL58" s="1498"/>
      <c r="BN58" s="1498"/>
      <c r="BO58" s="1792">
        <v>4.2</v>
      </c>
      <c r="BP58" s="815" t="s">
        <v>3074</v>
      </c>
      <c r="BQ58" s="815"/>
      <c r="BR58" s="815"/>
      <c r="BS58" s="815"/>
      <c r="BU58" s="1558" t="s">
        <v>3075</v>
      </c>
      <c r="BV58" s="1558" t="s">
        <v>3075</v>
      </c>
      <c r="BW58" s="1558"/>
      <c r="BY58" s="1617"/>
      <c r="BZ58" s="1617"/>
      <c r="CD58" s="815"/>
      <c r="CE58" s="1617"/>
      <c r="CF58" s="1615"/>
      <c r="CG58" s="1559"/>
      <c r="CH58" s="1840" t="s">
        <v>3059</v>
      </c>
      <c r="CI58" s="1841">
        <v>7200.9529999999995</v>
      </c>
      <c r="CJ58" s="1842">
        <v>7133</v>
      </c>
      <c r="CK58" s="1843">
        <v>7628.35</v>
      </c>
      <c r="CL58" s="1842">
        <v>7670.826</v>
      </c>
      <c r="CM58" s="1842">
        <v>5912.0039999999999</v>
      </c>
      <c r="CN58" s="1842">
        <v>2409.7310000000002</v>
      </c>
      <c r="CO58" s="1841">
        <v>7895.8499999999995</v>
      </c>
      <c r="CP58" s="1842">
        <v>7672.6229999999996</v>
      </c>
      <c r="CQ58" s="1843">
        <v>7400</v>
      </c>
      <c r="CR58" s="1842">
        <v>7600</v>
      </c>
      <c r="CS58" s="1842">
        <v>7400</v>
      </c>
      <c r="CT58" s="1842">
        <v>7600</v>
      </c>
      <c r="CU58" s="1844">
        <v>0</v>
      </c>
      <c r="CV58" s="1841"/>
      <c r="CW58" s="1842"/>
      <c r="CX58" s="1843"/>
      <c r="CY58" s="1842"/>
      <c r="CZ58" s="1842"/>
      <c r="DA58" s="1842"/>
      <c r="DB58" s="1841"/>
      <c r="DC58" s="1842"/>
      <c r="DD58" s="1843"/>
      <c r="DE58" s="1842"/>
      <c r="DF58" s="1842"/>
      <c r="DG58" s="1842"/>
      <c r="DH58" s="1844">
        <v>0</v>
      </c>
      <c r="DI58" s="1841"/>
      <c r="DJ58" s="1842"/>
      <c r="DK58" s="1843"/>
      <c r="DL58" s="1842"/>
      <c r="DM58" s="1842"/>
      <c r="DN58" s="1842"/>
      <c r="DO58" s="1841"/>
      <c r="DP58" s="1842"/>
      <c r="DQ58" s="1843"/>
      <c r="DR58" s="1842"/>
      <c r="DS58" s="1842"/>
      <c r="DT58" s="1842"/>
      <c r="DU58" s="1844">
        <v>0</v>
      </c>
      <c r="DV58" s="1841"/>
      <c r="DW58" s="1842"/>
      <c r="DX58" s="1843"/>
      <c r="DY58" s="1842"/>
      <c r="DZ58" s="1842"/>
      <c r="EA58" s="1842"/>
      <c r="EB58" s="1841"/>
      <c r="EC58" s="1842"/>
      <c r="ED58" s="1843"/>
      <c r="EE58" s="1842"/>
      <c r="EF58" s="1842"/>
      <c r="EG58" s="1842"/>
      <c r="EH58" s="1844">
        <v>0</v>
      </c>
      <c r="EJ58" s="1559" t="s">
        <v>3076</v>
      </c>
      <c r="EK58" s="1559"/>
      <c r="EL58" s="1559"/>
      <c r="EM58" s="1559"/>
      <c r="EN58" s="1559"/>
      <c r="EO58" s="1559"/>
      <c r="EP58" s="1559"/>
      <c r="EQ58" s="1559"/>
      <c r="ER58" s="1559"/>
      <c r="ES58" s="1559"/>
      <c r="ET58" s="1559"/>
      <c r="EU58" s="1559"/>
      <c r="EV58" s="1559"/>
      <c r="EW58" s="1862"/>
      <c r="EX58" s="1559"/>
      <c r="EY58" s="1559"/>
      <c r="EZ58" s="1559"/>
      <c r="FA58" s="1559"/>
      <c r="FB58" s="1559"/>
      <c r="FC58" s="1559"/>
      <c r="FD58" s="1559"/>
      <c r="FE58" s="1559"/>
      <c r="FF58" s="1559"/>
      <c r="FG58" s="1559"/>
      <c r="FH58" s="1559"/>
      <c r="FI58" s="1559"/>
      <c r="FJ58" s="1503"/>
      <c r="FK58" s="1559"/>
      <c r="FL58" s="1559"/>
      <c r="FM58" s="1559"/>
      <c r="FN58" s="1559"/>
      <c r="FO58" s="1559"/>
      <c r="FP58" s="1559"/>
      <c r="FQ58" s="1559"/>
      <c r="FR58" s="1559"/>
      <c r="FS58" s="1559"/>
      <c r="FT58" s="1559"/>
      <c r="FU58" s="1559"/>
      <c r="FV58" s="1559"/>
      <c r="FW58" s="1503"/>
      <c r="FX58" s="1559"/>
      <c r="FY58" s="1559"/>
      <c r="FZ58" s="1559"/>
      <c r="GA58" s="1559"/>
      <c r="GB58" s="1559"/>
      <c r="GC58" s="1559"/>
      <c r="GD58" s="1559"/>
      <c r="GE58" s="1559"/>
      <c r="GF58" s="1559"/>
      <c r="GG58" s="1559"/>
      <c r="GH58" s="1559"/>
      <c r="GI58" s="1559"/>
      <c r="GJ58" s="1503"/>
      <c r="GL58" s="1652"/>
      <c r="GM58" s="1748" t="s">
        <v>3077</v>
      </c>
      <c r="GN58" s="1714" t="s">
        <v>3078</v>
      </c>
      <c r="GO58" s="1711" t="s">
        <v>2918</v>
      </c>
      <c r="GP58" s="1711" t="s">
        <v>2932</v>
      </c>
      <c r="GQ58" s="1863">
        <v>4</v>
      </c>
      <c r="GR58" s="1711" t="s">
        <v>2944</v>
      </c>
      <c r="GS58" s="1712">
        <v>22</v>
      </c>
      <c r="GT58" s="1662">
        <v>0</v>
      </c>
      <c r="GU58" s="1661"/>
      <c r="GV58" s="1661"/>
      <c r="GW58" s="1661"/>
      <c r="GX58" s="1661"/>
      <c r="GY58" s="1661"/>
      <c r="GZ58" s="1661"/>
      <c r="HA58" s="1661"/>
      <c r="HB58" s="1661"/>
      <c r="HC58" s="1661"/>
      <c r="HD58" s="1661"/>
      <c r="HE58" s="1661"/>
      <c r="HF58" s="1661"/>
      <c r="HG58" s="1662">
        <v>0</v>
      </c>
      <c r="HH58" s="1661"/>
      <c r="HI58" s="1661"/>
      <c r="HJ58" s="1661"/>
      <c r="HK58" s="1661"/>
      <c r="HL58" s="1661"/>
      <c r="HM58" s="1661"/>
      <c r="HN58" s="1661"/>
      <c r="HO58" s="1661"/>
      <c r="HP58" s="1661"/>
      <c r="HQ58" s="1661"/>
      <c r="HR58" s="1661"/>
      <c r="HS58" s="1661"/>
      <c r="HT58" s="1662">
        <v>200000</v>
      </c>
      <c r="HU58" s="1661"/>
      <c r="HV58" s="1661"/>
      <c r="HW58" s="1661"/>
      <c r="HX58" s="1661"/>
      <c r="HY58" s="1661"/>
      <c r="HZ58" s="1661">
        <v>200000</v>
      </c>
      <c r="IA58" s="1661"/>
      <c r="IB58" s="1661"/>
      <c r="IC58" s="1661"/>
      <c r="ID58" s="1661"/>
      <c r="IE58" s="1661"/>
      <c r="IF58" s="1661"/>
      <c r="IG58" s="1662">
        <v>0</v>
      </c>
      <c r="IH58" s="1661"/>
      <c r="II58" s="1661"/>
      <c r="IJ58" s="1661"/>
      <c r="IK58" s="1661"/>
      <c r="IL58" s="1661"/>
      <c r="IM58" s="1661"/>
      <c r="IN58" s="1661"/>
      <c r="IO58" s="1661"/>
      <c r="IP58" s="1661"/>
      <c r="IQ58" s="1661"/>
      <c r="IR58" s="1661"/>
      <c r="IS58" s="1661"/>
      <c r="IT58" s="1662">
        <v>200000</v>
      </c>
      <c r="IU58" s="1662">
        <v>200000</v>
      </c>
      <c r="IV58" s="1713"/>
    </row>
    <row r="59" spans="2:256" ht="17.25" thickBot="1">
      <c r="B59" s="1565"/>
      <c r="C59" s="1565"/>
      <c r="D59" s="1750" t="s">
        <v>360</v>
      </c>
      <c r="E59" s="1752">
        <f>E58/E20*100</f>
        <v>5.4992548568742246</v>
      </c>
      <c r="F59" s="1753">
        <f t="shared" ref="F59:BD59" si="67">F58/F20*100</f>
        <v>6.101710370951702</v>
      </c>
      <c r="G59" s="1754">
        <f t="shared" si="67"/>
        <v>7.6719356247046164</v>
      </c>
      <c r="H59" s="1753">
        <f t="shared" si="67"/>
        <v>9.1932481115163664</v>
      </c>
      <c r="I59" s="1753">
        <f t="shared" si="67"/>
        <v>7.5187249760450516</v>
      </c>
      <c r="J59" s="1754">
        <f t="shared" si="67"/>
        <v>9.2753923951502397</v>
      </c>
      <c r="K59" s="1753">
        <f t="shared" si="67"/>
        <v>8.5876500949841024</v>
      </c>
      <c r="L59" s="1753">
        <f t="shared" si="67"/>
        <v>9.0344385127284372</v>
      </c>
      <c r="M59" s="1755">
        <f t="shared" si="67"/>
        <v>7.8890174973813174</v>
      </c>
      <c r="N59" s="1756">
        <f t="shared" si="67"/>
        <v>3.9231899295210289</v>
      </c>
      <c r="O59" s="1756">
        <f t="shared" si="67"/>
        <v>7.272211122238156</v>
      </c>
      <c r="P59" s="1756">
        <f t="shared" si="67"/>
        <v>6.1966391805385461</v>
      </c>
      <c r="Q59" s="1757">
        <f t="shared" si="67"/>
        <v>7.1541915221037451</v>
      </c>
      <c r="R59" s="1758">
        <f t="shared" si="67"/>
        <v>8.3534114537585165</v>
      </c>
      <c r="S59" s="1756">
        <f t="shared" si="67"/>
        <v>7.2561085723163252</v>
      </c>
      <c r="T59" s="1755">
        <f t="shared" si="67"/>
        <v>3.6747192901231664</v>
      </c>
      <c r="U59" s="1756">
        <f t="shared" si="67"/>
        <v>6.7456370901560438</v>
      </c>
      <c r="V59" s="1756">
        <f t="shared" si="67"/>
        <v>8.0967431852378198</v>
      </c>
      <c r="W59" s="1755">
        <f t="shared" si="67"/>
        <v>7.2854901457694936</v>
      </c>
      <c r="X59" s="1756">
        <f t="shared" si="67"/>
        <v>7.2094835023255959</v>
      </c>
      <c r="Y59" s="1756">
        <f t="shared" si="67"/>
        <v>7.5960840935777627</v>
      </c>
      <c r="Z59" s="1755">
        <f t="shared" si="67"/>
        <v>7.4119426845195555</v>
      </c>
      <c r="AA59" s="1756">
        <f t="shared" si="67"/>
        <v>7.0360075226695535</v>
      </c>
      <c r="AB59" s="1756">
        <f t="shared" si="67"/>
        <v>7.8059851679110253</v>
      </c>
      <c r="AC59" s="1756">
        <f t="shared" si="67"/>
        <v>5.0597865810607594</v>
      </c>
      <c r="AD59" s="1757">
        <f t="shared" si="67"/>
        <v>7.1201291463660334</v>
      </c>
      <c r="AE59" s="1758">
        <f t="shared" si="67"/>
        <v>7.4845710090999757</v>
      </c>
      <c r="AF59" s="1756">
        <f t="shared" si="67"/>
        <v>8.1520126258575356</v>
      </c>
      <c r="AG59" s="1755">
        <f t="shared" si="67"/>
        <v>7.092235573792256</v>
      </c>
      <c r="AH59" s="1756">
        <f t="shared" si="67"/>
        <v>7.860750850880514</v>
      </c>
      <c r="AI59" s="1756">
        <f t="shared" si="67"/>
        <v>8.237843118691675</v>
      </c>
      <c r="AJ59" s="1755">
        <f t="shared" si="67"/>
        <v>-4.9673732339696528</v>
      </c>
      <c r="AK59" s="1756">
        <f t="shared" si="67"/>
        <v>-1.4880215647523718</v>
      </c>
      <c r="AL59" s="1756">
        <f t="shared" si="67"/>
        <v>6.4837353233318487</v>
      </c>
      <c r="AM59" s="1755">
        <f t="shared" si="67"/>
        <v>7.9236826065226182</v>
      </c>
      <c r="AN59" s="1756">
        <f t="shared" si="67"/>
        <v>7.4245037490479397</v>
      </c>
      <c r="AO59" s="1756">
        <f t="shared" si="67"/>
        <v>8.2979303136864928</v>
      </c>
      <c r="AP59" s="1756">
        <f t="shared" si="67"/>
        <v>6.8842937829298396</v>
      </c>
      <c r="AQ59" s="1757">
        <f t="shared" si="67"/>
        <v>6.3819427985926005</v>
      </c>
      <c r="AR59" s="1758">
        <f t="shared" si="67"/>
        <v>7.1913211813436266</v>
      </c>
      <c r="AS59" s="1756">
        <f t="shared" si="67"/>
        <v>7.329481904186073</v>
      </c>
      <c r="AT59" s="1755">
        <f t="shared" si="67"/>
        <v>6.0063328208178959</v>
      </c>
      <c r="AU59" s="1756">
        <f t="shared" si="67"/>
        <v>6.4121313204020298</v>
      </c>
      <c r="AV59" s="1756">
        <f t="shared" si="67"/>
        <v>7.9385163448138503</v>
      </c>
      <c r="AW59" s="1755">
        <f t="shared" si="67"/>
        <v>7.2551452212549519</v>
      </c>
      <c r="AX59" s="1756">
        <f t="shared" si="67"/>
        <v>6.9119499703213547</v>
      </c>
      <c r="AY59" s="1756">
        <f t="shared" si="67"/>
        <v>7.4460937465433137</v>
      </c>
      <c r="AZ59" s="1755">
        <f t="shared" si="67"/>
        <v>6.7663454438974924</v>
      </c>
      <c r="BA59" s="1756">
        <f t="shared" si="67"/>
        <v>7.130901193733628</v>
      </c>
      <c r="BB59" s="1756">
        <f t="shared" si="67"/>
        <v>8.6868666072303444</v>
      </c>
      <c r="BC59" s="1756">
        <f t="shared" si="67"/>
        <v>6.5462091564604545</v>
      </c>
      <c r="BD59" s="1758">
        <f t="shared" si="67"/>
        <v>7.1276491396151833</v>
      </c>
      <c r="BE59" s="1589"/>
      <c r="BF59" s="1615">
        <f t="shared" si="52"/>
        <v>0</v>
      </c>
      <c r="BI59" s="1499"/>
      <c r="BL59" s="1498"/>
      <c r="BN59" s="1498"/>
      <c r="BO59" s="1864">
        <f>BP62-BQ62</f>
        <v>22.041995501352758</v>
      </c>
      <c r="BP59" s="815" t="s">
        <v>3079</v>
      </c>
      <c r="BQ59" s="815"/>
      <c r="BR59" s="815"/>
      <c r="BS59" s="815"/>
      <c r="BT59" s="1558" t="s">
        <v>3080</v>
      </c>
      <c r="BU59" s="1865" t="s">
        <v>3079</v>
      </c>
      <c r="BV59" s="1866" t="s">
        <v>3081</v>
      </c>
      <c r="BW59" s="1558" t="s">
        <v>2874</v>
      </c>
      <c r="BY59" s="1617"/>
      <c r="BZ59" s="1617"/>
      <c r="CD59" s="815"/>
      <c r="CE59" s="1617"/>
      <c r="CF59" s="1615"/>
      <c r="CG59" s="1559"/>
      <c r="CH59" s="1846" t="s">
        <v>3065</v>
      </c>
      <c r="CI59" s="1847">
        <f t="shared" ref="CI59:CT59" si="68">CI51/CI58/1000</f>
        <v>405.31331102973962</v>
      </c>
      <c r="CJ59" s="1848">
        <f t="shared" si="68"/>
        <v>397.16549306042339</v>
      </c>
      <c r="CK59" s="1849">
        <f t="shared" si="68"/>
        <v>369.41410409852716</v>
      </c>
      <c r="CL59" s="1847">
        <f t="shared" si="68"/>
        <v>362.37906439280465</v>
      </c>
      <c r="CM59" s="1848">
        <f t="shared" si="68"/>
        <v>475.985831707827</v>
      </c>
      <c r="CN59" s="1848">
        <f t="shared" si="68"/>
        <v>1355.9852419211936</v>
      </c>
      <c r="CO59" s="1847">
        <f t="shared" si="68"/>
        <v>376.25919084075815</v>
      </c>
      <c r="CP59" s="1848">
        <f t="shared" si="68"/>
        <v>373.29920119885992</v>
      </c>
      <c r="CQ59" s="1849">
        <f t="shared" si="68"/>
        <v>419.61220205970056</v>
      </c>
      <c r="CR59" s="1847">
        <f t="shared" si="68"/>
        <v>403.43958785967226</v>
      </c>
      <c r="CS59" s="1848">
        <f t="shared" si="68"/>
        <v>453.16164254753835</v>
      </c>
      <c r="CT59" s="1848">
        <f t="shared" si="68"/>
        <v>440.19686219490615</v>
      </c>
      <c r="CU59" s="1867" t="e">
        <f>SUM(CI51:CT56)/CU58/1000</f>
        <v>#DIV/0!</v>
      </c>
      <c r="CV59" s="1847"/>
      <c r="CW59" s="1848"/>
      <c r="CX59" s="1849"/>
      <c r="CY59" s="1847"/>
      <c r="CZ59" s="1848"/>
      <c r="DA59" s="1848"/>
      <c r="DB59" s="1847"/>
      <c r="DC59" s="1848"/>
      <c r="DD59" s="1849"/>
      <c r="DE59" s="1847"/>
      <c r="DF59" s="1848"/>
      <c r="DG59" s="1848"/>
      <c r="DH59" s="1850" t="e">
        <f>DH51/DH58/1000</f>
        <v>#DIV/0!</v>
      </c>
      <c r="DI59" s="1847"/>
      <c r="DJ59" s="1848"/>
      <c r="DK59" s="1849"/>
      <c r="DL59" s="1847"/>
      <c r="DM59" s="1848"/>
      <c r="DN59" s="1848"/>
      <c r="DO59" s="1847"/>
      <c r="DP59" s="1848"/>
      <c r="DQ59" s="1849"/>
      <c r="DR59" s="1847"/>
      <c r="DS59" s="1848"/>
      <c r="DT59" s="1848"/>
      <c r="DU59" s="1850" t="e">
        <f>DU51/DU58/1000</f>
        <v>#DIV/0!</v>
      </c>
      <c r="DV59" s="1847"/>
      <c r="DW59" s="1848"/>
      <c r="DX59" s="1849"/>
      <c r="DY59" s="1847"/>
      <c r="DZ59" s="1848"/>
      <c r="EA59" s="1848"/>
      <c r="EB59" s="1847"/>
      <c r="EC59" s="1848"/>
      <c r="ED59" s="1849"/>
      <c r="EE59" s="1847"/>
      <c r="EF59" s="1848"/>
      <c r="EG59" s="1848"/>
      <c r="EH59" s="1850" t="e">
        <f>EH51/EH58/1000</f>
        <v>#DIV/0!</v>
      </c>
      <c r="EI59" s="1504"/>
      <c r="GL59" s="1623"/>
      <c r="GM59" s="1746" t="s">
        <v>3082</v>
      </c>
      <c r="GN59" s="1728" t="s">
        <v>3083</v>
      </c>
      <c r="GO59" s="1705" t="s">
        <v>3018</v>
      </c>
      <c r="GP59" s="1705" t="s">
        <v>2932</v>
      </c>
      <c r="GQ59" s="1747">
        <v>12</v>
      </c>
      <c r="GR59" s="1705" t="s">
        <v>2944</v>
      </c>
      <c r="GS59" s="1706">
        <v>22</v>
      </c>
      <c r="GT59" s="1633">
        <v>0</v>
      </c>
      <c r="GU59" s="1632"/>
      <c r="GV59" s="1632"/>
      <c r="GW59" s="1632"/>
      <c r="GX59" s="1632"/>
      <c r="GY59" s="1632"/>
      <c r="GZ59" s="1632"/>
      <c r="HA59" s="1632"/>
      <c r="HB59" s="1632"/>
      <c r="HC59" s="1632"/>
      <c r="HD59" s="1632"/>
      <c r="HE59" s="1632"/>
      <c r="HF59" s="1632"/>
      <c r="HG59" s="1633">
        <v>0</v>
      </c>
      <c r="HH59" s="1632"/>
      <c r="HI59" s="1632"/>
      <c r="HJ59" s="1632"/>
      <c r="HK59" s="1632"/>
      <c r="HL59" s="1632"/>
      <c r="HM59" s="1632"/>
      <c r="HN59" s="1632"/>
      <c r="HO59" s="1632"/>
      <c r="HP59" s="1632"/>
      <c r="HQ59" s="1632"/>
      <c r="HR59" s="1632"/>
      <c r="HS59" s="1632"/>
      <c r="HT59" s="1633">
        <v>150000</v>
      </c>
      <c r="HU59" s="1632"/>
      <c r="HV59" s="1632"/>
      <c r="HW59" s="1632"/>
      <c r="HX59" s="1632"/>
      <c r="HY59" s="1632"/>
      <c r="HZ59" s="1632">
        <v>150000</v>
      </c>
      <c r="IA59" s="1632"/>
      <c r="IB59" s="1632"/>
      <c r="IC59" s="1632"/>
      <c r="ID59" s="1632"/>
      <c r="IE59" s="1632"/>
      <c r="IF59" s="1632"/>
      <c r="IG59" s="1633">
        <v>0</v>
      </c>
      <c r="IH59" s="1632"/>
      <c r="II59" s="1632"/>
      <c r="IJ59" s="1632"/>
      <c r="IK59" s="1632"/>
      <c r="IL59" s="1632"/>
      <c r="IM59" s="1632"/>
      <c r="IN59" s="1632"/>
      <c r="IO59" s="1632"/>
      <c r="IP59" s="1632"/>
      <c r="IQ59" s="1632"/>
      <c r="IR59" s="1632"/>
      <c r="IS59" s="1632"/>
      <c r="IT59" s="1633">
        <v>150000</v>
      </c>
      <c r="IU59" s="1633">
        <v>150000</v>
      </c>
      <c r="IV59" s="1707"/>
    </row>
    <row r="60" spans="2:256" ht="16.5">
      <c r="BE60" s="1589"/>
      <c r="BF60" s="1615">
        <f t="shared" si="52"/>
        <v>-780.82741299999998</v>
      </c>
      <c r="BI60" s="1796"/>
      <c r="BJ60" s="1796"/>
      <c r="BK60" s="1497"/>
      <c r="BL60" s="1497"/>
      <c r="BN60" s="1498"/>
      <c r="BQ60" s="1836">
        <v>8.1999999999999993</v>
      </c>
      <c r="BR60" s="815" t="s">
        <v>3084</v>
      </c>
      <c r="BS60" s="815" t="s">
        <v>355</v>
      </c>
      <c r="BT60" s="815">
        <v>-12.4</v>
      </c>
      <c r="BU60" s="1868"/>
      <c r="BV60" s="1869">
        <f>AD67/100</f>
        <v>0</v>
      </c>
      <c r="BW60" s="1870">
        <f>BU60+BV60-BT60</f>
        <v>12.4</v>
      </c>
      <c r="BY60" s="1617"/>
      <c r="BZ60" s="1617"/>
      <c r="CD60" s="815"/>
      <c r="CE60" s="1617"/>
      <c r="CF60" s="1615"/>
      <c r="CG60" s="1559"/>
      <c r="CH60" s="1729" t="s">
        <v>3071</v>
      </c>
      <c r="CI60" s="1860"/>
      <c r="CJ60" s="1860"/>
      <c r="CK60" s="1860"/>
      <c r="CL60" s="1860"/>
      <c r="CM60" s="1860"/>
      <c r="CN60" s="1860"/>
      <c r="CO60" s="1860"/>
      <c r="CP60" s="1860"/>
      <c r="CQ60" s="1860"/>
      <c r="CR60" s="1860"/>
      <c r="CS60" s="1860"/>
      <c r="CT60" s="1860"/>
      <c r="CU60" s="1861"/>
      <c r="CV60" s="1860"/>
      <c r="CW60" s="1860"/>
      <c r="CX60" s="1860"/>
      <c r="CY60" s="1860"/>
      <c r="CZ60" s="1860"/>
      <c r="DA60" s="1860"/>
      <c r="DB60" s="1860"/>
      <c r="DC60" s="1860"/>
      <c r="DD60" s="1860"/>
      <c r="DE60" s="1860"/>
      <c r="DF60" s="1860"/>
      <c r="DG60" s="1860"/>
      <c r="DH60" s="1861"/>
      <c r="DI60" s="1860"/>
      <c r="DJ60" s="1860"/>
      <c r="DK60" s="1860"/>
      <c r="DL60" s="1860"/>
      <c r="DM60" s="1860"/>
      <c r="DN60" s="1860"/>
      <c r="DO60" s="1860"/>
      <c r="DP60" s="1860"/>
      <c r="DQ60" s="1860"/>
      <c r="DR60" s="1860"/>
      <c r="DS60" s="1860"/>
      <c r="DT60" s="1860"/>
      <c r="DU60" s="1861"/>
      <c r="DV60" s="1860"/>
      <c r="DW60" s="1860"/>
      <c r="DX60" s="1860"/>
      <c r="DY60" s="1860"/>
      <c r="DZ60" s="1860"/>
      <c r="EA60" s="1860"/>
      <c r="EB60" s="1860"/>
      <c r="EC60" s="1860"/>
      <c r="ED60" s="1860"/>
      <c r="EE60" s="1860"/>
      <c r="EF60" s="1860"/>
      <c r="EG60" s="1860"/>
      <c r="EH60" s="1861"/>
      <c r="EI60" s="1498"/>
      <c r="GL60" s="1652"/>
      <c r="GM60" s="1748" t="s">
        <v>3085</v>
      </c>
      <c r="GN60" s="1714" t="s">
        <v>3086</v>
      </c>
      <c r="GO60" s="1711" t="s">
        <v>3042</v>
      </c>
      <c r="GP60" s="1711" t="s">
        <v>3043</v>
      </c>
      <c r="GQ60" s="1749">
        <v>5</v>
      </c>
      <c r="GR60" s="1711" t="s">
        <v>3042</v>
      </c>
      <c r="GS60" s="1712">
        <v>23</v>
      </c>
      <c r="GT60" s="1662">
        <v>0</v>
      </c>
      <c r="GU60" s="1661"/>
      <c r="GV60" s="1661"/>
      <c r="GW60" s="1661"/>
      <c r="GX60" s="1661"/>
      <c r="GY60" s="1661"/>
      <c r="GZ60" s="1661"/>
      <c r="HA60" s="1661"/>
      <c r="HB60" s="1661"/>
      <c r="HC60" s="1661"/>
      <c r="HD60" s="1661"/>
      <c r="HE60" s="1661"/>
      <c r="HF60" s="1661"/>
      <c r="HG60" s="1662">
        <v>0</v>
      </c>
      <c r="HH60" s="1661"/>
      <c r="HI60" s="1661"/>
      <c r="HJ60" s="1661"/>
      <c r="HK60" s="1661"/>
      <c r="HL60" s="1661"/>
      <c r="HM60" s="1661"/>
      <c r="HN60" s="1661"/>
      <c r="HO60" s="1661"/>
      <c r="HP60" s="1661"/>
      <c r="HQ60" s="1661"/>
      <c r="HR60" s="1661"/>
      <c r="HS60" s="1661"/>
      <c r="HT60" s="1662">
        <v>0</v>
      </c>
      <c r="HU60" s="1661"/>
      <c r="HV60" s="1661"/>
      <c r="HW60" s="1661"/>
      <c r="HX60" s="1661"/>
      <c r="HY60" s="1661"/>
      <c r="HZ60" s="1661"/>
      <c r="IA60" s="1661"/>
      <c r="IB60" s="1661"/>
      <c r="IC60" s="1661"/>
      <c r="ID60" s="1661"/>
      <c r="IE60" s="1661"/>
      <c r="IF60" s="1661"/>
      <c r="IG60" s="1662">
        <v>150000</v>
      </c>
      <c r="IH60" s="1661"/>
      <c r="II60" s="1661"/>
      <c r="IJ60" s="1661"/>
      <c r="IK60" s="1661"/>
      <c r="IL60" s="1661"/>
      <c r="IM60" s="1661">
        <v>150000</v>
      </c>
      <c r="IN60" s="1661"/>
      <c r="IO60" s="1661"/>
      <c r="IP60" s="1661"/>
      <c r="IQ60" s="1661"/>
      <c r="IR60" s="1661"/>
      <c r="IS60" s="1661"/>
      <c r="IT60" s="1662">
        <v>0</v>
      </c>
      <c r="IU60" s="1662">
        <v>150000</v>
      </c>
      <c r="IV60" s="1713"/>
    </row>
    <row r="61" spans="2:256" s="1504" customFormat="1" ht="16.5" collapsed="1">
      <c r="B61" s="1493"/>
      <c r="C61" s="1493"/>
      <c r="D61" s="1494"/>
      <c r="E61" s="1871">
        <f t="shared" ref="E61:K61" si="69">SUM(E30:E31)/E20</f>
        <v>0.1673297102489601</v>
      </c>
      <c r="F61" s="1871">
        <f t="shared" si="69"/>
        <v>0.16426615049474777</v>
      </c>
      <c r="G61" s="1871">
        <f t="shared" si="69"/>
        <v>0.14146876074400422</v>
      </c>
      <c r="H61" s="1871">
        <f t="shared" si="69"/>
        <v>0.15450313806817365</v>
      </c>
      <c r="I61" s="1871">
        <f t="shared" si="69"/>
        <v>0.14528792902982579</v>
      </c>
      <c r="J61" s="1871">
        <f t="shared" si="69"/>
        <v>0.19706567925115306</v>
      </c>
      <c r="K61" s="1871">
        <f t="shared" si="69"/>
        <v>0.2552014325000081</v>
      </c>
      <c r="L61" s="1871"/>
      <c r="M61" s="1872"/>
      <c r="N61" s="1872"/>
      <c r="O61" s="1872"/>
      <c r="P61" s="1872"/>
      <c r="Q61" s="1872"/>
      <c r="R61" s="1872"/>
      <c r="S61" s="1872"/>
      <c r="T61" s="1872"/>
      <c r="U61" s="1872"/>
      <c r="V61" s="1872"/>
      <c r="W61" s="1872"/>
      <c r="X61" s="1872"/>
      <c r="Y61" s="1872"/>
      <c r="Z61" s="1872"/>
      <c r="AA61" s="1872"/>
      <c r="AB61" s="1872"/>
      <c r="AC61" s="1872"/>
      <c r="AD61" s="1872"/>
      <c r="AE61" s="1872"/>
      <c r="AF61" s="1872"/>
      <c r="AG61" s="1872"/>
      <c r="AH61" s="1872"/>
      <c r="AI61" s="1872"/>
      <c r="AJ61" s="1872"/>
      <c r="AK61" s="1872"/>
      <c r="AL61" s="1872"/>
      <c r="AM61" s="1872"/>
      <c r="AN61" s="1872"/>
      <c r="AO61" s="1872"/>
      <c r="AP61" s="1872"/>
      <c r="AQ61" s="1872"/>
      <c r="AR61" s="1872"/>
      <c r="AS61" s="1872"/>
      <c r="AT61" s="1872"/>
      <c r="AU61" s="1872"/>
      <c r="AV61" s="1872"/>
      <c r="AW61" s="1872"/>
      <c r="AX61" s="1872"/>
      <c r="AY61" s="1872"/>
      <c r="AZ61" s="1872"/>
      <c r="BA61" s="1872"/>
      <c r="BB61" s="1872"/>
      <c r="BC61" s="1872"/>
      <c r="BD61" s="1872"/>
      <c r="BE61" s="1509"/>
      <c r="BF61" s="1759">
        <f t="shared" si="52"/>
        <v>-1433.1312099999998</v>
      </c>
      <c r="BG61" s="1498"/>
      <c r="BH61" s="1498"/>
      <c r="BI61" s="1498"/>
      <c r="BJ61" s="1498"/>
      <c r="BK61" s="1498"/>
      <c r="BL61" s="1498"/>
      <c r="BM61" s="1498"/>
      <c r="BN61" s="1498"/>
      <c r="BO61" s="1498"/>
      <c r="BP61" s="1836">
        <f>AD24/100</f>
        <v>33.094922020876282</v>
      </c>
      <c r="BQ61" s="1777">
        <f>Q24/100</f>
        <v>2.8529265195235269</v>
      </c>
      <c r="BR61" s="815" t="s">
        <v>3080</v>
      </c>
      <c r="BS61" s="815" t="s">
        <v>359</v>
      </c>
      <c r="BT61" s="815">
        <v>0.9</v>
      </c>
      <c r="BU61" s="1873">
        <v>0</v>
      </c>
      <c r="BV61" s="1869">
        <f>AD68/100</f>
        <v>0</v>
      </c>
      <c r="BW61" s="1870">
        <f>BU61+BV61-BT61</f>
        <v>-0.9</v>
      </c>
      <c r="BX61" s="815"/>
      <c r="BY61" s="1617"/>
      <c r="BZ61" s="1617"/>
      <c r="CA61" s="815"/>
      <c r="CB61" s="815"/>
      <c r="CC61" s="815"/>
      <c r="CD61" s="815"/>
      <c r="CE61" s="1617"/>
      <c r="CF61" s="1759"/>
      <c r="CG61" s="1559"/>
      <c r="CH61" s="1559" t="s">
        <v>3076</v>
      </c>
      <c r="CI61" s="1862"/>
      <c r="CJ61" s="1862"/>
      <c r="CK61" s="1862"/>
      <c r="CL61" s="1862"/>
      <c r="CM61" s="1862"/>
      <c r="CN61" s="1862"/>
      <c r="CO61" s="1862"/>
      <c r="CP61" s="1862"/>
      <c r="CQ61" s="1862"/>
      <c r="CR61" s="1862"/>
      <c r="CS61" s="1862"/>
      <c r="CT61" s="1862"/>
      <c r="CU61" s="1862"/>
      <c r="CV61" s="1559"/>
      <c r="CW61" s="1559"/>
      <c r="CX61" s="1559"/>
      <c r="CY61" s="1559"/>
      <c r="CZ61" s="1559"/>
      <c r="DA61" s="1559"/>
      <c r="DB61" s="1559"/>
      <c r="DC61" s="1559"/>
      <c r="DD61" s="1559"/>
      <c r="DE61" s="1559"/>
      <c r="DF61" s="1559"/>
      <c r="DG61" s="1559"/>
      <c r="DH61" s="1503"/>
      <c r="DI61" s="1559"/>
      <c r="DJ61" s="1559"/>
      <c r="DK61" s="1559"/>
      <c r="DL61" s="1559"/>
      <c r="DM61" s="1559"/>
      <c r="DN61" s="1559"/>
      <c r="DO61" s="1559"/>
      <c r="DP61" s="1559"/>
      <c r="DQ61" s="1559"/>
      <c r="DR61" s="1559"/>
      <c r="DS61" s="1559"/>
      <c r="DT61" s="1559"/>
      <c r="DU61" s="1503"/>
      <c r="DV61" s="1559"/>
      <c r="DW61" s="1559"/>
      <c r="DX61" s="1559"/>
      <c r="DY61" s="1559"/>
      <c r="DZ61" s="1559"/>
      <c r="EA61" s="1559"/>
      <c r="EB61" s="1559"/>
      <c r="EC61" s="1559"/>
      <c r="ED61" s="1559"/>
      <c r="EE61" s="1559"/>
      <c r="EF61" s="1559"/>
      <c r="EG61" s="1559"/>
      <c r="EH61" s="1503"/>
      <c r="EI61" s="1493"/>
      <c r="GL61" s="1623"/>
      <c r="GM61" s="1746" t="s">
        <v>3087</v>
      </c>
      <c r="GN61" s="1728" t="s">
        <v>3088</v>
      </c>
      <c r="GO61" s="1705" t="s">
        <v>1878</v>
      </c>
      <c r="GP61" s="1705" t="s">
        <v>2932</v>
      </c>
      <c r="GQ61" s="1747">
        <v>12</v>
      </c>
      <c r="GR61" s="1705" t="s">
        <v>2944</v>
      </c>
      <c r="GS61" s="1706">
        <v>21</v>
      </c>
      <c r="GT61" s="1631">
        <v>0</v>
      </c>
      <c r="GU61" s="1631"/>
      <c r="GV61" s="1631"/>
      <c r="GW61" s="1631"/>
      <c r="GX61" s="1631"/>
      <c r="GY61" s="1631"/>
      <c r="GZ61" s="1631"/>
      <c r="HA61" s="1631"/>
      <c r="HB61" s="1631"/>
      <c r="HC61" s="1631"/>
      <c r="HD61" s="1631"/>
      <c r="HE61" s="1631"/>
      <c r="HF61" s="1631"/>
      <c r="HG61" s="1631">
        <v>250000</v>
      </c>
      <c r="HH61" s="1631"/>
      <c r="HI61" s="1631"/>
      <c r="HJ61" s="1631">
        <v>250000</v>
      </c>
      <c r="HK61" s="1631"/>
      <c r="HL61" s="1631"/>
      <c r="HM61" s="1631"/>
      <c r="HN61" s="1631"/>
      <c r="HO61" s="1631"/>
      <c r="HP61" s="1631"/>
      <c r="HQ61" s="1631"/>
      <c r="HR61" s="1631"/>
      <c r="HS61" s="1631"/>
      <c r="HT61" s="1631">
        <v>0</v>
      </c>
      <c r="HU61" s="1631"/>
      <c r="HV61" s="1631"/>
      <c r="HW61" s="1631"/>
      <c r="HX61" s="1631"/>
      <c r="HY61" s="1631"/>
      <c r="HZ61" s="1631"/>
      <c r="IA61" s="1631"/>
      <c r="IB61" s="1631"/>
      <c r="IC61" s="1631"/>
      <c r="ID61" s="1631"/>
      <c r="IE61" s="1631"/>
      <c r="IF61" s="1631"/>
      <c r="IG61" s="1631">
        <v>0</v>
      </c>
      <c r="IH61" s="1631"/>
      <c r="II61" s="1631"/>
      <c r="IJ61" s="1631"/>
      <c r="IK61" s="1631"/>
      <c r="IL61" s="1631"/>
      <c r="IM61" s="1631"/>
      <c r="IN61" s="1631"/>
      <c r="IO61" s="1631"/>
      <c r="IP61" s="1631"/>
      <c r="IQ61" s="1631"/>
      <c r="IR61" s="1631"/>
      <c r="IS61" s="1631"/>
      <c r="IT61" s="1633">
        <v>250000</v>
      </c>
      <c r="IU61" s="1633">
        <v>250000</v>
      </c>
      <c r="IV61" s="1707"/>
    </row>
    <row r="62" spans="2:256" ht="16.5">
      <c r="E62" s="1874" t="s">
        <v>3089</v>
      </c>
      <c r="F62" s="1493"/>
      <c r="G62" s="1493"/>
      <c r="H62" s="1493"/>
      <c r="I62" s="1493"/>
      <c r="J62" s="1493"/>
      <c r="K62" s="1493"/>
      <c r="L62" s="1493"/>
      <c r="Q62" s="1589"/>
      <c r="R62" s="1874"/>
      <c r="AD62" s="1589"/>
      <c r="BE62" s="1589"/>
      <c r="BF62" s="1615">
        <f t="shared" si="52"/>
        <v>-7.0459909999999999</v>
      </c>
      <c r="BH62" s="1645" t="s">
        <v>2976</v>
      </c>
      <c r="BI62" s="1645" t="s">
        <v>2974</v>
      </c>
      <c r="BJ62" s="1645" t="s">
        <v>2874</v>
      </c>
      <c r="BL62" s="1498"/>
      <c r="BN62" s="1498"/>
      <c r="BO62" s="1545"/>
      <c r="BP62" s="1836">
        <f>SUM(BP61:BP61)</f>
        <v>33.094922020876282</v>
      </c>
      <c r="BQ62" s="1836">
        <f>SUM(BQ60:BQ61)</f>
        <v>11.052926519523526</v>
      </c>
      <c r="BR62" s="815"/>
      <c r="BS62" s="815" t="s">
        <v>361</v>
      </c>
      <c r="BT62" s="815">
        <v>-1.3</v>
      </c>
      <c r="BU62" s="1868"/>
      <c r="BV62" s="1869">
        <f>AD69/100</f>
        <v>0</v>
      </c>
      <c r="BW62" s="1870">
        <f>BU62+BV62-BT62</f>
        <v>1.3</v>
      </c>
      <c r="BY62" s="1617"/>
      <c r="BZ62" s="1617"/>
      <c r="CD62" s="815"/>
      <c r="CE62" s="1617"/>
      <c r="CF62" s="1615"/>
      <c r="CH62" s="1501" t="s">
        <v>3090</v>
      </c>
      <c r="CI62" s="1502">
        <v>405.31331102973962</v>
      </c>
      <c r="CJ62" s="1502">
        <v>397.16549306042339</v>
      </c>
      <c r="CK62" s="1502">
        <v>369.41410409852716</v>
      </c>
      <c r="CL62" s="1502">
        <v>362.37906439280465</v>
      </c>
      <c r="CM62" s="1502">
        <v>475.985831707827</v>
      </c>
      <c r="CN62" s="1502">
        <v>1355.9852419211936</v>
      </c>
      <c r="CO62" s="1502">
        <v>376.25919084075815</v>
      </c>
      <c r="CP62" s="1502">
        <v>373.29920119885992</v>
      </c>
      <c r="CQ62" s="1502">
        <v>419.61220205970056</v>
      </c>
      <c r="CR62" s="1502">
        <v>403.43958785967226</v>
      </c>
      <c r="CS62" s="1502">
        <v>453.16164254753835</v>
      </c>
      <c r="CT62" s="1502">
        <v>440.19686219490615</v>
      </c>
      <c r="CU62" s="1502" t="e">
        <v>#DIV/0!</v>
      </c>
      <c r="CV62" s="1502">
        <v>0</v>
      </c>
      <c r="CW62" s="1502">
        <v>0</v>
      </c>
      <c r="CX62" s="1502">
        <v>0</v>
      </c>
      <c r="CY62" s="1502">
        <v>0</v>
      </c>
      <c r="CZ62" s="1502">
        <v>0</v>
      </c>
      <c r="DA62" s="1502">
        <v>0</v>
      </c>
      <c r="DB62" s="1502">
        <v>0</v>
      </c>
      <c r="DC62" s="1502">
        <v>0</v>
      </c>
      <c r="DD62" s="1502">
        <v>0</v>
      </c>
      <c r="DE62" s="1502">
        <v>0</v>
      </c>
      <c r="DF62" s="1502">
        <v>0</v>
      </c>
      <c r="DG62" s="1502">
        <v>0</v>
      </c>
      <c r="DH62" s="1502" t="e">
        <v>#DIV/0!</v>
      </c>
      <c r="DI62" s="1502">
        <v>0</v>
      </c>
      <c r="DJ62" s="1502">
        <v>0</v>
      </c>
      <c r="DK62" s="1502">
        <v>0</v>
      </c>
      <c r="DL62" s="1502">
        <v>0</v>
      </c>
      <c r="DM62" s="1502">
        <v>0</v>
      </c>
      <c r="DN62" s="1502">
        <v>0</v>
      </c>
      <c r="DO62" s="1502">
        <v>0</v>
      </c>
      <c r="DP62" s="1502">
        <v>0</v>
      </c>
      <c r="DQ62" s="1502">
        <v>0</v>
      </c>
      <c r="DR62" s="1502">
        <v>0</v>
      </c>
      <c r="DS62" s="1502">
        <v>0</v>
      </c>
      <c r="DT62" s="1502">
        <v>0</v>
      </c>
      <c r="DU62" s="1502" t="e">
        <v>#DIV/0!</v>
      </c>
      <c r="DV62" s="1502">
        <v>0</v>
      </c>
      <c r="DW62" s="1502">
        <v>0</v>
      </c>
      <c r="DX62" s="1502">
        <v>0</v>
      </c>
      <c r="DY62" s="1502">
        <v>0</v>
      </c>
      <c r="DZ62" s="1502">
        <v>0</v>
      </c>
      <c r="EA62" s="1502">
        <v>0</v>
      </c>
      <c r="EB62" s="1502">
        <v>0</v>
      </c>
      <c r="EC62" s="1502">
        <v>0</v>
      </c>
      <c r="ED62" s="1502">
        <v>0</v>
      </c>
      <c r="EE62" s="1502">
        <v>0</v>
      </c>
      <c r="EF62" s="1502">
        <v>0</v>
      </c>
      <c r="EG62" s="1502">
        <v>0</v>
      </c>
      <c r="EH62" s="1502" t="e">
        <v>#DIV/0!</v>
      </c>
      <c r="EI62" s="1498"/>
      <c r="GL62" s="1652"/>
      <c r="GM62" s="1748" t="s">
        <v>3091</v>
      </c>
      <c r="GN62" s="1714" t="s">
        <v>3092</v>
      </c>
      <c r="GO62" s="1711" t="s">
        <v>1878</v>
      </c>
      <c r="GP62" s="1711" t="s">
        <v>2932</v>
      </c>
      <c r="GQ62" s="1749">
        <v>12</v>
      </c>
      <c r="GR62" s="1711" t="s">
        <v>2944</v>
      </c>
      <c r="GS62" s="1712">
        <v>21</v>
      </c>
      <c r="GT62" s="1660">
        <v>0</v>
      </c>
      <c r="GU62" s="1660"/>
      <c r="GV62" s="1660"/>
      <c r="GW62" s="1660"/>
      <c r="GX62" s="1660"/>
      <c r="GY62" s="1660"/>
      <c r="GZ62" s="1660"/>
      <c r="HA62" s="1660"/>
      <c r="HB62" s="1660"/>
      <c r="HC62" s="1660"/>
      <c r="HD62" s="1660"/>
      <c r="HE62" s="1660"/>
      <c r="HF62" s="1660"/>
      <c r="HG62" s="1660">
        <v>40000</v>
      </c>
      <c r="HH62" s="1660"/>
      <c r="HI62" s="1660"/>
      <c r="HJ62" s="1660"/>
      <c r="HK62" s="1660"/>
      <c r="HL62" s="1660"/>
      <c r="HM62" s="1660"/>
      <c r="HN62" s="1660"/>
      <c r="HO62" s="1660"/>
      <c r="HP62" s="1660"/>
      <c r="HQ62" s="1660"/>
      <c r="HR62" s="1660">
        <v>40000</v>
      </c>
      <c r="HS62" s="1660"/>
      <c r="HT62" s="1660">
        <v>0</v>
      </c>
      <c r="HU62" s="1660"/>
      <c r="HV62" s="1660"/>
      <c r="HW62" s="1660"/>
      <c r="HX62" s="1660"/>
      <c r="HY62" s="1660"/>
      <c r="HZ62" s="1660"/>
      <c r="IA62" s="1660"/>
      <c r="IB62" s="1660"/>
      <c r="IC62" s="1660"/>
      <c r="ID62" s="1660"/>
      <c r="IE62" s="1660"/>
      <c r="IF62" s="1660"/>
      <c r="IG62" s="1660">
        <v>0</v>
      </c>
      <c r="IH62" s="1660"/>
      <c r="II62" s="1660"/>
      <c r="IJ62" s="1660"/>
      <c r="IK62" s="1660"/>
      <c r="IL62" s="1660"/>
      <c r="IM62" s="1660"/>
      <c r="IN62" s="1660"/>
      <c r="IO62" s="1660"/>
      <c r="IP62" s="1660"/>
      <c r="IQ62" s="1660"/>
      <c r="IR62" s="1660"/>
      <c r="IS62" s="1660"/>
      <c r="IT62" s="1662">
        <v>40000</v>
      </c>
      <c r="IU62" s="1662">
        <v>40000</v>
      </c>
      <c r="IV62" s="1713"/>
    </row>
    <row r="63" spans="2:256" ht="16.5">
      <c r="E63" s="1543" t="s">
        <v>3062</v>
      </c>
      <c r="F63" s="1589">
        <v>4000</v>
      </c>
      <c r="G63" s="1589">
        <v>4000</v>
      </c>
      <c r="H63" s="1589">
        <v>4000</v>
      </c>
      <c r="I63" s="1615">
        <v>4000</v>
      </c>
      <c r="J63" s="1589">
        <v>4000</v>
      </c>
      <c r="K63" s="1589">
        <f>SUM(F63:J63)</f>
        <v>20000</v>
      </c>
      <c r="L63" s="1493"/>
      <c r="T63" s="699"/>
      <c r="U63" s="699"/>
      <c r="V63" s="1615"/>
      <c r="AD63" s="1589"/>
      <c r="AQ63" s="1589"/>
      <c r="BD63" s="1589"/>
      <c r="BE63" s="1589"/>
      <c r="BF63" s="1615">
        <f t="shared" si="52"/>
        <v>-2.8499999999999943</v>
      </c>
      <c r="BG63" s="1497" t="s">
        <v>3062</v>
      </c>
      <c r="BH63" s="1499">
        <f>Q18</f>
        <v>83523.337</v>
      </c>
      <c r="BI63" s="1499">
        <f>AD18</f>
        <v>89000</v>
      </c>
      <c r="BJ63" s="1499">
        <f>BI63-BH63</f>
        <v>5476.6630000000005</v>
      </c>
      <c r="BL63" s="1498"/>
      <c r="BN63" s="1498"/>
      <c r="BO63" s="1545"/>
      <c r="BP63" s="815"/>
      <c r="BQ63" s="815"/>
      <c r="BR63" s="815"/>
      <c r="BS63" s="815" t="s">
        <v>2996</v>
      </c>
      <c r="BT63" s="1776">
        <f>21+BQ61</f>
        <v>23.852926519523528</v>
      </c>
      <c r="BU63" s="1873">
        <v>33.094922020876268</v>
      </c>
      <c r="BV63" s="1869">
        <f>AD70/100</f>
        <v>0</v>
      </c>
      <c r="BW63" s="1870">
        <f>BU63+BV63-BT63</f>
        <v>9.24199550135274</v>
      </c>
      <c r="BY63" s="1617"/>
      <c r="BZ63" s="1617"/>
      <c r="CD63" s="815"/>
      <c r="CE63" s="1617"/>
      <c r="CF63" s="1615"/>
      <c r="CP63" s="1875">
        <v>434.6898321754403</v>
      </c>
      <c r="CT63" s="1875">
        <v>429.00544901694536</v>
      </c>
      <c r="EI63" s="1498"/>
      <c r="GL63" s="1623"/>
      <c r="GM63" s="1746" t="s">
        <v>3093</v>
      </c>
      <c r="GN63" s="1728" t="s">
        <v>3094</v>
      </c>
      <c r="GO63" s="1705" t="s">
        <v>2990</v>
      </c>
      <c r="GP63" s="1705" t="s">
        <v>2932</v>
      </c>
      <c r="GQ63" s="1747">
        <v>12</v>
      </c>
      <c r="GR63" s="1705" t="s">
        <v>2944</v>
      </c>
      <c r="GS63" s="1706">
        <v>21</v>
      </c>
      <c r="GT63" s="1631">
        <v>0</v>
      </c>
      <c r="GU63" s="1631"/>
      <c r="GV63" s="1631"/>
      <c r="GW63" s="1631"/>
      <c r="GX63" s="1631"/>
      <c r="GY63" s="1631"/>
      <c r="GZ63" s="1631"/>
      <c r="HA63" s="1631"/>
      <c r="HB63" s="1631"/>
      <c r="HC63" s="1631"/>
      <c r="HD63" s="1631"/>
      <c r="HE63" s="1631"/>
      <c r="HF63" s="1631"/>
      <c r="HG63" s="1631">
        <v>95000</v>
      </c>
      <c r="HH63" s="1631"/>
      <c r="HI63" s="1631"/>
      <c r="HJ63" s="1631"/>
      <c r="HK63" s="1631"/>
      <c r="HL63" s="1631"/>
      <c r="HM63" s="1631"/>
      <c r="HN63" s="1631"/>
      <c r="HO63" s="1631"/>
      <c r="HP63" s="1631"/>
      <c r="HQ63" s="1631"/>
      <c r="HR63" s="1631">
        <v>95000</v>
      </c>
      <c r="HS63" s="1631"/>
      <c r="HT63" s="1631"/>
      <c r="HU63" s="1631"/>
      <c r="HV63" s="1631"/>
      <c r="HW63" s="1631"/>
      <c r="HX63" s="1631"/>
      <c r="HY63" s="1631"/>
      <c r="HZ63" s="1631"/>
      <c r="IA63" s="1631"/>
      <c r="IB63" s="1631"/>
      <c r="IC63" s="1631"/>
      <c r="ID63" s="1631"/>
      <c r="IE63" s="1631"/>
      <c r="IF63" s="1631"/>
      <c r="IG63" s="1631"/>
      <c r="IH63" s="1631"/>
      <c r="II63" s="1631"/>
      <c r="IJ63" s="1631"/>
      <c r="IK63" s="1631"/>
      <c r="IL63" s="1631"/>
      <c r="IM63" s="1631"/>
      <c r="IN63" s="1631"/>
      <c r="IO63" s="1631"/>
      <c r="IP63" s="1631"/>
      <c r="IQ63" s="1631"/>
      <c r="IR63" s="1631"/>
      <c r="IS63" s="1631"/>
      <c r="IT63" s="1633">
        <v>95000</v>
      </c>
      <c r="IU63" s="1633">
        <v>95000</v>
      </c>
      <c r="IV63" s="1707"/>
    </row>
    <row r="64" spans="2:256" ht="16.5">
      <c r="E64" s="1543" t="s">
        <v>3095</v>
      </c>
      <c r="F64" s="1589">
        <v>38750</v>
      </c>
      <c r="G64" s="1589">
        <v>40000</v>
      </c>
      <c r="H64" s="1589">
        <v>40400</v>
      </c>
      <c r="I64" s="1615">
        <v>34400</v>
      </c>
      <c r="J64" s="1876">
        <v>31800</v>
      </c>
      <c r="K64" s="1589">
        <f>SUMPRODUCT(F63:J63,F64:J64)/K63</f>
        <v>37070</v>
      </c>
      <c r="L64" s="1493"/>
      <c r="Q64" s="1589"/>
      <c r="T64" s="699"/>
      <c r="U64" s="699"/>
      <c r="V64" s="1615"/>
      <c r="AD64" s="1589"/>
      <c r="BE64" s="1589"/>
      <c r="BF64" s="1615">
        <f t="shared" si="52"/>
        <v>0</v>
      </c>
      <c r="BG64" s="1497" t="s">
        <v>3069</v>
      </c>
      <c r="BH64" s="1760">
        <f>(Q30+Q31)/BH63*1000000</f>
        <v>451459.55475176201</v>
      </c>
      <c r="BI64" s="1760">
        <f>(AD30+AD31)/BI63*1000000</f>
        <v>446855.81177477702</v>
      </c>
      <c r="BJ64" s="1499">
        <f>BI64-BH64</f>
        <v>-4603.7429769849987</v>
      </c>
      <c r="BL64" s="1498"/>
      <c r="BN64" s="1498"/>
      <c r="BO64" s="1545"/>
      <c r="BP64" s="815"/>
      <c r="BQ64" s="815"/>
      <c r="BR64" s="815"/>
      <c r="BS64" s="815"/>
      <c r="BT64" s="1776">
        <f>SUM(BT60:BT63)</f>
        <v>11.052926519523528</v>
      </c>
      <c r="BU64" s="1877">
        <f>SUM(BU60:BU63)</f>
        <v>33.094922020876268</v>
      </c>
      <c r="BV64" s="1878">
        <f>SUM(BV60:BV63)</f>
        <v>0</v>
      </c>
      <c r="BW64" s="1870">
        <f>SUM(BW60:BW63)</f>
        <v>22.041995501352741</v>
      </c>
      <c r="BY64" s="1617"/>
      <c r="BZ64" s="1617"/>
      <c r="CD64" s="815"/>
      <c r="CE64" s="1617"/>
      <c r="CF64" s="1615"/>
      <c r="CO64" s="1875">
        <f>SUM(CI51:CO51)/SUM(CI58:CO58)/1000</f>
        <v>444.96289285701272</v>
      </c>
      <c r="CP64" s="1875">
        <f>SUM(CI51:CP51)/SUM(CI58:CP58)/1000</f>
        <v>434.6898321754403</v>
      </c>
      <c r="CT64" s="1875">
        <f>SUM(CQ51:CT56)/SUM(CQ58:CT58)/1000</f>
        <v>429.00544905027874</v>
      </c>
      <c r="EI64" s="1498"/>
      <c r="GL64" s="1652"/>
      <c r="GM64" s="1748" t="s">
        <v>3096</v>
      </c>
      <c r="GN64" s="1714" t="s">
        <v>3097</v>
      </c>
      <c r="GO64" s="1711" t="s">
        <v>2990</v>
      </c>
      <c r="GP64" s="1711" t="s">
        <v>2932</v>
      </c>
      <c r="GQ64" s="1749">
        <v>12</v>
      </c>
      <c r="GR64" s="1711" t="s">
        <v>2944</v>
      </c>
      <c r="GS64" s="1712">
        <v>21</v>
      </c>
      <c r="GT64" s="1660">
        <v>0</v>
      </c>
      <c r="GU64" s="1660"/>
      <c r="GV64" s="1660"/>
      <c r="GW64" s="1660"/>
      <c r="GX64" s="1660"/>
      <c r="GY64" s="1660"/>
      <c r="GZ64" s="1660"/>
      <c r="HA64" s="1660"/>
      <c r="HB64" s="1660"/>
      <c r="HC64" s="1660"/>
      <c r="HD64" s="1660"/>
      <c r="HE64" s="1660"/>
      <c r="HF64" s="1660"/>
      <c r="HG64" s="1660">
        <v>30000</v>
      </c>
      <c r="HH64" s="1660"/>
      <c r="HI64" s="1660"/>
      <c r="HJ64" s="1660"/>
      <c r="HK64" s="1660"/>
      <c r="HL64" s="1660"/>
      <c r="HM64" s="1660"/>
      <c r="HN64" s="1660"/>
      <c r="HO64" s="1660"/>
      <c r="HP64" s="1660"/>
      <c r="HQ64" s="1660"/>
      <c r="HR64" s="1660">
        <v>30000</v>
      </c>
      <c r="HS64" s="1660"/>
      <c r="HT64" s="1660">
        <v>0</v>
      </c>
      <c r="HU64" s="1660"/>
      <c r="HV64" s="1660"/>
      <c r="HW64" s="1660"/>
      <c r="HX64" s="1660"/>
      <c r="HY64" s="1660"/>
      <c r="HZ64" s="1660"/>
      <c r="IA64" s="1660"/>
      <c r="IB64" s="1660"/>
      <c r="IC64" s="1660"/>
      <c r="ID64" s="1660"/>
      <c r="IE64" s="1660"/>
      <c r="IF64" s="1660"/>
      <c r="IG64" s="1660">
        <v>0</v>
      </c>
      <c r="IH64" s="1660"/>
      <c r="II64" s="1660"/>
      <c r="IJ64" s="1660"/>
      <c r="IK64" s="1660"/>
      <c r="IL64" s="1660"/>
      <c r="IM64" s="1660"/>
      <c r="IN64" s="1660"/>
      <c r="IO64" s="1660"/>
      <c r="IP64" s="1660"/>
      <c r="IQ64" s="1660"/>
      <c r="IR64" s="1660"/>
      <c r="IS64" s="1660"/>
      <c r="IT64" s="1662">
        <v>30000</v>
      </c>
      <c r="IU64" s="1662">
        <v>30000</v>
      </c>
      <c r="IV64" s="1713"/>
    </row>
    <row r="65" spans="2:256" ht="39" thickBot="1">
      <c r="E65" s="1874"/>
      <c r="F65" s="1589">
        <f>F63*F64/1000000</f>
        <v>155</v>
      </c>
      <c r="G65" s="1589">
        <f>G63*G64/1000000</f>
        <v>160</v>
      </c>
      <c r="H65" s="1589">
        <f>H63*H64/1000000</f>
        <v>161.6</v>
      </c>
      <c r="I65" s="1589">
        <f>I63*I64/1000000</f>
        <v>137.6</v>
      </c>
      <c r="J65" s="1589">
        <f>J63*J64/1000000</f>
        <v>127.2</v>
      </c>
      <c r="K65" s="1589">
        <f>SUM(F65:J65)</f>
        <v>741.40000000000009</v>
      </c>
      <c r="L65" s="1493"/>
      <c r="BE65" s="1589"/>
      <c r="BF65" s="1615">
        <f t="shared" si="52"/>
        <v>-783.43807800000002</v>
      </c>
      <c r="BH65" s="1499"/>
      <c r="BL65" s="1498"/>
      <c r="BN65" s="1498"/>
      <c r="BO65" s="1545"/>
      <c r="BP65" s="815"/>
      <c r="BQ65" s="815"/>
      <c r="BR65" s="815"/>
      <c r="BS65" s="815"/>
      <c r="BY65" s="1617"/>
      <c r="BZ65" s="1617"/>
      <c r="CD65" s="815"/>
      <c r="CE65" s="1617"/>
      <c r="CF65" s="1615"/>
      <c r="CG65" s="1529"/>
      <c r="CH65" s="1530" t="s">
        <v>3098</v>
      </c>
      <c r="CI65" s="1531"/>
      <c r="CJ65" s="1531"/>
      <c r="CK65" s="1532"/>
      <c r="CL65" s="1533"/>
      <c r="CM65" s="1533"/>
      <c r="CN65" s="1533"/>
      <c r="CO65" s="1533"/>
      <c r="CP65" s="1533"/>
      <c r="CQ65" s="1533"/>
      <c r="CR65" s="1533"/>
      <c r="CS65" s="1533"/>
      <c r="CT65" s="1533"/>
      <c r="CU65" s="1533"/>
      <c r="CV65" s="1533"/>
      <c r="CW65" s="1533"/>
      <c r="CX65" s="1533"/>
      <c r="CY65" s="1534"/>
      <c r="CZ65" s="1533"/>
      <c r="DA65" s="1533"/>
      <c r="DB65" s="1533"/>
      <c r="DC65" s="1533"/>
      <c r="DD65" s="1534"/>
      <c r="DE65" s="1533"/>
      <c r="DF65" s="1533"/>
      <c r="DG65" s="1533"/>
      <c r="DH65" s="1533"/>
      <c r="DI65" s="1533"/>
      <c r="DJ65" s="1533"/>
      <c r="DK65" s="1533"/>
      <c r="DL65" s="1533"/>
      <c r="DM65" s="1534"/>
      <c r="DN65" s="1533"/>
      <c r="DO65" s="1533"/>
      <c r="DP65" s="1533"/>
      <c r="DQ65" s="1533"/>
      <c r="DR65" s="1534"/>
      <c r="DS65" s="1533"/>
      <c r="DT65" s="1533"/>
      <c r="DU65" s="1533"/>
      <c r="DV65" s="1533"/>
      <c r="DW65" s="1534"/>
      <c r="DX65" s="1533"/>
      <c r="DY65" s="1533"/>
      <c r="DZ65" s="1533"/>
      <c r="EA65" s="1533"/>
      <c r="EB65" s="1534"/>
      <c r="EC65" s="1533"/>
      <c r="ED65" s="1533"/>
      <c r="EE65" s="1533"/>
      <c r="EF65" s="1533"/>
      <c r="EG65" s="1534"/>
      <c r="EH65" s="1533"/>
      <c r="GL65" s="1623"/>
      <c r="GM65" s="1746" t="s">
        <v>3099</v>
      </c>
      <c r="GN65" s="1728" t="s">
        <v>3100</v>
      </c>
      <c r="GO65" s="1705" t="s">
        <v>3101</v>
      </c>
      <c r="GP65" s="1705" t="s">
        <v>3102</v>
      </c>
      <c r="GQ65" s="1747">
        <v>50</v>
      </c>
      <c r="GR65" s="1705" t="s">
        <v>3103</v>
      </c>
      <c r="GS65" s="1706">
        <v>21</v>
      </c>
      <c r="GT65" s="1631">
        <v>0</v>
      </c>
      <c r="GU65" s="1631"/>
      <c r="GV65" s="1631"/>
      <c r="GW65" s="1631"/>
      <c r="GX65" s="1631"/>
      <c r="GY65" s="1631"/>
      <c r="GZ65" s="1631"/>
      <c r="HA65" s="1631"/>
      <c r="HB65" s="1631"/>
      <c r="HC65" s="1631"/>
      <c r="HD65" s="1631"/>
      <c r="HE65" s="1631"/>
      <c r="HF65" s="1631"/>
      <c r="HG65" s="1631">
        <v>50000</v>
      </c>
      <c r="HH65" s="1631"/>
      <c r="HI65" s="1631"/>
      <c r="HJ65" s="1631"/>
      <c r="HK65" s="1631"/>
      <c r="HL65" s="1631"/>
      <c r="HM65" s="1631">
        <v>50000</v>
      </c>
      <c r="HN65" s="1631"/>
      <c r="HO65" s="1631"/>
      <c r="HP65" s="1631"/>
      <c r="HQ65" s="1631"/>
      <c r="HR65" s="1631"/>
      <c r="HS65" s="1631"/>
      <c r="HT65" s="1631">
        <v>0</v>
      </c>
      <c r="HU65" s="1631"/>
      <c r="HV65" s="1631"/>
      <c r="HW65" s="1631"/>
      <c r="HX65" s="1631"/>
      <c r="HY65" s="1631"/>
      <c r="HZ65" s="1631"/>
      <c r="IA65" s="1631"/>
      <c r="IB65" s="1631"/>
      <c r="IC65" s="1631"/>
      <c r="ID65" s="1631"/>
      <c r="IE65" s="1631"/>
      <c r="IF65" s="1631"/>
      <c r="IG65" s="1631">
        <v>0</v>
      </c>
      <c r="IH65" s="1631"/>
      <c r="II65" s="1631"/>
      <c r="IJ65" s="1631"/>
      <c r="IK65" s="1631"/>
      <c r="IL65" s="1631"/>
      <c r="IM65" s="1631"/>
      <c r="IN65" s="1631"/>
      <c r="IO65" s="1631"/>
      <c r="IP65" s="1631"/>
      <c r="IQ65" s="1631"/>
      <c r="IR65" s="1631"/>
      <c r="IS65" s="1631"/>
      <c r="IT65" s="1633">
        <v>50000</v>
      </c>
      <c r="IU65" s="1633">
        <v>50000</v>
      </c>
      <c r="IV65" s="1707"/>
    </row>
    <row r="66" spans="2:256" ht="27.75" thickTop="1" thickBot="1">
      <c r="E66" s="1874"/>
      <c r="F66" s="1879"/>
      <c r="G66" s="1589"/>
      <c r="H66" s="1589"/>
      <c r="I66" s="1589"/>
      <c r="J66" s="1589"/>
      <c r="K66" s="1589">
        <f>K63*K64/1000000</f>
        <v>741.4</v>
      </c>
      <c r="L66" s="1493"/>
      <c r="AC66" s="1589"/>
      <c r="AD66" s="1589"/>
      <c r="BE66" s="1589"/>
      <c r="BF66" s="1615">
        <f t="shared" si="52"/>
        <v>-498.41122099999995</v>
      </c>
      <c r="BH66" s="1499"/>
      <c r="BL66" s="1498"/>
      <c r="BN66" s="1880" t="s">
        <v>2864</v>
      </c>
      <c r="BO66" s="1761">
        <f>-BF44/100</f>
        <v>-1.4065315169999986</v>
      </c>
      <c r="BP66" s="1545"/>
      <c r="BQ66" s="1617"/>
      <c r="BR66" s="815"/>
      <c r="BS66" s="815"/>
      <c r="BY66" s="1617"/>
      <c r="BZ66" s="1617"/>
      <c r="CD66" s="815"/>
      <c r="CE66" s="1617"/>
      <c r="CF66" s="1615"/>
      <c r="CH66" s="1546"/>
      <c r="CI66" s="1547"/>
      <c r="CJ66" s="1547"/>
      <c r="CK66" s="1547"/>
      <c r="CL66" s="1547"/>
      <c r="CM66" s="1547"/>
      <c r="CN66" s="1547"/>
      <c r="CO66" s="1547"/>
      <c r="CP66" s="1547"/>
      <c r="CQ66" s="1547"/>
      <c r="CR66" s="1547"/>
      <c r="CS66" s="1547"/>
      <c r="CT66" s="1547"/>
      <c r="CU66" s="1546"/>
      <c r="CV66" s="1547"/>
      <c r="CW66" s="1547"/>
      <c r="CX66" s="1548"/>
      <c r="CY66" s="1548"/>
      <c r="CZ66" s="1548"/>
      <c r="DA66" s="1548"/>
      <c r="DB66" s="1548"/>
      <c r="DC66" s="1548"/>
      <c r="DD66" s="1548"/>
      <c r="DE66" s="1548"/>
      <c r="DF66" s="1548"/>
      <c r="DG66" s="1548"/>
      <c r="DH66" s="1549"/>
      <c r="DI66" s="1548"/>
      <c r="DJ66" s="1548"/>
      <c r="DK66" s="1548"/>
      <c r="DL66" s="1548"/>
      <c r="DM66" s="1548"/>
      <c r="DN66" s="1548"/>
      <c r="DO66" s="1548"/>
      <c r="DP66" s="1548"/>
      <c r="DQ66" s="1548"/>
      <c r="DR66" s="1548"/>
      <c r="DS66" s="1548"/>
      <c r="DT66" s="1548"/>
      <c r="DU66" s="1550"/>
      <c r="DV66" s="1548"/>
      <c r="DW66" s="1548"/>
      <c r="DX66" s="1548"/>
      <c r="DY66" s="1548"/>
      <c r="DZ66" s="1548"/>
      <c r="EA66" s="1548"/>
      <c r="EB66" s="1548"/>
      <c r="EC66" s="1548"/>
      <c r="ED66" s="1548"/>
      <c r="EE66" s="1548"/>
      <c r="EF66" s="1548"/>
      <c r="EG66" s="1548"/>
      <c r="EH66" s="1551" t="s">
        <v>2871</v>
      </c>
      <c r="EI66" s="1504"/>
      <c r="GL66" s="1652"/>
      <c r="GM66" s="1748" t="s">
        <v>3104</v>
      </c>
      <c r="GN66" s="1714" t="s">
        <v>3105</v>
      </c>
      <c r="GO66" s="1711" t="s">
        <v>3101</v>
      </c>
      <c r="GP66" s="1711" t="s">
        <v>3019</v>
      </c>
      <c r="GQ66" s="1749">
        <v>6</v>
      </c>
      <c r="GR66" s="1711" t="s">
        <v>3103</v>
      </c>
      <c r="GS66" s="1712">
        <v>21</v>
      </c>
      <c r="GT66" s="1660">
        <v>0</v>
      </c>
      <c r="GU66" s="1660"/>
      <c r="GV66" s="1660"/>
      <c r="GW66" s="1660"/>
      <c r="GX66" s="1660"/>
      <c r="GY66" s="1660"/>
      <c r="GZ66" s="1660"/>
      <c r="HA66" s="1660"/>
      <c r="HB66" s="1660"/>
      <c r="HC66" s="1660"/>
      <c r="HD66" s="1660"/>
      <c r="HE66" s="1660"/>
      <c r="HF66" s="1660"/>
      <c r="HG66" s="1660">
        <v>60000</v>
      </c>
      <c r="HH66" s="1660"/>
      <c r="HI66" s="1660"/>
      <c r="HJ66" s="1660"/>
      <c r="HK66" s="1660">
        <v>60000</v>
      </c>
      <c r="HL66" s="1660"/>
      <c r="HM66" s="1660"/>
      <c r="HN66" s="1660"/>
      <c r="HO66" s="1660"/>
      <c r="HP66" s="1660"/>
      <c r="HQ66" s="1660"/>
      <c r="HR66" s="1660"/>
      <c r="HS66" s="1660"/>
      <c r="HT66" s="1660">
        <v>0</v>
      </c>
      <c r="HU66" s="1660"/>
      <c r="HV66" s="1660"/>
      <c r="HW66" s="1660"/>
      <c r="HX66" s="1660"/>
      <c r="HY66" s="1660"/>
      <c r="HZ66" s="1660"/>
      <c r="IA66" s="1660"/>
      <c r="IB66" s="1660"/>
      <c r="IC66" s="1660"/>
      <c r="ID66" s="1660"/>
      <c r="IE66" s="1660"/>
      <c r="IF66" s="1660"/>
      <c r="IG66" s="1660">
        <v>0</v>
      </c>
      <c r="IH66" s="1660"/>
      <c r="II66" s="1660"/>
      <c r="IJ66" s="1660"/>
      <c r="IK66" s="1660"/>
      <c r="IL66" s="1660"/>
      <c r="IM66" s="1660"/>
      <c r="IN66" s="1660"/>
      <c r="IO66" s="1660"/>
      <c r="IP66" s="1660"/>
      <c r="IQ66" s="1660"/>
      <c r="IR66" s="1660"/>
      <c r="IS66" s="1660"/>
      <c r="IT66" s="1662">
        <v>60000</v>
      </c>
      <c r="IU66" s="1662">
        <v>60000</v>
      </c>
      <c r="IV66" s="1713"/>
    </row>
    <row r="67" spans="2:256" ht="17.25" thickBot="1">
      <c r="E67" s="1494"/>
      <c r="F67" s="1493"/>
      <c r="G67" s="1493" t="s">
        <v>1346</v>
      </c>
      <c r="H67" s="1543" t="s">
        <v>3062</v>
      </c>
      <c r="I67" s="1589">
        <v>6748</v>
      </c>
      <c r="J67" s="1493"/>
      <c r="K67" s="1493"/>
      <c r="L67" s="1493"/>
      <c r="M67" s="1589"/>
      <c r="N67" s="1589"/>
      <c r="O67" s="1589"/>
      <c r="P67" s="1589"/>
      <c r="AC67" s="1543"/>
      <c r="AD67" s="1589"/>
      <c r="BE67" s="1589"/>
      <c r="BF67" s="1615">
        <f t="shared" si="52"/>
        <v>-135.77153300000001</v>
      </c>
      <c r="BH67" s="1499"/>
      <c r="BL67" s="1498"/>
      <c r="BN67" s="1880" t="s">
        <v>3106</v>
      </c>
      <c r="BO67" s="1845">
        <f>-(BF45+BF46)/100</f>
        <v>-20.627587145537831</v>
      </c>
      <c r="BP67" s="1545" t="s">
        <v>3064</v>
      </c>
      <c r="BQ67" s="1811">
        <f>-(BJ64*BH63)/100000000</f>
        <v>3.8451997612810129</v>
      </c>
      <c r="BR67" s="815"/>
      <c r="BS67" s="815"/>
      <c r="BY67" s="1617"/>
      <c r="BZ67" s="1617"/>
      <c r="CD67" s="815"/>
      <c r="CE67" s="1617"/>
      <c r="CF67" s="1615"/>
      <c r="CG67" s="1559"/>
      <c r="CH67" s="5796" t="s">
        <v>2875</v>
      </c>
      <c r="CI67" s="1560" t="s">
        <v>2824</v>
      </c>
      <c r="CJ67" s="1560"/>
      <c r="CK67" s="1560"/>
      <c r="CL67" s="1560"/>
      <c r="CM67" s="1560"/>
      <c r="CN67" s="1560"/>
      <c r="CO67" s="1560"/>
      <c r="CP67" s="1560"/>
      <c r="CQ67" s="1560"/>
      <c r="CR67" s="1560"/>
      <c r="CS67" s="1560"/>
      <c r="CT67" s="1561"/>
      <c r="CU67" s="5791" t="s">
        <v>2876</v>
      </c>
      <c r="CV67" s="5798" t="s">
        <v>2722</v>
      </c>
      <c r="CW67" s="5798"/>
      <c r="CX67" s="5798"/>
      <c r="CY67" s="5798"/>
      <c r="CZ67" s="5798"/>
      <c r="DA67" s="5798"/>
      <c r="DB67" s="5798"/>
      <c r="DC67" s="5798"/>
      <c r="DD67" s="5798"/>
      <c r="DE67" s="5798"/>
      <c r="DF67" s="5798"/>
      <c r="DG67" s="5799"/>
      <c r="DH67" s="5791" t="s">
        <v>2877</v>
      </c>
      <c r="DI67" s="5798" t="s">
        <v>2825</v>
      </c>
      <c r="DJ67" s="5798"/>
      <c r="DK67" s="5798"/>
      <c r="DL67" s="5798"/>
      <c r="DM67" s="5798"/>
      <c r="DN67" s="5798"/>
      <c r="DO67" s="5798"/>
      <c r="DP67" s="5798"/>
      <c r="DQ67" s="5798"/>
      <c r="DR67" s="5798"/>
      <c r="DS67" s="5798"/>
      <c r="DT67" s="5799"/>
      <c r="DU67" s="5791" t="s">
        <v>2878</v>
      </c>
      <c r="DV67" s="5798" t="s">
        <v>2663</v>
      </c>
      <c r="DW67" s="5798"/>
      <c r="DX67" s="5798"/>
      <c r="DY67" s="5798"/>
      <c r="DZ67" s="5798"/>
      <c r="EA67" s="5798"/>
      <c r="EB67" s="5798"/>
      <c r="EC67" s="5798"/>
      <c r="ED67" s="5798"/>
      <c r="EE67" s="5798"/>
      <c r="EF67" s="5798"/>
      <c r="EG67" s="5799"/>
      <c r="EH67" s="5791" t="s">
        <v>2879</v>
      </c>
      <c r="EI67" s="1543"/>
      <c r="GL67" s="1623"/>
      <c r="GM67" s="1746" t="s">
        <v>3107</v>
      </c>
      <c r="GN67" s="1728" t="s">
        <v>3108</v>
      </c>
      <c r="GO67" s="1705" t="s">
        <v>3101</v>
      </c>
      <c r="GP67" s="1705" t="s">
        <v>3019</v>
      </c>
      <c r="GQ67" s="1747">
        <v>6</v>
      </c>
      <c r="GR67" s="1705" t="s">
        <v>3103</v>
      </c>
      <c r="GS67" s="1706" t="s">
        <v>3109</v>
      </c>
      <c r="GT67" s="1631">
        <v>0</v>
      </c>
      <c r="GU67" s="1631"/>
      <c r="GV67" s="1631"/>
      <c r="GW67" s="1631"/>
      <c r="GX67" s="1631"/>
      <c r="GY67" s="1631"/>
      <c r="GZ67" s="1631"/>
      <c r="HA67" s="1631"/>
      <c r="HB67" s="1631"/>
      <c r="HC67" s="1631"/>
      <c r="HD67" s="1631"/>
      <c r="HE67" s="1631"/>
      <c r="HF67" s="1631"/>
      <c r="HG67" s="1631">
        <v>10000</v>
      </c>
      <c r="HH67" s="1632"/>
      <c r="HI67" s="1632"/>
      <c r="HJ67" s="1632"/>
      <c r="HK67" s="1632"/>
      <c r="HL67" s="1632"/>
      <c r="HM67" s="1632"/>
      <c r="HN67" s="1632"/>
      <c r="HO67" s="1632"/>
      <c r="HP67" s="1632"/>
      <c r="HQ67" s="1632"/>
      <c r="HR67" s="1632"/>
      <c r="HS67" s="1632">
        <v>10000</v>
      </c>
      <c r="HT67" s="1633">
        <v>10000</v>
      </c>
      <c r="HU67" s="1632"/>
      <c r="HV67" s="1632"/>
      <c r="HW67" s="1632"/>
      <c r="HX67" s="1632"/>
      <c r="HY67" s="1632"/>
      <c r="HZ67" s="1632"/>
      <c r="IA67" s="1632"/>
      <c r="IB67" s="1632"/>
      <c r="IC67" s="1632"/>
      <c r="ID67" s="1632"/>
      <c r="IE67" s="1632"/>
      <c r="IF67" s="1632">
        <v>10000</v>
      </c>
      <c r="IG67" s="1633">
        <v>10000</v>
      </c>
      <c r="IH67" s="1632"/>
      <c r="II67" s="1632"/>
      <c r="IJ67" s="1632"/>
      <c r="IK67" s="1632"/>
      <c r="IL67" s="1632"/>
      <c r="IM67" s="1632"/>
      <c r="IN67" s="1632"/>
      <c r="IO67" s="1632"/>
      <c r="IP67" s="1632"/>
      <c r="IQ67" s="1632"/>
      <c r="IR67" s="1632"/>
      <c r="IS67" s="1632">
        <v>10000</v>
      </c>
      <c r="IT67" s="1633">
        <v>20000</v>
      </c>
      <c r="IU67" s="1633">
        <v>30000</v>
      </c>
      <c r="IV67" s="1707"/>
    </row>
    <row r="68" spans="2:256" ht="17.25" thickBot="1">
      <c r="E68" s="1494"/>
      <c r="F68" s="1879"/>
      <c r="G68" s="1493"/>
      <c r="H68" s="1543" t="s">
        <v>3095</v>
      </c>
      <c r="I68" s="1589">
        <v>28600</v>
      </c>
      <c r="J68" s="1493"/>
      <c r="K68" s="1493"/>
      <c r="L68" s="1493"/>
      <c r="R68" s="1881"/>
      <c r="S68" s="1881"/>
      <c r="T68" s="1881"/>
      <c r="U68" s="1881"/>
      <c r="V68" s="1881"/>
      <c r="W68" s="1881"/>
      <c r="X68" s="1881"/>
      <c r="Y68" s="1881"/>
      <c r="Z68" s="1881"/>
      <c r="AA68" s="1881"/>
      <c r="AB68" s="1881"/>
      <c r="AC68" s="1543"/>
      <c r="AD68" s="1589"/>
      <c r="BE68" s="1589"/>
      <c r="BF68" s="1615">
        <f t="shared" si="52"/>
        <v>-5.6143870000000007</v>
      </c>
      <c r="BH68" s="1499"/>
      <c r="BL68" s="1498"/>
      <c r="BN68" s="1498"/>
      <c r="BO68" s="1882"/>
      <c r="BP68" s="1545" t="s">
        <v>3058</v>
      </c>
      <c r="BQ68" s="1811">
        <f>-(BJ63*BI64)/100000000</f>
        <v>-24.472786906818857</v>
      </c>
      <c r="BR68" s="815"/>
      <c r="BS68" s="815"/>
      <c r="BY68" s="1617"/>
      <c r="BZ68" s="1617"/>
      <c r="CD68" s="815"/>
      <c r="CE68" s="1617"/>
      <c r="CF68" s="1615"/>
      <c r="CG68" s="1559"/>
      <c r="CH68" s="5797"/>
      <c r="CI68" s="1576" t="s">
        <v>2892</v>
      </c>
      <c r="CJ68" s="1577" t="s">
        <v>2893</v>
      </c>
      <c r="CK68" s="1578" t="s">
        <v>2894</v>
      </c>
      <c r="CL68" s="1579" t="s">
        <v>2895</v>
      </c>
      <c r="CM68" s="1577" t="s">
        <v>2896</v>
      </c>
      <c r="CN68" s="1578" t="s">
        <v>2897</v>
      </c>
      <c r="CO68" s="1579" t="s">
        <v>2898</v>
      </c>
      <c r="CP68" s="1577" t="s">
        <v>2717</v>
      </c>
      <c r="CQ68" s="1578" t="s">
        <v>2718</v>
      </c>
      <c r="CR68" s="1579" t="s">
        <v>2719</v>
      </c>
      <c r="CS68" s="1577" t="s">
        <v>2720</v>
      </c>
      <c r="CT68" s="1577" t="s">
        <v>2721</v>
      </c>
      <c r="CU68" s="5792"/>
      <c r="CV68" s="1576" t="s">
        <v>2892</v>
      </c>
      <c r="CW68" s="1577" t="s">
        <v>2893</v>
      </c>
      <c r="CX68" s="1578" t="s">
        <v>2894</v>
      </c>
      <c r="CY68" s="1579" t="s">
        <v>2895</v>
      </c>
      <c r="CZ68" s="1577" t="s">
        <v>2896</v>
      </c>
      <c r="DA68" s="1578" t="s">
        <v>2897</v>
      </c>
      <c r="DB68" s="1579" t="s">
        <v>2898</v>
      </c>
      <c r="DC68" s="1577" t="s">
        <v>2717</v>
      </c>
      <c r="DD68" s="1578" t="s">
        <v>2718</v>
      </c>
      <c r="DE68" s="1579" t="s">
        <v>2719</v>
      </c>
      <c r="DF68" s="1577" t="s">
        <v>2720</v>
      </c>
      <c r="DG68" s="1577" t="s">
        <v>2721</v>
      </c>
      <c r="DH68" s="5792"/>
      <c r="DI68" s="1576" t="s">
        <v>2892</v>
      </c>
      <c r="DJ68" s="1577" t="s">
        <v>2893</v>
      </c>
      <c r="DK68" s="1578" t="s">
        <v>2894</v>
      </c>
      <c r="DL68" s="1579" t="s">
        <v>2895</v>
      </c>
      <c r="DM68" s="1577" t="s">
        <v>2896</v>
      </c>
      <c r="DN68" s="1578" t="s">
        <v>2897</v>
      </c>
      <c r="DO68" s="1579" t="s">
        <v>2898</v>
      </c>
      <c r="DP68" s="1577" t="s">
        <v>2717</v>
      </c>
      <c r="DQ68" s="1578" t="s">
        <v>2718</v>
      </c>
      <c r="DR68" s="1579" t="s">
        <v>2719</v>
      </c>
      <c r="DS68" s="1577" t="s">
        <v>2720</v>
      </c>
      <c r="DT68" s="1577" t="s">
        <v>2721</v>
      </c>
      <c r="DU68" s="5792"/>
      <c r="DV68" s="1576" t="s">
        <v>2892</v>
      </c>
      <c r="DW68" s="1577" t="s">
        <v>2893</v>
      </c>
      <c r="DX68" s="1578" t="s">
        <v>2894</v>
      </c>
      <c r="DY68" s="1579" t="s">
        <v>2895</v>
      </c>
      <c r="DZ68" s="1577" t="s">
        <v>2896</v>
      </c>
      <c r="EA68" s="1578" t="s">
        <v>2897</v>
      </c>
      <c r="EB68" s="1579" t="s">
        <v>2898</v>
      </c>
      <c r="EC68" s="1577" t="s">
        <v>2717</v>
      </c>
      <c r="ED68" s="1578" t="s">
        <v>2718</v>
      </c>
      <c r="EE68" s="1579" t="s">
        <v>2719</v>
      </c>
      <c r="EF68" s="1577" t="s">
        <v>2720</v>
      </c>
      <c r="EG68" s="1577" t="s">
        <v>2721</v>
      </c>
      <c r="EH68" s="5792"/>
      <c r="EI68" s="1504"/>
      <c r="GL68" s="1652"/>
      <c r="GM68" s="1748" t="s">
        <v>3110</v>
      </c>
      <c r="GN68" s="1714" t="s">
        <v>3111</v>
      </c>
      <c r="GO68" s="1711" t="s">
        <v>3101</v>
      </c>
      <c r="GP68" s="1711" t="s">
        <v>3005</v>
      </c>
      <c r="GQ68" s="1749">
        <v>25</v>
      </c>
      <c r="GR68" s="1711" t="s">
        <v>3103</v>
      </c>
      <c r="GS68" s="1712">
        <v>21</v>
      </c>
      <c r="GT68" s="1660">
        <v>0</v>
      </c>
      <c r="GU68" s="1660"/>
      <c r="GV68" s="1660"/>
      <c r="GW68" s="1660"/>
      <c r="GX68" s="1660"/>
      <c r="GY68" s="1660"/>
      <c r="GZ68" s="1660"/>
      <c r="HA68" s="1660"/>
      <c r="HB68" s="1660"/>
      <c r="HC68" s="1660"/>
      <c r="HD68" s="1660"/>
      <c r="HE68" s="1660"/>
      <c r="HF68" s="1660"/>
      <c r="HG68" s="1660">
        <v>20000</v>
      </c>
      <c r="HH68" s="1661"/>
      <c r="HI68" s="1661"/>
      <c r="HJ68" s="1661"/>
      <c r="HK68" s="1661"/>
      <c r="HL68" s="1661">
        <v>20000</v>
      </c>
      <c r="HM68" s="1661"/>
      <c r="HN68" s="1661"/>
      <c r="HO68" s="1661"/>
      <c r="HP68" s="1661"/>
      <c r="HQ68" s="1661"/>
      <c r="HR68" s="1661"/>
      <c r="HS68" s="1661"/>
      <c r="HT68" s="1662">
        <v>0</v>
      </c>
      <c r="HU68" s="1661"/>
      <c r="HV68" s="1661"/>
      <c r="HW68" s="1661"/>
      <c r="HX68" s="1661"/>
      <c r="HY68" s="1661"/>
      <c r="HZ68" s="1661"/>
      <c r="IA68" s="1661"/>
      <c r="IB68" s="1661"/>
      <c r="IC68" s="1661"/>
      <c r="ID68" s="1661"/>
      <c r="IE68" s="1661"/>
      <c r="IF68" s="1661"/>
      <c r="IG68" s="1662">
        <v>0</v>
      </c>
      <c r="IH68" s="1661"/>
      <c r="II68" s="1661"/>
      <c r="IJ68" s="1661"/>
      <c r="IK68" s="1661"/>
      <c r="IL68" s="1661"/>
      <c r="IM68" s="1661"/>
      <c r="IN68" s="1661"/>
      <c r="IO68" s="1661"/>
      <c r="IP68" s="1661"/>
      <c r="IQ68" s="1661"/>
      <c r="IR68" s="1661"/>
      <c r="IS68" s="1661"/>
      <c r="IT68" s="1662">
        <v>20000</v>
      </c>
      <c r="IU68" s="1662">
        <v>20000</v>
      </c>
      <c r="IV68" s="1713"/>
    </row>
    <row r="69" spans="2:256" ht="16.5">
      <c r="E69" s="1881"/>
      <c r="F69" s="1881"/>
      <c r="G69" s="1881"/>
      <c r="H69" s="1881"/>
      <c r="I69" s="1881">
        <f>I67*I68/1000000</f>
        <v>192.99279999999999</v>
      </c>
      <c r="J69" s="1881"/>
      <c r="K69" s="1881"/>
      <c r="L69" s="1881"/>
      <c r="M69" s="1881"/>
      <c r="AC69" s="1543"/>
      <c r="AD69" s="1589"/>
      <c r="BE69" s="1589"/>
      <c r="BF69" s="1615">
        <f t="shared" si="52"/>
        <v>1838.3077933610366</v>
      </c>
      <c r="BL69" s="1498"/>
      <c r="BN69" s="1880" t="s">
        <v>2963</v>
      </c>
      <c r="BO69" s="1761">
        <f>-BF51/100</f>
        <v>-0.58351398124614207</v>
      </c>
      <c r="BP69" s="1545"/>
      <c r="BQ69" s="1617"/>
      <c r="BR69" s="815"/>
      <c r="BS69" s="815"/>
      <c r="BY69" s="1617"/>
      <c r="BZ69" s="1617"/>
      <c r="CD69" s="815"/>
      <c r="CE69" s="1617"/>
      <c r="CF69" s="1615"/>
      <c r="CG69" s="1559"/>
      <c r="CH69" s="1592" t="s">
        <v>1410</v>
      </c>
      <c r="CI69" s="1593">
        <v>38660520</v>
      </c>
      <c r="CJ69" s="1593">
        <v>39482044</v>
      </c>
      <c r="CK69" s="1593">
        <v>35966065</v>
      </c>
      <c r="CL69" s="1594">
        <v>35716920</v>
      </c>
      <c r="CM69" s="1593">
        <v>35758770</v>
      </c>
      <c r="CN69" s="1595">
        <v>37202920</v>
      </c>
      <c r="CO69" s="1594">
        <v>34207310</v>
      </c>
      <c r="CP69" s="1593">
        <v>35476520</v>
      </c>
      <c r="CQ69" s="1595">
        <v>50876000</v>
      </c>
      <c r="CR69" s="1593">
        <v>40446000</v>
      </c>
      <c r="CS69" s="1593">
        <v>40446000</v>
      </c>
      <c r="CT69" s="1593">
        <v>40446000</v>
      </c>
      <c r="CU69" s="1596">
        <f>SUM(CI69:CT69)</f>
        <v>464685069</v>
      </c>
      <c r="CV69" s="1593">
        <v>37179840</v>
      </c>
      <c r="CW69" s="1593">
        <v>37179840</v>
      </c>
      <c r="CX69" s="1593">
        <v>37179840</v>
      </c>
      <c r="CY69" s="1594">
        <v>37179840</v>
      </c>
      <c r="CZ69" s="1593">
        <v>37179840</v>
      </c>
      <c r="DA69" s="1595">
        <v>37179840</v>
      </c>
      <c r="DB69" s="1594">
        <v>37179840</v>
      </c>
      <c r="DC69" s="1593">
        <v>37179840</v>
      </c>
      <c r="DD69" s="1595">
        <v>47851000</v>
      </c>
      <c r="DE69" s="1593">
        <v>38729000</v>
      </c>
      <c r="DF69" s="1593">
        <v>38729000</v>
      </c>
      <c r="DG69" s="1593">
        <v>38729000</v>
      </c>
      <c r="DH69" s="1596">
        <f>SUM(CV69:DG69)</f>
        <v>461476720</v>
      </c>
      <c r="DI69" s="1593">
        <v>38813760</v>
      </c>
      <c r="DJ69" s="1593">
        <v>38813760</v>
      </c>
      <c r="DK69" s="1593">
        <v>38813760</v>
      </c>
      <c r="DL69" s="1594">
        <v>38813760</v>
      </c>
      <c r="DM69" s="1593">
        <v>38813760</v>
      </c>
      <c r="DN69" s="1595">
        <v>38813760</v>
      </c>
      <c r="DO69" s="1594">
        <v>38813760</v>
      </c>
      <c r="DP69" s="1593">
        <v>38813760</v>
      </c>
      <c r="DQ69" s="1595">
        <v>51274000</v>
      </c>
      <c r="DR69" s="1593">
        <v>40431000</v>
      </c>
      <c r="DS69" s="1593">
        <v>40431000</v>
      </c>
      <c r="DT69" s="1593">
        <v>40431000</v>
      </c>
      <c r="DU69" s="1596">
        <f>SUM(DI69:DT69)</f>
        <v>483077080</v>
      </c>
      <c r="DV69" s="1593">
        <v>40521600</v>
      </c>
      <c r="DW69" s="1593">
        <v>40521600</v>
      </c>
      <c r="DX69" s="1593">
        <v>40521600</v>
      </c>
      <c r="DY69" s="1594">
        <v>40521600</v>
      </c>
      <c r="DZ69" s="1593">
        <v>40521600</v>
      </c>
      <c r="EA69" s="1595">
        <v>40521600</v>
      </c>
      <c r="EB69" s="1594">
        <v>40521600</v>
      </c>
      <c r="EC69" s="1593">
        <v>40521600</v>
      </c>
      <c r="ED69" s="1595">
        <v>53546000</v>
      </c>
      <c r="EE69" s="1593">
        <v>42210000</v>
      </c>
      <c r="EF69" s="1593">
        <v>42210000</v>
      </c>
      <c r="EG69" s="1593">
        <v>42210000</v>
      </c>
      <c r="EH69" s="1596">
        <f>SUM(DV69:EG69)</f>
        <v>504348800</v>
      </c>
      <c r="EI69" s="1504"/>
      <c r="GL69" s="1623"/>
      <c r="GM69" s="1746" t="s">
        <v>3112</v>
      </c>
      <c r="GN69" s="1728" t="s">
        <v>3113</v>
      </c>
      <c r="GO69" s="1705" t="s">
        <v>3042</v>
      </c>
      <c r="GP69" s="1705" t="s">
        <v>2932</v>
      </c>
      <c r="GQ69" s="1747">
        <v>10</v>
      </c>
      <c r="GR69" s="1705" t="s">
        <v>3042</v>
      </c>
      <c r="GS69" s="1706">
        <v>21</v>
      </c>
      <c r="GT69" s="1633">
        <v>0</v>
      </c>
      <c r="GU69" s="1632"/>
      <c r="GV69" s="1632"/>
      <c r="GW69" s="1632"/>
      <c r="GX69" s="1632"/>
      <c r="GY69" s="1632"/>
      <c r="GZ69" s="1632"/>
      <c r="HA69" s="1632"/>
      <c r="HB69" s="1632"/>
      <c r="HC69" s="1632"/>
      <c r="HD69" s="1632"/>
      <c r="HE69" s="1632"/>
      <c r="HF69" s="1632"/>
      <c r="HG69" s="1633">
        <v>30000</v>
      </c>
      <c r="HH69" s="1632"/>
      <c r="HI69" s="1632"/>
      <c r="HJ69" s="1632">
        <v>30000</v>
      </c>
      <c r="HK69" s="1632"/>
      <c r="HL69" s="1632"/>
      <c r="HM69" s="1632"/>
      <c r="HN69" s="1632"/>
      <c r="HO69" s="1632"/>
      <c r="HP69" s="1632"/>
      <c r="HQ69" s="1632"/>
      <c r="HR69" s="1632"/>
      <c r="HS69" s="1632"/>
      <c r="HT69" s="1633">
        <v>0</v>
      </c>
      <c r="HU69" s="1632"/>
      <c r="HV69" s="1632"/>
      <c r="HW69" s="1632"/>
      <c r="HX69" s="1632"/>
      <c r="HY69" s="1632"/>
      <c r="HZ69" s="1632"/>
      <c r="IA69" s="1632"/>
      <c r="IB69" s="1632"/>
      <c r="IC69" s="1632"/>
      <c r="ID69" s="1632"/>
      <c r="IE69" s="1632"/>
      <c r="IF69" s="1632"/>
      <c r="IG69" s="1633">
        <v>0</v>
      </c>
      <c r="IH69" s="1632"/>
      <c r="II69" s="1632"/>
      <c r="IJ69" s="1632"/>
      <c r="IK69" s="1632"/>
      <c r="IL69" s="1632"/>
      <c r="IM69" s="1632"/>
      <c r="IN69" s="1632"/>
      <c r="IO69" s="1632"/>
      <c r="IP69" s="1632"/>
      <c r="IQ69" s="1632"/>
      <c r="IR69" s="1632"/>
      <c r="IS69" s="1632"/>
      <c r="IT69" s="1633">
        <v>30000</v>
      </c>
      <c r="IU69" s="1633">
        <v>30000</v>
      </c>
      <c r="IV69" s="1707"/>
    </row>
    <row r="70" spans="2:256" s="1504" customFormat="1" ht="16.5" collapsed="1">
      <c r="B70" s="1493"/>
      <c r="C70" s="1493"/>
      <c r="D70" s="1494"/>
      <c r="E70" s="1495"/>
      <c r="F70" s="699"/>
      <c r="G70" s="699"/>
      <c r="H70" s="699"/>
      <c r="I70" s="699"/>
      <c r="J70" s="699"/>
      <c r="K70" s="699"/>
      <c r="L70" s="699"/>
      <c r="M70" s="1493"/>
      <c r="N70" s="1493"/>
      <c r="O70" s="1493"/>
      <c r="P70" s="1493"/>
      <c r="Q70" s="1493"/>
      <c r="R70" s="1494"/>
      <c r="S70" s="1493"/>
      <c r="T70" s="1493"/>
      <c r="U70" s="1493"/>
      <c r="V70" s="1493"/>
      <c r="W70" s="1493"/>
      <c r="X70" s="1493"/>
      <c r="Y70" s="1493"/>
      <c r="Z70" s="1493"/>
      <c r="AA70" s="1493"/>
      <c r="AB70" s="1493"/>
      <c r="AC70" s="1543"/>
      <c r="AD70" s="1493"/>
      <c r="AE70" s="1494"/>
      <c r="AF70" s="1493"/>
      <c r="AG70" s="1493"/>
      <c r="AH70" s="1493"/>
      <c r="AI70" s="1493"/>
      <c r="AJ70" s="1493"/>
      <c r="AK70" s="1493"/>
      <c r="AL70" s="1493"/>
      <c r="AM70" s="1493"/>
      <c r="AN70" s="1493"/>
      <c r="AO70" s="1493"/>
      <c r="AP70" s="1493"/>
      <c r="AQ70" s="1493"/>
      <c r="AR70" s="1494"/>
      <c r="AS70" s="1493"/>
      <c r="AT70" s="1493"/>
      <c r="AU70" s="1493"/>
      <c r="AV70" s="1493"/>
      <c r="AW70" s="1493"/>
      <c r="AX70" s="1493"/>
      <c r="AY70" s="1493"/>
      <c r="AZ70" s="1493"/>
      <c r="BA70" s="1493"/>
      <c r="BB70" s="1493"/>
      <c r="BC70" s="1493"/>
      <c r="BD70" s="1493"/>
      <c r="BE70" s="1509"/>
      <c r="BF70" s="1759">
        <f t="shared" si="52"/>
        <v>1951.6919259836504</v>
      </c>
      <c r="BG70" s="1883">
        <f>BF70/100</f>
        <v>19.516919259836506</v>
      </c>
      <c r="BH70" s="1498"/>
      <c r="BI70" s="1498"/>
      <c r="BJ70" s="1499"/>
      <c r="BK70" s="1498"/>
      <c r="BL70" s="1498"/>
      <c r="BM70" s="1498"/>
      <c r="BN70" s="1880" t="s">
        <v>3114</v>
      </c>
      <c r="BO70" s="1761">
        <f>BF54/100</f>
        <v>-9.7765502437738618</v>
      </c>
      <c r="BP70" s="1545" t="s">
        <v>3089</v>
      </c>
      <c r="BQ70" s="1836">
        <f>-K65/100</f>
        <v>-7.4140000000000006</v>
      </c>
      <c r="BR70" s="815"/>
      <c r="BS70" s="815"/>
      <c r="BT70" s="815"/>
      <c r="BU70" s="815"/>
      <c r="BV70" s="815"/>
      <c r="BW70" s="815"/>
      <c r="BX70" s="815"/>
      <c r="BY70" s="1617"/>
      <c r="BZ70" s="1617"/>
      <c r="CA70" s="815"/>
      <c r="CB70" s="815"/>
      <c r="CC70" s="815"/>
      <c r="CD70" s="815"/>
      <c r="CE70" s="1617"/>
      <c r="CF70" s="1759"/>
      <c r="CG70" s="1559"/>
      <c r="CH70" s="1618" t="s">
        <v>2916</v>
      </c>
      <c r="CI70" s="1619">
        <v>4480540</v>
      </c>
      <c r="CJ70" s="1619">
        <v>5053460</v>
      </c>
      <c r="CK70" s="1619">
        <v>5298330</v>
      </c>
      <c r="CL70" s="1620">
        <v>6889050</v>
      </c>
      <c r="CM70" s="1619">
        <v>7232950</v>
      </c>
      <c r="CN70" s="1621">
        <v>3898480</v>
      </c>
      <c r="CO70" s="1620">
        <v>5843140</v>
      </c>
      <c r="CP70" s="1619">
        <v>5131430</v>
      </c>
      <c r="CQ70" s="1621">
        <v>6700000</v>
      </c>
      <c r="CR70" s="1619">
        <v>6700000</v>
      </c>
      <c r="CS70" s="1619">
        <v>6700000</v>
      </c>
      <c r="CT70" s="1619">
        <v>6700000</v>
      </c>
      <c r="CU70" s="1622">
        <f t="shared" ref="CU70:CU103" si="70">SUM(CI70:CT70)</f>
        <v>70627380</v>
      </c>
      <c r="CV70" s="1619">
        <v>6072000</v>
      </c>
      <c r="CW70" s="1619">
        <v>6072000</v>
      </c>
      <c r="CX70" s="1619">
        <v>6072000</v>
      </c>
      <c r="CY70" s="1620">
        <v>6072000</v>
      </c>
      <c r="CZ70" s="1619">
        <v>6072000</v>
      </c>
      <c r="DA70" s="1621">
        <v>6072000</v>
      </c>
      <c r="DB70" s="1620">
        <v>6072000</v>
      </c>
      <c r="DC70" s="1619">
        <v>6072000</v>
      </c>
      <c r="DD70" s="1621">
        <v>6325000</v>
      </c>
      <c r="DE70" s="1619">
        <v>6325000</v>
      </c>
      <c r="DF70" s="1619">
        <v>6325000</v>
      </c>
      <c r="DG70" s="1619">
        <v>6325000</v>
      </c>
      <c r="DH70" s="1622">
        <f t="shared" ref="DH70:DH103" si="71">SUM(CV70:DG70)</f>
        <v>73876000</v>
      </c>
      <c r="DI70" s="1619">
        <v>6334080</v>
      </c>
      <c r="DJ70" s="1619">
        <v>6334080</v>
      </c>
      <c r="DK70" s="1619">
        <v>6334080</v>
      </c>
      <c r="DL70" s="1620">
        <v>6334080</v>
      </c>
      <c r="DM70" s="1619">
        <v>6334080</v>
      </c>
      <c r="DN70" s="1621">
        <v>6334080</v>
      </c>
      <c r="DO70" s="1620">
        <v>6334080</v>
      </c>
      <c r="DP70" s="1619">
        <v>6334080</v>
      </c>
      <c r="DQ70" s="1621">
        <v>6598000</v>
      </c>
      <c r="DR70" s="1619">
        <v>6598000</v>
      </c>
      <c r="DS70" s="1619">
        <v>6598000</v>
      </c>
      <c r="DT70" s="1619">
        <v>6598000</v>
      </c>
      <c r="DU70" s="1622">
        <f t="shared" ref="DU70:DU103" si="72">SUM(DI70:DT70)</f>
        <v>77064640</v>
      </c>
      <c r="DV70" s="1619">
        <v>6609600</v>
      </c>
      <c r="DW70" s="1619">
        <v>6609600</v>
      </c>
      <c r="DX70" s="1619">
        <v>6609600</v>
      </c>
      <c r="DY70" s="1620">
        <v>6609600</v>
      </c>
      <c r="DZ70" s="1619">
        <v>6609600</v>
      </c>
      <c r="EA70" s="1621">
        <v>6609600</v>
      </c>
      <c r="EB70" s="1620">
        <v>6609600</v>
      </c>
      <c r="EC70" s="1619">
        <v>6609600</v>
      </c>
      <c r="ED70" s="1621">
        <v>6885000</v>
      </c>
      <c r="EE70" s="1619">
        <v>6885000</v>
      </c>
      <c r="EF70" s="1619">
        <v>6885000</v>
      </c>
      <c r="EG70" s="1619">
        <v>6885000</v>
      </c>
      <c r="EH70" s="1622">
        <f t="shared" ref="EH70:EH103" si="73">SUM(DV70:EG70)</f>
        <v>80416800</v>
      </c>
      <c r="EI70" s="1543"/>
      <c r="GL70" s="1652"/>
      <c r="GM70" s="1748" t="s">
        <v>3115</v>
      </c>
      <c r="GN70" s="1714" t="s">
        <v>3116</v>
      </c>
      <c r="GO70" s="1711" t="s">
        <v>3042</v>
      </c>
      <c r="GP70" s="1711" t="s">
        <v>2932</v>
      </c>
      <c r="GQ70" s="1749">
        <v>10</v>
      </c>
      <c r="GR70" s="1711" t="s">
        <v>3042</v>
      </c>
      <c r="GS70" s="1712">
        <v>21</v>
      </c>
      <c r="GT70" s="1662">
        <v>0</v>
      </c>
      <c r="GU70" s="1661"/>
      <c r="GV70" s="1661"/>
      <c r="GW70" s="1661"/>
      <c r="GX70" s="1661"/>
      <c r="GY70" s="1661"/>
      <c r="GZ70" s="1661"/>
      <c r="HA70" s="1661"/>
      <c r="HB70" s="1661"/>
      <c r="HC70" s="1661"/>
      <c r="HD70" s="1661"/>
      <c r="HE70" s="1661"/>
      <c r="HF70" s="1661"/>
      <c r="HG70" s="1662">
        <v>30000</v>
      </c>
      <c r="HH70" s="1661"/>
      <c r="HI70" s="1661"/>
      <c r="HJ70" s="1661">
        <v>30000</v>
      </c>
      <c r="HK70" s="1661"/>
      <c r="HL70" s="1661"/>
      <c r="HM70" s="1661"/>
      <c r="HN70" s="1661"/>
      <c r="HO70" s="1661"/>
      <c r="HP70" s="1661"/>
      <c r="HQ70" s="1661"/>
      <c r="HR70" s="1661"/>
      <c r="HS70" s="1661"/>
      <c r="HT70" s="1662">
        <v>0</v>
      </c>
      <c r="HU70" s="1661"/>
      <c r="HV70" s="1661"/>
      <c r="HW70" s="1661"/>
      <c r="HX70" s="1661"/>
      <c r="HY70" s="1661"/>
      <c r="HZ70" s="1661"/>
      <c r="IA70" s="1661"/>
      <c r="IB70" s="1661"/>
      <c r="IC70" s="1661"/>
      <c r="ID70" s="1661"/>
      <c r="IE70" s="1661"/>
      <c r="IF70" s="1661"/>
      <c r="IG70" s="1662">
        <v>0</v>
      </c>
      <c r="IH70" s="1661"/>
      <c r="II70" s="1661"/>
      <c r="IJ70" s="1661"/>
      <c r="IK70" s="1661"/>
      <c r="IL70" s="1661"/>
      <c r="IM70" s="1661"/>
      <c r="IN70" s="1661"/>
      <c r="IO70" s="1884"/>
      <c r="IP70" s="1661"/>
      <c r="IQ70" s="1661"/>
      <c r="IR70" s="1661"/>
      <c r="IS70" s="1661"/>
      <c r="IT70" s="1662">
        <v>30000</v>
      </c>
      <c r="IU70" s="1662">
        <v>30000</v>
      </c>
      <c r="IV70" s="1713"/>
    </row>
    <row r="71" spans="2:256" s="1543" customFormat="1" ht="16.5">
      <c r="B71" s="1493"/>
      <c r="C71" s="1493"/>
      <c r="D71" s="1494"/>
      <c r="E71" s="1495"/>
      <c r="F71" s="699"/>
      <c r="G71" s="699"/>
      <c r="H71" s="699"/>
      <c r="I71" s="699"/>
      <c r="J71" s="1615"/>
      <c r="K71" s="1615"/>
      <c r="L71" s="1615"/>
      <c r="M71" s="1615"/>
      <c r="N71" s="1615"/>
      <c r="O71" s="1615"/>
      <c r="P71" s="1615"/>
      <c r="Q71" s="1493"/>
      <c r="R71" s="1494"/>
      <c r="S71" s="1493"/>
      <c r="T71" s="1493"/>
      <c r="U71" s="1493"/>
      <c r="V71" s="1493"/>
      <c r="W71" s="1493"/>
      <c r="X71" s="1493"/>
      <c r="Y71" s="1493"/>
      <c r="Z71" s="1493"/>
      <c r="AA71" s="1493"/>
      <c r="AB71" s="1493"/>
      <c r="AD71" s="1589"/>
      <c r="AE71" s="1494"/>
      <c r="AF71" s="1493"/>
      <c r="AG71" s="1493"/>
      <c r="AH71" s="1493"/>
      <c r="AI71" s="1493"/>
      <c r="AJ71" s="1493"/>
      <c r="AK71" s="1493"/>
      <c r="AL71" s="1493"/>
      <c r="AM71" s="1493"/>
      <c r="AN71" s="1493"/>
      <c r="AO71" s="1493"/>
      <c r="AP71" s="1493"/>
      <c r="AQ71" s="1493"/>
      <c r="AR71" s="1494"/>
      <c r="AS71" s="1493"/>
      <c r="AT71" s="1493"/>
      <c r="AU71" s="1493"/>
      <c r="AV71" s="1493"/>
      <c r="AW71" s="1493"/>
      <c r="AX71" s="1493"/>
      <c r="AY71" s="1493"/>
      <c r="AZ71" s="1493"/>
      <c r="BA71" s="1493"/>
      <c r="BB71" s="1493"/>
      <c r="BC71" s="1493"/>
      <c r="BD71" s="1493"/>
      <c r="BE71" s="1793"/>
      <c r="BF71" s="1794"/>
      <c r="BG71" s="1497"/>
      <c r="BH71" s="1497"/>
      <c r="BI71" s="1497"/>
      <c r="BJ71" s="1796"/>
      <c r="BK71" s="1497"/>
      <c r="BL71" s="1497"/>
      <c r="BM71" s="1497"/>
      <c r="BN71" s="1498"/>
      <c r="BO71" s="1882"/>
      <c r="BP71" s="1545" t="s">
        <v>2971</v>
      </c>
      <c r="BQ71" s="1836">
        <f>(BF55-BF62)/100</f>
        <v>1.1053413262261371</v>
      </c>
      <c r="BR71" s="815"/>
      <c r="BS71" s="1791"/>
      <c r="BT71" s="1791"/>
      <c r="BU71" s="1791"/>
      <c r="BV71" s="1791"/>
      <c r="BW71" s="1791"/>
      <c r="BX71" s="1791"/>
      <c r="BY71" s="1591"/>
      <c r="BZ71" s="1591"/>
      <c r="CA71" s="1791"/>
      <c r="CB71" s="1791"/>
      <c r="CC71" s="1791"/>
      <c r="CD71" s="1791"/>
      <c r="CE71" s="1591"/>
      <c r="CF71" s="1590"/>
      <c r="CG71" s="1559"/>
      <c r="CH71" s="1647" t="s">
        <v>1377</v>
      </c>
      <c r="CI71" s="1648">
        <v>2299260</v>
      </c>
      <c r="CJ71" s="1648">
        <v>2276140</v>
      </c>
      <c r="CK71" s="1648">
        <v>1796660</v>
      </c>
      <c r="CL71" s="1649">
        <v>2124020</v>
      </c>
      <c r="CM71" s="1648">
        <v>1881370</v>
      </c>
      <c r="CN71" s="1650">
        <v>1594890</v>
      </c>
      <c r="CO71" s="1649">
        <v>1995390</v>
      </c>
      <c r="CP71" s="1648">
        <v>1995390</v>
      </c>
      <c r="CQ71" s="1650">
        <v>2217000</v>
      </c>
      <c r="CR71" s="1648">
        <v>2217000</v>
      </c>
      <c r="CS71" s="1648">
        <v>2217000</v>
      </c>
      <c r="CT71" s="1648">
        <v>2217000</v>
      </c>
      <c r="CU71" s="1651">
        <f t="shared" si="70"/>
        <v>24831120</v>
      </c>
      <c r="CV71" s="1648">
        <v>2238250</v>
      </c>
      <c r="CW71" s="1648">
        <v>2238250</v>
      </c>
      <c r="CX71" s="1648">
        <v>2238250</v>
      </c>
      <c r="CY71" s="1649">
        <v>2238250</v>
      </c>
      <c r="CZ71" s="1648">
        <v>2238250</v>
      </c>
      <c r="DA71" s="1650">
        <v>2238250</v>
      </c>
      <c r="DB71" s="1649">
        <v>2238250</v>
      </c>
      <c r="DC71" s="1648">
        <v>2238250</v>
      </c>
      <c r="DD71" s="1650">
        <v>2238250</v>
      </c>
      <c r="DE71" s="1648">
        <v>2238250</v>
      </c>
      <c r="DF71" s="1648">
        <v>2238250</v>
      </c>
      <c r="DG71" s="1648">
        <v>2238250</v>
      </c>
      <c r="DH71" s="1651">
        <f t="shared" si="71"/>
        <v>26859000</v>
      </c>
      <c r="DI71" s="1648">
        <v>2339000</v>
      </c>
      <c r="DJ71" s="1648">
        <v>2339000</v>
      </c>
      <c r="DK71" s="1648">
        <v>2339000</v>
      </c>
      <c r="DL71" s="1649">
        <v>2339000</v>
      </c>
      <c r="DM71" s="1648">
        <v>2339000</v>
      </c>
      <c r="DN71" s="1650">
        <v>2339000</v>
      </c>
      <c r="DO71" s="1649">
        <v>2339000</v>
      </c>
      <c r="DP71" s="1648">
        <v>2339000</v>
      </c>
      <c r="DQ71" s="1650">
        <v>2339000</v>
      </c>
      <c r="DR71" s="1648">
        <v>2339000</v>
      </c>
      <c r="DS71" s="1648">
        <v>2339000</v>
      </c>
      <c r="DT71" s="1648">
        <v>2339000</v>
      </c>
      <c r="DU71" s="1651">
        <f t="shared" si="72"/>
        <v>28068000</v>
      </c>
      <c r="DV71" s="1648">
        <v>2444250</v>
      </c>
      <c r="DW71" s="1648">
        <v>2444250</v>
      </c>
      <c r="DX71" s="1648">
        <v>2444250</v>
      </c>
      <c r="DY71" s="1649">
        <v>2444250</v>
      </c>
      <c r="DZ71" s="1648">
        <v>2444250</v>
      </c>
      <c r="EA71" s="1650">
        <v>2444250</v>
      </c>
      <c r="EB71" s="1649">
        <v>2444250</v>
      </c>
      <c r="EC71" s="1648">
        <v>2444250</v>
      </c>
      <c r="ED71" s="1650">
        <v>2444250</v>
      </c>
      <c r="EE71" s="1648">
        <v>2444250</v>
      </c>
      <c r="EF71" s="1648">
        <v>2444250</v>
      </c>
      <c r="EG71" s="1648">
        <v>2444250</v>
      </c>
      <c r="EH71" s="1651">
        <f t="shared" si="73"/>
        <v>29331000</v>
      </c>
      <c r="EI71" s="1504"/>
      <c r="GL71" s="1623"/>
      <c r="GM71" s="1746" t="s">
        <v>3117</v>
      </c>
      <c r="GN71" s="1728" t="s">
        <v>3118</v>
      </c>
      <c r="GO71" s="1705" t="s">
        <v>1878</v>
      </c>
      <c r="GP71" s="1705" t="s">
        <v>2932</v>
      </c>
      <c r="GQ71" s="1747">
        <v>12</v>
      </c>
      <c r="GR71" s="1705" t="s">
        <v>2944</v>
      </c>
      <c r="GS71" s="1706">
        <v>22</v>
      </c>
      <c r="GT71" s="1633">
        <v>0</v>
      </c>
      <c r="GU71" s="1632"/>
      <c r="GV71" s="1632"/>
      <c r="GW71" s="1632"/>
      <c r="GX71" s="1632"/>
      <c r="GY71" s="1632"/>
      <c r="GZ71" s="1632"/>
      <c r="HA71" s="1632"/>
      <c r="HB71" s="1632"/>
      <c r="HC71" s="1632"/>
      <c r="HD71" s="1632"/>
      <c r="HE71" s="1632"/>
      <c r="HF71" s="1632"/>
      <c r="HG71" s="1633">
        <v>0</v>
      </c>
      <c r="HH71" s="1631"/>
      <c r="HI71" s="1631"/>
      <c r="HJ71" s="1631"/>
      <c r="HK71" s="1631"/>
      <c r="HL71" s="1631"/>
      <c r="HM71" s="1631"/>
      <c r="HN71" s="1631"/>
      <c r="HO71" s="1631"/>
      <c r="HP71" s="1631"/>
      <c r="HQ71" s="1631"/>
      <c r="HR71" s="1631"/>
      <c r="HS71" s="1631"/>
      <c r="HT71" s="1631">
        <v>300000</v>
      </c>
      <c r="HU71" s="1631"/>
      <c r="HV71" s="1631"/>
      <c r="HW71" s="1631">
        <v>90000</v>
      </c>
      <c r="HX71" s="1631"/>
      <c r="HY71" s="1631"/>
      <c r="HZ71" s="1631">
        <v>210000</v>
      </c>
      <c r="IA71" s="1631"/>
      <c r="IB71" s="1631"/>
      <c r="IC71" s="1631"/>
      <c r="ID71" s="1631"/>
      <c r="IE71" s="1631"/>
      <c r="IF71" s="1631"/>
      <c r="IG71" s="1631">
        <v>0</v>
      </c>
      <c r="IH71" s="1631"/>
      <c r="II71" s="1631"/>
      <c r="IJ71" s="1631"/>
      <c r="IK71" s="1631"/>
      <c r="IL71" s="1631"/>
      <c r="IM71" s="1631"/>
      <c r="IN71" s="1631"/>
      <c r="IO71" s="1631"/>
      <c r="IP71" s="1631"/>
      <c r="IQ71" s="1631"/>
      <c r="IR71" s="1631"/>
      <c r="IS71" s="1631"/>
      <c r="IT71" s="1633">
        <v>300000</v>
      </c>
      <c r="IU71" s="1633">
        <v>300000</v>
      </c>
      <c r="IV71" s="1707"/>
    </row>
    <row r="72" spans="2:256" ht="16.5">
      <c r="J72" s="1615"/>
      <c r="K72" s="1615"/>
      <c r="L72" s="1615"/>
      <c r="M72" s="1615"/>
      <c r="N72" s="1615"/>
      <c r="O72" s="1615"/>
      <c r="P72" s="1615"/>
      <c r="AD72" s="1589"/>
      <c r="BE72" s="1589"/>
      <c r="BF72" s="1787">
        <f>AD57-Q57</f>
        <v>429.37222371640291</v>
      </c>
      <c r="BL72" s="1498"/>
      <c r="BN72" s="1880" t="s">
        <v>3119</v>
      </c>
      <c r="BO72" s="1845">
        <f>-BF61/100</f>
        <v>14.331312099999998</v>
      </c>
      <c r="BP72" s="1545" t="s">
        <v>3120</v>
      </c>
      <c r="BQ72" s="1836">
        <f>(BF56+BF57-BF66-BF67)/100</f>
        <v>3.3386700099999995</v>
      </c>
      <c r="BR72" s="815"/>
      <c r="BS72" s="815"/>
      <c r="BY72" s="1774"/>
      <c r="BZ72" s="1774"/>
      <c r="CD72" s="815"/>
      <c r="CE72" s="1774"/>
      <c r="CF72" s="1787"/>
      <c r="CG72" s="1559"/>
      <c r="CH72" s="1647" t="s">
        <v>2922</v>
      </c>
      <c r="CI72" s="1648">
        <v>-2748412</v>
      </c>
      <c r="CJ72" s="1648">
        <v>5742640</v>
      </c>
      <c r="CK72" s="1648">
        <v>-3065234</v>
      </c>
      <c r="CL72" s="1649">
        <v>-1324248</v>
      </c>
      <c r="CM72" s="1648">
        <v>1129597</v>
      </c>
      <c r="CN72" s="1650">
        <v>947067</v>
      </c>
      <c r="CO72" s="1649">
        <v>886487</v>
      </c>
      <c r="CP72" s="1648">
        <v>993267</v>
      </c>
      <c r="CQ72" s="1650">
        <v>2965440</v>
      </c>
      <c r="CR72" s="1648">
        <v>2965440</v>
      </c>
      <c r="CS72" s="1648">
        <v>2965440</v>
      </c>
      <c r="CT72" s="1648">
        <v>2965440</v>
      </c>
      <c r="CU72" s="1651">
        <f t="shared" si="70"/>
        <v>14422924</v>
      </c>
      <c r="CV72" s="1648">
        <v>1287000</v>
      </c>
      <c r="CW72" s="1648">
        <v>1287000</v>
      </c>
      <c r="CX72" s="1648">
        <v>1287000</v>
      </c>
      <c r="CY72" s="1649">
        <v>1287000</v>
      </c>
      <c r="CZ72" s="1648">
        <v>1287000</v>
      </c>
      <c r="DA72" s="1650">
        <v>1287000</v>
      </c>
      <c r="DB72" s="1649">
        <v>1287000</v>
      </c>
      <c r="DC72" s="1648">
        <v>1287000</v>
      </c>
      <c r="DD72" s="1650">
        <v>1287000</v>
      </c>
      <c r="DE72" s="1648">
        <v>1287000</v>
      </c>
      <c r="DF72" s="1648">
        <v>1287000</v>
      </c>
      <c r="DG72" s="1648">
        <v>1287000</v>
      </c>
      <c r="DH72" s="1651">
        <f t="shared" si="71"/>
        <v>15444000</v>
      </c>
      <c r="DI72" s="1648">
        <v>1382400</v>
      </c>
      <c r="DJ72" s="1648">
        <v>1382400</v>
      </c>
      <c r="DK72" s="1648">
        <v>1382400</v>
      </c>
      <c r="DL72" s="1649">
        <v>1382400</v>
      </c>
      <c r="DM72" s="1648">
        <v>1382400</v>
      </c>
      <c r="DN72" s="1650">
        <v>1382400</v>
      </c>
      <c r="DO72" s="1649">
        <v>1382400</v>
      </c>
      <c r="DP72" s="1648">
        <v>1382400</v>
      </c>
      <c r="DQ72" s="1650">
        <v>1382400</v>
      </c>
      <c r="DR72" s="1648">
        <v>1382400</v>
      </c>
      <c r="DS72" s="1648">
        <v>1382400</v>
      </c>
      <c r="DT72" s="1648">
        <v>1382400</v>
      </c>
      <c r="DU72" s="1651">
        <f t="shared" si="72"/>
        <v>16588800</v>
      </c>
      <c r="DV72" s="1648">
        <v>1484866.6666666667</v>
      </c>
      <c r="DW72" s="1648">
        <v>1484866.6666666667</v>
      </c>
      <c r="DX72" s="1648">
        <v>1484866.6666666667</v>
      </c>
      <c r="DY72" s="1649">
        <v>1484866.6666666667</v>
      </c>
      <c r="DZ72" s="1648">
        <v>1484866.6666666667</v>
      </c>
      <c r="EA72" s="1650">
        <v>1484866.6666666667</v>
      </c>
      <c r="EB72" s="1649">
        <v>1484866.6666666667</v>
      </c>
      <c r="EC72" s="1648">
        <v>1484866.6666666667</v>
      </c>
      <c r="ED72" s="1650">
        <v>1484866.6666666667</v>
      </c>
      <c r="EE72" s="1648">
        <v>1484866.6666666667</v>
      </c>
      <c r="EF72" s="1648">
        <v>1484866.6666666667</v>
      </c>
      <c r="EG72" s="1648">
        <v>1484866.6666666667</v>
      </c>
      <c r="EH72" s="1651">
        <f t="shared" si="73"/>
        <v>17818399.999999996</v>
      </c>
      <c r="GL72" s="1652"/>
      <c r="GM72" s="1748" t="s">
        <v>3121</v>
      </c>
      <c r="GN72" s="1714" t="s">
        <v>3122</v>
      </c>
      <c r="GO72" s="1711" t="s">
        <v>1878</v>
      </c>
      <c r="GP72" s="1711" t="s">
        <v>2932</v>
      </c>
      <c r="GQ72" s="1749">
        <v>12</v>
      </c>
      <c r="GR72" s="1711" t="s">
        <v>2944</v>
      </c>
      <c r="GS72" s="1712">
        <v>22</v>
      </c>
      <c r="GT72" s="1662">
        <v>0</v>
      </c>
      <c r="GU72" s="1661"/>
      <c r="GV72" s="1661"/>
      <c r="GW72" s="1661"/>
      <c r="GX72" s="1661"/>
      <c r="GY72" s="1661"/>
      <c r="GZ72" s="1661"/>
      <c r="HA72" s="1661"/>
      <c r="HB72" s="1661"/>
      <c r="HC72" s="1661"/>
      <c r="HD72" s="1661"/>
      <c r="HE72" s="1661"/>
      <c r="HF72" s="1661"/>
      <c r="HG72" s="1662">
        <v>60000</v>
      </c>
      <c r="HH72" s="1661"/>
      <c r="HI72" s="1661"/>
      <c r="HJ72" s="1661"/>
      <c r="HK72" s="1661"/>
      <c r="HL72" s="1661"/>
      <c r="HM72" s="1661">
        <v>60000</v>
      </c>
      <c r="HN72" s="1661"/>
      <c r="HO72" s="1661"/>
      <c r="HP72" s="1661"/>
      <c r="HQ72" s="1661"/>
      <c r="HR72" s="1661"/>
      <c r="HS72" s="1661"/>
      <c r="HT72" s="1662">
        <v>0</v>
      </c>
      <c r="HU72" s="1661"/>
      <c r="HV72" s="1661"/>
      <c r="HW72" s="1661"/>
      <c r="HX72" s="1661"/>
      <c r="HY72" s="1661"/>
      <c r="HZ72" s="1661"/>
      <c r="IA72" s="1661"/>
      <c r="IB72" s="1661"/>
      <c r="IC72" s="1661"/>
      <c r="ID72" s="1661"/>
      <c r="IE72" s="1661"/>
      <c r="IF72" s="1661"/>
      <c r="IG72" s="1662">
        <v>0</v>
      </c>
      <c r="IH72" s="1661"/>
      <c r="II72" s="1661"/>
      <c r="IJ72" s="1661"/>
      <c r="IK72" s="1661"/>
      <c r="IL72" s="1661"/>
      <c r="IM72" s="1661"/>
      <c r="IN72" s="1661"/>
      <c r="IO72" s="1661"/>
      <c r="IP72" s="1661"/>
      <c r="IQ72" s="1661"/>
      <c r="IR72" s="1661"/>
      <c r="IS72" s="1661"/>
      <c r="IT72" s="1662">
        <v>60000</v>
      </c>
      <c r="IU72" s="1662">
        <v>60000</v>
      </c>
      <c r="IV72" s="1713"/>
    </row>
    <row r="73" spans="2:256" s="1504" customFormat="1" ht="16.5" collapsed="1">
      <c r="B73" s="1493"/>
      <c r="C73" s="1493"/>
      <c r="D73" s="1494"/>
      <c r="E73" s="1495"/>
      <c r="F73" s="699"/>
      <c r="G73" s="699"/>
      <c r="H73" s="699"/>
      <c r="I73" s="699"/>
      <c r="J73" s="699"/>
      <c r="K73" s="699"/>
      <c r="L73" s="699"/>
      <c r="M73" s="1493"/>
      <c r="N73" s="1493"/>
      <c r="O73" s="1493"/>
      <c r="P73" s="1493"/>
      <c r="Q73" s="1493"/>
      <c r="R73" s="1494"/>
      <c r="S73" s="1493"/>
      <c r="T73" s="1493"/>
      <c r="U73" s="1493"/>
      <c r="V73" s="1493"/>
      <c r="W73" s="1493"/>
      <c r="X73" s="1493"/>
      <c r="Y73" s="1493"/>
      <c r="Z73" s="1493"/>
      <c r="AA73" s="1493"/>
      <c r="AB73" s="1493"/>
      <c r="AC73" s="1493"/>
      <c r="AD73" s="1493"/>
      <c r="AE73" s="1494"/>
      <c r="AF73" s="1493"/>
      <c r="AG73" s="1493"/>
      <c r="AH73" s="1493"/>
      <c r="AI73" s="1493"/>
      <c r="AJ73" s="1493"/>
      <c r="AK73" s="1493"/>
      <c r="AL73" s="1493"/>
      <c r="AM73" s="1493"/>
      <c r="AN73" s="1493"/>
      <c r="AO73" s="1493"/>
      <c r="AP73" s="1493"/>
      <c r="AQ73" s="1493"/>
      <c r="AR73" s="1494"/>
      <c r="AS73" s="1493"/>
      <c r="AT73" s="1493"/>
      <c r="AU73" s="1493"/>
      <c r="AV73" s="1493"/>
      <c r="AW73" s="1493"/>
      <c r="AX73" s="1493"/>
      <c r="AY73" s="1493"/>
      <c r="AZ73" s="1493"/>
      <c r="BA73" s="1493"/>
      <c r="BB73" s="1493"/>
      <c r="BC73" s="1493"/>
      <c r="BD73" s="1493"/>
      <c r="BE73" s="1509"/>
      <c r="BF73" s="1759">
        <f>AD58-Q58</f>
        <v>1522.3197022672502</v>
      </c>
      <c r="BG73" s="1497"/>
      <c r="BH73" s="1498"/>
      <c r="BI73" s="1498"/>
      <c r="BJ73" s="1499"/>
      <c r="BK73" s="1498"/>
      <c r="BL73" s="1498"/>
      <c r="BM73" s="1498"/>
      <c r="BN73" s="1498"/>
      <c r="BO73" s="1545"/>
      <c r="BP73" s="1545" t="s">
        <v>3032</v>
      </c>
      <c r="BQ73" s="1836">
        <f>-BF65/100</f>
        <v>7.83438078</v>
      </c>
      <c r="BR73" s="815"/>
      <c r="BS73" s="815"/>
      <c r="BT73" s="815"/>
      <c r="BU73" s="815"/>
      <c r="BV73" s="815"/>
      <c r="BW73" s="815"/>
      <c r="BX73" s="815"/>
      <c r="BY73" s="1617"/>
      <c r="BZ73" s="1617"/>
      <c r="CA73" s="815"/>
      <c r="CB73" s="815"/>
      <c r="CC73" s="815"/>
      <c r="CD73" s="815"/>
      <c r="CE73" s="1617"/>
      <c r="CF73" s="1759"/>
      <c r="CG73" s="1559"/>
      <c r="CH73" s="1674" t="s">
        <v>1378</v>
      </c>
      <c r="CI73" s="1675">
        <v>4048289</v>
      </c>
      <c r="CJ73" s="1675">
        <v>4048290</v>
      </c>
      <c r="CK73" s="1675">
        <v>4949724</v>
      </c>
      <c r="CL73" s="1676">
        <v>4348768</v>
      </c>
      <c r="CM73" s="1675">
        <v>4348768</v>
      </c>
      <c r="CN73" s="1677">
        <v>4348768</v>
      </c>
      <c r="CO73" s="1676">
        <v>4348768</v>
      </c>
      <c r="CP73" s="1675">
        <v>4348768</v>
      </c>
      <c r="CQ73" s="1677">
        <v>4980756.9000000004</v>
      </c>
      <c r="CR73" s="1675">
        <v>4111937.9</v>
      </c>
      <c r="CS73" s="1675">
        <v>4111937.9</v>
      </c>
      <c r="CT73" s="1675">
        <v>4111937.9</v>
      </c>
      <c r="CU73" s="1678">
        <f t="shared" si="70"/>
        <v>52106713.599999994</v>
      </c>
      <c r="CV73" s="1675">
        <v>4048289</v>
      </c>
      <c r="CW73" s="1675">
        <v>4048290</v>
      </c>
      <c r="CX73" s="1675">
        <v>4949724</v>
      </c>
      <c r="CY73" s="1676">
        <v>4348768</v>
      </c>
      <c r="CZ73" s="1675">
        <v>4348768</v>
      </c>
      <c r="DA73" s="1677">
        <v>4348768</v>
      </c>
      <c r="DB73" s="1676">
        <v>4348768</v>
      </c>
      <c r="DC73" s="1675">
        <v>3789324.497</v>
      </c>
      <c r="DD73" s="1677">
        <v>4699307.0250000004</v>
      </c>
      <c r="DE73" s="1675">
        <v>3939444.4249999998</v>
      </c>
      <c r="DF73" s="1675">
        <v>3939444.4249999998</v>
      </c>
      <c r="DG73" s="1675">
        <v>3939444.4249999998</v>
      </c>
      <c r="DH73" s="1678">
        <f t="shared" si="71"/>
        <v>50748339.796999991</v>
      </c>
      <c r="DI73" s="1675">
        <v>3955653.7719999999</v>
      </c>
      <c r="DJ73" s="1675">
        <v>3955653.7719999999</v>
      </c>
      <c r="DK73" s="1675">
        <v>3955653.7719999999</v>
      </c>
      <c r="DL73" s="1676">
        <v>3955653.7719999999</v>
      </c>
      <c r="DM73" s="1675">
        <v>3955653.7719999999</v>
      </c>
      <c r="DN73" s="1677">
        <v>3955653.7719999999</v>
      </c>
      <c r="DO73" s="1676">
        <v>3955653.7719999999</v>
      </c>
      <c r="DP73" s="1675">
        <v>3955653.7719999999</v>
      </c>
      <c r="DQ73" s="1677">
        <v>5015576.3</v>
      </c>
      <c r="DR73" s="1675">
        <v>4112354.4</v>
      </c>
      <c r="DS73" s="1675">
        <v>4112354.4</v>
      </c>
      <c r="DT73" s="1675">
        <v>4112354.4</v>
      </c>
      <c r="DU73" s="1678">
        <f t="shared" si="72"/>
        <v>48997869.675999992</v>
      </c>
      <c r="DV73" s="1675">
        <v>4129634.9849999999</v>
      </c>
      <c r="DW73" s="1675">
        <v>4129634.9849999999</v>
      </c>
      <c r="DX73" s="1675">
        <v>4129634.9849999999</v>
      </c>
      <c r="DY73" s="1676">
        <v>4129634.9849999999</v>
      </c>
      <c r="DZ73" s="1675">
        <v>4129634.9849999999</v>
      </c>
      <c r="EA73" s="1677">
        <v>4129634.9849999999</v>
      </c>
      <c r="EB73" s="1676">
        <v>4129634.9849999999</v>
      </c>
      <c r="EC73" s="1675">
        <v>4129634.9849999999</v>
      </c>
      <c r="ED73" s="1677">
        <v>5237508.3250000002</v>
      </c>
      <c r="EE73" s="1675">
        <v>4293219.5250000004</v>
      </c>
      <c r="EF73" s="1675">
        <v>4293219.5250000004</v>
      </c>
      <c r="EG73" s="1675">
        <v>4293219.5250000004</v>
      </c>
      <c r="EH73" s="1678">
        <f t="shared" si="73"/>
        <v>51154246.779999994</v>
      </c>
      <c r="EI73" s="1493"/>
      <c r="GL73" s="1623"/>
      <c r="GM73" s="1746" t="s">
        <v>3123</v>
      </c>
      <c r="GN73" s="1728" t="s">
        <v>3124</v>
      </c>
      <c r="GO73" s="1705" t="s">
        <v>2954</v>
      </c>
      <c r="GP73" s="1705" t="s">
        <v>2932</v>
      </c>
      <c r="GQ73" s="1747">
        <v>12</v>
      </c>
      <c r="GR73" s="1705" t="s">
        <v>2944</v>
      </c>
      <c r="GS73" s="1706">
        <v>22</v>
      </c>
      <c r="GT73" s="1633">
        <v>0</v>
      </c>
      <c r="GU73" s="1632"/>
      <c r="GV73" s="1632"/>
      <c r="GW73" s="1632"/>
      <c r="GX73" s="1632"/>
      <c r="GY73" s="1632"/>
      <c r="GZ73" s="1632"/>
      <c r="HA73" s="1632"/>
      <c r="HB73" s="1632"/>
      <c r="HC73" s="1632"/>
      <c r="HD73" s="1632"/>
      <c r="HE73" s="1632"/>
      <c r="HF73" s="1632"/>
      <c r="HG73" s="1633">
        <v>0</v>
      </c>
      <c r="HH73" s="1632"/>
      <c r="HI73" s="1632"/>
      <c r="HJ73" s="1632"/>
      <c r="HK73" s="1632"/>
      <c r="HL73" s="1632"/>
      <c r="HM73" s="1632"/>
      <c r="HN73" s="1632"/>
      <c r="HO73" s="1632"/>
      <c r="HP73" s="1632"/>
      <c r="HQ73" s="1632"/>
      <c r="HR73" s="1632"/>
      <c r="HS73" s="1632"/>
      <c r="HT73" s="1633">
        <v>60000</v>
      </c>
      <c r="HU73" s="1632"/>
      <c r="HV73" s="1632"/>
      <c r="HW73" s="1632"/>
      <c r="HX73" s="1632"/>
      <c r="HY73" s="1632"/>
      <c r="HZ73" s="1632">
        <v>60000</v>
      </c>
      <c r="IA73" s="1632"/>
      <c r="IB73" s="1632"/>
      <c r="IC73" s="1632"/>
      <c r="ID73" s="1632"/>
      <c r="IE73" s="1632"/>
      <c r="IF73" s="1632"/>
      <c r="IG73" s="1633">
        <v>0</v>
      </c>
      <c r="IH73" s="1632"/>
      <c r="II73" s="1632"/>
      <c r="IJ73" s="1632"/>
      <c r="IK73" s="1632"/>
      <c r="IL73" s="1632"/>
      <c r="IM73" s="1632"/>
      <c r="IN73" s="1632"/>
      <c r="IO73" s="1632"/>
      <c r="IP73" s="1632"/>
      <c r="IQ73" s="1632"/>
      <c r="IR73" s="1632"/>
      <c r="IS73" s="1632"/>
      <c r="IT73" s="1633">
        <v>60000</v>
      </c>
      <c r="IU73" s="1633">
        <v>60000</v>
      </c>
      <c r="IV73" s="1707"/>
    </row>
    <row r="74" spans="2:256" ht="16.5">
      <c r="M74" s="1589"/>
      <c r="N74" s="1589"/>
      <c r="O74" s="1589"/>
      <c r="P74" s="1589"/>
      <c r="AD74" s="1589"/>
      <c r="AQ74" s="1589"/>
      <c r="AR74" s="1589"/>
      <c r="AS74" s="1589"/>
      <c r="AT74" s="1589"/>
      <c r="AU74" s="1589"/>
      <c r="AV74" s="1589"/>
      <c r="AW74" s="1589"/>
      <c r="AX74" s="1589"/>
      <c r="AY74" s="1589"/>
      <c r="AZ74" s="1589"/>
      <c r="BA74" s="1589"/>
      <c r="BB74" s="1589"/>
      <c r="BC74" s="1589"/>
      <c r="BD74" s="1589"/>
      <c r="BE74" s="1589"/>
      <c r="BF74" s="1794"/>
      <c r="BN74" s="1504"/>
      <c r="BO74" s="1885">
        <f>SUM(BO19:BO73)</f>
        <v>20.876322231569496</v>
      </c>
      <c r="BP74" s="1886">
        <f>BO74-BG70</f>
        <v>1.3594029717329903</v>
      </c>
      <c r="BQ74" s="709"/>
      <c r="BR74" s="709"/>
      <c r="BY74" s="1591"/>
      <c r="BZ74" s="1591"/>
      <c r="CE74" s="1590"/>
      <c r="CF74" s="1590"/>
      <c r="CG74" s="1559"/>
      <c r="CH74" s="1688" t="s">
        <v>2926</v>
      </c>
      <c r="CI74" s="1689">
        <f>SUM(CI69:CI73)</f>
        <v>46740197</v>
      </c>
      <c r="CJ74" s="1689">
        <f t="shared" ref="CJ74:CT74" si="74">SUM(CJ69:CJ73)</f>
        <v>56602574</v>
      </c>
      <c r="CK74" s="1689">
        <f t="shared" si="74"/>
        <v>44945545</v>
      </c>
      <c r="CL74" s="1690">
        <f t="shared" si="74"/>
        <v>47754510</v>
      </c>
      <c r="CM74" s="1689">
        <f t="shared" si="74"/>
        <v>50351455</v>
      </c>
      <c r="CN74" s="1691">
        <f t="shared" si="74"/>
        <v>47992125</v>
      </c>
      <c r="CO74" s="1690">
        <f t="shared" si="74"/>
        <v>47281095</v>
      </c>
      <c r="CP74" s="1689">
        <f t="shared" si="74"/>
        <v>47945375</v>
      </c>
      <c r="CQ74" s="1691">
        <f t="shared" si="74"/>
        <v>67739196.900000006</v>
      </c>
      <c r="CR74" s="1689">
        <f t="shared" si="74"/>
        <v>56440377.899999999</v>
      </c>
      <c r="CS74" s="1689">
        <f t="shared" si="74"/>
        <v>56440377.899999999</v>
      </c>
      <c r="CT74" s="1689">
        <f t="shared" si="74"/>
        <v>56440377.899999999</v>
      </c>
      <c r="CU74" s="1692">
        <f t="shared" si="70"/>
        <v>626673206.5999999</v>
      </c>
      <c r="CV74" s="1689">
        <f t="shared" ref="CV74:DG74" si="75">SUM(CV69:CV73)</f>
        <v>50825379</v>
      </c>
      <c r="CW74" s="1689">
        <f t="shared" si="75"/>
        <v>50825380</v>
      </c>
      <c r="CX74" s="1689">
        <f t="shared" si="75"/>
        <v>51726814</v>
      </c>
      <c r="CY74" s="1690">
        <f t="shared" si="75"/>
        <v>51125858</v>
      </c>
      <c r="CZ74" s="1689">
        <f t="shared" si="75"/>
        <v>51125858</v>
      </c>
      <c r="DA74" s="1691">
        <f t="shared" si="75"/>
        <v>51125858</v>
      </c>
      <c r="DB74" s="1690">
        <f t="shared" si="75"/>
        <v>51125858</v>
      </c>
      <c r="DC74" s="1689">
        <f t="shared" si="75"/>
        <v>50566414.497000001</v>
      </c>
      <c r="DD74" s="1691">
        <f t="shared" si="75"/>
        <v>62400557.024999999</v>
      </c>
      <c r="DE74" s="1689">
        <f t="shared" si="75"/>
        <v>52518694.424999997</v>
      </c>
      <c r="DF74" s="1689">
        <f t="shared" si="75"/>
        <v>52518694.424999997</v>
      </c>
      <c r="DG74" s="1689">
        <f t="shared" si="75"/>
        <v>52518694.424999997</v>
      </c>
      <c r="DH74" s="1692">
        <f t="shared" si="71"/>
        <v>628404059.79699993</v>
      </c>
      <c r="DI74" s="1689">
        <f t="shared" ref="DI74:DT74" si="76">SUM(DI69:DI73)</f>
        <v>52824893.772</v>
      </c>
      <c r="DJ74" s="1689">
        <f t="shared" si="76"/>
        <v>52824893.772</v>
      </c>
      <c r="DK74" s="1689">
        <f t="shared" si="76"/>
        <v>52824893.772</v>
      </c>
      <c r="DL74" s="1690">
        <f t="shared" si="76"/>
        <v>52824893.772</v>
      </c>
      <c r="DM74" s="1689">
        <f t="shared" si="76"/>
        <v>52824893.772</v>
      </c>
      <c r="DN74" s="1691">
        <f t="shared" si="76"/>
        <v>52824893.772</v>
      </c>
      <c r="DO74" s="1690">
        <f t="shared" si="76"/>
        <v>52824893.772</v>
      </c>
      <c r="DP74" s="1689">
        <f t="shared" si="76"/>
        <v>52824893.772</v>
      </c>
      <c r="DQ74" s="1691">
        <f t="shared" si="76"/>
        <v>66608976.299999997</v>
      </c>
      <c r="DR74" s="1689">
        <f t="shared" si="76"/>
        <v>54862754.399999999</v>
      </c>
      <c r="DS74" s="1689">
        <f t="shared" si="76"/>
        <v>54862754.399999999</v>
      </c>
      <c r="DT74" s="1689">
        <f t="shared" si="76"/>
        <v>54862754.399999999</v>
      </c>
      <c r="DU74" s="1692">
        <f t="shared" si="72"/>
        <v>653796389.676</v>
      </c>
      <c r="DV74" s="1689">
        <f t="shared" ref="DV74:EG74" si="77">SUM(DV69:DV73)</f>
        <v>55189951.651666664</v>
      </c>
      <c r="DW74" s="1689">
        <f t="shared" si="77"/>
        <v>55189951.651666664</v>
      </c>
      <c r="DX74" s="1689">
        <f t="shared" si="77"/>
        <v>55189951.651666664</v>
      </c>
      <c r="DY74" s="1690">
        <f t="shared" si="77"/>
        <v>55189951.651666664</v>
      </c>
      <c r="DZ74" s="1689">
        <f t="shared" si="77"/>
        <v>55189951.651666664</v>
      </c>
      <c r="EA74" s="1691">
        <f t="shared" si="77"/>
        <v>55189951.651666664</v>
      </c>
      <c r="EB74" s="1690">
        <f t="shared" si="77"/>
        <v>55189951.651666664</v>
      </c>
      <c r="EC74" s="1689">
        <f t="shared" si="77"/>
        <v>55189951.651666664</v>
      </c>
      <c r="ED74" s="1691">
        <f t="shared" si="77"/>
        <v>69597624.99166666</v>
      </c>
      <c r="EE74" s="1689">
        <f t="shared" si="77"/>
        <v>57317336.191666663</v>
      </c>
      <c r="EF74" s="1689">
        <f t="shared" si="77"/>
        <v>57317336.191666663</v>
      </c>
      <c r="EG74" s="1689">
        <f t="shared" si="77"/>
        <v>57317336.191666663</v>
      </c>
      <c r="EH74" s="1692">
        <f t="shared" si="73"/>
        <v>683069246.77999973</v>
      </c>
      <c r="GL74" s="1652"/>
      <c r="GM74" s="1748" t="s">
        <v>3125</v>
      </c>
      <c r="GN74" s="1714" t="s">
        <v>3126</v>
      </c>
      <c r="GO74" s="1711" t="s">
        <v>2954</v>
      </c>
      <c r="GP74" s="1711" t="s">
        <v>2932</v>
      </c>
      <c r="GQ74" s="1749">
        <v>12</v>
      </c>
      <c r="GR74" s="1711" t="s">
        <v>2944</v>
      </c>
      <c r="GS74" s="1712">
        <v>22</v>
      </c>
      <c r="GT74" s="1662">
        <v>0</v>
      </c>
      <c r="GU74" s="1661"/>
      <c r="GV74" s="1661"/>
      <c r="GW74" s="1661"/>
      <c r="GX74" s="1661"/>
      <c r="GY74" s="1661"/>
      <c r="GZ74" s="1661"/>
      <c r="HA74" s="1661"/>
      <c r="HB74" s="1661"/>
      <c r="HC74" s="1661"/>
      <c r="HD74" s="1661"/>
      <c r="HE74" s="1661"/>
      <c r="HF74" s="1661"/>
      <c r="HG74" s="1662">
        <v>0</v>
      </c>
      <c r="HH74" s="1661"/>
      <c r="HI74" s="1661"/>
      <c r="HJ74" s="1661"/>
      <c r="HK74" s="1661"/>
      <c r="HL74" s="1661"/>
      <c r="HM74" s="1661"/>
      <c r="HN74" s="1661"/>
      <c r="HO74" s="1661"/>
      <c r="HP74" s="1661"/>
      <c r="HQ74" s="1661"/>
      <c r="HR74" s="1661"/>
      <c r="HS74" s="1661"/>
      <c r="HT74" s="1662">
        <v>220000</v>
      </c>
      <c r="HU74" s="1661"/>
      <c r="HV74" s="1661"/>
      <c r="HW74" s="1661"/>
      <c r="HX74" s="1661"/>
      <c r="HY74" s="1661"/>
      <c r="HZ74" s="1661">
        <v>220000</v>
      </c>
      <c r="IA74" s="1661"/>
      <c r="IB74" s="1661"/>
      <c r="IC74" s="1661"/>
      <c r="ID74" s="1661"/>
      <c r="IE74" s="1661"/>
      <c r="IF74" s="1661"/>
      <c r="IG74" s="1662">
        <v>0</v>
      </c>
      <c r="IH74" s="1661"/>
      <c r="II74" s="1661"/>
      <c r="IJ74" s="1661"/>
      <c r="IK74" s="1661"/>
      <c r="IL74" s="1661"/>
      <c r="IM74" s="1661"/>
      <c r="IN74" s="1661"/>
      <c r="IO74" s="1661"/>
      <c r="IP74" s="1661"/>
      <c r="IQ74" s="1661"/>
      <c r="IR74" s="1661"/>
      <c r="IS74" s="1661"/>
      <c r="IT74" s="1662">
        <v>220000</v>
      </c>
      <c r="IU74" s="1662">
        <v>220000</v>
      </c>
      <c r="IV74" s="1713"/>
    </row>
    <row r="75" spans="2:256" ht="16.5">
      <c r="AD75" s="1589"/>
      <c r="AQ75" s="1589"/>
      <c r="AR75" s="1589"/>
      <c r="AS75" s="1589"/>
      <c r="AT75" s="1589"/>
      <c r="AU75" s="1589"/>
      <c r="AV75" s="1589"/>
      <c r="AW75" s="1589"/>
      <c r="AX75" s="1589"/>
      <c r="AY75" s="1589"/>
      <c r="AZ75" s="1589"/>
      <c r="BA75" s="1589"/>
      <c r="BB75" s="1589"/>
      <c r="BC75" s="1589"/>
      <c r="BD75" s="1589"/>
      <c r="CG75" s="1698"/>
      <c r="CH75" s="1699" t="s">
        <v>2930</v>
      </c>
      <c r="CI75" s="1700">
        <v>0</v>
      </c>
      <c r="CJ75" s="1700">
        <v>0</v>
      </c>
      <c r="CK75" s="1700">
        <v>0</v>
      </c>
      <c r="CL75" s="1701">
        <v>0</v>
      </c>
      <c r="CM75" s="1700">
        <v>0</v>
      </c>
      <c r="CN75" s="1702">
        <v>0</v>
      </c>
      <c r="CO75" s="1701">
        <v>0</v>
      </c>
      <c r="CP75" s="1700">
        <v>0</v>
      </c>
      <c r="CQ75" s="1702">
        <v>0</v>
      </c>
      <c r="CR75" s="1700">
        <v>0</v>
      </c>
      <c r="CS75" s="1700">
        <v>0</v>
      </c>
      <c r="CT75" s="1700">
        <v>0</v>
      </c>
      <c r="CU75" s="1703">
        <f t="shared" si="70"/>
        <v>0</v>
      </c>
      <c r="CV75" s="1700">
        <v>0</v>
      </c>
      <c r="CW75" s="1700">
        <v>0</v>
      </c>
      <c r="CX75" s="1700">
        <v>0</v>
      </c>
      <c r="CY75" s="1701">
        <v>0</v>
      </c>
      <c r="CZ75" s="1700">
        <v>0</v>
      </c>
      <c r="DA75" s="1702">
        <v>0</v>
      </c>
      <c r="DB75" s="1701">
        <v>0</v>
      </c>
      <c r="DC75" s="1700">
        <v>0</v>
      </c>
      <c r="DD75" s="1702">
        <v>0</v>
      </c>
      <c r="DE75" s="1700">
        <v>0</v>
      </c>
      <c r="DF75" s="1700">
        <v>0</v>
      </c>
      <c r="DG75" s="1700">
        <v>0</v>
      </c>
      <c r="DH75" s="1703">
        <f t="shared" si="71"/>
        <v>0</v>
      </c>
      <c r="DI75" s="1700">
        <v>0</v>
      </c>
      <c r="DJ75" s="1700">
        <v>0</v>
      </c>
      <c r="DK75" s="1700">
        <v>0</v>
      </c>
      <c r="DL75" s="1701">
        <v>0</v>
      </c>
      <c r="DM75" s="1700">
        <v>0</v>
      </c>
      <c r="DN75" s="1702">
        <v>0</v>
      </c>
      <c r="DO75" s="1701">
        <v>0</v>
      </c>
      <c r="DP75" s="1700">
        <v>0</v>
      </c>
      <c r="DQ75" s="1702">
        <v>0</v>
      </c>
      <c r="DR75" s="1700">
        <v>0</v>
      </c>
      <c r="DS75" s="1700">
        <v>0</v>
      </c>
      <c r="DT75" s="1700">
        <v>0</v>
      </c>
      <c r="DU75" s="1703">
        <f t="shared" si="72"/>
        <v>0</v>
      </c>
      <c r="DV75" s="1700">
        <v>0</v>
      </c>
      <c r="DW75" s="1700">
        <v>0</v>
      </c>
      <c r="DX75" s="1700">
        <v>0</v>
      </c>
      <c r="DY75" s="1701">
        <v>0</v>
      </c>
      <c r="DZ75" s="1700">
        <v>0</v>
      </c>
      <c r="EA75" s="1702">
        <v>0</v>
      </c>
      <c r="EB75" s="1701">
        <v>0</v>
      </c>
      <c r="EC75" s="1700">
        <v>0</v>
      </c>
      <c r="ED75" s="1702">
        <v>0</v>
      </c>
      <c r="EE75" s="1700">
        <v>0</v>
      </c>
      <c r="EF75" s="1700">
        <v>0</v>
      </c>
      <c r="EG75" s="1700">
        <v>0</v>
      </c>
      <c r="EH75" s="1703">
        <f t="shared" si="73"/>
        <v>0</v>
      </c>
      <c r="GL75" s="1623"/>
      <c r="GM75" s="1746" t="s">
        <v>3127</v>
      </c>
      <c r="GN75" s="1728" t="s">
        <v>3128</v>
      </c>
      <c r="GO75" s="1705" t="s">
        <v>2954</v>
      </c>
      <c r="GP75" s="1705" t="s">
        <v>2932</v>
      </c>
      <c r="GQ75" s="1747">
        <v>12</v>
      </c>
      <c r="GR75" s="1705" t="s">
        <v>2944</v>
      </c>
      <c r="GS75" s="1706">
        <v>22</v>
      </c>
      <c r="GT75" s="1633">
        <v>0</v>
      </c>
      <c r="GU75" s="1632"/>
      <c r="GV75" s="1632"/>
      <c r="GW75" s="1632"/>
      <c r="GX75" s="1632"/>
      <c r="GY75" s="1632"/>
      <c r="GZ75" s="1632"/>
      <c r="HA75" s="1632"/>
      <c r="HB75" s="1632"/>
      <c r="HC75" s="1632"/>
      <c r="HD75" s="1632"/>
      <c r="HE75" s="1632"/>
      <c r="HF75" s="1632"/>
      <c r="HG75" s="1633">
        <v>0</v>
      </c>
      <c r="HH75" s="1632"/>
      <c r="HI75" s="1632"/>
      <c r="HJ75" s="1632"/>
      <c r="HK75" s="1632"/>
      <c r="HL75" s="1632"/>
      <c r="HM75" s="1632"/>
      <c r="HN75" s="1632"/>
      <c r="HO75" s="1632"/>
      <c r="HP75" s="1632"/>
      <c r="HQ75" s="1632"/>
      <c r="HR75" s="1632"/>
      <c r="HS75" s="1632"/>
      <c r="HT75" s="1633">
        <v>50000</v>
      </c>
      <c r="HU75" s="1632"/>
      <c r="HV75" s="1632"/>
      <c r="HW75" s="1632"/>
      <c r="HX75" s="1632"/>
      <c r="HY75" s="1632"/>
      <c r="HZ75" s="1632">
        <v>50000</v>
      </c>
      <c r="IA75" s="1632"/>
      <c r="IB75" s="1632"/>
      <c r="IC75" s="1632"/>
      <c r="ID75" s="1632"/>
      <c r="IE75" s="1632"/>
      <c r="IF75" s="1632"/>
      <c r="IG75" s="1633">
        <v>0</v>
      </c>
      <c r="IH75" s="1632"/>
      <c r="II75" s="1632"/>
      <c r="IJ75" s="1632"/>
      <c r="IK75" s="1632"/>
      <c r="IL75" s="1632"/>
      <c r="IM75" s="1632"/>
      <c r="IN75" s="1632"/>
      <c r="IO75" s="377"/>
      <c r="IP75" s="1632"/>
      <c r="IQ75" s="1632"/>
      <c r="IR75" s="1632"/>
      <c r="IS75" s="1632"/>
      <c r="IT75" s="1633">
        <v>50000</v>
      </c>
      <c r="IU75" s="1633">
        <v>50000</v>
      </c>
      <c r="IV75" s="1707"/>
    </row>
    <row r="76" spans="2:256" ht="16.5">
      <c r="BF76" s="1887">
        <f>BF44+BF45+BF46+BF51-BF54+BF61</f>
        <v>1806.2870787557838</v>
      </c>
      <c r="BY76" s="1888"/>
      <c r="BZ76" s="1888"/>
      <c r="CE76" s="1871"/>
      <c r="CF76" s="1871"/>
      <c r="CG76" s="1698"/>
      <c r="CH76" s="1618" t="s">
        <v>1957</v>
      </c>
      <c r="CI76" s="1619">
        <v>5728107</v>
      </c>
      <c r="CJ76" s="1619">
        <v>5907521</v>
      </c>
      <c r="CK76" s="1619">
        <v>5636606</v>
      </c>
      <c r="CL76" s="1620">
        <v>3911620</v>
      </c>
      <c r="CM76" s="1619">
        <v>3875582</v>
      </c>
      <c r="CN76" s="1621">
        <v>3625815</v>
      </c>
      <c r="CO76" s="1620">
        <v>6739159</v>
      </c>
      <c r="CP76" s="1619">
        <v>7344110</v>
      </c>
      <c r="CQ76" s="1621">
        <v>6664833</v>
      </c>
      <c r="CR76" s="1619">
        <v>6664813</v>
      </c>
      <c r="CS76" s="1619">
        <v>7331316</v>
      </c>
      <c r="CT76" s="1619">
        <v>7331516</v>
      </c>
      <c r="CU76" s="1622">
        <f t="shared" si="70"/>
        <v>70760998</v>
      </c>
      <c r="CV76" s="1619">
        <v>5728107</v>
      </c>
      <c r="CW76" s="1619">
        <v>5907521</v>
      </c>
      <c r="CX76" s="1619">
        <v>5636606</v>
      </c>
      <c r="CY76" s="1620">
        <v>3911620</v>
      </c>
      <c r="CZ76" s="1619">
        <v>3875582</v>
      </c>
      <c r="DA76" s="1621">
        <v>3625815</v>
      </c>
      <c r="DB76" s="1620">
        <v>6739159</v>
      </c>
      <c r="DC76" s="1619">
        <v>7997799</v>
      </c>
      <c r="DD76" s="1621">
        <v>6664833</v>
      </c>
      <c r="DE76" s="1619">
        <v>6664813</v>
      </c>
      <c r="DF76" s="1619">
        <v>7331316</v>
      </c>
      <c r="DG76" s="1619">
        <v>7331516</v>
      </c>
      <c r="DH76" s="1622">
        <f t="shared" si="71"/>
        <v>71414687</v>
      </c>
      <c r="DI76" s="1619">
        <v>7597048</v>
      </c>
      <c r="DJ76" s="1619">
        <v>7848531</v>
      </c>
      <c r="DK76" s="1619">
        <v>3781489</v>
      </c>
      <c r="DL76" s="1620">
        <v>4169192</v>
      </c>
      <c r="DM76" s="1619">
        <v>4433634</v>
      </c>
      <c r="DN76" s="1621">
        <v>4792254</v>
      </c>
      <c r="DO76" s="1620">
        <v>6570529</v>
      </c>
      <c r="DP76" s="1619">
        <v>7997799</v>
      </c>
      <c r="DQ76" s="1621">
        <v>6664833</v>
      </c>
      <c r="DR76" s="1619">
        <v>6664813</v>
      </c>
      <c r="DS76" s="1619">
        <v>7331316</v>
      </c>
      <c r="DT76" s="1619">
        <v>7331516</v>
      </c>
      <c r="DU76" s="1622">
        <f t="shared" si="72"/>
        <v>75182954</v>
      </c>
      <c r="DV76" s="1619">
        <v>7597048</v>
      </c>
      <c r="DW76" s="1619">
        <v>7848531</v>
      </c>
      <c r="DX76" s="1619">
        <v>3781489</v>
      </c>
      <c r="DY76" s="1620">
        <v>4169192</v>
      </c>
      <c r="DZ76" s="1619">
        <v>4433634</v>
      </c>
      <c r="EA76" s="1621">
        <v>4792254</v>
      </c>
      <c r="EB76" s="1620">
        <v>6570529</v>
      </c>
      <c r="EC76" s="1619">
        <v>7997799</v>
      </c>
      <c r="ED76" s="1621">
        <v>6664833</v>
      </c>
      <c r="EE76" s="1619">
        <v>6664813</v>
      </c>
      <c r="EF76" s="1619">
        <v>7331316</v>
      </c>
      <c r="EG76" s="1619">
        <v>7331516</v>
      </c>
      <c r="EH76" s="1622">
        <f t="shared" si="73"/>
        <v>75182954</v>
      </c>
      <c r="GL76" s="1652"/>
      <c r="GM76" s="1748" t="s">
        <v>3129</v>
      </c>
      <c r="GN76" s="1714" t="s">
        <v>3130</v>
      </c>
      <c r="GO76" s="1711" t="s">
        <v>2946</v>
      </c>
      <c r="GP76" s="1711" t="s">
        <v>2932</v>
      </c>
      <c r="GQ76" s="1749">
        <v>12</v>
      </c>
      <c r="GR76" s="1711" t="s">
        <v>2944</v>
      </c>
      <c r="GS76" s="1712">
        <v>22</v>
      </c>
      <c r="GT76" s="1662">
        <v>0</v>
      </c>
      <c r="GU76" s="1661"/>
      <c r="GV76" s="1661"/>
      <c r="GW76" s="1661"/>
      <c r="GX76" s="1661"/>
      <c r="GY76" s="1661"/>
      <c r="GZ76" s="1661"/>
      <c r="HA76" s="1661"/>
      <c r="HB76" s="1661"/>
      <c r="HC76" s="1661"/>
      <c r="HD76" s="1661"/>
      <c r="HE76" s="1661"/>
      <c r="HF76" s="1661"/>
      <c r="HG76" s="1662">
        <v>0</v>
      </c>
      <c r="HH76" s="1661"/>
      <c r="HI76" s="1661"/>
      <c r="HJ76" s="1661"/>
      <c r="HK76" s="1661"/>
      <c r="HL76" s="1661"/>
      <c r="HM76" s="1661"/>
      <c r="HN76" s="1661"/>
      <c r="HO76" s="1661"/>
      <c r="HP76" s="1661"/>
      <c r="HQ76" s="1661"/>
      <c r="HR76" s="1661"/>
      <c r="HS76" s="1661"/>
      <c r="HT76" s="1662">
        <v>150000</v>
      </c>
      <c r="HU76" s="1661"/>
      <c r="HV76" s="1661"/>
      <c r="HW76" s="1661"/>
      <c r="HX76" s="1661"/>
      <c r="HY76" s="1661"/>
      <c r="HZ76" s="1661">
        <v>150000</v>
      </c>
      <c r="IA76" s="1661"/>
      <c r="IB76" s="1661"/>
      <c r="IC76" s="1661"/>
      <c r="ID76" s="1661"/>
      <c r="IE76" s="1661"/>
      <c r="IF76" s="1661"/>
      <c r="IG76" s="1662">
        <v>0</v>
      </c>
      <c r="IH76" s="1661"/>
      <c r="II76" s="1661"/>
      <c r="IJ76" s="1661"/>
      <c r="IK76" s="1661"/>
      <c r="IL76" s="1661"/>
      <c r="IM76" s="1661"/>
      <c r="IN76" s="1661"/>
      <c r="IO76" s="1661"/>
      <c r="IP76" s="1661"/>
      <c r="IQ76" s="1661"/>
      <c r="IR76" s="1661"/>
      <c r="IS76" s="1661"/>
      <c r="IT76" s="1662">
        <v>150000</v>
      </c>
      <c r="IU76" s="1662">
        <v>150000</v>
      </c>
      <c r="IV76" s="1713"/>
    </row>
    <row r="77" spans="2:256" ht="16.5">
      <c r="AD77" s="1589"/>
      <c r="AQ77" s="1589"/>
      <c r="BD77" s="1589"/>
      <c r="BY77" s="1617"/>
      <c r="BZ77" s="1617"/>
      <c r="CE77" s="1615"/>
      <c r="CF77" s="1615"/>
      <c r="CG77" s="1698"/>
      <c r="CH77" s="1618" t="s">
        <v>1960</v>
      </c>
      <c r="CI77" s="1619">
        <v>0</v>
      </c>
      <c r="CJ77" s="1619">
        <v>0</v>
      </c>
      <c r="CK77" s="1619">
        <v>0</v>
      </c>
      <c r="CL77" s="1620">
        <v>0</v>
      </c>
      <c r="CM77" s="1619">
        <v>0</v>
      </c>
      <c r="CN77" s="1621">
        <v>0</v>
      </c>
      <c r="CO77" s="1620">
        <v>0</v>
      </c>
      <c r="CP77" s="1619">
        <v>0</v>
      </c>
      <c r="CQ77" s="1621">
        <v>0</v>
      </c>
      <c r="CR77" s="1619">
        <v>0</v>
      </c>
      <c r="CS77" s="1619">
        <v>0</v>
      </c>
      <c r="CT77" s="1619">
        <v>0</v>
      </c>
      <c r="CU77" s="1622">
        <f t="shared" si="70"/>
        <v>0</v>
      </c>
      <c r="CV77" s="1619">
        <v>0</v>
      </c>
      <c r="CW77" s="1619">
        <v>0</v>
      </c>
      <c r="CX77" s="1619">
        <v>0</v>
      </c>
      <c r="CY77" s="1620">
        <v>0</v>
      </c>
      <c r="CZ77" s="1619">
        <v>0</v>
      </c>
      <c r="DA77" s="1621">
        <v>0</v>
      </c>
      <c r="DB77" s="1620">
        <v>0</v>
      </c>
      <c r="DC77" s="1619">
        <v>0</v>
      </c>
      <c r="DD77" s="1621">
        <v>0</v>
      </c>
      <c r="DE77" s="1619">
        <v>0</v>
      </c>
      <c r="DF77" s="1619">
        <v>0</v>
      </c>
      <c r="DG77" s="1619">
        <v>0</v>
      </c>
      <c r="DH77" s="1622">
        <f t="shared" si="71"/>
        <v>0</v>
      </c>
      <c r="DI77" s="1619">
        <v>0</v>
      </c>
      <c r="DJ77" s="1619">
        <v>0</v>
      </c>
      <c r="DK77" s="1619">
        <v>0</v>
      </c>
      <c r="DL77" s="1620">
        <v>0</v>
      </c>
      <c r="DM77" s="1619">
        <v>0</v>
      </c>
      <c r="DN77" s="1621">
        <v>0</v>
      </c>
      <c r="DO77" s="1620">
        <v>0</v>
      </c>
      <c r="DP77" s="1619">
        <v>0</v>
      </c>
      <c r="DQ77" s="1621">
        <v>0</v>
      </c>
      <c r="DR77" s="1619">
        <v>0</v>
      </c>
      <c r="DS77" s="1619">
        <v>0</v>
      </c>
      <c r="DT77" s="1619">
        <v>0</v>
      </c>
      <c r="DU77" s="1622">
        <f t="shared" si="72"/>
        <v>0</v>
      </c>
      <c r="DV77" s="1619">
        <v>0</v>
      </c>
      <c r="DW77" s="1619">
        <v>0</v>
      </c>
      <c r="DX77" s="1619">
        <v>0</v>
      </c>
      <c r="DY77" s="1620">
        <v>0</v>
      </c>
      <c r="DZ77" s="1619">
        <v>0</v>
      </c>
      <c r="EA77" s="1621">
        <v>0</v>
      </c>
      <c r="EB77" s="1620">
        <v>0</v>
      </c>
      <c r="EC77" s="1619">
        <v>0</v>
      </c>
      <c r="ED77" s="1621">
        <v>0</v>
      </c>
      <c r="EE77" s="1619">
        <v>0</v>
      </c>
      <c r="EF77" s="1619">
        <v>0</v>
      </c>
      <c r="EG77" s="1619">
        <v>0</v>
      </c>
      <c r="EH77" s="1622">
        <f t="shared" si="73"/>
        <v>0</v>
      </c>
      <c r="GL77" s="1623"/>
      <c r="GM77" s="1746" t="s">
        <v>3131</v>
      </c>
      <c r="GN77" s="1728" t="s">
        <v>3132</v>
      </c>
      <c r="GO77" s="1705" t="s">
        <v>2990</v>
      </c>
      <c r="GP77" s="1705" t="s">
        <v>2932</v>
      </c>
      <c r="GQ77" s="1747">
        <v>12</v>
      </c>
      <c r="GR77" s="1705" t="s">
        <v>2944</v>
      </c>
      <c r="GS77" s="1706">
        <v>22</v>
      </c>
      <c r="GT77" s="1633">
        <v>0</v>
      </c>
      <c r="GU77" s="1632"/>
      <c r="GV77" s="1632"/>
      <c r="GW77" s="1632"/>
      <c r="GX77" s="1632"/>
      <c r="GY77" s="1632"/>
      <c r="GZ77" s="1632"/>
      <c r="HA77" s="1632"/>
      <c r="HB77" s="1632"/>
      <c r="HC77" s="1632"/>
      <c r="HD77" s="1632"/>
      <c r="HE77" s="1632"/>
      <c r="HF77" s="1632"/>
      <c r="HG77" s="1633">
        <v>0</v>
      </c>
      <c r="HH77" s="1632"/>
      <c r="HI77" s="1632"/>
      <c r="HJ77" s="1632"/>
      <c r="HK77" s="1632"/>
      <c r="HL77" s="1632"/>
      <c r="HM77" s="1632"/>
      <c r="HN77" s="1632"/>
      <c r="HO77" s="1632"/>
      <c r="HP77" s="1632"/>
      <c r="HQ77" s="1632"/>
      <c r="HR77" s="1632"/>
      <c r="HS77" s="1632"/>
      <c r="HT77" s="1633">
        <v>120000</v>
      </c>
      <c r="HU77" s="1632"/>
      <c r="HV77" s="1632"/>
      <c r="HW77" s="1632"/>
      <c r="HX77" s="1632"/>
      <c r="HY77" s="1632"/>
      <c r="HZ77" s="1632">
        <v>120000</v>
      </c>
      <c r="IA77" s="1632"/>
      <c r="IB77" s="1632"/>
      <c r="IC77" s="1632"/>
      <c r="ID77" s="1632"/>
      <c r="IE77" s="1632"/>
      <c r="IF77" s="1632"/>
      <c r="IG77" s="1633">
        <v>0</v>
      </c>
      <c r="IH77" s="1632"/>
      <c r="II77" s="1632"/>
      <c r="IJ77" s="1632"/>
      <c r="IK77" s="1632"/>
      <c r="IL77" s="1632"/>
      <c r="IM77" s="1632"/>
      <c r="IN77" s="1632"/>
      <c r="IO77" s="1632"/>
      <c r="IP77" s="1632"/>
      <c r="IQ77" s="1632"/>
      <c r="IR77" s="1632"/>
      <c r="IS77" s="1632"/>
      <c r="IT77" s="1633">
        <v>120000</v>
      </c>
      <c r="IU77" s="1633">
        <v>120000</v>
      </c>
      <c r="IV77" s="1707"/>
    </row>
    <row r="78" spans="2:256" ht="16.5">
      <c r="CG78" s="1698"/>
      <c r="CH78" s="1618" t="s">
        <v>1966</v>
      </c>
      <c r="CI78" s="1619">
        <v>0</v>
      </c>
      <c r="CJ78" s="1619">
        <v>0</v>
      </c>
      <c r="CK78" s="1619">
        <v>0</v>
      </c>
      <c r="CL78" s="1620">
        <v>0</v>
      </c>
      <c r="CM78" s="1619">
        <v>0</v>
      </c>
      <c r="CN78" s="1621">
        <v>0</v>
      </c>
      <c r="CO78" s="1620">
        <v>0</v>
      </c>
      <c r="CP78" s="1619">
        <v>0</v>
      </c>
      <c r="CQ78" s="1621">
        <v>0</v>
      </c>
      <c r="CR78" s="1619">
        <v>0</v>
      </c>
      <c r="CS78" s="1619">
        <v>0</v>
      </c>
      <c r="CT78" s="1619">
        <v>0</v>
      </c>
      <c r="CU78" s="1622">
        <f t="shared" si="70"/>
        <v>0</v>
      </c>
      <c r="CV78" s="1619">
        <v>0</v>
      </c>
      <c r="CW78" s="1619">
        <v>0</v>
      </c>
      <c r="CX78" s="1619">
        <v>0</v>
      </c>
      <c r="CY78" s="1620">
        <v>0</v>
      </c>
      <c r="CZ78" s="1619">
        <v>0</v>
      </c>
      <c r="DA78" s="1621">
        <v>0</v>
      </c>
      <c r="DB78" s="1620">
        <v>0</v>
      </c>
      <c r="DC78" s="1619">
        <v>0</v>
      </c>
      <c r="DD78" s="1621">
        <v>0</v>
      </c>
      <c r="DE78" s="1619">
        <v>0</v>
      </c>
      <c r="DF78" s="1619">
        <v>0</v>
      </c>
      <c r="DG78" s="1619">
        <v>0</v>
      </c>
      <c r="DH78" s="1622">
        <f t="shared" si="71"/>
        <v>0</v>
      </c>
      <c r="DI78" s="1619">
        <v>0</v>
      </c>
      <c r="DJ78" s="1619">
        <v>0</v>
      </c>
      <c r="DK78" s="1619">
        <v>0</v>
      </c>
      <c r="DL78" s="1620">
        <v>0</v>
      </c>
      <c r="DM78" s="1619">
        <v>0</v>
      </c>
      <c r="DN78" s="1621">
        <v>0</v>
      </c>
      <c r="DO78" s="1620">
        <v>0</v>
      </c>
      <c r="DP78" s="1619">
        <v>0</v>
      </c>
      <c r="DQ78" s="1621">
        <v>0</v>
      </c>
      <c r="DR78" s="1619">
        <v>0</v>
      </c>
      <c r="DS78" s="1619">
        <v>0</v>
      </c>
      <c r="DT78" s="1619">
        <v>0</v>
      </c>
      <c r="DU78" s="1622">
        <f t="shared" si="72"/>
        <v>0</v>
      </c>
      <c r="DV78" s="1619">
        <v>0</v>
      </c>
      <c r="DW78" s="1619">
        <v>0</v>
      </c>
      <c r="DX78" s="1619">
        <v>0</v>
      </c>
      <c r="DY78" s="1620">
        <v>0</v>
      </c>
      <c r="DZ78" s="1619">
        <v>0</v>
      </c>
      <c r="EA78" s="1621">
        <v>0</v>
      </c>
      <c r="EB78" s="1620">
        <v>0</v>
      </c>
      <c r="EC78" s="1619">
        <v>0</v>
      </c>
      <c r="ED78" s="1621">
        <v>0</v>
      </c>
      <c r="EE78" s="1619">
        <v>0</v>
      </c>
      <c r="EF78" s="1619">
        <v>0</v>
      </c>
      <c r="EG78" s="1619">
        <v>0</v>
      </c>
      <c r="EH78" s="1622">
        <f t="shared" si="73"/>
        <v>0</v>
      </c>
      <c r="EI78" s="1504"/>
      <c r="GL78" s="1652"/>
      <c r="GM78" s="1748" t="s">
        <v>3133</v>
      </c>
      <c r="GN78" s="1714" t="s">
        <v>3134</v>
      </c>
      <c r="GO78" s="1711" t="s">
        <v>3101</v>
      </c>
      <c r="GP78" s="1711" t="s">
        <v>3102</v>
      </c>
      <c r="GQ78" s="1749">
        <v>50</v>
      </c>
      <c r="GR78" s="1711" t="s">
        <v>2944</v>
      </c>
      <c r="GS78" s="1712">
        <v>22</v>
      </c>
      <c r="GT78" s="1662">
        <v>0</v>
      </c>
      <c r="GU78" s="1661"/>
      <c r="GV78" s="1661"/>
      <c r="GW78" s="1661"/>
      <c r="GX78" s="1661"/>
      <c r="GY78" s="1661"/>
      <c r="GZ78" s="1661"/>
      <c r="HA78" s="1661"/>
      <c r="HB78" s="1661"/>
      <c r="HC78" s="1661"/>
      <c r="HD78" s="1661"/>
      <c r="HE78" s="1661"/>
      <c r="HF78" s="1661"/>
      <c r="HG78" s="1662">
        <v>50000</v>
      </c>
      <c r="HH78" s="1661"/>
      <c r="HI78" s="1661"/>
      <c r="HJ78" s="1661"/>
      <c r="HK78" s="1661"/>
      <c r="HL78" s="1661">
        <v>50000</v>
      </c>
      <c r="HM78" s="1661"/>
      <c r="HN78" s="1661"/>
      <c r="HO78" s="1661"/>
      <c r="HP78" s="1661"/>
      <c r="HQ78" s="1661"/>
      <c r="HR78" s="1661"/>
      <c r="HS78" s="1661"/>
      <c r="HT78" s="1662">
        <v>0</v>
      </c>
      <c r="HU78" s="1661"/>
      <c r="HV78" s="1661"/>
      <c r="HW78" s="1661"/>
      <c r="HX78" s="1661"/>
      <c r="HY78" s="1661"/>
      <c r="HZ78" s="1661"/>
      <c r="IA78" s="1661"/>
      <c r="IB78" s="1661"/>
      <c r="IC78" s="1661"/>
      <c r="ID78" s="1661"/>
      <c r="IE78" s="1661"/>
      <c r="IF78" s="1661"/>
      <c r="IG78" s="1662">
        <v>0</v>
      </c>
      <c r="IH78" s="1661"/>
      <c r="II78" s="1661"/>
      <c r="IJ78" s="1661"/>
      <c r="IK78" s="1661"/>
      <c r="IL78" s="1661"/>
      <c r="IM78" s="1661"/>
      <c r="IN78" s="1661"/>
      <c r="IO78" s="1661"/>
      <c r="IP78" s="1661"/>
      <c r="IQ78" s="1661"/>
      <c r="IR78" s="1661"/>
      <c r="IS78" s="1661"/>
      <c r="IT78" s="1662">
        <v>50000</v>
      </c>
      <c r="IU78" s="1662">
        <v>50000</v>
      </c>
      <c r="IV78" s="1713"/>
    </row>
    <row r="79" spans="2:256" ht="16.5">
      <c r="CG79" s="1559"/>
      <c r="CH79" s="1716" t="s">
        <v>1970</v>
      </c>
      <c r="CI79" s="1648">
        <v>7498646</v>
      </c>
      <c r="CJ79" s="1648">
        <v>23494559</v>
      </c>
      <c r="CK79" s="1648">
        <v>6607768</v>
      </c>
      <c r="CL79" s="1649">
        <v>8511241</v>
      </c>
      <c r="CM79" s="1648">
        <v>7756200</v>
      </c>
      <c r="CN79" s="1650">
        <v>7447876</v>
      </c>
      <c r="CO79" s="1649">
        <v>7849640</v>
      </c>
      <c r="CP79" s="1648">
        <v>19575059</v>
      </c>
      <c r="CQ79" s="1650">
        <v>18029303.666666668</v>
      </c>
      <c r="CR79" s="1648">
        <v>10699303.666666666</v>
      </c>
      <c r="CS79" s="1648">
        <v>9069303.666666666</v>
      </c>
      <c r="CT79" s="1648">
        <v>10019303.666666666</v>
      </c>
      <c r="CU79" s="1651">
        <f t="shared" si="70"/>
        <v>136558203.66666669</v>
      </c>
      <c r="CV79" s="1648">
        <v>7498646</v>
      </c>
      <c r="CW79" s="1648">
        <v>23494559</v>
      </c>
      <c r="CX79" s="1648">
        <v>6607768</v>
      </c>
      <c r="CY79" s="1649">
        <v>8511241</v>
      </c>
      <c r="CZ79" s="1648">
        <v>7756200</v>
      </c>
      <c r="DA79" s="1650">
        <v>7447876</v>
      </c>
      <c r="DB79" s="1649">
        <v>7849640</v>
      </c>
      <c r="DC79" s="1648">
        <v>19417637</v>
      </c>
      <c r="DD79" s="1650">
        <v>18772637</v>
      </c>
      <c r="DE79" s="1648">
        <v>11577637</v>
      </c>
      <c r="DF79" s="1648">
        <v>9997637</v>
      </c>
      <c r="DG79" s="1648">
        <v>11247637</v>
      </c>
      <c r="DH79" s="1651">
        <f t="shared" si="71"/>
        <v>140179115</v>
      </c>
      <c r="DI79" s="1648">
        <v>8792637</v>
      </c>
      <c r="DJ79" s="1648">
        <v>18892637</v>
      </c>
      <c r="DK79" s="1648">
        <v>17892637</v>
      </c>
      <c r="DL79" s="1649">
        <v>10932637</v>
      </c>
      <c r="DM79" s="1648">
        <v>11572637</v>
      </c>
      <c r="DN79" s="1650">
        <v>9962637</v>
      </c>
      <c r="DO79" s="1649">
        <v>9885970</v>
      </c>
      <c r="DP79" s="1648">
        <v>20450970</v>
      </c>
      <c r="DQ79" s="1650">
        <v>19517637</v>
      </c>
      <c r="DR79" s="1648">
        <v>14322637</v>
      </c>
      <c r="DS79" s="1648">
        <v>10742637</v>
      </c>
      <c r="DT79" s="1648">
        <v>11992637</v>
      </c>
      <c r="DU79" s="1651">
        <f t="shared" si="72"/>
        <v>164958310</v>
      </c>
      <c r="DV79" s="1648">
        <v>9892637</v>
      </c>
      <c r="DW79" s="1648">
        <v>18592637</v>
      </c>
      <c r="DX79" s="1648">
        <v>18492637</v>
      </c>
      <c r="DY79" s="1649">
        <v>11532637</v>
      </c>
      <c r="DZ79" s="1648">
        <v>12172637</v>
      </c>
      <c r="EA79" s="1650">
        <v>10162637</v>
      </c>
      <c r="EB79" s="1649">
        <v>10485970</v>
      </c>
      <c r="EC79" s="1648">
        <v>19650970</v>
      </c>
      <c r="ED79" s="1650">
        <v>20117637</v>
      </c>
      <c r="EE79" s="1648">
        <v>12922637</v>
      </c>
      <c r="EF79" s="1648">
        <v>11342637</v>
      </c>
      <c r="EG79" s="1648">
        <v>12192637</v>
      </c>
      <c r="EH79" s="1651">
        <f t="shared" si="73"/>
        <v>167558310</v>
      </c>
      <c r="GL79" s="1623"/>
      <c r="GM79" s="1746" t="s">
        <v>3135</v>
      </c>
      <c r="GN79" s="1728" t="s">
        <v>3136</v>
      </c>
      <c r="GO79" s="1705" t="s">
        <v>3101</v>
      </c>
      <c r="GP79" s="1705" t="s">
        <v>2932</v>
      </c>
      <c r="GQ79" s="1747">
        <v>12</v>
      </c>
      <c r="GR79" s="1705" t="s">
        <v>2944</v>
      </c>
      <c r="GS79" s="1706">
        <v>22</v>
      </c>
      <c r="GT79" s="1633">
        <v>0</v>
      </c>
      <c r="GU79" s="1632"/>
      <c r="GV79" s="1632"/>
      <c r="GW79" s="1632"/>
      <c r="GX79" s="1632"/>
      <c r="GY79" s="1632"/>
      <c r="GZ79" s="1632"/>
      <c r="HA79" s="1632"/>
      <c r="HB79" s="1632"/>
      <c r="HC79" s="1632"/>
      <c r="HD79" s="1632"/>
      <c r="HE79" s="1632"/>
      <c r="HF79" s="1632"/>
      <c r="HG79" s="1633">
        <v>0</v>
      </c>
      <c r="HH79" s="1632"/>
      <c r="HI79" s="1632"/>
      <c r="HJ79" s="1632"/>
      <c r="HK79" s="1632"/>
      <c r="HL79" s="1632"/>
      <c r="HM79" s="1632"/>
      <c r="HN79" s="1632"/>
      <c r="HO79" s="1632"/>
      <c r="HP79" s="1632"/>
      <c r="HQ79" s="1632"/>
      <c r="HR79" s="1632"/>
      <c r="HS79" s="1632"/>
      <c r="HT79" s="1633">
        <v>150000</v>
      </c>
      <c r="HU79" s="1632"/>
      <c r="HV79" s="1632"/>
      <c r="HW79" s="1632"/>
      <c r="HX79" s="1632"/>
      <c r="HY79" s="1632"/>
      <c r="HZ79" s="1632">
        <v>150000</v>
      </c>
      <c r="IA79" s="1632"/>
      <c r="IB79" s="1632"/>
      <c r="IC79" s="1632"/>
      <c r="ID79" s="1632"/>
      <c r="IE79" s="1632"/>
      <c r="IF79" s="1632"/>
      <c r="IG79" s="1633">
        <v>0</v>
      </c>
      <c r="IH79" s="1632"/>
      <c r="II79" s="1632"/>
      <c r="IJ79" s="1632"/>
      <c r="IK79" s="1632"/>
      <c r="IL79" s="1632"/>
      <c r="IM79" s="1632"/>
      <c r="IN79" s="1632"/>
      <c r="IO79" s="377"/>
      <c r="IP79" s="1632"/>
      <c r="IQ79" s="1632"/>
      <c r="IR79" s="1632"/>
      <c r="IS79" s="1632"/>
      <c r="IT79" s="1633">
        <v>150000</v>
      </c>
      <c r="IU79" s="1633">
        <v>150000</v>
      </c>
      <c r="IV79" s="1707"/>
    </row>
    <row r="80" spans="2:256" ht="16.5">
      <c r="CG80" s="1559"/>
      <c r="CH80" s="1716" t="s">
        <v>1978</v>
      </c>
      <c r="CI80" s="1648">
        <v>484011</v>
      </c>
      <c r="CJ80" s="1648">
        <v>417829</v>
      </c>
      <c r="CK80" s="1648">
        <v>296459</v>
      </c>
      <c r="CL80" s="1649">
        <v>246319</v>
      </c>
      <c r="CM80" s="1648">
        <v>391659</v>
      </c>
      <c r="CN80" s="1650">
        <v>344003</v>
      </c>
      <c r="CO80" s="1649">
        <v>425050</v>
      </c>
      <c r="CP80" s="1648">
        <v>246639</v>
      </c>
      <c r="CQ80" s="1650">
        <v>650000</v>
      </c>
      <c r="CR80" s="1648">
        <v>650000</v>
      </c>
      <c r="CS80" s="1648">
        <v>650000</v>
      </c>
      <c r="CT80" s="1648">
        <v>650000</v>
      </c>
      <c r="CU80" s="1651">
        <f t="shared" si="70"/>
        <v>5451969</v>
      </c>
      <c r="CV80" s="1648">
        <v>484011</v>
      </c>
      <c r="CW80" s="1648">
        <v>417829</v>
      </c>
      <c r="CX80" s="1648">
        <v>296459</v>
      </c>
      <c r="CY80" s="1649">
        <v>246319</v>
      </c>
      <c r="CZ80" s="1648">
        <v>391659</v>
      </c>
      <c r="DA80" s="1650">
        <v>344003</v>
      </c>
      <c r="DB80" s="1649">
        <v>425050</v>
      </c>
      <c r="DC80" s="1648">
        <v>650000</v>
      </c>
      <c r="DD80" s="1650">
        <v>650000</v>
      </c>
      <c r="DE80" s="1648">
        <v>650000</v>
      </c>
      <c r="DF80" s="1648">
        <v>650000</v>
      </c>
      <c r="DG80" s="1648">
        <v>650000</v>
      </c>
      <c r="DH80" s="1651">
        <f t="shared" si="71"/>
        <v>5855330</v>
      </c>
      <c r="DI80" s="1648">
        <v>650000</v>
      </c>
      <c r="DJ80" s="1648">
        <v>650000</v>
      </c>
      <c r="DK80" s="1648">
        <v>650000</v>
      </c>
      <c r="DL80" s="1649">
        <v>650000</v>
      </c>
      <c r="DM80" s="1648">
        <v>650000</v>
      </c>
      <c r="DN80" s="1650">
        <v>650000</v>
      </c>
      <c r="DO80" s="1649">
        <v>650000</v>
      </c>
      <c r="DP80" s="1648">
        <v>650000</v>
      </c>
      <c r="DQ80" s="1650">
        <v>650000</v>
      </c>
      <c r="DR80" s="1648">
        <v>650000</v>
      </c>
      <c r="DS80" s="1648">
        <v>650000</v>
      </c>
      <c r="DT80" s="1648">
        <v>650000</v>
      </c>
      <c r="DU80" s="1651">
        <f t="shared" si="72"/>
        <v>7800000</v>
      </c>
      <c r="DV80" s="1648">
        <v>650000</v>
      </c>
      <c r="DW80" s="1648">
        <v>650000</v>
      </c>
      <c r="DX80" s="1648">
        <v>650000</v>
      </c>
      <c r="DY80" s="1649">
        <v>650000</v>
      </c>
      <c r="DZ80" s="1648">
        <v>650000</v>
      </c>
      <c r="EA80" s="1650">
        <v>650000</v>
      </c>
      <c r="EB80" s="1649">
        <v>650000</v>
      </c>
      <c r="EC80" s="1648">
        <v>650000</v>
      </c>
      <c r="ED80" s="1650">
        <v>650000</v>
      </c>
      <c r="EE80" s="1648">
        <v>650000</v>
      </c>
      <c r="EF80" s="1648">
        <v>650000</v>
      </c>
      <c r="EG80" s="1648">
        <v>650000</v>
      </c>
      <c r="EH80" s="1651">
        <f t="shared" si="73"/>
        <v>7800000</v>
      </c>
      <c r="GL80" s="1652"/>
      <c r="GM80" s="1748" t="s">
        <v>3137</v>
      </c>
      <c r="GN80" s="1714" t="s">
        <v>3138</v>
      </c>
      <c r="GO80" s="1711" t="s">
        <v>3029</v>
      </c>
      <c r="GP80" s="1711" t="s">
        <v>3030</v>
      </c>
      <c r="GQ80" s="1749">
        <v>6</v>
      </c>
      <c r="GR80" s="1711" t="s">
        <v>3031</v>
      </c>
      <c r="GS80" s="1712">
        <v>23</v>
      </c>
      <c r="GT80" s="1662">
        <v>0</v>
      </c>
      <c r="GU80" s="1661"/>
      <c r="GV80" s="1661"/>
      <c r="GW80" s="1661"/>
      <c r="GX80" s="1661"/>
      <c r="GY80" s="1661"/>
      <c r="GZ80" s="1661"/>
      <c r="HA80" s="1661"/>
      <c r="HB80" s="1661"/>
      <c r="HC80" s="1661"/>
      <c r="HD80" s="1661"/>
      <c r="HE80" s="1661"/>
      <c r="HF80" s="1661"/>
      <c r="HG80" s="1662">
        <v>0</v>
      </c>
      <c r="HH80" s="1661"/>
      <c r="HI80" s="1661"/>
      <c r="HJ80" s="1661"/>
      <c r="HK80" s="1661"/>
      <c r="HL80" s="1661"/>
      <c r="HM80" s="1661"/>
      <c r="HN80" s="1661"/>
      <c r="HO80" s="1661"/>
      <c r="HP80" s="1661"/>
      <c r="HQ80" s="1661"/>
      <c r="HR80" s="1661"/>
      <c r="HS80" s="1661"/>
      <c r="HT80" s="1662">
        <v>0</v>
      </c>
      <c r="HU80" s="1661"/>
      <c r="HV80" s="1661"/>
      <c r="HW80" s="1661"/>
      <c r="HX80" s="1661"/>
      <c r="HY80" s="1661"/>
      <c r="HZ80" s="1661"/>
      <c r="IA80" s="1661"/>
      <c r="IB80" s="1661"/>
      <c r="IC80" s="1661"/>
      <c r="ID80" s="1661"/>
      <c r="IE80" s="1661"/>
      <c r="IF80" s="1661"/>
      <c r="IG80" s="1662">
        <v>90000</v>
      </c>
      <c r="IH80" s="1661"/>
      <c r="II80" s="1661"/>
      <c r="IJ80" s="1661"/>
      <c r="IK80" s="1661"/>
      <c r="IL80" s="1661"/>
      <c r="IM80" s="1661"/>
      <c r="IN80" s="1661"/>
      <c r="IO80" s="1661"/>
      <c r="IP80" s="1661"/>
      <c r="IQ80" s="1661"/>
      <c r="IR80" s="1661">
        <v>90000</v>
      </c>
      <c r="IS80" s="1661"/>
      <c r="IT80" s="1662">
        <v>0</v>
      </c>
      <c r="IU80" s="1662">
        <v>90000</v>
      </c>
      <c r="IV80" s="1713"/>
    </row>
    <row r="81" spans="77:256" ht="16.5">
      <c r="CG81" s="1559"/>
      <c r="CH81" s="1716" t="s">
        <v>1980</v>
      </c>
      <c r="CI81" s="1648">
        <v>444393</v>
      </c>
      <c r="CJ81" s="1648">
        <v>453260</v>
      </c>
      <c r="CK81" s="1648">
        <v>442376</v>
      </c>
      <c r="CL81" s="1649">
        <v>434065</v>
      </c>
      <c r="CM81" s="1648">
        <v>434438</v>
      </c>
      <c r="CN81" s="1650">
        <v>432526</v>
      </c>
      <c r="CO81" s="1649">
        <v>433234</v>
      </c>
      <c r="CP81" s="1648">
        <v>432797</v>
      </c>
      <c r="CQ81" s="1650">
        <v>510632</v>
      </c>
      <c r="CR81" s="1648">
        <v>500632</v>
      </c>
      <c r="CS81" s="1648">
        <v>500632</v>
      </c>
      <c r="CT81" s="1648">
        <v>510632</v>
      </c>
      <c r="CU81" s="1651">
        <f t="shared" si="70"/>
        <v>5529617</v>
      </c>
      <c r="CV81" s="1648">
        <v>444393</v>
      </c>
      <c r="CW81" s="1648">
        <v>453260</v>
      </c>
      <c r="CX81" s="1648">
        <v>442376</v>
      </c>
      <c r="CY81" s="1649">
        <v>434065</v>
      </c>
      <c r="CZ81" s="1648">
        <v>434438</v>
      </c>
      <c r="DA81" s="1650">
        <v>432526</v>
      </c>
      <c r="DB81" s="1649">
        <v>433234</v>
      </c>
      <c r="DC81" s="1648">
        <v>500632</v>
      </c>
      <c r="DD81" s="1650">
        <v>510632</v>
      </c>
      <c r="DE81" s="1648">
        <v>500632</v>
      </c>
      <c r="DF81" s="1648">
        <v>500632</v>
      </c>
      <c r="DG81" s="1648">
        <v>510632</v>
      </c>
      <c r="DH81" s="1651">
        <f t="shared" si="71"/>
        <v>5597452</v>
      </c>
      <c r="DI81" s="1648">
        <v>439086</v>
      </c>
      <c r="DJ81" s="1648">
        <v>439819</v>
      </c>
      <c r="DK81" s="1648">
        <v>449658</v>
      </c>
      <c r="DL81" s="1649">
        <v>439034</v>
      </c>
      <c r="DM81" s="1648">
        <v>439428</v>
      </c>
      <c r="DN81" s="1650">
        <v>448954</v>
      </c>
      <c r="DO81" s="1649">
        <v>440632</v>
      </c>
      <c r="DP81" s="1648">
        <v>440632</v>
      </c>
      <c r="DQ81" s="1650">
        <v>450632</v>
      </c>
      <c r="DR81" s="1648">
        <v>440632</v>
      </c>
      <c r="DS81" s="1648">
        <v>440632</v>
      </c>
      <c r="DT81" s="1648">
        <v>450632</v>
      </c>
      <c r="DU81" s="1651">
        <f t="shared" si="72"/>
        <v>5319771</v>
      </c>
      <c r="DV81" s="1648">
        <v>439086</v>
      </c>
      <c r="DW81" s="1648">
        <v>439819</v>
      </c>
      <c r="DX81" s="1648">
        <v>449658</v>
      </c>
      <c r="DY81" s="1649">
        <v>439034</v>
      </c>
      <c r="DZ81" s="1648">
        <v>439428</v>
      </c>
      <c r="EA81" s="1650">
        <v>448954</v>
      </c>
      <c r="EB81" s="1649">
        <v>440632</v>
      </c>
      <c r="EC81" s="1648">
        <v>440632</v>
      </c>
      <c r="ED81" s="1650">
        <v>450632</v>
      </c>
      <c r="EE81" s="1648">
        <v>440632</v>
      </c>
      <c r="EF81" s="1648">
        <v>440632</v>
      </c>
      <c r="EG81" s="1648">
        <v>450632</v>
      </c>
      <c r="EH81" s="1651">
        <f t="shared" si="73"/>
        <v>5319771</v>
      </c>
      <c r="GL81" s="1623"/>
      <c r="GM81" s="1746" t="s">
        <v>3139</v>
      </c>
      <c r="GN81" s="1728" t="s">
        <v>3140</v>
      </c>
      <c r="GO81" s="1705" t="s">
        <v>3042</v>
      </c>
      <c r="GP81" s="1705" t="s">
        <v>2932</v>
      </c>
      <c r="GQ81" s="1747">
        <v>10</v>
      </c>
      <c r="GR81" s="1705" t="s">
        <v>3042</v>
      </c>
      <c r="GS81" s="1706">
        <v>23</v>
      </c>
      <c r="GT81" s="1633">
        <v>0</v>
      </c>
      <c r="GU81" s="1632"/>
      <c r="GV81" s="1632"/>
      <c r="GW81" s="1632"/>
      <c r="GX81" s="1632"/>
      <c r="GY81" s="1632"/>
      <c r="GZ81" s="1632"/>
      <c r="HA81" s="1632"/>
      <c r="HB81" s="1632"/>
      <c r="HC81" s="1632"/>
      <c r="HD81" s="1632"/>
      <c r="HE81" s="1632"/>
      <c r="HF81" s="1632"/>
      <c r="HG81" s="1633">
        <v>0</v>
      </c>
      <c r="HH81" s="1632"/>
      <c r="HI81" s="1632"/>
      <c r="HJ81" s="1632"/>
      <c r="HK81" s="1632"/>
      <c r="HL81" s="1632"/>
      <c r="HM81" s="1632"/>
      <c r="HN81" s="1632"/>
      <c r="HO81" s="1632"/>
      <c r="HP81" s="1632"/>
      <c r="HQ81" s="1632"/>
      <c r="HR81" s="1632"/>
      <c r="HS81" s="1632"/>
      <c r="HT81" s="1633">
        <v>0</v>
      </c>
      <c r="HU81" s="1632"/>
      <c r="HV81" s="1632"/>
      <c r="HW81" s="1632"/>
      <c r="HX81" s="1632"/>
      <c r="HY81" s="1632"/>
      <c r="HZ81" s="1632"/>
      <c r="IA81" s="1632"/>
      <c r="IB81" s="1632"/>
      <c r="IC81" s="1632"/>
      <c r="ID81" s="1632"/>
      <c r="IE81" s="1632"/>
      <c r="IF81" s="1632"/>
      <c r="IG81" s="1633">
        <v>800000</v>
      </c>
      <c r="IH81" s="1632"/>
      <c r="II81" s="1632"/>
      <c r="IJ81" s="1632"/>
      <c r="IK81" s="1632"/>
      <c r="IL81" s="1632"/>
      <c r="IM81" s="1632">
        <v>800000</v>
      </c>
      <c r="IN81" s="1632"/>
      <c r="IO81" s="1632"/>
      <c r="IP81" s="1632"/>
      <c r="IQ81" s="1632"/>
      <c r="IR81" s="1632"/>
      <c r="IS81" s="1632"/>
      <c r="IT81" s="1633">
        <v>0</v>
      </c>
      <c r="IU81" s="1633">
        <v>800000</v>
      </c>
      <c r="IV81" s="1707"/>
    </row>
    <row r="82" spans="77:256" ht="16.5">
      <c r="CG82" s="1729"/>
      <c r="CH82" s="1716" t="s">
        <v>1985</v>
      </c>
      <c r="CI82" s="1648">
        <v>1070240</v>
      </c>
      <c r="CJ82" s="1648">
        <v>103990</v>
      </c>
      <c r="CK82" s="1648">
        <v>4590</v>
      </c>
      <c r="CL82" s="1649">
        <v>3650</v>
      </c>
      <c r="CM82" s="1648">
        <v>3060</v>
      </c>
      <c r="CN82" s="1650">
        <v>8905780</v>
      </c>
      <c r="CO82" s="1649">
        <v>-1260150</v>
      </c>
      <c r="CP82" s="1648">
        <v>224180</v>
      </c>
      <c r="CQ82" s="1650">
        <v>4695000</v>
      </c>
      <c r="CR82" s="1648">
        <v>3000</v>
      </c>
      <c r="CS82" s="1648">
        <v>3000</v>
      </c>
      <c r="CT82" s="1648">
        <v>606000</v>
      </c>
      <c r="CU82" s="1651">
        <f t="shared" si="70"/>
        <v>14362340</v>
      </c>
      <c r="CV82" s="1648">
        <v>1070240</v>
      </c>
      <c r="CW82" s="1648">
        <v>103990</v>
      </c>
      <c r="CX82" s="1648">
        <v>4590</v>
      </c>
      <c r="CY82" s="1649">
        <v>3650</v>
      </c>
      <c r="CZ82" s="1648">
        <v>3060</v>
      </c>
      <c r="DA82" s="1650">
        <v>8905780</v>
      </c>
      <c r="DB82" s="1649">
        <v>-1260150</v>
      </c>
      <c r="DC82" s="1648">
        <v>223000</v>
      </c>
      <c r="DD82" s="1650">
        <v>4695000</v>
      </c>
      <c r="DE82" s="1648">
        <v>3000</v>
      </c>
      <c r="DF82" s="1648">
        <v>3000</v>
      </c>
      <c r="DG82" s="1648">
        <v>606000</v>
      </c>
      <c r="DH82" s="1651">
        <f t="shared" si="71"/>
        <v>14361160</v>
      </c>
      <c r="DI82" s="1648">
        <v>1022500</v>
      </c>
      <c r="DJ82" s="1648">
        <v>299310</v>
      </c>
      <c r="DK82" s="1648">
        <v>2630</v>
      </c>
      <c r="DL82" s="1649">
        <v>1503310</v>
      </c>
      <c r="DM82" s="1648">
        <v>2630</v>
      </c>
      <c r="DN82" s="1650">
        <v>7230420</v>
      </c>
      <c r="DO82" s="1649">
        <v>172000</v>
      </c>
      <c r="DP82" s="1648">
        <v>223000</v>
      </c>
      <c r="DQ82" s="1650">
        <v>4929000</v>
      </c>
      <c r="DR82" s="1648">
        <v>3000</v>
      </c>
      <c r="DS82" s="1648">
        <v>3000</v>
      </c>
      <c r="DT82" s="1648">
        <v>606000</v>
      </c>
      <c r="DU82" s="1651">
        <f t="shared" si="72"/>
        <v>15996800</v>
      </c>
      <c r="DV82" s="1648">
        <v>1022500</v>
      </c>
      <c r="DW82" s="1648">
        <v>299310</v>
      </c>
      <c r="DX82" s="1648">
        <v>2630</v>
      </c>
      <c r="DY82" s="1649">
        <v>1503310</v>
      </c>
      <c r="DZ82" s="1648">
        <v>2630</v>
      </c>
      <c r="EA82" s="1650">
        <v>7586420</v>
      </c>
      <c r="EB82" s="1649">
        <v>172000</v>
      </c>
      <c r="EC82" s="1648">
        <v>223000</v>
      </c>
      <c r="ED82" s="1650">
        <v>5175000</v>
      </c>
      <c r="EE82" s="1648">
        <v>3000</v>
      </c>
      <c r="EF82" s="1648">
        <v>3000</v>
      </c>
      <c r="EG82" s="1648">
        <v>606000</v>
      </c>
      <c r="EH82" s="1651">
        <f t="shared" si="73"/>
        <v>16598800</v>
      </c>
      <c r="GL82" s="1652"/>
      <c r="GM82" s="1748" t="s">
        <v>3141</v>
      </c>
      <c r="GN82" s="1714" t="s">
        <v>3142</v>
      </c>
      <c r="GO82" s="1711" t="s">
        <v>1878</v>
      </c>
      <c r="GP82" s="1711" t="s">
        <v>2932</v>
      </c>
      <c r="GQ82" s="1749">
        <v>12</v>
      </c>
      <c r="GR82" s="1711" t="s">
        <v>2944</v>
      </c>
      <c r="GS82" s="1712">
        <v>20</v>
      </c>
      <c r="GT82" s="1662">
        <v>250000</v>
      </c>
      <c r="GU82" s="1661"/>
      <c r="GV82" s="1661"/>
      <c r="GW82" s="1661"/>
      <c r="GX82" s="1661"/>
      <c r="GY82" s="1661"/>
      <c r="GZ82" s="1661"/>
      <c r="HA82" s="1661">
        <v>149600</v>
      </c>
      <c r="HB82" s="1661">
        <v>100400</v>
      </c>
      <c r="HC82" s="1661"/>
      <c r="HD82" s="1661"/>
      <c r="HE82" s="1661"/>
      <c r="HF82" s="1661"/>
      <c r="HG82" s="1662">
        <v>0</v>
      </c>
      <c r="HH82" s="1661"/>
      <c r="HI82" s="1661"/>
      <c r="HJ82" s="1661"/>
      <c r="HK82" s="1661"/>
      <c r="HL82" s="1661"/>
      <c r="HM82" s="1661"/>
      <c r="HN82" s="1661"/>
      <c r="HO82" s="1661"/>
      <c r="HP82" s="1661"/>
      <c r="HQ82" s="1661"/>
      <c r="HR82" s="1661"/>
      <c r="HS82" s="1661"/>
      <c r="HT82" s="1662">
        <v>0</v>
      </c>
      <c r="HU82" s="1661"/>
      <c r="HV82" s="1661"/>
      <c r="HW82" s="1661"/>
      <c r="HX82" s="1661"/>
      <c r="HY82" s="1661"/>
      <c r="HZ82" s="1661"/>
      <c r="IA82" s="1661"/>
      <c r="IB82" s="1661"/>
      <c r="IC82" s="1661"/>
      <c r="ID82" s="1661"/>
      <c r="IE82" s="1661"/>
      <c r="IF82" s="1661"/>
      <c r="IG82" s="1662">
        <v>0</v>
      </c>
      <c r="IH82" s="1661"/>
      <c r="II82" s="1661"/>
      <c r="IJ82" s="1661"/>
      <c r="IK82" s="1661"/>
      <c r="IL82" s="1661"/>
      <c r="IM82" s="1661"/>
      <c r="IN82" s="1661"/>
      <c r="IO82" s="1661"/>
      <c r="IP82" s="1661"/>
      <c r="IQ82" s="1661"/>
      <c r="IR82" s="1661"/>
      <c r="IS82" s="1661"/>
      <c r="IT82" s="1662">
        <v>250000</v>
      </c>
      <c r="IU82" s="1662">
        <v>0</v>
      </c>
      <c r="IV82" s="1713"/>
    </row>
    <row r="83" spans="77:256" ht="16.5">
      <c r="BY83" s="1889"/>
      <c r="BZ83" s="1889"/>
      <c r="CE83" s="1890"/>
      <c r="CF83" s="1890"/>
      <c r="CG83" s="1698"/>
      <c r="CH83" s="1618" t="s">
        <v>1987</v>
      </c>
      <c r="CI83" s="1619">
        <v>1313909</v>
      </c>
      <c r="CJ83" s="1619">
        <v>1313909</v>
      </c>
      <c r="CK83" s="1619">
        <v>1063909</v>
      </c>
      <c r="CL83" s="1620">
        <v>1493909</v>
      </c>
      <c r="CM83" s="1619">
        <v>1313909</v>
      </c>
      <c r="CN83" s="1621">
        <v>1313909</v>
      </c>
      <c r="CO83" s="1620">
        <v>1301273</v>
      </c>
      <c r="CP83" s="1619">
        <v>1261273</v>
      </c>
      <c r="CQ83" s="1621">
        <v>1916636</v>
      </c>
      <c r="CR83" s="1619">
        <v>1917000</v>
      </c>
      <c r="CS83" s="1619">
        <v>1916636</v>
      </c>
      <c r="CT83" s="1619">
        <v>1916636</v>
      </c>
      <c r="CU83" s="1622">
        <f t="shared" si="70"/>
        <v>18042908</v>
      </c>
      <c r="CV83" s="1619">
        <v>1313909</v>
      </c>
      <c r="CW83" s="1619">
        <v>1313909</v>
      </c>
      <c r="CX83" s="1619">
        <v>1063909</v>
      </c>
      <c r="CY83" s="1620">
        <v>1493909</v>
      </c>
      <c r="CZ83" s="1619">
        <v>1313909</v>
      </c>
      <c r="DA83" s="1621">
        <v>1313909</v>
      </c>
      <c r="DB83" s="1620">
        <v>1301273</v>
      </c>
      <c r="DC83" s="1619">
        <v>2335000</v>
      </c>
      <c r="DD83" s="1621">
        <v>2335000</v>
      </c>
      <c r="DE83" s="1619">
        <v>2335000</v>
      </c>
      <c r="DF83" s="1619">
        <v>2335000</v>
      </c>
      <c r="DG83" s="1619">
        <v>2335000</v>
      </c>
      <c r="DH83" s="1622">
        <f t="shared" si="71"/>
        <v>20789727</v>
      </c>
      <c r="DI83" s="1619">
        <v>2335000</v>
      </c>
      <c r="DJ83" s="1619">
        <v>2335000</v>
      </c>
      <c r="DK83" s="1619">
        <v>2335000</v>
      </c>
      <c r="DL83" s="1620">
        <v>2335000</v>
      </c>
      <c r="DM83" s="1619">
        <v>2335000</v>
      </c>
      <c r="DN83" s="1621">
        <v>2335000</v>
      </c>
      <c r="DO83" s="1620">
        <v>2335000</v>
      </c>
      <c r="DP83" s="1619">
        <v>2335000</v>
      </c>
      <c r="DQ83" s="1621">
        <v>2335000</v>
      </c>
      <c r="DR83" s="1619">
        <v>2335000</v>
      </c>
      <c r="DS83" s="1619">
        <v>2335000</v>
      </c>
      <c r="DT83" s="1619">
        <v>2335000</v>
      </c>
      <c r="DU83" s="1622">
        <f t="shared" si="72"/>
        <v>28020000</v>
      </c>
      <c r="DV83" s="1619">
        <v>2335000</v>
      </c>
      <c r="DW83" s="1619">
        <v>2335000</v>
      </c>
      <c r="DX83" s="1619">
        <v>2335000</v>
      </c>
      <c r="DY83" s="1620">
        <v>2335000</v>
      </c>
      <c r="DZ83" s="1619">
        <v>2335000</v>
      </c>
      <c r="EA83" s="1621">
        <v>2335000</v>
      </c>
      <c r="EB83" s="1620">
        <v>2335000</v>
      </c>
      <c r="EC83" s="1619">
        <v>2335000</v>
      </c>
      <c r="ED83" s="1621">
        <v>2335000</v>
      </c>
      <c r="EE83" s="1619">
        <v>2335000</v>
      </c>
      <c r="EF83" s="1619">
        <v>2335000</v>
      </c>
      <c r="EG83" s="1619">
        <v>2335000</v>
      </c>
      <c r="EH83" s="1622">
        <f t="shared" si="73"/>
        <v>28020000</v>
      </c>
      <c r="GL83" s="5811" t="s">
        <v>3143</v>
      </c>
      <c r="GM83" s="5812"/>
      <c r="GN83" s="5813"/>
      <c r="GO83" s="1891"/>
      <c r="GP83" s="1891"/>
      <c r="GQ83" s="1892"/>
      <c r="GR83" s="1891"/>
      <c r="GS83" s="1695"/>
      <c r="GT83" s="1696">
        <v>455000</v>
      </c>
      <c r="GU83" s="1696">
        <v>0</v>
      </c>
      <c r="GV83" s="1696">
        <v>0</v>
      </c>
      <c r="GW83" s="1696">
        <v>0</v>
      </c>
      <c r="GX83" s="1696">
        <v>0</v>
      </c>
      <c r="GY83" s="1696">
        <v>0</v>
      </c>
      <c r="GZ83" s="1696">
        <v>61650</v>
      </c>
      <c r="HA83" s="1696">
        <v>0</v>
      </c>
      <c r="HB83" s="1696">
        <v>0</v>
      </c>
      <c r="HC83" s="1696">
        <v>393350</v>
      </c>
      <c r="HD83" s="1696">
        <v>0</v>
      </c>
      <c r="HE83" s="1696">
        <v>0</v>
      </c>
      <c r="HF83" s="1696">
        <v>0</v>
      </c>
      <c r="HG83" s="1696">
        <v>33000</v>
      </c>
      <c r="HH83" s="1696">
        <v>0</v>
      </c>
      <c r="HI83" s="1696">
        <v>0</v>
      </c>
      <c r="HJ83" s="1696">
        <v>33000</v>
      </c>
      <c r="HK83" s="1696">
        <v>0</v>
      </c>
      <c r="HL83" s="1696">
        <v>0</v>
      </c>
      <c r="HM83" s="1696">
        <v>0</v>
      </c>
      <c r="HN83" s="1696">
        <v>0</v>
      </c>
      <c r="HO83" s="1696">
        <v>0</v>
      </c>
      <c r="HP83" s="1696">
        <v>0</v>
      </c>
      <c r="HQ83" s="1696">
        <v>0</v>
      </c>
      <c r="HR83" s="1696">
        <v>0</v>
      </c>
      <c r="HS83" s="1696">
        <v>0</v>
      </c>
      <c r="HT83" s="1696">
        <v>2740000</v>
      </c>
      <c r="HU83" s="1696">
        <v>0</v>
      </c>
      <c r="HV83" s="1696">
        <v>0</v>
      </c>
      <c r="HW83" s="1696">
        <v>0</v>
      </c>
      <c r="HX83" s="1696">
        <v>0</v>
      </c>
      <c r="HY83" s="1696">
        <v>0</v>
      </c>
      <c r="HZ83" s="1696">
        <v>2740000</v>
      </c>
      <c r="IA83" s="1696">
        <v>0</v>
      </c>
      <c r="IB83" s="1696">
        <v>0</v>
      </c>
      <c r="IC83" s="1696">
        <v>0</v>
      </c>
      <c r="ID83" s="1696">
        <v>0</v>
      </c>
      <c r="IE83" s="1696">
        <v>0</v>
      </c>
      <c r="IF83" s="1696">
        <v>0</v>
      </c>
      <c r="IG83" s="1696">
        <v>0</v>
      </c>
      <c r="IH83" s="1696">
        <v>0</v>
      </c>
      <c r="II83" s="1696">
        <v>0</v>
      </c>
      <c r="IJ83" s="1696">
        <v>0</v>
      </c>
      <c r="IK83" s="1696">
        <v>0</v>
      </c>
      <c r="IL83" s="1696">
        <v>0</v>
      </c>
      <c r="IM83" s="1696">
        <v>0</v>
      </c>
      <c r="IN83" s="1696">
        <v>0</v>
      </c>
      <c r="IO83" s="1696">
        <v>0</v>
      </c>
      <c r="IP83" s="1696">
        <v>0</v>
      </c>
      <c r="IQ83" s="1696">
        <v>0</v>
      </c>
      <c r="IR83" s="1696">
        <v>0</v>
      </c>
      <c r="IS83" s="1696">
        <v>0</v>
      </c>
      <c r="IT83" s="1696">
        <v>3228000</v>
      </c>
      <c r="IU83" s="1696">
        <v>2773000</v>
      </c>
      <c r="IV83" s="1697"/>
    </row>
    <row r="84" spans="77:256" ht="16.5">
      <c r="CG84" s="1698"/>
      <c r="CH84" s="1618" t="s">
        <v>2949</v>
      </c>
      <c r="CI84" s="1619">
        <v>15773048</v>
      </c>
      <c r="CJ84" s="1619">
        <v>15773048</v>
      </c>
      <c r="CK84" s="1619">
        <v>15773048</v>
      </c>
      <c r="CL84" s="1620">
        <v>15773048</v>
      </c>
      <c r="CM84" s="1619">
        <v>15669993</v>
      </c>
      <c r="CN84" s="1621">
        <v>15708881</v>
      </c>
      <c r="CO84" s="1620">
        <v>15708881</v>
      </c>
      <c r="CP84" s="1619">
        <v>15708881</v>
      </c>
      <c r="CQ84" s="1621">
        <v>16375547.666666666</v>
      </c>
      <c r="CR84" s="1619">
        <v>16375547.666666666</v>
      </c>
      <c r="CS84" s="1619">
        <v>16375547.666666666</v>
      </c>
      <c r="CT84" s="1619">
        <v>16375788.666666666</v>
      </c>
      <c r="CU84" s="1622">
        <f t="shared" si="70"/>
        <v>191391259.66666663</v>
      </c>
      <c r="CV84" s="1619">
        <v>15773048</v>
      </c>
      <c r="CW84" s="1619">
        <v>15773048</v>
      </c>
      <c r="CX84" s="1619">
        <v>15773048</v>
      </c>
      <c r="CY84" s="1620">
        <v>15773048</v>
      </c>
      <c r="CZ84" s="1619">
        <v>15669993</v>
      </c>
      <c r="DA84" s="1621">
        <v>15708881</v>
      </c>
      <c r="DB84" s="1620">
        <v>15708881</v>
      </c>
      <c r="DC84" s="1619">
        <v>16161788.333333334</v>
      </c>
      <c r="DD84" s="1621">
        <v>16161788.333333334</v>
      </c>
      <c r="DE84" s="1619">
        <v>16161788.333333334</v>
      </c>
      <c r="DF84" s="1619">
        <v>16161788.333333334</v>
      </c>
      <c r="DG84" s="1619">
        <v>16162011.333333334</v>
      </c>
      <c r="DH84" s="1622">
        <f t="shared" si="71"/>
        <v>190989111.66666669</v>
      </c>
      <c r="DI84" s="1619">
        <v>16161614.333333334</v>
      </c>
      <c r="DJ84" s="1619">
        <v>16161614.333333334</v>
      </c>
      <c r="DK84" s="1619">
        <v>16161614.333333334</v>
      </c>
      <c r="DL84" s="1620">
        <v>16161614.333333334</v>
      </c>
      <c r="DM84" s="1619">
        <v>16161614.333333334</v>
      </c>
      <c r="DN84" s="1621">
        <v>16161614.333333334</v>
      </c>
      <c r="DO84" s="1620">
        <v>16161614.333333334</v>
      </c>
      <c r="DP84" s="1619">
        <v>16161614.333333334</v>
      </c>
      <c r="DQ84" s="1621">
        <v>16161614.333333334</v>
      </c>
      <c r="DR84" s="1619">
        <v>16161614.333333334</v>
      </c>
      <c r="DS84" s="1619">
        <v>20161615.333333336</v>
      </c>
      <c r="DT84" s="1619">
        <v>19911926.333333336</v>
      </c>
      <c r="DU84" s="1622">
        <f t="shared" si="72"/>
        <v>201689685.00000003</v>
      </c>
      <c r="DV84" s="1619">
        <v>19894039.333333336</v>
      </c>
      <c r="DW84" s="1619">
        <v>19894039.333333336</v>
      </c>
      <c r="DX84" s="1619">
        <v>16864539.333333336</v>
      </c>
      <c r="DY84" s="1620">
        <v>16581541.333333334</v>
      </c>
      <c r="DZ84" s="1619">
        <v>16560706.333333334</v>
      </c>
      <c r="EA84" s="1621">
        <v>25727373</v>
      </c>
      <c r="EB84" s="1620">
        <v>25727373</v>
      </c>
      <c r="EC84" s="1619">
        <v>25727373</v>
      </c>
      <c r="ED84" s="1621">
        <v>25727373</v>
      </c>
      <c r="EE84" s="1619">
        <v>25727373</v>
      </c>
      <c r="EF84" s="1619">
        <v>25727373</v>
      </c>
      <c r="EG84" s="1619">
        <v>25727585</v>
      </c>
      <c r="EH84" s="1622">
        <f t="shared" si="73"/>
        <v>269886688.66666669</v>
      </c>
      <c r="GL84" s="1652"/>
      <c r="GM84" s="1748" t="s">
        <v>3144</v>
      </c>
      <c r="GN84" s="1714" t="s">
        <v>3145</v>
      </c>
      <c r="GO84" s="1711" t="s">
        <v>2918</v>
      </c>
      <c r="GP84" s="1711" t="s">
        <v>2932</v>
      </c>
      <c r="GQ84" s="1749">
        <v>12</v>
      </c>
      <c r="GR84" s="1711" t="s">
        <v>3146</v>
      </c>
      <c r="GS84" s="1712">
        <v>20</v>
      </c>
      <c r="GT84" s="1660">
        <v>250000</v>
      </c>
      <c r="GU84" s="1660"/>
      <c r="GV84" s="1660"/>
      <c r="GW84" s="1660"/>
      <c r="GX84" s="1660"/>
      <c r="GY84" s="1660"/>
      <c r="GZ84" s="1660"/>
      <c r="HA84" s="1660"/>
      <c r="HB84" s="1660"/>
      <c r="HC84" s="1660">
        <v>250000</v>
      </c>
      <c r="HD84" s="1660"/>
      <c r="HE84" s="1660"/>
      <c r="HF84" s="1660"/>
      <c r="HG84" s="1660">
        <v>0</v>
      </c>
      <c r="HH84" s="1660"/>
      <c r="HI84" s="1660"/>
      <c r="HJ84" s="1660"/>
      <c r="HK84" s="1660"/>
      <c r="HL84" s="1660"/>
      <c r="HM84" s="1660"/>
      <c r="HN84" s="1660"/>
      <c r="HO84" s="1660"/>
      <c r="HP84" s="1660"/>
      <c r="HQ84" s="1660"/>
      <c r="HR84" s="1660"/>
      <c r="HS84" s="1660"/>
      <c r="HT84" s="1660">
        <v>0</v>
      </c>
      <c r="HU84" s="1660"/>
      <c r="HV84" s="1660"/>
      <c r="HW84" s="1660"/>
      <c r="HX84" s="1660"/>
      <c r="HY84" s="1660"/>
      <c r="HZ84" s="1660"/>
      <c r="IA84" s="1660"/>
      <c r="IB84" s="1660"/>
      <c r="IC84" s="1660"/>
      <c r="ID84" s="1660"/>
      <c r="IE84" s="1660"/>
      <c r="IF84" s="1660"/>
      <c r="IG84" s="1660">
        <v>0</v>
      </c>
      <c r="IH84" s="1660"/>
      <c r="II84" s="1660"/>
      <c r="IJ84" s="1660"/>
      <c r="IK84" s="1660"/>
      <c r="IL84" s="1660"/>
      <c r="IM84" s="1660"/>
      <c r="IN84" s="1660"/>
      <c r="IO84" s="1660"/>
      <c r="IP84" s="1660"/>
      <c r="IQ84" s="1660"/>
      <c r="IR84" s="1660"/>
      <c r="IS84" s="1660"/>
      <c r="IT84" s="1662">
        <v>250000</v>
      </c>
      <c r="IU84" s="1662">
        <v>0</v>
      </c>
      <c r="IV84" s="1713"/>
    </row>
    <row r="85" spans="77:256" ht="16.5">
      <c r="CG85" s="1698"/>
      <c r="CH85" s="1618" t="s">
        <v>2952</v>
      </c>
      <c r="CI85" s="1619">
        <v>0</v>
      </c>
      <c r="CJ85" s="1619">
        <v>0</v>
      </c>
      <c r="CK85" s="1619">
        <v>0</v>
      </c>
      <c r="CL85" s="1620">
        <v>0</v>
      </c>
      <c r="CM85" s="1619">
        <v>0</v>
      </c>
      <c r="CN85" s="1621">
        <v>0</v>
      </c>
      <c r="CO85" s="1620">
        <v>0</v>
      </c>
      <c r="CP85" s="1619">
        <v>0</v>
      </c>
      <c r="CQ85" s="1621">
        <v>0</v>
      </c>
      <c r="CR85" s="1619">
        <v>0</v>
      </c>
      <c r="CS85" s="1619">
        <v>0</v>
      </c>
      <c r="CT85" s="1619">
        <v>0</v>
      </c>
      <c r="CU85" s="1622">
        <f t="shared" si="70"/>
        <v>0</v>
      </c>
      <c r="CV85" s="1619">
        <v>0</v>
      </c>
      <c r="CW85" s="1619">
        <v>0</v>
      </c>
      <c r="CX85" s="1619">
        <v>0</v>
      </c>
      <c r="CY85" s="1620">
        <v>0</v>
      </c>
      <c r="CZ85" s="1619">
        <v>0</v>
      </c>
      <c r="DA85" s="1621">
        <v>0</v>
      </c>
      <c r="DB85" s="1620">
        <v>0</v>
      </c>
      <c r="DC85" s="1619">
        <v>0</v>
      </c>
      <c r="DD85" s="1621">
        <v>0</v>
      </c>
      <c r="DE85" s="1619">
        <v>0</v>
      </c>
      <c r="DF85" s="1619">
        <v>0</v>
      </c>
      <c r="DG85" s="1619">
        <v>0</v>
      </c>
      <c r="DH85" s="1622">
        <f t="shared" si="71"/>
        <v>0</v>
      </c>
      <c r="DI85" s="1619">
        <v>0</v>
      </c>
      <c r="DJ85" s="1619">
        <v>0</v>
      </c>
      <c r="DK85" s="1619">
        <v>0</v>
      </c>
      <c r="DL85" s="1620">
        <v>0</v>
      </c>
      <c r="DM85" s="1619">
        <v>0</v>
      </c>
      <c r="DN85" s="1621">
        <v>0</v>
      </c>
      <c r="DO85" s="1620">
        <v>0</v>
      </c>
      <c r="DP85" s="1619">
        <v>0</v>
      </c>
      <c r="DQ85" s="1621">
        <v>0</v>
      </c>
      <c r="DR85" s="1619">
        <v>0</v>
      </c>
      <c r="DS85" s="1619">
        <v>0</v>
      </c>
      <c r="DT85" s="1619">
        <v>0</v>
      </c>
      <c r="DU85" s="1622">
        <f t="shared" si="72"/>
        <v>0</v>
      </c>
      <c r="DV85" s="1619">
        <v>0</v>
      </c>
      <c r="DW85" s="1619">
        <v>0</v>
      </c>
      <c r="DX85" s="1619">
        <v>0</v>
      </c>
      <c r="DY85" s="1620">
        <v>0</v>
      </c>
      <c r="DZ85" s="1619">
        <v>0</v>
      </c>
      <c r="EA85" s="1621">
        <v>0</v>
      </c>
      <c r="EB85" s="1620">
        <v>0</v>
      </c>
      <c r="EC85" s="1619">
        <v>0</v>
      </c>
      <c r="ED85" s="1621">
        <v>0</v>
      </c>
      <c r="EE85" s="1619">
        <v>0</v>
      </c>
      <c r="EF85" s="1619">
        <v>0</v>
      </c>
      <c r="EG85" s="1619">
        <v>0</v>
      </c>
      <c r="EH85" s="1622">
        <f t="shared" si="73"/>
        <v>0</v>
      </c>
      <c r="GL85" s="1623"/>
      <c r="GM85" s="1893" t="s">
        <v>3147</v>
      </c>
      <c r="GN85" s="1625" t="s">
        <v>3148</v>
      </c>
      <c r="GO85" s="1705" t="s">
        <v>2936</v>
      </c>
      <c r="GP85" s="1705" t="s">
        <v>2932</v>
      </c>
      <c r="GQ85" s="1747">
        <v>12</v>
      </c>
      <c r="GR85" s="1705" t="s">
        <v>3146</v>
      </c>
      <c r="GS85" s="1706">
        <v>20</v>
      </c>
      <c r="GT85" s="1631">
        <v>90000</v>
      </c>
      <c r="GU85" s="1631"/>
      <c r="GV85" s="1631"/>
      <c r="GW85" s="1631"/>
      <c r="GX85" s="1631"/>
      <c r="GY85" s="1631"/>
      <c r="GZ85" s="1631"/>
      <c r="HA85" s="1631"/>
      <c r="HB85" s="1631"/>
      <c r="HC85" s="1631">
        <v>90000</v>
      </c>
      <c r="HD85" s="1631"/>
      <c r="HE85" s="1631"/>
      <c r="HF85" s="1631"/>
      <c r="HG85" s="1631">
        <v>0</v>
      </c>
      <c r="HH85" s="1631"/>
      <c r="HI85" s="1631"/>
      <c r="HJ85" s="1631"/>
      <c r="HK85" s="1631"/>
      <c r="HL85" s="1631"/>
      <c r="HM85" s="1631"/>
      <c r="HN85" s="1631"/>
      <c r="HO85" s="1631"/>
      <c r="HP85" s="1631"/>
      <c r="HQ85" s="1631"/>
      <c r="HR85" s="1631"/>
      <c r="HS85" s="1631"/>
      <c r="HT85" s="1631">
        <v>0</v>
      </c>
      <c r="HU85" s="1631"/>
      <c r="HV85" s="1631"/>
      <c r="HW85" s="1631"/>
      <c r="HX85" s="1631"/>
      <c r="HY85" s="1631"/>
      <c r="HZ85" s="1631"/>
      <c r="IA85" s="1631"/>
      <c r="IB85" s="1631"/>
      <c r="IC85" s="1631"/>
      <c r="ID85" s="1631"/>
      <c r="IE85" s="1631"/>
      <c r="IF85" s="1631"/>
      <c r="IG85" s="1631">
        <v>0</v>
      </c>
      <c r="IH85" s="1631"/>
      <c r="II85" s="1631"/>
      <c r="IJ85" s="1631"/>
      <c r="IK85" s="1631"/>
      <c r="IL85" s="1631"/>
      <c r="IM85" s="1631"/>
      <c r="IN85" s="1631"/>
      <c r="IO85" s="1631"/>
      <c r="IP85" s="1631"/>
      <c r="IQ85" s="1631"/>
      <c r="IR85" s="1631"/>
      <c r="IS85" s="1631"/>
      <c r="IT85" s="1633">
        <v>90000</v>
      </c>
      <c r="IU85" s="1633">
        <v>0</v>
      </c>
      <c r="IV85" s="1707"/>
    </row>
    <row r="86" spans="77:256" ht="16.5">
      <c r="CG86" s="1698"/>
      <c r="CH86" s="1618" t="s">
        <v>197</v>
      </c>
      <c r="CI86" s="1619">
        <v>0</v>
      </c>
      <c r="CJ86" s="1619">
        <v>10300000</v>
      </c>
      <c r="CK86" s="1619">
        <v>1154364</v>
      </c>
      <c r="CL86" s="1620">
        <v>10680000</v>
      </c>
      <c r="CM86" s="1619">
        <v>0</v>
      </c>
      <c r="CN86" s="1621">
        <v>65922800</v>
      </c>
      <c r="CO86" s="1620">
        <v>0</v>
      </c>
      <c r="CP86" s="1619">
        <v>9414000</v>
      </c>
      <c r="CQ86" s="1621">
        <v>8333333</v>
      </c>
      <c r="CR86" s="1619">
        <v>8333333</v>
      </c>
      <c r="CS86" s="1619">
        <v>8333333</v>
      </c>
      <c r="CT86" s="1619">
        <v>8333333</v>
      </c>
      <c r="CU86" s="1622">
        <f t="shared" si="70"/>
        <v>130804496</v>
      </c>
      <c r="CV86" s="1619">
        <v>0</v>
      </c>
      <c r="CW86" s="1619">
        <v>10300000</v>
      </c>
      <c r="CX86" s="1619">
        <v>1154364</v>
      </c>
      <c r="CY86" s="1620">
        <v>10680000</v>
      </c>
      <c r="CZ86" s="1619">
        <v>0</v>
      </c>
      <c r="DA86" s="1621">
        <v>65922800</v>
      </c>
      <c r="DB86" s="1620">
        <v>0</v>
      </c>
      <c r="DC86" s="1619">
        <v>0</v>
      </c>
      <c r="DD86" s="1621">
        <v>20000000</v>
      </c>
      <c r="DE86" s="1619">
        <v>30000000</v>
      </c>
      <c r="DF86" s="1619">
        <v>0</v>
      </c>
      <c r="DG86" s="1619">
        <v>0</v>
      </c>
      <c r="DH86" s="1622">
        <f t="shared" si="71"/>
        <v>138057164</v>
      </c>
      <c r="DI86" s="1619">
        <v>0</v>
      </c>
      <c r="DJ86" s="1619">
        <v>0</v>
      </c>
      <c r="DK86" s="1619">
        <v>0</v>
      </c>
      <c r="DL86" s="1620">
        <v>0</v>
      </c>
      <c r="DM86" s="1619">
        <v>0</v>
      </c>
      <c r="DN86" s="1621">
        <v>0</v>
      </c>
      <c r="DO86" s="1620">
        <v>40000000</v>
      </c>
      <c r="DP86" s="1619">
        <v>30000000</v>
      </c>
      <c r="DQ86" s="1621">
        <v>30000000</v>
      </c>
      <c r="DR86" s="1619">
        <v>20000000</v>
      </c>
      <c r="DS86" s="1619">
        <v>0</v>
      </c>
      <c r="DT86" s="1619">
        <v>0</v>
      </c>
      <c r="DU86" s="1622">
        <f t="shared" si="72"/>
        <v>120000000</v>
      </c>
      <c r="DV86" s="1619">
        <v>0</v>
      </c>
      <c r="DW86" s="1619">
        <v>0</v>
      </c>
      <c r="DX86" s="1619">
        <v>0</v>
      </c>
      <c r="DY86" s="1620">
        <v>0</v>
      </c>
      <c r="DZ86" s="1619">
        <v>0</v>
      </c>
      <c r="EA86" s="1621">
        <v>0</v>
      </c>
      <c r="EB86" s="1620">
        <v>90000000</v>
      </c>
      <c r="EC86" s="1619">
        <v>0</v>
      </c>
      <c r="ED86" s="1621">
        <v>0</v>
      </c>
      <c r="EE86" s="1619">
        <v>20000000</v>
      </c>
      <c r="EF86" s="1619">
        <v>0</v>
      </c>
      <c r="EG86" s="1619">
        <v>0</v>
      </c>
      <c r="EH86" s="1622">
        <f t="shared" si="73"/>
        <v>110000000</v>
      </c>
      <c r="GL86" s="1652"/>
      <c r="GM86" s="1748" t="s">
        <v>3149</v>
      </c>
      <c r="GN86" s="1714" t="s">
        <v>3150</v>
      </c>
      <c r="GO86" s="1711" t="s">
        <v>3018</v>
      </c>
      <c r="GP86" s="1711" t="s">
        <v>2932</v>
      </c>
      <c r="GQ86" s="1749">
        <v>12</v>
      </c>
      <c r="GR86" s="1711" t="s">
        <v>3146</v>
      </c>
      <c r="GS86" s="1712">
        <v>20</v>
      </c>
      <c r="GT86" s="1660">
        <v>70000</v>
      </c>
      <c r="GU86" s="1660"/>
      <c r="GV86" s="1660"/>
      <c r="GW86" s="1660"/>
      <c r="GX86" s="1660"/>
      <c r="GY86" s="1660"/>
      <c r="GZ86" s="1660">
        <v>41650</v>
      </c>
      <c r="HA86" s="1660"/>
      <c r="HB86" s="1660"/>
      <c r="HC86" s="1660">
        <v>28350</v>
      </c>
      <c r="HD86" s="1660"/>
      <c r="HE86" s="1660"/>
      <c r="HF86" s="1660"/>
      <c r="HG86" s="1660">
        <v>0</v>
      </c>
      <c r="HH86" s="1660"/>
      <c r="HI86" s="1660"/>
      <c r="HJ86" s="1660"/>
      <c r="HK86" s="1660"/>
      <c r="HL86" s="1660"/>
      <c r="HM86" s="1660"/>
      <c r="HN86" s="1660"/>
      <c r="HO86" s="1660"/>
      <c r="HP86" s="1660"/>
      <c r="HQ86" s="1660"/>
      <c r="HR86" s="1660"/>
      <c r="HS86" s="1660"/>
      <c r="HT86" s="1660">
        <v>0</v>
      </c>
      <c r="HU86" s="1660"/>
      <c r="HV86" s="1660"/>
      <c r="HW86" s="1660"/>
      <c r="HX86" s="1660"/>
      <c r="HY86" s="1660"/>
      <c r="HZ86" s="1660"/>
      <c r="IA86" s="1660"/>
      <c r="IB86" s="1660"/>
      <c r="IC86" s="1660"/>
      <c r="ID86" s="1660"/>
      <c r="IE86" s="1660"/>
      <c r="IF86" s="1660"/>
      <c r="IG86" s="1660">
        <v>0</v>
      </c>
      <c r="IH86" s="1660"/>
      <c r="II86" s="1660"/>
      <c r="IJ86" s="1660"/>
      <c r="IK86" s="1660"/>
      <c r="IL86" s="1660"/>
      <c r="IM86" s="1660"/>
      <c r="IN86" s="1660"/>
      <c r="IO86" s="1660"/>
      <c r="IP86" s="1660"/>
      <c r="IQ86" s="1660"/>
      <c r="IR86" s="1660"/>
      <c r="IS86" s="1660"/>
      <c r="IT86" s="1662">
        <v>70000</v>
      </c>
      <c r="IU86" s="1662">
        <v>0</v>
      </c>
      <c r="IV86" s="1713"/>
    </row>
    <row r="87" spans="77:256" ht="16.5">
      <c r="BY87" s="1617"/>
      <c r="BZ87" s="1617"/>
      <c r="CE87" s="1615"/>
      <c r="CF87" s="1615"/>
      <c r="CG87" s="1559"/>
      <c r="CH87" s="1716" t="s">
        <v>2003</v>
      </c>
      <c r="CI87" s="1648">
        <v>571067</v>
      </c>
      <c r="CJ87" s="1648">
        <v>540290</v>
      </c>
      <c r="CK87" s="1648">
        <v>562188</v>
      </c>
      <c r="CL87" s="1649">
        <v>546798</v>
      </c>
      <c r="CM87" s="1648">
        <v>562318</v>
      </c>
      <c r="CN87" s="1650">
        <v>546928</v>
      </c>
      <c r="CO87" s="1649">
        <v>548473</v>
      </c>
      <c r="CP87" s="1648">
        <v>550942</v>
      </c>
      <c r="CQ87" s="1650">
        <v>493106.66666666669</v>
      </c>
      <c r="CR87" s="1648">
        <v>493106.66666666669</v>
      </c>
      <c r="CS87" s="1648">
        <v>493106.66666666669</v>
      </c>
      <c r="CT87" s="1648">
        <v>493106.66666666669</v>
      </c>
      <c r="CU87" s="1651">
        <f t="shared" si="70"/>
        <v>6401430.6666666679</v>
      </c>
      <c r="CV87" s="1648">
        <v>571067</v>
      </c>
      <c r="CW87" s="1648">
        <v>540290</v>
      </c>
      <c r="CX87" s="1648">
        <v>562188</v>
      </c>
      <c r="CY87" s="1649">
        <v>546798</v>
      </c>
      <c r="CZ87" s="1648">
        <v>562318</v>
      </c>
      <c r="DA87" s="1650">
        <v>546928</v>
      </c>
      <c r="DB87" s="1649">
        <v>548473</v>
      </c>
      <c r="DC87" s="1648">
        <v>531242</v>
      </c>
      <c r="DD87" s="1650">
        <v>531242</v>
      </c>
      <c r="DE87" s="1648">
        <v>531242</v>
      </c>
      <c r="DF87" s="1648">
        <v>531242</v>
      </c>
      <c r="DG87" s="1648">
        <v>531242</v>
      </c>
      <c r="DH87" s="1651">
        <f t="shared" si="71"/>
        <v>6534272</v>
      </c>
      <c r="DI87" s="1648">
        <v>531242</v>
      </c>
      <c r="DJ87" s="1648">
        <v>531242</v>
      </c>
      <c r="DK87" s="1648">
        <v>531242</v>
      </c>
      <c r="DL87" s="1649">
        <v>531242</v>
      </c>
      <c r="DM87" s="1648">
        <v>531242</v>
      </c>
      <c r="DN87" s="1650">
        <v>531242</v>
      </c>
      <c r="DO87" s="1649">
        <v>531242</v>
      </c>
      <c r="DP87" s="1648">
        <v>531242</v>
      </c>
      <c r="DQ87" s="1650">
        <v>531242</v>
      </c>
      <c r="DR87" s="1648">
        <v>531242</v>
      </c>
      <c r="DS87" s="1648">
        <v>531242</v>
      </c>
      <c r="DT87" s="1648">
        <v>531242</v>
      </c>
      <c r="DU87" s="1651">
        <f t="shared" si="72"/>
        <v>6374904</v>
      </c>
      <c r="DV87" s="1648">
        <v>531242</v>
      </c>
      <c r="DW87" s="1648">
        <v>531242</v>
      </c>
      <c r="DX87" s="1648">
        <v>531242</v>
      </c>
      <c r="DY87" s="1649">
        <v>531242</v>
      </c>
      <c r="DZ87" s="1648">
        <v>531242</v>
      </c>
      <c r="EA87" s="1650">
        <v>531242</v>
      </c>
      <c r="EB87" s="1649">
        <v>531242</v>
      </c>
      <c r="EC87" s="1648">
        <v>531242</v>
      </c>
      <c r="ED87" s="1650">
        <v>531242</v>
      </c>
      <c r="EE87" s="1648">
        <v>531242</v>
      </c>
      <c r="EF87" s="1648">
        <v>531242</v>
      </c>
      <c r="EG87" s="1648">
        <v>531242</v>
      </c>
      <c r="EH87" s="1651">
        <f t="shared" si="73"/>
        <v>6374904</v>
      </c>
      <c r="EI87" s="1504"/>
      <c r="GL87" s="1623"/>
      <c r="GM87" s="1893" t="s">
        <v>3151</v>
      </c>
      <c r="GN87" s="1625" t="s">
        <v>3152</v>
      </c>
      <c r="GO87" s="1705" t="s">
        <v>3018</v>
      </c>
      <c r="GP87" s="1705" t="s">
        <v>2932</v>
      </c>
      <c r="GQ87" s="1747">
        <v>12</v>
      </c>
      <c r="GR87" s="1705" t="s">
        <v>3146</v>
      </c>
      <c r="GS87" s="1706">
        <v>20</v>
      </c>
      <c r="GT87" s="1631">
        <v>25000</v>
      </c>
      <c r="GU87" s="1631"/>
      <c r="GV87" s="1631"/>
      <c r="GW87" s="1631"/>
      <c r="GX87" s="1631"/>
      <c r="GY87" s="1631"/>
      <c r="GZ87" s="1631"/>
      <c r="HA87" s="1631"/>
      <c r="HB87" s="1631"/>
      <c r="HC87" s="1631">
        <v>25000</v>
      </c>
      <c r="HD87" s="1631"/>
      <c r="HE87" s="1631"/>
      <c r="HF87" s="1631"/>
      <c r="HG87" s="1631">
        <v>0</v>
      </c>
      <c r="HH87" s="1631"/>
      <c r="HI87" s="1631"/>
      <c r="HJ87" s="1631"/>
      <c r="HK87" s="1631"/>
      <c r="HL87" s="1631"/>
      <c r="HM87" s="1631"/>
      <c r="HN87" s="1631"/>
      <c r="HO87" s="1631"/>
      <c r="HP87" s="1631"/>
      <c r="HQ87" s="1631"/>
      <c r="HR87" s="1631"/>
      <c r="HS87" s="1631"/>
      <c r="HT87" s="1631">
        <v>0</v>
      </c>
      <c r="HU87" s="1631"/>
      <c r="HV87" s="1631"/>
      <c r="HW87" s="1631"/>
      <c r="HX87" s="1631"/>
      <c r="HY87" s="1631"/>
      <c r="HZ87" s="1631"/>
      <c r="IA87" s="1631"/>
      <c r="IB87" s="1631"/>
      <c r="IC87" s="1631"/>
      <c r="ID87" s="1631"/>
      <c r="IE87" s="1631"/>
      <c r="IF87" s="1631"/>
      <c r="IG87" s="1631">
        <v>0</v>
      </c>
      <c r="IH87" s="1631"/>
      <c r="II87" s="1631"/>
      <c r="IJ87" s="1631"/>
      <c r="IK87" s="1631"/>
      <c r="IL87" s="1631"/>
      <c r="IM87" s="1631"/>
      <c r="IN87" s="1631"/>
      <c r="IO87" s="1631"/>
      <c r="IP87" s="1631"/>
      <c r="IQ87" s="1631"/>
      <c r="IR87" s="1631"/>
      <c r="IS87" s="1631"/>
      <c r="IT87" s="1633">
        <v>25000</v>
      </c>
      <c r="IU87" s="1633">
        <v>0</v>
      </c>
      <c r="IV87" s="1707"/>
    </row>
    <row r="88" spans="77:256" ht="16.5">
      <c r="CG88" s="1559"/>
      <c r="CH88" s="1716" t="s">
        <v>2007</v>
      </c>
      <c r="CI88" s="1648">
        <v>0</v>
      </c>
      <c r="CJ88" s="1648">
        <v>201500</v>
      </c>
      <c r="CK88" s="1648">
        <v>0</v>
      </c>
      <c r="CL88" s="1649">
        <v>0</v>
      </c>
      <c r="CM88" s="1648">
        <v>118000</v>
      </c>
      <c r="CN88" s="1650">
        <v>138000</v>
      </c>
      <c r="CO88" s="1649">
        <v>280000</v>
      </c>
      <c r="CP88" s="1648">
        <v>81000</v>
      </c>
      <c r="CQ88" s="1650">
        <v>100000</v>
      </c>
      <c r="CR88" s="1648">
        <v>100000</v>
      </c>
      <c r="CS88" s="1648">
        <v>100000</v>
      </c>
      <c r="CT88" s="1648">
        <v>100000</v>
      </c>
      <c r="CU88" s="1651">
        <f t="shared" si="70"/>
        <v>1218500</v>
      </c>
      <c r="CV88" s="1648">
        <v>0</v>
      </c>
      <c r="CW88" s="1648">
        <v>201500</v>
      </c>
      <c r="CX88" s="1648">
        <v>0</v>
      </c>
      <c r="CY88" s="1649">
        <v>0</v>
      </c>
      <c r="CZ88" s="1648">
        <v>118000</v>
      </c>
      <c r="DA88" s="1650">
        <v>138000</v>
      </c>
      <c r="DB88" s="1649">
        <v>280000</v>
      </c>
      <c r="DC88" s="1648">
        <v>90000</v>
      </c>
      <c r="DD88" s="1650">
        <v>90000</v>
      </c>
      <c r="DE88" s="1648">
        <v>90000</v>
      </c>
      <c r="DF88" s="1648">
        <v>90000</v>
      </c>
      <c r="DG88" s="1648">
        <v>90000</v>
      </c>
      <c r="DH88" s="1651">
        <f t="shared" si="71"/>
        <v>1187500</v>
      </c>
      <c r="DI88" s="1648">
        <v>90000</v>
      </c>
      <c r="DJ88" s="1648">
        <v>90000</v>
      </c>
      <c r="DK88" s="1648">
        <v>90000</v>
      </c>
      <c r="DL88" s="1649">
        <v>90000</v>
      </c>
      <c r="DM88" s="1648">
        <v>90000</v>
      </c>
      <c r="DN88" s="1650">
        <v>90000</v>
      </c>
      <c r="DO88" s="1649">
        <v>90000</v>
      </c>
      <c r="DP88" s="1648">
        <v>90000</v>
      </c>
      <c r="DQ88" s="1650">
        <v>90000</v>
      </c>
      <c r="DR88" s="1648">
        <v>90000</v>
      </c>
      <c r="DS88" s="1648">
        <v>90000</v>
      </c>
      <c r="DT88" s="1648">
        <v>90000</v>
      </c>
      <c r="DU88" s="1651">
        <f t="shared" si="72"/>
        <v>1080000</v>
      </c>
      <c r="DV88" s="1648">
        <v>90000</v>
      </c>
      <c r="DW88" s="1648">
        <v>90000</v>
      </c>
      <c r="DX88" s="1648">
        <v>90000</v>
      </c>
      <c r="DY88" s="1649">
        <v>90000</v>
      </c>
      <c r="DZ88" s="1648">
        <v>90000</v>
      </c>
      <c r="EA88" s="1650">
        <v>90000</v>
      </c>
      <c r="EB88" s="1649">
        <v>90000</v>
      </c>
      <c r="EC88" s="1648">
        <v>90000</v>
      </c>
      <c r="ED88" s="1650">
        <v>90000</v>
      </c>
      <c r="EE88" s="1648">
        <v>90000</v>
      </c>
      <c r="EF88" s="1648">
        <v>90000</v>
      </c>
      <c r="EG88" s="1648">
        <v>90000</v>
      </c>
      <c r="EH88" s="1651">
        <f t="shared" si="73"/>
        <v>1080000</v>
      </c>
      <c r="EI88" s="1543"/>
      <c r="GL88" s="1652"/>
      <c r="GM88" s="1748" t="s">
        <v>3153</v>
      </c>
      <c r="GN88" s="1714" t="s">
        <v>3154</v>
      </c>
      <c r="GO88" s="1711" t="s">
        <v>2942</v>
      </c>
      <c r="GP88" s="1711" t="s">
        <v>2932</v>
      </c>
      <c r="GQ88" s="1749">
        <v>10</v>
      </c>
      <c r="GR88" s="1711" t="s">
        <v>2942</v>
      </c>
      <c r="GS88" s="1712">
        <v>20</v>
      </c>
      <c r="GT88" s="1660">
        <v>20000</v>
      </c>
      <c r="GU88" s="1660"/>
      <c r="GV88" s="1660"/>
      <c r="GW88" s="1660"/>
      <c r="GX88" s="1660"/>
      <c r="GY88" s="1660"/>
      <c r="GZ88" s="1660">
        <v>20000</v>
      </c>
      <c r="HA88" s="1660"/>
      <c r="HB88" s="1660"/>
      <c r="HC88" s="1660"/>
      <c r="HD88" s="1660"/>
      <c r="HE88" s="1660"/>
      <c r="HF88" s="1660"/>
      <c r="HG88" s="1660">
        <v>0</v>
      </c>
      <c r="HH88" s="1660"/>
      <c r="HI88" s="1660"/>
      <c r="HJ88" s="1660"/>
      <c r="HK88" s="1660"/>
      <c r="HL88" s="1660"/>
      <c r="HM88" s="1660"/>
      <c r="HN88" s="1660"/>
      <c r="HO88" s="1660"/>
      <c r="HP88" s="1660"/>
      <c r="HQ88" s="1660"/>
      <c r="HR88" s="1660"/>
      <c r="HS88" s="1660"/>
      <c r="HT88" s="1660">
        <v>0</v>
      </c>
      <c r="HU88" s="1660"/>
      <c r="HV88" s="1660"/>
      <c r="HW88" s="1660"/>
      <c r="HX88" s="1660"/>
      <c r="HY88" s="1660"/>
      <c r="HZ88" s="1660"/>
      <c r="IA88" s="1660"/>
      <c r="IB88" s="1660"/>
      <c r="IC88" s="1660"/>
      <c r="ID88" s="1660"/>
      <c r="IE88" s="1660"/>
      <c r="IF88" s="1660"/>
      <c r="IG88" s="1660">
        <v>0</v>
      </c>
      <c r="IH88" s="1660"/>
      <c r="II88" s="1660"/>
      <c r="IJ88" s="1660"/>
      <c r="IK88" s="1660"/>
      <c r="IL88" s="1660"/>
      <c r="IM88" s="1660"/>
      <c r="IN88" s="1660"/>
      <c r="IO88" s="1660"/>
      <c r="IP88" s="1660"/>
      <c r="IQ88" s="1660"/>
      <c r="IR88" s="1660"/>
      <c r="IS88" s="1660"/>
      <c r="IT88" s="1662">
        <v>20000</v>
      </c>
      <c r="IU88" s="1662">
        <v>0</v>
      </c>
      <c r="IV88" s="1713"/>
    </row>
    <row r="89" spans="77:256" ht="16.5">
      <c r="CG89" s="1559"/>
      <c r="CH89" s="1716" t="s">
        <v>1398</v>
      </c>
      <c r="CI89" s="1648">
        <v>0</v>
      </c>
      <c r="CJ89" s="1648">
        <v>0</v>
      </c>
      <c r="CK89" s="1648">
        <v>0</v>
      </c>
      <c r="CL89" s="1649">
        <v>0</v>
      </c>
      <c r="CM89" s="1648">
        <v>0</v>
      </c>
      <c r="CN89" s="1650">
        <v>0</v>
      </c>
      <c r="CO89" s="1649">
        <v>0</v>
      </c>
      <c r="CP89" s="1648">
        <v>0</v>
      </c>
      <c r="CQ89" s="1650">
        <v>0</v>
      </c>
      <c r="CR89" s="1648">
        <v>0</v>
      </c>
      <c r="CS89" s="1648">
        <v>0</v>
      </c>
      <c r="CT89" s="1648">
        <v>0</v>
      </c>
      <c r="CU89" s="1651">
        <f t="shared" si="70"/>
        <v>0</v>
      </c>
      <c r="CV89" s="1648">
        <v>0</v>
      </c>
      <c r="CW89" s="1648">
        <v>0</v>
      </c>
      <c r="CX89" s="1648">
        <v>0</v>
      </c>
      <c r="CY89" s="1649">
        <v>0</v>
      </c>
      <c r="CZ89" s="1648">
        <v>0</v>
      </c>
      <c r="DA89" s="1650">
        <v>0</v>
      </c>
      <c r="DB89" s="1649">
        <v>0</v>
      </c>
      <c r="DC89" s="1648">
        <v>0</v>
      </c>
      <c r="DD89" s="1650">
        <v>0</v>
      </c>
      <c r="DE89" s="1648">
        <v>0</v>
      </c>
      <c r="DF89" s="1648">
        <v>0</v>
      </c>
      <c r="DG89" s="1648">
        <v>0</v>
      </c>
      <c r="DH89" s="1651">
        <f t="shared" si="71"/>
        <v>0</v>
      </c>
      <c r="DI89" s="1648">
        <v>0</v>
      </c>
      <c r="DJ89" s="1648">
        <v>0</v>
      </c>
      <c r="DK89" s="1648">
        <v>0</v>
      </c>
      <c r="DL89" s="1649">
        <v>0</v>
      </c>
      <c r="DM89" s="1648">
        <v>0</v>
      </c>
      <c r="DN89" s="1650">
        <v>0</v>
      </c>
      <c r="DO89" s="1649">
        <v>0</v>
      </c>
      <c r="DP89" s="1648">
        <v>0</v>
      </c>
      <c r="DQ89" s="1650">
        <v>0</v>
      </c>
      <c r="DR89" s="1648">
        <v>0</v>
      </c>
      <c r="DS89" s="1648">
        <v>0</v>
      </c>
      <c r="DT89" s="1648">
        <v>0</v>
      </c>
      <c r="DU89" s="1651">
        <f t="shared" si="72"/>
        <v>0</v>
      </c>
      <c r="DV89" s="1648">
        <v>0</v>
      </c>
      <c r="DW89" s="1648">
        <v>0</v>
      </c>
      <c r="DX89" s="1648">
        <v>0</v>
      </c>
      <c r="DY89" s="1649">
        <v>0</v>
      </c>
      <c r="DZ89" s="1648">
        <v>0</v>
      </c>
      <c r="EA89" s="1650">
        <v>0</v>
      </c>
      <c r="EB89" s="1649">
        <v>0</v>
      </c>
      <c r="EC89" s="1648">
        <v>0</v>
      </c>
      <c r="ED89" s="1650">
        <v>0</v>
      </c>
      <c r="EE89" s="1648">
        <v>0</v>
      </c>
      <c r="EF89" s="1648">
        <v>0</v>
      </c>
      <c r="EG89" s="1648">
        <v>0</v>
      </c>
      <c r="EH89" s="1651">
        <f t="shared" si="73"/>
        <v>0</v>
      </c>
      <c r="GL89" s="1623"/>
      <c r="GM89" s="1893" t="s">
        <v>3155</v>
      </c>
      <c r="GN89" s="1894" t="s">
        <v>3156</v>
      </c>
      <c r="GO89" s="1705" t="s">
        <v>2954</v>
      </c>
      <c r="GP89" s="1705" t="s">
        <v>2932</v>
      </c>
      <c r="GQ89" s="1747">
        <v>12</v>
      </c>
      <c r="GR89" s="1705" t="s">
        <v>3146</v>
      </c>
      <c r="GS89" s="1706">
        <v>22</v>
      </c>
      <c r="GT89" s="1631">
        <v>0</v>
      </c>
      <c r="GU89" s="1631"/>
      <c r="GV89" s="1631"/>
      <c r="GW89" s="1631"/>
      <c r="GX89" s="1631"/>
      <c r="GY89" s="1631"/>
      <c r="GZ89" s="1631"/>
      <c r="HA89" s="1631"/>
      <c r="HB89" s="1631"/>
      <c r="HC89" s="1631"/>
      <c r="HD89" s="1631"/>
      <c r="HE89" s="1631"/>
      <c r="HF89" s="1631"/>
      <c r="HG89" s="1631">
        <v>0</v>
      </c>
      <c r="HH89" s="1631"/>
      <c r="HI89" s="1631"/>
      <c r="HJ89" s="1631"/>
      <c r="HK89" s="1631"/>
      <c r="HL89" s="1631"/>
      <c r="HM89" s="1631"/>
      <c r="HN89" s="1631"/>
      <c r="HO89" s="1631"/>
      <c r="HP89" s="1631"/>
      <c r="HQ89" s="1631"/>
      <c r="HR89" s="1631"/>
      <c r="HS89" s="1631"/>
      <c r="HT89" s="1631">
        <v>200000</v>
      </c>
      <c r="HU89" s="1631"/>
      <c r="HV89" s="1631"/>
      <c r="HW89" s="1631"/>
      <c r="HX89" s="1631"/>
      <c r="HY89" s="1631"/>
      <c r="HZ89" s="1631">
        <v>200000</v>
      </c>
      <c r="IA89" s="1631"/>
      <c r="IB89" s="1631"/>
      <c r="IC89" s="1631"/>
      <c r="ID89" s="1631"/>
      <c r="IE89" s="1631"/>
      <c r="IF89" s="1631"/>
      <c r="IG89" s="1631">
        <v>0</v>
      </c>
      <c r="IH89" s="1631"/>
      <c r="II89" s="1631"/>
      <c r="IJ89" s="1631"/>
      <c r="IK89" s="1631"/>
      <c r="IL89" s="1631"/>
      <c r="IM89" s="1631"/>
      <c r="IN89" s="1631"/>
      <c r="IO89" s="1631"/>
      <c r="IP89" s="1631"/>
      <c r="IQ89" s="1631"/>
      <c r="IR89" s="1631"/>
      <c r="IS89" s="1631"/>
      <c r="IT89" s="1633">
        <v>200000</v>
      </c>
      <c r="IU89" s="1633">
        <v>200000</v>
      </c>
      <c r="IV89" s="1707"/>
    </row>
    <row r="90" spans="77:256" ht="16.5">
      <c r="CG90" s="1559"/>
      <c r="CH90" s="1716" t="s">
        <v>2967</v>
      </c>
      <c r="CI90" s="1648">
        <v>10800000</v>
      </c>
      <c r="CJ90" s="1648">
        <v>12800000</v>
      </c>
      <c r="CK90" s="1648">
        <v>12800000</v>
      </c>
      <c r="CL90" s="1649">
        <v>10400000</v>
      </c>
      <c r="CM90" s="1648">
        <v>8400000</v>
      </c>
      <c r="CN90" s="1650">
        <v>8800000</v>
      </c>
      <c r="CO90" s="1649">
        <v>16000000</v>
      </c>
      <c r="CP90" s="1648">
        <v>14000000</v>
      </c>
      <c r="CQ90" s="1650">
        <v>13000000</v>
      </c>
      <c r="CR90" s="1648">
        <v>13000000</v>
      </c>
      <c r="CS90" s="1648">
        <v>13000000</v>
      </c>
      <c r="CT90" s="1648">
        <v>13000000</v>
      </c>
      <c r="CU90" s="1651">
        <f t="shared" si="70"/>
        <v>146000000</v>
      </c>
      <c r="CV90" s="1648">
        <v>10800000</v>
      </c>
      <c r="CW90" s="1648">
        <v>12800000</v>
      </c>
      <c r="CX90" s="1648">
        <v>12800000</v>
      </c>
      <c r="CY90" s="1649">
        <v>10400000</v>
      </c>
      <c r="CZ90" s="1648">
        <v>8400000</v>
      </c>
      <c r="DA90" s="1650">
        <v>8800000</v>
      </c>
      <c r="DB90" s="1649">
        <v>16000000</v>
      </c>
      <c r="DC90" s="1648">
        <v>11840000</v>
      </c>
      <c r="DD90" s="1650">
        <v>12080000</v>
      </c>
      <c r="DE90" s="1648">
        <v>11840000</v>
      </c>
      <c r="DF90" s="1648">
        <v>12080000</v>
      </c>
      <c r="DG90" s="1648">
        <v>11840000</v>
      </c>
      <c r="DH90" s="1651">
        <f t="shared" si="71"/>
        <v>139680000</v>
      </c>
      <c r="DI90" s="1648">
        <v>12120000</v>
      </c>
      <c r="DJ90" s="1648">
        <v>11840000</v>
      </c>
      <c r="DK90" s="1648">
        <v>12120000</v>
      </c>
      <c r="DL90" s="1649">
        <v>11840000</v>
      </c>
      <c r="DM90" s="1648">
        <v>12120000</v>
      </c>
      <c r="DN90" s="1650">
        <v>11840000</v>
      </c>
      <c r="DO90" s="1649">
        <v>12120000</v>
      </c>
      <c r="DP90" s="1648">
        <v>11840000</v>
      </c>
      <c r="DQ90" s="1650">
        <v>12080000</v>
      </c>
      <c r="DR90" s="1648">
        <v>11840000</v>
      </c>
      <c r="DS90" s="1648">
        <v>12080000</v>
      </c>
      <c r="DT90" s="1648">
        <v>11840000</v>
      </c>
      <c r="DU90" s="1651">
        <f t="shared" si="72"/>
        <v>143680000</v>
      </c>
      <c r="DV90" s="1648">
        <v>12120000</v>
      </c>
      <c r="DW90" s="1648">
        <v>11840000</v>
      </c>
      <c r="DX90" s="1648">
        <v>12120000</v>
      </c>
      <c r="DY90" s="1649">
        <v>11840000</v>
      </c>
      <c r="DZ90" s="1648">
        <v>12120000</v>
      </c>
      <c r="EA90" s="1650">
        <v>11840000</v>
      </c>
      <c r="EB90" s="1649">
        <v>12120000</v>
      </c>
      <c r="EC90" s="1648">
        <v>11840000</v>
      </c>
      <c r="ED90" s="1650">
        <v>12080000</v>
      </c>
      <c r="EE90" s="1648">
        <v>11840000</v>
      </c>
      <c r="EF90" s="1648">
        <v>12080000</v>
      </c>
      <c r="EG90" s="1648">
        <v>11840000</v>
      </c>
      <c r="EH90" s="1651">
        <f t="shared" si="73"/>
        <v>143680000</v>
      </c>
      <c r="EI90" s="1504"/>
      <c r="GL90" s="1652"/>
      <c r="GM90" s="1748" t="s">
        <v>3157</v>
      </c>
      <c r="GN90" s="1714" t="s">
        <v>3158</v>
      </c>
      <c r="GO90" s="1711" t="s">
        <v>2954</v>
      </c>
      <c r="GP90" s="1711" t="s">
        <v>2932</v>
      </c>
      <c r="GQ90" s="1749">
        <v>12</v>
      </c>
      <c r="GR90" s="1711" t="s">
        <v>3146</v>
      </c>
      <c r="GS90" s="1712">
        <v>22</v>
      </c>
      <c r="GT90" s="1660">
        <v>0</v>
      </c>
      <c r="GU90" s="1660"/>
      <c r="GV90" s="1660"/>
      <c r="GW90" s="1660"/>
      <c r="GX90" s="1660"/>
      <c r="GY90" s="1660"/>
      <c r="GZ90" s="1660"/>
      <c r="HA90" s="1660"/>
      <c r="HB90" s="1660"/>
      <c r="HC90" s="1660"/>
      <c r="HD90" s="1660"/>
      <c r="HE90" s="1660"/>
      <c r="HF90" s="1660"/>
      <c r="HG90" s="1660">
        <v>0</v>
      </c>
      <c r="HH90" s="1660"/>
      <c r="HI90" s="1660"/>
      <c r="HJ90" s="1660"/>
      <c r="HK90" s="1660"/>
      <c r="HL90" s="1660"/>
      <c r="HM90" s="1660"/>
      <c r="HN90" s="1660"/>
      <c r="HO90" s="1660"/>
      <c r="HP90" s="1660"/>
      <c r="HQ90" s="1660"/>
      <c r="HR90" s="1660"/>
      <c r="HS90" s="1660"/>
      <c r="HT90" s="1660">
        <v>1500000</v>
      </c>
      <c r="HU90" s="1660"/>
      <c r="HV90" s="1660"/>
      <c r="HW90" s="1660"/>
      <c r="HX90" s="1660"/>
      <c r="HY90" s="1660"/>
      <c r="HZ90" s="1660">
        <v>1500000</v>
      </c>
      <c r="IA90" s="1660"/>
      <c r="IB90" s="1660"/>
      <c r="IC90" s="1660"/>
      <c r="ID90" s="1660"/>
      <c r="IE90" s="1660"/>
      <c r="IF90" s="1660"/>
      <c r="IG90" s="1660">
        <v>0</v>
      </c>
      <c r="IH90" s="1660"/>
      <c r="II90" s="1660"/>
      <c r="IJ90" s="1660"/>
      <c r="IK90" s="1660"/>
      <c r="IL90" s="1660"/>
      <c r="IM90" s="1660"/>
      <c r="IN90" s="1660"/>
      <c r="IO90" s="1660"/>
      <c r="IP90" s="1660"/>
      <c r="IQ90" s="1660"/>
      <c r="IR90" s="1660"/>
      <c r="IS90" s="1660"/>
      <c r="IT90" s="1662">
        <v>1500000</v>
      </c>
      <c r="IU90" s="1662">
        <v>1500000</v>
      </c>
      <c r="IV90" s="1713"/>
    </row>
    <row r="91" spans="77:256" ht="16.5">
      <c r="CG91" s="1698"/>
      <c r="CH91" s="1618" t="s">
        <v>2017</v>
      </c>
      <c r="CI91" s="1619">
        <v>480000</v>
      </c>
      <c r="CJ91" s="1619">
        <v>213000</v>
      </c>
      <c r="CK91" s="1619">
        <v>1060000</v>
      </c>
      <c r="CL91" s="1620">
        <v>430000</v>
      </c>
      <c r="CM91" s="1619">
        <v>256000</v>
      </c>
      <c r="CN91" s="1621">
        <v>180000</v>
      </c>
      <c r="CO91" s="1620">
        <v>1083800</v>
      </c>
      <c r="CP91" s="1619">
        <v>180000</v>
      </c>
      <c r="CQ91" s="1621">
        <v>900000</v>
      </c>
      <c r="CR91" s="1619">
        <v>980000</v>
      </c>
      <c r="CS91" s="1619">
        <v>200000</v>
      </c>
      <c r="CT91" s="1619">
        <v>900000</v>
      </c>
      <c r="CU91" s="1622">
        <f t="shared" si="70"/>
        <v>6862800</v>
      </c>
      <c r="CV91" s="1619">
        <v>480000</v>
      </c>
      <c r="CW91" s="1619">
        <v>213000</v>
      </c>
      <c r="CX91" s="1619">
        <v>1060000</v>
      </c>
      <c r="CY91" s="1620">
        <v>430000</v>
      </c>
      <c r="CZ91" s="1619">
        <v>256000</v>
      </c>
      <c r="DA91" s="1621">
        <v>180000</v>
      </c>
      <c r="DB91" s="1620">
        <v>1083800</v>
      </c>
      <c r="DC91" s="1619">
        <v>200000</v>
      </c>
      <c r="DD91" s="1621">
        <v>900000</v>
      </c>
      <c r="DE91" s="1619">
        <v>980000</v>
      </c>
      <c r="DF91" s="1619">
        <v>200000</v>
      </c>
      <c r="DG91" s="1619">
        <v>900000</v>
      </c>
      <c r="DH91" s="1622">
        <f t="shared" si="71"/>
        <v>6882800</v>
      </c>
      <c r="DI91" s="1619">
        <v>200000</v>
      </c>
      <c r="DJ91" s="1619">
        <v>200000</v>
      </c>
      <c r="DK91" s="1619">
        <v>900000</v>
      </c>
      <c r="DL91" s="1620">
        <v>1330000</v>
      </c>
      <c r="DM91" s="1619">
        <v>200000</v>
      </c>
      <c r="DN91" s="1621">
        <v>900000</v>
      </c>
      <c r="DO91" s="1620">
        <v>200000</v>
      </c>
      <c r="DP91" s="1619">
        <v>200000</v>
      </c>
      <c r="DQ91" s="1621">
        <v>900000</v>
      </c>
      <c r="DR91" s="1619">
        <v>980000</v>
      </c>
      <c r="DS91" s="1619">
        <v>200000</v>
      </c>
      <c r="DT91" s="1619">
        <v>900000</v>
      </c>
      <c r="DU91" s="1622">
        <f t="shared" si="72"/>
        <v>7110000</v>
      </c>
      <c r="DV91" s="1619">
        <v>200000</v>
      </c>
      <c r="DW91" s="1619">
        <v>200000</v>
      </c>
      <c r="DX91" s="1619">
        <v>900000</v>
      </c>
      <c r="DY91" s="1620">
        <v>1330000</v>
      </c>
      <c r="DZ91" s="1619">
        <v>200000</v>
      </c>
      <c r="EA91" s="1621">
        <v>2900000</v>
      </c>
      <c r="EB91" s="1620">
        <v>200000</v>
      </c>
      <c r="EC91" s="1619">
        <v>1200000</v>
      </c>
      <c r="ED91" s="1621">
        <v>900000</v>
      </c>
      <c r="EE91" s="1619">
        <v>980000</v>
      </c>
      <c r="EF91" s="1619">
        <v>200000</v>
      </c>
      <c r="EG91" s="1619">
        <v>900000</v>
      </c>
      <c r="EH91" s="1622">
        <f t="shared" si="73"/>
        <v>10110000</v>
      </c>
      <c r="GL91" s="1623"/>
      <c r="GM91" s="1893" t="s">
        <v>3159</v>
      </c>
      <c r="GN91" s="1625" t="s">
        <v>3160</v>
      </c>
      <c r="GO91" s="1705" t="s">
        <v>2954</v>
      </c>
      <c r="GP91" s="1705" t="s">
        <v>2932</v>
      </c>
      <c r="GQ91" s="1747">
        <v>12</v>
      </c>
      <c r="GR91" s="1705" t="s">
        <v>3146</v>
      </c>
      <c r="GS91" s="1706">
        <v>22</v>
      </c>
      <c r="GT91" s="1631">
        <v>0</v>
      </c>
      <c r="GU91" s="1631"/>
      <c r="GV91" s="1631"/>
      <c r="GW91" s="1631"/>
      <c r="GX91" s="1631"/>
      <c r="GY91" s="1631"/>
      <c r="GZ91" s="1631"/>
      <c r="HA91" s="1631"/>
      <c r="HB91" s="1631"/>
      <c r="HC91" s="1631"/>
      <c r="HD91" s="1631"/>
      <c r="HE91" s="1631"/>
      <c r="HF91" s="1631"/>
      <c r="HG91" s="1631">
        <v>0</v>
      </c>
      <c r="HH91" s="1631"/>
      <c r="HI91" s="1631"/>
      <c r="HJ91" s="1631"/>
      <c r="HK91" s="1631"/>
      <c r="HL91" s="1631"/>
      <c r="HM91" s="1631"/>
      <c r="HN91" s="1631"/>
      <c r="HO91" s="1631"/>
      <c r="HP91" s="1631"/>
      <c r="HQ91" s="1631"/>
      <c r="HR91" s="1631"/>
      <c r="HS91" s="1631"/>
      <c r="HT91" s="1631">
        <v>1000000</v>
      </c>
      <c r="HU91" s="1631"/>
      <c r="HV91" s="1631"/>
      <c r="HW91" s="1631"/>
      <c r="HX91" s="1631"/>
      <c r="HY91" s="1631"/>
      <c r="HZ91" s="1631">
        <v>1000000</v>
      </c>
      <c r="IA91" s="1631"/>
      <c r="IB91" s="1631"/>
      <c r="IC91" s="1631"/>
      <c r="ID91" s="1631"/>
      <c r="IE91" s="1631"/>
      <c r="IF91" s="1631"/>
      <c r="IG91" s="1631">
        <v>0</v>
      </c>
      <c r="IH91" s="1631"/>
      <c r="II91" s="1631"/>
      <c r="IJ91" s="1631"/>
      <c r="IK91" s="1631"/>
      <c r="IL91" s="1631"/>
      <c r="IM91" s="1631"/>
      <c r="IN91" s="1631"/>
      <c r="IO91" s="1631"/>
      <c r="IP91" s="1631"/>
      <c r="IQ91" s="1631"/>
      <c r="IR91" s="1631"/>
      <c r="IS91" s="1631"/>
      <c r="IT91" s="1633">
        <v>1000000</v>
      </c>
      <c r="IU91" s="1633">
        <v>1000000</v>
      </c>
      <c r="IV91" s="1707"/>
    </row>
    <row r="92" spans="77:256" ht="16.5">
      <c r="CG92" s="1698"/>
      <c r="CH92" s="1618" t="s">
        <v>198</v>
      </c>
      <c r="CI92" s="1619">
        <v>1537900</v>
      </c>
      <c r="CJ92" s="1619">
        <v>1318158</v>
      </c>
      <c r="CK92" s="1619">
        <v>3959664</v>
      </c>
      <c r="CL92" s="1620">
        <v>1330273</v>
      </c>
      <c r="CM92" s="1619">
        <v>1896710</v>
      </c>
      <c r="CN92" s="1621">
        <v>1488500</v>
      </c>
      <c r="CO92" s="1620">
        <v>1500500</v>
      </c>
      <c r="CP92" s="1619">
        <v>1595209</v>
      </c>
      <c r="CQ92" s="1621">
        <v>1940000</v>
      </c>
      <c r="CR92" s="1619">
        <v>1940000</v>
      </c>
      <c r="CS92" s="1619">
        <v>1940000</v>
      </c>
      <c r="CT92" s="1619">
        <v>1940000</v>
      </c>
      <c r="CU92" s="1622">
        <f t="shared" si="70"/>
        <v>22386914</v>
      </c>
      <c r="CV92" s="1619">
        <v>1537900</v>
      </c>
      <c r="CW92" s="1619">
        <v>1318158</v>
      </c>
      <c r="CX92" s="1619">
        <v>3959664</v>
      </c>
      <c r="CY92" s="1620">
        <v>1330273</v>
      </c>
      <c r="CZ92" s="1619">
        <v>1896710</v>
      </c>
      <c r="DA92" s="1621">
        <v>1488500</v>
      </c>
      <c r="DB92" s="1620">
        <v>1500500</v>
      </c>
      <c r="DC92" s="1619">
        <v>1940000</v>
      </c>
      <c r="DD92" s="1621">
        <v>1940000</v>
      </c>
      <c r="DE92" s="1619">
        <v>1940000</v>
      </c>
      <c r="DF92" s="1619">
        <v>1940000</v>
      </c>
      <c r="DG92" s="1619">
        <v>1940000</v>
      </c>
      <c r="DH92" s="1622">
        <f t="shared" si="71"/>
        <v>22731705</v>
      </c>
      <c r="DI92" s="1619">
        <v>1940000</v>
      </c>
      <c r="DJ92" s="1619">
        <v>1940000</v>
      </c>
      <c r="DK92" s="1619">
        <v>1940000</v>
      </c>
      <c r="DL92" s="1620">
        <v>1940000</v>
      </c>
      <c r="DM92" s="1619">
        <v>1940000</v>
      </c>
      <c r="DN92" s="1621">
        <v>1940000</v>
      </c>
      <c r="DO92" s="1620">
        <v>1940000</v>
      </c>
      <c r="DP92" s="1619">
        <v>1940000</v>
      </c>
      <c r="DQ92" s="1621">
        <v>1940000</v>
      </c>
      <c r="DR92" s="1619">
        <v>1940000</v>
      </c>
      <c r="DS92" s="1619">
        <v>1940000</v>
      </c>
      <c r="DT92" s="1619">
        <v>1940000</v>
      </c>
      <c r="DU92" s="1622">
        <f t="shared" si="72"/>
        <v>23280000</v>
      </c>
      <c r="DV92" s="1619">
        <v>1940000</v>
      </c>
      <c r="DW92" s="1619">
        <v>1940000</v>
      </c>
      <c r="DX92" s="1619">
        <v>1940000</v>
      </c>
      <c r="DY92" s="1620">
        <v>1940000</v>
      </c>
      <c r="DZ92" s="1619">
        <v>1940000</v>
      </c>
      <c r="EA92" s="1621">
        <v>1940000</v>
      </c>
      <c r="EB92" s="1620">
        <v>1940000</v>
      </c>
      <c r="EC92" s="1619">
        <v>1940000</v>
      </c>
      <c r="ED92" s="1621">
        <v>1940000</v>
      </c>
      <c r="EE92" s="1619">
        <v>1940000</v>
      </c>
      <c r="EF92" s="1619">
        <v>1940000</v>
      </c>
      <c r="EG92" s="1619">
        <v>1940000</v>
      </c>
      <c r="EH92" s="1622">
        <f t="shared" si="73"/>
        <v>23280000</v>
      </c>
      <c r="GL92" s="1652"/>
      <c r="GM92" s="1748" t="s">
        <v>3161</v>
      </c>
      <c r="GN92" s="1714" t="s">
        <v>3162</v>
      </c>
      <c r="GO92" s="1711" t="s">
        <v>3163</v>
      </c>
      <c r="GP92" s="1711" t="s">
        <v>3019</v>
      </c>
      <c r="GQ92" s="1749">
        <v>6</v>
      </c>
      <c r="GR92" s="1711" t="s">
        <v>3031</v>
      </c>
      <c r="GS92" s="1712">
        <v>21</v>
      </c>
      <c r="GT92" s="1660">
        <v>0</v>
      </c>
      <c r="GU92" s="1660"/>
      <c r="GV92" s="1660"/>
      <c r="GW92" s="1660"/>
      <c r="GX92" s="1660"/>
      <c r="GY92" s="1660"/>
      <c r="GZ92" s="1660"/>
      <c r="HA92" s="1660"/>
      <c r="HB92" s="1660"/>
      <c r="HC92" s="1660"/>
      <c r="HD92" s="1660"/>
      <c r="HE92" s="1660"/>
      <c r="HF92" s="1660"/>
      <c r="HG92" s="1660">
        <v>33000</v>
      </c>
      <c r="HH92" s="1660"/>
      <c r="HI92" s="1660"/>
      <c r="HJ92" s="1660">
        <v>33000</v>
      </c>
      <c r="HK92" s="1660"/>
      <c r="HL92" s="1660"/>
      <c r="HM92" s="1660"/>
      <c r="HN92" s="1660"/>
      <c r="HO92" s="1660"/>
      <c r="HP92" s="1660"/>
      <c r="HQ92" s="1660"/>
      <c r="HR92" s="1660"/>
      <c r="HS92" s="1660"/>
      <c r="HT92" s="1660">
        <v>0</v>
      </c>
      <c r="HU92" s="1660"/>
      <c r="HV92" s="1660"/>
      <c r="HW92" s="1660"/>
      <c r="HX92" s="1660"/>
      <c r="HY92" s="1660"/>
      <c r="HZ92" s="1660"/>
      <c r="IA92" s="1660"/>
      <c r="IB92" s="1660"/>
      <c r="IC92" s="1660"/>
      <c r="ID92" s="1660"/>
      <c r="IE92" s="1660"/>
      <c r="IF92" s="1660"/>
      <c r="IG92" s="1660">
        <v>0</v>
      </c>
      <c r="IH92" s="1660"/>
      <c r="II92" s="1660"/>
      <c r="IJ92" s="1660"/>
      <c r="IK92" s="1660"/>
      <c r="IL92" s="1660"/>
      <c r="IM92" s="1660"/>
      <c r="IN92" s="1660"/>
      <c r="IO92" s="1660"/>
      <c r="IP92" s="1660"/>
      <c r="IQ92" s="1660"/>
      <c r="IR92" s="1660"/>
      <c r="IS92" s="1660"/>
      <c r="IT92" s="1662">
        <v>33000</v>
      </c>
      <c r="IU92" s="1662">
        <v>33000</v>
      </c>
      <c r="IV92" s="1713"/>
    </row>
    <row r="93" spans="77:256" ht="16.5">
      <c r="CG93" s="1698"/>
      <c r="CH93" s="1618" t="s">
        <v>2021</v>
      </c>
      <c r="CI93" s="1619">
        <v>0</v>
      </c>
      <c r="CJ93" s="1619">
        <v>0</v>
      </c>
      <c r="CK93" s="1619">
        <v>0</v>
      </c>
      <c r="CL93" s="1620">
        <v>0</v>
      </c>
      <c r="CM93" s="1619">
        <v>0</v>
      </c>
      <c r="CN93" s="1621">
        <v>0</v>
      </c>
      <c r="CO93" s="1620">
        <v>0</v>
      </c>
      <c r="CP93" s="1619">
        <v>0</v>
      </c>
      <c r="CQ93" s="1621">
        <v>0</v>
      </c>
      <c r="CR93" s="1619">
        <v>0</v>
      </c>
      <c r="CS93" s="1619">
        <v>0</v>
      </c>
      <c r="CT93" s="1619">
        <v>0</v>
      </c>
      <c r="CU93" s="1622">
        <f t="shared" si="70"/>
        <v>0</v>
      </c>
      <c r="CV93" s="1619">
        <v>0</v>
      </c>
      <c r="CW93" s="1619">
        <v>0</v>
      </c>
      <c r="CX93" s="1619">
        <v>0</v>
      </c>
      <c r="CY93" s="1620">
        <v>0</v>
      </c>
      <c r="CZ93" s="1619">
        <v>0</v>
      </c>
      <c r="DA93" s="1621">
        <v>0</v>
      </c>
      <c r="DB93" s="1620">
        <v>0</v>
      </c>
      <c r="DC93" s="1619">
        <v>0</v>
      </c>
      <c r="DD93" s="1621">
        <v>0</v>
      </c>
      <c r="DE93" s="1619">
        <v>0</v>
      </c>
      <c r="DF93" s="1619">
        <v>0</v>
      </c>
      <c r="DG93" s="1619">
        <v>0</v>
      </c>
      <c r="DH93" s="1622">
        <f t="shared" si="71"/>
        <v>0</v>
      </c>
      <c r="DI93" s="1619">
        <v>0</v>
      </c>
      <c r="DJ93" s="1619">
        <v>0</v>
      </c>
      <c r="DK93" s="1619">
        <v>0</v>
      </c>
      <c r="DL93" s="1620">
        <v>50000</v>
      </c>
      <c r="DM93" s="1619">
        <v>50000</v>
      </c>
      <c r="DN93" s="1621">
        <v>50000</v>
      </c>
      <c r="DO93" s="1620">
        <v>0</v>
      </c>
      <c r="DP93" s="1619">
        <v>0</v>
      </c>
      <c r="DQ93" s="1621">
        <v>0</v>
      </c>
      <c r="DR93" s="1619">
        <v>0</v>
      </c>
      <c r="DS93" s="1619">
        <v>0</v>
      </c>
      <c r="DT93" s="1619">
        <v>0</v>
      </c>
      <c r="DU93" s="1622">
        <f t="shared" si="72"/>
        <v>150000</v>
      </c>
      <c r="DV93" s="1619">
        <v>0</v>
      </c>
      <c r="DW93" s="1619">
        <v>0</v>
      </c>
      <c r="DX93" s="1619">
        <v>0</v>
      </c>
      <c r="DY93" s="1620">
        <v>50000</v>
      </c>
      <c r="DZ93" s="1619">
        <v>50000</v>
      </c>
      <c r="EA93" s="1621">
        <v>50000</v>
      </c>
      <c r="EB93" s="1620">
        <v>0</v>
      </c>
      <c r="EC93" s="1619">
        <v>0</v>
      </c>
      <c r="ED93" s="1621">
        <v>0</v>
      </c>
      <c r="EE93" s="1619">
        <v>0</v>
      </c>
      <c r="EF93" s="1619">
        <v>0</v>
      </c>
      <c r="EG93" s="1619">
        <v>0</v>
      </c>
      <c r="EH93" s="1622">
        <f t="shared" si="73"/>
        <v>150000</v>
      </c>
      <c r="GL93" s="1623"/>
      <c r="GM93" s="1893" t="s">
        <v>3164</v>
      </c>
      <c r="GN93" s="1625" t="s">
        <v>3165</v>
      </c>
      <c r="GO93" s="1705" t="s">
        <v>2954</v>
      </c>
      <c r="GP93" s="1705" t="s">
        <v>2932</v>
      </c>
      <c r="GQ93" s="1747">
        <v>12</v>
      </c>
      <c r="GR93" s="1705" t="s">
        <v>2944</v>
      </c>
      <c r="GS93" s="1706">
        <v>22</v>
      </c>
      <c r="GT93" s="1631">
        <v>0</v>
      </c>
      <c r="GU93" s="1631"/>
      <c r="GV93" s="1631"/>
      <c r="GW93" s="1631"/>
      <c r="GX93" s="1631"/>
      <c r="GY93" s="1631"/>
      <c r="GZ93" s="1631"/>
      <c r="HA93" s="1631"/>
      <c r="HB93" s="1631"/>
      <c r="HC93" s="1631"/>
      <c r="HD93" s="1631"/>
      <c r="HE93" s="1631"/>
      <c r="HF93" s="1631"/>
      <c r="HG93" s="1631">
        <v>0</v>
      </c>
      <c r="HH93" s="1631"/>
      <c r="HI93" s="1631"/>
      <c r="HJ93" s="1631"/>
      <c r="HK93" s="1631"/>
      <c r="HL93" s="1631"/>
      <c r="HM93" s="1631"/>
      <c r="HN93" s="1631"/>
      <c r="HO93" s="1631"/>
      <c r="HP93" s="1631"/>
      <c r="HQ93" s="1631"/>
      <c r="HR93" s="1631"/>
      <c r="HS93" s="1631"/>
      <c r="HT93" s="1631">
        <v>40000</v>
      </c>
      <c r="HU93" s="1631"/>
      <c r="HV93" s="1631"/>
      <c r="HW93" s="1631"/>
      <c r="HX93" s="1631"/>
      <c r="HY93" s="1631"/>
      <c r="HZ93" s="1631">
        <v>40000</v>
      </c>
      <c r="IA93" s="1631"/>
      <c r="IB93" s="1631"/>
      <c r="IC93" s="1631"/>
      <c r="ID93" s="1631"/>
      <c r="IE93" s="1631"/>
      <c r="IF93" s="1631"/>
      <c r="IG93" s="1631">
        <v>0</v>
      </c>
      <c r="IH93" s="1631"/>
      <c r="II93" s="1631"/>
      <c r="IJ93" s="1631"/>
      <c r="IK93" s="1631"/>
      <c r="IL93" s="1631"/>
      <c r="IM93" s="1631"/>
      <c r="IN93" s="1631"/>
      <c r="IO93" s="1631"/>
      <c r="IP93" s="1631"/>
      <c r="IQ93" s="1631"/>
      <c r="IR93" s="1631"/>
      <c r="IS93" s="1631"/>
      <c r="IT93" s="1633">
        <v>40000</v>
      </c>
      <c r="IU93" s="1633">
        <v>40000</v>
      </c>
      <c r="IV93" s="1707"/>
    </row>
    <row r="94" spans="77:256" ht="16.5">
      <c r="CG94" s="1698"/>
      <c r="CH94" s="1618" t="s">
        <v>2026</v>
      </c>
      <c r="CI94" s="1619">
        <v>440000</v>
      </c>
      <c r="CJ94" s="1619">
        <v>1830000</v>
      </c>
      <c r="CK94" s="1619">
        <v>440000</v>
      </c>
      <c r="CL94" s="1620">
        <v>440000</v>
      </c>
      <c r="CM94" s="1619">
        <v>330000</v>
      </c>
      <c r="CN94" s="1621">
        <v>440000</v>
      </c>
      <c r="CO94" s="1620">
        <v>3688890</v>
      </c>
      <c r="CP94" s="1619">
        <v>5368326</v>
      </c>
      <c r="CQ94" s="1621">
        <v>940000</v>
      </c>
      <c r="CR94" s="1619">
        <v>3440000</v>
      </c>
      <c r="CS94" s="1619">
        <v>440000</v>
      </c>
      <c r="CT94" s="1619">
        <v>440000</v>
      </c>
      <c r="CU94" s="1622">
        <f t="shared" si="70"/>
        <v>18237216</v>
      </c>
      <c r="CV94" s="1619">
        <v>440000</v>
      </c>
      <c r="CW94" s="1619">
        <v>1830000</v>
      </c>
      <c r="CX94" s="1619">
        <v>440000</v>
      </c>
      <c r="CY94" s="1620">
        <v>440000</v>
      </c>
      <c r="CZ94" s="1619">
        <v>330000</v>
      </c>
      <c r="DA94" s="1621">
        <v>440000</v>
      </c>
      <c r="DB94" s="1620">
        <v>3688890</v>
      </c>
      <c r="DC94" s="1619">
        <v>440000</v>
      </c>
      <c r="DD94" s="1621">
        <v>940000</v>
      </c>
      <c r="DE94" s="1619">
        <v>3440000</v>
      </c>
      <c r="DF94" s="1619">
        <v>440000</v>
      </c>
      <c r="DG94" s="1619">
        <v>440000</v>
      </c>
      <c r="DH94" s="1622">
        <f t="shared" si="71"/>
        <v>13308890</v>
      </c>
      <c r="DI94" s="1619">
        <v>440000</v>
      </c>
      <c r="DJ94" s="1619">
        <v>1440000</v>
      </c>
      <c r="DK94" s="1619">
        <v>440000</v>
      </c>
      <c r="DL94" s="1620">
        <v>1440000</v>
      </c>
      <c r="DM94" s="1619">
        <v>440000</v>
      </c>
      <c r="DN94" s="1621">
        <v>2440000</v>
      </c>
      <c r="DO94" s="1620">
        <v>1440000</v>
      </c>
      <c r="DP94" s="1619">
        <v>440000</v>
      </c>
      <c r="DQ94" s="1621">
        <v>940000</v>
      </c>
      <c r="DR94" s="1619">
        <v>3440000</v>
      </c>
      <c r="DS94" s="1619">
        <v>440000</v>
      </c>
      <c r="DT94" s="1619">
        <v>440000</v>
      </c>
      <c r="DU94" s="1622">
        <f t="shared" si="72"/>
        <v>13780000</v>
      </c>
      <c r="DV94" s="1619">
        <v>440000</v>
      </c>
      <c r="DW94" s="1619">
        <v>1440000</v>
      </c>
      <c r="DX94" s="1619">
        <v>440000</v>
      </c>
      <c r="DY94" s="1620">
        <v>1440000</v>
      </c>
      <c r="DZ94" s="1619">
        <v>440000</v>
      </c>
      <c r="EA94" s="1621">
        <v>2440000</v>
      </c>
      <c r="EB94" s="1620">
        <v>1440000</v>
      </c>
      <c r="EC94" s="1619">
        <v>440000</v>
      </c>
      <c r="ED94" s="1621">
        <v>940000</v>
      </c>
      <c r="EE94" s="1619">
        <v>3440000</v>
      </c>
      <c r="EF94" s="1619">
        <v>440000</v>
      </c>
      <c r="EG94" s="1619">
        <v>440000</v>
      </c>
      <c r="EH94" s="1622">
        <f t="shared" si="73"/>
        <v>13780000</v>
      </c>
      <c r="GL94" s="5811" t="s">
        <v>3166</v>
      </c>
      <c r="GM94" s="5812"/>
      <c r="GN94" s="5813"/>
      <c r="GO94" s="1891"/>
      <c r="GP94" s="1891"/>
      <c r="GQ94" s="1892"/>
      <c r="GR94" s="1891"/>
      <c r="GS94" s="1695"/>
      <c r="GT94" s="1696">
        <v>214000</v>
      </c>
      <c r="GU94" s="1895">
        <v>0</v>
      </c>
      <c r="GV94" s="1895">
        <v>0</v>
      </c>
      <c r="GW94" s="1895">
        <v>42000</v>
      </c>
      <c r="GX94" s="1895">
        <v>0</v>
      </c>
      <c r="GY94" s="1895">
        <v>112000</v>
      </c>
      <c r="GZ94" s="1895">
        <v>0</v>
      </c>
      <c r="HA94" s="1895">
        <v>0</v>
      </c>
      <c r="HB94" s="1895">
        <v>0</v>
      </c>
      <c r="HC94" s="1895">
        <v>35000</v>
      </c>
      <c r="HD94" s="1895">
        <v>0</v>
      </c>
      <c r="HE94" s="1895">
        <v>0</v>
      </c>
      <c r="HF94" s="1895">
        <v>25000</v>
      </c>
      <c r="HG94" s="1696">
        <v>782000</v>
      </c>
      <c r="HH94" s="1895">
        <v>7000</v>
      </c>
      <c r="HI94" s="1895">
        <v>0</v>
      </c>
      <c r="HJ94" s="1895">
        <v>40000</v>
      </c>
      <c r="HK94" s="1895">
        <v>90000</v>
      </c>
      <c r="HL94" s="1895">
        <v>0</v>
      </c>
      <c r="HM94" s="1895">
        <v>0</v>
      </c>
      <c r="HN94" s="1895">
        <v>0</v>
      </c>
      <c r="HO94" s="1895">
        <v>0</v>
      </c>
      <c r="HP94" s="1895">
        <v>0</v>
      </c>
      <c r="HQ94" s="1895">
        <v>120000</v>
      </c>
      <c r="HR94" s="1895">
        <v>30000</v>
      </c>
      <c r="HS94" s="1895">
        <v>495000</v>
      </c>
      <c r="HT94" s="1696">
        <v>212000</v>
      </c>
      <c r="HU94" s="1895">
        <v>0</v>
      </c>
      <c r="HV94" s="1895">
        <v>0</v>
      </c>
      <c r="HW94" s="1895">
        <v>0</v>
      </c>
      <c r="HX94" s="1895">
        <v>0</v>
      </c>
      <c r="HY94" s="1895">
        <v>170000</v>
      </c>
      <c r="HZ94" s="1895">
        <v>0</v>
      </c>
      <c r="IA94" s="1895">
        <v>0</v>
      </c>
      <c r="IB94" s="1895">
        <v>0</v>
      </c>
      <c r="IC94" s="1895">
        <v>0</v>
      </c>
      <c r="ID94" s="1895">
        <v>0</v>
      </c>
      <c r="IE94" s="1895">
        <v>0</v>
      </c>
      <c r="IF94" s="1895">
        <v>42000</v>
      </c>
      <c r="IG94" s="1696">
        <v>248000</v>
      </c>
      <c r="IH94" s="1895">
        <v>0</v>
      </c>
      <c r="II94" s="1895">
        <v>0</v>
      </c>
      <c r="IJ94" s="1895">
        <v>55000</v>
      </c>
      <c r="IK94" s="1895">
        <v>0</v>
      </c>
      <c r="IL94" s="1895">
        <v>0</v>
      </c>
      <c r="IM94" s="1895">
        <v>150000</v>
      </c>
      <c r="IN94" s="1895">
        <v>0</v>
      </c>
      <c r="IO94" s="1895">
        <v>0</v>
      </c>
      <c r="IP94" s="1895">
        <v>0</v>
      </c>
      <c r="IQ94" s="1895">
        <v>0</v>
      </c>
      <c r="IR94" s="1895">
        <v>0</v>
      </c>
      <c r="IS94" s="1895">
        <v>43000</v>
      </c>
      <c r="IT94" s="1696">
        <v>1208000</v>
      </c>
      <c r="IU94" s="1696">
        <v>1242000</v>
      </c>
      <c r="IV94" s="1697"/>
    </row>
    <row r="95" spans="77:256" ht="16.5">
      <c r="CG95" s="1559"/>
      <c r="CH95" s="1716" t="s">
        <v>2028</v>
      </c>
      <c r="CI95" s="1648">
        <v>218182</v>
      </c>
      <c r="CJ95" s="1648">
        <v>0</v>
      </c>
      <c r="CK95" s="1648">
        <v>0</v>
      </c>
      <c r="CL95" s="1649">
        <v>200040</v>
      </c>
      <c r="CM95" s="1648">
        <v>0</v>
      </c>
      <c r="CN95" s="1650">
        <v>0</v>
      </c>
      <c r="CO95" s="1649">
        <v>37000</v>
      </c>
      <c r="CP95" s="1648">
        <v>114200</v>
      </c>
      <c r="CQ95" s="1650">
        <v>340000</v>
      </c>
      <c r="CR95" s="1648">
        <v>400000</v>
      </c>
      <c r="CS95" s="1648">
        <v>100000</v>
      </c>
      <c r="CT95" s="1648">
        <v>370000</v>
      </c>
      <c r="CU95" s="1651">
        <f t="shared" si="70"/>
        <v>1779422</v>
      </c>
      <c r="CV95" s="1648">
        <v>218182</v>
      </c>
      <c r="CW95" s="1648">
        <v>0</v>
      </c>
      <c r="CX95" s="1648">
        <v>0</v>
      </c>
      <c r="CY95" s="1649">
        <v>200040</v>
      </c>
      <c r="CZ95" s="1648">
        <v>0</v>
      </c>
      <c r="DA95" s="1650">
        <v>0</v>
      </c>
      <c r="DB95" s="1649">
        <v>37000</v>
      </c>
      <c r="DC95" s="1648">
        <v>100000</v>
      </c>
      <c r="DD95" s="1650">
        <v>340000</v>
      </c>
      <c r="DE95" s="1648">
        <v>400000</v>
      </c>
      <c r="DF95" s="1648">
        <v>100000</v>
      </c>
      <c r="DG95" s="1648">
        <v>1570000</v>
      </c>
      <c r="DH95" s="1651">
        <f t="shared" si="71"/>
        <v>2965222</v>
      </c>
      <c r="DI95" s="1648">
        <v>100000</v>
      </c>
      <c r="DJ95" s="1648">
        <v>100000</v>
      </c>
      <c r="DK95" s="1648">
        <v>340000</v>
      </c>
      <c r="DL95" s="1649">
        <v>100000</v>
      </c>
      <c r="DM95" s="1648">
        <v>200000</v>
      </c>
      <c r="DN95" s="1650">
        <v>870000</v>
      </c>
      <c r="DO95" s="1649">
        <v>100000</v>
      </c>
      <c r="DP95" s="1648">
        <v>100000</v>
      </c>
      <c r="DQ95" s="1650">
        <v>340000</v>
      </c>
      <c r="DR95" s="1648">
        <v>400000</v>
      </c>
      <c r="DS95" s="1648">
        <v>100000</v>
      </c>
      <c r="DT95" s="1648">
        <v>370000</v>
      </c>
      <c r="DU95" s="1651">
        <f t="shared" si="72"/>
        <v>3120000</v>
      </c>
      <c r="DV95" s="1648">
        <v>100000</v>
      </c>
      <c r="DW95" s="1648">
        <v>100000</v>
      </c>
      <c r="DX95" s="1648">
        <v>340000</v>
      </c>
      <c r="DY95" s="1649">
        <v>100000</v>
      </c>
      <c r="DZ95" s="1648">
        <v>200000</v>
      </c>
      <c r="EA95" s="1650">
        <v>870000</v>
      </c>
      <c r="EB95" s="1649">
        <v>100000</v>
      </c>
      <c r="EC95" s="1648">
        <v>100000</v>
      </c>
      <c r="ED95" s="1650">
        <v>340000</v>
      </c>
      <c r="EE95" s="1648">
        <v>400000</v>
      </c>
      <c r="EF95" s="1648">
        <v>100000</v>
      </c>
      <c r="EG95" s="1648">
        <v>370000</v>
      </c>
      <c r="EH95" s="1651">
        <f t="shared" si="73"/>
        <v>3120000</v>
      </c>
      <c r="GL95" s="1623"/>
      <c r="GM95" s="1746" t="s">
        <v>3167</v>
      </c>
      <c r="GN95" s="1704" t="s">
        <v>3168</v>
      </c>
      <c r="GO95" s="1705" t="s">
        <v>3169</v>
      </c>
      <c r="GP95" s="1705" t="s">
        <v>2932</v>
      </c>
      <c r="GQ95" s="1747">
        <v>12</v>
      </c>
      <c r="GR95" s="1705" t="s">
        <v>2920</v>
      </c>
      <c r="GS95" s="1629">
        <v>20</v>
      </c>
      <c r="GT95" s="1633">
        <v>154000</v>
      </c>
      <c r="GU95" s="1632"/>
      <c r="GV95" s="1632"/>
      <c r="GW95" s="1632">
        <v>42000</v>
      </c>
      <c r="GX95" s="1632"/>
      <c r="GY95" s="1632">
        <v>112000</v>
      </c>
      <c r="GZ95" s="1632"/>
      <c r="HA95" s="1632"/>
      <c r="HB95" s="1632"/>
      <c r="HC95" s="1632"/>
      <c r="HD95" s="1632"/>
      <c r="HE95" s="1632"/>
      <c r="HF95" s="1632"/>
      <c r="HG95" s="1633">
        <v>0</v>
      </c>
      <c r="HH95" s="1632"/>
      <c r="HI95" s="1632"/>
      <c r="HJ95" s="1632"/>
      <c r="HK95" s="1632"/>
      <c r="HL95" s="1632"/>
      <c r="HM95" s="1632"/>
      <c r="HN95" s="1632"/>
      <c r="HO95" s="1632"/>
      <c r="HP95" s="1632"/>
      <c r="HQ95" s="1632"/>
      <c r="HR95" s="1632"/>
      <c r="HS95" s="1632"/>
      <c r="HT95" s="1633">
        <v>0</v>
      </c>
      <c r="HU95" s="1632"/>
      <c r="HV95" s="1632"/>
      <c r="HW95" s="1632"/>
      <c r="HX95" s="1632"/>
      <c r="HY95" s="1632"/>
      <c r="HZ95" s="1632"/>
      <c r="IA95" s="1632"/>
      <c r="IB95" s="1632"/>
      <c r="IC95" s="1632"/>
      <c r="ID95" s="1632"/>
      <c r="IE95" s="1632"/>
      <c r="IF95" s="1632"/>
      <c r="IG95" s="1633">
        <v>0</v>
      </c>
      <c r="IH95" s="1632"/>
      <c r="II95" s="1632"/>
      <c r="IJ95" s="1632"/>
      <c r="IK95" s="1632"/>
      <c r="IL95" s="1632"/>
      <c r="IM95" s="1632"/>
      <c r="IN95" s="1632"/>
      <c r="IO95" s="1632"/>
      <c r="IP95" s="1632"/>
      <c r="IQ95" s="1632"/>
      <c r="IR95" s="1632"/>
      <c r="IS95" s="1632"/>
      <c r="IT95" s="1633">
        <v>154000</v>
      </c>
      <c r="IU95" s="1633">
        <v>0</v>
      </c>
      <c r="IV95" s="1707"/>
    </row>
    <row r="96" spans="77:256" ht="16.5">
      <c r="CG96" s="1559"/>
      <c r="CH96" s="1716" t="s">
        <v>2031</v>
      </c>
      <c r="CI96" s="1648">
        <v>10355039</v>
      </c>
      <c r="CJ96" s="1648">
        <v>11970824</v>
      </c>
      <c r="CK96" s="1648">
        <v>14300622</v>
      </c>
      <c r="CL96" s="1649">
        <v>9624781</v>
      </c>
      <c r="CM96" s="1648">
        <v>8642501</v>
      </c>
      <c r="CN96" s="1650">
        <v>10347693</v>
      </c>
      <c r="CO96" s="1649">
        <v>9491760</v>
      </c>
      <c r="CP96" s="1648">
        <v>7747940</v>
      </c>
      <c r="CQ96" s="1650">
        <v>12061025</v>
      </c>
      <c r="CR96" s="1648">
        <v>11956025</v>
      </c>
      <c r="CS96" s="1648">
        <v>11974560</v>
      </c>
      <c r="CT96" s="1648">
        <v>12070025</v>
      </c>
      <c r="CU96" s="1651">
        <f t="shared" si="70"/>
        <v>130542795</v>
      </c>
      <c r="CV96" s="1648">
        <v>10355039</v>
      </c>
      <c r="CW96" s="1648">
        <v>11970824</v>
      </c>
      <c r="CX96" s="1648">
        <v>14300622</v>
      </c>
      <c r="CY96" s="1649">
        <v>9624781</v>
      </c>
      <c r="CZ96" s="1648">
        <v>8642501</v>
      </c>
      <c r="DA96" s="1650">
        <v>10347693</v>
      </c>
      <c r="DB96" s="1649">
        <v>9491760</v>
      </c>
      <c r="DC96" s="1648">
        <v>12074560</v>
      </c>
      <c r="DD96" s="1650">
        <v>12056025</v>
      </c>
      <c r="DE96" s="1648">
        <v>12251025</v>
      </c>
      <c r="DF96" s="1648">
        <v>12074560</v>
      </c>
      <c r="DG96" s="1648">
        <v>12056025</v>
      </c>
      <c r="DH96" s="1651">
        <f t="shared" si="71"/>
        <v>135245415</v>
      </c>
      <c r="DI96" s="1648">
        <v>12056025</v>
      </c>
      <c r="DJ96" s="1648">
        <v>12074560</v>
      </c>
      <c r="DK96" s="1648">
        <v>12056025</v>
      </c>
      <c r="DL96" s="1649">
        <v>12056025</v>
      </c>
      <c r="DM96" s="1648">
        <v>12194560</v>
      </c>
      <c r="DN96" s="1650">
        <v>12056025</v>
      </c>
      <c r="DO96" s="1649">
        <v>12056025</v>
      </c>
      <c r="DP96" s="1648">
        <v>12074560</v>
      </c>
      <c r="DQ96" s="1650">
        <v>12056025</v>
      </c>
      <c r="DR96" s="1648">
        <v>12251025</v>
      </c>
      <c r="DS96" s="1648">
        <v>12074560</v>
      </c>
      <c r="DT96" s="1648">
        <v>12056025</v>
      </c>
      <c r="DU96" s="1651">
        <f t="shared" si="72"/>
        <v>145061440</v>
      </c>
      <c r="DV96" s="1648">
        <v>12056025</v>
      </c>
      <c r="DW96" s="1648">
        <v>12074560</v>
      </c>
      <c r="DX96" s="1648">
        <v>12056025</v>
      </c>
      <c r="DY96" s="1649">
        <v>12056025</v>
      </c>
      <c r="DZ96" s="1648">
        <v>12194560</v>
      </c>
      <c r="EA96" s="1650">
        <v>12056025</v>
      </c>
      <c r="EB96" s="1649">
        <v>12056025</v>
      </c>
      <c r="EC96" s="1648">
        <v>12074560</v>
      </c>
      <c r="ED96" s="1650">
        <v>12056025</v>
      </c>
      <c r="EE96" s="1648">
        <v>12251025</v>
      </c>
      <c r="EF96" s="1648">
        <v>12074560</v>
      </c>
      <c r="EG96" s="1648">
        <v>12056025</v>
      </c>
      <c r="EH96" s="1651">
        <f t="shared" si="73"/>
        <v>145061440</v>
      </c>
      <c r="GL96" s="1652"/>
      <c r="GM96" s="1748" t="s">
        <v>3170</v>
      </c>
      <c r="GN96" s="1710" t="s">
        <v>3171</v>
      </c>
      <c r="GO96" s="1711" t="s">
        <v>3169</v>
      </c>
      <c r="GP96" s="1711" t="s">
        <v>3172</v>
      </c>
      <c r="GQ96" s="1749">
        <v>6</v>
      </c>
      <c r="GR96" s="1711" t="s">
        <v>3173</v>
      </c>
      <c r="GS96" s="1658">
        <v>20</v>
      </c>
      <c r="GT96" s="1662">
        <v>50000</v>
      </c>
      <c r="GU96" s="1661"/>
      <c r="GV96" s="1661"/>
      <c r="GW96" s="1661"/>
      <c r="GX96" s="1661"/>
      <c r="GY96" s="1661"/>
      <c r="GZ96" s="1661"/>
      <c r="HA96" s="1661"/>
      <c r="HB96" s="1661"/>
      <c r="HC96" s="1661">
        <v>35000</v>
      </c>
      <c r="HD96" s="1661"/>
      <c r="HE96" s="1661"/>
      <c r="HF96" s="1661">
        <v>15000</v>
      </c>
      <c r="HG96" s="1662">
        <v>0</v>
      </c>
      <c r="HH96" s="1661"/>
      <c r="HI96" s="1661"/>
      <c r="HJ96" s="1661"/>
      <c r="HK96" s="1661"/>
      <c r="HL96" s="1661"/>
      <c r="HM96" s="1661"/>
      <c r="HN96" s="1661"/>
      <c r="HO96" s="1661"/>
      <c r="HP96" s="1661"/>
      <c r="HQ96" s="1661"/>
      <c r="HR96" s="1661"/>
      <c r="HS96" s="1661"/>
      <c r="HT96" s="1662">
        <v>0</v>
      </c>
      <c r="HU96" s="1661"/>
      <c r="HV96" s="1661"/>
      <c r="HW96" s="1661"/>
      <c r="HX96" s="1661"/>
      <c r="HY96" s="1661"/>
      <c r="HZ96" s="1661"/>
      <c r="IA96" s="1661"/>
      <c r="IB96" s="1661"/>
      <c r="IC96" s="1661"/>
      <c r="ID96" s="1661"/>
      <c r="IE96" s="1661"/>
      <c r="IF96" s="1661"/>
      <c r="IG96" s="1662">
        <v>0</v>
      </c>
      <c r="IH96" s="1661"/>
      <c r="II96" s="1661"/>
      <c r="IJ96" s="1661"/>
      <c r="IK96" s="1661"/>
      <c r="IL96" s="1661"/>
      <c r="IM96" s="1661"/>
      <c r="IN96" s="1661"/>
      <c r="IO96" s="1661"/>
      <c r="IP96" s="1661"/>
      <c r="IQ96" s="1661"/>
      <c r="IR96" s="1661"/>
      <c r="IS96" s="1661"/>
      <c r="IT96" s="1662">
        <v>50000</v>
      </c>
      <c r="IU96" s="1662">
        <v>0</v>
      </c>
      <c r="IV96" s="1713"/>
    </row>
    <row r="97" spans="85:256" ht="16.5">
      <c r="CG97" s="1559"/>
      <c r="CH97" s="1716" t="s">
        <v>1379</v>
      </c>
      <c r="CI97" s="1648">
        <v>445455</v>
      </c>
      <c r="CJ97" s="1648">
        <v>0</v>
      </c>
      <c r="CK97" s="1648">
        <v>0</v>
      </c>
      <c r="CL97" s="1649">
        <v>0</v>
      </c>
      <c r="CM97" s="1648">
        <v>0</v>
      </c>
      <c r="CN97" s="1650">
        <v>0</v>
      </c>
      <c r="CO97" s="1649">
        <v>0</v>
      </c>
      <c r="CP97" s="1648">
        <v>0</v>
      </c>
      <c r="CQ97" s="1650">
        <v>0</v>
      </c>
      <c r="CR97" s="1648">
        <v>400000</v>
      </c>
      <c r="CS97" s="1648">
        <v>400000</v>
      </c>
      <c r="CT97" s="1648">
        <v>400000</v>
      </c>
      <c r="CU97" s="1651">
        <f t="shared" si="70"/>
        <v>1645455</v>
      </c>
      <c r="CV97" s="1648">
        <v>445455</v>
      </c>
      <c r="CW97" s="1648">
        <v>0</v>
      </c>
      <c r="CX97" s="1648">
        <v>0</v>
      </c>
      <c r="CY97" s="1649">
        <v>0</v>
      </c>
      <c r="CZ97" s="1648">
        <v>0</v>
      </c>
      <c r="DA97" s="1650">
        <v>0</v>
      </c>
      <c r="DB97" s="1649">
        <v>0</v>
      </c>
      <c r="DC97" s="1648">
        <v>0</v>
      </c>
      <c r="DD97" s="1650">
        <v>0</v>
      </c>
      <c r="DE97" s="1648">
        <v>400000</v>
      </c>
      <c r="DF97" s="1648">
        <v>400000</v>
      </c>
      <c r="DG97" s="1648">
        <v>400000</v>
      </c>
      <c r="DH97" s="1651">
        <f t="shared" si="71"/>
        <v>1645455</v>
      </c>
      <c r="DI97" s="1648">
        <v>400000</v>
      </c>
      <c r="DJ97" s="1648">
        <v>400000</v>
      </c>
      <c r="DK97" s="1648">
        <v>0</v>
      </c>
      <c r="DL97" s="1649">
        <v>0</v>
      </c>
      <c r="DM97" s="1648">
        <v>0</v>
      </c>
      <c r="DN97" s="1650">
        <v>0</v>
      </c>
      <c r="DO97" s="1649">
        <v>0</v>
      </c>
      <c r="DP97" s="1648">
        <v>0</v>
      </c>
      <c r="DQ97" s="1650">
        <v>0</v>
      </c>
      <c r="DR97" s="1648">
        <v>400000</v>
      </c>
      <c r="DS97" s="1648">
        <v>400000</v>
      </c>
      <c r="DT97" s="1648">
        <v>400000</v>
      </c>
      <c r="DU97" s="1651">
        <f t="shared" si="72"/>
        <v>2000000</v>
      </c>
      <c r="DV97" s="1648">
        <v>400000</v>
      </c>
      <c r="DW97" s="1648">
        <v>400000</v>
      </c>
      <c r="DX97" s="1648">
        <v>0</v>
      </c>
      <c r="DY97" s="1649">
        <v>0</v>
      </c>
      <c r="DZ97" s="1648">
        <v>0</v>
      </c>
      <c r="EA97" s="1650">
        <v>0</v>
      </c>
      <c r="EB97" s="1649">
        <v>0</v>
      </c>
      <c r="EC97" s="1648">
        <v>0</v>
      </c>
      <c r="ED97" s="1650">
        <v>0</v>
      </c>
      <c r="EE97" s="1648">
        <v>400000</v>
      </c>
      <c r="EF97" s="1648">
        <v>400000</v>
      </c>
      <c r="EG97" s="1648">
        <v>400000</v>
      </c>
      <c r="EH97" s="1651">
        <f t="shared" si="73"/>
        <v>2000000</v>
      </c>
      <c r="GL97" s="1623"/>
      <c r="GM97" s="1746" t="s">
        <v>3174</v>
      </c>
      <c r="GN97" s="1704" t="s">
        <v>3175</v>
      </c>
      <c r="GO97" s="1705" t="s">
        <v>246</v>
      </c>
      <c r="GP97" s="1705" t="s">
        <v>3019</v>
      </c>
      <c r="GQ97" s="1747">
        <v>6</v>
      </c>
      <c r="GR97" s="1705" t="s">
        <v>3176</v>
      </c>
      <c r="GS97" s="1629" t="s">
        <v>3177</v>
      </c>
      <c r="GT97" s="1631">
        <v>10000</v>
      </c>
      <c r="GU97" s="1630"/>
      <c r="GV97" s="1630"/>
      <c r="GW97" s="1630"/>
      <c r="GX97" s="1630"/>
      <c r="GY97" s="1630"/>
      <c r="GZ97" s="1630"/>
      <c r="HA97" s="1630"/>
      <c r="HB97" s="1630"/>
      <c r="HC97" s="1630"/>
      <c r="HD97" s="1630"/>
      <c r="HE97" s="1630"/>
      <c r="HF97" s="1630">
        <v>10000</v>
      </c>
      <c r="HG97" s="1631">
        <v>10000</v>
      </c>
      <c r="HH97" s="1630"/>
      <c r="HI97" s="1630"/>
      <c r="HJ97" s="1630"/>
      <c r="HK97" s="1630"/>
      <c r="HL97" s="1630"/>
      <c r="HM97" s="1630"/>
      <c r="HN97" s="1630"/>
      <c r="HO97" s="1630"/>
      <c r="HP97" s="1630"/>
      <c r="HQ97" s="1630"/>
      <c r="HR97" s="1630"/>
      <c r="HS97" s="1630">
        <v>10000</v>
      </c>
      <c r="HT97" s="1631">
        <v>42000</v>
      </c>
      <c r="HU97" s="1630"/>
      <c r="HV97" s="1630"/>
      <c r="HW97" s="1630"/>
      <c r="HX97" s="1630"/>
      <c r="HY97" s="1630"/>
      <c r="HZ97" s="1630"/>
      <c r="IA97" s="1630"/>
      <c r="IB97" s="1630"/>
      <c r="IC97" s="1630"/>
      <c r="ID97" s="1630"/>
      <c r="IE97" s="1630"/>
      <c r="IF97" s="1630">
        <v>42000</v>
      </c>
      <c r="IG97" s="1631">
        <v>23000</v>
      </c>
      <c r="IH97" s="1630"/>
      <c r="II97" s="1630"/>
      <c r="IJ97" s="1630"/>
      <c r="IK97" s="1630"/>
      <c r="IL97" s="1630"/>
      <c r="IM97" s="1630"/>
      <c r="IN97" s="1630"/>
      <c r="IO97" s="1630"/>
      <c r="IP97" s="1630"/>
      <c r="IQ97" s="1630"/>
      <c r="IR97" s="1630"/>
      <c r="IS97" s="1630">
        <v>23000</v>
      </c>
      <c r="IT97" s="1633">
        <v>62000</v>
      </c>
      <c r="IU97" s="1633">
        <v>75000</v>
      </c>
      <c r="IV97" s="1707"/>
    </row>
    <row r="98" spans="85:256" ht="16.5">
      <c r="CG98" s="1729"/>
      <c r="CH98" s="1716" t="s">
        <v>1411</v>
      </c>
      <c r="CI98" s="1648">
        <v>531926</v>
      </c>
      <c r="CJ98" s="1648">
        <v>531926</v>
      </c>
      <c r="CK98" s="1648">
        <v>531926</v>
      </c>
      <c r="CL98" s="1649">
        <v>547797</v>
      </c>
      <c r="CM98" s="1648">
        <v>769989</v>
      </c>
      <c r="CN98" s="1650">
        <v>547797</v>
      </c>
      <c r="CO98" s="1649">
        <v>547797</v>
      </c>
      <c r="CP98" s="1648">
        <v>547797</v>
      </c>
      <c r="CQ98" s="1650">
        <v>0</v>
      </c>
      <c r="CR98" s="1648">
        <v>0</v>
      </c>
      <c r="CS98" s="1648">
        <v>0</v>
      </c>
      <c r="CT98" s="1648">
        <v>0</v>
      </c>
      <c r="CU98" s="1651">
        <f t="shared" si="70"/>
        <v>4556955</v>
      </c>
      <c r="CV98" s="1648">
        <v>531926</v>
      </c>
      <c r="CW98" s="1648">
        <v>531926</v>
      </c>
      <c r="CX98" s="1648">
        <v>531926</v>
      </c>
      <c r="CY98" s="1649">
        <v>547797</v>
      </c>
      <c r="CZ98" s="1648">
        <v>769989</v>
      </c>
      <c r="DA98" s="1650">
        <v>547797</v>
      </c>
      <c r="DB98" s="1649">
        <v>547797</v>
      </c>
      <c r="DC98" s="1648">
        <v>0</v>
      </c>
      <c r="DD98" s="1650">
        <v>0</v>
      </c>
      <c r="DE98" s="1648">
        <v>0</v>
      </c>
      <c r="DF98" s="1648">
        <v>0</v>
      </c>
      <c r="DG98" s="1648">
        <v>0</v>
      </c>
      <c r="DH98" s="1651">
        <f t="shared" si="71"/>
        <v>4009158</v>
      </c>
      <c r="DI98" s="1648">
        <v>0</v>
      </c>
      <c r="DJ98" s="1648">
        <v>0</v>
      </c>
      <c r="DK98" s="1648">
        <v>0</v>
      </c>
      <c r="DL98" s="1649">
        <v>0</v>
      </c>
      <c r="DM98" s="1648">
        <v>0</v>
      </c>
      <c r="DN98" s="1650">
        <v>0</v>
      </c>
      <c r="DO98" s="1649">
        <v>0</v>
      </c>
      <c r="DP98" s="1648">
        <v>0</v>
      </c>
      <c r="DQ98" s="1650">
        <v>0</v>
      </c>
      <c r="DR98" s="1648">
        <v>0</v>
      </c>
      <c r="DS98" s="1648">
        <v>0</v>
      </c>
      <c r="DT98" s="1648">
        <v>0</v>
      </c>
      <c r="DU98" s="1651">
        <f t="shared" si="72"/>
        <v>0</v>
      </c>
      <c r="DV98" s="1648">
        <v>0</v>
      </c>
      <c r="DW98" s="1648">
        <v>0</v>
      </c>
      <c r="DX98" s="1648">
        <v>0</v>
      </c>
      <c r="DY98" s="1649">
        <v>0</v>
      </c>
      <c r="DZ98" s="1648">
        <v>0</v>
      </c>
      <c r="EA98" s="1650">
        <v>0</v>
      </c>
      <c r="EB98" s="1649">
        <v>0</v>
      </c>
      <c r="EC98" s="1648">
        <v>0</v>
      </c>
      <c r="ED98" s="1650">
        <v>0</v>
      </c>
      <c r="EE98" s="1648">
        <v>0</v>
      </c>
      <c r="EF98" s="1648">
        <v>0</v>
      </c>
      <c r="EG98" s="1648">
        <v>0</v>
      </c>
      <c r="EH98" s="1651">
        <f t="shared" si="73"/>
        <v>0</v>
      </c>
      <c r="GL98" s="1652"/>
      <c r="GM98" s="1896" t="s">
        <v>3178</v>
      </c>
      <c r="GN98" s="1897" t="s">
        <v>3179</v>
      </c>
      <c r="GO98" s="1711" t="s">
        <v>3169</v>
      </c>
      <c r="GP98" s="1711" t="s">
        <v>3180</v>
      </c>
      <c r="GQ98" s="1749">
        <v>6</v>
      </c>
      <c r="GR98" s="1711" t="s">
        <v>2944</v>
      </c>
      <c r="GS98" s="1658">
        <v>21</v>
      </c>
      <c r="GT98" s="1662">
        <v>0</v>
      </c>
      <c r="GU98" s="1661"/>
      <c r="GV98" s="1661"/>
      <c r="GW98" s="1661"/>
      <c r="GX98" s="1661"/>
      <c r="GY98" s="1661"/>
      <c r="GZ98" s="1661"/>
      <c r="HA98" s="1661"/>
      <c r="HB98" s="1661"/>
      <c r="HC98" s="1661"/>
      <c r="HD98" s="1661"/>
      <c r="HE98" s="1661"/>
      <c r="HF98" s="1661"/>
      <c r="HG98" s="1662">
        <v>450000</v>
      </c>
      <c r="HH98" s="1661"/>
      <c r="HI98" s="1661"/>
      <c r="HJ98" s="1661"/>
      <c r="HK98" s="1661"/>
      <c r="HL98" s="1661"/>
      <c r="HM98" s="1661"/>
      <c r="HN98" s="1661"/>
      <c r="HO98" s="1661"/>
      <c r="HP98" s="1661"/>
      <c r="HQ98" s="1661"/>
      <c r="HR98" s="1661"/>
      <c r="HS98" s="1661">
        <v>450000</v>
      </c>
      <c r="HT98" s="1662">
        <v>0</v>
      </c>
      <c r="HU98" s="1661"/>
      <c r="HV98" s="1661"/>
      <c r="HW98" s="1661"/>
      <c r="HX98" s="1661"/>
      <c r="HY98" s="1661"/>
      <c r="HZ98" s="1661"/>
      <c r="IA98" s="1661"/>
      <c r="IB98" s="1661"/>
      <c r="IC98" s="1661"/>
      <c r="ID98" s="1661"/>
      <c r="IE98" s="1661"/>
      <c r="IF98" s="1661"/>
      <c r="IG98" s="1662">
        <v>0</v>
      </c>
      <c r="IH98" s="1661"/>
      <c r="II98" s="1661"/>
      <c r="IJ98" s="1661"/>
      <c r="IK98" s="1661"/>
      <c r="IL98" s="1661"/>
      <c r="IM98" s="1661"/>
      <c r="IN98" s="1661"/>
      <c r="IO98" s="1661"/>
      <c r="IP98" s="1661"/>
      <c r="IQ98" s="1661"/>
      <c r="IR98" s="1661"/>
      <c r="IS98" s="1661"/>
      <c r="IT98" s="1662">
        <v>450000</v>
      </c>
      <c r="IU98" s="1662">
        <v>450000</v>
      </c>
      <c r="IV98" s="1713"/>
    </row>
    <row r="99" spans="85:256" ht="16.5">
      <c r="CG99" s="1729"/>
      <c r="CH99" s="1716"/>
      <c r="CI99" s="1648"/>
      <c r="CJ99" s="1648"/>
      <c r="CK99" s="1648"/>
      <c r="CL99" s="1649"/>
      <c r="CM99" s="1648"/>
      <c r="CN99" s="1650"/>
      <c r="CO99" s="1649"/>
      <c r="CP99" s="1648"/>
      <c r="CQ99" s="1650"/>
      <c r="CR99" s="1648"/>
      <c r="CS99" s="1648"/>
      <c r="CT99" s="1648"/>
      <c r="CU99" s="1651">
        <f t="shared" si="70"/>
        <v>0</v>
      </c>
      <c r="CV99" s="1648"/>
      <c r="CW99" s="1648"/>
      <c r="CX99" s="1648"/>
      <c r="CY99" s="1649"/>
      <c r="CZ99" s="1648"/>
      <c r="DA99" s="1650"/>
      <c r="DB99" s="1649"/>
      <c r="DC99" s="1648"/>
      <c r="DD99" s="1650"/>
      <c r="DE99" s="1648"/>
      <c r="DF99" s="1648"/>
      <c r="DG99" s="1648"/>
      <c r="DH99" s="1651">
        <f t="shared" si="71"/>
        <v>0</v>
      </c>
      <c r="DI99" s="1648"/>
      <c r="DJ99" s="1648"/>
      <c r="DK99" s="1648"/>
      <c r="DL99" s="1649"/>
      <c r="DM99" s="1648"/>
      <c r="DN99" s="1650"/>
      <c r="DO99" s="1649"/>
      <c r="DP99" s="1648"/>
      <c r="DQ99" s="1650"/>
      <c r="DR99" s="1648"/>
      <c r="DS99" s="1648"/>
      <c r="DT99" s="1648"/>
      <c r="DU99" s="1651">
        <f t="shared" si="72"/>
        <v>0</v>
      </c>
      <c r="DV99" s="1648"/>
      <c r="DW99" s="1648"/>
      <c r="DX99" s="1648"/>
      <c r="DY99" s="1649"/>
      <c r="DZ99" s="1648"/>
      <c r="EA99" s="1650"/>
      <c r="EB99" s="1649"/>
      <c r="EC99" s="1648"/>
      <c r="ED99" s="1650"/>
      <c r="EE99" s="1648"/>
      <c r="EF99" s="1648"/>
      <c r="EG99" s="1648"/>
      <c r="EH99" s="1651">
        <f t="shared" si="73"/>
        <v>0</v>
      </c>
      <c r="GL99" s="1623"/>
      <c r="GM99" s="1746" t="s">
        <v>3181</v>
      </c>
      <c r="GN99" s="1704" t="s">
        <v>3182</v>
      </c>
      <c r="GO99" s="1705" t="s">
        <v>3169</v>
      </c>
      <c r="GP99" s="1705" t="s">
        <v>3180</v>
      </c>
      <c r="GQ99" s="1747">
        <v>6</v>
      </c>
      <c r="GR99" s="1705" t="s">
        <v>3183</v>
      </c>
      <c r="GS99" s="1629">
        <v>21</v>
      </c>
      <c r="GT99" s="1633">
        <v>0</v>
      </c>
      <c r="GU99" s="1632"/>
      <c r="GV99" s="1632"/>
      <c r="GW99" s="1632"/>
      <c r="GX99" s="1632"/>
      <c r="GY99" s="1632"/>
      <c r="GZ99" s="1632"/>
      <c r="HA99" s="1632"/>
      <c r="HB99" s="1632"/>
      <c r="HC99" s="1632"/>
      <c r="HD99" s="1632"/>
      <c r="HE99" s="1632"/>
      <c r="HF99" s="1632"/>
      <c r="HG99" s="1633">
        <v>120000</v>
      </c>
      <c r="HH99" s="1632"/>
      <c r="HI99" s="1632"/>
      <c r="HJ99" s="1632"/>
      <c r="HK99" s="1632"/>
      <c r="HL99" s="1632"/>
      <c r="HM99" s="1632"/>
      <c r="HN99" s="1632"/>
      <c r="HO99" s="1632"/>
      <c r="HP99" s="1632"/>
      <c r="HQ99" s="1632">
        <v>120000</v>
      </c>
      <c r="HR99" s="1632"/>
      <c r="HS99" s="1632"/>
      <c r="HT99" s="1633">
        <v>0</v>
      </c>
      <c r="HU99" s="1632"/>
      <c r="HV99" s="1632"/>
      <c r="HW99" s="1632"/>
      <c r="HX99" s="1632"/>
      <c r="HY99" s="1632"/>
      <c r="HZ99" s="1632"/>
      <c r="IA99" s="1632"/>
      <c r="IB99" s="1632"/>
      <c r="IC99" s="1632"/>
      <c r="ID99" s="1632"/>
      <c r="IE99" s="1632"/>
      <c r="IF99" s="1632"/>
      <c r="IG99" s="1633">
        <v>0</v>
      </c>
      <c r="IH99" s="1632"/>
      <c r="II99" s="1632"/>
      <c r="IJ99" s="1632"/>
      <c r="IK99" s="1632"/>
      <c r="IL99" s="1632"/>
      <c r="IM99" s="1632"/>
      <c r="IN99" s="1632"/>
      <c r="IO99" s="1632"/>
      <c r="IP99" s="1632"/>
      <c r="IQ99" s="1632"/>
      <c r="IR99" s="1632"/>
      <c r="IS99" s="1632"/>
      <c r="IT99" s="1633">
        <v>120000</v>
      </c>
      <c r="IU99" s="1633">
        <v>120000</v>
      </c>
      <c r="IV99" s="1707"/>
    </row>
    <row r="100" spans="85:256" ht="16.5">
      <c r="CG100" s="1559"/>
      <c r="CH100" s="1647"/>
      <c r="CI100" s="1648"/>
      <c r="CJ100" s="1648"/>
      <c r="CK100" s="1648"/>
      <c r="CL100" s="1649"/>
      <c r="CM100" s="1648"/>
      <c r="CN100" s="1650"/>
      <c r="CO100" s="1649"/>
      <c r="CP100" s="1648"/>
      <c r="CQ100" s="1650"/>
      <c r="CR100" s="1648"/>
      <c r="CS100" s="1648"/>
      <c r="CT100" s="1648"/>
      <c r="CU100" s="1651">
        <f t="shared" si="70"/>
        <v>0</v>
      </c>
      <c r="CV100" s="1648"/>
      <c r="CW100" s="1648"/>
      <c r="CX100" s="1648"/>
      <c r="CY100" s="1649"/>
      <c r="CZ100" s="1648"/>
      <c r="DA100" s="1650"/>
      <c r="DB100" s="1649"/>
      <c r="DC100" s="1648"/>
      <c r="DD100" s="1650"/>
      <c r="DE100" s="1648"/>
      <c r="DF100" s="1648"/>
      <c r="DG100" s="1648"/>
      <c r="DH100" s="1651">
        <f t="shared" si="71"/>
        <v>0</v>
      </c>
      <c r="DI100" s="1648"/>
      <c r="DJ100" s="1648"/>
      <c r="DK100" s="1648"/>
      <c r="DL100" s="1649"/>
      <c r="DM100" s="1648"/>
      <c r="DN100" s="1650"/>
      <c r="DO100" s="1649"/>
      <c r="DP100" s="1648"/>
      <c r="DQ100" s="1650"/>
      <c r="DR100" s="1648"/>
      <c r="DS100" s="1648"/>
      <c r="DT100" s="1648"/>
      <c r="DU100" s="1651">
        <f t="shared" si="72"/>
        <v>0</v>
      </c>
      <c r="DV100" s="1648"/>
      <c r="DW100" s="1648"/>
      <c r="DX100" s="1648"/>
      <c r="DY100" s="1649"/>
      <c r="DZ100" s="1648"/>
      <c r="EA100" s="1650"/>
      <c r="EB100" s="1649"/>
      <c r="EC100" s="1648"/>
      <c r="ED100" s="1650"/>
      <c r="EE100" s="1648"/>
      <c r="EF100" s="1648"/>
      <c r="EG100" s="1648"/>
      <c r="EH100" s="1651">
        <f t="shared" si="73"/>
        <v>0</v>
      </c>
      <c r="GL100" s="1652"/>
      <c r="GM100" s="1748" t="s">
        <v>3184</v>
      </c>
      <c r="GN100" s="1710" t="s">
        <v>3185</v>
      </c>
      <c r="GO100" s="1711" t="s">
        <v>3169</v>
      </c>
      <c r="GP100" s="1711" t="s">
        <v>3180</v>
      </c>
      <c r="GQ100" s="1749">
        <v>6</v>
      </c>
      <c r="GR100" s="1711" t="s">
        <v>3186</v>
      </c>
      <c r="GS100" s="1658" t="s">
        <v>3187</v>
      </c>
      <c r="GT100" s="1662">
        <v>0</v>
      </c>
      <c r="GU100" s="1661"/>
      <c r="GV100" s="1661"/>
      <c r="GW100" s="1661"/>
      <c r="GX100" s="1661"/>
      <c r="GY100" s="1661"/>
      <c r="GZ100" s="1661"/>
      <c r="HA100" s="1661"/>
      <c r="HB100" s="1661"/>
      <c r="HC100" s="1661"/>
      <c r="HD100" s="1661"/>
      <c r="HE100" s="1661"/>
      <c r="HF100" s="1661"/>
      <c r="HG100" s="1662">
        <v>30000</v>
      </c>
      <c r="HH100" s="1661"/>
      <c r="HI100" s="1661"/>
      <c r="HJ100" s="1661"/>
      <c r="HK100" s="1661"/>
      <c r="HL100" s="1661"/>
      <c r="HM100" s="1661"/>
      <c r="HN100" s="1661"/>
      <c r="HO100" s="1661"/>
      <c r="HP100" s="1661"/>
      <c r="HQ100" s="1661"/>
      <c r="HR100" s="1661">
        <v>30000</v>
      </c>
      <c r="HS100" s="1661"/>
      <c r="HT100" s="1662">
        <v>20000</v>
      </c>
      <c r="HU100" s="1661"/>
      <c r="HV100" s="1661"/>
      <c r="HW100" s="1661"/>
      <c r="HX100" s="1661"/>
      <c r="HY100" s="1661">
        <v>20000</v>
      </c>
      <c r="HZ100" s="1661"/>
      <c r="IA100" s="1661"/>
      <c r="IB100" s="1661"/>
      <c r="IC100" s="1661"/>
      <c r="ID100" s="1661"/>
      <c r="IE100" s="1661"/>
      <c r="IF100" s="1661"/>
      <c r="IG100" s="1662">
        <v>20000</v>
      </c>
      <c r="IH100" s="1661"/>
      <c r="II100" s="1661"/>
      <c r="IJ100" s="1661"/>
      <c r="IK100" s="1661"/>
      <c r="IL100" s="1661"/>
      <c r="IM100" s="1661"/>
      <c r="IN100" s="1661"/>
      <c r="IO100" s="1661"/>
      <c r="IP100" s="1661"/>
      <c r="IQ100" s="1661"/>
      <c r="IR100" s="1661"/>
      <c r="IS100" s="1661">
        <v>20000</v>
      </c>
      <c r="IT100" s="1662">
        <v>50000</v>
      </c>
      <c r="IU100" s="1662">
        <v>70000</v>
      </c>
      <c r="IV100" s="1713"/>
    </row>
    <row r="101" spans="85:256" ht="16.5">
      <c r="CG101" s="1559"/>
      <c r="CH101" s="1647"/>
      <c r="CI101" s="1648"/>
      <c r="CJ101" s="1648"/>
      <c r="CK101" s="1648"/>
      <c r="CL101" s="1649"/>
      <c r="CM101" s="1648"/>
      <c r="CN101" s="1650"/>
      <c r="CO101" s="1649"/>
      <c r="CP101" s="1648"/>
      <c r="CQ101" s="1650"/>
      <c r="CR101" s="1648"/>
      <c r="CS101" s="1648"/>
      <c r="CT101" s="1648"/>
      <c r="CU101" s="1678">
        <f t="shared" si="70"/>
        <v>0</v>
      </c>
      <c r="CV101" s="1648"/>
      <c r="CW101" s="1648"/>
      <c r="CX101" s="1648"/>
      <c r="CY101" s="1649"/>
      <c r="CZ101" s="1648"/>
      <c r="DA101" s="1650"/>
      <c r="DB101" s="1649"/>
      <c r="DC101" s="1648"/>
      <c r="DD101" s="1650"/>
      <c r="DE101" s="1648"/>
      <c r="DF101" s="1648"/>
      <c r="DG101" s="1648"/>
      <c r="DH101" s="1678">
        <f t="shared" si="71"/>
        <v>0</v>
      </c>
      <c r="DI101" s="1648"/>
      <c r="DJ101" s="1648"/>
      <c r="DK101" s="1648"/>
      <c r="DL101" s="1649"/>
      <c r="DM101" s="1648"/>
      <c r="DN101" s="1650"/>
      <c r="DO101" s="1649"/>
      <c r="DP101" s="1648"/>
      <c r="DQ101" s="1650"/>
      <c r="DR101" s="1648"/>
      <c r="DS101" s="1648"/>
      <c r="DT101" s="1648"/>
      <c r="DU101" s="1678">
        <f t="shared" si="72"/>
        <v>0</v>
      </c>
      <c r="DV101" s="1648"/>
      <c r="DW101" s="1648"/>
      <c r="DX101" s="1648"/>
      <c r="DY101" s="1649"/>
      <c r="DZ101" s="1648"/>
      <c r="EA101" s="1650"/>
      <c r="EB101" s="1649"/>
      <c r="EC101" s="1648"/>
      <c r="ED101" s="1650"/>
      <c r="EE101" s="1648"/>
      <c r="EF101" s="1648"/>
      <c r="EG101" s="1648"/>
      <c r="EH101" s="1678">
        <f t="shared" si="73"/>
        <v>0</v>
      </c>
      <c r="GL101" s="1623"/>
      <c r="GM101" s="1746" t="s">
        <v>3188</v>
      </c>
      <c r="GN101" s="1704" t="s">
        <v>3189</v>
      </c>
      <c r="GO101" s="1705" t="s">
        <v>3169</v>
      </c>
      <c r="GP101" s="1705" t="s">
        <v>3180</v>
      </c>
      <c r="GQ101" s="1747">
        <v>6</v>
      </c>
      <c r="GR101" s="1705" t="s">
        <v>3186</v>
      </c>
      <c r="GS101" s="1629">
        <v>21</v>
      </c>
      <c r="GT101" s="1631">
        <v>0</v>
      </c>
      <c r="GU101" s="1630"/>
      <c r="GV101" s="1630"/>
      <c r="GW101" s="1630"/>
      <c r="GX101" s="1630"/>
      <c r="GY101" s="1630"/>
      <c r="GZ101" s="1630"/>
      <c r="HA101" s="1630"/>
      <c r="HB101" s="1630"/>
      <c r="HC101" s="1630"/>
      <c r="HD101" s="1630"/>
      <c r="HE101" s="1630"/>
      <c r="HF101" s="1630"/>
      <c r="HG101" s="1631">
        <v>90000</v>
      </c>
      <c r="HH101" s="1630"/>
      <c r="HI101" s="1630"/>
      <c r="HJ101" s="1630"/>
      <c r="HK101" s="1630">
        <v>90000</v>
      </c>
      <c r="HL101" s="1630"/>
      <c r="HM101" s="1630"/>
      <c r="HN101" s="1630"/>
      <c r="HO101" s="1630"/>
      <c r="HP101" s="1630"/>
      <c r="HQ101" s="1630"/>
      <c r="HR101" s="1630"/>
      <c r="HS101" s="1630"/>
      <c r="HT101" s="1631">
        <v>0</v>
      </c>
      <c r="HU101" s="1630"/>
      <c r="HV101" s="1630"/>
      <c r="HW101" s="1630"/>
      <c r="HX101" s="1630"/>
      <c r="HY101" s="1630"/>
      <c r="HZ101" s="1630"/>
      <c r="IA101" s="1630"/>
      <c r="IB101" s="1630"/>
      <c r="IC101" s="1630"/>
      <c r="ID101" s="1630"/>
      <c r="IE101" s="1630"/>
      <c r="IF101" s="1630"/>
      <c r="IG101" s="1631">
        <v>0</v>
      </c>
      <c r="IH101" s="1630"/>
      <c r="II101" s="1630"/>
      <c r="IJ101" s="1630"/>
      <c r="IK101" s="1630"/>
      <c r="IL101" s="1630"/>
      <c r="IM101" s="1630"/>
      <c r="IN101" s="1630"/>
      <c r="IO101" s="1630"/>
      <c r="IP101" s="1630"/>
      <c r="IQ101" s="1630"/>
      <c r="IR101" s="1630"/>
      <c r="IS101" s="1630"/>
      <c r="IT101" s="1633">
        <v>90000</v>
      </c>
      <c r="IU101" s="1633">
        <v>90000</v>
      </c>
      <c r="IV101" s="1707"/>
    </row>
    <row r="102" spans="85:256" ht="16.5">
      <c r="CG102" s="1559"/>
      <c r="CH102" s="1688" t="s">
        <v>2926</v>
      </c>
      <c r="CI102" s="1689">
        <f>SUM(CI75:CI98)</f>
        <v>57691923</v>
      </c>
      <c r="CJ102" s="1689">
        <f t="shared" ref="CJ102:CT102" si="78">SUM(CJ75:CJ98)</f>
        <v>87169814</v>
      </c>
      <c r="CK102" s="1689">
        <f t="shared" si="78"/>
        <v>64633520</v>
      </c>
      <c r="CL102" s="1690">
        <f t="shared" si="78"/>
        <v>64573541</v>
      </c>
      <c r="CM102" s="1689">
        <f t="shared" si="78"/>
        <v>50420359</v>
      </c>
      <c r="CN102" s="1691">
        <f t="shared" si="78"/>
        <v>126190508</v>
      </c>
      <c r="CO102" s="1690">
        <f t="shared" si="78"/>
        <v>64375307</v>
      </c>
      <c r="CP102" s="1689">
        <f t="shared" si="78"/>
        <v>84392353</v>
      </c>
      <c r="CQ102" s="1691">
        <f t="shared" si="78"/>
        <v>86949417</v>
      </c>
      <c r="CR102" s="1689">
        <f t="shared" si="78"/>
        <v>77852761</v>
      </c>
      <c r="CS102" s="1689">
        <f t="shared" si="78"/>
        <v>72827435</v>
      </c>
      <c r="CT102" s="1689">
        <f t="shared" si="78"/>
        <v>75456341</v>
      </c>
      <c r="CU102" s="1692">
        <f t="shared" si="70"/>
        <v>912533279</v>
      </c>
      <c r="CV102" s="1689">
        <f>SUM(CV75:CV98)</f>
        <v>57691923</v>
      </c>
      <c r="CW102" s="1689">
        <f t="shared" ref="CW102:DG102" si="79">SUM(CW75:CW98)</f>
        <v>87169814</v>
      </c>
      <c r="CX102" s="1689">
        <f t="shared" si="79"/>
        <v>64633520</v>
      </c>
      <c r="CY102" s="1690">
        <f t="shared" si="79"/>
        <v>64573541</v>
      </c>
      <c r="CZ102" s="1689">
        <f t="shared" si="79"/>
        <v>50420359</v>
      </c>
      <c r="DA102" s="1691">
        <f t="shared" si="79"/>
        <v>126190508</v>
      </c>
      <c r="DB102" s="1690">
        <f t="shared" si="79"/>
        <v>64375307</v>
      </c>
      <c r="DC102" s="1689">
        <f t="shared" si="79"/>
        <v>74501658.333333343</v>
      </c>
      <c r="DD102" s="1691">
        <f t="shared" si="79"/>
        <v>98667157.333333343</v>
      </c>
      <c r="DE102" s="1689">
        <f t="shared" si="79"/>
        <v>99765137.333333343</v>
      </c>
      <c r="DF102" s="1689">
        <f t="shared" si="79"/>
        <v>64835175.333333336</v>
      </c>
      <c r="DG102" s="1689">
        <f t="shared" si="79"/>
        <v>68610063.333333343</v>
      </c>
      <c r="DH102" s="1692">
        <f t="shared" si="71"/>
        <v>921434163.66666687</v>
      </c>
      <c r="DI102" s="1689">
        <f>SUM(DI75:DI98)</f>
        <v>64875152.333333336</v>
      </c>
      <c r="DJ102" s="1689">
        <f t="shared" ref="DJ102:DT102" si="80">SUM(DJ75:DJ98)</f>
        <v>75242713.333333343</v>
      </c>
      <c r="DK102" s="1689">
        <f t="shared" si="80"/>
        <v>69690295.333333343</v>
      </c>
      <c r="DL102" s="1690">
        <f t="shared" si="80"/>
        <v>65568054.333333336</v>
      </c>
      <c r="DM102" s="1689">
        <f t="shared" si="80"/>
        <v>63360745.333333336</v>
      </c>
      <c r="DN102" s="1691">
        <f t="shared" si="80"/>
        <v>72298146.333333343</v>
      </c>
      <c r="DO102" s="1690">
        <f t="shared" si="80"/>
        <v>104693012.33333334</v>
      </c>
      <c r="DP102" s="1689">
        <f t="shared" si="80"/>
        <v>105474817.33333334</v>
      </c>
      <c r="DQ102" s="1691">
        <f t="shared" si="80"/>
        <v>109585983.33333334</v>
      </c>
      <c r="DR102" s="1689">
        <f t="shared" si="80"/>
        <v>92449963.333333343</v>
      </c>
      <c r="DS102" s="1689">
        <f t="shared" si="80"/>
        <v>69520002.333333343</v>
      </c>
      <c r="DT102" s="1689">
        <f t="shared" si="80"/>
        <v>71844978.333333343</v>
      </c>
      <c r="DU102" s="1692">
        <f t="shared" si="72"/>
        <v>964603864.00000024</v>
      </c>
      <c r="DV102" s="1689">
        <f>SUM(DV75:DV98)</f>
        <v>69707577.333333343</v>
      </c>
      <c r="DW102" s="1689">
        <f t="shared" ref="DW102:EG102" si="81">SUM(DW75:DW98)</f>
        <v>78675138.333333343</v>
      </c>
      <c r="DX102" s="1689">
        <f t="shared" si="81"/>
        <v>70993220.333333343</v>
      </c>
      <c r="DY102" s="1690">
        <f t="shared" si="81"/>
        <v>66587981.333333336</v>
      </c>
      <c r="DZ102" s="1689">
        <f t="shared" si="81"/>
        <v>64359837.333333336</v>
      </c>
      <c r="EA102" s="1691">
        <f t="shared" si="81"/>
        <v>84419905</v>
      </c>
      <c r="EB102" s="1690">
        <f t="shared" si="81"/>
        <v>164858771</v>
      </c>
      <c r="EC102" s="1689">
        <f t="shared" si="81"/>
        <v>85240576</v>
      </c>
      <c r="ED102" s="1691">
        <f t="shared" si="81"/>
        <v>89997742</v>
      </c>
      <c r="EE102" s="1689">
        <f t="shared" si="81"/>
        <v>100615722</v>
      </c>
      <c r="EF102" s="1689">
        <f t="shared" si="81"/>
        <v>75685760</v>
      </c>
      <c r="EG102" s="1689">
        <f t="shared" si="81"/>
        <v>77860637</v>
      </c>
      <c r="EH102" s="1692">
        <f t="shared" si="73"/>
        <v>1029002867.6666667</v>
      </c>
      <c r="GL102" s="1652"/>
      <c r="GM102" s="1748" t="s">
        <v>3190</v>
      </c>
      <c r="GN102" s="1710" t="s">
        <v>3191</v>
      </c>
      <c r="GO102" s="1711" t="s">
        <v>3169</v>
      </c>
      <c r="GP102" s="1711" t="s">
        <v>3180</v>
      </c>
      <c r="GQ102" s="1749">
        <v>6</v>
      </c>
      <c r="GR102" s="1711" t="s">
        <v>3186</v>
      </c>
      <c r="GS102" s="1658">
        <v>21</v>
      </c>
      <c r="GT102" s="1660">
        <v>0</v>
      </c>
      <c r="GU102" s="1659"/>
      <c r="GV102" s="1659"/>
      <c r="GW102" s="1659"/>
      <c r="GX102" s="1659"/>
      <c r="GY102" s="1659"/>
      <c r="GZ102" s="1659"/>
      <c r="HA102" s="1659"/>
      <c r="HB102" s="1659"/>
      <c r="HC102" s="1659"/>
      <c r="HD102" s="1659"/>
      <c r="HE102" s="1659"/>
      <c r="HF102" s="1659"/>
      <c r="HG102" s="1660">
        <v>40000</v>
      </c>
      <c r="HH102" s="1659"/>
      <c r="HI102" s="1659"/>
      <c r="HJ102" s="1659">
        <v>40000</v>
      </c>
      <c r="HK102" s="1659"/>
      <c r="HL102" s="1659"/>
      <c r="HM102" s="1659"/>
      <c r="HN102" s="1659"/>
      <c r="HO102" s="1659"/>
      <c r="HP102" s="1659"/>
      <c r="HQ102" s="1659"/>
      <c r="HR102" s="1659"/>
      <c r="HS102" s="1659"/>
      <c r="HT102" s="1660">
        <v>0</v>
      </c>
      <c r="HU102" s="1659"/>
      <c r="HV102" s="1659"/>
      <c r="HW102" s="1659"/>
      <c r="HX102" s="1659"/>
      <c r="HY102" s="1659"/>
      <c r="HZ102" s="1659"/>
      <c r="IA102" s="1659"/>
      <c r="IB102" s="1659"/>
      <c r="IC102" s="1659"/>
      <c r="ID102" s="1659"/>
      <c r="IE102" s="1659"/>
      <c r="IF102" s="1659"/>
      <c r="IG102" s="1660">
        <v>0</v>
      </c>
      <c r="IH102" s="1659"/>
      <c r="II102" s="1659"/>
      <c r="IJ102" s="1659"/>
      <c r="IK102" s="1659"/>
      <c r="IL102" s="1659"/>
      <c r="IM102" s="1659"/>
      <c r="IN102" s="1659"/>
      <c r="IO102" s="1659"/>
      <c r="IP102" s="1659"/>
      <c r="IQ102" s="1659"/>
      <c r="IR102" s="1659"/>
      <c r="IS102" s="1659"/>
      <c r="IT102" s="1662">
        <v>40000</v>
      </c>
      <c r="IU102" s="1662">
        <v>40000</v>
      </c>
      <c r="IV102" s="1713"/>
    </row>
    <row r="103" spans="85:256" ht="17.25" thickBot="1">
      <c r="CG103" s="1559"/>
      <c r="CH103" s="1804" t="s">
        <v>3036</v>
      </c>
      <c r="CI103" s="1805">
        <f>CI74+CI102</f>
        <v>104432120</v>
      </c>
      <c r="CJ103" s="1805">
        <f t="shared" ref="CJ103:CT103" si="82">CJ74+CJ102</f>
        <v>143772388</v>
      </c>
      <c r="CK103" s="1805">
        <f t="shared" si="82"/>
        <v>109579065</v>
      </c>
      <c r="CL103" s="1806">
        <f t="shared" si="82"/>
        <v>112328051</v>
      </c>
      <c r="CM103" s="1805">
        <f t="shared" si="82"/>
        <v>100771814</v>
      </c>
      <c r="CN103" s="1807">
        <f t="shared" si="82"/>
        <v>174182633</v>
      </c>
      <c r="CO103" s="1806">
        <f t="shared" si="82"/>
        <v>111656402</v>
      </c>
      <c r="CP103" s="1805">
        <f t="shared" si="82"/>
        <v>132337728</v>
      </c>
      <c r="CQ103" s="1807">
        <f t="shared" si="82"/>
        <v>154688613.90000001</v>
      </c>
      <c r="CR103" s="1805">
        <f t="shared" si="82"/>
        <v>134293138.90000001</v>
      </c>
      <c r="CS103" s="1805">
        <f t="shared" si="82"/>
        <v>129267812.90000001</v>
      </c>
      <c r="CT103" s="1805">
        <f t="shared" si="82"/>
        <v>131896718.90000001</v>
      </c>
      <c r="CU103" s="1808">
        <f t="shared" si="70"/>
        <v>1539206485.6000004</v>
      </c>
      <c r="CV103" s="1805">
        <f t="shared" ref="CV103:DG103" si="83">CV74+CV102</f>
        <v>108517302</v>
      </c>
      <c r="CW103" s="1805">
        <f t="shared" si="83"/>
        <v>137995194</v>
      </c>
      <c r="CX103" s="1805">
        <f t="shared" si="83"/>
        <v>116360334</v>
      </c>
      <c r="CY103" s="1806">
        <f t="shared" si="83"/>
        <v>115699399</v>
      </c>
      <c r="CZ103" s="1805">
        <f t="shared" si="83"/>
        <v>101546217</v>
      </c>
      <c r="DA103" s="1807">
        <f t="shared" si="83"/>
        <v>177316366</v>
      </c>
      <c r="DB103" s="1806">
        <f t="shared" si="83"/>
        <v>115501165</v>
      </c>
      <c r="DC103" s="1805">
        <f t="shared" si="83"/>
        <v>125068072.83033335</v>
      </c>
      <c r="DD103" s="1807">
        <f t="shared" si="83"/>
        <v>161067714.35833335</v>
      </c>
      <c r="DE103" s="1805">
        <f t="shared" si="83"/>
        <v>152283831.75833333</v>
      </c>
      <c r="DF103" s="1805">
        <f t="shared" si="83"/>
        <v>117353869.75833333</v>
      </c>
      <c r="DG103" s="1805">
        <f t="shared" si="83"/>
        <v>121128757.75833334</v>
      </c>
      <c r="DH103" s="1808">
        <f t="shared" si="71"/>
        <v>1549838223.4636667</v>
      </c>
      <c r="DI103" s="1805">
        <f t="shared" ref="DI103:DT103" si="84">DI74+DI102</f>
        <v>117700046.10533333</v>
      </c>
      <c r="DJ103" s="1805">
        <f t="shared" si="84"/>
        <v>128067607.10533334</v>
      </c>
      <c r="DK103" s="1805">
        <f t="shared" si="84"/>
        <v>122515189.10533334</v>
      </c>
      <c r="DL103" s="1806">
        <f t="shared" si="84"/>
        <v>118392948.10533333</v>
      </c>
      <c r="DM103" s="1805">
        <f t="shared" si="84"/>
        <v>116185639.10533333</v>
      </c>
      <c r="DN103" s="1807">
        <f t="shared" si="84"/>
        <v>125123040.10533334</v>
      </c>
      <c r="DO103" s="1806">
        <f t="shared" si="84"/>
        <v>157517906.10533333</v>
      </c>
      <c r="DP103" s="1805">
        <f t="shared" si="84"/>
        <v>158299711.10533333</v>
      </c>
      <c r="DQ103" s="1807">
        <f t="shared" si="84"/>
        <v>176194959.63333333</v>
      </c>
      <c r="DR103" s="1805">
        <f t="shared" si="84"/>
        <v>147312717.73333335</v>
      </c>
      <c r="DS103" s="1805">
        <f t="shared" si="84"/>
        <v>124382756.73333335</v>
      </c>
      <c r="DT103" s="1805">
        <f t="shared" si="84"/>
        <v>126707732.73333335</v>
      </c>
      <c r="DU103" s="1808">
        <f t="shared" si="72"/>
        <v>1618400253.6759999</v>
      </c>
      <c r="DV103" s="1805">
        <f t="shared" ref="DV103:EG103" si="85">DV74+DV102</f>
        <v>124897528.98500001</v>
      </c>
      <c r="DW103" s="1805">
        <f t="shared" si="85"/>
        <v>133865089.98500001</v>
      </c>
      <c r="DX103" s="1805">
        <f t="shared" si="85"/>
        <v>126183171.98500001</v>
      </c>
      <c r="DY103" s="1806">
        <f t="shared" si="85"/>
        <v>121777932.985</v>
      </c>
      <c r="DZ103" s="1805">
        <f t="shared" si="85"/>
        <v>119549788.985</v>
      </c>
      <c r="EA103" s="1807">
        <f t="shared" si="85"/>
        <v>139609856.65166667</v>
      </c>
      <c r="EB103" s="1806">
        <f t="shared" si="85"/>
        <v>220048722.65166667</v>
      </c>
      <c r="EC103" s="1805">
        <f t="shared" si="85"/>
        <v>140430527.65166667</v>
      </c>
      <c r="ED103" s="1807">
        <f t="shared" si="85"/>
        <v>159595366.99166667</v>
      </c>
      <c r="EE103" s="1805">
        <f t="shared" si="85"/>
        <v>157933058.19166666</v>
      </c>
      <c r="EF103" s="1805">
        <f t="shared" si="85"/>
        <v>133003096.19166666</v>
      </c>
      <c r="EG103" s="1805">
        <f t="shared" si="85"/>
        <v>135177973.19166666</v>
      </c>
      <c r="EH103" s="1808">
        <f t="shared" si="73"/>
        <v>1712072114.4466667</v>
      </c>
      <c r="GL103" s="1623"/>
      <c r="GM103" s="1746" t="s">
        <v>3192</v>
      </c>
      <c r="GN103" s="1728" t="s">
        <v>3193</v>
      </c>
      <c r="GO103" s="1705" t="s">
        <v>3169</v>
      </c>
      <c r="GP103" s="1705" t="s">
        <v>3180</v>
      </c>
      <c r="GQ103" s="1747">
        <v>6</v>
      </c>
      <c r="GR103" s="1705" t="s">
        <v>3186</v>
      </c>
      <c r="GS103" s="1629">
        <v>21</v>
      </c>
      <c r="GT103" s="1631">
        <v>0</v>
      </c>
      <c r="GU103" s="1630"/>
      <c r="GV103" s="1630"/>
      <c r="GW103" s="1630"/>
      <c r="GX103" s="1630"/>
      <c r="GY103" s="1630"/>
      <c r="GZ103" s="1630"/>
      <c r="HA103" s="1630"/>
      <c r="HB103" s="1630"/>
      <c r="HC103" s="1630"/>
      <c r="HD103" s="1630"/>
      <c r="HE103" s="1630"/>
      <c r="HF103" s="1630"/>
      <c r="HG103" s="1631">
        <v>35000</v>
      </c>
      <c r="HH103" s="1630"/>
      <c r="HI103" s="1630"/>
      <c r="HJ103" s="1630"/>
      <c r="HK103" s="1630"/>
      <c r="HL103" s="1630"/>
      <c r="HM103" s="1630"/>
      <c r="HN103" s="1630"/>
      <c r="HO103" s="1630"/>
      <c r="HP103" s="1630"/>
      <c r="HQ103" s="1630"/>
      <c r="HR103" s="1630"/>
      <c r="HS103" s="1630">
        <v>35000</v>
      </c>
      <c r="HT103" s="1631">
        <v>0</v>
      </c>
      <c r="HU103" s="1630"/>
      <c r="HV103" s="1630"/>
      <c r="HW103" s="1630"/>
      <c r="HX103" s="1630"/>
      <c r="HY103" s="1630"/>
      <c r="HZ103" s="1630"/>
      <c r="IA103" s="1630"/>
      <c r="IB103" s="1630"/>
      <c r="IC103" s="1630"/>
      <c r="ID103" s="1630"/>
      <c r="IE103" s="1630"/>
      <c r="IF103" s="1630"/>
      <c r="IG103" s="1631">
        <v>0</v>
      </c>
      <c r="IH103" s="1630"/>
      <c r="II103" s="1630"/>
      <c r="IJ103" s="1630"/>
      <c r="IK103" s="1630"/>
      <c r="IL103" s="1630"/>
      <c r="IM103" s="1630"/>
      <c r="IN103" s="1630"/>
      <c r="IO103" s="1630"/>
      <c r="IP103" s="1630"/>
      <c r="IQ103" s="1630"/>
      <c r="IR103" s="1630"/>
      <c r="IS103" s="1630"/>
      <c r="IT103" s="1633">
        <v>35000</v>
      </c>
      <c r="IU103" s="1633">
        <v>35000</v>
      </c>
      <c r="IV103" s="1707"/>
    </row>
    <row r="104" spans="85:256" ht="17.25" thickBot="1">
      <c r="CG104" s="1559"/>
      <c r="CH104" s="1559"/>
      <c r="CI104" s="1809"/>
      <c r="CJ104" s="1809"/>
      <c r="CK104" s="1809"/>
      <c r="CL104" s="1809"/>
      <c r="CM104" s="1809"/>
      <c r="CN104" s="1809"/>
      <c r="CO104" s="1809"/>
      <c r="CP104" s="1809"/>
      <c r="CQ104" s="1809"/>
      <c r="CR104" s="1809"/>
      <c r="CS104" s="1809"/>
      <c r="CT104" s="1809"/>
      <c r="CU104" s="1810"/>
      <c r="CV104" s="1809"/>
      <c r="CW104" s="1809"/>
      <c r="CX104" s="1809"/>
      <c r="CY104" s="1809"/>
      <c r="CZ104" s="1809"/>
      <c r="DA104" s="1809"/>
      <c r="DB104" s="1809"/>
      <c r="DC104" s="1809"/>
      <c r="DD104" s="1809"/>
      <c r="DE104" s="1809"/>
      <c r="DF104" s="1809"/>
      <c r="DG104" s="1809"/>
      <c r="DH104" s="1810"/>
      <c r="DI104" s="1809"/>
      <c r="DJ104" s="1809"/>
      <c r="DK104" s="1809"/>
      <c r="DL104" s="1809"/>
      <c r="DM104" s="1809"/>
      <c r="DN104" s="1809"/>
      <c r="DO104" s="1809"/>
      <c r="DP104" s="1809"/>
      <c r="DQ104" s="1809"/>
      <c r="DR104" s="1809"/>
      <c r="DS104" s="1809"/>
      <c r="DT104" s="1809"/>
      <c r="DU104" s="1810"/>
      <c r="DV104" s="1809"/>
      <c r="DW104" s="1809"/>
      <c r="DX104" s="1809"/>
      <c r="DY104" s="1809"/>
      <c r="DZ104" s="1809"/>
      <c r="EA104" s="1809"/>
      <c r="EB104" s="1809"/>
      <c r="EC104" s="1809"/>
      <c r="ED104" s="1809"/>
      <c r="EE104" s="1809"/>
      <c r="EF104" s="1809"/>
      <c r="EG104" s="1809"/>
      <c r="EH104" s="1810"/>
      <c r="GL104" s="1652"/>
      <c r="GM104" s="1748" t="s">
        <v>3194</v>
      </c>
      <c r="GN104" s="1714" t="s">
        <v>3195</v>
      </c>
      <c r="GO104" s="1711" t="s">
        <v>320</v>
      </c>
      <c r="GP104" s="1711" t="s">
        <v>3180</v>
      </c>
      <c r="GQ104" s="1749">
        <v>6</v>
      </c>
      <c r="GR104" s="1711" t="s">
        <v>3186</v>
      </c>
      <c r="GS104" s="1658">
        <v>21</v>
      </c>
      <c r="GT104" s="1660">
        <v>0</v>
      </c>
      <c r="GU104" s="1659"/>
      <c r="GV104" s="1659"/>
      <c r="GW104" s="1659"/>
      <c r="GX104" s="1659"/>
      <c r="GY104" s="1659"/>
      <c r="GZ104" s="1659"/>
      <c r="HA104" s="1659"/>
      <c r="HB104" s="1659"/>
      <c r="HC104" s="1659"/>
      <c r="HD104" s="1659"/>
      <c r="HE104" s="1659"/>
      <c r="HF104" s="1659"/>
      <c r="HG104" s="1660">
        <v>7000</v>
      </c>
      <c r="HH104" s="1659">
        <v>7000</v>
      </c>
      <c r="HI104" s="1659"/>
      <c r="HJ104" s="1659"/>
      <c r="HK104" s="1659"/>
      <c r="HL104" s="1659"/>
      <c r="HM104" s="1659"/>
      <c r="HN104" s="1659"/>
      <c r="HO104" s="1659"/>
      <c r="HP104" s="1659"/>
      <c r="HQ104" s="1659"/>
      <c r="HR104" s="1659"/>
      <c r="HS104" s="1659"/>
      <c r="HT104" s="1660">
        <v>0</v>
      </c>
      <c r="HU104" s="1659"/>
      <c r="HV104" s="1659"/>
      <c r="HW104" s="1659"/>
      <c r="HX104" s="1659"/>
      <c r="HY104" s="1659"/>
      <c r="HZ104" s="1659"/>
      <c r="IA104" s="1659"/>
      <c r="IB104" s="1659"/>
      <c r="IC104" s="1659"/>
      <c r="ID104" s="1659"/>
      <c r="IE104" s="1659"/>
      <c r="IF104" s="1659"/>
      <c r="IG104" s="1660">
        <v>0</v>
      </c>
      <c r="IH104" s="1659"/>
      <c r="II104" s="1659"/>
      <c r="IJ104" s="1659"/>
      <c r="IK104" s="1659"/>
      <c r="IL104" s="1659"/>
      <c r="IM104" s="1659"/>
      <c r="IN104" s="1659"/>
      <c r="IO104" s="1659"/>
      <c r="IP104" s="1659"/>
      <c r="IQ104" s="1659"/>
      <c r="IR104" s="1659"/>
      <c r="IS104" s="1659"/>
      <c r="IT104" s="1898">
        <v>7000</v>
      </c>
      <c r="IU104" s="1898">
        <v>7000</v>
      </c>
      <c r="IV104" s="1713"/>
    </row>
    <row r="105" spans="85:256" ht="17.25" thickBot="1">
      <c r="CG105" s="1559"/>
      <c r="CH105" s="1817" t="s">
        <v>2864</v>
      </c>
      <c r="CI105" s="1818"/>
      <c r="CJ105" s="1819"/>
      <c r="CK105" s="1820"/>
      <c r="CL105" s="1819"/>
      <c r="CM105" s="1819"/>
      <c r="CN105" s="1819"/>
      <c r="CO105" s="1818"/>
      <c r="CP105" s="1819"/>
      <c r="CQ105" s="1820"/>
      <c r="CR105" s="1819"/>
      <c r="CS105" s="1819"/>
      <c r="CT105" s="1819"/>
      <c r="CU105" s="1821"/>
      <c r="CV105" s="1818"/>
      <c r="CW105" s="1819"/>
      <c r="CX105" s="1820"/>
      <c r="CY105" s="1819"/>
      <c r="CZ105" s="1819"/>
      <c r="DA105" s="1819"/>
      <c r="DB105" s="1818"/>
      <c r="DC105" s="1819"/>
      <c r="DD105" s="1820"/>
      <c r="DE105" s="1819"/>
      <c r="DF105" s="1819"/>
      <c r="DG105" s="1819"/>
      <c r="DH105" s="1821"/>
      <c r="DI105" s="1818"/>
      <c r="DJ105" s="1819"/>
      <c r="DK105" s="1820"/>
      <c r="DL105" s="1819"/>
      <c r="DM105" s="1819"/>
      <c r="DN105" s="1819"/>
      <c r="DO105" s="1818"/>
      <c r="DP105" s="1819"/>
      <c r="DQ105" s="1820"/>
      <c r="DR105" s="1819"/>
      <c r="DS105" s="1819"/>
      <c r="DT105" s="1819"/>
      <c r="DU105" s="1821"/>
      <c r="DV105" s="1818"/>
      <c r="DW105" s="1819"/>
      <c r="DX105" s="1820"/>
      <c r="DY105" s="1819"/>
      <c r="DZ105" s="1819"/>
      <c r="EA105" s="1819"/>
      <c r="EB105" s="1818"/>
      <c r="EC105" s="1819"/>
      <c r="ED105" s="1820"/>
      <c r="EE105" s="1819"/>
      <c r="EF105" s="1819"/>
      <c r="EG105" s="1819"/>
      <c r="EH105" s="1821"/>
      <c r="GL105" s="1623"/>
      <c r="GM105" s="1746" t="s">
        <v>3196</v>
      </c>
      <c r="GN105" s="1728" t="s">
        <v>3197</v>
      </c>
      <c r="GO105" s="1705" t="s">
        <v>3169</v>
      </c>
      <c r="GP105" s="1705" t="s">
        <v>3180</v>
      </c>
      <c r="GQ105" s="1747">
        <v>6</v>
      </c>
      <c r="GR105" s="1705" t="s">
        <v>3186</v>
      </c>
      <c r="GS105" s="1629">
        <v>22</v>
      </c>
      <c r="GT105" s="1631">
        <v>0</v>
      </c>
      <c r="GU105" s="1630"/>
      <c r="GV105" s="1630"/>
      <c r="GW105" s="1630"/>
      <c r="GX105" s="1630"/>
      <c r="GY105" s="1630"/>
      <c r="GZ105" s="1630"/>
      <c r="HA105" s="1630"/>
      <c r="HB105" s="1630"/>
      <c r="HC105" s="1630"/>
      <c r="HD105" s="1630"/>
      <c r="HE105" s="1630"/>
      <c r="HF105" s="1630"/>
      <c r="HG105" s="1631">
        <v>0</v>
      </c>
      <c r="HH105" s="1630"/>
      <c r="HI105" s="1630"/>
      <c r="HJ105" s="1630"/>
      <c r="HK105" s="1630"/>
      <c r="HL105" s="1630"/>
      <c r="HM105" s="1630"/>
      <c r="HN105" s="1630"/>
      <c r="HO105" s="1630"/>
      <c r="HP105" s="1630"/>
      <c r="HQ105" s="1630"/>
      <c r="HR105" s="1630"/>
      <c r="HS105" s="1630"/>
      <c r="HT105" s="1631">
        <v>0</v>
      </c>
      <c r="HU105" s="1630"/>
      <c r="HV105" s="1630"/>
      <c r="HW105" s="1630"/>
      <c r="HX105" s="1630"/>
      <c r="HY105" s="1630"/>
      <c r="HZ105" s="1630"/>
      <c r="IA105" s="1630"/>
      <c r="IB105" s="1630"/>
      <c r="IC105" s="1630"/>
      <c r="ID105" s="1630"/>
      <c r="IE105" s="1630"/>
      <c r="IF105" s="1630"/>
      <c r="IG105" s="1631">
        <v>55000</v>
      </c>
      <c r="IH105" s="1630"/>
      <c r="II105" s="1630"/>
      <c r="IJ105" s="1630">
        <v>55000</v>
      </c>
      <c r="IK105" s="1630"/>
      <c r="IL105" s="1630"/>
      <c r="IM105" s="1630"/>
      <c r="IN105" s="1630"/>
      <c r="IO105" s="1630"/>
      <c r="IP105" s="1630"/>
      <c r="IQ105" s="1630"/>
      <c r="IR105" s="1630"/>
      <c r="IS105" s="1630"/>
      <c r="IT105" s="1899">
        <v>0</v>
      </c>
      <c r="IU105" s="1899">
        <v>55000</v>
      </c>
      <c r="IV105" s="1707"/>
    </row>
    <row r="106" spans="85:256" ht="17.25" thickBot="1">
      <c r="CG106" s="1559"/>
      <c r="CH106" s="1729"/>
      <c r="CI106" s="1837"/>
      <c r="CJ106" s="1837"/>
      <c r="CK106" s="1837"/>
      <c r="CL106" s="1837"/>
      <c r="CM106" s="1837"/>
      <c r="CN106" s="1837"/>
      <c r="CO106" s="1837"/>
      <c r="CP106" s="1837"/>
      <c r="CQ106" s="1837"/>
      <c r="CR106" s="1837"/>
      <c r="CS106" s="1837"/>
      <c r="CT106" s="1837"/>
      <c r="CU106" s="1838"/>
      <c r="CV106" s="1837"/>
      <c r="CW106" s="1837"/>
      <c r="CX106" s="1837"/>
      <c r="CY106" s="1837"/>
      <c r="CZ106" s="1837"/>
      <c r="DA106" s="1837"/>
      <c r="DB106" s="1837"/>
      <c r="DC106" s="1837"/>
      <c r="DD106" s="1837"/>
      <c r="DE106" s="1837"/>
      <c r="DF106" s="1837"/>
      <c r="DG106" s="1837"/>
      <c r="DH106" s="1838"/>
      <c r="DI106" s="1837"/>
      <c r="DJ106" s="1837"/>
      <c r="DK106" s="1837"/>
      <c r="DL106" s="1837"/>
      <c r="DM106" s="1837"/>
      <c r="DN106" s="1837"/>
      <c r="DO106" s="1837"/>
      <c r="DP106" s="1837"/>
      <c r="DQ106" s="1837"/>
      <c r="DR106" s="1837"/>
      <c r="DS106" s="1837"/>
      <c r="DT106" s="1837"/>
      <c r="DU106" s="1838"/>
      <c r="DV106" s="1837"/>
      <c r="DW106" s="1837"/>
      <c r="DX106" s="1837"/>
      <c r="DY106" s="1837"/>
      <c r="DZ106" s="1837"/>
      <c r="EA106" s="1837"/>
      <c r="EB106" s="1837"/>
      <c r="EC106" s="1837"/>
      <c r="ED106" s="1837"/>
      <c r="EE106" s="1837"/>
      <c r="EF106" s="1837"/>
      <c r="EG106" s="1837"/>
      <c r="EH106" s="1838"/>
      <c r="GL106" s="1652"/>
      <c r="GM106" s="1748" t="s">
        <v>3198</v>
      </c>
      <c r="GN106" s="1714" t="s">
        <v>3199</v>
      </c>
      <c r="GO106" s="1711" t="s">
        <v>3169</v>
      </c>
      <c r="GP106" s="1711" t="s">
        <v>3180</v>
      </c>
      <c r="GQ106" s="1749">
        <v>6</v>
      </c>
      <c r="GR106" s="1711" t="s">
        <v>3186</v>
      </c>
      <c r="GS106" s="1658">
        <v>22</v>
      </c>
      <c r="GT106" s="1660">
        <v>0</v>
      </c>
      <c r="GU106" s="1659"/>
      <c r="GV106" s="1659"/>
      <c r="GW106" s="1659"/>
      <c r="GX106" s="1659"/>
      <c r="GY106" s="1659"/>
      <c r="GZ106" s="1659"/>
      <c r="HA106" s="1659"/>
      <c r="HB106" s="1659"/>
      <c r="HC106" s="1659"/>
      <c r="HD106" s="1659"/>
      <c r="HE106" s="1659"/>
      <c r="HF106" s="1659"/>
      <c r="HG106" s="1660">
        <v>0</v>
      </c>
      <c r="HH106" s="1659"/>
      <c r="HI106" s="1659"/>
      <c r="HJ106" s="1659"/>
      <c r="HK106" s="1659"/>
      <c r="HL106" s="1659"/>
      <c r="HM106" s="1659"/>
      <c r="HN106" s="1659"/>
      <c r="HO106" s="1659"/>
      <c r="HP106" s="1659"/>
      <c r="HQ106" s="1659"/>
      <c r="HR106" s="1659"/>
      <c r="HS106" s="1659"/>
      <c r="HT106" s="1660">
        <v>150000</v>
      </c>
      <c r="HU106" s="1659"/>
      <c r="HV106" s="1659"/>
      <c r="HW106" s="1659"/>
      <c r="HX106" s="1659"/>
      <c r="HY106" s="1659">
        <v>150000</v>
      </c>
      <c r="HZ106" s="1659"/>
      <c r="IA106" s="1659"/>
      <c r="IB106" s="1659"/>
      <c r="IC106" s="1659"/>
      <c r="ID106" s="1659"/>
      <c r="IE106" s="1659"/>
      <c r="IF106" s="1659"/>
      <c r="IG106" s="1660">
        <v>0</v>
      </c>
      <c r="IH106" s="1659"/>
      <c r="II106" s="1659"/>
      <c r="IJ106" s="1659"/>
      <c r="IK106" s="1659"/>
      <c r="IL106" s="1659"/>
      <c r="IM106" s="1659"/>
      <c r="IN106" s="1659"/>
      <c r="IO106" s="1659"/>
      <c r="IP106" s="1659"/>
      <c r="IQ106" s="1659"/>
      <c r="IR106" s="1659"/>
      <c r="IS106" s="1659"/>
      <c r="IT106" s="1898">
        <v>150000</v>
      </c>
      <c r="IU106" s="1898">
        <v>150000</v>
      </c>
      <c r="IV106" s="1713"/>
    </row>
    <row r="107" spans="85:256" ht="16.5">
      <c r="CG107" s="1559"/>
      <c r="CH107" s="1840" t="s">
        <v>3059</v>
      </c>
      <c r="CI107" s="1841">
        <v>2600</v>
      </c>
      <c r="CJ107" s="1842">
        <v>7900</v>
      </c>
      <c r="CK107" s="1843">
        <v>7900</v>
      </c>
      <c r="CL107" s="1842">
        <v>7600</v>
      </c>
      <c r="CM107" s="1842">
        <v>7900</v>
      </c>
      <c r="CN107" s="1842">
        <v>7600</v>
      </c>
      <c r="CO107" s="1841">
        <v>7900</v>
      </c>
      <c r="CP107" s="1842">
        <v>85500</v>
      </c>
      <c r="CQ107" s="1843">
        <v>0</v>
      </c>
      <c r="CR107" s="1842">
        <v>0</v>
      </c>
      <c r="CS107" s="1842">
        <v>0</v>
      </c>
      <c r="CT107" s="1842">
        <v>0</v>
      </c>
      <c r="CU107" s="1844">
        <v>0</v>
      </c>
      <c r="CV107" s="1841"/>
      <c r="CW107" s="1842"/>
      <c r="CX107" s="1843"/>
      <c r="CY107" s="1842"/>
      <c r="CZ107" s="1842"/>
      <c r="DA107" s="1842"/>
      <c r="DB107" s="1841"/>
      <c r="DC107" s="1842"/>
      <c r="DD107" s="1843"/>
      <c r="DE107" s="1842"/>
      <c r="DF107" s="1842"/>
      <c r="DG107" s="1842"/>
      <c r="DH107" s="1844">
        <v>0</v>
      </c>
      <c r="DI107" s="1841"/>
      <c r="DJ107" s="1842"/>
      <c r="DK107" s="1843"/>
      <c r="DL107" s="1842"/>
      <c r="DM107" s="1842"/>
      <c r="DN107" s="1842"/>
      <c r="DO107" s="1841"/>
      <c r="DP107" s="1842"/>
      <c r="DQ107" s="1843"/>
      <c r="DR107" s="1842"/>
      <c r="DS107" s="1842"/>
      <c r="DT107" s="1842"/>
      <c r="DU107" s="1844">
        <v>0</v>
      </c>
      <c r="DV107" s="1841"/>
      <c r="DW107" s="1842"/>
      <c r="DX107" s="1843"/>
      <c r="DY107" s="1842"/>
      <c r="DZ107" s="1842"/>
      <c r="EA107" s="1842"/>
      <c r="EB107" s="1841"/>
      <c r="EC107" s="1842"/>
      <c r="ED107" s="1843"/>
      <c r="EE107" s="1842"/>
      <c r="EF107" s="1842"/>
      <c r="EG107" s="1842"/>
      <c r="EH107" s="1844">
        <v>0</v>
      </c>
      <c r="GL107" s="1623"/>
      <c r="GM107" s="1746" t="s">
        <v>3200</v>
      </c>
      <c r="GN107" s="1728" t="s">
        <v>3201</v>
      </c>
      <c r="GO107" s="1705" t="s">
        <v>3169</v>
      </c>
      <c r="GP107" s="1705" t="s">
        <v>3180</v>
      </c>
      <c r="GQ107" s="1747">
        <v>6</v>
      </c>
      <c r="GR107" s="1705" t="s">
        <v>2920</v>
      </c>
      <c r="GS107" s="1629">
        <v>23</v>
      </c>
      <c r="GT107" s="1633">
        <v>0</v>
      </c>
      <c r="GU107" s="1632"/>
      <c r="GV107" s="1632"/>
      <c r="GW107" s="1632"/>
      <c r="GX107" s="1632"/>
      <c r="GY107" s="1632"/>
      <c r="GZ107" s="1632"/>
      <c r="HA107" s="1632"/>
      <c r="HB107" s="1632"/>
      <c r="HC107" s="1632"/>
      <c r="HD107" s="1632"/>
      <c r="HE107" s="1632"/>
      <c r="HF107" s="1632"/>
      <c r="HG107" s="1633">
        <v>0</v>
      </c>
      <c r="HH107" s="1632"/>
      <c r="HI107" s="1632"/>
      <c r="HJ107" s="1632"/>
      <c r="HK107" s="1632"/>
      <c r="HL107" s="1632"/>
      <c r="HM107" s="1632"/>
      <c r="HN107" s="1632"/>
      <c r="HO107" s="1632"/>
      <c r="HP107" s="1632"/>
      <c r="HQ107" s="1632"/>
      <c r="HR107" s="1632"/>
      <c r="HS107" s="1632"/>
      <c r="HT107" s="1633">
        <v>0</v>
      </c>
      <c r="HU107" s="1632"/>
      <c r="HV107" s="1632"/>
      <c r="HW107" s="1632"/>
      <c r="HX107" s="1632"/>
      <c r="HY107" s="1632"/>
      <c r="HZ107" s="1632"/>
      <c r="IA107" s="1632"/>
      <c r="IB107" s="1632"/>
      <c r="IC107" s="1632"/>
      <c r="ID107" s="1632"/>
      <c r="IE107" s="1632"/>
      <c r="IF107" s="1632"/>
      <c r="IG107" s="1633">
        <v>150000</v>
      </c>
      <c r="IH107" s="1632"/>
      <c r="II107" s="1632"/>
      <c r="IJ107" s="1632"/>
      <c r="IK107" s="1632"/>
      <c r="IL107" s="1632"/>
      <c r="IM107" s="1632">
        <v>150000</v>
      </c>
      <c r="IN107" s="1632"/>
      <c r="IO107" s="1632"/>
      <c r="IP107" s="1632"/>
      <c r="IQ107" s="1632"/>
      <c r="IR107" s="1632"/>
      <c r="IS107" s="1632"/>
      <c r="IT107" s="1899">
        <v>0</v>
      </c>
      <c r="IU107" s="1899">
        <v>150000</v>
      </c>
      <c r="IV107" s="1707"/>
    </row>
    <row r="108" spans="85:256" ht="17.25" thickBot="1">
      <c r="CG108" s="1559"/>
      <c r="CH108" s="1846" t="s">
        <v>3065</v>
      </c>
      <c r="CI108" s="1847">
        <f t="shared" ref="CI108:CT108" si="86">CI103/CI107/1000</f>
        <v>40.166199999999996</v>
      </c>
      <c r="CJ108" s="1848">
        <f t="shared" si="86"/>
        <v>18.199036455696202</v>
      </c>
      <c r="CK108" s="1849">
        <f t="shared" si="86"/>
        <v>13.870767721518988</v>
      </c>
      <c r="CL108" s="1847">
        <f t="shared" si="86"/>
        <v>14.780006710526315</v>
      </c>
      <c r="CM108" s="1848">
        <f t="shared" si="86"/>
        <v>12.755925822784809</v>
      </c>
      <c r="CN108" s="1848">
        <f t="shared" si="86"/>
        <v>22.918767500000001</v>
      </c>
      <c r="CO108" s="1847">
        <f t="shared" si="86"/>
        <v>14.133721772151899</v>
      </c>
      <c r="CP108" s="1848">
        <f t="shared" si="86"/>
        <v>1.5478096842105262</v>
      </c>
      <c r="CQ108" s="1849" t="e">
        <f t="shared" si="86"/>
        <v>#DIV/0!</v>
      </c>
      <c r="CR108" s="1847" t="e">
        <f t="shared" si="86"/>
        <v>#DIV/0!</v>
      </c>
      <c r="CS108" s="1848" t="e">
        <f t="shared" si="86"/>
        <v>#DIV/0!</v>
      </c>
      <c r="CT108" s="1848" t="e">
        <f t="shared" si="86"/>
        <v>#DIV/0!</v>
      </c>
      <c r="CU108" s="1850" t="e">
        <f>CU103/CU107/1000</f>
        <v>#DIV/0!</v>
      </c>
      <c r="CV108" s="1847"/>
      <c r="CW108" s="1848"/>
      <c r="CX108" s="1849"/>
      <c r="CY108" s="1847"/>
      <c r="CZ108" s="1848"/>
      <c r="DA108" s="1848"/>
      <c r="DB108" s="1847"/>
      <c r="DC108" s="1848"/>
      <c r="DD108" s="1849"/>
      <c r="DE108" s="1847"/>
      <c r="DF108" s="1848"/>
      <c r="DG108" s="1848"/>
      <c r="DH108" s="1850" t="e">
        <f>DH103/DH107/1000</f>
        <v>#DIV/0!</v>
      </c>
      <c r="DI108" s="1847"/>
      <c r="DJ108" s="1848"/>
      <c r="DK108" s="1849"/>
      <c r="DL108" s="1847"/>
      <c r="DM108" s="1848"/>
      <c r="DN108" s="1848"/>
      <c r="DO108" s="1847"/>
      <c r="DP108" s="1848"/>
      <c r="DQ108" s="1849"/>
      <c r="DR108" s="1847"/>
      <c r="DS108" s="1848"/>
      <c r="DT108" s="1848"/>
      <c r="DU108" s="1850" t="e">
        <f>DU103/DU107/1000</f>
        <v>#DIV/0!</v>
      </c>
      <c r="DV108" s="1847"/>
      <c r="DW108" s="1848"/>
      <c r="DX108" s="1849"/>
      <c r="DY108" s="1847"/>
      <c r="DZ108" s="1848"/>
      <c r="EA108" s="1848"/>
      <c r="EB108" s="1847"/>
      <c r="EC108" s="1848"/>
      <c r="ED108" s="1849"/>
      <c r="EE108" s="1847"/>
      <c r="EF108" s="1848"/>
      <c r="EG108" s="1848"/>
      <c r="EH108" s="1850" t="e">
        <f>EH103/EH107/1000</f>
        <v>#DIV/0!</v>
      </c>
      <c r="GL108" s="5811" t="s">
        <v>3202</v>
      </c>
      <c r="GM108" s="5812"/>
      <c r="GN108" s="5813"/>
      <c r="GO108" s="1693"/>
      <c r="GP108" s="1693"/>
      <c r="GQ108" s="1694"/>
      <c r="GR108" s="1693"/>
      <c r="GS108" s="1695"/>
      <c r="GT108" s="1696">
        <v>135456.98200000002</v>
      </c>
      <c r="GU108" s="1696">
        <v>25456.982</v>
      </c>
      <c r="GV108" s="1696">
        <v>0</v>
      </c>
      <c r="GW108" s="1696">
        <v>0</v>
      </c>
      <c r="GX108" s="1696">
        <v>0</v>
      </c>
      <c r="GY108" s="1696">
        <v>0</v>
      </c>
      <c r="GZ108" s="1696">
        <v>30000</v>
      </c>
      <c r="HA108" s="1696">
        <v>0</v>
      </c>
      <c r="HB108" s="1696">
        <v>0</v>
      </c>
      <c r="HC108" s="1696">
        <v>21000</v>
      </c>
      <c r="HD108" s="1696">
        <v>49000</v>
      </c>
      <c r="HE108" s="1696">
        <v>0</v>
      </c>
      <c r="HF108" s="1696">
        <v>10000</v>
      </c>
      <c r="HG108" s="1696">
        <v>28000</v>
      </c>
      <c r="HH108" s="1696">
        <v>0</v>
      </c>
      <c r="HI108" s="1696">
        <v>0</v>
      </c>
      <c r="HJ108" s="1696">
        <v>28000</v>
      </c>
      <c r="HK108" s="1696">
        <v>0</v>
      </c>
      <c r="HL108" s="1696">
        <v>0</v>
      </c>
      <c r="HM108" s="1696">
        <v>0</v>
      </c>
      <c r="HN108" s="1696">
        <v>0</v>
      </c>
      <c r="HO108" s="1696">
        <v>0</v>
      </c>
      <c r="HP108" s="1696">
        <v>0</v>
      </c>
      <c r="HQ108" s="1696">
        <v>0</v>
      </c>
      <c r="HR108" s="1696">
        <v>0</v>
      </c>
      <c r="HS108" s="1696">
        <v>0</v>
      </c>
      <c r="HT108" s="1696">
        <v>0</v>
      </c>
      <c r="HU108" s="1696">
        <v>0</v>
      </c>
      <c r="HV108" s="1696">
        <v>0</v>
      </c>
      <c r="HW108" s="1696">
        <v>0</v>
      </c>
      <c r="HX108" s="1696">
        <v>0</v>
      </c>
      <c r="HY108" s="1696">
        <v>0</v>
      </c>
      <c r="HZ108" s="1696">
        <v>0</v>
      </c>
      <c r="IA108" s="1696">
        <v>0</v>
      </c>
      <c r="IB108" s="1696">
        <v>0</v>
      </c>
      <c r="IC108" s="1696">
        <v>0</v>
      </c>
      <c r="ID108" s="1696">
        <v>0</v>
      </c>
      <c r="IE108" s="1696">
        <v>0</v>
      </c>
      <c r="IF108" s="1696">
        <v>0</v>
      </c>
      <c r="IG108" s="1696">
        <v>0</v>
      </c>
      <c r="IH108" s="1696">
        <v>0</v>
      </c>
      <c r="II108" s="1696">
        <v>0</v>
      </c>
      <c r="IJ108" s="1696">
        <v>0</v>
      </c>
      <c r="IK108" s="1696">
        <v>0</v>
      </c>
      <c r="IL108" s="1696">
        <v>0</v>
      </c>
      <c r="IM108" s="1696">
        <v>0</v>
      </c>
      <c r="IN108" s="1696">
        <v>0</v>
      </c>
      <c r="IO108" s="1696">
        <v>0</v>
      </c>
      <c r="IP108" s="1696">
        <v>0</v>
      </c>
      <c r="IQ108" s="1696">
        <v>0</v>
      </c>
      <c r="IR108" s="1696">
        <v>0</v>
      </c>
      <c r="IS108" s="1696">
        <v>0</v>
      </c>
      <c r="IT108" s="1696">
        <v>163456.98200000002</v>
      </c>
      <c r="IU108" s="1696">
        <v>28000</v>
      </c>
      <c r="IV108" s="1697"/>
    </row>
    <row r="109" spans="85:256" ht="16.5">
      <c r="CG109" s="1559"/>
      <c r="CH109" s="1729" t="s">
        <v>3071</v>
      </c>
      <c r="CI109" s="1860"/>
      <c r="CJ109" s="1860"/>
      <c r="CK109" s="1860"/>
      <c r="CL109" s="1860"/>
      <c r="CM109" s="1860"/>
      <c r="CN109" s="1860"/>
      <c r="CO109" s="1860"/>
      <c r="CP109" s="1860"/>
      <c r="CQ109" s="1860"/>
      <c r="CR109" s="1860"/>
      <c r="CS109" s="1860"/>
      <c r="CT109" s="1860"/>
      <c r="CU109" s="1861"/>
      <c r="CV109" s="1860"/>
      <c r="CW109" s="1860"/>
      <c r="CX109" s="1860"/>
      <c r="CY109" s="1860"/>
      <c r="CZ109" s="1860"/>
      <c r="DA109" s="1860"/>
      <c r="DB109" s="1860"/>
      <c r="DC109" s="1860"/>
      <c r="DD109" s="1860"/>
      <c r="DE109" s="1860"/>
      <c r="DF109" s="1860"/>
      <c r="DG109" s="1860"/>
      <c r="DH109" s="1861"/>
      <c r="DI109" s="1860"/>
      <c r="DJ109" s="1860"/>
      <c r="DK109" s="1860"/>
      <c r="DL109" s="1860"/>
      <c r="DM109" s="1860"/>
      <c r="DN109" s="1860"/>
      <c r="DO109" s="1860"/>
      <c r="DP109" s="1860"/>
      <c r="DQ109" s="1860"/>
      <c r="DR109" s="1860"/>
      <c r="DS109" s="1860"/>
      <c r="DT109" s="1860"/>
      <c r="DU109" s="1861"/>
      <c r="DV109" s="1860"/>
      <c r="DW109" s="1860"/>
      <c r="DX109" s="1860"/>
      <c r="DY109" s="1860"/>
      <c r="DZ109" s="1860"/>
      <c r="EA109" s="1860"/>
      <c r="EB109" s="1860"/>
      <c r="EC109" s="1860"/>
      <c r="ED109" s="1860"/>
      <c r="EE109" s="1860"/>
      <c r="EF109" s="1860"/>
      <c r="EG109" s="1860"/>
      <c r="EH109" s="1861"/>
      <c r="GL109" s="1900"/>
      <c r="GM109" s="1893" t="s">
        <v>3203</v>
      </c>
      <c r="GN109" s="1705" t="s">
        <v>3204</v>
      </c>
      <c r="GO109" s="1705" t="s">
        <v>246</v>
      </c>
      <c r="GP109" s="1705" t="s">
        <v>3019</v>
      </c>
      <c r="GQ109" s="1901">
        <v>6</v>
      </c>
      <c r="GR109" s="1705" t="s">
        <v>3103</v>
      </c>
      <c r="GS109" s="1706">
        <v>20</v>
      </c>
      <c r="GT109" s="1631">
        <v>70000</v>
      </c>
      <c r="GU109" s="1630"/>
      <c r="GV109" s="1630"/>
      <c r="GW109" s="1630"/>
      <c r="GX109" s="1630"/>
      <c r="GY109" s="1630"/>
      <c r="GZ109" s="1630"/>
      <c r="HA109" s="1630"/>
      <c r="HB109" s="1630"/>
      <c r="HC109" s="1630">
        <v>21000</v>
      </c>
      <c r="HD109" s="1630">
        <v>49000</v>
      </c>
      <c r="HE109" s="1630"/>
      <c r="HF109" s="1630"/>
      <c r="HG109" s="1631">
        <v>0</v>
      </c>
      <c r="HH109" s="1630"/>
      <c r="HI109" s="1630"/>
      <c r="HJ109" s="1630"/>
      <c r="HK109" s="1630"/>
      <c r="HL109" s="1630"/>
      <c r="HM109" s="1630"/>
      <c r="HN109" s="1630"/>
      <c r="HO109" s="1630"/>
      <c r="HP109" s="1630"/>
      <c r="HQ109" s="1630"/>
      <c r="HR109" s="1630"/>
      <c r="HS109" s="1630"/>
      <c r="HT109" s="1631">
        <v>0</v>
      </c>
      <c r="HU109" s="1630"/>
      <c r="HV109" s="1630"/>
      <c r="HW109" s="1630"/>
      <c r="HX109" s="1630"/>
      <c r="HY109" s="1630"/>
      <c r="HZ109" s="1630"/>
      <c r="IA109" s="1630"/>
      <c r="IB109" s="1630"/>
      <c r="IC109" s="1630"/>
      <c r="ID109" s="1630"/>
      <c r="IE109" s="1630"/>
      <c r="IF109" s="1630"/>
      <c r="IG109" s="1631">
        <v>0</v>
      </c>
      <c r="IH109" s="1630"/>
      <c r="II109" s="1630"/>
      <c r="IJ109" s="1630"/>
      <c r="IK109" s="1630"/>
      <c r="IL109" s="1630"/>
      <c r="IM109" s="1630"/>
      <c r="IN109" s="1630"/>
      <c r="IO109" s="1630"/>
      <c r="IP109" s="1630"/>
      <c r="IQ109" s="1630"/>
      <c r="IR109" s="1630"/>
      <c r="IS109" s="1630"/>
      <c r="IT109" s="1633">
        <v>70000</v>
      </c>
      <c r="IU109" s="1633">
        <v>0</v>
      </c>
      <c r="IV109" s="1707"/>
    </row>
    <row r="110" spans="85:256" ht="16.5">
      <c r="CG110" s="1559"/>
      <c r="CH110" s="1559" t="s">
        <v>3076</v>
      </c>
      <c r="CI110" s="1559"/>
      <c r="CJ110" s="1559"/>
      <c r="CK110" s="1559"/>
      <c r="CL110" s="1559"/>
      <c r="CM110" s="1559"/>
      <c r="CN110" s="1559"/>
      <c r="CO110" s="1559"/>
      <c r="CP110" s="1559"/>
      <c r="CQ110" s="1559"/>
      <c r="CR110" s="1559"/>
      <c r="CS110" s="1559"/>
      <c r="CT110" s="1559"/>
      <c r="CU110" s="1862"/>
      <c r="CV110" s="1559"/>
      <c r="CW110" s="1559"/>
      <c r="CX110" s="1559"/>
      <c r="CY110" s="1559"/>
      <c r="CZ110" s="1559"/>
      <c r="DA110" s="1559"/>
      <c r="DB110" s="1559"/>
      <c r="DC110" s="1559"/>
      <c r="DD110" s="1559"/>
      <c r="DE110" s="1559"/>
      <c r="DF110" s="1559"/>
      <c r="DG110" s="1559"/>
      <c r="DI110" s="1559"/>
      <c r="DJ110" s="1559"/>
      <c r="DK110" s="1559"/>
      <c r="DL110" s="1559"/>
      <c r="DM110" s="1559"/>
      <c r="DN110" s="1559"/>
      <c r="DO110" s="1559"/>
      <c r="DP110" s="1559"/>
      <c r="DQ110" s="1559"/>
      <c r="DR110" s="1559"/>
      <c r="DS110" s="1559"/>
      <c r="DT110" s="1559"/>
      <c r="DV110" s="1559"/>
      <c r="DW110" s="1559"/>
      <c r="DX110" s="1559"/>
      <c r="DY110" s="1559"/>
      <c r="DZ110" s="1559"/>
      <c r="EA110" s="1559"/>
      <c r="EB110" s="1559"/>
      <c r="EC110" s="1559"/>
      <c r="ED110" s="1559"/>
      <c r="EE110" s="1559"/>
      <c r="EF110" s="1559"/>
      <c r="EG110" s="1559"/>
      <c r="GL110" s="1902"/>
      <c r="GM110" s="1896" t="s">
        <v>3205</v>
      </c>
      <c r="GN110" s="1711" t="s">
        <v>3206</v>
      </c>
      <c r="GO110" s="1711" t="s">
        <v>246</v>
      </c>
      <c r="GP110" s="1711" t="s">
        <v>3019</v>
      </c>
      <c r="GQ110" s="1903">
        <v>6</v>
      </c>
      <c r="GR110" s="1711" t="s">
        <v>3103</v>
      </c>
      <c r="GS110" s="1712">
        <v>20</v>
      </c>
      <c r="GT110" s="1660">
        <v>25456.982</v>
      </c>
      <c r="GU110" s="1659">
        <v>25456.982</v>
      </c>
      <c r="GV110" s="1659"/>
      <c r="GW110" s="1659"/>
      <c r="GX110" s="1659"/>
      <c r="GY110" s="1659"/>
      <c r="GZ110" s="1659"/>
      <c r="HA110" s="1659"/>
      <c r="HB110" s="1659"/>
      <c r="HC110" s="1659"/>
      <c r="HD110" s="1659"/>
      <c r="HE110" s="1659"/>
      <c r="HF110" s="1659"/>
      <c r="HG110" s="1660">
        <v>0</v>
      </c>
      <c r="HH110" s="1659"/>
      <c r="HI110" s="1659"/>
      <c r="HJ110" s="1659"/>
      <c r="HK110" s="1659"/>
      <c r="HL110" s="1659"/>
      <c r="HM110" s="1659"/>
      <c r="HN110" s="1659"/>
      <c r="HO110" s="1659"/>
      <c r="HP110" s="1659"/>
      <c r="HQ110" s="1659"/>
      <c r="HR110" s="1659"/>
      <c r="HS110" s="1659"/>
      <c r="HT110" s="1660">
        <v>0</v>
      </c>
      <c r="HU110" s="1659"/>
      <c r="HV110" s="1659"/>
      <c r="HW110" s="1659"/>
      <c r="HX110" s="1659"/>
      <c r="HY110" s="1659"/>
      <c r="HZ110" s="1659"/>
      <c r="IA110" s="1659"/>
      <c r="IB110" s="1659"/>
      <c r="IC110" s="1659"/>
      <c r="ID110" s="1659"/>
      <c r="IE110" s="1659"/>
      <c r="IF110" s="1659"/>
      <c r="IG110" s="1660">
        <v>0</v>
      </c>
      <c r="IH110" s="1659"/>
      <c r="II110" s="1659"/>
      <c r="IJ110" s="1659"/>
      <c r="IK110" s="1659"/>
      <c r="IL110" s="1659"/>
      <c r="IM110" s="1659"/>
      <c r="IN110" s="1659"/>
      <c r="IO110" s="1659"/>
      <c r="IP110" s="1659"/>
      <c r="IQ110" s="1659"/>
      <c r="IR110" s="1659"/>
      <c r="IS110" s="1659"/>
      <c r="IT110" s="1662">
        <v>25456.982</v>
      </c>
      <c r="IU110" s="1662">
        <v>0</v>
      </c>
      <c r="IV110" s="1713"/>
    </row>
    <row r="111" spans="85:256" ht="16.5">
      <c r="GL111" s="1900"/>
      <c r="GM111" s="1893" t="s">
        <v>3207</v>
      </c>
      <c r="GN111" s="1705" t="s">
        <v>3208</v>
      </c>
      <c r="GO111" s="1705" t="s">
        <v>320</v>
      </c>
      <c r="GP111" s="1705" t="s">
        <v>3005</v>
      </c>
      <c r="GQ111" s="1901">
        <v>25</v>
      </c>
      <c r="GR111" s="1705" t="s">
        <v>3103</v>
      </c>
      <c r="GS111" s="1706">
        <v>20</v>
      </c>
      <c r="GT111" s="1631">
        <v>30000</v>
      </c>
      <c r="GU111" s="1630"/>
      <c r="GV111" s="1630"/>
      <c r="GW111" s="1630"/>
      <c r="GX111" s="1630"/>
      <c r="GY111" s="1630"/>
      <c r="GZ111" s="1630">
        <v>30000</v>
      </c>
      <c r="HA111" s="1630"/>
      <c r="HB111" s="1630"/>
      <c r="HC111" s="1630"/>
      <c r="HD111" s="1630"/>
      <c r="HE111" s="1630"/>
      <c r="HF111" s="1630"/>
      <c r="HG111" s="1631">
        <v>0</v>
      </c>
      <c r="HH111" s="1630"/>
      <c r="HI111" s="1630"/>
      <c r="HJ111" s="1630"/>
      <c r="HK111" s="1630"/>
      <c r="HL111" s="1630"/>
      <c r="HM111" s="1630"/>
      <c r="HN111" s="1630"/>
      <c r="HO111" s="1630"/>
      <c r="HP111" s="1630"/>
      <c r="HQ111" s="1630"/>
      <c r="HR111" s="1630"/>
      <c r="HS111" s="1630"/>
      <c r="HT111" s="1631">
        <v>0</v>
      </c>
      <c r="HU111" s="1630"/>
      <c r="HV111" s="1630"/>
      <c r="HW111" s="1630"/>
      <c r="HX111" s="1630"/>
      <c r="HY111" s="1630"/>
      <c r="HZ111" s="1630"/>
      <c r="IA111" s="1630"/>
      <c r="IB111" s="1630"/>
      <c r="IC111" s="1630"/>
      <c r="ID111" s="1630"/>
      <c r="IE111" s="1630"/>
      <c r="IF111" s="1630"/>
      <c r="IG111" s="1631">
        <v>0</v>
      </c>
      <c r="IH111" s="1630"/>
      <c r="II111" s="1630"/>
      <c r="IJ111" s="1630"/>
      <c r="IK111" s="1630"/>
      <c r="IL111" s="1630"/>
      <c r="IM111" s="1630"/>
      <c r="IN111" s="1630"/>
      <c r="IO111" s="1630"/>
      <c r="IP111" s="1630"/>
      <c r="IQ111" s="1630"/>
      <c r="IR111" s="1630"/>
      <c r="IS111" s="1630"/>
      <c r="IT111" s="1633">
        <v>30000</v>
      </c>
      <c r="IU111" s="1633">
        <v>0</v>
      </c>
      <c r="IV111" s="1707"/>
    </row>
    <row r="112" spans="85:256" ht="16.5">
      <c r="CH112" s="1814" t="s">
        <v>3046</v>
      </c>
      <c r="CI112" s="1815"/>
      <c r="CJ112" s="1815"/>
      <c r="CK112" s="1815"/>
      <c r="CL112" s="1815"/>
      <c r="CM112" s="1815"/>
      <c r="CN112" s="1815"/>
      <c r="CO112" s="1815"/>
      <c r="CP112" s="1815"/>
      <c r="CQ112" s="1815"/>
      <c r="CR112" s="1815"/>
      <c r="CS112" s="1815"/>
      <c r="CT112" s="1816">
        <f>SUM(CR74:CT74)/SUM(CR103:CT103)</f>
        <v>0.42816500031541799</v>
      </c>
      <c r="CU112" s="1816"/>
      <c r="CV112" s="1816"/>
      <c r="CW112" s="1816"/>
      <c r="CX112" s="1816"/>
      <c r="CY112" s="1816"/>
      <c r="CZ112" s="1816"/>
      <c r="DA112" s="1816"/>
      <c r="DB112" s="1816"/>
      <c r="DC112" s="1816"/>
      <c r="DD112" s="1816"/>
      <c r="DE112" s="1816"/>
      <c r="DF112" s="1816"/>
      <c r="DG112" s="1816"/>
      <c r="DH112" s="1816">
        <f>DH74/DH103</f>
        <v>0.40546429316513227</v>
      </c>
      <c r="DI112" s="1816">
        <f t="shared" ref="DI112:EH112" si="87">DI74/DI103</f>
        <v>0.44880945692005425</v>
      </c>
      <c r="DJ112" s="1816">
        <f t="shared" si="87"/>
        <v>0.41247662048180894</v>
      </c>
      <c r="DK112" s="1816">
        <f t="shared" si="87"/>
        <v>0.43117016067765612</v>
      </c>
      <c r="DL112" s="1816">
        <f t="shared" si="87"/>
        <v>0.4461827720093775</v>
      </c>
      <c r="DM112" s="1816">
        <f t="shared" si="87"/>
        <v>0.45465940695225865</v>
      </c>
      <c r="DN112" s="1816">
        <f t="shared" si="87"/>
        <v>0.42218358607279677</v>
      </c>
      <c r="DO112" s="1816">
        <f t="shared" si="87"/>
        <v>0.33535802422789712</v>
      </c>
      <c r="DP112" s="1816">
        <f t="shared" si="87"/>
        <v>0.33370176990942252</v>
      </c>
      <c r="DQ112" s="1816">
        <f t="shared" si="87"/>
        <v>0.37804132671340401</v>
      </c>
      <c r="DR112" s="1816">
        <f t="shared" si="87"/>
        <v>0.37242374754984148</v>
      </c>
      <c r="DS112" s="1816">
        <f t="shared" si="87"/>
        <v>0.44108006480047185</v>
      </c>
      <c r="DT112" s="1816">
        <f t="shared" si="87"/>
        <v>0.43298663164830747</v>
      </c>
      <c r="DU112" s="1816">
        <f t="shared" si="87"/>
        <v>0.40397694463466671</v>
      </c>
      <c r="DV112" s="1816">
        <f t="shared" si="87"/>
        <v>0.44188185386994233</v>
      </c>
      <c r="DW112" s="1816">
        <f t="shared" si="87"/>
        <v>0.4122803910851654</v>
      </c>
      <c r="DX112" s="1816">
        <f t="shared" si="87"/>
        <v>0.43737965041984639</v>
      </c>
      <c r="DY112" s="1816">
        <f t="shared" si="87"/>
        <v>0.45320158011275069</v>
      </c>
      <c r="DZ112" s="1816">
        <f t="shared" si="87"/>
        <v>0.46164825651504404</v>
      </c>
      <c r="EA112" s="1816">
        <f t="shared" si="87"/>
        <v>0.39531558140173623</v>
      </c>
      <c r="EB112" s="1816">
        <f t="shared" si="87"/>
        <v>0.25080787103241403</v>
      </c>
      <c r="EC112" s="1816">
        <f t="shared" si="87"/>
        <v>0.39300537122927809</v>
      </c>
      <c r="ED112" s="1816">
        <f t="shared" si="87"/>
        <v>0.4360880037031446</v>
      </c>
      <c r="EE112" s="1816">
        <f t="shared" si="87"/>
        <v>0.36292171409804952</v>
      </c>
      <c r="EF112" s="1816">
        <f t="shared" si="87"/>
        <v>0.43094738267647859</v>
      </c>
      <c r="EG112" s="1816">
        <f t="shared" si="87"/>
        <v>0.42401387473384688</v>
      </c>
      <c r="EH112" s="1816">
        <f t="shared" si="87"/>
        <v>0.39897224013882404</v>
      </c>
      <c r="GL112" s="1902"/>
      <c r="GM112" s="1896" t="s">
        <v>3209</v>
      </c>
      <c r="GN112" s="1711" t="s">
        <v>3108</v>
      </c>
      <c r="GO112" s="1711" t="s">
        <v>246</v>
      </c>
      <c r="GP112" s="1711" t="s">
        <v>3019</v>
      </c>
      <c r="GQ112" s="1903">
        <v>6</v>
      </c>
      <c r="GR112" s="1711" t="s">
        <v>3103</v>
      </c>
      <c r="GS112" s="1712">
        <v>20</v>
      </c>
      <c r="GT112" s="1660">
        <v>10000</v>
      </c>
      <c r="GU112" s="1659"/>
      <c r="GV112" s="1659"/>
      <c r="GW112" s="1659"/>
      <c r="GX112" s="1659"/>
      <c r="GY112" s="1659"/>
      <c r="GZ112" s="1659"/>
      <c r="HA112" s="1659"/>
      <c r="HB112" s="1659"/>
      <c r="HC112" s="1659"/>
      <c r="HD112" s="1659"/>
      <c r="HE112" s="1659"/>
      <c r="HF112" s="1659">
        <v>10000</v>
      </c>
      <c r="HG112" s="1660">
        <v>0</v>
      </c>
      <c r="HH112" s="1659"/>
      <c r="HI112" s="1659"/>
      <c r="HJ112" s="1659"/>
      <c r="HK112" s="1659"/>
      <c r="HL112" s="1659"/>
      <c r="HM112" s="1659"/>
      <c r="HN112" s="1659"/>
      <c r="HO112" s="1659"/>
      <c r="HP112" s="1659"/>
      <c r="HQ112" s="1659"/>
      <c r="HR112" s="1659"/>
      <c r="HS112" s="1659"/>
      <c r="HT112" s="1660">
        <v>0</v>
      </c>
      <c r="HU112" s="1659"/>
      <c r="HV112" s="1659"/>
      <c r="HW112" s="1659"/>
      <c r="HX112" s="1659"/>
      <c r="HY112" s="1659"/>
      <c r="HZ112" s="1659"/>
      <c r="IA112" s="1659"/>
      <c r="IB112" s="1659"/>
      <c r="IC112" s="1659"/>
      <c r="ID112" s="1659"/>
      <c r="IE112" s="1659"/>
      <c r="IF112" s="1659"/>
      <c r="IG112" s="1660">
        <v>0</v>
      </c>
      <c r="IH112" s="1659"/>
      <c r="II112" s="1659"/>
      <c r="IJ112" s="1659"/>
      <c r="IK112" s="1659"/>
      <c r="IL112" s="1659"/>
      <c r="IM112" s="1659"/>
      <c r="IN112" s="1659"/>
      <c r="IO112" s="1659"/>
      <c r="IP112" s="1659"/>
      <c r="IQ112" s="1659"/>
      <c r="IR112" s="1659"/>
      <c r="IS112" s="1659"/>
      <c r="IT112" s="1662">
        <v>10000</v>
      </c>
      <c r="IU112" s="1662">
        <v>0</v>
      </c>
      <c r="IV112" s="1713"/>
    </row>
    <row r="113" spans="86:256" ht="16.5">
      <c r="CH113" s="1814" t="s">
        <v>3053</v>
      </c>
      <c r="CI113" s="1815"/>
      <c r="CJ113" s="1815"/>
      <c r="CK113" s="1815"/>
      <c r="CL113" s="1815"/>
      <c r="CM113" s="1815"/>
      <c r="CN113" s="1815"/>
      <c r="CO113" s="1815"/>
      <c r="CP113" s="1815"/>
      <c r="CQ113" s="1815"/>
      <c r="CR113" s="1815"/>
      <c r="CS113" s="1815"/>
      <c r="CT113" s="1816">
        <f>SUM(CR102:CT102)/SUM(CR103:CT103)</f>
        <v>0.57183499968458185</v>
      </c>
      <c r="CU113" s="1816"/>
      <c r="CV113" s="1816"/>
      <c r="CW113" s="1816"/>
      <c r="CX113" s="1816"/>
      <c r="CY113" s="1816"/>
      <c r="CZ113" s="1816"/>
      <c r="DA113" s="1816"/>
      <c r="DB113" s="1816"/>
      <c r="DC113" s="1816"/>
      <c r="DD113" s="1816"/>
      <c r="DE113" s="1816"/>
      <c r="DF113" s="1816"/>
      <c r="DG113" s="1816"/>
      <c r="DH113" s="1816">
        <f>DH102/DH103</f>
        <v>0.59453570683486778</v>
      </c>
      <c r="DI113" s="1816">
        <f t="shared" ref="DI113:EH113" si="88">DI102/DI103</f>
        <v>0.55119054307994575</v>
      </c>
      <c r="DJ113" s="1816">
        <f t="shared" si="88"/>
        <v>0.587523379518191</v>
      </c>
      <c r="DK113" s="1816">
        <f t="shared" si="88"/>
        <v>0.56882983932234388</v>
      </c>
      <c r="DL113" s="1816">
        <f t="shared" si="88"/>
        <v>0.55381722799062261</v>
      </c>
      <c r="DM113" s="1816">
        <f t="shared" si="88"/>
        <v>0.54534059304774141</v>
      </c>
      <c r="DN113" s="1816">
        <f t="shared" si="88"/>
        <v>0.57781641392720329</v>
      </c>
      <c r="DO113" s="1816">
        <f t="shared" si="88"/>
        <v>0.66464197577210293</v>
      </c>
      <c r="DP113" s="1816">
        <f t="shared" si="88"/>
        <v>0.66629823009057754</v>
      </c>
      <c r="DQ113" s="1816">
        <f t="shared" si="88"/>
        <v>0.62195867328659604</v>
      </c>
      <c r="DR113" s="1816">
        <f t="shared" si="88"/>
        <v>0.62757625245015847</v>
      </c>
      <c r="DS113" s="1816">
        <f t="shared" si="88"/>
        <v>0.5589199351995281</v>
      </c>
      <c r="DT113" s="1816">
        <f t="shared" si="88"/>
        <v>0.56701336835169247</v>
      </c>
      <c r="DU113" s="1816">
        <f t="shared" si="88"/>
        <v>0.59602305536533351</v>
      </c>
      <c r="DV113" s="1816">
        <f t="shared" si="88"/>
        <v>0.55811814613005761</v>
      </c>
      <c r="DW113" s="1816">
        <f t="shared" si="88"/>
        <v>0.58771960891483455</v>
      </c>
      <c r="DX113" s="1816">
        <f t="shared" si="88"/>
        <v>0.5626203495801535</v>
      </c>
      <c r="DY113" s="1816">
        <f t="shared" si="88"/>
        <v>0.54679841988724931</v>
      </c>
      <c r="DZ113" s="1816">
        <f t="shared" si="88"/>
        <v>0.53835174348495596</v>
      </c>
      <c r="EA113" s="1816">
        <f t="shared" si="88"/>
        <v>0.60468441859826372</v>
      </c>
      <c r="EB113" s="1816">
        <f t="shared" si="88"/>
        <v>0.74919212896758591</v>
      </c>
      <c r="EC113" s="1816">
        <f t="shared" si="88"/>
        <v>0.60699462877072186</v>
      </c>
      <c r="ED113" s="1816">
        <f t="shared" si="88"/>
        <v>0.56391199629685529</v>
      </c>
      <c r="EE113" s="1816">
        <f t="shared" si="88"/>
        <v>0.63707828590195048</v>
      </c>
      <c r="EF113" s="1816">
        <f t="shared" si="88"/>
        <v>0.56905261732352141</v>
      </c>
      <c r="EG113" s="1816">
        <f t="shared" si="88"/>
        <v>0.57598612526615312</v>
      </c>
      <c r="EH113" s="1816">
        <f t="shared" si="88"/>
        <v>0.60102775986117585</v>
      </c>
      <c r="GL113" s="1900"/>
      <c r="GM113" s="1893" t="s">
        <v>3210</v>
      </c>
      <c r="GN113" s="1705" t="s">
        <v>3211</v>
      </c>
      <c r="GO113" s="1705" t="s">
        <v>246</v>
      </c>
      <c r="GP113" s="1705" t="s">
        <v>3005</v>
      </c>
      <c r="GQ113" s="1901">
        <v>25</v>
      </c>
      <c r="GR113" s="1705" t="s">
        <v>3212</v>
      </c>
      <c r="GS113" s="1706">
        <v>21</v>
      </c>
      <c r="GT113" s="1631">
        <v>0</v>
      </c>
      <c r="GU113" s="1630"/>
      <c r="GV113" s="1630"/>
      <c r="GW113" s="1630"/>
      <c r="GX113" s="1630"/>
      <c r="GY113" s="1630"/>
      <c r="GZ113" s="1630"/>
      <c r="HA113" s="1630"/>
      <c r="HB113" s="1630"/>
      <c r="HC113" s="1630"/>
      <c r="HD113" s="1630"/>
      <c r="HE113" s="1630"/>
      <c r="HF113" s="1630"/>
      <c r="HG113" s="1631">
        <v>28000</v>
      </c>
      <c r="HH113" s="1630"/>
      <c r="HI113" s="1630"/>
      <c r="HJ113" s="1630">
        <v>28000</v>
      </c>
      <c r="HK113" s="1630"/>
      <c r="HL113" s="1630"/>
      <c r="HM113" s="1630"/>
      <c r="HN113" s="1630"/>
      <c r="HO113" s="1630"/>
      <c r="HP113" s="1630"/>
      <c r="HQ113" s="1630"/>
      <c r="HR113" s="1630"/>
      <c r="HS113" s="1630"/>
      <c r="HT113" s="1631">
        <v>0</v>
      </c>
      <c r="HU113" s="1630"/>
      <c r="HV113" s="1630"/>
      <c r="HW113" s="1630"/>
      <c r="HX113" s="1630"/>
      <c r="HY113" s="1630"/>
      <c r="HZ113" s="1630"/>
      <c r="IA113" s="1630"/>
      <c r="IB113" s="1630"/>
      <c r="IC113" s="1630"/>
      <c r="ID113" s="1630"/>
      <c r="IE113" s="1630"/>
      <c r="IF113" s="1630"/>
      <c r="IG113" s="1631">
        <v>0</v>
      </c>
      <c r="IH113" s="1630"/>
      <c r="II113" s="1630"/>
      <c r="IJ113" s="1630"/>
      <c r="IK113" s="1630"/>
      <c r="IL113" s="1630"/>
      <c r="IM113" s="1630"/>
      <c r="IN113" s="1630"/>
      <c r="IO113" s="1630"/>
      <c r="IP113" s="1630"/>
      <c r="IQ113" s="1630"/>
      <c r="IR113" s="1630"/>
      <c r="IS113" s="1630"/>
      <c r="IT113" s="1633">
        <v>28000</v>
      </c>
      <c r="IU113" s="1633">
        <v>28000</v>
      </c>
      <c r="IV113" s="1707"/>
    </row>
    <row r="114" spans="86:256" ht="16.5">
      <c r="GL114" s="1902"/>
      <c r="GM114" s="1896"/>
      <c r="GN114" s="1711"/>
      <c r="GO114" s="1711"/>
      <c r="GP114" s="1711"/>
      <c r="GQ114" s="1903"/>
      <c r="GR114" s="1711"/>
      <c r="GS114" s="1712"/>
      <c r="GT114" s="1660">
        <v>0</v>
      </c>
      <c r="GU114" s="1659"/>
      <c r="GV114" s="1659"/>
      <c r="GW114" s="1659"/>
      <c r="GX114" s="1659"/>
      <c r="GY114" s="1659"/>
      <c r="GZ114" s="1659"/>
      <c r="HA114" s="1659"/>
      <c r="HB114" s="1659"/>
      <c r="HC114" s="1659"/>
      <c r="HD114" s="1659"/>
      <c r="HE114" s="1659"/>
      <c r="HF114" s="1659"/>
      <c r="HG114" s="1660">
        <v>0</v>
      </c>
      <c r="HH114" s="1659"/>
      <c r="HI114" s="1659"/>
      <c r="HJ114" s="1659"/>
      <c r="HK114" s="1659"/>
      <c r="HL114" s="1659"/>
      <c r="HM114" s="1659"/>
      <c r="HN114" s="1659"/>
      <c r="HO114" s="1659"/>
      <c r="HP114" s="1659"/>
      <c r="HQ114" s="1659"/>
      <c r="HR114" s="1659"/>
      <c r="HS114" s="1659"/>
      <c r="HT114" s="1660">
        <v>0</v>
      </c>
      <c r="HU114" s="1659"/>
      <c r="HV114" s="1659"/>
      <c r="HW114" s="1659"/>
      <c r="HX114" s="1659"/>
      <c r="HY114" s="1659"/>
      <c r="HZ114" s="1659"/>
      <c r="IA114" s="1659"/>
      <c r="IB114" s="1659"/>
      <c r="IC114" s="1659"/>
      <c r="ID114" s="1659"/>
      <c r="IE114" s="1659"/>
      <c r="IF114" s="1659"/>
      <c r="IG114" s="1660">
        <v>0</v>
      </c>
      <c r="IH114" s="1659"/>
      <c r="II114" s="1659"/>
      <c r="IJ114" s="1659"/>
      <c r="IK114" s="1659"/>
      <c r="IL114" s="1659"/>
      <c r="IM114" s="1659"/>
      <c r="IN114" s="1659"/>
      <c r="IO114" s="1659"/>
      <c r="IP114" s="1659"/>
      <c r="IQ114" s="1659"/>
      <c r="IR114" s="1659"/>
      <c r="IS114" s="1659"/>
      <c r="IT114" s="1662">
        <v>0</v>
      </c>
      <c r="IU114" s="1662">
        <v>0</v>
      </c>
      <c r="IV114" s="1713"/>
    </row>
    <row r="115" spans="86:256" ht="16.5">
      <c r="GL115" s="1900"/>
      <c r="GM115" s="1893"/>
      <c r="GN115" s="1705"/>
      <c r="GO115" s="1705"/>
      <c r="GP115" s="1705"/>
      <c r="GQ115" s="1901"/>
      <c r="GR115" s="1705"/>
      <c r="GS115" s="1706"/>
      <c r="GT115" s="1631">
        <v>0</v>
      </c>
      <c r="GU115" s="1630"/>
      <c r="GV115" s="1630"/>
      <c r="GW115" s="1630"/>
      <c r="GX115" s="1630"/>
      <c r="GY115" s="1630"/>
      <c r="GZ115" s="1630"/>
      <c r="HA115" s="1630"/>
      <c r="HB115" s="1630"/>
      <c r="HC115" s="1630"/>
      <c r="HD115" s="1630"/>
      <c r="HE115" s="1630"/>
      <c r="HF115" s="1630"/>
      <c r="HG115" s="1631">
        <v>0</v>
      </c>
      <c r="HH115" s="1630"/>
      <c r="HI115" s="1630"/>
      <c r="HJ115" s="1630"/>
      <c r="HK115" s="1630"/>
      <c r="HL115" s="1630"/>
      <c r="HM115" s="1630"/>
      <c r="HN115" s="1630"/>
      <c r="HO115" s="1630"/>
      <c r="HP115" s="1630"/>
      <c r="HQ115" s="1630"/>
      <c r="HR115" s="1630"/>
      <c r="HS115" s="1630"/>
      <c r="HT115" s="1631">
        <v>0</v>
      </c>
      <c r="HU115" s="1630"/>
      <c r="HV115" s="1630"/>
      <c r="HW115" s="1630"/>
      <c r="HX115" s="1630"/>
      <c r="HY115" s="1630"/>
      <c r="HZ115" s="1630"/>
      <c r="IA115" s="1630"/>
      <c r="IB115" s="1630"/>
      <c r="IC115" s="1630"/>
      <c r="ID115" s="1630"/>
      <c r="IE115" s="1630"/>
      <c r="IF115" s="1630"/>
      <c r="IG115" s="1631">
        <v>0</v>
      </c>
      <c r="IH115" s="1630"/>
      <c r="II115" s="1630"/>
      <c r="IJ115" s="1630"/>
      <c r="IK115" s="1630"/>
      <c r="IL115" s="1630"/>
      <c r="IM115" s="1630"/>
      <c r="IN115" s="1630"/>
      <c r="IO115" s="1630"/>
      <c r="IP115" s="1630"/>
      <c r="IQ115" s="1630"/>
      <c r="IR115" s="1630"/>
      <c r="IS115" s="1630"/>
      <c r="IT115" s="1633">
        <v>0</v>
      </c>
      <c r="IU115" s="1633">
        <v>0</v>
      </c>
      <c r="IV115" s="1707"/>
    </row>
    <row r="116" spans="86:256" ht="16.5">
      <c r="GL116" s="1902"/>
      <c r="GM116" s="1896"/>
      <c r="GN116" s="1711"/>
      <c r="GO116" s="1711"/>
      <c r="GP116" s="1711"/>
      <c r="GQ116" s="1903"/>
      <c r="GR116" s="1711"/>
      <c r="GS116" s="1712"/>
      <c r="GT116" s="1660">
        <v>0</v>
      </c>
      <c r="GU116" s="1659"/>
      <c r="GV116" s="1659"/>
      <c r="GW116" s="1659"/>
      <c r="GX116" s="1659"/>
      <c r="GY116" s="1659"/>
      <c r="GZ116" s="1659"/>
      <c r="HA116" s="1659"/>
      <c r="HB116" s="1659"/>
      <c r="HC116" s="1659"/>
      <c r="HD116" s="1659"/>
      <c r="HE116" s="1659"/>
      <c r="HF116" s="1659"/>
      <c r="HG116" s="1660">
        <v>0</v>
      </c>
      <c r="HH116" s="1659"/>
      <c r="HI116" s="1659"/>
      <c r="HJ116" s="1659"/>
      <c r="HK116" s="1659"/>
      <c r="HL116" s="1659"/>
      <c r="HM116" s="1659"/>
      <c r="HN116" s="1659"/>
      <c r="HO116" s="1659"/>
      <c r="HP116" s="1659"/>
      <c r="HQ116" s="1659"/>
      <c r="HR116" s="1659"/>
      <c r="HS116" s="1659"/>
      <c r="HT116" s="1660">
        <v>0</v>
      </c>
      <c r="HU116" s="1659"/>
      <c r="HV116" s="1659"/>
      <c r="HW116" s="1659"/>
      <c r="HX116" s="1659"/>
      <c r="HY116" s="1659"/>
      <c r="HZ116" s="1659"/>
      <c r="IA116" s="1659"/>
      <c r="IB116" s="1659"/>
      <c r="IC116" s="1659"/>
      <c r="ID116" s="1659"/>
      <c r="IE116" s="1659"/>
      <c r="IF116" s="1659"/>
      <c r="IG116" s="1660">
        <v>0</v>
      </c>
      <c r="IH116" s="1659"/>
      <c r="II116" s="1659"/>
      <c r="IJ116" s="1659"/>
      <c r="IK116" s="1659"/>
      <c r="IL116" s="1659"/>
      <c r="IM116" s="1659"/>
      <c r="IN116" s="1659"/>
      <c r="IO116" s="1659"/>
      <c r="IP116" s="1659"/>
      <c r="IQ116" s="1659"/>
      <c r="IR116" s="1659"/>
      <c r="IS116" s="1659"/>
      <c r="IT116" s="1662">
        <v>0</v>
      </c>
      <c r="IU116" s="1662">
        <v>0</v>
      </c>
      <c r="IV116" s="1713"/>
    </row>
    <row r="117" spans="86:256" ht="16.5">
      <c r="GL117" s="1900"/>
      <c r="GM117" s="1893"/>
      <c r="GN117" s="1705"/>
      <c r="GO117" s="1705"/>
      <c r="GP117" s="1705"/>
      <c r="GQ117" s="1901"/>
      <c r="GR117" s="1705"/>
      <c r="GS117" s="1706"/>
      <c r="GT117" s="1631">
        <v>0</v>
      </c>
      <c r="GU117" s="1630"/>
      <c r="GV117" s="1630"/>
      <c r="GW117" s="1630"/>
      <c r="GX117" s="1630"/>
      <c r="GY117" s="1630"/>
      <c r="GZ117" s="1630"/>
      <c r="HA117" s="1630"/>
      <c r="HB117" s="1630"/>
      <c r="HC117" s="1630"/>
      <c r="HD117" s="1630"/>
      <c r="HE117" s="1630"/>
      <c r="HF117" s="1630"/>
      <c r="HG117" s="1631">
        <v>0</v>
      </c>
      <c r="HH117" s="1630"/>
      <c r="HI117" s="1630"/>
      <c r="HJ117" s="1630"/>
      <c r="HK117" s="1630"/>
      <c r="HL117" s="1630"/>
      <c r="HM117" s="1630"/>
      <c r="HN117" s="1630"/>
      <c r="HO117" s="1630"/>
      <c r="HP117" s="1630"/>
      <c r="HQ117" s="1630"/>
      <c r="HR117" s="1630"/>
      <c r="HS117" s="1630"/>
      <c r="HT117" s="1631">
        <v>0</v>
      </c>
      <c r="HU117" s="1630"/>
      <c r="HV117" s="1630"/>
      <c r="HW117" s="1630"/>
      <c r="HX117" s="1630"/>
      <c r="HY117" s="1630"/>
      <c r="HZ117" s="1630"/>
      <c r="IA117" s="1630"/>
      <c r="IB117" s="1630"/>
      <c r="IC117" s="1630"/>
      <c r="ID117" s="1630"/>
      <c r="IE117" s="1630"/>
      <c r="IF117" s="1630"/>
      <c r="IG117" s="1631">
        <v>0</v>
      </c>
      <c r="IH117" s="1630"/>
      <c r="II117" s="1630"/>
      <c r="IJ117" s="1630"/>
      <c r="IK117" s="1630"/>
      <c r="IL117" s="1630"/>
      <c r="IM117" s="1630"/>
      <c r="IN117" s="1630"/>
      <c r="IO117" s="1630"/>
      <c r="IP117" s="1630"/>
      <c r="IQ117" s="1630"/>
      <c r="IR117" s="1630"/>
      <c r="IS117" s="1630"/>
      <c r="IT117" s="1633">
        <v>0</v>
      </c>
      <c r="IU117" s="1633">
        <v>0</v>
      </c>
      <c r="IV117" s="1707"/>
    </row>
    <row r="118" spans="86:256" ht="16.5">
      <c r="GL118" s="5811" t="s">
        <v>3213</v>
      </c>
      <c r="GM118" s="5812"/>
      <c r="GN118" s="5813"/>
      <c r="GO118" s="1693"/>
      <c r="GP118" s="1693"/>
      <c r="GQ118" s="1694"/>
      <c r="GR118" s="1693"/>
      <c r="GS118" s="1695"/>
      <c r="GT118" s="1696">
        <v>0</v>
      </c>
      <c r="GU118" s="1696">
        <v>0</v>
      </c>
      <c r="GV118" s="1696">
        <v>0</v>
      </c>
      <c r="GW118" s="1696">
        <v>0</v>
      </c>
      <c r="GX118" s="1696">
        <v>0</v>
      </c>
      <c r="GY118" s="1696">
        <v>0</v>
      </c>
      <c r="GZ118" s="1696">
        <v>0</v>
      </c>
      <c r="HA118" s="1696">
        <v>0</v>
      </c>
      <c r="HB118" s="1696">
        <v>0</v>
      </c>
      <c r="HC118" s="1696">
        <v>0</v>
      </c>
      <c r="HD118" s="1696">
        <v>0</v>
      </c>
      <c r="HE118" s="1696">
        <v>0</v>
      </c>
      <c r="HF118" s="1696">
        <v>0</v>
      </c>
      <c r="HG118" s="1696">
        <v>785000</v>
      </c>
      <c r="HH118" s="1696">
        <v>112000</v>
      </c>
      <c r="HI118" s="1696">
        <v>28000</v>
      </c>
      <c r="HJ118" s="1696">
        <v>0</v>
      </c>
      <c r="HK118" s="1696">
        <v>231000</v>
      </c>
      <c r="HL118" s="1696">
        <v>0</v>
      </c>
      <c r="HM118" s="1696">
        <v>54000</v>
      </c>
      <c r="HN118" s="1696">
        <v>0</v>
      </c>
      <c r="HO118" s="1696">
        <v>0</v>
      </c>
      <c r="HP118" s="1696">
        <v>90000</v>
      </c>
      <c r="HQ118" s="1696">
        <v>40000</v>
      </c>
      <c r="HR118" s="1696">
        <v>0</v>
      </c>
      <c r="HS118" s="1696">
        <v>230000</v>
      </c>
      <c r="HT118" s="1696">
        <v>1168000</v>
      </c>
      <c r="HU118" s="1696">
        <v>0</v>
      </c>
      <c r="HV118" s="1696">
        <v>0</v>
      </c>
      <c r="HW118" s="1696">
        <v>0</v>
      </c>
      <c r="HX118" s="1696">
        <v>0</v>
      </c>
      <c r="HY118" s="1696">
        <v>0</v>
      </c>
      <c r="HZ118" s="1696">
        <v>800000</v>
      </c>
      <c r="IA118" s="1696">
        <v>0</v>
      </c>
      <c r="IB118" s="1696">
        <v>0</v>
      </c>
      <c r="IC118" s="1696">
        <v>0</v>
      </c>
      <c r="ID118" s="1696">
        <v>0</v>
      </c>
      <c r="IE118" s="1696">
        <v>368000</v>
      </c>
      <c r="IF118" s="1696">
        <v>0</v>
      </c>
      <c r="IG118" s="1696">
        <v>0</v>
      </c>
      <c r="IH118" s="1696">
        <v>0</v>
      </c>
      <c r="II118" s="1696">
        <v>0</v>
      </c>
      <c r="IJ118" s="1696">
        <v>0</v>
      </c>
      <c r="IK118" s="1696">
        <v>0</v>
      </c>
      <c r="IL118" s="1696">
        <v>0</v>
      </c>
      <c r="IM118" s="1696">
        <v>0</v>
      </c>
      <c r="IN118" s="1696">
        <v>0</v>
      </c>
      <c r="IO118" s="1696">
        <v>0</v>
      </c>
      <c r="IP118" s="1696">
        <v>0</v>
      </c>
      <c r="IQ118" s="1696">
        <v>0</v>
      </c>
      <c r="IR118" s="1696">
        <v>0</v>
      </c>
      <c r="IS118" s="1696">
        <v>0</v>
      </c>
      <c r="IT118" s="1696">
        <v>1953000</v>
      </c>
      <c r="IU118" s="1696">
        <v>1953000</v>
      </c>
      <c r="IV118" s="1697"/>
    </row>
    <row r="119" spans="86:256" ht="16.5">
      <c r="GL119" s="1900"/>
      <c r="GM119" s="1893" t="s">
        <v>3214</v>
      </c>
      <c r="GN119" s="1705" t="s">
        <v>3215</v>
      </c>
      <c r="GO119" s="1705" t="s">
        <v>3163</v>
      </c>
      <c r="GP119" s="1705" t="s">
        <v>3030</v>
      </c>
      <c r="GQ119" s="1901">
        <v>6</v>
      </c>
      <c r="GR119" s="1705" t="s">
        <v>3031</v>
      </c>
      <c r="GS119" s="1706">
        <v>21</v>
      </c>
      <c r="GT119" s="1631">
        <v>0</v>
      </c>
      <c r="GU119" s="1630"/>
      <c r="GV119" s="1630"/>
      <c r="GW119" s="1630"/>
      <c r="GX119" s="1630"/>
      <c r="GY119" s="1630"/>
      <c r="GZ119" s="1630"/>
      <c r="HA119" s="1630"/>
      <c r="HB119" s="1630"/>
      <c r="HC119" s="1630"/>
      <c r="HD119" s="1630"/>
      <c r="HE119" s="1630"/>
      <c r="HF119" s="1630"/>
      <c r="HG119" s="1631">
        <v>270000</v>
      </c>
      <c r="HH119" s="1630"/>
      <c r="HI119" s="1630"/>
      <c r="HJ119" s="1630"/>
      <c r="HK119" s="1630">
        <v>216000</v>
      </c>
      <c r="HL119" s="1630"/>
      <c r="HM119" s="1630">
        <v>54000</v>
      </c>
      <c r="HN119" s="1630"/>
      <c r="HO119" s="1630"/>
      <c r="HP119" s="1630"/>
      <c r="HQ119" s="1630"/>
      <c r="HR119" s="1630"/>
      <c r="HS119" s="1630"/>
      <c r="HT119" s="1631">
        <v>0</v>
      </c>
      <c r="HU119" s="1630"/>
      <c r="HV119" s="1630"/>
      <c r="HW119" s="1630"/>
      <c r="HX119" s="1630"/>
      <c r="HY119" s="1630"/>
      <c r="HZ119" s="1630"/>
      <c r="IA119" s="1630"/>
      <c r="IB119" s="1630"/>
      <c r="IC119" s="1630"/>
      <c r="ID119" s="1630"/>
      <c r="IE119" s="1630"/>
      <c r="IF119" s="1630"/>
      <c r="IG119" s="1631">
        <v>0</v>
      </c>
      <c r="IH119" s="1630"/>
      <c r="II119" s="1630"/>
      <c r="IJ119" s="1630"/>
      <c r="IK119" s="1630"/>
      <c r="IL119" s="1630"/>
      <c r="IM119" s="1630"/>
      <c r="IN119" s="1630"/>
      <c r="IO119" s="1630"/>
      <c r="IP119" s="1630"/>
      <c r="IQ119" s="1630"/>
      <c r="IR119" s="1630"/>
      <c r="IS119" s="1630"/>
      <c r="IT119" s="1633">
        <v>270000</v>
      </c>
      <c r="IU119" s="1633">
        <v>270000</v>
      </c>
      <c r="IV119" s="1707"/>
    </row>
    <row r="120" spans="86:256" ht="16.5">
      <c r="GL120" s="1902"/>
      <c r="GM120" s="1896" t="s">
        <v>3216</v>
      </c>
      <c r="GN120" s="1711" t="s">
        <v>3217</v>
      </c>
      <c r="GO120" s="1711" t="s">
        <v>3163</v>
      </c>
      <c r="GP120" s="1711" t="s">
        <v>3030</v>
      </c>
      <c r="GQ120" s="1903">
        <v>6</v>
      </c>
      <c r="GR120" s="1711" t="s">
        <v>3031</v>
      </c>
      <c r="GS120" s="1712">
        <v>21</v>
      </c>
      <c r="GT120" s="1660">
        <v>0</v>
      </c>
      <c r="GU120" s="1659"/>
      <c r="GV120" s="1659"/>
      <c r="GW120" s="1659"/>
      <c r="GX120" s="1659"/>
      <c r="GY120" s="1659"/>
      <c r="GZ120" s="1659"/>
      <c r="HA120" s="1659"/>
      <c r="HB120" s="1659"/>
      <c r="HC120" s="1659"/>
      <c r="HD120" s="1659"/>
      <c r="HE120" s="1659"/>
      <c r="HF120" s="1659"/>
      <c r="HG120" s="1660">
        <v>15000</v>
      </c>
      <c r="HH120" s="1659"/>
      <c r="HI120" s="1659"/>
      <c r="HJ120" s="1659"/>
      <c r="HK120" s="1659">
        <v>15000</v>
      </c>
      <c r="HL120" s="1659"/>
      <c r="HM120" s="1659"/>
      <c r="HN120" s="1659"/>
      <c r="HO120" s="1659"/>
      <c r="HP120" s="1659"/>
      <c r="HQ120" s="1659"/>
      <c r="HR120" s="1659"/>
      <c r="HS120" s="1659"/>
      <c r="HT120" s="1660">
        <v>0</v>
      </c>
      <c r="HU120" s="1659"/>
      <c r="HV120" s="1659"/>
      <c r="HW120" s="1659"/>
      <c r="HX120" s="1659"/>
      <c r="HY120" s="1659"/>
      <c r="HZ120" s="1659"/>
      <c r="IA120" s="1659"/>
      <c r="IB120" s="1659"/>
      <c r="IC120" s="1659"/>
      <c r="ID120" s="1659"/>
      <c r="IE120" s="1659"/>
      <c r="IF120" s="1659"/>
      <c r="IG120" s="1660">
        <v>0</v>
      </c>
      <c r="IH120" s="1659"/>
      <c r="II120" s="1659"/>
      <c r="IJ120" s="1659"/>
      <c r="IK120" s="1659"/>
      <c r="IL120" s="1659"/>
      <c r="IM120" s="1659"/>
      <c r="IN120" s="1659"/>
      <c r="IO120" s="1659"/>
      <c r="IP120" s="1659"/>
      <c r="IQ120" s="1659"/>
      <c r="IR120" s="1659"/>
      <c r="IS120" s="1659"/>
      <c r="IT120" s="1662">
        <v>15000</v>
      </c>
      <c r="IU120" s="1662">
        <v>15000</v>
      </c>
      <c r="IV120" s="1713"/>
    </row>
    <row r="121" spans="86:256" ht="16.5">
      <c r="GL121" s="1900"/>
      <c r="GM121" s="1893" t="s">
        <v>3218</v>
      </c>
      <c r="GN121" s="1705" t="s">
        <v>3219</v>
      </c>
      <c r="GO121" s="1705" t="s">
        <v>3163</v>
      </c>
      <c r="GP121" s="1705" t="s">
        <v>3030</v>
      </c>
      <c r="GQ121" s="1901">
        <v>6</v>
      </c>
      <c r="GR121" s="1705" t="s">
        <v>3031</v>
      </c>
      <c r="GS121" s="1706">
        <v>21</v>
      </c>
      <c r="GT121" s="1631">
        <v>0</v>
      </c>
      <c r="GU121" s="1630"/>
      <c r="GV121" s="1630"/>
      <c r="GW121" s="1630"/>
      <c r="GX121" s="1630"/>
      <c r="GY121" s="1630"/>
      <c r="GZ121" s="1630"/>
      <c r="HA121" s="1630"/>
      <c r="HB121" s="1630"/>
      <c r="HC121" s="1630"/>
      <c r="HD121" s="1630"/>
      <c r="HE121" s="1630"/>
      <c r="HF121" s="1630"/>
      <c r="HG121" s="1631">
        <v>40000</v>
      </c>
      <c r="HH121" s="1630"/>
      <c r="HI121" s="1630"/>
      <c r="HJ121" s="1630"/>
      <c r="HK121" s="1630"/>
      <c r="HL121" s="1630"/>
      <c r="HM121" s="1630"/>
      <c r="HN121" s="1630"/>
      <c r="HO121" s="1630"/>
      <c r="HP121" s="1630"/>
      <c r="HQ121" s="1630">
        <v>40000</v>
      </c>
      <c r="HR121" s="1630"/>
      <c r="HS121" s="1630"/>
      <c r="HT121" s="1631">
        <v>0</v>
      </c>
      <c r="HU121" s="1630"/>
      <c r="HV121" s="1630"/>
      <c r="HW121" s="1630"/>
      <c r="HX121" s="1630"/>
      <c r="HY121" s="1630"/>
      <c r="HZ121" s="1630"/>
      <c r="IA121" s="1630"/>
      <c r="IB121" s="1630"/>
      <c r="IC121" s="1630"/>
      <c r="ID121" s="1630"/>
      <c r="IE121" s="1630"/>
      <c r="IF121" s="1630"/>
      <c r="IG121" s="1631">
        <v>0</v>
      </c>
      <c r="IH121" s="1630"/>
      <c r="II121" s="1630"/>
      <c r="IJ121" s="1630"/>
      <c r="IK121" s="1630"/>
      <c r="IL121" s="1630"/>
      <c r="IM121" s="1630"/>
      <c r="IN121" s="1630"/>
      <c r="IO121" s="1630"/>
      <c r="IP121" s="1630"/>
      <c r="IQ121" s="1630"/>
      <c r="IR121" s="1630"/>
      <c r="IS121" s="1630"/>
      <c r="IT121" s="1633">
        <v>40000</v>
      </c>
      <c r="IU121" s="1633">
        <v>40000</v>
      </c>
      <c r="IV121" s="1707"/>
    </row>
    <row r="122" spans="86:256" ht="16.5">
      <c r="GL122" s="1902"/>
      <c r="GM122" s="1896" t="s">
        <v>3220</v>
      </c>
      <c r="GN122" s="1711" t="s">
        <v>3221</v>
      </c>
      <c r="GO122" s="1711" t="s">
        <v>3163</v>
      </c>
      <c r="GP122" s="1711" t="s">
        <v>3222</v>
      </c>
      <c r="GQ122" s="1903">
        <v>6</v>
      </c>
      <c r="GR122" s="1711" t="s">
        <v>3031</v>
      </c>
      <c r="GS122" s="1712">
        <v>21</v>
      </c>
      <c r="GT122" s="1660">
        <v>0</v>
      </c>
      <c r="GU122" s="1659"/>
      <c r="GV122" s="1659"/>
      <c r="GW122" s="1659"/>
      <c r="GX122" s="1659"/>
      <c r="GY122" s="1659"/>
      <c r="GZ122" s="1659"/>
      <c r="HA122" s="1659"/>
      <c r="HB122" s="1659"/>
      <c r="HC122" s="1659"/>
      <c r="HD122" s="1659"/>
      <c r="HE122" s="1659"/>
      <c r="HF122" s="1659"/>
      <c r="HG122" s="1660">
        <v>230000</v>
      </c>
      <c r="HH122" s="1659"/>
      <c r="HI122" s="1659"/>
      <c r="HJ122" s="1659"/>
      <c r="HK122" s="1659"/>
      <c r="HL122" s="1659"/>
      <c r="HM122" s="1659"/>
      <c r="HN122" s="1659"/>
      <c r="HO122" s="1659"/>
      <c r="HP122" s="1659"/>
      <c r="HQ122" s="1659"/>
      <c r="HR122" s="1659"/>
      <c r="HS122" s="1659">
        <v>230000</v>
      </c>
      <c r="HT122" s="1660">
        <v>0</v>
      </c>
      <c r="HU122" s="1659"/>
      <c r="HV122" s="1659"/>
      <c r="HW122" s="1659"/>
      <c r="HX122" s="1659"/>
      <c r="HY122" s="1659"/>
      <c r="HZ122" s="1659"/>
      <c r="IA122" s="1659"/>
      <c r="IB122" s="1659"/>
      <c r="IC122" s="1659"/>
      <c r="ID122" s="1659"/>
      <c r="IE122" s="1659"/>
      <c r="IF122" s="1659"/>
      <c r="IG122" s="1660">
        <v>0</v>
      </c>
      <c r="IH122" s="1659"/>
      <c r="II122" s="1659"/>
      <c r="IJ122" s="1659"/>
      <c r="IK122" s="1659"/>
      <c r="IL122" s="1659"/>
      <c r="IM122" s="1659"/>
      <c r="IN122" s="1659"/>
      <c r="IO122" s="1659"/>
      <c r="IP122" s="1659"/>
      <c r="IQ122" s="1659"/>
      <c r="IR122" s="1659"/>
      <c r="IS122" s="1659"/>
      <c r="IT122" s="1662">
        <v>230000</v>
      </c>
      <c r="IU122" s="1662">
        <v>230000</v>
      </c>
      <c r="IV122" s="1713"/>
    </row>
    <row r="123" spans="86:256" ht="16.5">
      <c r="GL123" s="1900"/>
      <c r="GM123" s="1893" t="s">
        <v>3223</v>
      </c>
      <c r="GN123" s="1705" t="s">
        <v>3224</v>
      </c>
      <c r="GO123" s="1705" t="s">
        <v>3169</v>
      </c>
      <c r="GP123" s="1705" t="s">
        <v>3225</v>
      </c>
      <c r="GQ123" s="1901">
        <v>6</v>
      </c>
      <c r="GR123" s="1705" t="s">
        <v>3226</v>
      </c>
      <c r="GS123" s="1706">
        <v>21</v>
      </c>
      <c r="GT123" s="1631">
        <v>0</v>
      </c>
      <c r="GU123" s="1630"/>
      <c r="GV123" s="1630"/>
      <c r="GW123" s="1630"/>
      <c r="GX123" s="1630"/>
      <c r="GY123" s="1630"/>
      <c r="GZ123" s="1630"/>
      <c r="HA123" s="1630"/>
      <c r="HB123" s="1630"/>
      <c r="HC123" s="1630"/>
      <c r="HD123" s="1630"/>
      <c r="HE123" s="1630"/>
      <c r="HF123" s="1630"/>
      <c r="HG123" s="1631">
        <v>90000</v>
      </c>
      <c r="HH123" s="1630"/>
      <c r="HI123" s="1630"/>
      <c r="HJ123" s="1630"/>
      <c r="HK123" s="1630"/>
      <c r="HL123" s="1630"/>
      <c r="HM123" s="1630"/>
      <c r="HN123" s="1630"/>
      <c r="HO123" s="1630"/>
      <c r="HP123" s="1630">
        <v>90000</v>
      </c>
      <c r="HQ123" s="1630"/>
      <c r="HR123" s="1630"/>
      <c r="HS123" s="1630"/>
      <c r="HT123" s="1631">
        <v>0</v>
      </c>
      <c r="HU123" s="1630"/>
      <c r="HV123" s="1630"/>
      <c r="HW123" s="1630"/>
      <c r="HX123" s="1630"/>
      <c r="HY123" s="1630"/>
      <c r="HZ123" s="1630"/>
      <c r="IA123" s="1630"/>
      <c r="IB123" s="1630"/>
      <c r="IC123" s="1630"/>
      <c r="ID123" s="1630"/>
      <c r="IE123" s="1630"/>
      <c r="IF123" s="1630"/>
      <c r="IG123" s="1631">
        <v>0</v>
      </c>
      <c r="IH123" s="1630"/>
      <c r="II123" s="1630"/>
      <c r="IJ123" s="1630"/>
      <c r="IK123" s="1630"/>
      <c r="IL123" s="1630"/>
      <c r="IM123" s="1630"/>
      <c r="IN123" s="1630"/>
      <c r="IO123" s="1630"/>
      <c r="IP123" s="1630"/>
      <c r="IQ123" s="1630"/>
      <c r="IR123" s="1630"/>
      <c r="IS123" s="1630"/>
      <c r="IT123" s="1633">
        <v>90000</v>
      </c>
      <c r="IU123" s="1633">
        <v>90000</v>
      </c>
      <c r="IV123" s="1707"/>
    </row>
    <row r="124" spans="86:256" ht="16.5">
      <c r="GL124" s="1902"/>
      <c r="GM124" s="1896" t="s">
        <v>3227</v>
      </c>
      <c r="GN124" s="1711" t="s">
        <v>3228</v>
      </c>
      <c r="GO124" s="1711" t="s">
        <v>3042</v>
      </c>
      <c r="GP124" s="1711" t="s">
        <v>2932</v>
      </c>
      <c r="GQ124" s="1903">
        <v>10</v>
      </c>
      <c r="GR124" s="1711" t="s">
        <v>3042</v>
      </c>
      <c r="GS124" s="1712">
        <v>21</v>
      </c>
      <c r="GT124" s="1660">
        <v>0</v>
      </c>
      <c r="GU124" s="1659"/>
      <c r="GV124" s="1659"/>
      <c r="GW124" s="1659"/>
      <c r="GX124" s="1659"/>
      <c r="GY124" s="1659"/>
      <c r="GZ124" s="1659"/>
      <c r="HA124" s="1659"/>
      <c r="HB124" s="1659"/>
      <c r="HC124" s="1659"/>
      <c r="HD124" s="1659"/>
      <c r="HE124" s="1659"/>
      <c r="HF124" s="1659"/>
      <c r="HG124" s="1660">
        <v>140000</v>
      </c>
      <c r="HH124" s="1659">
        <v>112000</v>
      </c>
      <c r="HI124" s="1659">
        <v>28000</v>
      </c>
      <c r="HJ124" s="1659"/>
      <c r="HK124" s="1659"/>
      <c r="HL124" s="1659"/>
      <c r="HM124" s="1659"/>
      <c r="HN124" s="1659"/>
      <c r="HO124" s="1659"/>
      <c r="HP124" s="1659"/>
      <c r="HQ124" s="1659"/>
      <c r="HR124" s="1659"/>
      <c r="HS124" s="1659"/>
      <c r="HT124" s="1660">
        <v>0</v>
      </c>
      <c r="HU124" s="1659"/>
      <c r="HV124" s="1659"/>
      <c r="HW124" s="1659"/>
      <c r="HX124" s="1659"/>
      <c r="HY124" s="1659"/>
      <c r="HZ124" s="1659"/>
      <c r="IA124" s="1659"/>
      <c r="IB124" s="1659"/>
      <c r="IC124" s="1659"/>
      <c r="ID124" s="1659"/>
      <c r="IE124" s="1659"/>
      <c r="IF124" s="1659"/>
      <c r="IG124" s="1660">
        <v>0</v>
      </c>
      <c r="IH124" s="1659"/>
      <c r="II124" s="1659"/>
      <c r="IJ124" s="1659"/>
      <c r="IK124" s="1659"/>
      <c r="IL124" s="1659"/>
      <c r="IM124" s="1659"/>
      <c r="IN124" s="1659"/>
      <c r="IO124" s="1659"/>
      <c r="IP124" s="1659"/>
      <c r="IQ124" s="1659"/>
      <c r="IR124" s="1659"/>
      <c r="IS124" s="1659"/>
      <c r="IT124" s="1662">
        <v>140000</v>
      </c>
      <c r="IU124" s="1662">
        <v>140000</v>
      </c>
      <c r="IV124" s="1713"/>
    </row>
    <row r="125" spans="86:256" ht="16.5">
      <c r="GL125" s="1900"/>
      <c r="GM125" s="1893" t="s">
        <v>3229</v>
      </c>
      <c r="GN125" s="1705" t="s">
        <v>3230</v>
      </c>
      <c r="GO125" s="1705" t="s">
        <v>1878</v>
      </c>
      <c r="GP125" s="1705" t="s">
        <v>2932</v>
      </c>
      <c r="GQ125" s="1901">
        <v>12</v>
      </c>
      <c r="GR125" s="1705" t="s">
        <v>2947</v>
      </c>
      <c r="GS125" s="1706">
        <v>22</v>
      </c>
      <c r="GT125" s="1631">
        <v>0</v>
      </c>
      <c r="GU125" s="1630"/>
      <c r="GV125" s="1630"/>
      <c r="GW125" s="1630"/>
      <c r="GX125" s="1630"/>
      <c r="GY125" s="1630"/>
      <c r="GZ125" s="1630"/>
      <c r="HA125" s="1630"/>
      <c r="HB125" s="1630"/>
      <c r="HC125" s="1630"/>
      <c r="HD125" s="1630"/>
      <c r="HE125" s="1630"/>
      <c r="HF125" s="1630"/>
      <c r="HG125" s="1631">
        <v>0</v>
      </c>
      <c r="HH125" s="1630"/>
      <c r="HI125" s="1630"/>
      <c r="HJ125" s="1630"/>
      <c r="HK125" s="1630"/>
      <c r="HL125" s="1630"/>
      <c r="HM125" s="1630"/>
      <c r="HN125" s="1630"/>
      <c r="HO125" s="1630"/>
      <c r="HP125" s="1630"/>
      <c r="HQ125" s="1630"/>
      <c r="HR125" s="1630"/>
      <c r="HS125" s="1630"/>
      <c r="HT125" s="1631">
        <v>800000</v>
      </c>
      <c r="HU125" s="1630"/>
      <c r="HV125" s="1630"/>
      <c r="HW125" s="1630"/>
      <c r="HX125" s="1630"/>
      <c r="HY125" s="1630"/>
      <c r="HZ125" s="1630">
        <v>800000</v>
      </c>
      <c r="IA125" s="1630"/>
      <c r="IB125" s="1630"/>
      <c r="IC125" s="1630"/>
      <c r="ID125" s="1630"/>
      <c r="IE125" s="1630"/>
      <c r="IF125" s="1630"/>
      <c r="IG125" s="1631">
        <v>0</v>
      </c>
      <c r="IH125" s="1630"/>
      <c r="II125" s="1630"/>
      <c r="IJ125" s="1630"/>
      <c r="IK125" s="1630"/>
      <c r="IL125" s="1630"/>
      <c r="IM125" s="1630"/>
      <c r="IN125" s="1630"/>
      <c r="IO125" s="1630"/>
      <c r="IP125" s="1630"/>
      <c r="IQ125" s="1630"/>
      <c r="IR125" s="1630"/>
      <c r="IS125" s="1630"/>
      <c r="IT125" s="1633">
        <v>800000</v>
      </c>
      <c r="IU125" s="1633">
        <v>800000</v>
      </c>
      <c r="IV125" s="1707"/>
    </row>
    <row r="126" spans="86:256" ht="16.5">
      <c r="GL126" s="1902"/>
      <c r="GM126" s="1896" t="s">
        <v>3231</v>
      </c>
      <c r="GN126" s="1711" t="s">
        <v>3232</v>
      </c>
      <c r="GO126" s="1711" t="s">
        <v>3163</v>
      </c>
      <c r="GP126" s="1711" t="s">
        <v>3030</v>
      </c>
      <c r="GQ126" s="1903">
        <v>6</v>
      </c>
      <c r="GR126" s="1711" t="s">
        <v>3031</v>
      </c>
      <c r="GS126" s="1712">
        <v>22</v>
      </c>
      <c r="GT126" s="1660">
        <v>0</v>
      </c>
      <c r="GU126" s="1659"/>
      <c r="GV126" s="1659"/>
      <c r="GW126" s="1659"/>
      <c r="GX126" s="1659"/>
      <c r="GY126" s="1659"/>
      <c r="GZ126" s="1659"/>
      <c r="HA126" s="1659"/>
      <c r="HB126" s="1659"/>
      <c r="HC126" s="1659"/>
      <c r="HD126" s="1659"/>
      <c r="HE126" s="1659"/>
      <c r="HF126" s="1659"/>
      <c r="HG126" s="1660">
        <v>0</v>
      </c>
      <c r="HH126" s="1659"/>
      <c r="HI126" s="1659"/>
      <c r="HJ126" s="1659"/>
      <c r="HK126" s="1659"/>
      <c r="HL126" s="1659"/>
      <c r="HM126" s="1659"/>
      <c r="HN126" s="1659"/>
      <c r="HO126" s="1659"/>
      <c r="HP126" s="1659"/>
      <c r="HQ126" s="1659"/>
      <c r="HR126" s="1659"/>
      <c r="HS126" s="1659"/>
      <c r="HT126" s="1660">
        <v>98000</v>
      </c>
      <c r="HU126" s="1659"/>
      <c r="HV126" s="1659"/>
      <c r="HW126" s="1659"/>
      <c r="HX126" s="1659"/>
      <c r="HY126" s="1659"/>
      <c r="HZ126" s="1659"/>
      <c r="IA126" s="1659"/>
      <c r="IB126" s="1659"/>
      <c r="IC126" s="1659"/>
      <c r="ID126" s="1659"/>
      <c r="IE126" s="1659">
        <v>98000</v>
      </c>
      <c r="IF126" s="1659"/>
      <c r="IG126" s="1660">
        <v>0</v>
      </c>
      <c r="IH126" s="1659"/>
      <c r="II126" s="1659"/>
      <c r="IJ126" s="1659"/>
      <c r="IK126" s="1659"/>
      <c r="IL126" s="1659"/>
      <c r="IM126" s="1659"/>
      <c r="IN126" s="1659"/>
      <c r="IO126" s="1659"/>
      <c r="IP126" s="1659"/>
      <c r="IQ126" s="1659"/>
      <c r="IR126" s="1659"/>
      <c r="IS126" s="1659"/>
      <c r="IT126" s="1662">
        <v>98000</v>
      </c>
      <c r="IU126" s="1662">
        <v>98000</v>
      </c>
      <c r="IV126" s="1713"/>
    </row>
    <row r="127" spans="86:256" ht="16.5">
      <c r="GL127" s="1900"/>
      <c r="GM127" s="1893" t="s">
        <v>3233</v>
      </c>
      <c r="GN127" s="1705" t="s">
        <v>3234</v>
      </c>
      <c r="GO127" s="1705" t="s">
        <v>3163</v>
      </c>
      <c r="GP127" s="1705" t="s">
        <v>3030</v>
      </c>
      <c r="GQ127" s="1901">
        <v>6</v>
      </c>
      <c r="GR127" s="1705" t="s">
        <v>3031</v>
      </c>
      <c r="GS127" s="1706">
        <v>22</v>
      </c>
      <c r="GT127" s="1631">
        <v>0</v>
      </c>
      <c r="GU127" s="1630"/>
      <c r="GV127" s="1630"/>
      <c r="GW127" s="1630"/>
      <c r="GX127" s="1630"/>
      <c r="GY127" s="1630"/>
      <c r="GZ127" s="1630"/>
      <c r="HA127" s="1630"/>
      <c r="HB127" s="1630"/>
      <c r="HC127" s="1630"/>
      <c r="HD127" s="1630"/>
      <c r="HE127" s="1630"/>
      <c r="HF127" s="1630"/>
      <c r="HG127" s="1631">
        <v>0</v>
      </c>
      <c r="HH127" s="1630"/>
      <c r="HI127" s="1630"/>
      <c r="HJ127" s="1630"/>
      <c r="HK127" s="1630"/>
      <c r="HL127" s="1630"/>
      <c r="HM127" s="1630"/>
      <c r="HN127" s="1630"/>
      <c r="HO127" s="1630"/>
      <c r="HP127" s="1630"/>
      <c r="HQ127" s="1630"/>
      <c r="HR127" s="1630"/>
      <c r="HS127" s="1630"/>
      <c r="HT127" s="1631">
        <v>85000</v>
      </c>
      <c r="HU127" s="1630"/>
      <c r="HV127" s="1630"/>
      <c r="HW127" s="1630"/>
      <c r="HX127" s="1630"/>
      <c r="HY127" s="1630"/>
      <c r="HZ127" s="1630"/>
      <c r="IA127" s="1630"/>
      <c r="IB127" s="1630"/>
      <c r="IC127" s="1630"/>
      <c r="ID127" s="1630"/>
      <c r="IE127" s="1630">
        <v>85000</v>
      </c>
      <c r="IF127" s="1630"/>
      <c r="IG127" s="1631">
        <v>0</v>
      </c>
      <c r="IH127" s="1630"/>
      <c r="II127" s="1630"/>
      <c r="IJ127" s="1630"/>
      <c r="IK127" s="1630"/>
      <c r="IL127" s="1630"/>
      <c r="IM127" s="1630"/>
      <c r="IN127" s="1630"/>
      <c r="IO127" s="1630"/>
      <c r="IP127" s="1630"/>
      <c r="IQ127" s="1630"/>
      <c r="IR127" s="1630"/>
      <c r="IS127" s="1630"/>
      <c r="IT127" s="1633">
        <v>85000</v>
      </c>
      <c r="IU127" s="1633">
        <v>85000</v>
      </c>
      <c r="IV127" s="1707"/>
    </row>
    <row r="128" spans="86:256" ht="16.5">
      <c r="GL128" s="1902"/>
      <c r="GM128" s="1896" t="s">
        <v>3235</v>
      </c>
      <c r="GN128" s="1711" t="s">
        <v>3236</v>
      </c>
      <c r="GO128" s="1711" t="s">
        <v>3163</v>
      </c>
      <c r="GP128" s="1711" t="s">
        <v>3030</v>
      </c>
      <c r="GQ128" s="1903">
        <v>6</v>
      </c>
      <c r="GR128" s="1711" t="s">
        <v>3031</v>
      </c>
      <c r="GS128" s="1712">
        <v>22</v>
      </c>
      <c r="GT128" s="1660">
        <v>0</v>
      </c>
      <c r="GU128" s="1659"/>
      <c r="GV128" s="1659"/>
      <c r="GW128" s="1659"/>
      <c r="GX128" s="1659"/>
      <c r="GY128" s="1659"/>
      <c r="GZ128" s="1659"/>
      <c r="HA128" s="1659"/>
      <c r="HB128" s="1659"/>
      <c r="HC128" s="1659"/>
      <c r="HD128" s="1659"/>
      <c r="HE128" s="1659"/>
      <c r="HF128" s="1659"/>
      <c r="HG128" s="1660">
        <v>0</v>
      </c>
      <c r="HH128" s="1659"/>
      <c r="HI128" s="1659"/>
      <c r="HJ128" s="1659"/>
      <c r="HK128" s="1659"/>
      <c r="HL128" s="1659"/>
      <c r="HM128" s="1659"/>
      <c r="HN128" s="1659"/>
      <c r="HO128" s="1659"/>
      <c r="HP128" s="1659"/>
      <c r="HQ128" s="1659"/>
      <c r="HR128" s="1659"/>
      <c r="HS128" s="1659"/>
      <c r="HT128" s="1660">
        <v>185000</v>
      </c>
      <c r="HU128" s="1659"/>
      <c r="HV128" s="1659"/>
      <c r="HW128" s="1659"/>
      <c r="HX128" s="1659"/>
      <c r="HY128" s="1659"/>
      <c r="HZ128" s="1659"/>
      <c r="IA128" s="1659"/>
      <c r="IB128" s="1659"/>
      <c r="IC128" s="1659"/>
      <c r="ID128" s="1659"/>
      <c r="IE128" s="1659">
        <v>185000</v>
      </c>
      <c r="IF128" s="1659"/>
      <c r="IG128" s="1660">
        <v>0</v>
      </c>
      <c r="IH128" s="1659"/>
      <c r="II128" s="1659"/>
      <c r="IJ128" s="1659"/>
      <c r="IK128" s="1659"/>
      <c r="IL128" s="1659"/>
      <c r="IM128" s="1659"/>
      <c r="IN128" s="1659"/>
      <c r="IO128" s="1659"/>
      <c r="IP128" s="1659"/>
      <c r="IQ128" s="1659"/>
      <c r="IR128" s="1659"/>
      <c r="IS128" s="1659"/>
      <c r="IT128" s="1662">
        <v>185000</v>
      </c>
      <c r="IU128" s="1662">
        <v>185000</v>
      </c>
      <c r="IV128" s="1713"/>
    </row>
    <row r="129" spans="194:256" ht="16.5">
      <c r="GL129" s="1900"/>
      <c r="GM129" s="1893"/>
      <c r="GN129" s="1705"/>
      <c r="GO129" s="1705"/>
      <c r="GP129" s="1705"/>
      <c r="GQ129" s="1901"/>
      <c r="GR129" s="1705"/>
      <c r="GS129" s="1706"/>
      <c r="GT129" s="1631">
        <v>0</v>
      </c>
      <c r="GU129" s="1630"/>
      <c r="GV129" s="1630"/>
      <c r="GW129" s="1630"/>
      <c r="GX129" s="1630"/>
      <c r="GY129" s="1630"/>
      <c r="GZ129" s="1630"/>
      <c r="HA129" s="1630"/>
      <c r="HB129" s="1630"/>
      <c r="HC129" s="1630"/>
      <c r="HD129" s="1630"/>
      <c r="HE129" s="1630"/>
      <c r="HF129" s="1630"/>
      <c r="HG129" s="1631">
        <v>0</v>
      </c>
      <c r="HH129" s="1630"/>
      <c r="HI129" s="1630"/>
      <c r="HJ129" s="1630"/>
      <c r="HK129" s="1630"/>
      <c r="HL129" s="1630"/>
      <c r="HM129" s="1630"/>
      <c r="HN129" s="1630"/>
      <c r="HO129" s="1630"/>
      <c r="HP129" s="1630"/>
      <c r="HQ129" s="1630"/>
      <c r="HR129" s="1630"/>
      <c r="HS129" s="1630"/>
      <c r="HT129" s="1631">
        <v>0</v>
      </c>
      <c r="HU129" s="1630"/>
      <c r="HV129" s="1630"/>
      <c r="HW129" s="1630"/>
      <c r="HX129" s="1630"/>
      <c r="HY129" s="1630"/>
      <c r="HZ129" s="1630"/>
      <c r="IA129" s="1630"/>
      <c r="IB129" s="1630"/>
      <c r="IC129" s="1630"/>
      <c r="ID129" s="1630"/>
      <c r="IE129" s="1630"/>
      <c r="IF129" s="1630"/>
      <c r="IG129" s="1631">
        <v>0</v>
      </c>
      <c r="IH129" s="1630"/>
      <c r="II129" s="1630"/>
      <c r="IJ129" s="1630"/>
      <c r="IK129" s="1630"/>
      <c r="IL129" s="1630"/>
      <c r="IM129" s="1630"/>
      <c r="IN129" s="1630"/>
      <c r="IO129" s="1630"/>
      <c r="IP129" s="1630"/>
      <c r="IQ129" s="1630"/>
      <c r="IR129" s="1630"/>
      <c r="IS129" s="1630"/>
      <c r="IT129" s="1633">
        <v>0</v>
      </c>
      <c r="IU129" s="1633">
        <v>0</v>
      </c>
      <c r="IV129" s="1707"/>
    </row>
    <row r="130" spans="194:256" ht="16.5">
      <c r="GL130" s="1902"/>
      <c r="GM130" s="1896"/>
      <c r="GN130" s="1711"/>
      <c r="GO130" s="1711"/>
      <c r="GP130" s="1711"/>
      <c r="GQ130" s="1903"/>
      <c r="GR130" s="1711"/>
      <c r="GS130" s="1712"/>
      <c r="GT130" s="1660">
        <v>0</v>
      </c>
      <c r="GU130" s="1659"/>
      <c r="GV130" s="1659"/>
      <c r="GW130" s="1659"/>
      <c r="GX130" s="1659"/>
      <c r="GY130" s="1659"/>
      <c r="GZ130" s="1659"/>
      <c r="HA130" s="1659"/>
      <c r="HB130" s="1659"/>
      <c r="HC130" s="1659"/>
      <c r="HD130" s="1659"/>
      <c r="HE130" s="1659"/>
      <c r="HF130" s="1659"/>
      <c r="HG130" s="1660">
        <v>0</v>
      </c>
      <c r="HH130" s="1659"/>
      <c r="HI130" s="1659"/>
      <c r="HJ130" s="1659"/>
      <c r="HK130" s="1659"/>
      <c r="HL130" s="1659"/>
      <c r="HM130" s="1659"/>
      <c r="HN130" s="1659"/>
      <c r="HO130" s="1659"/>
      <c r="HP130" s="1659"/>
      <c r="HQ130" s="1659"/>
      <c r="HR130" s="1659"/>
      <c r="HS130" s="1659"/>
      <c r="HT130" s="1660">
        <v>0</v>
      </c>
      <c r="HU130" s="1659"/>
      <c r="HV130" s="1659"/>
      <c r="HW130" s="1659"/>
      <c r="HX130" s="1659"/>
      <c r="HY130" s="1659"/>
      <c r="HZ130" s="1659"/>
      <c r="IA130" s="1659"/>
      <c r="IB130" s="1659"/>
      <c r="IC130" s="1659"/>
      <c r="ID130" s="1659"/>
      <c r="IE130" s="1659"/>
      <c r="IF130" s="1659"/>
      <c r="IG130" s="1660">
        <v>0</v>
      </c>
      <c r="IH130" s="1659"/>
      <c r="II130" s="1659"/>
      <c r="IJ130" s="1659"/>
      <c r="IK130" s="1659"/>
      <c r="IL130" s="1659"/>
      <c r="IM130" s="1659"/>
      <c r="IN130" s="1659"/>
      <c r="IO130" s="1659"/>
      <c r="IP130" s="1659"/>
      <c r="IQ130" s="1659"/>
      <c r="IR130" s="1659"/>
      <c r="IS130" s="1659"/>
      <c r="IT130" s="1662">
        <v>0</v>
      </c>
      <c r="IU130" s="1662">
        <v>0</v>
      </c>
      <c r="IV130" s="1713"/>
    </row>
    <row r="131" spans="194:256" ht="16.5">
      <c r="GL131" s="1900"/>
      <c r="GM131" s="1893"/>
      <c r="GN131" s="1705"/>
      <c r="GO131" s="1705"/>
      <c r="GP131" s="1705"/>
      <c r="GQ131" s="1901"/>
      <c r="GR131" s="1705"/>
      <c r="GS131" s="1706"/>
      <c r="GT131" s="1631">
        <v>0</v>
      </c>
      <c r="GU131" s="1630"/>
      <c r="GV131" s="1630"/>
      <c r="GW131" s="1630"/>
      <c r="GX131" s="1630"/>
      <c r="GY131" s="1630"/>
      <c r="GZ131" s="1630"/>
      <c r="HA131" s="1630"/>
      <c r="HB131" s="1630"/>
      <c r="HC131" s="1630"/>
      <c r="HD131" s="1630"/>
      <c r="HE131" s="1630"/>
      <c r="HF131" s="1630"/>
      <c r="HG131" s="1631">
        <v>0</v>
      </c>
      <c r="HH131" s="1630"/>
      <c r="HI131" s="1630"/>
      <c r="HJ131" s="1630"/>
      <c r="HK131" s="1630"/>
      <c r="HL131" s="1630"/>
      <c r="HM131" s="1630"/>
      <c r="HN131" s="1630"/>
      <c r="HO131" s="1630"/>
      <c r="HP131" s="1630"/>
      <c r="HQ131" s="1630"/>
      <c r="HR131" s="1630"/>
      <c r="HS131" s="1630"/>
      <c r="HT131" s="1631">
        <v>0</v>
      </c>
      <c r="HU131" s="1630"/>
      <c r="HV131" s="1630"/>
      <c r="HW131" s="1630"/>
      <c r="HX131" s="1630"/>
      <c r="HY131" s="1630"/>
      <c r="HZ131" s="1630"/>
      <c r="IA131" s="1630"/>
      <c r="IB131" s="1630"/>
      <c r="IC131" s="1630"/>
      <c r="ID131" s="1630"/>
      <c r="IE131" s="1630"/>
      <c r="IF131" s="1630"/>
      <c r="IG131" s="1631">
        <v>0</v>
      </c>
      <c r="IH131" s="1630"/>
      <c r="II131" s="1630"/>
      <c r="IJ131" s="1630"/>
      <c r="IK131" s="1630"/>
      <c r="IL131" s="1630"/>
      <c r="IM131" s="1630"/>
      <c r="IN131" s="1630"/>
      <c r="IO131" s="1630"/>
      <c r="IP131" s="1630"/>
      <c r="IQ131" s="1630"/>
      <c r="IR131" s="1630"/>
      <c r="IS131" s="1630"/>
      <c r="IT131" s="1633">
        <v>0</v>
      </c>
      <c r="IU131" s="1633">
        <v>0</v>
      </c>
      <c r="IV131" s="1707"/>
    </row>
    <row r="132" spans="194:256" ht="16.5">
      <c r="GL132" s="5818" t="s">
        <v>3237</v>
      </c>
      <c r="GM132" s="5818"/>
      <c r="GN132" s="5818"/>
      <c r="GO132" s="1904"/>
      <c r="GP132" s="1904"/>
      <c r="GQ132" s="1904"/>
      <c r="GR132" s="1904"/>
      <c r="GS132" s="1905"/>
      <c r="GT132" s="1906">
        <v>7263456.9819999998</v>
      </c>
      <c r="GU132" s="1906">
        <v>79456.982000000004</v>
      </c>
      <c r="GV132" s="1906">
        <v>433000</v>
      </c>
      <c r="GW132" s="1906">
        <v>561400</v>
      </c>
      <c r="GX132" s="1906">
        <v>305900</v>
      </c>
      <c r="GY132" s="1906">
        <v>383600</v>
      </c>
      <c r="GZ132" s="1906">
        <v>3001166</v>
      </c>
      <c r="HA132" s="1906">
        <v>853020</v>
      </c>
      <c r="HB132" s="1906">
        <v>110550</v>
      </c>
      <c r="HC132" s="1906">
        <v>1398764</v>
      </c>
      <c r="HD132" s="1906">
        <v>101600</v>
      </c>
      <c r="HE132" s="1906">
        <v>0</v>
      </c>
      <c r="HF132" s="1906">
        <v>35000</v>
      </c>
      <c r="HG132" s="1906">
        <v>3008000</v>
      </c>
      <c r="HH132" s="1906">
        <v>119000</v>
      </c>
      <c r="HI132" s="1906">
        <v>28000</v>
      </c>
      <c r="HJ132" s="1906">
        <v>411000</v>
      </c>
      <c r="HK132" s="1906">
        <v>741000</v>
      </c>
      <c r="HL132" s="1906">
        <v>70000</v>
      </c>
      <c r="HM132" s="1906">
        <v>259000</v>
      </c>
      <c r="HN132" s="1906">
        <v>200000</v>
      </c>
      <c r="HO132" s="1906">
        <v>0</v>
      </c>
      <c r="HP132" s="1906">
        <v>90000</v>
      </c>
      <c r="HQ132" s="1906">
        <v>160000</v>
      </c>
      <c r="HR132" s="1906">
        <v>195000</v>
      </c>
      <c r="HS132" s="1906">
        <v>735000</v>
      </c>
      <c r="HT132" s="1906">
        <v>8925000</v>
      </c>
      <c r="HU132" s="1906">
        <v>0</v>
      </c>
      <c r="HV132" s="1906">
        <v>0</v>
      </c>
      <c r="HW132" s="1906">
        <v>930000</v>
      </c>
      <c r="HX132" s="1906">
        <v>0</v>
      </c>
      <c r="HY132" s="1906">
        <v>380000</v>
      </c>
      <c r="HZ132" s="1906">
        <v>6955000</v>
      </c>
      <c r="IA132" s="1906">
        <v>0</v>
      </c>
      <c r="IB132" s="1906">
        <v>0</v>
      </c>
      <c r="IC132" s="1906">
        <v>0</v>
      </c>
      <c r="ID132" s="1906">
        <v>0</v>
      </c>
      <c r="IE132" s="1906">
        <v>608000</v>
      </c>
      <c r="IF132" s="1906">
        <v>52000</v>
      </c>
      <c r="IG132" s="1906">
        <v>1358000</v>
      </c>
      <c r="IH132" s="1906">
        <v>0</v>
      </c>
      <c r="II132" s="1906">
        <v>0</v>
      </c>
      <c r="IJ132" s="1906">
        <v>115000</v>
      </c>
      <c r="IK132" s="1906">
        <v>0</v>
      </c>
      <c r="IL132" s="1906">
        <v>0</v>
      </c>
      <c r="IM132" s="1906">
        <v>1100000</v>
      </c>
      <c r="IN132" s="1906">
        <v>0</v>
      </c>
      <c r="IO132" s="1906">
        <v>0</v>
      </c>
      <c r="IP132" s="1906">
        <v>0</v>
      </c>
      <c r="IQ132" s="1906">
        <v>0</v>
      </c>
      <c r="IR132" s="1906">
        <v>90000</v>
      </c>
      <c r="IS132" s="1906">
        <v>53000</v>
      </c>
      <c r="IT132" s="1906">
        <v>19196456.982000001</v>
      </c>
      <c r="IU132" s="1906">
        <v>13291000</v>
      </c>
      <c r="IV132" s="1907"/>
    </row>
    <row r="133" spans="194:256" ht="16.5">
      <c r="GL133" s="1908" t="s">
        <v>1456</v>
      </c>
      <c r="GM133" s="1909"/>
      <c r="GN133" s="1908"/>
      <c r="GO133" s="1904"/>
      <c r="GP133" s="1904"/>
      <c r="GQ133" s="1904"/>
      <c r="GR133" s="1904"/>
      <c r="GS133" s="1905"/>
      <c r="GT133" s="1906">
        <v>7213456.9819999998</v>
      </c>
      <c r="GU133" s="1910">
        <v>79456.982000000004</v>
      </c>
      <c r="GV133" s="1906">
        <v>433000</v>
      </c>
      <c r="GW133" s="1906">
        <v>561400</v>
      </c>
      <c r="GX133" s="1910">
        <v>305900</v>
      </c>
      <c r="GY133" s="1906">
        <v>383600</v>
      </c>
      <c r="GZ133" s="1906">
        <v>3001166</v>
      </c>
      <c r="HA133" s="1910">
        <v>853020</v>
      </c>
      <c r="HB133" s="1906">
        <v>110550</v>
      </c>
      <c r="HC133" s="1906">
        <v>1363764</v>
      </c>
      <c r="HD133" s="1910">
        <v>101600</v>
      </c>
      <c r="HE133" s="1906">
        <v>0</v>
      </c>
      <c r="HF133" s="1906">
        <v>20000</v>
      </c>
      <c r="HG133" s="1906">
        <v>1916000</v>
      </c>
      <c r="HH133" s="1910">
        <v>112000</v>
      </c>
      <c r="HI133" s="1906">
        <v>28000</v>
      </c>
      <c r="HJ133" s="1906">
        <v>371000</v>
      </c>
      <c r="HK133" s="1910">
        <v>651000</v>
      </c>
      <c r="HL133" s="1906">
        <v>70000</v>
      </c>
      <c r="HM133" s="1906">
        <v>259000</v>
      </c>
      <c r="HN133" s="1910">
        <v>200000</v>
      </c>
      <c r="HO133" s="1906">
        <v>0</v>
      </c>
      <c r="HP133" s="1906">
        <v>0</v>
      </c>
      <c r="HQ133" s="1910">
        <v>40000</v>
      </c>
      <c r="HR133" s="1906">
        <v>165000</v>
      </c>
      <c r="HS133" s="1906">
        <v>20000</v>
      </c>
      <c r="HT133" s="1906">
        <v>8755000</v>
      </c>
      <c r="HU133" s="1910">
        <v>0</v>
      </c>
      <c r="HV133" s="1906">
        <v>0</v>
      </c>
      <c r="HW133" s="1906">
        <v>930000</v>
      </c>
      <c r="HX133" s="1910">
        <v>0</v>
      </c>
      <c r="HY133" s="1906">
        <v>210000</v>
      </c>
      <c r="HZ133" s="1906">
        <v>6955000</v>
      </c>
      <c r="IA133" s="1910">
        <v>0</v>
      </c>
      <c r="IB133" s="1906">
        <v>0</v>
      </c>
      <c r="IC133" s="1906">
        <v>0</v>
      </c>
      <c r="ID133" s="1910">
        <v>0</v>
      </c>
      <c r="IE133" s="1906">
        <v>608000</v>
      </c>
      <c r="IF133" s="1906">
        <v>52000</v>
      </c>
      <c r="IG133" s="1906">
        <v>1133000</v>
      </c>
      <c r="IH133" s="1910">
        <v>0</v>
      </c>
      <c r="II133" s="1906">
        <v>0</v>
      </c>
      <c r="IJ133" s="1906">
        <v>60000</v>
      </c>
      <c r="IK133" s="1910">
        <v>0</v>
      </c>
      <c r="IL133" s="1906">
        <v>0</v>
      </c>
      <c r="IM133" s="1906">
        <v>950000</v>
      </c>
      <c r="IN133" s="1910">
        <v>0</v>
      </c>
      <c r="IO133" s="1906">
        <v>0</v>
      </c>
      <c r="IP133" s="1906">
        <v>0</v>
      </c>
      <c r="IQ133" s="1910">
        <v>0</v>
      </c>
      <c r="IR133" s="1906">
        <v>90000</v>
      </c>
      <c r="IS133" s="1906">
        <v>33000</v>
      </c>
      <c r="IT133" s="1906">
        <v>17884456.982000001</v>
      </c>
      <c r="IU133" s="1906">
        <v>11804000</v>
      </c>
      <c r="IV133" s="1907"/>
    </row>
    <row r="134" spans="194:256" ht="16.5">
      <c r="GL134" s="1908" t="s">
        <v>1458</v>
      </c>
      <c r="GM134" s="1909"/>
      <c r="GN134" s="1908"/>
      <c r="GO134" s="1904"/>
      <c r="GP134" s="1904"/>
      <c r="GQ134" s="1904"/>
      <c r="GR134" s="1904"/>
      <c r="GS134" s="1905"/>
      <c r="GT134" s="1906">
        <v>50000</v>
      </c>
      <c r="GU134" s="1906">
        <v>0</v>
      </c>
      <c r="GV134" s="1906">
        <v>0</v>
      </c>
      <c r="GW134" s="1906">
        <v>0</v>
      </c>
      <c r="GX134" s="1906">
        <v>0</v>
      </c>
      <c r="GY134" s="1906">
        <v>0</v>
      </c>
      <c r="GZ134" s="1906">
        <v>0</v>
      </c>
      <c r="HA134" s="1906">
        <v>0</v>
      </c>
      <c r="HB134" s="1906">
        <v>0</v>
      </c>
      <c r="HC134" s="1906">
        <v>35000</v>
      </c>
      <c r="HD134" s="1906">
        <v>0</v>
      </c>
      <c r="HE134" s="1906">
        <v>0</v>
      </c>
      <c r="HF134" s="1906">
        <v>15000</v>
      </c>
      <c r="HG134" s="1906">
        <v>1092000</v>
      </c>
      <c r="HH134" s="1906">
        <v>7000</v>
      </c>
      <c r="HI134" s="1906">
        <v>0</v>
      </c>
      <c r="HJ134" s="1906">
        <v>40000</v>
      </c>
      <c r="HK134" s="1906">
        <v>90000</v>
      </c>
      <c r="HL134" s="1906">
        <v>0</v>
      </c>
      <c r="HM134" s="1906">
        <v>0</v>
      </c>
      <c r="HN134" s="1906">
        <v>0</v>
      </c>
      <c r="HO134" s="1906">
        <v>0</v>
      </c>
      <c r="HP134" s="1906">
        <v>90000</v>
      </c>
      <c r="HQ134" s="1906">
        <v>120000</v>
      </c>
      <c r="HR134" s="1906">
        <v>30000</v>
      </c>
      <c r="HS134" s="1906">
        <v>715000</v>
      </c>
      <c r="HT134" s="1906">
        <v>170000</v>
      </c>
      <c r="HU134" s="1906">
        <v>0</v>
      </c>
      <c r="HV134" s="1906">
        <v>0</v>
      </c>
      <c r="HW134" s="1906">
        <v>0</v>
      </c>
      <c r="HX134" s="1906">
        <v>0</v>
      </c>
      <c r="HY134" s="1906">
        <v>170000</v>
      </c>
      <c r="HZ134" s="1906">
        <v>0</v>
      </c>
      <c r="IA134" s="1906">
        <v>0</v>
      </c>
      <c r="IB134" s="1906">
        <v>0</v>
      </c>
      <c r="IC134" s="1906">
        <v>0</v>
      </c>
      <c r="ID134" s="1906">
        <v>0</v>
      </c>
      <c r="IE134" s="1906">
        <v>0</v>
      </c>
      <c r="IF134" s="1906">
        <v>0</v>
      </c>
      <c r="IG134" s="1906">
        <v>225000</v>
      </c>
      <c r="IH134" s="1906">
        <v>0</v>
      </c>
      <c r="II134" s="1906">
        <v>0</v>
      </c>
      <c r="IJ134" s="1906">
        <v>55000</v>
      </c>
      <c r="IK134" s="1906">
        <v>0</v>
      </c>
      <c r="IL134" s="1906">
        <v>0</v>
      </c>
      <c r="IM134" s="1906">
        <v>150000</v>
      </c>
      <c r="IN134" s="1906">
        <v>0</v>
      </c>
      <c r="IO134" s="1906">
        <v>0</v>
      </c>
      <c r="IP134" s="1906">
        <v>0</v>
      </c>
      <c r="IQ134" s="1906">
        <v>0</v>
      </c>
      <c r="IR134" s="1906">
        <v>0</v>
      </c>
      <c r="IS134" s="1906">
        <v>20000</v>
      </c>
      <c r="IT134" s="1906">
        <v>1312000</v>
      </c>
      <c r="IU134" s="1906">
        <v>1487000</v>
      </c>
      <c r="IV134" s="1911"/>
    </row>
  </sheetData>
  <mergeCells count="47">
    <mergeCell ref="GL132:GN132"/>
    <mergeCell ref="DV67:EG67"/>
    <mergeCell ref="EH67:EH68"/>
    <mergeCell ref="GL83:GN83"/>
    <mergeCell ref="GL94:GN94"/>
    <mergeCell ref="GL108:GN108"/>
    <mergeCell ref="GL118:GN118"/>
    <mergeCell ref="IU15:IU16"/>
    <mergeCell ref="IV15:IV16"/>
    <mergeCell ref="GL22:GN22"/>
    <mergeCell ref="GL32:GN32"/>
    <mergeCell ref="CH67:CH68"/>
    <mergeCell ref="CU67:CU68"/>
    <mergeCell ref="CV67:DG67"/>
    <mergeCell ref="DH67:DH68"/>
    <mergeCell ref="DI67:DT67"/>
    <mergeCell ref="DU67:DU68"/>
    <mergeCell ref="GR15:GR16"/>
    <mergeCell ref="GS15:GS16"/>
    <mergeCell ref="HG15:HS15"/>
    <mergeCell ref="HT15:IF15"/>
    <mergeCell ref="IG15:IS15"/>
    <mergeCell ref="IT15:IT16"/>
    <mergeCell ref="GQ15:GQ16"/>
    <mergeCell ref="EJ15:EJ16"/>
    <mergeCell ref="EW15:EW16"/>
    <mergeCell ref="EX15:FI15"/>
    <mergeCell ref="FJ15:FJ16"/>
    <mergeCell ref="FK15:FV15"/>
    <mergeCell ref="FW15:FW16"/>
    <mergeCell ref="FX15:GI15"/>
    <mergeCell ref="GJ15:GJ16"/>
    <mergeCell ref="GL15:GN16"/>
    <mergeCell ref="GO15:GO16"/>
    <mergeCell ref="GP15:GP16"/>
    <mergeCell ref="EH15:EH16"/>
    <mergeCell ref="E15:Q15"/>
    <mergeCell ref="R15:AD15"/>
    <mergeCell ref="AE15:AQ15"/>
    <mergeCell ref="AR15:BD15"/>
    <mergeCell ref="CH15:CH16"/>
    <mergeCell ref="CU15:CU16"/>
    <mergeCell ref="CV15:DG15"/>
    <mergeCell ref="DH15:DH16"/>
    <mergeCell ref="DI15:DT15"/>
    <mergeCell ref="DU15:DU16"/>
    <mergeCell ref="DV15:EG15"/>
  </mergeCells>
  <phoneticPr fontId="1" type="noConversion"/>
  <conditionalFormatting sqref="L2:N2">
    <cfRule type="cellIs" dxfId="4" priority="1" operator="equal">
      <formula>"X"</formula>
    </cfRule>
    <cfRule type="cellIs" dxfId="3" priority="2" operator="equal">
      <formula>"O"</formula>
    </cfRule>
    <cfRule type="cellIs" dxfId="2" priority="3" operator="equal">
      <formula>"미정"</formula>
    </cfRule>
    <cfRule type="cellIs" dxfId="1" priority="4" operator="equal">
      <formula>"예정"</formula>
    </cfRule>
    <cfRule type="cellIs" dxfId="0" priority="5" operator="equal">
      <formula>"확정"</formula>
    </cfRule>
  </conditionalFormatting>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7B33D0C9C96FE94B89F837BB50773F4A" ma:contentTypeVersion="11" ma:contentTypeDescription="새 문서를 만듭니다." ma:contentTypeScope="" ma:versionID="35ff534a310ebfc6dcc4bb08cf66389b">
  <xsd:schema xmlns:xsd="http://www.w3.org/2001/XMLSchema" xmlns:xs="http://www.w3.org/2001/XMLSchema" xmlns:p="http://schemas.microsoft.com/office/2006/metadata/properties" xmlns:ns2="b5459c2f-d30b-48bc-a655-bb6c6b147d8d" xmlns:ns3="992bb652-ac37-42e6-9233-54d17d7edda1" targetNamespace="http://schemas.microsoft.com/office/2006/metadata/properties" ma:root="true" ma:fieldsID="b395520b61b5d57a92b044695582f41b" ns2:_="" ns3:_="">
    <xsd:import namespace="b5459c2f-d30b-48bc-a655-bb6c6b147d8d"/>
    <xsd:import namespace="992bb652-ac37-42e6-9233-54d17d7edda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459c2f-d30b-48bc-a655-bb6c6b147d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92bb652-ac37-42e6-9233-54d17d7edda1" elementFormDefault="qualified">
    <xsd:import namespace="http://schemas.microsoft.com/office/2006/documentManagement/types"/>
    <xsd:import namespace="http://schemas.microsoft.com/office/infopath/2007/PartnerControls"/>
    <xsd:element name="SharedWithUsers" ma:index="10" nillable="true" ma:displayName="공유 대상"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세부 정보 공유"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296611C-7F0D-4A18-8FB4-5BDB7B460C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459c2f-d30b-48bc-a655-bb6c6b147d8d"/>
    <ds:schemaRef ds:uri="992bb652-ac37-42e6-9233-54d17d7edda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DFC85C-87D5-4AF6-B75E-155DB54D8F24}">
  <ds:schemaRefs>
    <ds:schemaRef ds:uri="http://schemas.microsoft.com/DataMashup"/>
  </ds:schemaRefs>
</ds:datastoreItem>
</file>

<file path=customXml/itemProps3.xml><?xml version="1.0" encoding="utf-8"?>
<ds:datastoreItem xmlns:ds="http://schemas.openxmlformats.org/officeDocument/2006/customXml" ds:itemID="{0180A6EF-5DAF-413D-9E61-414E1A70B89D}">
  <ds:schemaRefs>
    <ds:schemaRef ds:uri="http://schemas.microsoft.com/sharepoint/v3/contenttype/forms"/>
  </ds:schemaRefs>
</ds:datastoreItem>
</file>

<file path=customXml/itemProps4.xml><?xml version="1.0" encoding="utf-8"?>
<ds:datastoreItem xmlns:ds="http://schemas.openxmlformats.org/officeDocument/2006/customXml" ds:itemID="{9FE9A96A-8629-419D-B597-A86452F83CA8}">
  <ds:schemaRefs>
    <ds:schemaRef ds:uri="http://schemas.microsoft.com/office/2006/documentManagement/types"/>
    <ds:schemaRef ds:uri="http://www.w3.org/XML/1998/namespace"/>
    <ds:schemaRef ds:uri="http://schemas.microsoft.com/office/2006/metadata/properties"/>
    <ds:schemaRef ds:uri="http://purl.org/dc/dcmitype/"/>
    <ds:schemaRef ds:uri="http://schemas.microsoft.com/office/infopath/2007/PartnerControls"/>
    <ds:schemaRef ds:uri="http://purl.org/dc/elements/1.1/"/>
    <ds:schemaRef ds:uri="012ddb30-e069-45af-9583-4cefae966423"/>
    <ds:schemaRef ds:uri="http://schemas.openxmlformats.org/package/2006/metadata/core-properties"/>
    <ds:schemaRef ds:uri="ac6b67ec-569d-4a09-8636-ff1fc691571d"/>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66</vt:i4>
      </vt:variant>
    </vt:vector>
  </HeadingPairs>
  <TitlesOfParts>
    <vt:vector size="66" baseType="lpstr">
      <vt:lpstr>Sheet9</vt:lpstr>
      <vt:lpstr>IRR</vt:lpstr>
      <vt:lpstr>RIM</vt:lpstr>
      <vt:lpstr>Proforma</vt:lpstr>
      <vt:lpstr>Report</vt:lpstr>
      <vt:lpstr>General</vt:lpstr>
      <vt:lpstr>Assumption</vt:lpstr>
      <vt:lpstr>DCF</vt:lpstr>
      <vt:lpstr>Revenue</vt:lpstr>
      <vt:lpstr>COGS</vt:lpstr>
      <vt:lpstr>SG&amp;A</vt:lpstr>
      <vt:lpstr>CAPEX</vt:lpstr>
      <vt:lpstr>WACC</vt:lpstr>
      <vt:lpstr>NWC</vt:lpstr>
      <vt:lpstr>Sheet3</vt:lpstr>
      <vt:lpstr>Data&gt;&gt;</vt:lpstr>
      <vt:lpstr>표준편차</vt:lpstr>
      <vt:lpstr>CD금리추정</vt:lpstr>
      <vt:lpstr>IRR_Backup</vt:lpstr>
      <vt:lpstr>Review log</vt:lpstr>
      <vt:lpstr>유무형자산명세서</vt:lpstr>
      <vt:lpstr>에너지비</vt:lpstr>
      <vt:lpstr>Torecom_인건비</vt:lpstr>
      <vt:lpstr>Torecom_제조원가명세서</vt:lpstr>
      <vt:lpstr>Torecom_제품별 PQ</vt:lpstr>
      <vt:lpstr>Torecom_판관비</vt:lpstr>
      <vt:lpstr>Torecom_제조경비</vt:lpstr>
      <vt:lpstr>Torecom_원재료명세서</vt:lpstr>
      <vt:lpstr>Torecom_BSPL</vt:lpstr>
      <vt:lpstr>Torecom_판매추정</vt:lpstr>
      <vt:lpstr>FDD_매출MASTER</vt:lpstr>
      <vt:lpstr>파견임원</vt:lpstr>
      <vt:lpstr>연결정산표</vt:lpstr>
      <vt:lpstr>연결FS</vt:lpstr>
      <vt:lpstr>종속회사FS</vt:lpstr>
      <vt:lpstr>환율전망</vt:lpstr>
      <vt:lpstr>인력data</vt:lpstr>
      <vt:lpstr>사업계획D&amp;A</vt:lpstr>
      <vt:lpstr>원재료별품위</vt:lpstr>
      <vt:lpstr>재고자산수불부</vt:lpstr>
      <vt:lpstr>국내Peer</vt:lpstr>
      <vt:lpstr>Bloomberg</vt:lpstr>
      <vt:lpstr>감가상각명세서</vt:lpstr>
      <vt:lpstr>Libor</vt:lpstr>
      <vt:lpstr>차입금</vt:lpstr>
      <vt:lpstr>별도FS_본체</vt:lpstr>
      <vt:lpstr>연결조정_3Q</vt:lpstr>
      <vt:lpstr>과거손익(Summary)</vt:lpstr>
      <vt:lpstr>과거손익_본체</vt:lpstr>
      <vt:lpstr>사업계획_본체</vt:lpstr>
      <vt:lpstr>판매량</vt:lpstr>
      <vt:lpstr>CDD추정치</vt:lpstr>
      <vt:lpstr>원료지표</vt:lpstr>
      <vt:lpstr>주요지표_New</vt:lpstr>
      <vt:lpstr>Sheet1</vt:lpstr>
      <vt:lpstr>금속가격</vt:lpstr>
      <vt:lpstr>부산물가격</vt:lpstr>
      <vt:lpstr>환율</vt:lpstr>
      <vt:lpstr>가동율</vt:lpstr>
      <vt:lpstr>CAPEX계획</vt:lpstr>
      <vt:lpstr>Backdata_Torecom</vt:lpstr>
      <vt:lpstr>Backdata_GRM</vt:lpstr>
      <vt:lpstr>Backdata_CS,선우</vt:lpstr>
      <vt:lpstr>BP_Torecom</vt:lpstr>
      <vt:lpstr>종속회사BP_New</vt:lpstr>
      <vt:lpstr>BP_GRM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Oh, Hyun-Seok (KR/Deal Adv5)</dc:creator>
  <cp:lastModifiedBy>Oh, Hyun-Seok (KR/Deal Adv1)</cp:lastModifiedBy>
  <cp:lastPrinted>2022-03-29T02:12:28Z</cp:lastPrinted>
  <dcterms:created xsi:type="dcterms:W3CDTF">2021-09-07T06:45:39Z</dcterms:created>
  <dcterms:modified xsi:type="dcterms:W3CDTF">2025-12-12T05:43:16Z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0x0101007B33D0C9C96FE94B89F837BB50773F4A</vt:lpwstr>
  </property>
</Properties>
</file>